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0" yWindow="0" windowWidth="20490" windowHeight="8790" firstSheet="7" activeTab="11"/>
  </bookViews>
  <sheets>
    <sheet name="PDATA" sheetId="25" state="veryHidden" r:id="rId1"/>
    <sheet name="RDATA" sheetId="28" state="veryHidden" r:id="rId2"/>
    <sheet name="計算" sheetId="29" state="veryHidden" r:id="rId3"/>
    <sheet name="總表" sheetId="40" state="veryHidden" r:id="rId4"/>
    <sheet name="揭露" sheetId="42" state="veryHidden" r:id="rId5"/>
    <sheet name="PY" sheetId="43" state="veryHidden" r:id="rId6"/>
    <sheet name="OP" sheetId="19" state="veryHidden" r:id="rId7"/>
    <sheet name="輸入頁" sheetId="27" r:id="rId8"/>
    <sheet name="列印頁" sheetId="15" r:id="rId9"/>
    <sheet name="列印頁-簡" sheetId="39" r:id="rId10"/>
    <sheet name="6IWT" sheetId="44" r:id="rId11"/>
    <sheet name="比銀行" sheetId="45" r:id="rId12"/>
  </sheets>
  <definedNames>
    <definedName name="_DIE2">PDATA!$P$635:$DW$787</definedName>
    <definedName name="_PDN1">OP!$C$23</definedName>
    <definedName name="CV">PDATA!$P$314:$DW$466</definedName>
    <definedName name="DIE">PDATA!$EC$158:$IJ$310</definedName>
    <definedName name="DOWN16">計算!$AH$10:$AL$27</definedName>
    <definedName name="EXP">PDATA!$P$158:$DW$310</definedName>
    <definedName name="GP">PDATA!$I$2:$J$154</definedName>
    <definedName name="MAXR">RDATA!$I$27</definedName>
    <definedName name="more">計算!$L$9:$M$1340</definedName>
    <definedName name="MORE_16">計算!$AQ$9:$AU$212</definedName>
    <definedName name="MORE_PV">計算!$V$9:$AF$1340</definedName>
    <definedName name="more1">計算!$B$11:$H$121</definedName>
    <definedName name="PA">PDATA!$P$2:$DW$154</definedName>
    <definedName name="PDN1_">OP!$C$23</definedName>
    <definedName name="PDSN1">OP!$C$22</definedName>
    <definedName name="PDSN1_">OP!$C$22</definedName>
    <definedName name="PI">OP!$AK$4:$AL$90</definedName>
    <definedName name="_xlnm.Print_Area" localSheetId="10">'6IWT'!$A$1:$K$63</definedName>
    <definedName name="_xlnm.Print_Area" localSheetId="11">比銀行!$A$1:$L$63</definedName>
    <definedName name="_xlnm.Print_Area" localSheetId="8">列印頁!$A$1:$V$531</definedName>
    <definedName name="_xlnm.Print_Area" localSheetId="9">'列印頁-簡'!$A$1:$X$409</definedName>
    <definedName name="_xlnm.Print_Area" localSheetId="7">輸入頁!$A$1:$T$51</definedName>
    <definedName name="PV0">PDATA!$EC$314:$IK$466</definedName>
    <definedName name="PVFB">PDATA!$P$480:$DX$631</definedName>
    <definedName name="PYO">PY!$D$4</definedName>
    <definedName name="PYR">PY!$C$11</definedName>
    <definedName name="PYY">PY!$C$4</definedName>
    <definedName name="TOV">總表!$B$3:$Z$114</definedName>
    <definedName name="YP">OP!$C$88:$D$198</definedName>
    <definedName name="主約1">OP!$H$43:$H$45</definedName>
    <definedName name="繳別首">OP!$K$31:$K$35</definedName>
    <definedName name="繳別續">OP!$L$31:$L$34</definedName>
  </definedNames>
  <calcPr calcId="145621"/>
  <webPublishObjects count="1">
    <webPublishObject id="30313" divId="e-test0804_30313" destinationFile="D:\Documents and Settings\Administrator.NONE-7C44F5C952\桌面\自製試算表\e-test0804.htm"/>
  </webPublishObjects>
</workbook>
</file>

<file path=xl/calcChain.xml><?xml version="1.0" encoding="utf-8"?>
<calcChain xmlns="http://schemas.openxmlformats.org/spreadsheetml/2006/main">
  <c r="D9" i="45" l="1"/>
  <c r="K9" i="45" s="1"/>
  <c r="D8" i="45"/>
  <c r="D7" i="45"/>
  <c r="K7" i="45" s="1"/>
  <c r="D6" i="45"/>
  <c r="K6" i="45" s="1"/>
  <c r="D5" i="45"/>
  <c r="K5" i="45" s="1"/>
  <c r="D4" i="45"/>
  <c r="K4" i="45" s="1"/>
  <c r="A4" i="45"/>
  <c r="K8" i="45"/>
  <c r="H5" i="45"/>
  <c r="H6" i="45" s="1"/>
  <c r="H7" i="45" l="1"/>
  <c r="H2" i="44"/>
  <c r="M2" i="44" s="1"/>
  <c r="H8" i="45" l="1"/>
  <c r="BG78" i="44"/>
  <c r="BO78" i="44"/>
  <c r="AM78" i="44"/>
  <c r="Q78" i="44"/>
  <c r="Q71" i="44"/>
  <c r="R71" i="44" s="1"/>
  <c r="S71" i="44" s="1"/>
  <c r="T71" i="44" s="1"/>
  <c r="U71" i="44" s="1"/>
  <c r="V71" i="44" s="1"/>
  <c r="W71" i="44" s="1"/>
  <c r="X71" i="44" s="1"/>
  <c r="Y71" i="44" s="1"/>
  <c r="Z71" i="44" s="1"/>
  <c r="AA71" i="44" s="1"/>
  <c r="AB71" i="44" s="1"/>
  <c r="AC71" i="44" s="1"/>
  <c r="AD71" i="44" s="1"/>
  <c r="AE71" i="44" s="1"/>
  <c r="AF71" i="44" s="1"/>
  <c r="AG71" i="44" s="1"/>
  <c r="AH71" i="44" s="1"/>
  <c r="AI71" i="44" s="1"/>
  <c r="AJ71" i="44" s="1"/>
  <c r="AK71" i="44" s="1"/>
  <c r="AL71" i="44" s="1"/>
  <c r="AM71" i="44" s="1"/>
  <c r="AN71" i="44" s="1"/>
  <c r="AO71" i="44" s="1"/>
  <c r="AP71" i="44" s="1"/>
  <c r="AQ71" i="44" s="1"/>
  <c r="AR71" i="44" s="1"/>
  <c r="AS71" i="44" s="1"/>
  <c r="AT71" i="44" s="1"/>
  <c r="AU71" i="44" s="1"/>
  <c r="AV71" i="44" s="1"/>
  <c r="AW71" i="44" s="1"/>
  <c r="AX71" i="44" s="1"/>
  <c r="AY71" i="44" s="1"/>
  <c r="AZ71" i="44" s="1"/>
  <c r="BA71" i="44" s="1"/>
  <c r="BB71" i="44" s="1"/>
  <c r="BC71" i="44" s="1"/>
  <c r="BD71" i="44" s="1"/>
  <c r="BE71" i="44" s="1"/>
  <c r="BF71" i="44" s="1"/>
  <c r="BG71" i="44" s="1"/>
  <c r="BH71" i="44" s="1"/>
  <c r="BI71" i="44" s="1"/>
  <c r="BJ71" i="44" s="1"/>
  <c r="BK71" i="44" s="1"/>
  <c r="BL71" i="44" s="1"/>
  <c r="BM71" i="44" s="1"/>
  <c r="BN71" i="44" s="1"/>
  <c r="BO71" i="44" s="1"/>
  <c r="BP71" i="44" s="1"/>
  <c r="BQ71" i="44" s="1"/>
  <c r="BR71" i="44" s="1"/>
  <c r="BR62" i="44"/>
  <c r="BR61" i="44"/>
  <c r="BQ61" i="44"/>
  <c r="BR60" i="44"/>
  <c r="BQ60" i="44"/>
  <c r="BP60" i="44"/>
  <c r="BR59" i="44"/>
  <c r="BQ59" i="44"/>
  <c r="BP59" i="44"/>
  <c r="BO59" i="44"/>
  <c r="BR58" i="44"/>
  <c r="BQ58" i="44"/>
  <c r="BP58" i="44"/>
  <c r="BO58" i="44"/>
  <c r="BN58" i="44"/>
  <c r="BR57" i="44"/>
  <c r="BQ57" i="44"/>
  <c r="BP57" i="44"/>
  <c r="BO57" i="44"/>
  <c r="BN57" i="44"/>
  <c r="BM57" i="44"/>
  <c r="BR56" i="44"/>
  <c r="BQ56" i="44"/>
  <c r="BP56" i="44"/>
  <c r="BO56" i="44"/>
  <c r="BN56" i="44"/>
  <c r="BM56" i="44"/>
  <c r="BL56" i="44"/>
  <c r="BR55" i="44"/>
  <c r="BQ55" i="44"/>
  <c r="BP55" i="44"/>
  <c r="BO55" i="44"/>
  <c r="BN55" i="44"/>
  <c r="BM55" i="44"/>
  <c r="BL55" i="44"/>
  <c r="BK55" i="44"/>
  <c r="BR54" i="44"/>
  <c r="BQ54" i="44"/>
  <c r="BP54" i="44"/>
  <c r="BO54" i="44"/>
  <c r="BN54" i="44"/>
  <c r="BM54" i="44"/>
  <c r="BL54" i="44"/>
  <c r="BK54" i="44"/>
  <c r="BJ54" i="44"/>
  <c r="BR53" i="44"/>
  <c r="BQ53" i="44"/>
  <c r="BP53" i="44"/>
  <c r="BO53" i="44"/>
  <c r="BN53" i="44"/>
  <c r="BM53" i="44"/>
  <c r="BL53" i="44"/>
  <c r="BK53" i="44"/>
  <c r="BJ53" i="44"/>
  <c r="BI53" i="44"/>
  <c r="BR52" i="44"/>
  <c r="BQ52" i="44"/>
  <c r="BP52" i="44"/>
  <c r="BO52" i="44"/>
  <c r="BN52" i="44"/>
  <c r="BM52" i="44"/>
  <c r="BL52" i="44"/>
  <c r="BK52" i="44"/>
  <c r="BJ52" i="44"/>
  <c r="BI52" i="44"/>
  <c r="BH52" i="44"/>
  <c r="BR51" i="44"/>
  <c r="BQ51" i="44"/>
  <c r="BP51" i="44"/>
  <c r="BO51" i="44"/>
  <c r="BN51" i="44"/>
  <c r="BM51" i="44"/>
  <c r="BL51" i="44"/>
  <c r="BK51" i="44"/>
  <c r="BJ51" i="44"/>
  <c r="BI51" i="44"/>
  <c r="BH51" i="44"/>
  <c r="BG51" i="44"/>
  <c r="BR50" i="44"/>
  <c r="BQ50" i="44"/>
  <c r="BP50" i="44"/>
  <c r="BO50" i="44"/>
  <c r="BN50" i="44"/>
  <c r="BM50" i="44"/>
  <c r="BL50" i="44"/>
  <c r="BK50" i="44"/>
  <c r="BJ50" i="44"/>
  <c r="BI50" i="44"/>
  <c r="BH50" i="44"/>
  <c r="BG50" i="44"/>
  <c r="BF50" i="44"/>
  <c r="BR49" i="44"/>
  <c r="BQ49" i="44"/>
  <c r="BP49" i="44"/>
  <c r="BO49" i="44"/>
  <c r="BN49" i="44"/>
  <c r="BM49" i="44"/>
  <c r="BL49" i="44"/>
  <c r="BK49" i="44"/>
  <c r="BJ49" i="44"/>
  <c r="BI49" i="44"/>
  <c r="BH49" i="44"/>
  <c r="BG49" i="44"/>
  <c r="BF49" i="44"/>
  <c r="BE49" i="44"/>
  <c r="BR48" i="44"/>
  <c r="BQ48" i="44"/>
  <c r="BP48" i="44"/>
  <c r="BO48" i="44"/>
  <c r="BN48" i="44"/>
  <c r="BM48" i="44"/>
  <c r="BL48" i="44"/>
  <c r="BK48" i="44"/>
  <c r="BJ48" i="44"/>
  <c r="BI48" i="44"/>
  <c r="BH48" i="44"/>
  <c r="BG48" i="44"/>
  <c r="BF48" i="44"/>
  <c r="BE48" i="44"/>
  <c r="BD48" i="44"/>
  <c r="BR47" i="44"/>
  <c r="BQ47" i="44"/>
  <c r="BP47" i="44"/>
  <c r="BO47" i="44"/>
  <c r="BN47" i="44"/>
  <c r="BM47" i="44"/>
  <c r="BL47" i="44"/>
  <c r="BK47" i="44"/>
  <c r="BJ47" i="44"/>
  <c r="BI47" i="44"/>
  <c r="BH47" i="44"/>
  <c r="BG47" i="44"/>
  <c r="BF47" i="44"/>
  <c r="BE47" i="44"/>
  <c r="BD47" i="44"/>
  <c r="BC47" i="44"/>
  <c r="BR46" i="44"/>
  <c r="BQ46" i="44"/>
  <c r="BP46" i="44"/>
  <c r="BO46" i="44"/>
  <c r="BN46" i="44"/>
  <c r="BM46" i="44"/>
  <c r="BL46" i="44"/>
  <c r="BK46" i="44"/>
  <c r="BJ46" i="44"/>
  <c r="BI46" i="44"/>
  <c r="BH46" i="44"/>
  <c r="BG46" i="44"/>
  <c r="BF46" i="44"/>
  <c r="BE46" i="44"/>
  <c r="BD46" i="44"/>
  <c r="BC46" i="44"/>
  <c r="BB46" i="44"/>
  <c r="BR45" i="44"/>
  <c r="BQ45" i="44"/>
  <c r="BP45" i="44"/>
  <c r="BO45" i="44"/>
  <c r="BN45" i="44"/>
  <c r="BM45" i="44"/>
  <c r="BL45" i="44"/>
  <c r="BK45" i="44"/>
  <c r="BJ45" i="44"/>
  <c r="BI45" i="44"/>
  <c r="BH45" i="44"/>
  <c r="BG45" i="44"/>
  <c r="BF45" i="44"/>
  <c r="BE45" i="44"/>
  <c r="BD45" i="44"/>
  <c r="BC45" i="44"/>
  <c r="BB45" i="44"/>
  <c r="BA45" i="44"/>
  <c r="BR44" i="44"/>
  <c r="BQ44" i="44"/>
  <c r="BP44" i="44"/>
  <c r="BO44" i="44"/>
  <c r="BN44" i="44"/>
  <c r="BM44" i="44"/>
  <c r="BL44" i="44"/>
  <c r="BK44" i="44"/>
  <c r="BJ44" i="44"/>
  <c r="BI44" i="44"/>
  <c r="BH44" i="44"/>
  <c r="BG44" i="44"/>
  <c r="BF44" i="44"/>
  <c r="BE44" i="44"/>
  <c r="BD44" i="44"/>
  <c r="BC44" i="44"/>
  <c r="BB44" i="44"/>
  <c r="BA44" i="44"/>
  <c r="AZ44" i="44"/>
  <c r="BR43" i="44"/>
  <c r="BQ43" i="44"/>
  <c r="BP43" i="44"/>
  <c r="BO43" i="44"/>
  <c r="BN43" i="44"/>
  <c r="BM43" i="44"/>
  <c r="BL43" i="44"/>
  <c r="BK43" i="44"/>
  <c r="BJ43" i="44"/>
  <c r="BI43" i="44"/>
  <c r="BH43" i="44"/>
  <c r="BG43" i="44"/>
  <c r="BF43" i="44"/>
  <c r="BE43" i="44"/>
  <c r="BD43" i="44"/>
  <c r="BC43" i="44"/>
  <c r="BB43" i="44"/>
  <c r="BA43" i="44"/>
  <c r="AZ43" i="44"/>
  <c r="AY43" i="44"/>
  <c r="BR42" i="44"/>
  <c r="BQ42" i="44"/>
  <c r="BP42" i="44"/>
  <c r="BO42" i="44"/>
  <c r="BN42" i="44"/>
  <c r="BM42" i="44"/>
  <c r="BL42" i="44"/>
  <c r="BK42" i="44"/>
  <c r="BJ42" i="44"/>
  <c r="BI42" i="44"/>
  <c r="BH42" i="44"/>
  <c r="BG42" i="44"/>
  <c r="BF42" i="44"/>
  <c r="BE42" i="44"/>
  <c r="BD42" i="44"/>
  <c r="BC42" i="44"/>
  <c r="BB42" i="44"/>
  <c r="BA42" i="44"/>
  <c r="AZ42" i="44"/>
  <c r="AY42" i="44"/>
  <c r="AX42" i="44"/>
  <c r="BR41" i="44"/>
  <c r="BQ41" i="44"/>
  <c r="BP41" i="44"/>
  <c r="BO41" i="44"/>
  <c r="BN41" i="44"/>
  <c r="BM41" i="44"/>
  <c r="BL41" i="44"/>
  <c r="BK41" i="44"/>
  <c r="BJ41" i="44"/>
  <c r="BI41" i="44"/>
  <c r="BH41" i="44"/>
  <c r="BG41" i="44"/>
  <c r="BF41" i="44"/>
  <c r="BE41" i="44"/>
  <c r="BD41" i="44"/>
  <c r="BC41" i="44"/>
  <c r="BB41" i="44"/>
  <c r="BA41" i="44"/>
  <c r="AZ41" i="44"/>
  <c r="AY41" i="44"/>
  <c r="AX41" i="44"/>
  <c r="AW41" i="44"/>
  <c r="BR40" i="44"/>
  <c r="BQ40" i="44"/>
  <c r="BP40" i="44"/>
  <c r="BO40" i="44"/>
  <c r="BN40" i="44"/>
  <c r="BM40" i="44"/>
  <c r="BL40" i="44"/>
  <c r="BK40" i="44"/>
  <c r="BJ40" i="44"/>
  <c r="BI40" i="44"/>
  <c r="BH40" i="44"/>
  <c r="BG40" i="44"/>
  <c r="BF40" i="44"/>
  <c r="BE40" i="44"/>
  <c r="BD40" i="44"/>
  <c r="BC40" i="44"/>
  <c r="BB40" i="44"/>
  <c r="BA40" i="44"/>
  <c r="AZ40" i="44"/>
  <c r="AY40" i="44"/>
  <c r="AX40" i="44"/>
  <c r="AW40" i="44"/>
  <c r="AV40" i="44"/>
  <c r="BR39" i="44"/>
  <c r="BQ39" i="44"/>
  <c r="BP39" i="44"/>
  <c r="BO39" i="44"/>
  <c r="BN39" i="44"/>
  <c r="BM39" i="44"/>
  <c r="BL39" i="44"/>
  <c r="BK39" i="44"/>
  <c r="BJ39" i="44"/>
  <c r="BI39" i="44"/>
  <c r="BH39" i="44"/>
  <c r="BG39" i="44"/>
  <c r="BF39" i="44"/>
  <c r="BE39" i="44"/>
  <c r="BD39" i="44"/>
  <c r="BC39" i="44"/>
  <c r="BB39" i="44"/>
  <c r="BA39" i="44"/>
  <c r="AZ39" i="44"/>
  <c r="AY39" i="44"/>
  <c r="AX39" i="44"/>
  <c r="AW39" i="44"/>
  <c r="AV39" i="44"/>
  <c r="AU39" i="44"/>
  <c r="BR38" i="44"/>
  <c r="BQ38" i="44"/>
  <c r="BP38" i="44"/>
  <c r="BO38" i="44"/>
  <c r="BN38" i="44"/>
  <c r="BM38" i="44"/>
  <c r="BL38" i="44"/>
  <c r="BK38" i="44"/>
  <c r="BJ38" i="44"/>
  <c r="BI38" i="44"/>
  <c r="BH38" i="44"/>
  <c r="BG38" i="44"/>
  <c r="BF38" i="44"/>
  <c r="BE38" i="44"/>
  <c r="BD38" i="44"/>
  <c r="BC38" i="44"/>
  <c r="BB38" i="44"/>
  <c r="BA38" i="44"/>
  <c r="AZ38" i="44"/>
  <c r="AY38" i="44"/>
  <c r="AX38" i="44"/>
  <c r="AW38" i="44"/>
  <c r="AV38" i="44"/>
  <c r="AU38" i="44"/>
  <c r="AT38" i="44"/>
  <c r="BR37" i="44"/>
  <c r="BQ37" i="44"/>
  <c r="BP37" i="44"/>
  <c r="BO37" i="44"/>
  <c r="BN37" i="44"/>
  <c r="BM37" i="44"/>
  <c r="BL37" i="44"/>
  <c r="BK37" i="44"/>
  <c r="BJ37" i="44"/>
  <c r="BI37" i="44"/>
  <c r="BH37" i="44"/>
  <c r="BG37" i="44"/>
  <c r="BF37" i="44"/>
  <c r="BE37" i="44"/>
  <c r="BD37" i="44"/>
  <c r="BC37" i="44"/>
  <c r="BB37" i="44"/>
  <c r="BA37" i="44"/>
  <c r="AZ37" i="44"/>
  <c r="AY37" i="44"/>
  <c r="AX37" i="44"/>
  <c r="AW37" i="44"/>
  <c r="AV37" i="44"/>
  <c r="AU37" i="44"/>
  <c r="AT37" i="44"/>
  <c r="AS37" i="44"/>
  <c r="BR36" i="44"/>
  <c r="BQ36" i="44"/>
  <c r="BP36" i="44"/>
  <c r="BO36" i="44"/>
  <c r="BN36" i="44"/>
  <c r="BM36" i="44"/>
  <c r="BL36" i="44"/>
  <c r="BK36" i="44"/>
  <c r="BJ36" i="44"/>
  <c r="BI36" i="44"/>
  <c r="BH36" i="44"/>
  <c r="BG36" i="44"/>
  <c r="BF36" i="44"/>
  <c r="BE36" i="44"/>
  <c r="BD36" i="44"/>
  <c r="BC36" i="44"/>
  <c r="BB36" i="44"/>
  <c r="BA36" i="44"/>
  <c r="AZ36" i="44"/>
  <c r="AY36" i="44"/>
  <c r="AX36" i="44"/>
  <c r="AW36" i="44"/>
  <c r="AV36" i="44"/>
  <c r="AU36" i="44"/>
  <c r="AT36" i="44"/>
  <c r="AS36" i="44"/>
  <c r="AR36" i="44"/>
  <c r="BR35" i="44"/>
  <c r="BQ35" i="44"/>
  <c r="BP35" i="44"/>
  <c r="BO35" i="44"/>
  <c r="BN35" i="44"/>
  <c r="BM35" i="44"/>
  <c r="BL35" i="44"/>
  <c r="BK35" i="44"/>
  <c r="BJ35" i="44"/>
  <c r="BI35" i="44"/>
  <c r="BH35" i="44"/>
  <c r="BG35" i="44"/>
  <c r="BF35" i="44"/>
  <c r="BE35" i="44"/>
  <c r="BD35" i="44"/>
  <c r="BC35" i="44"/>
  <c r="BB35" i="44"/>
  <c r="BA35" i="44"/>
  <c r="AZ35" i="44"/>
  <c r="AY35" i="44"/>
  <c r="AX35" i="44"/>
  <c r="AW35" i="44"/>
  <c r="AV35" i="44"/>
  <c r="AU35" i="44"/>
  <c r="AT35" i="44"/>
  <c r="AS35" i="44"/>
  <c r="AR35" i="44"/>
  <c r="AQ35" i="44"/>
  <c r="BR34" i="44"/>
  <c r="BQ34" i="44"/>
  <c r="BP34" i="44"/>
  <c r="BO34" i="44"/>
  <c r="BN34" i="44"/>
  <c r="BM34" i="44"/>
  <c r="BL34" i="44"/>
  <c r="BK34" i="44"/>
  <c r="BJ34" i="44"/>
  <c r="BI34" i="44"/>
  <c r="BH34" i="44"/>
  <c r="BG34" i="44"/>
  <c r="BF34" i="44"/>
  <c r="BE34" i="44"/>
  <c r="BD34" i="44"/>
  <c r="BC34" i="44"/>
  <c r="BB34" i="44"/>
  <c r="BA34" i="44"/>
  <c r="AZ34" i="44"/>
  <c r="AY34" i="44"/>
  <c r="AX34" i="44"/>
  <c r="AW34" i="44"/>
  <c r="AV34" i="44"/>
  <c r="AU34" i="44"/>
  <c r="AT34" i="44"/>
  <c r="AS34" i="44"/>
  <c r="AR34" i="44"/>
  <c r="AQ34" i="44"/>
  <c r="AP34" i="44"/>
  <c r="BR33" i="44"/>
  <c r="BQ33" i="44"/>
  <c r="BP33" i="44"/>
  <c r="BO33" i="44"/>
  <c r="BN33" i="44"/>
  <c r="BM33" i="44"/>
  <c r="BL33" i="44"/>
  <c r="BK33" i="44"/>
  <c r="BJ33" i="44"/>
  <c r="BI33" i="44"/>
  <c r="BH33" i="44"/>
  <c r="BG33" i="44"/>
  <c r="BF33" i="44"/>
  <c r="BE33" i="44"/>
  <c r="BD33" i="44"/>
  <c r="BC33" i="44"/>
  <c r="BB33" i="44"/>
  <c r="BA33" i="44"/>
  <c r="AZ33" i="44"/>
  <c r="AY33" i="44"/>
  <c r="AX33" i="44"/>
  <c r="AW33" i="44"/>
  <c r="AV33" i="44"/>
  <c r="AU33" i="44"/>
  <c r="AT33" i="44"/>
  <c r="AS33" i="44"/>
  <c r="AR33" i="44"/>
  <c r="AQ33" i="44"/>
  <c r="AP33" i="44"/>
  <c r="AO33" i="44"/>
  <c r="BR32" i="44"/>
  <c r="BQ32" i="44"/>
  <c r="BP32" i="44"/>
  <c r="BO32" i="44"/>
  <c r="BN32" i="44"/>
  <c r="BM32" i="44"/>
  <c r="BL32" i="44"/>
  <c r="BK32" i="44"/>
  <c r="BJ32" i="44"/>
  <c r="BI32" i="44"/>
  <c r="BH32" i="44"/>
  <c r="BG32" i="44"/>
  <c r="BF32" i="44"/>
  <c r="BE32" i="44"/>
  <c r="BD32" i="44"/>
  <c r="BC32" i="44"/>
  <c r="BB32" i="44"/>
  <c r="BA32" i="44"/>
  <c r="AZ32" i="44"/>
  <c r="AY32" i="44"/>
  <c r="AX32" i="44"/>
  <c r="AW32" i="44"/>
  <c r="AV32" i="44"/>
  <c r="AU32" i="44"/>
  <c r="AT32" i="44"/>
  <c r="AS32" i="44"/>
  <c r="AR32" i="44"/>
  <c r="AQ32" i="44"/>
  <c r="AP32" i="44"/>
  <c r="AO32" i="44"/>
  <c r="AN32" i="44"/>
  <c r="BR31" i="44"/>
  <c r="BQ31" i="44"/>
  <c r="BP31" i="44"/>
  <c r="BO31" i="44"/>
  <c r="BN31" i="44"/>
  <c r="BM31" i="44"/>
  <c r="BL31" i="44"/>
  <c r="BK31" i="44"/>
  <c r="BJ31" i="44"/>
  <c r="BI31" i="44"/>
  <c r="BH31" i="44"/>
  <c r="BG31" i="44"/>
  <c r="BF31" i="44"/>
  <c r="BE31" i="44"/>
  <c r="BD31" i="44"/>
  <c r="BC31" i="44"/>
  <c r="BB31" i="44"/>
  <c r="BA31" i="44"/>
  <c r="AZ31" i="44"/>
  <c r="AY31" i="44"/>
  <c r="AX31" i="44"/>
  <c r="AW31" i="44"/>
  <c r="AV31" i="44"/>
  <c r="AU31" i="44"/>
  <c r="AT31" i="44"/>
  <c r="AS31" i="44"/>
  <c r="AR31" i="44"/>
  <c r="AQ31" i="44"/>
  <c r="AP31" i="44"/>
  <c r="AO31" i="44"/>
  <c r="AN31" i="44"/>
  <c r="AM31" i="44"/>
  <c r="BR30" i="44"/>
  <c r="BQ30" i="44"/>
  <c r="BP30" i="44"/>
  <c r="BO30" i="44"/>
  <c r="BN30" i="44"/>
  <c r="BM30" i="44"/>
  <c r="BL30" i="44"/>
  <c r="BK30" i="44"/>
  <c r="BJ30" i="44"/>
  <c r="BI30" i="44"/>
  <c r="BH30" i="44"/>
  <c r="BG30" i="44"/>
  <c r="BF30" i="44"/>
  <c r="BE30" i="44"/>
  <c r="BD30" i="44"/>
  <c r="BC30" i="44"/>
  <c r="BB30" i="44"/>
  <c r="BA30" i="44"/>
  <c r="AZ30" i="44"/>
  <c r="AY30" i="44"/>
  <c r="AX30" i="44"/>
  <c r="AW30" i="44"/>
  <c r="AV30" i="44"/>
  <c r="AU30" i="44"/>
  <c r="AT30" i="44"/>
  <c r="AS30" i="44"/>
  <c r="AR30" i="44"/>
  <c r="AQ30" i="44"/>
  <c r="AP30" i="44"/>
  <c r="AO30" i="44"/>
  <c r="AN30" i="44"/>
  <c r="AM30" i="44"/>
  <c r="AL30" i="44"/>
  <c r="BR29" i="44"/>
  <c r="BQ29" i="44"/>
  <c r="BP29" i="44"/>
  <c r="BO29" i="44"/>
  <c r="BN29" i="44"/>
  <c r="BM29" i="44"/>
  <c r="BL29" i="44"/>
  <c r="BK29" i="44"/>
  <c r="BJ29" i="44"/>
  <c r="BI29" i="44"/>
  <c r="BH29" i="44"/>
  <c r="BG29" i="44"/>
  <c r="BF29" i="44"/>
  <c r="BE29" i="44"/>
  <c r="BD29" i="44"/>
  <c r="BC29" i="44"/>
  <c r="BB29" i="44"/>
  <c r="BA29" i="44"/>
  <c r="AZ29" i="44"/>
  <c r="AY29" i="44"/>
  <c r="AX29" i="44"/>
  <c r="AW29" i="44"/>
  <c r="AV29" i="44"/>
  <c r="AU29" i="44"/>
  <c r="AT29" i="44"/>
  <c r="AS29" i="44"/>
  <c r="AR29" i="44"/>
  <c r="AQ29" i="44"/>
  <c r="AP29" i="44"/>
  <c r="AO29" i="44"/>
  <c r="AN29" i="44"/>
  <c r="AM29" i="44"/>
  <c r="AL29" i="44"/>
  <c r="AK29" i="44"/>
  <c r="BR28" i="44"/>
  <c r="BQ28" i="44"/>
  <c r="BP28" i="44"/>
  <c r="BO28" i="44"/>
  <c r="BN28" i="44"/>
  <c r="BM28" i="44"/>
  <c r="BL28" i="44"/>
  <c r="BK28" i="44"/>
  <c r="BJ28" i="44"/>
  <c r="BI28" i="44"/>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BR27" i="44"/>
  <c r="BQ27" i="44"/>
  <c r="BP27" i="44"/>
  <c r="BO27" i="44"/>
  <c r="BN27" i="44"/>
  <c r="BM27" i="44"/>
  <c r="BL27" i="44"/>
  <c r="BK27" i="44"/>
  <c r="BJ27" i="44"/>
  <c r="BI27" i="44"/>
  <c r="BH27" i="44"/>
  <c r="BG27" i="44"/>
  <c r="BF27" i="44"/>
  <c r="BE27" i="44"/>
  <c r="BD27" i="44"/>
  <c r="BC27" i="44"/>
  <c r="BB27" i="44"/>
  <c r="BA27" i="44"/>
  <c r="AZ27" i="44"/>
  <c r="AY27" i="44"/>
  <c r="AX27" i="44"/>
  <c r="AW27" i="44"/>
  <c r="AV27" i="44"/>
  <c r="AU27" i="44"/>
  <c r="AT27" i="44"/>
  <c r="AS27" i="44"/>
  <c r="AR27" i="44"/>
  <c r="AQ27" i="44"/>
  <c r="AP27" i="44"/>
  <c r="AO27" i="44"/>
  <c r="AN27" i="44"/>
  <c r="AM27" i="44"/>
  <c r="AL27" i="44"/>
  <c r="AK27" i="44"/>
  <c r="AJ27" i="44"/>
  <c r="AI27" i="44"/>
  <c r="BR26" i="44"/>
  <c r="BQ26" i="44"/>
  <c r="BP26" i="44"/>
  <c r="BO26" i="44"/>
  <c r="BN26" i="44"/>
  <c r="BM26" i="44"/>
  <c r="BL26" i="44"/>
  <c r="BK26" i="44"/>
  <c r="BJ26" i="44"/>
  <c r="BI26" i="44"/>
  <c r="BH26" i="44"/>
  <c r="BG26" i="44"/>
  <c r="BF26" i="44"/>
  <c r="BE26" i="44"/>
  <c r="BD26" i="44"/>
  <c r="BC26" i="44"/>
  <c r="BB26" i="44"/>
  <c r="BA26" i="44"/>
  <c r="AZ26" i="44"/>
  <c r="AY26" i="44"/>
  <c r="AX26" i="44"/>
  <c r="AW26" i="44"/>
  <c r="AV26" i="44"/>
  <c r="AU26" i="44"/>
  <c r="AT26" i="44"/>
  <c r="AS26" i="44"/>
  <c r="AR26" i="44"/>
  <c r="AQ26" i="44"/>
  <c r="AP26" i="44"/>
  <c r="AO26" i="44"/>
  <c r="AN26" i="44"/>
  <c r="AM26" i="44"/>
  <c r="AL26" i="44"/>
  <c r="AK26" i="44"/>
  <c r="AJ26" i="44"/>
  <c r="AI26" i="44"/>
  <c r="AH26" i="44"/>
  <c r="BR25" i="44"/>
  <c r="BQ25" i="44"/>
  <c r="BP25" i="44"/>
  <c r="BO25" i="44"/>
  <c r="BN25" i="44"/>
  <c r="BM25" i="44"/>
  <c r="BL25" i="44"/>
  <c r="BK25" i="44"/>
  <c r="BJ25" i="44"/>
  <c r="BI25" i="44"/>
  <c r="BH25" i="44"/>
  <c r="BG25" i="44"/>
  <c r="BF25" i="44"/>
  <c r="BE25" i="44"/>
  <c r="BD25" i="44"/>
  <c r="BC25" i="44"/>
  <c r="BB25" i="44"/>
  <c r="BA25" i="44"/>
  <c r="AZ25" i="44"/>
  <c r="AY25" i="44"/>
  <c r="AX25" i="44"/>
  <c r="AW25" i="44"/>
  <c r="AV25" i="44"/>
  <c r="AU25" i="44"/>
  <c r="AT25" i="44"/>
  <c r="AS25" i="44"/>
  <c r="AR25" i="44"/>
  <c r="AQ25" i="44"/>
  <c r="AP25" i="44"/>
  <c r="AO25" i="44"/>
  <c r="AN25" i="44"/>
  <c r="AM25" i="44"/>
  <c r="AL25" i="44"/>
  <c r="AK25" i="44"/>
  <c r="AJ25" i="44"/>
  <c r="AI25" i="44"/>
  <c r="AH25" i="44"/>
  <c r="AG25" i="44"/>
  <c r="BR24" i="44"/>
  <c r="BQ24" i="44"/>
  <c r="BP24" i="44"/>
  <c r="BO24" i="44"/>
  <c r="BN24" i="44"/>
  <c r="BM24" i="44"/>
  <c r="BL24" i="44"/>
  <c r="BK24" i="44"/>
  <c r="BJ24" i="44"/>
  <c r="BI24" i="44"/>
  <c r="BH24" i="44"/>
  <c r="BG24" i="44"/>
  <c r="BF24" i="44"/>
  <c r="BE24" i="44"/>
  <c r="BD24" i="44"/>
  <c r="BC24" i="44"/>
  <c r="BB24" i="44"/>
  <c r="BA24" i="44"/>
  <c r="AZ24" i="44"/>
  <c r="AY24" i="44"/>
  <c r="AX24" i="44"/>
  <c r="AW24" i="44"/>
  <c r="AV24" i="44"/>
  <c r="AU24" i="44"/>
  <c r="AT24" i="44"/>
  <c r="AS24" i="44"/>
  <c r="AR24" i="44"/>
  <c r="AQ24" i="44"/>
  <c r="AP24" i="44"/>
  <c r="AO24" i="44"/>
  <c r="AN24" i="44"/>
  <c r="AM24" i="44"/>
  <c r="AL24" i="44"/>
  <c r="AK24" i="44"/>
  <c r="AJ24" i="44"/>
  <c r="AI24" i="44"/>
  <c r="AH24" i="44"/>
  <c r="AG24" i="44"/>
  <c r="AF24" i="44"/>
  <c r="BR23" i="44"/>
  <c r="BQ23" i="44"/>
  <c r="BP23" i="44"/>
  <c r="BO23" i="44"/>
  <c r="BN23" i="44"/>
  <c r="BM23" i="44"/>
  <c r="BL23" i="44"/>
  <c r="BK23" i="44"/>
  <c r="BJ23" i="44"/>
  <c r="BI23" i="44"/>
  <c r="BH23" i="44"/>
  <c r="BG23" i="44"/>
  <c r="BF23" i="44"/>
  <c r="BE23" i="44"/>
  <c r="BD23" i="44"/>
  <c r="BC23" i="44"/>
  <c r="BB23" i="44"/>
  <c r="BA23" i="44"/>
  <c r="AZ23" i="44"/>
  <c r="AY23" i="44"/>
  <c r="AX23" i="44"/>
  <c r="AW23" i="44"/>
  <c r="AV23" i="44"/>
  <c r="AU23" i="44"/>
  <c r="AT23" i="44"/>
  <c r="AS23" i="44"/>
  <c r="AR23" i="44"/>
  <c r="AQ23" i="44"/>
  <c r="AP23" i="44"/>
  <c r="AO23" i="44"/>
  <c r="AN23" i="44"/>
  <c r="AM23" i="44"/>
  <c r="AL23" i="44"/>
  <c r="AK23" i="44"/>
  <c r="AJ23" i="44"/>
  <c r="AI23" i="44"/>
  <c r="AH23" i="44"/>
  <c r="AG23" i="44"/>
  <c r="AF23" i="44"/>
  <c r="AE23" i="44"/>
  <c r="BR22" i="44"/>
  <c r="BQ22" i="44"/>
  <c r="BP22" i="44"/>
  <c r="BO22" i="44"/>
  <c r="BN22" i="44"/>
  <c r="BM22" i="44"/>
  <c r="BL22" i="44"/>
  <c r="BK22" i="44"/>
  <c r="BJ22" i="44"/>
  <c r="BI22" i="44"/>
  <c r="BH22" i="44"/>
  <c r="BG22" i="44"/>
  <c r="BF22" i="44"/>
  <c r="BE22" i="44"/>
  <c r="BD22" i="44"/>
  <c r="BC22" i="44"/>
  <c r="BB22" i="44"/>
  <c r="BA22" i="44"/>
  <c r="AZ22" i="44"/>
  <c r="AY22" i="44"/>
  <c r="AX22" i="44"/>
  <c r="AW22" i="44"/>
  <c r="AV22" i="44"/>
  <c r="AU22" i="44"/>
  <c r="AT22" i="44"/>
  <c r="AS22" i="44"/>
  <c r="AR22" i="44"/>
  <c r="AQ22" i="44"/>
  <c r="AP22" i="44"/>
  <c r="AO22" i="44"/>
  <c r="AN22" i="44"/>
  <c r="AM22" i="44"/>
  <c r="AL22" i="44"/>
  <c r="AK22" i="44"/>
  <c r="AJ22" i="44"/>
  <c r="AI22" i="44"/>
  <c r="AH22" i="44"/>
  <c r="AG22" i="44"/>
  <c r="AF22" i="44"/>
  <c r="AE22" i="44"/>
  <c r="AD22" i="44"/>
  <c r="BR21" i="44"/>
  <c r="BQ21" i="44"/>
  <c r="BP21" i="44"/>
  <c r="BO21" i="44"/>
  <c r="BN21" i="44"/>
  <c r="BM21" i="44"/>
  <c r="BL21" i="44"/>
  <c r="BK21" i="44"/>
  <c r="BJ21" i="44"/>
  <c r="BI21" i="44"/>
  <c r="BH21" i="44"/>
  <c r="BG21" i="44"/>
  <c r="BF21" i="44"/>
  <c r="BE21" i="44"/>
  <c r="BD21" i="44"/>
  <c r="BC21" i="44"/>
  <c r="BB21" i="44"/>
  <c r="BA21" i="44"/>
  <c r="AZ21"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BR20" i="44"/>
  <c r="BQ20" i="44"/>
  <c r="BP20" i="44"/>
  <c r="BO20" i="44"/>
  <c r="BN20" i="44"/>
  <c r="BM20" i="44"/>
  <c r="BL20" i="44"/>
  <c r="BK20" i="44"/>
  <c r="BJ20" i="44"/>
  <c r="BI20" i="44"/>
  <c r="BH20" i="44"/>
  <c r="BG20" i="44"/>
  <c r="BF20" i="44"/>
  <c r="BE20" i="44"/>
  <c r="BD20" i="44"/>
  <c r="BC20" i="44"/>
  <c r="BB20" i="44"/>
  <c r="BA20" i="44"/>
  <c r="AZ20" i="44"/>
  <c r="AY20" i="44"/>
  <c r="AX20" i="44"/>
  <c r="AW20" i="44"/>
  <c r="AV20" i="44"/>
  <c r="AU20" i="44"/>
  <c r="AT20" i="44"/>
  <c r="AS20" i="44"/>
  <c r="AR20" i="44"/>
  <c r="AQ20" i="44"/>
  <c r="AP20" i="44"/>
  <c r="AO20" i="44"/>
  <c r="AN20" i="44"/>
  <c r="AM20" i="44"/>
  <c r="AL20" i="44"/>
  <c r="AK20" i="44"/>
  <c r="AJ20" i="44"/>
  <c r="AI20" i="44"/>
  <c r="AH20" i="44"/>
  <c r="AG20" i="44"/>
  <c r="AF20" i="44"/>
  <c r="AE20" i="44"/>
  <c r="AD20" i="44"/>
  <c r="AC20" i="44"/>
  <c r="AB20" i="44"/>
  <c r="BR19" i="44"/>
  <c r="BQ19" i="44"/>
  <c r="BP19" i="44"/>
  <c r="BO19" i="44"/>
  <c r="BN19" i="44"/>
  <c r="BM19" i="44"/>
  <c r="BL19" i="44"/>
  <c r="BK19" i="44"/>
  <c r="BJ19" i="44"/>
  <c r="BI19" i="44"/>
  <c r="BH19" i="44"/>
  <c r="BG19" i="44"/>
  <c r="BF19" i="44"/>
  <c r="BE19" i="44"/>
  <c r="BD19" i="44"/>
  <c r="BC19" i="44"/>
  <c r="BB19" i="44"/>
  <c r="BA19" i="44"/>
  <c r="AZ19" i="44"/>
  <c r="AY19" i="44"/>
  <c r="AX19" i="44"/>
  <c r="AW19" i="44"/>
  <c r="AV19" i="44"/>
  <c r="AU19" i="44"/>
  <c r="AT19" i="44"/>
  <c r="AS19" i="44"/>
  <c r="AR19" i="44"/>
  <c r="AQ19" i="44"/>
  <c r="AP19" i="44"/>
  <c r="AO19" i="44"/>
  <c r="AN19" i="44"/>
  <c r="AM19" i="44"/>
  <c r="AL19" i="44"/>
  <c r="AK19" i="44"/>
  <c r="AJ19" i="44"/>
  <c r="AI19" i="44"/>
  <c r="AH19" i="44"/>
  <c r="AG19" i="44"/>
  <c r="AF19" i="44"/>
  <c r="AE19" i="44"/>
  <c r="AD19" i="44"/>
  <c r="AC19" i="44"/>
  <c r="AB19" i="44"/>
  <c r="AA19" i="44"/>
  <c r="BR18" i="44"/>
  <c r="BQ18" i="44"/>
  <c r="BP18" i="44"/>
  <c r="BO18" i="44"/>
  <c r="BN18" i="44"/>
  <c r="BM18" i="44"/>
  <c r="BL18" i="44"/>
  <c r="BK18" i="44"/>
  <c r="BJ18" i="44"/>
  <c r="BI18"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BR17" i="44"/>
  <c r="BQ17" i="44"/>
  <c r="BP17" i="44"/>
  <c r="BO17" i="44"/>
  <c r="BN17" i="44"/>
  <c r="BM17" i="44"/>
  <c r="BL17" i="44"/>
  <c r="BK17" i="44"/>
  <c r="BJ17" i="44"/>
  <c r="BI17" i="44"/>
  <c r="BH17" i="44"/>
  <c r="BG17" i="44"/>
  <c r="BF17" i="44"/>
  <c r="BE17" i="44"/>
  <c r="BD17" i="44"/>
  <c r="BC17" i="44"/>
  <c r="BB17" i="44"/>
  <c r="BA17" i="44"/>
  <c r="AZ17"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BR16" i="44"/>
  <c r="BQ16" i="44"/>
  <c r="BP16" i="44"/>
  <c r="BO16" i="44"/>
  <c r="BN16" i="44"/>
  <c r="BM16" i="44"/>
  <c r="BL16" i="44"/>
  <c r="BK16" i="44"/>
  <c r="BJ16" i="44"/>
  <c r="BI16" i="44"/>
  <c r="BH16" i="44"/>
  <c r="BG16" i="44"/>
  <c r="BF16" i="44"/>
  <c r="BE16" i="44"/>
  <c r="BD16" i="44"/>
  <c r="BC16" i="44"/>
  <c r="BB16" i="44"/>
  <c r="BA16" i="44"/>
  <c r="AZ16" i="44"/>
  <c r="AY16" i="44"/>
  <c r="AX16" i="44"/>
  <c r="AW16" i="44"/>
  <c r="AV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BR15" i="44"/>
  <c r="BQ15" i="44"/>
  <c r="BP15" i="44"/>
  <c r="BO15" i="44"/>
  <c r="BN15" i="44"/>
  <c r="BM15" i="44"/>
  <c r="BL15" i="44"/>
  <c r="BK15" i="44"/>
  <c r="BJ15" i="44"/>
  <c r="BI15" i="44"/>
  <c r="BH15" i="44"/>
  <c r="BG15" i="44"/>
  <c r="BF15" i="44"/>
  <c r="BE15" i="44"/>
  <c r="BD15" i="44"/>
  <c r="BC15" i="44"/>
  <c r="BB15" i="44"/>
  <c r="BA15" i="44"/>
  <c r="AZ15"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BR14" i="44"/>
  <c r="BQ14" i="44"/>
  <c r="BP14" i="44"/>
  <c r="BO14" i="44"/>
  <c r="BN14" i="44"/>
  <c r="BM14" i="44"/>
  <c r="BL14" i="44"/>
  <c r="BK14" i="44"/>
  <c r="BJ14" i="44"/>
  <c r="BI14" i="44"/>
  <c r="BH14" i="44"/>
  <c r="BG14" i="44"/>
  <c r="BF14" i="44"/>
  <c r="BE14" i="44"/>
  <c r="BD14" i="44"/>
  <c r="BC14" i="44"/>
  <c r="BB14" i="44"/>
  <c r="BA14" i="44"/>
  <c r="AZ14"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BR13" i="44"/>
  <c r="BQ13" i="44"/>
  <c r="BP13" i="44"/>
  <c r="BO13" i="44"/>
  <c r="BN13" i="44"/>
  <c r="BM13" i="44"/>
  <c r="BL13" i="44"/>
  <c r="BK13" i="44"/>
  <c r="BJ13" i="44"/>
  <c r="BI13" i="44"/>
  <c r="BH13" i="44"/>
  <c r="BG13" i="44"/>
  <c r="BF13" i="44"/>
  <c r="BE13" i="44"/>
  <c r="BD13" i="44"/>
  <c r="BC13" i="44"/>
  <c r="BB13" i="44"/>
  <c r="BA13" i="44"/>
  <c r="AZ13" i="44"/>
  <c r="AY13" i="44"/>
  <c r="AX13" i="44"/>
  <c r="AW13" i="44"/>
  <c r="AV13" i="44"/>
  <c r="AU13" i="44"/>
  <c r="AT13" i="44"/>
  <c r="AS13" i="44"/>
  <c r="AR13" i="44"/>
  <c r="AQ13" i="44"/>
  <c r="AP13" i="44"/>
  <c r="AO13" i="44"/>
  <c r="AN13" i="44"/>
  <c r="AM13" i="44"/>
  <c r="AL13" i="44"/>
  <c r="AK13" i="44"/>
  <c r="AJ13" i="44"/>
  <c r="AI13" i="44"/>
  <c r="AH13" i="44"/>
  <c r="AG13" i="44"/>
  <c r="AF13" i="44"/>
  <c r="AE13" i="44"/>
  <c r="AD13" i="44"/>
  <c r="AC13" i="44"/>
  <c r="AB13" i="44"/>
  <c r="AA13" i="44"/>
  <c r="Z13" i="44"/>
  <c r="Y13" i="44"/>
  <c r="X13" i="44"/>
  <c r="W13" i="44"/>
  <c r="V13" i="44"/>
  <c r="U13" i="44"/>
  <c r="BR12" i="44"/>
  <c r="BQ12" i="44"/>
  <c r="BP12" i="44"/>
  <c r="BO12" i="44"/>
  <c r="BN12" i="44"/>
  <c r="BM12" i="44"/>
  <c r="BL12" i="44"/>
  <c r="BK12" i="44"/>
  <c r="BJ12" i="44"/>
  <c r="BI12" i="44"/>
  <c r="BH12" i="44"/>
  <c r="BG12" i="44"/>
  <c r="BF12" i="44"/>
  <c r="BE12" i="44"/>
  <c r="BD12" i="44"/>
  <c r="BC12" i="44"/>
  <c r="BB12" i="44"/>
  <c r="BA12" i="44"/>
  <c r="AZ12" i="44"/>
  <c r="AY12" i="44"/>
  <c r="AX12" i="44"/>
  <c r="AW12" i="44"/>
  <c r="AV12" i="44"/>
  <c r="AU12" i="44"/>
  <c r="AT12" i="44"/>
  <c r="AS12" i="44"/>
  <c r="AR12" i="44"/>
  <c r="AQ12" i="44"/>
  <c r="AP12" i="44"/>
  <c r="AO12" i="44"/>
  <c r="AN12" i="44"/>
  <c r="AM12" i="44"/>
  <c r="AL12" i="44"/>
  <c r="AK12" i="44"/>
  <c r="AJ12" i="44"/>
  <c r="AI12" i="44"/>
  <c r="AH12" i="44"/>
  <c r="AG12" i="44"/>
  <c r="AF12" i="44"/>
  <c r="AE12" i="44"/>
  <c r="AD12" i="44"/>
  <c r="AC12" i="44"/>
  <c r="AB12" i="44"/>
  <c r="AA12" i="44"/>
  <c r="Z12" i="44"/>
  <c r="Y12" i="44"/>
  <c r="X12" i="44"/>
  <c r="W12" i="44"/>
  <c r="V12" i="44"/>
  <c r="U12" i="44"/>
  <c r="T12" i="44"/>
  <c r="BR11" i="44"/>
  <c r="BQ11" i="44"/>
  <c r="BP11" i="44"/>
  <c r="BO11" i="44"/>
  <c r="BN11" i="44"/>
  <c r="BM11" i="44"/>
  <c r="BL11" i="44"/>
  <c r="BK11" i="44"/>
  <c r="BJ11" i="44"/>
  <c r="BI11" i="44"/>
  <c r="BH11" i="44"/>
  <c r="BG11" i="44"/>
  <c r="BF11" i="44"/>
  <c r="BE11" i="44"/>
  <c r="BD11" i="44"/>
  <c r="BC11" i="44"/>
  <c r="BB11" i="44"/>
  <c r="BA11" i="44"/>
  <c r="AZ11" i="44"/>
  <c r="AY11" i="44"/>
  <c r="AX11" i="44"/>
  <c r="AW11" i="44"/>
  <c r="AV11" i="44"/>
  <c r="AU11" i="44"/>
  <c r="AT11" i="44"/>
  <c r="AS11" i="44"/>
  <c r="AR11" i="44"/>
  <c r="AQ11" i="44"/>
  <c r="AP11" i="44"/>
  <c r="AO11" i="44"/>
  <c r="AN11" i="44"/>
  <c r="AM11" i="44"/>
  <c r="AL11" i="44"/>
  <c r="AK11" i="44"/>
  <c r="AJ11" i="44"/>
  <c r="AI11" i="44"/>
  <c r="AH11" i="44"/>
  <c r="AG11" i="44"/>
  <c r="AF11" i="44"/>
  <c r="AE11" i="44"/>
  <c r="AD11" i="44"/>
  <c r="AC11" i="44"/>
  <c r="AB11" i="44"/>
  <c r="AA11" i="44"/>
  <c r="Z11" i="44"/>
  <c r="Y11" i="44"/>
  <c r="X11" i="44"/>
  <c r="W11" i="44"/>
  <c r="V11" i="44"/>
  <c r="U11" i="44"/>
  <c r="T11" i="44"/>
  <c r="S11" i="44"/>
  <c r="BR10" i="44"/>
  <c r="BQ10" i="44"/>
  <c r="BP10" i="44"/>
  <c r="BO10" i="44"/>
  <c r="BN10" i="44"/>
  <c r="BM10" i="44"/>
  <c r="BL10" i="44"/>
  <c r="BK10" i="44"/>
  <c r="BJ10" i="44"/>
  <c r="BI10" i="44"/>
  <c r="BH10" i="44"/>
  <c r="BG10" i="44"/>
  <c r="BF10" i="44"/>
  <c r="BE10" i="44"/>
  <c r="BD10" i="44"/>
  <c r="BC10" i="44"/>
  <c r="BB10" i="44"/>
  <c r="BA10" i="44"/>
  <c r="AZ10" i="44"/>
  <c r="AY10" i="44"/>
  <c r="AX10" i="44"/>
  <c r="AW10" i="44"/>
  <c r="AV10" i="44"/>
  <c r="AU10" i="44"/>
  <c r="AT10" i="44"/>
  <c r="AS10" i="44"/>
  <c r="AR10" i="44"/>
  <c r="AQ10" i="44"/>
  <c r="AP10" i="44"/>
  <c r="AO10" i="44"/>
  <c r="AN10" i="44"/>
  <c r="AM10" i="44"/>
  <c r="AL10" i="44"/>
  <c r="AK10" i="44"/>
  <c r="AJ10" i="44"/>
  <c r="AI10" i="44"/>
  <c r="AH10" i="44"/>
  <c r="AG10" i="44"/>
  <c r="AF10" i="44"/>
  <c r="AE10" i="44"/>
  <c r="AD10" i="44"/>
  <c r="AC10" i="44"/>
  <c r="AB10" i="44"/>
  <c r="AA10" i="44"/>
  <c r="Z10" i="44"/>
  <c r="Y10" i="44"/>
  <c r="X10" i="44"/>
  <c r="W10" i="44"/>
  <c r="V10" i="44"/>
  <c r="U10" i="44"/>
  <c r="T10" i="44"/>
  <c r="S10" i="44"/>
  <c r="R10" i="44"/>
  <c r="BR9" i="44"/>
  <c r="BQ9" i="44"/>
  <c r="BP9" i="44"/>
  <c r="BO9" i="44"/>
  <c r="BN9" i="44"/>
  <c r="BM9" i="44"/>
  <c r="BL9" i="44"/>
  <c r="BK9" i="44"/>
  <c r="BJ9" i="44"/>
  <c r="BI9" i="44"/>
  <c r="BH9" i="44"/>
  <c r="BG9" i="44"/>
  <c r="BF9" i="44"/>
  <c r="BE9" i="44"/>
  <c r="BD9" i="44"/>
  <c r="BC9" i="44"/>
  <c r="BB9" i="44"/>
  <c r="BA9" i="44"/>
  <c r="AZ9" i="44"/>
  <c r="AY9" i="44"/>
  <c r="AX9" i="44"/>
  <c r="AW9" i="44"/>
  <c r="AV9" i="44"/>
  <c r="AU9" i="44"/>
  <c r="AT9" i="44"/>
  <c r="AS9" i="44"/>
  <c r="AR9" i="44"/>
  <c r="AQ9" i="44"/>
  <c r="AP9" i="44"/>
  <c r="AO9" i="44"/>
  <c r="AN9" i="44"/>
  <c r="AM9" i="44"/>
  <c r="AL9" i="44"/>
  <c r="AK9" i="44"/>
  <c r="AJ9" i="44"/>
  <c r="AI9" i="44"/>
  <c r="AH9" i="44"/>
  <c r="AG9" i="44"/>
  <c r="AF9" i="44"/>
  <c r="AE9" i="44"/>
  <c r="AD9" i="44"/>
  <c r="AC9" i="44"/>
  <c r="AB9" i="44"/>
  <c r="AA9" i="44"/>
  <c r="Z9" i="44"/>
  <c r="Y9" i="44"/>
  <c r="X9" i="44"/>
  <c r="W9" i="44"/>
  <c r="V9" i="44"/>
  <c r="U9" i="44"/>
  <c r="T9" i="44"/>
  <c r="S9" i="44"/>
  <c r="R9" i="44"/>
  <c r="Q9" i="44"/>
  <c r="A5" i="44"/>
  <c r="Q2" i="44"/>
  <c r="R2" i="44" s="1"/>
  <c r="S2" i="44" s="1"/>
  <c r="T2" i="44" s="1"/>
  <c r="U2" i="44" s="1"/>
  <c r="V2" i="44" s="1"/>
  <c r="W2" i="44" s="1"/>
  <c r="X2" i="44" s="1"/>
  <c r="Y2" i="44" s="1"/>
  <c r="Z2" i="44" s="1"/>
  <c r="AA2" i="44" s="1"/>
  <c r="AB2" i="44" s="1"/>
  <c r="AC2" i="44" s="1"/>
  <c r="AD2" i="44" s="1"/>
  <c r="AE2" i="44" s="1"/>
  <c r="AF2" i="44" s="1"/>
  <c r="AG2" i="44" s="1"/>
  <c r="AH2" i="44" s="1"/>
  <c r="AI2" i="44" s="1"/>
  <c r="AJ2" i="44" s="1"/>
  <c r="AK2" i="44" s="1"/>
  <c r="AL2" i="44" s="1"/>
  <c r="AM2" i="44" s="1"/>
  <c r="AN2" i="44" s="1"/>
  <c r="AO2" i="44" s="1"/>
  <c r="AP2" i="44" s="1"/>
  <c r="AQ2" i="44" s="1"/>
  <c r="AR2" i="44" s="1"/>
  <c r="AS2" i="44" s="1"/>
  <c r="AT2" i="44" s="1"/>
  <c r="AU2" i="44" s="1"/>
  <c r="AV2" i="44" s="1"/>
  <c r="AW2" i="44" s="1"/>
  <c r="AX2" i="44" s="1"/>
  <c r="AY2" i="44" s="1"/>
  <c r="AZ2" i="44" s="1"/>
  <c r="BA2" i="44" s="1"/>
  <c r="BB2" i="44" s="1"/>
  <c r="BC2" i="44" s="1"/>
  <c r="BD2" i="44" s="1"/>
  <c r="BE2" i="44" s="1"/>
  <c r="BF2" i="44" s="1"/>
  <c r="BG2" i="44" s="1"/>
  <c r="BH2" i="44" s="1"/>
  <c r="BI2" i="44" s="1"/>
  <c r="BJ2" i="44" s="1"/>
  <c r="BK2" i="44" s="1"/>
  <c r="BL2" i="44" s="1"/>
  <c r="BM2" i="44" s="1"/>
  <c r="BN2" i="44" s="1"/>
  <c r="BO2" i="44" s="1"/>
  <c r="BP2" i="44" s="1"/>
  <c r="BQ2" i="44" s="1"/>
  <c r="BR2" i="44" s="1"/>
  <c r="A6" i="44" l="1"/>
  <c r="A5" i="45"/>
  <c r="H9" i="45"/>
  <c r="W78" i="44"/>
  <c r="AR78" i="44"/>
  <c r="AB78" i="44"/>
  <c r="AY78" i="44"/>
  <c r="AG78" i="44"/>
  <c r="BR78" i="44"/>
  <c r="BN78" i="44"/>
  <c r="BJ78" i="44"/>
  <c r="BF78" i="44"/>
  <c r="BB78" i="44"/>
  <c r="AX78" i="44"/>
  <c r="AT78" i="44"/>
  <c r="AP78" i="44"/>
  <c r="AL78" i="44"/>
  <c r="AH78" i="44"/>
  <c r="AD78" i="44"/>
  <c r="Z78" i="44"/>
  <c r="V78" i="44"/>
  <c r="R78" i="44"/>
  <c r="BQ78" i="44"/>
  <c r="BM78" i="44"/>
  <c r="BI78" i="44"/>
  <c r="BE78" i="44"/>
  <c r="BA78" i="44"/>
  <c r="AW78" i="44"/>
  <c r="S78" i="44"/>
  <c r="X78" i="44"/>
  <c r="AC78" i="44"/>
  <c r="AI78" i="44"/>
  <c r="AN78" i="44"/>
  <c r="AS78" i="44"/>
  <c r="AZ78" i="44"/>
  <c r="BH78" i="44"/>
  <c r="BP78" i="44"/>
  <c r="T78" i="44"/>
  <c r="Y78" i="44"/>
  <c r="AE78" i="44"/>
  <c r="AJ78" i="44"/>
  <c r="AO78" i="44"/>
  <c r="AU78" i="44"/>
  <c r="BC78" i="44"/>
  <c r="BK78" i="44"/>
  <c r="U78" i="44"/>
  <c r="AA78" i="44"/>
  <c r="AF78" i="44"/>
  <c r="AK78" i="44"/>
  <c r="AQ78" i="44"/>
  <c r="AV78" i="44"/>
  <c r="BD78" i="44"/>
  <c r="BL78" i="44"/>
  <c r="U82" i="39"/>
  <c r="R82" i="39"/>
  <c r="U17" i="39"/>
  <c r="R17" i="39"/>
  <c r="P635" i="25"/>
  <c r="P636" i="25"/>
  <c r="P637" i="25"/>
  <c r="P638" i="25"/>
  <c r="P639" i="25"/>
  <c r="P640" i="25"/>
  <c r="P641" i="25"/>
  <c r="P642" i="25"/>
  <c r="P643" i="25"/>
  <c r="P644" i="25"/>
  <c r="P645" i="25"/>
  <c r="P646" i="25"/>
  <c r="P647" i="25"/>
  <c r="P648" i="25"/>
  <c r="P649" i="25"/>
  <c r="P650" i="25"/>
  <c r="P651" i="25"/>
  <c r="P652" i="25"/>
  <c r="P653" i="25"/>
  <c r="P654" i="25"/>
  <c r="P655" i="25"/>
  <c r="P656" i="25"/>
  <c r="P657" i="25"/>
  <c r="P658" i="25"/>
  <c r="P659" i="25"/>
  <c r="P660" i="25"/>
  <c r="P661" i="25"/>
  <c r="P662" i="25"/>
  <c r="P663" i="25"/>
  <c r="P664" i="25"/>
  <c r="P665" i="25"/>
  <c r="P666" i="25"/>
  <c r="P667" i="25"/>
  <c r="P668" i="25"/>
  <c r="P669" i="25"/>
  <c r="P670" i="25"/>
  <c r="P671" i="25"/>
  <c r="P672" i="25"/>
  <c r="P673" i="25"/>
  <c r="P674" i="25"/>
  <c r="P675" i="25"/>
  <c r="P676" i="25"/>
  <c r="P677" i="25"/>
  <c r="P678" i="25"/>
  <c r="P679" i="25"/>
  <c r="P680" i="25"/>
  <c r="P681" i="25"/>
  <c r="P682" i="25"/>
  <c r="P683" i="25"/>
  <c r="P684" i="25"/>
  <c r="P685" i="25"/>
  <c r="P686" i="25"/>
  <c r="P687" i="25"/>
  <c r="P688" i="25"/>
  <c r="P689" i="25"/>
  <c r="P690" i="25"/>
  <c r="P691" i="25"/>
  <c r="P692" i="25"/>
  <c r="P693" i="25"/>
  <c r="P694" i="25"/>
  <c r="P695" i="25"/>
  <c r="P696" i="25"/>
  <c r="P697" i="25"/>
  <c r="P698" i="25"/>
  <c r="P699" i="25"/>
  <c r="P700" i="25"/>
  <c r="P701" i="25"/>
  <c r="P702" i="25"/>
  <c r="P703" i="25"/>
  <c r="P704" i="25"/>
  <c r="P705" i="25"/>
  <c r="P706" i="25"/>
  <c r="P707" i="25"/>
  <c r="P708" i="25"/>
  <c r="P709" i="25"/>
  <c r="P710" i="25"/>
  <c r="P711" i="25"/>
  <c r="P712" i="25"/>
  <c r="P713" i="25"/>
  <c r="P714" i="25"/>
  <c r="P715" i="25"/>
  <c r="P716" i="25"/>
  <c r="P717" i="25"/>
  <c r="P718" i="25"/>
  <c r="P719" i="25"/>
  <c r="P720" i="25"/>
  <c r="P721" i="25"/>
  <c r="P722" i="25"/>
  <c r="P723" i="25"/>
  <c r="P724" i="25"/>
  <c r="P725" i="25"/>
  <c r="P726" i="25"/>
  <c r="P727" i="25"/>
  <c r="P728" i="25"/>
  <c r="P729" i="25"/>
  <c r="P730" i="25"/>
  <c r="P731" i="25"/>
  <c r="P732" i="25"/>
  <c r="P733" i="25"/>
  <c r="P734" i="25"/>
  <c r="P735" i="25"/>
  <c r="P736" i="25"/>
  <c r="P737" i="25"/>
  <c r="P738" i="25"/>
  <c r="P739" i="25"/>
  <c r="P740" i="25"/>
  <c r="P741" i="25"/>
  <c r="P742" i="25"/>
  <c r="P743" i="25"/>
  <c r="P744" i="25"/>
  <c r="P745" i="25"/>
  <c r="P746" i="25"/>
  <c r="P747" i="25"/>
  <c r="P748" i="25"/>
  <c r="P749" i="25"/>
  <c r="P750" i="25"/>
  <c r="P751" i="25"/>
  <c r="P752" i="25"/>
  <c r="P753" i="25"/>
  <c r="P754" i="25"/>
  <c r="P755" i="25"/>
  <c r="P756" i="25"/>
  <c r="P757" i="25"/>
  <c r="P758" i="25"/>
  <c r="P759" i="25"/>
  <c r="P760" i="25"/>
  <c r="P761" i="25"/>
  <c r="P762" i="25"/>
  <c r="P763" i="25"/>
  <c r="P764" i="25"/>
  <c r="P765" i="25"/>
  <c r="P766" i="25"/>
  <c r="P767" i="25"/>
  <c r="P768" i="25"/>
  <c r="P769" i="25"/>
  <c r="P770" i="25"/>
  <c r="P771" i="25"/>
  <c r="P772" i="25"/>
  <c r="P773" i="25"/>
  <c r="P774" i="25"/>
  <c r="P775" i="25"/>
  <c r="P776" i="25"/>
  <c r="P777" i="25"/>
  <c r="P778" i="25"/>
  <c r="P779" i="25"/>
  <c r="P780" i="25"/>
  <c r="P781" i="25"/>
  <c r="P782" i="25"/>
  <c r="P783" i="25"/>
  <c r="P784" i="25"/>
  <c r="P785" i="25"/>
  <c r="P786" i="25"/>
  <c r="P787" i="25"/>
  <c r="P479" i="25"/>
  <c r="P480" i="25"/>
  <c r="P481" i="25"/>
  <c r="P482" i="25"/>
  <c r="P483" i="25"/>
  <c r="P484" i="25"/>
  <c r="P485" i="25"/>
  <c r="P486" i="25"/>
  <c r="P487" i="25"/>
  <c r="P488" i="25"/>
  <c r="P489" i="25"/>
  <c r="P490" i="25"/>
  <c r="P491" i="25"/>
  <c r="P492" i="25"/>
  <c r="P493" i="25"/>
  <c r="P494" i="25"/>
  <c r="P495" i="25"/>
  <c r="P496" i="25"/>
  <c r="P497" i="25"/>
  <c r="P498" i="25"/>
  <c r="P499" i="25"/>
  <c r="P500" i="25"/>
  <c r="P501" i="25"/>
  <c r="P502" i="25"/>
  <c r="P503" i="25"/>
  <c r="P504" i="25"/>
  <c r="P505" i="25"/>
  <c r="P506" i="25"/>
  <c r="P507" i="25"/>
  <c r="P508" i="25"/>
  <c r="P509" i="25"/>
  <c r="P510" i="25"/>
  <c r="P511" i="25"/>
  <c r="P512" i="25"/>
  <c r="P513" i="25"/>
  <c r="P514" i="25"/>
  <c r="P515" i="25"/>
  <c r="P516" i="25"/>
  <c r="P517" i="25"/>
  <c r="P518" i="25"/>
  <c r="P519" i="25"/>
  <c r="P520" i="25"/>
  <c r="P521" i="25"/>
  <c r="P522" i="25"/>
  <c r="P523" i="25"/>
  <c r="P524" i="25"/>
  <c r="P525" i="25"/>
  <c r="P526" i="25"/>
  <c r="P527" i="25"/>
  <c r="P528" i="25"/>
  <c r="P529" i="25"/>
  <c r="P530" i="25"/>
  <c r="P531" i="25"/>
  <c r="P532" i="25"/>
  <c r="P533" i="25"/>
  <c r="P534" i="25"/>
  <c r="P535" i="25"/>
  <c r="P536" i="25"/>
  <c r="P537" i="25"/>
  <c r="P538" i="25"/>
  <c r="P539" i="25"/>
  <c r="P540" i="25"/>
  <c r="P541" i="25"/>
  <c r="P542" i="25"/>
  <c r="P543" i="25"/>
  <c r="P544" i="25"/>
  <c r="P545" i="25"/>
  <c r="P546" i="25"/>
  <c r="P547" i="25"/>
  <c r="P548" i="25"/>
  <c r="P549" i="25"/>
  <c r="P550" i="25"/>
  <c r="P551" i="25"/>
  <c r="P552" i="25"/>
  <c r="P553" i="25"/>
  <c r="P554" i="25"/>
  <c r="P555" i="25"/>
  <c r="P556" i="25"/>
  <c r="P557" i="25"/>
  <c r="P558" i="25"/>
  <c r="P559" i="25"/>
  <c r="P560" i="25"/>
  <c r="P561" i="25"/>
  <c r="P562" i="25"/>
  <c r="P563" i="25"/>
  <c r="P564" i="25"/>
  <c r="P565" i="25"/>
  <c r="P566" i="25"/>
  <c r="P567" i="25"/>
  <c r="P568" i="25"/>
  <c r="P569" i="25"/>
  <c r="P570" i="25"/>
  <c r="P571" i="25"/>
  <c r="P572" i="25"/>
  <c r="P573" i="25"/>
  <c r="P574" i="25"/>
  <c r="P575" i="25"/>
  <c r="P576" i="25"/>
  <c r="P577" i="25"/>
  <c r="P578" i="25"/>
  <c r="P579" i="25"/>
  <c r="P580" i="25"/>
  <c r="P581" i="25"/>
  <c r="P582" i="25"/>
  <c r="P583" i="25"/>
  <c r="P584" i="25"/>
  <c r="P585" i="25"/>
  <c r="P586" i="25"/>
  <c r="P587" i="25"/>
  <c r="P588" i="25"/>
  <c r="P589" i="25"/>
  <c r="P590" i="25"/>
  <c r="P591" i="25"/>
  <c r="P592" i="25"/>
  <c r="P593" i="25"/>
  <c r="P594" i="25"/>
  <c r="P595" i="25"/>
  <c r="P596" i="25"/>
  <c r="P597" i="25"/>
  <c r="P598" i="25"/>
  <c r="P599" i="25"/>
  <c r="P600" i="25"/>
  <c r="P601" i="25"/>
  <c r="P602" i="25"/>
  <c r="P603" i="25"/>
  <c r="P604" i="25"/>
  <c r="P605" i="25"/>
  <c r="P606" i="25"/>
  <c r="P607" i="25"/>
  <c r="P608" i="25"/>
  <c r="P609" i="25"/>
  <c r="P610" i="25"/>
  <c r="P611" i="25"/>
  <c r="P612" i="25"/>
  <c r="P613" i="25"/>
  <c r="P614" i="25"/>
  <c r="P615" i="25"/>
  <c r="P616" i="25"/>
  <c r="P617" i="25"/>
  <c r="P618" i="25"/>
  <c r="P619" i="25"/>
  <c r="P620" i="25"/>
  <c r="P621" i="25"/>
  <c r="P622" i="25"/>
  <c r="P623" i="25"/>
  <c r="P624" i="25"/>
  <c r="P625" i="25"/>
  <c r="P626" i="25"/>
  <c r="P627" i="25"/>
  <c r="P628" i="25"/>
  <c r="P629" i="25"/>
  <c r="P630" i="25"/>
  <c r="P631" i="25"/>
  <c r="EC314" i="25"/>
  <c r="EC315" i="25"/>
  <c r="EC316" i="25"/>
  <c r="EC317" i="25"/>
  <c r="EC318" i="25"/>
  <c r="EC319" i="25"/>
  <c r="EC320" i="25"/>
  <c r="EC321" i="25"/>
  <c r="EC322" i="25"/>
  <c r="EC323" i="25"/>
  <c r="EC324" i="25"/>
  <c r="EC325" i="25"/>
  <c r="EC326" i="25"/>
  <c r="EC327" i="25"/>
  <c r="EC328" i="25"/>
  <c r="EC329" i="25"/>
  <c r="EC330" i="25"/>
  <c r="EC331" i="25"/>
  <c r="EC332" i="25"/>
  <c r="EC333" i="25"/>
  <c r="EC334" i="25"/>
  <c r="EC335" i="25"/>
  <c r="EC336" i="25"/>
  <c r="EC337" i="25"/>
  <c r="EC338" i="25"/>
  <c r="EC339" i="25"/>
  <c r="EC340" i="25"/>
  <c r="EC341" i="25"/>
  <c r="EC342" i="25"/>
  <c r="EC343" i="25"/>
  <c r="EC344" i="25"/>
  <c r="EC345" i="25"/>
  <c r="EC346" i="25"/>
  <c r="EC347" i="25"/>
  <c r="EC348" i="25"/>
  <c r="EC349" i="25"/>
  <c r="EC350" i="25"/>
  <c r="EC351" i="25"/>
  <c r="EC352" i="25"/>
  <c r="EC353" i="25"/>
  <c r="EC354" i="25"/>
  <c r="EC355" i="25"/>
  <c r="EC356" i="25"/>
  <c r="EC357" i="25"/>
  <c r="EC358" i="25"/>
  <c r="EC359" i="25"/>
  <c r="EC360" i="25"/>
  <c r="EC361" i="25"/>
  <c r="EC362" i="25"/>
  <c r="EC363" i="25"/>
  <c r="EC364" i="25"/>
  <c r="EC365" i="25"/>
  <c r="EC366" i="25"/>
  <c r="EC367" i="25"/>
  <c r="EC368" i="25"/>
  <c r="EC369" i="25"/>
  <c r="EC370" i="25"/>
  <c r="EC371" i="25"/>
  <c r="EC372" i="25"/>
  <c r="EC373" i="25"/>
  <c r="EC374" i="25"/>
  <c r="EC375" i="25"/>
  <c r="EC376" i="25"/>
  <c r="EC377" i="25"/>
  <c r="EC378" i="25"/>
  <c r="EC379" i="25"/>
  <c r="EC380" i="25"/>
  <c r="EC381" i="25"/>
  <c r="EC382" i="25"/>
  <c r="EC383" i="25"/>
  <c r="EC384" i="25"/>
  <c r="EC385" i="25"/>
  <c r="EC386" i="25"/>
  <c r="EC387" i="25"/>
  <c r="EC388" i="25"/>
  <c r="EC389" i="25"/>
  <c r="EC390" i="25"/>
  <c r="EC391" i="25"/>
  <c r="EC392" i="25"/>
  <c r="EC393" i="25"/>
  <c r="EC394" i="25"/>
  <c r="EC395" i="25"/>
  <c r="EC396" i="25"/>
  <c r="EC397" i="25"/>
  <c r="EC398" i="25"/>
  <c r="EC399" i="25"/>
  <c r="EC400" i="25"/>
  <c r="EC401" i="25"/>
  <c r="EC402" i="25"/>
  <c r="EC403" i="25"/>
  <c r="EC404" i="25"/>
  <c r="EC405" i="25"/>
  <c r="EC406" i="25"/>
  <c r="EC407" i="25"/>
  <c r="EC408" i="25"/>
  <c r="EC409" i="25"/>
  <c r="EC410" i="25"/>
  <c r="EC411" i="25"/>
  <c r="EC412" i="25"/>
  <c r="EC413" i="25"/>
  <c r="EC414" i="25"/>
  <c r="EC415" i="25"/>
  <c r="EC416" i="25"/>
  <c r="EC417" i="25"/>
  <c r="EC418" i="25"/>
  <c r="EC419" i="25"/>
  <c r="EC420" i="25"/>
  <c r="EC421" i="25"/>
  <c r="EC422" i="25"/>
  <c r="EC423" i="25"/>
  <c r="EC424" i="25"/>
  <c r="EC425" i="25"/>
  <c r="EC426" i="25"/>
  <c r="EC427" i="25"/>
  <c r="EC428" i="25"/>
  <c r="EC429" i="25"/>
  <c r="EC430" i="25"/>
  <c r="EC431" i="25"/>
  <c r="EC432" i="25"/>
  <c r="EC433" i="25"/>
  <c r="EC434" i="25"/>
  <c r="EC435" i="25"/>
  <c r="EC436" i="25"/>
  <c r="EC437" i="25"/>
  <c r="EC438" i="25"/>
  <c r="EC439" i="25"/>
  <c r="EC440" i="25"/>
  <c r="EC441" i="25"/>
  <c r="EC442" i="25"/>
  <c r="EC443" i="25"/>
  <c r="EC444" i="25"/>
  <c r="EC445" i="25"/>
  <c r="EC446" i="25"/>
  <c r="EC447" i="25"/>
  <c r="EC448" i="25"/>
  <c r="EC449" i="25"/>
  <c r="EC450" i="25"/>
  <c r="EC451" i="25"/>
  <c r="EC452" i="25"/>
  <c r="EC453" i="25"/>
  <c r="EC454" i="25"/>
  <c r="EC455" i="25"/>
  <c r="EC456" i="25"/>
  <c r="EC457" i="25"/>
  <c r="EC458" i="25"/>
  <c r="EC459" i="25"/>
  <c r="EC460" i="25"/>
  <c r="EC461" i="25"/>
  <c r="EC462" i="25"/>
  <c r="EC463" i="25"/>
  <c r="EC464" i="25"/>
  <c r="EC465" i="25"/>
  <c r="EC466" i="25"/>
  <c r="P2" i="25"/>
  <c r="P3" i="25"/>
  <c r="P4" i="25"/>
  <c r="P5" i="25"/>
  <c r="P6" i="25"/>
  <c r="P7" i="25"/>
  <c r="P8" i="25"/>
  <c r="P9" i="25"/>
  <c r="P10" i="25"/>
  <c r="P11" i="25"/>
  <c r="P12" i="25"/>
  <c r="P13" i="25"/>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I2" i="25"/>
  <c r="I3" i="25"/>
  <c r="I4" i="25"/>
  <c r="I5" i="25"/>
  <c r="I6"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10" i="25"/>
  <c r="P211" i="25"/>
  <c r="P212" i="25"/>
  <c r="P213" i="25"/>
  <c r="P214" i="25"/>
  <c r="P215" i="25"/>
  <c r="P216" i="25"/>
  <c r="P217" i="25"/>
  <c r="P218" i="25"/>
  <c r="P219" i="25"/>
  <c r="P220" i="25"/>
  <c r="P221" i="25"/>
  <c r="P222" i="25"/>
  <c r="P223" i="25"/>
  <c r="P224" i="25"/>
  <c r="P225" i="25"/>
  <c r="P226" i="25"/>
  <c r="P227" i="25"/>
  <c r="P228" i="25"/>
  <c r="P229" i="25"/>
  <c r="P230" i="25"/>
  <c r="P231" i="25"/>
  <c r="P232" i="25"/>
  <c r="P233" i="25"/>
  <c r="P234" i="25"/>
  <c r="P235" i="25"/>
  <c r="P236" i="25"/>
  <c r="P237" i="25"/>
  <c r="P238" i="25"/>
  <c r="P239" i="25"/>
  <c r="P240" i="25"/>
  <c r="P241" i="25"/>
  <c r="P242" i="25"/>
  <c r="P243" i="25"/>
  <c r="P244" i="25"/>
  <c r="P245" i="25"/>
  <c r="P246" i="25"/>
  <c r="P247" i="25"/>
  <c r="P248" i="25"/>
  <c r="P249" i="25"/>
  <c r="P250" i="25"/>
  <c r="P251" i="25"/>
  <c r="P252" i="25"/>
  <c r="P253" i="25"/>
  <c r="P254" i="25"/>
  <c r="P255" i="25"/>
  <c r="P256" i="25"/>
  <c r="P257" i="25"/>
  <c r="P258" i="25"/>
  <c r="P259" i="25"/>
  <c r="P260"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D216" i="15"/>
  <c r="I19" i="39"/>
  <c r="D149" i="15"/>
  <c r="EC158" i="25"/>
  <c r="EC159" i="25"/>
  <c r="EC160" i="25"/>
  <c r="EC161" i="25"/>
  <c r="EC162" i="25"/>
  <c r="EC163" i="25"/>
  <c r="EC164" i="25"/>
  <c r="EC165" i="25"/>
  <c r="EC166" i="25"/>
  <c r="EC167" i="25"/>
  <c r="EC168" i="25"/>
  <c r="EC169" i="25"/>
  <c r="EC170" i="25"/>
  <c r="EC171" i="25"/>
  <c r="EC172" i="25"/>
  <c r="EC173" i="25"/>
  <c r="EC174" i="25"/>
  <c r="EC175" i="25"/>
  <c r="EC176" i="25"/>
  <c r="EC177" i="25"/>
  <c r="EC178" i="25"/>
  <c r="EC179" i="25"/>
  <c r="EC180" i="25"/>
  <c r="EC181" i="25"/>
  <c r="EC182" i="25"/>
  <c r="EC183" i="25"/>
  <c r="EC184" i="25"/>
  <c r="EC185" i="25"/>
  <c r="EC186" i="25"/>
  <c r="EC187" i="25"/>
  <c r="EC188" i="25"/>
  <c r="EC189" i="25"/>
  <c r="EC190" i="25"/>
  <c r="EC191" i="25"/>
  <c r="EC192" i="25"/>
  <c r="EC193" i="25"/>
  <c r="EC194" i="25"/>
  <c r="EC195" i="25"/>
  <c r="EC196" i="25"/>
  <c r="EC197" i="25"/>
  <c r="EC198" i="25"/>
  <c r="EC199" i="25"/>
  <c r="EC200" i="25"/>
  <c r="EC201" i="25"/>
  <c r="EC202" i="25"/>
  <c r="EC203" i="25"/>
  <c r="EC204" i="25"/>
  <c r="EC205" i="25"/>
  <c r="EC206" i="25"/>
  <c r="EC207" i="25"/>
  <c r="EC208" i="25"/>
  <c r="EC209" i="25"/>
  <c r="EC210" i="25"/>
  <c r="EC211" i="25"/>
  <c r="EC212" i="25"/>
  <c r="EC213" i="25"/>
  <c r="EC214" i="25"/>
  <c r="EC215" i="25"/>
  <c r="EC216" i="25"/>
  <c r="EC217" i="25"/>
  <c r="EC218" i="25"/>
  <c r="EC219" i="25"/>
  <c r="EC220" i="25"/>
  <c r="EC221" i="25"/>
  <c r="EC222" i="25"/>
  <c r="EC223" i="25"/>
  <c r="EC224" i="25"/>
  <c r="EC225" i="25"/>
  <c r="EC226" i="25"/>
  <c r="EC227" i="25"/>
  <c r="EC228" i="25"/>
  <c r="EC229" i="25"/>
  <c r="EC230" i="25"/>
  <c r="EC231" i="25"/>
  <c r="EC232" i="25"/>
  <c r="EC233" i="25"/>
  <c r="EC234" i="25"/>
  <c r="EC235" i="25"/>
  <c r="EC236" i="25"/>
  <c r="EC237" i="25"/>
  <c r="EC238" i="25"/>
  <c r="EC239" i="25"/>
  <c r="EC240" i="25"/>
  <c r="EC241" i="25"/>
  <c r="EC242" i="25"/>
  <c r="EC243" i="25"/>
  <c r="EC244" i="25"/>
  <c r="EC245" i="25"/>
  <c r="EC246" i="25"/>
  <c r="EC247" i="25"/>
  <c r="EC248" i="25"/>
  <c r="EC249" i="25"/>
  <c r="EC250" i="25"/>
  <c r="EC251" i="25"/>
  <c r="EC252" i="25"/>
  <c r="EC253" i="25"/>
  <c r="EC254" i="25"/>
  <c r="EC255" i="25"/>
  <c r="EC256" i="25"/>
  <c r="EC257" i="25"/>
  <c r="EC258" i="25"/>
  <c r="EC259" i="25"/>
  <c r="EC260" i="25"/>
  <c r="EC261" i="25"/>
  <c r="EC262" i="25"/>
  <c r="EC263" i="25"/>
  <c r="EC264" i="25"/>
  <c r="EC265" i="25"/>
  <c r="EC266" i="25"/>
  <c r="EC267" i="25"/>
  <c r="EC268" i="25"/>
  <c r="EC269" i="25"/>
  <c r="EC270" i="25"/>
  <c r="EC271" i="25"/>
  <c r="EC272" i="25"/>
  <c r="EC273" i="25"/>
  <c r="EC274" i="25"/>
  <c r="EC275" i="25"/>
  <c r="EC276" i="25"/>
  <c r="EC277" i="25"/>
  <c r="EC278" i="25"/>
  <c r="EC279" i="25"/>
  <c r="EC280" i="25"/>
  <c r="EC281" i="25"/>
  <c r="EC282" i="25"/>
  <c r="EC283" i="25"/>
  <c r="EC284" i="25"/>
  <c r="EC285" i="25"/>
  <c r="EC286" i="25"/>
  <c r="EC287" i="25"/>
  <c r="EC288" i="25"/>
  <c r="EC289" i="25"/>
  <c r="EC290" i="25"/>
  <c r="EC291" i="25"/>
  <c r="EC292" i="25"/>
  <c r="EC293" i="25"/>
  <c r="EC294" i="25"/>
  <c r="EC295" i="25"/>
  <c r="EC296" i="25"/>
  <c r="EC297" i="25"/>
  <c r="EC298" i="25"/>
  <c r="EC299" i="25"/>
  <c r="EC300" i="25"/>
  <c r="EC301" i="25"/>
  <c r="EC302" i="25"/>
  <c r="EC303" i="25"/>
  <c r="EC304" i="25"/>
  <c r="EC305" i="25"/>
  <c r="EC306" i="25"/>
  <c r="EC307" i="25"/>
  <c r="EC308" i="25"/>
  <c r="EC309" i="25"/>
  <c r="EC310" i="25"/>
  <c r="P314" i="25"/>
  <c r="P315" i="25"/>
  <c r="P316" i="25"/>
  <c r="P317" i="25"/>
  <c r="P318" i="25"/>
  <c r="P319" i="25"/>
  <c r="P320" i="25"/>
  <c r="P321" i="25"/>
  <c r="P322" i="25"/>
  <c r="P323" i="25"/>
  <c r="P324" i="25"/>
  <c r="P325" i="25"/>
  <c r="P326" i="25"/>
  <c r="P327" i="25"/>
  <c r="P328" i="25"/>
  <c r="P329" i="25"/>
  <c r="P330" i="25"/>
  <c r="P331" i="25"/>
  <c r="P332" i="25"/>
  <c r="P333" i="25"/>
  <c r="P334" i="25"/>
  <c r="P335" i="25"/>
  <c r="P336" i="25"/>
  <c r="P337" i="25"/>
  <c r="P338" i="25"/>
  <c r="P339" i="25"/>
  <c r="P340" i="25"/>
  <c r="P341" i="25"/>
  <c r="P342" i="25"/>
  <c r="P343" i="25"/>
  <c r="P344" i="25"/>
  <c r="P345" i="25"/>
  <c r="P346" i="25"/>
  <c r="P347" i="25"/>
  <c r="P348" i="25"/>
  <c r="P349" i="25"/>
  <c r="P350" i="25"/>
  <c r="P351" i="25"/>
  <c r="P352" i="25"/>
  <c r="P353" i="25"/>
  <c r="P354" i="25"/>
  <c r="P355" i="25"/>
  <c r="P356" i="25"/>
  <c r="P357" i="25"/>
  <c r="P358" i="25"/>
  <c r="P359" i="25"/>
  <c r="P360" i="25"/>
  <c r="P361" i="25"/>
  <c r="P362" i="25"/>
  <c r="P363" i="25"/>
  <c r="P364" i="25"/>
  <c r="P365" i="25"/>
  <c r="P366" i="25"/>
  <c r="P367" i="25"/>
  <c r="P368" i="25"/>
  <c r="P369" i="25"/>
  <c r="P370" i="25"/>
  <c r="P371" i="25"/>
  <c r="P372" i="25"/>
  <c r="P373" i="25"/>
  <c r="P374" i="25"/>
  <c r="P375" i="25"/>
  <c r="P376" i="25"/>
  <c r="P377" i="25"/>
  <c r="P378" i="25"/>
  <c r="P379" i="25"/>
  <c r="P380" i="25"/>
  <c r="P381" i="25"/>
  <c r="P382" i="25"/>
  <c r="P383" i="25"/>
  <c r="P384" i="25"/>
  <c r="P385" i="25"/>
  <c r="P386" i="25"/>
  <c r="P387" i="25"/>
  <c r="P388" i="25"/>
  <c r="P389" i="25"/>
  <c r="P390" i="25"/>
  <c r="P391" i="25"/>
  <c r="P392" i="25"/>
  <c r="P393" i="25"/>
  <c r="P394" i="25"/>
  <c r="P395" i="25"/>
  <c r="P396" i="25"/>
  <c r="P397" i="25"/>
  <c r="P398" i="25"/>
  <c r="P399" i="25"/>
  <c r="P400" i="25"/>
  <c r="P401" i="25"/>
  <c r="P402" i="25"/>
  <c r="P403" i="25"/>
  <c r="P404" i="25"/>
  <c r="P405" i="25"/>
  <c r="P406" i="25"/>
  <c r="P407" i="25"/>
  <c r="P408" i="25"/>
  <c r="P409" i="25"/>
  <c r="P410" i="25"/>
  <c r="P411" i="25"/>
  <c r="P412" i="25"/>
  <c r="P413" i="25"/>
  <c r="P414" i="25"/>
  <c r="P415" i="25"/>
  <c r="P416" i="25"/>
  <c r="P417" i="25"/>
  <c r="P418" i="25"/>
  <c r="P419" i="25"/>
  <c r="P420" i="25"/>
  <c r="P421" i="25"/>
  <c r="P422" i="25"/>
  <c r="P423" i="25"/>
  <c r="P424" i="25"/>
  <c r="P425" i="25"/>
  <c r="P426" i="25"/>
  <c r="P427" i="25"/>
  <c r="P428" i="25"/>
  <c r="P429" i="25"/>
  <c r="P430" i="25"/>
  <c r="P431" i="25"/>
  <c r="P432" i="25"/>
  <c r="P433" i="25"/>
  <c r="P434" i="25"/>
  <c r="P435" i="25"/>
  <c r="P436" i="25"/>
  <c r="P437" i="25"/>
  <c r="P438" i="25"/>
  <c r="P439" i="25"/>
  <c r="P440" i="25"/>
  <c r="P441" i="25"/>
  <c r="P442" i="25"/>
  <c r="P443" i="25"/>
  <c r="P444" i="25"/>
  <c r="P445" i="25"/>
  <c r="P446" i="25"/>
  <c r="P447" i="25"/>
  <c r="P448" i="25"/>
  <c r="P449" i="25"/>
  <c r="P450" i="25"/>
  <c r="P451" i="25"/>
  <c r="P452" i="25"/>
  <c r="P453" i="25"/>
  <c r="P454" i="25"/>
  <c r="P455" i="25"/>
  <c r="P456" i="25"/>
  <c r="P457" i="25"/>
  <c r="P458" i="25"/>
  <c r="P459" i="25"/>
  <c r="P460" i="25"/>
  <c r="P461" i="25"/>
  <c r="P462" i="25"/>
  <c r="P463" i="25"/>
  <c r="P464" i="25"/>
  <c r="P465" i="25"/>
  <c r="P466" i="25"/>
  <c r="C28" i="19"/>
  <c r="C37" i="19" s="1"/>
  <c r="C64" i="19"/>
  <c r="D64" i="19" s="1"/>
  <c r="E64" i="19" s="1"/>
  <c r="F29" i="27"/>
  <c r="J27" i="27"/>
  <c r="F27" i="27"/>
  <c r="B286" i="15"/>
  <c r="F216" i="15"/>
  <c r="F149" i="15"/>
  <c r="B159" i="39"/>
  <c r="L84" i="39"/>
  <c r="I84" i="39"/>
  <c r="L19" i="39"/>
  <c r="C3" i="19"/>
  <c r="U145" i="15" s="1"/>
  <c r="H216" i="15"/>
  <c r="H149" i="15"/>
  <c r="AK84" i="39"/>
  <c r="AJ84" i="39"/>
  <c r="AI84" i="39"/>
  <c r="O84" i="39"/>
  <c r="AK19" i="39"/>
  <c r="AJ19" i="39"/>
  <c r="AI19" i="39"/>
  <c r="O19" i="39"/>
  <c r="C61" i="19"/>
  <c r="B38" i="43"/>
  <c r="D38" i="43"/>
  <c r="D5" i="43"/>
  <c r="C29" i="43"/>
  <c r="B30" i="43"/>
  <c r="C7" i="43" s="1"/>
  <c r="C24" i="43" s="1"/>
  <c r="F42" i="43"/>
  <c r="D48" i="43"/>
  <c r="E42" i="43"/>
  <c r="F41" i="43"/>
  <c r="E41" i="43"/>
  <c r="D47" i="43" s="1"/>
  <c r="F40" i="43"/>
  <c r="E40" i="43"/>
  <c r="D45" i="43"/>
  <c r="B43" i="43" s="1"/>
  <c r="B404" i="15" s="1"/>
  <c r="F39" i="43"/>
  <c r="D46" i="43" s="1"/>
  <c r="E39" i="43"/>
  <c r="O162" i="39"/>
  <c r="D162" i="39"/>
  <c r="N289" i="15"/>
  <c r="D289" i="15"/>
  <c r="D297" i="39"/>
  <c r="D424" i="15"/>
  <c r="Y2" i="40"/>
  <c r="P634" i="25"/>
  <c r="P478" i="25"/>
  <c r="EC313" i="25"/>
  <c r="P313" i="25"/>
  <c r="P157" i="25"/>
  <c r="I1" i="25"/>
  <c r="D1" i="42"/>
  <c r="K4" i="42" s="1"/>
  <c r="C6" i="43"/>
  <c r="Z3" i="40"/>
  <c r="C4" i="43"/>
  <c r="J25" i="27"/>
  <c r="B27" i="43"/>
  <c r="D8" i="43"/>
  <c r="T131" i="40"/>
  <c r="S131" i="40"/>
  <c r="R131" i="40"/>
  <c r="Q131" i="40"/>
  <c r="P131" i="40"/>
  <c r="O131" i="40"/>
  <c r="N131" i="40"/>
  <c r="M131" i="40"/>
  <c r="L131" i="40"/>
  <c r="K131" i="40"/>
  <c r="J131" i="40"/>
  <c r="T130" i="40"/>
  <c r="S130" i="40"/>
  <c r="R130" i="40"/>
  <c r="Q130" i="40"/>
  <c r="P130" i="40"/>
  <c r="O130" i="40"/>
  <c r="N130" i="40"/>
  <c r="M130" i="40"/>
  <c r="L130" i="40"/>
  <c r="K130" i="40"/>
  <c r="J130" i="40"/>
  <c r="T129" i="40"/>
  <c r="S129" i="40"/>
  <c r="R129" i="40"/>
  <c r="Q129" i="40"/>
  <c r="P129" i="40"/>
  <c r="O129" i="40"/>
  <c r="N129" i="40"/>
  <c r="M129" i="40"/>
  <c r="L129" i="40"/>
  <c r="K129" i="40"/>
  <c r="J129" i="40"/>
  <c r="T128" i="40"/>
  <c r="S128" i="40"/>
  <c r="R128" i="40"/>
  <c r="Q128" i="40"/>
  <c r="P128" i="40"/>
  <c r="O128" i="40"/>
  <c r="N128" i="40"/>
  <c r="M128" i="40"/>
  <c r="L128" i="40"/>
  <c r="K128" i="40"/>
  <c r="J128" i="40"/>
  <c r="T127" i="40"/>
  <c r="S127" i="40"/>
  <c r="R127" i="40"/>
  <c r="Q127" i="40"/>
  <c r="P127" i="40"/>
  <c r="O127" i="40"/>
  <c r="N127" i="40"/>
  <c r="M127" i="40"/>
  <c r="L127" i="40"/>
  <c r="K127" i="40"/>
  <c r="J127" i="40"/>
  <c r="T126" i="40"/>
  <c r="S126" i="40"/>
  <c r="R126" i="40"/>
  <c r="Q126" i="40"/>
  <c r="P126" i="40"/>
  <c r="O126" i="40"/>
  <c r="N126" i="40"/>
  <c r="M126" i="40"/>
  <c r="L126" i="40"/>
  <c r="K126" i="40"/>
  <c r="J126" i="40"/>
  <c r="T125" i="40"/>
  <c r="S125" i="40"/>
  <c r="R125" i="40"/>
  <c r="Q125" i="40"/>
  <c r="P125" i="40"/>
  <c r="O125" i="40"/>
  <c r="N125" i="40"/>
  <c r="M125" i="40"/>
  <c r="L125" i="40"/>
  <c r="K125" i="40"/>
  <c r="J125" i="40"/>
  <c r="T124" i="40"/>
  <c r="S124" i="40"/>
  <c r="R124" i="40"/>
  <c r="Q124" i="40"/>
  <c r="P124" i="40"/>
  <c r="O124" i="40"/>
  <c r="N124" i="40"/>
  <c r="M124" i="40"/>
  <c r="L124" i="40"/>
  <c r="K124" i="40"/>
  <c r="J124" i="40"/>
  <c r="T123" i="40"/>
  <c r="S123" i="40"/>
  <c r="R123" i="40"/>
  <c r="Q123" i="40"/>
  <c r="P123" i="40"/>
  <c r="O123" i="40"/>
  <c r="N123" i="40"/>
  <c r="M123" i="40"/>
  <c r="L123" i="40"/>
  <c r="K123" i="40"/>
  <c r="J123" i="40"/>
  <c r="T122" i="40"/>
  <c r="S122" i="40"/>
  <c r="R122" i="40"/>
  <c r="Q122" i="40"/>
  <c r="P122" i="40"/>
  <c r="O122" i="40"/>
  <c r="N122" i="40"/>
  <c r="M122" i="40"/>
  <c r="L122" i="40"/>
  <c r="K122" i="40"/>
  <c r="J122" i="40"/>
  <c r="T121" i="40"/>
  <c r="S121" i="40"/>
  <c r="R121" i="40"/>
  <c r="Q121" i="40"/>
  <c r="P121" i="40"/>
  <c r="O121" i="40"/>
  <c r="N121" i="40"/>
  <c r="M121" i="40"/>
  <c r="L121" i="40"/>
  <c r="K121" i="40"/>
  <c r="J121" i="40"/>
  <c r="T120" i="40"/>
  <c r="S120" i="40"/>
  <c r="R120" i="40"/>
  <c r="Q120" i="40"/>
  <c r="P120" i="40"/>
  <c r="O120" i="40"/>
  <c r="N120" i="40"/>
  <c r="M120" i="40"/>
  <c r="L120" i="40"/>
  <c r="K120" i="40"/>
  <c r="J120" i="40"/>
  <c r="F120" i="40"/>
  <c r="E120" i="40"/>
  <c r="D120" i="40"/>
  <c r="C120" i="40"/>
  <c r="N3" i="40"/>
  <c r="G120" i="40"/>
  <c r="M2" i="40"/>
  <c r="W409" i="39"/>
  <c r="P4" i="39"/>
  <c r="C302" i="39"/>
  <c r="Z39" i="39"/>
  <c r="Z38" i="39"/>
  <c r="Z37" i="39"/>
  <c r="Z36" i="39"/>
  <c r="Z35" i="39"/>
  <c r="Z34" i="39"/>
  <c r="Z33" i="39"/>
  <c r="Z32" i="39"/>
  <c r="Z31" i="39"/>
  <c r="Z30" i="39"/>
  <c r="Z29" i="39"/>
  <c r="Z28" i="39"/>
  <c r="Z27" i="39"/>
  <c r="Z26" i="39"/>
  <c r="Z25" i="39"/>
  <c r="Z24" i="39"/>
  <c r="Z23" i="39"/>
  <c r="Z22" i="39"/>
  <c r="Z21" i="39"/>
  <c r="Z20" i="39"/>
  <c r="C72" i="19"/>
  <c r="C82" i="19" s="1"/>
  <c r="AA2" i="19"/>
  <c r="AA5" i="19" s="1"/>
  <c r="BY10" i="29"/>
  <c r="CP10" i="29"/>
  <c r="CK224" i="29"/>
  <c r="CJ224" i="29"/>
  <c r="CK223" i="29"/>
  <c r="CJ223" i="29"/>
  <c r="CK222" i="29"/>
  <c r="CJ222" i="29"/>
  <c r="CK221" i="29"/>
  <c r="CJ221" i="29"/>
  <c r="CK220" i="29"/>
  <c r="CJ220" i="29"/>
  <c r="CK219" i="29"/>
  <c r="CJ219" i="29"/>
  <c r="CK218" i="29"/>
  <c r="CJ218" i="29"/>
  <c r="CK217" i="29"/>
  <c r="CJ217" i="29"/>
  <c r="CK216" i="29"/>
  <c r="CJ216" i="29"/>
  <c r="CK215" i="29"/>
  <c r="CJ215" i="29"/>
  <c r="CK214" i="29"/>
  <c r="CJ214" i="29"/>
  <c r="CK212" i="29"/>
  <c r="CJ212" i="29"/>
  <c r="CK211" i="29"/>
  <c r="CJ211" i="29"/>
  <c r="CK210" i="29"/>
  <c r="CJ210" i="29"/>
  <c r="CK209" i="29"/>
  <c r="CJ209" i="29"/>
  <c r="CK208" i="29"/>
  <c r="CJ208" i="29"/>
  <c r="CK207" i="29"/>
  <c r="CJ207" i="29"/>
  <c r="CK206" i="29"/>
  <c r="CJ206" i="29"/>
  <c r="CK205" i="29"/>
  <c r="CJ205" i="29"/>
  <c r="CK204" i="29"/>
  <c r="CJ204" i="29"/>
  <c r="CK203" i="29"/>
  <c r="CJ203" i="29"/>
  <c r="CK202" i="29"/>
  <c r="CJ202" i="29"/>
  <c r="CK200" i="29"/>
  <c r="CJ200" i="29"/>
  <c r="CK199" i="29"/>
  <c r="CJ199" i="29"/>
  <c r="CK198" i="29"/>
  <c r="CJ198" i="29"/>
  <c r="CK197" i="29"/>
  <c r="CJ197" i="29"/>
  <c r="CK196" i="29"/>
  <c r="CJ196" i="29"/>
  <c r="CK195" i="29"/>
  <c r="CJ195" i="29"/>
  <c r="CK194" i="29"/>
  <c r="CJ194" i="29"/>
  <c r="CK193" i="29"/>
  <c r="CJ193" i="29"/>
  <c r="CK192" i="29"/>
  <c r="CJ192" i="29"/>
  <c r="CK191" i="29"/>
  <c r="CJ191" i="29"/>
  <c r="CK190" i="29"/>
  <c r="CJ190" i="29"/>
  <c r="CK188" i="29"/>
  <c r="CJ188" i="29"/>
  <c r="CK187" i="29"/>
  <c r="CJ187" i="29"/>
  <c r="CK186" i="29"/>
  <c r="CJ186" i="29"/>
  <c r="CK185" i="29"/>
  <c r="CJ185" i="29"/>
  <c r="CK184" i="29"/>
  <c r="CJ184" i="29"/>
  <c r="CK183" i="29"/>
  <c r="CJ183" i="29"/>
  <c r="CK182" i="29"/>
  <c r="CJ182" i="29"/>
  <c r="CK181" i="29"/>
  <c r="CJ181" i="29"/>
  <c r="CK180" i="29"/>
  <c r="CJ180" i="29"/>
  <c r="CK179" i="29"/>
  <c r="CJ179" i="29"/>
  <c r="CK178" i="29"/>
  <c r="CJ178" i="29"/>
  <c r="CK176" i="29"/>
  <c r="CJ176" i="29"/>
  <c r="CK175" i="29"/>
  <c r="CJ175" i="29"/>
  <c r="CK174" i="29"/>
  <c r="CJ174" i="29"/>
  <c r="CK173" i="29"/>
  <c r="CJ173" i="29"/>
  <c r="CK172" i="29"/>
  <c r="CJ172" i="29"/>
  <c r="CK171" i="29"/>
  <c r="CJ171" i="29"/>
  <c r="CK170" i="29"/>
  <c r="CJ170" i="29"/>
  <c r="CK169" i="29"/>
  <c r="CJ169" i="29"/>
  <c r="CK168" i="29"/>
  <c r="CJ168" i="29"/>
  <c r="CK167" i="29"/>
  <c r="CJ167" i="29"/>
  <c r="CK166" i="29"/>
  <c r="CJ166" i="29"/>
  <c r="CK164" i="29"/>
  <c r="CJ164" i="29"/>
  <c r="CK163" i="29"/>
  <c r="CJ163" i="29"/>
  <c r="CK162" i="29"/>
  <c r="CJ162" i="29"/>
  <c r="CK161" i="29"/>
  <c r="CJ161" i="29"/>
  <c r="CK160" i="29"/>
  <c r="CJ160" i="29"/>
  <c r="CK159" i="29"/>
  <c r="CJ159" i="29"/>
  <c r="CK158" i="29"/>
  <c r="CJ158" i="29"/>
  <c r="CK157" i="29"/>
  <c r="CJ157" i="29"/>
  <c r="CK156" i="29"/>
  <c r="CJ156" i="29"/>
  <c r="CK155" i="29"/>
  <c r="CJ155" i="29"/>
  <c r="CK154" i="29"/>
  <c r="CJ154" i="29"/>
  <c r="CK152" i="29"/>
  <c r="CJ152" i="29"/>
  <c r="CK151" i="29"/>
  <c r="CJ151" i="29"/>
  <c r="CK150" i="29"/>
  <c r="CJ150" i="29"/>
  <c r="CK149" i="29"/>
  <c r="CJ149" i="29"/>
  <c r="CK148" i="29"/>
  <c r="CJ148" i="29"/>
  <c r="CK147" i="29"/>
  <c r="CJ147" i="29"/>
  <c r="CK146" i="29"/>
  <c r="CJ146" i="29"/>
  <c r="CK145" i="29"/>
  <c r="CJ145" i="29"/>
  <c r="CK144" i="29"/>
  <c r="CJ144" i="29"/>
  <c r="CK143" i="29"/>
  <c r="CJ143" i="29"/>
  <c r="CK142" i="29"/>
  <c r="CJ142" i="29"/>
  <c r="CK140" i="29"/>
  <c r="CJ140" i="29"/>
  <c r="CK139" i="29"/>
  <c r="CJ139" i="29"/>
  <c r="CK138" i="29"/>
  <c r="CJ138" i="29"/>
  <c r="CK137" i="29"/>
  <c r="CJ137" i="29"/>
  <c r="CK136" i="29"/>
  <c r="CJ136" i="29"/>
  <c r="CK135" i="29"/>
  <c r="CJ135" i="29"/>
  <c r="CK134" i="29"/>
  <c r="CJ134" i="29"/>
  <c r="CK133" i="29"/>
  <c r="CJ133" i="29"/>
  <c r="CK132" i="29"/>
  <c r="CJ132" i="29"/>
  <c r="CK131" i="29"/>
  <c r="CJ131" i="29"/>
  <c r="CK130" i="29"/>
  <c r="CJ130" i="29"/>
  <c r="CK128" i="29"/>
  <c r="CJ128" i="29"/>
  <c r="CK127" i="29"/>
  <c r="CJ127" i="29"/>
  <c r="CK126" i="29"/>
  <c r="CJ126" i="29"/>
  <c r="CK125" i="29"/>
  <c r="CJ125" i="29"/>
  <c r="CK124" i="29"/>
  <c r="CJ124" i="29"/>
  <c r="CK123" i="29"/>
  <c r="CJ123" i="29"/>
  <c r="CK122" i="29"/>
  <c r="CJ122" i="29"/>
  <c r="CK121" i="29"/>
  <c r="CJ121" i="29"/>
  <c r="CK120" i="29"/>
  <c r="CJ120" i="29"/>
  <c r="CK119" i="29"/>
  <c r="CJ119" i="29"/>
  <c r="CK118" i="29"/>
  <c r="CJ118" i="29"/>
  <c r="CK116" i="29"/>
  <c r="CJ116" i="29"/>
  <c r="CK115" i="29"/>
  <c r="CJ115" i="29"/>
  <c r="CK114" i="29"/>
  <c r="CJ114" i="29"/>
  <c r="CK113" i="29"/>
  <c r="CJ113" i="29"/>
  <c r="CK112" i="29"/>
  <c r="CJ112" i="29"/>
  <c r="CK111" i="29"/>
  <c r="CJ111" i="29"/>
  <c r="CK110" i="29"/>
  <c r="CJ110" i="29"/>
  <c r="CK109" i="29"/>
  <c r="CJ109" i="29"/>
  <c r="CK108" i="29"/>
  <c r="CJ108" i="29"/>
  <c r="CK107" i="29"/>
  <c r="CJ107" i="29"/>
  <c r="CK106" i="29"/>
  <c r="CJ106" i="29"/>
  <c r="CK104" i="29"/>
  <c r="CJ104" i="29"/>
  <c r="CK103" i="29"/>
  <c r="CJ103" i="29"/>
  <c r="CK102" i="29"/>
  <c r="CJ102" i="29"/>
  <c r="CK101" i="29"/>
  <c r="CJ101" i="29"/>
  <c r="CK100" i="29"/>
  <c r="CJ100" i="29"/>
  <c r="CK99" i="29"/>
  <c r="CJ99" i="29"/>
  <c r="CK98" i="29"/>
  <c r="CJ98" i="29"/>
  <c r="CK97" i="29"/>
  <c r="CJ97" i="29"/>
  <c r="CK96" i="29"/>
  <c r="CJ96" i="29"/>
  <c r="CK95" i="29"/>
  <c r="CJ95" i="29"/>
  <c r="CK94" i="29"/>
  <c r="CJ94" i="29"/>
  <c r="CK92" i="29"/>
  <c r="CJ92" i="29"/>
  <c r="CK91" i="29"/>
  <c r="CJ91" i="29"/>
  <c r="CK90" i="29"/>
  <c r="CJ90" i="29"/>
  <c r="CK89" i="29"/>
  <c r="CJ89" i="29"/>
  <c r="CK88" i="29"/>
  <c r="CJ88" i="29"/>
  <c r="CK87" i="29"/>
  <c r="CJ87" i="29"/>
  <c r="CK86" i="29"/>
  <c r="CJ86" i="29"/>
  <c r="CK85" i="29"/>
  <c r="CJ85" i="29"/>
  <c r="CK84" i="29"/>
  <c r="CJ84" i="29"/>
  <c r="CK83" i="29"/>
  <c r="CJ83" i="29"/>
  <c r="CK82" i="29"/>
  <c r="CJ82" i="29"/>
  <c r="CK80" i="29"/>
  <c r="CJ80" i="29"/>
  <c r="CK79" i="29"/>
  <c r="CJ79" i="29"/>
  <c r="CK78" i="29"/>
  <c r="CJ78" i="29"/>
  <c r="CK77" i="29"/>
  <c r="CJ77" i="29"/>
  <c r="CK76" i="29"/>
  <c r="CJ76" i="29"/>
  <c r="CK75" i="29"/>
  <c r="CJ75" i="29"/>
  <c r="CK74" i="29"/>
  <c r="CJ74" i="29"/>
  <c r="CK73" i="29"/>
  <c r="CJ73" i="29"/>
  <c r="CK72" i="29"/>
  <c r="CJ72" i="29"/>
  <c r="CK71" i="29"/>
  <c r="CJ71" i="29"/>
  <c r="CK70" i="29"/>
  <c r="CJ70" i="29"/>
  <c r="CK68" i="29"/>
  <c r="CJ68" i="29"/>
  <c r="CK67" i="29"/>
  <c r="CJ67" i="29"/>
  <c r="CK66" i="29"/>
  <c r="CJ66" i="29"/>
  <c r="CK65" i="29"/>
  <c r="CJ65" i="29"/>
  <c r="CK64" i="29"/>
  <c r="CJ64" i="29"/>
  <c r="CK63" i="29"/>
  <c r="CJ63" i="29"/>
  <c r="CK62" i="29"/>
  <c r="CJ62" i="29"/>
  <c r="CK61" i="29"/>
  <c r="CJ61" i="29"/>
  <c r="CK60" i="29"/>
  <c r="CJ60" i="29"/>
  <c r="CK59" i="29"/>
  <c r="CJ59" i="29"/>
  <c r="CK58" i="29"/>
  <c r="CJ58" i="29"/>
  <c r="CK56" i="29"/>
  <c r="CJ56" i="29"/>
  <c r="CK55" i="29"/>
  <c r="CJ55" i="29"/>
  <c r="CK54" i="29"/>
  <c r="CJ54" i="29"/>
  <c r="CK53" i="29"/>
  <c r="CJ53" i="29"/>
  <c r="CK52" i="29"/>
  <c r="CJ52" i="29"/>
  <c r="CK51" i="29"/>
  <c r="CJ51" i="29"/>
  <c r="CK50" i="29"/>
  <c r="CJ50" i="29"/>
  <c r="CK49" i="29"/>
  <c r="CJ49" i="29"/>
  <c r="CK48" i="29"/>
  <c r="CJ48" i="29"/>
  <c r="CK47" i="29"/>
  <c r="CJ47" i="29"/>
  <c r="CK46" i="29"/>
  <c r="CJ46" i="29"/>
  <c r="CK44" i="29"/>
  <c r="CJ44" i="29"/>
  <c r="CK43" i="29"/>
  <c r="CJ43" i="29"/>
  <c r="CK42" i="29"/>
  <c r="CJ42" i="29"/>
  <c r="CK41" i="29"/>
  <c r="CJ41" i="29"/>
  <c r="CK40" i="29"/>
  <c r="CJ40" i="29"/>
  <c r="CK39" i="29"/>
  <c r="CJ39" i="29"/>
  <c r="CK38" i="29"/>
  <c r="CJ38" i="29"/>
  <c r="CK37" i="29"/>
  <c r="CJ37" i="29"/>
  <c r="CK36" i="29"/>
  <c r="CJ36" i="29"/>
  <c r="CK35" i="29"/>
  <c r="CJ35" i="29"/>
  <c r="CK34" i="29"/>
  <c r="CJ34" i="29"/>
  <c r="CK32" i="29"/>
  <c r="CJ32" i="29"/>
  <c r="CK31" i="29"/>
  <c r="CJ31" i="29"/>
  <c r="CK30" i="29"/>
  <c r="CJ30" i="29"/>
  <c r="CK29" i="29"/>
  <c r="CJ29" i="29"/>
  <c r="CK28" i="29"/>
  <c r="CJ28" i="29"/>
  <c r="CK27" i="29"/>
  <c r="CJ27" i="29"/>
  <c r="CK26" i="29"/>
  <c r="CJ26" i="29"/>
  <c r="CK25" i="29"/>
  <c r="CJ25" i="29"/>
  <c r="CK24" i="29"/>
  <c r="CJ24" i="29"/>
  <c r="CK23" i="29"/>
  <c r="CJ23" i="29"/>
  <c r="CK22" i="29"/>
  <c r="CJ22" i="29"/>
  <c r="CK20" i="29"/>
  <c r="CJ20" i="29"/>
  <c r="CK19" i="29"/>
  <c r="CJ19" i="29"/>
  <c r="CK18" i="29"/>
  <c r="CJ18" i="29"/>
  <c r="CK17" i="29"/>
  <c r="CJ17" i="29"/>
  <c r="CK16" i="29"/>
  <c r="CJ16" i="29"/>
  <c r="CK15" i="29"/>
  <c r="CJ15" i="29"/>
  <c r="CK14" i="29"/>
  <c r="CJ14" i="29"/>
  <c r="CK13" i="29"/>
  <c r="CJ13" i="29"/>
  <c r="CK12" i="29"/>
  <c r="CJ12" i="29"/>
  <c r="CK11" i="29"/>
  <c r="CJ11" i="29"/>
  <c r="CK10" i="29"/>
  <c r="CJ10" i="29"/>
  <c r="CI10" i="29"/>
  <c r="CO9" i="29"/>
  <c r="CK9" i="29"/>
  <c r="CJ9" i="29"/>
  <c r="BS10" i="29"/>
  <c r="BS11" i="29"/>
  <c r="BS12" i="29"/>
  <c r="BS13" i="29"/>
  <c r="BS14" i="29"/>
  <c r="BS15" i="29"/>
  <c r="BS16" i="29"/>
  <c r="BS17" i="29"/>
  <c r="BS18" i="29"/>
  <c r="BS19" i="29"/>
  <c r="BS20" i="29"/>
  <c r="BS22" i="29"/>
  <c r="BS23" i="29"/>
  <c r="BS24" i="29"/>
  <c r="BS25" i="29"/>
  <c r="BS26" i="29"/>
  <c r="BS27" i="29"/>
  <c r="BS28" i="29"/>
  <c r="BS29" i="29"/>
  <c r="BS30" i="29"/>
  <c r="BS31" i="29"/>
  <c r="BS32" i="29"/>
  <c r="BS34" i="29"/>
  <c r="BS35" i="29"/>
  <c r="BS36" i="29"/>
  <c r="BS37" i="29"/>
  <c r="BS38" i="29"/>
  <c r="BS39" i="29"/>
  <c r="BS40" i="29"/>
  <c r="BS41" i="29"/>
  <c r="BS42" i="29"/>
  <c r="BS43" i="29"/>
  <c r="BS44" i="29"/>
  <c r="BS46" i="29"/>
  <c r="BS47" i="29"/>
  <c r="BS48" i="29"/>
  <c r="BS49" i="29"/>
  <c r="BS50" i="29"/>
  <c r="BS51" i="29"/>
  <c r="BS52" i="29"/>
  <c r="BS53" i="29"/>
  <c r="BS54" i="29"/>
  <c r="BS55" i="29"/>
  <c r="BS56" i="29"/>
  <c r="BS58" i="29"/>
  <c r="BS59" i="29"/>
  <c r="BS60" i="29"/>
  <c r="BS61" i="29"/>
  <c r="BS62" i="29"/>
  <c r="BS63" i="29"/>
  <c r="BS64" i="29"/>
  <c r="BS65" i="29"/>
  <c r="BS66" i="29"/>
  <c r="BS67" i="29"/>
  <c r="BS68" i="29"/>
  <c r="BS70" i="29"/>
  <c r="BS71" i="29"/>
  <c r="BS72" i="29"/>
  <c r="BS73" i="29"/>
  <c r="BS74" i="29"/>
  <c r="BS75" i="29"/>
  <c r="BS76" i="29"/>
  <c r="BS77" i="29"/>
  <c r="BS78" i="29"/>
  <c r="BS79" i="29"/>
  <c r="BS80" i="29"/>
  <c r="BS82" i="29"/>
  <c r="BS83" i="29"/>
  <c r="BS84" i="29"/>
  <c r="BS85" i="29"/>
  <c r="BS86" i="29"/>
  <c r="BS87" i="29"/>
  <c r="BS88" i="29"/>
  <c r="BS89" i="29"/>
  <c r="BS90" i="29"/>
  <c r="BS91" i="29"/>
  <c r="BS92" i="29"/>
  <c r="BS94" i="29"/>
  <c r="BS95" i="29"/>
  <c r="BS96" i="29"/>
  <c r="BS97" i="29"/>
  <c r="BS98" i="29"/>
  <c r="BS99" i="29"/>
  <c r="BS100" i="29"/>
  <c r="BS101" i="29"/>
  <c r="BS102" i="29"/>
  <c r="BS103" i="29"/>
  <c r="BS104" i="29"/>
  <c r="BS106" i="29"/>
  <c r="BS107" i="29"/>
  <c r="BS108" i="29"/>
  <c r="BS109" i="29"/>
  <c r="BS110" i="29"/>
  <c r="BS111" i="29"/>
  <c r="BS112" i="29"/>
  <c r="BS113" i="29"/>
  <c r="BS114" i="29"/>
  <c r="BS115" i="29"/>
  <c r="BS116" i="29"/>
  <c r="BS118" i="29"/>
  <c r="BS119" i="29"/>
  <c r="BS120" i="29"/>
  <c r="BS121" i="29"/>
  <c r="BS122" i="29"/>
  <c r="BS123" i="29"/>
  <c r="BS124" i="29"/>
  <c r="BS125" i="29"/>
  <c r="BS126" i="29"/>
  <c r="BS127" i="29"/>
  <c r="BS128" i="29"/>
  <c r="BS130" i="29"/>
  <c r="BS131" i="29"/>
  <c r="BS132" i="29"/>
  <c r="BS133" i="29"/>
  <c r="BS134" i="29"/>
  <c r="BS135" i="29"/>
  <c r="BS136" i="29"/>
  <c r="BS137" i="29"/>
  <c r="BS138" i="29"/>
  <c r="BS139" i="29"/>
  <c r="BS140" i="29"/>
  <c r="BS142" i="29"/>
  <c r="BS143" i="29"/>
  <c r="BS144" i="29"/>
  <c r="BS145" i="29"/>
  <c r="BS146" i="29"/>
  <c r="BS147" i="29"/>
  <c r="BS148" i="29"/>
  <c r="BS149" i="29"/>
  <c r="BS150" i="29"/>
  <c r="BS151" i="29"/>
  <c r="BS152" i="29"/>
  <c r="BS154" i="29"/>
  <c r="BS155" i="29"/>
  <c r="BS156" i="29"/>
  <c r="BS157" i="29"/>
  <c r="BS158" i="29"/>
  <c r="BS159" i="29"/>
  <c r="BS160" i="29"/>
  <c r="BS161" i="29"/>
  <c r="BS162" i="29"/>
  <c r="BS163" i="29"/>
  <c r="BS164" i="29"/>
  <c r="BS166" i="29"/>
  <c r="BS167" i="29"/>
  <c r="BS168" i="29"/>
  <c r="BS169" i="29"/>
  <c r="BS170" i="29"/>
  <c r="BS171" i="29"/>
  <c r="BS172" i="29"/>
  <c r="BS173" i="29"/>
  <c r="BS174" i="29"/>
  <c r="BS175" i="29"/>
  <c r="BS176" i="29"/>
  <c r="BS178" i="29"/>
  <c r="BS179" i="29"/>
  <c r="BS180" i="29"/>
  <c r="BS181" i="29"/>
  <c r="BS182" i="29"/>
  <c r="BS183" i="29"/>
  <c r="BS184" i="29"/>
  <c r="BS185" i="29"/>
  <c r="BS186" i="29"/>
  <c r="BS187" i="29"/>
  <c r="BS188" i="29"/>
  <c r="BS190" i="29"/>
  <c r="BS191" i="29"/>
  <c r="BS192" i="29"/>
  <c r="BS193" i="29"/>
  <c r="BS194" i="29"/>
  <c r="BS195" i="29"/>
  <c r="BS196" i="29"/>
  <c r="BS197" i="29"/>
  <c r="BS198" i="29"/>
  <c r="BS199" i="29"/>
  <c r="BS200" i="29"/>
  <c r="BS202" i="29"/>
  <c r="BS203" i="29"/>
  <c r="BS204" i="29"/>
  <c r="BS205" i="29"/>
  <c r="BS206" i="29"/>
  <c r="BS207" i="29"/>
  <c r="BS208" i="29"/>
  <c r="BS209" i="29"/>
  <c r="BS210" i="29"/>
  <c r="BS211" i="29"/>
  <c r="BS212" i="29"/>
  <c r="BS214" i="29"/>
  <c r="BS215" i="29"/>
  <c r="BS216" i="29"/>
  <c r="BS217" i="29"/>
  <c r="BS218" i="29"/>
  <c r="BS219" i="29"/>
  <c r="BS220" i="29"/>
  <c r="BS221" i="29"/>
  <c r="BS222" i="29"/>
  <c r="BS223" i="29"/>
  <c r="BS224" i="29"/>
  <c r="BS226" i="29"/>
  <c r="BS227" i="29"/>
  <c r="BS228" i="29"/>
  <c r="BS229" i="29"/>
  <c r="BS230" i="29"/>
  <c r="BS231" i="29"/>
  <c r="BS232" i="29"/>
  <c r="BS233" i="29"/>
  <c r="BS234" i="29"/>
  <c r="BS235" i="29"/>
  <c r="BS236" i="29"/>
  <c r="BS238" i="29"/>
  <c r="BS239" i="29"/>
  <c r="BS240" i="29"/>
  <c r="BS241" i="29"/>
  <c r="BS242" i="29"/>
  <c r="BS243" i="29"/>
  <c r="BS244" i="29"/>
  <c r="BS245" i="29"/>
  <c r="BS246" i="29"/>
  <c r="BS247" i="29"/>
  <c r="BS248" i="29"/>
  <c r="BS250" i="29"/>
  <c r="BS251" i="29"/>
  <c r="BS252" i="29"/>
  <c r="BS253" i="29"/>
  <c r="BS254" i="29"/>
  <c r="BS255" i="29"/>
  <c r="BS256" i="29"/>
  <c r="BS257" i="29"/>
  <c r="BS258" i="29"/>
  <c r="BS259" i="29"/>
  <c r="BS260" i="29"/>
  <c r="BS262" i="29"/>
  <c r="BS263" i="29"/>
  <c r="BS264" i="29"/>
  <c r="BS265" i="29"/>
  <c r="BS266" i="29"/>
  <c r="BS267" i="29"/>
  <c r="BS268" i="29"/>
  <c r="BS269" i="29"/>
  <c r="BS270" i="29"/>
  <c r="BS271" i="29"/>
  <c r="BS272" i="29"/>
  <c r="BS274" i="29"/>
  <c r="BS275" i="29"/>
  <c r="BS276" i="29"/>
  <c r="BS277" i="29"/>
  <c r="BS278" i="29"/>
  <c r="BS279" i="29"/>
  <c r="BS280" i="29"/>
  <c r="BS281" i="29"/>
  <c r="BS282" i="29"/>
  <c r="BS283" i="29"/>
  <c r="BS284" i="29"/>
  <c r="BS286" i="29"/>
  <c r="BS287" i="29"/>
  <c r="BS288" i="29"/>
  <c r="BS289" i="29"/>
  <c r="BS290" i="29"/>
  <c r="BS291" i="29"/>
  <c r="BS292" i="29"/>
  <c r="BS293" i="29"/>
  <c r="BS294" i="29"/>
  <c r="BS295" i="29"/>
  <c r="BS296" i="29"/>
  <c r="BS298" i="29"/>
  <c r="BS299" i="29"/>
  <c r="BS300" i="29"/>
  <c r="BS301" i="29"/>
  <c r="BS302" i="29"/>
  <c r="BS303" i="29"/>
  <c r="BS304" i="29"/>
  <c r="BS305" i="29"/>
  <c r="BS306" i="29"/>
  <c r="BS307" i="29"/>
  <c r="BS308" i="29"/>
  <c r="BS310" i="29"/>
  <c r="BS311" i="29"/>
  <c r="BS312" i="29"/>
  <c r="BS313" i="29"/>
  <c r="BS314" i="29"/>
  <c r="BS315" i="29"/>
  <c r="BS316" i="29"/>
  <c r="BS317" i="29"/>
  <c r="BS318" i="29"/>
  <c r="BS319" i="29"/>
  <c r="BS320" i="29"/>
  <c r="BS322" i="29"/>
  <c r="BS323" i="29"/>
  <c r="BS324" i="29"/>
  <c r="BS325" i="29"/>
  <c r="BS326" i="29"/>
  <c r="BS327" i="29"/>
  <c r="BS328" i="29"/>
  <c r="BS329" i="29"/>
  <c r="BS330" i="29"/>
  <c r="BS331" i="29"/>
  <c r="BS332" i="29"/>
  <c r="BS334" i="29"/>
  <c r="BS335" i="29"/>
  <c r="BS336" i="29"/>
  <c r="BS337" i="29"/>
  <c r="BS338" i="29"/>
  <c r="BS339" i="29"/>
  <c r="BS340" i="29"/>
  <c r="BS341" i="29"/>
  <c r="BS342" i="29"/>
  <c r="BS343" i="29"/>
  <c r="BS344" i="29"/>
  <c r="BS346" i="29"/>
  <c r="BS347" i="29"/>
  <c r="BS348" i="29"/>
  <c r="BS349" i="29"/>
  <c r="BS350" i="29"/>
  <c r="BS351" i="29"/>
  <c r="BS352" i="29"/>
  <c r="BS353" i="29"/>
  <c r="BS354" i="29"/>
  <c r="BS355" i="29"/>
  <c r="BS356" i="29"/>
  <c r="BS358" i="29"/>
  <c r="BS359" i="29"/>
  <c r="BS360" i="29"/>
  <c r="BS361" i="29"/>
  <c r="BS362" i="29"/>
  <c r="BS363" i="29"/>
  <c r="BS364" i="29"/>
  <c r="BS365" i="29"/>
  <c r="BS366" i="29"/>
  <c r="BS367" i="29"/>
  <c r="BS368" i="29"/>
  <c r="BS370" i="29"/>
  <c r="BS371" i="29"/>
  <c r="BS372" i="29"/>
  <c r="BS373" i="29"/>
  <c r="BS374" i="29"/>
  <c r="BS375" i="29"/>
  <c r="BS376" i="29"/>
  <c r="BS377" i="29"/>
  <c r="BS378" i="29"/>
  <c r="BS379" i="29"/>
  <c r="BS380" i="29"/>
  <c r="BS382" i="29"/>
  <c r="BS383" i="29"/>
  <c r="BS384" i="29"/>
  <c r="BS385" i="29"/>
  <c r="BS386" i="29"/>
  <c r="BS387" i="29"/>
  <c r="BS388" i="29"/>
  <c r="BS389" i="29"/>
  <c r="BS390" i="29"/>
  <c r="BS391" i="29"/>
  <c r="BS392" i="29"/>
  <c r="BS394" i="29"/>
  <c r="BS395" i="29"/>
  <c r="BS396" i="29"/>
  <c r="BS397" i="29"/>
  <c r="BS398" i="29"/>
  <c r="BS399" i="29"/>
  <c r="BS400" i="29"/>
  <c r="BS401" i="29"/>
  <c r="BS402" i="29"/>
  <c r="BS403" i="29"/>
  <c r="BS404" i="29"/>
  <c r="BS406" i="29"/>
  <c r="BS407" i="29"/>
  <c r="BS408" i="29"/>
  <c r="BS409" i="29"/>
  <c r="BS410" i="29"/>
  <c r="BS411" i="29"/>
  <c r="BS412" i="29"/>
  <c r="BS413" i="29"/>
  <c r="BS414" i="29"/>
  <c r="BS415" i="29"/>
  <c r="BS416" i="29"/>
  <c r="BS418" i="29"/>
  <c r="BS419" i="29"/>
  <c r="BS420" i="29"/>
  <c r="BS421" i="29"/>
  <c r="BS422" i="29"/>
  <c r="BS423" i="29"/>
  <c r="BS424" i="29"/>
  <c r="BS425" i="29"/>
  <c r="BS426" i="29"/>
  <c r="BS427" i="29"/>
  <c r="BS428" i="29"/>
  <c r="BS430" i="29"/>
  <c r="BS431" i="29"/>
  <c r="BS432" i="29"/>
  <c r="BS433" i="29"/>
  <c r="BS434" i="29"/>
  <c r="BS435" i="29"/>
  <c r="BS436" i="29"/>
  <c r="BS437" i="29"/>
  <c r="BS438" i="29"/>
  <c r="BS439" i="29"/>
  <c r="BS440" i="29"/>
  <c r="BS442" i="29"/>
  <c r="BS443" i="29"/>
  <c r="BS444" i="29"/>
  <c r="BS445" i="29"/>
  <c r="BS446" i="29"/>
  <c r="BS447" i="29"/>
  <c r="BS448" i="29"/>
  <c r="BS449" i="29"/>
  <c r="BS450" i="29"/>
  <c r="BS451" i="29"/>
  <c r="BS452" i="29"/>
  <c r="BS454" i="29"/>
  <c r="BS455" i="29"/>
  <c r="BS456" i="29"/>
  <c r="BS457" i="29"/>
  <c r="BS458" i="29"/>
  <c r="BS459" i="29"/>
  <c r="BS460" i="29"/>
  <c r="BS461" i="29"/>
  <c r="BS462" i="29"/>
  <c r="BS463" i="29"/>
  <c r="BS464" i="29"/>
  <c r="BS466" i="29"/>
  <c r="BS467" i="29"/>
  <c r="BS468" i="29"/>
  <c r="BS469" i="29"/>
  <c r="BS470" i="29"/>
  <c r="BS471" i="29"/>
  <c r="BS472" i="29"/>
  <c r="BS473" i="29"/>
  <c r="BS474" i="29"/>
  <c r="BS475" i="29"/>
  <c r="BS476" i="29"/>
  <c r="BS478" i="29"/>
  <c r="BS479" i="29"/>
  <c r="BS480" i="29"/>
  <c r="BS481" i="29"/>
  <c r="BS482" i="29"/>
  <c r="BS483" i="29"/>
  <c r="BS484" i="29"/>
  <c r="BS485" i="29"/>
  <c r="BS486" i="29"/>
  <c r="BS487" i="29"/>
  <c r="BS488" i="29"/>
  <c r="BS490" i="29"/>
  <c r="BS491" i="29"/>
  <c r="BS492" i="29"/>
  <c r="BS493" i="29"/>
  <c r="BS494" i="29"/>
  <c r="BS495" i="29"/>
  <c r="BS496" i="29"/>
  <c r="BS497" i="29"/>
  <c r="BS498" i="29"/>
  <c r="BS499" i="29"/>
  <c r="BS500" i="29"/>
  <c r="BS502" i="29"/>
  <c r="BS503" i="29"/>
  <c r="BS504" i="29"/>
  <c r="BS505" i="29"/>
  <c r="BS506" i="29"/>
  <c r="BS507" i="29"/>
  <c r="BS508" i="29"/>
  <c r="BS509" i="29"/>
  <c r="BS510" i="29"/>
  <c r="BS511" i="29"/>
  <c r="BS512" i="29"/>
  <c r="BS514" i="29"/>
  <c r="BS515" i="29"/>
  <c r="BS516" i="29"/>
  <c r="BS517" i="29"/>
  <c r="BS518" i="29"/>
  <c r="BS519" i="29"/>
  <c r="BS520" i="29"/>
  <c r="BS521" i="29"/>
  <c r="BS522" i="29"/>
  <c r="BS523" i="29"/>
  <c r="BS524" i="29"/>
  <c r="BS526" i="29"/>
  <c r="BS527" i="29"/>
  <c r="BS528" i="29"/>
  <c r="BS529" i="29"/>
  <c r="BS530" i="29"/>
  <c r="BS531" i="29"/>
  <c r="BS532" i="29"/>
  <c r="BS533" i="29"/>
  <c r="BS534" i="29"/>
  <c r="BS535" i="29"/>
  <c r="BS536" i="29"/>
  <c r="BS538" i="29"/>
  <c r="BS539" i="29"/>
  <c r="BS540" i="29"/>
  <c r="BS541" i="29"/>
  <c r="BS542" i="29"/>
  <c r="BS543" i="29"/>
  <c r="BS544" i="29"/>
  <c r="BS545" i="29"/>
  <c r="BS546" i="29"/>
  <c r="BS547" i="29"/>
  <c r="BS548" i="29"/>
  <c r="BS550" i="29"/>
  <c r="BS551" i="29"/>
  <c r="BS552" i="29"/>
  <c r="BS553" i="29"/>
  <c r="BS554" i="29"/>
  <c r="BS555" i="29"/>
  <c r="BS556" i="29"/>
  <c r="BS557" i="29"/>
  <c r="BS558" i="29"/>
  <c r="BS559" i="29"/>
  <c r="BS560" i="29"/>
  <c r="BS562" i="29"/>
  <c r="BS563" i="29"/>
  <c r="BS564" i="29"/>
  <c r="BS565" i="29"/>
  <c r="BS566" i="29"/>
  <c r="BS567" i="29"/>
  <c r="BS568" i="29"/>
  <c r="BS569" i="29"/>
  <c r="BS570" i="29"/>
  <c r="BS571" i="29"/>
  <c r="BS572" i="29"/>
  <c r="BS574" i="29"/>
  <c r="BS575" i="29"/>
  <c r="BS576" i="29"/>
  <c r="BS577" i="29"/>
  <c r="BS578" i="29"/>
  <c r="BS579" i="29"/>
  <c r="BS580" i="29"/>
  <c r="BS581" i="29"/>
  <c r="BS582" i="29"/>
  <c r="BS583" i="29"/>
  <c r="BS584" i="29"/>
  <c r="BS586" i="29"/>
  <c r="BS587" i="29"/>
  <c r="BS588" i="29"/>
  <c r="BS589" i="29"/>
  <c r="BS590" i="29"/>
  <c r="BS591" i="29"/>
  <c r="BS592" i="29"/>
  <c r="BS593" i="29"/>
  <c r="BS594" i="29"/>
  <c r="BS595" i="29"/>
  <c r="BS596" i="29"/>
  <c r="BS598" i="29"/>
  <c r="BS599" i="29"/>
  <c r="BS600" i="29"/>
  <c r="BS601" i="29"/>
  <c r="BS602" i="29"/>
  <c r="BS603" i="29"/>
  <c r="BS604" i="29"/>
  <c r="BS605" i="29"/>
  <c r="BS606" i="29"/>
  <c r="BS607" i="29"/>
  <c r="BS608" i="29"/>
  <c r="BS610" i="29"/>
  <c r="BS611" i="29"/>
  <c r="BS612" i="29"/>
  <c r="BS613" i="29"/>
  <c r="BS614" i="29"/>
  <c r="BS615" i="29"/>
  <c r="BS616" i="29"/>
  <c r="BS617" i="29"/>
  <c r="BS618" i="29"/>
  <c r="BS619" i="29"/>
  <c r="BS620" i="29"/>
  <c r="BS622" i="29"/>
  <c r="BS623" i="29"/>
  <c r="BS624" i="29"/>
  <c r="BS625" i="29"/>
  <c r="BS626" i="29"/>
  <c r="BS627" i="29"/>
  <c r="BS628" i="29"/>
  <c r="BS629" i="29"/>
  <c r="BS630" i="29"/>
  <c r="BS631" i="29"/>
  <c r="BS632" i="29"/>
  <c r="BS634" i="29"/>
  <c r="BS635" i="29"/>
  <c r="BS636" i="29"/>
  <c r="BS637" i="29"/>
  <c r="BS638" i="29"/>
  <c r="BS639" i="29"/>
  <c r="BS640" i="29"/>
  <c r="BS641" i="29"/>
  <c r="BS642" i="29"/>
  <c r="BS643" i="29"/>
  <c r="BS644" i="29"/>
  <c r="BS646" i="29"/>
  <c r="BS647" i="29"/>
  <c r="BS648" i="29"/>
  <c r="BS649" i="29"/>
  <c r="BS650" i="29"/>
  <c r="BS651" i="29"/>
  <c r="BS652" i="29"/>
  <c r="BS653" i="29"/>
  <c r="BS654" i="29"/>
  <c r="BS655" i="29"/>
  <c r="BS656" i="29"/>
  <c r="BS658" i="29"/>
  <c r="BS659" i="29"/>
  <c r="BS660" i="29"/>
  <c r="BS661" i="29"/>
  <c r="BS662" i="29"/>
  <c r="BS663" i="29"/>
  <c r="BS664" i="29"/>
  <c r="BS665" i="29"/>
  <c r="BS666" i="29"/>
  <c r="BS667" i="29"/>
  <c r="BS668" i="29"/>
  <c r="BS670" i="29"/>
  <c r="BS671" i="29"/>
  <c r="BS672" i="29"/>
  <c r="BS673" i="29"/>
  <c r="BS674" i="29"/>
  <c r="BS675" i="29"/>
  <c r="BS676" i="29"/>
  <c r="BS677" i="29"/>
  <c r="BS678" i="29"/>
  <c r="BS679" i="29"/>
  <c r="BS680" i="29"/>
  <c r="BS682" i="29"/>
  <c r="BS683" i="29"/>
  <c r="BS684" i="29"/>
  <c r="BS685" i="29"/>
  <c r="BS686" i="29"/>
  <c r="BS687" i="29"/>
  <c r="BS688" i="29"/>
  <c r="BS689" i="29"/>
  <c r="BS690" i="29"/>
  <c r="BS691" i="29"/>
  <c r="BS692" i="29"/>
  <c r="BS694" i="29"/>
  <c r="BS695" i="29"/>
  <c r="BS696" i="29"/>
  <c r="BS697" i="29"/>
  <c r="BS698" i="29"/>
  <c r="BS699" i="29"/>
  <c r="BS700" i="29"/>
  <c r="BS701" i="29"/>
  <c r="BS702" i="29"/>
  <c r="BS703" i="29"/>
  <c r="BS704" i="29"/>
  <c r="BS706" i="29"/>
  <c r="BS707" i="29"/>
  <c r="BS708" i="29"/>
  <c r="BS709" i="29"/>
  <c r="BS710" i="29"/>
  <c r="BS711" i="29"/>
  <c r="BS712" i="29"/>
  <c r="BS713" i="29"/>
  <c r="BS714" i="29"/>
  <c r="BS715" i="29"/>
  <c r="BS716" i="29"/>
  <c r="BS718" i="29"/>
  <c r="BS719" i="29"/>
  <c r="BS720" i="29"/>
  <c r="BS721" i="29"/>
  <c r="BS722" i="29"/>
  <c r="BS723" i="29"/>
  <c r="BS724" i="29"/>
  <c r="BS725" i="29"/>
  <c r="BS726" i="29"/>
  <c r="BS727" i="29"/>
  <c r="BS728" i="29"/>
  <c r="BS730" i="29"/>
  <c r="BS731" i="29"/>
  <c r="BS732" i="29"/>
  <c r="BS733" i="29"/>
  <c r="BS734" i="29"/>
  <c r="BS735" i="29"/>
  <c r="BS736" i="29"/>
  <c r="BS737" i="29"/>
  <c r="BS738" i="29"/>
  <c r="BS739" i="29"/>
  <c r="BS740" i="29"/>
  <c r="BS742" i="29"/>
  <c r="BS743" i="29"/>
  <c r="BS744" i="29"/>
  <c r="BS745" i="29"/>
  <c r="BS746" i="29"/>
  <c r="BS747" i="29"/>
  <c r="BS748" i="29"/>
  <c r="BS749" i="29"/>
  <c r="BS750" i="29"/>
  <c r="BS751" i="29"/>
  <c r="BS752" i="29"/>
  <c r="BS754" i="29"/>
  <c r="BS755" i="29"/>
  <c r="BS756" i="29"/>
  <c r="BS757" i="29"/>
  <c r="BS758" i="29"/>
  <c r="BS759" i="29"/>
  <c r="BS760" i="29"/>
  <c r="BS761" i="29"/>
  <c r="BS762" i="29"/>
  <c r="BS763" i="29"/>
  <c r="BS764" i="29"/>
  <c r="BS766" i="29"/>
  <c r="BS767" i="29"/>
  <c r="BS768" i="29"/>
  <c r="BS769" i="29"/>
  <c r="BS770" i="29"/>
  <c r="BS771" i="29"/>
  <c r="BS772" i="29"/>
  <c r="BS773" i="29"/>
  <c r="BS774" i="29"/>
  <c r="BS775" i="29"/>
  <c r="BS776" i="29"/>
  <c r="BS778" i="29"/>
  <c r="BS779" i="29"/>
  <c r="BS780" i="29"/>
  <c r="BS781" i="29"/>
  <c r="BS782" i="29"/>
  <c r="BS783" i="29"/>
  <c r="BS784" i="29"/>
  <c r="BS785" i="29"/>
  <c r="BS786" i="29"/>
  <c r="BS787" i="29"/>
  <c r="BS788" i="29"/>
  <c r="BS790" i="29"/>
  <c r="BS791" i="29"/>
  <c r="BS792" i="29"/>
  <c r="BS793" i="29"/>
  <c r="BS794" i="29"/>
  <c r="BS795" i="29"/>
  <c r="BS796" i="29"/>
  <c r="BS797" i="29"/>
  <c r="BS798" i="29"/>
  <c r="BS799" i="29"/>
  <c r="BS800" i="29"/>
  <c r="BS802" i="29"/>
  <c r="BS803" i="29"/>
  <c r="BS804" i="29"/>
  <c r="BS805" i="29"/>
  <c r="BS806" i="29"/>
  <c r="BS807" i="29"/>
  <c r="BS808" i="29"/>
  <c r="BS809" i="29"/>
  <c r="BS810" i="29"/>
  <c r="BS811" i="29"/>
  <c r="BS812" i="29"/>
  <c r="BS814" i="29"/>
  <c r="BS815" i="29"/>
  <c r="BS816" i="29"/>
  <c r="BS817" i="29"/>
  <c r="BS818" i="29"/>
  <c r="BS819" i="29"/>
  <c r="BS820" i="29"/>
  <c r="BS821" i="29"/>
  <c r="BS822" i="29"/>
  <c r="BS823" i="29"/>
  <c r="BS824" i="29"/>
  <c r="BS826" i="29"/>
  <c r="BS827" i="29"/>
  <c r="BS828" i="29"/>
  <c r="BS829" i="29"/>
  <c r="BS830" i="29"/>
  <c r="BS831" i="29"/>
  <c r="BS832" i="29"/>
  <c r="BS833" i="29"/>
  <c r="BS834" i="29"/>
  <c r="BS835" i="29"/>
  <c r="BS836" i="29"/>
  <c r="BS838" i="29"/>
  <c r="BS839" i="29"/>
  <c r="BS840" i="29"/>
  <c r="BS841" i="29"/>
  <c r="BS842" i="29"/>
  <c r="BS843" i="29"/>
  <c r="BS844" i="29"/>
  <c r="BS845" i="29"/>
  <c r="BS846" i="29"/>
  <c r="BS847" i="29"/>
  <c r="BS848" i="29"/>
  <c r="BS850" i="29"/>
  <c r="BS851" i="29"/>
  <c r="BS852" i="29"/>
  <c r="BS853" i="29"/>
  <c r="BS854" i="29"/>
  <c r="BS855" i="29"/>
  <c r="BS856" i="29"/>
  <c r="BS857" i="29"/>
  <c r="BS858" i="29"/>
  <c r="BS859" i="29"/>
  <c r="BS860" i="29"/>
  <c r="BS862" i="29"/>
  <c r="BS863" i="29"/>
  <c r="BS864" i="29"/>
  <c r="BS865" i="29"/>
  <c r="BS866" i="29"/>
  <c r="BS867" i="29"/>
  <c r="BS868" i="29"/>
  <c r="BS869" i="29"/>
  <c r="BS870" i="29"/>
  <c r="BS871" i="29"/>
  <c r="BS872" i="29"/>
  <c r="BS874" i="29"/>
  <c r="BS875" i="29"/>
  <c r="BS876" i="29"/>
  <c r="BS877" i="29"/>
  <c r="BS878" i="29"/>
  <c r="BS879" i="29"/>
  <c r="BS880" i="29"/>
  <c r="BS881" i="29"/>
  <c r="BS882" i="29"/>
  <c r="BS883" i="29"/>
  <c r="BS884" i="29"/>
  <c r="BS886" i="29"/>
  <c r="BS887" i="29"/>
  <c r="BS888" i="29"/>
  <c r="BS889" i="29"/>
  <c r="BS890" i="29"/>
  <c r="BS891" i="29"/>
  <c r="BS892" i="29"/>
  <c r="BS893" i="29"/>
  <c r="BS894" i="29"/>
  <c r="BS895" i="29"/>
  <c r="BS896" i="29"/>
  <c r="BS898" i="29"/>
  <c r="BS899" i="29"/>
  <c r="BS900" i="29"/>
  <c r="BS901" i="29"/>
  <c r="BS902" i="29"/>
  <c r="BS903" i="29"/>
  <c r="BS904" i="29"/>
  <c r="BS905" i="29"/>
  <c r="BS906" i="29"/>
  <c r="BS907" i="29"/>
  <c r="BS908" i="29"/>
  <c r="BS910" i="29"/>
  <c r="BS911" i="29"/>
  <c r="BS912" i="29"/>
  <c r="BS913" i="29"/>
  <c r="BS914" i="29"/>
  <c r="BS915" i="29"/>
  <c r="BS916" i="29"/>
  <c r="BS917" i="29"/>
  <c r="BS918" i="29"/>
  <c r="BS919" i="29"/>
  <c r="BS920" i="29"/>
  <c r="BS922" i="29"/>
  <c r="BS923" i="29"/>
  <c r="BS924" i="29"/>
  <c r="BS925" i="29"/>
  <c r="BS926" i="29"/>
  <c r="BS927" i="29"/>
  <c r="BS928" i="29"/>
  <c r="BS929" i="29"/>
  <c r="BS930" i="29"/>
  <c r="BS931" i="29"/>
  <c r="BS932" i="29"/>
  <c r="BS934" i="29"/>
  <c r="BS935" i="29"/>
  <c r="BS936" i="29"/>
  <c r="BS937" i="29"/>
  <c r="BS938" i="29"/>
  <c r="BS939" i="29"/>
  <c r="BS940" i="29"/>
  <c r="BS941" i="29"/>
  <c r="BS942" i="29"/>
  <c r="BS943" i="29"/>
  <c r="BS944" i="29"/>
  <c r="BS946" i="29"/>
  <c r="BS947" i="29"/>
  <c r="BS948" i="29"/>
  <c r="BS949" i="29"/>
  <c r="BS950" i="29"/>
  <c r="BS951" i="29"/>
  <c r="BS952" i="29"/>
  <c r="BS953" i="29"/>
  <c r="BS954" i="29"/>
  <c r="BS955" i="29"/>
  <c r="BS956" i="29"/>
  <c r="BS958" i="29"/>
  <c r="BS959" i="29"/>
  <c r="BS960" i="29"/>
  <c r="BS961" i="29"/>
  <c r="BS962" i="29"/>
  <c r="BS963" i="29"/>
  <c r="BS964" i="29"/>
  <c r="BS965" i="29"/>
  <c r="BS966" i="29"/>
  <c r="BS967" i="29"/>
  <c r="BS968" i="29"/>
  <c r="BS970" i="29"/>
  <c r="BS971" i="29"/>
  <c r="BS972" i="29"/>
  <c r="BS973" i="29"/>
  <c r="BS974" i="29"/>
  <c r="BS975" i="29"/>
  <c r="BS976" i="29"/>
  <c r="BS977" i="29"/>
  <c r="BS978" i="29"/>
  <c r="BS979" i="29"/>
  <c r="BS980" i="29"/>
  <c r="BS982" i="29"/>
  <c r="BS983" i="29"/>
  <c r="BS984" i="29"/>
  <c r="BS985" i="29"/>
  <c r="BS986" i="29"/>
  <c r="BS987" i="29"/>
  <c r="BS988" i="29"/>
  <c r="BS989" i="29"/>
  <c r="BS990" i="29"/>
  <c r="BS991" i="29"/>
  <c r="BS992" i="29"/>
  <c r="BS994" i="29"/>
  <c r="BS995" i="29"/>
  <c r="BS996" i="29"/>
  <c r="BS997" i="29"/>
  <c r="BS998" i="29"/>
  <c r="BS999" i="29"/>
  <c r="BS1000" i="29"/>
  <c r="BS1001" i="29"/>
  <c r="BS1002" i="29"/>
  <c r="BS1003" i="29"/>
  <c r="BS1004" i="29"/>
  <c r="BS1006" i="29"/>
  <c r="BS1007" i="29"/>
  <c r="BS1008" i="29"/>
  <c r="BS1009" i="29"/>
  <c r="BS1010" i="29"/>
  <c r="BS1011" i="29"/>
  <c r="BS1012" i="29"/>
  <c r="BS1013" i="29"/>
  <c r="BS1014" i="29"/>
  <c r="BS1015" i="29"/>
  <c r="BS1016" i="29"/>
  <c r="BS1018" i="29"/>
  <c r="BS1019" i="29"/>
  <c r="BS1020" i="29"/>
  <c r="BS1021" i="29"/>
  <c r="BS1022" i="29"/>
  <c r="BS1023" i="29"/>
  <c r="BS1024" i="29"/>
  <c r="BS1025" i="29"/>
  <c r="BS1026" i="29"/>
  <c r="BS1027" i="29"/>
  <c r="BS1028" i="29"/>
  <c r="BS1030" i="29"/>
  <c r="BS1031" i="29"/>
  <c r="BS1032" i="29"/>
  <c r="BS1033" i="29"/>
  <c r="BS1034" i="29"/>
  <c r="BS1035" i="29"/>
  <c r="BS1036" i="29"/>
  <c r="BS1037" i="29"/>
  <c r="BS1038" i="29"/>
  <c r="BS1039" i="29"/>
  <c r="BS1040" i="29"/>
  <c r="BS1042" i="29"/>
  <c r="BS1043" i="29"/>
  <c r="BS1044" i="29"/>
  <c r="BS1045" i="29"/>
  <c r="BS1046" i="29"/>
  <c r="BS1047" i="29"/>
  <c r="BS1048" i="29"/>
  <c r="BS1049" i="29"/>
  <c r="BS1050" i="29"/>
  <c r="BS1051" i="29"/>
  <c r="BS1052" i="29"/>
  <c r="BS1054" i="29"/>
  <c r="BS1055" i="29"/>
  <c r="BS1056" i="29"/>
  <c r="BS1057" i="29"/>
  <c r="BS1058" i="29"/>
  <c r="BS1059" i="29"/>
  <c r="BS1060" i="29"/>
  <c r="BS1061" i="29"/>
  <c r="BS1062" i="29"/>
  <c r="BS1063" i="29"/>
  <c r="BS1064" i="29"/>
  <c r="BS1066" i="29"/>
  <c r="BS1067" i="29"/>
  <c r="BS1068" i="29"/>
  <c r="BS1069" i="29"/>
  <c r="BS1070" i="29"/>
  <c r="BS1071" i="29"/>
  <c r="BS1072" i="29"/>
  <c r="BS1073" i="29"/>
  <c r="BS1074" i="29"/>
  <c r="BS1075" i="29"/>
  <c r="BS1076" i="29"/>
  <c r="BS1078" i="29"/>
  <c r="BS1079" i="29"/>
  <c r="BS1080" i="29"/>
  <c r="BS1081" i="29"/>
  <c r="BS1082" i="29"/>
  <c r="BS1083" i="29"/>
  <c r="BS1084" i="29"/>
  <c r="BS1085" i="29"/>
  <c r="BS1086" i="29"/>
  <c r="BS1087" i="29"/>
  <c r="BS1088" i="29"/>
  <c r="BS1090" i="29"/>
  <c r="BS1091" i="29"/>
  <c r="BS1092" i="29"/>
  <c r="BS1093" i="29"/>
  <c r="BS1094" i="29"/>
  <c r="BS1095" i="29"/>
  <c r="BS1096" i="29"/>
  <c r="BS1097" i="29"/>
  <c r="BS1098" i="29"/>
  <c r="BS1099" i="29"/>
  <c r="BS1100" i="29"/>
  <c r="BS1102" i="29"/>
  <c r="BS1103" i="29"/>
  <c r="BS1104" i="29"/>
  <c r="BS1105" i="29"/>
  <c r="BS1106" i="29"/>
  <c r="BS1107" i="29"/>
  <c r="BS1108" i="29"/>
  <c r="BS1109" i="29"/>
  <c r="BS1110" i="29"/>
  <c r="BS1111" i="29"/>
  <c r="BS1112" i="29"/>
  <c r="BS1114" i="29"/>
  <c r="BS1115" i="29"/>
  <c r="BS1116" i="29"/>
  <c r="BS1117" i="29"/>
  <c r="BS1118" i="29"/>
  <c r="BS1119" i="29"/>
  <c r="BS1120" i="29"/>
  <c r="BS1121" i="29"/>
  <c r="BS1122" i="29"/>
  <c r="BS1123" i="29"/>
  <c r="BS1124" i="29"/>
  <c r="BS1126" i="29"/>
  <c r="BS1127" i="29"/>
  <c r="BS1128" i="29"/>
  <c r="BS1129" i="29"/>
  <c r="BS1130" i="29"/>
  <c r="BS1131" i="29"/>
  <c r="BS1132" i="29"/>
  <c r="BS1133" i="29"/>
  <c r="BS1134" i="29"/>
  <c r="BS1135" i="29"/>
  <c r="BS1136" i="29"/>
  <c r="BS1138" i="29"/>
  <c r="BS1139" i="29"/>
  <c r="BS1140" i="29"/>
  <c r="BS1141" i="29"/>
  <c r="BS1142" i="29"/>
  <c r="BS1143" i="29"/>
  <c r="BS1144" i="29"/>
  <c r="BS1145" i="29"/>
  <c r="BS1146" i="29"/>
  <c r="BS1147" i="29"/>
  <c r="BS1148" i="29"/>
  <c r="BS1150" i="29"/>
  <c r="BS1151" i="29"/>
  <c r="BS1152" i="29"/>
  <c r="BS1153" i="29"/>
  <c r="BS1154" i="29"/>
  <c r="BS1155" i="29"/>
  <c r="BS1156" i="29"/>
  <c r="BS1157" i="29"/>
  <c r="BS1158" i="29"/>
  <c r="BS1159" i="29"/>
  <c r="BS1160" i="29"/>
  <c r="BS1162" i="29"/>
  <c r="BS1163" i="29"/>
  <c r="BS1164" i="29"/>
  <c r="BS1165" i="29"/>
  <c r="BS1166" i="29"/>
  <c r="BS1167" i="29"/>
  <c r="BS1168" i="29"/>
  <c r="BS1169" i="29"/>
  <c r="BS1170" i="29"/>
  <c r="BS1171" i="29"/>
  <c r="BS1172" i="29"/>
  <c r="BS1174" i="29"/>
  <c r="BS1175" i="29"/>
  <c r="BS1176" i="29"/>
  <c r="BS1177" i="29"/>
  <c r="BS1178" i="29"/>
  <c r="BS1179" i="29"/>
  <c r="BS1180" i="29"/>
  <c r="BS1181" i="29"/>
  <c r="BS1182" i="29"/>
  <c r="BS1183" i="29"/>
  <c r="BS1184" i="29"/>
  <c r="BS1186" i="29"/>
  <c r="BS1187" i="29"/>
  <c r="BS1188" i="29"/>
  <c r="BS1189" i="29"/>
  <c r="BS1190" i="29"/>
  <c r="BS1191" i="29"/>
  <c r="BS1192" i="29"/>
  <c r="BS1193" i="29"/>
  <c r="BS1194" i="29"/>
  <c r="BS1195" i="29"/>
  <c r="BS1196" i="29"/>
  <c r="BS1198" i="29"/>
  <c r="BS1199" i="29"/>
  <c r="BS1200" i="29"/>
  <c r="BS1201" i="29"/>
  <c r="BS1202" i="29"/>
  <c r="BS1203" i="29"/>
  <c r="BS1204" i="29"/>
  <c r="BS1205" i="29"/>
  <c r="BS1206" i="29"/>
  <c r="BS1207" i="29"/>
  <c r="BS1208" i="29"/>
  <c r="BS1210" i="29"/>
  <c r="BS1211" i="29"/>
  <c r="BS1212" i="29"/>
  <c r="BS1213" i="29"/>
  <c r="BS1214" i="29"/>
  <c r="BS1215" i="29"/>
  <c r="BS1216" i="29"/>
  <c r="BS1217" i="29"/>
  <c r="BS1218" i="29"/>
  <c r="BS1219" i="29"/>
  <c r="BS1220" i="29"/>
  <c r="BS1222" i="29"/>
  <c r="BS1223" i="29"/>
  <c r="BS1224" i="29"/>
  <c r="BS1225" i="29"/>
  <c r="BS1226" i="29"/>
  <c r="BS1227" i="29"/>
  <c r="BS1228" i="29"/>
  <c r="BS1229" i="29"/>
  <c r="BS1230" i="29"/>
  <c r="BS1231" i="29"/>
  <c r="BS1232" i="29"/>
  <c r="BS1234" i="29"/>
  <c r="BS1235" i="29"/>
  <c r="BS1236" i="29"/>
  <c r="BS1237" i="29"/>
  <c r="BS1238" i="29"/>
  <c r="BS1239" i="29"/>
  <c r="BS1240" i="29"/>
  <c r="BS1241" i="29"/>
  <c r="BS1242" i="29"/>
  <c r="BS1243" i="29"/>
  <c r="BS1244" i="29"/>
  <c r="BS1246" i="29"/>
  <c r="BS1247" i="29"/>
  <c r="BS1248" i="29"/>
  <c r="BS1249" i="29"/>
  <c r="BS1250" i="29"/>
  <c r="BS1251" i="29"/>
  <c r="BS1252" i="29"/>
  <c r="BS1253" i="29"/>
  <c r="BS1254" i="29"/>
  <c r="BS1255" i="29"/>
  <c r="BS1256" i="29"/>
  <c r="BS1258" i="29"/>
  <c r="BS1259" i="29"/>
  <c r="BS1260" i="29"/>
  <c r="BS1261" i="29"/>
  <c r="BS1262" i="29"/>
  <c r="BS1263" i="29"/>
  <c r="BS1264" i="29"/>
  <c r="BS1265" i="29"/>
  <c r="BS1266" i="29"/>
  <c r="BS1267" i="29"/>
  <c r="BS1268" i="29"/>
  <c r="BS1270" i="29"/>
  <c r="BS1271" i="29"/>
  <c r="BS1272" i="29"/>
  <c r="BS1273" i="29"/>
  <c r="BS1274" i="29"/>
  <c r="BS1275" i="29"/>
  <c r="BS1276" i="29"/>
  <c r="BS1277" i="29"/>
  <c r="BS1278" i="29"/>
  <c r="BS1279" i="29"/>
  <c r="BS1280" i="29"/>
  <c r="BS1282" i="29"/>
  <c r="BS1283" i="29"/>
  <c r="BS1284" i="29"/>
  <c r="BS1285" i="29"/>
  <c r="BS1286" i="29"/>
  <c r="BS1287" i="29"/>
  <c r="BS1288" i="29"/>
  <c r="BS1289" i="29"/>
  <c r="BS1290" i="29"/>
  <c r="BS1291" i="29"/>
  <c r="BS1292" i="29"/>
  <c r="BS1294" i="29"/>
  <c r="BS1295" i="29"/>
  <c r="BS1296" i="29"/>
  <c r="BS1297" i="29"/>
  <c r="BS1298" i="29"/>
  <c r="BS1299" i="29"/>
  <c r="BS1300" i="29"/>
  <c r="BS1301" i="29"/>
  <c r="BS1302" i="29"/>
  <c r="BS1303" i="29"/>
  <c r="BS1304" i="29"/>
  <c r="BS1306" i="29"/>
  <c r="BS1307" i="29"/>
  <c r="BS1308" i="29"/>
  <c r="BS1309" i="29"/>
  <c r="BS1310" i="29"/>
  <c r="BS1311" i="29"/>
  <c r="BS1312" i="29"/>
  <c r="BS1313" i="29"/>
  <c r="BS1314" i="29"/>
  <c r="BS1315" i="29"/>
  <c r="BS1316" i="29"/>
  <c r="BS1318" i="29"/>
  <c r="BS1319" i="29"/>
  <c r="BS1320" i="29"/>
  <c r="BS1321" i="29"/>
  <c r="BS1322" i="29"/>
  <c r="BS1323" i="29"/>
  <c r="BS1324" i="29"/>
  <c r="BS1325" i="29"/>
  <c r="BS1326" i="29"/>
  <c r="BS1327" i="29"/>
  <c r="BS1328" i="29"/>
  <c r="BS1330" i="29"/>
  <c r="BS1331" i="29"/>
  <c r="BS1332" i="29"/>
  <c r="BS1333" i="29"/>
  <c r="BS1334" i="29"/>
  <c r="BS1335" i="29"/>
  <c r="BS1336" i="29"/>
  <c r="BS1337" i="29"/>
  <c r="BS1338" i="29"/>
  <c r="BS1339" i="29"/>
  <c r="BS1340" i="29"/>
  <c r="BS9" i="29"/>
  <c r="J217" i="15"/>
  <c r="J150" i="15"/>
  <c r="CT225" i="29"/>
  <c r="CT224" i="29"/>
  <c r="CT223" i="29"/>
  <c r="CT222" i="29"/>
  <c r="CT221" i="29"/>
  <c r="CT220" i="29"/>
  <c r="CT219" i="29"/>
  <c r="CT218" i="29"/>
  <c r="CT217" i="29"/>
  <c r="CT216" i="29"/>
  <c r="CT215" i="29"/>
  <c r="CT214" i="29"/>
  <c r="CT213" i="29"/>
  <c r="BT1340" i="29"/>
  <c r="BI1340" i="29"/>
  <c r="BT1339" i="29"/>
  <c r="BI1339" i="29"/>
  <c r="BT1338" i="29"/>
  <c r="BI1338" i="29"/>
  <c r="BT1337" i="29"/>
  <c r="BI1337" i="29"/>
  <c r="BT1336" i="29"/>
  <c r="BI1336" i="29"/>
  <c r="BT1335" i="29"/>
  <c r="BI1335" i="29"/>
  <c r="BT1334" i="29"/>
  <c r="BI1334" i="29"/>
  <c r="BT1333" i="29"/>
  <c r="BI1333" i="29"/>
  <c r="BT1332" i="29"/>
  <c r="BI1332" i="29"/>
  <c r="BT1331" i="29"/>
  <c r="BI1331" i="29"/>
  <c r="BT1330" i="29"/>
  <c r="BI1330" i="29"/>
  <c r="BT1328" i="29"/>
  <c r="BI1328" i="29"/>
  <c r="BT1327" i="29"/>
  <c r="BI1327" i="29"/>
  <c r="BT1326" i="29"/>
  <c r="BI1326" i="29"/>
  <c r="BT1325" i="29"/>
  <c r="BI1325" i="29"/>
  <c r="BT1324" i="29"/>
  <c r="BI1324" i="29"/>
  <c r="BT1323" i="29"/>
  <c r="BI1323" i="29"/>
  <c r="BT1322" i="29"/>
  <c r="BI1322" i="29"/>
  <c r="BT1321" i="29"/>
  <c r="BI1321" i="29"/>
  <c r="BT1320" i="29"/>
  <c r="BI1320" i="29"/>
  <c r="BT1319" i="29"/>
  <c r="BI1319" i="29"/>
  <c r="BT1318" i="29"/>
  <c r="BI1318" i="29"/>
  <c r="BT1316" i="29"/>
  <c r="BI1316" i="29"/>
  <c r="BT1315" i="29"/>
  <c r="BI1315" i="29"/>
  <c r="BT1314" i="29"/>
  <c r="BI1314" i="29"/>
  <c r="BT1313" i="29"/>
  <c r="BI1313" i="29"/>
  <c r="BT1312" i="29"/>
  <c r="BI1312" i="29"/>
  <c r="BT1311" i="29"/>
  <c r="BI1311" i="29"/>
  <c r="BT1310" i="29"/>
  <c r="BI1310" i="29"/>
  <c r="BT1309" i="29"/>
  <c r="BI1309" i="29"/>
  <c r="BT1308" i="29"/>
  <c r="BI1308" i="29"/>
  <c r="BT1307" i="29"/>
  <c r="BI1307" i="29"/>
  <c r="BT1306" i="29"/>
  <c r="BI1306" i="29"/>
  <c r="BT1304" i="29"/>
  <c r="BI1304" i="29"/>
  <c r="BT1303" i="29"/>
  <c r="BI1303" i="29"/>
  <c r="BT1302" i="29"/>
  <c r="BI1302" i="29"/>
  <c r="BT1301" i="29"/>
  <c r="BI1301" i="29"/>
  <c r="BT1300" i="29"/>
  <c r="BI1300" i="29"/>
  <c r="BT1299" i="29"/>
  <c r="BI1299" i="29"/>
  <c r="BT1298" i="29"/>
  <c r="BI1298" i="29"/>
  <c r="BT1297" i="29"/>
  <c r="BI1297" i="29"/>
  <c r="BT1296" i="29"/>
  <c r="BI1296" i="29"/>
  <c r="BT1295" i="29"/>
  <c r="BI1295" i="29"/>
  <c r="BT1294" i="29"/>
  <c r="BI1294" i="29"/>
  <c r="BT1292" i="29"/>
  <c r="BI1292" i="29"/>
  <c r="BT1291" i="29"/>
  <c r="BI1291" i="29"/>
  <c r="BT1290" i="29"/>
  <c r="BI1290" i="29"/>
  <c r="BT1289" i="29"/>
  <c r="BI1289" i="29"/>
  <c r="BT1288" i="29"/>
  <c r="BI1288" i="29"/>
  <c r="BT1287" i="29"/>
  <c r="BI1287" i="29"/>
  <c r="BT1286" i="29"/>
  <c r="BI1286" i="29"/>
  <c r="BT1285" i="29"/>
  <c r="BI1285" i="29"/>
  <c r="BT1284" i="29"/>
  <c r="BI1284" i="29"/>
  <c r="BT1283" i="29"/>
  <c r="BI1283" i="29"/>
  <c r="BT1282" i="29"/>
  <c r="BI1282" i="29"/>
  <c r="BT1280" i="29"/>
  <c r="BI1280" i="29"/>
  <c r="BT1279" i="29"/>
  <c r="BI1279" i="29"/>
  <c r="BT1278" i="29"/>
  <c r="BI1278" i="29"/>
  <c r="BT1277" i="29"/>
  <c r="BI1277" i="29"/>
  <c r="BT1276" i="29"/>
  <c r="BI1276" i="29"/>
  <c r="BT1275" i="29"/>
  <c r="BI1275" i="29"/>
  <c r="BT1274" i="29"/>
  <c r="BI1274" i="29"/>
  <c r="BT1273" i="29"/>
  <c r="BI1273" i="29"/>
  <c r="BT1272" i="29"/>
  <c r="BI1272" i="29"/>
  <c r="BT1271" i="29"/>
  <c r="BI1271" i="29"/>
  <c r="BT1270" i="29"/>
  <c r="BI1270" i="29"/>
  <c r="BT1268" i="29"/>
  <c r="BI1268" i="29"/>
  <c r="BT1267" i="29"/>
  <c r="BI1267" i="29"/>
  <c r="BT1266" i="29"/>
  <c r="BI1266" i="29"/>
  <c r="BT1265" i="29"/>
  <c r="BI1265" i="29"/>
  <c r="BT1264" i="29"/>
  <c r="BI1264" i="29"/>
  <c r="BT1263" i="29"/>
  <c r="BI1263" i="29"/>
  <c r="BT1262" i="29"/>
  <c r="BI1262" i="29"/>
  <c r="BT1261" i="29"/>
  <c r="BI1261" i="29"/>
  <c r="BT1260" i="29"/>
  <c r="BI1260" i="29"/>
  <c r="BT1259" i="29"/>
  <c r="BI1259" i="29"/>
  <c r="BT1258" i="29"/>
  <c r="BI1258" i="29"/>
  <c r="BT1256" i="29"/>
  <c r="BI1256" i="29"/>
  <c r="BT1255" i="29"/>
  <c r="BI1255" i="29"/>
  <c r="BT1254" i="29"/>
  <c r="BI1254" i="29"/>
  <c r="BT1253" i="29"/>
  <c r="BI1253" i="29"/>
  <c r="BT1252" i="29"/>
  <c r="BI1252" i="29"/>
  <c r="BT1251" i="29"/>
  <c r="BI1251" i="29"/>
  <c r="BT1250" i="29"/>
  <c r="BI1250" i="29"/>
  <c r="BT1249" i="29"/>
  <c r="BI1249" i="29"/>
  <c r="BT1248" i="29"/>
  <c r="BI1248" i="29"/>
  <c r="BT1247" i="29"/>
  <c r="BI1247" i="29"/>
  <c r="BT1246" i="29"/>
  <c r="BI1246" i="29"/>
  <c r="BT1244" i="29"/>
  <c r="BI1244" i="29"/>
  <c r="BT1243" i="29"/>
  <c r="BI1243" i="29"/>
  <c r="BT1242" i="29"/>
  <c r="BI1242" i="29"/>
  <c r="BT1241" i="29"/>
  <c r="BI1241" i="29"/>
  <c r="BT1240" i="29"/>
  <c r="BI1240" i="29"/>
  <c r="BT1239" i="29"/>
  <c r="BI1239" i="29"/>
  <c r="BT1238" i="29"/>
  <c r="BI1238" i="29"/>
  <c r="BT1237" i="29"/>
  <c r="BI1237" i="29"/>
  <c r="BT1236" i="29"/>
  <c r="BI1236" i="29"/>
  <c r="BT1235" i="29"/>
  <c r="BI1235" i="29"/>
  <c r="BT1234" i="29"/>
  <c r="BI1234" i="29"/>
  <c r="BT1232" i="29"/>
  <c r="BI1232" i="29"/>
  <c r="BT1231" i="29"/>
  <c r="BI1231" i="29"/>
  <c r="BT1230" i="29"/>
  <c r="BI1230" i="29"/>
  <c r="BT1229" i="29"/>
  <c r="BI1229" i="29"/>
  <c r="BT1228" i="29"/>
  <c r="BI1228" i="29"/>
  <c r="BT1227" i="29"/>
  <c r="BI1227" i="29"/>
  <c r="BT1226" i="29"/>
  <c r="BI1226" i="29"/>
  <c r="BT1225" i="29"/>
  <c r="BI1225" i="29"/>
  <c r="BT1224" i="29"/>
  <c r="BI1224" i="29"/>
  <c r="BT1223" i="29"/>
  <c r="BI1223" i="29"/>
  <c r="BT1222" i="29"/>
  <c r="BI1222" i="29"/>
  <c r="BT1220" i="29"/>
  <c r="BI1220" i="29"/>
  <c r="BT1219" i="29"/>
  <c r="BI1219" i="29"/>
  <c r="BT1218" i="29"/>
  <c r="BI1218" i="29"/>
  <c r="BT1217" i="29"/>
  <c r="BI1217" i="29"/>
  <c r="BT1216" i="29"/>
  <c r="BI1216" i="29"/>
  <c r="BT1215" i="29"/>
  <c r="BI1215" i="29"/>
  <c r="BT1214" i="29"/>
  <c r="BI1214" i="29"/>
  <c r="BT1213" i="29"/>
  <c r="BI1213" i="29"/>
  <c r="BT1212" i="29"/>
  <c r="BI1212" i="29"/>
  <c r="BT1211" i="29"/>
  <c r="BI1211" i="29"/>
  <c r="BT1210" i="29"/>
  <c r="BI1210" i="29"/>
  <c r="BT1208" i="29"/>
  <c r="BI1208" i="29"/>
  <c r="BT1207" i="29"/>
  <c r="BI1207" i="29"/>
  <c r="BT1206" i="29"/>
  <c r="BI1206" i="29"/>
  <c r="BT1205" i="29"/>
  <c r="BI1205" i="29"/>
  <c r="BT1204" i="29"/>
  <c r="BI1204" i="29"/>
  <c r="BT1203" i="29"/>
  <c r="BI1203" i="29"/>
  <c r="BT1202" i="29"/>
  <c r="BI1202" i="29"/>
  <c r="BT1201" i="29"/>
  <c r="BI1201" i="29"/>
  <c r="BT1200" i="29"/>
  <c r="BI1200" i="29"/>
  <c r="BT1199" i="29"/>
  <c r="BI1199" i="29"/>
  <c r="BT1198" i="29"/>
  <c r="BI1198" i="29"/>
  <c r="BT1196" i="29"/>
  <c r="BI1196" i="29"/>
  <c r="BT1195" i="29"/>
  <c r="BI1195" i="29"/>
  <c r="BT1194" i="29"/>
  <c r="BI1194" i="29"/>
  <c r="BT1193" i="29"/>
  <c r="BI1193" i="29"/>
  <c r="BT1192" i="29"/>
  <c r="BI1192" i="29"/>
  <c r="BT1191" i="29"/>
  <c r="BI1191" i="29"/>
  <c r="BT1190" i="29"/>
  <c r="BI1190" i="29"/>
  <c r="BT1189" i="29"/>
  <c r="BI1189" i="29"/>
  <c r="BT1188" i="29"/>
  <c r="BI1188" i="29"/>
  <c r="BT1187" i="29"/>
  <c r="BI1187" i="29"/>
  <c r="BT1186" i="29"/>
  <c r="BI1186" i="29"/>
  <c r="BT1184" i="29"/>
  <c r="BI1184" i="29"/>
  <c r="BT1183" i="29"/>
  <c r="BI1183" i="29"/>
  <c r="BT1182" i="29"/>
  <c r="BI1182" i="29"/>
  <c r="BT1181" i="29"/>
  <c r="BI1181" i="29"/>
  <c r="BT1180" i="29"/>
  <c r="BI1180" i="29"/>
  <c r="BT1179" i="29"/>
  <c r="BI1179" i="29"/>
  <c r="BT1178" i="29"/>
  <c r="BI1178" i="29"/>
  <c r="BT1177" i="29"/>
  <c r="BI1177" i="29"/>
  <c r="BT1176" i="29"/>
  <c r="BI1176" i="29"/>
  <c r="BT1175" i="29"/>
  <c r="BI1175" i="29"/>
  <c r="BT1174" i="29"/>
  <c r="BI1174" i="29"/>
  <c r="BT1172" i="29"/>
  <c r="BI1172" i="29"/>
  <c r="BT1171" i="29"/>
  <c r="BI1171" i="29"/>
  <c r="BT1170" i="29"/>
  <c r="BI1170" i="29"/>
  <c r="BT1169" i="29"/>
  <c r="BI1169" i="29"/>
  <c r="BT1168" i="29"/>
  <c r="BI1168" i="29"/>
  <c r="BT1167" i="29"/>
  <c r="BI1167" i="29"/>
  <c r="BT1166" i="29"/>
  <c r="BI1166" i="29"/>
  <c r="BT1165" i="29"/>
  <c r="BI1165" i="29"/>
  <c r="BT1164" i="29"/>
  <c r="BI1164" i="29"/>
  <c r="BT1163" i="29"/>
  <c r="BI1163" i="29"/>
  <c r="BT1162" i="29"/>
  <c r="BI1162" i="29"/>
  <c r="BT1160" i="29"/>
  <c r="BI1160" i="29"/>
  <c r="BT1159" i="29"/>
  <c r="BI1159" i="29"/>
  <c r="BT1158" i="29"/>
  <c r="BI1158" i="29"/>
  <c r="BT1157" i="29"/>
  <c r="BI1157" i="29"/>
  <c r="BT1156" i="29"/>
  <c r="BI1156" i="29"/>
  <c r="BT1155" i="29"/>
  <c r="BI1155" i="29"/>
  <c r="BT1154" i="29"/>
  <c r="BI1154" i="29"/>
  <c r="BT1153" i="29"/>
  <c r="BI1153" i="29"/>
  <c r="BT1152" i="29"/>
  <c r="BI1152" i="29"/>
  <c r="BT1151" i="29"/>
  <c r="BI1151" i="29"/>
  <c r="BT1150" i="29"/>
  <c r="BI1150" i="29"/>
  <c r="BT1148" i="29"/>
  <c r="BI1148" i="29"/>
  <c r="BT1147" i="29"/>
  <c r="BI1147" i="29"/>
  <c r="BT1146" i="29"/>
  <c r="BI1146" i="29"/>
  <c r="BT1145" i="29"/>
  <c r="BI1145" i="29"/>
  <c r="BT1144" i="29"/>
  <c r="BI1144" i="29"/>
  <c r="BT1143" i="29"/>
  <c r="BI1143" i="29"/>
  <c r="BT1142" i="29"/>
  <c r="BI1142" i="29"/>
  <c r="BT1141" i="29"/>
  <c r="BI1141" i="29"/>
  <c r="BT1140" i="29"/>
  <c r="BI1140" i="29"/>
  <c r="BT1139" i="29"/>
  <c r="BI1139" i="29"/>
  <c r="BT1138" i="29"/>
  <c r="BI1138" i="29"/>
  <c r="BT1136" i="29"/>
  <c r="BI1136" i="29"/>
  <c r="BT1135" i="29"/>
  <c r="BI1135" i="29"/>
  <c r="BT1134" i="29"/>
  <c r="BI1134" i="29"/>
  <c r="BT1133" i="29"/>
  <c r="BI1133" i="29"/>
  <c r="BT1132" i="29"/>
  <c r="BI1132" i="29"/>
  <c r="BT1131" i="29"/>
  <c r="BI1131" i="29"/>
  <c r="BT1130" i="29"/>
  <c r="BI1130" i="29"/>
  <c r="BT1129" i="29"/>
  <c r="BI1129" i="29"/>
  <c r="BT1128" i="29"/>
  <c r="BI1128" i="29"/>
  <c r="BT1127" i="29"/>
  <c r="BI1127" i="29"/>
  <c r="BT1126" i="29"/>
  <c r="BI1126" i="29"/>
  <c r="BT1124" i="29"/>
  <c r="BI1124" i="29"/>
  <c r="BT1123" i="29"/>
  <c r="BI1123" i="29"/>
  <c r="BT1122" i="29"/>
  <c r="BI1122" i="29"/>
  <c r="BT1121" i="29"/>
  <c r="BI1121" i="29"/>
  <c r="BT1120" i="29"/>
  <c r="BI1120" i="29"/>
  <c r="BT1119" i="29"/>
  <c r="BI1119" i="29"/>
  <c r="BT1118" i="29"/>
  <c r="BI1118" i="29"/>
  <c r="BT1117" i="29"/>
  <c r="BI1117" i="29"/>
  <c r="BT1116" i="29"/>
  <c r="BI1116" i="29"/>
  <c r="BT1115" i="29"/>
  <c r="BI1115" i="29"/>
  <c r="BT1114" i="29"/>
  <c r="BI1114" i="29"/>
  <c r="BT1112" i="29"/>
  <c r="BI1112" i="29"/>
  <c r="BT1111" i="29"/>
  <c r="BI1111" i="29"/>
  <c r="BT1110" i="29"/>
  <c r="BI1110" i="29"/>
  <c r="BT1109" i="29"/>
  <c r="BI1109" i="29"/>
  <c r="BT1108" i="29"/>
  <c r="BI1108" i="29"/>
  <c r="BT1107" i="29"/>
  <c r="BI1107" i="29"/>
  <c r="BT1106" i="29"/>
  <c r="BI1106" i="29"/>
  <c r="BT1105" i="29"/>
  <c r="BI1105" i="29"/>
  <c r="BT1104" i="29"/>
  <c r="BI1104" i="29"/>
  <c r="BT1103" i="29"/>
  <c r="BI1103" i="29"/>
  <c r="BT1102" i="29"/>
  <c r="BI1102" i="29"/>
  <c r="BT1100" i="29"/>
  <c r="BI1100" i="29"/>
  <c r="BT1099" i="29"/>
  <c r="BI1099" i="29"/>
  <c r="BT1098" i="29"/>
  <c r="BI1098" i="29"/>
  <c r="BT1097" i="29"/>
  <c r="BI1097" i="29"/>
  <c r="BT1096" i="29"/>
  <c r="BI1096" i="29"/>
  <c r="BT1095" i="29"/>
  <c r="BI1095" i="29"/>
  <c r="BT1094" i="29"/>
  <c r="BI1094" i="29"/>
  <c r="BT1093" i="29"/>
  <c r="BI1093" i="29"/>
  <c r="BT1092" i="29"/>
  <c r="BI1092" i="29"/>
  <c r="BT1091" i="29"/>
  <c r="BI1091" i="29"/>
  <c r="BT1090" i="29"/>
  <c r="BI1090" i="29"/>
  <c r="BT1088" i="29"/>
  <c r="BI1088" i="29"/>
  <c r="BT1087" i="29"/>
  <c r="BI1087" i="29"/>
  <c r="BT1086" i="29"/>
  <c r="BI1086" i="29"/>
  <c r="BT1085" i="29"/>
  <c r="BI1085" i="29"/>
  <c r="BT1084" i="29"/>
  <c r="BI1084" i="29"/>
  <c r="BT1083" i="29"/>
  <c r="BI1083" i="29"/>
  <c r="BT1082" i="29"/>
  <c r="BI1082" i="29"/>
  <c r="BT1081" i="29"/>
  <c r="BI1081" i="29"/>
  <c r="BT1080" i="29"/>
  <c r="BI1080" i="29"/>
  <c r="BT1079" i="29"/>
  <c r="BI1079" i="29"/>
  <c r="BT1078" i="29"/>
  <c r="BI1078" i="29"/>
  <c r="BT1076" i="29"/>
  <c r="BI1076" i="29"/>
  <c r="BT1075" i="29"/>
  <c r="BI1075" i="29"/>
  <c r="BT1074" i="29"/>
  <c r="BI1074" i="29"/>
  <c r="BT1073" i="29"/>
  <c r="BI1073" i="29"/>
  <c r="BT1072" i="29"/>
  <c r="BI1072" i="29"/>
  <c r="BT1071" i="29"/>
  <c r="BI1071" i="29"/>
  <c r="BT1070" i="29"/>
  <c r="BI1070" i="29"/>
  <c r="BT1069" i="29"/>
  <c r="BI1069" i="29"/>
  <c r="BT1068" i="29"/>
  <c r="BI1068" i="29"/>
  <c r="BT1067" i="29"/>
  <c r="BI1067" i="29"/>
  <c r="BT1066" i="29"/>
  <c r="BI1066" i="29"/>
  <c r="BT1064" i="29"/>
  <c r="BI1064" i="29"/>
  <c r="BT1063" i="29"/>
  <c r="BI1063" i="29"/>
  <c r="BT1062" i="29"/>
  <c r="BI1062" i="29"/>
  <c r="BT1061" i="29"/>
  <c r="BI1061" i="29"/>
  <c r="BT1060" i="29"/>
  <c r="BI1060" i="29"/>
  <c r="BT1059" i="29"/>
  <c r="BI1059" i="29"/>
  <c r="BT1058" i="29"/>
  <c r="BI1058" i="29"/>
  <c r="BT1057" i="29"/>
  <c r="BI1057" i="29"/>
  <c r="BT1056" i="29"/>
  <c r="BI1056" i="29"/>
  <c r="BT1055" i="29"/>
  <c r="BI1055" i="29"/>
  <c r="BT1054" i="29"/>
  <c r="BI1054" i="29"/>
  <c r="BT1052" i="29"/>
  <c r="BI1052" i="29"/>
  <c r="BT1051" i="29"/>
  <c r="BI1051" i="29"/>
  <c r="BT1050" i="29"/>
  <c r="BI1050" i="29"/>
  <c r="BT1049" i="29"/>
  <c r="BI1049" i="29"/>
  <c r="BT1048" i="29"/>
  <c r="BI1048" i="29"/>
  <c r="BT1047" i="29"/>
  <c r="BI1047" i="29"/>
  <c r="BT1046" i="29"/>
  <c r="BI1046" i="29"/>
  <c r="BT1045" i="29"/>
  <c r="BI1045" i="29"/>
  <c r="BT1044" i="29"/>
  <c r="BI1044" i="29"/>
  <c r="BT1043" i="29"/>
  <c r="BI1043" i="29"/>
  <c r="BT1042" i="29"/>
  <c r="BI1042" i="29"/>
  <c r="BT1040" i="29"/>
  <c r="BI1040" i="29"/>
  <c r="BT1039" i="29"/>
  <c r="BI1039" i="29"/>
  <c r="BT1038" i="29"/>
  <c r="BI1038" i="29"/>
  <c r="BT1037" i="29"/>
  <c r="BI1037" i="29"/>
  <c r="BT1036" i="29"/>
  <c r="BI1036" i="29"/>
  <c r="BT1035" i="29"/>
  <c r="BI1035" i="29"/>
  <c r="BT1034" i="29"/>
  <c r="BI1034" i="29"/>
  <c r="BT1033" i="29"/>
  <c r="BI1033" i="29"/>
  <c r="BT1032" i="29"/>
  <c r="BI1032" i="29"/>
  <c r="BT1031" i="29"/>
  <c r="BI1031" i="29"/>
  <c r="BT1030" i="29"/>
  <c r="BI1030" i="29"/>
  <c r="BT1028" i="29"/>
  <c r="BI1028" i="29"/>
  <c r="BT1027" i="29"/>
  <c r="BI1027" i="29"/>
  <c r="BT1026" i="29"/>
  <c r="BI1026" i="29"/>
  <c r="BT1025" i="29"/>
  <c r="BI1025" i="29"/>
  <c r="BT1024" i="29"/>
  <c r="BI1024" i="29"/>
  <c r="BT1023" i="29"/>
  <c r="BI1023" i="29"/>
  <c r="BT1022" i="29"/>
  <c r="BI1022" i="29"/>
  <c r="BT1021" i="29"/>
  <c r="BI1021" i="29"/>
  <c r="BT1020" i="29"/>
  <c r="BI1020" i="29"/>
  <c r="BT1019" i="29"/>
  <c r="BI1019" i="29"/>
  <c r="BT1018" i="29"/>
  <c r="BI1018" i="29"/>
  <c r="BT1016" i="29"/>
  <c r="BI1016" i="29"/>
  <c r="BT1015" i="29"/>
  <c r="BI1015" i="29"/>
  <c r="BT1014" i="29"/>
  <c r="BI1014" i="29"/>
  <c r="BT1013" i="29"/>
  <c r="BI1013" i="29"/>
  <c r="BT1012" i="29"/>
  <c r="BI1012" i="29"/>
  <c r="BT1011" i="29"/>
  <c r="BI1011" i="29"/>
  <c r="BT1010" i="29"/>
  <c r="BI1010" i="29"/>
  <c r="BT1009" i="29"/>
  <c r="BI1009" i="29"/>
  <c r="BT1008" i="29"/>
  <c r="BI1008" i="29"/>
  <c r="BT1007" i="29"/>
  <c r="BI1007" i="29"/>
  <c r="BT1006" i="29"/>
  <c r="BI1006" i="29"/>
  <c r="BT1004" i="29"/>
  <c r="BI1004" i="29"/>
  <c r="BT1003" i="29"/>
  <c r="BI1003" i="29"/>
  <c r="BT1002" i="29"/>
  <c r="BI1002" i="29"/>
  <c r="BT1001" i="29"/>
  <c r="BI1001" i="29"/>
  <c r="BT1000" i="29"/>
  <c r="BI1000" i="29"/>
  <c r="BT999" i="29"/>
  <c r="BI999" i="29"/>
  <c r="BT998" i="29"/>
  <c r="BI998" i="29"/>
  <c r="BT997" i="29"/>
  <c r="BI997" i="29"/>
  <c r="BT996" i="29"/>
  <c r="BI996" i="29"/>
  <c r="BT995" i="29"/>
  <c r="BI995" i="29"/>
  <c r="BT994" i="29"/>
  <c r="BI994" i="29"/>
  <c r="BT992" i="29"/>
  <c r="BI992" i="29"/>
  <c r="BT991" i="29"/>
  <c r="BI991" i="29"/>
  <c r="BT990" i="29"/>
  <c r="BI990" i="29"/>
  <c r="BT989" i="29"/>
  <c r="BI989" i="29"/>
  <c r="BT988" i="29"/>
  <c r="BI988" i="29"/>
  <c r="BT987" i="29"/>
  <c r="BI987" i="29"/>
  <c r="BT986" i="29"/>
  <c r="BI986" i="29"/>
  <c r="BT985" i="29"/>
  <c r="BI985" i="29"/>
  <c r="BT984" i="29"/>
  <c r="BI984" i="29"/>
  <c r="BT983" i="29"/>
  <c r="BI983" i="29"/>
  <c r="BT982" i="29"/>
  <c r="BI982" i="29"/>
  <c r="BT980" i="29"/>
  <c r="BI980" i="29"/>
  <c r="BT979" i="29"/>
  <c r="BI979" i="29"/>
  <c r="BT978" i="29"/>
  <c r="BI978" i="29"/>
  <c r="BT977" i="29"/>
  <c r="BI977" i="29"/>
  <c r="BT976" i="29"/>
  <c r="BI976" i="29"/>
  <c r="BT975" i="29"/>
  <c r="BI975" i="29"/>
  <c r="BT974" i="29"/>
  <c r="BI974" i="29"/>
  <c r="BT973" i="29"/>
  <c r="BI973" i="29"/>
  <c r="BT972" i="29"/>
  <c r="BI972" i="29"/>
  <c r="BT971" i="29"/>
  <c r="BI971" i="29"/>
  <c r="BT970" i="29"/>
  <c r="BI970" i="29"/>
  <c r="BT968" i="29"/>
  <c r="BI968" i="29"/>
  <c r="BT967" i="29"/>
  <c r="BI967" i="29"/>
  <c r="BT966" i="29"/>
  <c r="BI966" i="29"/>
  <c r="BT965" i="29"/>
  <c r="BI965" i="29"/>
  <c r="BT964" i="29"/>
  <c r="BI964" i="29"/>
  <c r="BT963" i="29"/>
  <c r="BI963" i="29"/>
  <c r="BT962" i="29"/>
  <c r="BI962" i="29"/>
  <c r="BT961" i="29"/>
  <c r="BI961" i="29"/>
  <c r="BT960" i="29"/>
  <c r="BI960" i="29"/>
  <c r="BT959" i="29"/>
  <c r="BI959" i="29"/>
  <c r="BT958" i="29"/>
  <c r="BI958" i="29"/>
  <c r="BT956" i="29"/>
  <c r="BI956" i="29"/>
  <c r="BT955" i="29"/>
  <c r="BI955" i="29"/>
  <c r="BT954" i="29"/>
  <c r="BI954" i="29"/>
  <c r="BT953" i="29"/>
  <c r="BI953" i="29"/>
  <c r="BT952" i="29"/>
  <c r="BI952" i="29"/>
  <c r="BT951" i="29"/>
  <c r="BI951" i="29"/>
  <c r="BT950" i="29"/>
  <c r="BI950" i="29"/>
  <c r="BT949" i="29"/>
  <c r="BI949" i="29"/>
  <c r="BT948" i="29"/>
  <c r="BI948" i="29"/>
  <c r="BT947" i="29"/>
  <c r="BI947" i="29"/>
  <c r="BT946" i="29"/>
  <c r="BI946" i="29"/>
  <c r="BT944" i="29"/>
  <c r="BI944" i="29"/>
  <c r="BT943" i="29"/>
  <c r="BI943" i="29"/>
  <c r="BT942" i="29"/>
  <c r="BI942" i="29"/>
  <c r="BT941" i="29"/>
  <c r="BI941" i="29"/>
  <c r="BT940" i="29"/>
  <c r="BI940" i="29"/>
  <c r="BT939" i="29"/>
  <c r="BI939" i="29"/>
  <c r="BT938" i="29"/>
  <c r="BI938" i="29"/>
  <c r="BT937" i="29"/>
  <c r="BI937" i="29"/>
  <c r="BT936" i="29"/>
  <c r="BI936" i="29"/>
  <c r="BT935" i="29"/>
  <c r="BI935" i="29"/>
  <c r="BT934" i="29"/>
  <c r="BI934" i="29"/>
  <c r="BT932" i="29"/>
  <c r="BI932" i="29"/>
  <c r="BT931" i="29"/>
  <c r="BI931" i="29"/>
  <c r="BT930" i="29"/>
  <c r="BI930" i="29"/>
  <c r="BT929" i="29"/>
  <c r="BI929" i="29"/>
  <c r="BT928" i="29"/>
  <c r="BI928" i="29"/>
  <c r="BT927" i="29"/>
  <c r="BI927" i="29"/>
  <c r="BT926" i="29"/>
  <c r="BI926" i="29"/>
  <c r="BT925" i="29"/>
  <c r="BI925" i="29"/>
  <c r="BT924" i="29"/>
  <c r="BI924" i="29"/>
  <c r="BT923" i="29"/>
  <c r="BI923" i="29"/>
  <c r="BT922" i="29"/>
  <c r="BI922" i="29"/>
  <c r="BT920" i="29"/>
  <c r="BI920" i="29"/>
  <c r="BT919" i="29"/>
  <c r="BI919" i="29"/>
  <c r="BT918" i="29"/>
  <c r="BI918" i="29"/>
  <c r="BT917" i="29"/>
  <c r="BI917" i="29"/>
  <c r="BT916" i="29"/>
  <c r="BI916" i="29"/>
  <c r="BT915" i="29"/>
  <c r="BI915" i="29"/>
  <c r="BT914" i="29"/>
  <c r="BI914" i="29"/>
  <c r="BT913" i="29"/>
  <c r="BI913" i="29"/>
  <c r="BT912" i="29"/>
  <c r="BI912" i="29"/>
  <c r="BT911" i="29"/>
  <c r="BI911" i="29"/>
  <c r="BT910" i="29"/>
  <c r="BI910" i="29"/>
  <c r="BT908" i="29"/>
  <c r="BI908" i="29"/>
  <c r="BT907" i="29"/>
  <c r="BI907" i="29"/>
  <c r="BT906" i="29"/>
  <c r="BI906" i="29"/>
  <c r="BT905" i="29"/>
  <c r="BI905" i="29"/>
  <c r="BT904" i="29"/>
  <c r="BI904" i="29"/>
  <c r="BT903" i="29"/>
  <c r="BI903" i="29"/>
  <c r="BT902" i="29"/>
  <c r="BI902" i="29"/>
  <c r="BT901" i="29"/>
  <c r="BI901" i="29"/>
  <c r="BT900" i="29"/>
  <c r="BI900" i="29"/>
  <c r="BT899" i="29"/>
  <c r="BI899" i="29"/>
  <c r="BT898" i="29"/>
  <c r="BI898" i="29"/>
  <c r="BT896" i="29"/>
  <c r="BI896" i="29"/>
  <c r="BT895" i="29"/>
  <c r="BI895" i="29"/>
  <c r="BT894" i="29"/>
  <c r="BI894" i="29"/>
  <c r="BT893" i="29"/>
  <c r="BI893" i="29"/>
  <c r="BT892" i="29"/>
  <c r="BI892" i="29"/>
  <c r="BT891" i="29"/>
  <c r="BI891" i="29"/>
  <c r="BT890" i="29"/>
  <c r="BI890" i="29"/>
  <c r="BT889" i="29"/>
  <c r="BI889" i="29"/>
  <c r="BT888" i="29"/>
  <c r="BI888" i="29"/>
  <c r="BT887" i="29"/>
  <c r="BI887" i="29"/>
  <c r="BT886" i="29"/>
  <c r="BI886" i="29"/>
  <c r="BT884" i="29"/>
  <c r="BI884" i="29"/>
  <c r="BT883" i="29"/>
  <c r="BI883" i="29"/>
  <c r="BT882" i="29"/>
  <c r="BI882" i="29"/>
  <c r="BT881" i="29"/>
  <c r="BI881" i="29"/>
  <c r="BT880" i="29"/>
  <c r="BI880" i="29"/>
  <c r="BT879" i="29"/>
  <c r="BI879" i="29"/>
  <c r="BT878" i="29"/>
  <c r="BI878" i="29"/>
  <c r="BT877" i="29"/>
  <c r="BI877" i="29"/>
  <c r="BT876" i="29"/>
  <c r="BI876" i="29"/>
  <c r="BT875" i="29"/>
  <c r="BI875" i="29"/>
  <c r="BT874" i="29"/>
  <c r="BI874" i="29"/>
  <c r="BT872" i="29"/>
  <c r="BI872" i="29"/>
  <c r="BT871" i="29"/>
  <c r="BI871" i="29"/>
  <c r="BT870" i="29"/>
  <c r="BI870" i="29"/>
  <c r="BT869" i="29"/>
  <c r="BI869" i="29"/>
  <c r="BT868" i="29"/>
  <c r="BI868" i="29"/>
  <c r="BT867" i="29"/>
  <c r="BI867" i="29"/>
  <c r="BT866" i="29"/>
  <c r="BI866" i="29"/>
  <c r="BT865" i="29"/>
  <c r="BI865" i="29"/>
  <c r="BT864" i="29"/>
  <c r="BI864" i="29"/>
  <c r="BT863" i="29"/>
  <c r="BI863" i="29"/>
  <c r="BT862" i="29"/>
  <c r="BI862" i="29"/>
  <c r="BT860" i="29"/>
  <c r="BI860" i="29"/>
  <c r="BT859" i="29"/>
  <c r="BI859" i="29"/>
  <c r="BT858" i="29"/>
  <c r="BI858" i="29"/>
  <c r="BT857" i="29"/>
  <c r="BI857" i="29"/>
  <c r="BT856" i="29"/>
  <c r="BI856" i="29"/>
  <c r="BT855" i="29"/>
  <c r="BI855" i="29"/>
  <c r="BT854" i="29"/>
  <c r="BI854" i="29"/>
  <c r="BT853" i="29"/>
  <c r="BI853" i="29"/>
  <c r="BT852" i="29"/>
  <c r="BI852" i="29"/>
  <c r="BT851" i="29"/>
  <c r="BI851" i="29"/>
  <c r="BT850" i="29"/>
  <c r="BI850" i="29"/>
  <c r="BT848" i="29"/>
  <c r="BI848" i="29"/>
  <c r="BT847" i="29"/>
  <c r="BI847" i="29"/>
  <c r="BT846" i="29"/>
  <c r="BI846" i="29"/>
  <c r="BT845" i="29"/>
  <c r="BI845" i="29"/>
  <c r="BT844" i="29"/>
  <c r="BI844" i="29"/>
  <c r="BT843" i="29"/>
  <c r="BI843" i="29"/>
  <c r="BT842" i="29"/>
  <c r="BI842" i="29"/>
  <c r="BT841" i="29"/>
  <c r="BI841" i="29"/>
  <c r="BT840" i="29"/>
  <c r="BI840" i="29"/>
  <c r="BT839" i="29"/>
  <c r="BI839" i="29"/>
  <c r="BT838" i="29"/>
  <c r="BI838" i="29"/>
  <c r="BT836" i="29"/>
  <c r="BI836" i="29"/>
  <c r="BT835" i="29"/>
  <c r="BI835" i="29"/>
  <c r="BT834" i="29"/>
  <c r="BI834" i="29"/>
  <c r="BT833" i="29"/>
  <c r="BI833" i="29"/>
  <c r="BT832" i="29"/>
  <c r="BI832" i="29"/>
  <c r="BT831" i="29"/>
  <c r="BI831" i="29"/>
  <c r="BT830" i="29"/>
  <c r="BI830" i="29"/>
  <c r="BT829" i="29"/>
  <c r="BI829" i="29"/>
  <c r="BT828" i="29"/>
  <c r="BI828" i="29"/>
  <c r="BT827" i="29"/>
  <c r="BI827" i="29"/>
  <c r="BT826" i="29"/>
  <c r="BI826" i="29"/>
  <c r="BT824" i="29"/>
  <c r="BI824" i="29"/>
  <c r="BT823" i="29"/>
  <c r="BI823" i="29"/>
  <c r="BT822" i="29"/>
  <c r="BI822" i="29"/>
  <c r="BT821" i="29"/>
  <c r="BI821" i="29"/>
  <c r="BT820" i="29"/>
  <c r="BI820" i="29"/>
  <c r="BT819" i="29"/>
  <c r="BI819" i="29"/>
  <c r="BT818" i="29"/>
  <c r="BI818" i="29"/>
  <c r="BT817" i="29"/>
  <c r="BI817" i="29"/>
  <c r="BT816" i="29"/>
  <c r="BI816" i="29"/>
  <c r="BT815" i="29"/>
  <c r="BI815" i="29"/>
  <c r="BT814" i="29"/>
  <c r="BI814" i="29"/>
  <c r="BT812" i="29"/>
  <c r="BI812" i="29"/>
  <c r="BT811" i="29"/>
  <c r="BI811" i="29"/>
  <c r="BT810" i="29"/>
  <c r="BI810" i="29"/>
  <c r="BT809" i="29"/>
  <c r="BI809" i="29"/>
  <c r="BT808" i="29"/>
  <c r="BI808" i="29"/>
  <c r="BT807" i="29"/>
  <c r="BI807" i="29"/>
  <c r="BT806" i="29"/>
  <c r="BI806" i="29"/>
  <c r="BT805" i="29"/>
  <c r="BI805" i="29"/>
  <c r="BT804" i="29"/>
  <c r="BI804" i="29"/>
  <c r="BT803" i="29"/>
  <c r="BI803" i="29"/>
  <c r="BT802" i="29"/>
  <c r="BI802" i="29"/>
  <c r="BT800" i="29"/>
  <c r="BI800" i="29"/>
  <c r="BT799" i="29"/>
  <c r="BI799" i="29"/>
  <c r="BT798" i="29"/>
  <c r="BI798" i="29"/>
  <c r="BT797" i="29"/>
  <c r="BI797" i="29"/>
  <c r="BT796" i="29"/>
  <c r="BI796" i="29"/>
  <c r="BT795" i="29"/>
  <c r="BI795" i="29"/>
  <c r="BT794" i="29"/>
  <c r="BI794" i="29"/>
  <c r="BT793" i="29"/>
  <c r="BI793" i="29"/>
  <c r="BT792" i="29"/>
  <c r="BI792" i="29"/>
  <c r="BT791" i="29"/>
  <c r="BI791" i="29"/>
  <c r="BT790" i="29"/>
  <c r="BI790" i="29"/>
  <c r="BT788" i="29"/>
  <c r="BI788" i="29"/>
  <c r="BT787" i="29"/>
  <c r="BI787" i="29"/>
  <c r="BT786" i="29"/>
  <c r="BI786" i="29"/>
  <c r="BT785" i="29"/>
  <c r="BI785" i="29"/>
  <c r="BT784" i="29"/>
  <c r="BI784" i="29"/>
  <c r="BT783" i="29"/>
  <c r="BI783" i="29"/>
  <c r="BT782" i="29"/>
  <c r="BI782" i="29"/>
  <c r="BT781" i="29"/>
  <c r="BI781" i="29"/>
  <c r="BT780" i="29"/>
  <c r="BI780" i="29"/>
  <c r="BT779" i="29"/>
  <c r="BI779" i="29"/>
  <c r="BT778" i="29"/>
  <c r="BI778" i="29"/>
  <c r="BT776" i="29"/>
  <c r="BI776" i="29"/>
  <c r="BT775" i="29"/>
  <c r="BI775" i="29"/>
  <c r="BT774" i="29"/>
  <c r="BI774" i="29"/>
  <c r="BT773" i="29"/>
  <c r="BI773" i="29"/>
  <c r="BT772" i="29"/>
  <c r="BI772" i="29"/>
  <c r="BT771" i="29"/>
  <c r="BI771" i="29"/>
  <c r="BT770" i="29"/>
  <c r="BI770" i="29"/>
  <c r="BT769" i="29"/>
  <c r="BI769" i="29"/>
  <c r="BT768" i="29"/>
  <c r="BI768" i="29"/>
  <c r="BT767" i="29"/>
  <c r="BI767" i="29"/>
  <c r="BT766" i="29"/>
  <c r="BI766" i="29"/>
  <c r="BT764" i="29"/>
  <c r="BI764" i="29"/>
  <c r="BT763" i="29"/>
  <c r="BI763" i="29"/>
  <c r="BT762" i="29"/>
  <c r="BI762" i="29"/>
  <c r="BT761" i="29"/>
  <c r="BI761" i="29"/>
  <c r="BT760" i="29"/>
  <c r="BI760" i="29"/>
  <c r="BT759" i="29"/>
  <c r="BI759" i="29"/>
  <c r="BT758" i="29"/>
  <c r="BI758" i="29"/>
  <c r="BT757" i="29"/>
  <c r="BI757" i="29"/>
  <c r="BT756" i="29"/>
  <c r="BI756" i="29"/>
  <c r="BT755" i="29"/>
  <c r="BI755" i="29"/>
  <c r="BT754" i="29"/>
  <c r="BI754" i="29"/>
  <c r="BT752" i="29"/>
  <c r="BI752" i="29"/>
  <c r="BT751" i="29"/>
  <c r="BI751" i="29"/>
  <c r="BT750" i="29"/>
  <c r="BI750" i="29"/>
  <c r="BT749" i="29"/>
  <c r="BI749" i="29"/>
  <c r="BT748" i="29"/>
  <c r="BI748" i="29"/>
  <c r="BT747" i="29"/>
  <c r="BI747" i="29"/>
  <c r="BT746" i="29"/>
  <c r="BI746" i="29"/>
  <c r="BT745" i="29"/>
  <c r="BI745" i="29"/>
  <c r="BT744" i="29"/>
  <c r="BI744" i="29"/>
  <c r="BT743" i="29"/>
  <c r="BI743" i="29"/>
  <c r="BT742" i="29"/>
  <c r="BI742" i="29"/>
  <c r="BT740" i="29"/>
  <c r="BI740" i="29"/>
  <c r="BT739" i="29"/>
  <c r="BI739" i="29"/>
  <c r="BT738" i="29"/>
  <c r="BI738" i="29"/>
  <c r="BT737" i="29"/>
  <c r="BI737" i="29"/>
  <c r="BT736" i="29"/>
  <c r="BI736" i="29"/>
  <c r="BT735" i="29"/>
  <c r="BI735" i="29"/>
  <c r="BT734" i="29"/>
  <c r="BI734" i="29"/>
  <c r="BT733" i="29"/>
  <c r="BI733" i="29"/>
  <c r="BT732" i="29"/>
  <c r="BI732" i="29"/>
  <c r="BT731" i="29"/>
  <c r="BI731" i="29"/>
  <c r="BT730" i="29"/>
  <c r="BI730" i="29"/>
  <c r="BT728" i="29"/>
  <c r="BI728" i="29"/>
  <c r="BT727" i="29"/>
  <c r="BI727" i="29"/>
  <c r="BT726" i="29"/>
  <c r="BI726" i="29"/>
  <c r="BT725" i="29"/>
  <c r="BI725" i="29"/>
  <c r="BT724" i="29"/>
  <c r="BI724" i="29"/>
  <c r="BT723" i="29"/>
  <c r="BI723" i="29"/>
  <c r="BT722" i="29"/>
  <c r="BI722" i="29"/>
  <c r="BT721" i="29"/>
  <c r="BI721" i="29"/>
  <c r="BT720" i="29"/>
  <c r="BI720" i="29"/>
  <c r="BT719" i="29"/>
  <c r="BI719" i="29"/>
  <c r="BT718" i="29"/>
  <c r="BI718" i="29"/>
  <c r="BT716" i="29"/>
  <c r="BI716" i="29"/>
  <c r="BT715" i="29"/>
  <c r="BI715" i="29"/>
  <c r="BT714" i="29"/>
  <c r="BI714" i="29"/>
  <c r="BT713" i="29"/>
  <c r="BI713" i="29"/>
  <c r="BT712" i="29"/>
  <c r="BI712" i="29"/>
  <c r="BT711" i="29"/>
  <c r="BI711" i="29"/>
  <c r="BT710" i="29"/>
  <c r="BI710" i="29"/>
  <c r="BT709" i="29"/>
  <c r="BI709" i="29"/>
  <c r="BT708" i="29"/>
  <c r="BI708" i="29"/>
  <c r="BT707" i="29"/>
  <c r="BI707" i="29"/>
  <c r="BT706" i="29"/>
  <c r="BI706" i="29"/>
  <c r="BT704" i="29"/>
  <c r="BI704" i="29"/>
  <c r="BT703" i="29"/>
  <c r="BI703" i="29"/>
  <c r="BT702" i="29"/>
  <c r="BI702" i="29"/>
  <c r="BT701" i="29"/>
  <c r="BI701" i="29"/>
  <c r="BT700" i="29"/>
  <c r="BI700" i="29"/>
  <c r="BT699" i="29"/>
  <c r="BI699" i="29"/>
  <c r="BT698" i="29"/>
  <c r="BI698" i="29"/>
  <c r="BT697" i="29"/>
  <c r="BI697" i="29"/>
  <c r="BT696" i="29"/>
  <c r="BI696" i="29"/>
  <c r="BT695" i="29"/>
  <c r="BI695" i="29"/>
  <c r="BT694" i="29"/>
  <c r="BI694" i="29"/>
  <c r="BT692" i="29"/>
  <c r="BI692" i="29"/>
  <c r="BT691" i="29"/>
  <c r="BI691" i="29"/>
  <c r="BT690" i="29"/>
  <c r="BI690" i="29"/>
  <c r="BT689" i="29"/>
  <c r="BI689" i="29"/>
  <c r="BT688" i="29"/>
  <c r="BI688" i="29"/>
  <c r="BT687" i="29"/>
  <c r="BI687" i="29"/>
  <c r="BT686" i="29"/>
  <c r="BI686" i="29"/>
  <c r="BT685" i="29"/>
  <c r="BI685" i="29"/>
  <c r="BT684" i="29"/>
  <c r="BI684" i="29"/>
  <c r="BT683" i="29"/>
  <c r="BI683" i="29"/>
  <c r="BT682" i="29"/>
  <c r="BI682" i="29"/>
  <c r="BT680" i="29"/>
  <c r="BI680" i="29"/>
  <c r="BT679" i="29"/>
  <c r="BI679" i="29"/>
  <c r="BT678" i="29"/>
  <c r="BI678" i="29"/>
  <c r="BT677" i="29"/>
  <c r="BI677" i="29"/>
  <c r="BT676" i="29"/>
  <c r="BI676" i="29"/>
  <c r="BT675" i="29"/>
  <c r="BI675" i="29"/>
  <c r="BT674" i="29"/>
  <c r="BI674" i="29"/>
  <c r="BT673" i="29"/>
  <c r="BI673" i="29"/>
  <c r="BT672" i="29"/>
  <c r="BI672" i="29"/>
  <c r="BT671" i="29"/>
  <c r="BI671" i="29"/>
  <c r="BT670" i="29"/>
  <c r="BI670" i="29"/>
  <c r="BT668" i="29"/>
  <c r="BI668" i="29"/>
  <c r="BT667" i="29"/>
  <c r="BI667" i="29"/>
  <c r="BT666" i="29"/>
  <c r="BI666" i="29"/>
  <c r="BT665" i="29"/>
  <c r="BI665" i="29"/>
  <c r="BT664" i="29"/>
  <c r="BI664" i="29"/>
  <c r="BT663" i="29"/>
  <c r="BI663" i="29"/>
  <c r="BT662" i="29"/>
  <c r="BI662" i="29"/>
  <c r="BT661" i="29"/>
  <c r="BI661" i="29"/>
  <c r="BT660" i="29"/>
  <c r="BI660" i="29"/>
  <c r="BT659" i="29"/>
  <c r="BI659" i="29"/>
  <c r="BT658" i="29"/>
  <c r="BI658" i="29"/>
  <c r="BT656" i="29"/>
  <c r="BI656" i="29"/>
  <c r="BT655" i="29"/>
  <c r="BI655" i="29"/>
  <c r="BT654" i="29"/>
  <c r="BI654" i="29"/>
  <c r="BT653" i="29"/>
  <c r="BI653" i="29"/>
  <c r="BT652" i="29"/>
  <c r="BI652" i="29"/>
  <c r="BT651" i="29"/>
  <c r="BI651" i="29"/>
  <c r="BT650" i="29"/>
  <c r="BI650" i="29"/>
  <c r="BT649" i="29"/>
  <c r="BI649" i="29"/>
  <c r="BT648" i="29"/>
  <c r="BI648" i="29"/>
  <c r="BT647" i="29"/>
  <c r="BI647" i="29"/>
  <c r="BT646" i="29"/>
  <c r="BI646" i="29"/>
  <c r="BT644" i="29"/>
  <c r="BI644" i="29"/>
  <c r="BT643" i="29"/>
  <c r="BI643" i="29"/>
  <c r="BT642" i="29"/>
  <c r="BI642" i="29"/>
  <c r="BT641" i="29"/>
  <c r="BI641" i="29"/>
  <c r="BT640" i="29"/>
  <c r="BI640" i="29"/>
  <c r="BT639" i="29"/>
  <c r="BI639" i="29"/>
  <c r="BT638" i="29"/>
  <c r="BI638" i="29"/>
  <c r="BT637" i="29"/>
  <c r="BI637" i="29"/>
  <c r="BT636" i="29"/>
  <c r="BI636" i="29"/>
  <c r="BT635" i="29"/>
  <c r="BI635" i="29"/>
  <c r="BT634" i="29"/>
  <c r="BI634" i="29"/>
  <c r="BT632" i="29"/>
  <c r="BI632" i="29"/>
  <c r="BT631" i="29"/>
  <c r="BI631" i="29"/>
  <c r="BT630" i="29"/>
  <c r="BI630" i="29"/>
  <c r="BT629" i="29"/>
  <c r="BI629" i="29"/>
  <c r="BT628" i="29"/>
  <c r="BI628" i="29"/>
  <c r="BT627" i="29"/>
  <c r="BI627" i="29"/>
  <c r="BT626" i="29"/>
  <c r="BI626" i="29"/>
  <c r="BT625" i="29"/>
  <c r="BI625" i="29"/>
  <c r="BT624" i="29"/>
  <c r="BI624" i="29"/>
  <c r="BT623" i="29"/>
  <c r="BI623" i="29"/>
  <c r="BT622" i="29"/>
  <c r="BI622" i="29"/>
  <c r="BT620" i="29"/>
  <c r="BI620" i="29"/>
  <c r="BT619" i="29"/>
  <c r="BI619" i="29"/>
  <c r="BT618" i="29"/>
  <c r="BI618" i="29"/>
  <c r="BT617" i="29"/>
  <c r="BI617" i="29"/>
  <c r="BT616" i="29"/>
  <c r="BI616" i="29"/>
  <c r="BT615" i="29"/>
  <c r="BI615" i="29"/>
  <c r="BT614" i="29"/>
  <c r="BI614" i="29"/>
  <c r="BT613" i="29"/>
  <c r="BI613" i="29"/>
  <c r="BT612" i="29"/>
  <c r="BI612" i="29"/>
  <c r="BT611" i="29"/>
  <c r="BI611" i="29"/>
  <c r="BT610" i="29"/>
  <c r="BI610" i="29"/>
  <c r="BT608" i="29"/>
  <c r="BI608" i="29"/>
  <c r="BT607" i="29"/>
  <c r="BI607" i="29"/>
  <c r="BT606" i="29"/>
  <c r="BI606" i="29"/>
  <c r="BT605" i="29"/>
  <c r="BI605" i="29"/>
  <c r="BT604" i="29"/>
  <c r="BI604" i="29"/>
  <c r="BT603" i="29"/>
  <c r="BI603" i="29"/>
  <c r="BT602" i="29"/>
  <c r="BI602" i="29"/>
  <c r="BT601" i="29"/>
  <c r="BI601" i="29"/>
  <c r="BT600" i="29"/>
  <c r="BI600" i="29"/>
  <c r="BT599" i="29"/>
  <c r="BI599" i="29"/>
  <c r="BT598" i="29"/>
  <c r="BI598" i="29"/>
  <c r="BT596" i="29"/>
  <c r="BI596" i="29"/>
  <c r="BT595" i="29"/>
  <c r="BI595" i="29"/>
  <c r="BT594" i="29"/>
  <c r="BI594" i="29"/>
  <c r="BT593" i="29"/>
  <c r="BI593" i="29"/>
  <c r="BT592" i="29"/>
  <c r="BI592" i="29"/>
  <c r="BT591" i="29"/>
  <c r="BI591" i="29"/>
  <c r="BT590" i="29"/>
  <c r="BI590" i="29"/>
  <c r="BT589" i="29"/>
  <c r="BI589" i="29"/>
  <c r="BT588" i="29"/>
  <c r="BI588" i="29"/>
  <c r="BT587" i="29"/>
  <c r="BI587" i="29"/>
  <c r="BT586" i="29"/>
  <c r="BI586" i="29"/>
  <c r="BT584" i="29"/>
  <c r="BI584" i="29"/>
  <c r="BT583" i="29"/>
  <c r="BI583" i="29"/>
  <c r="BT582" i="29"/>
  <c r="BI582" i="29"/>
  <c r="BT581" i="29"/>
  <c r="BI581" i="29"/>
  <c r="BT580" i="29"/>
  <c r="BI580" i="29"/>
  <c r="BT579" i="29"/>
  <c r="BI579" i="29"/>
  <c r="BT578" i="29"/>
  <c r="BI578" i="29"/>
  <c r="BT577" i="29"/>
  <c r="BI577" i="29"/>
  <c r="BT576" i="29"/>
  <c r="BI576" i="29"/>
  <c r="BT575" i="29"/>
  <c r="BI575" i="29"/>
  <c r="BT574" i="29"/>
  <c r="BI574" i="29"/>
  <c r="BT572" i="29"/>
  <c r="BI572" i="29"/>
  <c r="BT571" i="29"/>
  <c r="BI571" i="29"/>
  <c r="BT570" i="29"/>
  <c r="BI570" i="29"/>
  <c r="BT569" i="29"/>
  <c r="BI569" i="29"/>
  <c r="BT568" i="29"/>
  <c r="BI568" i="29"/>
  <c r="BT567" i="29"/>
  <c r="BI567" i="29"/>
  <c r="BT566" i="29"/>
  <c r="BI566" i="29"/>
  <c r="BT565" i="29"/>
  <c r="BI565" i="29"/>
  <c r="BT564" i="29"/>
  <c r="BI564" i="29"/>
  <c r="BT563" i="29"/>
  <c r="BI563" i="29"/>
  <c r="BT562" i="29"/>
  <c r="BI562" i="29"/>
  <c r="BT560" i="29"/>
  <c r="BI560" i="29"/>
  <c r="BT559" i="29"/>
  <c r="BI559" i="29"/>
  <c r="BT558" i="29"/>
  <c r="BI558" i="29"/>
  <c r="BT557" i="29"/>
  <c r="BI557" i="29"/>
  <c r="BT556" i="29"/>
  <c r="BI556" i="29"/>
  <c r="BT555" i="29"/>
  <c r="BI555" i="29"/>
  <c r="BT554" i="29"/>
  <c r="BI554" i="29"/>
  <c r="BT553" i="29"/>
  <c r="BI553" i="29"/>
  <c r="BT552" i="29"/>
  <c r="BI552" i="29"/>
  <c r="BT551" i="29"/>
  <c r="BI551" i="29"/>
  <c r="BT550" i="29"/>
  <c r="BI550" i="29"/>
  <c r="BT548" i="29"/>
  <c r="BI548" i="29"/>
  <c r="BT547" i="29"/>
  <c r="BI547" i="29"/>
  <c r="BT546" i="29"/>
  <c r="BI546" i="29"/>
  <c r="BT545" i="29"/>
  <c r="BI545" i="29"/>
  <c r="BT544" i="29"/>
  <c r="BI544" i="29"/>
  <c r="BT543" i="29"/>
  <c r="BI543" i="29"/>
  <c r="BT542" i="29"/>
  <c r="BI542" i="29"/>
  <c r="BT541" i="29"/>
  <c r="BI541" i="29"/>
  <c r="BT540" i="29"/>
  <c r="BI540" i="29"/>
  <c r="BT539" i="29"/>
  <c r="BI539" i="29"/>
  <c r="BT538" i="29"/>
  <c r="BI538" i="29"/>
  <c r="BT536" i="29"/>
  <c r="BI536" i="29"/>
  <c r="BT535" i="29"/>
  <c r="BI535" i="29"/>
  <c r="BT534" i="29"/>
  <c r="BI534" i="29"/>
  <c r="BT533" i="29"/>
  <c r="BI533" i="29"/>
  <c r="BT532" i="29"/>
  <c r="BI532" i="29"/>
  <c r="BT531" i="29"/>
  <c r="BI531" i="29"/>
  <c r="BT530" i="29"/>
  <c r="BI530" i="29"/>
  <c r="BT529" i="29"/>
  <c r="BI529" i="29"/>
  <c r="BT528" i="29"/>
  <c r="BI528" i="29"/>
  <c r="BT527" i="29"/>
  <c r="BI527" i="29"/>
  <c r="BT526" i="29"/>
  <c r="BI526" i="29"/>
  <c r="BT524" i="29"/>
  <c r="BI524" i="29"/>
  <c r="BT523" i="29"/>
  <c r="BI523" i="29"/>
  <c r="BT522" i="29"/>
  <c r="BI522" i="29"/>
  <c r="BT521" i="29"/>
  <c r="BI521" i="29"/>
  <c r="BT520" i="29"/>
  <c r="BI520" i="29"/>
  <c r="BT519" i="29"/>
  <c r="BI519" i="29"/>
  <c r="BT518" i="29"/>
  <c r="BI518" i="29"/>
  <c r="BT517" i="29"/>
  <c r="BI517" i="29"/>
  <c r="BT516" i="29"/>
  <c r="BI516" i="29"/>
  <c r="BT515" i="29"/>
  <c r="BI515" i="29"/>
  <c r="BT514" i="29"/>
  <c r="BI514" i="29"/>
  <c r="BT512" i="29"/>
  <c r="BI512" i="29"/>
  <c r="BT511" i="29"/>
  <c r="BI511" i="29"/>
  <c r="BT510" i="29"/>
  <c r="BI510" i="29"/>
  <c r="BT509" i="29"/>
  <c r="BI509" i="29"/>
  <c r="BT508" i="29"/>
  <c r="BI508" i="29"/>
  <c r="BT507" i="29"/>
  <c r="BI507" i="29"/>
  <c r="BT506" i="29"/>
  <c r="BI506" i="29"/>
  <c r="BT505" i="29"/>
  <c r="BI505" i="29"/>
  <c r="BT504" i="29"/>
  <c r="BI504" i="29"/>
  <c r="BT503" i="29"/>
  <c r="BI503" i="29"/>
  <c r="BT502" i="29"/>
  <c r="BI502" i="29"/>
  <c r="BT500" i="29"/>
  <c r="BI500" i="29"/>
  <c r="BT499" i="29"/>
  <c r="BI499" i="29"/>
  <c r="BT498" i="29"/>
  <c r="BI498" i="29"/>
  <c r="BT497" i="29"/>
  <c r="BI497" i="29"/>
  <c r="BT496" i="29"/>
  <c r="BI496" i="29"/>
  <c r="BT495" i="29"/>
  <c r="BI495" i="29"/>
  <c r="BT494" i="29"/>
  <c r="BI494" i="29"/>
  <c r="BT493" i="29"/>
  <c r="BI493" i="29"/>
  <c r="BT492" i="29"/>
  <c r="BI492" i="29"/>
  <c r="BT491" i="29"/>
  <c r="BI491" i="29"/>
  <c r="BT490" i="29"/>
  <c r="BI490" i="29"/>
  <c r="BT488" i="29"/>
  <c r="BI488" i="29"/>
  <c r="BT487" i="29"/>
  <c r="BI487" i="29"/>
  <c r="BT486" i="29"/>
  <c r="BI486" i="29"/>
  <c r="BT485" i="29"/>
  <c r="BI485" i="29"/>
  <c r="BT484" i="29"/>
  <c r="BI484" i="29"/>
  <c r="BT483" i="29"/>
  <c r="BI483" i="29"/>
  <c r="BT482" i="29"/>
  <c r="BI482" i="29"/>
  <c r="BT481" i="29"/>
  <c r="BI481" i="29"/>
  <c r="BT480" i="29"/>
  <c r="BI480" i="29"/>
  <c r="BT479" i="29"/>
  <c r="BI479" i="29"/>
  <c r="BT478" i="29"/>
  <c r="BI478" i="29"/>
  <c r="BT476" i="29"/>
  <c r="BI476" i="29"/>
  <c r="BT475" i="29"/>
  <c r="BI475" i="29"/>
  <c r="BT474" i="29"/>
  <c r="BI474" i="29"/>
  <c r="BT473" i="29"/>
  <c r="BI473" i="29"/>
  <c r="BT472" i="29"/>
  <c r="BI472" i="29"/>
  <c r="BT471" i="29"/>
  <c r="BI471" i="29"/>
  <c r="BT470" i="29"/>
  <c r="BI470" i="29"/>
  <c r="BT469" i="29"/>
  <c r="BI469" i="29"/>
  <c r="BT468" i="29"/>
  <c r="BI468" i="29"/>
  <c r="BT467" i="29"/>
  <c r="BI467" i="29"/>
  <c r="BT466" i="29"/>
  <c r="BI466" i="29"/>
  <c r="BT464" i="29"/>
  <c r="BI464" i="29"/>
  <c r="BT463" i="29"/>
  <c r="BI463" i="29"/>
  <c r="BT462" i="29"/>
  <c r="BI462" i="29"/>
  <c r="BT461" i="29"/>
  <c r="BI461" i="29"/>
  <c r="BT460" i="29"/>
  <c r="BI460" i="29"/>
  <c r="BT459" i="29"/>
  <c r="BI459" i="29"/>
  <c r="BT458" i="29"/>
  <c r="BI458" i="29"/>
  <c r="BT457" i="29"/>
  <c r="BI457" i="29"/>
  <c r="BT456" i="29"/>
  <c r="BI456" i="29"/>
  <c r="BT455" i="29"/>
  <c r="BI455" i="29"/>
  <c r="BT454" i="29"/>
  <c r="BI454" i="29"/>
  <c r="BT452" i="29"/>
  <c r="BI452" i="29"/>
  <c r="BT451" i="29"/>
  <c r="BI451" i="29"/>
  <c r="BT450" i="29"/>
  <c r="BI450" i="29"/>
  <c r="BT449" i="29"/>
  <c r="BI449" i="29"/>
  <c r="BT448" i="29"/>
  <c r="BI448" i="29"/>
  <c r="BT447" i="29"/>
  <c r="BI447" i="29"/>
  <c r="BT446" i="29"/>
  <c r="BI446" i="29"/>
  <c r="BT445" i="29"/>
  <c r="BI445" i="29"/>
  <c r="BT444" i="29"/>
  <c r="BI444" i="29"/>
  <c r="BT443" i="29"/>
  <c r="BI443" i="29"/>
  <c r="BT442" i="29"/>
  <c r="BI442" i="29"/>
  <c r="BT440" i="29"/>
  <c r="BI440" i="29"/>
  <c r="BT439" i="29"/>
  <c r="BI439" i="29"/>
  <c r="BT438" i="29"/>
  <c r="BI438" i="29"/>
  <c r="BT437" i="29"/>
  <c r="BI437" i="29"/>
  <c r="BT436" i="29"/>
  <c r="BI436" i="29"/>
  <c r="BT435" i="29"/>
  <c r="BI435" i="29"/>
  <c r="BT434" i="29"/>
  <c r="BI434" i="29"/>
  <c r="BT433" i="29"/>
  <c r="BI433" i="29"/>
  <c r="BT432" i="29"/>
  <c r="BI432" i="29"/>
  <c r="BT431" i="29"/>
  <c r="BI431" i="29"/>
  <c r="BT430" i="29"/>
  <c r="BI430" i="29"/>
  <c r="BT428" i="29"/>
  <c r="BI428" i="29"/>
  <c r="BT427" i="29"/>
  <c r="BI427" i="29"/>
  <c r="BT426" i="29"/>
  <c r="BI426" i="29"/>
  <c r="BT425" i="29"/>
  <c r="BI425" i="29"/>
  <c r="BT424" i="29"/>
  <c r="BI424" i="29"/>
  <c r="BT423" i="29"/>
  <c r="BI423" i="29"/>
  <c r="BT422" i="29"/>
  <c r="BI422" i="29"/>
  <c r="BT421" i="29"/>
  <c r="BI421" i="29"/>
  <c r="BT420" i="29"/>
  <c r="BI420" i="29"/>
  <c r="BT419" i="29"/>
  <c r="BI419" i="29"/>
  <c r="BT418" i="29"/>
  <c r="BI418" i="29"/>
  <c r="BT416" i="29"/>
  <c r="BI416" i="29"/>
  <c r="BT415" i="29"/>
  <c r="BI415" i="29"/>
  <c r="BT414" i="29"/>
  <c r="BI414" i="29"/>
  <c r="BT413" i="29"/>
  <c r="BI413" i="29"/>
  <c r="BT412" i="29"/>
  <c r="BI412" i="29"/>
  <c r="BT411" i="29"/>
  <c r="BI411" i="29"/>
  <c r="BT410" i="29"/>
  <c r="BI410" i="29"/>
  <c r="BT409" i="29"/>
  <c r="BI409" i="29"/>
  <c r="BT408" i="29"/>
  <c r="BI408" i="29"/>
  <c r="BT407" i="29"/>
  <c r="BI407" i="29"/>
  <c r="BT406" i="29"/>
  <c r="BI406" i="29"/>
  <c r="BT404" i="29"/>
  <c r="BI404" i="29"/>
  <c r="BT403" i="29"/>
  <c r="BI403" i="29"/>
  <c r="BT402" i="29"/>
  <c r="BI402" i="29"/>
  <c r="BT401" i="29"/>
  <c r="BI401" i="29"/>
  <c r="BT400" i="29"/>
  <c r="BI400" i="29"/>
  <c r="BT399" i="29"/>
  <c r="BI399" i="29"/>
  <c r="BT398" i="29"/>
  <c r="BI398" i="29"/>
  <c r="BT397" i="29"/>
  <c r="BI397" i="29"/>
  <c r="BT396" i="29"/>
  <c r="BI396" i="29"/>
  <c r="BT395" i="29"/>
  <c r="BI395" i="29"/>
  <c r="BT394" i="29"/>
  <c r="BI394" i="29"/>
  <c r="BT392" i="29"/>
  <c r="BI392" i="29"/>
  <c r="BT391" i="29"/>
  <c r="BI391" i="29"/>
  <c r="BT390" i="29"/>
  <c r="BI390" i="29"/>
  <c r="BT389" i="29"/>
  <c r="BI389" i="29"/>
  <c r="BT388" i="29"/>
  <c r="BI388" i="29"/>
  <c r="BT387" i="29"/>
  <c r="BI387" i="29"/>
  <c r="BT386" i="29"/>
  <c r="BI386" i="29"/>
  <c r="BT385" i="29"/>
  <c r="BI385" i="29"/>
  <c r="BT384" i="29"/>
  <c r="BI384" i="29"/>
  <c r="BT383" i="29"/>
  <c r="BI383" i="29"/>
  <c r="BT382" i="29"/>
  <c r="BI382" i="29"/>
  <c r="BT380" i="29"/>
  <c r="BI380" i="29"/>
  <c r="BT379" i="29"/>
  <c r="BI379" i="29"/>
  <c r="BT378" i="29"/>
  <c r="BI378" i="29"/>
  <c r="BT377" i="29"/>
  <c r="BI377" i="29"/>
  <c r="BT376" i="29"/>
  <c r="BI376" i="29"/>
  <c r="BT375" i="29"/>
  <c r="BI375" i="29"/>
  <c r="BT374" i="29"/>
  <c r="BI374" i="29"/>
  <c r="BT373" i="29"/>
  <c r="BI373" i="29"/>
  <c r="BT372" i="29"/>
  <c r="BI372" i="29"/>
  <c r="BT371" i="29"/>
  <c r="BI371" i="29"/>
  <c r="BT370" i="29"/>
  <c r="BI370" i="29"/>
  <c r="BT368" i="29"/>
  <c r="BI368" i="29"/>
  <c r="BT367" i="29"/>
  <c r="BI367" i="29"/>
  <c r="BT366" i="29"/>
  <c r="BI366" i="29"/>
  <c r="BT365" i="29"/>
  <c r="BI365" i="29"/>
  <c r="BT364" i="29"/>
  <c r="BI364" i="29"/>
  <c r="BT363" i="29"/>
  <c r="BI363" i="29"/>
  <c r="BT362" i="29"/>
  <c r="BI362" i="29"/>
  <c r="BT361" i="29"/>
  <c r="BI361" i="29"/>
  <c r="BT360" i="29"/>
  <c r="BI360" i="29"/>
  <c r="BT359" i="29"/>
  <c r="BI359" i="29"/>
  <c r="BT358" i="29"/>
  <c r="BI358" i="29"/>
  <c r="BT356" i="29"/>
  <c r="BI356" i="29"/>
  <c r="BT355" i="29"/>
  <c r="BI355" i="29"/>
  <c r="BT354" i="29"/>
  <c r="BI354" i="29"/>
  <c r="BT353" i="29"/>
  <c r="BI353" i="29"/>
  <c r="BT352" i="29"/>
  <c r="BI352" i="29"/>
  <c r="BT351" i="29"/>
  <c r="BI351" i="29"/>
  <c r="BT350" i="29"/>
  <c r="BI350" i="29"/>
  <c r="BT349" i="29"/>
  <c r="BI349" i="29"/>
  <c r="BT348" i="29"/>
  <c r="BI348" i="29"/>
  <c r="BT347" i="29"/>
  <c r="BI347" i="29"/>
  <c r="BT346" i="29"/>
  <c r="BI346" i="29"/>
  <c r="BT344" i="29"/>
  <c r="BI344" i="29"/>
  <c r="BT343" i="29"/>
  <c r="BI343" i="29"/>
  <c r="BT342" i="29"/>
  <c r="BI342" i="29"/>
  <c r="BT341" i="29"/>
  <c r="BI341" i="29"/>
  <c r="BT340" i="29"/>
  <c r="BI340" i="29"/>
  <c r="BT339" i="29"/>
  <c r="BI339" i="29"/>
  <c r="BT338" i="29"/>
  <c r="BI338" i="29"/>
  <c r="BT337" i="29"/>
  <c r="BI337" i="29"/>
  <c r="BT336" i="29"/>
  <c r="BI336" i="29"/>
  <c r="BT335" i="29"/>
  <c r="BI335" i="29"/>
  <c r="BT334" i="29"/>
  <c r="BI334" i="29"/>
  <c r="BT332" i="29"/>
  <c r="BI332" i="29"/>
  <c r="BT331" i="29"/>
  <c r="BI331" i="29"/>
  <c r="BT330" i="29"/>
  <c r="BI330" i="29"/>
  <c r="BT329" i="29"/>
  <c r="BI329" i="29"/>
  <c r="BT328" i="29"/>
  <c r="BI328" i="29"/>
  <c r="BT327" i="29"/>
  <c r="BI327" i="29"/>
  <c r="BT326" i="29"/>
  <c r="BI326" i="29"/>
  <c r="BT325" i="29"/>
  <c r="BI325" i="29"/>
  <c r="BT324" i="29"/>
  <c r="BI324" i="29"/>
  <c r="BT323" i="29"/>
  <c r="BI323" i="29"/>
  <c r="BT322" i="29"/>
  <c r="BI322" i="29"/>
  <c r="BT320" i="29"/>
  <c r="BI320" i="29"/>
  <c r="BT319" i="29"/>
  <c r="BI319" i="29"/>
  <c r="BT318" i="29"/>
  <c r="BI318" i="29"/>
  <c r="BT317" i="29"/>
  <c r="BI317" i="29"/>
  <c r="BT316" i="29"/>
  <c r="BI316" i="29"/>
  <c r="BT315" i="29"/>
  <c r="BI315" i="29"/>
  <c r="BT314" i="29"/>
  <c r="BI314" i="29"/>
  <c r="BT313" i="29"/>
  <c r="BI313" i="29"/>
  <c r="BT312" i="29"/>
  <c r="BI312" i="29"/>
  <c r="BT311" i="29"/>
  <c r="BI311" i="29"/>
  <c r="BT310" i="29"/>
  <c r="BI310" i="29"/>
  <c r="BT308" i="29"/>
  <c r="BI308" i="29"/>
  <c r="BT307" i="29"/>
  <c r="BI307" i="29"/>
  <c r="BT306" i="29"/>
  <c r="BI306" i="29"/>
  <c r="BT305" i="29"/>
  <c r="BI305" i="29"/>
  <c r="BT304" i="29"/>
  <c r="BI304" i="29"/>
  <c r="BT303" i="29"/>
  <c r="BI303" i="29"/>
  <c r="BT302" i="29"/>
  <c r="BI302" i="29"/>
  <c r="BT301" i="29"/>
  <c r="BI301" i="29"/>
  <c r="BT300" i="29"/>
  <c r="BI300" i="29"/>
  <c r="BT299" i="29"/>
  <c r="BI299" i="29"/>
  <c r="BT298" i="29"/>
  <c r="BI298" i="29"/>
  <c r="BT296" i="29"/>
  <c r="BI296" i="29"/>
  <c r="BT295" i="29"/>
  <c r="BI295" i="29"/>
  <c r="BT294" i="29"/>
  <c r="BI294" i="29"/>
  <c r="BT293" i="29"/>
  <c r="BI293" i="29"/>
  <c r="BT292" i="29"/>
  <c r="BI292" i="29"/>
  <c r="BT291" i="29"/>
  <c r="BI291" i="29"/>
  <c r="BT290" i="29"/>
  <c r="BI290" i="29"/>
  <c r="BT289" i="29"/>
  <c r="BI289" i="29"/>
  <c r="BT288" i="29"/>
  <c r="BI288" i="29"/>
  <c r="BT287" i="29"/>
  <c r="BI287" i="29"/>
  <c r="BT286" i="29"/>
  <c r="BI286" i="29"/>
  <c r="BT284" i="29"/>
  <c r="BI284" i="29"/>
  <c r="BT283" i="29"/>
  <c r="BI283" i="29"/>
  <c r="BT282" i="29"/>
  <c r="BI282" i="29"/>
  <c r="BT281" i="29"/>
  <c r="BI281" i="29"/>
  <c r="BT280" i="29"/>
  <c r="BI280" i="29"/>
  <c r="BT279" i="29"/>
  <c r="BI279" i="29"/>
  <c r="BT278" i="29"/>
  <c r="BI278" i="29"/>
  <c r="BT277" i="29"/>
  <c r="BI277" i="29"/>
  <c r="BT276" i="29"/>
  <c r="BI276" i="29"/>
  <c r="BT275" i="29"/>
  <c r="BI275" i="29"/>
  <c r="BT274" i="29"/>
  <c r="BI274" i="29"/>
  <c r="BT272" i="29"/>
  <c r="BI272" i="29"/>
  <c r="BT271" i="29"/>
  <c r="BI271" i="29"/>
  <c r="BT270" i="29"/>
  <c r="BI270" i="29"/>
  <c r="BT269" i="29"/>
  <c r="BI269" i="29"/>
  <c r="BT268" i="29"/>
  <c r="BI268" i="29"/>
  <c r="BT267" i="29"/>
  <c r="BI267" i="29"/>
  <c r="BT266" i="29"/>
  <c r="BI266" i="29"/>
  <c r="BT265" i="29"/>
  <c r="BI265" i="29"/>
  <c r="BT264" i="29"/>
  <c r="BI264" i="29"/>
  <c r="BT263" i="29"/>
  <c r="BI263" i="29"/>
  <c r="BT262" i="29"/>
  <c r="BI262" i="29"/>
  <c r="BT260" i="29"/>
  <c r="BI260" i="29"/>
  <c r="BT259" i="29"/>
  <c r="BI259" i="29"/>
  <c r="BT258" i="29"/>
  <c r="BI258" i="29"/>
  <c r="BT257" i="29"/>
  <c r="BI257" i="29"/>
  <c r="BT256" i="29"/>
  <c r="BI256" i="29"/>
  <c r="BT255" i="29"/>
  <c r="BI255" i="29"/>
  <c r="BT254" i="29"/>
  <c r="BI254" i="29"/>
  <c r="BT253" i="29"/>
  <c r="BI253" i="29"/>
  <c r="BT252" i="29"/>
  <c r="BI252" i="29"/>
  <c r="BT251" i="29"/>
  <c r="BI251" i="29"/>
  <c r="BT250" i="29"/>
  <c r="BI250" i="29"/>
  <c r="BT248" i="29"/>
  <c r="BI248" i="29"/>
  <c r="BT247" i="29"/>
  <c r="BI247" i="29"/>
  <c r="BT246" i="29"/>
  <c r="BI246" i="29"/>
  <c r="BT245" i="29"/>
  <c r="BI245" i="29"/>
  <c r="BT244" i="29"/>
  <c r="BI244" i="29"/>
  <c r="BT243" i="29"/>
  <c r="BI243" i="29"/>
  <c r="BT242" i="29"/>
  <c r="BI242" i="29"/>
  <c r="BT241" i="29"/>
  <c r="BI241" i="29"/>
  <c r="BT240" i="29"/>
  <c r="BI240" i="29"/>
  <c r="BT239" i="29"/>
  <c r="BI239" i="29"/>
  <c r="BT238" i="29"/>
  <c r="BI238" i="29"/>
  <c r="BT236" i="29"/>
  <c r="BI236" i="29"/>
  <c r="BT235" i="29"/>
  <c r="BI235" i="29"/>
  <c r="BT234" i="29"/>
  <c r="BI234" i="29"/>
  <c r="BT233" i="29"/>
  <c r="BI233" i="29"/>
  <c r="BT232" i="29"/>
  <c r="BI232" i="29"/>
  <c r="BT231" i="29"/>
  <c r="BI231" i="29"/>
  <c r="BT230" i="29"/>
  <c r="BI230" i="29"/>
  <c r="BT229" i="29"/>
  <c r="BI229" i="29"/>
  <c r="BT228" i="29"/>
  <c r="BI228" i="29"/>
  <c r="BT227" i="29"/>
  <c r="BI227" i="29"/>
  <c r="BT226" i="29"/>
  <c r="BI226" i="29"/>
  <c r="BT224" i="29"/>
  <c r="BI224" i="29"/>
  <c r="BT223" i="29"/>
  <c r="BI223" i="29"/>
  <c r="BT222" i="29"/>
  <c r="BI222" i="29"/>
  <c r="BT221" i="29"/>
  <c r="BI221" i="29"/>
  <c r="BT220" i="29"/>
  <c r="BI220" i="29"/>
  <c r="BT219" i="29"/>
  <c r="BI219" i="29"/>
  <c r="BT218" i="29"/>
  <c r="BI218" i="29"/>
  <c r="BT217" i="29"/>
  <c r="BI217" i="29"/>
  <c r="BT216" i="29"/>
  <c r="BI216" i="29"/>
  <c r="BT215" i="29"/>
  <c r="BI215" i="29"/>
  <c r="BT214" i="29"/>
  <c r="BI214" i="29"/>
  <c r="BT212" i="29"/>
  <c r="BI212" i="29"/>
  <c r="BT211" i="29"/>
  <c r="BI211" i="29"/>
  <c r="BT210" i="29"/>
  <c r="BI210" i="29"/>
  <c r="BT209" i="29"/>
  <c r="BI209" i="29"/>
  <c r="BT208" i="29"/>
  <c r="BI208" i="29"/>
  <c r="BT207" i="29"/>
  <c r="BI207" i="29"/>
  <c r="BT206" i="29"/>
  <c r="BI206" i="29"/>
  <c r="BT205" i="29"/>
  <c r="BI205" i="29"/>
  <c r="BT204" i="29"/>
  <c r="BI204" i="29"/>
  <c r="BT203" i="29"/>
  <c r="BI203" i="29"/>
  <c r="BT202" i="29"/>
  <c r="BI202" i="29"/>
  <c r="BT200" i="29"/>
  <c r="BI200" i="29"/>
  <c r="BT199" i="29"/>
  <c r="BI199" i="29"/>
  <c r="BT198" i="29"/>
  <c r="BI198" i="29"/>
  <c r="BT197" i="29"/>
  <c r="BI197" i="29"/>
  <c r="BT196" i="29"/>
  <c r="BI196" i="29"/>
  <c r="BT195" i="29"/>
  <c r="BI195" i="29"/>
  <c r="BT194" i="29"/>
  <c r="BI194" i="29"/>
  <c r="BT193" i="29"/>
  <c r="BI193" i="29"/>
  <c r="BT192" i="29"/>
  <c r="BI192" i="29"/>
  <c r="BT191" i="29"/>
  <c r="BI191" i="29"/>
  <c r="BT190" i="29"/>
  <c r="BI190" i="29"/>
  <c r="BT188" i="29"/>
  <c r="BI188" i="29"/>
  <c r="BT187" i="29"/>
  <c r="BI187" i="29"/>
  <c r="BT186" i="29"/>
  <c r="BI186" i="29"/>
  <c r="BT185" i="29"/>
  <c r="BI185" i="29"/>
  <c r="BT184" i="29"/>
  <c r="BI184" i="29"/>
  <c r="BT183" i="29"/>
  <c r="BI183" i="29"/>
  <c r="BT182" i="29"/>
  <c r="BI182" i="29"/>
  <c r="BT181" i="29"/>
  <c r="BI181" i="29"/>
  <c r="BT180" i="29"/>
  <c r="BI180" i="29"/>
  <c r="BT179" i="29"/>
  <c r="BI179" i="29"/>
  <c r="BT178" i="29"/>
  <c r="BI178" i="29"/>
  <c r="BT176" i="29"/>
  <c r="BI176" i="29"/>
  <c r="BT175" i="29"/>
  <c r="BI175" i="29"/>
  <c r="BT174" i="29"/>
  <c r="BI174" i="29"/>
  <c r="BT173" i="29"/>
  <c r="BI173" i="29"/>
  <c r="BT172" i="29"/>
  <c r="BI172" i="29"/>
  <c r="BT171" i="29"/>
  <c r="BI171" i="29"/>
  <c r="BT170" i="29"/>
  <c r="BI170" i="29"/>
  <c r="BT169" i="29"/>
  <c r="BI169" i="29"/>
  <c r="BT168" i="29"/>
  <c r="BI168" i="29"/>
  <c r="BT167" i="29"/>
  <c r="BI167" i="29"/>
  <c r="BT166" i="29"/>
  <c r="BI166" i="29"/>
  <c r="BT164" i="29"/>
  <c r="BI164" i="29"/>
  <c r="BT163" i="29"/>
  <c r="BI163" i="29"/>
  <c r="BT162" i="29"/>
  <c r="BI162" i="29"/>
  <c r="BT161" i="29"/>
  <c r="BI161" i="29"/>
  <c r="BT160" i="29"/>
  <c r="BI160" i="29"/>
  <c r="BT159" i="29"/>
  <c r="BI159" i="29"/>
  <c r="BT158" i="29"/>
  <c r="BI158" i="29"/>
  <c r="BT157" i="29"/>
  <c r="BI157" i="29"/>
  <c r="BT156" i="29"/>
  <c r="BI156" i="29"/>
  <c r="BT155" i="29"/>
  <c r="BI155" i="29"/>
  <c r="BT154" i="29"/>
  <c r="BI154" i="29"/>
  <c r="BT152" i="29"/>
  <c r="BI152" i="29"/>
  <c r="BT151" i="29"/>
  <c r="BI151" i="29"/>
  <c r="BT150" i="29"/>
  <c r="BI150" i="29"/>
  <c r="BT149" i="29"/>
  <c r="BI149" i="29"/>
  <c r="BT148" i="29"/>
  <c r="BI148" i="29"/>
  <c r="BT147" i="29"/>
  <c r="BI147" i="29"/>
  <c r="BT146" i="29"/>
  <c r="BI146" i="29"/>
  <c r="BT145" i="29"/>
  <c r="BI145" i="29"/>
  <c r="BT144" i="29"/>
  <c r="BI144" i="29"/>
  <c r="BT143" i="29"/>
  <c r="BI143" i="29"/>
  <c r="BT142" i="29"/>
  <c r="BI142" i="29"/>
  <c r="BT140" i="29"/>
  <c r="BI140" i="29"/>
  <c r="BT139" i="29"/>
  <c r="BI139" i="29"/>
  <c r="BT138" i="29"/>
  <c r="BI138" i="29"/>
  <c r="BT137" i="29"/>
  <c r="BI137" i="29"/>
  <c r="BT136" i="29"/>
  <c r="BI136" i="29"/>
  <c r="BT135" i="29"/>
  <c r="BI135" i="29"/>
  <c r="BT134" i="29"/>
  <c r="BI134" i="29"/>
  <c r="BT133" i="29"/>
  <c r="BI133" i="29"/>
  <c r="BT132" i="29"/>
  <c r="BI132" i="29"/>
  <c r="BT131" i="29"/>
  <c r="BI131" i="29"/>
  <c r="BT130" i="29"/>
  <c r="BI130" i="29"/>
  <c r="BT128" i="29"/>
  <c r="BI128" i="29"/>
  <c r="BT127" i="29"/>
  <c r="BI127" i="29"/>
  <c r="BT126" i="29"/>
  <c r="BI126" i="29"/>
  <c r="BT125" i="29"/>
  <c r="BI125" i="29"/>
  <c r="BT124" i="29"/>
  <c r="BI124" i="29"/>
  <c r="BT123" i="29"/>
  <c r="BI123" i="29"/>
  <c r="BT122" i="29"/>
  <c r="BI122" i="29"/>
  <c r="BT121" i="29"/>
  <c r="BI121" i="29"/>
  <c r="BT120" i="29"/>
  <c r="BI120" i="29"/>
  <c r="BT119" i="29"/>
  <c r="BI119" i="29"/>
  <c r="BT118" i="29"/>
  <c r="BI118" i="29"/>
  <c r="BT116" i="29"/>
  <c r="BI116" i="29"/>
  <c r="BT115" i="29"/>
  <c r="BI115" i="29"/>
  <c r="BT114" i="29"/>
  <c r="BI114" i="29"/>
  <c r="BT113" i="29"/>
  <c r="BI113" i="29"/>
  <c r="BT112" i="29"/>
  <c r="BI112" i="29"/>
  <c r="BT111" i="29"/>
  <c r="BI111" i="29"/>
  <c r="BT110" i="29"/>
  <c r="BI110" i="29"/>
  <c r="BT109" i="29"/>
  <c r="BI109" i="29"/>
  <c r="BT108" i="29"/>
  <c r="BI108" i="29"/>
  <c r="BT107" i="29"/>
  <c r="BI107" i="29"/>
  <c r="BT106" i="29"/>
  <c r="BI106" i="29"/>
  <c r="BT104" i="29"/>
  <c r="BI104" i="29"/>
  <c r="BT103" i="29"/>
  <c r="BI103" i="29"/>
  <c r="BT102" i="29"/>
  <c r="BI102" i="29"/>
  <c r="BT101" i="29"/>
  <c r="BI101" i="29"/>
  <c r="BT100" i="29"/>
  <c r="BI100" i="29"/>
  <c r="BT99" i="29"/>
  <c r="BI99" i="29"/>
  <c r="BT98" i="29"/>
  <c r="BI98" i="29"/>
  <c r="BT97" i="29"/>
  <c r="BI97" i="29"/>
  <c r="BT96" i="29"/>
  <c r="BI96" i="29"/>
  <c r="BT95" i="29"/>
  <c r="BI95" i="29"/>
  <c r="BT94" i="29"/>
  <c r="BI94" i="29"/>
  <c r="BT92" i="29"/>
  <c r="BI92" i="29"/>
  <c r="BT91" i="29"/>
  <c r="BI91" i="29"/>
  <c r="BT90" i="29"/>
  <c r="BI90" i="29"/>
  <c r="BT89" i="29"/>
  <c r="BI89" i="29"/>
  <c r="BT88" i="29"/>
  <c r="BI88" i="29"/>
  <c r="BT87" i="29"/>
  <c r="BI87" i="29"/>
  <c r="BT86" i="29"/>
  <c r="BI86" i="29"/>
  <c r="BT85" i="29"/>
  <c r="BI85" i="29"/>
  <c r="BT84" i="29"/>
  <c r="BI84" i="29"/>
  <c r="BT83" i="29"/>
  <c r="BI83" i="29"/>
  <c r="BT82" i="29"/>
  <c r="BI82" i="29"/>
  <c r="BT80" i="29"/>
  <c r="BI80" i="29"/>
  <c r="BT79" i="29"/>
  <c r="BI79" i="29"/>
  <c r="BT78" i="29"/>
  <c r="BI78" i="29"/>
  <c r="BT77" i="29"/>
  <c r="BI77" i="29"/>
  <c r="BT76" i="29"/>
  <c r="BI76" i="29"/>
  <c r="BT75" i="29"/>
  <c r="BI75" i="29"/>
  <c r="BT74" i="29"/>
  <c r="BI74" i="29"/>
  <c r="BT73" i="29"/>
  <c r="BI73" i="29"/>
  <c r="BT72" i="29"/>
  <c r="BI72" i="29"/>
  <c r="BT71" i="29"/>
  <c r="BI71" i="29"/>
  <c r="BT70" i="29"/>
  <c r="BI70" i="29"/>
  <c r="BT68" i="29"/>
  <c r="BI68" i="29"/>
  <c r="BT67" i="29"/>
  <c r="BI67" i="29"/>
  <c r="BT66" i="29"/>
  <c r="BI66" i="29"/>
  <c r="BT65" i="29"/>
  <c r="BI65" i="29"/>
  <c r="BT64" i="29"/>
  <c r="BI64" i="29"/>
  <c r="BT63" i="29"/>
  <c r="BI63" i="29"/>
  <c r="BT62" i="29"/>
  <c r="BI62" i="29"/>
  <c r="BT61" i="29"/>
  <c r="BI61" i="29"/>
  <c r="BT60" i="29"/>
  <c r="BI60" i="29"/>
  <c r="BT59" i="29"/>
  <c r="BI59" i="29"/>
  <c r="BT58" i="29"/>
  <c r="BI58" i="29"/>
  <c r="BT56" i="29"/>
  <c r="BI56" i="29"/>
  <c r="BT55" i="29"/>
  <c r="BI55" i="29"/>
  <c r="BT54" i="29"/>
  <c r="BI54" i="29"/>
  <c r="BT53" i="29"/>
  <c r="BI53" i="29"/>
  <c r="BT52" i="29"/>
  <c r="BI52" i="29"/>
  <c r="BT51" i="29"/>
  <c r="BI51" i="29"/>
  <c r="BT50" i="29"/>
  <c r="BI50" i="29"/>
  <c r="BT49" i="29"/>
  <c r="BI49" i="29"/>
  <c r="BT48" i="29"/>
  <c r="BI48" i="29"/>
  <c r="BT47" i="29"/>
  <c r="BI47" i="29"/>
  <c r="BT46" i="29"/>
  <c r="BI46" i="29"/>
  <c r="BT44" i="29"/>
  <c r="BI44" i="29"/>
  <c r="BT43" i="29"/>
  <c r="BI43" i="29"/>
  <c r="BT42" i="29"/>
  <c r="BI42" i="29"/>
  <c r="BT41" i="29"/>
  <c r="BI41" i="29"/>
  <c r="BT40" i="29"/>
  <c r="BI40" i="29"/>
  <c r="BT39" i="29"/>
  <c r="BI39" i="29"/>
  <c r="BT38" i="29"/>
  <c r="BI38" i="29"/>
  <c r="BT37" i="29"/>
  <c r="BI37" i="29"/>
  <c r="BT36" i="29"/>
  <c r="BI36" i="29"/>
  <c r="BT35" i="29"/>
  <c r="BI35" i="29"/>
  <c r="BT34" i="29"/>
  <c r="BI34" i="29"/>
  <c r="BT32" i="29"/>
  <c r="BI32" i="29"/>
  <c r="BT31" i="29"/>
  <c r="BI31" i="29"/>
  <c r="BT30" i="29"/>
  <c r="BI30" i="29"/>
  <c r="BT29" i="29"/>
  <c r="BI29" i="29"/>
  <c r="BT28" i="29"/>
  <c r="BI28" i="29"/>
  <c r="BT27" i="29"/>
  <c r="BI27" i="29"/>
  <c r="BT26" i="29"/>
  <c r="BI26" i="29"/>
  <c r="BT25" i="29"/>
  <c r="BI25" i="29"/>
  <c r="BT24" i="29"/>
  <c r="BI24" i="29"/>
  <c r="BT23" i="29"/>
  <c r="BI23" i="29"/>
  <c r="BT22" i="29"/>
  <c r="BI22" i="29"/>
  <c r="BT20" i="29"/>
  <c r="BT19" i="29"/>
  <c r="BT18" i="29"/>
  <c r="BT17" i="29"/>
  <c r="BT16" i="29"/>
  <c r="BT15" i="29"/>
  <c r="BT14" i="29"/>
  <c r="BT13" i="29"/>
  <c r="BT12" i="29"/>
  <c r="CF11" i="29"/>
  <c r="CE11" i="29"/>
  <c r="BT11" i="29"/>
  <c r="BO11" i="29"/>
  <c r="BN11" i="29"/>
  <c r="BN12" i="29" s="1"/>
  <c r="BT10" i="29"/>
  <c r="BR10" i="29"/>
  <c r="BT9" i="29"/>
  <c r="BI9" i="29"/>
  <c r="I6" i="29"/>
  <c r="I5" i="29"/>
  <c r="E79" i="27"/>
  <c r="O80" i="27"/>
  <c r="B66" i="27"/>
  <c r="C68" i="19"/>
  <c r="N16" i="19"/>
  <c r="P7" i="29"/>
  <c r="AU7" i="29"/>
  <c r="AO10" i="29"/>
  <c r="AO11" i="29" s="1"/>
  <c r="AO12" i="29" s="1"/>
  <c r="AN10" i="29"/>
  <c r="T10" i="29"/>
  <c r="S10" i="29"/>
  <c r="AQ9" i="29"/>
  <c r="V9" i="29"/>
  <c r="L9" i="29"/>
  <c r="J10" i="29"/>
  <c r="K10" i="29"/>
  <c r="H9" i="29"/>
  <c r="W170" i="15"/>
  <c r="W169" i="15"/>
  <c r="W168" i="15"/>
  <c r="W167" i="15"/>
  <c r="W166" i="15"/>
  <c r="W165" i="15"/>
  <c r="W164" i="15"/>
  <c r="W163" i="15"/>
  <c r="W162" i="15"/>
  <c r="W161" i="15"/>
  <c r="W160" i="15"/>
  <c r="W159" i="15"/>
  <c r="W158" i="15"/>
  <c r="W157" i="15"/>
  <c r="W156" i="15"/>
  <c r="W155" i="15"/>
  <c r="W154" i="15"/>
  <c r="W153" i="15"/>
  <c r="W152" i="15"/>
  <c r="W151" i="15"/>
  <c r="C22" i="19"/>
  <c r="K38" i="28"/>
  <c r="AL2" i="19"/>
  <c r="L7" i="28"/>
  <c r="L8" i="28"/>
  <c r="L9" i="28"/>
  <c r="L10" i="28"/>
  <c r="L11" i="28"/>
  <c r="L12" i="28"/>
  <c r="L13" i="28"/>
  <c r="L14" i="28"/>
  <c r="L15" i="28"/>
  <c r="K7" i="28"/>
  <c r="K8" i="28"/>
  <c r="K9" i="28"/>
  <c r="K10" i="28"/>
  <c r="K11" i="28"/>
  <c r="K12" i="28"/>
  <c r="K13" i="28"/>
  <c r="K14" i="28"/>
  <c r="K15" i="28"/>
  <c r="K6" i="28"/>
  <c r="D9" i="29"/>
  <c r="G6" i="29"/>
  <c r="D51" i="19" s="1"/>
  <c r="G5" i="29"/>
  <c r="EC157" i="25"/>
  <c r="B2" i="27"/>
  <c r="B2" i="39"/>
  <c r="M93" i="28"/>
  <c r="L93" i="28"/>
  <c r="K93" i="28"/>
  <c r="M92" i="28"/>
  <c r="L92" i="28"/>
  <c r="K92" i="28"/>
  <c r="M91" i="28"/>
  <c r="L91" i="28"/>
  <c r="K91" i="28"/>
  <c r="M90" i="28"/>
  <c r="L90" i="28"/>
  <c r="K90" i="28"/>
  <c r="M89" i="28"/>
  <c r="L89" i="28"/>
  <c r="K89" i="28"/>
  <c r="M88" i="28"/>
  <c r="L88" i="28"/>
  <c r="K88" i="28"/>
  <c r="M87" i="28"/>
  <c r="L87" i="28"/>
  <c r="K87" i="28"/>
  <c r="M86" i="28"/>
  <c r="L86" i="28"/>
  <c r="K86" i="28"/>
  <c r="M85" i="28"/>
  <c r="L85" i="28"/>
  <c r="K85" i="28"/>
  <c r="M84" i="28"/>
  <c r="L84" i="28"/>
  <c r="K84" i="28"/>
  <c r="K70" i="28"/>
  <c r="L70" i="28"/>
  <c r="M70" i="28"/>
  <c r="K71" i="28"/>
  <c r="L71" i="28"/>
  <c r="M71" i="28"/>
  <c r="K72" i="28"/>
  <c r="L72" i="28"/>
  <c r="M72" i="28"/>
  <c r="K73" i="28"/>
  <c r="L73" i="28"/>
  <c r="M73" i="28"/>
  <c r="K74" i="28"/>
  <c r="L74" i="28"/>
  <c r="M74" i="28"/>
  <c r="K75" i="28"/>
  <c r="L75" i="28"/>
  <c r="M75" i="28"/>
  <c r="K76" i="28"/>
  <c r="L76" i="28"/>
  <c r="M76" i="28"/>
  <c r="K77" i="28"/>
  <c r="L77" i="28"/>
  <c r="M77" i="28"/>
  <c r="M69" i="28"/>
  <c r="L69" i="28"/>
  <c r="K69" i="28"/>
  <c r="K54" i="28"/>
  <c r="L54" i="28"/>
  <c r="M54" i="28"/>
  <c r="K55" i="28"/>
  <c r="L55" i="28"/>
  <c r="M55" i="28"/>
  <c r="K56" i="28"/>
  <c r="L56" i="28"/>
  <c r="M56" i="28"/>
  <c r="K57" i="28"/>
  <c r="L57" i="28"/>
  <c r="M57" i="28"/>
  <c r="K58" i="28"/>
  <c r="L58" i="28"/>
  <c r="M58" i="28"/>
  <c r="K59" i="28"/>
  <c r="L59" i="28"/>
  <c r="M59" i="28"/>
  <c r="K60" i="28"/>
  <c r="L60" i="28"/>
  <c r="M60" i="28"/>
  <c r="K61" i="28"/>
  <c r="L61" i="28"/>
  <c r="M61" i="28"/>
  <c r="K62" i="28"/>
  <c r="L62" i="28"/>
  <c r="M62" i="28"/>
  <c r="M53" i="28"/>
  <c r="L53" i="28"/>
  <c r="K53" i="28"/>
  <c r="M46" i="28"/>
  <c r="L46" i="28"/>
  <c r="K46" i="28"/>
  <c r="M45" i="28"/>
  <c r="L45" i="28"/>
  <c r="K45" i="28"/>
  <c r="M44" i="28"/>
  <c r="L44" i="28"/>
  <c r="K44" i="28"/>
  <c r="M43" i="28"/>
  <c r="L43" i="28"/>
  <c r="K43" i="28"/>
  <c r="M42" i="28"/>
  <c r="L42" i="28"/>
  <c r="K42" i="28"/>
  <c r="M41" i="28"/>
  <c r="L41" i="28"/>
  <c r="K41" i="28"/>
  <c r="M40" i="28"/>
  <c r="L40" i="28"/>
  <c r="K40" i="28"/>
  <c r="M39" i="28"/>
  <c r="L39" i="28"/>
  <c r="K39" i="28"/>
  <c r="M38" i="28"/>
  <c r="L38" i="28"/>
  <c r="M31" i="28"/>
  <c r="L31" i="28"/>
  <c r="K31" i="28"/>
  <c r="M30" i="28"/>
  <c r="L30" i="28"/>
  <c r="K30" i="28"/>
  <c r="M29" i="28"/>
  <c r="L29" i="28"/>
  <c r="K29" i="28"/>
  <c r="M28" i="28"/>
  <c r="L28" i="28"/>
  <c r="K28" i="28"/>
  <c r="M27" i="28"/>
  <c r="L27" i="28"/>
  <c r="K27" i="28"/>
  <c r="M26" i="28"/>
  <c r="L26" i="28"/>
  <c r="K26" i="28"/>
  <c r="M25" i="28"/>
  <c r="L25" i="28"/>
  <c r="K25" i="28"/>
  <c r="M24" i="28"/>
  <c r="L24" i="28"/>
  <c r="K24" i="28"/>
  <c r="M23" i="28"/>
  <c r="L23" i="28"/>
  <c r="K23" i="28"/>
  <c r="M22" i="28"/>
  <c r="L22" i="28"/>
  <c r="K22" i="28"/>
  <c r="M15" i="28"/>
  <c r="M14" i="28"/>
  <c r="M13" i="28"/>
  <c r="M12" i="28"/>
  <c r="M11" i="28"/>
  <c r="M10" i="28"/>
  <c r="M9" i="28"/>
  <c r="M8" i="28"/>
  <c r="M7" i="28"/>
  <c r="M6" i="28"/>
  <c r="L6" i="28"/>
  <c r="A4" i="28"/>
  <c r="A2" i="28"/>
  <c r="C41" i="19"/>
  <c r="C42" i="19" s="1"/>
  <c r="C43" i="19"/>
  <c r="C39" i="19" s="1"/>
  <c r="I42" i="19"/>
  <c r="E38" i="19" s="1"/>
  <c r="L35" i="27"/>
  <c r="C10" i="19"/>
  <c r="C4" i="19" s="1"/>
  <c r="C13" i="19"/>
  <c r="C11" i="19"/>
  <c r="D11" i="19" s="1"/>
  <c r="C12" i="19"/>
  <c r="D12" i="19"/>
  <c r="C18" i="19"/>
  <c r="D18" i="19" s="1"/>
  <c r="D19" i="19" s="1"/>
  <c r="C32" i="19"/>
  <c r="S5" i="15"/>
  <c r="P4" i="15"/>
  <c r="O50" i="27"/>
  <c r="B50" i="27"/>
  <c r="I48" i="27"/>
  <c r="S36" i="27"/>
  <c r="D11" i="27"/>
  <c r="E7" i="19"/>
  <c r="F9" i="27" s="1"/>
  <c r="EC1" i="25"/>
  <c r="D33" i="19"/>
  <c r="L9" i="19"/>
  <c r="P1" i="25"/>
  <c r="U531" i="15"/>
  <c r="F3" i="19"/>
  <c r="C429" i="15"/>
  <c r="N17" i="19"/>
  <c r="N18" i="19"/>
  <c r="B16" i="19"/>
  <c r="D21" i="19"/>
  <c r="AK37" i="19"/>
  <c r="D45" i="19"/>
  <c r="E74" i="19"/>
  <c r="E76" i="19"/>
  <c r="AK43" i="19"/>
  <c r="AK45" i="19"/>
  <c r="C38" i="43"/>
  <c r="C5" i="43" s="1"/>
  <c r="D67" i="27"/>
  <c r="C23" i="43"/>
  <c r="D4" i="43"/>
  <c r="AK47" i="19"/>
  <c r="AK48" i="19"/>
  <c r="AK52" i="19"/>
  <c r="AK55" i="19"/>
  <c r="AK56" i="19"/>
  <c r="AK60" i="19"/>
  <c r="AK61" i="19"/>
  <c r="AK63" i="19"/>
  <c r="AK67" i="19"/>
  <c r="AK68" i="19"/>
  <c r="AK71" i="19"/>
  <c r="AK73" i="19"/>
  <c r="AK76" i="19"/>
  <c r="AK77" i="19"/>
  <c r="C43" i="43"/>
  <c r="B277" i="39"/>
  <c r="B67" i="27"/>
  <c r="D68" i="27"/>
  <c r="D69" i="27"/>
  <c r="BR11" i="29"/>
  <c r="BY11" i="29"/>
  <c r="BO12" i="29"/>
  <c r="J11" i="29"/>
  <c r="C81" i="19"/>
  <c r="E75" i="19"/>
  <c r="E82" i="19"/>
  <c r="C73" i="19"/>
  <c r="D4" i="39" s="1"/>
  <c r="B74" i="19"/>
  <c r="C74" i="19" s="1"/>
  <c r="D4" i="15"/>
  <c r="AO13" i="29"/>
  <c r="A7" i="44" l="1"/>
  <c r="A6" i="45"/>
  <c r="D10" i="19"/>
  <c r="C44" i="19"/>
  <c r="D42" i="19"/>
  <c r="I10" i="19"/>
  <c r="C40" i="19"/>
  <c r="D40" i="19" s="1"/>
  <c r="H10" i="45"/>
  <c r="BD9" i="29"/>
  <c r="BD10" i="29" s="1"/>
  <c r="BP10" i="29" s="1"/>
  <c r="Q50" i="27"/>
  <c r="S231" i="39"/>
  <c r="I2" i="28"/>
  <c r="E20" i="27" s="1"/>
  <c r="S291" i="39"/>
  <c r="W350" i="39"/>
  <c r="U214" i="15"/>
  <c r="U530" i="15"/>
  <c r="R79" i="27"/>
  <c r="U76" i="15"/>
  <c r="O79" i="27"/>
  <c r="P80" i="27" s="1"/>
  <c r="R82" i="27" s="1"/>
  <c r="Q358" i="15"/>
  <c r="W155" i="39"/>
  <c r="W80" i="39"/>
  <c r="U283" i="15"/>
  <c r="U477" i="15"/>
  <c r="U418" i="15"/>
  <c r="D20" i="27"/>
  <c r="C26" i="43"/>
  <c r="C27" i="43" s="1"/>
  <c r="C22" i="43" s="1"/>
  <c r="C25" i="43"/>
  <c r="C18" i="43"/>
  <c r="C16" i="43"/>
  <c r="C17" i="43" s="1"/>
  <c r="D3" i="19"/>
  <c r="B3" i="19"/>
  <c r="E4" i="19" s="1"/>
  <c r="J10" i="19"/>
  <c r="D44" i="19"/>
  <c r="C15" i="19"/>
  <c r="D4" i="19" s="1"/>
  <c r="D22" i="19"/>
  <c r="C16" i="19"/>
  <c r="A1" i="28"/>
  <c r="C26" i="19"/>
  <c r="J40" i="27" s="1"/>
  <c r="C24" i="19"/>
  <c r="H60" i="19"/>
  <c r="V10" i="29"/>
  <c r="S11" i="29"/>
  <c r="T11" i="29"/>
  <c r="N79" i="27"/>
  <c r="Q80" i="27" s="1"/>
  <c r="P79" i="27"/>
  <c r="J11" i="19"/>
  <c r="D37" i="19"/>
  <c r="I11" i="19"/>
  <c r="C47" i="19"/>
  <c r="P45" i="27" s="1"/>
  <c r="H1" i="28"/>
  <c r="B15" i="39" s="1"/>
  <c r="CI11" i="29"/>
  <c r="CF12" i="29"/>
  <c r="CP11" i="29"/>
  <c r="CE12" i="29"/>
  <c r="S5" i="39"/>
  <c r="D32" i="19"/>
  <c r="AB6" i="19"/>
  <c r="AA6" i="19" s="1"/>
  <c r="AW6" i="29"/>
  <c r="AW7" i="29" s="1"/>
  <c r="P37" i="27"/>
  <c r="D39" i="19"/>
  <c r="J12" i="19"/>
  <c r="B2" i="15"/>
  <c r="B233" i="39"/>
  <c r="B360" i="15"/>
  <c r="K2" i="40"/>
  <c r="L2" i="40"/>
  <c r="I162" i="39"/>
  <c r="R289" i="15"/>
  <c r="H289" i="15"/>
  <c r="T162" i="39"/>
  <c r="AO14" i="29"/>
  <c r="BN13" i="29"/>
  <c r="BR12" i="29"/>
  <c r="BY12" i="29"/>
  <c r="BO13" i="29"/>
  <c r="AN13" i="29"/>
  <c r="AN14" i="29" s="1"/>
  <c r="X217" i="15"/>
  <c r="AA19" i="39"/>
  <c r="X150" i="15"/>
  <c r="AA84" i="39"/>
  <c r="AK38" i="19"/>
  <c r="AK4" i="19"/>
  <c r="AK42" i="19"/>
  <c r="AK54" i="19"/>
  <c r="AK58" i="19"/>
  <c r="AK62" i="19"/>
  <c r="AK66" i="19"/>
  <c r="AK70" i="19"/>
  <c r="AK74" i="19"/>
  <c r="AK78" i="19"/>
  <c r="AK49" i="19"/>
  <c r="AK50" i="19"/>
  <c r="AK53" i="19"/>
  <c r="AK59" i="19"/>
  <c r="AK64" i="19"/>
  <c r="AK69" i="19"/>
  <c r="AK75" i="19"/>
  <c r="AK41" i="19"/>
  <c r="K11" i="29"/>
  <c r="AQ10" i="29"/>
  <c r="L10" i="29"/>
  <c r="AK39" i="19"/>
  <c r="AN11" i="29"/>
  <c r="AN12" i="29" s="1"/>
  <c r="AK72" i="19"/>
  <c r="AK65" i="19"/>
  <c r="AK57" i="19"/>
  <c r="AK51" i="19"/>
  <c r="AK44" i="19"/>
  <c r="G27" i="27"/>
  <c r="C10" i="43"/>
  <c r="C11" i="43" s="1"/>
  <c r="AK40" i="19"/>
  <c r="C38" i="19"/>
  <c r="B70" i="27"/>
  <c r="D70" i="27"/>
  <c r="B69" i="27"/>
  <c r="A8" i="44" l="1"/>
  <c r="A7" i="45"/>
  <c r="J13" i="19"/>
  <c r="L13" i="19" s="1"/>
  <c r="I13" i="19"/>
  <c r="K13" i="19" s="1"/>
  <c r="N39" i="27"/>
  <c r="H11" i="45"/>
  <c r="H12" i="45" s="1"/>
  <c r="H13" i="45" s="1"/>
  <c r="H14" i="45" s="1"/>
  <c r="H15" i="45" s="1"/>
  <c r="H16" i="45" s="1"/>
  <c r="H17" i="45" s="1"/>
  <c r="H18" i="45" s="1"/>
  <c r="H19" i="45" s="1"/>
  <c r="H20" i="45" s="1"/>
  <c r="H21" i="45" s="1"/>
  <c r="H22" i="45" s="1"/>
  <c r="H23" i="45" s="1"/>
  <c r="H24" i="45" s="1"/>
  <c r="H25" i="45" s="1"/>
  <c r="H26" i="45" s="1"/>
  <c r="H27" i="45" s="1"/>
  <c r="H28" i="45" s="1"/>
  <c r="H29" i="45" s="1"/>
  <c r="H30" i="45" s="1"/>
  <c r="H31" i="45" s="1"/>
  <c r="H32" i="45" s="1"/>
  <c r="H33" i="45" s="1"/>
  <c r="H34" i="45" s="1"/>
  <c r="H35" i="45" s="1"/>
  <c r="H36" i="45" s="1"/>
  <c r="H37" i="45" s="1"/>
  <c r="H38" i="45" s="1"/>
  <c r="H39" i="45" s="1"/>
  <c r="H40" i="45" s="1"/>
  <c r="H41" i="45" s="1"/>
  <c r="H42" i="45" s="1"/>
  <c r="H43" i="45" s="1"/>
  <c r="H44" i="45" s="1"/>
  <c r="H45" i="45" s="1"/>
  <c r="H46" i="45" s="1"/>
  <c r="H47" i="45" s="1"/>
  <c r="H48" i="45" s="1"/>
  <c r="H49" i="45" s="1"/>
  <c r="H50" i="45" s="1"/>
  <c r="H51" i="45" s="1"/>
  <c r="H52" i="45" s="1"/>
  <c r="H53" i="45" s="1"/>
  <c r="H54" i="45" s="1"/>
  <c r="H55" i="45" s="1"/>
  <c r="H56" i="45" s="1"/>
  <c r="H57" i="45" s="1"/>
  <c r="H58" i="45" s="1"/>
  <c r="H59" i="45" s="1"/>
  <c r="H60" i="45" s="1"/>
  <c r="H61" i="45" s="1"/>
  <c r="H62" i="45" s="1"/>
  <c r="H63" i="45" s="1"/>
  <c r="BE10" i="29"/>
  <c r="BD11" i="29"/>
  <c r="BE11" i="29" s="1"/>
  <c r="BE9" i="29"/>
  <c r="BC10" i="29"/>
  <c r="BF10" i="29" s="1"/>
  <c r="BP9" i="29"/>
  <c r="CG10" i="29"/>
  <c r="CG9" i="29"/>
  <c r="BC9" i="29"/>
  <c r="R80" i="27"/>
  <c r="I82" i="39"/>
  <c r="H1" i="44"/>
  <c r="R81" i="27"/>
  <c r="I17" i="39"/>
  <c r="B16" i="39"/>
  <c r="B148" i="15"/>
  <c r="B15" i="15"/>
  <c r="I1" i="28"/>
  <c r="C21" i="27"/>
  <c r="D27" i="43"/>
  <c r="D38" i="19"/>
  <c r="I12" i="19"/>
  <c r="B480" i="15"/>
  <c r="B355" i="39"/>
  <c r="B354" i="39"/>
  <c r="B479" i="15"/>
  <c r="AW10" i="29"/>
  <c r="CT10" i="29" s="1"/>
  <c r="AW11" i="29"/>
  <c r="CT11" i="29" s="1"/>
  <c r="AW13" i="29"/>
  <c r="CT13" i="29" s="1"/>
  <c r="AW12" i="29"/>
  <c r="CT12" i="29" s="1"/>
  <c r="AW14" i="29"/>
  <c r="CT14" i="29" s="1"/>
  <c r="AW9" i="29"/>
  <c r="Q79" i="27"/>
  <c r="Q81" i="27" s="1"/>
  <c r="Q82" i="27" s="1"/>
  <c r="K10" i="19"/>
  <c r="L10" i="19"/>
  <c r="B287" i="15"/>
  <c r="B160" i="39"/>
  <c r="K12" i="29"/>
  <c r="AQ11" i="29"/>
  <c r="L11" i="29"/>
  <c r="J12" i="29"/>
  <c r="BR13" i="29"/>
  <c r="BN14" i="29"/>
  <c r="BO14" i="29"/>
  <c r="BY13" i="29"/>
  <c r="T12" i="29"/>
  <c r="V11" i="29"/>
  <c r="S12" i="29"/>
  <c r="C56" i="19"/>
  <c r="I17" i="19"/>
  <c r="G2" i="29" s="1"/>
  <c r="G3" i="29" s="1"/>
  <c r="U420" i="15"/>
  <c r="D24" i="19"/>
  <c r="D25" i="19" s="1"/>
  <c r="W293" i="39"/>
  <c r="E3" i="19"/>
  <c r="C50" i="19"/>
  <c r="D49" i="19" s="1"/>
  <c r="C34" i="19"/>
  <c r="CP12" i="29"/>
  <c r="CE13" i="29"/>
  <c r="CF13" i="29"/>
  <c r="CI12" i="29"/>
  <c r="C46" i="19"/>
  <c r="P43" i="27" s="1"/>
  <c r="F4" i="19"/>
  <c r="F6" i="19"/>
  <c r="F5" i="19"/>
  <c r="AK5" i="19"/>
  <c r="AN15" i="29"/>
  <c r="AO15" i="29"/>
  <c r="K11" i="19"/>
  <c r="L11" i="19"/>
  <c r="B197" i="28"/>
  <c r="C197" i="28" s="1"/>
  <c r="F48" i="28"/>
  <c r="F25" i="28"/>
  <c r="F129" i="28"/>
  <c r="F164" i="28"/>
  <c r="F57" i="28"/>
  <c r="F49" i="28"/>
  <c r="B46" i="28"/>
  <c r="C46" i="28" s="1"/>
  <c r="B50" i="28"/>
  <c r="C50" i="28" s="1"/>
  <c r="B51" i="28"/>
  <c r="C51" i="28" s="1"/>
  <c r="B15" i="28"/>
  <c r="C15" i="28" s="1"/>
  <c r="B188" i="28"/>
  <c r="C188" i="28" s="1"/>
  <c r="B101" i="28"/>
  <c r="C101" i="28" s="1"/>
  <c r="B11" i="28"/>
  <c r="C11" i="28" s="1"/>
  <c r="B143" i="28"/>
  <c r="C143" i="28" s="1"/>
  <c r="B171" i="28"/>
  <c r="C171" i="28" s="1"/>
  <c r="F161" i="28"/>
  <c r="B56" i="28"/>
  <c r="C56" i="28" s="1"/>
  <c r="F31" i="28"/>
  <c r="B63" i="28"/>
  <c r="C63" i="28" s="1"/>
  <c r="F109" i="28"/>
  <c r="F32" i="28"/>
  <c r="F80" i="28"/>
  <c r="F113" i="28"/>
  <c r="B13" i="28"/>
  <c r="C13" i="28" s="1"/>
  <c r="B123" i="28"/>
  <c r="C123" i="28" s="1"/>
  <c r="F131" i="28"/>
  <c r="B145" i="28"/>
  <c r="C145" i="28" s="1"/>
  <c r="B93" i="28"/>
  <c r="C93" i="28" s="1"/>
  <c r="B163" i="28"/>
  <c r="C163" i="28" s="1"/>
  <c r="B179" i="28"/>
  <c r="C179" i="28" s="1"/>
  <c r="B107" i="28"/>
  <c r="C107" i="28" s="1"/>
  <c r="B39" i="28"/>
  <c r="C39" i="28" s="1"/>
  <c r="B86" i="28"/>
  <c r="C86" i="28" s="1"/>
  <c r="F16" i="28"/>
  <c r="F93" i="28"/>
  <c r="B154" i="28"/>
  <c r="C154" i="28" s="1"/>
  <c r="B64" i="28"/>
  <c r="C64" i="28" s="1"/>
  <c r="F39" i="28"/>
  <c r="F156" i="28"/>
  <c r="B183" i="28"/>
  <c r="C183" i="28" s="1"/>
  <c r="F60" i="28"/>
  <c r="B10" i="28"/>
  <c r="C10" i="28" s="1"/>
  <c r="B75" i="28"/>
  <c r="C75" i="28" s="1"/>
  <c r="F94" i="28"/>
  <c r="B53" i="28"/>
  <c r="C53" i="28" s="1"/>
  <c r="F183" i="28"/>
  <c r="B104" i="28"/>
  <c r="C104" i="28" s="1"/>
  <c r="F179" i="28"/>
  <c r="B117" i="28"/>
  <c r="C117" i="28" s="1"/>
  <c r="F158" i="28"/>
  <c r="F58" i="28"/>
  <c r="F87" i="28"/>
  <c r="F89" i="28"/>
  <c r="F42" i="28"/>
  <c r="B158" i="28"/>
  <c r="C158" i="28" s="1"/>
  <c r="F166" i="28"/>
  <c r="F136" i="28"/>
  <c r="F142" i="28"/>
  <c r="B130" i="28"/>
  <c r="C130" i="28" s="1"/>
  <c r="B182" i="28"/>
  <c r="C182" i="28" s="1"/>
  <c r="F135" i="28"/>
  <c r="B186" i="28"/>
  <c r="C186" i="28" s="1"/>
  <c r="F36" i="28"/>
  <c r="B157" i="28"/>
  <c r="C157" i="28" s="1"/>
  <c r="B83" i="28"/>
  <c r="C83" i="28" s="1"/>
  <c r="B125" i="28"/>
  <c r="C125" i="28" s="1"/>
  <c r="B92" i="28"/>
  <c r="C92" i="28" s="1"/>
  <c r="F163" i="28"/>
  <c r="F54" i="28"/>
  <c r="B138" i="28"/>
  <c r="C138" i="28" s="1"/>
  <c r="B167" i="28"/>
  <c r="C167" i="28" s="1"/>
  <c r="B36" i="28"/>
  <c r="C36" i="28" s="1"/>
  <c r="B174" i="28"/>
  <c r="C174" i="28" s="1"/>
  <c r="B96" i="28"/>
  <c r="C96" i="28" s="1"/>
  <c r="F175" i="28"/>
  <c r="F132" i="28"/>
  <c r="B129" i="28"/>
  <c r="C129" i="28" s="1"/>
  <c r="F172" i="28"/>
  <c r="B90" i="28"/>
  <c r="C90" i="28" s="1"/>
  <c r="F23" i="28"/>
  <c r="B61" i="28"/>
  <c r="C61" i="28" s="1"/>
  <c r="B108" i="28"/>
  <c r="C108" i="28" s="1"/>
  <c r="B69" i="28"/>
  <c r="C69" i="28" s="1"/>
  <c r="B41" i="28"/>
  <c r="C41" i="28" s="1"/>
  <c r="F8" i="28"/>
  <c r="B22" i="28"/>
  <c r="C22" i="28" s="1"/>
  <c r="B176" i="28"/>
  <c r="C176" i="28" s="1"/>
  <c r="B124" i="28"/>
  <c r="C124" i="28" s="1"/>
  <c r="F19" i="28"/>
  <c r="F63" i="28"/>
  <c r="B24" i="28"/>
  <c r="C24" i="28" s="1"/>
  <c r="F190" i="28"/>
  <c r="B89" i="28"/>
  <c r="C89" i="28" s="1"/>
  <c r="B180" i="28"/>
  <c r="C180" i="28" s="1"/>
  <c r="F127" i="28"/>
  <c r="B191" i="28"/>
  <c r="C191" i="28" s="1"/>
  <c r="F35" i="28"/>
  <c r="B9" i="28"/>
  <c r="C9" i="28" s="1"/>
  <c r="F138" i="28"/>
  <c r="B142" i="28"/>
  <c r="C142" i="28" s="1"/>
  <c r="B58" i="28"/>
  <c r="C58" i="28" s="1"/>
  <c r="B109" i="28"/>
  <c r="C109" i="28" s="1"/>
  <c r="F88" i="28"/>
  <c r="F17" i="28"/>
  <c r="F178" i="28"/>
  <c r="B195" i="28"/>
  <c r="C195" i="28" s="1"/>
  <c r="F174" i="28"/>
  <c r="F83" i="28"/>
  <c r="B42" i="28"/>
  <c r="C42" i="28" s="1"/>
  <c r="F77" i="28"/>
  <c r="B120" i="28"/>
  <c r="C120" i="28" s="1"/>
  <c r="B175" i="28"/>
  <c r="C175" i="28" s="1"/>
  <c r="F125" i="28"/>
  <c r="B181" i="28"/>
  <c r="C181" i="28" s="1"/>
  <c r="F110" i="28"/>
  <c r="B110" i="28"/>
  <c r="C110" i="28" s="1"/>
  <c r="F50" i="28"/>
  <c r="B200" i="28"/>
  <c r="C200" i="28" s="1"/>
  <c r="B88" i="28"/>
  <c r="C88" i="28" s="1"/>
  <c r="F79" i="28"/>
  <c r="B190" i="28"/>
  <c r="C190" i="28" s="1"/>
  <c r="F86" i="28"/>
  <c r="F66" i="28"/>
  <c r="F46" i="28"/>
  <c r="F74" i="28"/>
  <c r="F47" i="28"/>
  <c r="B134" i="28"/>
  <c r="C134" i="28" s="1"/>
  <c r="B57" i="28"/>
  <c r="C57" i="28" s="1"/>
  <c r="F53" i="28"/>
  <c r="B166" i="28"/>
  <c r="C166" i="28" s="1"/>
  <c r="F105" i="28"/>
  <c r="F119" i="28"/>
  <c r="B119" i="28"/>
  <c r="C119" i="28" s="1"/>
  <c r="F103" i="28"/>
  <c r="F162" i="28"/>
  <c r="F95" i="28"/>
  <c r="B43" i="28"/>
  <c r="C43" i="28" s="1"/>
  <c r="B67" i="28"/>
  <c r="C67" i="28" s="1"/>
  <c r="B23" i="28"/>
  <c r="C23" i="28" s="1"/>
  <c r="F33" i="28"/>
  <c r="F126" i="28"/>
  <c r="B30" i="28"/>
  <c r="C30" i="28" s="1"/>
  <c r="F55" i="28"/>
  <c r="B68" i="28"/>
  <c r="C68" i="28" s="1"/>
  <c r="B128" i="28"/>
  <c r="C128" i="28" s="1"/>
  <c r="F27" i="28"/>
  <c r="B16" i="28"/>
  <c r="C16" i="28" s="1"/>
  <c r="B49" i="28"/>
  <c r="C49" i="28" s="1"/>
  <c r="B121" i="28"/>
  <c r="C121" i="28" s="1"/>
  <c r="B169" i="28"/>
  <c r="C169" i="28" s="1"/>
  <c r="B7" i="28"/>
  <c r="C7" i="28" s="1"/>
  <c r="F52" i="28"/>
  <c r="F30" i="28"/>
  <c r="B127" i="28"/>
  <c r="C127" i="28" s="1"/>
  <c r="F3" i="28"/>
  <c r="F148" i="28"/>
  <c r="F151" i="28"/>
  <c r="F70" i="28"/>
  <c r="B160" i="28"/>
  <c r="C160" i="28" s="1"/>
  <c r="F107" i="28"/>
  <c r="B73" i="28"/>
  <c r="C73" i="28" s="1"/>
  <c r="F128" i="28"/>
  <c r="F130" i="28"/>
  <c r="F45" i="28"/>
  <c r="B45" i="28"/>
  <c r="C45" i="28" s="1"/>
  <c r="F185" i="28"/>
  <c r="B21" i="28"/>
  <c r="C21" i="28" s="1"/>
  <c r="B76" i="28"/>
  <c r="C76" i="28" s="1"/>
  <c r="F13" i="28"/>
  <c r="B77" i="28"/>
  <c r="C77" i="28" s="1"/>
  <c r="B12" i="28"/>
  <c r="C12" i="28" s="1"/>
  <c r="B189" i="28"/>
  <c r="C189" i="28" s="1"/>
  <c r="F159" i="28"/>
  <c r="B152" i="28"/>
  <c r="C152" i="28" s="1"/>
  <c r="F72" i="28"/>
  <c r="B59" i="28"/>
  <c r="C59" i="28" s="1"/>
  <c r="F6" i="28"/>
  <c r="F122" i="28"/>
  <c r="B34" i="28"/>
  <c r="C34" i="28" s="1"/>
  <c r="B133" i="28"/>
  <c r="C133" i="28" s="1"/>
  <c r="F69" i="28"/>
  <c r="F199" i="28"/>
  <c r="B135" i="28"/>
  <c r="C135" i="28" s="1"/>
  <c r="B118" i="28"/>
  <c r="C118" i="28" s="1"/>
  <c r="F67" i="28"/>
  <c r="B103" i="28"/>
  <c r="C103" i="28" s="1"/>
  <c r="F75" i="28"/>
  <c r="B20" i="28"/>
  <c r="C20" i="28" s="1"/>
  <c r="F34" i="28"/>
  <c r="F15" i="28"/>
  <c r="F187" i="28"/>
  <c r="B66" i="28"/>
  <c r="C66" i="28" s="1"/>
  <c r="B4" i="28"/>
  <c r="C4" i="28" s="1"/>
  <c r="B8" i="28"/>
  <c r="C8" i="28" s="1"/>
  <c r="F198" i="28"/>
  <c r="B47" i="28"/>
  <c r="C47" i="28" s="1"/>
  <c r="B159" i="28"/>
  <c r="C159" i="28" s="1"/>
  <c r="F81" i="28"/>
  <c r="B26" i="28"/>
  <c r="C26" i="28" s="1"/>
  <c r="B173" i="28"/>
  <c r="C173" i="28" s="1"/>
  <c r="B192" i="28"/>
  <c r="C192" i="28" s="1"/>
  <c r="F121" i="28"/>
  <c r="B112" i="28"/>
  <c r="C112" i="28" s="1"/>
  <c r="B136" i="28"/>
  <c r="C136" i="28" s="1"/>
  <c r="B146" i="28"/>
  <c r="C146" i="28" s="1"/>
  <c r="F44" i="28"/>
  <c r="F152" i="28"/>
  <c r="B29" i="28"/>
  <c r="C29" i="28" s="1"/>
  <c r="F18" i="28"/>
  <c r="F51" i="28"/>
  <c r="B31" i="28"/>
  <c r="C31" i="28" s="1"/>
  <c r="B72" i="28"/>
  <c r="C72" i="28" s="1"/>
  <c r="F73" i="28"/>
  <c r="B115" i="28"/>
  <c r="C115" i="28" s="1"/>
  <c r="F147" i="28"/>
  <c r="B153" i="28"/>
  <c r="C153" i="28" s="1"/>
  <c r="B71" i="28"/>
  <c r="C71" i="28" s="1"/>
  <c r="F99" i="28"/>
  <c r="F173" i="28"/>
  <c r="B54" i="28"/>
  <c r="C54" i="28" s="1"/>
  <c r="F182" i="28"/>
  <c r="B199" i="28"/>
  <c r="C199" i="28" s="1"/>
  <c r="B100" i="28"/>
  <c r="C100" i="28" s="1"/>
  <c r="B79" i="28"/>
  <c r="C79" i="28" s="1"/>
  <c r="F115" i="28"/>
  <c r="B33" i="28"/>
  <c r="C33" i="28" s="1"/>
  <c r="F5" i="28"/>
  <c r="B141" i="28"/>
  <c r="C141" i="28" s="1"/>
  <c r="B82" i="28"/>
  <c r="C82" i="28" s="1"/>
  <c r="F192" i="28"/>
  <c r="F160" i="28"/>
  <c r="B178" i="28"/>
  <c r="C178" i="28" s="1"/>
  <c r="F9" i="28"/>
  <c r="F143" i="28"/>
  <c r="F98" i="28"/>
  <c r="F78" i="28"/>
  <c r="F114" i="28"/>
  <c r="F140" i="28"/>
  <c r="B162" i="28"/>
  <c r="C162" i="28" s="1"/>
  <c r="B151" i="28"/>
  <c r="C151" i="28" s="1"/>
  <c r="B148" i="28"/>
  <c r="C148" i="28" s="1"/>
  <c r="F4" i="28"/>
  <c r="B184" i="28"/>
  <c r="C184" i="28" s="1"/>
  <c r="F123" i="28"/>
  <c r="B28" i="28"/>
  <c r="C28" i="28" s="1"/>
  <c r="F134" i="28"/>
  <c r="B114" i="28"/>
  <c r="C114" i="28" s="1"/>
  <c r="F181" i="28"/>
  <c r="B14" i="28"/>
  <c r="C14" i="28" s="1"/>
  <c r="F180" i="28"/>
  <c r="B97" i="28"/>
  <c r="C97" i="28" s="1"/>
  <c r="F186" i="28"/>
  <c r="B6" i="28"/>
  <c r="C6" i="28" s="1"/>
  <c r="B40" i="28"/>
  <c r="C40" i="28" s="1"/>
  <c r="B137" i="28"/>
  <c r="C137" i="28" s="1"/>
  <c r="B193" i="28"/>
  <c r="C193" i="28" s="1"/>
  <c r="F37" i="28"/>
  <c r="F168" i="28"/>
  <c r="B74" i="28"/>
  <c r="C74" i="28" s="1"/>
  <c r="B84" i="28"/>
  <c r="C84" i="28" s="1"/>
  <c r="B161" i="28"/>
  <c r="C161" i="28" s="1"/>
  <c r="B187" i="28"/>
  <c r="C187" i="28" s="1"/>
  <c r="F188" i="28"/>
  <c r="F12" i="28"/>
  <c r="B140" i="28"/>
  <c r="C140" i="28" s="1"/>
  <c r="F82" i="28"/>
  <c r="F28" i="28"/>
  <c r="F14" i="28"/>
  <c r="B113" i="28"/>
  <c r="C113" i="28" s="1"/>
  <c r="B25" i="28"/>
  <c r="C25" i="28" s="1"/>
  <c r="B156" i="28"/>
  <c r="C156" i="28" s="1"/>
  <c r="F38" i="28"/>
  <c r="B48" i="28"/>
  <c r="C48" i="28" s="1"/>
  <c r="F76" i="28"/>
  <c r="F10" i="28"/>
  <c r="F21" i="28"/>
  <c r="F62" i="28"/>
  <c r="B170" i="28"/>
  <c r="C170" i="28" s="1"/>
  <c r="B19" i="28"/>
  <c r="C19" i="28" s="1"/>
  <c r="F177" i="28"/>
  <c r="F68" i="28"/>
  <c r="B78" i="28"/>
  <c r="C78" i="28" s="1"/>
  <c r="B185" i="28"/>
  <c r="C185" i="28" s="1"/>
  <c r="F193" i="28"/>
  <c r="B62" i="28"/>
  <c r="C62" i="28" s="1"/>
  <c r="B27" i="28"/>
  <c r="C27" i="28" s="1"/>
  <c r="B105" i="28"/>
  <c r="C105" i="28" s="1"/>
  <c r="B132" i="28"/>
  <c r="C132" i="28" s="1"/>
  <c r="F59" i="28"/>
  <c r="B18" i="28"/>
  <c r="C18" i="28" s="1"/>
  <c r="F197" i="28"/>
  <c r="F84" i="28"/>
  <c r="B131" i="28"/>
  <c r="C131" i="28" s="1"/>
  <c r="B94" i="28"/>
  <c r="C94" i="28" s="1"/>
  <c r="F194" i="28"/>
  <c r="B144" i="28"/>
  <c r="C144" i="28" s="1"/>
  <c r="B37" i="28"/>
  <c r="C37" i="28" s="1"/>
  <c r="F90" i="28"/>
  <c r="F139" i="28"/>
  <c r="B70" i="28"/>
  <c r="C70" i="28" s="1"/>
  <c r="F144" i="28"/>
  <c r="F117" i="28"/>
  <c r="F120" i="28"/>
  <c r="B147" i="28"/>
  <c r="C147" i="28" s="1"/>
  <c r="F145" i="28"/>
  <c r="F200" i="28"/>
  <c r="F11" i="28"/>
  <c r="F118" i="28"/>
  <c r="F65" i="28"/>
  <c r="B80" i="28"/>
  <c r="C80" i="28" s="1"/>
  <c r="F133" i="28"/>
  <c r="B44" i="28"/>
  <c r="C44" i="28" s="1"/>
  <c r="B164" i="28"/>
  <c r="C164" i="28" s="1"/>
  <c r="F92" i="28"/>
  <c r="B196" i="28"/>
  <c r="C196" i="28" s="1"/>
  <c r="B139" i="28"/>
  <c r="C139" i="28" s="1"/>
  <c r="F20" i="28"/>
  <c r="B198" i="28"/>
  <c r="C198" i="28" s="1"/>
  <c r="F195" i="28"/>
  <c r="F112" i="28"/>
  <c r="F111" i="28"/>
  <c r="F101" i="28"/>
  <c r="F71" i="28"/>
  <c r="F189" i="28"/>
  <c r="B99" i="28"/>
  <c r="C99" i="28" s="1"/>
  <c r="F41" i="28"/>
  <c r="B194" i="28"/>
  <c r="C194" i="28" s="1"/>
  <c r="B111" i="28"/>
  <c r="C111" i="28" s="1"/>
  <c r="F170" i="28"/>
  <c r="F149" i="28"/>
  <c r="F191" i="28"/>
  <c r="F56" i="28"/>
  <c r="F184" i="28"/>
  <c r="F91" i="28"/>
  <c r="F196" i="28"/>
  <c r="F43" i="28"/>
  <c r="F167" i="28"/>
  <c r="F29" i="28"/>
  <c r="F64" i="28"/>
  <c r="F7" i="28"/>
  <c r="B52" i="28"/>
  <c r="C52" i="28" s="1"/>
  <c r="F85" i="28"/>
  <c r="F61" i="28"/>
  <c r="B5" i="28"/>
  <c r="C5" i="28" s="1"/>
  <c r="B165" i="28"/>
  <c r="C165" i="28" s="1"/>
  <c r="F104" i="28"/>
  <c r="F97" i="28"/>
  <c r="B172" i="28"/>
  <c r="C172" i="28" s="1"/>
  <c r="B122" i="28"/>
  <c r="C122" i="28" s="1"/>
  <c r="F40" i="28"/>
  <c r="F146" i="28"/>
  <c r="F116" i="28"/>
  <c r="F154" i="28"/>
  <c r="B81" i="28"/>
  <c r="C81" i="28" s="1"/>
  <c r="F155" i="28"/>
  <c r="F108" i="28"/>
  <c r="B38" i="28"/>
  <c r="C38" i="28" s="1"/>
  <c r="B116" i="28"/>
  <c r="C116" i="28" s="1"/>
  <c r="F100" i="28"/>
  <c r="B155" i="28"/>
  <c r="C155" i="28" s="1"/>
  <c r="B95" i="28"/>
  <c r="C95" i="28" s="1"/>
  <c r="B35" i="28"/>
  <c r="C35" i="28" s="1"/>
  <c r="B98" i="28"/>
  <c r="C98" i="28" s="1"/>
  <c r="B126" i="28"/>
  <c r="C126" i="28" s="1"/>
  <c r="B102" i="28"/>
  <c r="C102" i="28" s="1"/>
  <c r="B85" i="28"/>
  <c r="C85" i="28" s="1"/>
  <c r="F24" i="28"/>
  <c r="F150" i="28"/>
  <c r="F137" i="28"/>
  <c r="F141" i="28"/>
  <c r="B17" i="28"/>
  <c r="C17" i="28" s="1"/>
  <c r="B55" i="28"/>
  <c r="C55" i="28" s="1"/>
  <c r="B150" i="28"/>
  <c r="C150" i="28" s="1"/>
  <c r="B177" i="28"/>
  <c r="C177" i="28" s="1"/>
  <c r="F153" i="28"/>
  <c r="F96" i="28"/>
  <c r="B87" i="28"/>
  <c r="C87" i="28" s="1"/>
  <c r="F102" i="28"/>
  <c r="B32" i="28"/>
  <c r="C32" i="28" s="1"/>
  <c r="F169" i="28"/>
  <c r="F124" i="28"/>
  <c r="F165" i="28"/>
  <c r="B149" i="28"/>
  <c r="C149" i="28" s="1"/>
  <c r="B3" i="28"/>
  <c r="C3" i="28" s="1"/>
  <c r="B91" i="28"/>
  <c r="C91" i="28" s="1"/>
  <c r="F106" i="28"/>
  <c r="F171" i="28"/>
  <c r="F176" i="28"/>
  <c r="B106" i="28"/>
  <c r="C106" i="28" s="1"/>
  <c r="B168" i="28"/>
  <c r="C168" i="28" s="1"/>
  <c r="B60" i="28"/>
  <c r="C60" i="28" s="1"/>
  <c r="F22" i="28"/>
  <c r="B65" i="28"/>
  <c r="C65" i="28" s="1"/>
  <c r="F157" i="28"/>
  <c r="F26" i="28"/>
  <c r="A9" i="44" l="1"/>
  <c r="A8" i="45"/>
  <c r="M13" i="19"/>
  <c r="N13" i="19"/>
  <c r="BC11" i="29"/>
  <c r="BF11" i="29" s="1"/>
  <c r="AZ11" i="29" s="1"/>
  <c r="CG11" i="29"/>
  <c r="BP11" i="29"/>
  <c r="BD12" i="29"/>
  <c r="CG12" i="29" s="1"/>
  <c r="P81" i="27"/>
  <c r="P82" i="27"/>
  <c r="V12" i="29"/>
  <c r="S13" i="29"/>
  <c r="T13" i="29"/>
  <c r="AO16" i="29"/>
  <c r="AN16" i="29"/>
  <c r="AW16" i="29" s="1"/>
  <c r="T19" i="19"/>
  <c r="B1" i="42"/>
  <c r="C8" i="29"/>
  <c r="AW15" i="29"/>
  <c r="CT15" i="29" s="1"/>
  <c r="I3" i="28"/>
  <c r="I10" i="28"/>
  <c r="I12" i="28"/>
  <c r="H19" i="28"/>
  <c r="H24" i="28"/>
  <c r="I19" i="28"/>
  <c r="I8" i="28"/>
  <c r="I15" i="28"/>
  <c r="I24" i="28"/>
  <c r="H12" i="28"/>
  <c r="I5" i="28"/>
  <c r="I7" i="28"/>
  <c r="I21" i="28"/>
  <c r="H10" i="28"/>
  <c r="H5" i="28"/>
  <c r="H16" i="28"/>
  <c r="I11" i="28"/>
  <c r="I14" i="28"/>
  <c r="H17" i="28"/>
  <c r="H13" i="28"/>
  <c r="H22" i="28"/>
  <c r="I4" i="28"/>
  <c r="H21" i="28"/>
  <c r="H11" i="28"/>
  <c r="I13" i="28"/>
  <c r="I23" i="28"/>
  <c r="H23" i="28"/>
  <c r="H18" i="28"/>
  <c r="H14" i="28"/>
  <c r="H7" i="28"/>
  <c r="I22" i="28"/>
  <c r="H9" i="28"/>
  <c r="H4" i="28"/>
  <c r="I9" i="28"/>
  <c r="H8" i="28"/>
  <c r="I25" i="28"/>
  <c r="I18" i="28"/>
  <c r="H3" i="28"/>
  <c r="I16" i="28"/>
  <c r="H20" i="28"/>
  <c r="H15" i="28"/>
  <c r="I17" i="28"/>
  <c r="H6" i="28"/>
  <c r="I6" i="28"/>
  <c r="H25" i="28"/>
  <c r="I20" i="28"/>
  <c r="CP13" i="29"/>
  <c r="CF14" i="29"/>
  <c r="CE14" i="29"/>
  <c r="CI13" i="29"/>
  <c r="H16" i="27"/>
  <c r="Q4" i="39"/>
  <c r="Q4" i="15"/>
  <c r="BR14" i="29"/>
  <c r="BN15" i="29"/>
  <c r="BY14" i="29"/>
  <c r="BO15" i="29"/>
  <c r="K12" i="19"/>
  <c r="L12" i="19"/>
  <c r="E22" i="29"/>
  <c r="F22" i="29" s="1"/>
  <c r="E92" i="29"/>
  <c r="F92" i="29" s="1"/>
  <c r="E98" i="29"/>
  <c r="F98" i="29" s="1"/>
  <c r="E72" i="29"/>
  <c r="F72" i="29" s="1"/>
  <c r="E16" i="29"/>
  <c r="F16" i="29" s="1"/>
  <c r="E45" i="29"/>
  <c r="F45" i="29" s="1"/>
  <c r="E52" i="29"/>
  <c r="F52" i="29" s="1"/>
  <c r="E96" i="29"/>
  <c r="F96" i="29" s="1"/>
  <c r="E78" i="29"/>
  <c r="F78" i="29" s="1"/>
  <c r="E62" i="29"/>
  <c r="F62" i="29" s="1"/>
  <c r="E94" i="29"/>
  <c r="F94" i="29" s="1"/>
  <c r="E83" i="29"/>
  <c r="F83" i="29" s="1"/>
  <c r="E84" i="29"/>
  <c r="F84" i="29" s="1"/>
  <c r="E87" i="29"/>
  <c r="F87" i="29" s="1"/>
  <c r="E18" i="29"/>
  <c r="F18" i="29" s="1"/>
  <c r="E77" i="29"/>
  <c r="F77" i="29" s="1"/>
  <c r="E99" i="29"/>
  <c r="F99" i="29" s="1"/>
  <c r="E85" i="29"/>
  <c r="F85" i="29" s="1"/>
  <c r="E51" i="29"/>
  <c r="F51" i="29" s="1"/>
  <c r="E102" i="29"/>
  <c r="F102" i="29" s="1"/>
  <c r="E75" i="29"/>
  <c r="F75" i="29" s="1"/>
  <c r="B141" i="39"/>
  <c r="E61" i="29"/>
  <c r="F61" i="29" s="1"/>
  <c r="E112" i="29"/>
  <c r="F112" i="29" s="1"/>
  <c r="E65" i="29"/>
  <c r="F65" i="29" s="1"/>
  <c r="E90" i="29"/>
  <c r="F90" i="29" s="1"/>
  <c r="AZ10" i="29"/>
  <c r="E28" i="29"/>
  <c r="F28" i="29" s="1"/>
  <c r="E109" i="29"/>
  <c r="F109" i="29" s="1"/>
  <c r="E57" i="29"/>
  <c r="F57" i="29" s="1"/>
  <c r="E103" i="29"/>
  <c r="F103" i="29" s="1"/>
  <c r="E56" i="29"/>
  <c r="F56" i="29" s="1"/>
  <c r="E55" i="29"/>
  <c r="F55" i="29" s="1"/>
  <c r="E58" i="29"/>
  <c r="F58" i="29" s="1"/>
  <c r="E67" i="29"/>
  <c r="F67" i="29" s="1"/>
  <c r="E117" i="29"/>
  <c r="F117" i="29" s="1"/>
  <c r="E120" i="29"/>
  <c r="F120" i="29" s="1"/>
  <c r="E79" i="29"/>
  <c r="F79" i="29" s="1"/>
  <c r="E27" i="29"/>
  <c r="F27" i="29" s="1"/>
  <c r="BA1341" i="29"/>
  <c r="E113" i="29"/>
  <c r="F113" i="29" s="1"/>
  <c r="E116" i="29"/>
  <c r="F116" i="29" s="1"/>
  <c r="E34" i="29"/>
  <c r="F34" i="29" s="1"/>
  <c r="E119" i="29"/>
  <c r="F119" i="29" s="1"/>
  <c r="E25" i="29"/>
  <c r="F25" i="29" s="1"/>
  <c r="AZ9" i="29"/>
  <c r="E111" i="29"/>
  <c r="F111" i="29" s="1"/>
  <c r="E15" i="29"/>
  <c r="F15" i="29" s="1"/>
  <c r="E35" i="29"/>
  <c r="F35" i="29" s="1"/>
  <c r="E115" i="29"/>
  <c r="F115" i="29" s="1"/>
  <c r="E44" i="29"/>
  <c r="F44" i="29" s="1"/>
  <c r="E14" i="29"/>
  <c r="F14" i="29" s="1"/>
  <c r="E39" i="29"/>
  <c r="F39" i="29" s="1"/>
  <c r="E21" i="29"/>
  <c r="F21" i="29" s="1"/>
  <c r="E86" i="29"/>
  <c r="F86" i="29" s="1"/>
  <c r="E30" i="29"/>
  <c r="F30" i="29" s="1"/>
  <c r="E48" i="29"/>
  <c r="F48" i="29" s="1"/>
  <c r="E114" i="29"/>
  <c r="F114" i="29" s="1"/>
  <c r="E26" i="29"/>
  <c r="F26" i="29" s="1"/>
  <c r="E46" i="29"/>
  <c r="F46" i="29" s="1"/>
  <c r="E63" i="29"/>
  <c r="F63" i="29" s="1"/>
  <c r="E95" i="29"/>
  <c r="F95" i="29" s="1"/>
  <c r="E29" i="29"/>
  <c r="F29" i="29" s="1"/>
  <c r="E40" i="29"/>
  <c r="F40" i="29" s="1"/>
  <c r="E70" i="29"/>
  <c r="F70" i="29" s="1"/>
  <c r="E101" i="29"/>
  <c r="F101" i="29" s="1"/>
  <c r="E49" i="29"/>
  <c r="F49" i="29" s="1"/>
  <c r="E74" i="29"/>
  <c r="F74" i="29" s="1"/>
  <c r="E19" i="29"/>
  <c r="F19" i="29" s="1"/>
  <c r="E104" i="29"/>
  <c r="F104" i="29" s="1"/>
  <c r="E82" i="29"/>
  <c r="F82" i="29" s="1"/>
  <c r="E71" i="29"/>
  <c r="F71" i="29" s="1"/>
  <c r="E41" i="29"/>
  <c r="F41" i="29" s="1"/>
  <c r="E100" i="29"/>
  <c r="F100" i="29" s="1"/>
  <c r="E89" i="29"/>
  <c r="F89" i="29" s="1"/>
  <c r="E68" i="29"/>
  <c r="F68" i="29" s="1"/>
  <c r="E36" i="29"/>
  <c r="F36" i="29" s="1"/>
  <c r="E31" i="29"/>
  <c r="F31" i="29" s="1"/>
  <c r="E88" i="29"/>
  <c r="F88" i="29" s="1"/>
  <c r="B271" i="15"/>
  <c r="E81" i="29"/>
  <c r="F81" i="29" s="1"/>
  <c r="E11" i="29"/>
  <c r="F11" i="29" s="1"/>
  <c r="E50" i="29"/>
  <c r="F50" i="29" s="1"/>
  <c r="E93" i="29"/>
  <c r="F93" i="29" s="1"/>
  <c r="E110" i="29"/>
  <c r="F110" i="29" s="1"/>
  <c r="E13" i="29"/>
  <c r="F13" i="29" s="1"/>
  <c r="E59" i="29"/>
  <c r="F59" i="29" s="1"/>
  <c r="E20" i="29"/>
  <c r="F20" i="29" s="1"/>
  <c r="E23" i="29"/>
  <c r="F23" i="29" s="1"/>
  <c r="E43" i="29"/>
  <c r="F43" i="29" s="1"/>
  <c r="E76" i="29"/>
  <c r="F76" i="29" s="1"/>
  <c r="E24" i="29"/>
  <c r="F24" i="29" s="1"/>
  <c r="E17" i="29"/>
  <c r="F17" i="29" s="1"/>
  <c r="E106" i="29"/>
  <c r="F106" i="29" s="1"/>
  <c r="E66" i="29"/>
  <c r="F66" i="29" s="1"/>
  <c r="E12" i="29"/>
  <c r="F12" i="29" s="1"/>
  <c r="E38" i="29"/>
  <c r="F38" i="29" s="1"/>
  <c r="E105" i="29"/>
  <c r="F105" i="29" s="1"/>
  <c r="E32" i="29"/>
  <c r="F32" i="29" s="1"/>
  <c r="E64" i="29"/>
  <c r="F64" i="29" s="1"/>
  <c r="E107" i="29"/>
  <c r="F107" i="29" s="1"/>
  <c r="E37" i="29"/>
  <c r="F37" i="29" s="1"/>
  <c r="E60" i="29"/>
  <c r="F60" i="29" s="1"/>
  <c r="E118" i="29"/>
  <c r="F118" i="29" s="1"/>
  <c r="E47" i="29"/>
  <c r="F47" i="29" s="1"/>
  <c r="E108" i="29"/>
  <c r="F108" i="29" s="1"/>
  <c r="E80" i="29"/>
  <c r="F80" i="29" s="1"/>
  <c r="E97" i="29"/>
  <c r="F97" i="29" s="1"/>
  <c r="E121" i="29"/>
  <c r="F121" i="29" s="1"/>
  <c r="E33" i="29"/>
  <c r="F33" i="29" s="1"/>
  <c r="E42" i="29"/>
  <c r="F42" i="29" s="1"/>
  <c r="E91" i="29"/>
  <c r="F91" i="29" s="1"/>
  <c r="E73" i="29"/>
  <c r="F73" i="29" s="1"/>
  <c r="E53" i="29"/>
  <c r="F53" i="29" s="1"/>
  <c r="E69" i="29"/>
  <c r="F69" i="29" s="1"/>
  <c r="E54" i="29"/>
  <c r="F54" i="29" s="1"/>
  <c r="N10" i="19"/>
  <c r="J13" i="29"/>
  <c r="L12" i="29"/>
  <c r="AQ12" i="29"/>
  <c r="K13" i="29"/>
  <c r="F2" i="28"/>
  <c r="B1" i="28" s="1"/>
  <c r="N11" i="19"/>
  <c r="M8" i="19"/>
  <c r="AK6" i="19"/>
  <c r="C7" i="19"/>
  <c r="J9" i="27"/>
  <c r="D13" i="19"/>
  <c r="E5" i="19"/>
  <c r="E6" i="19" s="1"/>
  <c r="A10" i="44" l="1"/>
  <c r="A9" i="45"/>
  <c r="BE12" i="29"/>
  <c r="BP12" i="29"/>
  <c r="BD13" i="29"/>
  <c r="CG13" i="29" s="1"/>
  <c r="BC12" i="29"/>
  <c r="BF12" i="29" s="1"/>
  <c r="AZ12" i="29" s="1"/>
  <c r="L13" i="29"/>
  <c r="K14" i="29"/>
  <c r="AQ13" i="29"/>
  <c r="J14" i="29"/>
  <c r="CT16" i="29"/>
  <c r="C481" i="15"/>
  <c r="C356" i="39"/>
  <c r="AK7" i="19"/>
  <c r="C482" i="15"/>
  <c r="O4" i="27"/>
  <c r="E9" i="27"/>
  <c r="A7" i="27"/>
  <c r="D5" i="19"/>
  <c r="D14" i="19"/>
  <c r="D6" i="19"/>
  <c r="BR15" i="29"/>
  <c r="BN16" i="29"/>
  <c r="BY15" i="29"/>
  <c r="BO16" i="29"/>
  <c r="I27" i="28"/>
  <c r="E19" i="27" s="1"/>
  <c r="L87" i="42"/>
  <c r="L92" i="42"/>
  <c r="L26" i="42"/>
  <c r="L68" i="42"/>
  <c r="L21" i="42"/>
  <c r="L53" i="42"/>
  <c r="L47" i="42"/>
  <c r="L14" i="42"/>
  <c r="L61" i="42"/>
  <c r="L90" i="42"/>
  <c r="L98" i="42"/>
  <c r="L78" i="42"/>
  <c r="L28" i="42"/>
  <c r="L32" i="42"/>
  <c r="L77" i="42"/>
  <c r="L71" i="42"/>
  <c r="L73" i="42"/>
  <c r="L67" i="42"/>
  <c r="L16" i="42"/>
  <c r="L75" i="42"/>
  <c r="L19" i="42"/>
  <c r="L27" i="42"/>
  <c r="L72" i="42"/>
  <c r="L45" i="42"/>
  <c r="L5" i="42"/>
  <c r="L63" i="42"/>
  <c r="L10" i="42"/>
  <c r="L76" i="42"/>
  <c r="L6" i="42"/>
  <c r="L20" i="42"/>
  <c r="L25" i="42"/>
  <c r="L23" i="42"/>
  <c r="L80" i="42"/>
  <c r="L81" i="42"/>
  <c r="L86" i="42"/>
  <c r="L93" i="42"/>
  <c r="L12" i="42"/>
  <c r="L43" i="42"/>
  <c r="L84" i="42"/>
  <c r="L31" i="42"/>
  <c r="L30" i="42"/>
  <c r="L99" i="42"/>
  <c r="L48" i="42"/>
  <c r="L65" i="42"/>
  <c r="L58" i="42"/>
  <c r="L13" i="42"/>
  <c r="L102" i="42"/>
  <c r="L89" i="42"/>
  <c r="L4" i="42"/>
  <c r="L38" i="42"/>
  <c r="L95" i="42"/>
  <c r="L44" i="42"/>
  <c r="L33" i="42"/>
  <c r="L88" i="42"/>
  <c r="L37" i="42"/>
  <c r="L15" i="42"/>
  <c r="L17" i="42"/>
  <c r="L70" i="42"/>
  <c r="L57" i="42"/>
  <c r="L60" i="42"/>
  <c r="L100" i="42"/>
  <c r="L40" i="42"/>
  <c r="L51" i="42"/>
  <c r="L69" i="42"/>
  <c r="L83" i="42"/>
  <c r="L22" i="42"/>
  <c r="L18" i="42"/>
  <c r="L39" i="42"/>
  <c r="L9" i="42"/>
  <c r="L56" i="42"/>
  <c r="L79" i="42"/>
  <c r="L101" i="42"/>
  <c r="L64" i="42"/>
  <c r="L36" i="42"/>
  <c r="L54" i="42"/>
  <c r="L66" i="42"/>
  <c r="L7" i="42"/>
  <c r="L55" i="42"/>
  <c r="L49" i="42"/>
  <c r="L42" i="42"/>
  <c r="L74" i="42"/>
  <c r="L11" i="42"/>
  <c r="L52" i="42"/>
  <c r="L91" i="42"/>
  <c r="L50" i="42"/>
  <c r="L41" i="42"/>
  <c r="L29" i="42"/>
  <c r="L34" i="42"/>
  <c r="L82" i="42"/>
  <c r="L8" i="42"/>
  <c r="L46" i="42"/>
  <c r="L62" i="42"/>
  <c r="L96" i="42"/>
  <c r="L24" i="42"/>
  <c r="L85" i="42"/>
  <c r="L59" i="42"/>
  <c r="L94" i="42"/>
  <c r="L97" i="42"/>
  <c r="L35" i="42"/>
  <c r="T14" i="29"/>
  <c r="V13" i="29"/>
  <c r="S14" i="29"/>
  <c r="AO17" i="29"/>
  <c r="AN17" i="29"/>
  <c r="AW17" i="29" s="1"/>
  <c r="M12" i="19"/>
  <c r="N12" i="19"/>
  <c r="CI14" i="29"/>
  <c r="CP14" i="29"/>
  <c r="CE15" i="29"/>
  <c r="CF15" i="29"/>
  <c r="A11" i="44" l="1"/>
  <c r="A10" i="45"/>
  <c r="BE13" i="29"/>
  <c r="BD14" i="29"/>
  <c r="BD15" i="29" s="1"/>
  <c r="BD16" i="29" s="1"/>
  <c r="BC13" i="29"/>
  <c r="BF13" i="29" s="1"/>
  <c r="AZ13" i="29" s="1"/>
  <c r="BP13" i="29"/>
  <c r="N4" i="42"/>
  <c r="M4" i="42"/>
  <c r="M5" i="42"/>
  <c r="AK8" i="19"/>
  <c r="V14" i="29"/>
  <c r="S15" i="29"/>
  <c r="T15" i="29"/>
  <c r="AK9" i="19"/>
  <c r="C483" i="15"/>
  <c r="AN18" i="29"/>
  <c r="AO18" i="29"/>
  <c r="BR16" i="29"/>
  <c r="BO17" i="29"/>
  <c r="BY16" i="29"/>
  <c r="BN17" i="29"/>
  <c r="C45" i="27"/>
  <c r="R7" i="27"/>
  <c r="R6" i="27"/>
  <c r="AQ14" i="29"/>
  <c r="K15" i="29"/>
  <c r="J15" i="29"/>
  <c r="L14" i="29"/>
  <c r="A35" i="29"/>
  <c r="I35" i="29" s="1"/>
  <c r="I18" i="39"/>
  <c r="AP11" i="29"/>
  <c r="A82" i="29"/>
  <c r="I82" i="29" s="1"/>
  <c r="J64" i="19"/>
  <c r="A109" i="29"/>
  <c r="I109" i="29" s="1"/>
  <c r="A97" i="29"/>
  <c r="I97" i="29" s="1"/>
  <c r="A50" i="29"/>
  <c r="I50" i="29" s="1"/>
  <c r="AI14" i="29"/>
  <c r="A66" i="29"/>
  <c r="I66" i="29" s="1"/>
  <c r="AJ83" i="39"/>
  <c r="A95" i="29"/>
  <c r="I95" i="29" s="1"/>
  <c r="A78" i="29"/>
  <c r="I78" i="29" s="1"/>
  <c r="N150" i="15"/>
  <c r="A37" i="29"/>
  <c r="I37" i="29" s="1"/>
  <c r="A14" i="29"/>
  <c r="I14" i="29" s="1"/>
  <c r="A47" i="29"/>
  <c r="I47" i="29" s="1"/>
  <c r="AI11" i="29"/>
  <c r="R3" i="40"/>
  <c r="I120" i="40" s="1"/>
  <c r="A57" i="29"/>
  <c r="I57" i="29" s="1"/>
  <c r="A91" i="29"/>
  <c r="I91" i="29" s="1"/>
  <c r="O7" i="27"/>
  <c r="A1" i="45" s="1"/>
  <c r="A61" i="29"/>
  <c r="I61" i="29" s="1"/>
  <c r="U9" i="29"/>
  <c r="A19" i="29"/>
  <c r="I19" i="29" s="1"/>
  <c r="A71" i="29"/>
  <c r="I71" i="29" s="1"/>
  <c r="A118" i="29"/>
  <c r="I118" i="29" s="1"/>
  <c r="A20" i="29"/>
  <c r="I20" i="29" s="1"/>
  <c r="G17" i="15"/>
  <c r="L217" i="15"/>
  <c r="A72" i="29"/>
  <c r="I72" i="29" s="1"/>
  <c r="O6" i="27"/>
  <c r="A113" i="29"/>
  <c r="I113" i="29" s="1"/>
  <c r="AI19" i="29"/>
  <c r="A83" i="29"/>
  <c r="I83" i="29" s="1"/>
  <c r="A16" i="29"/>
  <c r="I16" i="29" s="1"/>
  <c r="A84" i="29"/>
  <c r="I84" i="29" s="1"/>
  <c r="A36" i="29"/>
  <c r="I36" i="29" s="1"/>
  <c r="A102" i="29"/>
  <c r="I102" i="29" s="1"/>
  <c r="U11" i="29"/>
  <c r="U14" i="29"/>
  <c r="A43" i="29"/>
  <c r="I43" i="29" s="1"/>
  <c r="A58" i="29"/>
  <c r="I58" i="29" s="1"/>
  <c r="AP14" i="29"/>
  <c r="AP18" i="29"/>
  <c r="A13" i="29"/>
  <c r="I13" i="29" s="1"/>
  <c r="AJ18" i="39"/>
  <c r="C55" i="19"/>
  <c r="A77" i="29"/>
  <c r="I77" i="29" s="1"/>
  <c r="A87" i="29"/>
  <c r="I87" i="29" s="1"/>
  <c r="CH10" i="29"/>
  <c r="CH11" i="29" s="1"/>
  <c r="CH12" i="29" s="1"/>
  <c r="CH13" i="29" s="1"/>
  <c r="CH14" i="29" s="1"/>
  <c r="CH15" i="29" s="1"/>
  <c r="CH16" i="29" s="1"/>
  <c r="A111" i="29"/>
  <c r="I111" i="29" s="1"/>
  <c r="A101" i="29"/>
  <c r="I101" i="29" s="1"/>
  <c r="A44" i="29"/>
  <c r="I44" i="29" s="1"/>
  <c r="AI22" i="29"/>
  <c r="A21" i="29"/>
  <c r="I21" i="29" s="1"/>
  <c r="A80" i="29"/>
  <c r="I80" i="29" s="1"/>
  <c r="U12" i="29"/>
  <c r="AI21" i="29"/>
  <c r="A56" i="29"/>
  <c r="I56" i="29" s="1"/>
  <c r="A104" i="29"/>
  <c r="I104" i="29" s="1"/>
  <c r="AI15" i="29"/>
  <c r="A51" i="29"/>
  <c r="I51" i="29" s="1"/>
  <c r="A29" i="29"/>
  <c r="I29" i="29" s="1"/>
  <c r="AI18" i="29"/>
  <c r="A52" i="29"/>
  <c r="I52" i="29" s="1"/>
  <c r="A48" i="29"/>
  <c r="I48" i="29" s="1"/>
  <c r="A81" i="29"/>
  <c r="I81" i="29" s="1"/>
  <c r="A17" i="29"/>
  <c r="I17" i="29" s="1"/>
  <c r="AI25" i="29"/>
  <c r="C57" i="19"/>
  <c r="A23" i="29"/>
  <c r="I23" i="29" s="1"/>
  <c r="A65" i="29"/>
  <c r="I65" i="29" s="1"/>
  <c r="A92" i="29"/>
  <c r="I92" i="29" s="1"/>
  <c r="A114" i="29"/>
  <c r="I114" i="29" s="1"/>
  <c r="D15" i="19"/>
  <c r="J17" i="15"/>
  <c r="A64" i="29"/>
  <c r="I64" i="29" s="1"/>
  <c r="A53" i="29"/>
  <c r="I53" i="29" s="1"/>
  <c r="A119" i="29"/>
  <c r="I119" i="29" s="1"/>
  <c r="A90" i="29"/>
  <c r="I90" i="29" s="1"/>
  <c r="AP12" i="29"/>
  <c r="A59" i="29"/>
  <c r="I59" i="29" s="1"/>
  <c r="A96" i="29"/>
  <c r="I96" i="29" s="1"/>
  <c r="AP17" i="29"/>
  <c r="AX17" i="29" s="1"/>
  <c r="AK83" i="39"/>
  <c r="A31" i="29"/>
  <c r="I31" i="29" s="1"/>
  <c r="A42" i="29"/>
  <c r="I42" i="29" s="1"/>
  <c r="A55" i="29"/>
  <c r="I55" i="29" s="1"/>
  <c r="BQ10" i="29"/>
  <c r="BQ11" i="29" s="1"/>
  <c r="BQ12" i="29" s="1"/>
  <c r="BQ13" i="29" s="1"/>
  <c r="BQ14" i="29" s="1"/>
  <c r="BQ15" i="29" s="1"/>
  <c r="BQ16" i="29" s="1"/>
  <c r="BQ17" i="29" s="1"/>
  <c r="A46" i="29"/>
  <c r="I46" i="29" s="1"/>
  <c r="A108" i="29"/>
  <c r="I108" i="29" s="1"/>
  <c r="A73" i="29"/>
  <c r="I73" i="29" s="1"/>
  <c r="A67" i="29"/>
  <c r="I67" i="29" s="1"/>
  <c r="AI20" i="29"/>
  <c r="A41" i="29"/>
  <c r="I41" i="29" s="1"/>
  <c r="A76" i="29"/>
  <c r="I76" i="29" s="1"/>
  <c r="A70" i="29"/>
  <c r="I70" i="29" s="1"/>
  <c r="D78" i="15"/>
  <c r="AI24" i="29"/>
  <c r="A69" i="29"/>
  <c r="I69" i="29" s="1"/>
  <c r="F82" i="39"/>
  <c r="A12" i="29"/>
  <c r="I12" i="29" s="1"/>
  <c r="AI13" i="29"/>
  <c r="A34" i="29"/>
  <c r="I34" i="29" s="1"/>
  <c r="AI26" i="29"/>
  <c r="A62" i="29"/>
  <c r="I62" i="29" s="1"/>
  <c r="A89" i="29"/>
  <c r="I89" i="29" s="1"/>
  <c r="A45" i="29"/>
  <c r="I45" i="29" s="1"/>
  <c r="A32" i="29"/>
  <c r="I32" i="29" s="1"/>
  <c r="A25" i="29"/>
  <c r="I25" i="29" s="1"/>
  <c r="A33" i="29"/>
  <c r="I33" i="29" s="1"/>
  <c r="A38" i="29"/>
  <c r="I38" i="29" s="1"/>
  <c r="A105" i="29"/>
  <c r="I105" i="29" s="1"/>
  <c r="U13" i="29"/>
  <c r="A27" i="29"/>
  <c r="I27" i="29" s="1"/>
  <c r="AI23" i="29"/>
  <c r="D17" i="39"/>
  <c r="A121" i="29"/>
  <c r="I121" i="29" s="1"/>
  <c r="A75" i="29"/>
  <c r="I75" i="29" s="1"/>
  <c r="Q3" i="40"/>
  <c r="H120" i="40" s="1"/>
  <c r="A120" i="29"/>
  <c r="I120" i="29" s="1"/>
  <c r="A18" i="29"/>
  <c r="I18" i="29" s="1"/>
  <c r="A86" i="29"/>
  <c r="I86" i="29" s="1"/>
  <c r="A49" i="29"/>
  <c r="I49" i="29" s="1"/>
  <c r="AP13" i="29"/>
  <c r="A116" i="29"/>
  <c r="I116" i="29" s="1"/>
  <c r="AI17" i="29"/>
  <c r="AP16" i="29"/>
  <c r="AP15" i="29"/>
  <c r="J60" i="19"/>
  <c r="A24" i="29"/>
  <c r="I24" i="29" s="1"/>
  <c r="F17" i="39"/>
  <c r="A60" i="29"/>
  <c r="I60" i="29" s="1"/>
  <c r="A100" i="29"/>
  <c r="I100" i="29" s="1"/>
  <c r="A39" i="29"/>
  <c r="I39" i="29" s="1"/>
  <c r="U10" i="29"/>
  <c r="AI12" i="29"/>
  <c r="A110" i="29"/>
  <c r="I110" i="29" s="1"/>
  <c r="A54" i="29"/>
  <c r="I54" i="29" s="1"/>
  <c r="A117" i="29"/>
  <c r="I117" i="29" s="1"/>
  <c r="D82" i="39"/>
  <c r="A107" i="29"/>
  <c r="I107" i="29" s="1"/>
  <c r="A26" i="29"/>
  <c r="I26" i="29" s="1"/>
  <c r="AK18" i="39"/>
  <c r="AI16" i="29"/>
  <c r="A15" i="29"/>
  <c r="I15" i="29" s="1"/>
  <c r="D17" i="15"/>
  <c r="AP10" i="29"/>
  <c r="A68" i="29"/>
  <c r="I68" i="29" s="1"/>
  <c r="AP9" i="29"/>
  <c r="A11" i="29"/>
  <c r="I11" i="29" s="1"/>
  <c r="L150" i="15"/>
  <c r="A63" i="29"/>
  <c r="I63" i="29" s="1"/>
  <c r="J78" i="15"/>
  <c r="A112" i="29"/>
  <c r="I112" i="29" s="1"/>
  <c r="A40" i="29"/>
  <c r="I40" i="29" s="1"/>
  <c r="N217" i="15"/>
  <c r="A79" i="29"/>
  <c r="I79" i="29" s="1"/>
  <c r="A93" i="29"/>
  <c r="I93" i="29" s="1"/>
  <c r="G78" i="15"/>
  <c r="A98" i="29"/>
  <c r="I98" i="29" s="1"/>
  <c r="A103" i="29"/>
  <c r="I103" i="29" s="1"/>
  <c r="A74" i="29"/>
  <c r="I74" i="29" s="1"/>
  <c r="A30" i="29"/>
  <c r="I30" i="29" s="1"/>
  <c r="A22" i="29"/>
  <c r="I22" i="29" s="1"/>
  <c r="A106" i="29"/>
  <c r="I106" i="29" s="1"/>
  <c r="A115" i="29"/>
  <c r="I115" i="29" s="1"/>
  <c r="A85" i="29"/>
  <c r="I85" i="29" s="1"/>
  <c r="A88" i="29"/>
  <c r="I88" i="29" s="1"/>
  <c r="A28" i="29"/>
  <c r="I28" i="29" s="1"/>
  <c r="AA3" i="19"/>
  <c r="Z14" i="19" s="1"/>
  <c r="AB14" i="19" s="1"/>
  <c r="A94" i="29"/>
  <c r="I94" i="29" s="1"/>
  <c r="A99" i="29"/>
  <c r="I99" i="29" s="1"/>
  <c r="D16" i="19"/>
  <c r="C357" i="39"/>
  <c r="CT17" i="29"/>
  <c r="CP15" i="29"/>
  <c r="CF16" i="29"/>
  <c r="CE16" i="29"/>
  <c r="CI15" i="29"/>
  <c r="M10" i="19"/>
  <c r="M11" i="19"/>
  <c r="C359" i="39"/>
  <c r="C358" i="39"/>
  <c r="A12" i="44" l="1"/>
  <c r="A11" i="45"/>
  <c r="A1" i="44"/>
  <c r="BE15" i="29"/>
  <c r="BG15" i="29" s="1"/>
  <c r="BA15" i="29" s="1"/>
  <c r="CG15" i="29"/>
  <c r="BP15" i="29"/>
  <c r="BC14" i="29"/>
  <c r="BF14" i="29" s="1"/>
  <c r="AZ14" i="29" s="1"/>
  <c r="BP14" i="29"/>
  <c r="BC15" i="29"/>
  <c r="BF15" i="29" s="1"/>
  <c r="AZ15" i="29" s="1"/>
  <c r="CG14" i="29"/>
  <c r="BE14" i="29"/>
  <c r="BG14" i="29" s="1"/>
  <c r="BA14" i="29" s="1"/>
  <c r="P4" i="29"/>
  <c r="BX16" i="29" s="1"/>
  <c r="AX16" i="29"/>
  <c r="D20" i="19"/>
  <c r="C27" i="19" s="1"/>
  <c r="D17" i="19"/>
  <c r="C74" i="29"/>
  <c r="D74" i="29" s="1"/>
  <c r="C121" i="29"/>
  <c r="D121" i="29" s="1"/>
  <c r="C47" i="29"/>
  <c r="D47" i="29" s="1"/>
  <c r="C30" i="29"/>
  <c r="D30" i="29" s="1"/>
  <c r="C120" i="29"/>
  <c r="D120" i="29" s="1"/>
  <c r="C12" i="29"/>
  <c r="D12" i="29" s="1"/>
  <c r="AB33" i="39"/>
  <c r="C88" i="29"/>
  <c r="D88" i="29" s="1"/>
  <c r="C78" i="29"/>
  <c r="D78" i="29" s="1"/>
  <c r="AB37" i="39"/>
  <c r="C77" i="29"/>
  <c r="D77" i="29" s="1"/>
  <c r="C46" i="29"/>
  <c r="D46" i="29" s="1"/>
  <c r="C13" i="29"/>
  <c r="D13" i="29" s="1"/>
  <c r="Y152" i="15"/>
  <c r="C82" i="29"/>
  <c r="D82" i="29" s="1"/>
  <c r="C99" i="29"/>
  <c r="D99" i="29" s="1"/>
  <c r="C111" i="29"/>
  <c r="D111" i="29" s="1"/>
  <c r="C68" i="29"/>
  <c r="D68" i="29" s="1"/>
  <c r="C31" i="29"/>
  <c r="D31" i="29" s="1"/>
  <c r="C87" i="29"/>
  <c r="D87" i="29" s="1"/>
  <c r="C62" i="29"/>
  <c r="D62" i="29" s="1"/>
  <c r="Y153" i="15"/>
  <c r="C109" i="29"/>
  <c r="D109" i="29" s="1"/>
  <c r="C40" i="29"/>
  <c r="D40" i="29" s="1"/>
  <c r="C54" i="29"/>
  <c r="D54" i="29" s="1"/>
  <c r="C73" i="29"/>
  <c r="D73" i="29" s="1"/>
  <c r="C43" i="29"/>
  <c r="D43" i="29" s="1"/>
  <c r="AB21" i="39"/>
  <c r="Y163" i="15"/>
  <c r="C14" i="29"/>
  <c r="D14" i="29" s="1"/>
  <c r="Y151" i="15"/>
  <c r="C38" i="29"/>
  <c r="D38" i="29" s="1"/>
  <c r="AB22" i="39"/>
  <c r="C24" i="29"/>
  <c r="D24" i="29" s="1"/>
  <c r="C112" i="29"/>
  <c r="D112" i="29" s="1"/>
  <c r="C95" i="29"/>
  <c r="D95" i="29" s="1"/>
  <c r="C114" i="29"/>
  <c r="D114" i="29" s="1"/>
  <c r="C84" i="29"/>
  <c r="D84" i="29" s="1"/>
  <c r="C53" i="29"/>
  <c r="D53" i="29" s="1"/>
  <c r="C100" i="29"/>
  <c r="D100" i="29" s="1"/>
  <c r="C15" i="29"/>
  <c r="D15" i="29" s="1"/>
  <c r="C103" i="29"/>
  <c r="D103" i="29" s="1"/>
  <c r="Y159" i="15"/>
  <c r="Y162" i="15"/>
  <c r="Y168" i="15"/>
  <c r="C27" i="29"/>
  <c r="D27" i="29" s="1"/>
  <c r="C39" i="29"/>
  <c r="D39" i="29" s="1"/>
  <c r="C101" i="29"/>
  <c r="D101" i="29" s="1"/>
  <c r="C69" i="29"/>
  <c r="D69" i="29" s="1"/>
  <c r="C107" i="29"/>
  <c r="D107" i="29" s="1"/>
  <c r="C26" i="29"/>
  <c r="D26" i="29" s="1"/>
  <c r="C50" i="29"/>
  <c r="D50" i="29" s="1"/>
  <c r="C10" i="29"/>
  <c r="Y166" i="15"/>
  <c r="C28" i="29"/>
  <c r="D28" i="29" s="1"/>
  <c r="C25" i="29"/>
  <c r="D25" i="29" s="1"/>
  <c r="AB31" i="39"/>
  <c r="C59" i="29"/>
  <c r="D59" i="29" s="1"/>
  <c r="C106" i="29"/>
  <c r="D106" i="29" s="1"/>
  <c r="C105" i="29"/>
  <c r="D105" i="29" s="1"/>
  <c r="C85" i="29"/>
  <c r="D85" i="29" s="1"/>
  <c r="AB24" i="39"/>
  <c r="C116" i="29"/>
  <c r="D116" i="29" s="1"/>
  <c r="C29" i="29"/>
  <c r="D29" i="29" s="1"/>
  <c r="C110" i="29"/>
  <c r="D110" i="29" s="1"/>
  <c r="C97" i="29"/>
  <c r="D97" i="29" s="1"/>
  <c r="C55" i="29"/>
  <c r="D55" i="29" s="1"/>
  <c r="C61" i="29"/>
  <c r="D61" i="29" s="1"/>
  <c r="C93" i="29"/>
  <c r="D93" i="29" s="1"/>
  <c r="C32" i="29"/>
  <c r="D32" i="29" s="1"/>
  <c r="C92" i="29"/>
  <c r="D92" i="29" s="1"/>
  <c r="C56" i="29"/>
  <c r="D56" i="29" s="1"/>
  <c r="C91" i="29"/>
  <c r="D91" i="29" s="1"/>
  <c r="C96" i="29"/>
  <c r="D96" i="29" s="1"/>
  <c r="C90" i="29"/>
  <c r="D90" i="29" s="1"/>
  <c r="C115" i="29"/>
  <c r="D115" i="29" s="1"/>
  <c r="C16" i="29"/>
  <c r="D16" i="29" s="1"/>
  <c r="AB32" i="39"/>
  <c r="C113" i="29"/>
  <c r="D113" i="29" s="1"/>
  <c r="C89" i="29"/>
  <c r="D89" i="29" s="1"/>
  <c r="C81" i="29"/>
  <c r="D81" i="29" s="1"/>
  <c r="C19" i="29"/>
  <c r="D19" i="29" s="1"/>
  <c r="C20" i="29"/>
  <c r="D20" i="29" s="1"/>
  <c r="C52" i="29"/>
  <c r="D52" i="29" s="1"/>
  <c r="AB36" i="39"/>
  <c r="C51" i="29"/>
  <c r="D51" i="29" s="1"/>
  <c r="C17" i="29"/>
  <c r="D17" i="29" s="1"/>
  <c r="C34" i="29"/>
  <c r="D34" i="29" s="1"/>
  <c r="C118" i="29"/>
  <c r="D118" i="29" s="1"/>
  <c r="Y169" i="15"/>
  <c r="AB25" i="39"/>
  <c r="C23" i="29"/>
  <c r="D23" i="29" s="1"/>
  <c r="Y156" i="15"/>
  <c r="AB28" i="39"/>
  <c r="AB39" i="39"/>
  <c r="Y161" i="15"/>
  <c r="Y154" i="15"/>
  <c r="C57" i="29"/>
  <c r="D57" i="29" s="1"/>
  <c r="AB29" i="39"/>
  <c r="C83" i="29"/>
  <c r="D83" i="29" s="1"/>
  <c r="C79" i="29"/>
  <c r="D79" i="29" s="1"/>
  <c r="Y158" i="15"/>
  <c r="AB30" i="39"/>
  <c r="C66" i="29"/>
  <c r="D66" i="29" s="1"/>
  <c r="C41" i="29"/>
  <c r="D41" i="29" s="1"/>
  <c r="AB20" i="39"/>
  <c r="C72" i="29"/>
  <c r="D72" i="29" s="1"/>
  <c r="C44" i="29"/>
  <c r="D44" i="29" s="1"/>
  <c r="Y160" i="15"/>
  <c r="AB34" i="39"/>
  <c r="C75" i="29"/>
  <c r="D75" i="29" s="1"/>
  <c r="C22" i="29"/>
  <c r="D22" i="29" s="1"/>
  <c r="C48" i="29"/>
  <c r="D48" i="29" s="1"/>
  <c r="C71" i="29"/>
  <c r="D71" i="29" s="1"/>
  <c r="C36" i="29"/>
  <c r="D36" i="29" s="1"/>
  <c r="Y170" i="15"/>
  <c r="Y164" i="15"/>
  <c r="C70" i="29"/>
  <c r="D70" i="29" s="1"/>
  <c r="C18" i="29"/>
  <c r="D18" i="29" s="1"/>
  <c r="C117" i="29"/>
  <c r="D117" i="29" s="1"/>
  <c r="AB35" i="39"/>
  <c r="AB23" i="39"/>
  <c r="C64" i="29"/>
  <c r="D64" i="29" s="1"/>
  <c r="C65" i="29"/>
  <c r="D65" i="29" s="1"/>
  <c r="C33" i="29"/>
  <c r="D33" i="29" s="1"/>
  <c r="C37" i="29"/>
  <c r="D37" i="29" s="1"/>
  <c r="C119" i="29"/>
  <c r="D119" i="29" s="1"/>
  <c r="C11" i="29"/>
  <c r="D11" i="29" s="1"/>
  <c r="C98" i="29"/>
  <c r="D98" i="29" s="1"/>
  <c r="C63" i="29"/>
  <c r="D63" i="29" s="1"/>
  <c r="C58" i="29"/>
  <c r="D58" i="29" s="1"/>
  <c r="Y165" i="15"/>
  <c r="C45" i="29"/>
  <c r="D45" i="29" s="1"/>
  <c r="C94" i="29"/>
  <c r="D94" i="29" s="1"/>
  <c r="C104" i="29"/>
  <c r="D104" i="29" s="1"/>
  <c r="C80" i="29"/>
  <c r="D80" i="29" s="1"/>
  <c r="C49" i="29"/>
  <c r="D49" i="29" s="1"/>
  <c r="C108" i="29"/>
  <c r="D108" i="29" s="1"/>
  <c r="C102" i="29"/>
  <c r="D102" i="29" s="1"/>
  <c r="C42" i="29"/>
  <c r="D42" i="29" s="1"/>
  <c r="Y157" i="15"/>
  <c r="C21" i="29"/>
  <c r="D21" i="29" s="1"/>
  <c r="Y167" i="15"/>
  <c r="C67" i="29"/>
  <c r="D67" i="29" s="1"/>
  <c r="C35" i="29"/>
  <c r="D35" i="29" s="1"/>
  <c r="C60" i="29"/>
  <c r="D60" i="29" s="1"/>
  <c r="Y155" i="15"/>
  <c r="AB27" i="39"/>
  <c r="C86" i="29"/>
  <c r="D86" i="29" s="1"/>
  <c r="C76" i="29"/>
  <c r="D76" i="29" s="1"/>
  <c r="AB38" i="39"/>
  <c r="AB26" i="39"/>
  <c r="R14" i="29"/>
  <c r="Q14" i="29"/>
  <c r="AB14" i="29"/>
  <c r="K16" i="29"/>
  <c r="J16" i="29"/>
  <c r="L15" i="29"/>
  <c r="AQ15" i="29"/>
  <c r="AN19" i="29"/>
  <c r="AO19" i="29"/>
  <c r="U15" i="29"/>
  <c r="AB15" i="29" s="1"/>
  <c r="N5" i="42"/>
  <c r="AX12" i="29"/>
  <c r="M6" i="42"/>
  <c r="BN18" i="29"/>
  <c r="BY17" i="29"/>
  <c r="BR17" i="29"/>
  <c r="BO18" i="29"/>
  <c r="M9" i="19"/>
  <c r="K9" i="19"/>
  <c r="A2" i="44" s="1"/>
  <c r="A2" i="45" s="1"/>
  <c r="AC14" i="29"/>
  <c r="R13" i="29"/>
  <c r="Q13" i="29"/>
  <c r="AB13" i="29"/>
  <c r="AC13" i="29"/>
  <c r="AX11" i="29"/>
  <c r="M7" i="42"/>
  <c r="M8" i="42" s="1"/>
  <c r="CP16" i="29"/>
  <c r="CF17" i="29"/>
  <c r="CE17" i="29"/>
  <c r="CI16" i="29"/>
  <c r="AX9" i="29"/>
  <c r="AX13" i="29"/>
  <c r="BQ18" i="29"/>
  <c r="BQ19" i="29" s="1"/>
  <c r="AB12" i="29"/>
  <c r="AC12" i="29"/>
  <c r="R12" i="29"/>
  <c r="Q12" i="29"/>
  <c r="CH17" i="29"/>
  <c r="CH18" i="29" s="1"/>
  <c r="C484" i="15"/>
  <c r="AX10" i="29"/>
  <c r="AC10" i="29"/>
  <c r="AB10" i="29"/>
  <c r="Q10" i="29"/>
  <c r="R10" i="29"/>
  <c r="AX15" i="29"/>
  <c r="BG12" i="29"/>
  <c r="BG9" i="29"/>
  <c r="BG11" i="29"/>
  <c r="BG10" i="29"/>
  <c r="BG13" i="29"/>
  <c r="AX14" i="29"/>
  <c r="AB11" i="29"/>
  <c r="Q11" i="29"/>
  <c r="R11" i="29"/>
  <c r="AC11" i="29"/>
  <c r="L4" i="39"/>
  <c r="L4" i="15"/>
  <c r="AE12" i="29"/>
  <c r="AF11" i="29"/>
  <c r="AE9" i="29"/>
  <c r="AC9" i="29"/>
  <c r="AE11" i="29"/>
  <c r="AF15" i="29"/>
  <c r="AF12" i="29"/>
  <c r="Q9" i="29"/>
  <c r="AE10" i="29"/>
  <c r="AE13" i="29"/>
  <c r="R9" i="29"/>
  <c r="AF9" i="29"/>
  <c r="AF10" i="29"/>
  <c r="AE16" i="29"/>
  <c r="AB9" i="29"/>
  <c r="AF13" i="29"/>
  <c r="AF14" i="29"/>
  <c r="AE15" i="29"/>
  <c r="AE14" i="29"/>
  <c r="AW18" i="29"/>
  <c r="AK10" i="19"/>
  <c r="T16" i="29"/>
  <c r="V15" i="29"/>
  <c r="S16" i="29"/>
  <c r="CG16" i="29"/>
  <c r="BC16" i="29"/>
  <c r="BF16" i="29" s="1"/>
  <c r="BP16" i="29"/>
  <c r="BE16" i="29"/>
  <c r="BG16" i="29" s="1"/>
  <c r="BA16" i="29" s="1"/>
  <c r="BD17" i="29"/>
  <c r="A13" i="44" l="1"/>
  <c r="A12" i="45"/>
  <c r="V2" i="40"/>
  <c r="BH15" i="29"/>
  <c r="BB15" i="29" s="1"/>
  <c r="BH14" i="29"/>
  <c r="BB14" i="29" s="1"/>
  <c r="AV10" i="29"/>
  <c r="AR10" i="29" s="1"/>
  <c r="BX12" i="29"/>
  <c r="AV17" i="29"/>
  <c r="AR17" i="29" s="1"/>
  <c r="U2" i="40"/>
  <c r="AV18" i="29"/>
  <c r="AR18" i="29" s="1"/>
  <c r="AV15" i="29"/>
  <c r="AR15" i="29" s="1"/>
  <c r="S216" i="15"/>
  <c r="BX11" i="29"/>
  <c r="P149" i="15"/>
  <c r="AV12" i="29"/>
  <c r="AR12" i="29" s="1"/>
  <c r="AV14" i="29"/>
  <c r="AR14" i="29" s="1"/>
  <c r="S149" i="15"/>
  <c r="BX9" i="29"/>
  <c r="BX10" i="29"/>
  <c r="AV13" i="29"/>
  <c r="AR13" i="29" s="1"/>
  <c r="X9" i="29"/>
  <c r="BX15" i="29"/>
  <c r="P216" i="15"/>
  <c r="BX14" i="29"/>
  <c r="BX13" i="29"/>
  <c r="AV9" i="29"/>
  <c r="AR9" i="29" s="1"/>
  <c r="AV11" i="29"/>
  <c r="AR11" i="29" s="1"/>
  <c r="X14" i="29"/>
  <c r="BX17" i="29"/>
  <c r="AV16" i="29"/>
  <c r="AR16" i="29" s="1"/>
  <c r="M9" i="42"/>
  <c r="BH11" i="29"/>
  <c r="BB11" i="29" s="1"/>
  <c r="BA11" i="29"/>
  <c r="CR13" i="29"/>
  <c r="CS13" i="29"/>
  <c r="CM13" i="29" s="1"/>
  <c r="M12" i="29"/>
  <c r="CB13" i="29"/>
  <c r="BV13" i="29" s="1"/>
  <c r="W12" i="29"/>
  <c r="Y12" i="29" s="1"/>
  <c r="CA13" i="29"/>
  <c r="BU13" i="29" s="1"/>
  <c r="AA12" i="29"/>
  <c r="BQ20" i="29"/>
  <c r="AO20" i="29"/>
  <c r="AN20" i="29"/>
  <c r="M10" i="42"/>
  <c r="X11" i="29"/>
  <c r="W11" i="29"/>
  <c r="Y11" i="29" s="1"/>
  <c r="CA12" i="29"/>
  <c r="BU12" i="29" s="1"/>
  <c r="CR12" i="29"/>
  <c r="AA11" i="29"/>
  <c r="M11" i="29"/>
  <c r="CS12" i="29"/>
  <c r="CM12" i="29" s="1"/>
  <c r="CB12" i="29"/>
  <c r="BV12" i="29" s="1"/>
  <c r="BA13" i="29"/>
  <c r="BH13" i="29"/>
  <c r="BB13" i="29" s="1"/>
  <c r="BA12" i="29"/>
  <c r="BH12" i="29"/>
  <c r="BB12" i="29" s="1"/>
  <c r="BX18" i="29"/>
  <c r="N6" i="42"/>
  <c r="K17" i="29"/>
  <c r="AQ16" i="29"/>
  <c r="L16" i="29"/>
  <c r="J17" i="29"/>
  <c r="CR15" i="29"/>
  <c r="CA15" i="29"/>
  <c r="BU15" i="29" s="1"/>
  <c r="CB15" i="29"/>
  <c r="BV15" i="29" s="1"/>
  <c r="AA14" i="29"/>
  <c r="M14" i="29"/>
  <c r="CS15" i="29"/>
  <c r="CM15" i="29" s="1"/>
  <c r="W14" i="29"/>
  <c r="Y14" i="29" s="1"/>
  <c r="CT18" i="29"/>
  <c r="AX18" i="29"/>
  <c r="D28" i="19"/>
  <c r="K40" i="27"/>
  <c r="M39" i="27" s="1"/>
  <c r="T17" i="29"/>
  <c r="V16" i="29"/>
  <c r="S17" i="29"/>
  <c r="BA9" i="29"/>
  <c r="CQ9" i="29" s="1"/>
  <c r="BH9" i="29"/>
  <c r="BB9" i="29" s="1"/>
  <c r="Q15" i="29"/>
  <c r="R15" i="29"/>
  <c r="AW19" i="29"/>
  <c r="AP19" i="29"/>
  <c r="AV19" i="29" s="1"/>
  <c r="AR19" i="29" s="1"/>
  <c r="U16" i="29"/>
  <c r="AK11" i="19"/>
  <c r="AK12" i="19"/>
  <c r="C485" i="15"/>
  <c r="C487" i="15"/>
  <c r="C361" i="39"/>
  <c r="AF16" i="29"/>
  <c r="AA9" i="29"/>
  <c r="CS10" i="29"/>
  <c r="CM10" i="29" s="1"/>
  <c r="CR10" i="29"/>
  <c r="CA10" i="29"/>
  <c r="BU10" i="29" s="1"/>
  <c r="W9" i="29"/>
  <c r="Y9" i="29" s="1"/>
  <c r="Z9" i="29" s="1"/>
  <c r="CB10" i="29"/>
  <c r="BV10" i="29" s="1"/>
  <c r="M9" i="29"/>
  <c r="BA10" i="29"/>
  <c r="BH10" i="29"/>
  <c r="BB10" i="29" s="1"/>
  <c r="X10" i="29"/>
  <c r="CB11" i="29"/>
  <c r="BV11" i="29" s="1"/>
  <c r="CA11" i="29"/>
  <c r="BU11" i="29" s="1"/>
  <c r="M10" i="29"/>
  <c r="CR11" i="29"/>
  <c r="AA10" i="29"/>
  <c r="W10" i="29"/>
  <c r="Y10" i="29" s="1"/>
  <c r="CS11" i="29"/>
  <c r="CM11" i="29" s="1"/>
  <c r="AK13" i="19"/>
  <c r="AK14" i="19" s="1"/>
  <c r="X12" i="29"/>
  <c r="CF18" i="29"/>
  <c r="CE18" i="29"/>
  <c r="CP17" i="29"/>
  <c r="CI17" i="29"/>
  <c r="X13" i="29"/>
  <c r="CR14" i="29"/>
  <c r="W13" i="29"/>
  <c r="Y13" i="29" s="1"/>
  <c r="CB14" i="29"/>
  <c r="BV14" i="29" s="1"/>
  <c r="CA14" i="29"/>
  <c r="BU14" i="29" s="1"/>
  <c r="M13" i="29"/>
  <c r="CS14" i="29"/>
  <c r="CM14" i="29" s="1"/>
  <c r="AA13" i="29"/>
  <c r="BR18" i="29"/>
  <c r="BO19" i="29"/>
  <c r="BN19" i="29"/>
  <c r="BY18" i="29"/>
  <c r="AC15" i="29"/>
  <c r="AZ16" i="29"/>
  <c r="BH16" i="29"/>
  <c r="BB16" i="29" s="1"/>
  <c r="BZ16" i="29" s="1"/>
  <c r="BE17" i="29"/>
  <c r="BG17" i="29" s="1"/>
  <c r="BA17" i="29" s="1"/>
  <c r="BC17" i="29"/>
  <c r="BF17" i="29" s="1"/>
  <c r="CG17" i="29"/>
  <c r="BD18" i="29"/>
  <c r="BP17" i="29"/>
  <c r="A14" i="44" l="1"/>
  <c r="A13" i="45"/>
  <c r="BZ12" i="29"/>
  <c r="BZ13" i="29"/>
  <c r="BZ15" i="29"/>
  <c r="BZ14" i="29"/>
  <c r="BZ10" i="29"/>
  <c r="BZ11" i="29"/>
  <c r="CW14" i="29"/>
  <c r="CL14" i="29"/>
  <c r="CE19" i="29"/>
  <c r="CI18" i="29"/>
  <c r="CP18" i="29"/>
  <c r="CF19" i="29"/>
  <c r="Z10" i="29"/>
  <c r="Z11" i="29" s="1"/>
  <c r="Z12" i="29" s="1"/>
  <c r="Z13" i="29" s="1"/>
  <c r="Z14" i="29" s="1"/>
  <c r="C494" i="15"/>
  <c r="R16" i="29"/>
  <c r="Q16" i="29"/>
  <c r="W15" i="29"/>
  <c r="Y15" i="29" s="1"/>
  <c r="CB16" i="29"/>
  <c r="BV16" i="29" s="1"/>
  <c r="M15" i="29"/>
  <c r="AA15" i="29"/>
  <c r="CR16" i="29"/>
  <c r="CS16" i="29"/>
  <c r="CM16" i="29" s="1"/>
  <c r="CA16" i="29"/>
  <c r="BU16" i="29" s="1"/>
  <c r="T18" i="29"/>
  <c r="S18" i="29"/>
  <c r="V17" i="29"/>
  <c r="AE17" i="29"/>
  <c r="AF17" i="29"/>
  <c r="AW20" i="29"/>
  <c r="AP20" i="29"/>
  <c r="AV20" i="29" s="1"/>
  <c r="CC14" i="29"/>
  <c r="CC10" i="29"/>
  <c r="C371" i="39"/>
  <c r="C363" i="39"/>
  <c r="C364" i="39"/>
  <c r="AC16" i="29"/>
  <c r="CT19" i="29"/>
  <c r="AX19" i="29"/>
  <c r="D43" i="27"/>
  <c r="C43" i="27"/>
  <c r="N7" i="42"/>
  <c r="N8" i="42"/>
  <c r="AN21" i="29"/>
  <c r="AO21" i="29"/>
  <c r="CW13" i="29"/>
  <c r="CL13" i="29"/>
  <c r="BX19" i="29"/>
  <c r="CW11" i="29"/>
  <c r="CL11" i="29"/>
  <c r="CV10" i="29"/>
  <c r="CO10" i="29" s="1"/>
  <c r="CQ10" i="29" s="1"/>
  <c r="CW10" i="29"/>
  <c r="CX10" i="29" s="1"/>
  <c r="CV11" i="29" s="1"/>
  <c r="CO11" i="29" s="1"/>
  <c r="CQ11" i="29" s="1"/>
  <c r="CL10" i="29"/>
  <c r="C365" i="39"/>
  <c r="AK15" i="19"/>
  <c r="AK16" i="19" s="1"/>
  <c r="AK17" i="19" s="1"/>
  <c r="AK18" i="19" s="1"/>
  <c r="AK19" i="19" s="1"/>
  <c r="AK20" i="19" s="1"/>
  <c r="AB16" i="29"/>
  <c r="X15" i="29"/>
  <c r="U17" i="29"/>
  <c r="AC17" i="29" s="1"/>
  <c r="D29" i="19"/>
  <c r="C30" i="19"/>
  <c r="A39" i="27"/>
  <c r="D53" i="19"/>
  <c r="CL15" i="29"/>
  <c r="CW15" i="29"/>
  <c r="K18" i="29"/>
  <c r="AQ17" i="29"/>
  <c r="J18" i="29"/>
  <c r="L17" i="29"/>
  <c r="CC12" i="29"/>
  <c r="CH19" i="29"/>
  <c r="CH20" i="29" s="1"/>
  <c r="BO20" i="29"/>
  <c r="BN20" i="29"/>
  <c r="BR19" i="29"/>
  <c r="BY19" i="29"/>
  <c r="M11" i="42"/>
  <c r="CC13" i="29"/>
  <c r="AK21" i="19"/>
  <c r="AK22" i="19" s="1"/>
  <c r="AK23" i="19" s="1"/>
  <c r="AK24" i="19" s="1"/>
  <c r="AK25" i="19" s="1"/>
  <c r="AK26" i="19" s="1"/>
  <c r="AK27" i="19" s="1"/>
  <c r="AK28" i="19" s="1"/>
  <c r="AK29" i="19" s="1"/>
  <c r="AK30" i="19" s="1"/>
  <c r="AK31" i="19" s="1"/>
  <c r="AK32" i="19" s="1"/>
  <c r="AK33" i="19" s="1"/>
  <c r="AK34" i="19" s="1"/>
  <c r="AK35" i="19" s="1"/>
  <c r="AK36" i="19" s="1"/>
  <c r="C362" i="39"/>
  <c r="C486" i="15"/>
  <c r="C488" i="15"/>
  <c r="BZ9" i="29"/>
  <c r="CC15" i="29"/>
  <c r="CL12" i="29"/>
  <c r="CW12" i="29"/>
  <c r="CC11" i="29"/>
  <c r="BP18" i="29"/>
  <c r="BC18" i="29"/>
  <c r="BF18" i="29" s="1"/>
  <c r="BE18" i="29"/>
  <c r="BG18" i="29" s="1"/>
  <c r="BA18" i="29" s="1"/>
  <c r="CG18" i="29"/>
  <c r="BD19" i="29"/>
  <c r="BH17" i="29"/>
  <c r="BB17" i="29" s="1"/>
  <c r="BZ17" i="29" s="1"/>
  <c r="AZ17" i="29"/>
  <c r="A15" i="44" l="1"/>
  <c r="A14" i="45"/>
  <c r="CC16" i="29"/>
  <c r="AB17" i="29"/>
  <c r="CX11" i="29"/>
  <c r="CV12" i="29" s="1"/>
  <c r="CO12" i="29" s="1"/>
  <c r="CQ12" i="29" s="1"/>
  <c r="C360" i="39"/>
  <c r="C377" i="39"/>
  <c r="C381" i="39"/>
  <c r="C495" i="15"/>
  <c r="C391" i="39"/>
  <c r="C496" i="15"/>
  <c r="C396" i="39"/>
  <c r="C520" i="15"/>
  <c r="C394" i="39"/>
  <c r="C388" i="39"/>
  <c r="C502" i="15"/>
  <c r="C514" i="15"/>
  <c r="C489" i="15"/>
  <c r="C382" i="39"/>
  <c r="C376" i="39"/>
  <c r="C521" i="15"/>
  <c r="C370" i="39"/>
  <c r="C378" i="39"/>
  <c r="C492" i="15"/>
  <c r="C393" i="39"/>
  <c r="C507" i="15"/>
  <c r="C366" i="39"/>
  <c r="C510" i="15"/>
  <c r="C515" i="15"/>
  <c r="C501" i="15"/>
  <c r="C368" i="39"/>
  <c r="C519" i="15"/>
  <c r="C369" i="39"/>
  <c r="C498" i="15"/>
  <c r="C392" i="39"/>
  <c r="C508" i="15"/>
  <c r="C386" i="39"/>
  <c r="C499" i="15"/>
  <c r="C389" i="39"/>
  <c r="C490" i="15"/>
  <c r="C493" i="15"/>
  <c r="C503" i="15"/>
  <c r="C395" i="39"/>
  <c r="C506" i="15"/>
  <c r="C374" i="39"/>
  <c r="C379" i="39"/>
  <c r="C385" i="39"/>
  <c r="C518" i="15"/>
  <c r="C511" i="15"/>
  <c r="C509" i="15"/>
  <c r="C390" i="39"/>
  <c r="C380" i="39"/>
  <c r="C372" i="39"/>
  <c r="C504" i="15"/>
  <c r="C375" i="39"/>
  <c r="C367" i="39"/>
  <c r="C491" i="15"/>
  <c r="C500" i="15"/>
  <c r="C512" i="15"/>
  <c r="C516" i="15"/>
  <c r="C387" i="39"/>
  <c r="C497" i="15"/>
  <c r="C513" i="15"/>
  <c r="C373" i="39"/>
  <c r="C505" i="15"/>
  <c r="C384" i="39"/>
  <c r="C517" i="15"/>
  <c r="C383" i="39"/>
  <c r="BX20" i="29"/>
  <c r="K19" i="29"/>
  <c r="AQ18" i="29"/>
  <c r="J19" i="29"/>
  <c r="L18" i="29"/>
  <c r="V18" i="29"/>
  <c r="T19" i="29"/>
  <c r="S19" i="29"/>
  <c r="AE18" i="29"/>
  <c r="AF18" i="29"/>
  <c r="CL16" i="29"/>
  <c r="CW16" i="29"/>
  <c r="BR20" i="29"/>
  <c r="BN21" i="29"/>
  <c r="BO21" i="29"/>
  <c r="BY20" i="29"/>
  <c r="BQ21" i="29"/>
  <c r="N9" i="42"/>
  <c r="Z15" i="29"/>
  <c r="AO22" i="29"/>
  <c r="AN22" i="29"/>
  <c r="C63" i="19"/>
  <c r="C62" i="19"/>
  <c r="N53" i="27" s="1"/>
  <c r="C31" i="19"/>
  <c r="AW21" i="29"/>
  <c r="AP21" i="29"/>
  <c r="AV21" i="29" s="1"/>
  <c r="AR21" i="29" s="1"/>
  <c r="CT20" i="29"/>
  <c r="AX20" i="29"/>
  <c r="X16" i="29"/>
  <c r="M16" i="29"/>
  <c r="CS17" i="29"/>
  <c r="CM17" i="29" s="1"/>
  <c r="CR17" i="29"/>
  <c r="AA16" i="29"/>
  <c r="W16" i="29"/>
  <c r="Y16" i="29" s="1"/>
  <c r="CB17" i="29"/>
  <c r="BV17" i="29" s="1"/>
  <c r="CA17" i="29"/>
  <c r="BU17" i="29" s="1"/>
  <c r="C4" i="40"/>
  <c r="C5" i="40" s="1"/>
  <c r="C122" i="40" s="1"/>
  <c r="G14" i="40"/>
  <c r="F14" i="40"/>
  <c r="I9" i="40"/>
  <c r="E126" i="40" s="1"/>
  <c r="G20" i="40"/>
  <c r="H7" i="40"/>
  <c r="D124" i="40" s="1"/>
  <c r="D18" i="40"/>
  <c r="L6" i="40"/>
  <c r="H23" i="40"/>
  <c r="D131" i="40" s="1"/>
  <c r="F16" i="40"/>
  <c r="F17" i="40"/>
  <c r="H22" i="40"/>
  <c r="D14" i="40"/>
  <c r="I15" i="40"/>
  <c r="L7" i="40"/>
  <c r="F7" i="40"/>
  <c r="J7" i="40"/>
  <c r="F20" i="40"/>
  <c r="F6" i="40"/>
  <c r="H14" i="40"/>
  <c r="D13" i="40"/>
  <c r="I21" i="40"/>
  <c r="F8" i="40"/>
  <c r="I16" i="40"/>
  <c r="I18" i="40"/>
  <c r="I19" i="40"/>
  <c r="I17" i="40"/>
  <c r="H8" i="40"/>
  <c r="D125" i="40" s="1"/>
  <c r="F9" i="40"/>
  <c r="G13" i="40"/>
  <c r="G8" i="40"/>
  <c r="F10" i="40"/>
  <c r="I14" i="40"/>
  <c r="F12" i="40"/>
  <c r="I11" i="40"/>
  <c r="E128" i="40" s="1"/>
  <c r="G10" i="40"/>
  <c r="D11" i="40"/>
  <c r="L5" i="40"/>
  <c r="I7" i="40"/>
  <c r="E124" i="40" s="1"/>
  <c r="G17" i="40"/>
  <c r="J14" i="40"/>
  <c r="H13" i="40"/>
  <c r="D130" i="40" s="1"/>
  <c r="I5" i="40"/>
  <c r="E122" i="40" s="1"/>
  <c r="J9" i="40"/>
  <c r="J19" i="40"/>
  <c r="D20" i="40"/>
  <c r="F19" i="40"/>
  <c r="H20" i="40"/>
  <c r="F11" i="40"/>
  <c r="J10" i="40"/>
  <c r="L8" i="40"/>
  <c r="I6" i="40"/>
  <c r="E123" i="40" s="1"/>
  <c r="D12" i="40"/>
  <c r="L9" i="40"/>
  <c r="G11" i="40"/>
  <c r="I23" i="40"/>
  <c r="E131" i="40" s="1"/>
  <c r="G16" i="40"/>
  <c r="G4" i="40"/>
  <c r="G19" i="40"/>
  <c r="H18" i="40"/>
  <c r="J20" i="40"/>
  <c r="J17" i="40"/>
  <c r="A2" i="39"/>
  <c r="J12" i="40"/>
  <c r="J4" i="40"/>
  <c r="F21" i="40"/>
  <c r="J13" i="40"/>
  <c r="H19" i="40"/>
  <c r="J23" i="40"/>
  <c r="F15" i="40"/>
  <c r="F4" i="40"/>
  <c r="A2" i="15"/>
  <c r="I12" i="40"/>
  <c r="E129" i="40" s="1"/>
  <c r="H9" i="40"/>
  <c r="D126" i="40" s="1"/>
  <c r="I13" i="40"/>
  <c r="E130" i="40" s="1"/>
  <c r="I10" i="40"/>
  <c r="E127" i="40" s="1"/>
  <c r="G22" i="40"/>
  <c r="D19" i="40"/>
  <c r="G21" i="40"/>
  <c r="F5" i="40"/>
  <c r="I20" i="40"/>
  <c r="H5" i="40"/>
  <c r="D122" i="40" s="1"/>
  <c r="G12" i="40"/>
  <c r="F23" i="40"/>
  <c r="G9" i="40"/>
  <c r="H21" i="40"/>
  <c r="D17" i="40"/>
  <c r="I22" i="40"/>
  <c r="D22" i="40"/>
  <c r="J15" i="40"/>
  <c r="G23" i="40"/>
  <c r="I8" i="40"/>
  <c r="E125" i="40" s="1"/>
  <c r="H16" i="40"/>
  <c r="I4" i="40"/>
  <c r="E121" i="40" s="1"/>
  <c r="G6" i="40"/>
  <c r="H4" i="40"/>
  <c r="D121" i="40" s="1"/>
  <c r="H15" i="40"/>
  <c r="J6" i="40"/>
  <c r="J8" i="40"/>
  <c r="J21" i="40"/>
  <c r="F22" i="40"/>
  <c r="L4" i="40"/>
  <c r="J11" i="40"/>
  <c r="H12" i="40"/>
  <c r="D129" i="40" s="1"/>
  <c r="H11" i="40"/>
  <c r="D128" i="40" s="1"/>
  <c r="G15" i="40"/>
  <c r="D10" i="40"/>
  <c r="G5" i="40"/>
  <c r="D21" i="40"/>
  <c r="G18" i="40"/>
  <c r="A2" i="27"/>
  <c r="J16" i="40"/>
  <c r="F13" i="40"/>
  <c r="H17" i="40"/>
  <c r="J22" i="40"/>
  <c r="D23" i="40"/>
  <c r="D16" i="40"/>
  <c r="F18" i="40"/>
  <c r="H6" i="40"/>
  <c r="D123" i="40" s="1"/>
  <c r="D15" i="40"/>
  <c r="J5" i="40"/>
  <c r="H10" i="40"/>
  <c r="D127" i="40" s="1"/>
  <c r="G7" i="40"/>
  <c r="J18" i="40"/>
  <c r="R17" i="29"/>
  <c r="Q17" i="29"/>
  <c r="X17" i="29" s="1"/>
  <c r="U18" i="29"/>
  <c r="AC18" i="29" s="1"/>
  <c r="CP19" i="29"/>
  <c r="CE20" i="29"/>
  <c r="CF20" i="29"/>
  <c r="CI19" i="29"/>
  <c r="M12" i="42"/>
  <c r="BH18" i="29"/>
  <c r="BB18" i="29" s="1"/>
  <c r="BZ18" i="29" s="1"/>
  <c r="AZ18" i="29"/>
  <c r="BP19" i="29"/>
  <c r="BD20" i="29"/>
  <c r="BC19" i="29"/>
  <c r="BF19" i="29" s="1"/>
  <c r="BE19" i="29"/>
  <c r="BG19" i="29" s="1"/>
  <c r="BA19" i="29" s="1"/>
  <c r="CG19" i="29"/>
  <c r="A16" i="44" l="1"/>
  <c r="A15" i="45"/>
  <c r="CX12" i="29"/>
  <c r="CV13" i="29" s="1"/>
  <c r="CO13" i="29" s="1"/>
  <c r="CQ13" i="29" s="1"/>
  <c r="Q18" i="29"/>
  <c r="X18" i="29" s="1"/>
  <c r="R18" i="29"/>
  <c r="E8" i="27"/>
  <c r="S4" i="27"/>
  <c r="R20" i="27" s="1"/>
  <c r="AG30" i="39"/>
  <c r="AD29" i="39"/>
  <c r="D38" i="39"/>
  <c r="AF24" i="39"/>
  <c r="AF30" i="39"/>
  <c r="D36" i="39"/>
  <c r="AG31" i="39"/>
  <c r="Q6" i="39"/>
  <c r="D29" i="39"/>
  <c r="AD31" i="39"/>
  <c r="AF38" i="39"/>
  <c r="AG25" i="39"/>
  <c r="AG27" i="39"/>
  <c r="D35" i="39"/>
  <c r="AD20" i="39"/>
  <c r="AF29" i="39"/>
  <c r="AG26" i="39"/>
  <c r="D6" i="39"/>
  <c r="AF21" i="39"/>
  <c r="AF36" i="39"/>
  <c r="AF39" i="39"/>
  <c r="AD27" i="39"/>
  <c r="AG28" i="39"/>
  <c r="L23" i="39"/>
  <c r="AF37" i="39"/>
  <c r="D32" i="39"/>
  <c r="AG34" i="39"/>
  <c r="AD30" i="39"/>
  <c r="AD22" i="39"/>
  <c r="D39" i="39"/>
  <c r="AD21" i="39"/>
  <c r="AD39" i="39"/>
  <c r="AG32" i="39"/>
  <c r="L20" i="39"/>
  <c r="L24" i="39"/>
  <c r="L25" i="39"/>
  <c r="AD32" i="39"/>
  <c r="AG22" i="39"/>
  <c r="L22" i="39"/>
  <c r="D34" i="39"/>
  <c r="AD37" i="39"/>
  <c r="AG38" i="39"/>
  <c r="AD33" i="39"/>
  <c r="AD35" i="39"/>
  <c r="D27" i="39"/>
  <c r="AF32" i="39"/>
  <c r="AF25" i="39"/>
  <c r="AG37" i="39"/>
  <c r="B6" i="39"/>
  <c r="AG29" i="39"/>
  <c r="AG39" i="39"/>
  <c r="AF33" i="39"/>
  <c r="AG35" i="39"/>
  <c r="AD36" i="39"/>
  <c r="C20" i="39"/>
  <c r="AF34" i="39"/>
  <c r="AG36" i="39"/>
  <c r="B7" i="39"/>
  <c r="D26" i="39"/>
  <c r="AD25" i="39"/>
  <c r="D28" i="39"/>
  <c r="AG20" i="39"/>
  <c r="AD24" i="39"/>
  <c r="AG23" i="39"/>
  <c r="D30" i="39"/>
  <c r="AG33" i="39"/>
  <c r="AF27" i="39"/>
  <c r="D37" i="39"/>
  <c r="AF35" i="39"/>
  <c r="AF20" i="39"/>
  <c r="AG24" i="39"/>
  <c r="AF31" i="39"/>
  <c r="D33" i="39"/>
  <c r="L21" i="39"/>
  <c r="AD28" i="39"/>
  <c r="O6" i="39"/>
  <c r="AF23" i="39"/>
  <c r="AD26" i="39"/>
  <c r="AD38" i="39"/>
  <c r="AF28" i="39"/>
  <c r="AF26" i="39"/>
  <c r="C163" i="39"/>
  <c r="B164" i="39" s="1"/>
  <c r="D31" i="39"/>
  <c r="AD23" i="39"/>
  <c r="AF22" i="39"/>
  <c r="AG21" i="39"/>
  <c r="AD34" i="39"/>
  <c r="C121" i="40"/>
  <c r="N10" i="42"/>
  <c r="BX21" i="29"/>
  <c r="U19" i="29"/>
  <c r="AC19" i="29" s="1"/>
  <c r="CI20" i="29"/>
  <c r="CP20" i="29"/>
  <c r="CE21" i="29"/>
  <c r="CF21" i="29"/>
  <c r="AB18" i="29"/>
  <c r="M13" i="42"/>
  <c r="M14" i="42"/>
  <c r="CC17" i="29"/>
  <c r="AX21" i="29"/>
  <c r="AW22" i="29"/>
  <c r="AP22" i="29"/>
  <c r="AV22" i="29" s="1"/>
  <c r="AR22" i="29" s="1"/>
  <c r="BQ22" i="29"/>
  <c r="BQ23" i="29" s="1"/>
  <c r="V19" i="29"/>
  <c r="S20" i="29"/>
  <c r="U20" i="29" s="1"/>
  <c r="T20" i="29"/>
  <c r="AF19" i="29"/>
  <c r="AE19" i="29"/>
  <c r="CA18" i="29"/>
  <c r="BU18" i="29" s="1"/>
  <c r="M17" i="29"/>
  <c r="CB18" i="29"/>
  <c r="BV18" i="29" s="1"/>
  <c r="AA17" i="29"/>
  <c r="CR18" i="29"/>
  <c r="CS18" i="29"/>
  <c r="CM18" i="29" s="1"/>
  <c r="W17" i="29"/>
  <c r="Y17" i="29" s="1"/>
  <c r="CL17" i="29"/>
  <c r="CW17" i="29"/>
  <c r="C35" i="19"/>
  <c r="Q37" i="27" s="1"/>
  <c r="E81" i="27"/>
  <c r="AA4" i="19"/>
  <c r="AO23" i="29"/>
  <c r="AN23" i="29"/>
  <c r="J20" i="29"/>
  <c r="K20" i="29"/>
  <c r="AQ19" i="29"/>
  <c r="L19" i="29"/>
  <c r="C6" i="40"/>
  <c r="C123" i="40" s="1"/>
  <c r="M36" i="15"/>
  <c r="D31" i="15"/>
  <c r="M28" i="15"/>
  <c r="S28" i="15"/>
  <c r="D34" i="15"/>
  <c r="S37" i="15"/>
  <c r="S27" i="15"/>
  <c r="M30" i="15"/>
  <c r="M35" i="15"/>
  <c r="M25" i="15"/>
  <c r="S29" i="15"/>
  <c r="S34" i="15"/>
  <c r="P35" i="15"/>
  <c r="E21" i="44" s="1"/>
  <c r="C290" i="15"/>
  <c r="M19" i="15"/>
  <c r="P29" i="15"/>
  <c r="E15" i="44" s="1"/>
  <c r="B7" i="15"/>
  <c r="P34" i="15"/>
  <c r="E20" i="44" s="1"/>
  <c r="M27" i="15"/>
  <c r="F154" i="15"/>
  <c r="M26" i="15"/>
  <c r="P37" i="15"/>
  <c r="E23" i="44" s="1"/>
  <c r="F156" i="15"/>
  <c r="S36" i="15"/>
  <c r="P33" i="15"/>
  <c r="E19" i="44" s="1"/>
  <c r="P26" i="15"/>
  <c r="E12" i="44" s="1"/>
  <c r="D36" i="15"/>
  <c r="D33" i="15"/>
  <c r="P22" i="15"/>
  <c r="E8" i="44" s="1"/>
  <c r="D6" i="15"/>
  <c r="M24" i="15"/>
  <c r="P31" i="15"/>
  <c r="E17" i="44" s="1"/>
  <c r="D32" i="15"/>
  <c r="C18" i="15"/>
  <c r="B4" i="44" s="1"/>
  <c r="B4" i="45" s="1"/>
  <c r="S24" i="15"/>
  <c r="S30" i="15"/>
  <c r="P30" i="15"/>
  <c r="E16" i="44" s="1"/>
  <c r="D26" i="15"/>
  <c r="M23" i="15"/>
  <c r="P32" i="15"/>
  <c r="E18" i="44" s="1"/>
  <c r="P24" i="15"/>
  <c r="E10" i="44" s="1"/>
  <c r="D35" i="15"/>
  <c r="S18" i="15"/>
  <c r="D30" i="15"/>
  <c r="F153" i="15"/>
  <c r="D24" i="15"/>
  <c r="P18" i="15"/>
  <c r="E4" i="44" s="1"/>
  <c r="M20" i="15"/>
  <c r="P25" i="15"/>
  <c r="E11" i="44" s="1"/>
  <c r="D27" i="15"/>
  <c r="M33" i="15"/>
  <c r="S31" i="15"/>
  <c r="D28" i="15"/>
  <c r="P28" i="15"/>
  <c r="E14" i="44" s="1"/>
  <c r="C151" i="15"/>
  <c r="S32" i="15"/>
  <c r="M31" i="15"/>
  <c r="P23" i="15"/>
  <c r="E9" i="44" s="1"/>
  <c r="D37" i="15"/>
  <c r="D25" i="15"/>
  <c r="M34" i="15"/>
  <c r="Q6" i="15"/>
  <c r="P27" i="15"/>
  <c r="E13" i="44" s="1"/>
  <c r="M21" i="15"/>
  <c r="S20" i="15"/>
  <c r="C19" i="15"/>
  <c r="B6" i="15"/>
  <c r="M29" i="15"/>
  <c r="S23" i="15"/>
  <c r="O6" i="15"/>
  <c r="S21" i="15"/>
  <c r="S25" i="15"/>
  <c r="S35" i="15"/>
  <c r="P21" i="15"/>
  <c r="E7" i="44" s="1"/>
  <c r="M32" i="15"/>
  <c r="S19" i="15"/>
  <c r="F151" i="15"/>
  <c r="D29" i="15"/>
  <c r="P20" i="15"/>
  <c r="E6" i="44" s="1"/>
  <c r="F152" i="15"/>
  <c r="F155" i="15"/>
  <c r="S22" i="15"/>
  <c r="P36" i="15"/>
  <c r="E22" i="44" s="1"/>
  <c r="S26" i="15"/>
  <c r="M18" i="15"/>
  <c r="P19" i="15"/>
  <c r="E5" i="44" s="1"/>
  <c r="C152" i="15"/>
  <c r="X152" i="15" s="1"/>
  <c r="S33" i="15"/>
  <c r="M22" i="15"/>
  <c r="M37" i="15"/>
  <c r="M15" i="42"/>
  <c r="Z16" i="29"/>
  <c r="N11" i="42"/>
  <c r="CH21" i="29"/>
  <c r="CH22" i="29" s="1"/>
  <c r="BN22" i="29"/>
  <c r="BO22" i="29"/>
  <c r="BR21" i="29"/>
  <c r="AZ19" i="29"/>
  <c r="BH19" i="29"/>
  <c r="BB19" i="29" s="1"/>
  <c r="BZ19" i="29" s="1"/>
  <c r="BE20" i="29"/>
  <c r="BG20" i="29" s="1"/>
  <c r="BA20" i="29" s="1"/>
  <c r="BC20" i="29"/>
  <c r="BF20" i="29" s="1"/>
  <c r="BD21" i="29"/>
  <c r="CG20" i="29"/>
  <c r="BP20" i="29"/>
  <c r="A16" i="45" l="1"/>
  <c r="A17" i="44"/>
  <c r="N6" i="44"/>
  <c r="N4" i="44"/>
  <c r="N5" i="44"/>
  <c r="N7" i="44"/>
  <c r="B5" i="44"/>
  <c r="B5" i="45" s="1"/>
  <c r="N8" i="44"/>
  <c r="N22" i="44"/>
  <c r="AC22" i="44" s="1"/>
  <c r="N13" i="44"/>
  <c r="T13" i="44" s="1"/>
  <c r="N14" i="44"/>
  <c r="U14" i="44" s="1"/>
  <c r="N12" i="44"/>
  <c r="S12" i="44" s="1"/>
  <c r="N23" i="44"/>
  <c r="AD23" i="44" s="1"/>
  <c r="N20" i="44"/>
  <c r="AA20" i="44" s="1"/>
  <c r="N18" i="44"/>
  <c r="Y18" i="44" s="1"/>
  <c r="N17" i="44"/>
  <c r="X17" i="44" s="1"/>
  <c r="N15" i="44"/>
  <c r="V15" i="44" s="1"/>
  <c r="N11" i="44"/>
  <c r="R11" i="44" s="1"/>
  <c r="N10" i="44"/>
  <c r="Q10" i="44" s="1"/>
  <c r="N16" i="44"/>
  <c r="W16" i="44" s="1"/>
  <c r="N19" i="44"/>
  <c r="Z19" i="44" s="1"/>
  <c r="N21" i="44"/>
  <c r="AB21" i="44" s="1"/>
  <c r="N9" i="44"/>
  <c r="P9" i="44" s="1"/>
  <c r="CX13" i="29"/>
  <c r="CV14" i="29" s="1"/>
  <c r="CO14" i="29" s="1"/>
  <c r="CQ14" i="29" s="1"/>
  <c r="C164" i="39"/>
  <c r="B165" i="39" s="1"/>
  <c r="C153" i="15"/>
  <c r="X153" i="15" s="1"/>
  <c r="CC18" i="29"/>
  <c r="Z17" i="29"/>
  <c r="CI21" i="29"/>
  <c r="CF22" i="29"/>
  <c r="CE22" i="29"/>
  <c r="B291" i="15"/>
  <c r="C291" i="15" s="1"/>
  <c r="C7" i="40"/>
  <c r="C21" i="39"/>
  <c r="AA20" i="39"/>
  <c r="I83" i="39"/>
  <c r="W18" i="29"/>
  <c r="Y18" i="29" s="1"/>
  <c r="CR19" i="29"/>
  <c r="M18" i="29"/>
  <c r="CA19" i="29"/>
  <c r="BU19" i="29" s="1"/>
  <c r="AA18" i="29"/>
  <c r="CB19" i="29"/>
  <c r="BV19" i="29" s="1"/>
  <c r="CS19" i="29"/>
  <c r="CM19" i="29" s="1"/>
  <c r="C20" i="15"/>
  <c r="C21" i="15" s="1"/>
  <c r="AW23" i="29"/>
  <c r="AP23" i="29"/>
  <c r="AV23" i="29" s="1"/>
  <c r="AR23" i="29" s="1"/>
  <c r="S6" i="15"/>
  <c r="C49" i="19"/>
  <c r="C48" i="19"/>
  <c r="BQ24" i="29"/>
  <c r="BO23" i="29"/>
  <c r="BN23" i="29"/>
  <c r="BY22" i="29"/>
  <c r="BR22" i="29"/>
  <c r="AN24" i="29"/>
  <c r="AO24" i="29"/>
  <c r="T21" i="29"/>
  <c r="V20" i="29"/>
  <c r="S21" i="29"/>
  <c r="AF20" i="29"/>
  <c r="AE20" i="29"/>
  <c r="M16" i="42"/>
  <c r="M17" i="42" s="1"/>
  <c r="M18" i="42"/>
  <c r="M19" i="42" s="1"/>
  <c r="M20" i="42" s="1"/>
  <c r="M21" i="42" s="1"/>
  <c r="M22" i="42" s="1"/>
  <c r="M23" i="42" s="1"/>
  <c r="M24" i="42" s="1"/>
  <c r="M25" i="42" s="1"/>
  <c r="M26" i="42" s="1"/>
  <c r="M27" i="42" s="1"/>
  <c r="M28" i="42" s="1"/>
  <c r="M29" i="42" s="1"/>
  <c r="M30" i="42" s="1"/>
  <c r="M31" i="42" s="1"/>
  <c r="M32" i="42" s="1"/>
  <c r="M33" i="42" s="1"/>
  <c r="M34" i="42" s="1"/>
  <c r="M35" i="42" s="1"/>
  <c r="M36" i="42" s="1"/>
  <c r="M37" i="42" s="1"/>
  <c r="M38" i="42" s="1"/>
  <c r="M39" i="42" s="1"/>
  <c r="M40" i="42" s="1"/>
  <c r="M41" i="42" s="1"/>
  <c r="M42" i="42" s="1"/>
  <c r="M43" i="42" s="1"/>
  <c r="M44" i="42" s="1"/>
  <c r="M45" i="42" s="1"/>
  <c r="M46" i="42" s="1"/>
  <c r="M47" i="42" s="1"/>
  <c r="M48" i="42" s="1"/>
  <c r="M49" i="42" s="1"/>
  <c r="M50" i="42" s="1"/>
  <c r="M51" i="42" s="1"/>
  <c r="M52" i="42" s="1"/>
  <c r="M53" i="42" s="1"/>
  <c r="M54" i="42" s="1"/>
  <c r="M55" i="42" s="1"/>
  <c r="M56" i="42" s="1"/>
  <c r="M57" i="42" s="1"/>
  <c r="M58" i="42" s="1"/>
  <c r="M59" i="42" s="1"/>
  <c r="M60" i="42" s="1"/>
  <c r="M61" i="42" s="1"/>
  <c r="M62" i="42" s="1"/>
  <c r="M63" i="42" s="1"/>
  <c r="M64" i="42" s="1"/>
  <c r="M65" i="42" s="1"/>
  <c r="M66" i="42" s="1"/>
  <c r="M67" i="42" s="1"/>
  <c r="M68" i="42" s="1"/>
  <c r="M69" i="42" s="1"/>
  <c r="M70" i="42" s="1"/>
  <c r="M71" i="42" s="1"/>
  <c r="M72" i="42" s="1"/>
  <c r="M73" i="42" s="1"/>
  <c r="M74" i="42" s="1"/>
  <c r="M75" i="42" s="1"/>
  <c r="M76" i="42" s="1"/>
  <c r="M77" i="42" s="1"/>
  <c r="M78" i="42" s="1"/>
  <c r="M79" i="42" s="1"/>
  <c r="M80" i="42" s="1"/>
  <c r="M81" i="42" s="1"/>
  <c r="M82" i="42" s="1"/>
  <c r="M83" i="42" s="1"/>
  <c r="M84" i="42" s="1"/>
  <c r="M85" i="42" s="1"/>
  <c r="M86" i="42" s="1"/>
  <c r="M87" i="42" s="1"/>
  <c r="M88" i="42" s="1"/>
  <c r="M89" i="42" s="1"/>
  <c r="M90" i="42" s="1"/>
  <c r="M91" i="42" s="1"/>
  <c r="M92" i="42" s="1"/>
  <c r="M93" i="42" s="1"/>
  <c r="M94" i="42" s="1"/>
  <c r="M95" i="42" s="1"/>
  <c r="M96" i="42" s="1"/>
  <c r="M97" i="42" s="1"/>
  <c r="M98" i="42" s="1"/>
  <c r="M99" i="42" s="1"/>
  <c r="M100" i="42" s="1"/>
  <c r="M101" i="42" s="1"/>
  <c r="M102" i="42" s="1"/>
  <c r="R19" i="29"/>
  <c r="Q19" i="29"/>
  <c r="X19" i="29" s="1"/>
  <c r="N12" i="42"/>
  <c r="S6" i="39"/>
  <c r="BX22" i="29"/>
  <c r="X151" i="15"/>
  <c r="J21" i="29"/>
  <c r="K21" i="29"/>
  <c r="L20" i="29"/>
  <c r="AQ20" i="29"/>
  <c r="Z12" i="19"/>
  <c r="Z16" i="19"/>
  <c r="AB16" i="19" s="1"/>
  <c r="Z11" i="19"/>
  <c r="Z15" i="19"/>
  <c r="CL18" i="29"/>
  <c r="CW18" i="29"/>
  <c r="Q20" i="29"/>
  <c r="R20" i="29"/>
  <c r="CT22" i="29"/>
  <c r="AX22" i="29"/>
  <c r="AB19" i="29"/>
  <c r="BE21" i="29"/>
  <c r="BG21" i="29" s="1"/>
  <c r="BA21" i="29" s="1"/>
  <c r="CG21" i="29"/>
  <c r="BI21" i="29"/>
  <c r="BC21" i="29"/>
  <c r="BF21" i="29" s="1"/>
  <c r="BP21" i="29"/>
  <c r="BD22" i="29"/>
  <c r="AZ20" i="29"/>
  <c r="BH20" i="29"/>
  <c r="BB20" i="29" s="1"/>
  <c r="BZ20" i="29" s="1"/>
  <c r="A18" i="44" l="1"/>
  <c r="A17" i="45"/>
  <c r="B6" i="44"/>
  <c r="B6" i="45" s="1"/>
  <c r="B8" i="39"/>
  <c r="CX14" i="29"/>
  <c r="CV15" i="29" s="1"/>
  <c r="CO15" i="29" s="1"/>
  <c r="CQ15" i="29" s="1"/>
  <c r="Z18" i="29"/>
  <c r="C165" i="39"/>
  <c r="B166" i="39" s="1"/>
  <c r="C166" i="39" s="1"/>
  <c r="B167" i="39" s="1"/>
  <c r="B292" i="15"/>
  <c r="C292" i="15" s="1"/>
  <c r="CC19" i="29"/>
  <c r="C154" i="15"/>
  <c r="X154" i="15" s="1"/>
  <c r="E5" i="42"/>
  <c r="H5" i="42"/>
  <c r="F5" i="42"/>
  <c r="I5" i="42"/>
  <c r="G5" i="42"/>
  <c r="C22" i="15"/>
  <c r="C23" i="15" s="1"/>
  <c r="AB15" i="19"/>
  <c r="AB13" i="19"/>
  <c r="AC13" i="19"/>
  <c r="C124" i="40"/>
  <c r="CE23" i="29"/>
  <c r="CP22" i="29"/>
  <c r="CF23" i="29"/>
  <c r="CI22" i="29"/>
  <c r="CH23" i="29"/>
  <c r="CH24" i="29" s="1"/>
  <c r="CA21" i="29"/>
  <c r="BU21" i="29" s="1"/>
  <c r="CB21" i="29"/>
  <c r="BV21" i="29" s="1"/>
  <c r="W20" i="29"/>
  <c r="AA20" i="29"/>
  <c r="CR21" i="29"/>
  <c r="CS21" i="29"/>
  <c r="CM21" i="29" s="1"/>
  <c r="D5" i="42"/>
  <c r="U21" i="29"/>
  <c r="AW24" i="29"/>
  <c r="AP24" i="29"/>
  <c r="AV24" i="29" s="1"/>
  <c r="AR24" i="29" s="1"/>
  <c r="J22" i="29"/>
  <c r="AQ21" i="29"/>
  <c r="K22" i="29"/>
  <c r="L21" i="29"/>
  <c r="BR23" i="29"/>
  <c r="BY23" i="29"/>
  <c r="BO24" i="29"/>
  <c r="BN24" i="29"/>
  <c r="C51" i="19"/>
  <c r="D4" i="40" s="1"/>
  <c r="B8" i="15"/>
  <c r="Q43" i="27"/>
  <c r="CT23" i="29"/>
  <c r="AX23" i="29"/>
  <c r="O5" i="40"/>
  <c r="S5" i="40" s="1"/>
  <c r="F122" i="40" s="1"/>
  <c r="AO25" i="29"/>
  <c r="AN25" i="29"/>
  <c r="BX23" i="29"/>
  <c r="BQ25" i="29"/>
  <c r="C8" i="40"/>
  <c r="N13" i="42"/>
  <c r="N14" i="42"/>
  <c r="N15" i="42" s="1"/>
  <c r="N16" i="42" s="1"/>
  <c r="N17" i="42" s="1"/>
  <c r="N18" i="42" s="1"/>
  <c r="N19" i="42" s="1"/>
  <c r="N20" i="42" s="1"/>
  <c r="N21" i="42" s="1"/>
  <c r="N22" i="42" s="1"/>
  <c r="N23" i="42" s="1"/>
  <c r="N24" i="42" s="1"/>
  <c r="N25" i="42" s="1"/>
  <c r="N26" i="42" s="1"/>
  <c r="CA20" i="29"/>
  <c r="BU20" i="29" s="1"/>
  <c r="CR20" i="29"/>
  <c r="W19" i="29"/>
  <c r="Y19" i="29" s="1"/>
  <c r="CB20" i="29"/>
  <c r="BV20" i="29" s="1"/>
  <c r="M19" i="29"/>
  <c r="CS20" i="29"/>
  <c r="CM20" i="29" s="1"/>
  <c r="AA19" i="29"/>
  <c r="V21" i="29"/>
  <c r="T22" i="29"/>
  <c r="S22" i="29"/>
  <c r="AE21" i="29"/>
  <c r="AF21" i="29"/>
  <c r="C52" i="19"/>
  <c r="Q45" i="27"/>
  <c r="CL19" i="29"/>
  <c r="CW19" i="29"/>
  <c r="AA21" i="39"/>
  <c r="C22" i="39"/>
  <c r="CG22" i="29"/>
  <c r="BD23" i="29"/>
  <c r="BP22" i="29"/>
  <c r="BE22" i="29"/>
  <c r="BG22" i="29" s="1"/>
  <c r="BA22" i="29" s="1"/>
  <c r="BC22" i="29"/>
  <c r="BF22" i="29" s="1"/>
  <c r="BZ21" i="29"/>
  <c r="AZ21" i="29"/>
  <c r="BY21" i="29" s="1"/>
  <c r="BW21" i="29" s="1"/>
  <c r="BH21" i="29"/>
  <c r="BB21" i="29" s="1"/>
  <c r="A19" i="44" l="1"/>
  <c r="A18" i="45"/>
  <c r="B7" i="44"/>
  <c r="B7" i="45" s="1"/>
  <c r="CX15" i="29"/>
  <c r="Z19" i="29"/>
  <c r="CC21" i="29"/>
  <c r="B293" i="15"/>
  <c r="C293" i="15" s="1"/>
  <c r="B294" i="15" s="1"/>
  <c r="C294" i="15" s="1"/>
  <c r="B295" i="15" s="1"/>
  <c r="C24" i="15"/>
  <c r="C25" i="15" s="1"/>
  <c r="C26" i="15" s="1"/>
  <c r="C27" i="15" s="1"/>
  <c r="C155" i="15"/>
  <c r="C156" i="15" s="1"/>
  <c r="X156" i="15" s="1"/>
  <c r="AA22" i="39"/>
  <c r="C23" i="39"/>
  <c r="AA23" i="39" s="1"/>
  <c r="L22" i="29"/>
  <c r="J23" i="29"/>
  <c r="AQ22" i="29"/>
  <c r="K23" i="29"/>
  <c r="CT24" i="29"/>
  <c r="AX24" i="29"/>
  <c r="G6" i="42"/>
  <c r="D6" i="42"/>
  <c r="F6" i="42"/>
  <c r="E6" i="42"/>
  <c r="H6" i="42"/>
  <c r="I6" i="42"/>
  <c r="CC20" i="29"/>
  <c r="C125" i="40"/>
  <c r="AW25" i="29"/>
  <c r="AP25" i="29"/>
  <c r="AV25" i="29" s="1"/>
  <c r="AR25" i="29" s="1"/>
  <c r="E4" i="40"/>
  <c r="D18" i="15"/>
  <c r="C4" i="44" s="1"/>
  <c r="D20" i="39"/>
  <c r="Q21" i="29"/>
  <c r="X21" i="29" s="1"/>
  <c r="R21" i="29"/>
  <c r="U22" i="29"/>
  <c r="AC22" i="29" s="1"/>
  <c r="N27" i="42"/>
  <c r="N28" i="42"/>
  <c r="N29" i="42" s="1"/>
  <c r="N30" i="42" s="1"/>
  <c r="N31" i="42" s="1"/>
  <c r="N32" i="42" s="1"/>
  <c r="N33" i="42" s="1"/>
  <c r="N34" i="42" s="1"/>
  <c r="N35" i="42" s="1"/>
  <c r="N36" i="42" s="1"/>
  <c r="N37" i="42" s="1"/>
  <c r="N38" i="42" s="1"/>
  <c r="N39" i="42" s="1"/>
  <c r="N40" i="42" s="1"/>
  <c r="N41" i="42" s="1"/>
  <c r="N42" i="42" s="1"/>
  <c r="N43" i="42" s="1"/>
  <c r="N44" i="42" s="1"/>
  <c r="N45" i="42" s="1"/>
  <c r="N46" i="42" s="1"/>
  <c r="N47" i="42" s="1"/>
  <c r="N48" i="42" s="1"/>
  <c r="N49" i="42" s="1"/>
  <c r="N50" i="42" s="1"/>
  <c r="N51" i="42" s="1"/>
  <c r="N52" i="42" s="1"/>
  <c r="N53" i="42" s="1"/>
  <c r="N54" i="42" s="1"/>
  <c r="N55" i="42" s="1"/>
  <c r="N56" i="42" s="1"/>
  <c r="N57" i="42" s="1"/>
  <c r="N58" i="42" s="1"/>
  <c r="N59" i="42" s="1"/>
  <c r="N60" i="42" s="1"/>
  <c r="N61" i="42" s="1"/>
  <c r="N62" i="42" s="1"/>
  <c r="N63" i="42" s="1"/>
  <c r="N64" i="42" s="1"/>
  <c r="N65" i="42" s="1"/>
  <c r="N66" i="42" s="1"/>
  <c r="N67" i="42" s="1"/>
  <c r="N68" i="42" s="1"/>
  <c r="N69" i="42" s="1"/>
  <c r="N70" i="42" s="1"/>
  <c r="N71" i="42" s="1"/>
  <c r="N72" i="42" s="1"/>
  <c r="N73" i="42" s="1"/>
  <c r="N74" i="42" s="1"/>
  <c r="N75" i="42" s="1"/>
  <c r="N76" i="42" s="1"/>
  <c r="N77" i="42" s="1"/>
  <c r="N78" i="42" s="1"/>
  <c r="N79" i="42" s="1"/>
  <c r="N80" i="42" s="1"/>
  <c r="N81" i="42" s="1"/>
  <c r="N82" i="42" s="1"/>
  <c r="N83" i="42" s="1"/>
  <c r="N84" i="42" s="1"/>
  <c r="N85" i="42" s="1"/>
  <c r="N86" i="42" s="1"/>
  <c r="N87" i="42" s="1"/>
  <c r="N88" i="42" s="1"/>
  <c r="N89" i="42" s="1"/>
  <c r="N90" i="42" s="1"/>
  <c r="N91" i="42" s="1"/>
  <c r="N92" i="42" s="1"/>
  <c r="N93" i="42" s="1"/>
  <c r="N94" i="42" s="1"/>
  <c r="N95" i="42" s="1"/>
  <c r="N96" i="42" s="1"/>
  <c r="N97" i="42" s="1"/>
  <c r="N98" i="42" s="1"/>
  <c r="N99" i="42" s="1"/>
  <c r="N100" i="42" s="1"/>
  <c r="N101" i="42" s="1"/>
  <c r="N102" i="42" s="1"/>
  <c r="AN26" i="29"/>
  <c r="AO26" i="29"/>
  <c r="BX24" i="29"/>
  <c r="C9" i="40"/>
  <c r="C10" i="40" s="1"/>
  <c r="AC21" i="29"/>
  <c r="AA13" i="19"/>
  <c r="Z13" i="19" s="1"/>
  <c r="AA8" i="19" s="1"/>
  <c r="AA7" i="19" s="1"/>
  <c r="D5" i="40"/>
  <c r="D8" i="40"/>
  <c r="D6" i="40"/>
  <c r="D7" i="40"/>
  <c r="V22" i="29"/>
  <c r="S23" i="29"/>
  <c r="T23" i="29"/>
  <c r="AF22" i="29"/>
  <c r="AE22" i="29"/>
  <c r="CL20" i="29"/>
  <c r="CW20" i="29"/>
  <c r="C167" i="39"/>
  <c r="BR24" i="29"/>
  <c r="BO25" i="29"/>
  <c r="BY24" i="29"/>
  <c r="BN25" i="29"/>
  <c r="AB21" i="29"/>
  <c r="CT21" i="29"/>
  <c r="CP23" i="29"/>
  <c r="CF24" i="29"/>
  <c r="CI23" i="29"/>
  <c r="CE24" i="29"/>
  <c r="BT21" i="29"/>
  <c r="M20" i="29" s="1"/>
  <c r="BS21" i="29"/>
  <c r="BP23" i="29"/>
  <c r="BD24" i="29"/>
  <c r="BC23" i="29"/>
  <c r="BF23" i="29" s="1"/>
  <c r="CG23" i="29"/>
  <c r="BE23" i="29"/>
  <c r="BG23" i="29" s="1"/>
  <c r="BA23" i="29" s="1"/>
  <c r="BH22" i="29"/>
  <c r="BB22" i="29" s="1"/>
  <c r="BZ22" i="29" s="1"/>
  <c r="AZ22" i="29"/>
  <c r="A20" i="44" l="1"/>
  <c r="A19" i="45"/>
  <c r="C4" i="45"/>
  <c r="I4" i="45" s="1"/>
  <c r="B8" i="44"/>
  <c r="B8" i="45" s="1"/>
  <c r="CX16" i="29"/>
  <c r="CV16" i="29"/>
  <c r="CO16" i="29" s="1"/>
  <c r="CQ16" i="29" s="1"/>
  <c r="P72" i="44"/>
  <c r="P3" i="44"/>
  <c r="AB22" i="29"/>
  <c r="C295" i="15"/>
  <c r="B296" i="15" s="1"/>
  <c r="C296" i="15" s="1"/>
  <c r="D9" i="40"/>
  <c r="D23" i="15" s="1"/>
  <c r="C9" i="44" s="1"/>
  <c r="C9" i="45" s="1"/>
  <c r="C157" i="15"/>
  <c r="X157" i="15" s="1"/>
  <c r="X155" i="15"/>
  <c r="C11" i="42"/>
  <c r="C8" i="42"/>
  <c r="C12" i="42"/>
  <c r="C7" i="42"/>
  <c r="C13" i="42"/>
  <c r="C9" i="42"/>
  <c r="C14" i="42"/>
  <c r="C10" i="42"/>
  <c r="C28" i="15"/>
  <c r="CL21" i="29"/>
  <c r="CW21" i="29"/>
  <c r="BO26" i="29"/>
  <c r="BR25" i="29"/>
  <c r="BN26" i="29"/>
  <c r="BY25" i="29"/>
  <c r="U23" i="29"/>
  <c r="AB23" i="29" s="1"/>
  <c r="BQ26" i="29"/>
  <c r="CT25" i="29"/>
  <c r="AX25" i="29"/>
  <c r="L424" i="15"/>
  <c r="L297" i="39"/>
  <c r="D24" i="39"/>
  <c r="D22" i="15"/>
  <c r="C8" i="44" s="1"/>
  <c r="C8" i="45" s="1"/>
  <c r="E5" i="40"/>
  <c r="J18" i="15"/>
  <c r="F20" i="39"/>
  <c r="C127" i="40"/>
  <c r="R297" i="39"/>
  <c r="R424" i="15"/>
  <c r="H297" i="39"/>
  <c r="H424" i="15"/>
  <c r="K24" i="29"/>
  <c r="AQ23" i="29"/>
  <c r="L23" i="29"/>
  <c r="J24" i="29"/>
  <c r="CE25" i="29"/>
  <c r="CI24" i="29"/>
  <c r="CF25" i="29"/>
  <c r="CP24" i="29"/>
  <c r="BX25" i="29"/>
  <c r="B168" i="39"/>
  <c r="C168" i="39" s="1"/>
  <c r="D21" i="15"/>
  <c r="C7" i="44" s="1"/>
  <c r="C7" i="45" s="1"/>
  <c r="D23" i="39"/>
  <c r="D19" i="15"/>
  <c r="C5" i="44" s="1"/>
  <c r="C5" i="45" s="1"/>
  <c r="D21" i="39"/>
  <c r="C126" i="40"/>
  <c r="AN27" i="29"/>
  <c r="AO27" i="29"/>
  <c r="CA22" i="29"/>
  <c r="BU22" i="29" s="1"/>
  <c r="CB22" i="29"/>
  <c r="BV22" i="29" s="1"/>
  <c r="M21" i="29"/>
  <c r="CR22" i="29"/>
  <c r="AA21" i="29"/>
  <c r="CS22" i="29"/>
  <c r="CM22" i="29" s="1"/>
  <c r="W21" i="29"/>
  <c r="Y21" i="29" s="1"/>
  <c r="P297" i="39"/>
  <c r="P424" i="15"/>
  <c r="N297" i="39"/>
  <c r="N424" i="15"/>
  <c r="C11" i="40"/>
  <c r="S24" i="29"/>
  <c r="V23" i="29"/>
  <c r="T24" i="29"/>
  <c r="AF23" i="29"/>
  <c r="AE23" i="29"/>
  <c r="D22" i="39"/>
  <c r="D20" i="15"/>
  <c r="C6" i="44" s="1"/>
  <c r="C6" i="45" s="1"/>
  <c r="AW26" i="29"/>
  <c r="AP26" i="29"/>
  <c r="AV26" i="29" s="1"/>
  <c r="AR26" i="29" s="1"/>
  <c r="R22" i="29"/>
  <c r="Q22" i="29"/>
  <c r="CH25" i="29"/>
  <c r="J424" i="15"/>
  <c r="J297" i="39"/>
  <c r="C24" i="39"/>
  <c r="BH23" i="29"/>
  <c r="BB23" i="29" s="1"/>
  <c r="BZ23" i="29" s="1"/>
  <c r="AZ23" i="29"/>
  <c r="BE24" i="29"/>
  <c r="BG24" i="29" s="1"/>
  <c r="BA24" i="29" s="1"/>
  <c r="BD25" i="29"/>
  <c r="BC24" i="29"/>
  <c r="BF24" i="29" s="1"/>
  <c r="BP24" i="29"/>
  <c r="CG24" i="29"/>
  <c r="H11" i="29"/>
  <c r="K4" i="40" s="1"/>
  <c r="X20" i="29"/>
  <c r="Y20" i="29" s="1"/>
  <c r="A21" i="44" l="1"/>
  <c r="A20" i="45"/>
  <c r="B9" i="44"/>
  <c r="B9" i="45" s="1"/>
  <c r="CV17" i="29"/>
  <c r="CO17" i="29" s="1"/>
  <c r="CQ17" i="29" s="1"/>
  <c r="CX17" i="29"/>
  <c r="Q3" i="44"/>
  <c r="P4" i="44"/>
  <c r="Q4" i="44" s="1"/>
  <c r="R4" i="44" s="1"/>
  <c r="S4" i="44" s="1"/>
  <c r="T4" i="44" s="1"/>
  <c r="U4" i="44" s="1"/>
  <c r="V4" i="44" s="1"/>
  <c r="W4" i="44" s="1"/>
  <c r="X4" i="44" s="1"/>
  <c r="Y4" i="44" s="1"/>
  <c r="Z4" i="44" s="1"/>
  <c r="AA4" i="44" s="1"/>
  <c r="AB4" i="44" s="1"/>
  <c r="AC4" i="44" s="1"/>
  <c r="AD4" i="44" s="1"/>
  <c r="AE4" i="44" s="1"/>
  <c r="AF4" i="44" s="1"/>
  <c r="AG4" i="44" s="1"/>
  <c r="AH4" i="44" s="1"/>
  <c r="AI4" i="44" s="1"/>
  <c r="AJ4" i="44" s="1"/>
  <c r="AK4" i="44" s="1"/>
  <c r="AL4" i="44" s="1"/>
  <c r="AM4" i="44" s="1"/>
  <c r="AN4" i="44" s="1"/>
  <c r="AO4" i="44" s="1"/>
  <c r="AP4" i="44" s="1"/>
  <c r="AQ4" i="44" s="1"/>
  <c r="AR4" i="44" s="1"/>
  <c r="AS4" i="44" s="1"/>
  <c r="AT4" i="44" s="1"/>
  <c r="AU4" i="44" s="1"/>
  <c r="AV4" i="44" s="1"/>
  <c r="AW4" i="44" s="1"/>
  <c r="AX4" i="44" s="1"/>
  <c r="AY4" i="44" s="1"/>
  <c r="AZ4" i="44" s="1"/>
  <c r="BA4" i="44" s="1"/>
  <c r="BB4" i="44" s="1"/>
  <c r="BC4" i="44" s="1"/>
  <c r="BD4" i="44" s="1"/>
  <c r="BE4" i="44" s="1"/>
  <c r="BF4" i="44" s="1"/>
  <c r="BG4" i="44" s="1"/>
  <c r="BH4" i="44" s="1"/>
  <c r="BI4" i="44" s="1"/>
  <c r="BJ4" i="44" s="1"/>
  <c r="BK4" i="44" s="1"/>
  <c r="BL4" i="44" s="1"/>
  <c r="BM4" i="44" s="1"/>
  <c r="BN4" i="44" s="1"/>
  <c r="BO4" i="44" s="1"/>
  <c r="BP4" i="44" s="1"/>
  <c r="BQ4" i="44" s="1"/>
  <c r="BR4" i="44" s="1"/>
  <c r="P73" i="44"/>
  <c r="Q73" i="44" s="1"/>
  <c r="R73" i="44" s="1"/>
  <c r="S73" i="44" s="1"/>
  <c r="T73" i="44" s="1"/>
  <c r="U73" i="44" s="1"/>
  <c r="V73" i="44" s="1"/>
  <c r="W73" i="44" s="1"/>
  <c r="X73" i="44" s="1"/>
  <c r="Y73" i="44" s="1"/>
  <c r="Z73" i="44" s="1"/>
  <c r="AA73" i="44" s="1"/>
  <c r="AB73" i="44" s="1"/>
  <c r="AC73" i="44" s="1"/>
  <c r="AD73" i="44" s="1"/>
  <c r="AE73" i="44" s="1"/>
  <c r="AF73" i="44" s="1"/>
  <c r="AG73" i="44" s="1"/>
  <c r="AH73" i="44" s="1"/>
  <c r="AI73" i="44" s="1"/>
  <c r="AJ73" i="44" s="1"/>
  <c r="AK73" i="44" s="1"/>
  <c r="AL73" i="44" s="1"/>
  <c r="AM73" i="44" s="1"/>
  <c r="AN73" i="44" s="1"/>
  <c r="AO73" i="44" s="1"/>
  <c r="AP73" i="44" s="1"/>
  <c r="AQ73" i="44" s="1"/>
  <c r="AR73" i="44" s="1"/>
  <c r="AS73" i="44" s="1"/>
  <c r="AT73" i="44" s="1"/>
  <c r="AU73" i="44" s="1"/>
  <c r="AV73" i="44" s="1"/>
  <c r="AW73" i="44" s="1"/>
  <c r="AX73" i="44" s="1"/>
  <c r="AY73" i="44" s="1"/>
  <c r="AZ73" i="44" s="1"/>
  <c r="BA73" i="44" s="1"/>
  <c r="BB73" i="44" s="1"/>
  <c r="BC73" i="44" s="1"/>
  <c r="BD73" i="44" s="1"/>
  <c r="BE73" i="44" s="1"/>
  <c r="BF73" i="44" s="1"/>
  <c r="BG73" i="44" s="1"/>
  <c r="BH73" i="44" s="1"/>
  <c r="BI73" i="44" s="1"/>
  <c r="BJ73" i="44" s="1"/>
  <c r="BK73" i="44" s="1"/>
  <c r="BL73" i="44" s="1"/>
  <c r="BM73" i="44" s="1"/>
  <c r="BN73" i="44" s="1"/>
  <c r="BO73" i="44" s="1"/>
  <c r="BP73" i="44" s="1"/>
  <c r="BQ73" i="44" s="1"/>
  <c r="BR73" i="44" s="1"/>
  <c r="Q72" i="44"/>
  <c r="G11" i="29"/>
  <c r="C158" i="15"/>
  <c r="X158" i="15" s="1"/>
  <c r="D25" i="39"/>
  <c r="B169" i="39"/>
  <c r="C169" i="39" s="1"/>
  <c r="B170" i="39" s="1"/>
  <c r="CF26" i="29"/>
  <c r="CE26" i="29"/>
  <c r="CP25" i="29"/>
  <c r="CI25" i="29"/>
  <c r="D299" i="39"/>
  <c r="D426" i="15"/>
  <c r="D8" i="42"/>
  <c r="F8" i="42"/>
  <c r="E8" i="42"/>
  <c r="H8" i="42"/>
  <c r="G8" i="42"/>
  <c r="I8" i="42"/>
  <c r="CH26" i="29"/>
  <c r="CH27" i="29" s="1"/>
  <c r="S25" i="29"/>
  <c r="T25" i="29"/>
  <c r="V24" i="29"/>
  <c r="AE24" i="29"/>
  <c r="AF24" i="29"/>
  <c r="AN28" i="29"/>
  <c r="AO28" i="29"/>
  <c r="R23" i="29"/>
  <c r="Q23" i="29"/>
  <c r="X23" i="29" s="1"/>
  <c r="BX26" i="29"/>
  <c r="D301" i="39"/>
  <c r="D428" i="15"/>
  <c r="I10" i="42"/>
  <c r="F10" i="42"/>
  <c r="E10" i="42"/>
  <c r="D10" i="42"/>
  <c r="H10" i="42"/>
  <c r="G10" i="42"/>
  <c r="D425" i="15"/>
  <c r="D298" i="39"/>
  <c r="D7" i="42"/>
  <c r="F7" i="42"/>
  <c r="H7" i="42"/>
  <c r="I7" i="42"/>
  <c r="G7" i="42"/>
  <c r="E7" i="42"/>
  <c r="CT26" i="29"/>
  <c r="AX26" i="29"/>
  <c r="U24" i="29"/>
  <c r="AB24" i="29" s="1"/>
  <c r="D427" i="15"/>
  <c r="D300" i="39"/>
  <c r="F9" i="42"/>
  <c r="H9" i="42"/>
  <c r="G9" i="42"/>
  <c r="E9" i="42"/>
  <c r="I9" i="42"/>
  <c r="D9" i="42"/>
  <c r="AA24" i="39"/>
  <c r="AW27" i="29"/>
  <c r="AP27" i="29"/>
  <c r="AV27" i="29" s="1"/>
  <c r="AR27" i="29" s="1"/>
  <c r="K25" i="29"/>
  <c r="AQ24" i="29"/>
  <c r="J25" i="29"/>
  <c r="L24" i="29"/>
  <c r="BQ27" i="29"/>
  <c r="BQ28" i="29" s="1"/>
  <c r="AC23" i="29"/>
  <c r="C29" i="15"/>
  <c r="C30" i="15" s="1"/>
  <c r="H14" i="42"/>
  <c r="E14" i="42"/>
  <c r="G14" i="42"/>
  <c r="D14" i="42"/>
  <c r="F14" i="42"/>
  <c r="I14" i="42"/>
  <c r="G12" i="42"/>
  <c r="I12" i="42"/>
  <c r="E12" i="42"/>
  <c r="D12" i="42"/>
  <c r="F12" i="42"/>
  <c r="H12" i="42"/>
  <c r="AA22" i="29"/>
  <c r="M22" i="29"/>
  <c r="W22" i="29"/>
  <c r="Y22" i="29" s="1"/>
  <c r="CA23" i="29"/>
  <c r="BU23" i="29" s="1"/>
  <c r="CB23" i="29"/>
  <c r="BV23" i="29" s="1"/>
  <c r="CR23" i="29"/>
  <c r="CS23" i="29"/>
  <c r="CM23" i="29" s="1"/>
  <c r="BY26" i="29"/>
  <c r="BN27" i="29"/>
  <c r="BR26" i="29"/>
  <c r="BO27" i="29"/>
  <c r="X22" i="29"/>
  <c r="C128" i="40"/>
  <c r="C12" i="40"/>
  <c r="CC22" i="29"/>
  <c r="CL22" i="29"/>
  <c r="CW22" i="29"/>
  <c r="C25" i="39"/>
  <c r="E6" i="40"/>
  <c r="F21" i="39"/>
  <c r="J19" i="15"/>
  <c r="I13" i="42"/>
  <c r="G13" i="42"/>
  <c r="D13" i="42"/>
  <c r="E13" i="42"/>
  <c r="F13" i="42"/>
  <c r="H13" i="42"/>
  <c r="D11" i="42"/>
  <c r="I11" i="42"/>
  <c r="H11" i="42"/>
  <c r="F11" i="42"/>
  <c r="G11" i="42"/>
  <c r="E11" i="42"/>
  <c r="B297" i="15"/>
  <c r="C297" i="15" s="1"/>
  <c r="Z20" i="29"/>
  <c r="M4" i="40"/>
  <c r="H151" i="15" s="1"/>
  <c r="AI20" i="39"/>
  <c r="G18" i="15"/>
  <c r="D151" i="15"/>
  <c r="I20" i="39"/>
  <c r="BH24" i="29"/>
  <c r="BB24" i="29" s="1"/>
  <c r="BZ24" i="29" s="1"/>
  <c r="AZ24" i="29"/>
  <c r="BP25" i="29"/>
  <c r="BC25" i="29"/>
  <c r="BF25" i="29" s="1"/>
  <c r="BE25" i="29"/>
  <c r="BG25" i="29" s="1"/>
  <c r="BA25" i="29" s="1"/>
  <c r="CG25" i="29"/>
  <c r="BD26" i="29"/>
  <c r="A22" i="44" l="1"/>
  <c r="A21" i="45"/>
  <c r="B10" i="44"/>
  <c r="B10" i="45" s="1"/>
  <c r="CV18" i="29"/>
  <c r="CO18" i="29" s="1"/>
  <c r="CQ18" i="29" s="1"/>
  <c r="CX18" i="29"/>
  <c r="R72" i="44"/>
  <c r="P5" i="44"/>
  <c r="P74" i="44"/>
  <c r="Q74" i="44" s="1"/>
  <c r="R74" i="44" s="1"/>
  <c r="S74" i="44" s="1"/>
  <c r="T74" i="44" s="1"/>
  <c r="U74" i="44" s="1"/>
  <c r="V74" i="44" s="1"/>
  <c r="W74" i="44" s="1"/>
  <c r="X74" i="44" s="1"/>
  <c r="Y74" i="44" s="1"/>
  <c r="Z74" i="44" s="1"/>
  <c r="AA74" i="44" s="1"/>
  <c r="AB74" i="44" s="1"/>
  <c r="AC74" i="44" s="1"/>
  <c r="AD74" i="44" s="1"/>
  <c r="AE74" i="44" s="1"/>
  <c r="AF74" i="44" s="1"/>
  <c r="R3" i="44"/>
  <c r="AC24" i="29"/>
  <c r="C159" i="15"/>
  <c r="C160" i="15" s="1"/>
  <c r="C31" i="15"/>
  <c r="C32" i="15" s="1"/>
  <c r="C33" i="15" s="1"/>
  <c r="C34" i="15" s="1"/>
  <c r="C35" i="15" s="1"/>
  <c r="C36" i="15" s="1"/>
  <c r="C37" i="15" s="1"/>
  <c r="B38" i="15" s="1"/>
  <c r="C38" i="15" s="1"/>
  <c r="B39" i="15" s="1"/>
  <c r="C170" i="39"/>
  <c r="B171" i="39" s="1"/>
  <c r="R425" i="15"/>
  <c r="R298" i="39"/>
  <c r="AO29" i="29"/>
  <c r="AN29" i="29"/>
  <c r="R300" i="39"/>
  <c r="R427" i="15"/>
  <c r="L427" i="15"/>
  <c r="L300" i="39"/>
  <c r="J425" i="15"/>
  <c r="J298" i="39"/>
  <c r="L298" i="39"/>
  <c r="L425" i="15"/>
  <c r="N428" i="15"/>
  <c r="N301" i="39"/>
  <c r="L428" i="15"/>
  <c r="L301" i="39"/>
  <c r="U25" i="29"/>
  <c r="AC25" i="29" s="1"/>
  <c r="P426" i="15"/>
  <c r="P299" i="39"/>
  <c r="N427" i="15"/>
  <c r="N300" i="39"/>
  <c r="H301" i="39"/>
  <c r="H428" i="15"/>
  <c r="L299" i="39"/>
  <c r="L426" i="15"/>
  <c r="AA25" i="39"/>
  <c r="C26" i="39"/>
  <c r="C129" i="40"/>
  <c r="C13" i="40"/>
  <c r="C14" i="40" s="1"/>
  <c r="C15" i="40" s="1"/>
  <c r="C16" i="40" s="1"/>
  <c r="BY27" i="29"/>
  <c r="BR27" i="29"/>
  <c r="BO28" i="29"/>
  <c r="BN28" i="29"/>
  <c r="CC23" i="29"/>
  <c r="CT27" i="29"/>
  <c r="AX27" i="29"/>
  <c r="J300" i="39"/>
  <c r="J427" i="15"/>
  <c r="N298" i="39"/>
  <c r="N425" i="15"/>
  <c r="H425" i="15"/>
  <c r="H298" i="39"/>
  <c r="P301" i="39"/>
  <c r="P428" i="15"/>
  <c r="R428" i="15"/>
  <c r="R301" i="39"/>
  <c r="CH28" i="29"/>
  <c r="J426" i="15"/>
  <c r="J299" i="39"/>
  <c r="CI26" i="29"/>
  <c r="CP26" i="29"/>
  <c r="CE27" i="29"/>
  <c r="CF27" i="29"/>
  <c r="R299" i="39"/>
  <c r="R426" i="15"/>
  <c r="E7" i="40"/>
  <c r="J20" i="15"/>
  <c r="F22" i="39"/>
  <c r="BX27" i="29"/>
  <c r="CL23" i="29"/>
  <c r="CW23" i="29"/>
  <c r="BQ29" i="29"/>
  <c r="K26" i="29"/>
  <c r="J26" i="29"/>
  <c r="AQ25" i="29"/>
  <c r="L25" i="29"/>
  <c r="H300" i="39"/>
  <c r="H427" i="15"/>
  <c r="P427" i="15"/>
  <c r="P300" i="39"/>
  <c r="Q24" i="29"/>
  <c r="X24" i="29" s="1"/>
  <c r="R24" i="29"/>
  <c r="P425" i="15"/>
  <c r="P298" i="39"/>
  <c r="J301" i="39"/>
  <c r="J428" i="15"/>
  <c r="M23" i="29"/>
  <c r="W23" i="29"/>
  <c r="Y23" i="29" s="1"/>
  <c r="CR24" i="29"/>
  <c r="CB24" i="29"/>
  <c r="BV24" i="29" s="1"/>
  <c r="CA24" i="29"/>
  <c r="BU24" i="29" s="1"/>
  <c r="CS24" i="29"/>
  <c r="CM24" i="29" s="1"/>
  <c r="AA23" i="29"/>
  <c r="AW28" i="29"/>
  <c r="AP28" i="29"/>
  <c r="AV28" i="29" s="1"/>
  <c r="AR28" i="29" s="1"/>
  <c r="T26" i="29"/>
  <c r="V25" i="29"/>
  <c r="S26" i="29"/>
  <c r="AE25" i="29"/>
  <c r="AF25" i="29"/>
  <c r="N426" i="15"/>
  <c r="N299" i="39"/>
  <c r="H299" i="39"/>
  <c r="H426" i="15"/>
  <c r="BP26" i="29"/>
  <c r="BC26" i="29"/>
  <c r="BF26" i="29" s="1"/>
  <c r="CG26" i="29"/>
  <c r="BE26" i="29"/>
  <c r="BG26" i="29" s="1"/>
  <c r="BA26" i="29" s="1"/>
  <c r="BD27" i="29"/>
  <c r="Z21" i="29"/>
  <c r="Z22" i="29" s="1"/>
  <c r="AB20" i="29"/>
  <c r="AC20" i="29"/>
  <c r="N4" i="40"/>
  <c r="B298" i="15"/>
  <c r="C298" i="15" s="1"/>
  <c r="AZ25" i="29"/>
  <c r="BH25" i="29"/>
  <c r="BB25" i="29" s="1"/>
  <c r="BZ25" i="29" s="1"/>
  <c r="A23" i="44" l="1"/>
  <c r="A22" i="45"/>
  <c r="B11" i="44"/>
  <c r="B11" i="45" s="1"/>
  <c r="CX19" i="29"/>
  <c r="CV19" i="29"/>
  <c r="CO19" i="29" s="1"/>
  <c r="CQ19" i="29" s="1"/>
  <c r="S3" i="44"/>
  <c r="P6" i="44"/>
  <c r="Q6" i="44" s="1"/>
  <c r="R6" i="44" s="1"/>
  <c r="S6" i="44" s="1"/>
  <c r="T6" i="44" s="1"/>
  <c r="U6" i="44" s="1"/>
  <c r="V6" i="44" s="1"/>
  <c r="W6" i="44" s="1"/>
  <c r="X6" i="44" s="1"/>
  <c r="Y6" i="44" s="1"/>
  <c r="Z6" i="44" s="1"/>
  <c r="AA6" i="44" s="1"/>
  <c r="AB6" i="44" s="1"/>
  <c r="AC6" i="44" s="1"/>
  <c r="AD6" i="44" s="1"/>
  <c r="AE6" i="44" s="1"/>
  <c r="AF6" i="44" s="1"/>
  <c r="AG6" i="44" s="1"/>
  <c r="AH6" i="44" s="1"/>
  <c r="AI6" i="44" s="1"/>
  <c r="AJ6" i="44" s="1"/>
  <c r="AK6" i="44" s="1"/>
  <c r="AL6" i="44" s="1"/>
  <c r="AM6" i="44" s="1"/>
  <c r="AN6" i="44" s="1"/>
  <c r="AO6" i="44" s="1"/>
  <c r="AP6" i="44" s="1"/>
  <c r="AQ6" i="44" s="1"/>
  <c r="AR6" i="44" s="1"/>
  <c r="AS6" i="44" s="1"/>
  <c r="AT6" i="44" s="1"/>
  <c r="AU6" i="44" s="1"/>
  <c r="AV6" i="44" s="1"/>
  <c r="AW6" i="44" s="1"/>
  <c r="AX6" i="44" s="1"/>
  <c r="AY6" i="44" s="1"/>
  <c r="AZ6" i="44" s="1"/>
  <c r="BA6" i="44" s="1"/>
  <c r="BB6" i="44" s="1"/>
  <c r="BC6" i="44" s="1"/>
  <c r="BD6" i="44" s="1"/>
  <c r="BE6" i="44" s="1"/>
  <c r="BF6" i="44" s="1"/>
  <c r="BG6" i="44" s="1"/>
  <c r="BH6" i="44" s="1"/>
  <c r="BI6" i="44" s="1"/>
  <c r="BJ6" i="44" s="1"/>
  <c r="BK6" i="44" s="1"/>
  <c r="BL6" i="44" s="1"/>
  <c r="BM6" i="44" s="1"/>
  <c r="BN6" i="44" s="1"/>
  <c r="BO6" i="44" s="1"/>
  <c r="BP6" i="44" s="1"/>
  <c r="BQ6" i="44" s="1"/>
  <c r="BR6" i="44" s="1"/>
  <c r="P75" i="44"/>
  <c r="Q5" i="44"/>
  <c r="S72" i="44"/>
  <c r="X159" i="15"/>
  <c r="C39" i="15"/>
  <c r="B40" i="15" s="1"/>
  <c r="C40" i="15" s="1"/>
  <c r="B41" i="15" s="1"/>
  <c r="C41" i="15" s="1"/>
  <c r="B42" i="15" s="1"/>
  <c r="C42" i="15" s="1"/>
  <c r="AG74" i="44"/>
  <c r="C171" i="39"/>
  <c r="B172" i="39" s="1"/>
  <c r="C172" i="39" s="1"/>
  <c r="CC24" i="29"/>
  <c r="C161" i="15"/>
  <c r="X160" i="15"/>
  <c r="AA26" i="39"/>
  <c r="C27" i="39"/>
  <c r="C28" i="39" s="1"/>
  <c r="Z23" i="29"/>
  <c r="CE28" i="29"/>
  <c r="CP27" i="29"/>
  <c r="CF28" i="29"/>
  <c r="CI27" i="29"/>
  <c r="AB25" i="29"/>
  <c r="AW29" i="29"/>
  <c r="AP29" i="29"/>
  <c r="AV29" i="29" s="1"/>
  <c r="AR29" i="29" s="1"/>
  <c r="S27" i="29"/>
  <c r="T27" i="29"/>
  <c r="V26" i="29"/>
  <c r="AE26" i="29"/>
  <c r="AF26" i="29"/>
  <c r="CL24" i="29"/>
  <c r="CW24" i="29"/>
  <c r="AO30" i="29"/>
  <c r="AN30" i="29"/>
  <c r="CS25" i="29"/>
  <c r="CM25" i="29" s="1"/>
  <c r="CB25" i="29"/>
  <c r="BV25" i="29" s="1"/>
  <c r="CR25" i="29"/>
  <c r="AA24" i="29"/>
  <c r="CA25" i="29"/>
  <c r="BU25" i="29" s="1"/>
  <c r="M24" i="29"/>
  <c r="W24" i="29"/>
  <c r="Y24" i="29" s="1"/>
  <c r="CH29" i="29"/>
  <c r="BX28" i="29"/>
  <c r="U26" i="29"/>
  <c r="AC26" i="29" s="1"/>
  <c r="CT28" i="29"/>
  <c r="AX28" i="29"/>
  <c r="J27" i="29"/>
  <c r="L26" i="29"/>
  <c r="K27" i="29"/>
  <c r="AQ26" i="29"/>
  <c r="F23" i="39"/>
  <c r="J21" i="15"/>
  <c r="E8" i="40"/>
  <c r="BR28" i="29"/>
  <c r="BO29" i="29"/>
  <c r="BN29" i="29"/>
  <c r="BY28" i="29"/>
  <c r="C130" i="40"/>
  <c r="C17" i="40"/>
  <c r="C18" i="40" s="1"/>
  <c r="C19" i="40" s="1"/>
  <c r="Q25" i="29"/>
  <c r="X25" i="29" s="1"/>
  <c r="R25" i="29"/>
  <c r="B299" i="15"/>
  <c r="C299" i="15" s="1"/>
  <c r="G121" i="40"/>
  <c r="O20" i="39"/>
  <c r="J151" i="15"/>
  <c r="R4" i="40"/>
  <c r="AK20" i="39"/>
  <c r="BD28" i="29"/>
  <c r="BP27" i="29"/>
  <c r="BE27" i="29"/>
  <c r="BG27" i="29" s="1"/>
  <c r="BA27" i="29" s="1"/>
  <c r="CG27" i="29"/>
  <c r="BC27" i="29"/>
  <c r="BF27" i="29" s="1"/>
  <c r="Q4" i="40"/>
  <c r="AJ20" i="39"/>
  <c r="AZ26" i="29"/>
  <c r="BH26" i="29"/>
  <c r="BB26" i="29" s="1"/>
  <c r="BZ26" i="29" s="1"/>
  <c r="A24" i="44" l="1"/>
  <c r="A23" i="45"/>
  <c r="B12" i="44"/>
  <c r="B12" i="45" s="1"/>
  <c r="CV20" i="29"/>
  <c r="CO20" i="29" s="1"/>
  <c r="CQ20" i="29" s="1"/>
  <c r="CP21" i="29" s="1"/>
  <c r="CN21" i="29" s="1"/>
  <c r="CJ21" i="29" s="1"/>
  <c r="AJ11" i="29" s="1"/>
  <c r="AK11" i="29" s="1"/>
  <c r="CX20" i="29"/>
  <c r="C10" i="44"/>
  <c r="C10" i="45" s="1"/>
  <c r="T72" i="44"/>
  <c r="R5" i="44"/>
  <c r="Q75" i="44"/>
  <c r="P76" i="44"/>
  <c r="Q76" i="44" s="1"/>
  <c r="R76" i="44" s="1"/>
  <c r="S76" i="44" s="1"/>
  <c r="T76" i="44" s="1"/>
  <c r="U76" i="44" s="1"/>
  <c r="V76" i="44" s="1"/>
  <c r="W76" i="44" s="1"/>
  <c r="X76" i="44" s="1"/>
  <c r="Y76" i="44" s="1"/>
  <c r="Z76" i="44" s="1"/>
  <c r="AA76" i="44" s="1"/>
  <c r="AB76" i="44" s="1"/>
  <c r="AC76" i="44" s="1"/>
  <c r="AD76" i="44" s="1"/>
  <c r="AE76" i="44" s="1"/>
  <c r="AF76" i="44" s="1"/>
  <c r="P7" i="44"/>
  <c r="Q7" i="44" s="1"/>
  <c r="R7" i="44" s="1"/>
  <c r="S7" i="44" s="1"/>
  <c r="T7" i="44" s="1"/>
  <c r="U7" i="44" s="1"/>
  <c r="V7" i="44" s="1"/>
  <c r="W7" i="44" s="1"/>
  <c r="X7" i="44" s="1"/>
  <c r="Y7" i="44" s="1"/>
  <c r="Z7" i="44" s="1"/>
  <c r="AA7" i="44" s="1"/>
  <c r="AB7" i="44" s="1"/>
  <c r="AC7" i="44" s="1"/>
  <c r="AD7" i="44" s="1"/>
  <c r="AE7" i="44" s="1"/>
  <c r="AF7" i="44" s="1"/>
  <c r="T3" i="44"/>
  <c r="AH74" i="44"/>
  <c r="C29" i="39"/>
  <c r="C30" i="39" s="1"/>
  <c r="AA30" i="39" s="1"/>
  <c r="X161" i="15"/>
  <c r="C162" i="15"/>
  <c r="E9" i="40"/>
  <c r="J22" i="15"/>
  <c r="F24" i="39"/>
  <c r="CT29" i="29"/>
  <c r="AX29" i="29"/>
  <c r="AA25" i="29"/>
  <c r="CR26" i="29"/>
  <c r="W25" i="29"/>
  <c r="Y25" i="29" s="1"/>
  <c r="M25" i="29"/>
  <c r="CS26" i="29"/>
  <c r="CM26" i="29" s="1"/>
  <c r="CB26" i="29"/>
  <c r="BV26" i="29" s="1"/>
  <c r="CA26" i="29"/>
  <c r="BU26" i="29" s="1"/>
  <c r="BX29" i="29"/>
  <c r="B173" i="39"/>
  <c r="C173" i="39" s="1"/>
  <c r="AB26" i="29"/>
  <c r="CL25" i="29"/>
  <c r="CW25" i="29"/>
  <c r="AO31" i="29"/>
  <c r="AN31" i="29"/>
  <c r="U27" i="29"/>
  <c r="AC27" i="29" s="1"/>
  <c r="CE29" i="29"/>
  <c r="CF29" i="29"/>
  <c r="CP28" i="29"/>
  <c r="CI28" i="29"/>
  <c r="AQ27" i="29"/>
  <c r="K28" i="29"/>
  <c r="L27" i="29"/>
  <c r="J28" i="29"/>
  <c r="BO30" i="29"/>
  <c r="BR29" i="29"/>
  <c r="BY29" i="29"/>
  <c r="BN30" i="29"/>
  <c r="Z24" i="29"/>
  <c r="AA28" i="39"/>
  <c r="Q26" i="29"/>
  <c r="X26" i="29" s="1"/>
  <c r="R26" i="29"/>
  <c r="CC25" i="29"/>
  <c r="AW30" i="29"/>
  <c r="AP30" i="29"/>
  <c r="AV30" i="29" s="1"/>
  <c r="AR30" i="29" s="1"/>
  <c r="T28" i="29"/>
  <c r="S28" i="29"/>
  <c r="V27" i="29"/>
  <c r="AE27" i="29"/>
  <c r="AF27" i="29"/>
  <c r="BQ30" i="29"/>
  <c r="BQ31" i="29" s="1"/>
  <c r="AA27" i="39"/>
  <c r="AZ27" i="29"/>
  <c r="BH27" i="29"/>
  <c r="BB27" i="29" s="1"/>
  <c r="BZ27" i="29" s="1"/>
  <c r="BD29" i="29"/>
  <c r="CG28" i="29"/>
  <c r="BP28" i="29"/>
  <c r="BE28" i="29"/>
  <c r="BG28" i="29" s="1"/>
  <c r="BA28" i="29" s="1"/>
  <c r="BC28" i="29"/>
  <c r="BF28" i="29" s="1"/>
  <c r="H121" i="40"/>
  <c r="U4" i="40"/>
  <c r="Z4" i="40"/>
  <c r="L151" i="15"/>
  <c r="I121" i="40"/>
  <c r="V4" i="40"/>
  <c r="N151" i="15"/>
  <c r="C20" i="40"/>
  <c r="B300" i="15"/>
  <c r="B43" i="15"/>
  <c r="C43" i="15" s="1"/>
  <c r="A25" i="44" l="1"/>
  <c r="A24" i="45"/>
  <c r="B13" i="44"/>
  <c r="B13" i="45" s="1"/>
  <c r="F9" i="44"/>
  <c r="F13" i="44"/>
  <c r="F12" i="44"/>
  <c r="F20" i="44"/>
  <c r="F17" i="44"/>
  <c r="F11" i="44"/>
  <c r="F16" i="44"/>
  <c r="F21" i="44"/>
  <c r="F22" i="44"/>
  <c r="F14" i="44"/>
  <c r="F23" i="44"/>
  <c r="F18" i="44"/>
  <c r="F15" i="44"/>
  <c r="F10" i="44"/>
  <c r="F19" i="44"/>
  <c r="CX21" i="29"/>
  <c r="CV21" i="29"/>
  <c r="U3" i="44"/>
  <c r="S5" i="44"/>
  <c r="P8" i="44"/>
  <c r="P77" i="44"/>
  <c r="R75" i="44"/>
  <c r="U72" i="44"/>
  <c r="Z25" i="29"/>
  <c r="AA29" i="39"/>
  <c r="AG7" i="44"/>
  <c r="AI74" i="44"/>
  <c r="AG76" i="44"/>
  <c r="X162" i="15"/>
  <c r="C31" i="39"/>
  <c r="AA31" i="39" s="1"/>
  <c r="C163" i="15"/>
  <c r="X163" i="15" s="1"/>
  <c r="U28" i="29"/>
  <c r="AC28" i="29" s="1"/>
  <c r="BX30" i="29"/>
  <c r="R27" i="29"/>
  <c r="Q27" i="29"/>
  <c r="X27" i="29" s="1"/>
  <c r="AN32" i="29"/>
  <c r="AO32" i="29"/>
  <c r="B174" i="39"/>
  <c r="C174" i="39" s="1"/>
  <c r="B175" i="39" s="1"/>
  <c r="C175" i="39" s="1"/>
  <c r="B176" i="39" s="1"/>
  <c r="C176" i="39" s="1"/>
  <c r="V28" i="29"/>
  <c r="S29" i="29"/>
  <c r="T29" i="29"/>
  <c r="AE28" i="29"/>
  <c r="AF28" i="29"/>
  <c r="AB27" i="29"/>
  <c r="CC26" i="29"/>
  <c r="K29" i="29"/>
  <c r="L28" i="29"/>
  <c r="AQ28" i="29"/>
  <c r="J29" i="29"/>
  <c r="CF30" i="29"/>
  <c r="CP29" i="29"/>
  <c r="CI29" i="29"/>
  <c r="CE30" i="29"/>
  <c r="CT30" i="29"/>
  <c r="AX30" i="29"/>
  <c r="CB27" i="29"/>
  <c r="BV27" i="29" s="1"/>
  <c r="CA27" i="29"/>
  <c r="BU27" i="29" s="1"/>
  <c r="CS27" i="29"/>
  <c r="CM27" i="29" s="1"/>
  <c r="AA26" i="29"/>
  <c r="CR27" i="29"/>
  <c r="M26" i="29"/>
  <c r="W26" i="29"/>
  <c r="Y26" i="29" s="1"/>
  <c r="CH30" i="29"/>
  <c r="CH31" i="29" s="1"/>
  <c r="BO31" i="29"/>
  <c r="BQ32" i="29" s="1"/>
  <c r="BN31" i="29"/>
  <c r="BR30" i="29"/>
  <c r="BY30" i="29"/>
  <c r="AW31" i="29"/>
  <c r="AP31" i="29"/>
  <c r="AV31" i="29" s="1"/>
  <c r="AR31" i="29" s="1"/>
  <c r="CL26" i="29"/>
  <c r="CW26" i="29"/>
  <c r="E10" i="40"/>
  <c r="F25" i="39"/>
  <c r="J23" i="15"/>
  <c r="B44" i="15"/>
  <c r="C44" i="15" s="1"/>
  <c r="R20" i="39"/>
  <c r="P151" i="15"/>
  <c r="H290" i="15"/>
  <c r="I163" i="39"/>
  <c r="BH28" i="29"/>
  <c r="BB28" i="29" s="1"/>
  <c r="BZ28" i="29" s="1"/>
  <c r="AZ28" i="29"/>
  <c r="BP29" i="29"/>
  <c r="CG29" i="29"/>
  <c r="BE29" i="29"/>
  <c r="BG29" i="29" s="1"/>
  <c r="BA29" i="29" s="1"/>
  <c r="BD30" i="29"/>
  <c r="BC29" i="29"/>
  <c r="BF29" i="29" s="1"/>
  <c r="C300" i="15"/>
  <c r="C21" i="40"/>
  <c r="U20" i="39"/>
  <c r="I4" i="44" s="1"/>
  <c r="S151" i="15"/>
  <c r="Y4" i="40"/>
  <c r="A26" i="44" l="1"/>
  <c r="A25" i="45"/>
  <c r="N73" i="44"/>
  <c r="E4" i="45"/>
  <c r="B14" i="44"/>
  <c r="B14" i="45" s="1"/>
  <c r="CO21" i="29"/>
  <c r="CQ21" i="29" s="1"/>
  <c r="CK21" i="29"/>
  <c r="AR20" i="29" s="1"/>
  <c r="AL11" i="29" s="1"/>
  <c r="CV22" i="29"/>
  <c r="CO22" i="29" s="1"/>
  <c r="CQ22" i="29" s="1"/>
  <c r="CX22" i="29"/>
  <c r="S75" i="44"/>
  <c r="T5" i="44"/>
  <c r="Q77" i="44"/>
  <c r="V72" i="44"/>
  <c r="Q8" i="44"/>
  <c r="P64" i="44"/>
  <c r="M9" i="44" s="1"/>
  <c r="G9" i="44" s="1"/>
  <c r="V3" i="44"/>
  <c r="C32" i="39"/>
  <c r="AA32" i="39" s="1"/>
  <c r="Z26" i="29"/>
  <c r="AJ74" i="44"/>
  <c r="AH7" i="44"/>
  <c r="AH76" i="44"/>
  <c r="C164" i="15"/>
  <c r="BQ33" i="29"/>
  <c r="BX31" i="29"/>
  <c r="CC27" i="29"/>
  <c r="AA27" i="29"/>
  <c r="M27" i="29"/>
  <c r="CS28" i="29"/>
  <c r="CM28" i="29" s="1"/>
  <c r="W27" i="29"/>
  <c r="Y27" i="29" s="1"/>
  <c r="CB28" i="29"/>
  <c r="BV28" i="29" s="1"/>
  <c r="CR28" i="29"/>
  <c r="CA28" i="29"/>
  <c r="BU28" i="29" s="1"/>
  <c r="CH32" i="29"/>
  <c r="CE31" i="29"/>
  <c r="CP30" i="29"/>
  <c r="CF31" i="29"/>
  <c r="CI30" i="29"/>
  <c r="J30" i="29"/>
  <c r="AQ29" i="29"/>
  <c r="K30" i="29"/>
  <c r="L29" i="29"/>
  <c r="F26" i="39"/>
  <c r="E11" i="40"/>
  <c r="J24" i="15"/>
  <c r="CT31" i="29"/>
  <c r="AX31" i="29"/>
  <c r="BY31" i="29"/>
  <c r="BO32" i="29"/>
  <c r="BR31" i="29"/>
  <c r="BN32" i="29"/>
  <c r="V29" i="29"/>
  <c r="T30" i="29"/>
  <c r="S30" i="29"/>
  <c r="AF29" i="29"/>
  <c r="AE29" i="29"/>
  <c r="Q28" i="29"/>
  <c r="X28" i="29" s="1"/>
  <c r="R28" i="29"/>
  <c r="U29" i="29"/>
  <c r="AC29" i="29" s="1"/>
  <c r="AN33" i="29"/>
  <c r="AO33" i="29"/>
  <c r="CL27" i="29"/>
  <c r="CW27" i="29"/>
  <c r="AW32" i="29"/>
  <c r="AP32" i="29"/>
  <c r="AV32" i="29" s="1"/>
  <c r="AB28" i="29"/>
  <c r="D163" i="39"/>
  <c r="D290" i="15"/>
  <c r="C22" i="40"/>
  <c r="B45" i="15"/>
  <c r="C45" i="15" s="1"/>
  <c r="BH29" i="29"/>
  <c r="BB29" i="29" s="1"/>
  <c r="BZ29" i="29" s="1"/>
  <c r="AZ29" i="29"/>
  <c r="B177" i="39"/>
  <c r="B301" i="15"/>
  <c r="C301" i="15" s="1"/>
  <c r="BC30" i="29"/>
  <c r="BF30" i="29" s="1"/>
  <c r="CG30" i="29"/>
  <c r="BD31" i="29"/>
  <c r="BE30" i="29"/>
  <c r="BG30" i="29" s="1"/>
  <c r="BA30" i="29" s="1"/>
  <c r="BP30" i="29"/>
  <c r="A26" i="45" l="1"/>
  <c r="A27" i="44"/>
  <c r="B15" i="44"/>
  <c r="B15" i="45" s="1"/>
  <c r="C33" i="39"/>
  <c r="C34" i="39" s="1"/>
  <c r="CV23" i="29"/>
  <c r="CO23" i="29" s="1"/>
  <c r="CQ23" i="29" s="1"/>
  <c r="CX23" i="29"/>
  <c r="W3" i="44"/>
  <c r="W72" i="44"/>
  <c r="U5" i="44"/>
  <c r="R8" i="44"/>
  <c r="Q64" i="44"/>
  <c r="M10" i="44" s="1"/>
  <c r="G10" i="44" s="1"/>
  <c r="R77" i="44"/>
  <c r="T75" i="44"/>
  <c r="Z27" i="29"/>
  <c r="AB29" i="29"/>
  <c r="AI7" i="44"/>
  <c r="AI76" i="44"/>
  <c r="AK74" i="44"/>
  <c r="X164" i="15"/>
  <c r="C165" i="15"/>
  <c r="X165" i="15" s="1"/>
  <c r="E12" i="40"/>
  <c r="J25" i="15"/>
  <c r="F27" i="39"/>
  <c r="AA28" i="29"/>
  <c r="CA29" i="29"/>
  <c r="BU29" i="29" s="1"/>
  <c r="M28" i="29"/>
  <c r="W28" i="29"/>
  <c r="Y28" i="29" s="1"/>
  <c r="CB29" i="29"/>
  <c r="BV29" i="29" s="1"/>
  <c r="CR29" i="29"/>
  <c r="CS29" i="29"/>
  <c r="CM29" i="29" s="1"/>
  <c r="U30" i="29"/>
  <c r="AC30" i="29" s="1"/>
  <c r="AO34" i="29"/>
  <c r="AN34" i="29"/>
  <c r="CT32" i="29"/>
  <c r="AX32" i="29"/>
  <c r="AA33" i="39"/>
  <c r="R29" i="29"/>
  <c r="Q29" i="29"/>
  <c r="X29" i="29" s="1"/>
  <c r="V30" i="29"/>
  <c r="T31" i="29"/>
  <c r="S31" i="29"/>
  <c r="AE30" i="29"/>
  <c r="AF30" i="29"/>
  <c r="BO33" i="29"/>
  <c r="BY32" i="29"/>
  <c r="BN33" i="29"/>
  <c r="BR32" i="29"/>
  <c r="AQ30" i="29"/>
  <c r="L30" i="29"/>
  <c r="J31" i="29"/>
  <c r="K31" i="29"/>
  <c r="CP31" i="29"/>
  <c r="CI31" i="29"/>
  <c r="CE32" i="29"/>
  <c r="CF32" i="29"/>
  <c r="CH33" i="29" s="1"/>
  <c r="CL28" i="29"/>
  <c r="CW28" i="29"/>
  <c r="BQ34" i="29"/>
  <c r="AW33" i="29"/>
  <c r="AP33" i="29"/>
  <c r="AV33" i="29" s="1"/>
  <c r="AR33" i="29" s="1"/>
  <c r="BX32" i="29"/>
  <c r="CC28" i="29"/>
  <c r="AZ30" i="29"/>
  <c r="BH30" i="29"/>
  <c r="BB30" i="29" s="1"/>
  <c r="BZ30" i="29" s="1"/>
  <c r="C177" i="39"/>
  <c r="C23" i="40"/>
  <c r="B46" i="15"/>
  <c r="C46" i="15" s="1"/>
  <c r="B302" i="15"/>
  <c r="C302" i="15" s="1"/>
  <c r="BD32" i="29"/>
  <c r="BC31" i="29"/>
  <c r="BF31" i="29" s="1"/>
  <c r="BP31" i="29"/>
  <c r="CG31" i="29"/>
  <c r="BE31" i="29"/>
  <c r="BG31" i="29" s="1"/>
  <c r="BA31" i="29" s="1"/>
  <c r="A28" i="44" l="1"/>
  <c r="A27" i="45"/>
  <c r="B16" i="44"/>
  <c r="B16" i="45" s="1"/>
  <c r="Z28" i="29"/>
  <c r="CV24" i="29"/>
  <c r="CO24" i="29" s="1"/>
  <c r="CQ24" i="29" s="1"/>
  <c r="CX24" i="29"/>
  <c r="U75" i="44"/>
  <c r="S8" i="44"/>
  <c r="R64" i="44"/>
  <c r="M11" i="44" s="1"/>
  <c r="G11" i="44" s="1"/>
  <c r="X72" i="44"/>
  <c r="S77" i="44"/>
  <c r="V5" i="44"/>
  <c r="X3" i="44"/>
  <c r="AB30" i="29"/>
  <c r="AL74" i="44"/>
  <c r="AJ7" i="44"/>
  <c r="AJ76" i="44"/>
  <c r="C166" i="15"/>
  <c r="C167" i="15" s="1"/>
  <c r="X167" i="15" s="1"/>
  <c r="AW34" i="29"/>
  <c r="AP34" i="29"/>
  <c r="AV34" i="29" s="1"/>
  <c r="AR34" i="29" s="1"/>
  <c r="CL29" i="29"/>
  <c r="CW29" i="29"/>
  <c r="AO35" i="29"/>
  <c r="AN35" i="29"/>
  <c r="U31" i="29"/>
  <c r="AB31" i="29" s="1"/>
  <c r="AA29" i="29"/>
  <c r="CR30" i="29"/>
  <c r="CB30" i="29"/>
  <c r="BV30" i="29" s="1"/>
  <c r="M29" i="29"/>
  <c r="W29" i="29"/>
  <c r="Y29" i="29" s="1"/>
  <c r="CA30" i="29"/>
  <c r="BU30" i="29" s="1"/>
  <c r="CS30" i="29"/>
  <c r="CM30" i="29" s="1"/>
  <c r="CC29" i="29"/>
  <c r="E13" i="40"/>
  <c r="J26" i="15"/>
  <c r="F28" i="39"/>
  <c r="CF33" i="29"/>
  <c r="CI32" i="29"/>
  <c r="CP32" i="29"/>
  <c r="CE33" i="29"/>
  <c r="L31" i="29"/>
  <c r="K32" i="29"/>
  <c r="AQ31" i="29"/>
  <c r="J32" i="29"/>
  <c r="AA34" i="39"/>
  <c r="C35" i="39"/>
  <c r="C36" i="39" s="1"/>
  <c r="BX33" i="29"/>
  <c r="AX33" i="29"/>
  <c r="BO34" i="29"/>
  <c r="BR33" i="29"/>
  <c r="BN34" i="29"/>
  <c r="T32" i="29"/>
  <c r="S32" i="29"/>
  <c r="U32" i="29" s="1"/>
  <c r="V31" i="29"/>
  <c r="AE31" i="29"/>
  <c r="AF31" i="29"/>
  <c r="R30" i="29"/>
  <c r="Q30" i="29"/>
  <c r="X30" i="29" s="1"/>
  <c r="B47" i="15"/>
  <c r="C47" i="15" s="1"/>
  <c r="B178" i="39"/>
  <c r="C178" i="39" s="1"/>
  <c r="BE32" i="29"/>
  <c r="BG32" i="29" s="1"/>
  <c r="BA32" i="29" s="1"/>
  <c r="BD33" i="29"/>
  <c r="CG32" i="29"/>
  <c r="BP32" i="29"/>
  <c r="BC32" i="29"/>
  <c r="BF32" i="29" s="1"/>
  <c r="B24" i="40"/>
  <c r="C24" i="40" s="1"/>
  <c r="C131" i="40"/>
  <c r="B303" i="15"/>
  <c r="C303" i="15" s="1"/>
  <c r="BH31" i="29"/>
  <c r="BB31" i="29" s="1"/>
  <c r="BZ31" i="29" s="1"/>
  <c r="AZ31" i="29"/>
  <c r="A29" i="44" l="1"/>
  <c r="A28" i="45"/>
  <c r="B17" i="44"/>
  <c r="B17" i="45" s="1"/>
  <c r="Z29" i="29"/>
  <c r="CX25" i="29"/>
  <c r="CV25" i="29"/>
  <c r="CO25" i="29" s="1"/>
  <c r="CQ25" i="29" s="1"/>
  <c r="Y3" i="44"/>
  <c r="T77" i="44"/>
  <c r="T8" i="44"/>
  <c r="S64" i="44"/>
  <c r="M12" i="44" s="1"/>
  <c r="G12" i="44" s="1"/>
  <c r="W5" i="44"/>
  <c r="Y72" i="44"/>
  <c r="V75" i="44"/>
  <c r="AK76" i="44"/>
  <c r="AM74" i="44"/>
  <c r="AK7" i="44"/>
  <c r="AC31" i="29"/>
  <c r="C168" i="15"/>
  <c r="X168" i="15" s="1"/>
  <c r="X166" i="15"/>
  <c r="R32" i="29"/>
  <c r="Q32" i="29"/>
  <c r="BX34" i="29"/>
  <c r="AA36" i="39"/>
  <c r="AA35" i="39"/>
  <c r="CE34" i="29"/>
  <c r="CI33" i="29"/>
  <c r="CF34" i="29"/>
  <c r="AO36" i="29"/>
  <c r="AN36" i="29"/>
  <c r="C37" i="39"/>
  <c r="C38" i="39" s="1"/>
  <c r="CL30" i="29"/>
  <c r="CW30" i="29"/>
  <c r="BN35" i="29"/>
  <c r="BY34" i="29"/>
  <c r="BO35" i="29"/>
  <c r="BR34" i="29"/>
  <c r="CT34" i="29"/>
  <c r="AX34" i="29"/>
  <c r="CB31" i="29"/>
  <c r="BV31" i="29" s="1"/>
  <c r="CA31" i="29"/>
  <c r="BU31" i="29" s="1"/>
  <c r="AA30" i="29"/>
  <c r="CR31" i="29"/>
  <c r="W30" i="29"/>
  <c r="Y30" i="29" s="1"/>
  <c r="M30" i="29"/>
  <c r="CS31" i="29"/>
  <c r="CM31" i="29" s="1"/>
  <c r="V32" i="29"/>
  <c r="S33" i="29"/>
  <c r="T33" i="29"/>
  <c r="AF32" i="29"/>
  <c r="AE32" i="29"/>
  <c r="BQ35" i="29"/>
  <c r="BQ36" i="29" s="1"/>
  <c r="J33" i="29"/>
  <c r="AQ32" i="29"/>
  <c r="L32" i="29"/>
  <c r="K33" i="29"/>
  <c r="E14" i="40"/>
  <c r="J27" i="15"/>
  <c r="F29" i="39"/>
  <c r="CC30" i="29"/>
  <c r="Q31" i="29"/>
  <c r="R31" i="29"/>
  <c r="AW35" i="29"/>
  <c r="AP35" i="29"/>
  <c r="AV35" i="29" s="1"/>
  <c r="AR35" i="29" s="1"/>
  <c r="CH34" i="29"/>
  <c r="CH35" i="29" s="1"/>
  <c r="B304" i="15"/>
  <c r="C304" i="15" s="1"/>
  <c r="B25" i="40"/>
  <c r="C25" i="40" s="1"/>
  <c r="J24" i="40"/>
  <c r="S38" i="15" s="1"/>
  <c r="G24" i="40"/>
  <c r="H24" i="40"/>
  <c r="D24" i="40"/>
  <c r="I24" i="40"/>
  <c r="F24" i="40"/>
  <c r="BE33" i="29"/>
  <c r="BG33" i="29" s="1"/>
  <c r="BA33" i="29" s="1"/>
  <c r="BP33" i="29"/>
  <c r="BI33" i="29"/>
  <c r="BC33" i="29"/>
  <c r="BF33" i="29" s="1"/>
  <c r="CG33" i="29"/>
  <c r="BD34" i="29"/>
  <c r="BH32" i="29"/>
  <c r="BB32" i="29" s="1"/>
  <c r="BZ32" i="29" s="1"/>
  <c r="AZ32" i="29"/>
  <c r="B179" i="39"/>
  <c r="C179" i="39" s="1"/>
  <c r="B48" i="15"/>
  <c r="C48" i="15" s="1"/>
  <c r="A29" i="45" l="1"/>
  <c r="A30" i="44"/>
  <c r="B18" i="44"/>
  <c r="B18" i="45" s="1"/>
  <c r="Z30" i="29"/>
  <c r="CV26" i="29"/>
  <c r="CO26" i="29" s="1"/>
  <c r="CQ26" i="29" s="1"/>
  <c r="CX26" i="29"/>
  <c r="W75" i="44"/>
  <c r="X5" i="44"/>
  <c r="U77" i="44"/>
  <c r="Z72" i="44"/>
  <c r="U8" i="44"/>
  <c r="T64" i="44"/>
  <c r="M13" i="44" s="1"/>
  <c r="G13" i="44" s="1"/>
  <c r="Z3" i="44"/>
  <c r="AL7" i="44"/>
  <c r="AL76" i="44"/>
  <c r="C169" i="15"/>
  <c r="X169" i="15" s="1"/>
  <c r="AN74" i="44"/>
  <c r="CC31" i="29"/>
  <c r="C39" i="39"/>
  <c r="B40" i="39" s="1"/>
  <c r="CR32" i="29"/>
  <c r="CA32" i="29"/>
  <c r="BU32" i="29" s="1"/>
  <c r="M31" i="29"/>
  <c r="CB32" i="29"/>
  <c r="BV32" i="29" s="1"/>
  <c r="W31" i="29"/>
  <c r="Y31" i="29" s="1"/>
  <c r="Z31" i="29" s="1"/>
  <c r="AA31" i="29"/>
  <c r="CS32" i="29"/>
  <c r="CM32" i="29" s="1"/>
  <c r="U33" i="29"/>
  <c r="AB33" i="29" s="1"/>
  <c r="AN37" i="29"/>
  <c r="AO37" i="29"/>
  <c r="X31" i="29"/>
  <c r="J28" i="15"/>
  <c r="F30" i="39"/>
  <c r="E15" i="40"/>
  <c r="BN36" i="29"/>
  <c r="BR35" i="29"/>
  <c r="BO36" i="29"/>
  <c r="BQ37" i="29" s="1"/>
  <c r="BY35" i="29"/>
  <c r="AA37" i="39"/>
  <c r="CF35" i="29"/>
  <c r="CP34" i="29"/>
  <c r="CE35" i="29"/>
  <c r="CI34" i="29"/>
  <c r="W32" i="29"/>
  <c r="CS33" i="29" s="1"/>
  <c r="CA33" i="29"/>
  <c r="BU33" i="29" s="1"/>
  <c r="AA32" i="29"/>
  <c r="CR33" i="29"/>
  <c r="CH36" i="29"/>
  <c r="CT35" i="29"/>
  <c r="AX35" i="29"/>
  <c r="J34" i="29"/>
  <c r="AQ33" i="29"/>
  <c r="K34" i="29"/>
  <c r="L33" i="29"/>
  <c r="CL31" i="29"/>
  <c r="CW31" i="29"/>
  <c r="D38" i="15"/>
  <c r="AA38" i="39"/>
  <c r="T34" i="29"/>
  <c r="S34" i="29"/>
  <c r="V33" i="29"/>
  <c r="AF33" i="29"/>
  <c r="AE33" i="29"/>
  <c r="BX35" i="29"/>
  <c r="AW36" i="29"/>
  <c r="AP36" i="29"/>
  <c r="AV36" i="29" s="1"/>
  <c r="AR36" i="29" s="1"/>
  <c r="BD35" i="29"/>
  <c r="CG34" i="29"/>
  <c r="BE34" i="29"/>
  <c r="BG34" i="29" s="1"/>
  <c r="BA34" i="29" s="1"/>
  <c r="BP34" i="29"/>
  <c r="BC34" i="29"/>
  <c r="BF34" i="29" s="1"/>
  <c r="BZ33" i="29"/>
  <c r="M38" i="15"/>
  <c r="P38" i="15"/>
  <c r="E24" i="44" s="1"/>
  <c r="B180" i="39"/>
  <c r="B26" i="40"/>
  <c r="C26" i="40" s="1"/>
  <c r="BH33" i="29"/>
  <c r="BB33" i="29" s="1"/>
  <c r="AZ33" i="29"/>
  <c r="BY33" i="29" s="1"/>
  <c r="BW33" i="29" s="1"/>
  <c r="B49" i="15"/>
  <c r="C49" i="15" s="1"/>
  <c r="I25" i="40"/>
  <c r="P39" i="15" s="1"/>
  <c r="E25" i="44" s="1"/>
  <c r="H25" i="40"/>
  <c r="M39" i="15" s="1"/>
  <c r="F25" i="40"/>
  <c r="D25" i="40"/>
  <c r="D39" i="15" s="1"/>
  <c r="J25" i="40"/>
  <c r="S39" i="15" s="1"/>
  <c r="G25" i="40"/>
  <c r="B305" i="15"/>
  <c r="C305" i="15" s="1"/>
  <c r="A30" i="45" l="1"/>
  <c r="A31" i="44"/>
  <c r="B19" i="44"/>
  <c r="B19" i="45" s="1"/>
  <c r="N25" i="44"/>
  <c r="AF25" i="44" s="1"/>
  <c r="F25" i="44"/>
  <c r="N24" i="44"/>
  <c r="AE24" i="44" s="1"/>
  <c r="F24" i="44"/>
  <c r="CV27" i="29"/>
  <c r="CO27" i="29" s="1"/>
  <c r="CQ27" i="29" s="1"/>
  <c r="CX27" i="29"/>
  <c r="AA3" i="44"/>
  <c r="AA72" i="44"/>
  <c r="Y5" i="44"/>
  <c r="V8" i="44"/>
  <c r="U64" i="44"/>
  <c r="M14" i="44" s="1"/>
  <c r="G14" i="44" s="1"/>
  <c r="V77" i="44"/>
  <c r="X75" i="44"/>
  <c r="AA39" i="39"/>
  <c r="AM76" i="44"/>
  <c r="AM7" i="44"/>
  <c r="C170" i="15"/>
  <c r="CB33" i="29"/>
  <c r="BV33" i="29" s="1"/>
  <c r="BS33" i="29" s="1"/>
  <c r="AO74" i="44"/>
  <c r="U34" i="29"/>
  <c r="AC34" i="29" s="1"/>
  <c r="J35" i="29"/>
  <c r="K35" i="29"/>
  <c r="L34" i="29"/>
  <c r="AQ34" i="29"/>
  <c r="BX36" i="29"/>
  <c r="AW37" i="29"/>
  <c r="AP37" i="29"/>
  <c r="AV37" i="29" s="1"/>
  <c r="AR37" i="29" s="1"/>
  <c r="CL32" i="29"/>
  <c r="CW32" i="29"/>
  <c r="AN38" i="29"/>
  <c r="AO38" i="29"/>
  <c r="T35" i="29"/>
  <c r="V34" i="29"/>
  <c r="S35" i="29"/>
  <c r="AF34" i="29"/>
  <c r="AE34" i="29"/>
  <c r="Z40" i="39"/>
  <c r="AG40" i="39"/>
  <c r="AF40" i="39"/>
  <c r="AB40" i="39"/>
  <c r="AD40" i="39"/>
  <c r="CT33" i="29"/>
  <c r="CW33" i="29" s="1"/>
  <c r="CE36" i="29"/>
  <c r="CF36" i="29"/>
  <c r="CI35" i="29"/>
  <c r="CP35" i="29"/>
  <c r="E16" i="40"/>
  <c r="F31" i="39"/>
  <c r="J29" i="15"/>
  <c r="R33" i="29"/>
  <c r="Q33" i="29"/>
  <c r="X33" i="29" s="1"/>
  <c r="CC32" i="29"/>
  <c r="D40" i="39"/>
  <c r="CT36" i="29"/>
  <c r="AX36" i="29"/>
  <c r="C40" i="39"/>
  <c r="BO37" i="29"/>
  <c r="BN37" i="29"/>
  <c r="BR36" i="29"/>
  <c r="BY36" i="29"/>
  <c r="AC33" i="29"/>
  <c r="BT33" i="29"/>
  <c r="M32" i="29" s="1"/>
  <c r="BH34" i="29"/>
  <c r="BB34" i="29" s="1"/>
  <c r="BZ34" i="29" s="1"/>
  <c r="AZ34" i="29"/>
  <c r="BD36" i="29"/>
  <c r="BC35" i="29"/>
  <c r="BF35" i="29" s="1"/>
  <c r="CG35" i="29"/>
  <c r="BP35" i="29"/>
  <c r="BE35" i="29"/>
  <c r="BG35" i="29" s="1"/>
  <c r="BA35" i="29" s="1"/>
  <c r="B306" i="15"/>
  <c r="B50" i="15"/>
  <c r="B27" i="40"/>
  <c r="C27" i="40" s="1"/>
  <c r="I26" i="40"/>
  <c r="P40" i="15" s="1"/>
  <c r="E26" i="44" s="1"/>
  <c r="H26" i="40"/>
  <c r="M40" i="15" s="1"/>
  <c r="F26" i="40"/>
  <c r="G26" i="40"/>
  <c r="J26" i="40"/>
  <c r="S40" i="15" s="1"/>
  <c r="D26" i="40"/>
  <c r="D40" i="15" s="1"/>
  <c r="C180" i="39"/>
  <c r="A31" i="45" l="1"/>
  <c r="A32" i="44"/>
  <c r="B20" i="44"/>
  <c r="B20" i="45" s="1"/>
  <c r="N26" i="44"/>
  <c r="AG26" i="44" s="1"/>
  <c r="F26" i="44"/>
  <c r="CV28" i="29"/>
  <c r="CO28" i="29" s="1"/>
  <c r="CQ28" i="29" s="1"/>
  <c r="CX28" i="29"/>
  <c r="Y75" i="44"/>
  <c r="W8" i="44"/>
  <c r="V64" i="44"/>
  <c r="M15" i="44" s="1"/>
  <c r="G15" i="44" s="1"/>
  <c r="AB72" i="44"/>
  <c r="W77" i="44"/>
  <c r="Z5" i="44"/>
  <c r="AB3" i="44"/>
  <c r="X170" i="15"/>
  <c r="B171" i="15"/>
  <c r="AN7" i="44"/>
  <c r="CC33" i="29"/>
  <c r="AP74" i="44"/>
  <c r="AN76" i="44"/>
  <c r="CL33" i="29"/>
  <c r="AB34" i="29"/>
  <c r="B41" i="39"/>
  <c r="C41" i="39" s="1"/>
  <c r="AA40" i="39"/>
  <c r="BO38" i="29"/>
  <c r="BR37" i="29"/>
  <c r="BN38" i="29"/>
  <c r="BY37" i="29"/>
  <c r="U35" i="29"/>
  <c r="AC35" i="29" s="1"/>
  <c r="AW38" i="29"/>
  <c r="AP38" i="29"/>
  <c r="AV38" i="29" s="1"/>
  <c r="AR38" i="29" s="1"/>
  <c r="J36" i="29"/>
  <c r="K36" i="29"/>
  <c r="L35" i="29"/>
  <c r="AQ35" i="29"/>
  <c r="F32" i="39"/>
  <c r="E17" i="40"/>
  <c r="J30" i="15"/>
  <c r="CE37" i="29"/>
  <c r="CI36" i="29"/>
  <c r="CF37" i="29"/>
  <c r="CP36" i="29"/>
  <c r="CH37" i="29"/>
  <c r="CH38" i="29" s="1"/>
  <c r="V35" i="29"/>
  <c r="S36" i="29"/>
  <c r="T36" i="29"/>
  <c r="AF35" i="29"/>
  <c r="AE35" i="29"/>
  <c r="CM33" i="29"/>
  <c r="CT37" i="29"/>
  <c r="AX37" i="29"/>
  <c r="R34" i="29"/>
  <c r="Q34" i="29"/>
  <c r="X34" i="29" s="1"/>
  <c r="BQ38" i="29"/>
  <c r="BQ39" i="29" s="1"/>
  <c r="BX37" i="29"/>
  <c r="CB34" i="29"/>
  <c r="BV34" i="29" s="1"/>
  <c r="M33" i="29"/>
  <c r="W33" i="29"/>
  <c r="Y33" i="29" s="1"/>
  <c r="CA34" i="29"/>
  <c r="BU34" i="29" s="1"/>
  <c r="CS34" i="29"/>
  <c r="CM34" i="29" s="1"/>
  <c r="AA33" i="29"/>
  <c r="CR34" i="29"/>
  <c r="AO39" i="29"/>
  <c r="AN39" i="29"/>
  <c r="B181" i="39"/>
  <c r="C181" i="39" s="1"/>
  <c r="H12" i="29"/>
  <c r="K5" i="40" s="1"/>
  <c r="X32" i="29"/>
  <c r="Y32" i="29" s="1"/>
  <c r="B28" i="40"/>
  <c r="C28" i="40" s="1"/>
  <c r="I27" i="40"/>
  <c r="P41" i="15" s="1"/>
  <c r="E27" i="44" s="1"/>
  <c r="D27" i="40"/>
  <c r="D41" i="15" s="1"/>
  <c r="J27" i="40"/>
  <c r="S41" i="15" s="1"/>
  <c r="H27" i="40"/>
  <c r="M41" i="15" s="1"/>
  <c r="G27" i="40"/>
  <c r="F27" i="40"/>
  <c r="AZ35" i="29"/>
  <c r="BH35" i="29"/>
  <c r="BB35" i="29" s="1"/>
  <c r="BZ35" i="29" s="1"/>
  <c r="C50" i="15"/>
  <c r="C306" i="15"/>
  <c r="BP36" i="29"/>
  <c r="BD37" i="29"/>
  <c r="BC36" i="29"/>
  <c r="BF36" i="29" s="1"/>
  <c r="BE36" i="29"/>
  <c r="BG36" i="29" s="1"/>
  <c r="BA36" i="29" s="1"/>
  <c r="CG36" i="29"/>
  <c r="A33" i="44" l="1"/>
  <c r="A32" i="45"/>
  <c r="B21" i="44"/>
  <c r="B21" i="45" s="1"/>
  <c r="N27" i="44"/>
  <c r="AH27" i="44" s="1"/>
  <c r="F27" i="44"/>
  <c r="CV29" i="29"/>
  <c r="CO29" i="29" s="1"/>
  <c r="CQ29" i="29" s="1"/>
  <c r="CX29" i="29"/>
  <c r="AC3" i="44"/>
  <c r="X77" i="44"/>
  <c r="X8" i="44"/>
  <c r="W64" i="44"/>
  <c r="M16" i="44" s="1"/>
  <c r="G16" i="44" s="1"/>
  <c r="AA5" i="44"/>
  <c r="AC72" i="44"/>
  <c r="Z75" i="44"/>
  <c r="G12" i="29"/>
  <c r="AO7" i="44"/>
  <c r="AO76" i="44"/>
  <c r="AQ74" i="44"/>
  <c r="C171" i="15"/>
  <c r="Y171" i="15"/>
  <c r="W171" i="15"/>
  <c r="CC34" i="29"/>
  <c r="CT38" i="29"/>
  <c r="AX38" i="29"/>
  <c r="BX38" i="29"/>
  <c r="AA41" i="39"/>
  <c r="B42" i="39"/>
  <c r="C42" i="39" s="1"/>
  <c r="AO40" i="29"/>
  <c r="AN40" i="29"/>
  <c r="CB35" i="29"/>
  <c r="BV35" i="29" s="1"/>
  <c r="CR35" i="29"/>
  <c r="CA35" i="29"/>
  <c r="BU35" i="29" s="1"/>
  <c r="AA34" i="29"/>
  <c r="CS35" i="29"/>
  <c r="CM35" i="29" s="1"/>
  <c r="W34" i="29"/>
  <c r="Y34" i="29" s="1"/>
  <c r="M34" i="29"/>
  <c r="V36" i="29"/>
  <c r="T37" i="29"/>
  <c r="S37" i="29"/>
  <c r="AF36" i="29"/>
  <c r="AE36" i="29"/>
  <c r="BR38" i="29"/>
  <c r="BN39" i="29"/>
  <c r="BY38" i="29"/>
  <c r="BO39" i="29"/>
  <c r="AB41" i="39"/>
  <c r="AF41" i="39"/>
  <c r="AD41" i="39"/>
  <c r="AG41" i="39"/>
  <c r="Z41" i="39"/>
  <c r="D41" i="39"/>
  <c r="AW39" i="29"/>
  <c r="AP39" i="29"/>
  <c r="AV39" i="29" s="1"/>
  <c r="AR39" i="29" s="1"/>
  <c r="CL34" i="29"/>
  <c r="CW34" i="29"/>
  <c r="BQ40" i="29"/>
  <c r="CH39" i="29"/>
  <c r="CP37" i="29"/>
  <c r="CF38" i="29"/>
  <c r="CE38" i="29"/>
  <c r="CI37" i="29"/>
  <c r="F33" i="39"/>
  <c r="E18" i="40"/>
  <c r="J31" i="15"/>
  <c r="AQ36" i="29"/>
  <c r="L36" i="29"/>
  <c r="K37" i="29"/>
  <c r="J37" i="29"/>
  <c r="R35" i="29"/>
  <c r="Q35" i="29"/>
  <c r="X35" i="29" s="1"/>
  <c r="U36" i="29"/>
  <c r="AC36" i="29" s="1"/>
  <c r="AB35" i="29"/>
  <c r="B182" i="39"/>
  <c r="C182" i="39" s="1"/>
  <c r="M5" i="40"/>
  <c r="H152" i="15" s="1"/>
  <c r="AI21" i="39"/>
  <c r="Z32" i="29"/>
  <c r="G19" i="15"/>
  <c r="I21" i="39"/>
  <c r="D152" i="15"/>
  <c r="AZ36" i="29"/>
  <c r="BH36" i="29"/>
  <c r="BB36" i="29" s="1"/>
  <c r="BZ36" i="29" s="1"/>
  <c r="BC37" i="29"/>
  <c r="BF37" i="29" s="1"/>
  <c r="BD38" i="29"/>
  <c r="CG37" i="29"/>
  <c r="BE37" i="29"/>
  <c r="BG37" i="29" s="1"/>
  <c r="BA37" i="29" s="1"/>
  <c r="BP37" i="29"/>
  <c r="B29" i="40"/>
  <c r="C29" i="40" s="1"/>
  <c r="B307" i="15"/>
  <c r="C307" i="15" s="1"/>
  <c r="B51" i="15"/>
  <c r="I28" i="40"/>
  <c r="F28" i="40"/>
  <c r="D28" i="40"/>
  <c r="D42" i="15" s="1"/>
  <c r="J28" i="40"/>
  <c r="G28" i="40"/>
  <c r="H28" i="40"/>
  <c r="M42" i="15" s="1"/>
  <c r="A34" i="44" l="1"/>
  <c r="A33" i="45"/>
  <c r="B22" i="44"/>
  <c r="B22" i="45" s="1"/>
  <c r="CV30" i="29"/>
  <c r="CO30" i="29" s="1"/>
  <c r="CQ30" i="29" s="1"/>
  <c r="CX30" i="29"/>
  <c r="AA75" i="44"/>
  <c r="AB5" i="44"/>
  <c r="Y77" i="44"/>
  <c r="AD72" i="44"/>
  <c r="Y8" i="44"/>
  <c r="X64" i="44"/>
  <c r="M17" i="44" s="1"/>
  <c r="G17" i="44" s="1"/>
  <c r="AD3" i="44"/>
  <c r="AR74" i="44"/>
  <c r="AP7" i="44"/>
  <c r="CC35" i="29"/>
  <c r="B172" i="15"/>
  <c r="X171" i="15"/>
  <c r="AP76" i="44"/>
  <c r="BR39" i="29"/>
  <c r="BN40" i="29"/>
  <c r="BO40" i="29"/>
  <c r="BY39" i="29"/>
  <c r="V37" i="29"/>
  <c r="S38" i="29"/>
  <c r="T38" i="29"/>
  <c r="AE37" i="29"/>
  <c r="AF37" i="29"/>
  <c r="CL35" i="29"/>
  <c r="CW35" i="29"/>
  <c r="AA42" i="39"/>
  <c r="B43" i="39"/>
  <c r="C43" i="39" s="1"/>
  <c r="AF42" i="39"/>
  <c r="Z42" i="39"/>
  <c r="AD42" i="39"/>
  <c r="AG42" i="39"/>
  <c r="AB42" i="39"/>
  <c r="D42" i="39"/>
  <c r="Q36" i="29"/>
  <c r="X36" i="29" s="1"/>
  <c r="R36" i="29"/>
  <c r="BQ41" i="29"/>
  <c r="CT39" i="29"/>
  <c r="AX39" i="29"/>
  <c r="BX39" i="29"/>
  <c r="AW40" i="29"/>
  <c r="AP40" i="29"/>
  <c r="AV40" i="29" s="1"/>
  <c r="AR40" i="29" s="1"/>
  <c r="AB36" i="29"/>
  <c r="M35" i="29"/>
  <c r="CB36" i="29"/>
  <c r="BV36" i="29" s="1"/>
  <c r="CA36" i="29"/>
  <c r="BU36" i="29" s="1"/>
  <c r="CS36" i="29"/>
  <c r="CM36" i="29" s="1"/>
  <c r="AA35" i="29"/>
  <c r="W35" i="29"/>
  <c r="Y35" i="29" s="1"/>
  <c r="CR36" i="29"/>
  <c r="L37" i="29"/>
  <c r="AQ37" i="29"/>
  <c r="J38" i="29"/>
  <c r="K38" i="29"/>
  <c r="J32" i="15"/>
  <c r="F34" i="39"/>
  <c r="E19" i="40"/>
  <c r="CP38" i="29"/>
  <c r="CE39" i="29"/>
  <c r="CF39" i="29"/>
  <c r="CH40" i="29" s="1"/>
  <c r="CI38" i="29"/>
  <c r="U37" i="29"/>
  <c r="AB37" i="29" s="1"/>
  <c r="AO41" i="29"/>
  <c r="AN41" i="29"/>
  <c r="B308" i="15"/>
  <c r="C308" i="15" s="1"/>
  <c r="AZ37" i="29"/>
  <c r="BH37" i="29"/>
  <c r="BB37" i="29" s="1"/>
  <c r="BZ37" i="29" s="1"/>
  <c r="B30" i="40"/>
  <c r="C30" i="40" s="1"/>
  <c r="C51" i="15"/>
  <c r="G29" i="40"/>
  <c r="I29" i="40"/>
  <c r="D29" i="40"/>
  <c r="H29" i="40"/>
  <c r="J29" i="40"/>
  <c r="F29" i="40"/>
  <c r="B183" i="39"/>
  <c r="C183" i="39" s="1"/>
  <c r="BD39" i="29"/>
  <c r="BE38" i="29"/>
  <c r="BG38" i="29" s="1"/>
  <c r="BA38" i="29" s="1"/>
  <c r="CG38" i="29"/>
  <c r="BC38" i="29"/>
  <c r="BF38" i="29" s="1"/>
  <c r="BP38" i="29"/>
  <c r="Z33" i="29"/>
  <c r="Z34" i="29" s="1"/>
  <c r="AC32" i="29"/>
  <c r="AB32" i="29"/>
  <c r="N5" i="40"/>
  <c r="A34" i="45" l="1"/>
  <c r="A35" i="44"/>
  <c r="B23" i="44"/>
  <c r="B23" i="45" s="1"/>
  <c r="CV31" i="29"/>
  <c r="CO31" i="29" s="1"/>
  <c r="CQ31" i="29" s="1"/>
  <c r="CX31" i="29"/>
  <c r="AE3" i="44"/>
  <c r="AE72" i="44"/>
  <c r="AC5" i="44"/>
  <c r="Z8" i="44"/>
  <c r="Y64" i="44"/>
  <c r="M18" i="44" s="1"/>
  <c r="G18" i="44" s="1"/>
  <c r="Z77" i="44"/>
  <c r="AB75" i="44"/>
  <c r="C172" i="15"/>
  <c r="W172" i="15"/>
  <c r="Y172" i="15"/>
  <c r="AQ76" i="44"/>
  <c r="AQ7" i="44"/>
  <c r="AS74" i="44"/>
  <c r="AA43" i="39"/>
  <c r="B44" i="39"/>
  <c r="C44" i="39" s="1"/>
  <c r="AC37" i="29"/>
  <c r="S39" i="29"/>
  <c r="T39" i="29"/>
  <c r="V38" i="29"/>
  <c r="AF38" i="29"/>
  <c r="AE38" i="29"/>
  <c r="BN41" i="29"/>
  <c r="BY40" i="29"/>
  <c r="BO41" i="29"/>
  <c r="BQ42" i="29" s="1"/>
  <c r="BR40" i="29"/>
  <c r="AW41" i="29"/>
  <c r="AP41" i="29"/>
  <c r="AV41" i="29" s="1"/>
  <c r="AR41" i="29" s="1"/>
  <c r="CT40" i="29"/>
  <c r="AX40" i="29"/>
  <c r="U38" i="29"/>
  <c r="AC38" i="29" s="1"/>
  <c r="BX40" i="29"/>
  <c r="CI39" i="29"/>
  <c r="CP39" i="29"/>
  <c r="CE40" i="29"/>
  <c r="CF40" i="29"/>
  <c r="Z35" i="29"/>
  <c r="AN42" i="29"/>
  <c r="AO42" i="29"/>
  <c r="K39" i="29"/>
  <c r="L38" i="29"/>
  <c r="J39" i="29"/>
  <c r="AQ38" i="29"/>
  <c r="CC36" i="29"/>
  <c r="AG43" i="39"/>
  <c r="Z43" i="39"/>
  <c r="AD43" i="39"/>
  <c r="AB43" i="39"/>
  <c r="AF43" i="39"/>
  <c r="D43" i="39"/>
  <c r="Q37" i="29"/>
  <c r="R37" i="29"/>
  <c r="J33" i="15"/>
  <c r="E20" i="40"/>
  <c r="F35" i="39"/>
  <c r="CL36" i="29"/>
  <c r="CW36" i="29"/>
  <c r="AA36" i="29"/>
  <c r="CS37" i="29"/>
  <c r="CM37" i="29" s="1"/>
  <c r="CA37" i="29"/>
  <c r="BU37" i="29" s="1"/>
  <c r="CR37" i="29"/>
  <c r="W36" i="29"/>
  <c r="Y36" i="29" s="1"/>
  <c r="M36" i="29"/>
  <c r="CB37" i="29"/>
  <c r="BV37" i="29" s="1"/>
  <c r="B184" i="39"/>
  <c r="C184" i="39" s="1"/>
  <c r="G122" i="40"/>
  <c r="O21" i="39"/>
  <c r="J152" i="15"/>
  <c r="Q5" i="40"/>
  <c r="AJ21" i="39"/>
  <c r="J30" i="40"/>
  <c r="F30" i="40"/>
  <c r="H30" i="40"/>
  <c r="D30" i="40"/>
  <c r="I30" i="40"/>
  <c r="G30" i="40"/>
  <c r="BP39" i="29"/>
  <c r="CG39" i="29"/>
  <c r="BD40" i="29"/>
  <c r="BC39" i="29"/>
  <c r="BF39" i="29" s="1"/>
  <c r="BE39" i="29"/>
  <c r="BG39" i="29" s="1"/>
  <c r="BA39" i="29" s="1"/>
  <c r="B309" i="15"/>
  <c r="C309" i="15" s="1"/>
  <c r="R5" i="40"/>
  <c r="AK21" i="39"/>
  <c r="BH38" i="29"/>
  <c r="BB38" i="29" s="1"/>
  <c r="BZ38" i="29" s="1"/>
  <c r="AZ38" i="29"/>
  <c r="B52" i="15"/>
  <c r="B31" i="40"/>
  <c r="C31" i="40" s="1"/>
  <c r="A36" i="44" l="1"/>
  <c r="A35" i="45"/>
  <c r="B24" i="44"/>
  <c r="B24" i="45" s="1"/>
  <c r="CV32" i="29"/>
  <c r="CO32" i="29" s="1"/>
  <c r="CQ32" i="29" s="1"/>
  <c r="CP33" i="29" s="1"/>
  <c r="CN33" i="29" s="1"/>
  <c r="CX32" i="29"/>
  <c r="Z44" i="39"/>
  <c r="AC75" i="44"/>
  <c r="AA8" i="44"/>
  <c r="Z64" i="44"/>
  <c r="M19" i="44" s="1"/>
  <c r="G19" i="44" s="1"/>
  <c r="AF72" i="44"/>
  <c r="AA77" i="44"/>
  <c r="AD5" i="44"/>
  <c r="AF3" i="44"/>
  <c r="AG44" i="39"/>
  <c r="AF44" i="39"/>
  <c r="AD44" i="39"/>
  <c r="AR7" i="44"/>
  <c r="B173" i="15"/>
  <c r="X172" i="15"/>
  <c r="D44" i="39"/>
  <c r="AB44" i="39"/>
  <c r="AT74" i="44"/>
  <c r="AR76" i="44"/>
  <c r="AA44" i="39"/>
  <c r="B45" i="39"/>
  <c r="AF45" i="39" s="1"/>
  <c r="X37" i="29"/>
  <c r="CR38" i="29"/>
  <c r="CA38" i="29"/>
  <c r="BU38" i="29" s="1"/>
  <c r="M37" i="29"/>
  <c r="AA37" i="29"/>
  <c r="CB38" i="29"/>
  <c r="BV38" i="29" s="1"/>
  <c r="CS38" i="29"/>
  <c r="CM38" i="29" s="1"/>
  <c r="W37" i="29"/>
  <c r="Y37" i="29" s="1"/>
  <c r="J40" i="29"/>
  <c r="AQ39" i="29"/>
  <c r="K40" i="29"/>
  <c r="L39" i="29"/>
  <c r="Z36" i="29"/>
  <c r="R38" i="29"/>
  <c r="Q38" i="29"/>
  <c r="X38" i="29" s="1"/>
  <c r="AN43" i="29"/>
  <c r="AO43" i="29"/>
  <c r="BX41" i="29"/>
  <c r="S40" i="29"/>
  <c r="V39" i="29"/>
  <c r="T40" i="29"/>
  <c r="AE39" i="29"/>
  <c r="AF39" i="29"/>
  <c r="CC37" i="29"/>
  <c r="CL37" i="29"/>
  <c r="CW37" i="29"/>
  <c r="AW42" i="29"/>
  <c r="AP42" i="29"/>
  <c r="AV42" i="29" s="1"/>
  <c r="AR42" i="29" s="1"/>
  <c r="CP40" i="29"/>
  <c r="CE41" i="29"/>
  <c r="CI40" i="29"/>
  <c r="CF41" i="29"/>
  <c r="AB38" i="29"/>
  <c r="U39" i="29"/>
  <c r="AB39" i="29" s="1"/>
  <c r="E21" i="40"/>
  <c r="J34" i="15"/>
  <c r="F36" i="39"/>
  <c r="CT41" i="29"/>
  <c r="AX41" i="29"/>
  <c r="BY41" i="29"/>
  <c r="BR41" i="29"/>
  <c r="BO42" i="29"/>
  <c r="BN42" i="29"/>
  <c r="CH41" i="29"/>
  <c r="CH42" i="29" s="1"/>
  <c r="B310" i="15"/>
  <c r="C310" i="15" s="1"/>
  <c r="BH39" i="29"/>
  <c r="BB39" i="29" s="1"/>
  <c r="BZ39" i="29" s="1"/>
  <c r="AZ39" i="29"/>
  <c r="H122" i="40"/>
  <c r="Z5" i="40"/>
  <c r="Y5" i="40" s="1"/>
  <c r="U5" i="40"/>
  <c r="L152" i="15"/>
  <c r="B185" i="39"/>
  <c r="C185" i="39" s="1"/>
  <c r="G31" i="40"/>
  <c r="D31" i="40"/>
  <c r="H31" i="40"/>
  <c r="I31" i="40"/>
  <c r="J31" i="40"/>
  <c r="F31" i="40"/>
  <c r="B32" i="40"/>
  <c r="I122" i="40"/>
  <c r="V5" i="40"/>
  <c r="N152" i="15"/>
  <c r="BP40" i="29"/>
  <c r="CG40" i="29"/>
  <c r="BD41" i="29"/>
  <c r="BE40" i="29"/>
  <c r="BG40" i="29" s="1"/>
  <c r="BA40" i="29" s="1"/>
  <c r="BC40" i="29"/>
  <c r="BF40" i="29" s="1"/>
  <c r="C52" i="15"/>
  <c r="A37" i="44" l="1"/>
  <c r="A36" i="45"/>
  <c r="B25" i="44"/>
  <c r="B25" i="45" s="1"/>
  <c r="CX33" i="29"/>
  <c r="CV33" i="29"/>
  <c r="CO33" i="29" s="1"/>
  <c r="CQ33" i="29" s="1"/>
  <c r="CJ33" i="29"/>
  <c r="AJ12" i="29" s="1"/>
  <c r="AK12" i="29" s="1"/>
  <c r="AG3" i="44"/>
  <c r="AB77" i="44"/>
  <c r="AB8" i="44"/>
  <c r="AA64" i="44"/>
  <c r="M20" i="44" s="1"/>
  <c r="G20" i="44" s="1"/>
  <c r="AE5" i="44"/>
  <c r="AG72" i="44"/>
  <c r="AD75" i="44"/>
  <c r="Z45" i="39"/>
  <c r="AD45" i="39"/>
  <c r="AG45" i="39"/>
  <c r="AB45" i="39"/>
  <c r="AU74" i="44"/>
  <c r="AS7" i="44"/>
  <c r="C45" i="39"/>
  <c r="AA45" i="39" s="1"/>
  <c r="D45" i="39"/>
  <c r="AS76" i="44"/>
  <c r="C173" i="15"/>
  <c r="W173" i="15"/>
  <c r="Y173" i="15"/>
  <c r="AC39" i="29"/>
  <c r="Z37" i="29"/>
  <c r="BX42" i="29"/>
  <c r="BO43" i="29"/>
  <c r="BN43" i="29"/>
  <c r="BY42" i="29"/>
  <c r="BR42" i="29"/>
  <c r="CL38" i="29"/>
  <c r="CW38" i="29"/>
  <c r="Q39" i="29"/>
  <c r="X39" i="29" s="1"/>
  <c r="R39" i="29"/>
  <c r="CI41" i="29"/>
  <c r="CF42" i="29"/>
  <c r="CP41" i="29"/>
  <c r="CE42" i="29"/>
  <c r="AN44" i="29"/>
  <c r="AO44" i="29"/>
  <c r="AA38" i="29"/>
  <c r="CS39" i="29"/>
  <c r="CM39" i="29" s="1"/>
  <c r="CA39" i="29"/>
  <c r="BU39" i="29" s="1"/>
  <c r="CR39" i="29"/>
  <c r="W38" i="29"/>
  <c r="Y38" i="29" s="1"/>
  <c r="M38" i="29"/>
  <c r="CB39" i="29"/>
  <c r="BV39" i="29" s="1"/>
  <c r="CC38" i="29"/>
  <c r="E22" i="40"/>
  <c r="J35" i="15"/>
  <c r="F37" i="39"/>
  <c r="T41" i="29"/>
  <c r="V40" i="29"/>
  <c r="S41" i="29"/>
  <c r="AF40" i="29"/>
  <c r="AE40" i="29"/>
  <c r="CH43" i="29"/>
  <c r="CT42" i="29"/>
  <c r="AX42" i="29"/>
  <c r="U40" i="29"/>
  <c r="AC40" i="29" s="1"/>
  <c r="AW43" i="29"/>
  <c r="AP43" i="29"/>
  <c r="AV43" i="29" s="1"/>
  <c r="AR43" i="29" s="1"/>
  <c r="AQ40" i="29"/>
  <c r="K41" i="29"/>
  <c r="J41" i="29"/>
  <c r="L40" i="29"/>
  <c r="BQ43" i="29"/>
  <c r="BQ44" i="29" s="1"/>
  <c r="B186" i="39"/>
  <c r="C186" i="39" s="1"/>
  <c r="B311" i="15"/>
  <c r="C311" i="15" s="1"/>
  <c r="BC41" i="29"/>
  <c r="BF41" i="29" s="1"/>
  <c r="CG41" i="29"/>
  <c r="BE41" i="29"/>
  <c r="BG41" i="29" s="1"/>
  <c r="BA41" i="29" s="1"/>
  <c r="BP41" i="29"/>
  <c r="BD42" i="29"/>
  <c r="S152" i="15"/>
  <c r="U21" i="39"/>
  <c r="I5" i="44" s="1"/>
  <c r="B53" i="15"/>
  <c r="C53" i="15" s="1"/>
  <c r="C32" i="40"/>
  <c r="AZ40" i="29"/>
  <c r="BH40" i="29"/>
  <c r="BB40" i="29" s="1"/>
  <c r="BZ40" i="29" s="1"/>
  <c r="I32" i="40"/>
  <c r="D32" i="40"/>
  <c r="J32" i="40"/>
  <c r="H32" i="40"/>
  <c r="F32" i="40"/>
  <c r="G32" i="40"/>
  <c r="P152" i="15"/>
  <c r="R21" i="39"/>
  <c r="A37" i="45" l="1"/>
  <c r="A38" i="44"/>
  <c r="N74" i="44"/>
  <c r="E5" i="45"/>
  <c r="B26" i="44"/>
  <c r="B26" i="45" s="1"/>
  <c r="CK33" i="29"/>
  <c r="AR32" i="29" s="1"/>
  <c r="AL12" i="29" s="1"/>
  <c r="CV34" i="29"/>
  <c r="CO34" i="29" s="1"/>
  <c r="CQ34" i="29" s="1"/>
  <c r="CX34" i="29"/>
  <c r="AE75" i="44"/>
  <c r="AF5" i="44"/>
  <c r="AC77" i="44"/>
  <c r="AH72" i="44"/>
  <c r="AC8" i="44"/>
  <c r="AB64" i="44"/>
  <c r="M21" i="44" s="1"/>
  <c r="G21" i="44" s="1"/>
  <c r="AH3" i="44"/>
  <c r="B46" i="39"/>
  <c r="C46" i="39" s="1"/>
  <c r="B47" i="39" s="1"/>
  <c r="C47" i="39" s="1"/>
  <c r="Z38" i="29"/>
  <c r="B174" i="15"/>
  <c r="X173" i="15"/>
  <c r="AT76" i="44"/>
  <c r="AT7" i="44"/>
  <c r="AV74" i="44"/>
  <c r="AB40" i="29"/>
  <c r="CC39" i="29"/>
  <c r="BN44" i="29"/>
  <c r="BO44" i="29"/>
  <c r="BY43" i="29"/>
  <c r="BR43" i="29"/>
  <c r="CT43" i="29"/>
  <c r="AX43" i="29"/>
  <c r="T42" i="29"/>
  <c r="S42" i="29"/>
  <c r="V41" i="29"/>
  <c r="AE41" i="29"/>
  <c r="AF41" i="29"/>
  <c r="E23" i="40"/>
  <c r="F38" i="39"/>
  <c r="J36" i="15"/>
  <c r="BQ45" i="29"/>
  <c r="U41" i="29"/>
  <c r="AW44" i="29"/>
  <c r="AP44" i="29"/>
  <c r="AV44" i="29" s="1"/>
  <c r="CP42" i="29"/>
  <c r="CF43" i="29"/>
  <c r="CE43" i="29"/>
  <c r="CI42" i="29"/>
  <c r="BX43" i="29"/>
  <c r="CL39" i="29"/>
  <c r="CW39" i="29"/>
  <c r="J42" i="29"/>
  <c r="L41" i="29"/>
  <c r="AQ41" i="29"/>
  <c r="K42" i="29"/>
  <c r="Q40" i="29"/>
  <c r="X40" i="29" s="1"/>
  <c r="R40" i="29"/>
  <c r="AO45" i="29"/>
  <c r="AN45" i="29"/>
  <c r="CS40" i="29"/>
  <c r="CM40" i="29" s="1"/>
  <c r="CA40" i="29"/>
  <c r="BU40" i="29" s="1"/>
  <c r="CB40" i="29"/>
  <c r="BV40" i="29" s="1"/>
  <c r="M39" i="29"/>
  <c r="AA39" i="29"/>
  <c r="CR40" i="29"/>
  <c r="W39" i="29"/>
  <c r="Y39" i="29" s="1"/>
  <c r="B54" i="15"/>
  <c r="C54" i="15" s="1"/>
  <c r="B187" i="39"/>
  <c r="C187" i="39" s="1"/>
  <c r="B33" i="40"/>
  <c r="C33" i="40" s="1"/>
  <c r="BP42" i="29"/>
  <c r="BC42" i="29"/>
  <c r="BF42" i="29" s="1"/>
  <c r="CG42" i="29"/>
  <c r="BE42" i="29"/>
  <c r="BG42" i="29" s="1"/>
  <c r="BA42" i="29" s="1"/>
  <c r="BD43" i="29"/>
  <c r="AZ41" i="29"/>
  <c r="BH41" i="29"/>
  <c r="BB41" i="29" s="1"/>
  <c r="BZ41" i="29" s="1"/>
  <c r="B312" i="15"/>
  <c r="C312" i="15" s="1"/>
  <c r="Z46" i="39"/>
  <c r="A38" i="45" l="1"/>
  <c r="A39" i="44"/>
  <c r="B27" i="44"/>
  <c r="B27" i="45" s="1"/>
  <c r="D46" i="39"/>
  <c r="CV35" i="29"/>
  <c r="CO35" i="29" s="1"/>
  <c r="CQ35" i="29" s="1"/>
  <c r="CX35" i="29"/>
  <c r="AF46" i="39"/>
  <c r="AB46" i="39"/>
  <c r="AD46" i="39"/>
  <c r="AG46" i="39"/>
  <c r="AA46" i="39"/>
  <c r="AI3" i="44"/>
  <c r="AI72" i="44"/>
  <c r="AG5" i="44"/>
  <c r="AD8" i="44"/>
  <c r="AC64" i="44"/>
  <c r="M22" i="44" s="1"/>
  <c r="G22" i="44" s="1"/>
  <c r="AD77" i="44"/>
  <c r="AF75" i="44"/>
  <c r="Z39" i="29"/>
  <c r="AU7" i="44"/>
  <c r="Y174" i="15"/>
  <c r="W174" i="15"/>
  <c r="AW74" i="44"/>
  <c r="AU76" i="44"/>
  <c r="C174" i="15"/>
  <c r="AN46" i="29"/>
  <c r="AO46" i="29"/>
  <c r="K43" i="29"/>
  <c r="AQ42" i="29"/>
  <c r="J43" i="29"/>
  <c r="L42" i="29"/>
  <c r="CE44" i="29"/>
  <c r="CF44" i="29"/>
  <c r="CP43" i="29"/>
  <c r="CI43" i="29"/>
  <c r="R41" i="29"/>
  <c r="Q41" i="29"/>
  <c r="S43" i="29"/>
  <c r="T43" i="29"/>
  <c r="V42" i="29"/>
  <c r="AF42" i="29"/>
  <c r="AE42" i="29"/>
  <c r="CL40" i="29"/>
  <c r="CW40" i="29"/>
  <c r="AB41" i="29"/>
  <c r="BY44" i="29"/>
  <c r="BN45" i="29"/>
  <c r="BR44" i="29"/>
  <c r="BO45" i="29"/>
  <c r="AC41" i="29"/>
  <c r="BX44" i="29"/>
  <c r="CC40" i="29"/>
  <c r="AW45" i="29"/>
  <c r="AP45" i="29"/>
  <c r="AV45" i="29" s="1"/>
  <c r="AR45" i="29" s="1"/>
  <c r="M40" i="29"/>
  <c r="CS41" i="29"/>
  <c r="CM41" i="29" s="1"/>
  <c r="CR41" i="29"/>
  <c r="W40" i="29"/>
  <c r="Y40" i="29" s="1"/>
  <c r="AA40" i="29"/>
  <c r="CA41" i="29"/>
  <c r="BU41" i="29" s="1"/>
  <c r="CB41" i="29"/>
  <c r="BV41" i="29" s="1"/>
  <c r="CT44" i="29"/>
  <c r="AX44" i="29"/>
  <c r="CH44" i="29"/>
  <c r="F39" i="39"/>
  <c r="J37" i="15"/>
  <c r="E24" i="40"/>
  <c r="U42" i="29"/>
  <c r="AB42" i="29" s="1"/>
  <c r="B313" i="15"/>
  <c r="C313" i="15" s="1"/>
  <c r="B48" i="39"/>
  <c r="C48" i="39" s="1"/>
  <c r="AA47" i="39"/>
  <c r="BE43" i="29"/>
  <c r="BG43" i="29" s="1"/>
  <c r="BA43" i="29" s="1"/>
  <c r="BC43" i="29"/>
  <c r="BF43" i="29" s="1"/>
  <c r="CG43" i="29"/>
  <c r="BD44" i="29"/>
  <c r="BP43" i="29"/>
  <c r="B34" i="40"/>
  <c r="C34" i="40" s="1"/>
  <c r="AB47" i="39"/>
  <c r="Z47" i="39"/>
  <c r="AG47" i="39"/>
  <c r="AF47" i="39"/>
  <c r="AD47" i="39"/>
  <c r="D47" i="39"/>
  <c r="I33" i="40"/>
  <c r="F33" i="40"/>
  <c r="D33" i="40"/>
  <c r="J33" i="40"/>
  <c r="H33" i="40"/>
  <c r="G33" i="40"/>
  <c r="B188" i="39"/>
  <c r="C188" i="39" s="1"/>
  <c r="B55" i="15"/>
  <c r="AZ42" i="29"/>
  <c r="BH42" i="29"/>
  <c r="BB42" i="29" s="1"/>
  <c r="BZ42" i="29" s="1"/>
  <c r="A39" i="45" l="1"/>
  <c r="A40" i="44"/>
  <c r="B28" i="44"/>
  <c r="B28" i="45" s="1"/>
  <c r="CV36" i="29"/>
  <c r="CO36" i="29" s="1"/>
  <c r="CQ36" i="29" s="1"/>
  <c r="CX36" i="29"/>
  <c r="Z40" i="29"/>
  <c r="AG75" i="44"/>
  <c r="AE8" i="44"/>
  <c r="AD64" i="44"/>
  <c r="M23" i="44" s="1"/>
  <c r="G23" i="44" s="1"/>
  <c r="AJ72" i="44"/>
  <c r="AE77" i="44"/>
  <c r="AH5" i="44"/>
  <c r="AJ3" i="44"/>
  <c r="X174" i="15"/>
  <c r="B175" i="15"/>
  <c r="AV76" i="44"/>
  <c r="AX74" i="44"/>
  <c r="AV7" i="44"/>
  <c r="CC41" i="29"/>
  <c r="BX45" i="29"/>
  <c r="V43" i="29"/>
  <c r="S44" i="29"/>
  <c r="U44" i="29" s="1"/>
  <c r="T44" i="29"/>
  <c r="AE43" i="29"/>
  <c r="AF43" i="29"/>
  <c r="CP44" i="29"/>
  <c r="CF45" i="29"/>
  <c r="CI44" i="29"/>
  <c r="CE45" i="29"/>
  <c r="U43" i="29"/>
  <c r="AC43" i="29" s="1"/>
  <c r="AO47" i="29"/>
  <c r="AN47" i="29"/>
  <c r="CH45" i="29"/>
  <c r="CH46" i="29" s="1"/>
  <c r="CL41" i="29"/>
  <c r="CW41" i="29"/>
  <c r="AX45" i="29"/>
  <c r="BN46" i="29"/>
  <c r="BO46" i="29"/>
  <c r="BR45" i="29"/>
  <c r="BQ46" i="29"/>
  <c r="BQ47" i="29" s="1"/>
  <c r="AW46" i="29"/>
  <c r="AP46" i="29"/>
  <c r="AV46" i="29" s="1"/>
  <c r="AR46" i="29" s="1"/>
  <c r="Q42" i="29"/>
  <c r="X42" i="29" s="1"/>
  <c r="R42" i="29"/>
  <c r="CR42" i="29"/>
  <c r="CB42" i="29"/>
  <c r="BV42" i="29" s="1"/>
  <c r="M41" i="29"/>
  <c r="CS42" i="29"/>
  <c r="CM42" i="29" s="1"/>
  <c r="CA42" i="29"/>
  <c r="BU42" i="29" s="1"/>
  <c r="AA41" i="29"/>
  <c r="W41" i="29"/>
  <c r="Y41" i="29" s="1"/>
  <c r="L43" i="29"/>
  <c r="J44" i="29"/>
  <c r="K44" i="29"/>
  <c r="AQ43" i="29"/>
  <c r="AC42" i="29"/>
  <c r="F40" i="39"/>
  <c r="J38" i="15"/>
  <c r="E25" i="40"/>
  <c r="X41" i="29"/>
  <c r="B35" i="40"/>
  <c r="C35" i="40" s="1"/>
  <c r="BP44" i="29"/>
  <c r="CG44" i="29"/>
  <c r="BE44" i="29"/>
  <c r="BG44" i="29" s="1"/>
  <c r="BA44" i="29" s="1"/>
  <c r="BC44" i="29"/>
  <c r="BF44" i="29" s="1"/>
  <c r="BD45" i="29"/>
  <c r="B49" i="39"/>
  <c r="C49" i="39" s="1"/>
  <c r="AA48" i="39"/>
  <c r="H34" i="40"/>
  <c r="G34" i="40"/>
  <c r="D34" i="40"/>
  <c r="I34" i="40"/>
  <c r="F34" i="40"/>
  <c r="J34" i="40"/>
  <c r="B314" i="15"/>
  <c r="C314" i="15" s="1"/>
  <c r="B189" i="39"/>
  <c r="C55" i="15"/>
  <c r="BH43" i="29"/>
  <c r="BB43" i="29" s="1"/>
  <c r="BZ43" i="29" s="1"/>
  <c r="AZ43" i="29"/>
  <c r="AB48" i="39"/>
  <c r="Z48" i="39"/>
  <c r="AG48" i="39"/>
  <c r="AF48" i="39"/>
  <c r="D48" i="39"/>
  <c r="AD48" i="39"/>
  <c r="A40" i="45" l="1"/>
  <c r="A41" i="44"/>
  <c r="B29" i="44"/>
  <c r="B29" i="45" s="1"/>
  <c r="Z41" i="29"/>
  <c r="CV37" i="29"/>
  <c r="CO37" i="29" s="1"/>
  <c r="CQ37" i="29" s="1"/>
  <c r="CX37" i="29"/>
  <c r="AK3" i="44"/>
  <c r="AF77" i="44"/>
  <c r="AF8" i="44"/>
  <c r="AE64" i="44"/>
  <c r="M24" i="44" s="1"/>
  <c r="G24" i="44" s="1"/>
  <c r="AI5" i="44"/>
  <c r="AK72" i="44"/>
  <c r="AH75" i="44"/>
  <c r="AB43" i="29"/>
  <c r="AW7" i="44"/>
  <c r="AW76" i="44"/>
  <c r="C175" i="15"/>
  <c r="W175" i="15"/>
  <c r="Y175" i="15"/>
  <c r="AY74" i="44"/>
  <c r="CC42" i="29"/>
  <c r="CT46" i="29"/>
  <c r="AX46" i="29"/>
  <c r="AW47" i="29"/>
  <c r="AP47" i="29"/>
  <c r="AV47" i="29" s="1"/>
  <c r="AR47" i="29" s="1"/>
  <c r="Q44" i="29"/>
  <c r="R44" i="29"/>
  <c r="CR43" i="29"/>
  <c r="CS43" i="29"/>
  <c r="CM43" i="29" s="1"/>
  <c r="CB43" i="29"/>
  <c r="BV43" i="29" s="1"/>
  <c r="M42" i="29"/>
  <c r="W42" i="29"/>
  <c r="Y42" i="29" s="1"/>
  <c r="Z42" i="29" s="1"/>
  <c r="CA43" i="29"/>
  <c r="BU43" i="29" s="1"/>
  <c r="AA42" i="29"/>
  <c r="BX46" i="29"/>
  <c r="Q43" i="29"/>
  <c r="X43" i="29" s="1"/>
  <c r="R43" i="29"/>
  <c r="J39" i="15"/>
  <c r="F41" i="39"/>
  <c r="E26" i="40"/>
  <c r="CL42" i="29"/>
  <c r="CW42" i="29"/>
  <c r="CH47" i="29"/>
  <c r="CI45" i="29"/>
  <c r="CE46" i="29"/>
  <c r="CF46" i="29"/>
  <c r="T45" i="29"/>
  <c r="V44" i="29"/>
  <c r="S45" i="29"/>
  <c r="AE44" i="29"/>
  <c r="AF44" i="29"/>
  <c r="L44" i="29"/>
  <c r="J45" i="29"/>
  <c r="AQ44" i="29"/>
  <c r="K45" i="29"/>
  <c r="BN47" i="29"/>
  <c r="BY46" i="29"/>
  <c r="BR46" i="29"/>
  <c r="BO47" i="29"/>
  <c r="AO48" i="29"/>
  <c r="AN48" i="29"/>
  <c r="B50" i="39"/>
  <c r="C50" i="39" s="1"/>
  <c r="AA49" i="39"/>
  <c r="BH44" i="29"/>
  <c r="BB44" i="29" s="1"/>
  <c r="BZ44" i="29" s="1"/>
  <c r="AZ44" i="29"/>
  <c r="B36" i="40"/>
  <c r="C36" i="40" s="1"/>
  <c r="B315" i="15"/>
  <c r="C315" i="15" s="1"/>
  <c r="D35" i="40"/>
  <c r="J35" i="40"/>
  <c r="H35" i="40"/>
  <c r="F35" i="40"/>
  <c r="I35" i="40"/>
  <c r="G35" i="40"/>
  <c r="AB49" i="39"/>
  <c r="Z49" i="39"/>
  <c r="AG49" i="39"/>
  <c r="D49" i="39"/>
  <c r="AF49" i="39"/>
  <c r="AD49" i="39"/>
  <c r="B56" i="15"/>
  <c r="C56" i="15" s="1"/>
  <c r="C189" i="39"/>
  <c r="BE45" i="29"/>
  <c r="BG45" i="29" s="1"/>
  <c r="BA45" i="29" s="1"/>
  <c r="CG45" i="29"/>
  <c r="BD46" i="29"/>
  <c r="BC45" i="29"/>
  <c r="BF45" i="29" s="1"/>
  <c r="BI45" i="29"/>
  <c r="BP45" i="29"/>
  <c r="A42" i="44" l="1"/>
  <c r="A41" i="45"/>
  <c r="B30" i="44"/>
  <c r="B30" i="45" s="1"/>
  <c r="CX38" i="29"/>
  <c r="CV38" i="29"/>
  <c r="CO38" i="29" s="1"/>
  <c r="CQ38" i="29" s="1"/>
  <c r="AI75" i="44"/>
  <c r="AJ5" i="44"/>
  <c r="AG77" i="44"/>
  <c r="AL72" i="44"/>
  <c r="AG8" i="44"/>
  <c r="AF64" i="44"/>
  <c r="M25" i="44" s="1"/>
  <c r="G25" i="44" s="1"/>
  <c r="AL3" i="44"/>
  <c r="AX76" i="44"/>
  <c r="AZ74" i="44"/>
  <c r="X175" i="15"/>
  <c r="B176" i="15"/>
  <c r="AX7" i="44"/>
  <c r="BX47" i="29"/>
  <c r="CT47" i="29"/>
  <c r="AX47" i="29"/>
  <c r="BN48" i="29"/>
  <c r="BO48" i="29"/>
  <c r="BY47" i="29"/>
  <c r="BR47" i="29"/>
  <c r="AQ45" i="29"/>
  <c r="J46" i="29"/>
  <c r="L45" i="29"/>
  <c r="K46" i="29"/>
  <c r="T46" i="29"/>
  <c r="S46" i="29"/>
  <c r="V45" i="29"/>
  <c r="AE45" i="29"/>
  <c r="AF45" i="29"/>
  <c r="F42" i="39"/>
  <c r="E27" i="40"/>
  <c r="J40" i="15"/>
  <c r="AW48" i="29"/>
  <c r="AP48" i="29"/>
  <c r="AV48" i="29" s="1"/>
  <c r="AR48" i="29" s="1"/>
  <c r="CP46" i="29"/>
  <c r="CE47" i="29"/>
  <c r="CF47" i="29"/>
  <c r="CI46" i="29"/>
  <c r="BQ48" i="29"/>
  <c r="BQ49" i="29" s="1"/>
  <c r="W43" i="29"/>
  <c r="Y43" i="29" s="1"/>
  <c r="Z43" i="29" s="1"/>
  <c r="M43" i="29"/>
  <c r="AA43" i="29"/>
  <c r="CS44" i="29"/>
  <c r="CM44" i="29" s="1"/>
  <c r="CR44" i="29"/>
  <c r="CB44" i="29"/>
  <c r="BV44" i="29" s="1"/>
  <c r="CA44" i="29"/>
  <c r="BU44" i="29" s="1"/>
  <c r="CL43" i="29"/>
  <c r="CW43" i="29"/>
  <c r="W44" i="29"/>
  <c r="CS45" i="29" s="1"/>
  <c r="CR45" i="29"/>
  <c r="AA44" i="29"/>
  <c r="CA45" i="29"/>
  <c r="BU45" i="29" s="1"/>
  <c r="CH48" i="29"/>
  <c r="AO49" i="29"/>
  <c r="AN49" i="29"/>
  <c r="U45" i="29"/>
  <c r="AC45" i="29" s="1"/>
  <c r="CC43" i="29"/>
  <c r="AB50" i="39"/>
  <c r="Z50" i="39"/>
  <c r="AF50" i="39"/>
  <c r="AG50" i="39"/>
  <c r="D50" i="39"/>
  <c r="AD50" i="39"/>
  <c r="BH45" i="29"/>
  <c r="BB45" i="29" s="1"/>
  <c r="AZ45" i="29"/>
  <c r="B190" i="39"/>
  <c r="C190" i="39" s="1"/>
  <c r="B57" i="15"/>
  <c r="C57" i="15" s="1"/>
  <c r="B316" i="15"/>
  <c r="C316" i="15" s="1"/>
  <c r="B37" i="40"/>
  <c r="C37" i="40" s="1"/>
  <c r="B51" i="39"/>
  <c r="C51" i="39" s="1"/>
  <c r="AA50" i="39"/>
  <c r="CG46" i="29"/>
  <c r="BE46" i="29"/>
  <c r="BG46" i="29" s="1"/>
  <c r="BA46" i="29" s="1"/>
  <c r="BC46" i="29"/>
  <c r="BF46" i="29" s="1"/>
  <c r="BD47" i="29"/>
  <c r="BP46" i="29"/>
  <c r="BZ45" i="29"/>
  <c r="J36" i="40"/>
  <c r="H36" i="40"/>
  <c r="G36" i="40"/>
  <c r="I36" i="40"/>
  <c r="F36" i="40"/>
  <c r="D36" i="40"/>
  <c r="A43" i="44" l="1"/>
  <c r="A42" i="45"/>
  <c r="B31" i="44"/>
  <c r="B31" i="45" s="1"/>
  <c r="CV39" i="29"/>
  <c r="CO39" i="29" s="1"/>
  <c r="CQ39" i="29" s="1"/>
  <c r="CX39" i="29"/>
  <c r="AM3" i="44"/>
  <c r="AM72" i="44"/>
  <c r="AK5" i="44"/>
  <c r="AH8" i="44"/>
  <c r="AG64" i="44"/>
  <c r="M26" i="44" s="1"/>
  <c r="G26" i="44" s="1"/>
  <c r="AH77" i="44"/>
  <c r="AJ75" i="44"/>
  <c r="AB45" i="29"/>
  <c r="BA74" i="44"/>
  <c r="C176" i="15"/>
  <c r="Y176" i="15"/>
  <c r="W176" i="15"/>
  <c r="AY7" i="44"/>
  <c r="AY76" i="44"/>
  <c r="CB45" i="29"/>
  <c r="BV45" i="29" s="1"/>
  <c r="CP47" i="29"/>
  <c r="CF48" i="29"/>
  <c r="CI47" i="29"/>
  <c r="CE48" i="29"/>
  <c r="CT48" i="29"/>
  <c r="AX48" i="29"/>
  <c r="V46" i="29"/>
  <c r="T47" i="29"/>
  <c r="S47" i="29"/>
  <c r="AE46" i="29"/>
  <c r="AF46" i="29"/>
  <c r="BX48" i="29"/>
  <c r="CL44" i="29"/>
  <c r="CW44" i="29"/>
  <c r="J47" i="29"/>
  <c r="L46" i="29"/>
  <c r="K47" i="29"/>
  <c r="AQ46" i="29"/>
  <c r="AW49" i="29"/>
  <c r="AP49" i="29"/>
  <c r="AV49" i="29" s="1"/>
  <c r="AR49" i="29" s="1"/>
  <c r="CT45" i="29"/>
  <c r="CC44" i="29"/>
  <c r="E28" i="40"/>
  <c r="J41" i="15"/>
  <c r="F43" i="39"/>
  <c r="Q45" i="29"/>
  <c r="R45" i="29"/>
  <c r="AN50" i="29"/>
  <c r="AO50" i="29"/>
  <c r="U46" i="29"/>
  <c r="AC46" i="29" s="1"/>
  <c r="BO49" i="29"/>
  <c r="BN49" i="29"/>
  <c r="BR48" i="29"/>
  <c r="BY48" i="29"/>
  <c r="BH46" i="29"/>
  <c r="BB46" i="29" s="1"/>
  <c r="BZ46" i="29" s="1"/>
  <c r="AZ46" i="29"/>
  <c r="B317" i="15"/>
  <c r="C317" i="15" s="1"/>
  <c r="B58" i="15"/>
  <c r="C58" i="15" s="1"/>
  <c r="B191" i="39"/>
  <c r="C191" i="39" s="1"/>
  <c r="BY45" i="29"/>
  <c r="BW45" i="29" s="1"/>
  <c r="AB51" i="39"/>
  <c r="Z51" i="39"/>
  <c r="AD51" i="39"/>
  <c r="AG51" i="39"/>
  <c r="D51" i="39"/>
  <c r="AF51" i="39"/>
  <c r="B38" i="40"/>
  <c r="BE47" i="29"/>
  <c r="BG47" i="29" s="1"/>
  <c r="BA47" i="29" s="1"/>
  <c r="CG47" i="29"/>
  <c r="BC47" i="29"/>
  <c r="BF47" i="29" s="1"/>
  <c r="BP47" i="29"/>
  <c r="BD48" i="29"/>
  <c r="AA51" i="39"/>
  <c r="B52" i="39"/>
  <c r="C52" i="39" s="1"/>
  <c r="I37" i="40"/>
  <c r="H37" i="40"/>
  <c r="G37" i="40"/>
  <c r="F37" i="40"/>
  <c r="J37" i="40"/>
  <c r="D37" i="40"/>
  <c r="A43" i="45" l="1"/>
  <c r="A44" i="44"/>
  <c r="B32" i="44"/>
  <c r="B32" i="45" s="1"/>
  <c r="CV40" i="29"/>
  <c r="CO40" i="29" s="1"/>
  <c r="CQ40" i="29" s="1"/>
  <c r="CX40" i="29"/>
  <c r="AK75" i="44"/>
  <c r="AI8" i="44"/>
  <c r="AH64" i="44"/>
  <c r="M27" i="44" s="1"/>
  <c r="G27" i="44" s="1"/>
  <c r="AN72" i="44"/>
  <c r="AI77" i="44"/>
  <c r="AL5" i="44"/>
  <c r="AN3" i="44"/>
  <c r="X176" i="15"/>
  <c r="B177" i="15"/>
  <c r="AZ76" i="44"/>
  <c r="BB74" i="44"/>
  <c r="AZ7" i="44"/>
  <c r="AB46" i="29"/>
  <c r="CC45" i="29"/>
  <c r="AN51" i="29"/>
  <c r="AO51" i="29"/>
  <c r="CS46" i="29"/>
  <c r="CM46" i="29" s="1"/>
  <c r="M45" i="29"/>
  <c r="CB46" i="29"/>
  <c r="BV46" i="29" s="1"/>
  <c r="AA45" i="29"/>
  <c r="W45" i="29"/>
  <c r="Y45" i="29" s="1"/>
  <c r="CR46" i="29"/>
  <c r="CA46" i="29"/>
  <c r="BU46" i="29" s="1"/>
  <c r="CM45" i="29"/>
  <c r="CW45" i="29"/>
  <c r="CI48" i="29"/>
  <c r="CF49" i="29"/>
  <c r="CE49" i="29"/>
  <c r="CP48" i="29"/>
  <c r="BX49" i="29"/>
  <c r="E29" i="40"/>
  <c r="F44" i="39"/>
  <c r="CL45" i="29"/>
  <c r="AQ47" i="29"/>
  <c r="J48" i="29"/>
  <c r="K48" i="29"/>
  <c r="L47" i="29"/>
  <c r="U47" i="29"/>
  <c r="AC47" i="29" s="1"/>
  <c r="BN50" i="29"/>
  <c r="BR49" i="29"/>
  <c r="BO50" i="29"/>
  <c r="BY49" i="29"/>
  <c r="X45" i="29"/>
  <c r="BQ50" i="29"/>
  <c r="T48" i="29"/>
  <c r="S48" i="29"/>
  <c r="V47" i="29"/>
  <c r="AE47" i="29"/>
  <c r="AF47" i="29"/>
  <c r="CH49" i="29"/>
  <c r="CH50" i="29" s="1"/>
  <c r="AW50" i="29"/>
  <c r="AP50" i="29"/>
  <c r="AV50" i="29" s="1"/>
  <c r="AR50" i="29" s="1"/>
  <c r="Q46" i="29"/>
  <c r="R46" i="29"/>
  <c r="CT49" i="29"/>
  <c r="AX49" i="29"/>
  <c r="AA52" i="39"/>
  <c r="B53" i="39"/>
  <c r="C53" i="39" s="1"/>
  <c r="BT45" i="29"/>
  <c r="M44" i="29" s="1"/>
  <c r="BS45" i="29"/>
  <c r="B192" i="39"/>
  <c r="C192" i="39" s="1"/>
  <c r="BP48" i="29"/>
  <c r="BE48" i="29"/>
  <c r="BG48" i="29" s="1"/>
  <c r="BA48" i="29" s="1"/>
  <c r="BD49" i="29"/>
  <c r="BC48" i="29"/>
  <c r="BF48" i="29" s="1"/>
  <c r="CG48" i="29"/>
  <c r="C38" i="40"/>
  <c r="B318" i="15"/>
  <c r="C318" i="15" s="1"/>
  <c r="Z52" i="39"/>
  <c r="AB52" i="39"/>
  <c r="AF52" i="39"/>
  <c r="AG52" i="39"/>
  <c r="AD52" i="39"/>
  <c r="D52" i="39"/>
  <c r="AZ47" i="29"/>
  <c r="BH47" i="29"/>
  <c r="BB47" i="29" s="1"/>
  <c r="BZ47" i="29" s="1"/>
  <c r="I38" i="40"/>
  <c r="D38" i="40"/>
  <c r="G38" i="40"/>
  <c r="H38" i="40"/>
  <c r="J38" i="40"/>
  <c r="F38" i="40"/>
  <c r="B59" i="15"/>
  <c r="C59" i="15" s="1"/>
  <c r="A44" i="45" l="1"/>
  <c r="A45" i="44"/>
  <c r="B33" i="44"/>
  <c r="B33" i="45" s="1"/>
  <c r="CV41" i="29"/>
  <c r="CO41" i="29" s="1"/>
  <c r="CQ41" i="29" s="1"/>
  <c r="CX41" i="29"/>
  <c r="AO3" i="44"/>
  <c r="AJ77" i="44"/>
  <c r="AJ8" i="44"/>
  <c r="AM5" i="44"/>
  <c r="AO72" i="44"/>
  <c r="AL75" i="44"/>
  <c r="BA76" i="44"/>
  <c r="C177" i="15"/>
  <c r="Y177" i="15"/>
  <c r="W177" i="15"/>
  <c r="CC46" i="29"/>
  <c r="BA7" i="44"/>
  <c r="BC74" i="44"/>
  <c r="AB47" i="29"/>
  <c r="W46" i="29"/>
  <c r="Y46" i="29" s="1"/>
  <c r="CR47" i="29"/>
  <c r="M46" i="29"/>
  <c r="AA46" i="29"/>
  <c r="CA47" i="29"/>
  <c r="BU47" i="29" s="1"/>
  <c r="CB47" i="29"/>
  <c r="BV47" i="29" s="1"/>
  <c r="CS47" i="29"/>
  <c r="CM47" i="29" s="1"/>
  <c r="BN51" i="29"/>
  <c r="BY50" i="29"/>
  <c r="BR50" i="29"/>
  <c r="BO51" i="29"/>
  <c r="F45" i="39"/>
  <c r="E30" i="40"/>
  <c r="CH51" i="29"/>
  <c r="U48" i="29"/>
  <c r="AB48" i="29" s="1"/>
  <c r="CI49" i="29"/>
  <c r="CF50" i="29"/>
  <c r="CP49" i="29"/>
  <c r="CE50" i="29"/>
  <c r="CT50" i="29"/>
  <c r="AX50" i="29"/>
  <c r="CL46" i="29"/>
  <c r="CW46" i="29"/>
  <c r="T49" i="29"/>
  <c r="V48" i="29"/>
  <c r="S49" i="29"/>
  <c r="AF48" i="29"/>
  <c r="AE48" i="29"/>
  <c r="BX50" i="29"/>
  <c r="AN52" i="29"/>
  <c r="AO52" i="29"/>
  <c r="X46" i="29"/>
  <c r="BQ51" i="29"/>
  <c r="BQ52" i="29" s="1"/>
  <c r="Q47" i="29"/>
  <c r="R47" i="29"/>
  <c r="J49" i="29"/>
  <c r="L48" i="29"/>
  <c r="K49" i="29"/>
  <c r="AQ48" i="29"/>
  <c r="AW51" i="29"/>
  <c r="AP51" i="29"/>
  <c r="AV51" i="29" s="1"/>
  <c r="AR51" i="29" s="1"/>
  <c r="B319" i="15"/>
  <c r="C319" i="15" s="1"/>
  <c r="B39" i="40"/>
  <c r="C39" i="40" s="1"/>
  <c r="AZ48" i="29"/>
  <c r="BH48" i="29"/>
  <c r="BB48" i="29" s="1"/>
  <c r="BZ48" i="29" s="1"/>
  <c r="H13" i="29"/>
  <c r="K6" i="40" s="1"/>
  <c r="X44" i="29"/>
  <c r="Y44" i="29" s="1"/>
  <c r="AA53" i="39"/>
  <c r="B54" i="39"/>
  <c r="C54" i="39" s="1"/>
  <c r="B60" i="15"/>
  <c r="C60" i="15" s="1"/>
  <c r="BP49" i="29"/>
  <c r="CG49" i="29"/>
  <c r="BD50" i="29"/>
  <c r="BE49" i="29"/>
  <c r="BG49" i="29" s="1"/>
  <c r="BA49" i="29" s="1"/>
  <c r="BC49" i="29"/>
  <c r="BF49" i="29" s="1"/>
  <c r="B193" i="39"/>
  <c r="C193" i="39" s="1"/>
  <c r="Z53" i="39"/>
  <c r="AB53" i="39"/>
  <c r="D53" i="39"/>
  <c r="AD53" i="39"/>
  <c r="AF53" i="39"/>
  <c r="AG53" i="39"/>
  <c r="A45" i="45" l="1"/>
  <c r="A46" i="44"/>
  <c r="B34" i="44"/>
  <c r="B34" i="45" s="1"/>
  <c r="CV42" i="29"/>
  <c r="CO42" i="29" s="1"/>
  <c r="CQ42" i="29" s="1"/>
  <c r="CX42" i="29"/>
  <c r="AM75" i="44"/>
  <c r="AN5" i="44"/>
  <c r="AK77" i="44"/>
  <c r="AP72" i="44"/>
  <c r="AK8" i="44"/>
  <c r="AP3" i="44"/>
  <c r="G13" i="29"/>
  <c r="BB7" i="44"/>
  <c r="X177" i="15"/>
  <c r="B178" i="15"/>
  <c r="BD74" i="44"/>
  <c r="BB76" i="44"/>
  <c r="AC48" i="29"/>
  <c r="CS48" i="29"/>
  <c r="CM48" i="29" s="1"/>
  <c r="CR48" i="29"/>
  <c r="CB48" i="29"/>
  <c r="BV48" i="29" s="1"/>
  <c r="AA47" i="29"/>
  <c r="M47" i="29"/>
  <c r="W47" i="29"/>
  <c r="Y47" i="29" s="1"/>
  <c r="CA48" i="29"/>
  <c r="BU48" i="29" s="1"/>
  <c r="AW52" i="29"/>
  <c r="AP52" i="29"/>
  <c r="AV52" i="29" s="1"/>
  <c r="AR52" i="29" s="1"/>
  <c r="CT51" i="29"/>
  <c r="AX51" i="29"/>
  <c r="BQ53" i="29"/>
  <c r="U49" i="29"/>
  <c r="E31" i="40"/>
  <c r="F46" i="39"/>
  <c r="CL47" i="29"/>
  <c r="CW47" i="29"/>
  <c r="BX51" i="29"/>
  <c r="L49" i="29"/>
  <c r="AQ49" i="29"/>
  <c r="K50" i="29"/>
  <c r="J50" i="29"/>
  <c r="X47" i="29"/>
  <c r="AN53" i="29"/>
  <c r="AO53" i="29"/>
  <c r="T50" i="29"/>
  <c r="V49" i="29"/>
  <c r="S50" i="29"/>
  <c r="AF49" i="29"/>
  <c r="AE49" i="29"/>
  <c r="CE51" i="29"/>
  <c r="CI50" i="29"/>
  <c r="CF51" i="29"/>
  <c r="CP50" i="29"/>
  <c r="Q48" i="29"/>
  <c r="R48" i="29"/>
  <c r="BR51" i="29"/>
  <c r="BO52" i="29"/>
  <c r="BY51" i="29"/>
  <c r="BN52" i="29"/>
  <c r="CC47" i="29"/>
  <c r="B61" i="15"/>
  <c r="C61" i="15" s="1"/>
  <c r="AB54" i="39"/>
  <c r="Z54" i="39"/>
  <c r="D54" i="39"/>
  <c r="AG54" i="39"/>
  <c r="AD54" i="39"/>
  <c r="AF54" i="39"/>
  <c r="AZ49" i="29"/>
  <c r="BH49" i="29"/>
  <c r="BB49" i="29" s="1"/>
  <c r="BZ49" i="29" s="1"/>
  <c r="M6" i="40"/>
  <c r="H153" i="15" s="1"/>
  <c r="AI22" i="39"/>
  <c r="Z44" i="29"/>
  <c r="B40" i="40"/>
  <c r="C40" i="40" s="1"/>
  <c r="B320" i="15"/>
  <c r="C320" i="15" s="1"/>
  <c r="B194" i="39"/>
  <c r="C194" i="39" s="1"/>
  <c r="BE50" i="29"/>
  <c r="BG50" i="29" s="1"/>
  <c r="BA50" i="29" s="1"/>
  <c r="CG50" i="29"/>
  <c r="BC50" i="29"/>
  <c r="BF50" i="29" s="1"/>
  <c r="BD51" i="29"/>
  <c r="BP50" i="29"/>
  <c r="AA54" i="39"/>
  <c r="B55" i="39"/>
  <c r="C55" i="39" s="1"/>
  <c r="G20" i="15"/>
  <c r="D153" i="15"/>
  <c r="I22" i="39"/>
  <c r="D39" i="40"/>
  <c r="H39" i="40"/>
  <c r="F39" i="40"/>
  <c r="J39" i="40"/>
  <c r="G39" i="40"/>
  <c r="I39" i="40"/>
  <c r="A47" i="44" l="1"/>
  <c r="A46" i="45"/>
  <c r="B35" i="44"/>
  <c r="B35" i="45" s="1"/>
  <c r="CX43" i="29"/>
  <c r="CV43" i="29"/>
  <c r="CO43" i="29" s="1"/>
  <c r="CQ43" i="29" s="1"/>
  <c r="AQ3" i="44"/>
  <c r="AQ72" i="44"/>
  <c r="AO5" i="44"/>
  <c r="AL8" i="44"/>
  <c r="AL77" i="44"/>
  <c r="AN75" i="44"/>
  <c r="BE74" i="44"/>
  <c r="BC76" i="44"/>
  <c r="C178" i="15"/>
  <c r="W178" i="15"/>
  <c r="Y178" i="15"/>
  <c r="BC7" i="44"/>
  <c r="CR49" i="29"/>
  <c r="CA49" i="29"/>
  <c r="BU49" i="29" s="1"/>
  <c r="M48" i="29"/>
  <c r="AA48" i="29"/>
  <c r="CS49" i="29"/>
  <c r="CM49" i="29" s="1"/>
  <c r="CB49" i="29"/>
  <c r="BV49" i="29" s="1"/>
  <c r="W48" i="29"/>
  <c r="Y48" i="29" s="1"/>
  <c r="BX52" i="29"/>
  <c r="S51" i="29"/>
  <c r="V50" i="29"/>
  <c r="T51" i="29"/>
  <c r="AF50" i="29"/>
  <c r="AE50" i="29"/>
  <c r="Q49" i="29"/>
  <c r="R49" i="29"/>
  <c r="CL48" i="29"/>
  <c r="CW48" i="29"/>
  <c r="CI51" i="29"/>
  <c r="CF52" i="29"/>
  <c r="CE52" i="29"/>
  <c r="CP51" i="29"/>
  <c r="AO54" i="29"/>
  <c r="AN54" i="29"/>
  <c r="CH52" i="29"/>
  <c r="CH53" i="29" s="1"/>
  <c r="AC49" i="29"/>
  <c r="CT52" i="29"/>
  <c r="AX52" i="29"/>
  <c r="BR52" i="29"/>
  <c r="BO53" i="29"/>
  <c r="BQ54" i="29" s="1"/>
  <c r="BN53" i="29"/>
  <c r="BY52" i="29"/>
  <c r="X48" i="29"/>
  <c r="U50" i="29"/>
  <c r="AB50" i="29" s="1"/>
  <c r="AW53" i="29"/>
  <c r="AP53" i="29"/>
  <c r="AV53" i="29" s="1"/>
  <c r="AR53" i="29" s="1"/>
  <c r="K51" i="29"/>
  <c r="AQ50" i="29"/>
  <c r="J51" i="29"/>
  <c r="L50" i="29"/>
  <c r="E32" i="40"/>
  <c r="F47" i="39"/>
  <c r="AB49" i="29"/>
  <c r="CC48" i="29"/>
  <c r="B321" i="15"/>
  <c r="C321" i="15" s="1"/>
  <c r="Z45" i="29"/>
  <c r="Z46" i="29" s="1"/>
  <c r="Z47" i="29" s="1"/>
  <c r="AC44" i="29"/>
  <c r="AB44" i="29"/>
  <c r="N6" i="40"/>
  <c r="AB55" i="39"/>
  <c r="Z55" i="39"/>
  <c r="AG55" i="39"/>
  <c r="D55" i="39"/>
  <c r="AF55" i="39"/>
  <c r="AD55" i="39"/>
  <c r="BP51" i="29"/>
  <c r="BC51" i="29"/>
  <c r="BF51" i="29" s="1"/>
  <c r="CG51" i="29"/>
  <c r="BE51" i="29"/>
  <c r="BG51" i="29" s="1"/>
  <c r="BA51" i="29" s="1"/>
  <c r="BD52" i="29"/>
  <c r="B195" i="39"/>
  <c r="C195" i="39" s="1"/>
  <c r="B41" i="40"/>
  <c r="AZ50" i="29"/>
  <c r="BH50" i="29"/>
  <c r="BB50" i="29" s="1"/>
  <c r="BZ50" i="29" s="1"/>
  <c r="H40" i="40"/>
  <c r="G40" i="40"/>
  <c r="J40" i="40"/>
  <c r="I40" i="40"/>
  <c r="D40" i="40"/>
  <c r="F40" i="40"/>
  <c r="B62" i="15"/>
  <c r="C62" i="15" s="1"/>
  <c r="B56" i="39"/>
  <c r="AA55" i="39"/>
  <c r="A48" i="44" l="1"/>
  <c r="A47" i="45"/>
  <c r="B36" i="44"/>
  <c r="B36" i="45" s="1"/>
  <c r="CV44" i="29"/>
  <c r="CO44" i="29" s="1"/>
  <c r="CQ44" i="29" s="1"/>
  <c r="CP45" i="29" s="1"/>
  <c r="CN45" i="29" s="1"/>
  <c r="CJ45" i="29" s="1"/>
  <c r="AJ13" i="29" s="1"/>
  <c r="AK13" i="29" s="1"/>
  <c r="CX44" i="29"/>
  <c r="AO75" i="44"/>
  <c r="AM8" i="44"/>
  <c r="AR72" i="44"/>
  <c r="AM77" i="44"/>
  <c r="AP5" i="44"/>
  <c r="AR3" i="44"/>
  <c r="BD76" i="44"/>
  <c r="BD7" i="44"/>
  <c r="X178" i="15"/>
  <c r="B179" i="15"/>
  <c r="BF74" i="44"/>
  <c r="CC49" i="29"/>
  <c r="AN55" i="29"/>
  <c r="AO55" i="29"/>
  <c r="T52" i="29"/>
  <c r="V51" i="29"/>
  <c r="S52" i="29"/>
  <c r="AF51" i="29"/>
  <c r="AE51" i="29"/>
  <c r="Q50" i="29"/>
  <c r="X50" i="29" s="1"/>
  <c r="R50" i="29"/>
  <c r="L51" i="29"/>
  <c r="K52" i="29"/>
  <c r="J52" i="29"/>
  <c r="AQ51" i="29"/>
  <c r="BX53" i="29"/>
  <c r="U51" i="29"/>
  <c r="CL49" i="29"/>
  <c r="CW49" i="29"/>
  <c r="CT53" i="29"/>
  <c r="AX53" i="29"/>
  <c r="CB50" i="29"/>
  <c r="BV50" i="29" s="1"/>
  <c r="CS50" i="29"/>
  <c r="CM50" i="29" s="1"/>
  <c r="W49" i="29"/>
  <c r="Y49" i="29" s="1"/>
  <c r="AA49" i="29"/>
  <c r="M49" i="29"/>
  <c r="CA50" i="29"/>
  <c r="BU50" i="29" s="1"/>
  <c r="CR50" i="29"/>
  <c r="Z48" i="29"/>
  <c r="F48" i="39"/>
  <c r="E33" i="40"/>
  <c r="AC50" i="29"/>
  <c r="BO54" i="29"/>
  <c r="BY53" i="29"/>
  <c r="BN54" i="29"/>
  <c r="BR53" i="29"/>
  <c r="AW54" i="29"/>
  <c r="AP54" i="29"/>
  <c r="AV54" i="29" s="1"/>
  <c r="AR54" i="29" s="1"/>
  <c r="CF53" i="29"/>
  <c r="CP52" i="29"/>
  <c r="CI52" i="29"/>
  <c r="CE53" i="29"/>
  <c r="X49" i="29"/>
  <c r="D41" i="40"/>
  <c r="F41" i="40"/>
  <c r="J41" i="40"/>
  <c r="I41" i="40"/>
  <c r="H41" i="40"/>
  <c r="G41" i="40"/>
  <c r="Z56" i="39"/>
  <c r="AB56" i="39"/>
  <c r="AD56" i="39"/>
  <c r="AF56" i="39"/>
  <c r="AG56" i="39"/>
  <c r="D56" i="39"/>
  <c r="B63" i="15"/>
  <c r="C63" i="15" s="1"/>
  <c r="BH51" i="29"/>
  <c r="BB51" i="29" s="1"/>
  <c r="BZ51" i="29" s="1"/>
  <c r="AZ51" i="29"/>
  <c r="B322" i="15"/>
  <c r="C322" i="15" s="1"/>
  <c r="C56" i="39"/>
  <c r="C41" i="40"/>
  <c r="BP52" i="29"/>
  <c r="BD53" i="29"/>
  <c r="CG52" i="29"/>
  <c r="BE52" i="29"/>
  <c r="BG52" i="29" s="1"/>
  <c r="BA52" i="29" s="1"/>
  <c r="BC52" i="29"/>
  <c r="BF52" i="29" s="1"/>
  <c r="R6" i="40"/>
  <c r="AK22" i="39"/>
  <c r="G123" i="40"/>
  <c r="O22" i="39"/>
  <c r="J153" i="15"/>
  <c r="Q6" i="40"/>
  <c r="AJ22" i="39"/>
  <c r="B196" i="39"/>
  <c r="C196" i="39" s="1"/>
  <c r="A49" i="44" l="1"/>
  <c r="A48" i="45"/>
  <c r="B37" i="44"/>
  <c r="B37" i="45" s="1"/>
  <c r="CX45" i="29"/>
  <c r="CV45" i="29"/>
  <c r="AS3" i="44"/>
  <c r="AN77" i="44"/>
  <c r="AN8" i="44"/>
  <c r="AQ5" i="44"/>
  <c r="AS72" i="44"/>
  <c r="AP75" i="44"/>
  <c r="C179" i="15"/>
  <c r="Y179" i="15"/>
  <c r="W179" i="15"/>
  <c r="BE7" i="44"/>
  <c r="BG74" i="44"/>
  <c r="BE76" i="44"/>
  <c r="CT54" i="29"/>
  <c r="AX54" i="29"/>
  <c r="BY54" i="29"/>
  <c r="BR54" i="29"/>
  <c r="BO55" i="29"/>
  <c r="BN55" i="29"/>
  <c r="Z49" i="29"/>
  <c r="R51" i="29"/>
  <c r="Q51" i="29"/>
  <c r="K53" i="29"/>
  <c r="L52" i="29"/>
  <c r="AQ52" i="29"/>
  <c r="J53" i="29"/>
  <c r="V52" i="29"/>
  <c r="T53" i="29"/>
  <c r="S53" i="29"/>
  <c r="AE52" i="29"/>
  <c r="AF52" i="29"/>
  <c r="AC51" i="29"/>
  <c r="CR51" i="29"/>
  <c r="CA51" i="29"/>
  <c r="BU51" i="29" s="1"/>
  <c r="CB51" i="29"/>
  <c r="BV51" i="29" s="1"/>
  <c r="AA50" i="29"/>
  <c r="CS51" i="29"/>
  <c r="CM51" i="29" s="1"/>
  <c r="M50" i="29"/>
  <c r="W50" i="29"/>
  <c r="Y50" i="29" s="1"/>
  <c r="AN56" i="29"/>
  <c r="AO56" i="29"/>
  <c r="CL50" i="29"/>
  <c r="CW50" i="29"/>
  <c r="CE54" i="29"/>
  <c r="CP53" i="29"/>
  <c r="CF54" i="29"/>
  <c r="CI53" i="29"/>
  <c r="BX54" i="29"/>
  <c r="E34" i="40"/>
  <c r="F49" i="39"/>
  <c r="CC50" i="29"/>
  <c r="AB51" i="29"/>
  <c r="CH54" i="29"/>
  <c r="CH55" i="29" s="1"/>
  <c r="U52" i="29"/>
  <c r="AW55" i="29"/>
  <c r="AP55" i="29"/>
  <c r="AV55" i="29" s="1"/>
  <c r="AR55" i="29" s="1"/>
  <c r="BQ55" i="29"/>
  <c r="B64" i="15"/>
  <c r="C64" i="15" s="1"/>
  <c r="BD54" i="29"/>
  <c r="BP53" i="29"/>
  <c r="BE53" i="29"/>
  <c r="BG53" i="29" s="1"/>
  <c r="BA53" i="29" s="1"/>
  <c r="BC53" i="29"/>
  <c r="BF53" i="29" s="1"/>
  <c r="CG53" i="29"/>
  <c r="I123" i="40"/>
  <c r="V6" i="40"/>
  <c r="N153" i="15"/>
  <c r="H123" i="40"/>
  <c r="U6" i="40"/>
  <c r="Z6" i="40"/>
  <c r="Y6" i="40" s="1"/>
  <c r="L153" i="15"/>
  <c r="BH52" i="29"/>
  <c r="BB52" i="29" s="1"/>
  <c r="BZ52" i="29" s="1"/>
  <c r="AZ52" i="29"/>
  <c r="B197" i="39"/>
  <c r="C197" i="39" s="1"/>
  <c r="B42" i="40"/>
  <c r="B323" i="15"/>
  <c r="C323" i="15" s="1"/>
  <c r="AA56" i="39"/>
  <c r="B57" i="39"/>
  <c r="C57" i="39" s="1"/>
  <c r="A50" i="44" l="1"/>
  <c r="A49" i="45"/>
  <c r="B38" i="44"/>
  <c r="B38" i="45" s="1"/>
  <c r="CO45" i="29"/>
  <c r="CQ45" i="29" s="1"/>
  <c r="CK45" i="29"/>
  <c r="AR44" i="29" s="1"/>
  <c r="AL13" i="29" s="1"/>
  <c r="CV46" i="29"/>
  <c r="CO46" i="29" s="1"/>
  <c r="CQ46" i="29" s="1"/>
  <c r="CX46" i="29"/>
  <c r="AQ75" i="44"/>
  <c r="AR5" i="44"/>
  <c r="AO77" i="44"/>
  <c r="AT72" i="44"/>
  <c r="AO8" i="44"/>
  <c r="AT3" i="44"/>
  <c r="BF76" i="44"/>
  <c r="BH74" i="44"/>
  <c r="BF7" i="44"/>
  <c r="X179" i="15"/>
  <c r="B180" i="15"/>
  <c r="Q52" i="29"/>
  <c r="X52" i="29" s="1"/>
  <c r="R52" i="29"/>
  <c r="CT55" i="29"/>
  <c r="AX55" i="29"/>
  <c r="CC51" i="29"/>
  <c r="V53" i="29"/>
  <c r="T54" i="29"/>
  <c r="S54" i="29"/>
  <c r="AF53" i="29"/>
  <c r="AE53" i="29"/>
  <c r="W51" i="29"/>
  <c r="Y51" i="29" s="1"/>
  <c r="CS52" i="29"/>
  <c r="CM52" i="29" s="1"/>
  <c r="CB52" i="29"/>
  <c r="BV52" i="29" s="1"/>
  <c r="M51" i="29"/>
  <c r="CR52" i="29"/>
  <c r="CA52" i="29"/>
  <c r="BU52" i="29" s="1"/>
  <c r="AA51" i="29"/>
  <c r="BX55" i="29"/>
  <c r="BQ56" i="29"/>
  <c r="AC52" i="29"/>
  <c r="AN57" i="29"/>
  <c r="AO57" i="29"/>
  <c r="K54" i="29"/>
  <c r="L53" i="29"/>
  <c r="AQ53" i="29"/>
  <c r="J54" i="29"/>
  <c r="BR55" i="29"/>
  <c r="BN56" i="29"/>
  <c r="BY55" i="29"/>
  <c r="BO56" i="29"/>
  <c r="AB52" i="29"/>
  <c r="E35" i="40"/>
  <c r="F50" i="39"/>
  <c r="CI54" i="29"/>
  <c r="CE55" i="29"/>
  <c r="CP54" i="29"/>
  <c r="CF55" i="29"/>
  <c r="AW56" i="29"/>
  <c r="AP56" i="29"/>
  <c r="AV56" i="29" s="1"/>
  <c r="CL51" i="29"/>
  <c r="CW51" i="29"/>
  <c r="U53" i="29"/>
  <c r="X51" i="29"/>
  <c r="Z50" i="29"/>
  <c r="B324" i="15"/>
  <c r="C324" i="15" s="1"/>
  <c r="B198" i="39"/>
  <c r="C198" i="39" s="1"/>
  <c r="S153" i="15"/>
  <c r="U22" i="39"/>
  <c r="I6" i="44" s="1"/>
  <c r="B65" i="15"/>
  <c r="C65" i="15" s="1"/>
  <c r="Z57" i="39"/>
  <c r="AB57" i="39"/>
  <c r="AF57" i="39"/>
  <c r="D57" i="39"/>
  <c r="AG57" i="39"/>
  <c r="AD57" i="39"/>
  <c r="C42" i="40"/>
  <c r="P153" i="15"/>
  <c r="R22" i="39"/>
  <c r="I42" i="40"/>
  <c r="F42" i="40"/>
  <c r="J42" i="40"/>
  <c r="D42" i="40"/>
  <c r="G42" i="40"/>
  <c r="H42" i="40"/>
  <c r="BP54" i="29"/>
  <c r="CG54" i="29"/>
  <c r="BE54" i="29"/>
  <c r="BG54" i="29" s="1"/>
  <c r="BA54" i="29" s="1"/>
  <c r="BD55" i="29"/>
  <c r="BC54" i="29"/>
  <c r="BF54" i="29" s="1"/>
  <c r="AA57" i="39"/>
  <c r="B58" i="39"/>
  <c r="C58" i="39" s="1"/>
  <c r="AZ53" i="29"/>
  <c r="BH53" i="29"/>
  <c r="BB53" i="29" s="1"/>
  <c r="BZ53" i="29" s="1"/>
  <c r="A51" i="44" l="1"/>
  <c r="A50" i="45"/>
  <c r="N75" i="44"/>
  <c r="E6" i="45"/>
  <c r="B39" i="44"/>
  <c r="B39" i="45" s="1"/>
  <c r="CX47" i="29"/>
  <c r="CV47" i="29"/>
  <c r="CO47" i="29" s="1"/>
  <c r="CQ47" i="29" s="1"/>
  <c r="AU3" i="44"/>
  <c r="AU72" i="44"/>
  <c r="AS5" i="44"/>
  <c r="AP8" i="44"/>
  <c r="AP77" i="44"/>
  <c r="AR75" i="44"/>
  <c r="BI74" i="44"/>
  <c r="C180" i="15"/>
  <c r="Y180" i="15"/>
  <c r="W180" i="15"/>
  <c r="BG7" i="44"/>
  <c r="BG76" i="44"/>
  <c r="CC52" i="29"/>
  <c r="CE56" i="29"/>
  <c r="CP55" i="29"/>
  <c r="CI55" i="29"/>
  <c r="CF56" i="29"/>
  <c r="AW57" i="29"/>
  <c r="AP57" i="29"/>
  <c r="AV57" i="29" s="1"/>
  <c r="AR57" i="29" s="1"/>
  <c r="S55" i="29"/>
  <c r="T55" i="29"/>
  <c r="V54" i="29"/>
  <c r="AE54" i="29"/>
  <c r="AF54" i="29"/>
  <c r="Q53" i="29"/>
  <c r="X53" i="29" s="1"/>
  <c r="R53" i="29"/>
  <c r="E36" i="40"/>
  <c r="F51" i="39"/>
  <c r="BO57" i="29"/>
  <c r="BN57" i="29"/>
  <c r="BR56" i="29"/>
  <c r="BY56" i="29"/>
  <c r="AC53" i="29"/>
  <c r="CB53" i="29"/>
  <c r="BV53" i="29" s="1"/>
  <c r="CA53" i="29"/>
  <c r="BU53" i="29" s="1"/>
  <c r="M52" i="29"/>
  <c r="AA52" i="29"/>
  <c r="CS53" i="29"/>
  <c r="CM53" i="29" s="1"/>
  <c r="CR53" i="29"/>
  <c r="W52" i="29"/>
  <c r="Y52" i="29" s="1"/>
  <c r="CL52" i="29"/>
  <c r="CW52" i="29"/>
  <c r="AQ54" i="29"/>
  <c r="L54" i="29"/>
  <c r="J55" i="29"/>
  <c r="K55" i="29"/>
  <c r="CH56" i="29"/>
  <c r="CH57" i="29" s="1"/>
  <c r="Z51" i="29"/>
  <c r="AB53" i="29"/>
  <c r="CT56" i="29"/>
  <c r="AX56" i="29"/>
  <c r="BX56" i="29"/>
  <c r="AN58" i="29"/>
  <c r="AO58" i="29"/>
  <c r="BQ57" i="29"/>
  <c r="BQ58" i="29" s="1"/>
  <c r="U54" i="29"/>
  <c r="AC54" i="29" s="1"/>
  <c r="AZ54" i="29"/>
  <c r="BH54" i="29"/>
  <c r="BB54" i="29" s="1"/>
  <c r="BZ54" i="29" s="1"/>
  <c r="B59" i="39"/>
  <c r="C59" i="39" s="1"/>
  <c r="AA58" i="39"/>
  <c r="AB58" i="39"/>
  <c r="Z58" i="39"/>
  <c r="AD58" i="39"/>
  <c r="D58" i="39"/>
  <c r="AF58" i="39"/>
  <c r="AG58" i="39"/>
  <c r="B43" i="40"/>
  <c r="B66" i="15"/>
  <c r="C66" i="15" s="1"/>
  <c r="B325" i="15"/>
  <c r="C325" i="15" s="1"/>
  <c r="B199" i="39"/>
  <c r="C199" i="39" s="1"/>
  <c r="BE55" i="29"/>
  <c r="BG55" i="29" s="1"/>
  <c r="BA55" i="29" s="1"/>
  <c r="BC55" i="29"/>
  <c r="BF55" i="29" s="1"/>
  <c r="BD56" i="29"/>
  <c r="BP55" i="29"/>
  <c r="CG55" i="29"/>
  <c r="A52" i="44" l="1"/>
  <c r="A51" i="45"/>
  <c r="B40" i="44"/>
  <c r="B40" i="45" s="1"/>
  <c r="CV48" i="29"/>
  <c r="CO48" i="29" s="1"/>
  <c r="CQ48" i="29" s="1"/>
  <c r="CX48" i="29"/>
  <c r="AS75" i="44"/>
  <c r="AQ8" i="44"/>
  <c r="AV72" i="44"/>
  <c r="AQ77" i="44"/>
  <c r="AT5" i="44"/>
  <c r="AV3" i="44"/>
  <c r="BH7" i="44"/>
  <c r="X180" i="15"/>
  <c r="B181" i="15"/>
  <c r="BH76" i="44"/>
  <c r="BJ74" i="44"/>
  <c r="AQ55" i="29"/>
  <c r="L55" i="29"/>
  <c r="K56" i="29"/>
  <c r="J56" i="29"/>
  <c r="CL53" i="29"/>
  <c r="CW53" i="29"/>
  <c r="F52" i="39"/>
  <c r="E37" i="40"/>
  <c r="AX57" i="29"/>
  <c r="R54" i="29"/>
  <c r="Q54" i="29"/>
  <c r="X54" i="29" s="1"/>
  <c r="AO59" i="29"/>
  <c r="AN59" i="29"/>
  <c r="BX57" i="29"/>
  <c r="V55" i="29"/>
  <c r="S56" i="29"/>
  <c r="U56" i="29" s="1"/>
  <c r="T56" i="29"/>
  <c r="AE55" i="29"/>
  <c r="AF55" i="29"/>
  <c r="CE57" i="29"/>
  <c r="CI56" i="29"/>
  <c r="CF57" i="29"/>
  <c r="CP56" i="29"/>
  <c r="CH58" i="29"/>
  <c r="M53" i="29"/>
  <c r="W53" i="29"/>
  <c r="Y53" i="29" s="1"/>
  <c r="AA53" i="29"/>
  <c r="CR54" i="29"/>
  <c r="CB54" i="29"/>
  <c r="BV54" i="29" s="1"/>
  <c r="CA54" i="29"/>
  <c r="BU54" i="29" s="1"/>
  <c r="CS54" i="29"/>
  <c r="CM54" i="29" s="1"/>
  <c r="AB54" i="29"/>
  <c r="AW58" i="29"/>
  <c r="AP58" i="29"/>
  <c r="AV58" i="29" s="1"/>
  <c r="AR58" i="29" s="1"/>
  <c r="Z52" i="29"/>
  <c r="CC53" i="29"/>
  <c r="BN58" i="29"/>
  <c r="BR57" i="29"/>
  <c r="BO58" i="29"/>
  <c r="U55" i="29"/>
  <c r="AC55" i="29" s="1"/>
  <c r="B200" i="39"/>
  <c r="C200" i="39" s="1"/>
  <c r="B67" i="15"/>
  <c r="C67" i="15" s="1"/>
  <c r="B68" i="15" s="1"/>
  <c r="C68" i="15" s="1"/>
  <c r="B69" i="15" s="1"/>
  <c r="B326" i="15"/>
  <c r="C326" i="15" s="1"/>
  <c r="BP56" i="29"/>
  <c r="CG56" i="29"/>
  <c r="BD57" i="29"/>
  <c r="BE56" i="29"/>
  <c r="BG56" i="29" s="1"/>
  <c r="BA56" i="29" s="1"/>
  <c r="BC56" i="29"/>
  <c r="BF56" i="29" s="1"/>
  <c r="C43" i="40"/>
  <c r="AB59" i="39"/>
  <c r="Z59" i="39"/>
  <c r="AF59" i="39"/>
  <c r="AG59" i="39"/>
  <c r="AD59" i="39"/>
  <c r="AZ55" i="29"/>
  <c r="BH55" i="29"/>
  <c r="BB55" i="29" s="1"/>
  <c r="BZ55" i="29" s="1"/>
  <c r="I43" i="40"/>
  <c r="J43" i="40"/>
  <c r="G43" i="40"/>
  <c r="H43" i="40"/>
  <c r="F43" i="40"/>
  <c r="D43" i="40"/>
  <c r="D59" i="39" s="1"/>
  <c r="B60" i="39"/>
  <c r="AA59" i="39"/>
  <c r="A53" i="44" l="1"/>
  <c r="A52" i="45"/>
  <c r="B41" i="44"/>
  <c r="B41" i="45" s="1"/>
  <c r="CX49" i="29"/>
  <c r="CV49" i="29"/>
  <c r="CO49" i="29" s="1"/>
  <c r="CQ49" i="29" s="1"/>
  <c r="AW3" i="44"/>
  <c r="AR77" i="44"/>
  <c r="AR8" i="44"/>
  <c r="AU5" i="44"/>
  <c r="AW72" i="44"/>
  <c r="AT75" i="44"/>
  <c r="C181" i="15"/>
  <c r="W181" i="15"/>
  <c r="Y181" i="15"/>
  <c r="BK74" i="44"/>
  <c r="BI76" i="44"/>
  <c r="AB55" i="29"/>
  <c r="BI7" i="44"/>
  <c r="Z53" i="29"/>
  <c r="BN59" i="29"/>
  <c r="BO59" i="29"/>
  <c r="BY58" i="29"/>
  <c r="BR58" i="29"/>
  <c r="CT58" i="29"/>
  <c r="AX58" i="29"/>
  <c r="AW59" i="29"/>
  <c r="AP59" i="29"/>
  <c r="AV59" i="29" s="1"/>
  <c r="AR59" i="29" s="1"/>
  <c r="K57" i="29"/>
  <c r="J57" i="29"/>
  <c r="AQ56" i="29"/>
  <c r="L56" i="29"/>
  <c r="R55" i="29"/>
  <c r="Q55" i="29"/>
  <c r="X55" i="29" s="1"/>
  <c r="CE58" i="29"/>
  <c r="CF58" i="29"/>
  <c r="CH59" i="29" s="1"/>
  <c r="CI57" i="29"/>
  <c r="AN60" i="29"/>
  <c r="AO60" i="29"/>
  <c r="BX58" i="29"/>
  <c r="S57" i="29"/>
  <c r="V56" i="29"/>
  <c r="T57" i="29"/>
  <c r="AE56" i="29"/>
  <c r="AF56" i="29"/>
  <c r="AA54" i="29"/>
  <c r="CA55" i="29"/>
  <c r="BU55" i="29" s="1"/>
  <c r="CR55" i="29"/>
  <c r="M54" i="29"/>
  <c r="CS55" i="29"/>
  <c r="CM55" i="29" s="1"/>
  <c r="CB55" i="29"/>
  <c r="BV55" i="29" s="1"/>
  <c r="W54" i="29"/>
  <c r="Y54" i="29" s="1"/>
  <c r="E38" i="40"/>
  <c r="F53" i="39"/>
  <c r="CC54" i="29"/>
  <c r="CL54" i="29"/>
  <c r="CW54" i="29"/>
  <c r="Q56" i="29"/>
  <c r="R56" i="29"/>
  <c r="BQ59" i="29"/>
  <c r="BQ60" i="29" s="1"/>
  <c r="B327" i="15"/>
  <c r="C327" i="15" s="1"/>
  <c r="Z60" i="39"/>
  <c r="AB60" i="39"/>
  <c r="AF60" i="39"/>
  <c r="AD60" i="39"/>
  <c r="AG60" i="39"/>
  <c r="C60" i="39"/>
  <c r="B44" i="40"/>
  <c r="C44" i="40" s="1"/>
  <c r="BC57" i="29"/>
  <c r="BF57" i="29" s="1"/>
  <c r="BP57" i="29"/>
  <c r="BD58" i="29"/>
  <c r="BI57" i="29"/>
  <c r="CG57" i="29"/>
  <c r="BE57" i="29"/>
  <c r="BG57" i="29" s="1"/>
  <c r="BA57" i="29" s="1"/>
  <c r="C69" i="15"/>
  <c r="B70" i="15" s="1"/>
  <c r="B201" i="39"/>
  <c r="C201" i="39" s="1"/>
  <c r="AZ56" i="29"/>
  <c r="BH56" i="29"/>
  <c r="BB56" i="29" s="1"/>
  <c r="BZ56" i="29" s="1"/>
  <c r="A54" i="44" l="1"/>
  <c r="A53" i="45"/>
  <c r="B42" i="44"/>
  <c r="B42" i="45" s="1"/>
  <c r="CV50" i="29"/>
  <c r="CO50" i="29" s="1"/>
  <c r="CQ50" i="29" s="1"/>
  <c r="CX50" i="29"/>
  <c r="AU75" i="44"/>
  <c r="AV5" i="44"/>
  <c r="AS77" i="44"/>
  <c r="AX72" i="44"/>
  <c r="AS8" i="44"/>
  <c r="AX3" i="44"/>
  <c r="Z54" i="29"/>
  <c r="BJ76" i="44"/>
  <c r="BJ7" i="44"/>
  <c r="X181" i="15"/>
  <c r="B182" i="15"/>
  <c r="BL74" i="44"/>
  <c r="CC55" i="29"/>
  <c r="CT59" i="29"/>
  <c r="AX59" i="29"/>
  <c r="BX59" i="29"/>
  <c r="CL55" i="29"/>
  <c r="CW55" i="29"/>
  <c r="AN61" i="29"/>
  <c r="AO61" i="29"/>
  <c r="L57" i="29"/>
  <c r="K58" i="29"/>
  <c r="AQ57" i="29"/>
  <c r="J58" i="29"/>
  <c r="U57" i="29"/>
  <c r="AC57" i="29" s="1"/>
  <c r="CP58" i="29"/>
  <c r="CI58" i="29"/>
  <c r="CE59" i="29"/>
  <c r="CF59" i="29"/>
  <c r="CH60" i="29" s="1"/>
  <c r="CA56" i="29"/>
  <c r="BU56" i="29" s="1"/>
  <c r="CB56" i="29"/>
  <c r="BV56" i="29" s="1"/>
  <c r="W55" i="29"/>
  <c r="Y55" i="29" s="1"/>
  <c r="CR56" i="29"/>
  <c r="M55" i="29"/>
  <c r="CS56" i="29"/>
  <c r="CM56" i="29" s="1"/>
  <c r="AA55" i="29"/>
  <c r="CR57" i="29"/>
  <c r="AA56" i="29"/>
  <c r="CA57" i="29"/>
  <c r="BU57" i="29" s="1"/>
  <c r="W56" i="29"/>
  <c r="CB57" i="29" s="1"/>
  <c r="BV57" i="29" s="1"/>
  <c r="F54" i="39"/>
  <c r="E39" i="40"/>
  <c r="T58" i="29"/>
  <c r="S58" i="29"/>
  <c r="V57" i="29"/>
  <c r="AF57" i="29"/>
  <c r="AE57" i="29"/>
  <c r="AW60" i="29"/>
  <c r="AP60" i="29"/>
  <c r="AV60" i="29" s="1"/>
  <c r="AR60" i="29" s="1"/>
  <c r="BO60" i="29"/>
  <c r="BQ61" i="29" s="1"/>
  <c r="BN60" i="29"/>
  <c r="BY59" i="29"/>
  <c r="BR59" i="29"/>
  <c r="B202" i="39"/>
  <c r="C202" i="39" s="1"/>
  <c r="B45" i="40"/>
  <c r="C45" i="40" s="1"/>
  <c r="C70" i="15"/>
  <c r="BC58" i="29"/>
  <c r="BF58" i="29" s="1"/>
  <c r="CG58" i="29"/>
  <c r="BP58" i="29"/>
  <c r="BE58" i="29"/>
  <c r="BG58" i="29" s="1"/>
  <c r="BA58" i="29" s="1"/>
  <c r="BD59" i="29"/>
  <c r="D44" i="40"/>
  <c r="D60" i="39" s="1"/>
  <c r="I44" i="40"/>
  <c r="F44" i="40"/>
  <c r="J44" i="40"/>
  <c r="G44" i="40"/>
  <c r="H44" i="40"/>
  <c r="B61" i="39"/>
  <c r="C61" i="39" s="1"/>
  <c r="AA60" i="39"/>
  <c r="BZ57" i="29"/>
  <c r="B328" i="15"/>
  <c r="C328" i="15" s="1"/>
  <c r="AZ57" i="29"/>
  <c r="BY57" i="29" s="1"/>
  <c r="BW57" i="29" s="1"/>
  <c r="BH57" i="29"/>
  <c r="BB57" i="29" s="1"/>
  <c r="A54" i="45" l="1"/>
  <c r="A55" i="44"/>
  <c r="B43" i="44"/>
  <c r="B43" i="45" s="1"/>
  <c r="Z55" i="29"/>
  <c r="CV51" i="29"/>
  <c r="CO51" i="29" s="1"/>
  <c r="CQ51" i="29" s="1"/>
  <c r="CX51" i="29"/>
  <c r="AY3" i="44"/>
  <c r="AY72" i="44"/>
  <c r="AW5" i="44"/>
  <c r="AT8" i="44"/>
  <c r="AT77" i="44"/>
  <c r="AV75" i="44"/>
  <c r="C182" i="15"/>
  <c r="W182" i="15"/>
  <c r="Y182" i="15"/>
  <c r="BK76" i="44"/>
  <c r="BM74" i="44"/>
  <c r="BK7" i="44"/>
  <c r="AB57" i="29"/>
  <c r="CS57" i="29"/>
  <c r="CT57" i="29" s="1"/>
  <c r="CW57" i="29" s="1"/>
  <c r="BX60" i="29"/>
  <c r="AN62" i="29"/>
  <c r="AO62" i="29"/>
  <c r="F55" i="39"/>
  <c r="E40" i="40"/>
  <c r="AW61" i="29"/>
  <c r="AP61" i="29"/>
  <c r="AV61" i="29" s="1"/>
  <c r="AR61" i="29" s="1"/>
  <c r="CT60" i="29"/>
  <c r="AX60" i="29"/>
  <c r="U58" i="29"/>
  <c r="AC58" i="29" s="1"/>
  <c r="CC57" i="29"/>
  <c r="BR60" i="29"/>
  <c r="BO61" i="29"/>
  <c r="BY60" i="29"/>
  <c r="BN61" i="29"/>
  <c r="T59" i="29"/>
  <c r="S59" i="29"/>
  <c r="V58" i="29"/>
  <c r="AE58" i="29"/>
  <c r="AF58" i="29"/>
  <c r="CC56" i="29"/>
  <c r="CL56" i="29"/>
  <c r="CW56" i="29"/>
  <c r="CI59" i="29"/>
  <c r="CF60" i="29"/>
  <c r="CP59" i="29"/>
  <c r="CE60" i="29"/>
  <c r="Q57" i="29"/>
  <c r="X57" i="29" s="1"/>
  <c r="R57" i="29"/>
  <c r="AQ58" i="29"/>
  <c r="K59" i="29"/>
  <c r="J59" i="29"/>
  <c r="L58" i="29"/>
  <c r="BS57" i="29"/>
  <c r="BT57" i="29"/>
  <c r="M56" i="29" s="1"/>
  <c r="B62" i="39"/>
  <c r="C62" i="39" s="1"/>
  <c r="AA61" i="39"/>
  <c r="B71" i="15"/>
  <c r="B46" i="40"/>
  <c r="C46" i="40" s="1"/>
  <c r="Z61" i="39"/>
  <c r="AB61" i="39"/>
  <c r="AF61" i="39"/>
  <c r="AG61" i="39"/>
  <c r="AD61" i="39"/>
  <c r="BE59" i="29"/>
  <c r="BG59" i="29" s="1"/>
  <c r="BA59" i="29" s="1"/>
  <c r="CG59" i="29"/>
  <c r="BC59" i="29"/>
  <c r="BF59" i="29" s="1"/>
  <c r="BP59" i="29"/>
  <c r="BD60" i="29"/>
  <c r="AZ58" i="29"/>
  <c r="BH58" i="29"/>
  <c r="BB58" i="29" s="1"/>
  <c r="BZ58" i="29" s="1"/>
  <c r="I45" i="40"/>
  <c r="G45" i="40"/>
  <c r="H45" i="40"/>
  <c r="D45" i="40"/>
  <c r="D61" i="39" s="1"/>
  <c r="J45" i="40"/>
  <c r="F45" i="40"/>
  <c r="B203" i="39"/>
  <c r="B329" i="15"/>
  <c r="A55" i="45" l="1"/>
  <c r="A56" i="44"/>
  <c r="B44" i="44"/>
  <c r="B44" i="45" s="1"/>
  <c r="CX52" i="29"/>
  <c r="CV52" i="29"/>
  <c r="CO52" i="29" s="1"/>
  <c r="CQ52" i="29" s="1"/>
  <c r="AW75" i="44"/>
  <c r="AU8" i="44"/>
  <c r="AZ72" i="44"/>
  <c r="AU77" i="44"/>
  <c r="AX5" i="44"/>
  <c r="AZ3" i="44"/>
  <c r="BN74" i="44"/>
  <c r="BL76" i="44"/>
  <c r="BL7" i="44"/>
  <c r="B183" i="15"/>
  <c r="C183" i="15" s="1"/>
  <c r="X182" i="15"/>
  <c r="CM57" i="29"/>
  <c r="AB58" i="29"/>
  <c r="U59" i="29"/>
  <c r="AB59" i="29" s="1"/>
  <c r="BO62" i="29"/>
  <c r="BR61" i="29"/>
  <c r="BY61" i="29"/>
  <c r="BN62" i="29"/>
  <c r="AO63" i="29"/>
  <c r="AN63" i="29"/>
  <c r="V59" i="29"/>
  <c r="S60" i="29"/>
  <c r="T60" i="29"/>
  <c r="AF59" i="29"/>
  <c r="AE59" i="29"/>
  <c r="CL57" i="29"/>
  <c r="AW62" i="29"/>
  <c r="AP62" i="29"/>
  <c r="AV62" i="29" s="1"/>
  <c r="AR62" i="29" s="1"/>
  <c r="K60" i="29"/>
  <c r="AQ59" i="29"/>
  <c r="J60" i="29"/>
  <c r="L59" i="29"/>
  <c r="CE61" i="29"/>
  <c r="CI60" i="29"/>
  <c r="CP60" i="29"/>
  <c r="CF61" i="29"/>
  <c r="BX61" i="29"/>
  <c r="F56" i="39"/>
  <c r="E41" i="40"/>
  <c r="CH61" i="29"/>
  <c r="M57" i="29"/>
  <c r="AA57" i="29"/>
  <c r="CR58" i="29"/>
  <c r="CA58" i="29"/>
  <c r="BU58" i="29" s="1"/>
  <c r="W57" i="29"/>
  <c r="Y57" i="29" s="1"/>
  <c r="CS58" i="29"/>
  <c r="CM58" i="29" s="1"/>
  <c r="CB58" i="29"/>
  <c r="BV58" i="29" s="1"/>
  <c r="R58" i="29"/>
  <c r="Q58" i="29"/>
  <c r="X58" i="29" s="1"/>
  <c r="CT61" i="29"/>
  <c r="AX61" i="29"/>
  <c r="BQ62" i="29"/>
  <c r="BH59" i="29"/>
  <c r="BB59" i="29" s="1"/>
  <c r="BZ59" i="29" s="1"/>
  <c r="AZ59" i="29"/>
  <c r="B47" i="40"/>
  <c r="C47" i="40" s="1"/>
  <c r="B63" i="39"/>
  <c r="C63" i="39" s="1"/>
  <c r="AA62" i="39"/>
  <c r="H14" i="29"/>
  <c r="K7" i="40" s="1"/>
  <c r="X56" i="29"/>
  <c r="Y56" i="29" s="1"/>
  <c r="H46" i="40"/>
  <c r="J46" i="40"/>
  <c r="F46" i="40"/>
  <c r="G46" i="40"/>
  <c r="I46" i="40"/>
  <c r="D46" i="40"/>
  <c r="D62" i="39" s="1"/>
  <c r="BE60" i="29"/>
  <c r="BG60" i="29" s="1"/>
  <c r="BA60" i="29" s="1"/>
  <c r="CG60" i="29"/>
  <c r="BP60" i="29"/>
  <c r="BD61" i="29"/>
  <c r="BC60" i="29"/>
  <c r="BF60" i="29" s="1"/>
  <c r="C329" i="15"/>
  <c r="C203" i="39"/>
  <c r="C71" i="15"/>
  <c r="AB62" i="39"/>
  <c r="Z62" i="39"/>
  <c r="AD62" i="39"/>
  <c r="AF62" i="39"/>
  <c r="AG62" i="39"/>
  <c r="A56" i="45" l="1"/>
  <c r="A57" i="44"/>
  <c r="B45" i="44"/>
  <c r="B45" i="45" s="1"/>
  <c r="CV53" i="29"/>
  <c r="CO53" i="29" s="1"/>
  <c r="CQ53" i="29" s="1"/>
  <c r="CX53" i="29"/>
  <c r="BA3" i="44"/>
  <c r="AV77" i="44"/>
  <c r="AV8" i="44"/>
  <c r="AY5" i="44"/>
  <c r="BA72" i="44"/>
  <c r="AX75" i="44"/>
  <c r="G14" i="29"/>
  <c r="B184" i="15"/>
  <c r="X183" i="15"/>
  <c r="BM76" i="44"/>
  <c r="CC58" i="29"/>
  <c r="Y183" i="15"/>
  <c r="W183" i="15"/>
  <c r="BM7" i="44"/>
  <c r="BO74" i="44"/>
  <c r="AC59" i="29"/>
  <c r="CT62" i="29"/>
  <c r="AX62" i="29"/>
  <c r="S61" i="29"/>
  <c r="T61" i="29"/>
  <c r="V60" i="29"/>
  <c r="AE60" i="29"/>
  <c r="AF60" i="29"/>
  <c r="AN64" i="29"/>
  <c r="AO64" i="29"/>
  <c r="BQ63" i="29"/>
  <c r="BQ64" i="29" s="1"/>
  <c r="CR59" i="29"/>
  <c r="AA58" i="29"/>
  <c r="M58" i="29"/>
  <c r="W58" i="29"/>
  <c r="Y58" i="29" s="1"/>
  <c r="CA59" i="29"/>
  <c r="BU59" i="29" s="1"/>
  <c r="CS59" i="29"/>
  <c r="CM59" i="29" s="1"/>
  <c r="CB59" i="29"/>
  <c r="BV59" i="29" s="1"/>
  <c r="CL58" i="29"/>
  <c r="CW58" i="29"/>
  <c r="CH62" i="29"/>
  <c r="CH63" i="29" s="1"/>
  <c r="L60" i="29"/>
  <c r="K61" i="29"/>
  <c r="AQ60" i="29"/>
  <c r="J61" i="29"/>
  <c r="U60" i="29"/>
  <c r="AB60" i="29" s="1"/>
  <c r="E42" i="40"/>
  <c r="F57" i="39"/>
  <c r="CE62" i="29"/>
  <c r="CI61" i="29"/>
  <c r="CF62" i="29"/>
  <c r="CP61" i="29"/>
  <c r="BR62" i="29"/>
  <c r="BN63" i="29"/>
  <c r="BO63" i="29"/>
  <c r="BY62" i="29"/>
  <c r="AW63" i="29"/>
  <c r="AP63" i="29"/>
  <c r="AV63" i="29" s="1"/>
  <c r="AR63" i="29" s="1"/>
  <c r="BX62" i="29"/>
  <c r="Q59" i="29"/>
  <c r="X59" i="29" s="1"/>
  <c r="R59" i="29"/>
  <c r="AA63" i="39"/>
  <c r="B64" i="39"/>
  <c r="C64" i="39" s="1"/>
  <c r="B72" i="15"/>
  <c r="C72" i="15" s="1"/>
  <c r="D154" i="15"/>
  <c r="G21" i="15"/>
  <c r="I23" i="39"/>
  <c r="B48" i="40"/>
  <c r="C48" i="40" s="1"/>
  <c r="AZ60" i="29"/>
  <c r="BH60" i="29"/>
  <c r="BB60" i="29" s="1"/>
  <c r="BZ60" i="29" s="1"/>
  <c r="F47" i="40"/>
  <c r="I47" i="40"/>
  <c r="G47" i="40"/>
  <c r="J47" i="40"/>
  <c r="D47" i="40"/>
  <c r="D63" i="39" s="1"/>
  <c r="H47" i="40"/>
  <c r="B204" i="39"/>
  <c r="BP61" i="29"/>
  <c r="CG61" i="29"/>
  <c r="BC61" i="29"/>
  <c r="BF61" i="29" s="1"/>
  <c r="BE61" i="29"/>
  <c r="BG61" i="29" s="1"/>
  <c r="BA61" i="29" s="1"/>
  <c r="BD62" i="29"/>
  <c r="B330" i="15"/>
  <c r="C330" i="15" s="1"/>
  <c r="M7" i="40"/>
  <c r="H154" i="15" s="1"/>
  <c r="AI23" i="39"/>
  <c r="Z56" i="29"/>
  <c r="Z63" i="39"/>
  <c r="AB63" i="39"/>
  <c r="AF63" i="39"/>
  <c r="AD63" i="39"/>
  <c r="AG63" i="39"/>
  <c r="A57" i="45" l="1"/>
  <c r="A58" i="44"/>
  <c r="B46" i="44"/>
  <c r="B46" i="45" s="1"/>
  <c r="CV54" i="29"/>
  <c r="CO54" i="29" s="1"/>
  <c r="CQ54" i="29" s="1"/>
  <c r="CX54" i="29"/>
  <c r="AY75" i="44"/>
  <c r="AZ5" i="44"/>
  <c r="AW77" i="44"/>
  <c r="BB72" i="44"/>
  <c r="AW8" i="44"/>
  <c r="BB3" i="44"/>
  <c r="BP74" i="44"/>
  <c r="BN76" i="44"/>
  <c r="BN7" i="44"/>
  <c r="C184" i="15"/>
  <c r="Y184" i="15"/>
  <c r="W184" i="15"/>
  <c r="AC60" i="29"/>
  <c r="CC59" i="29"/>
  <c r="CB60" i="29"/>
  <c r="BV60" i="29" s="1"/>
  <c r="M59" i="29"/>
  <c r="CA60" i="29"/>
  <c r="BU60" i="29" s="1"/>
  <c r="AA59" i="29"/>
  <c r="CR60" i="29"/>
  <c r="W59" i="29"/>
  <c r="Y59" i="29" s="1"/>
  <c r="CS60" i="29"/>
  <c r="CM60" i="29" s="1"/>
  <c r="CI62" i="29"/>
  <c r="CP62" i="29"/>
  <c r="CF63" i="29"/>
  <c r="CE63" i="29"/>
  <c r="F58" i="39"/>
  <c r="E43" i="40"/>
  <c r="Q60" i="29"/>
  <c r="R60" i="29"/>
  <c r="AN65" i="29"/>
  <c r="AO65" i="29"/>
  <c r="BX63" i="29"/>
  <c r="U61" i="29"/>
  <c r="AC61" i="29" s="1"/>
  <c r="CT63" i="29"/>
  <c r="AX63" i="29"/>
  <c r="BR63" i="29"/>
  <c r="BN64" i="29"/>
  <c r="BO64" i="29"/>
  <c r="BY63" i="29"/>
  <c r="AQ61" i="29"/>
  <c r="J62" i="29"/>
  <c r="K62" i="29"/>
  <c r="L61" i="29"/>
  <c r="CL59" i="29"/>
  <c r="CW59" i="29"/>
  <c r="AW64" i="29"/>
  <c r="AP64" i="29"/>
  <c r="AV64" i="29" s="1"/>
  <c r="AR64" i="29" s="1"/>
  <c r="V61" i="29"/>
  <c r="S62" i="29"/>
  <c r="T62" i="29"/>
  <c r="AE61" i="29"/>
  <c r="AF61" i="29"/>
  <c r="B49" i="40"/>
  <c r="C49" i="40" s="1"/>
  <c r="Z57" i="29"/>
  <c r="Z58" i="29" s="1"/>
  <c r="AB56" i="29"/>
  <c r="AC56" i="29"/>
  <c r="N7" i="40"/>
  <c r="B79" i="15"/>
  <c r="C79" i="15" s="1"/>
  <c r="B80" i="15" s="1"/>
  <c r="B65" i="39"/>
  <c r="AA64" i="39"/>
  <c r="B331" i="15"/>
  <c r="C331" i="15" s="1"/>
  <c r="BH61" i="29"/>
  <c r="BB61" i="29" s="1"/>
  <c r="BZ61" i="29" s="1"/>
  <c r="AZ61" i="29"/>
  <c r="BP62" i="29"/>
  <c r="CG62" i="29"/>
  <c r="BD63" i="29"/>
  <c r="BE62" i="29"/>
  <c r="BG62" i="29" s="1"/>
  <c r="BA62" i="29" s="1"/>
  <c r="BC62" i="29"/>
  <c r="BF62" i="29" s="1"/>
  <c r="Z64" i="39"/>
  <c r="AB64" i="39"/>
  <c r="AG64" i="39"/>
  <c r="AD64" i="39"/>
  <c r="AF64" i="39"/>
  <c r="C204" i="39"/>
  <c r="H48" i="40"/>
  <c r="G48" i="40"/>
  <c r="J48" i="40"/>
  <c r="I48" i="40"/>
  <c r="F48" i="40"/>
  <c r="D48" i="40"/>
  <c r="D64" i="39" s="1"/>
  <c r="A58" i="45" l="1"/>
  <c r="A59" i="44"/>
  <c r="B47" i="44"/>
  <c r="B47" i="45" s="1"/>
  <c r="CV55" i="29"/>
  <c r="CO55" i="29" s="1"/>
  <c r="CQ55" i="29" s="1"/>
  <c r="CX55" i="29"/>
  <c r="BC3" i="44"/>
  <c r="BC72" i="44"/>
  <c r="BA5" i="44"/>
  <c r="AX8" i="44"/>
  <c r="AX77" i="44"/>
  <c r="AZ75" i="44"/>
  <c r="X184" i="15"/>
  <c r="B185" i="15"/>
  <c r="BO76" i="44"/>
  <c r="BO7" i="44"/>
  <c r="BQ74" i="44"/>
  <c r="AB61" i="29"/>
  <c r="T63" i="29"/>
  <c r="S63" i="29"/>
  <c r="V62" i="29"/>
  <c r="AE62" i="29"/>
  <c r="AF62" i="29"/>
  <c r="CT64" i="29"/>
  <c r="AX64" i="29"/>
  <c r="L62" i="29"/>
  <c r="AQ62" i="29"/>
  <c r="J63" i="29"/>
  <c r="K63" i="29"/>
  <c r="BO65" i="29"/>
  <c r="BN65" i="29"/>
  <c r="BR64" i="29"/>
  <c r="BY64" i="29"/>
  <c r="AW65" i="29"/>
  <c r="AP65" i="29"/>
  <c r="AV65" i="29" s="1"/>
  <c r="AR65" i="29" s="1"/>
  <c r="M60" i="29"/>
  <c r="CR61" i="29"/>
  <c r="AA60" i="29"/>
  <c r="CA61" i="29"/>
  <c r="BU61" i="29" s="1"/>
  <c r="CS61" i="29"/>
  <c r="CM61" i="29" s="1"/>
  <c r="CB61" i="29"/>
  <c r="BV61" i="29" s="1"/>
  <c r="W60" i="29"/>
  <c r="Y60" i="29" s="1"/>
  <c r="CP63" i="29"/>
  <c r="CF64" i="29"/>
  <c r="CE64" i="29"/>
  <c r="CI63" i="29"/>
  <c r="CH64" i="29"/>
  <c r="CH65" i="29" s="1"/>
  <c r="BQ65" i="29"/>
  <c r="BQ66" i="29" s="1"/>
  <c r="R61" i="29"/>
  <c r="Q61" i="29"/>
  <c r="X61" i="29" s="1"/>
  <c r="X60" i="29"/>
  <c r="CL60" i="29"/>
  <c r="CW60" i="29"/>
  <c r="U62" i="29"/>
  <c r="AC62" i="29" s="1"/>
  <c r="BX64" i="29"/>
  <c r="E44" i="40"/>
  <c r="F59" i="39"/>
  <c r="Z59" i="29"/>
  <c r="AO66" i="29"/>
  <c r="AN66" i="29"/>
  <c r="CC60" i="29"/>
  <c r="B205" i="39"/>
  <c r="C205" i="39" s="1"/>
  <c r="BH62" i="29"/>
  <c r="BB62" i="29" s="1"/>
  <c r="BZ62" i="29" s="1"/>
  <c r="AZ62" i="29"/>
  <c r="B332" i="15"/>
  <c r="C332" i="15" s="1"/>
  <c r="AB65" i="39"/>
  <c r="Z65" i="39"/>
  <c r="AF65" i="39"/>
  <c r="AD65" i="39"/>
  <c r="AG65" i="39"/>
  <c r="Q7" i="40"/>
  <c r="AJ23" i="39"/>
  <c r="B50" i="40"/>
  <c r="C50" i="40" s="1"/>
  <c r="BC63" i="29"/>
  <c r="BF63" i="29" s="1"/>
  <c r="BD64" i="29"/>
  <c r="BE63" i="29"/>
  <c r="BG63" i="29" s="1"/>
  <c r="BA63" i="29" s="1"/>
  <c r="BP63" i="29"/>
  <c r="CG63" i="29"/>
  <c r="G124" i="40"/>
  <c r="O23" i="39"/>
  <c r="J154" i="15"/>
  <c r="R7" i="40"/>
  <c r="AK23" i="39"/>
  <c r="J49" i="40"/>
  <c r="F49" i="40"/>
  <c r="I49" i="40"/>
  <c r="G49" i="40"/>
  <c r="H49" i="40"/>
  <c r="D49" i="40"/>
  <c r="D65" i="39" s="1"/>
  <c r="C65" i="39"/>
  <c r="C80" i="15"/>
  <c r="A60" i="44" l="1"/>
  <c r="A59" i="45"/>
  <c r="B48" i="44"/>
  <c r="B48" i="45" s="1"/>
  <c r="CV56" i="29"/>
  <c r="CO56" i="29" s="1"/>
  <c r="CQ56" i="29" s="1"/>
  <c r="CP57" i="29" s="1"/>
  <c r="CN57" i="29" s="1"/>
  <c r="CJ57" i="29" s="1"/>
  <c r="AJ14" i="29" s="1"/>
  <c r="AK14" i="29" s="1"/>
  <c r="CX56" i="29"/>
  <c r="BA75" i="44"/>
  <c r="AY8" i="44"/>
  <c r="BD72" i="44"/>
  <c r="AY77" i="44"/>
  <c r="BB5" i="44"/>
  <c r="BD3" i="44"/>
  <c r="Z60" i="29"/>
  <c r="BR74" i="44"/>
  <c r="BP76" i="44"/>
  <c r="C185" i="15"/>
  <c r="W185" i="15"/>
  <c r="Y185" i="15"/>
  <c r="BP7" i="44"/>
  <c r="AB62" i="29"/>
  <c r="AW66" i="29"/>
  <c r="AP66" i="29"/>
  <c r="AV66" i="29" s="1"/>
  <c r="AR66" i="29" s="1"/>
  <c r="CT65" i="29"/>
  <c r="AX65" i="29"/>
  <c r="BY65" i="29"/>
  <c r="BR65" i="29"/>
  <c r="BN66" i="29"/>
  <c r="BO66" i="29"/>
  <c r="BQ67" i="29" s="1"/>
  <c r="AO67" i="29"/>
  <c r="AN67" i="29"/>
  <c r="CE65" i="29"/>
  <c r="CP64" i="29"/>
  <c r="CI64" i="29"/>
  <c r="CF65" i="29"/>
  <c r="CL61" i="29"/>
  <c r="CW61" i="29"/>
  <c r="K64" i="29"/>
  <c r="J64" i="29"/>
  <c r="L63" i="29"/>
  <c r="AQ63" i="29"/>
  <c r="R62" i="29"/>
  <c r="Q62" i="29"/>
  <c r="U63" i="29"/>
  <c r="E45" i="40"/>
  <c r="F60" i="39"/>
  <c r="CB62" i="29"/>
  <c r="BV62" i="29" s="1"/>
  <c r="W61" i="29"/>
  <c r="Y61" i="29" s="1"/>
  <c r="AA61" i="29"/>
  <c r="M61" i="29"/>
  <c r="CS62" i="29"/>
  <c r="CM62" i="29" s="1"/>
  <c r="CA62" i="29"/>
  <c r="BU62" i="29" s="1"/>
  <c r="CR62" i="29"/>
  <c r="CC61" i="29"/>
  <c r="BX65" i="29"/>
  <c r="T64" i="29"/>
  <c r="V63" i="29"/>
  <c r="S64" i="29"/>
  <c r="AE63" i="29"/>
  <c r="AF63" i="29"/>
  <c r="B51" i="40"/>
  <c r="C51" i="40" s="1"/>
  <c r="J50" i="40"/>
  <c r="F50" i="40"/>
  <c r="I50" i="40"/>
  <c r="D50" i="40"/>
  <c r="G50" i="40"/>
  <c r="H50" i="40"/>
  <c r="B81" i="15"/>
  <c r="C81" i="15" s="1"/>
  <c r="I124" i="40"/>
  <c r="V7" i="40"/>
  <c r="N154" i="15"/>
  <c r="BC64" i="29"/>
  <c r="BF64" i="29" s="1"/>
  <c r="BD65" i="29"/>
  <c r="BP64" i="29"/>
  <c r="BE64" i="29"/>
  <c r="BG64" i="29" s="1"/>
  <c r="BA64" i="29" s="1"/>
  <c r="CG64" i="29"/>
  <c r="B333" i="15"/>
  <c r="C333" i="15" s="1"/>
  <c r="B206" i="39"/>
  <c r="C206" i="39" s="1"/>
  <c r="AA65" i="39"/>
  <c r="B66" i="39"/>
  <c r="C66" i="39" s="1"/>
  <c r="BH63" i="29"/>
  <c r="BB63" i="29" s="1"/>
  <c r="BZ63" i="29" s="1"/>
  <c r="AZ63" i="29"/>
  <c r="H124" i="40"/>
  <c r="Z7" i="40"/>
  <c r="Y7" i="40" s="1"/>
  <c r="U7" i="40"/>
  <c r="L154" i="15"/>
  <c r="A60" i="45" l="1"/>
  <c r="A61" i="44"/>
  <c r="B49" i="44"/>
  <c r="B49" i="45" s="1"/>
  <c r="Z61" i="29"/>
  <c r="CX57" i="29"/>
  <c r="CV57" i="29"/>
  <c r="BE3" i="44"/>
  <c r="AZ77" i="44"/>
  <c r="AZ8" i="44"/>
  <c r="BC5" i="44"/>
  <c r="BE72" i="44"/>
  <c r="BB75" i="44"/>
  <c r="X185" i="15"/>
  <c r="B186" i="15"/>
  <c r="BQ76" i="44"/>
  <c r="BQ7" i="44"/>
  <c r="BQ68" i="29"/>
  <c r="Q63" i="29"/>
  <c r="X63" i="29" s="1"/>
  <c r="R63" i="29"/>
  <c r="J65" i="29"/>
  <c r="AQ64" i="29"/>
  <c r="K65" i="29"/>
  <c r="L64" i="29"/>
  <c r="AW67" i="29"/>
  <c r="AP67" i="29"/>
  <c r="AV67" i="29" s="1"/>
  <c r="AR67" i="29" s="1"/>
  <c r="BX66" i="29"/>
  <c r="U64" i="29"/>
  <c r="AC64" i="29" s="1"/>
  <c r="CC62" i="29"/>
  <c r="AC63" i="29"/>
  <c r="X62" i="29"/>
  <c r="AA62" i="29"/>
  <c r="CR63" i="29"/>
  <c r="M62" i="29"/>
  <c r="CA63" i="29"/>
  <c r="BU63" i="29" s="1"/>
  <c r="CB63" i="29"/>
  <c r="BV63" i="29" s="1"/>
  <c r="W62" i="29"/>
  <c r="Y62" i="29" s="1"/>
  <c r="CS63" i="29"/>
  <c r="CM63" i="29" s="1"/>
  <c r="AN68" i="29"/>
  <c r="AO68" i="29"/>
  <c r="CT66" i="29"/>
  <c r="AX66" i="29"/>
  <c r="CL62" i="29"/>
  <c r="CW62" i="29"/>
  <c r="F61" i="39"/>
  <c r="E46" i="40"/>
  <c r="AB63" i="29"/>
  <c r="V64" i="29"/>
  <c r="S65" i="29"/>
  <c r="T65" i="29"/>
  <c r="AF64" i="29"/>
  <c r="AE64" i="29"/>
  <c r="CI65" i="29"/>
  <c r="CP65" i="29"/>
  <c r="CF66" i="29"/>
  <c r="CE66" i="29"/>
  <c r="CH66" i="29"/>
  <c r="CH67" i="29" s="1"/>
  <c r="BO67" i="29"/>
  <c r="BN67" i="29"/>
  <c r="BR66" i="29"/>
  <c r="BY66" i="29"/>
  <c r="AA66" i="39"/>
  <c r="B67" i="39"/>
  <c r="C67" i="39" s="1"/>
  <c r="B207" i="39"/>
  <c r="C207" i="39" s="1"/>
  <c r="B334" i="15"/>
  <c r="C334" i="15" s="1"/>
  <c r="B82" i="15"/>
  <c r="C82" i="15" s="1"/>
  <c r="B52" i="40"/>
  <c r="P154" i="15"/>
  <c r="R23" i="39"/>
  <c r="BH64" i="29"/>
  <c r="BB64" i="29" s="1"/>
  <c r="BZ64" i="29" s="1"/>
  <c r="AZ64" i="29"/>
  <c r="AB66" i="39"/>
  <c r="Z66" i="39"/>
  <c r="AD66" i="39"/>
  <c r="AF66" i="39"/>
  <c r="D66" i="39"/>
  <c r="AG66" i="39"/>
  <c r="BD66" i="29"/>
  <c r="BE65" i="29"/>
  <c r="BG65" i="29" s="1"/>
  <c r="BA65" i="29" s="1"/>
  <c r="BP65" i="29"/>
  <c r="CG65" i="29"/>
  <c r="BC65" i="29"/>
  <c r="BF65" i="29" s="1"/>
  <c r="U23" i="39"/>
  <c r="I7" i="44" s="1"/>
  <c r="S154" i="15"/>
  <c r="D51" i="40"/>
  <c r="I51" i="40"/>
  <c r="J51" i="40"/>
  <c r="G51" i="40"/>
  <c r="H51" i="40"/>
  <c r="F51" i="40"/>
  <c r="A61" i="45" l="1"/>
  <c r="A62" i="44"/>
  <c r="N76" i="44"/>
  <c r="E7" i="45"/>
  <c r="B50" i="44"/>
  <c r="B50" i="45" s="1"/>
  <c r="Z62" i="29"/>
  <c r="CO57" i="29"/>
  <c r="CQ57" i="29" s="1"/>
  <c r="CK57" i="29"/>
  <c r="AR56" i="29" s="1"/>
  <c r="AL14" i="29" s="1"/>
  <c r="CX58" i="29"/>
  <c r="CV58" i="29"/>
  <c r="CO58" i="29" s="1"/>
  <c r="CQ58" i="29" s="1"/>
  <c r="BC75" i="44"/>
  <c r="BD5" i="44"/>
  <c r="BA77" i="44"/>
  <c r="BF72" i="44"/>
  <c r="BA8" i="44"/>
  <c r="BF3" i="44"/>
  <c r="BR76" i="44"/>
  <c r="C186" i="15"/>
  <c r="W186" i="15"/>
  <c r="Y186" i="15"/>
  <c r="BR7" i="44"/>
  <c r="BX67" i="29"/>
  <c r="CE67" i="29"/>
  <c r="CF67" i="29"/>
  <c r="CI66" i="29"/>
  <c r="CP66" i="29"/>
  <c r="R64" i="29"/>
  <c r="Q64" i="29"/>
  <c r="X64" i="29" s="1"/>
  <c r="BO68" i="29"/>
  <c r="BR67" i="29"/>
  <c r="BY67" i="29"/>
  <c r="BN68" i="29"/>
  <c r="CC63" i="29"/>
  <c r="AB64" i="29"/>
  <c r="CH68" i="29"/>
  <c r="T66" i="29"/>
  <c r="S66" i="29"/>
  <c r="V65" i="29"/>
  <c r="AF65" i="29"/>
  <c r="AE65" i="29"/>
  <c r="AO69" i="29"/>
  <c r="AN69" i="29"/>
  <c r="CT67" i="29"/>
  <c r="AX67" i="29"/>
  <c r="AQ65" i="29"/>
  <c r="L65" i="29"/>
  <c r="K66" i="29"/>
  <c r="J66" i="29"/>
  <c r="BQ69" i="29"/>
  <c r="U65" i="29"/>
  <c r="AC65" i="29" s="1"/>
  <c r="F62" i="39"/>
  <c r="E47" i="40"/>
  <c r="AW68" i="29"/>
  <c r="AP68" i="29"/>
  <c r="AV68" i="29" s="1"/>
  <c r="CL63" i="29"/>
  <c r="CW63" i="29"/>
  <c r="CA64" i="29"/>
  <c r="BU64" i="29" s="1"/>
  <c r="CB64" i="29"/>
  <c r="BV64" i="29" s="1"/>
  <c r="CS64" i="29"/>
  <c r="CM64" i="29" s="1"/>
  <c r="CR64" i="29"/>
  <c r="AA63" i="29"/>
  <c r="M63" i="29"/>
  <c r="W63" i="29"/>
  <c r="Y63" i="29" s="1"/>
  <c r="J52" i="40"/>
  <c r="F52" i="40"/>
  <c r="D52" i="40"/>
  <c r="I52" i="40"/>
  <c r="G52" i="40"/>
  <c r="H52" i="40"/>
  <c r="B335" i="15"/>
  <c r="C335" i="15" s="1"/>
  <c r="B208" i="39"/>
  <c r="C208" i="39" s="1"/>
  <c r="AA67" i="39"/>
  <c r="B68" i="39"/>
  <c r="C68" i="39" s="1"/>
  <c r="Z67" i="39"/>
  <c r="AB67" i="39"/>
  <c r="D67" i="39"/>
  <c r="AF67" i="39"/>
  <c r="AG67" i="39"/>
  <c r="AD67" i="39"/>
  <c r="AZ65" i="29"/>
  <c r="BH65" i="29"/>
  <c r="BB65" i="29" s="1"/>
  <c r="BZ65" i="29" s="1"/>
  <c r="BC66" i="29"/>
  <c r="BF66" i="29" s="1"/>
  <c r="BP66" i="29"/>
  <c r="CG66" i="29"/>
  <c r="BE66" i="29"/>
  <c r="BG66" i="29" s="1"/>
  <c r="BA66" i="29" s="1"/>
  <c r="BD67" i="29"/>
  <c r="C52" i="40"/>
  <c r="B83" i="15"/>
  <c r="C83" i="15" s="1"/>
  <c r="A62" i="45" l="1"/>
  <c r="A63" i="44"/>
  <c r="A63" i="45" s="1"/>
  <c r="B51" i="44"/>
  <c r="B51" i="45" s="1"/>
  <c r="Z63" i="29"/>
  <c r="CV59" i="29"/>
  <c r="CO59" i="29" s="1"/>
  <c r="CQ59" i="29" s="1"/>
  <c r="CX59" i="29"/>
  <c r="BG3" i="44"/>
  <c r="BG72" i="44"/>
  <c r="BE5" i="44"/>
  <c r="BB8" i="44"/>
  <c r="BB77" i="44"/>
  <c r="BD75" i="44"/>
  <c r="X186" i="15"/>
  <c r="B187" i="15"/>
  <c r="AB65" i="29"/>
  <c r="CC64" i="29"/>
  <c r="CL64" i="29"/>
  <c r="CW64" i="29"/>
  <c r="K67" i="29"/>
  <c r="L66" i="29"/>
  <c r="J67" i="29"/>
  <c r="AQ66" i="29"/>
  <c r="CH69" i="29"/>
  <c r="BN69" i="29"/>
  <c r="BO69" i="29"/>
  <c r="BY68" i="29"/>
  <c r="BR68" i="29"/>
  <c r="CT68" i="29"/>
  <c r="AX68" i="29"/>
  <c r="R65" i="29"/>
  <c r="Q65" i="29"/>
  <c r="AW69" i="29"/>
  <c r="AP69" i="29"/>
  <c r="AV69" i="29" s="1"/>
  <c r="AR69" i="29" s="1"/>
  <c r="BX68" i="29"/>
  <c r="CB65" i="29"/>
  <c r="BV65" i="29" s="1"/>
  <c r="M64" i="29"/>
  <c r="AA64" i="29"/>
  <c r="CS65" i="29"/>
  <c r="CM65" i="29" s="1"/>
  <c r="CA65" i="29"/>
  <c r="BU65" i="29" s="1"/>
  <c r="CR65" i="29"/>
  <c r="W64" i="29"/>
  <c r="Y64" i="29" s="1"/>
  <c r="BQ70" i="29"/>
  <c r="AN70" i="29"/>
  <c r="AO70" i="29"/>
  <c r="U66" i="29"/>
  <c r="AC66" i="29" s="1"/>
  <c r="F63" i="39"/>
  <c r="E48" i="40"/>
  <c r="V66" i="29"/>
  <c r="S67" i="29"/>
  <c r="T67" i="29"/>
  <c r="AF66" i="29"/>
  <c r="AE66" i="29"/>
  <c r="CF68" i="29"/>
  <c r="CE68" i="29"/>
  <c r="CI67" i="29"/>
  <c r="CP67" i="29"/>
  <c r="B209" i="39"/>
  <c r="C209" i="39" s="1"/>
  <c r="B53" i="40"/>
  <c r="C53" i="40" s="1"/>
  <c r="B84" i="15"/>
  <c r="C84" i="15" s="1"/>
  <c r="CG67" i="29"/>
  <c r="BP67" i="29"/>
  <c r="BD68" i="29"/>
  <c r="BC67" i="29"/>
  <c r="BF67" i="29" s="1"/>
  <c r="BE67" i="29"/>
  <c r="BG67" i="29" s="1"/>
  <c r="BA67" i="29" s="1"/>
  <c r="AZ66" i="29"/>
  <c r="BH66" i="29"/>
  <c r="BB66" i="29" s="1"/>
  <c r="BZ66" i="29" s="1"/>
  <c r="B69" i="39"/>
  <c r="AA68" i="39"/>
  <c r="B336" i="15"/>
  <c r="C336" i="15" s="1"/>
  <c r="Z68" i="39"/>
  <c r="AB68" i="39"/>
  <c r="AG68" i="39"/>
  <c r="AF68" i="39"/>
  <c r="AD68" i="39"/>
  <c r="D68" i="39"/>
  <c r="B52" i="44" l="1"/>
  <c r="B52" i="45" s="1"/>
  <c r="Z64" i="29"/>
  <c r="CV60" i="29"/>
  <c r="CO60" i="29" s="1"/>
  <c r="CQ60" i="29" s="1"/>
  <c r="CX60" i="29"/>
  <c r="BC77" i="44"/>
  <c r="BH72" i="44"/>
  <c r="BE75" i="44"/>
  <c r="BC8" i="44"/>
  <c r="BF5" i="44"/>
  <c r="BH3" i="44"/>
  <c r="AB66" i="29"/>
  <c r="C187" i="15"/>
  <c r="W187" i="15"/>
  <c r="Y187" i="15"/>
  <c r="BQ71" i="29"/>
  <c r="BX69" i="29"/>
  <c r="S68" i="29"/>
  <c r="U68" i="29" s="1"/>
  <c r="T68" i="29"/>
  <c r="V67" i="29"/>
  <c r="AE67" i="29"/>
  <c r="AF67" i="29"/>
  <c r="AO71" i="29"/>
  <c r="AN71" i="29"/>
  <c r="W65" i="29"/>
  <c r="Y65" i="29" s="1"/>
  <c r="CB66" i="29"/>
  <c r="BV66" i="29" s="1"/>
  <c r="M65" i="29"/>
  <c r="CA66" i="29"/>
  <c r="BU66" i="29" s="1"/>
  <c r="AA65" i="29"/>
  <c r="CR66" i="29"/>
  <c r="CS66" i="29"/>
  <c r="CM66" i="29" s="1"/>
  <c r="J68" i="29"/>
  <c r="L67" i="29"/>
  <c r="AQ67" i="29"/>
  <c r="K68" i="29"/>
  <c r="CE69" i="29"/>
  <c r="CI68" i="29"/>
  <c r="CF69" i="29"/>
  <c r="CP68" i="29"/>
  <c r="U67" i="29"/>
  <c r="AC67" i="29" s="1"/>
  <c r="Q66" i="29"/>
  <c r="R66" i="29"/>
  <c r="AW70" i="29"/>
  <c r="AP70" i="29"/>
  <c r="AV70" i="29" s="1"/>
  <c r="AR70" i="29" s="1"/>
  <c r="CC65" i="29"/>
  <c r="X65" i="29"/>
  <c r="BN70" i="29"/>
  <c r="BR69" i="29"/>
  <c r="BO70" i="29"/>
  <c r="F64" i="39"/>
  <c r="E49" i="40"/>
  <c r="CL65" i="29"/>
  <c r="CW65" i="29"/>
  <c r="AX69" i="29"/>
  <c r="AZ67" i="29"/>
  <c r="BH67" i="29"/>
  <c r="BB67" i="29" s="1"/>
  <c r="BZ67" i="29" s="1"/>
  <c r="B210" i="39"/>
  <c r="C210" i="39" s="1"/>
  <c r="BD69" i="29"/>
  <c r="BE68" i="29"/>
  <c r="BG68" i="29" s="1"/>
  <c r="BA68" i="29" s="1"/>
  <c r="BP68" i="29"/>
  <c r="CG68" i="29"/>
  <c r="BC68" i="29"/>
  <c r="BF68" i="29" s="1"/>
  <c r="B54" i="40"/>
  <c r="C54" i="40" s="1"/>
  <c r="B337" i="15"/>
  <c r="C337" i="15" s="1"/>
  <c r="AB69" i="39"/>
  <c r="Z69" i="39"/>
  <c r="AF69" i="39"/>
  <c r="AG69" i="39"/>
  <c r="AD69" i="39"/>
  <c r="C69" i="39"/>
  <c r="B85" i="15"/>
  <c r="C85" i="15" s="1"/>
  <c r="I53" i="40"/>
  <c r="H53" i="40"/>
  <c r="D53" i="40"/>
  <c r="D69" i="39" s="1"/>
  <c r="J53" i="40"/>
  <c r="F53" i="40"/>
  <c r="G53" i="40"/>
  <c r="B53" i="44" l="1"/>
  <c r="B53" i="45" s="1"/>
  <c r="Z65" i="29"/>
  <c r="CX61" i="29"/>
  <c r="CV61" i="29"/>
  <c r="CO61" i="29" s="1"/>
  <c r="CQ61" i="29" s="1"/>
  <c r="BI3" i="44"/>
  <c r="BD8" i="44"/>
  <c r="BI72" i="44"/>
  <c r="BG5" i="44"/>
  <c r="BF75" i="44"/>
  <c r="BD77" i="44"/>
  <c r="X187" i="15"/>
  <c r="B188" i="15"/>
  <c r="C188" i="15" s="1"/>
  <c r="AB67" i="29"/>
  <c r="CC66" i="29"/>
  <c r="BX70" i="29"/>
  <c r="CR67" i="29"/>
  <c r="CB67" i="29"/>
  <c r="BV67" i="29" s="1"/>
  <c r="CS67" i="29"/>
  <c r="CM67" i="29" s="1"/>
  <c r="CA67" i="29"/>
  <c r="BU67" i="29" s="1"/>
  <c r="AA66" i="29"/>
  <c r="M66" i="29"/>
  <c r="W66" i="29"/>
  <c r="Y66" i="29" s="1"/>
  <c r="Z66" i="29" s="1"/>
  <c r="AW71" i="29"/>
  <c r="AP71" i="29"/>
  <c r="AV71" i="29" s="1"/>
  <c r="AR71" i="29" s="1"/>
  <c r="BQ72" i="29"/>
  <c r="F65" i="39"/>
  <c r="E50" i="40"/>
  <c r="X66" i="29"/>
  <c r="CL66" i="29"/>
  <c r="CW66" i="29"/>
  <c r="AO72" i="29"/>
  <c r="AN72" i="29"/>
  <c r="T69" i="29"/>
  <c r="V68" i="29"/>
  <c r="S69" i="29"/>
  <c r="AF68" i="29"/>
  <c r="AE68" i="29"/>
  <c r="CE70" i="29"/>
  <c r="CF70" i="29"/>
  <c r="CI69" i="29"/>
  <c r="BN71" i="29"/>
  <c r="BR70" i="29"/>
  <c r="BY70" i="29"/>
  <c r="BO71" i="29"/>
  <c r="CT70" i="29"/>
  <c r="AX70" i="29"/>
  <c r="Q67" i="29"/>
  <c r="R67" i="29"/>
  <c r="L68" i="29"/>
  <c r="AQ68" i="29"/>
  <c r="K69" i="29"/>
  <c r="J69" i="29"/>
  <c r="CH70" i="29"/>
  <c r="Q68" i="29"/>
  <c r="R68" i="29"/>
  <c r="B86" i="15"/>
  <c r="C86" i="15" s="1"/>
  <c r="B87" i="15" s="1"/>
  <c r="B70" i="39"/>
  <c r="C70" i="39" s="1"/>
  <c r="AA69" i="39"/>
  <c r="B55" i="40"/>
  <c r="C55" i="40" s="1"/>
  <c r="B211" i="39"/>
  <c r="C211" i="39" s="1"/>
  <c r="I54" i="40"/>
  <c r="F54" i="40"/>
  <c r="J54" i="40"/>
  <c r="H54" i="40"/>
  <c r="D54" i="40"/>
  <c r="G54" i="40"/>
  <c r="AZ68" i="29"/>
  <c r="BH68" i="29"/>
  <c r="BB68" i="29" s="1"/>
  <c r="BZ68" i="29" s="1"/>
  <c r="BI69" i="29"/>
  <c r="BP69" i="29"/>
  <c r="BE69" i="29"/>
  <c r="BG69" i="29" s="1"/>
  <c r="BA69" i="29" s="1"/>
  <c r="BC69" i="29"/>
  <c r="BF69" i="29" s="1"/>
  <c r="CG69" i="29"/>
  <c r="BD70" i="29"/>
  <c r="B338" i="15"/>
  <c r="C338" i="15" s="1"/>
  <c r="B54" i="44" l="1"/>
  <c r="B54" i="45" s="1"/>
  <c r="CV62" i="29"/>
  <c r="CO62" i="29" s="1"/>
  <c r="CQ62" i="29" s="1"/>
  <c r="CX62" i="29"/>
  <c r="BE77" i="44"/>
  <c r="BH5" i="44"/>
  <c r="BE8" i="44"/>
  <c r="BG75" i="44"/>
  <c r="BJ72" i="44"/>
  <c r="BJ3" i="44"/>
  <c r="X188" i="15"/>
  <c r="B189" i="15"/>
  <c r="W188" i="15"/>
  <c r="Y188" i="15"/>
  <c r="BX71" i="29"/>
  <c r="AW72" i="29"/>
  <c r="AP72" i="29"/>
  <c r="AV72" i="29" s="1"/>
  <c r="AR72" i="29" s="1"/>
  <c r="CT71" i="29"/>
  <c r="AX71" i="29"/>
  <c r="CL67" i="29"/>
  <c r="CW67" i="29"/>
  <c r="AA68" i="29"/>
  <c r="CA69" i="29"/>
  <c r="BU69" i="29" s="1"/>
  <c r="CR69" i="29"/>
  <c r="W68" i="29"/>
  <c r="CB69" i="29" s="1"/>
  <c r="CE71" i="29"/>
  <c r="CP70" i="29"/>
  <c r="CF71" i="29"/>
  <c r="CI70" i="29"/>
  <c r="E51" i="40"/>
  <c r="F66" i="39"/>
  <c r="CH71" i="29"/>
  <c r="CH72" i="29" s="1"/>
  <c r="S70" i="29"/>
  <c r="T70" i="29"/>
  <c r="V69" i="29"/>
  <c r="AF69" i="29"/>
  <c r="AE69" i="29"/>
  <c r="J70" i="29"/>
  <c r="AQ69" i="29"/>
  <c r="L69" i="29"/>
  <c r="K70" i="29"/>
  <c r="X67" i="29"/>
  <c r="W67" i="29"/>
  <c r="Y67" i="29" s="1"/>
  <c r="Z67" i="29" s="1"/>
  <c r="M67" i="29"/>
  <c r="CR68" i="29"/>
  <c r="CB68" i="29"/>
  <c r="BV68" i="29" s="1"/>
  <c r="AA67" i="29"/>
  <c r="CS68" i="29"/>
  <c r="CM68" i="29" s="1"/>
  <c r="CA68" i="29"/>
  <c r="BU68" i="29" s="1"/>
  <c r="BN72" i="29"/>
  <c r="BR71" i="29"/>
  <c r="BY71" i="29"/>
  <c r="BO72" i="29"/>
  <c r="U69" i="29"/>
  <c r="AC69" i="29" s="1"/>
  <c r="AO73" i="29"/>
  <c r="AN73" i="29"/>
  <c r="CC67" i="29"/>
  <c r="B212" i="39"/>
  <c r="C212" i="39" s="1"/>
  <c r="BH69" i="29"/>
  <c r="BB69" i="29" s="1"/>
  <c r="AZ69" i="29"/>
  <c r="BY69" i="29" s="1"/>
  <c r="BW69" i="29" s="1"/>
  <c r="BZ69" i="29"/>
  <c r="B56" i="40"/>
  <c r="C56" i="40" s="1"/>
  <c r="BE70" i="29"/>
  <c r="BG70" i="29" s="1"/>
  <c r="BA70" i="29" s="1"/>
  <c r="BD71" i="29"/>
  <c r="BC70" i="29"/>
  <c r="BF70" i="29" s="1"/>
  <c r="BP70" i="29"/>
  <c r="CG70" i="29"/>
  <c r="F55" i="40"/>
  <c r="G55" i="40"/>
  <c r="D55" i="40"/>
  <c r="J55" i="40"/>
  <c r="H55" i="40"/>
  <c r="I55" i="40"/>
  <c r="B71" i="39"/>
  <c r="AA70" i="39"/>
  <c r="Z70" i="39"/>
  <c r="AB70" i="39"/>
  <c r="AF70" i="39"/>
  <c r="D70" i="39"/>
  <c r="AG70" i="39"/>
  <c r="AD70" i="39"/>
  <c r="B339" i="15"/>
  <c r="C339" i="15" s="1"/>
  <c r="C87" i="15"/>
  <c r="B55" i="44" l="1"/>
  <c r="B55" i="45" s="1"/>
  <c r="CV63" i="29"/>
  <c r="CO63" i="29" s="1"/>
  <c r="CQ63" i="29" s="1"/>
  <c r="CX63" i="29"/>
  <c r="BK3" i="44"/>
  <c r="BH75" i="44"/>
  <c r="BI5" i="44"/>
  <c r="BK72" i="44"/>
  <c r="BF8" i="44"/>
  <c r="BF77" i="44"/>
  <c r="C189" i="15"/>
  <c r="Y189" i="15"/>
  <c r="W189" i="15"/>
  <c r="AB69" i="29"/>
  <c r="CS69" i="29"/>
  <c r="CT69" i="29" s="1"/>
  <c r="CW69" i="29" s="1"/>
  <c r="BV69" i="29"/>
  <c r="BS69" i="29" s="1"/>
  <c r="CC69" i="29"/>
  <c r="AO74" i="29"/>
  <c r="AN74" i="29"/>
  <c r="BX72" i="29"/>
  <c r="CT72" i="29"/>
  <c r="AX72" i="29"/>
  <c r="R69" i="29"/>
  <c r="Q69" i="29"/>
  <c r="X69" i="29" s="1"/>
  <c r="BN73" i="29"/>
  <c r="BR72" i="29"/>
  <c r="BO73" i="29"/>
  <c r="BY72" i="29"/>
  <c r="CC68" i="29"/>
  <c r="BQ73" i="29"/>
  <c r="T71" i="29"/>
  <c r="V70" i="29"/>
  <c r="S71" i="29"/>
  <c r="AF70" i="29"/>
  <c r="AE70" i="29"/>
  <c r="CF72" i="29"/>
  <c r="CP71" i="29"/>
  <c r="CI71" i="29"/>
  <c r="CE72" i="29"/>
  <c r="CL68" i="29"/>
  <c r="CW68" i="29"/>
  <c r="AQ70" i="29"/>
  <c r="J71" i="29"/>
  <c r="L70" i="29"/>
  <c r="K71" i="29"/>
  <c r="U70" i="29"/>
  <c r="AC70" i="29" s="1"/>
  <c r="AW73" i="29"/>
  <c r="AP73" i="29"/>
  <c r="AV73" i="29" s="1"/>
  <c r="AR73" i="29" s="1"/>
  <c r="CH73" i="29"/>
  <c r="F67" i="39"/>
  <c r="E52" i="40"/>
  <c r="B88" i="15"/>
  <c r="C88" i="15" s="1"/>
  <c r="G56" i="40"/>
  <c r="I56" i="40"/>
  <c r="H56" i="40"/>
  <c r="D56" i="40"/>
  <c r="J56" i="40"/>
  <c r="F56" i="40"/>
  <c r="AB71" i="39"/>
  <c r="Z71" i="39"/>
  <c r="D71" i="39"/>
  <c r="AG71" i="39"/>
  <c r="AD71" i="39"/>
  <c r="AF71" i="39"/>
  <c r="C71" i="39"/>
  <c r="AZ70" i="29"/>
  <c r="BH70" i="29"/>
  <c r="BB70" i="29" s="1"/>
  <c r="BZ70" i="29" s="1"/>
  <c r="BT69" i="29"/>
  <c r="M68" i="29" s="1"/>
  <c r="CG71" i="29"/>
  <c r="BC71" i="29"/>
  <c r="BF71" i="29" s="1"/>
  <c r="BD72" i="29"/>
  <c r="BE71" i="29"/>
  <c r="BG71" i="29" s="1"/>
  <c r="BA71" i="29" s="1"/>
  <c r="BP71" i="29"/>
  <c r="B340" i="15"/>
  <c r="C340" i="15" s="1"/>
  <c r="B57" i="40"/>
  <c r="C57" i="40" s="1"/>
  <c r="B213" i="39"/>
  <c r="C213" i="39" s="1"/>
  <c r="B56" i="44" l="1"/>
  <c r="B56" i="45" s="1"/>
  <c r="CV64" i="29"/>
  <c r="CO64" i="29" s="1"/>
  <c r="CQ64" i="29" s="1"/>
  <c r="CX64" i="29"/>
  <c r="BG77" i="44"/>
  <c r="BL72" i="44"/>
  <c r="BI75" i="44"/>
  <c r="BG8" i="44"/>
  <c r="BJ5" i="44"/>
  <c r="BL3" i="44"/>
  <c r="X189" i="15"/>
  <c r="B190" i="15"/>
  <c r="AW74" i="29"/>
  <c r="AP74" i="29"/>
  <c r="AV74" i="29" s="1"/>
  <c r="AR74" i="29" s="1"/>
  <c r="AB70" i="29"/>
  <c r="CI72" i="29"/>
  <c r="CE73" i="29"/>
  <c r="CF73" i="29"/>
  <c r="CP72" i="29"/>
  <c r="V71" i="29"/>
  <c r="T72" i="29"/>
  <c r="S72" i="29"/>
  <c r="AE71" i="29"/>
  <c r="AF71" i="29"/>
  <c r="BY73" i="29"/>
  <c r="BO74" i="29"/>
  <c r="BR73" i="29"/>
  <c r="BN74" i="29"/>
  <c r="AO75" i="29"/>
  <c r="AN75" i="29"/>
  <c r="BQ74" i="29"/>
  <c r="R70" i="29"/>
  <c r="Q70" i="29"/>
  <c r="X70" i="29" s="1"/>
  <c r="CT73" i="29"/>
  <c r="AX73" i="29"/>
  <c r="CR70" i="29"/>
  <c r="W69" i="29"/>
  <c r="Y69" i="29" s="1"/>
  <c r="CA70" i="29"/>
  <c r="BU70" i="29" s="1"/>
  <c r="AA69" i="29"/>
  <c r="CS70" i="29"/>
  <c r="CM70" i="29" s="1"/>
  <c r="M69" i="29"/>
  <c r="CB70" i="29"/>
  <c r="BV70" i="29" s="1"/>
  <c r="CL69" i="29"/>
  <c r="F68" i="39"/>
  <c r="E53" i="40"/>
  <c r="CM69" i="29"/>
  <c r="J72" i="29"/>
  <c r="L71" i="29"/>
  <c r="AQ71" i="29"/>
  <c r="K72" i="29"/>
  <c r="U71" i="29"/>
  <c r="AB71" i="29" s="1"/>
  <c r="BX73" i="29"/>
  <c r="B341" i="15"/>
  <c r="C341" i="15" s="1"/>
  <c r="B214" i="39"/>
  <c r="C214" i="39" s="1"/>
  <c r="AZ71" i="29"/>
  <c r="BH71" i="29"/>
  <c r="BB71" i="29" s="1"/>
  <c r="BZ71" i="29" s="1"/>
  <c r="H15" i="29"/>
  <c r="K8" i="40" s="1"/>
  <c r="X68" i="29"/>
  <c r="Y68" i="29" s="1"/>
  <c r="B58" i="40"/>
  <c r="C58" i="40" s="1"/>
  <c r="B89" i="15"/>
  <c r="C89" i="15" s="1"/>
  <c r="H57" i="40"/>
  <c r="G57" i="40"/>
  <c r="F57" i="40"/>
  <c r="J57" i="40"/>
  <c r="I57" i="40"/>
  <c r="D57" i="40"/>
  <c r="BP72" i="29"/>
  <c r="CG72" i="29"/>
  <c r="BD73" i="29"/>
  <c r="BE72" i="29"/>
  <c r="BG72" i="29" s="1"/>
  <c r="BA72" i="29" s="1"/>
  <c r="BC72" i="29"/>
  <c r="BF72" i="29" s="1"/>
  <c r="AA71" i="39"/>
  <c r="B72" i="39"/>
  <c r="C72" i="39" s="1"/>
  <c r="B57" i="44" l="1"/>
  <c r="B57" i="45" s="1"/>
  <c r="CV65" i="29"/>
  <c r="CO65" i="29" s="1"/>
  <c r="CQ65" i="29" s="1"/>
  <c r="CX65" i="29"/>
  <c r="BM3" i="44"/>
  <c r="BH8" i="44"/>
  <c r="BM72" i="44"/>
  <c r="BK5" i="44"/>
  <c r="BJ75" i="44"/>
  <c r="BH77" i="44"/>
  <c r="G15" i="29"/>
  <c r="C190" i="15"/>
  <c r="Y190" i="15"/>
  <c r="W190" i="15"/>
  <c r="AC71" i="29"/>
  <c r="CC70" i="29"/>
  <c r="Q71" i="29"/>
  <c r="R71" i="29"/>
  <c r="K73" i="29"/>
  <c r="J73" i="29"/>
  <c r="L72" i="29"/>
  <c r="AQ72" i="29"/>
  <c r="CT74" i="29"/>
  <c r="AX74" i="29"/>
  <c r="F69" i="39"/>
  <c r="E54" i="40"/>
  <c r="AW75" i="29"/>
  <c r="AP75" i="29"/>
  <c r="AV75" i="29" s="1"/>
  <c r="AR75" i="29" s="1"/>
  <c r="BN75" i="29"/>
  <c r="BR74" i="29"/>
  <c r="BY74" i="29"/>
  <c r="BO75" i="29"/>
  <c r="U72" i="29"/>
  <c r="AC72" i="29" s="1"/>
  <c r="CP73" i="29"/>
  <c r="CI73" i="29"/>
  <c r="CF74" i="29"/>
  <c r="CE74" i="29"/>
  <c r="CH74" i="29"/>
  <c r="CH75" i="29" s="1"/>
  <c r="CL70" i="29"/>
  <c r="CW70" i="29"/>
  <c r="CB71" i="29"/>
  <c r="BV71" i="29" s="1"/>
  <c r="M70" i="29"/>
  <c r="CS71" i="29"/>
  <c r="CM71" i="29" s="1"/>
  <c r="AA70" i="29"/>
  <c r="CR71" i="29"/>
  <c r="W70" i="29"/>
  <c r="Y70" i="29" s="1"/>
  <c r="CA71" i="29"/>
  <c r="BU71" i="29" s="1"/>
  <c r="BQ75" i="29"/>
  <c r="BQ76" i="29" s="1"/>
  <c r="AN76" i="29"/>
  <c r="AO76" i="29"/>
  <c r="S73" i="29"/>
  <c r="T73" i="29"/>
  <c r="V72" i="29"/>
  <c r="AE72" i="29"/>
  <c r="AF72" i="29"/>
  <c r="BX74" i="29"/>
  <c r="B73" i="39"/>
  <c r="C73" i="39" s="1"/>
  <c r="AA72" i="39"/>
  <c r="B215" i="39"/>
  <c r="C215" i="39" s="1"/>
  <c r="M8" i="40"/>
  <c r="H155" i="15" s="1"/>
  <c r="AI24" i="39"/>
  <c r="Z68" i="29"/>
  <c r="B59" i="40"/>
  <c r="C59" i="40" s="1"/>
  <c r="I24" i="39"/>
  <c r="G22" i="15"/>
  <c r="D155" i="15"/>
  <c r="B90" i="15"/>
  <c r="C90" i="15" s="1"/>
  <c r="AZ72" i="29"/>
  <c r="BH72" i="29"/>
  <c r="BB72" i="29" s="1"/>
  <c r="BZ72" i="29" s="1"/>
  <c r="H58" i="40"/>
  <c r="I58" i="40"/>
  <c r="D58" i="40"/>
  <c r="G58" i="40"/>
  <c r="J58" i="40"/>
  <c r="F58" i="40"/>
  <c r="B342" i="15"/>
  <c r="C342" i="15" s="1"/>
  <c r="CG73" i="29"/>
  <c r="BP73" i="29"/>
  <c r="BC73" i="29"/>
  <c r="BF73" i="29" s="1"/>
  <c r="BE73" i="29"/>
  <c r="BG73" i="29" s="1"/>
  <c r="BA73" i="29" s="1"/>
  <c r="BD74" i="29"/>
  <c r="AB72" i="39"/>
  <c r="Z72" i="39"/>
  <c r="AF72" i="39"/>
  <c r="D72" i="39"/>
  <c r="AD72" i="39"/>
  <c r="AG72" i="39"/>
  <c r="B58" i="44" l="1"/>
  <c r="B58" i="45" s="1"/>
  <c r="CX66" i="29"/>
  <c r="CV66" i="29"/>
  <c r="CO66" i="29" s="1"/>
  <c r="CQ66" i="29" s="1"/>
  <c r="BI77" i="44"/>
  <c r="BL5" i="44"/>
  <c r="BI8" i="44"/>
  <c r="BK75" i="44"/>
  <c r="BN72" i="44"/>
  <c r="BN3" i="44"/>
  <c r="X190" i="15"/>
  <c r="B191" i="15"/>
  <c r="S74" i="29"/>
  <c r="V73" i="29"/>
  <c r="T74" i="29"/>
  <c r="AF73" i="29"/>
  <c r="AE73" i="29"/>
  <c r="CL71" i="29"/>
  <c r="CW71" i="29"/>
  <c r="CH76" i="29"/>
  <c r="BO76" i="29"/>
  <c r="BR75" i="29"/>
  <c r="BY75" i="29"/>
  <c r="BN76" i="29"/>
  <c r="F70" i="39"/>
  <c r="E55" i="40"/>
  <c r="CS72" i="29"/>
  <c r="CM72" i="29" s="1"/>
  <c r="CB72" i="29"/>
  <c r="BV72" i="29" s="1"/>
  <c r="CR72" i="29"/>
  <c r="AA71" i="29"/>
  <c r="CA72" i="29"/>
  <c r="BU72" i="29" s="1"/>
  <c r="M71" i="29"/>
  <c r="W71" i="29"/>
  <c r="Y71" i="29" s="1"/>
  <c r="U73" i="29"/>
  <c r="AB73" i="29" s="1"/>
  <c r="CC71" i="29"/>
  <c r="R72" i="29"/>
  <c r="Q72" i="29"/>
  <c r="X72" i="29" s="1"/>
  <c r="CT75" i="29"/>
  <c r="AX75" i="29"/>
  <c r="X71" i="29"/>
  <c r="AN77" i="29"/>
  <c r="AO77" i="29"/>
  <c r="CI74" i="29"/>
  <c r="CE75" i="29"/>
  <c r="CF75" i="29"/>
  <c r="CP74" i="29"/>
  <c r="J74" i="29"/>
  <c r="L73" i="29"/>
  <c r="K74" i="29"/>
  <c r="AQ73" i="29"/>
  <c r="AW76" i="29"/>
  <c r="AP76" i="29"/>
  <c r="AV76" i="29" s="1"/>
  <c r="AR76" i="29" s="1"/>
  <c r="AB72" i="29"/>
  <c r="BX75" i="29"/>
  <c r="B91" i="15"/>
  <c r="C91" i="15" s="1"/>
  <c r="B343" i="15"/>
  <c r="C343" i="15" s="1"/>
  <c r="BD75" i="29"/>
  <c r="CG74" i="29"/>
  <c r="BE74" i="29"/>
  <c r="BG74" i="29" s="1"/>
  <c r="BA74" i="29" s="1"/>
  <c r="BP74" i="29"/>
  <c r="BC74" i="29"/>
  <c r="BF74" i="29" s="1"/>
  <c r="J59" i="40"/>
  <c r="D59" i="40"/>
  <c r="G59" i="40"/>
  <c r="H59" i="40"/>
  <c r="I59" i="40"/>
  <c r="F59" i="40"/>
  <c r="B216" i="39"/>
  <c r="C216" i="39" s="1"/>
  <c r="Z69" i="29"/>
  <c r="Z70" i="29" s="1"/>
  <c r="AB68" i="29"/>
  <c r="AC68" i="29"/>
  <c r="N8" i="40"/>
  <c r="AB73" i="39"/>
  <c r="Z73" i="39"/>
  <c r="AD73" i="39"/>
  <c r="AG73" i="39"/>
  <c r="AF73" i="39"/>
  <c r="D73" i="39"/>
  <c r="AZ73" i="29"/>
  <c r="BH73" i="29"/>
  <c r="BB73" i="29" s="1"/>
  <c r="BZ73" i="29" s="1"/>
  <c r="B60" i="40"/>
  <c r="C60" i="40" s="1"/>
  <c r="AA73" i="39"/>
  <c r="B74" i="39"/>
  <c r="C74" i="39" s="1"/>
  <c r="B59" i="44" l="1"/>
  <c r="B59" i="45" s="1"/>
  <c r="CV67" i="29"/>
  <c r="CO67" i="29" s="1"/>
  <c r="CQ67" i="29" s="1"/>
  <c r="CX67" i="29"/>
  <c r="BO3" i="44"/>
  <c r="BL75" i="44"/>
  <c r="BM5" i="44"/>
  <c r="BO72" i="44"/>
  <c r="BJ8" i="44"/>
  <c r="BJ77" i="44"/>
  <c r="Z71" i="29"/>
  <c r="C191" i="15"/>
  <c r="Y191" i="15"/>
  <c r="W191" i="15"/>
  <c r="K75" i="29"/>
  <c r="L74" i="29"/>
  <c r="J75" i="29"/>
  <c r="AQ74" i="29"/>
  <c r="CS73" i="29"/>
  <c r="CM73" i="29" s="1"/>
  <c r="AA72" i="29"/>
  <c r="M72" i="29"/>
  <c r="CB73" i="29"/>
  <c r="BV73" i="29" s="1"/>
  <c r="W72" i="29"/>
  <c r="Y72" i="29" s="1"/>
  <c r="Z72" i="29" s="1"/>
  <c r="CA73" i="29"/>
  <c r="BU73" i="29" s="1"/>
  <c r="CR73" i="29"/>
  <c r="Q73" i="29"/>
  <c r="R73" i="29"/>
  <c r="CL72" i="29"/>
  <c r="CW72" i="29"/>
  <c r="BR76" i="29"/>
  <c r="BY76" i="29"/>
  <c r="BO77" i="29"/>
  <c r="BN77" i="29"/>
  <c r="BQ77" i="29"/>
  <c r="BQ78" i="29" s="1"/>
  <c r="CF76" i="29"/>
  <c r="CE76" i="29"/>
  <c r="CP75" i="29"/>
  <c r="CI75" i="29"/>
  <c r="AW77" i="29"/>
  <c r="AP77" i="29"/>
  <c r="AV77" i="29" s="1"/>
  <c r="AR77" i="29" s="1"/>
  <c r="AC73" i="29"/>
  <c r="CT76" i="29"/>
  <c r="AX76" i="29"/>
  <c r="AO78" i="29"/>
  <c r="AN78" i="29"/>
  <c r="BX76" i="29"/>
  <c r="CH77" i="29"/>
  <c r="U74" i="29"/>
  <c r="AB74" i="29" s="1"/>
  <c r="CC72" i="29"/>
  <c r="F71" i="39"/>
  <c r="E56" i="40"/>
  <c r="T75" i="29"/>
  <c r="S75" i="29"/>
  <c r="V74" i="29"/>
  <c r="AE74" i="29"/>
  <c r="AF74" i="29"/>
  <c r="B344" i="15"/>
  <c r="C344" i="15" s="1"/>
  <c r="B75" i="39"/>
  <c r="C75" i="39" s="1"/>
  <c r="AA74" i="39"/>
  <c r="Q8" i="40"/>
  <c r="AJ24" i="39"/>
  <c r="B92" i="15"/>
  <c r="C92" i="15" s="1"/>
  <c r="B61" i="40"/>
  <c r="C61" i="40" s="1"/>
  <c r="J60" i="40"/>
  <c r="G60" i="40"/>
  <c r="I60" i="40"/>
  <c r="H60" i="40"/>
  <c r="F60" i="40"/>
  <c r="D60" i="40"/>
  <c r="G125" i="40"/>
  <c r="J155" i="15"/>
  <c r="O24" i="39"/>
  <c r="R8" i="40"/>
  <c r="AK24" i="39"/>
  <c r="AZ74" i="29"/>
  <c r="BH74" i="29"/>
  <c r="BB74" i="29" s="1"/>
  <c r="BZ74" i="29" s="1"/>
  <c r="CG75" i="29"/>
  <c r="BC75" i="29"/>
  <c r="BF75" i="29" s="1"/>
  <c r="BE75" i="29"/>
  <c r="BG75" i="29" s="1"/>
  <c r="BA75" i="29" s="1"/>
  <c r="BD76" i="29"/>
  <c r="BP75" i="29"/>
  <c r="AB74" i="39"/>
  <c r="Z74" i="39"/>
  <c r="AF74" i="39"/>
  <c r="D74" i="39"/>
  <c r="AG74" i="39"/>
  <c r="AD74" i="39"/>
  <c r="B217" i="39"/>
  <c r="B60" i="44" l="1"/>
  <c r="B60" i="45" s="1"/>
  <c r="CV68" i="29"/>
  <c r="CO68" i="29" s="1"/>
  <c r="CQ68" i="29" s="1"/>
  <c r="CP69" i="29" s="1"/>
  <c r="CN69" i="29" s="1"/>
  <c r="CJ69" i="29" s="1"/>
  <c r="AJ15" i="29" s="1"/>
  <c r="AK15" i="29" s="1"/>
  <c r="CX68" i="29"/>
  <c r="BK77" i="44"/>
  <c r="BP72" i="44"/>
  <c r="BM75" i="44"/>
  <c r="BK8" i="44"/>
  <c r="BN5" i="44"/>
  <c r="BP3" i="44"/>
  <c r="CC73" i="29"/>
  <c r="AC74" i="29"/>
  <c r="B192" i="15"/>
  <c r="X191" i="15"/>
  <c r="AN79" i="29"/>
  <c r="AO79" i="29"/>
  <c r="BX77" i="29"/>
  <c r="CA74" i="29"/>
  <c r="BU74" i="29" s="1"/>
  <c r="CR74" i="29"/>
  <c r="M73" i="29"/>
  <c r="AA73" i="29"/>
  <c r="W73" i="29"/>
  <c r="Y73" i="29" s="1"/>
  <c r="Z73" i="29" s="1"/>
  <c r="CB74" i="29"/>
  <c r="BV74" i="29" s="1"/>
  <c r="CS74" i="29"/>
  <c r="CM74" i="29" s="1"/>
  <c r="U75" i="29"/>
  <c r="AC75" i="29" s="1"/>
  <c r="Q74" i="29"/>
  <c r="R74" i="29"/>
  <c r="BY77" i="29"/>
  <c r="BR77" i="29"/>
  <c r="BN78" i="29"/>
  <c r="BO78" i="29"/>
  <c r="S76" i="29"/>
  <c r="T76" i="29"/>
  <c r="V75" i="29"/>
  <c r="AE75" i="29"/>
  <c r="AF75" i="29"/>
  <c r="CT77" i="29"/>
  <c r="AX77" i="29"/>
  <c r="CF77" i="29"/>
  <c r="CH78" i="29" s="1"/>
  <c r="CE77" i="29"/>
  <c r="CI76" i="29"/>
  <c r="CP76" i="29"/>
  <c r="X73" i="29"/>
  <c r="CL73" i="29"/>
  <c r="CW73" i="29"/>
  <c r="AQ75" i="29"/>
  <c r="L75" i="29"/>
  <c r="K76" i="29"/>
  <c r="J76" i="29"/>
  <c r="E57" i="40"/>
  <c r="F72" i="39"/>
  <c r="AW78" i="29"/>
  <c r="AP78" i="29"/>
  <c r="AV78" i="29" s="1"/>
  <c r="AR78" i="29" s="1"/>
  <c r="AZ75" i="29"/>
  <c r="BH75" i="29"/>
  <c r="BB75" i="29" s="1"/>
  <c r="BZ75" i="29" s="1"/>
  <c r="B62" i="40"/>
  <c r="C62" i="40" s="1"/>
  <c r="H125" i="40"/>
  <c r="Z8" i="40"/>
  <c r="U8" i="40"/>
  <c r="L155" i="15"/>
  <c r="Z75" i="39"/>
  <c r="AB75" i="39"/>
  <c r="AD75" i="39"/>
  <c r="AG75" i="39"/>
  <c r="AF75" i="39"/>
  <c r="D75" i="39"/>
  <c r="I125" i="40"/>
  <c r="V8" i="40"/>
  <c r="N155" i="15"/>
  <c r="J61" i="40"/>
  <c r="G61" i="40"/>
  <c r="H61" i="40"/>
  <c r="D61" i="40"/>
  <c r="F61" i="40"/>
  <c r="I61" i="40"/>
  <c r="C217" i="39"/>
  <c r="CG76" i="29"/>
  <c r="BE76" i="29"/>
  <c r="BG76" i="29" s="1"/>
  <c r="BA76" i="29" s="1"/>
  <c r="BC76" i="29"/>
  <c r="BF76" i="29" s="1"/>
  <c r="BP76" i="29"/>
  <c r="BD77" i="29"/>
  <c r="B93" i="15"/>
  <c r="C93" i="15" s="1"/>
  <c r="B76" i="39"/>
  <c r="C76" i="39" s="1"/>
  <c r="AA75" i="39"/>
  <c r="B345" i="15"/>
  <c r="B61" i="44" l="1"/>
  <c r="B61" i="45" s="1"/>
  <c r="CV69" i="29"/>
  <c r="CX69" i="29"/>
  <c r="BQ3" i="44"/>
  <c r="BL8" i="44"/>
  <c r="BQ72" i="44"/>
  <c r="BO5" i="44"/>
  <c r="BN75" i="44"/>
  <c r="BL77" i="44"/>
  <c r="C192" i="15"/>
  <c r="W192" i="15"/>
  <c r="Y192" i="15"/>
  <c r="AB75" i="29"/>
  <c r="CL74" i="29"/>
  <c r="CW74" i="29"/>
  <c r="L76" i="29"/>
  <c r="AQ76" i="29"/>
  <c r="K77" i="29"/>
  <c r="J77" i="29"/>
  <c r="U76" i="29"/>
  <c r="AC76" i="29" s="1"/>
  <c r="BX78" i="29"/>
  <c r="R75" i="29"/>
  <c r="Q75" i="29"/>
  <c r="CC74" i="29"/>
  <c r="AO80" i="29"/>
  <c r="AN80" i="29"/>
  <c r="CT78" i="29"/>
  <c r="AX78" i="29"/>
  <c r="CP77" i="29"/>
  <c r="CE78" i="29"/>
  <c r="CI77" i="29"/>
  <c r="CF78" i="29"/>
  <c r="T77" i="29"/>
  <c r="V76" i="29"/>
  <c r="S77" i="29"/>
  <c r="AF76" i="29"/>
  <c r="AE76" i="29"/>
  <c r="BO79" i="29"/>
  <c r="BR78" i="29"/>
  <c r="BN79" i="29"/>
  <c r="BY78" i="29"/>
  <c r="CA75" i="29"/>
  <c r="BU75" i="29" s="1"/>
  <c r="AA74" i="29"/>
  <c r="M74" i="29"/>
  <c r="W74" i="29"/>
  <c r="Y74" i="29" s="1"/>
  <c r="Z74" i="29" s="1"/>
  <c r="CS75" i="29"/>
  <c r="CM75" i="29" s="1"/>
  <c r="CR75" i="29"/>
  <c r="CB75" i="29"/>
  <c r="BV75" i="29" s="1"/>
  <c r="BQ79" i="29"/>
  <c r="BQ80" i="29" s="1"/>
  <c r="E58" i="40"/>
  <c r="F73" i="39"/>
  <c r="X74" i="29"/>
  <c r="AW79" i="29"/>
  <c r="AP79" i="29"/>
  <c r="AV79" i="29" s="1"/>
  <c r="AR79" i="29" s="1"/>
  <c r="BD78" i="29"/>
  <c r="BP77" i="29"/>
  <c r="CG77" i="29"/>
  <c r="BC77" i="29"/>
  <c r="BF77" i="29" s="1"/>
  <c r="BE77" i="29"/>
  <c r="BG77" i="29" s="1"/>
  <c r="BA77" i="29" s="1"/>
  <c r="AA76" i="39"/>
  <c r="B85" i="39"/>
  <c r="C85" i="39" s="1"/>
  <c r="P155" i="15"/>
  <c r="R24" i="39"/>
  <c r="B63" i="40"/>
  <c r="C63" i="40" s="1"/>
  <c r="B94" i="15"/>
  <c r="AZ76" i="29"/>
  <c r="BH76" i="29"/>
  <c r="BB76" i="29" s="1"/>
  <c r="BZ76" i="29" s="1"/>
  <c r="B218" i="39"/>
  <c r="G62" i="40"/>
  <c r="I62" i="40"/>
  <c r="J62" i="40"/>
  <c r="H62" i="40"/>
  <c r="D62" i="40"/>
  <c r="F62" i="40"/>
  <c r="C345" i="15"/>
  <c r="Z76" i="39"/>
  <c r="AB76" i="39"/>
  <c r="AF76" i="39"/>
  <c r="AD76" i="39"/>
  <c r="D76" i="39"/>
  <c r="AG76" i="39"/>
  <c r="S155" i="15"/>
  <c r="U24" i="39"/>
  <c r="I8" i="44" s="1"/>
  <c r="Y8" i="40"/>
  <c r="N77" i="44" l="1"/>
  <c r="E8" i="45"/>
  <c r="B62" i="44"/>
  <c r="B62" i="45" s="1"/>
  <c r="CV70" i="29"/>
  <c r="CO70" i="29" s="1"/>
  <c r="CQ70" i="29" s="1"/>
  <c r="CX70" i="29"/>
  <c r="CO69" i="29"/>
  <c r="CQ69" i="29" s="1"/>
  <c r="CK69" i="29"/>
  <c r="AR68" i="29" s="1"/>
  <c r="AL15" i="29" s="1"/>
  <c r="BM77" i="44"/>
  <c r="BP5" i="44"/>
  <c r="BM8" i="44"/>
  <c r="BO75" i="44"/>
  <c r="BR72" i="44"/>
  <c r="BR3" i="44"/>
  <c r="CC75" i="29"/>
  <c r="X192" i="15"/>
  <c r="B193" i="15"/>
  <c r="C193" i="15" s="1"/>
  <c r="V77" i="29"/>
  <c r="T78" i="29"/>
  <c r="S78" i="29"/>
  <c r="AF77" i="29"/>
  <c r="AE77" i="29"/>
  <c r="BX79" i="29"/>
  <c r="CE79" i="29"/>
  <c r="CF79" i="29"/>
  <c r="CP78" i="29"/>
  <c r="CI78" i="29"/>
  <c r="X75" i="29"/>
  <c r="AA75" i="29"/>
  <c r="CA76" i="29"/>
  <c r="BU76" i="29" s="1"/>
  <c r="CB76" i="29"/>
  <c r="BV76" i="29" s="1"/>
  <c r="CR76" i="29"/>
  <c r="W75" i="29"/>
  <c r="Y75" i="29" s="1"/>
  <c r="Z75" i="29" s="1"/>
  <c r="M75" i="29"/>
  <c r="CS76" i="29"/>
  <c r="CM76" i="29" s="1"/>
  <c r="E59" i="40"/>
  <c r="F74" i="39"/>
  <c r="CL75" i="29"/>
  <c r="CW75" i="29"/>
  <c r="U77" i="29"/>
  <c r="AC77" i="29" s="1"/>
  <c r="AW80" i="29"/>
  <c r="AP80" i="29"/>
  <c r="AV80" i="29" s="1"/>
  <c r="R76" i="29"/>
  <c r="Q76" i="29"/>
  <c r="K78" i="29"/>
  <c r="AQ77" i="29"/>
  <c r="J78" i="29"/>
  <c r="L77" i="29"/>
  <c r="CH79" i="29"/>
  <c r="CH80" i="29" s="1"/>
  <c r="CT79" i="29"/>
  <c r="AX79" i="29"/>
  <c r="BQ81" i="29"/>
  <c r="BY79" i="29"/>
  <c r="BN80" i="29"/>
  <c r="BO80" i="29"/>
  <c r="BR79" i="29"/>
  <c r="AN81" i="29"/>
  <c r="AO81" i="29"/>
  <c r="AB76" i="29"/>
  <c r="B64" i="40"/>
  <c r="C64" i="40" s="1"/>
  <c r="B86" i="39"/>
  <c r="AA85" i="39"/>
  <c r="L290" i="15"/>
  <c r="M290" i="15" s="1"/>
  <c r="I63" i="40"/>
  <c r="H63" i="40"/>
  <c r="D63" i="40"/>
  <c r="J63" i="40"/>
  <c r="G63" i="40"/>
  <c r="F63" i="40"/>
  <c r="BP78" i="29"/>
  <c r="BE78" i="29"/>
  <c r="BG78" i="29" s="1"/>
  <c r="BA78" i="29" s="1"/>
  <c r="CG78" i="29"/>
  <c r="BD79" i="29"/>
  <c r="BC78" i="29"/>
  <c r="BF78" i="29" s="1"/>
  <c r="BH77" i="29"/>
  <c r="BB77" i="29" s="1"/>
  <c r="BZ77" i="29" s="1"/>
  <c r="AZ77" i="29"/>
  <c r="C218" i="39"/>
  <c r="C94" i="15"/>
  <c r="Z85" i="39"/>
  <c r="AB85" i="39"/>
  <c r="AD85" i="39"/>
  <c r="AG85" i="39"/>
  <c r="D85" i="39"/>
  <c r="AF85" i="39"/>
  <c r="B63" i="44" l="1"/>
  <c r="B63" i="45" s="1"/>
  <c r="CV71" i="29"/>
  <c r="CO71" i="29" s="1"/>
  <c r="CQ71" i="29" s="1"/>
  <c r="CX71" i="29"/>
  <c r="BP75" i="44"/>
  <c r="BQ5" i="44"/>
  <c r="BN8" i="44"/>
  <c r="BN77" i="44"/>
  <c r="X193" i="15"/>
  <c r="B194" i="15"/>
  <c r="C194" i="15" s="1"/>
  <c r="W193" i="15"/>
  <c r="Y193" i="15"/>
  <c r="AB77" i="29"/>
  <c r="L291" i="15"/>
  <c r="M291" i="15" s="1"/>
  <c r="AO82" i="29"/>
  <c r="AN82" i="29"/>
  <c r="X76" i="29"/>
  <c r="CS77" i="29"/>
  <c r="CM77" i="29" s="1"/>
  <c r="CR77" i="29"/>
  <c r="AA76" i="29"/>
  <c r="W76" i="29"/>
  <c r="Y76" i="29" s="1"/>
  <c r="Z76" i="29" s="1"/>
  <c r="CA77" i="29"/>
  <c r="BU77" i="29" s="1"/>
  <c r="CB77" i="29"/>
  <c r="BV77" i="29" s="1"/>
  <c r="M76" i="29"/>
  <c r="Q77" i="29"/>
  <c r="X77" i="29" s="1"/>
  <c r="R77" i="29"/>
  <c r="CC76" i="29"/>
  <c r="CL76" i="29"/>
  <c r="CW76" i="29"/>
  <c r="AW81" i="29"/>
  <c r="AP81" i="29"/>
  <c r="AV81" i="29" s="1"/>
  <c r="AR81" i="29" s="1"/>
  <c r="BN81" i="29"/>
  <c r="BY80" i="29"/>
  <c r="BO81" i="29"/>
  <c r="BR80" i="29"/>
  <c r="E60" i="40"/>
  <c r="F75" i="39"/>
  <c r="U78" i="29"/>
  <c r="AC78" i="29" s="1"/>
  <c r="BX80" i="29"/>
  <c r="L78" i="29"/>
  <c r="J79" i="29"/>
  <c r="AQ78" i="29"/>
  <c r="K79" i="29"/>
  <c r="CT80" i="29"/>
  <c r="AX80" i="29"/>
  <c r="CP79" i="29"/>
  <c r="CE80" i="29"/>
  <c r="CI79" i="29"/>
  <c r="CF80" i="29"/>
  <c r="V78" i="29"/>
  <c r="S79" i="29"/>
  <c r="T79" i="29"/>
  <c r="AF78" i="29"/>
  <c r="AE78" i="29"/>
  <c r="M163" i="39"/>
  <c r="N163" i="39" s="1"/>
  <c r="M164" i="39" s="1"/>
  <c r="BD80" i="29"/>
  <c r="BE79" i="29"/>
  <c r="BG79" i="29" s="1"/>
  <c r="BA79" i="29" s="1"/>
  <c r="CG79" i="29"/>
  <c r="BC79" i="29"/>
  <c r="BF79" i="29" s="1"/>
  <c r="BP79" i="29"/>
  <c r="Z86" i="39"/>
  <c r="AB86" i="39"/>
  <c r="AF86" i="39"/>
  <c r="D86" i="39"/>
  <c r="AD86" i="39"/>
  <c r="AG86" i="39"/>
  <c r="C86" i="39"/>
  <c r="B65" i="40"/>
  <c r="C65" i="40" s="1"/>
  <c r="B95" i="15"/>
  <c r="C95" i="15" s="1"/>
  <c r="AZ78" i="29"/>
  <c r="BH78" i="29"/>
  <c r="BB78" i="29" s="1"/>
  <c r="BZ78" i="29" s="1"/>
  <c r="G64" i="40"/>
  <c r="F64" i="40"/>
  <c r="H64" i="40"/>
  <c r="J64" i="40"/>
  <c r="I64" i="40"/>
  <c r="D64" i="40"/>
  <c r="CV72" i="29" l="1"/>
  <c r="CO72" i="29" s="1"/>
  <c r="CQ72" i="29" s="1"/>
  <c r="CX72" i="29"/>
  <c r="BR5" i="44"/>
  <c r="BO8" i="44"/>
  <c r="BQ75" i="44"/>
  <c r="BO77" i="44"/>
  <c r="B195" i="15"/>
  <c r="X194" i="15"/>
  <c r="W194" i="15"/>
  <c r="Y194" i="15"/>
  <c r="L292" i="15"/>
  <c r="M292" i="15" s="1"/>
  <c r="L293" i="15" s="1"/>
  <c r="U79" i="29"/>
  <c r="W77" i="29"/>
  <c r="Y77" i="29" s="1"/>
  <c r="Z77" i="29" s="1"/>
  <c r="CB78" i="29"/>
  <c r="BV78" i="29" s="1"/>
  <c r="M77" i="29"/>
  <c r="CS78" i="29"/>
  <c r="CM78" i="29" s="1"/>
  <c r="CR78" i="29"/>
  <c r="CA78" i="29"/>
  <c r="BU78" i="29" s="1"/>
  <c r="AA77" i="29"/>
  <c r="CE81" i="29"/>
  <c r="CP80" i="29"/>
  <c r="CF81" i="29"/>
  <c r="CI80" i="29"/>
  <c r="K80" i="29"/>
  <c r="L79" i="29"/>
  <c r="J80" i="29"/>
  <c r="AQ79" i="29"/>
  <c r="CH81" i="29"/>
  <c r="AW82" i="29"/>
  <c r="AP82" i="29"/>
  <c r="AV82" i="29" s="1"/>
  <c r="AR82" i="29" s="1"/>
  <c r="T80" i="29"/>
  <c r="S80" i="29"/>
  <c r="U80" i="29" s="1"/>
  <c r="V79" i="29"/>
  <c r="AF79" i="29"/>
  <c r="AE79" i="29"/>
  <c r="Q78" i="29"/>
  <c r="R78" i="29"/>
  <c r="E61" i="40"/>
  <c r="F76" i="39"/>
  <c r="BO82" i="29"/>
  <c r="BR81" i="29"/>
  <c r="BN82" i="29"/>
  <c r="BQ82" i="29"/>
  <c r="CL77" i="29"/>
  <c r="CW77" i="29"/>
  <c r="AO83" i="29"/>
  <c r="AN83" i="29"/>
  <c r="AB78" i="29"/>
  <c r="BX81" i="29"/>
  <c r="AX81" i="29"/>
  <c r="CC77" i="29"/>
  <c r="B96" i="15"/>
  <c r="C96" i="15" s="1"/>
  <c r="N164" i="39"/>
  <c r="B66" i="40"/>
  <c r="C66" i="40" s="1"/>
  <c r="AA86" i="39"/>
  <c r="B87" i="39"/>
  <c r="C87" i="39" s="1"/>
  <c r="CG80" i="29"/>
  <c r="BD81" i="29"/>
  <c r="BC80" i="29"/>
  <c r="BF80" i="29" s="1"/>
  <c r="BE80" i="29"/>
  <c r="BG80" i="29" s="1"/>
  <c r="BA80" i="29" s="1"/>
  <c r="BP80" i="29"/>
  <c r="F65" i="40"/>
  <c r="G65" i="40"/>
  <c r="I65" i="40"/>
  <c r="H65" i="40"/>
  <c r="D65" i="40"/>
  <c r="J65" i="40"/>
  <c r="BH79" i="29"/>
  <c r="BB79" i="29" s="1"/>
  <c r="BZ79" i="29" s="1"/>
  <c r="AZ79" i="29"/>
  <c r="CX73" i="29" l="1"/>
  <c r="CV73" i="29"/>
  <c r="CO73" i="29" s="1"/>
  <c r="CQ73" i="29" s="1"/>
  <c r="BP77" i="44"/>
  <c r="BP8" i="44"/>
  <c r="BR75" i="44"/>
  <c r="C195" i="15"/>
  <c r="W195" i="15"/>
  <c r="Y195" i="15"/>
  <c r="M293" i="15"/>
  <c r="L294" i="15" s="1"/>
  <c r="M78" i="29"/>
  <c r="CS79" i="29"/>
  <c r="CM79" i="29" s="1"/>
  <c r="CR79" i="29"/>
  <c r="CA79" i="29"/>
  <c r="BU79" i="29" s="1"/>
  <c r="W78" i="29"/>
  <c r="Y78" i="29" s="1"/>
  <c r="Z78" i="29" s="1"/>
  <c r="CB79" i="29"/>
  <c r="BV79" i="29" s="1"/>
  <c r="AA78" i="29"/>
  <c r="Q80" i="29"/>
  <c r="R80" i="29"/>
  <c r="CH82" i="29"/>
  <c r="Q79" i="29"/>
  <c r="X79" i="29" s="1"/>
  <c r="R79" i="29"/>
  <c r="E62" i="40"/>
  <c r="F85" i="39"/>
  <c r="T81" i="29"/>
  <c r="V80" i="29"/>
  <c r="S81" i="29"/>
  <c r="AF80" i="29"/>
  <c r="AE80" i="29"/>
  <c r="K81" i="29"/>
  <c r="L80" i="29"/>
  <c r="AQ80" i="29"/>
  <c r="J81" i="29"/>
  <c r="CL78" i="29"/>
  <c r="CW78" i="29"/>
  <c r="AB79" i="29"/>
  <c r="AW83" i="29"/>
  <c r="AP83" i="29"/>
  <c r="AV83" i="29" s="1"/>
  <c r="AR83" i="29" s="1"/>
  <c r="BY82" i="29"/>
  <c r="BO83" i="29"/>
  <c r="BR82" i="29"/>
  <c r="BN83" i="29"/>
  <c r="CT82" i="29"/>
  <c r="AX82" i="29"/>
  <c r="CF82" i="29"/>
  <c r="CI81" i="29"/>
  <c r="CE82" i="29"/>
  <c r="AN84" i="29"/>
  <c r="AO84" i="29"/>
  <c r="BQ83" i="29"/>
  <c r="BQ84" i="29" s="1"/>
  <c r="X78" i="29"/>
  <c r="CC78" i="29"/>
  <c r="AC79" i="29"/>
  <c r="BH80" i="29"/>
  <c r="BB80" i="29" s="1"/>
  <c r="BZ80" i="29" s="1"/>
  <c r="AZ80" i="29"/>
  <c r="B67" i="40"/>
  <c r="C67" i="40" s="1"/>
  <c r="B97" i="15"/>
  <c r="C97" i="15" s="1"/>
  <c r="BC81" i="29"/>
  <c r="BF81" i="29" s="1"/>
  <c r="BE81" i="29"/>
  <c r="BG81" i="29" s="1"/>
  <c r="BA81" i="29" s="1"/>
  <c r="BP81" i="29"/>
  <c r="BI81" i="29"/>
  <c r="BD82" i="29"/>
  <c r="CG81" i="29"/>
  <c r="D66" i="40"/>
  <c r="G66" i="40"/>
  <c r="H66" i="40"/>
  <c r="J66" i="40"/>
  <c r="I66" i="40"/>
  <c r="F66" i="40"/>
  <c r="B88" i="39"/>
  <c r="AA87" i="39"/>
  <c r="Z87" i="39"/>
  <c r="AB87" i="39"/>
  <c r="AD87" i="39"/>
  <c r="AF87" i="39"/>
  <c r="AG87" i="39"/>
  <c r="D87" i="39"/>
  <c r="M165" i="39"/>
  <c r="CV74" i="29" l="1"/>
  <c r="CO74" i="29" s="1"/>
  <c r="CQ74" i="29" s="1"/>
  <c r="CX74" i="29"/>
  <c r="BQ8" i="44"/>
  <c r="BQ77" i="44"/>
  <c r="B196" i="15"/>
  <c r="X195" i="15"/>
  <c r="CC79" i="29"/>
  <c r="AO85" i="29"/>
  <c r="AN85" i="29"/>
  <c r="AW84" i="29"/>
  <c r="AP84" i="29"/>
  <c r="AV84" i="29" s="1"/>
  <c r="AR84" i="29" s="1"/>
  <c r="K82" i="29"/>
  <c r="AQ81" i="29"/>
  <c r="J82" i="29"/>
  <c r="L81" i="29"/>
  <c r="U81" i="29"/>
  <c r="AB81" i="29" s="1"/>
  <c r="F86" i="39"/>
  <c r="E63" i="40"/>
  <c r="CH83" i="29"/>
  <c r="CL79" i="29"/>
  <c r="CW79" i="29"/>
  <c r="CT83" i="29"/>
  <c r="AX83" i="29"/>
  <c r="BQ85" i="29"/>
  <c r="CE83" i="29"/>
  <c r="CF83" i="29"/>
  <c r="CI82" i="29"/>
  <c r="CP82" i="29"/>
  <c r="BR83" i="29"/>
  <c r="BO84" i="29"/>
  <c r="BY83" i="29"/>
  <c r="BN84" i="29"/>
  <c r="S82" i="29"/>
  <c r="T82" i="29"/>
  <c r="V81" i="29"/>
  <c r="AF81" i="29"/>
  <c r="AE81" i="29"/>
  <c r="CB80" i="29"/>
  <c r="BV80" i="29" s="1"/>
  <c r="CS80" i="29"/>
  <c r="CM80" i="29" s="1"/>
  <c r="M79" i="29"/>
  <c r="CR80" i="29"/>
  <c r="CA80" i="29"/>
  <c r="BU80" i="29" s="1"/>
  <c r="AA79" i="29"/>
  <c r="W79" i="29"/>
  <c r="Y79" i="29" s="1"/>
  <c r="Z79" i="29" s="1"/>
  <c r="W80" i="29"/>
  <c r="CS81" i="29" s="1"/>
  <c r="CM81" i="29" s="1"/>
  <c r="CR81" i="29"/>
  <c r="AA80" i="29"/>
  <c r="CA81" i="29"/>
  <c r="Z88" i="39"/>
  <c r="AB88" i="39"/>
  <c r="D88" i="39"/>
  <c r="AF88" i="39"/>
  <c r="AD88" i="39"/>
  <c r="AG88" i="39"/>
  <c r="C88" i="39"/>
  <c r="N165" i="39"/>
  <c r="BZ81" i="29"/>
  <c r="B68" i="40"/>
  <c r="M294" i="15"/>
  <c r="BD83" i="29"/>
  <c r="CG82" i="29"/>
  <c r="BC82" i="29"/>
  <c r="BF82" i="29" s="1"/>
  <c r="BP82" i="29"/>
  <c r="BE82" i="29"/>
  <c r="BG82" i="29" s="1"/>
  <c r="BA82" i="29" s="1"/>
  <c r="BH81" i="29"/>
  <c r="BB81" i="29" s="1"/>
  <c r="AZ81" i="29"/>
  <c r="BY81" i="29" s="1"/>
  <c r="BW81" i="29" s="1"/>
  <c r="B98" i="15"/>
  <c r="C98" i="15" s="1"/>
  <c r="G67" i="40"/>
  <c r="F67" i="40"/>
  <c r="H67" i="40"/>
  <c r="I67" i="40"/>
  <c r="J67" i="40"/>
  <c r="D67" i="40"/>
  <c r="CV75" i="29" l="1"/>
  <c r="CO75" i="29" s="1"/>
  <c r="CQ75" i="29" s="1"/>
  <c r="CX75" i="29"/>
  <c r="BR77" i="44"/>
  <c r="BR8" i="44"/>
  <c r="C196" i="15"/>
  <c r="W196" i="15"/>
  <c r="Y196" i="15"/>
  <c r="AC81" i="29"/>
  <c r="CB81" i="29"/>
  <c r="BV81" i="29" s="1"/>
  <c r="CC80" i="29"/>
  <c r="T83" i="29"/>
  <c r="V82" i="29"/>
  <c r="S83" i="29"/>
  <c r="AE82" i="29"/>
  <c r="AF82" i="29"/>
  <c r="BR84" i="29"/>
  <c r="BO85" i="29"/>
  <c r="BN85" i="29"/>
  <c r="BY84" i="29"/>
  <c r="CE84" i="29"/>
  <c r="CI83" i="29"/>
  <c r="CF84" i="29"/>
  <c r="CP83" i="29"/>
  <c r="E64" i="40"/>
  <c r="F87" i="39"/>
  <c r="K83" i="29"/>
  <c r="AQ82" i="29"/>
  <c r="J83" i="29"/>
  <c r="L82" i="29"/>
  <c r="BQ86" i="29"/>
  <c r="CH84" i="29"/>
  <c r="R81" i="29"/>
  <c r="Q81" i="29"/>
  <c r="X81" i="29" s="1"/>
  <c r="AO86" i="29"/>
  <c r="AN86" i="29"/>
  <c r="BU81" i="29"/>
  <c r="CL80" i="29"/>
  <c r="CW80" i="29"/>
  <c r="U82" i="29"/>
  <c r="AC82" i="29" s="1"/>
  <c r="AW85" i="29"/>
  <c r="AP85" i="29"/>
  <c r="AV85" i="29" s="1"/>
  <c r="AR85" i="29" s="1"/>
  <c r="CT81" i="29"/>
  <c r="CW81" i="29" s="1"/>
  <c r="CT84" i="29"/>
  <c r="AX84" i="29"/>
  <c r="BT81" i="29"/>
  <c r="M80" i="29" s="1"/>
  <c r="L295" i="15"/>
  <c r="M295" i="15" s="1"/>
  <c r="L296" i="15" s="1"/>
  <c r="B99" i="15"/>
  <c r="C99" i="15" s="1"/>
  <c r="H68" i="40"/>
  <c r="I68" i="40"/>
  <c r="F68" i="40"/>
  <c r="D68" i="40"/>
  <c r="G68" i="40"/>
  <c r="J68" i="40"/>
  <c r="BH82" i="29"/>
  <c r="BB82" i="29" s="1"/>
  <c r="AZ82" i="29"/>
  <c r="AA88" i="39"/>
  <c r="B89" i="39"/>
  <c r="C89" i="39" s="1"/>
  <c r="C68" i="40"/>
  <c r="BE83" i="29"/>
  <c r="BG83" i="29" s="1"/>
  <c r="BA83" i="29" s="1"/>
  <c r="BC83" i="29"/>
  <c r="BF83" i="29" s="1"/>
  <c r="BP83" i="29"/>
  <c r="BD84" i="29"/>
  <c r="CG83" i="29"/>
  <c r="M166" i="39"/>
  <c r="N166" i="39" s="1"/>
  <c r="M167" i="39" s="1"/>
  <c r="CV76" i="29" l="1"/>
  <c r="CO76" i="29" s="1"/>
  <c r="CQ76" i="29" s="1"/>
  <c r="CX76" i="29"/>
  <c r="BS81" i="29"/>
  <c r="X80" i="29" s="1"/>
  <c r="Y80" i="29" s="1"/>
  <c r="AB82" i="29"/>
  <c r="X196" i="15"/>
  <c r="B197" i="15"/>
  <c r="BX82" i="29"/>
  <c r="BZ82" i="29" s="1"/>
  <c r="CC81" i="29"/>
  <c r="CT85" i="29"/>
  <c r="AX85" i="29"/>
  <c r="AW86" i="29"/>
  <c r="AP86" i="29"/>
  <c r="AV86" i="29" s="1"/>
  <c r="AR86" i="29" s="1"/>
  <c r="AQ83" i="29"/>
  <c r="J84" i="29"/>
  <c r="K84" i="29"/>
  <c r="L83" i="29"/>
  <c r="N167" i="39"/>
  <c r="M168" i="39" s="1"/>
  <c r="CL81" i="29"/>
  <c r="R82" i="29"/>
  <c r="Q82" i="29"/>
  <c r="AO87" i="29"/>
  <c r="AN87" i="29"/>
  <c r="CH85" i="29"/>
  <c r="T84" i="29"/>
  <c r="S84" i="29"/>
  <c r="V83" i="29"/>
  <c r="AF83" i="29"/>
  <c r="AE83" i="29"/>
  <c r="E65" i="40"/>
  <c r="E66" i="40" s="1"/>
  <c r="E67" i="40" s="1"/>
  <c r="E68" i="40" s="1"/>
  <c r="F88" i="39"/>
  <c r="CF85" i="29"/>
  <c r="CE85" i="29"/>
  <c r="CP84" i="29"/>
  <c r="CI84" i="29"/>
  <c r="M296" i="15"/>
  <c r="L297" i="15" s="1"/>
  <c r="CA82" i="29"/>
  <c r="BU82" i="29" s="1"/>
  <c r="CR82" i="29"/>
  <c r="CB82" i="29"/>
  <c r="BV82" i="29" s="1"/>
  <c r="CS82" i="29"/>
  <c r="CM82" i="29" s="1"/>
  <c r="W81" i="29"/>
  <c r="Y81" i="29" s="1"/>
  <c r="M81" i="29"/>
  <c r="AA81" i="29"/>
  <c r="BR85" i="29"/>
  <c r="BN86" i="29"/>
  <c r="BO86" i="29"/>
  <c r="BY85" i="29"/>
  <c r="U83" i="29"/>
  <c r="AC83" i="29" s="1"/>
  <c r="B69" i="40"/>
  <c r="C69" i="40" s="1"/>
  <c r="B100" i="15"/>
  <c r="C100" i="15" s="1"/>
  <c r="B90" i="39"/>
  <c r="C90" i="39" s="1"/>
  <c r="AA89" i="39"/>
  <c r="Z89" i="39"/>
  <c r="AB89" i="39"/>
  <c r="D89" i="39"/>
  <c r="AG89" i="39"/>
  <c r="AF89" i="39"/>
  <c r="AD89" i="39"/>
  <c r="BC84" i="29"/>
  <c r="BF84" i="29" s="1"/>
  <c r="BE84" i="29"/>
  <c r="BG84" i="29" s="1"/>
  <c r="BA84" i="29" s="1"/>
  <c r="BP84" i="29"/>
  <c r="CG84" i="29"/>
  <c r="BD85" i="29"/>
  <c r="BH83" i="29"/>
  <c r="BB83" i="29" s="1"/>
  <c r="AZ83" i="29"/>
  <c r="H16" i="29" l="1"/>
  <c r="K9" i="40" s="1"/>
  <c r="D156" i="15" s="1"/>
  <c r="CV77" i="29"/>
  <c r="CO77" i="29" s="1"/>
  <c r="CQ77" i="29" s="1"/>
  <c r="CX77" i="29"/>
  <c r="F89" i="39"/>
  <c r="C197" i="15"/>
  <c r="W197" i="15"/>
  <c r="Y197" i="15"/>
  <c r="N168" i="39"/>
  <c r="M169" i="39" s="1"/>
  <c r="N169" i="39" s="1"/>
  <c r="M297" i="15"/>
  <c r="L298" i="15" s="1"/>
  <c r="CB83" i="29"/>
  <c r="BV83" i="29" s="1"/>
  <c r="CA83" i="29"/>
  <c r="BU83" i="29" s="1"/>
  <c r="CR83" i="29"/>
  <c r="AA82" i="29"/>
  <c r="W82" i="29"/>
  <c r="Y82" i="29" s="1"/>
  <c r="M82" i="29"/>
  <c r="CS83" i="29"/>
  <c r="CM83" i="29" s="1"/>
  <c r="BX83" i="29"/>
  <c r="BZ83" i="29" s="1"/>
  <c r="CC82" i="29"/>
  <c r="CH86" i="29"/>
  <c r="X82" i="29"/>
  <c r="CF86" i="29"/>
  <c r="CE86" i="29"/>
  <c r="CI85" i="29"/>
  <c r="CP85" i="29"/>
  <c r="V84" i="29"/>
  <c r="S85" i="29"/>
  <c r="T85" i="29"/>
  <c r="AE84" i="29"/>
  <c r="AF84" i="29"/>
  <c r="Q83" i="29"/>
  <c r="X83" i="29" s="1"/>
  <c r="R83" i="29"/>
  <c r="BY86" i="29"/>
  <c r="BO87" i="29"/>
  <c r="BN87" i="29"/>
  <c r="BR86" i="29"/>
  <c r="AW87" i="29"/>
  <c r="AP87" i="29"/>
  <c r="AV87" i="29" s="1"/>
  <c r="AR87" i="29" s="1"/>
  <c r="AQ84" i="29"/>
  <c r="J85" i="29"/>
  <c r="K85" i="29"/>
  <c r="L84" i="29"/>
  <c r="CT86" i="29"/>
  <c r="AX86" i="29"/>
  <c r="AB83" i="29"/>
  <c r="CL82" i="29"/>
  <c r="CW82" i="29"/>
  <c r="BQ87" i="29"/>
  <c r="BQ88" i="29" s="1"/>
  <c r="U84" i="29"/>
  <c r="AB84" i="29" s="1"/>
  <c r="AN88" i="29"/>
  <c r="AO88" i="29"/>
  <c r="AA90" i="39"/>
  <c r="B91" i="39"/>
  <c r="C91" i="39" s="1"/>
  <c r="AZ84" i="29"/>
  <c r="BH84" i="29"/>
  <c r="BB84" i="29" s="1"/>
  <c r="AB90" i="39"/>
  <c r="Z90" i="39"/>
  <c r="AF90" i="39"/>
  <c r="F90" i="39"/>
  <c r="D90" i="39"/>
  <c r="AG90" i="39"/>
  <c r="AD90" i="39"/>
  <c r="G69" i="40"/>
  <c r="H69" i="40"/>
  <c r="F69" i="40"/>
  <c r="D69" i="40"/>
  <c r="E69" i="40" s="1"/>
  <c r="I69" i="40"/>
  <c r="J69" i="40"/>
  <c r="B101" i="15"/>
  <c r="C101" i="15"/>
  <c r="AI25" i="39"/>
  <c r="M9" i="40"/>
  <c r="H156" i="15" s="1"/>
  <c r="Z80" i="29"/>
  <c r="G23" i="15"/>
  <c r="BE85" i="29"/>
  <c r="BG85" i="29" s="1"/>
  <c r="BA85" i="29" s="1"/>
  <c r="CG85" i="29"/>
  <c r="BP85" i="29"/>
  <c r="BD86" i="29"/>
  <c r="BC85" i="29"/>
  <c r="BF85" i="29" s="1"/>
  <c r="B70" i="40"/>
  <c r="C70" i="40" s="1"/>
  <c r="I25" i="39" l="1"/>
  <c r="G16" i="29"/>
  <c r="CV78" i="29"/>
  <c r="CO78" i="29" s="1"/>
  <c r="CQ78" i="29" s="1"/>
  <c r="CX78" i="29"/>
  <c r="BX84" i="29"/>
  <c r="X197" i="15"/>
  <c r="B198" i="15"/>
  <c r="AW88" i="29"/>
  <c r="AP88" i="29"/>
  <c r="AV88" i="29" s="1"/>
  <c r="AR88" i="29" s="1"/>
  <c r="BO88" i="29"/>
  <c r="BQ89" i="29" s="1"/>
  <c r="BR87" i="29"/>
  <c r="BY87" i="29"/>
  <c r="BN88" i="29"/>
  <c r="CR84" i="29"/>
  <c r="CB84" i="29"/>
  <c r="BV84" i="29" s="1"/>
  <c r="W83" i="29"/>
  <c r="Y83" i="29" s="1"/>
  <c r="AA83" i="29"/>
  <c r="M83" i="29"/>
  <c r="CA84" i="29"/>
  <c r="BU84" i="29" s="1"/>
  <c r="CS84" i="29"/>
  <c r="CM84" i="29" s="1"/>
  <c r="U85" i="29"/>
  <c r="CL83" i="29"/>
  <c r="CW83" i="29"/>
  <c r="Q84" i="29"/>
  <c r="X84" i="29" s="1"/>
  <c r="R84" i="29"/>
  <c r="CF87" i="29"/>
  <c r="CI86" i="29"/>
  <c r="CP86" i="29"/>
  <c r="CE87" i="29"/>
  <c r="AN89" i="29"/>
  <c r="AO89" i="29"/>
  <c r="AC84" i="29"/>
  <c r="K86" i="29"/>
  <c r="L85" i="29"/>
  <c r="AQ85" i="29"/>
  <c r="J86" i="29"/>
  <c r="CT87" i="29"/>
  <c r="AX87" i="29"/>
  <c r="V85" i="29"/>
  <c r="T86" i="29"/>
  <c r="S86" i="29"/>
  <c r="AE85" i="29"/>
  <c r="AF85" i="29"/>
  <c r="CH87" i="29"/>
  <c r="CH88" i="29" s="1"/>
  <c r="CC83" i="29"/>
  <c r="AZ85" i="29"/>
  <c r="BH85" i="29"/>
  <c r="BB85" i="29" s="1"/>
  <c r="M170" i="39"/>
  <c r="N170" i="39" s="1"/>
  <c r="B102" i="15"/>
  <c r="C102" i="15"/>
  <c r="AB91" i="39"/>
  <c r="Z91" i="39"/>
  <c r="AF91" i="39"/>
  <c r="F91" i="39"/>
  <c r="AD91" i="39"/>
  <c r="AG91" i="39"/>
  <c r="D91" i="39"/>
  <c r="M298" i="15"/>
  <c r="AA91" i="39"/>
  <c r="B92" i="39"/>
  <c r="B71" i="40"/>
  <c r="G70" i="40"/>
  <c r="I70" i="40"/>
  <c r="F70" i="40"/>
  <c r="H70" i="40"/>
  <c r="D70" i="40"/>
  <c r="E70" i="40" s="1"/>
  <c r="J70" i="40"/>
  <c r="BC86" i="29"/>
  <c r="BF86" i="29" s="1"/>
  <c r="BE86" i="29"/>
  <c r="BG86" i="29" s="1"/>
  <c r="BA86" i="29" s="1"/>
  <c r="BD87" i="29"/>
  <c r="BP86" i="29"/>
  <c r="CG86" i="29"/>
  <c r="Z81" i="29"/>
  <c r="Z82" i="29" s="1"/>
  <c r="AC80" i="29"/>
  <c r="AB80" i="29"/>
  <c r="N9" i="40"/>
  <c r="BZ84" i="29"/>
  <c r="CV79" i="29" l="1"/>
  <c r="CO79" i="29" s="1"/>
  <c r="CQ79" i="29" s="1"/>
  <c r="CX79" i="29"/>
  <c r="Z83" i="29"/>
  <c r="BX85" i="29"/>
  <c r="BZ85" i="29" s="1"/>
  <c r="C198" i="15"/>
  <c r="Y198" i="15"/>
  <c r="W198" i="15"/>
  <c r="CC84" i="29"/>
  <c r="CH89" i="29"/>
  <c r="T87" i="29"/>
  <c r="S87" i="29"/>
  <c r="V86" i="29"/>
  <c r="AF86" i="29"/>
  <c r="AE86" i="29"/>
  <c r="AW89" i="29"/>
  <c r="AP89" i="29"/>
  <c r="AV89" i="29" s="1"/>
  <c r="AR89" i="29" s="1"/>
  <c r="CI87" i="29"/>
  <c r="CP87" i="29"/>
  <c r="CF88" i="29"/>
  <c r="CE88" i="29"/>
  <c r="CT88" i="29"/>
  <c r="AX88" i="29"/>
  <c r="AQ86" i="29"/>
  <c r="J87" i="29"/>
  <c r="K87" i="29"/>
  <c r="L86" i="29"/>
  <c r="R85" i="29"/>
  <c r="Q85" i="29"/>
  <c r="X85" i="29" s="1"/>
  <c r="AB85" i="29"/>
  <c r="U86" i="29"/>
  <c r="AC86" i="29" s="1"/>
  <c r="AN90" i="29"/>
  <c r="AO90" i="29"/>
  <c r="CR85" i="29"/>
  <c r="CB85" i="29"/>
  <c r="BV85" i="29" s="1"/>
  <c r="W84" i="29"/>
  <c r="Y84" i="29" s="1"/>
  <c r="Z84" i="29" s="1"/>
  <c r="AA84" i="29"/>
  <c r="M84" i="29"/>
  <c r="CS85" i="29"/>
  <c r="CM85" i="29" s="1"/>
  <c r="CA85" i="29"/>
  <c r="BU85" i="29" s="1"/>
  <c r="AC85" i="29"/>
  <c r="CL84" i="29"/>
  <c r="CW84" i="29"/>
  <c r="BN89" i="29"/>
  <c r="BR88" i="29"/>
  <c r="BY88" i="29"/>
  <c r="BO89" i="29"/>
  <c r="G126" i="40"/>
  <c r="J156" i="15"/>
  <c r="O25" i="39"/>
  <c r="Q9" i="40"/>
  <c r="AJ25" i="39"/>
  <c r="C71" i="40"/>
  <c r="M171" i="39"/>
  <c r="N171" i="39" s="1"/>
  <c r="G71" i="40"/>
  <c r="H71" i="40"/>
  <c r="D71" i="40"/>
  <c r="E71" i="40" s="1"/>
  <c r="I71" i="40"/>
  <c r="J71" i="40"/>
  <c r="F71" i="40"/>
  <c r="Z92" i="39"/>
  <c r="AB92" i="39"/>
  <c r="D92" i="39"/>
  <c r="F92" i="39"/>
  <c r="AG92" i="39"/>
  <c r="AF92" i="39"/>
  <c r="AD92" i="39"/>
  <c r="B103" i="15"/>
  <c r="C103" i="15"/>
  <c r="R9" i="40"/>
  <c r="AK25" i="39"/>
  <c r="AZ86" i="29"/>
  <c r="BH86" i="29"/>
  <c r="BB86" i="29" s="1"/>
  <c r="CG87" i="29"/>
  <c r="BE87" i="29"/>
  <c r="BG87" i="29" s="1"/>
  <c r="BA87" i="29" s="1"/>
  <c r="BD88" i="29"/>
  <c r="BC87" i="29"/>
  <c r="BF87" i="29" s="1"/>
  <c r="BP87" i="29"/>
  <c r="C92" i="39"/>
  <c r="L299" i="15"/>
  <c r="M299" i="15" s="1"/>
  <c r="BX86" i="29" l="1"/>
  <c r="BZ86" i="29" s="1"/>
  <c r="CV80" i="29"/>
  <c r="CO80" i="29" s="1"/>
  <c r="CQ80" i="29" s="1"/>
  <c r="CP81" i="29" s="1"/>
  <c r="CN81" i="29" s="1"/>
  <c r="CJ81" i="29" s="1"/>
  <c r="AJ16" i="29" s="1"/>
  <c r="AK16" i="29" s="1"/>
  <c r="CX80" i="29"/>
  <c r="B199" i="15"/>
  <c r="X198" i="15"/>
  <c r="CC85" i="29"/>
  <c r="CL85" i="29"/>
  <c r="CW85" i="29"/>
  <c r="AW90" i="29"/>
  <c r="AP90" i="29"/>
  <c r="AV90" i="29" s="1"/>
  <c r="AR90" i="29" s="1"/>
  <c r="V87" i="29"/>
  <c r="T88" i="29"/>
  <c r="S88" i="29"/>
  <c r="AE87" i="29"/>
  <c r="AF87" i="29"/>
  <c r="K88" i="29"/>
  <c r="L87" i="29"/>
  <c r="J88" i="29"/>
  <c r="AQ87" i="29"/>
  <c r="BO90" i="29"/>
  <c r="BN90" i="29"/>
  <c r="BR89" i="29"/>
  <c r="BY89" i="29"/>
  <c r="R86" i="29"/>
  <c r="Q86" i="29"/>
  <c r="X86" i="29" s="1"/>
  <c r="AO91" i="29"/>
  <c r="AN91" i="29"/>
  <c r="AB86" i="29"/>
  <c r="CR86" i="29"/>
  <c r="CA86" i="29"/>
  <c r="BU86" i="29" s="1"/>
  <c r="W85" i="29"/>
  <c r="Y85" i="29" s="1"/>
  <c r="Z85" i="29" s="1"/>
  <c r="CB86" i="29"/>
  <c r="BV86" i="29" s="1"/>
  <c r="CS86" i="29"/>
  <c r="CM86" i="29" s="1"/>
  <c r="M85" i="29"/>
  <c r="AA85" i="29"/>
  <c r="CF89" i="29"/>
  <c r="CI88" i="29"/>
  <c r="CE89" i="29"/>
  <c r="CP88" i="29"/>
  <c r="CT89" i="29"/>
  <c r="AX89" i="29"/>
  <c r="U87" i="29"/>
  <c r="AC87" i="29" s="1"/>
  <c r="BQ90" i="29"/>
  <c r="M172" i="39"/>
  <c r="N172" i="39" s="1"/>
  <c r="L300" i="15"/>
  <c r="M300" i="15" s="1"/>
  <c r="B93" i="39"/>
  <c r="C93" i="39" s="1"/>
  <c r="AA92" i="39"/>
  <c r="B72" i="40"/>
  <c r="AZ87" i="29"/>
  <c r="BH87" i="29"/>
  <c r="BB87" i="29" s="1"/>
  <c r="B104" i="15"/>
  <c r="C104" i="15"/>
  <c r="CG88" i="29"/>
  <c r="BE88" i="29"/>
  <c r="BG88" i="29" s="1"/>
  <c r="BA88" i="29" s="1"/>
  <c r="BC88" i="29"/>
  <c r="BF88" i="29" s="1"/>
  <c r="BD89" i="29"/>
  <c r="BP88" i="29"/>
  <c r="I126" i="40"/>
  <c r="V9" i="40"/>
  <c r="N156" i="15"/>
  <c r="H126" i="40"/>
  <c r="Z9" i="40"/>
  <c r="Y9" i="40" s="1"/>
  <c r="U9" i="40"/>
  <c r="L156" i="15"/>
  <c r="CV81" i="29" l="1"/>
  <c r="CX81" i="29"/>
  <c r="BX87" i="29"/>
  <c r="BZ87" i="29" s="1"/>
  <c r="C199" i="15"/>
  <c r="Y199" i="15"/>
  <c r="W199" i="15"/>
  <c r="CC86" i="29"/>
  <c r="BQ91" i="29"/>
  <c r="BQ92" i="29" s="1"/>
  <c r="AO92" i="29"/>
  <c r="AN92" i="29"/>
  <c r="U88" i="29"/>
  <c r="AC88" i="29" s="1"/>
  <c r="T89" i="29"/>
  <c r="V88" i="29"/>
  <c r="S89" i="29"/>
  <c r="AE88" i="29"/>
  <c r="AF88" i="29"/>
  <c r="M86" i="29"/>
  <c r="CS87" i="29"/>
  <c r="CM87" i="29" s="1"/>
  <c r="CB87" i="29"/>
  <c r="BV87" i="29" s="1"/>
  <c r="CR87" i="29"/>
  <c r="W86" i="29"/>
  <c r="Y86" i="29" s="1"/>
  <c r="Z86" i="29" s="1"/>
  <c r="CA87" i="29"/>
  <c r="BU87" i="29" s="1"/>
  <c r="AA86" i="29"/>
  <c r="CT90" i="29"/>
  <c r="AX90" i="29"/>
  <c r="Q87" i="29"/>
  <c r="R87" i="29"/>
  <c r="CF90" i="29"/>
  <c r="CE90" i="29"/>
  <c r="CP89" i="29"/>
  <c r="CI89" i="29"/>
  <c r="CL86" i="29"/>
  <c r="CW86" i="29"/>
  <c r="CH90" i="29"/>
  <c r="CH91" i="29" s="1"/>
  <c r="BY90" i="29"/>
  <c r="BN91" i="29"/>
  <c r="BO91" i="29"/>
  <c r="BR90" i="29"/>
  <c r="AB87" i="29"/>
  <c r="AW91" i="29"/>
  <c r="AP91" i="29"/>
  <c r="AV91" i="29" s="1"/>
  <c r="AR91" i="29" s="1"/>
  <c r="K89" i="29"/>
  <c r="L88" i="29"/>
  <c r="AQ88" i="29"/>
  <c r="J89" i="29"/>
  <c r="P156" i="15"/>
  <c r="R25" i="39"/>
  <c r="BD90" i="29"/>
  <c r="BE89" i="29"/>
  <c r="BG89" i="29" s="1"/>
  <c r="BA89" i="29" s="1"/>
  <c r="BC89" i="29"/>
  <c r="BF89" i="29" s="1"/>
  <c r="BP89" i="29"/>
  <c r="CG89" i="29"/>
  <c r="B105" i="15"/>
  <c r="C105" i="15"/>
  <c r="C72" i="40"/>
  <c r="AA93" i="39"/>
  <c r="B94" i="39"/>
  <c r="C94" i="39" s="1"/>
  <c r="BH88" i="29"/>
  <c r="BB88" i="29" s="1"/>
  <c r="AZ88" i="29"/>
  <c r="I72" i="40"/>
  <c r="G72" i="40"/>
  <c r="F72" i="40"/>
  <c r="J72" i="40"/>
  <c r="D72" i="40"/>
  <c r="E72" i="40" s="1"/>
  <c r="H72" i="40"/>
  <c r="M173" i="39"/>
  <c r="S156" i="15"/>
  <c r="U25" i="39"/>
  <c r="I9" i="44" s="1"/>
  <c r="E9" i="45" s="1"/>
  <c r="AB93" i="39"/>
  <c r="Z93" i="39"/>
  <c r="F93" i="39"/>
  <c r="AF93" i="39"/>
  <c r="AD93" i="39"/>
  <c r="D93" i="39"/>
  <c r="AG93" i="39"/>
  <c r="L301" i="15"/>
  <c r="N78" i="44" l="1"/>
  <c r="P78" i="44" s="1"/>
  <c r="P133" i="44" s="1"/>
  <c r="M78" i="44" s="1"/>
  <c r="K9" i="44" s="1"/>
  <c r="G9" i="45" s="1"/>
  <c r="J9" i="44"/>
  <c r="F9" i="45" s="1"/>
  <c r="CV82" i="29"/>
  <c r="CO82" i="29" s="1"/>
  <c r="CQ82" i="29" s="1"/>
  <c r="CX82" i="29"/>
  <c r="CO81" i="29"/>
  <c r="CQ81" i="29" s="1"/>
  <c r="CK81" i="29"/>
  <c r="AR80" i="29" s="1"/>
  <c r="AL16" i="29" s="1"/>
  <c r="X199" i="15"/>
  <c r="B200" i="15"/>
  <c r="BX88" i="29"/>
  <c r="BZ88" i="29" s="1"/>
  <c r="AB88" i="29"/>
  <c r="CT91" i="29"/>
  <c r="AX91" i="29"/>
  <c r="CP90" i="29"/>
  <c r="CI90" i="29"/>
  <c r="CE91" i="29"/>
  <c r="CF91" i="29"/>
  <c r="Q88" i="29"/>
  <c r="X88" i="29" s="1"/>
  <c r="R88" i="29"/>
  <c r="AW92" i="29"/>
  <c r="AP92" i="29"/>
  <c r="AV92" i="29" s="1"/>
  <c r="CC87" i="29"/>
  <c r="CL87" i="29"/>
  <c r="CW87" i="29"/>
  <c r="U89" i="29"/>
  <c r="AB89" i="29" s="1"/>
  <c r="AO93" i="29"/>
  <c r="AN93" i="29"/>
  <c r="K90" i="29"/>
  <c r="L89" i="29"/>
  <c r="AQ89" i="29"/>
  <c r="J90" i="29"/>
  <c r="CH92" i="29"/>
  <c r="X87" i="29"/>
  <c r="CS88" i="29"/>
  <c r="CM88" i="29" s="1"/>
  <c r="CB88" i="29"/>
  <c r="BV88" i="29" s="1"/>
  <c r="M87" i="29"/>
  <c r="AA87" i="29"/>
  <c r="CA88" i="29"/>
  <c r="BU88" i="29" s="1"/>
  <c r="W87" i="29"/>
  <c r="Y87" i="29" s="1"/>
  <c r="Z87" i="29" s="1"/>
  <c r="CR88" i="29"/>
  <c r="BQ93" i="29"/>
  <c r="BN92" i="29"/>
  <c r="BO92" i="29"/>
  <c r="BY91" i="29"/>
  <c r="BR91" i="29"/>
  <c r="V89" i="29"/>
  <c r="S90" i="29"/>
  <c r="T90" i="29"/>
  <c r="AE89" i="29"/>
  <c r="AF89" i="29"/>
  <c r="B95" i="39"/>
  <c r="C95" i="39" s="1"/>
  <c r="AA94" i="39"/>
  <c r="BD91" i="29"/>
  <c r="BP90" i="29"/>
  <c r="BE90" i="29"/>
  <c r="BG90" i="29" s="1"/>
  <c r="BA90" i="29" s="1"/>
  <c r="CG90" i="29"/>
  <c r="BC90" i="29"/>
  <c r="BF90" i="29" s="1"/>
  <c r="Z94" i="39"/>
  <c r="AB94" i="39"/>
  <c r="AF94" i="39"/>
  <c r="D94" i="39"/>
  <c r="AG94" i="39"/>
  <c r="F94" i="39"/>
  <c r="AD94" i="39"/>
  <c r="B106" i="15"/>
  <c r="C106" i="15"/>
  <c r="BH89" i="29"/>
  <c r="BB89" i="29" s="1"/>
  <c r="AZ89" i="29"/>
  <c r="M301" i="15"/>
  <c r="N173" i="39"/>
  <c r="B73" i="40"/>
  <c r="C73" i="40" s="1"/>
  <c r="CV83" i="29" l="1"/>
  <c r="CO83" i="29" s="1"/>
  <c r="CQ83" i="29" s="1"/>
  <c r="CX83" i="29"/>
  <c r="BX89" i="29"/>
  <c r="BZ89" i="29" s="1"/>
  <c r="C200" i="15"/>
  <c r="W200" i="15"/>
  <c r="Y200" i="15"/>
  <c r="AC89" i="29"/>
  <c r="CC88" i="29"/>
  <c r="Q89" i="29"/>
  <c r="X89" i="29" s="1"/>
  <c r="R89" i="29"/>
  <c r="CF92" i="29"/>
  <c r="CH93" i="29" s="1"/>
  <c r="CP91" i="29"/>
  <c r="CE92" i="29"/>
  <c r="CI91" i="29"/>
  <c r="U90" i="29"/>
  <c r="AC90" i="29" s="1"/>
  <c r="AW93" i="29"/>
  <c r="AP93" i="29"/>
  <c r="AV93" i="29" s="1"/>
  <c r="AR93" i="29" s="1"/>
  <c r="CT92" i="29"/>
  <c r="AX92" i="29"/>
  <c r="V90" i="29"/>
  <c r="S91" i="29"/>
  <c r="T91" i="29"/>
  <c r="AF90" i="29"/>
  <c r="AE90" i="29"/>
  <c r="BR92" i="29"/>
  <c r="BO93" i="29"/>
  <c r="BY92" i="29"/>
  <c r="BN93" i="29"/>
  <c r="CL88" i="29"/>
  <c r="CW88" i="29"/>
  <c r="AQ90" i="29"/>
  <c r="L90" i="29"/>
  <c r="K91" i="29"/>
  <c r="J91" i="29"/>
  <c r="AA88" i="29"/>
  <c r="CS89" i="29"/>
  <c r="CM89" i="29" s="1"/>
  <c r="W88" i="29"/>
  <c r="Y88" i="29" s="1"/>
  <c r="Z88" i="29" s="1"/>
  <c r="CR89" i="29"/>
  <c r="CA89" i="29"/>
  <c r="BU89" i="29" s="1"/>
  <c r="CB89" i="29"/>
  <c r="BV89" i="29" s="1"/>
  <c r="M88" i="29"/>
  <c r="AN94" i="29"/>
  <c r="AO94" i="29"/>
  <c r="B74" i="40"/>
  <c r="C74" i="40" s="1"/>
  <c r="M174" i="39"/>
  <c r="B107" i="15"/>
  <c r="C107" i="15"/>
  <c r="BH90" i="29"/>
  <c r="BB90" i="29" s="1"/>
  <c r="AZ90" i="29"/>
  <c r="BP91" i="29"/>
  <c r="BE91" i="29"/>
  <c r="BG91" i="29" s="1"/>
  <c r="BA91" i="29" s="1"/>
  <c r="CG91" i="29"/>
  <c r="BC91" i="29"/>
  <c r="BF91" i="29" s="1"/>
  <c r="BD92" i="29"/>
  <c r="AA95" i="39"/>
  <c r="B96" i="39"/>
  <c r="C96" i="39" s="1"/>
  <c r="J73" i="40"/>
  <c r="F73" i="40"/>
  <c r="D73" i="40"/>
  <c r="E73" i="40" s="1"/>
  <c r="I73" i="40"/>
  <c r="G73" i="40"/>
  <c r="H73" i="40"/>
  <c r="L302" i="15"/>
  <c r="M302" i="15" s="1"/>
  <c r="AB95" i="39"/>
  <c r="Z95" i="39"/>
  <c r="AF95" i="39"/>
  <c r="AG95" i="39"/>
  <c r="F95" i="39"/>
  <c r="AD95" i="39"/>
  <c r="D95" i="39"/>
  <c r="CV84" i="29" l="1"/>
  <c r="CO84" i="29" s="1"/>
  <c r="CQ84" i="29" s="1"/>
  <c r="CX84" i="29"/>
  <c r="BX90" i="29"/>
  <c r="BZ90" i="29" s="1"/>
  <c r="X200" i="15"/>
  <c r="B201" i="15"/>
  <c r="AB90" i="29"/>
  <c r="AW94" i="29"/>
  <c r="AP94" i="29"/>
  <c r="AV94" i="29" s="1"/>
  <c r="AR94" i="29" s="1"/>
  <c r="CC89" i="29"/>
  <c r="CL89" i="29"/>
  <c r="CW89" i="29"/>
  <c r="AX93" i="29"/>
  <c r="U91" i="29"/>
  <c r="AC91" i="29" s="1"/>
  <c r="Q90" i="29"/>
  <c r="X90" i="29" s="1"/>
  <c r="R90" i="29"/>
  <c r="CS90" i="29"/>
  <c r="CM90" i="29" s="1"/>
  <c r="M89" i="29"/>
  <c r="AA89" i="29"/>
  <c r="CA90" i="29"/>
  <c r="BU90" i="29" s="1"/>
  <c r="CR90" i="29"/>
  <c r="W89" i="29"/>
  <c r="Y89" i="29" s="1"/>
  <c r="Z89" i="29" s="1"/>
  <c r="CB90" i="29"/>
  <c r="BV90" i="29" s="1"/>
  <c r="AQ91" i="29"/>
  <c r="K92" i="29"/>
  <c r="L91" i="29"/>
  <c r="J92" i="29"/>
  <c r="BR93" i="29"/>
  <c r="BN94" i="29"/>
  <c r="BO94" i="29"/>
  <c r="T92" i="29"/>
  <c r="S92" i="29"/>
  <c r="V91" i="29"/>
  <c r="AF91" i="29"/>
  <c r="AE91" i="29"/>
  <c r="CE93" i="29"/>
  <c r="CI92" i="29"/>
  <c r="CP92" i="29"/>
  <c r="CF93" i="29"/>
  <c r="CH94" i="29" s="1"/>
  <c r="AO95" i="29"/>
  <c r="AN95" i="29"/>
  <c r="BQ94" i="29"/>
  <c r="BQ95" i="29" s="1"/>
  <c r="AA96" i="39"/>
  <c r="B97" i="39"/>
  <c r="C97" i="39" s="1"/>
  <c r="B108" i="15"/>
  <c r="C108" i="15"/>
  <c r="B75" i="40"/>
  <c r="C75" i="40" s="1"/>
  <c r="L303" i="15"/>
  <c r="M303" i="15" s="1"/>
  <c r="AB96" i="39"/>
  <c r="Z96" i="39"/>
  <c r="D96" i="39"/>
  <c r="AG96" i="39"/>
  <c r="F96" i="39"/>
  <c r="AF96" i="39"/>
  <c r="AD96" i="39"/>
  <c r="BE92" i="29"/>
  <c r="BG92" i="29" s="1"/>
  <c r="BA92" i="29" s="1"/>
  <c r="BP92" i="29"/>
  <c r="BC92" i="29"/>
  <c r="BF92" i="29" s="1"/>
  <c r="BD93" i="29"/>
  <c r="CG92" i="29"/>
  <c r="D74" i="40"/>
  <c r="E74" i="40" s="1"/>
  <c r="H74" i="40"/>
  <c r="G74" i="40"/>
  <c r="J74" i="40"/>
  <c r="I74" i="40"/>
  <c r="F74" i="40"/>
  <c r="AZ91" i="29"/>
  <c r="BH91" i="29"/>
  <c r="BB91" i="29" s="1"/>
  <c r="N174" i="39"/>
  <c r="CV85" i="29" l="1"/>
  <c r="CO85" i="29" s="1"/>
  <c r="CQ85" i="29" s="1"/>
  <c r="CX85" i="29"/>
  <c r="BX91" i="29"/>
  <c r="BZ91" i="29" s="1"/>
  <c r="C201" i="15"/>
  <c r="Y201" i="15"/>
  <c r="W201" i="15"/>
  <c r="AB91" i="29"/>
  <c r="T93" i="29"/>
  <c r="V92" i="29"/>
  <c r="S93" i="29"/>
  <c r="AF92" i="29"/>
  <c r="AE92" i="29"/>
  <c r="AW95" i="29"/>
  <c r="AP95" i="29"/>
  <c r="AV95" i="29" s="1"/>
  <c r="AR95" i="29" s="1"/>
  <c r="BY94" i="29"/>
  <c r="BN95" i="29"/>
  <c r="BR94" i="29"/>
  <c r="BO95" i="29"/>
  <c r="CL90" i="29"/>
  <c r="CW90" i="29"/>
  <c r="AO96" i="29"/>
  <c r="AN96" i="29"/>
  <c r="CC90" i="29"/>
  <c r="AA90" i="29"/>
  <c r="CB91" i="29"/>
  <c r="BV91" i="29" s="1"/>
  <c r="W90" i="29"/>
  <c r="Y90" i="29" s="1"/>
  <c r="Z90" i="29" s="1"/>
  <c r="CR91" i="29"/>
  <c r="CS91" i="29"/>
  <c r="CM91" i="29" s="1"/>
  <c r="M90" i="29"/>
  <c r="CA91" i="29"/>
  <c r="BU91" i="29" s="1"/>
  <c r="CT94" i="29"/>
  <c r="AX94" i="29"/>
  <c r="BQ96" i="29"/>
  <c r="CI93" i="29"/>
  <c r="CF94" i="29"/>
  <c r="CE94" i="29"/>
  <c r="U92" i="29"/>
  <c r="L92" i="29"/>
  <c r="AQ92" i="29"/>
  <c r="J93" i="29"/>
  <c r="K93" i="29"/>
  <c r="Q91" i="29"/>
  <c r="X91" i="29" s="1"/>
  <c r="R91" i="29"/>
  <c r="BE93" i="29"/>
  <c r="BG93" i="29" s="1"/>
  <c r="BA93" i="29" s="1"/>
  <c r="BI93" i="29"/>
  <c r="BP93" i="29"/>
  <c r="BC93" i="29"/>
  <c r="BF93" i="29" s="1"/>
  <c r="BD94" i="29"/>
  <c r="CG93" i="29"/>
  <c r="BH92" i="29"/>
  <c r="BB92" i="29" s="1"/>
  <c r="AZ92" i="29"/>
  <c r="L304" i="15"/>
  <c r="M304" i="15" s="1"/>
  <c r="B76" i="40"/>
  <c r="C76" i="40" s="1"/>
  <c r="B109" i="15"/>
  <c r="C109" i="15"/>
  <c r="H75" i="40"/>
  <c r="J75" i="40"/>
  <c r="G75" i="40"/>
  <c r="D75" i="40"/>
  <c r="E75" i="40" s="1"/>
  <c r="I75" i="40"/>
  <c r="F75" i="40"/>
  <c r="AA97" i="39"/>
  <c r="B98" i="39"/>
  <c r="C98" i="39" s="1"/>
  <c r="M175" i="39"/>
  <c r="N175" i="39" s="1"/>
  <c r="AB97" i="39"/>
  <c r="Z97" i="39"/>
  <c r="AD97" i="39"/>
  <c r="AG97" i="39"/>
  <c r="D97" i="39"/>
  <c r="F97" i="39"/>
  <c r="AF97" i="39"/>
  <c r="CX86" i="29" l="1"/>
  <c r="CV86" i="29"/>
  <c r="CO86" i="29" s="1"/>
  <c r="CQ86" i="29" s="1"/>
  <c r="B202" i="15"/>
  <c r="X201" i="15"/>
  <c r="BX92" i="29"/>
  <c r="BZ92" i="29" s="1"/>
  <c r="CC91" i="29"/>
  <c r="L93" i="29"/>
  <c r="J94" i="29"/>
  <c r="K94" i="29"/>
  <c r="AQ93" i="29"/>
  <c r="CT95" i="29"/>
  <c r="AX95" i="29"/>
  <c r="R92" i="29"/>
  <c r="Q92" i="29"/>
  <c r="AO97" i="29"/>
  <c r="AN97" i="29"/>
  <c r="CL91" i="29"/>
  <c r="CW91" i="29"/>
  <c r="AW96" i="29"/>
  <c r="AP96" i="29"/>
  <c r="AV96" i="29" s="1"/>
  <c r="AR96" i="29" s="1"/>
  <c r="T94" i="29"/>
  <c r="V93" i="29"/>
  <c r="S94" i="29"/>
  <c r="AF93" i="29"/>
  <c r="AE93" i="29"/>
  <c r="CA92" i="29"/>
  <c r="BU92" i="29" s="1"/>
  <c r="AA91" i="29"/>
  <c r="CS92" i="29"/>
  <c r="CM92" i="29" s="1"/>
  <c r="M91" i="29"/>
  <c r="W91" i="29"/>
  <c r="Y91" i="29" s="1"/>
  <c r="Z91" i="29" s="1"/>
  <c r="CR92" i="29"/>
  <c r="CB92" i="29"/>
  <c r="BV92" i="29" s="1"/>
  <c r="CI94" i="29"/>
  <c r="CP94" i="29"/>
  <c r="CF95" i="29"/>
  <c r="CE95" i="29"/>
  <c r="BY95" i="29"/>
  <c r="BO96" i="29"/>
  <c r="BR95" i="29"/>
  <c r="BN96" i="29"/>
  <c r="U93" i="29"/>
  <c r="AC93" i="29" s="1"/>
  <c r="CH95" i="29"/>
  <c r="CH96" i="29" s="1"/>
  <c r="B99" i="39"/>
  <c r="C99" i="39" s="1"/>
  <c r="AA98" i="39"/>
  <c r="M176" i="39"/>
  <c r="N176" i="39" s="1"/>
  <c r="L305" i="15"/>
  <c r="M305" i="15" s="1"/>
  <c r="B77" i="40"/>
  <c r="C77" i="40" s="1"/>
  <c r="AZ93" i="29"/>
  <c r="BH93" i="29"/>
  <c r="BB93" i="29" s="1"/>
  <c r="G76" i="40"/>
  <c r="J76" i="40"/>
  <c r="O76" i="40"/>
  <c r="F76" i="40"/>
  <c r="D76" i="40"/>
  <c r="E76" i="40" s="1"/>
  <c r="H76" i="40"/>
  <c r="I76" i="40"/>
  <c r="B110" i="15"/>
  <c r="C110" i="15"/>
  <c r="Z98" i="39"/>
  <c r="AB98" i="39"/>
  <c r="F98" i="39"/>
  <c r="AD98" i="39"/>
  <c r="AG98" i="39"/>
  <c r="D98" i="39"/>
  <c r="AF98" i="39"/>
  <c r="BD95" i="29"/>
  <c r="BE94" i="29"/>
  <c r="BG94" i="29" s="1"/>
  <c r="BA94" i="29" s="1"/>
  <c r="CG94" i="29"/>
  <c r="BP94" i="29"/>
  <c r="BC94" i="29"/>
  <c r="BF94" i="29" s="1"/>
  <c r="S76" i="40" l="1"/>
  <c r="CX87" i="29"/>
  <c r="CV87" i="29"/>
  <c r="CO87" i="29" s="1"/>
  <c r="CQ87" i="29" s="1"/>
  <c r="C202" i="15"/>
  <c r="Y202" i="15"/>
  <c r="W202" i="15"/>
  <c r="CC92" i="29"/>
  <c r="Q93" i="29"/>
  <c r="R93" i="29"/>
  <c r="CP95" i="29"/>
  <c r="CI95" i="29"/>
  <c r="CF96" i="29"/>
  <c r="CE96" i="29"/>
  <c r="T95" i="29"/>
  <c r="S95" i="29"/>
  <c r="V94" i="29"/>
  <c r="AE94" i="29"/>
  <c r="AF94" i="29"/>
  <c r="CT96" i="29"/>
  <c r="AX96" i="29"/>
  <c r="AA92" i="29"/>
  <c r="CA93" i="29"/>
  <c r="BU93" i="29" s="1"/>
  <c r="W92" i="29"/>
  <c r="CR93" i="29"/>
  <c r="AB93" i="29"/>
  <c r="U94" i="29"/>
  <c r="AC94" i="29" s="1"/>
  <c r="AW97" i="29"/>
  <c r="AP97" i="29"/>
  <c r="AV97" i="29" s="1"/>
  <c r="AR97" i="29" s="1"/>
  <c r="K95" i="29"/>
  <c r="J95" i="29"/>
  <c r="AQ94" i="29"/>
  <c r="L94" i="29"/>
  <c r="BO97" i="29"/>
  <c r="BY96" i="29"/>
  <c r="BN97" i="29"/>
  <c r="BR96" i="29"/>
  <c r="CL92" i="29"/>
  <c r="CW92" i="29"/>
  <c r="BQ97" i="29"/>
  <c r="BQ98" i="29" s="1"/>
  <c r="BY93" i="29"/>
  <c r="BW93" i="29" s="1"/>
  <c r="CH97" i="29"/>
  <c r="AN98" i="29"/>
  <c r="AO98" i="29"/>
  <c r="L306" i="15"/>
  <c r="M306" i="15" s="1"/>
  <c r="H77" i="40"/>
  <c r="J77" i="40"/>
  <c r="G77" i="40"/>
  <c r="D77" i="40"/>
  <c r="E77" i="40" s="1"/>
  <c r="O77" i="40"/>
  <c r="I77" i="40"/>
  <c r="F77" i="40"/>
  <c r="M177" i="39"/>
  <c r="N177" i="39" s="1"/>
  <c r="AA99" i="39"/>
  <c r="B100" i="39"/>
  <c r="C100" i="39" s="1"/>
  <c r="AZ94" i="29"/>
  <c r="BH94" i="29"/>
  <c r="BB94" i="29" s="1"/>
  <c r="BP95" i="29"/>
  <c r="BD96" i="29"/>
  <c r="CG95" i="29"/>
  <c r="BE95" i="29"/>
  <c r="BG95" i="29" s="1"/>
  <c r="BA95" i="29" s="1"/>
  <c r="BC95" i="29"/>
  <c r="BF95" i="29" s="1"/>
  <c r="B111" i="15"/>
  <c r="C111" i="15"/>
  <c r="B78" i="40"/>
  <c r="C78" i="40" s="1"/>
  <c r="Z99" i="39"/>
  <c r="AB99" i="39"/>
  <c r="AG99" i="39"/>
  <c r="AD99" i="39"/>
  <c r="AF99" i="39"/>
  <c r="F99" i="39"/>
  <c r="D99" i="39"/>
  <c r="S77" i="40" l="1"/>
  <c r="CV88" i="29"/>
  <c r="CO88" i="29" s="1"/>
  <c r="CQ88" i="29" s="1"/>
  <c r="CX88" i="29"/>
  <c r="X202" i="15"/>
  <c r="B203" i="15"/>
  <c r="U95" i="29"/>
  <c r="M93" i="29"/>
  <c r="CS94" i="29"/>
  <c r="CM94" i="29" s="1"/>
  <c r="CA94" i="29"/>
  <c r="BU94" i="29" s="1"/>
  <c r="W93" i="29"/>
  <c r="Y93" i="29" s="1"/>
  <c r="AA93" i="29"/>
  <c r="CR94" i="29"/>
  <c r="CB94" i="29"/>
  <c r="BV94" i="29" s="1"/>
  <c r="CT97" i="29"/>
  <c r="AX97" i="29"/>
  <c r="CS93" i="29"/>
  <c r="CM93" i="29" s="1"/>
  <c r="T96" i="29"/>
  <c r="S96" i="29"/>
  <c r="V95" i="29"/>
  <c r="AF95" i="29"/>
  <c r="AE95" i="29"/>
  <c r="BQ99" i="29"/>
  <c r="BO98" i="29"/>
  <c r="BY97" i="29"/>
  <c r="BN98" i="29"/>
  <c r="BR97" i="29"/>
  <c r="K96" i="29"/>
  <c r="J96" i="29"/>
  <c r="L95" i="29"/>
  <c r="AQ95" i="29"/>
  <c r="AO99" i="29"/>
  <c r="AN99" i="29"/>
  <c r="Q94" i="29"/>
  <c r="R94" i="29"/>
  <c r="CB93" i="29"/>
  <c r="X93" i="29"/>
  <c r="AW98" i="29"/>
  <c r="AP98" i="29"/>
  <c r="AV98" i="29" s="1"/>
  <c r="AR98" i="29" s="1"/>
  <c r="AB94" i="29"/>
  <c r="CI96" i="29"/>
  <c r="CE97" i="29"/>
  <c r="CP96" i="29"/>
  <c r="CF97" i="29"/>
  <c r="CH98" i="29" s="1"/>
  <c r="M178" i="39"/>
  <c r="N178" i="39" s="1"/>
  <c r="B112" i="15"/>
  <c r="C112" i="15"/>
  <c r="I78" i="40"/>
  <c r="F78" i="40"/>
  <c r="G78" i="40"/>
  <c r="H78" i="40"/>
  <c r="D78" i="40"/>
  <c r="E78" i="40" s="1"/>
  <c r="J78" i="40"/>
  <c r="O78" i="40"/>
  <c r="L307" i="15"/>
  <c r="M307" i="15" s="1"/>
  <c r="CG96" i="29"/>
  <c r="BD97" i="29"/>
  <c r="BP96" i="29"/>
  <c r="BE96" i="29"/>
  <c r="BG96" i="29" s="1"/>
  <c r="BA96" i="29" s="1"/>
  <c r="BC96" i="29"/>
  <c r="BF96" i="29" s="1"/>
  <c r="B101" i="39"/>
  <c r="C101" i="39" s="1"/>
  <c r="AA100" i="39"/>
  <c r="B79" i="40"/>
  <c r="C79" i="40"/>
  <c r="BH95" i="29"/>
  <c r="BB95" i="29" s="1"/>
  <c r="AZ95" i="29"/>
  <c r="AB100" i="39"/>
  <c r="Z100" i="39"/>
  <c r="AD100" i="39"/>
  <c r="F100" i="39"/>
  <c r="AF100" i="39"/>
  <c r="AG100" i="39"/>
  <c r="D100" i="39"/>
  <c r="S78" i="40" l="1"/>
  <c r="CV89" i="29"/>
  <c r="CO89" i="29" s="1"/>
  <c r="CQ89" i="29" s="1"/>
  <c r="CX89" i="29"/>
  <c r="C203" i="15"/>
  <c r="W203" i="15"/>
  <c r="Y203" i="15"/>
  <c r="CT93" i="29"/>
  <c r="CC94" i="29"/>
  <c r="R95" i="29"/>
  <c r="Q95" i="29"/>
  <c r="X95" i="29" s="1"/>
  <c r="AN100" i="29"/>
  <c r="AO100" i="29"/>
  <c r="AQ96" i="29"/>
  <c r="J97" i="29"/>
  <c r="L96" i="29"/>
  <c r="K97" i="29"/>
  <c r="BN99" i="29"/>
  <c r="BR98" i="29"/>
  <c r="BO99" i="29"/>
  <c r="BY98" i="29"/>
  <c r="U96" i="29"/>
  <c r="AC96" i="29" s="1"/>
  <c r="T97" i="29"/>
  <c r="V96" i="29"/>
  <c r="S97" i="29"/>
  <c r="AF96" i="29"/>
  <c r="AE96" i="29"/>
  <c r="AB95" i="29"/>
  <c r="X94" i="29"/>
  <c r="AA94" i="29"/>
  <c r="W94" i="29"/>
  <c r="Y94" i="29" s="1"/>
  <c r="M94" i="29"/>
  <c r="CR95" i="29"/>
  <c r="CS95" i="29"/>
  <c r="CM95" i="29" s="1"/>
  <c r="CA95" i="29"/>
  <c r="BU95" i="29" s="1"/>
  <c r="CB95" i="29"/>
  <c r="BV95" i="29" s="1"/>
  <c r="CE98" i="29"/>
  <c r="CF98" i="29"/>
  <c r="CI97" i="29"/>
  <c r="CP97" i="29"/>
  <c r="CT98" i="29"/>
  <c r="AX98" i="29"/>
  <c r="BV93" i="29"/>
  <c r="CC93" i="29"/>
  <c r="BX93" i="29" s="1"/>
  <c r="AW99" i="29"/>
  <c r="AP99" i="29"/>
  <c r="AV99" i="29" s="1"/>
  <c r="AR99" i="29" s="1"/>
  <c r="CL94" i="29"/>
  <c r="CW94" i="29"/>
  <c r="AC95" i="29"/>
  <c r="M179" i="39"/>
  <c r="N179" i="39" s="1"/>
  <c r="AA101" i="39"/>
  <c r="B102" i="39"/>
  <c r="C102" i="39" s="1"/>
  <c r="B80" i="40"/>
  <c r="C80" i="40" s="1"/>
  <c r="L308" i="15"/>
  <c r="M308" i="15" s="1"/>
  <c r="BP97" i="29"/>
  <c r="CG97" i="29"/>
  <c r="BE97" i="29"/>
  <c r="BG97" i="29" s="1"/>
  <c r="BA97" i="29" s="1"/>
  <c r="BD98" i="29"/>
  <c r="BC97" i="29"/>
  <c r="BF97" i="29" s="1"/>
  <c r="J79" i="40"/>
  <c r="O79" i="40"/>
  <c r="G79" i="40"/>
  <c r="F79" i="40"/>
  <c r="D79" i="40"/>
  <c r="H79" i="40"/>
  <c r="I79" i="40"/>
  <c r="AB101" i="39"/>
  <c r="Z101" i="39"/>
  <c r="AF101" i="39"/>
  <c r="AD101" i="39"/>
  <c r="F101" i="39"/>
  <c r="D101" i="39"/>
  <c r="AG101" i="39"/>
  <c r="AZ96" i="29"/>
  <c r="BH96" i="29"/>
  <c r="BB96" i="29" s="1"/>
  <c r="B113" i="15"/>
  <c r="C113" i="15"/>
  <c r="S79" i="40" l="1"/>
  <c r="E79" i="40"/>
  <c r="CV90" i="29"/>
  <c r="CO90" i="29" s="1"/>
  <c r="CQ90" i="29" s="1"/>
  <c r="CX90" i="29"/>
  <c r="B204" i="15"/>
  <c r="X203" i="15"/>
  <c r="CL93" i="29"/>
  <c r="CW93" i="29"/>
  <c r="CT99" i="29"/>
  <c r="AX99" i="29"/>
  <c r="CE99" i="29"/>
  <c r="CI98" i="29"/>
  <c r="CF99" i="29"/>
  <c r="CP98" i="29"/>
  <c r="V97" i="29"/>
  <c r="S98" i="29"/>
  <c r="T98" i="29"/>
  <c r="AF97" i="29"/>
  <c r="AE97" i="29"/>
  <c r="BZ93" i="29"/>
  <c r="BX94" i="29" s="1"/>
  <c r="BZ94" i="29" s="1"/>
  <c r="BX95" i="29" s="1"/>
  <c r="BZ95" i="29" s="1"/>
  <c r="BX96" i="29" s="1"/>
  <c r="U97" i="29"/>
  <c r="AC97" i="29" s="1"/>
  <c r="Q96" i="29"/>
  <c r="X96" i="29" s="1"/>
  <c r="R96" i="29"/>
  <c r="BO100" i="29"/>
  <c r="BR99" i="29"/>
  <c r="BY99" i="29"/>
  <c r="BN100" i="29"/>
  <c r="AW100" i="29"/>
  <c r="AP100" i="29"/>
  <c r="AV100" i="29" s="1"/>
  <c r="AR100" i="29" s="1"/>
  <c r="BS93" i="29"/>
  <c r="BT93" i="29"/>
  <c r="M92" i="29" s="1"/>
  <c r="AB96" i="29"/>
  <c r="BQ100" i="29"/>
  <c r="BQ101" i="29" s="1"/>
  <c r="CC95" i="29"/>
  <c r="CL95" i="29"/>
  <c r="CW95" i="29"/>
  <c r="AQ97" i="29"/>
  <c r="K98" i="29"/>
  <c r="J98" i="29"/>
  <c r="L97" i="29"/>
  <c r="AN101" i="29"/>
  <c r="AO101" i="29"/>
  <c r="CB96" i="29"/>
  <c r="BV96" i="29" s="1"/>
  <c r="M95" i="29"/>
  <c r="W95" i="29"/>
  <c r="Y95" i="29" s="1"/>
  <c r="CS96" i="29"/>
  <c r="CM96" i="29" s="1"/>
  <c r="CR96" i="29"/>
  <c r="AA95" i="29"/>
  <c r="CA96" i="29"/>
  <c r="BU96" i="29" s="1"/>
  <c r="CH99" i="29"/>
  <c r="CH100" i="29" s="1"/>
  <c r="BP98" i="29"/>
  <c r="CG98" i="29"/>
  <c r="BE98" i="29"/>
  <c r="BG98" i="29" s="1"/>
  <c r="BA98" i="29" s="1"/>
  <c r="BC98" i="29"/>
  <c r="BF98" i="29" s="1"/>
  <c r="BD99" i="29"/>
  <c r="M180" i="39"/>
  <c r="N180" i="39" s="1"/>
  <c r="L309" i="15"/>
  <c r="M309" i="15" s="1"/>
  <c r="B81" i="40"/>
  <c r="B103" i="39"/>
  <c r="AA102" i="39"/>
  <c r="C103" i="39"/>
  <c r="I80" i="40"/>
  <c r="D80" i="40"/>
  <c r="F80" i="40"/>
  <c r="E80" i="40"/>
  <c r="J80" i="40"/>
  <c r="H80" i="40"/>
  <c r="O80" i="40"/>
  <c r="G80" i="40"/>
  <c r="Z102" i="39"/>
  <c r="AB102" i="39"/>
  <c r="AD102" i="39"/>
  <c r="F102" i="39"/>
  <c r="D102" i="39"/>
  <c r="AF102" i="39"/>
  <c r="AG102" i="39"/>
  <c r="B114" i="15"/>
  <c r="C114" i="15"/>
  <c r="BH97" i="29"/>
  <c r="BB97" i="29" s="1"/>
  <c r="AZ97" i="29"/>
  <c r="S80" i="40" l="1"/>
  <c r="C81" i="40"/>
  <c r="CV91" i="29"/>
  <c r="CO91" i="29" s="1"/>
  <c r="CQ91" i="29" s="1"/>
  <c r="CX91" i="29"/>
  <c r="C204" i="15"/>
  <c r="W204" i="15"/>
  <c r="Y204" i="15"/>
  <c r="AW101" i="29"/>
  <c r="AP101" i="29"/>
  <c r="AV101" i="29" s="1"/>
  <c r="AR101" i="29" s="1"/>
  <c r="H17" i="29"/>
  <c r="K10" i="40" s="1"/>
  <c r="X92" i="29"/>
  <c r="Y92" i="29" s="1"/>
  <c r="Z92" i="29" s="1"/>
  <c r="CL96" i="29"/>
  <c r="CW96" i="29"/>
  <c r="V98" i="29"/>
  <c r="S99" i="29"/>
  <c r="T99" i="29"/>
  <c r="AE98" i="29"/>
  <c r="AF98" i="29"/>
  <c r="CE100" i="29"/>
  <c r="CI99" i="29"/>
  <c r="CP99" i="29"/>
  <c r="CF100" i="29"/>
  <c r="M96" i="29"/>
  <c r="CR97" i="29"/>
  <c r="CB97" i="29"/>
  <c r="BV97" i="29" s="1"/>
  <c r="W96" i="29"/>
  <c r="Y96" i="29" s="1"/>
  <c r="CS97" i="29"/>
  <c r="CM97" i="29" s="1"/>
  <c r="CA97" i="29"/>
  <c r="BU97" i="29" s="1"/>
  <c r="AA96" i="29"/>
  <c r="CT100" i="29"/>
  <c r="AX100" i="29"/>
  <c r="BR100" i="29"/>
  <c r="BY100" i="29"/>
  <c r="BN101" i="29"/>
  <c r="BO101" i="29"/>
  <c r="R97" i="29"/>
  <c r="Q97" i="29"/>
  <c r="X97" i="29" s="1"/>
  <c r="CC96" i="29"/>
  <c r="AN102" i="29"/>
  <c r="AO102" i="29"/>
  <c r="AQ98" i="29"/>
  <c r="L98" i="29"/>
  <c r="K99" i="29"/>
  <c r="J99" i="29"/>
  <c r="AB97" i="29"/>
  <c r="U98" i="29"/>
  <c r="AC98" i="29" s="1"/>
  <c r="BZ96" i="29"/>
  <c r="BX97" i="29" s="1"/>
  <c r="B82" i="40"/>
  <c r="C82" i="40"/>
  <c r="Z103" i="39"/>
  <c r="AB103" i="39"/>
  <c r="AG103" i="39"/>
  <c r="F103" i="39"/>
  <c r="AF103" i="39"/>
  <c r="D103" i="39"/>
  <c r="AD103" i="39"/>
  <c r="BC99" i="29"/>
  <c r="BF99" i="29" s="1"/>
  <c r="CG99" i="29"/>
  <c r="BD100" i="29"/>
  <c r="BE99" i="29"/>
  <c r="BG99" i="29" s="1"/>
  <c r="BA99" i="29" s="1"/>
  <c r="BP99" i="29"/>
  <c r="I81" i="40"/>
  <c r="H81" i="40"/>
  <c r="O81" i="40"/>
  <c r="J81" i="40"/>
  <c r="D81" i="40"/>
  <c r="E81" i="40" s="1"/>
  <c r="F81" i="40"/>
  <c r="G81" i="40"/>
  <c r="L310" i="15"/>
  <c r="M310" i="15" s="1"/>
  <c r="AZ98" i="29"/>
  <c r="BH98" i="29"/>
  <c r="BB98" i="29" s="1"/>
  <c r="B115" i="15"/>
  <c r="C115" i="15"/>
  <c r="AA103" i="39"/>
  <c r="B104" i="39"/>
  <c r="C104" i="39" s="1"/>
  <c r="M181" i="39"/>
  <c r="N181" i="39" s="1"/>
  <c r="S81" i="40" l="1"/>
  <c r="CV92" i="29"/>
  <c r="CO92" i="29" s="1"/>
  <c r="CQ92" i="29" s="1"/>
  <c r="CP93" i="29" s="1"/>
  <c r="CN93" i="29" s="1"/>
  <c r="CJ93" i="29" s="1"/>
  <c r="AJ17" i="29" s="1"/>
  <c r="AK17" i="29" s="1"/>
  <c r="CX92" i="29"/>
  <c r="AB92" i="29"/>
  <c r="N10" i="40"/>
  <c r="AC92" i="29"/>
  <c r="Z93" i="29"/>
  <c r="Z94" i="29" s="1"/>
  <c r="Z95" i="29" s="1"/>
  <c r="Z96" i="29" s="1"/>
  <c r="G17" i="29"/>
  <c r="L10" i="40" s="1"/>
  <c r="X204" i="15"/>
  <c r="B205" i="15"/>
  <c r="CC97" i="29"/>
  <c r="AO103" i="29"/>
  <c r="AN103" i="29"/>
  <c r="J100" i="29"/>
  <c r="K100" i="29"/>
  <c r="L99" i="29"/>
  <c r="AQ99" i="29"/>
  <c r="BO102" i="29"/>
  <c r="BR101" i="29"/>
  <c r="BY101" i="29"/>
  <c r="BN102" i="29"/>
  <c r="BQ102" i="29"/>
  <c r="BQ103" i="29" s="1"/>
  <c r="CL97" i="29"/>
  <c r="CW97" i="29"/>
  <c r="T100" i="29"/>
  <c r="S100" i="29"/>
  <c r="V99" i="29"/>
  <c r="AF99" i="29"/>
  <c r="AE99" i="29"/>
  <c r="D157" i="15"/>
  <c r="G24" i="15"/>
  <c r="I26" i="39"/>
  <c r="H10" i="44" s="1"/>
  <c r="D10" i="45" s="1"/>
  <c r="K10" i="45" s="1"/>
  <c r="CP100" i="29"/>
  <c r="CF101" i="29"/>
  <c r="CI100" i="29"/>
  <c r="CE101" i="29"/>
  <c r="R98" i="29"/>
  <c r="Q98" i="29"/>
  <c r="AW102" i="29"/>
  <c r="AP102" i="29"/>
  <c r="AV102" i="29" s="1"/>
  <c r="AR102" i="29" s="1"/>
  <c r="CT101" i="29"/>
  <c r="AX101" i="29"/>
  <c r="AB98" i="29"/>
  <c r="M97" i="29"/>
  <c r="CB98" i="29"/>
  <c r="BV98" i="29" s="1"/>
  <c r="CS98" i="29"/>
  <c r="CM98" i="29" s="1"/>
  <c r="CR98" i="29"/>
  <c r="AA97" i="29"/>
  <c r="CA98" i="29"/>
  <c r="BU98" i="29" s="1"/>
  <c r="W97" i="29"/>
  <c r="Y97" i="29" s="1"/>
  <c r="U99" i="29"/>
  <c r="AC99" i="29" s="1"/>
  <c r="CH101" i="29"/>
  <c r="CH102" i="29" s="1"/>
  <c r="CG100" i="29"/>
  <c r="BC100" i="29"/>
  <c r="BF100" i="29" s="1"/>
  <c r="BP100" i="29"/>
  <c r="BD101" i="29"/>
  <c r="BE100" i="29"/>
  <c r="BG100" i="29" s="1"/>
  <c r="BA100" i="29" s="1"/>
  <c r="L82" i="40"/>
  <c r="E82" i="40"/>
  <c r="J114" i="15" s="1"/>
  <c r="D82" i="40"/>
  <c r="D114" i="15" s="1"/>
  <c r="Z82" i="40"/>
  <c r="O82" i="40"/>
  <c r="P82" i="40" s="1"/>
  <c r="I82" i="40"/>
  <c r="P114" i="15" s="1"/>
  <c r="M82" i="40"/>
  <c r="T82" i="40"/>
  <c r="H82" i="40"/>
  <c r="M114" i="15" s="1"/>
  <c r="N82" i="40"/>
  <c r="R82" i="40"/>
  <c r="Y82" i="40"/>
  <c r="Q82" i="40"/>
  <c r="S82" i="40"/>
  <c r="U82" i="40"/>
  <c r="K82" i="40"/>
  <c r="J82" i="40"/>
  <c r="S114" i="15" s="1"/>
  <c r="G82" i="40"/>
  <c r="F82" i="40"/>
  <c r="V82" i="40"/>
  <c r="B116" i="15"/>
  <c r="C116" i="15"/>
  <c r="BZ97" i="29"/>
  <c r="BX98" i="29" s="1"/>
  <c r="M182" i="39"/>
  <c r="N182" i="39"/>
  <c r="B105" i="39"/>
  <c r="AA104" i="39"/>
  <c r="C105" i="39"/>
  <c r="J115" i="15"/>
  <c r="P115" i="15"/>
  <c r="BH99" i="29"/>
  <c r="BB99" i="29" s="1"/>
  <c r="AZ99" i="29"/>
  <c r="AB104" i="39"/>
  <c r="Z104" i="39"/>
  <c r="AF104" i="39"/>
  <c r="F104" i="39"/>
  <c r="AG104" i="39"/>
  <c r="AD104" i="39"/>
  <c r="D104" i="39"/>
  <c r="L311" i="15"/>
  <c r="M311" i="15" s="1"/>
  <c r="B83" i="40"/>
  <c r="C83" i="40"/>
  <c r="D115" i="15" l="1"/>
  <c r="M115" i="15"/>
  <c r="J103" i="15"/>
  <c r="J108" i="15"/>
  <c r="J104" i="15"/>
  <c r="D108" i="15"/>
  <c r="S110" i="15"/>
  <c r="J113" i="15"/>
  <c r="P105" i="15"/>
  <c r="M109" i="15"/>
  <c r="S111" i="15"/>
  <c r="D106" i="15"/>
  <c r="P111" i="15"/>
  <c r="D109" i="15"/>
  <c r="D113" i="15"/>
  <c r="P108" i="15"/>
  <c r="S107" i="15"/>
  <c r="S105" i="15"/>
  <c r="D110" i="15"/>
  <c r="M111" i="15"/>
  <c r="M112" i="15"/>
  <c r="D107" i="15"/>
  <c r="D111" i="15"/>
  <c r="P110" i="15"/>
  <c r="J109" i="15"/>
  <c r="S112" i="15"/>
  <c r="J111" i="15"/>
  <c r="S113" i="15"/>
  <c r="S115" i="15"/>
  <c r="S109" i="15"/>
  <c r="S103" i="15"/>
  <c r="J107" i="15"/>
  <c r="P104" i="15"/>
  <c r="P112" i="15"/>
  <c r="M107" i="15"/>
  <c r="M104" i="15"/>
  <c r="J106" i="15"/>
  <c r="P106" i="15"/>
  <c r="M110" i="15"/>
  <c r="J112" i="15"/>
  <c r="S104" i="15"/>
  <c r="P107" i="15"/>
  <c r="M113" i="15"/>
  <c r="D104" i="15"/>
  <c r="M105" i="15"/>
  <c r="S108" i="15"/>
  <c r="S106" i="15"/>
  <c r="D112" i="15"/>
  <c r="P113" i="15"/>
  <c r="P109" i="15"/>
  <c r="D105" i="15"/>
  <c r="J110" i="15"/>
  <c r="M108" i="15"/>
  <c r="M106" i="15"/>
  <c r="BO79" i="44"/>
  <c r="BK79" i="44"/>
  <c r="BG79" i="44"/>
  <c r="BC79" i="44"/>
  <c r="AY79" i="44"/>
  <c r="AU79" i="44"/>
  <c r="AQ79" i="44"/>
  <c r="AM79" i="44"/>
  <c r="AI79" i="44"/>
  <c r="AE79" i="44"/>
  <c r="AA79" i="44"/>
  <c r="W79" i="44"/>
  <c r="S79" i="44"/>
  <c r="BR79" i="44"/>
  <c r="BN79" i="44"/>
  <c r="BJ79" i="44"/>
  <c r="BF79" i="44"/>
  <c r="BB79" i="44"/>
  <c r="AX79" i="44"/>
  <c r="AT79" i="44"/>
  <c r="AP79" i="44"/>
  <c r="AL79" i="44"/>
  <c r="AH79" i="44"/>
  <c r="AD79" i="44"/>
  <c r="Z79" i="44"/>
  <c r="V79" i="44"/>
  <c r="R79" i="44"/>
  <c r="BQ79" i="44"/>
  <c r="BM79" i="44"/>
  <c r="BI79" i="44"/>
  <c r="BE79" i="44"/>
  <c r="BA79" i="44"/>
  <c r="AW79" i="44"/>
  <c r="AS79" i="44"/>
  <c r="AO79" i="44"/>
  <c r="AK79" i="44"/>
  <c r="AG79" i="44"/>
  <c r="AC79" i="44"/>
  <c r="Y79" i="44"/>
  <c r="U79" i="44"/>
  <c r="BP79" i="44"/>
  <c r="BL79" i="44"/>
  <c r="BH79" i="44"/>
  <c r="BD79" i="44"/>
  <c r="AZ79" i="44"/>
  <c r="AV79" i="44"/>
  <c r="AR79" i="44"/>
  <c r="AN79" i="44"/>
  <c r="AJ79" i="44"/>
  <c r="AF79" i="44"/>
  <c r="AB79" i="44"/>
  <c r="X79" i="44"/>
  <c r="T79" i="44"/>
  <c r="CX93" i="29"/>
  <c r="CV93" i="29"/>
  <c r="AJ26" i="39"/>
  <c r="Q10" i="40"/>
  <c r="U10" i="40" s="1"/>
  <c r="Z97" i="29"/>
  <c r="AK26" i="39"/>
  <c r="R10" i="40"/>
  <c r="V10" i="40" s="1"/>
  <c r="G127" i="40"/>
  <c r="J157" i="15"/>
  <c r="O26" i="39"/>
  <c r="F157" i="15"/>
  <c r="L26" i="39"/>
  <c r="AB99" i="29"/>
  <c r="C205" i="15"/>
  <c r="Y205" i="15"/>
  <c r="W205" i="15"/>
  <c r="CF102" i="29"/>
  <c r="CE102" i="29"/>
  <c r="CI101" i="29"/>
  <c r="CP101" i="29"/>
  <c r="T101" i="29"/>
  <c r="S101" i="29"/>
  <c r="V100" i="29"/>
  <c r="AE100" i="29"/>
  <c r="AF100" i="29"/>
  <c r="AQ100" i="29"/>
  <c r="J101" i="29"/>
  <c r="K101" i="29"/>
  <c r="L100" i="29"/>
  <c r="AN104" i="29"/>
  <c r="AO104" i="29"/>
  <c r="R99" i="29"/>
  <c r="Q99" i="29"/>
  <c r="X99" i="29" s="1"/>
  <c r="CC98" i="29"/>
  <c r="CL98" i="29"/>
  <c r="CW98" i="29"/>
  <c r="CT102" i="29"/>
  <c r="AX102" i="29"/>
  <c r="BY102" i="29"/>
  <c r="BR102" i="29"/>
  <c r="BN103" i="29"/>
  <c r="BO103" i="29"/>
  <c r="CH103" i="29"/>
  <c r="X98" i="29"/>
  <c r="AA98" i="29"/>
  <c r="CB99" i="29"/>
  <c r="BV99" i="29" s="1"/>
  <c r="CS99" i="29"/>
  <c r="CM99" i="29" s="1"/>
  <c r="CA99" i="29"/>
  <c r="BU99" i="29" s="1"/>
  <c r="M98" i="29"/>
  <c r="W98" i="29"/>
  <c r="Y98" i="29" s="1"/>
  <c r="CR99" i="29"/>
  <c r="U100" i="29"/>
  <c r="AW103" i="29"/>
  <c r="AP103" i="29"/>
  <c r="AV103" i="29" s="1"/>
  <c r="AR103" i="29" s="1"/>
  <c r="BZ98" i="29"/>
  <c r="BX99" i="29" s="1"/>
  <c r="U83" i="40"/>
  <c r="M83" i="40"/>
  <c r="G83" i="40"/>
  <c r="F83" i="40"/>
  <c r="E83" i="40"/>
  <c r="T83" i="40"/>
  <c r="N83" i="40"/>
  <c r="H83" i="40"/>
  <c r="Y83" i="40"/>
  <c r="D83" i="40"/>
  <c r="J83" i="40"/>
  <c r="Q83" i="40"/>
  <c r="I83" i="40"/>
  <c r="K83" i="40"/>
  <c r="R83" i="40"/>
  <c r="L83" i="40"/>
  <c r="O83" i="40"/>
  <c r="P83" i="40" s="1"/>
  <c r="S83" i="40"/>
  <c r="Z83" i="40"/>
  <c r="V83" i="40"/>
  <c r="M183" i="39"/>
  <c r="N183" i="39" s="1"/>
  <c r="B117" i="15"/>
  <c r="C117" i="15"/>
  <c r="AA105" i="39"/>
  <c r="B106" i="39"/>
  <c r="C106" i="39"/>
  <c r="D116" i="15"/>
  <c r="M116" i="15"/>
  <c r="J116" i="15"/>
  <c r="P116" i="15"/>
  <c r="S116" i="15"/>
  <c r="BD102" i="29"/>
  <c r="BP101" i="29"/>
  <c r="CG101" i="29"/>
  <c r="BC101" i="29"/>
  <c r="BF101" i="29" s="1"/>
  <c r="BE101" i="29"/>
  <c r="BG101" i="29" s="1"/>
  <c r="BA101" i="29" s="1"/>
  <c r="L312" i="15"/>
  <c r="M312" i="15"/>
  <c r="B84" i="40"/>
  <c r="C84" i="40"/>
  <c r="Z105" i="39"/>
  <c r="AB105" i="39"/>
  <c r="AF105" i="39"/>
  <c r="F105" i="39"/>
  <c r="AG105" i="39"/>
  <c r="D105" i="39"/>
  <c r="AD105" i="39"/>
  <c r="BH100" i="29"/>
  <c r="BB100" i="29" s="1"/>
  <c r="AZ100" i="29"/>
  <c r="J4" i="45" l="1"/>
  <c r="L4" i="45" s="1"/>
  <c r="I5" i="45"/>
  <c r="CO93" i="29"/>
  <c r="CQ93" i="29" s="1"/>
  <c r="CK93" i="29"/>
  <c r="AR92" i="29" s="1"/>
  <c r="AL17" i="29" s="1"/>
  <c r="CV94" i="29"/>
  <c r="CO94" i="29" s="1"/>
  <c r="CQ94" i="29" s="1"/>
  <c r="CX94" i="29"/>
  <c r="L157" i="15"/>
  <c r="Z10" i="40"/>
  <c r="H127" i="40"/>
  <c r="Z98" i="29"/>
  <c r="N157" i="15"/>
  <c r="I127" i="40"/>
  <c r="P157" i="15"/>
  <c r="R26" i="39"/>
  <c r="U26" i="39"/>
  <c r="I10" i="44" s="1"/>
  <c r="E10" i="45" s="1"/>
  <c r="S157" i="15"/>
  <c r="X205" i="15"/>
  <c r="B206" i="15"/>
  <c r="C206" i="15" s="1"/>
  <c r="Q100" i="29"/>
  <c r="X100" i="29" s="1"/>
  <c r="R100" i="29"/>
  <c r="AC100" i="29"/>
  <c r="CC99" i="29"/>
  <c r="BO104" i="29"/>
  <c r="BN104" i="29"/>
  <c r="BR103" i="29"/>
  <c r="BY103" i="29"/>
  <c r="BQ104" i="29"/>
  <c r="BQ105" i="29" s="1"/>
  <c r="CT103" i="29"/>
  <c r="AX103" i="29"/>
  <c r="AB100" i="29"/>
  <c r="CL99" i="29"/>
  <c r="CW99" i="29"/>
  <c r="AO105" i="29"/>
  <c r="AN105" i="29"/>
  <c r="U101" i="29"/>
  <c r="AC101" i="29" s="1"/>
  <c r="W99" i="29"/>
  <c r="Y99" i="29" s="1"/>
  <c r="CB100" i="29"/>
  <c r="BV100" i="29" s="1"/>
  <c r="CS100" i="29"/>
  <c r="CM100" i="29" s="1"/>
  <c r="CA100" i="29"/>
  <c r="BU100" i="29" s="1"/>
  <c r="AA99" i="29"/>
  <c r="CR100" i="29"/>
  <c r="M99" i="29"/>
  <c r="AW104" i="29"/>
  <c r="AP104" i="29"/>
  <c r="AV104" i="29" s="1"/>
  <c r="K102" i="29"/>
  <c r="L101" i="29"/>
  <c r="AQ101" i="29"/>
  <c r="J102" i="29"/>
  <c r="T102" i="29"/>
  <c r="S102" i="29"/>
  <c r="V101" i="29"/>
  <c r="AE101" i="29"/>
  <c r="AF101" i="29"/>
  <c r="CI102" i="29"/>
  <c r="CE103" i="29"/>
  <c r="CF103" i="29"/>
  <c r="CH104" i="29" s="1"/>
  <c r="CP102" i="29"/>
  <c r="BZ99" i="29"/>
  <c r="BX100" i="29" s="1"/>
  <c r="M184" i="39"/>
  <c r="N184" i="39"/>
  <c r="BD103" i="29"/>
  <c r="CG102" i="29"/>
  <c r="BP102" i="29"/>
  <c r="BC102" i="29"/>
  <c r="BF102" i="29" s="1"/>
  <c r="BE102" i="29"/>
  <c r="BG102" i="29" s="1"/>
  <c r="BA102" i="29" s="1"/>
  <c r="B85" i="40"/>
  <c r="C85" i="40"/>
  <c r="AZ101" i="29"/>
  <c r="BH101" i="29"/>
  <c r="BB101" i="29" s="1"/>
  <c r="B107" i="39"/>
  <c r="AA106" i="39"/>
  <c r="C107" i="39"/>
  <c r="B118" i="15"/>
  <c r="C118" i="15"/>
  <c r="Y84" i="40"/>
  <c r="G84" i="40"/>
  <c r="F84" i="40"/>
  <c r="T84" i="40"/>
  <c r="O84" i="40"/>
  <c r="P84" i="40" s="1"/>
  <c r="N84" i="40"/>
  <c r="E84" i="40"/>
  <c r="U84" i="40"/>
  <c r="V84" i="40"/>
  <c r="I84" i="40"/>
  <c r="M84" i="40"/>
  <c r="R84" i="40"/>
  <c r="S84" i="40"/>
  <c r="H84" i="40"/>
  <c r="D84" i="40"/>
  <c r="J84" i="40"/>
  <c r="K84" i="40"/>
  <c r="Z84" i="40"/>
  <c r="Q84" i="40"/>
  <c r="L84" i="40"/>
  <c r="L313" i="15"/>
  <c r="M313" i="15"/>
  <c r="Z106" i="39"/>
  <c r="AB106" i="39"/>
  <c r="AD106" i="39"/>
  <c r="F106" i="39"/>
  <c r="D106" i="39"/>
  <c r="AG106" i="39"/>
  <c r="AI106" i="39"/>
  <c r="AK106" i="39"/>
  <c r="AF106" i="39"/>
  <c r="AJ106" i="39"/>
  <c r="J117" i="15"/>
  <c r="P117" i="15"/>
  <c r="M117" i="15"/>
  <c r="S117" i="15"/>
  <c r="D117" i="15"/>
  <c r="J5" i="45" l="1"/>
  <c r="L5" i="45" s="1"/>
  <c r="I6" i="45"/>
  <c r="N79" i="44"/>
  <c r="Q79" i="44" s="1"/>
  <c r="Q133" i="44" s="1"/>
  <c r="M79" i="44" s="1"/>
  <c r="K10" i="44" s="1"/>
  <c r="G10" i="45" s="1"/>
  <c r="J10" i="44"/>
  <c r="F10" i="45" s="1"/>
  <c r="Z99" i="29"/>
  <c r="CV95" i="29"/>
  <c r="CO95" i="29" s="1"/>
  <c r="CQ95" i="29" s="1"/>
  <c r="CX95" i="29"/>
  <c r="Y10" i="40"/>
  <c r="AB101" i="29"/>
  <c r="X206" i="15"/>
  <c r="B207" i="15"/>
  <c r="C207" i="15" s="1"/>
  <c r="Y206" i="15"/>
  <c r="W206" i="15"/>
  <c r="CT104" i="29"/>
  <c r="AX104" i="29"/>
  <c r="AW105" i="29"/>
  <c r="AP105" i="29"/>
  <c r="AV105" i="29" s="1"/>
  <c r="AR105" i="29" s="1"/>
  <c r="BN105" i="29"/>
  <c r="BO105" i="29"/>
  <c r="BR104" i="29"/>
  <c r="BY104" i="29"/>
  <c r="U102" i="29"/>
  <c r="AB102" i="29" s="1"/>
  <c r="CC100" i="29"/>
  <c r="R101" i="29"/>
  <c r="Q101" i="29"/>
  <c r="X101" i="29" s="1"/>
  <c r="AN106" i="29"/>
  <c r="AO106" i="29"/>
  <c r="V102" i="29"/>
  <c r="S103" i="29"/>
  <c r="T103" i="29"/>
  <c r="AF102" i="29"/>
  <c r="AE102" i="29"/>
  <c r="K103" i="29"/>
  <c r="AQ102" i="29"/>
  <c r="L102" i="29"/>
  <c r="J103" i="29"/>
  <c r="M100" i="29"/>
  <c r="AA100" i="29"/>
  <c r="CB101" i="29"/>
  <c r="BV101" i="29" s="1"/>
  <c r="CS101" i="29"/>
  <c r="CM101" i="29" s="1"/>
  <c r="CA101" i="29"/>
  <c r="BU101" i="29" s="1"/>
  <c r="CR101" i="29"/>
  <c r="W100" i="29"/>
  <c r="Y100" i="29" s="1"/>
  <c r="CE104" i="29"/>
  <c r="CI103" i="29"/>
  <c r="CP103" i="29"/>
  <c r="CF104" i="29"/>
  <c r="CL100" i="29"/>
  <c r="CW100" i="29"/>
  <c r="BP103" i="29"/>
  <c r="BD104" i="29"/>
  <c r="CG103" i="29"/>
  <c r="BC103" i="29"/>
  <c r="BF103" i="29" s="1"/>
  <c r="BE103" i="29"/>
  <c r="BG103" i="29" s="1"/>
  <c r="BA103" i="29" s="1"/>
  <c r="BZ100" i="29"/>
  <c r="BX101" i="29" s="1"/>
  <c r="B119" i="15"/>
  <c r="C119" i="15"/>
  <c r="Z107" i="39"/>
  <c r="AB107" i="39"/>
  <c r="AF107" i="39"/>
  <c r="D107" i="39"/>
  <c r="AD107" i="39"/>
  <c r="AJ107" i="39"/>
  <c r="AI107" i="39"/>
  <c r="AG107" i="39"/>
  <c r="AK107" i="39"/>
  <c r="F107" i="39"/>
  <c r="AZ102" i="29"/>
  <c r="BH102" i="29"/>
  <c r="BB102" i="29" s="1"/>
  <c r="M185" i="39"/>
  <c r="N185" i="39"/>
  <c r="L314" i="15"/>
  <c r="M314" i="15"/>
  <c r="M118" i="15"/>
  <c r="S118" i="15"/>
  <c r="D118" i="15"/>
  <c r="P118" i="15"/>
  <c r="J118" i="15"/>
  <c r="B86" i="40"/>
  <c r="C86" i="40"/>
  <c r="B108" i="39"/>
  <c r="AA107" i="39"/>
  <c r="C108" i="39"/>
  <c r="H85" i="40"/>
  <c r="Q85" i="40"/>
  <c r="M85" i="40"/>
  <c r="J85" i="40"/>
  <c r="O85" i="40"/>
  <c r="P85" i="40" s="1"/>
  <c r="V85" i="40"/>
  <c r="Z85" i="40"/>
  <c r="S85" i="40"/>
  <c r="Y85" i="40"/>
  <c r="D85" i="40"/>
  <c r="F85" i="40"/>
  <c r="N85" i="40"/>
  <c r="R85" i="40"/>
  <c r="T85" i="40"/>
  <c r="K85" i="40"/>
  <c r="U85" i="40"/>
  <c r="L85" i="40"/>
  <c r="G85" i="40"/>
  <c r="I85" i="40"/>
  <c r="E85" i="40"/>
  <c r="Z100" i="29" l="1"/>
  <c r="J6" i="45"/>
  <c r="L6" i="45" s="1"/>
  <c r="I7" i="45"/>
  <c r="CV96" i="29"/>
  <c r="CO96" i="29" s="1"/>
  <c r="CQ96" i="29" s="1"/>
  <c r="CX96" i="29"/>
  <c r="W207" i="15"/>
  <c r="Y207" i="15"/>
  <c r="B208" i="15"/>
  <c r="X207" i="15"/>
  <c r="CC101" i="29"/>
  <c r="AX105" i="29"/>
  <c r="V103" i="29"/>
  <c r="S104" i="29"/>
  <c r="T104" i="29"/>
  <c r="AF103" i="29"/>
  <c r="AE103" i="29"/>
  <c r="AW106" i="29"/>
  <c r="AP106" i="29"/>
  <c r="AV106" i="29" s="1"/>
  <c r="AR106" i="29" s="1"/>
  <c r="AQ103" i="29"/>
  <c r="L103" i="29"/>
  <c r="J104" i="29"/>
  <c r="K104" i="29"/>
  <c r="CE105" i="29"/>
  <c r="CF105" i="29"/>
  <c r="CI104" i="29"/>
  <c r="CP104" i="29"/>
  <c r="CB102" i="29"/>
  <c r="BV102" i="29" s="1"/>
  <c r="CS102" i="29"/>
  <c r="CM102" i="29" s="1"/>
  <c r="M101" i="29"/>
  <c r="AA101" i="29"/>
  <c r="CA102" i="29"/>
  <c r="BU102" i="29" s="1"/>
  <c r="CR102" i="29"/>
  <c r="W101" i="29"/>
  <c r="Y101" i="29" s="1"/>
  <c r="Z101" i="29" s="1"/>
  <c r="U103" i="29"/>
  <c r="AC103" i="29" s="1"/>
  <c r="Q102" i="29"/>
  <c r="X102" i="29" s="1"/>
  <c r="R102" i="29"/>
  <c r="BO106" i="29"/>
  <c r="BR105" i="29"/>
  <c r="BN106" i="29"/>
  <c r="CL101" i="29"/>
  <c r="CW101" i="29"/>
  <c r="AN107" i="29"/>
  <c r="AO107" i="29"/>
  <c r="AC102" i="29"/>
  <c r="BQ106" i="29"/>
  <c r="BQ107" i="29" s="1"/>
  <c r="CH105" i="29"/>
  <c r="CH106" i="29" s="1"/>
  <c r="BZ101" i="29"/>
  <c r="BX102" i="29" s="1"/>
  <c r="Z86" i="40"/>
  <c r="F86" i="40"/>
  <c r="V86" i="40"/>
  <c r="N86" i="40"/>
  <c r="K86" i="40"/>
  <c r="E86" i="40"/>
  <c r="S86" i="40"/>
  <c r="O86" i="40"/>
  <c r="P86" i="40" s="1"/>
  <c r="H86" i="40"/>
  <c r="U86" i="40"/>
  <c r="D86" i="40"/>
  <c r="L86" i="40"/>
  <c r="Q86" i="40"/>
  <c r="G86" i="40"/>
  <c r="M86" i="40"/>
  <c r="R86" i="40"/>
  <c r="J86" i="40"/>
  <c r="T86" i="40"/>
  <c r="I86" i="40"/>
  <c r="Y86" i="40"/>
  <c r="Z108" i="39"/>
  <c r="AB108" i="39"/>
  <c r="AF108" i="39"/>
  <c r="AI108" i="39"/>
  <c r="F108" i="39"/>
  <c r="AD108" i="39"/>
  <c r="AG108" i="39"/>
  <c r="AJ108" i="39"/>
  <c r="D108" i="39"/>
  <c r="AK108" i="39"/>
  <c r="M186" i="39"/>
  <c r="N186" i="39"/>
  <c r="J119" i="15"/>
  <c r="S119" i="15"/>
  <c r="P119" i="15"/>
  <c r="D119" i="15"/>
  <c r="M119" i="15"/>
  <c r="AZ103" i="29"/>
  <c r="BH103" i="29"/>
  <c r="BB103" i="29" s="1"/>
  <c r="L315" i="15"/>
  <c r="M315" i="15"/>
  <c r="B109" i="39"/>
  <c r="AA108" i="39"/>
  <c r="C109" i="39"/>
  <c r="B87" i="40"/>
  <c r="C87" i="40"/>
  <c r="BE104" i="29"/>
  <c r="BG104" i="29" s="1"/>
  <c r="BA104" i="29" s="1"/>
  <c r="BD105" i="29"/>
  <c r="BC104" i="29"/>
  <c r="BF104" i="29" s="1"/>
  <c r="BP104" i="29"/>
  <c r="CG104" i="29"/>
  <c r="B120" i="15"/>
  <c r="C120" i="15"/>
  <c r="I8" i="45" l="1"/>
  <c r="J7" i="45"/>
  <c r="L7" i="45" s="1"/>
  <c r="CX97" i="29"/>
  <c r="CV97" i="29"/>
  <c r="CO97" i="29" s="1"/>
  <c r="CQ97" i="29" s="1"/>
  <c r="C208" i="15"/>
  <c r="Y208" i="15"/>
  <c r="W208" i="15"/>
  <c r="AB103" i="29"/>
  <c r="V104" i="29"/>
  <c r="S105" i="29"/>
  <c r="T105" i="29"/>
  <c r="AE104" i="29"/>
  <c r="AF104" i="29"/>
  <c r="AN108" i="29"/>
  <c r="AO108" i="29"/>
  <c r="CS103" i="29"/>
  <c r="CM103" i="29" s="1"/>
  <c r="AA102" i="29"/>
  <c r="W102" i="29"/>
  <c r="Y102" i="29" s="1"/>
  <c r="Z102" i="29" s="1"/>
  <c r="CR103" i="29"/>
  <c r="M102" i="29"/>
  <c r="CA103" i="29"/>
  <c r="BU103" i="29" s="1"/>
  <c r="CB103" i="29"/>
  <c r="BV103" i="29" s="1"/>
  <c r="CF106" i="29"/>
  <c r="CI105" i="29"/>
  <c r="CE106" i="29"/>
  <c r="CT106" i="29"/>
  <c r="AX106" i="29"/>
  <c r="U104" i="29"/>
  <c r="AW107" i="29"/>
  <c r="AP107" i="29"/>
  <c r="AV107" i="29" s="1"/>
  <c r="AR107" i="29" s="1"/>
  <c r="BN107" i="29"/>
  <c r="BY106" i="29"/>
  <c r="BR106" i="29"/>
  <c r="BO107" i="29"/>
  <c r="R103" i="29"/>
  <c r="Q103" i="29"/>
  <c r="X103" i="29" s="1"/>
  <c r="CC102" i="29"/>
  <c r="L104" i="29"/>
  <c r="AQ104" i="29"/>
  <c r="K105" i="29"/>
  <c r="J105" i="29"/>
  <c r="CL102" i="29"/>
  <c r="CW102" i="29"/>
  <c r="CH107" i="29"/>
  <c r="BQ108" i="29"/>
  <c r="BZ102" i="29"/>
  <c r="BX103" i="29" s="1"/>
  <c r="AA109" i="39"/>
  <c r="B110" i="39"/>
  <c r="C110" i="39"/>
  <c r="M187" i="39"/>
  <c r="N187" i="39"/>
  <c r="CG105" i="29"/>
  <c r="BC105" i="29"/>
  <c r="BF105" i="29" s="1"/>
  <c r="BI105" i="29"/>
  <c r="BD106" i="29"/>
  <c r="BP105" i="29"/>
  <c r="BE105" i="29"/>
  <c r="BG105" i="29" s="1"/>
  <c r="BA105" i="29" s="1"/>
  <c r="L316" i="15"/>
  <c r="M316" i="15"/>
  <c r="B121" i="15"/>
  <c r="C121" i="15"/>
  <c r="S120" i="15"/>
  <c r="M120" i="15"/>
  <c r="P120" i="15"/>
  <c r="D120" i="15"/>
  <c r="J120" i="15"/>
  <c r="B88" i="40"/>
  <c r="C88" i="40"/>
  <c r="AB109" i="39"/>
  <c r="Z109" i="39"/>
  <c r="D109" i="39"/>
  <c r="AK109" i="39"/>
  <c r="AG109" i="39"/>
  <c r="AD109" i="39"/>
  <c r="F109" i="39"/>
  <c r="AF109" i="39"/>
  <c r="AJ109" i="39"/>
  <c r="AI109" i="39"/>
  <c r="BH104" i="29"/>
  <c r="BB104" i="29" s="1"/>
  <c r="AZ104" i="29"/>
  <c r="L87" i="40"/>
  <c r="Y87" i="40"/>
  <c r="N87" i="40"/>
  <c r="Q87" i="40"/>
  <c r="M87" i="40"/>
  <c r="K87" i="40"/>
  <c r="R87" i="40"/>
  <c r="J87" i="40"/>
  <c r="T87" i="40"/>
  <c r="H87" i="40"/>
  <c r="F87" i="40"/>
  <c r="O87" i="40"/>
  <c r="P87" i="40" s="1"/>
  <c r="I87" i="40"/>
  <c r="D87" i="40"/>
  <c r="Z87" i="40"/>
  <c r="U87" i="40"/>
  <c r="G87" i="40"/>
  <c r="S87" i="40"/>
  <c r="E87" i="40"/>
  <c r="V87" i="40"/>
  <c r="I9" i="45" l="1"/>
  <c r="I10" i="45" s="1"/>
  <c r="J8" i="45"/>
  <c r="L8" i="45" s="1"/>
  <c r="CV98" i="29"/>
  <c r="CO98" i="29" s="1"/>
  <c r="CQ98" i="29" s="1"/>
  <c r="CX98" i="29"/>
  <c r="B209" i="15"/>
  <c r="X208" i="15"/>
  <c r="CC103" i="29"/>
  <c r="CL103" i="29"/>
  <c r="CW103" i="29"/>
  <c r="AN109" i="29"/>
  <c r="AO109" i="29"/>
  <c r="T106" i="29"/>
  <c r="V105" i="29"/>
  <c r="S106" i="29"/>
  <c r="AE105" i="29"/>
  <c r="AF105" i="29"/>
  <c r="BR107" i="29"/>
  <c r="BN108" i="29"/>
  <c r="BO108" i="29"/>
  <c r="BY107" i="29"/>
  <c r="R104" i="29"/>
  <c r="Q104" i="29"/>
  <c r="AW108" i="29"/>
  <c r="AP108" i="29"/>
  <c r="AV108" i="29" s="1"/>
  <c r="AR108" i="29" s="1"/>
  <c r="U105" i="29"/>
  <c r="AC105" i="29" s="1"/>
  <c r="J106" i="29"/>
  <c r="L105" i="29"/>
  <c r="K106" i="29"/>
  <c r="AQ105" i="29"/>
  <c r="CS104" i="29"/>
  <c r="CM104" i="29" s="1"/>
  <c r="W103" i="29"/>
  <c r="Y103" i="29" s="1"/>
  <c r="Z103" i="29" s="1"/>
  <c r="CA104" i="29"/>
  <c r="BU104" i="29" s="1"/>
  <c r="CR104" i="29"/>
  <c r="M103" i="29"/>
  <c r="AA103" i="29"/>
  <c r="CB104" i="29"/>
  <c r="BV104" i="29" s="1"/>
  <c r="CT107" i="29"/>
  <c r="AX107" i="29"/>
  <c r="CE107" i="29"/>
  <c r="CP106" i="29"/>
  <c r="CF107" i="29"/>
  <c r="CI106" i="29"/>
  <c r="B89" i="40"/>
  <c r="C89" i="40"/>
  <c r="B122" i="15"/>
  <c r="C122" i="15"/>
  <c r="AZ105" i="29"/>
  <c r="BH105" i="29"/>
  <c r="BB105" i="29" s="1"/>
  <c r="H88" i="40"/>
  <c r="O88" i="40"/>
  <c r="P88" i="40" s="1"/>
  <c r="D88" i="40"/>
  <c r="M88" i="40"/>
  <c r="F88" i="40"/>
  <c r="I88" i="40"/>
  <c r="N88" i="40"/>
  <c r="L88" i="40"/>
  <c r="Y88" i="40"/>
  <c r="G88" i="40"/>
  <c r="R88" i="40"/>
  <c r="U88" i="40"/>
  <c r="E88" i="40"/>
  <c r="Q88" i="40"/>
  <c r="V88" i="40"/>
  <c r="Z88" i="40"/>
  <c r="J88" i="40"/>
  <c r="T88" i="40"/>
  <c r="K88" i="40"/>
  <c r="S88" i="40"/>
  <c r="P121" i="15"/>
  <c r="S121" i="15"/>
  <c r="J121" i="15"/>
  <c r="D121" i="15"/>
  <c r="M121" i="15"/>
  <c r="L317" i="15"/>
  <c r="M317" i="15"/>
  <c r="CG106" i="29"/>
  <c r="BC106" i="29"/>
  <c r="BF106" i="29" s="1"/>
  <c r="BP106" i="29"/>
  <c r="BE106" i="29"/>
  <c r="BG106" i="29" s="1"/>
  <c r="BA106" i="29" s="1"/>
  <c r="BD107" i="29"/>
  <c r="AB110" i="39"/>
  <c r="Z110" i="39"/>
  <c r="AI110" i="39"/>
  <c r="AG110" i="39"/>
  <c r="AF110" i="39"/>
  <c r="D110" i="39"/>
  <c r="AK110" i="39"/>
  <c r="AJ110" i="39"/>
  <c r="AD110" i="39"/>
  <c r="F110" i="39"/>
  <c r="BZ103" i="29"/>
  <c r="BX104" i="29" s="1"/>
  <c r="AA110" i="39"/>
  <c r="B111" i="39"/>
  <c r="C111" i="39"/>
  <c r="M188" i="39"/>
  <c r="N188" i="39"/>
  <c r="J9" i="45" l="1"/>
  <c r="L9" i="45" s="1"/>
  <c r="J10" i="45" s="1"/>
  <c r="L10" i="45" s="1"/>
  <c r="J11" i="45" s="1"/>
  <c r="CX99" i="29"/>
  <c r="CV99" i="29"/>
  <c r="CO99" i="29" s="1"/>
  <c r="CQ99" i="29" s="1"/>
  <c r="C209" i="15"/>
  <c r="W209" i="15"/>
  <c r="Y209" i="15"/>
  <c r="CT108" i="29"/>
  <c r="AX108" i="29"/>
  <c r="CP107" i="29"/>
  <c r="CF108" i="29"/>
  <c r="CI107" i="29"/>
  <c r="CE108" i="29"/>
  <c r="T107" i="29"/>
  <c r="V106" i="29"/>
  <c r="S107" i="29"/>
  <c r="AE106" i="29"/>
  <c r="AF106" i="29"/>
  <c r="CC104" i="29"/>
  <c r="CL104" i="29"/>
  <c r="CW104" i="29"/>
  <c r="CH108" i="29"/>
  <c r="CH109" i="29" s="1"/>
  <c r="BY108" i="29"/>
  <c r="BN109" i="29"/>
  <c r="BR108" i="29"/>
  <c r="BO109" i="29"/>
  <c r="AN110" i="29"/>
  <c r="AO110" i="29"/>
  <c r="BQ109" i="29"/>
  <c r="BQ110" i="29" s="1"/>
  <c r="Q105" i="29"/>
  <c r="X105" i="29" s="1"/>
  <c r="R105" i="29"/>
  <c r="AB105" i="29"/>
  <c r="K107" i="29"/>
  <c r="L106" i="29"/>
  <c r="AQ106" i="29"/>
  <c r="J107" i="29"/>
  <c r="W104" i="29"/>
  <c r="CR105" i="29"/>
  <c r="CA105" i="29"/>
  <c r="BU105" i="29" s="1"/>
  <c r="AA104" i="29"/>
  <c r="U106" i="29"/>
  <c r="AC106" i="29" s="1"/>
  <c r="AW109" i="29"/>
  <c r="AP109" i="29"/>
  <c r="AV109" i="29" s="1"/>
  <c r="AR109" i="29" s="1"/>
  <c r="BZ104" i="29"/>
  <c r="BY105" i="29" s="1"/>
  <c r="Z111" i="39"/>
  <c r="AB111" i="39"/>
  <c r="D111" i="39"/>
  <c r="AI111" i="39"/>
  <c r="AF111" i="39"/>
  <c r="AJ111" i="39"/>
  <c r="AG111" i="39"/>
  <c r="F111" i="39"/>
  <c r="AK111" i="39"/>
  <c r="AD111" i="39"/>
  <c r="L318" i="15"/>
  <c r="M318" i="15"/>
  <c r="B123" i="15"/>
  <c r="C123" i="15"/>
  <c r="AA111" i="39"/>
  <c r="B112" i="39"/>
  <c r="C112" i="39"/>
  <c r="BC107" i="29"/>
  <c r="BF107" i="29" s="1"/>
  <c r="BP107" i="29"/>
  <c r="BE107" i="29"/>
  <c r="BG107" i="29" s="1"/>
  <c r="BA107" i="29" s="1"/>
  <c r="CG107" i="29"/>
  <c r="BD108" i="29"/>
  <c r="S89" i="40"/>
  <c r="V89" i="40"/>
  <c r="N89" i="40"/>
  <c r="U89" i="40"/>
  <c r="T89" i="40"/>
  <c r="M89" i="40"/>
  <c r="L89" i="40"/>
  <c r="H89" i="40"/>
  <c r="Q89" i="40"/>
  <c r="E89" i="40"/>
  <c r="R89" i="40"/>
  <c r="G89" i="40"/>
  <c r="D89" i="40"/>
  <c r="K89" i="40"/>
  <c r="F89" i="40"/>
  <c r="I89" i="40"/>
  <c r="O89" i="40"/>
  <c r="P89" i="40" s="1"/>
  <c r="Y89" i="40"/>
  <c r="Z89" i="40"/>
  <c r="J89" i="40"/>
  <c r="J122" i="15"/>
  <c r="S122" i="15"/>
  <c r="M122" i="15"/>
  <c r="P122" i="15"/>
  <c r="D122" i="15"/>
  <c r="M189" i="39"/>
  <c r="N189" i="39"/>
  <c r="BH106" i="29"/>
  <c r="BB106" i="29" s="1"/>
  <c r="AZ106" i="29"/>
  <c r="B90" i="40"/>
  <c r="C90" i="40"/>
  <c r="CV100" i="29" l="1"/>
  <c r="CO100" i="29" s="1"/>
  <c r="CQ100" i="29" s="1"/>
  <c r="CX100" i="29"/>
  <c r="X209" i="15"/>
  <c r="B210" i="15"/>
  <c r="CS105" i="29"/>
  <c r="CM105" i="29" s="1"/>
  <c r="CT109" i="29"/>
  <c r="AX109" i="29"/>
  <c r="BN110" i="29"/>
  <c r="BR109" i="29"/>
  <c r="BO110" i="29"/>
  <c r="BY109" i="29"/>
  <c r="U107" i="29"/>
  <c r="AB107" i="29" s="1"/>
  <c r="CE109" i="29"/>
  <c r="CI108" i="29"/>
  <c r="CP108" i="29"/>
  <c r="CF109" i="29"/>
  <c r="CH110" i="29" s="1"/>
  <c r="BQ111" i="29"/>
  <c r="CB105" i="29"/>
  <c r="AN111" i="29"/>
  <c r="AO111" i="29"/>
  <c r="T108" i="29"/>
  <c r="V107" i="29"/>
  <c r="S108" i="29"/>
  <c r="AF107" i="29"/>
  <c r="AE107" i="29"/>
  <c r="Q106" i="29"/>
  <c r="X106" i="29" s="1"/>
  <c r="R106" i="29"/>
  <c r="AB106" i="29"/>
  <c r="K108" i="29"/>
  <c r="AQ107" i="29"/>
  <c r="L107" i="29"/>
  <c r="J108" i="29"/>
  <c r="W105" i="29"/>
  <c r="Y105" i="29" s="1"/>
  <c r="AA105" i="29"/>
  <c r="CB106" i="29"/>
  <c r="BV106" i="29" s="1"/>
  <c r="CA106" i="29"/>
  <c r="BU106" i="29" s="1"/>
  <c r="M105" i="29"/>
  <c r="CR106" i="29"/>
  <c r="CS106" i="29"/>
  <c r="CM106" i="29" s="1"/>
  <c r="AW110" i="29"/>
  <c r="AP110" i="29"/>
  <c r="AV110" i="29" s="1"/>
  <c r="AR110" i="29" s="1"/>
  <c r="BW105" i="29"/>
  <c r="Y90" i="40"/>
  <c r="R90" i="40"/>
  <c r="L90" i="40"/>
  <c r="T90" i="40"/>
  <c r="J90" i="40"/>
  <c r="U90" i="40"/>
  <c r="V90" i="40"/>
  <c r="Q90" i="40"/>
  <c r="K90" i="40"/>
  <c r="S90" i="40"/>
  <c r="E90" i="40"/>
  <c r="F90" i="40"/>
  <c r="I90" i="40"/>
  <c r="O90" i="40"/>
  <c r="P90" i="40" s="1"/>
  <c r="Z90" i="40"/>
  <c r="D90" i="40"/>
  <c r="G90" i="40"/>
  <c r="H90" i="40"/>
  <c r="N90" i="40"/>
  <c r="M90" i="40"/>
  <c r="BE108" i="29"/>
  <c r="BG108" i="29" s="1"/>
  <c r="BA108" i="29" s="1"/>
  <c r="BC108" i="29"/>
  <c r="BF108" i="29" s="1"/>
  <c r="CG108" i="29"/>
  <c r="BP108" i="29"/>
  <c r="BD109" i="29"/>
  <c r="AZ107" i="29"/>
  <c r="BH107" i="29"/>
  <c r="BB107" i="29" s="1"/>
  <c r="J123" i="15"/>
  <c r="M123" i="15"/>
  <c r="D123" i="15"/>
  <c r="S123" i="15"/>
  <c r="P123" i="15"/>
  <c r="B91" i="40"/>
  <c r="C91" i="40"/>
  <c r="B124" i="15"/>
  <c r="C124" i="15"/>
  <c r="M190" i="39"/>
  <c r="N190" i="39"/>
  <c r="AA112" i="39"/>
  <c r="B113" i="39"/>
  <c r="C113" i="39"/>
  <c r="L319" i="15"/>
  <c r="M319" i="15"/>
  <c r="AB112" i="39"/>
  <c r="Z112" i="39"/>
  <c r="AI112" i="39"/>
  <c r="D112" i="39"/>
  <c r="F112" i="39"/>
  <c r="AK112" i="39"/>
  <c r="AJ112" i="39"/>
  <c r="AF112" i="39"/>
  <c r="AD112" i="39"/>
  <c r="AG112" i="39"/>
  <c r="CV101" i="29" l="1"/>
  <c r="CO101" i="29" s="1"/>
  <c r="CQ101" i="29" s="1"/>
  <c r="CX101" i="29"/>
  <c r="CT105" i="29"/>
  <c r="CW105" i="29" s="1"/>
  <c r="C210" i="15"/>
  <c r="W210" i="15"/>
  <c r="Y210" i="15"/>
  <c r="CC106" i="29"/>
  <c r="W106" i="29"/>
  <c r="Y106" i="29" s="1"/>
  <c r="M106" i="29"/>
  <c r="AA106" i="29"/>
  <c r="CA107" i="29"/>
  <c r="BU107" i="29" s="1"/>
  <c r="CR107" i="29"/>
  <c r="CS107" i="29"/>
  <c r="CM107" i="29" s="1"/>
  <c r="CB107" i="29"/>
  <c r="BV107" i="29" s="1"/>
  <c r="T109" i="29"/>
  <c r="V108" i="29"/>
  <c r="S109" i="29"/>
  <c r="AF108" i="29"/>
  <c r="AE108" i="29"/>
  <c r="AW111" i="29"/>
  <c r="AP111" i="29"/>
  <c r="AV111" i="29" s="1"/>
  <c r="AR111" i="29" s="1"/>
  <c r="AC107" i="29"/>
  <c r="AO112" i="29"/>
  <c r="AN112" i="29"/>
  <c r="CL106" i="29"/>
  <c r="CW106" i="29"/>
  <c r="CE110" i="29"/>
  <c r="CI109" i="29"/>
  <c r="CF110" i="29"/>
  <c r="CH111" i="29" s="1"/>
  <c r="CP109" i="29"/>
  <c r="R107" i="29"/>
  <c r="Q107" i="29"/>
  <c r="CT110" i="29"/>
  <c r="AX110" i="29"/>
  <c r="J109" i="29"/>
  <c r="AQ108" i="29"/>
  <c r="L108" i="29"/>
  <c r="K109" i="29"/>
  <c r="U108" i="29"/>
  <c r="AC108" i="29" s="1"/>
  <c r="BV105" i="29"/>
  <c r="BS105" i="29" s="1"/>
  <c r="CC105" i="29"/>
  <c r="BX105" i="29" s="1"/>
  <c r="BZ105" i="29" s="1"/>
  <c r="BX106" i="29" s="1"/>
  <c r="BR110" i="29"/>
  <c r="BN111" i="29"/>
  <c r="BY110" i="29"/>
  <c r="BO111" i="29"/>
  <c r="M191" i="39"/>
  <c r="N191" i="39"/>
  <c r="B92" i="40"/>
  <c r="C92" i="40"/>
  <c r="B114" i="39"/>
  <c r="AA113" i="39"/>
  <c r="C114" i="39"/>
  <c r="Z91" i="40"/>
  <c r="N91" i="40"/>
  <c r="V91" i="40"/>
  <c r="T91" i="40"/>
  <c r="H91" i="40"/>
  <c r="K91" i="40"/>
  <c r="E91" i="40"/>
  <c r="I91" i="40"/>
  <c r="Q91" i="40"/>
  <c r="O91" i="40"/>
  <c r="P91" i="40" s="1"/>
  <c r="D91" i="40"/>
  <c r="S91" i="40"/>
  <c r="G91" i="40"/>
  <c r="R91" i="40"/>
  <c r="U91" i="40"/>
  <c r="L91" i="40"/>
  <c r="M91" i="40"/>
  <c r="F91" i="40"/>
  <c r="Y91" i="40"/>
  <c r="J91" i="40"/>
  <c r="Z113" i="39"/>
  <c r="AB113" i="39"/>
  <c r="AK113" i="39"/>
  <c r="AD113" i="39"/>
  <c r="AJ113" i="39"/>
  <c r="AF113" i="39"/>
  <c r="F113" i="39"/>
  <c r="D113" i="39"/>
  <c r="AI113" i="39"/>
  <c r="AG113" i="39"/>
  <c r="B125" i="15"/>
  <c r="C125" i="15"/>
  <c r="BH108" i="29"/>
  <c r="BB108" i="29" s="1"/>
  <c r="AZ108" i="29"/>
  <c r="L320" i="15"/>
  <c r="M320" i="15"/>
  <c r="P124" i="15"/>
  <c r="M124" i="15"/>
  <c r="J124" i="15"/>
  <c r="D124" i="15"/>
  <c r="S124" i="15"/>
  <c r="BP109" i="29"/>
  <c r="BD110" i="29"/>
  <c r="BC109" i="29"/>
  <c r="BF109" i="29" s="1"/>
  <c r="BE109" i="29"/>
  <c r="BG109" i="29" s="1"/>
  <c r="BA109" i="29" s="1"/>
  <c r="CG109" i="29"/>
  <c r="CX102" i="29" l="1"/>
  <c r="CV102" i="29"/>
  <c r="CO102" i="29" s="1"/>
  <c r="CQ102" i="29" s="1"/>
  <c r="BT105" i="29"/>
  <c r="M104" i="29" s="1"/>
  <c r="CL105" i="29"/>
  <c r="X210" i="15"/>
  <c r="B218" i="15"/>
  <c r="AB108" i="29"/>
  <c r="CC107" i="29"/>
  <c r="AN113" i="29"/>
  <c r="AO113" i="29"/>
  <c r="CT111" i="29"/>
  <c r="AX111" i="29"/>
  <c r="BN112" i="29"/>
  <c r="BR111" i="29"/>
  <c r="BY111" i="29"/>
  <c r="BO112" i="29"/>
  <c r="W107" i="29"/>
  <c r="Y107" i="29" s="1"/>
  <c r="CR108" i="29"/>
  <c r="CB108" i="29"/>
  <c r="BV108" i="29" s="1"/>
  <c r="AA107" i="29"/>
  <c r="M107" i="29"/>
  <c r="CA108" i="29"/>
  <c r="BU108" i="29" s="1"/>
  <c r="CS108" i="29"/>
  <c r="CM108" i="29" s="1"/>
  <c r="R108" i="29"/>
  <c r="Q108" i="29"/>
  <c r="AQ109" i="29"/>
  <c r="L109" i="29"/>
  <c r="J110" i="29"/>
  <c r="K110" i="29"/>
  <c r="BQ112" i="29"/>
  <c r="BQ113" i="29" s="1"/>
  <c r="S110" i="29"/>
  <c r="T110" i="29"/>
  <c r="V109" i="29"/>
  <c r="AF109" i="29"/>
  <c r="AE109" i="29"/>
  <c r="CL107" i="29"/>
  <c r="CW107" i="29"/>
  <c r="CI110" i="29"/>
  <c r="CP110" i="29"/>
  <c r="CE111" i="29"/>
  <c r="CF111" i="29"/>
  <c r="X107" i="29"/>
  <c r="AW112" i="29"/>
  <c r="AP112" i="29"/>
  <c r="AV112" i="29" s="1"/>
  <c r="AR112" i="29" s="1"/>
  <c r="U109" i="29"/>
  <c r="AB109" i="29" s="1"/>
  <c r="L321" i="15"/>
  <c r="M321" i="15"/>
  <c r="BZ106" i="29"/>
  <c r="BX107" i="29" s="1"/>
  <c r="M192" i="39"/>
  <c r="N192" i="39"/>
  <c r="BH109" i="29"/>
  <c r="BB109" i="29" s="1"/>
  <c r="AZ109" i="29"/>
  <c r="B126" i="15"/>
  <c r="C126" i="15"/>
  <c r="B115" i="39"/>
  <c r="AA114" i="39"/>
  <c r="C115" i="39"/>
  <c r="BP110" i="29"/>
  <c r="BE110" i="29"/>
  <c r="BG110" i="29" s="1"/>
  <c r="BA110" i="29" s="1"/>
  <c r="CG110" i="29"/>
  <c r="BC110" i="29"/>
  <c r="BF110" i="29" s="1"/>
  <c r="BD111" i="29"/>
  <c r="J125" i="15"/>
  <c r="P125" i="15"/>
  <c r="D125" i="15"/>
  <c r="S125" i="15"/>
  <c r="M125" i="15"/>
  <c r="B93" i="40"/>
  <c r="C93" i="40"/>
  <c r="H18" i="29"/>
  <c r="K11" i="40" s="1"/>
  <c r="X104" i="29"/>
  <c r="Y104" i="29" s="1"/>
  <c r="Z104" i="29" s="1"/>
  <c r="AB114" i="39"/>
  <c r="Z114" i="39"/>
  <c r="F114" i="39"/>
  <c r="D114" i="39"/>
  <c r="AI114" i="39"/>
  <c r="AJ114" i="39"/>
  <c r="AF114" i="39"/>
  <c r="AK114" i="39"/>
  <c r="AD114" i="39"/>
  <c r="AG114" i="39"/>
  <c r="I92" i="40"/>
  <c r="S92" i="40"/>
  <c r="G92" i="40"/>
  <c r="N92" i="40"/>
  <c r="V92" i="40"/>
  <c r="D92" i="40"/>
  <c r="Q92" i="40"/>
  <c r="M92" i="40"/>
  <c r="Z92" i="40"/>
  <c r="F92" i="40"/>
  <c r="R92" i="40"/>
  <c r="U92" i="40"/>
  <c r="E92" i="40"/>
  <c r="H92" i="40"/>
  <c r="Y92" i="40"/>
  <c r="J92" i="40"/>
  <c r="K92" i="40"/>
  <c r="L92" i="40"/>
  <c r="T92" i="40"/>
  <c r="O92" i="40"/>
  <c r="P92" i="40" s="1"/>
  <c r="CV103" i="29" l="1"/>
  <c r="CO103" i="29" s="1"/>
  <c r="CQ103" i="29" s="1"/>
  <c r="CX103" i="29"/>
  <c r="AB104" i="29"/>
  <c r="AC104" i="29"/>
  <c r="Z105" i="29"/>
  <c r="Z106" i="29" s="1"/>
  <c r="Z107" i="29" s="1"/>
  <c r="G18" i="29"/>
  <c r="L11" i="40" s="1"/>
  <c r="W218" i="15"/>
  <c r="Y218" i="15"/>
  <c r="C218" i="15"/>
  <c r="T111" i="29"/>
  <c r="V110" i="29"/>
  <c r="S111" i="29"/>
  <c r="AF110" i="29"/>
  <c r="AE110" i="29"/>
  <c r="CL108" i="29"/>
  <c r="CW108" i="29"/>
  <c r="CP111" i="29"/>
  <c r="CF112" i="29"/>
  <c r="CE112" i="29"/>
  <c r="CI111" i="29"/>
  <c r="U110" i="29"/>
  <c r="AB110" i="29" s="1"/>
  <c r="Q109" i="29"/>
  <c r="X109" i="29" s="1"/>
  <c r="R109" i="29"/>
  <c r="CT112" i="29"/>
  <c r="AX112" i="29"/>
  <c r="CC108" i="29"/>
  <c r="BR112" i="29"/>
  <c r="BN113" i="29"/>
  <c r="BO113" i="29"/>
  <c r="BY112" i="29"/>
  <c r="AA108" i="29"/>
  <c r="CB109" i="29"/>
  <c r="BV109" i="29" s="1"/>
  <c r="CS109" i="29"/>
  <c r="CM109" i="29" s="1"/>
  <c r="CA109" i="29"/>
  <c r="BU109" i="29" s="1"/>
  <c r="CR109" i="29"/>
  <c r="M108" i="29"/>
  <c r="W108" i="29"/>
  <c r="Y108" i="29" s="1"/>
  <c r="AW113" i="29"/>
  <c r="AP113" i="29"/>
  <c r="AV113" i="29" s="1"/>
  <c r="AR113" i="29" s="1"/>
  <c r="AC109" i="29"/>
  <c r="K111" i="29"/>
  <c r="AQ110" i="29"/>
  <c r="L110" i="29"/>
  <c r="J111" i="29"/>
  <c r="X108" i="29"/>
  <c r="AN114" i="29"/>
  <c r="AO114" i="29"/>
  <c r="CH112" i="29"/>
  <c r="BZ107" i="29"/>
  <c r="BX108" i="29" s="1"/>
  <c r="G25" i="15"/>
  <c r="D158" i="15"/>
  <c r="I27" i="39"/>
  <c r="H11" i="44" s="1"/>
  <c r="D11" i="45" s="1"/>
  <c r="K11" i="45" s="1"/>
  <c r="L11" i="45" s="1"/>
  <c r="J12" i="45" s="1"/>
  <c r="F93" i="40"/>
  <c r="N93" i="40"/>
  <c r="S93" i="40"/>
  <c r="M93" i="40"/>
  <c r="R93" i="40"/>
  <c r="J93" i="40"/>
  <c r="D93" i="40"/>
  <c r="V93" i="40"/>
  <c r="Q93" i="40"/>
  <c r="O93" i="40"/>
  <c r="P93" i="40" s="1"/>
  <c r="E93" i="40"/>
  <c r="Y93" i="40"/>
  <c r="K93" i="40"/>
  <c r="Z93" i="40"/>
  <c r="H93" i="40"/>
  <c r="U93" i="40"/>
  <c r="T93" i="40"/>
  <c r="L93" i="40"/>
  <c r="G93" i="40"/>
  <c r="I93" i="40"/>
  <c r="BH110" i="29"/>
  <c r="BB110" i="29" s="1"/>
  <c r="AZ110" i="29"/>
  <c r="B127" i="15"/>
  <c r="C127" i="15"/>
  <c r="AA115" i="39"/>
  <c r="B116" i="39"/>
  <c r="C116" i="39"/>
  <c r="M126" i="15"/>
  <c r="J126" i="15"/>
  <c r="S126" i="15"/>
  <c r="D126" i="15"/>
  <c r="P126" i="15"/>
  <c r="B94" i="40"/>
  <c r="C94" i="40"/>
  <c r="BP111" i="29"/>
  <c r="BD112" i="29"/>
  <c r="CG111" i="29"/>
  <c r="BE111" i="29"/>
  <c r="BG111" i="29" s="1"/>
  <c r="BA111" i="29" s="1"/>
  <c r="BC111" i="29"/>
  <c r="BF111" i="29" s="1"/>
  <c r="AB115" i="39"/>
  <c r="Z115" i="39"/>
  <c r="AF115" i="39"/>
  <c r="AD115" i="39"/>
  <c r="AG115" i="39"/>
  <c r="AI115" i="39"/>
  <c r="AK115" i="39"/>
  <c r="AJ115" i="39"/>
  <c r="D115" i="39"/>
  <c r="F115" i="39"/>
  <c r="M193" i="39"/>
  <c r="N193" i="39"/>
  <c r="L322" i="15"/>
  <c r="M322" i="15"/>
  <c r="BQ80" i="44" l="1"/>
  <c r="BR80" i="44"/>
  <c r="BL80" i="44"/>
  <c r="BG80" i="44"/>
  <c r="BB80" i="44"/>
  <c r="AV80" i="44"/>
  <c r="AQ80" i="44"/>
  <c r="AL80" i="44"/>
  <c r="AF80" i="44"/>
  <c r="AA80" i="44"/>
  <c r="V80" i="44"/>
  <c r="BP80" i="44"/>
  <c r="BK80" i="44"/>
  <c r="BF80" i="44"/>
  <c r="AZ80" i="44"/>
  <c r="AU80" i="44"/>
  <c r="AP80" i="44"/>
  <c r="AJ80" i="44"/>
  <c r="AE80" i="44"/>
  <c r="Z80" i="44"/>
  <c r="T80" i="44"/>
  <c r="BO80" i="44"/>
  <c r="BJ80" i="44"/>
  <c r="BD80" i="44"/>
  <c r="AY80" i="44"/>
  <c r="AT80" i="44"/>
  <c r="AN80" i="44"/>
  <c r="AI80" i="44"/>
  <c r="AD80" i="44"/>
  <c r="X80" i="44"/>
  <c r="S80" i="44"/>
  <c r="BN80" i="44"/>
  <c r="BH80" i="44"/>
  <c r="BC80" i="44"/>
  <c r="AX80" i="44"/>
  <c r="AR80" i="44"/>
  <c r="AM80" i="44"/>
  <c r="AH80" i="44"/>
  <c r="AB80" i="44"/>
  <c r="W80" i="44"/>
  <c r="Y80" i="44"/>
  <c r="AO80" i="44"/>
  <c r="BE80" i="44"/>
  <c r="AG80" i="44"/>
  <c r="AW80" i="44"/>
  <c r="BM80" i="44"/>
  <c r="AK80" i="44"/>
  <c r="AC80" i="44"/>
  <c r="AS80" i="44"/>
  <c r="U80" i="44"/>
  <c r="BA80" i="44"/>
  <c r="BI80" i="44"/>
  <c r="CV104" i="29"/>
  <c r="CO104" i="29" s="1"/>
  <c r="CQ104" i="29" s="1"/>
  <c r="CP105" i="29" s="1"/>
  <c r="CN105" i="29" s="1"/>
  <c r="CJ105" i="29" s="1"/>
  <c r="AJ18" i="29" s="1"/>
  <c r="CX104" i="29"/>
  <c r="Z108" i="29"/>
  <c r="L27" i="39"/>
  <c r="F158" i="15"/>
  <c r="CC109" i="29"/>
  <c r="X218" i="15"/>
  <c r="B219" i="15"/>
  <c r="AC110" i="29"/>
  <c r="CH113" i="29"/>
  <c r="CH114" i="29" s="1"/>
  <c r="BR113" i="29"/>
  <c r="BO114" i="29"/>
  <c r="BN114" i="29"/>
  <c r="BY113" i="29"/>
  <c r="BQ114" i="29"/>
  <c r="BQ115" i="29" s="1"/>
  <c r="V111" i="29"/>
  <c r="T112" i="29"/>
  <c r="S112" i="29"/>
  <c r="AE111" i="29"/>
  <c r="AF111" i="29"/>
  <c r="J112" i="29"/>
  <c r="L111" i="29"/>
  <c r="K112" i="29"/>
  <c r="AQ111" i="29"/>
  <c r="AO115" i="29"/>
  <c r="AN115" i="29"/>
  <c r="CP112" i="29"/>
  <c r="CI112" i="29"/>
  <c r="CE113" i="29"/>
  <c r="CF113" i="29"/>
  <c r="AW114" i="29"/>
  <c r="AP114" i="29"/>
  <c r="AV114" i="29" s="1"/>
  <c r="AR114" i="29" s="1"/>
  <c r="CT113" i="29"/>
  <c r="AX113" i="29"/>
  <c r="CL109" i="29"/>
  <c r="CW109" i="29"/>
  <c r="AA109" i="29"/>
  <c r="W109" i="29"/>
  <c r="Y109" i="29" s="1"/>
  <c r="CS110" i="29"/>
  <c r="CM110" i="29" s="1"/>
  <c r="CR110" i="29"/>
  <c r="CB110" i="29"/>
  <c r="BV110" i="29" s="1"/>
  <c r="CA110" i="29"/>
  <c r="BU110" i="29" s="1"/>
  <c r="M109" i="29"/>
  <c r="Q110" i="29"/>
  <c r="X110" i="29" s="1"/>
  <c r="R110" i="29"/>
  <c r="U111" i="29"/>
  <c r="AB111" i="29" s="1"/>
  <c r="BZ108" i="29"/>
  <c r="BX109" i="29" s="1"/>
  <c r="BH111" i="29"/>
  <c r="BB111" i="29" s="1"/>
  <c r="AZ111" i="29"/>
  <c r="B128" i="15"/>
  <c r="C128" i="15"/>
  <c r="B95" i="40"/>
  <c r="C95" i="40"/>
  <c r="P127" i="15"/>
  <c r="S127" i="15"/>
  <c r="J127" i="15"/>
  <c r="M127" i="15"/>
  <c r="D127" i="15"/>
  <c r="O94" i="40"/>
  <c r="P94" i="40" s="1"/>
  <c r="S94" i="40"/>
  <c r="Y94" i="40"/>
  <c r="T94" i="40"/>
  <c r="M94" i="40"/>
  <c r="N94" i="40"/>
  <c r="K94" i="40"/>
  <c r="F94" i="40"/>
  <c r="V94" i="40"/>
  <c r="Z94" i="40"/>
  <c r="G94" i="40"/>
  <c r="L94" i="40"/>
  <c r="U94" i="40"/>
  <c r="E94" i="40"/>
  <c r="R94" i="40"/>
  <c r="J94" i="40"/>
  <c r="H94" i="40"/>
  <c r="Q94" i="40"/>
  <c r="I94" i="40"/>
  <c r="D94" i="40"/>
  <c r="AA116" i="39"/>
  <c r="B117" i="39"/>
  <c r="C117" i="39"/>
  <c r="M194" i="39"/>
  <c r="N194" i="39"/>
  <c r="L323" i="15"/>
  <c r="M323" i="15"/>
  <c r="BE112" i="29"/>
  <c r="BG112" i="29" s="1"/>
  <c r="BA112" i="29" s="1"/>
  <c r="BP112" i="29"/>
  <c r="BD113" i="29"/>
  <c r="BC112" i="29"/>
  <c r="BF112" i="29" s="1"/>
  <c r="CG112" i="29"/>
  <c r="Z116" i="39"/>
  <c r="AB116" i="39"/>
  <c r="AG116" i="39"/>
  <c r="AJ116" i="39"/>
  <c r="AI116" i="39"/>
  <c r="F116" i="39"/>
  <c r="AF116" i="39"/>
  <c r="D116" i="39"/>
  <c r="AD116" i="39"/>
  <c r="AK116" i="39"/>
  <c r="Z109" i="29" l="1"/>
  <c r="CV105" i="29"/>
  <c r="CX105" i="29"/>
  <c r="CC110" i="29"/>
  <c r="C219" i="15"/>
  <c r="Y219" i="15"/>
  <c r="W219" i="15"/>
  <c r="AC111" i="29"/>
  <c r="CT114" i="29"/>
  <c r="AX114" i="29"/>
  <c r="K113" i="29"/>
  <c r="J113" i="29"/>
  <c r="AQ112" i="29"/>
  <c r="L112" i="29"/>
  <c r="CH115" i="29"/>
  <c r="R111" i="29"/>
  <c r="Q111" i="29"/>
  <c r="CP113" i="29"/>
  <c r="CE114" i="29"/>
  <c r="CF114" i="29"/>
  <c r="CI113" i="29"/>
  <c r="AW115" i="29"/>
  <c r="AP115" i="29"/>
  <c r="AV115" i="29" s="1"/>
  <c r="AR115" i="29" s="1"/>
  <c r="U112" i="29"/>
  <c r="AC112" i="29" s="1"/>
  <c r="CL110" i="29"/>
  <c r="CW110" i="29"/>
  <c r="AO116" i="29"/>
  <c r="AN116" i="29"/>
  <c r="T113" i="29"/>
  <c r="S113" i="29"/>
  <c r="V112" i="29"/>
  <c r="AF112" i="29"/>
  <c r="AE112" i="29"/>
  <c r="CR111" i="29"/>
  <c r="CB111" i="29"/>
  <c r="BV111" i="29" s="1"/>
  <c r="CA111" i="29"/>
  <c r="BU111" i="29" s="1"/>
  <c r="CS111" i="29"/>
  <c r="CM111" i="29" s="1"/>
  <c r="W110" i="29"/>
  <c r="Y110" i="29" s="1"/>
  <c r="AA110" i="29"/>
  <c r="M110" i="29"/>
  <c r="BY114" i="29"/>
  <c r="BR114" i="29"/>
  <c r="BN115" i="29"/>
  <c r="BO115" i="29"/>
  <c r="R95" i="40"/>
  <c r="N95" i="40"/>
  <c r="V95" i="40"/>
  <c r="F95" i="40"/>
  <c r="O95" i="40"/>
  <c r="P95" i="40" s="1"/>
  <c r="Z95" i="40"/>
  <c r="L95" i="40"/>
  <c r="M95" i="40"/>
  <c r="K95" i="40"/>
  <c r="E95" i="40"/>
  <c r="I95" i="40"/>
  <c r="D95" i="40"/>
  <c r="Y95" i="40"/>
  <c r="S95" i="40"/>
  <c r="H95" i="40"/>
  <c r="J95" i="40"/>
  <c r="U95" i="40"/>
  <c r="Q95" i="40"/>
  <c r="G95" i="40"/>
  <c r="T95" i="40"/>
  <c r="B129" i="15"/>
  <c r="C129" i="15"/>
  <c r="BH112" i="29"/>
  <c r="BB112" i="29" s="1"/>
  <c r="AZ112" i="29"/>
  <c r="L324" i="15"/>
  <c r="M324" i="15"/>
  <c r="J128" i="15"/>
  <c r="P128" i="15"/>
  <c r="D128" i="15"/>
  <c r="M128" i="15"/>
  <c r="S128" i="15"/>
  <c r="BE113" i="29"/>
  <c r="BG113" i="29" s="1"/>
  <c r="BA113" i="29" s="1"/>
  <c r="CG113" i="29"/>
  <c r="BP113" i="29"/>
  <c r="BC113" i="29"/>
  <c r="BF113" i="29" s="1"/>
  <c r="BD114" i="29"/>
  <c r="BZ109" i="29"/>
  <c r="BX110" i="29" s="1"/>
  <c r="AA117" i="39"/>
  <c r="B118" i="39"/>
  <c r="C118" i="39"/>
  <c r="M195" i="39"/>
  <c r="N195" i="39"/>
  <c r="AB117" i="39"/>
  <c r="Z117" i="39"/>
  <c r="AJ117" i="39"/>
  <c r="AI117" i="39"/>
  <c r="AG117" i="39"/>
  <c r="F117" i="39"/>
  <c r="AK117" i="39"/>
  <c r="AF117" i="39"/>
  <c r="D117" i="39"/>
  <c r="AD117" i="39"/>
  <c r="B96" i="40"/>
  <c r="C96" i="40"/>
  <c r="Z110" i="29" l="1"/>
  <c r="CV106" i="29"/>
  <c r="CO106" i="29" s="1"/>
  <c r="CQ106" i="29" s="1"/>
  <c r="CX106" i="29"/>
  <c r="CO105" i="29"/>
  <c r="CQ105" i="29" s="1"/>
  <c r="CK105" i="29"/>
  <c r="AR104" i="29" s="1"/>
  <c r="AL18" i="29" s="1"/>
  <c r="X219" i="15"/>
  <c r="B220" i="15"/>
  <c r="C220" i="15" s="1"/>
  <c r="AB112" i="29"/>
  <c r="U113" i="29"/>
  <c r="AB113" i="29" s="1"/>
  <c r="X111" i="29"/>
  <c r="M111" i="29"/>
  <c r="CB112" i="29"/>
  <c r="BV112" i="29" s="1"/>
  <c r="CS112" i="29"/>
  <c r="CM112" i="29" s="1"/>
  <c r="CR112" i="29"/>
  <c r="W111" i="29"/>
  <c r="Y111" i="29" s="1"/>
  <c r="CA112" i="29"/>
  <c r="BU112" i="29" s="1"/>
  <c r="AA111" i="29"/>
  <c r="BY115" i="29"/>
  <c r="BN116" i="29"/>
  <c r="BR115" i="29"/>
  <c r="BO116" i="29"/>
  <c r="S114" i="29"/>
  <c r="V113" i="29"/>
  <c r="T114" i="29"/>
  <c r="AF113" i="29"/>
  <c r="AE113" i="29"/>
  <c r="Q112" i="29"/>
  <c r="X112" i="29" s="1"/>
  <c r="R112" i="29"/>
  <c r="CI114" i="29"/>
  <c r="CP114" i="29"/>
  <c r="CF115" i="29"/>
  <c r="CE115" i="29"/>
  <c r="CL111" i="29"/>
  <c r="CW111" i="29"/>
  <c r="AW116" i="29"/>
  <c r="AP116" i="29"/>
  <c r="AV116" i="29" s="1"/>
  <c r="CC111" i="29"/>
  <c r="AO117" i="29"/>
  <c r="AN117" i="29"/>
  <c r="CT115" i="29"/>
  <c r="AX115" i="29"/>
  <c r="BQ116" i="29"/>
  <c r="BQ117" i="29" s="1"/>
  <c r="J114" i="29"/>
  <c r="AQ113" i="29"/>
  <c r="K114" i="29"/>
  <c r="L113" i="29"/>
  <c r="BZ110" i="29"/>
  <c r="BX111" i="29" s="1"/>
  <c r="BE114" i="29"/>
  <c r="BG114" i="29" s="1"/>
  <c r="BA114" i="29" s="1"/>
  <c r="BD115" i="29"/>
  <c r="BP114" i="29"/>
  <c r="CG114" i="29"/>
  <c r="BC114" i="29"/>
  <c r="BF114" i="29" s="1"/>
  <c r="M196" i="39"/>
  <c r="N196" i="39"/>
  <c r="J129" i="15"/>
  <c r="M129" i="15"/>
  <c r="S129" i="15"/>
  <c r="D129" i="15"/>
  <c r="P129" i="15"/>
  <c r="B97" i="40"/>
  <c r="C97" i="40"/>
  <c r="B119" i="39"/>
  <c r="AA118" i="39"/>
  <c r="C119" i="39"/>
  <c r="D96" i="40"/>
  <c r="G96" i="40"/>
  <c r="F96" i="40"/>
  <c r="O96" i="40"/>
  <c r="P96" i="40" s="1"/>
  <c r="K96" i="40"/>
  <c r="N96" i="40"/>
  <c r="E96" i="40"/>
  <c r="L96" i="40"/>
  <c r="R96" i="40"/>
  <c r="V96" i="40"/>
  <c r="U96" i="40"/>
  <c r="Q96" i="40"/>
  <c r="T96" i="40"/>
  <c r="Z96" i="40"/>
  <c r="M96" i="40"/>
  <c r="J96" i="40"/>
  <c r="Y96" i="40"/>
  <c r="I96" i="40"/>
  <c r="S96" i="40"/>
  <c r="H96" i="40"/>
  <c r="BH113" i="29"/>
  <c r="BB113" i="29" s="1"/>
  <c r="AZ113" i="29"/>
  <c r="AB118" i="39"/>
  <c r="Z118" i="39"/>
  <c r="D118" i="39"/>
  <c r="AF118" i="39"/>
  <c r="F118" i="39"/>
  <c r="AD118" i="39"/>
  <c r="AK118" i="39"/>
  <c r="AG118" i="39"/>
  <c r="AJ118" i="39"/>
  <c r="AI118" i="39"/>
  <c r="L325" i="15"/>
  <c r="M325" i="15"/>
  <c r="B130" i="15"/>
  <c r="C130" i="15"/>
  <c r="Z111" i="29" l="1"/>
  <c r="CV107" i="29"/>
  <c r="CO107" i="29" s="1"/>
  <c r="CQ107" i="29" s="1"/>
  <c r="CX107" i="29"/>
  <c r="CC112" i="29"/>
  <c r="Y220" i="15"/>
  <c r="W220" i="15"/>
  <c r="X220" i="15"/>
  <c r="B221" i="15"/>
  <c r="AC113" i="29"/>
  <c r="CT116" i="29"/>
  <c r="AX116" i="29"/>
  <c r="U114" i="29"/>
  <c r="AC114" i="29" s="1"/>
  <c r="AW117" i="29"/>
  <c r="AP117" i="29"/>
  <c r="AV117" i="29" s="1"/>
  <c r="AR117" i="29" s="1"/>
  <c r="CF116" i="29"/>
  <c r="CE116" i="29"/>
  <c r="CI115" i="29"/>
  <c r="CP115" i="29"/>
  <c r="L114" i="29"/>
  <c r="AQ114" i="29"/>
  <c r="J115" i="29"/>
  <c r="K115" i="29"/>
  <c r="AO118" i="29"/>
  <c r="AN118" i="29"/>
  <c r="CH116" i="29"/>
  <c r="CH117" i="29" s="1"/>
  <c r="M112" i="29"/>
  <c r="CA113" i="29"/>
  <c r="BU113" i="29" s="1"/>
  <c r="AA112" i="29"/>
  <c r="W112" i="29"/>
  <c r="Y112" i="29" s="1"/>
  <c r="Z112" i="29" s="1"/>
  <c r="CR113" i="29"/>
  <c r="CS113" i="29"/>
  <c r="CM113" i="29" s="1"/>
  <c r="CB113" i="29"/>
  <c r="BV113" i="29" s="1"/>
  <c r="T115" i="29"/>
  <c r="V114" i="29"/>
  <c r="S115" i="29"/>
  <c r="AE114" i="29"/>
  <c r="AF114" i="29"/>
  <c r="BN117" i="29"/>
  <c r="BY116" i="29"/>
  <c r="BO117" i="29"/>
  <c r="BR116" i="29"/>
  <c r="R113" i="29"/>
  <c r="Q113" i="29"/>
  <c r="CL112" i="29"/>
  <c r="CW112" i="29"/>
  <c r="L326" i="15"/>
  <c r="M326" i="15"/>
  <c r="Z119" i="39"/>
  <c r="AB119" i="39"/>
  <c r="AD119" i="39"/>
  <c r="AI119" i="39"/>
  <c r="D119" i="39"/>
  <c r="F119" i="39"/>
  <c r="AF119" i="39"/>
  <c r="AK119" i="39"/>
  <c r="AJ119" i="39"/>
  <c r="AG119" i="39"/>
  <c r="BZ111" i="29"/>
  <c r="BX112" i="29" s="1"/>
  <c r="B131" i="15"/>
  <c r="C131" i="15"/>
  <c r="AA119" i="39"/>
  <c r="B120" i="39"/>
  <c r="C120" i="39"/>
  <c r="BD116" i="29"/>
  <c r="BC115" i="29"/>
  <c r="BF115" i="29" s="1"/>
  <c r="BP115" i="29"/>
  <c r="CG115" i="29"/>
  <c r="BE115" i="29"/>
  <c r="BG115" i="29" s="1"/>
  <c r="BA115" i="29" s="1"/>
  <c r="J130" i="15"/>
  <c r="M130" i="15"/>
  <c r="P130" i="15"/>
  <c r="S130" i="15"/>
  <c r="D130" i="15"/>
  <c r="AZ114" i="29"/>
  <c r="BH114" i="29"/>
  <c r="BB114" i="29" s="1"/>
  <c r="B98" i="40"/>
  <c r="C98" i="40"/>
  <c r="M197" i="39"/>
  <c r="N197" i="39"/>
  <c r="I97" i="40"/>
  <c r="S97" i="40"/>
  <c r="D97" i="40"/>
  <c r="F97" i="40"/>
  <c r="T97" i="40"/>
  <c r="U97" i="40"/>
  <c r="V97" i="40"/>
  <c r="O97" i="40"/>
  <c r="P97" i="40" s="1"/>
  <c r="M97" i="40"/>
  <c r="G97" i="40"/>
  <c r="K97" i="40"/>
  <c r="Y97" i="40"/>
  <c r="H97" i="40"/>
  <c r="Q97" i="40"/>
  <c r="N97" i="40"/>
  <c r="E97" i="40"/>
  <c r="Z97" i="40"/>
  <c r="J97" i="40"/>
  <c r="R97" i="40"/>
  <c r="L97" i="40"/>
  <c r="CV108" i="29" l="1"/>
  <c r="CO108" i="29" s="1"/>
  <c r="CQ108" i="29" s="1"/>
  <c r="CX108" i="29"/>
  <c r="C221" i="15"/>
  <c r="Y221" i="15"/>
  <c r="W221" i="15"/>
  <c r="CC113" i="29"/>
  <c r="CB114" i="29"/>
  <c r="BV114" i="29" s="1"/>
  <c r="AA113" i="29"/>
  <c r="CS114" i="29"/>
  <c r="CM114" i="29" s="1"/>
  <c r="CR114" i="29"/>
  <c r="W113" i="29"/>
  <c r="Y113" i="29" s="1"/>
  <c r="Z113" i="29" s="1"/>
  <c r="CA114" i="29"/>
  <c r="BU114" i="29" s="1"/>
  <c r="M113" i="29"/>
  <c r="BO118" i="29"/>
  <c r="BR117" i="29"/>
  <c r="BN118" i="29"/>
  <c r="U115" i="29"/>
  <c r="AW118" i="29"/>
  <c r="AP118" i="29"/>
  <c r="AV118" i="29" s="1"/>
  <c r="AR118" i="29" s="1"/>
  <c r="X113" i="29"/>
  <c r="AN119" i="29"/>
  <c r="AO119" i="29"/>
  <c r="AX117" i="29"/>
  <c r="R114" i="29"/>
  <c r="Q114" i="29"/>
  <c r="X114" i="29" s="1"/>
  <c r="V115" i="29"/>
  <c r="S116" i="29"/>
  <c r="T116" i="29"/>
  <c r="AE115" i="29"/>
  <c r="AF115" i="29"/>
  <c r="CL113" i="29"/>
  <c r="CW113" i="29"/>
  <c r="L115" i="29"/>
  <c r="K116" i="29"/>
  <c r="AQ115" i="29"/>
  <c r="J116" i="29"/>
  <c r="CP116" i="29"/>
  <c r="CI116" i="29"/>
  <c r="CE117" i="29"/>
  <c r="CF117" i="29"/>
  <c r="BQ118" i="29"/>
  <c r="BQ119" i="29" s="1"/>
  <c r="AB114" i="29"/>
  <c r="L327" i="15"/>
  <c r="M327" i="15"/>
  <c r="D98" i="40"/>
  <c r="K98" i="40"/>
  <c r="Y98" i="40"/>
  <c r="U98" i="40"/>
  <c r="E98" i="40"/>
  <c r="I98" i="40"/>
  <c r="J98" i="40"/>
  <c r="G98" i="40"/>
  <c r="N98" i="40"/>
  <c r="Z98" i="40"/>
  <c r="Q98" i="40"/>
  <c r="V98" i="40"/>
  <c r="R98" i="40"/>
  <c r="T98" i="40"/>
  <c r="F98" i="40"/>
  <c r="L98" i="40"/>
  <c r="O98" i="40"/>
  <c r="P98" i="40" s="1"/>
  <c r="M98" i="40"/>
  <c r="S98" i="40"/>
  <c r="H98" i="40"/>
  <c r="B132" i="15"/>
  <c r="C132" i="15"/>
  <c r="BZ112" i="29"/>
  <c r="BX113" i="29" s="1"/>
  <c r="BD117" i="29"/>
  <c r="BC116" i="29"/>
  <c r="BF116" i="29" s="1"/>
  <c r="BP116" i="29"/>
  <c r="BE116" i="29"/>
  <c r="BG116" i="29" s="1"/>
  <c r="BA116" i="29" s="1"/>
  <c r="CG116" i="29"/>
  <c r="M198" i="39"/>
  <c r="N198" i="39"/>
  <c r="B121" i="39"/>
  <c r="AA120" i="39"/>
  <c r="C121" i="39"/>
  <c r="D131" i="15"/>
  <c r="P131" i="15"/>
  <c r="M131" i="15"/>
  <c r="S131" i="15"/>
  <c r="J131" i="15"/>
  <c r="B99" i="40"/>
  <c r="C99" i="40"/>
  <c r="AZ115" i="29"/>
  <c r="BH115" i="29"/>
  <c r="BB115" i="29" s="1"/>
  <c r="AB120" i="39"/>
  <c r="Z120" i="39"/>
  <c r="F120" i="39"/>
  <c r="D120" i="39"/>
  <c r="AF120" i="39"/>
  <c r="AK120" i="39"/>
  <c r="AJ120" i="39"/>
  <c r="AI120" i="39"/>
  <c r="AD120" i="39"/>
  <c r="AG120" i="39"/>
  <c r="CX109" i="29" l="1"/>
  <c r="CV109" i="29"/>
  <c r="CO109" i="29" s="1"/>
  <c r="CQ109" i="29" s="1"/>
  <c r="X221" i="15"/>
  <c r="B222" i="15"/>
  <c r="R115" i="29"/>
  <c r="Q115" i="29"/>
  <c r="X115" i="29" s="1"/>
  <c r="CE118" i="29"/>
  <c r="CI117" i="29"/>
  <c r="CF118" i="29"/>
  <c r="T117" i="29"/>
  <c r="S117" i="29"/>
  <c r="V116" i="29"/>
  <c r="AF116" i="29"/>
  <c r="AE116" i="29"/>
  <c r="CR115" i="29"/>
  <c r="M114" i="29"/>
  <c r="CA115" i="29"/>
  <c r="BU115" i="29" s="1"/>
  <c r="W114" i="29"/>
  <c r="Y114" i="29" s="1"/>
  <c r="Z114" i="29" s="1"/>
  <c r="CS115" i="29"/>
  <c r="CM115" i="29" s="1"/>
  <c r="CB115" i="29"/>
  <c r="BV115" i="29" s="1"/>
  <c r="AA114" i="29"/>
  <c r="AB115" i="29"/>
  <c r="BR118" i="29"/>
  <c r="BY118" i="29"/>
  <c r="BN119" i="29"/>
  <c r="BO119" i="29"/>
  <c r="U116" i="29"/>
  <c r="AN120" i="29"/>
  <c r="AO120" i="29"/>
  <c r="AC115" i="29"/>
  <c r="CH118" i="29"/>
  <c r="CH119" i="29" s="1"/>
  <c r="CC114" i="29"/>
  <c r="CL114" i="29"/>
  <c r="CW114" i="29"/>
  <c r="J117" i="29"/>
  <c r="AQ116" i="29"/>
  <c r="K117" i="29"/>
  <c r="L116" i="29"/>
  <c r="AW119" i="29"/>
  <c r="AP119" i="29"/>
  <c r="AV119" i="29" s="1"/>
  <c r="AR119" i="29" s="1"/>
  <c r="CT118" i="29"/>
  <c r="AX118" i="29"/>
  <c r="BZ113" i="29"/>
  <c r="BX114" i="29" s="1"/>
  <c r="B100" i="40"/>
  <c r="C100" i="40"/>
  <c r="L328" i="15"/>
  <c r="M328" i="15"/>
  <c r="AZ116" i="29"/>
  <c r="BH116" i="29"/>
  <c r="BB116" i="29" s="1"/>
  <c r="B122" i="39"/>
  <c r="AA121" i="39"/>
  <c r="C122" i="39"/>
  <c r="BP117" i="29"/>
  <c r="CG117" i="29"/>
  <c r="BC117" i="29"/>
  <c r="BF117" i="29" s="1"/>
  <c r="BI117" i="29"/>
  <c r="BD118" i="29"/>
  <c r="BE117" i="29"/>
  <c r="BG117" i="29" s="1"/>
  <c r="BA117" i="29" s="1"/>
  <c r="B133" i="15"/>
  <c r="C133" i="15"/>
  <c r="S132" i="15"/>
  <c r="M132" i="15"/>
  <c r="P132" i="15"/>
  <c r="J132" i="15"/>
  <c r="D132" i="15"/>
  <c r="H99" i="40"/>
  <c r="K99" i="40"/>
  <c r="D99" i="40"/>
  <c r="N99" i="40"/>
  <c r="Y99" i="40"/>
  <c r="S99" i="40"/>
  <c r="L99" i="40"/>
  <c r="Q99" i="40"/>
  <c r="F99" i="40"/>
  <c r="Z99" i="40"/>
  <c r="U99" i="40"/>
  <c r="O99" i="40"/>
  <c r="P99" i="40" s="1"/>
  <c r="J99" i="40"/>
  <c r="G99" i="40"/>
  <c r="I99" i="40"/>
  <c r="T99" i="40"/>
  <c r="E99" i="40"/>
  <c r="R99" i="40"/>
  <c r="M99" i="40"/>
  <c r="V99" i="40"/>
  <c r="Z121" i="39"/>
  <c r="AB121" i="39"/>
  <c r="AD121" i="39"/>
  <c r="AJ121" i="39"/>
  <c r="F121" i="39"/>
  <c r="AI121" i="39"/>
  <c r="AF121" i="39"/>
  <c r="D121" i="39"/>
  <c r="AG121" i="39"/>
  <c r="AK121" i="39"/>
  <c r="M199" i="39"/>
  <c r="N199" i="39"/>
  <c r="CV110" i="29" l="1"/>
  <c r="CO110" i="29" s="1"/>
  <c r="CQ110" i="29" s="1"/>
  <c r="CX110" i="29"/>
  <c r="C222" i="15"/>
  <c r="Y222" i="15"/>
  <c r="W222" i="15"/>
  <c r="BR119" i="29"/>
  <c r="BN120" i="29"/>
  <c r="BY119" i="29"/>
  <c r="BO120" i="29"/>
  <c r="BQ120" i="29"/>
  <c r="BQ121" i="29" s="1"/>
  <c r="CT119" i="29"/>
  <c r="AX119" i="29"/>
  <c r="CL115" i="29"/>
  <c r="CW115" i="29"/>
  <c r="U117" i="29"/>
  <c r="AB117" i="29" s="1"/>
  <c r="CE119" i="29"/>
  <c r="CF119" i="29"/>
  <c r="CI118" i="29"/>
  <c r="CP118" i="29"/>
  <c r="L117" i="29"/>
  <c r="J118" i="29"/>
  <c r="K118" i="29"/>
  <c r="AQ117" i="29"/>
  <c r="AN121" i="29"/>
  <c r="AO121" i="29"/>
  <c r="Q116" i="29"/>
  <c r="R116" i="29"/>
  <c r="CC115" i="29"/>
  <c r="V117" i="29"/>
  <c r="S118" i="29"/>
  <c r="T118" i="29"/>
  <c r="AF117" i="29"/>
  <c r="AE117" i="29"/>
  <c r="CA116" i="29"/>
  <c r="BU116" i="29" s="1"/>
  <c r="CB116" i="29"/>
  <c r="BV116" i="29" s="1"/>
  <c r="CS116" i="29"/>
  <c r="CM116" i="29" s="1"/>
  <c r="CR116" i="29"/>
  <c r="W115" i="29"/>
  <c r="Y115" i="29" s="1"/>
  <c r="Z115" i="29" s="1"/>
  <c r="AA115" i="29"/>
  <c r="M115" i="29"/>
  <c r="AW120" i="29"/>
  <c r="AP120" i="29"/>
  <c r="AV120" i="29" s="1"/>
  <c r="AR120" i="29" s="1"/>
  <c r="BZ114" i="29"/>
  <c r="BX115" i="29" s="1"/>
  <c r="M200" i="39"/>
  <c r="N200" i="39"/>
  <c r="BE118" i="29"/>
  <c r="BG118" i="29" s="1"/>
  <c r="BA118" i="29" s="1"/>
  <c r="BC118" i="29"/>
  <c r="BF118" i="29" s="1"/>
  <c r="CG118" i="29"/>
  <c r="BD119" i="29"/>
  <c r="BP118" i="29"/>
  <c r="B123" i="39"/>
  <c r="AA122" i="39"/>
  <c r="C123" i="39"/>
  <c r="B101" i="40"/>
  <c r="C101" i="40"/>
  <c r="B134" i="15"/>
  <c r="C134" i="15"/>
  <c r="K100" i="40"/>
  <c r="T100" i="40"/>
  <c r="G100" i="40"/>
  <c r="J100" i="40"/>
  <c r="O100" i="40"/>
  <c r="P100" i="40" s="1"/>
  <c r="Q100" i="40"/>
  <c r="Z100" i="40"/>
  <c r="F100" i="40"/>
  <c r="D100" i="40"/>
  <c r="M100" i="40"/>
  <c r="L100" i="40"/>
  <c r="R100" i="40"/>
  <c r="Y100" i="40"/>
  <c r="N100" i="40"/>
  <c r="V100" i="40"/>
  <c r="I100" i="40"/>
  <c r="H100" i="40"/>
  <c r="S100" i="40"/>
  <c r="E100" i="40"/>
  <c r="U100" i="40"/>
  <c r="J133" i="15"/>
  <c r="D133" i="15"/>
  <c r="S133" i="15"/>
  <c r="P133" i="15"/>
  <c r="M133" i="15"/>
  <c r="AZ117" i="29"/>
  <c r="BH117" i="29"/>
  <c r="BB117" i="29" s="1"/>
  <c r="Z122" i="39"/>
  <c r="AB122" i="39"/>
  <c r="AK122" i="39"/>
  <c r="AF122" i="39"/>
  <c r="F122" i="39"/>
  <c r="AG122" i="39"/>
  <c r="AJ122" i="39"/>
  <c r="D122" i="39"/>
  <c r="AI122" i="39"/>
  <c r="AD122" i="39"/>
  <c r="L329" i="15"/>
  <c r="M329" i="15"/>
  <c r="CV111" i="29" l="1"/>
  <c r="CO111" i="29" s="1"/>
  <c r="CQ111" i="29" s="1"/>
  <c r="CX111" i="29"/>
  <c r="X222" i="15"/>
  <c r="B223" i="15"/>
  <c r="AC117" i="29"/>
  <c r="CC116" i="29"/>
  <c r="AN122" i="29"/>
  <c r="AO122" i="29"/>
  <c r="T119" i="29"/>
  <c r="S119" i="29"/>
  <c r="V118" i="29"/>
  <c r="AE118" i="29"/>
  <c r="AF118" i="29"/>
  <c r="AW121" i="29"/>
  <c r="AP121" i="29"/>
  <c r="AV121" i="29" s="1"/>
  <c r="AR121" i="29" s="1"/>
  <c r="CF120" i="29"/>
  <c r="CP119" i="29"/>
  <c r="CE120" i="29"/>
  <c r="CI119" i="29"/>
  <c r="U118" i="29"/>
  <c r="AC118" i="29" s="1"/>
  <c r="BY120" i="29"/>
  <c r="BO121" i="29"/>
  <c r="BQ122" i="29" s="1"/>
  <c r="BR120" i="29"/>
  <c r="BN121" i="29"/>
  <c r="CH120" i="29"/>
  <c r="CH121" i="29" s="1"/>
  <c r="CT120" i="29"/>
  <c r="AX120" i="29"/>
  <c r="CL116" i="29"/>
  <c r="CW116" i="29"/>
  <c r="CA117" i="29"/>
  <c r="BU117" i="29" s="1"/>
  <c r="AA116" i="29"/>
  <c r="W116" i="29"/>
  <c r="CR117" i="29"/>
  <c r="J119" i="29"/>
  <c r="L118" i="29"/>
  <c r="AQ118" i="29"/>
  <c r="K119" i="29"/>
  <c r="R117" i="29"/>
  <c r="Q117" i="29"/>
  <c r="BZ115" i="29"/>
  <c r="BX116" i="29" s="1"/>
  <c r="AA123" i="39"/>
  <c r="B124" i="39"/>
  <c r="C124" i="39"/>
  <c r="BP119" i="29"/>
  <c r="BD120" i="29"/>
  <c r="CG119" i="29"/>
  <c r="BE119" i="29"/>
  <c r="BG119" i="29" s="1"/>
  <c r="BA119" i="29" s="1"/>
  <c r="BC119" i="29"/>
  <c r="BF119" i="29" s="1"/>
  <c r="B102" i="40"/>
  <c r="C102" i="40"/>
  <c r="AB123" i="39"/>
  <c r="Z123" i="39"/>
  <c r="AD123" i="39"/>
  <c r="AK123" i="39"/>
  <c r="AF123" i="39"/>
  <c r="D123" i="39"/>
  <c r="AG123" i="39"/>
  <c r="F123" i="39"/>
  <c r="AI123" i="39"/>
  <c r="AJ123" i="39"/>
  <c r="AZ118" i="29"/>
  <c r="BH118" i="29"/>
  <c r="BB118" i="29" s="1"/>
  <c r="L330" i="15"/>
  <c r="M330" i="15"/>
  <c r="J134" i="15"/>
  <c r="D134" i="15"/>
  <c r="M134" i="15"/>
  <c r="P134" i="15"/>
  <c r="S134" i="15"/>
  <c r="H101" i="40"/>
  <c r="Z101" i="40"/>
  <c r="Y101" i="40"/>
  <c r="U101" i="40"/>
  <c r="E101" i="40"/>
  <c r="D101" i="40"/>
  <c r="T101" i="40"/>
  <c r="N101" i="40"/>
  <c r="F101" i="40"/>
  <c r="I101" i="40"/>
  <c r="K101" i="40"/>
  <c r="R101" i="40"/>
  <c r="V101" i="40"/>
  <c r="O101" i="40"/>
  <c r="P101" i="40" s="1"/>
  <c r="J101" i="40"/>
  <c r="G101" i="40"/>
  <c r="Q101" i="40"/>
  <c r="M101" i="40"/>
  <c r="L101" i="40"/>
  <c r="S101" i="40"/>
  <c r="M201" i="39"/>
  <c r="N201" i="39"/>
  <c r="CV112" i="29" l="1"/>
  <c r="CO112" i="29" s="1"/>
  <c r="CQ112" i="29" s="1"/>
  <c r="CX112" i="29"/>
  <c r="C223" i="15"/>
  <c r="W223" i="15"/>
  <c r="Y223" i="15"/>
  <c r="CS117" i="29"/>
  <c r="CM117" i="29" s="1"/>
  <c r="CB117" i="29"/>
  <c r="BV117" i="29" s="1"/>
  <c r="BQ123" i="29"/>
  <c r="CS118" i="29"/>
  <c r="CM118" i="29" s="1"/>
  <c r="W117" i="29"/>
  <c r="Y117" i="29" s="1"/>
  <c r="CB118" i="29"/>
  <c r="BV118" i="29" s="1"/>
  <c r="AA117" i="29"/>
  <c r="CR118" i="29"/>
  <c r="M117" i="29"/>
  <c r="CA118" i="29"/>
  <c r="BU118" i="29" s="1"/>
  <c r="CH122" i="29"/>
  <c r="CE121" i="29"/>
  <c r="CI120" i="29"/>
  <c r="CF121" i="29"/>
  <c r="CP120" i="29"/>
  <c r="V119" i="29"/>
  <c r="T120" i="29"/>
  <c r="S120" i="29"/>
  <c r="AF119" i="29"/>
  <c r="AE119" i="29"/>
  <c r="AW122" i="29"/>
  <c r="AP122" i="29"/>
  <c r="AV122" i="29" s="1"/>
  <c r="AR122" i="29" s="1"/>
  <c r="L119" i="29"/>
  <c r="J120" i="29"/>
  <c r="K120" i="29"/>
  <c r="AQ119" i="29"/>
  <c r="R118" i="29"/>
  <c r="Q118" i="29"/>
  <c r="X118" i="29" s="1"/>
  <c r="X117" i="29"/>
  <c r="BN122" i="29"/>
  <c r="BO122" i="29"/>
  <c r="BR121" i="29"/>
  <c r="BY121" i="29"/>
  <c r="AB118" i="29"/>
  <c r="CT121" i="29"/>
  <c r="AX121" i="29"/>
  <c r="U119" i="29"/>
  <c r="AB119" i="29" s="1"/>
  <c r="AO123" i="29"/>
  <c r="AN123" i="29"/>
  <c r="AZ119" i="29"/>
  <c r="BH119" i="29"/>
  <c r="BB119" i="29" s="1"/>
  <c r="BD121" i="29"/>
  <c r="BE120" i="29"/>
  <c r="BG120" i="29" s="1"/>
  <c r="BA120" i="29" s="1"/>
  <c r="BP120" i="29"/>
  <c r="CG120" i="29"/>
  <c r="BC120" i="29"/>
  <c r="BF120" i="29" s="1"/>
  <c r="B103" i="40"/>
  <c r="C103" i="40"/>
  <c r="B125" i="39"/>
  <c r="AA124" i="39"/>
  <c r="C125" i="39"/>
  <c r="BZ116" i="29"/>
  <c r="BY117" i="29" s="1"/>
  <c r="M202" i="39"/>
  <c r="N202" i="39"/>
  <c r="L331" i="15"/>
  <c r="M331" i="15"/>
  <c r="G102" i="40"/>
  <c r="L102" i="40"/>
  <c r="R102" i="40"/>
  <c r="J102" i="40"/>
  <c r="M102" i="40"/>
  <c r="U102" i="40"/>
  <c r="H102" i="40"/>
  <c r="Y102" i="40"/>
  <c r="K102" i="40"/>
  <c r="D102" i="40"/>
  <c r="I102" i="40"/>
  <c r="F102" i="40"/>
  <c r="S102" i="40"/>
  <c r="O102" i="40"/>
  <c r="P102" i="40" s="1"/>
  <c r="T102" i="40"/>
  <c r="Q102" i="40"/>
  <c r="V102" i="40"/>
  <c r="Z102" i="40"/>
  <c r="N102" i="40"/>
  <c r="E102" i="40"/>
  <c r="Z124" i="39"/>
  <c r="AB124" i="39"/>
  <c r="AF124" i="39"/>
  <c r="AJ124" i="39"/>
  <c r="AK124" i="39"/>
  <c r="AD124" i="39"/>
  <c r="F124" i="39"/>
  <c r="D124" i="39"/>
  <c r="AI124" i="39"/>
  <c r="AG124" i="39"/>
  <c r="CV113" i="29" l="1"/>
  <c r="CO113" i="29" s="1"/>
  <c r="CQ113" i="29" s="1"/>
  <c r="CX113" i="29"/>
  <c r="CT117" i="29"/>
  <c r="CL117" i="29" s="1"/>
  <c r="B224" i="15"/>
  <c r="X223" i="15"/>
  <c r="CC117" i="29"/>
  <c r="BX117" i="29" s="1"/>
  <c r="S121" i="29"/>
  <c r="T121" i="29"/>
  <c r="V120" i="29"/>
  <c r="AE120" i="29"/>
  <c r="AF120" i="29"/>
  <c r="J121" i="29"/>
  <c r="L120" i="29"/>
  <c r="AQ120" i="29"/>
  <c r="K121" i="29"/>
  <c r="AO124" i="29"/>
  <c r="AN124" i="29"/>
  <c r="CT122" i="29"/>
  <c r="AX122" i="29"/>
  <c r="BQ124" i="29"/>
  <c r="Q119" i="29"/>
  <c r="X119" i="29" s="1"/>
  <c r="R119" i="29"/>
  <c r="BY122" i="29"/>
  <c r="BR122" i="29"/>
  <c r="BO123" i="29"/>
  <c r="BN123" i="29"/>
  <c r="CL118" i="29"/>
  <c r="CW118" i="29"/>
  <c r="AW123" i="29"/>
  <c r="AP123" i="29"/>
  <c r="AV123" i="29" s="1"/>
  <c r="AR123" i="29" s="1"/>
  <c r="AC119" i="29"/>
  <c r="AA118" i="29"/>
  <c r="CB119" i="29"/>
  <c r="BV119" i="29" s="1"/>
  <c r="W118" i="29"/>
  <c r="Y118" i="29" s="1"/>
  <c r="CA119" i="29"/>
  <c r="BU119" i="29" s="1"/>
  <c r="CS119" i="29"/>
  <c r="CM119" i="29" s="1"/>
  <c r="CR119" i="29"/>
  <c r="M118" i="29"/>
  <c r="U120" i="29"/>
  <c r="AB120" i="29" s="1"/>
  <c r="CF122" i="29"/>
  <c r="CE122" i="29"/>
  <c r="CI121" i="29"/>
  <c r="CP121" i="29"/>
  <c r="CC118" i="29"/>
  <c r="BW117" i="29"/>
  <c r="B104" i="40"/>
  <c r="C104" i="40"/>
  <c r="BE121" i="29"/>
  <c r="BG121" i="29" s="1"/>
  <c r="BA121" i="29" s="1"/>
  <c r="CG121" i="29"/>
  <c r="BC121" i="29"/>
  <c r="BF121" i="29" s="1"/>
  <c r="BP121" i="29"/>
  <c r="BD122" i="29"/>
  <c r="M203" i="39"/>
  <c r="N203" i="39"/>
  <c r="L332" i="15"/>
  <c r="M332" i="15"/>
  <c r="Q103" i="40"/>
  <c r="O103" i="40"/>
  <c r="P103" i="40" s="1"/>
  <c r="D103" i="40"/>
  <c r="Y103" i="40"/>
  <c r="U103" i="40"/>
  <c r="S103" i="40"/>
  <c r="M103" i="40"/>
  <c r="F103" i="40"/>
  <c r="G103" i="40"/>
  <c r="H103" i="40"/>
  <c r="Z103" i="40"/>
  <c r="K103" i="40"/>
  <c r="I103" i="40"/>
  <c r="J103" i="40"/>
  <c r="R103" i="40"/>
  <c r="V103" i="40"/>
  <c r="E103" i="40"/>
  <c r="N103" i="40"/>
  <c r="T103" i="40"/>
  <c r="L103" i="40"/>
  <c r="AA125" i="39"/>
  <c r="B126" i="39"/>
  <c r="C126" i="39"/>
  <c r="AZ120" i="29"/>
  <c r="BH120" i="29"/>
  <c r="BB120" i="29" s="1"/>
  <c r="Z125" i="39"/>
  <c r="AB125" i="39"/>
  <c r="D125" i="39"/>
  <c r="AI125" i="39"/>
  <c r="AD125" i="39"/>
  <c r="AJ125" i="39"/>
  <c r="AF125" i="39"/>
  <c r="AK125" i="39"/>
  <c r="F125" i="39"/>
  <c r="AG125" i="39"/>
  <c r="CV114" i="29" l="1"/>
  <c r="CO114" i="29" s="1"/>
  <c r="CQ114" i="29" s="1"/>
  <c r="CX114" i="29"/>
  <c r="CW117" i="29"/>
  <c r="CC119" i="29"/>
  <c r="AC120" i="29"/>
  <c r="C224" i="15"/>
  <c r="Y224" i="15"/>
  <c r="W224" i="15"/>
  <c r="CP122" i="29"/>
  <c r="CI122" i="29"/>
  <c r="CF123" i="29"/>
  <c r="CE123" i="29"/>
  <c r="AW124" i="29"/>
  <c r="AP124" i="29"/>
  <c r="AV124" i="29" s="1"/>
  <c r="AR124" i="29" s="1"/>
  <c r="K122" i="29"/>
  <c r="J122" i="29"/>
  <c r="L121" i="29"/>
  <c r="AQ121" i="29"/>
  <c r="R120" i="29"/>
  <c r="Q120" i="29"/>
  <c r="CT123" i="29"/>
  <c r="AX123" i="29"/>
  <c r="AN125" i="29"/>
  <c r="AO125" i="29"/>
  <c r="S122" i="29"/>
  <c r="T122" i="29"/>
  <c r="V121" i="29"/>
  <c r="AF121" i="29"/>
  <c r="AE121" i="29"/>
  <c r="CH123" i="29"/>
  <c r="CL119" i="29"/>
  <c r="CW119" i="29"/>
  <c r="BR123" i="29"/>
  <c r="BO124" i="29"/>
  <c r="BQ125" i="29" s="1"/>
  <c r="BY123" i="29"/>
  <c r="BN124" i="29"/>
  <c r="U121" i="29"/>
  <c r="AA119" i="29"/>
  <c r="M119" i="29"/>
  <c r="CB120" i="29"/>
  <c r="BV120" i="29" s="1"/>
  <c r="CS120" i="29"/>
  <c r="CM120" i="29" s="1"/>
  <c r="CA120" i="29"/>
  <c r="BU120" i="29" s="1"/>
  <c r="W119" i="29"/>
  <c r="Y119" i="29" s="1"/>
  <c r="CR120" i="29"/>
  <c r="B127" i="39"/>
  <c r="AA126" i="39"/>
  <c r="C127" i="39"/>
  <c r="M204" i="39"/>
  <c r="N204" i="39"/>
  <c r="B105" i="40"/>
  <c r="C105" i="40"/>
  <c r="L333" i="15"/>
  <c r="M333" i="15"/>
  <c r="BZ117" i="29"/>
  <c r="BX118" i="29" s="1"/>
  <c r="Z126" i="39"/>
  <c r="AB126" i="39"/>
  <c r="AI126" i="39"/>
  <c r="AG126" i="39"/>
  <c r="F126" i="39"/>
  <c r="AJ126" i="39"/>
  <c r="AD126" i="39"/>
  <c r="AF126" i="39"/>
  <c r="AK126" i="39"/>
  <c r="D126" i="39"/>
  <c r="BC122" i="29"/>
  <c r="BF122" i="29" s="1"/>
  <c r="CG122" i="29"/>
  <c r="BE122" i="29"/>
  <c r="BG122" i="29" s="1"/>
  <c r="BA122" i="29" s="1"/>
  <c r="BD123" i="29"/>
  <c r="BP122" i="29"/>
  <c r="Z104" i="40"/>
  <c r="J104" i="40"/>
  <c r="Y104" i="40"/>
  <c r="G104" i="40"/>
  <c r="K104" i="40"/>
  <c r="M104" i="40"/>
  <c r="D104" i="40"/>
  <c r="V104" i="40"/>
  <c r="N104" i="40"/>
  <c r="R104" i="40"/>
  <c r="L104" i="40"/>
  <c r="T104" i="40"/>
  <c r="U104" i="40"/>
  <c r="S104" i="40"/>
  <c r="O104" i="40"/>
  <c r="P104" i="40" s="1"/>
  <c r="Q104" i="40"/>
  <c r="I104" i="40"/>
  <c r="F104" i="40"/>
  <c r="H104" i="40"/>
  <c r="E104" i="40"/>
  <c r="BH121" i="29"/>
  <c r="BB121" i="29" s="1"/>
  <c r="AZ121" i="29"/>
  <c r="BT117" i="29"/>
  <c r="M116" i="29" s="1"/>
  <c r="BS117" i="29"/>
  <c r="CX115" i="29" l="1"/>
  <c r="CV115" i="29"/>
  <c r="CO115" i="29" s="1"/>
  <c r="CQ115" i="29" s="1"/>
  <c r="X224" i="15"/>
  <c r="B225" i="15"/>
  <c r="C225" i="15" s="1"/>
  <c r="CL120" i="29"/>
  <c r="CW120" i="29"/>
  <c r="V122" i="29"/>
  <c r="T123" i="29"/>
  <c r="S123" i="29"/>
  <c r="AF122" i="29"/>
  <c r="AE122" i="29"/>
  <c r="R121" i="29"/>
  <c r="Q121" i="29"/>
  <c r="U122" i="29"/>
  <c r="AC122" i="29" s="1"/>
  <c r="CT124" i="29"/>
  <c r="AX124" i="29"/>
  <c r="CE124" i="29"/>
  <c r="CF124" i="29"/>
  <c r="CP123" i="29"/>
  <c r="CI123" i="29"/>
  <c r="AB121" i="29"/>
  <c r="CH124" i="29"/>
  <c r="CH125" i="29" s="1"/>
  <c r="AN126" i="29"/>
  <c r="AO126" i="29"/>
  <c r="CC120" i="29"/>
  <c r="AC121" i="29"/>
  <c r="BY124" i="29"/>
  <c r="BR124" i="29"/>
  <c r="BN125" i="29"/>
  <c r="BO125" i="29"/>
  <c r="AW125" i="29"/>
  <c r="AP125" i="29"/>
  <c r="AV125" i="29" s="1"/>
  <c r="AR125" i="29" s="1"/>
  <c r="X120" i="29"/>
  <c r="CS121" i="29"/>
  <c r="CM121" i="29" s="1"/>
  <c r="CA121" i="29"/>
  <c r="BU121" i="29" s="1"/>
  <c r="W120" i="29"/>
  <c r="Y120" i="29" s="1"/>
  <c r="M120" i="29"/>
  <c r="AA120" i="29"/>
  <c r="CB121" i="29"/>
  <c r="BV121" i="29" s="1"/>
  <c r="CR121" i="29"/>
  <c r="J123" i="29"/>
  <c r="L122" i="29"/>
  <c r="AQ122" i="29"/>
  <c r="K123" i="29"/>
  <c r="BZ118" i="29"/>
  <c r="BX119" i="29" s="1"/>
  <c r="H19" i="29"/>
  <c r="K12" i="40" s="1"/>
  <c r="X116" i="29"/>
  <c r="Y116" i="29" s="1"/>
  <c r="Z116" i="29" s="1"/>
  <c r="B106" i="40"/>
  <c r="C106" i="40"/>
  <c r="AZ122" i="29"/>
  <c r="BH122" i="29"/>
  <c r="BB122" i="29" s="1"/>
  <c r="L334" i="15"/>
  <c r="M334" i="15"/>
  <c r="AA127" i="39"/>
  <c r="B128" i="39"/>
  <c r="C128" i="39"/>
  <c r="CG123" i="29"/>
  <c r="BP123" i="29"/>
  <c r="BE123" i="29"/>
  <c r="BG123" i="29" s="1"/>
  <c r="BA123" i="29" s="1"/>
  <c r="BD124" i="29"/>
  <c r="BC123" i="29"/>
  <c r="BF123" i="29" s="1"/>
  <c r="Z105" i="40"/>
  <c r="T105" i="40"/>
  <c r="F105" i="40"/>
  <c r="I105" i="40"/>
  <c r="R105" i="40"/>
  <c r="V105" i="40"/>
  <c r="M105" i="40"/>
  <c r="K105" i="40"/>
  <c r="Y105" i="40"/>
  <c r="O105" i="40"/>
  <c r="P105" i="40" s="1"/>
  <c r="H105" i="40"/>
  <c r="E105" i="40"/>
  <c r="N105" i="40"/>
  <c r="J105" i="40"/>
  <c r="Q105" i="40"/>
  <c r="G105" i="40"/>
  <c r="U105" i="40"/>
  <c r="D105" i="40"/>
  <c r="S105" i="40"/>
  <c r="L105" i="40"/>
  <c r="Z127" i="39"/>
  <c r="AB127" i="39"/>
  <c r="AF127" i="39"/>
  <c r="AJ127" i="39"/>
  <c r="F127" i="39"/>
  <c r="AG127" i="39"/>
  <c r="AK127" i="39"/>
  <c r="AD127" i="39"/>
  <c r="D127" i="39"/>
  <c r="AI127" i="39"/>
  <c r="M205" i="39"/>
  <c r="N205" i="39"/>
  <c r="CV116" i="29" l="1"/>
  <c r="CO116" i="29" s="1"/>
  <c r="CQ116" i="29" s="1"/>
  <c r="CP117" i="29" s="1"/>
  <c r="CN117" i="29" s="1"/>
  <c r="CX116" i="29"/>
  <c r="AC116" i="29"/>
  <c r="AB116" i="29"/>
  <c r="Z117" i="29"/>
  <c r="Z118" i="29" s="1"/>
  <c r="Z119" i="29" s="1"/>
  <c r="Z120" i="29" s="1"/>
  <c r="G19" i="29"/>
  <c r="L12" i="40" s="1"/>
  <c r="X225" i="15"/>
  <c r="B226" i="15"/>
  <c r="C226" i="15" s="1"/>
  <c r="W225" i="15"/>
  <c r="Y225" i="15"/>
  <c r="K124" i="29"/>
  <c r="L123" i="29"/>
  <c r="AQ123" i="29"/>
  <c r="J124" i="29"/>
  <c r="BN126" i="29"/>
  <c r="BY125" i="29"/>
  <c r="BO126" i="29"/>
  <c r="BR125" i="29"/>
  <c r="AW126" i="29"/>
  <c r="AP126" i="29"/>
  <c r="AV126" i="29" s="1"/>
  <c r="AR126" i="29" s="1"/>
  <c r="R122" i="29"/>
  <c r="Q122" i="29"/>
  <c r="X122" i="29" s="1"/>
  <c r="AA121" i="29"/>
  <c r="CS122" i="29"/>
  <c r="CM122" i="29" s="1"/>
  <c r="M121" i="29"/>
  <c r="CR122" i="29"/>
  <c r="W121" i="29"/>
  <c r="Y121" i="29" s="1"/>
  <c r="CB122" i="29"/>
  <c r="BV122" i="29" s="1"/>
  <c r="CA122" i="29"/>
  <c r="BU122" i="29" s="1"/>
  <c r="CC121" i="29"/>
  <c r="CH126" i="29"/>
  <c r="U123" i="29"/>
  <c r="AB123" i="29" s="1"/>
  <c r="BQ126" i="29"/>
  <c r="BQ127" i="29" s="1"/>
  <c r="CT125" i="29"/>
  <c r="AX125" i="29"/>
  <c r="AN127" i="29"/>
  <c r="AO127" i="29"/>
  <c r="CL121" i="29"/>
  <c r="CW121" i="29"/>
  <c r="CP124" i="29"/>
  <c r="CI124" i="29"/>
  <c r="CF125" i="29"/>
  <c r="CE125" i="29"/>
  <c r="AB122" i="29"/>
  <c r="X121" i="29"/>
  <c r="V123" i="29"/>
  <c r="S124" i="29"/>
  <c r="T124" i="29"/>
  <c r="AE123" i="29"/>
  <c r="AF123" i="29"/>
  <c r="BH123" i="29"/>
  <c r="BB123" i="29" s="1"/>
  <c r="AZ123" i="29"/>
  <c r="B107" i="40"/>
  <c r="C107" i="40"/>
  <c r="CG124" i="29"/>
  <c r="BD125" i="29"/>
  <c r="BP124" i="29"/>
  <c r="BE124" i="29"/>
  <c r="BG124" i="29" s="1"/>
  <c r="BA124" i="29" s="1"/>
  <c r="BC124" i="29"/>
  <c r="BF124" i="29" s="1"/>
  <c r="AA128" i="39"/>
  <c r="B129" i="39"/>
  <c r="C129" i="39"/>
  <c r="T106" i="40"/>
  <c r="J106" i="40"/>
  <c r="Z106" i="40"/>
  <c r="I106" i="40"/>
  <c r="K106" i="40"/>
  <c r="Y106" i="40"/>
  <c r="Q106" i="40"/>
  <c r="H106" i="40"/>
  <c r="F106" i="40"/>
  <c r="N106" i="40"/>
  <c r="R106" i="40"/>
  <c r="M106" i="40"/>
  <c r="L106" i="40"/>
  <c r="G106" i="40"/>
  <c r="O106" i="40"/>
  <c r="P106" i="40" s="1"/>
  <c r="D106" i="40"/>
  <c r="U106" i="40"/>
  <c r="E106" i="40"/>
  <c r="S106" i="40"/>
  <c r="V106" i="40"/>
  <c r="G26" i="15"/>
  <c r="D159" i="15"/>
  <c r="I28" i="39"/>
  <c r="H12" i="44" s="1"/>
  <c r="D12" i="45" s="1"/>
  <c r="K12" i="45" s="1"/>
  <c r="L12" i="45" s="1"/>
  <c r="J13" i="45" s="1"/>
  <c r="BZ119" i="29"/>
  <c r="BX120" i="29" s="1"/>
  <c r="M206" i="39"/>
  <c r="N206" i="39"/>
  <c r="Z128" i="39"/>
  <c r="AB128" i="39"/>
  <c r="D128" i="39"/>
  <c r="AG128" i="39"/>
  <c r="AK128" i="39"/>
  <c r="F128" i="39"/>
  <c r="AD128" i="39"/>
  <c r="AJ128" i="39"/>
  <c r="AF128" i="39"/>
  <c r="AI128" i="39"/>
  <c r="L335" i="15"/>
  <c r="M335" i="15"/>
  <c r="BO81" i="44" l="1"/>
  <c r="BI81" i="44"/>
  <c r="BD81" i="44"/>
  <c r="AY81" i="44"/>
  <c r="AS81" i="44"/>
  <c r="AN81" i="44"/>
  <c r="AI81" i="44"/>
  <c r="AC81" i="44"/>
  <c r="X81" i="44"/>
  <c r="BR81" i="44"/>
  <c r="BM81" i="44"/>
  <c r="BH81" i="44"/>
  <c r="BC81" i="44"/>
  <c r="AW81" i="44"/>
  <c r="AR81" i="44"/>
  <c r="AM81" i="44"/>
  <c r="AG81" i="44"/>
  <c r="AB81" i="44"/>
  <c r="W81" i="44"/>
  <c r="BQ81" i="44"/>
  <c r="BL81" i="44"/>
  <c r="BG81" i="44"/>
  <c r="BA81" i="44"/>
  <c r="AV81" i="44"/>
  <c r="AQ81" i="44"/>
  <c r="AK81" i="44"/>
  <c r="AF81" i="44"/>
  <c r="AA81" i="44"/>
  <c r="U81" i="44"/>
  <c r="BP81" i="44"/>
  <c r="BK81" i="44"/>
  <c r="BE81" i="44"/>
  <c r="AZ81" i="44"/>
  <c r="AU81" i="44"/>
  <c r="AO81" i="44"/>
  <c r="AJ81" i="44"/>
  <c r="AE81" i="44"/>
  <c r="Y81" i="44"/>
  <c r="T81" i="44"/>
  <c r="Z81" i="44"/>
  <c r="AP81" i="44"/>
  <c r="BF81" i="44"/>
  <c r="AH81" i="44"/>
  <c r="AX81" i="44"/>
  <c r="BN81" i="44"/>
  <c r="V81" i="44"/>
  <c r="BB81" i="44"/>
  <c r="AT81" i="44"/>
  <c r="AD81" i="44"/>
  <c r="BJ81" i="44"/>
  <c r="AL81" i="44"/>
  <c r="CV117" i="29"/>
  <c r="CO117" i="29" s="1"/>
  <c r="CQ117" i="29" s="1"/>
  <c r="CX117" i="29"/>
  <c r="CJ117" i="29"/>
  <c r="AJ19" i="29" s="1"/>
  <c r="Z121" i="29"/>
  <c r="L28" i="39"/>
  <c r="F159" i="15"/>
  <c r="B227" i="15"/>
  <c r="C227" i="15" s="1"/>
  <c r="X226" i="15"/>
  <c r="W226" i="15"/>
  <c r="Y226" i="15"/>
  <c r="AC123" i="29"/>
  <c r="AN128" i="29"/>
  <c r="AO128" i="29"/>
  <c r="CH127" i="29"/>
  <c r="BN127" i="29"/>
  <c r="BY126" i="29"/>
  <c r="BO127" i="29"/>
  <c r="BR126" i="29"/>
  <c r="CE126" i="29"/>
  <c r="CF126" i="29"/>
  <c r="CI125" i="29"/>
  <c r="CP125" i="29"/>
  <c r="AW127" i="29"/>
  <c r="AP127" i="29"/>
  <c r="AV127" i="29" s="1"/>
  <c r="AR127" i="29" s="1"/>
  <c r="R123" i="29"/>
  <c r="Q123" i="29"/>
  <c r="X123" i="29" s="1"/>
  <c r="K125" i="29"/>
  <c r="J125" i="29"/>
  <c r="L124" i="29"/>
  <c r="AQ124" i="29"/>
  <c r="V124" i="29"/>
  <c r="T125" i="29"/>
  <c r="S125" i="29"/>
  <c r="AE124" i="29"/>
  <c r="AF124" i="29"/>
  <c r="CC122" i="29"/>
  <c r="CL122" i="29"/>
  <c r="CW122" i="29"/>
  <c r="CT126" i="29"/>
  <c r="AX126" i="29"/>
  <c r="U124" i="29"/>
  <c r="AB124" i="29" s="1"/>
  <c r="CR123" i="29"/>
  <c r="CA123" i="29"/>
  <c r="BU123" i="29" s="1"/>
  <c r="CB123" i="29"/>
  <c r="BV123" i="29" s="1"/>
  <c r="CS123" i="29"/>
  <c r="CM123" i="29" s="1"/>
  <c r="W122" i="29"/>
  <c r="Y122" i="29" s="1"/>
  <c r="AA122" i="29"/>
  <c r="M122" i="29"/>
  <c r="L336" i="15"/>
  <c r="M336" i="15"/>
  <c r="BZ120" i="29"/>
  <c r="BX121" i="29" s="1"/>
  <c r="Z129" i="39"/>
  <c r="AB129" i="39"/>
  <c r="AF129" i="39"/>
  <c r="D129" i="39"/>
  <c r="AJ129" i="39"/>
  <c r="AD129" i="39"/>
  <c r="AG129" i="39"/>
  <c r="AI129" i="39"/>
  <c r="F129" i="39"/>
  <c r="AK129" i="39"/>
  <c r="CG125" i="29"/>
  <c r="BE125" i="29"/>
  <c r="BG125" i="29" s="1"/>
  <c r="BA125" i="29" s="1"/>
  <c r="BC125" i="29"/>
  <c r="BF125" i="29" s="1"/>
  <c r="BP125" i="29"/>
  <c r="BD126" i="29"/>
  <c r="M207" i="39"/>
  <c r="N207" i="39"/>
  <c r="BH124" i="29"/>
  <c r="BB124" i="29" s="1"/>
  <c r="AZ124" i="29"/>
  <c r="B108" i="40"/>
  <c r="C108" i="40"/>
  <c r="B130" i="39"/>
  <c r="AA129" i="39"/>
  <c r="C130" i="39"/>
  <c r="V107" i="40"/>
  <c r="Q107" i="40"/>
  <c r="J107" i="40"/>
  <c r="K107" i="40"/>
  <c r="F107" i="40"/>
  <c r="M107" i="40"/>
  <c r="T107" i="40"/>
  <c r="I107" i="40"/>
  <c r="S107" i="40"/>
  <c r="E107" i="40"/>
  <c r="U107" i="40"/>
  <c r="L107" i="40"/>
  <c r="Y107" i="40"/>
  <c r="N107" i="40"/>
  <c r="H107" i="40"/>
  <c r="D107" i="40"/>
  <c r="O107" i="40"/>
  <c r="P107" i="40" s="1"/>
  <c r="R107" i="40"/>
  <c r="Z107" i="40"/>
  <c r="G107" i="40"/>
  <c r="Z122" i="29" l="1"/>
  <c r="CK117" i="29"/>
  <c r="AR116" i="29" s="1"/>
  <c r="AL19" i="29" s="1"/>
  <c r="CV118" i="29"/>
  <c r="CO118" i="29" s="1"/>
  <c r="CQ118" i="29" s="1"/>
  <c r="CX118" i="29"/>
  <c r="B228" i="15"/>
  <c r="X227" i="15"/>
  <c r="Y227" i="15"/>
  <c r="W227" i="15"/>
  <c r="CC123" i="29"/>
  <c r="U125" i="29"/>
  <c r="AC125" i="29" s="1"/>
  <c r="AW128" i="29"/>
  <c r="AP128" i="29"/>
  <c r="AV128" i="29" s="1"/>
  <c r="CT127" i="29"/>
  <c r="AX127" i="29"/>
  <c r="R124" i="29"/>
  <c r="Q124" i="29"/>
  <c r="X124" i="29" s="1"/>
  <c r="M123" i="29"/>
  <c r="CR124" i="29"/>
  <c r="CA124" i="29"/>
  <c r="BU124" i="29" s="1"/>
  <c r="CS124" i="29"/>
  <c r="CM124" i="29" s="1"/>
  <c r="AA123" i="29"/>
  <c r="CB124" i="29"/>
  <c r="BV124" i="29" s="1"/>
  <c r="W123" i="29"/>
  <c r="Y123" i="29" s="1"/>
  <c r="CF127" i="29"/>
  <c r="CI126" i="29"/>
  <c r="CP126" i="29"/>
  <c r="CE127" i="29"/>
  <c r="BY127" i="29"/>
  <c r="BO128" i="29"/>
  <c r="BR127" i="29"/>
  <c r="BN128" i="29"/>
  <c r="BQ128" i="29"/>
  <c r="BQ129" i="29" s="1"/>
  <c r="T126" i="29"/>
  <c r="V125" i="29"/>
  <c r="S126" i="29"/>
  <c r="AE125" i="29"/>
  <c r="AF125" i="29"/>
  <c r="CH128" i="29"/>
  <c r="CL123" i="29"/>
  <c r="CW123" i="29"/>
  <c r="AC124" i="29"/>
  <c r="AQ125" i="29"/>
  <c r="K126" i="29"/>
  <c r="L125" i="29"/>
  <c r="J126" i="29"/>
  <c r="AO129" i="29"/>
  <c r="AN129" i="29"/>
  <c r="Z130" i="39"/>
  <c r="AB130" i="39"/>
  <c r="AF130" i="39"/>
  <c r="AK130" i="39"/>
  <c r="D130" i="39"/>
  <c r="AJ130" i="39"/>
  <c r="AI130" i="39"/>
  <c r="AG130" i="39"/>
  <c r="AD130" i="39"/>
  <c r="F130" i="39"/>
  <c r="B109" i="40"/>
  <c r="C109" i="40"/>
  <c r="BE126" i="29"/>
  <c r="BG126" i="29" s="1"/>
  <c r="BA126" i="29" s="1"/>
  <c r="CG126" i="29"/>
  <c r="BD127" i="29"/>
  <c r="BC126" i="29"/>
  <c r="BF126" i="29" s="1"/>
  <c r="BP126" i="29"/>
  <c r="L337" i="15"/>
  <c r="M337" i="15"/>
  <c r="M208" i="39"/>
  <c r="N208" i="39"/>
  <c r="AZ125" i="29"/>
  <c r="BH125" i="29"/>
  <c r="BB125" i="29" s="1"/>
  <c r="B131" i="39"/>
  <c r="AA130" i="39"/>
  <c r="C131" i="39"/>
  <c r="N108" i="40"/>
  <c r="H108" i="40"/>
  <c r="S108" i="40"/>
  <c r="T108" i="40"/>
  <c r="V108" i="40"/>
  <c r="O108" i="40"/>
  <c r="P108" i="40" s="1"/>
  <c r="U108" i="40"/>
  <c r="R108" i="40"/>
  <c r="Y108" i="40"/>
  <c r="L108" i="40"/>
  <c r="F108" i="40"/>
  <c r="M108" i="40"/>
  <c r="I108" i="40"/>
  <c r="Z108" i="40"/>
  <c r="E108" i="40"/>
  <c r="Q108" i="40"/>
  <c r="J108" i="40"/>
  <c r="K108" i="40"/>
  <c r="D108" i="40"/>
  <c r="G108" i="40"/>
  <c r="BZ121" i="29"/>
  <c r="BX122" i="29" s="1"/>
  <c r="Z123" i="29" l="1"/>
  <c r="CX119" i="29"/>
  <c r="CV119" i="29"/>
  <c r="CO119" i="29" s="1"/>
  <c r="CQ119" i="29" s="1"/>
  <c r="C228" i="15"/>
  <c r="W228" i="15"/>
  <c r="Y228" i="15"/>
  <c r="AN130" i="29"/>
  <c r="AO130" i="29"/>
  <c r="T127" i="29"/>
  <c r="V126" i="29"/>
  <c r="S127" i="29"/>
  <c r="AE126" i="29"/>
  <c r="AF126" i="29"/>
  <c r="BY128" i="29"/>
  <c r="BO129" i="29"/>
  <c r="BQ130" i="29" s="1"/>
  <c r="BN129" i="29"/>
  <c r="BR128" i="29"/>
  <c r="CT128" i="29"/>
  <c r="AX128" i="29"/>
  <c r="CI127" i="29"/>
  <c r="CP127" i="29"/>
  <c r="CE128" i="29"/>
  <c r="CF128" i="29"/>
  <c r="CL124" i="29"/>
  <c r="CW124" i="29"/>
  <c r="Q125" i="29"/>
  <c r="X125" i="29" s="1"/>
  <c r="R125" i="29"/>
  <c r="AQ126" i="29"/>
  <c r="L126" i="29"/>
  <c r="K127" i="29"/>
  <c r="J127" i="29"/>
  <c r="U126" i="29"/>
  <c r="AW129" i="29"/>
  <c r="AP129" i="29"/>
  <c r="AV129" i="29" s="1"/>
  <c r="AR129" i="29" s="1"/>
  <c r="CH129" i="29"/>
  <c r="CC124" i="29"/>
  <c r="M124" i="29"/>
  <c r="W124" i="29"/>
  <c r="Y124" i="29" s="1"/>
  <c r="CR125" i="29"/>
  <c r="AA124" i="29"/>
  <c r="CA125" i="29"/>
  <c r="BU125" i="29" s="1"/>
  <c r="CS125" i="29"/>
  <c r="CM125" i="29" s="1"/>
  <c r="CB125" i="29"/>
  <c r="BV125" i="29" s="1"/>
  <c r="AB125" i="29"/>
  <c r="BZ122" i="29"/>
  <c r="BX123" i="29" s="1"/>
  <c r="Z131" i="39"/>
  <c r="AB131" i="39"/>
  <c r="AG131" i="39"/>
  <c r="D131" i="39"/>
  <c r="F131" i="39"/>
  <c r="AJ131" i="39"/>
  <c r="AD131" i="39"/>
  <c r="AK131" i="39"/>
  <c r="AI131" i="39"/>
  <c r="AF131" i="39"/>
  <c r="M209" i="39"/>
  <c r="N209" i="39"/>
  <c r="BE127" i="29"/>
  <c r="BG127" i="29" s="1"/>
  <c r="BA127" i="29" s="1"/>
  <c r="BP127" i="29"/>
  <c r="CG127" i="29"/>
  <c r="BC127" i="29"/>
  <c r="BF127" i="29" s="1"/>
  <c r="BD128" i="29"/>
  <c r="Q109" i="40"/>
  <c r="J109" i="40"/>
  <c r="Z109" i="40"/>
  <c r="R109" i="40"/>
  <c r="L109" i="40"/>
  <c r="G109" i="40"/>
  <c r="S109" i="40"/>
  <c r="U109" i="40"/>
  <c r="I109" i="40"/>
  <c r="K109" i="40"/>
  <c r="N109" i="40"/>
  <c r="D109" i="40"/>
  <c r="T109" i="40"/>
  <c r="H109" i="40"/>
  <c r="O109" i="40"/>
  <c r="P109" i="40" s="1"/>
  <c r="Y109" i="40"/>
  <c r="E109" i="40"/>
  <c r="F109" i="40"/>
  <c r="M109" i="40"/>
  <c r="V109" i="40"/>
  <c r="L338" i="15"/>
  <c r="M338" i="15"/>
  <c r="B132" i="39"/>
  <c r="AA131" i="39"/>
  <c r="C132" i="39"/>
  <c r="BH126" i="29"/>
  <c r="BB126" i="29" s="1"/>
  <c r="AZ126" i="29"/>
  <c r="B110" i="40"/>
  <c r="C110" i="40"/>
  <c r="Z124" i="29" l="1"/>
  <c r="CX120" i="29"/>
  <c r="CV120" i="29"/>
  <c r="CO120" i="29" s="1"/>
  <c r="CQ120" i="29" s="1"/>
  <c r="X228" i="15"/>
  <c r="B229" i="15"/>
  <c r="C229" i="15" s="1"/>
  <c r="CC125" i="29"/>
  <c r="R126" i="29"/>
  <c r="Q126" i="29"/>
  <c r="AQ127" i="29"/>
  <c r="L127" i="29"/>
  <c r="K128" i="29"/>
  <c r="J128" i="29"/>
  <c r="U127" i="29"/>
  <c r="AW130" i="29"/>
  <c r="AP130" i="29"/>
  <c r="AV130" i="29" s="1"/>
  <c r="AR130" i="29" s="1"/>
  <c r="CL125" i="29"/>
  <c r="CW125" i="29"/>
  <c r="AX129" i="29"/>
  <c r="AC126" i="29"/>
  <c r="AB126" i="29"/>
  <c r="W125" i="29"/>
  <c r="Y125" i="29" s="1"/>
  <c r="Z125" i="29" s="1"/>
  <c r="CS126" i="29"/>
  <c r="CM126" i="29" s="1"/>
  <c r="CR126" i="29"/>
  <c r="CB126" i="29"/>
  <c r="BV126" i="29" s="1"/>
  <c r="CA126" i="29"/>
  <c r="BU126" i="29" s="1"/>
  <c r="AA125" i="29"/>
  <c r="M125" i="29"/>
  <c r="T128" i="29"/>
  <c r="V127" i="29"/>
  <c r="S128" i="29"/>
  <c r="AF127" i="29"/>
  <c r="AE127" i="29"/>
  <c r="CE129" i="29"/>
  <c r="CP128" i="29"/>
  <c r="CI128" i="29"/>
  <c r="CF129" i="29"/>
  <c r="BR129" i="29"/>
  <c r="BN130" i="29"/>
  <c r="BO130" i="29"/>
  <c r="AN131" i="29"/>
  <c r="AO131" i="29"/>
  <c r="B111" i="40"/>
  <c r="C111" i="40"/>
  <c r="BD129" i="29"/>
  <c r="BE128" i="29"/>
  <c r="BG128" i="29" s="1"/>
  <c r="BA128" i="29" s="1"/>
  <c r="BC128" i="29"/>
  <c r="BF128" i="29" s="1"/>
  <c r="CG128" i="29"/>
  <c r="BP128" i="29"/>
  <c r="M210" i="39"/>
  <c r="N210" i="39"/>
  <c r="AZ127" i="29"/>
  <c r="BH127" i="29"/>
  <c r="BB127" i="29" s="1"/>
  <c r="BZ123" i="29"/>
  <c r="BX124" i="29" s="1"/>
  <c r="K110" i="40"/>
  <c r="F110" i="40"/>
  <c r="R110" i="40"/>
  <c r="N110" i="40"/>
  <c r="D110" i="40"/>
  <c r="I110" i="40"/>
  <c r="S110" i="40"/>
  <c r="Q110" i="40"/>
  <c r="J110" i="40"/>
  <c r="T110" i="40"/>
  <c r="H110" i="40"/>
  <c r="Z110" i="40"/>
  <c r="O110" i="40"/>
  <c r="P110" i="40" s="1"/>
  <c r="M110" i="40"/>
  <c r="V110" i="40"/>
  <c r="G110" i="40"/>
  <c r="L110" i="40"/>
  <c r="E110" i="40"/>
  <c r="U110" i="40"/>
  <c r="Y110" i="40"/>
  <c r="AB132" i="39"/>
  <c r="Z132" i="39"/>
  <c r="AK132" i="39"/>
  <c r="AD132" i="39"/>
  <c r="AF132" i="39"/>
  <c r="AG132" i="39"/>
  <c r="F132" i="39"/>
  <c r="AJ132" i="39"/>
  <c r="AI132" i="39"/>
  <c r="D132" i="39"/>
  <c r="B133" i="39"/>
  <c r="AA132" i="39"/>
  <c r="C133" i="39"/>
  <c r="L339" i="15"/>
  <c r="M339" i="15"/>
  <c r="CX121" i="29" l="1"/>
  <c r="CV121" i="29"/>
  <c r="CO121" i="29" s="1"/>
  <c r="CQ121" i="29" s="1"/>
  <c r="B230" i="15"/>
  <c r="C230" i="15" s="1"/>
  <c r="X229" i="15"/>
  <c r="W229" i="15"/>
  <c r="Y229" i="15"/>
  <c r="AW131" i="29"/>
  <c r="AP131" i="29"/>
  <c r="AV131" i="29" s="1"/>
  <c r="AR131" i="29" s="1"/>
  <c r="CE130" i="29"/>
  <c r="CF130" i="29"/>
  <c r="CI129" i="29"/>
  <c r="CH130" i="29"/>
  <c r="CH131" i="29" s="1"/>
  <c r="Q127" i="29"/>
  <c r="R127" i="29"/>
  <c r="J129" i="29"/>
  <c r="AQ128" i="29"/>
  <c r="K129" i="29"/>
  <c r="L128" i="29"/>
  <c r="CR127" i="29"/>
  <c r="M126" i="29"/>
  <c r="CA127" i="29"/>
  <c r="BU127" i="29" s="1"/>
  <c r="AA126" i="29"/>
  <c r="CB127" i="29"/>
  <c r="BV127" i="29" s="1"/>
  <c r="CS127" i="29"/>
  <c r="CM127" i="29" s="1"/>
  <c r="W126" i="29"/>
  <c r="Y126" i="29" s="1"/>
  <c r="Z126" i="29" s="1"/>
  <c r="BR130" i="29"/>
  <c r="BO131" i="29"/>
  <c r="BY130" i="29"/>
  <c r="BN131" i="29"/>
  <c r="U128" i="29"/>
  <c r="CC126" i="29"/>
  <c r="AC127" i="29"/>
  <c r="CL126" i="29"/>
  <c r="CW126" i="29"/>
  <c r="AB127" i="29"/>
  <c r="BQ131" i="29"/>
  <c r="BQ132" i="29" s="1"/>
  <c r="AO132" i="29"/>
  <c r="AN132" i="29"/>
  <c r="S129" i="29"/>
  <c r="V128" i="29"/>
  <c r="T129" i="29"/>
  <c r="AE128" i="29"/>
  <c r="AF128" i="29"/>
  <c r="CT130" i="29"/>
  <c r="AX130" i="29"/>
  <c r="X126" i="29"/>
  <c r="BZ124" i="29"/>
  <c r="BX125" i="29" s="1"/>
  <c r="M211" i="39"/>
  <c r="N211" i="39"/>
  <c r="CG129" i="29"/>
  <c r="BE129" i="29"/>
  <c r="BG129" i="29" s="1"/>
  <c r="BA129" i="29" s="1"/>
  <c r="BD130" i="29"/>
  <c r="BI129" i="29"/>
  <c r="BC129" i="29"/>
  <c r="BF129" i="29" s="1"/>
  <c r="BP129" i="29"/>
  <c r="B112" i="40"/>
  <c r="C112" i="40"/>
  <c r="T111" i="40"/>
  <c r="D111" i="40"/>
  <c r="S111" i="40"/>
  <c r="N111" i="40"/>
  <c r="I111" i="40"/>
  <c r="J111" i="40"/>
  <c r="U111" i="40"/>
  <c r="E111" i="40"/>
  <c r="O111" i="40"/>
  <c r="P111" i="40" s="1"/>
  <c r="H111" i="40"/>
  <c r="Y111" i="40"/>
  <c r="M111" i="40"/>
  <c r="V111" i="40"/>
  <c r="Q111" i="40"/>
  <c r="Z111" i="40"/>
  <c r="R111" i="40"/>
  <c r="F111" i="40"/>
  <c r="K111" i="40"/>
  <c r="G111" i="40"/>
  <c r="L111" i="40"/>
  <c r="L340" i="15"/>
  <c r="M340" i="15"/>
  <c r="AB133" i="39"/>
  <c r="Z133" i="39"/>
  <c r="AF133" i="39"/>
  <c r="AD133" i="39"/>
  <c r="AJ133" i="39"/>
  <c r="AG133" i="39"/>
  <c r="AI133" i="39"/>
  <c r="AK133" i="39"/>
  <c r="F133" i="39"/>
  <c r="D133" i="39"/>
  <c r="BH128" i="29"/>
  <c r="BB128" i="29" s="1"/>
  <c r="AZ128" i="29"/>
  <c r="AA133" i="39"/>
  <c r="B134" i="39"/>
  <c r="C134" i="39"/>
  <c r="CV122" i="29" l="1"/>
  <c r="CO122" i="29" s="1"/>
  <c r="CQ122" i="29" s="1"/>
  <c r="CX122" i="29"/>
  <c r="X230" i="15"/>
  <c r="B231" i="15"/>
  <c r="C231" i="15" s="1"/>
  <c r="W230" i="15"/>
  <c r="Y230" i="15"/>
  <c r="CC127" i="29"/>
  <c r="T130" i="29"/>
  <c r="S130" i="29"/>
  <c r="V129" i="29"/>
  <c r="AF129" i="29"/>
  <c r="AE129" i="29"/>
  <c r="AO133" i="29"/>
  <c r="AN133" i="29"/>
  <c r="CT131" i="29"/>
  <c r="AX131" i="29"/>
  <c r="J130" i="29"/>
  <c r="K130" i="29"/>
  <c r="AQ129" i="29"/>
  <c r="L129" i="29"/>
  <c r="X127" i="29"/>
  <c r="W127" i="29"/>
  <c r="Y127" i="29" s="1"/>
  <c r="Z127" i="29" s="1"/>
  <c r="CR128" i="29"/>
  <c r="AA127" i="29"/>
  <c r="CB128" i="29"/>
  <c r="BV128" i="29" s="1"/>
  <c r="M127" i="29"/>
  <c r="CA128" i="29"/>
  <c r="BU128" i="29" s="1"/>
  <c r="CS128" i="29"/>
  <c r="CM128" i="29" s="1"/>
  <c r="CE131" i="29"/>
  <c r="CI130" i="29"/>
  <c r="CF131" i="29"/>
  <c r="CP130" i="29"/>
  <c r="U129" i="29"/>
  <c r="AC129" i="29" s="1"/>
  <c r="BN132" i="29"/>
  <c r="BO132" i="29"/>
  <c r="BR131" i="29"/>
  <c r="BY131" i="29"/>
  <c r="AW132" i="29"/>
  <c r="AP132" i="29"/>
  <c r="AV132" i="29" s="1"/>
  <c r="AR132" i="29" s="1"/>
  <c r="R128" i="29"/>
  <c r="Q128" i="29"/>
  <c r="CL127" i="29"/>
  <c r="CW127" i="29"/>
  <c r="CH132" i="29"/>
  <c r="AB134" i="39"/>
  <c r="Z134" i="39"/>
  <c r="AJ134" i="39"/>
  <c r="AI134" i="39"/>
  <c r="AD134" i="39"/>
  <c r="AF134" i="39"/>
  <c r="AG134" i="39"/>
  <c r="D134" i="39"/>
  <c r="F134" i="39"/>
  <c r="AK134" i="39"/>
  <c r="BZ125" i="29"/>
  <c r="BX126" i="29" s="1"/>
  <c r="L341" i="15"/>
  <c r="M341" i="15"/>
  <c r="B113" i="40"/>
  <c r="C113" i="40"/>
  <c r="M212" i="39"/>
  <c r="N212" i="39"/>
  <c r="B135" i="39"/>
  <c r="AA134" i="39"/>
  <c r="C135" i="39"/>
  <c r="V112" i="40"/>
  <c r="Z112" i="40"/>
  <c r="F112" i="40"/>
  <c r="D112" i="40"/>
  <c r="T112" i="40"/>
  <c r="G112" i="40"/>
  <c r="S112" i="40"/>
  <c r="U112" i="40"/>
  <c r="O112" i="40"/>
  <c r="P112" i="40" s="1"/>
  <c r="Q112" i="40"/>
  <c r="E112" i="40"/>
  <c r="M112" i="40"/>
  <c r="H112" i="40"/>
  <c r="Y112" i="40"/>
  <c r="J112" i="40"/>
  <c r="I112" i="40"/>
  <c r="K112" i="40"/>
  <c r="R112" i="40"/>
  <c r="N112" i="40"/>
  <c r="L112" i="40"/>
  <c r="BP130" i="29"/>
  <c r="BC130" i="29"/>
  <c r="BF130" i="29" s="1"/>
  <c r="BD131" i="29"/>
  <c r="BE130" i="29"/>
  <c r="BG130" i="29" s="1"/>
  <c r="BA130" i="29" s="1"/>
  <c r="CG130" i="29"/>
  <c r="BH129" i="29"/>
  <c r="BB129" i="29" s="1"/>
  <c r="AZ129" i="29"/>
  <c r="CX123" i="29" l="1"/>
  <c r="CV123" i="29"/>
  <c r="CO123" i="29" s="1"/>
  <c r="CQ123" i="29" s="1"/>
  <c r="X231" i="15"/>
  <c r="B232" i="15"/>
  <c r="C232" i="15" s="1"/>
  <c r="W231" i="15"/>
  <c r="Y231" i="15"/>
  <c r="V130" i="29"/>
  <c r="T131" i="29"/>
  <c r="S131" i="29"/>
  <c r="AF130" i="29"/>
  <c r="AE130" i="29"/>
  <c r="CL128" i="29"/>
  <c r="CW128" i="29"/>
  <c r="CT132" i="29"/>
  <c r="AX132" i="29"/>
  <c r="BY132" i="29"/>
  <c r="BO133" i="29"/>
  <c r="BN133" i="29"/>
  <c r="BR132" i="29"/>
  <c r="Q129" i="29"/>
  <c r="R129" i="29"/>
  <c r="CE132" i="29"/>
  <c r="CF132" i="29"/>
  <c r="CP131" i="29"/>
  <c r="CI131" i="29"/>
  <c r="AB129" i="29"/>
  <c r="J131" i="29"/>
  <c r="K131" i="29"/>
  <c r="AQ130" i="29"/>
  <c r="L130" i="29"/>
  <c r="AW133" i="29"/>
  <c r="AP133" i="29"/>
  <c r="AV133" i="29" s="1"/>
  <c r="AR133" i="29" s="1"/>
  <c r="AA128" i="29"/>
  <c r="CA129" i="29"/>
  <c r="BU129" i="29" s="1"/>
  <c r="CR129" i="29"/>
  <c r="W128" i="29"/>
  <c r="CC128" i="29"/>
  <c r="BQ133" i="29"/>
  <c r="BQ134" i="29" s="1"/>
  <c r="AN134" i="29"/>
  <c r="AO134" i="29"/>
  <c r="U130" i="29"/>
  <c r="BZ126" i="29"/>
  <c r="BX127" i="29" s="1"/>
  <c r="CG131" i="29"/>
  <c r="BD132" i="29"/>
  <c r="BP131" i="29"/>
  <c r="BE131" i="29"/>
  <c r="BG131" i="29" s="1"/>
  <c r="BA131" i="29" s="1"/>
  <c r="BC131" i="29"/>
  <c r="BF131" i="29" s="1"/>
  <c r="Z135" i="39"/>
  <c r="AB135" i="39"/>
  <c r="AK135" i="39"/>
  <c r="AI135" i="39"/>
  <c r="F135" i="39"/>
  <c r="D135" i="39"/>
  <c r="AF135" i="39"/>
  <c r="AD135" i="39"/>
  <c r="AJ135" i="39"/>
  <c r="AG135" i="39"/>
  <c r="M213" i="39"/>
  <c r="N213" i="39"/>
  <c r="AZ130" i="29"/>
  <c r="BH130" i="29"/>
  <c r="BB130" i="29" s="1"/>
  <c r="B136" i="39"/>
  <c r="AA135" i="39"/>
  <c r="C136" i="39"/>
  <c r="B114" i="40"/>
  <c r="C114" i="40"/>
  <c r="L342" i="15"/>
  <c r="M342" i="15"/>
  <c r="S113" i="40"/>
  <c r="Y113" i="40"/>
  <c r="H113" i="40"/>
  <c r="L113" i="40"/>
  <c r="U113" i="40"/>
  <c r="V113" i="40"/>
  <c r="Q113" i="40"/>
  <c r="D113" i="40"/>
  <c r="K113" i="40"/>
  <c r="G113" i="40"/>
  <c r="R113" i="40"/>
  <c r="N113" i="40"/>
  <c r="J113" i="40"/>
  <c r="O113" i="40"/>
  <c r="P113" i="40" s="1"/>
  <c r="E113" i="40"/>
  <c r="I113" i="40"/>
  <c r="Z113" i="40"/>
  <c r="F113" i="40"/>
  <c r="M113" i="40"/>
  <c r="T113" i="40"/>
  <c r="CV124" i="29" l="1"/>
  <c r="CO124" i="29" s="1"/>
  <c r="CQ124" i="29" s="1"/>
  <c r="CX124" i="29"/>
  <c r="B233" i="15"/>
  <c r="X232" i="15"/>
  <c r="C233" i="15"/>
  <c r="W232" i="15"/>
  <c r="Y232" i="15"/>
  <c r="CB129" i="29"/>
  <c r="BV129" i="29" s="1"/>
  <c r="CS129" i="29"/>
  <c r="CM129" i="29" s="1"/>
  <c r="Q130" i="29"/>
  <c r="R130" i="29"/>
  <c r="U131" i="29"/>
  <c r="AB131" i="29" s="1"/>
  <c r="AB130" i="29"/>
  <c r="BQ135" i="29"/>
  <c r="S132" i="29"/>
  <c r="V131" i="29"/>
  <c r="T132" i="29"/>
  <c r="AE131" i="29"/>
  <c r="AF131" i="29"/>
  <c r="AW134" i="29"/>
  <c r="AP134" i="29"/>
  <c r="AV134" i="29" s="1"/>
  <c r="AR134" i="29" s="1"/>
  <c r="CI132" i="29"/>
  <c r="CE133" i="29"/>
  <c r="CP132" i="29"/>
  <c r="CF133" i="29"/>
  <c r="CH133" i="29"/>
  <c r="CH134" i="29" s="1"/>
  <c r="L131" i="29"/>
  <c r="J132" i="29"/>
  <c r="AQ131" i="29"/>
  <c r="K132" i="29"/>
  <c r="CB130" i="29"/>
  <c r="BV130" i="29" s="1"/>
  <c r="AA129" i="29"/>
  <c r="CR130" i="29"/>
  <c r="CS130" i="29"/>
  <c r="CM130" i="29" s="1"/>
  <c r="W129" i="29"/>
  <c r="Y129" i="29" s="1"/>
  <c r="CA130" i="29"/>
  <c r="BU130" i="29" s="1"/>
  <c r="M129" i="29"/>
  <c r="AC130" i="29"/>
  <c r="AO135" i="29"/>
  <c r="AN135" i="29"/>
  <c r="CT133" i="29"/>
  <c r="AX133" i="29"/>
  <c r="X129" i="29"/>
  <c r="BR133" i="29"/>
  <c r="BO134" i="29"/>
  <c r="BY133" i="29"/>
  <c r="BN134" i="29"/>
  <c r="Z136" i="39"/>
  <c r="AB136" i="39"/>
  <c r="F136" i="39"/>
  <c r="AD136" i="39"/>
  <c r="AF136" i="39"/>
  <c r="AK136" i="39"/>
  <c r="AJ136" i="39"/>
  <c r="AG136" i="39"/>
  <c r="D136" i="39"/>
  <c r="AI136" i="39"/>
  <c r="Y114" i="40"/>
  <c r="Q114" i="40"/>
  <c r="D114" i="40"/>
  <c r="K114" i="40"/>
  <c r="J114" i="40"/>
  <c r="U114" i="40"/>
  <c r="T114" i="40"/>
  <c r="F114" i="40"/>
  <c r="L114" i="40"/>
  <c r="Z114" i="40"/>
  <c r="O114" i="40"/>
  <c r="P114" i="40" s="1"/>
  <c r="G114" i="40"/>
  <c r="V114" i="40"/>
  <c r="I114" i="40"/>
  <c r="S114" i="40"/>
  <c r="N114" i="40"/>
  <c r="M114" i="40"/>
  <c r="H114" i="40"/>
  <c r="R114" i="40"/>
  <c r="E114" i="40"/>
  <c r="AA136" i="39"/>
  <c r="B137" i="39"/>
  <c r="C137" i="39"/>
  <c r="AZ131" i="29"/>
  <c r="BH131" i="29"/>
  <c r="BB131" i="29" s="1"/>
  <c r="BZ127" i="29"/>
  <c r="BX128" i="29" s="1"/>
  <c r="L343" i="15"/>
  <c r="M343" i="15"/>
  <c r="M214" i="39"/>
  <c r="N214" i="39"/>
  <c r="CG132" i="29"/>
  <c r="BD133" i="29"/>
  <c r="BP132" i="29"/>
  <c r="BE132" i="29"/>
  <c r="BG132" i="29" s="1"/>
  <c r="BA132" i="29" s="1"/>
  <c r="BC132" i="29"/>
  <c r="BF132" i="29" s="1"/>
  <c r="CV125" i="29" l="1"/>
  <c r="CO125" i="29" s="1"/>
  <c r="CQ125" i="29" s="1"/>
  <c r="CX125" i="29"/>
  <c r="X233" i="15"/>
  <c r="B234" i="15"/>
  <c r="C234" i="15"/>
  <c r="CC129" i="29"/>
  <c r="Y233" i="15"/>
  <c r="W233" i="15"/>
  <c r="CT129" i="29"/>
  <c r="BR134" i="29"/>
  <c r="BY134" i="29"/>
  <c r="BN135" i="29"/>
  <c r="BO135" i="29"/>
  <c r="BQ136" i="29" s="1"/>
  <c r="AW135" i="29"/>
  <c r="AP135" i="29"/>
  <c r="AV135" i="29" s="1"/>
  <c r="AR135" i="29" s="1"/>
  <c r="CC130" i="29"/>
  <c r="L132" i="29"/>
  <c r="J133" i="29"/>
  <c r="AQ132" i="29"/>
  <c r="K133" i="29"/>
  <c r="CH135" i="29"/>
  <c r="U132" i="29"/>
  <c r="AB132" i="29" s="1"/>
  <c r="R131" i="29"/>
  <c r="Q131" i="29"/>
  <c r="X131" i="29" s="1"/>
  <c r="CR131" i="29"/>
  <c r="M130" i="29"/>
  <c r="W130" i="29"/>
  <c r="Y130" i="29" s="1"/>
  <c r="CB131" i="29"/>
  <c r="BV131" i="29" s="1"/>
  <c r="CS131" i="29"/>
  <c r="CM131" i="29" s="1"/>
  <c r="CA131" i="29"/>
  <c r="BU131" i="29" s="1"/>
  <c r="AA130" i="29"/>
  <c r="CT134" i="29"/>
  <c r="AX134" i="29"/>
  <c r="S133" i="29"/>
  <c r="T133" i="29"/>
  <c r="V132" i="29"/>
  <c r="AF132" i="29"/>
  <c r="AE132" i="29"/>
  <c r="AN136" i="29"/>
  <c r="AO136" i="29"/>
  <c r="CL130" i="29"/>
  <c r="CW130" i="29"/>
  <c r="CE134" i="29"/>
  <c r="CI133" i="29"/>
  <c r="CP133" i="29"/>
  <c r="CF134" i="29"/>
  <c r="AC131" i="29"/>
  <c r="X130" i="29"/>
  <c r="BZ128" i="29"/>
  <c r="BY129" i="29" s="1"/>
  <c r="M215" i="39"/>
  <c r="N215" i="39"/>
  <c r="L344" i="15"/>
  <c r="M344" i="15"/>
  <c r="B138" i="39"/>
  <c r="AA137" i="39"/>
  <c r="C138" i="39"/>
  <c r="AA138" i="39" s="1"/>
  <c r="AZ132" i="29"/>
  <c r="BH132" i="29"/>
  <c r="BB132" i="29" s="1"/>
  <c r="BP133" i="29"/>
  <c r="CG133" i="29"/>
  <c r="BD134" i="29"/>
  <c r="BC133" i="29"/>
  <c r="BF133" i="29" s="1"/>
  <c r="BE133" i="29"/>
  <c r="BG133" i="29" s="1"/>
  <c r="BA133" i="29" s="1"/>
  <c r="AB137" i="39"/>
  <c r="Z137" i="39"/>
  <c r="AG137" i="39"/>
  <c r="F137" i="39"/>
  <c r="AF137" i="39"/>
  <c r="AI137" i="39"/>
  <c r="AK137" i="39"/>
  <c r="AJ137" i="39"/>
  <c r="D137" i="39"/>
  <c r="AD137" i="39"/>
  <c r="D48" i="15"/>
  <c r="S48" i="15"/>
  <c r="J44" i="15"/>
  <c r="D43" i="15"/>
  <c r="S44" i="15"/>
  <c r="P45" i="15"/>
  <c r="E31" i="44" s="1"/>
  <c r="M45" i="15"/>
  <c r="J43" i="15"/>
  <c r="P46" i="15"/>
  <c r="E32" i="44" s="1"/>
  <c r="P44" i="15"/>
  <c r="E30" i="44" s="1"/>
  <c r="J42" i="15"/>
  <c r="S43" i="15"/>
  <c r="S45" i="15"/>
  <c r="P42" i="15"/>
  <c r="E28" i="44" s="1"/>
  <c r="S49" i="15"/>
  <c r="S42" i="15"/>
  <c r="M44" i="15"/>
  <c r="M43" i="15"/>
  <c r="J45" i="15"/>
  <c r="D45" i="15"/>
  <c r="P43" i="15"/>
  <c r="E29" i="44" s="1"/>
  <c r="D44" i="15"/>
  <c r="M46" i="15"/>
  <c r="J46" i="15"/>
  <c r="D46" i="15"/>
  <c r="S46" i="15"/>
  <c r="D49" i="15"/>
  <c r="P48" i="15"/>
  <c r="E34" i="44" s="1"/>
  <c r="D47" i="15"/>
  <c r="J47" i="15"/>
  <c r="S47" i="15"/>
  <c r="M48" i="15"/>
  <c r="M47" i="15"/>
  <c r="J48" i="15"/>
  <c r="P47" i="15"/>
  <c r="E33" i="44" s="1"/>
  <c r="M50" i="15"/>
  <c r="L132" i="40"/>
  <c r="M134" i="40"/>
  <c r="P132" i="40"/>
  <c r="J136" i="40"/>
  <c r="O136" i="40"/>
  <c r="D135" i="40"/>
  <c r="S136" i="40"/>
  <c r="D133" i="40"/>
  <c r="S132" i="40"/>
  <c r="L136" i="40"/>
  <c r="J50" i="15"/>
  <c r="T134" i="40"/>
  <c r="C132" i="40"/>
  <c r="N135" i="40"/>
  <c r="N136" i="40"/>
  <c r="P49" i="15"/>
  <c r="E35" i="44" s="1"/>
  <c r="D136" i="40"/>
  <c r="J137" i="40"/>
  <c r="N137" i="40"/>
  <c r="P135" i="40"/>
  <c r="D132" i="40"/>
  <c r="C136" i="40"/>
  <c r="K136" i="40"/>
  <c r="L133" i="40"/>
  <c r="N134" i="40"/>
  <c r="O137" i="40"/>
  <c r="E137" i="40"/>
  <c r="D134" i="40"/>
  <c r="P134" i="40"/>
  <c r="E136" i="40"/>
  <c r="Q135" i="40"/>
  <c r="E135" i="40"/>
  <c r="S50" i="15"/>
  <c r="E133" i="40"/>
  <c r="P133" i="40"/>
  <c r="J132" i="40"/>
  <c r="K135" i="40"/>
  <c r="N133" i="40"/>
  <c r="M49" i="15"/>
  <c r="R134" i="40"/>
  <c r="O134" i="40"/>
  <c r="Q133" i="40"/>
  <c r="E134" i="40"/>
  <c r="M136" i="40"/>
  <c r="Q132" i="40"/>
  <c r="T136" i="40"/>
  <c r="J135" i="40"/>
  <c r="S137" i="40"/>
  <c r="K137" i="40"/>
  <c r="R136" i="40"/>
  <c r="K133" i="40"/>
  <c r="D50" i="15"/>
  <c r="E132" i="40"/>
  <c r="K134" i="40"/>
  <c r="O135" i="40"/>
  <c r="Q136" i="40"/>
  <c r="M137" i="40"/>
  <c r="Q137" i="40"/>
  <c r="M135" i="40"/>
  <c r="M132" i="40"/>
  <c r="T132" i="40"/>
  <c r="P137" i="40"/>
  <c r="C137" i="40"/>
  <c r="D51" i="15"/>
  <c r="C133" i="40"/>
  <c r="R137" i="40"/>
  <c r="R133" i="40"/>
  <c r="R132" i="40"/>
  <c r="P50" i="15"/>
  <c r="E36" i="44" s="1"/>
  <c r="O132" i="40"/>
  <c r="P136" i="40"/>
  <c r="T135" i="40"/>
  <c r="C134" i="40"/>
  <c r="C135" i="40"/>
  <c r="N132" i="40"/>
  <c r="O133" i="40"/>
  <c r="R135" i="40"/>
  <c r="Q134" i="40"/>
  <c r="D137" i="40"/>
  <c r="S133" i="40"/>
  <c r="L135" i="40"/>
  <c r="T137" i="40"/>
  <c r="S135" i="40"/>
  <c r="L137" i="40"/>
  <c r="J49" i="15"/>
  <c r="M133" i="40"/>
  <c r="J133" i="40"/>
  <c r="L134" i="40"/>
  <c r="K132" i="40"/>
  <c r="J134" i="40"/>
  <c r="T133" i="40"/>
  <c r="S134" i="40"/>
  <c r="J51" i="15"/>
  <c r="M51" i="15"/>
  <c r="P51" i="15"/>
  <c r="E37" i="44" s="1"/>
  <c r="S52" i="15"/>
  <c r="S51" i="15"/>
  <c r="D52" i="15"/>
  <c r="J52" i="15"/>
  <c r="M52" i="15"/>
  <c r="P52" i="15"/>
  <c r="E38" i="44" s="1"/>
  <c r="S53" i="15"/>
  <c r="J53" i="15"/>
  <c r="D53" i="15"/>
  <c r="M54" i="15"/>
  <c r="M53" i="15"/>
  <c r="P53" i="15"/>
  <c r="E39" i="44" s="1"/>
  <c r="S56" i="15"/>
  <c r="J54" i="15"/>
  <c r="M55" i="15"/>
  <c r="J55" i="15"/>
  <c r="S54" i="15"/>
  <c r="P55" i="15"/>
  <c r="E41" i="44" s="1"/>
  <c r="J56" i="15"/>
  <c r="P56" i="15"/>
  <c r="E42" i="44" s="1"/>
  <c r="P54" i="15"/>
  <c r="E40" i="44" s="1"/>
  <c r="D55" i="15"/>
  <c r="S55" i="15"/>
  <c r="D54" i="15"/>
  <c r="D56" i="15"/>
  <c r="M56" i="15"/>
  <c r="D57" i="15"/>
  <c r="S57" i="15"/>
  <c r="M57" i="15"/>
  <c r="P57" i="15"/>
  <c r="E43" i="44" s="1"/>
  <c r="S58" i="15"/>
  <c r="P58" i="15"/>
  <c r="E44" i="44" s="1"/>
  <c r="D58" i="15"/>
  <c r="J59" i="15"/>
  <c r="M58" i="15"/>
  <c r="M59" i="15"/>
  <c r="P59" i="15"/>
  <c r="E45" i="44" s="1"/>
  <c r="M60" i="15"/>
  <c r="S59" i="15"/>
  <c r="D59" i="15"/>
  <c r="J57" i="15"/>
  <c r="J58" i="15"/>
  <c r="J61" i="15"/>
  <c r="S61" i="15"/>
  <c r="S60" i="15"/>
  <c r="D61" i="15"/>
  <c r="M63" i="15"/>
  <c r="D60" i="15"/>
  <c r="J60" i="15"/>
  <c r="P60" i="15"/>
  <c r="E46" i="44" s="1"/>
  <c r="M61" i="15"/>
  <c r="D62" i="15"/>
  <c r="J63" i="15"/>
  <c r="P62" i="15"/>
  <c r="E48" i="44" s="1"/>
  <c r="S62" i="15"/>
  <c r="P61" i="15"/>
  <c r="E47" i="44" s="1"/>
  <c r="D63" i="15"/>
  <c r="J62" i="15"/>
  <c r="M62" i="15"/>
  <c r="D69" i="15"/>
  <c r="J69" i="15"/>
  <c r="S64" i="15"/>
  <c r="P65" i="15"/>
  <c r="E51" i="44" s="1"/>
  <c r="J64" i="15"/>
  <c r="P64" i="15"/>
  <c r="E50" i="44" s="1"/>
  <c r="S63" i="15"/>
  <c r="S65" i="15"/>
  <c r="D64" i="15"/>
  <c r="P63" i="15"/>
  <c r="E49" i="44" s="1"/>
  <c r="M64" i="15"/>
  <c r="P66" i="15"/>
  <c r="E52" i="44" s="1"/>
  <c r="P69" i="15"/>
  <c r="E55" i="44" s="1"/>
  <c r="S69" i="15"/>
  <c r="J66" i="15"/>
  <c r="J65" i="15"/>
  <c r="M66" i="15"/>
  <c r="D66" i="15"/>
  <c r="S66" i="15"/>
  <c r="M67" i="15"/>
  <c r="M71" i="15"/>
  <c r="M65" i="15"/>
  <c r="J67" i="15"/>
  <c r="D65" i="15"/>
  <c r="J68" i="15"/>
  <c r="M69" i="15"/>
  <c r="D67" i="15"/>
  <c r="S67" i="15"/>
  <c r="M70" i="15"/>
  <c r="S68" i="15"/>
  <c r="J70" i="15"/>
  <c r="P67" i="15"/>
  <c r="E53" i="44" s="1"/>
  <c r="P68" i="15"/>
  <c r="E54" i="44" s="1"/>
  <c r="S70" i="15"/>
  <c r="D68" i="15"/>
  <c r="P70" i="15"/>
  <c r="E56" i="44" s="1"/>
  <c r="M68" i="15"/>
  <c r="D70" i="15"/>
  <c r="P71" i="15"/>
  <c r="E57" i="44" s="1"/>
  <c r="J71" i="15"/>
  <c r="D71" i="15"/>
  <c r="S71" i="15"/>
  <c r="P80" i="15"/>
  <c r="E60" i="44" s="1"/>
  <c r="M80" i="15"/>
  <c r="P79" i="15"/>
  <c r="E59" i="44" s="1"/>
  <c r="J80" i="15"/>
  <c r="M79" i="15"/>
  <c r="B73" i="15" s="1"/>
  <c r="B135" i="15" s="1"/>
  <c r="D72" i="15"/>
  <c r="M72" i="15"/>
  <c r="D79" i="15"/>
  <c r="J79" i="15"/>
  <c r="S72" i="15"/>
  <c r="J72" i="15"/>
  <c r="P72" i="15"/>
  <c r="E58" i="44" s="1"/>
  <c r="S80" i="15"/>
  <c r="S79" i="15"/>
  <c r="D81" i="15"/>
  <c r="M81" i="15"/>
  <c r="S81" i="15"/>
  <c r="J81" i="15"/>
  <c r="D80" i="15"/>
  <c r="P81" i="15"/>
  <c r="E61" i="44" s="1"/>
  <c r="P84" i="15"/>
  <c r="S83" i="15"/>
  <c r="P82" i="15"/>
  <c r="E62" i="44" s="1"/>
  <c r="J82" i="15"/>
  <c r="M83" i="15"/>
  <c r="D83" i="15"/>
  <c r="S82" i="15"/>
  <c r="D82" i="15"/>
  <c r="S84" i="15"/>
  <c r="D84" i="15"/>
  <c r="M82" i="15"/>
  <c r="J84" i="15"/>
  <c r="J83" i="15"/>
  <c r="P83" i="15"/>
  <c r="E63" i="44" s="1"/>
  <c r="M87" i="15"/>
  <c r="D85" i="15"/>
  <c r="S85" i="15"/>
  <c r="J85" i="15"/>
  <c r="M84" i="15"/>
  <c r="M85" i="15"/>
  <c r="J87" i="15"/>
  <c r="P85" i="15"/>
  <c r="S87" i="15"/>
  <c r="D86" i="15"/>
  <c r="P87" i="15"/>
  <c r="S86" i="15"/>
  <c r="D87" i="15"/>
  <c r="J86" i="15"/>
  <c r="P86" i="15"/>
  <c r="M86" i="15"/>
  <c r="J88" i="15"/>
  <c r="M88" i="15"/>
  <c r="D88" i="15"/>
  <c r="S88" i="15"/>
  <c r="P88" i="15"/>
  <c r="J89" i="15"/>
  <c r="M89" i="15"/>
  <c r="S89" i="15"/>
  <c r="P89" i="15"/>
  <c r="J90" i="15"/>
  <c r="D89" i="15"/>
  <c r="P90" i="15"/>
  <c r="M90" i="15"/>
  <c r="D90" i="15"/>
  <c r="S90" i="15"/>
  <c r="M91" i="15"/>
  <c r="S91" i="15"/>
  <c r="J91" i="15"/>
  <c r="D91" i="15"/>
  <c r="P91" i="15"/>
  <c r="P92" i="15"/>
  <c r="D92" i="15"/>
  <c r="J92" i="15"/>
  <c r="M92" i="15"/>
  <c r="S92" i="15"/>
  <c r="P94" i="15"/>
  <c r="D93" i="15"/>
  <c r="S93" i="15"/>
  <c r="M93" i="15"/>
  <c r="D94" i="15"/>
  <c r="M94" i="15"/>
  <c r="S94" i="15"/>
  <c r="J93" i="15"/>
  <c r="P93" i="15"/>
  <c r="J94" i="15"/>
  <c r="S95" i="15"/>
  <c r="P95" i="15"/>
  <c r="M95" i="15"/>
  <c r="D95" i="15"/>
  <c r="S97" i="15"/>
  <c r="D98" i="15"/>
  <c r="D96" i="15"/>
  <c r="J96" i="15"/>
  <c r="J95" i="15"/>
  <c r="P97" i="15"/>
  <c r="P96" i="15"/>
  <c r="S96" i="15"/>
  <c r="M98" i="15"/>
  <c r="J97" i="15"/>
  <c r="M96" i="15"/>
  <c r="S98" i="15"/>
  <c r="J98" i="15"/>
  <c r="M97" i="15"/>
  <c r="D100" i="15"/>
  <c r="P98" i="15"/>
  <c r="P100" i="15"/>
  <c r="D97" i="15"/>
  <c r="P99" i="15"/>
  <c r="M100" i="15"/>
  <c r="M99" i="15"/>
  <c r="M101" i="15"/>
  <c r="D99" i="15"/>
  <c r="S100" i="15"/>
  <c r="S99" i="15"/>
  <c r="J100" i="15"/>
  <c r="P101" i="15"/>
  <c r="D101" i="15"/>
  <c r="J99" i="15"/>
  <c r="J101" i="15"/>
  <c r="S101" i="15"/>
  <c r="S102" i="15"/>
  <c r="M103" i="15"/>
  <c r="J105" i="15"/>
  <c r="P103" i="15"/>
  <c r="D103" i="15"/>
  <c r="J102" i="15"/>
  <c r="P102" i="15"/>
  <c r="M102" i="15"/>
  <c r="D102" i="15"/>
  <c r="N56" i="44" l="1"/>
  <c r="BK56" i="44" s="1"/>
  <c r="BK64" i="44" s="1"/>
  <c r="M56" i="44" s="1"/>
  <c r="G56" i="44" s="1"/>
  <c r="F56" i="44"/>
  <c r="N46" i="44"/>
  <c r="BA46" i="44" s="1"/>
  <c r="BA64" i="44" s="1"/>
  <c r="M46" i="44" s="1"/>
  <c r="G46" i="44" s="1"/>
  <c r="F46" i="44"/>
  <c r="N61" i="44"/>
  <c r="F61" i="44"/>
  <c r="N58" i="44"/>
  <c r="BM58" i="44" s="1"/>
  <c r="BM64" i="44" s="1"/>
  <c r="M58" i="44" s="1"/>
  <c r="G58" i="44" s="1"/>
  <c r="F58" i="44"/>
  <c r="N49" i="44"/>
  <c r="BD49" i="44" s="1"/>
  <c r="BD64" i="44" s="1"/>
  <c r="M49" i="44" s="1"/>
  <c r="G49" i="44" s="1"/>
  <c r="F49" i="44"/>
  <c r="N50" i="44"/>
  <c r="BE50" i="44" s="1"/>
  <c r="BE64" i="44" s="1"/>
  <c r="M50" i="44" s="1"/>
  <c r="G50" i="44" s="1"/>
  <c r="F50" i="44"/>
  <c r="N45" i="44"/>
  <c r="AZ45" i="44" s="1"/>
  <c r="AZ64" i="44" s="1"/>
  <c r="M45" i="44" s="1"/>
  <c r="G45" i="44" s="1"/>
  <c r="F45" i="44"/>
  <c r="N40" i="44"/>
  <c r="AU40" i="44" s="1"/>
  <c r="AU64" i="44" s="1"/>
  <c r="M40" i="44" s="1"/>
  <c r="G40" i="44" s="1"/>
  <c r="F40" i="44"/>
  <c r="N35" i="44"/>
  <c r="AP35" i="44" s="1"/>
  <c r="AP64" i="44" s="1"/>
  <c r="M35" i="44" s="1"/>
  <c r="G35" i="44" s="1"/>
  <c r="F35" i="44"/>
  <c r="N34" i="44"/>
  <c r="AO34" i="44" s="1"/>
  <c r="AO64" i="44" s="1"/>
  <c r="M34" i="44" s="1"/>
  <c r="G34" i="44" s="1"/>
  <c r="F34" i="44"/>
  <c r="N63" i="44"/>
  <c r="BR63" i="44" s="1"/>
  <c r="BR64" i="44" s="1"/>
  <c r="M63" i="44" s="1"/>
  <c r="G63" i="44" s="1"/>
  <c r="F63" i="44"/>
  <c r="N53" i="44"/>
  <c r="BH53" i="44" s="1"/>
  <c r="BH64" i="44" s="1"/>
  <c r="M53" i="44" s="1"/>
  <c r="G53" i="44" s="1"/>
  <c r="F53" i="44"/>
  <c r="N52" i="44"/>
  <c r="BG52" i="44" s="1"/>
  <c r="BG64" i="44" s="1"/>
  <c r="M52" i="44" s="1"/>
  <c r="G52" i="44" s="1"/>
  <c r="F52" i="44"/>
  <c r="N51" i="44"/>
  <c r="BF51" i="44" s="1"/>
  <c r="BF64" i="44" s="1"/>
  <c r="M51" i="44" s="1"/>
  <c r="G51" i="44" s="1"/>
  <c r="F51" i="44"/>
  <c r="N28" i="44"/>
  <c r="AI28" i="44" s="1"/>
  <c r="AI64" i="44" s="1"/>
  <c r="M28" i="44" s="1"/>
  <c r="G28" i="44" s="1"/>
  <c r="F28" i="44"/>
  <c r="N30" i="44"/>
  <c r="AK30" i="44" s="1"/>
  <c r="AK64" i="44" s="1"/>
  <c r="M30" i="44" s="1"/>
  <c r="G30" i="44" s="1"/>
  <c r="F30" i="44"/>
  <c r="N31" i="44"/>
  <c r="AL31" i="44" s="1"/>
  <c r="AL64" i="44" s="1"/>
  <c r="M31" i="44" s="1"/>
  <c r="G31" i="44" s="1"/>
  <c r="F31" i="44"/>
  <c r="N60" i="44"/>
  <c r="BO60" i="44" s="1"/>
  <c r="BO64" i="44" s="1"/>
  <c r="M60" i="44" s="1"/>
  <c r="G60" i="44" s="1"/>
  <c r="F60" i="44"/>
  <c r="N57" i="44"/>
  <c r="BL57" i="44" s="1"/>
  <c r="BL64" i="44" s="1"/>
  <c r="M57" i="44" s="1"/>
  <c r="G57" i="44" s="1"/>
  <c r="F57" i="44"/>
  <c r="N48" i="44"/>
  <c r="BC48" i="44" s="1"/>
  <c r="BC64" i="44" s="1"/>
  <c r="M48" i="44" s="1"/>
  <c r="G48" i="44" s="1"/>
  <c r="F48" i="44"/>
  <c r="N43" i="44"/>
  <c r="AX43" i="44" s="1"/>
  <c r="AX64" i="44" s="1"/>
  <c r="M43" i="44" s="1"/>
  <c r="G43" i="44" s="1"/>
  <c r="F43" i="44"/>
  <c r="N41" i="44"/>
  <c r="AV41" i="44" s="1"/>
  <c r="AV64" i="44" s="1"/>
  <c r="M41" i="44" s="1"/>
  <c r="G41" i="44" s="1"/>
  <c r="F41" i="44"/>
  <c r="N38" i="44"/>
  <c r="AS38" i="44" s="1"/>
  <c r="AS64" i="44" s="1"/>
  <c r="M38" i="44" s="1"/>
  <c r="G38" i="44" s="1"/>
  <c r="F38" i="44"/>
  <c r="N36" i="44"/>
  <c r="AQ36" i="44" s="1"/>
  <c r="AQ64" i="44" s="1"/>
  <c r="M36" i="44" s="1"/>
  <c r="G36" i="44" s="1"/>
  <c r="F36" i="44"/>
  <c r="N29" i="44"/>
  <c r="AJ29" i="44" s="1"/>
  <c r="AJ64" i="44" s="1"/>
  <c r="M29" i="44" s="1"/>
  <c r="G29" i="44" s="1"/>
  <c r="F29" i="44"/>
  <c r="N32" i="44"/>
  <c r="AM32" i="44" s="1"/>
  <c r="AM64" i="44" s="1"/>
  <c r="M32" i="44" s="1"/>
  <c r="G32" i="44" s="1"/>
  <c r="F32" i="44"/>
  <c r="N62" i="44"/>
  <c r="BQ62" i="44" s="1"/>
  <c r="BQ64" i="44" s="1"/>
  <c r="M62" i="44" s="1"/>
  <c r="G62" i="44" s="1"/>
  <c r="F62" i="44"/>
  <c r="N59" i="44"/>
  <c r="BN59" i="44" s="1"/>
  <c r="BN64" i="44" s="1"/>
  <c r="M59" i="44" s="1"/>
  <c r="G59" i="44" s="1"/>
  <c r="F59" i="44"/>
  <c r="N54" i="44"/>
  <c r="BI54" i="44" s="1"/>
  <c r="BI64" i="44" s="1"/>
  <c r="M54" i="44" s="1"/>
  <c r="G54" i="44" s="1"/>
  <c r="F54" i="44"/>
  <c r="N55" i="44"/>
  <c r="BJ55" i="44" s="1"/>
  <c r="BJ64" i="44" s="1"/>
  <c r="M55" i="44" s="1"/>
  <c r="G55" i="44" s="1"/>
  <c r="F55" i="44"/>
  <c r="N47" i="44"/>
  <c r="BB47" i="44" s="1"/>
  <c r="BB64" i="44" s="1"/>
  <c r="M47" i="44" s="1"/>
  <c r="G47" i="44" s="1"/>
  <c r="F47" i="44"/>
  <c r="N44" i="44"/>
  <c r="AY44" i="44" s="1"/>
  <c r="AY64" i="44" s="1"/>
  <c r="M44" i="44" s="1"/>
  <c r="G44" i="44" s="1"/>
  <c r="F44" i="44"/>
  <c r="N42" i="44"/>
  <c r="AW42" i="44" s="1"/>
  <c r="AW64" i="44" s="1"/>
  <c r="M42" i="44" s="1"/>
  <c r="G42" i="44" s="1"/>
  <c r="F42" i="44"/>
  <c r="N39" i="44"/>
  <c r="AT39" i="44" s="1"/>
  <c r="AT64" i="44" s="1"/>
  <c r="M39" i="44" s="1"/>
  <c r="G39" i="44" s="1"/>
  <c r="F39" i="44"/>
  <c r="N37" i="44"/>
  <c r="AR37" i="44" s="1"/>
  <c r="AR64" i="44" s="1"/>
  <c r="M37" i="44" s="1"/>
  <c r="G37" i="44" s="1"/>
  <c r="F37" i="44"/>
  <c r="N33" i="44"/>
  <c r="AN33" i="44" s="1"/>
  <c r="AN64" i="44" s="1"/>
  <c r="M33" i="44" s="1"/>
  <c r="G33" i="44" s="1"/>
  <c r="F33" i="44"/>
  <c r="BP61" i="44"/>
  <c r="BP64" i="44" s="1"/>
  <c r="M61" i="44" s="1"/>
  <c r="G61" i="44" s="1"/>
  <c r="CX126" i="29"/>
  <c r="CV126" i="29"/>
  <c r="CO126" i="29" s="1"/>
  <c r="CQ126" i="29" s="1"/>
  <c r="AC132" i="29"/>
  <c r="Y234" i="15"/>
  <c r="W234" i="15"/>
  <c r="X234" i="15"/>
  <c r="B235" i="15"/>
  <c r="C235" i="15"/>
  <c r="CL129" i="29"/>
  <c r="CW129" i="29"/>
  <c r="AW136" i="29"/>
  <c r="AP136" i="29"/>
  <c r="AV136" i="29" s="1"/>
  <c r="AR136" i="29" s="1"/>
  <c r="CT135" i="29"/>
  <c r="AX135" i="29"/>
  <c r="CE135" i="29"/>
  <c r="CP134" i="29"/>
  <c r="CI134" i="29"/>
  <c r="CF135" i="29"/>
  <c r="CL131" i="29"/>
  <c r="CW131" i="29"/>
  <c r="Q132" i="29"/>
  <c r="R132" i="29"/>
  <c r="J134" i="29"/>
  <c r="AQ133" i="29"/>
  <c r="L133" i="29"/>
  <c r="K134" i="29"/>
  <c r="V133" i="29"/>
  <c r="S134" i="29"/>
  <c r="T134" i="29"/>
  <c r="AE133" i="29"/>
  <c r="AF133" i="29"/>
  <c r="CC131" i="29"/>
  <c r="AN137" i="29"/>
  <c r="AO137" i="29"/>
  <c r="U133" i="29"/>
  <c r="AB133" i="29" s="1"/>
  <c r="M131" i="29"/>
  <c r="CB132" i="29"/>
  <c r="BV132" i="29" s="1"/>
  <c r="AA131" i="29"/>
  <c r="W131" i="29"/>
  <c r="Y131" i="29" s="1"/>
  <c r="CR132" i="29"/>
  <c r="CS132" i="29"/>
  <c r="CM132" i="29" s="1"/>
  <c r="CA132" i="29"/>
  <c r="BU132" i="29" s="1"/>
  <c r="BY135" i="29"/>
  <c r="BN136" i="29"/>
  <c r="BO136" i="29"/>
  <c r="BR135" i="29"/>
  <c r="BW129" i="29"/>
  <c r="BX129" i="29"/>
  <c r="M216" i="39"/>
  <c r="N216" i="39"/>
  <c r="AZ133" i="29"/>
  <c r="BH133" i="29"/>
  <c r="BB133" i="29" s="1"/>
  <c r="BD135" i="29"/>
  <c r="BP134" i="29"/>
  <c r="BC134" i="29"/>
  <c r="BF134" i="29" s="1"/>
  <c r="BE134" i="29"/>
  <c r="BG134" i="29" s="1"/>
  <c r="BA134" i="29" s="1"/>
  <c r="CG134" i="29"/>
  <c r="AB138" i="39"/>
  <c r="Z138" i="39"/>
  <c r="AD138" i="39"/>
  <c r="AF138" i="39"/>
  <c r="AJ138" i="39"/>
  <c r="F138" i="39"/>
  <c r="AG138" i="39"/>
  <c r="AI138" i="39"/>
  <c r="D138" i="39"/>
  <c r="AK138" i="39"/>
  <c r="CV127" i="29" l="1"/>
  <c r="CO127" i="29" s="1"/>
  <c r="CQ127" i="29" s="1"/>
  <c r="CX127" i="29"/>
  <c r="X235" i="15"/>
  <c r="B236" i="15"/>
  <c r="C236" i="15"/>
  <c r="W235" i="15"/>
  <c r="Y235" i="15"/>
  <c r="CL132" i="29"/>
  <c r="CW132" i="29"/>
  <c r="AO138" i="29"/>
  <c r="AN138" i="29"/>
  <c r="V134" i="29"/>
  <c r="T135" i="29"/>
  <c r="S135" i="29"/>
  <c r="AF134" i="29"/>
  <c r="AE134" i="29"/>
  <c r="CF136" i="29"/>
  <c r="CE136" i="29"/>
  <c r="CP135" i="29"/>
  <c r="CI135" i="29"/>
  <c r="BO137" i="29"/>
  <c r="BR136" i="29"/>
  <c r="BY136" i="29"/>
  <c r="BN137" i="29"/>
  <c r="CC132" i="29"/>
  <c r="Q133" i="29"/>
  <c r="R133" i="29"/>
  <c r="AW137" i="29"/>
  <c r="AP137" i="29"/>
  <c r="AV137" i="29" s="1"/>
  <c r="AR137" i="29" s="1"/>
  <c r="U134" i="29"/>
  <c r="K135" i="29"/>
  <c r="J135" i="29"/>
  <c r="AQ134" i="29"/>
  <c r="L134" i="29"/>
  <c r="CH136" i="29"/>
  <c r="CH137" i="29" s="1"/>
  <c r="BQ137" i="29"/>
  <c r="BQ138" i="29" s="1"/>
  <c r="M132" i="29"/>
  <c r="AA132" i="29"/>
  <c r="CS133" i="29"/>
  <c r="CM133" i="29" s="1"/>
  <c r="CR133" i="29"/>
  <c r="W132" i="29"/>
  <c r="Y132" i="29" s="1"/>
  <c r="CA133" i="29"/>
  <c r="BU133" i="29" s="1"/>
  <c r="CB133" i="29"/>
  <c r="BV133" i="29" s="1"/>
  <c r="CT136" i="29"/>
  <c r="AX136" i="29"/>
  <c r="AC133" i="29"/>
  <c r="X132" i="29"/>
  <c r="BD136" i="29"/>
  <c r="BC135" i="29"/>
  <c r="BF135" i="29" s="1"/>
  <c r="CG135" i="29"/>
  <c r="BE135" i="29"/>
  <c r="BG135" i="29" s="1"/>
  <c r="BA135" i="29" s="1"/>
  <c r="BP135" i="29"/>
  <c r="BZ129" i="29"/>
  <c r="BX130" i="29" s="1"/>
  <c r="BS129" i="29"/>
  <c r="BT129" i="29"/>
  <c r="M128" i="29" s="1"/>
  <c r="AZ134" i="29"/>
  <c r="BH134" i="29"/>
  <c r="BB134" i="29" s="1"/>
  <c r="M217" i="39"/>
  <c r="N217" i="39"/>
  <c r="CV128" i="29" l="1"/>
  <c r="CO128" i="29" s="1"/>
  <c r="CQ128" i="29" s="1"/>
  <c r="CP129" i="29" s="1"/>
  <c r="CN129" i="29" s="1"/>
  <c r="CJ129" i="29" s="1"/>
  <c r="AJ20" i="29" s="1"/>
  <c r="CX128" i="29"/>
  <c r="B237" i="15"/>
  <c r="X236" i="15"/>
  <c r="C237" i="15"/>
  <c r="W236" i="15"/>
  <c r="Y236" i="15"/>
  <c r="CC133" i="29"/>
  <c r="CL133" i="29"/>
  <c r="CW133" i="29"/>
  <c r="BQ139" i="29"/>
  <c r="Q134" i="29"/>
  <c r="R134" i="29"/>
  <c r="CT137" i="29"/>
  <c r="AX137" i="29"/>
  <c r="S136" i="29"/>
  <c r="T136" i="29"/>
  <c r="V135" i="29"/>
  <c r="AF135" i="29"/>
  <c r="AE135" i="29"/>
  <c r="AB134" i="29"/>
  <c r="J136" i="29"/>
  <c r="L135" i="29"/>
  <c r="K136" i="29"/>
  <c r="AQ135" i="29"/>
  <c r="AC134" i="29"/>
  <c r="CS134" i="29"/>
  <c r="CM134" i="29" s="1"/>
  <c r="CR134" i="29"/>
  <c r="AA133" i="29"/>
  <c r="W133" i="29"/>
  <c r="Y133" i="29" s="1"/>
  <c r="CA134" i="29"/>
  <c r="BU134" i="29" s="1"/>
  <c r="M133" i="29"/>
  <c r="CB134" i="29"/>
  <c r="BV134" i="29" s="1"/>
  <c r="AW138" i="29"/>
  <c r="AP138" i="29"/>
  <c r="AV138" i="29" s="1"/>
  <c r="AR138" i="29" s="1"/>
  <c r="X133" i="29"/>
  <c r="BR137" i="29"/>
  <c r="BO138" i="29"/>
  <c r="BN138" i="29"/>
  <c r="BY137" i="29"/>
  <c r="CE137" i="29"/>
  <c r="CP136" i="29"/>
  <c r="CF137" i="29"/>
  <c r="CI136" i="29"/>
  <c r="U135" i="29"/>
  <c r="AB135" i="29" s="1"/>
  <c r="AO139" i="29"/>
  <c r="AN139" i="29"/>
  <c r="BZ130" i="29"/>
  <c r="BX131" i="29" s="1"/>
  <c r="H20" i="29"/>
  <c r="K13" i="40" s="1"/>
  <c r="X128" i="29"/>
  <c r="Y128" i="29" s="1"/>
  <c r="Z128" i="29" s="1"/>
  <c r="BH135" i="29"/>
  <c r="BB135" i="29" s="1"/>
  <c r="AZ135" i="29"/>
  <c r="BC136" i="29"/>
  <c r="BF136" i="29" s="1"/>
  <c r="BD137" i="29"/>
  <c r="BP136" i="29"/>
  <c r="BE136" i="29"/>
  <c r="BG136" i="29" s="1"/>
  <c r="BA136" i="29" s="1"/>
  <c r="CG136" i="29"/>
  <c r="CX129" i="29" l="1"/>
  <c r="CV129" i="29"/>
  <c r="AB128" i="29"/>
  <c r="AC128" i="29"/>
  <c r="Z129" i="29"/>
  <c r="Z130" i="29" s="1"/>
  <c r="Z131" i="29" s="1"/>
  <c r="Z132" i="29" s="1"/>
  <c r="Z133" i="29" s="1"/>
  <c r="G20" i="29"/>
  <c r="L13" i="40" s="1"/>
  <c r="X237" i="15"/>
  <c r="B238" i="15"/>
  <c r="C238" i="15"/>
  <c r="W237" i="15"/>
  <c r="Y237" i="15"/>
  <c r="AC135" i="29"/>
  <c r="CC134" i="29"/>
  <c r="AO140" i="29"/>
  <c r="AN140" i="29"/>
  <c r="R135" i="29"/>
  <c r="Q135" i="29"/>
  <c r="X135" i="29" s="1"/>
  <c r="CI137" i="29"/>
  <c r="CP137" i="29"/>
  <c r="CF138" i="29"/>
  <c r="CE138" i="29"/>
  <c r="V136" i="29"/>
  <c r="S137" i="29"/>
  <c r="T137" i="29"/>
  <c r="AE136" i="29"/>
  <c r="AF136" i="29"/>
  <c r="BO139" i="29"/>
  <c r="BR138" i="29"/>
  <c r="BN139" i="29"/>
  <c r="BY138" i="29"/>
  <c r="CT138" i="29"/>
  <c r="AX138" i="29"/>
  <c r="CL134" i="29"/>
  <c r="CW134" i="29"/>
  <c r="J137" i="29"/>
  <c r="L136" i="29"/>
  <c r="AQ136" i="29"/>
  <c r="K137" i="29"/>
  <c r="CH138" i="29"/>
  <c r="CH139" i="29" s="1"/>
  <c r="U136" i="29"/>
  <c r="AC136" i="29" s="1"/>
  <c r="AW139" i="29"/>
  <c r="AP139" i="29"/>
  <c r="AV139" i="29" s="1"/>
  <c r="AR139" i="29" s="1"/>
  <c r="X134" i="29"/>
  <c r="CA135" i="29"/>
  <c r="BU135" i="29" s="1"/>
  <c r="CS135" i="29"/>
  <c r="CM135" i="29" s="1"/>
  <c r="CB135" i="29"/>
  <c r="BV135" i="29" s="1"/>
  <c r="W134" i="29"/>
  <c r="Y134" i="29" s="1"/>
  <c r="CR135" i="29"/>
  <c r="AA134" i="29"/>
  <c r="M134" i="29"/>
  <c r="BZ131" i="29"/>
  <c r="BX132" i="29" s="1"/>
  <c r="BH136" i="29"/>
  <c r="BB136" i="29" s="1"/>
  <c r="AZ136" i="29"/>
  <c r="I29" i="39"/>
  <c r="H13" i="44" s="1"/>
  <c r="D13" i="45" s="1"/>
  <c r="K13" i="45" s="1"/>
  <c r="L13" i="45" s="1"/>
  <c r="J14" i="45" s="1"/>
  <c r="D160" i="15"/>
  <c r="G27" i="15"/>
  <c r="BP137" i="29"/>
  <c r="BD138" i="29"/>
  <c r="BE137" i="29"/>
  <c r="BG137" i="29" s="1"/>
  <c r="BA137" i="29" s="1"/>
  <c r="CG137" i="29"/>
  <c r="BC137" i="29"/>
  <c r="BF137" i="29" s="1"/>
  <c r="BR82" i="44" l="1"/>
  <c r="BB82" i="44"/>
  <c r="AL82" i="44"/>
  <c r="V82" i="44"/>
  <c r="BQ82" i="44"/>
  <c r="BA82" i="44"/>
  <c r="AK82" i="44"/>
  <c r="U82" i="44"/>
  <c r="BJ82" i="44"/>
  <c r="AT82" i="44"/>
  <c r="AD82" i="44"/>
  <c r="BI82" i="44"/>
  <c r="AS82" i="44"/>
  <c r="AC82" i="44"/>
  <c r="BD82" i="44"/>
  <c r="AN82" i="44"/>
  <c r="X82" i="44"/>
  <c r="BC82" i="44"/>
  <c r="AM82" i="44"/>
  <c r="W82" i="44"/>
  <c r="BP82" i="44"/>
  <c r="AZ82" i="44"/>
  <c r="AJ82" i="44"/>
  <c r="BO82" i="44"/>
  <c r="AY82" i="44"/>
  <c r="AI82" i="44"/>
  <c r="BL82" i="44"/>
  <c r="AF82" i="44"/>
  <c r="AU82" i="44"/>
  <c r="AO82" i="44"/>
  <c r="Z82" i="44"/>
  <c r="BF82" i="44"/>
  <c r="AV82" i="44"/>
  <c r="BK82" i="44"/>
  <c r="AE82" i="44"/>
  <c r="Y82" i="44"/>
  <c r="BE82" i="44"/>
  <c r="AP82" i="44"/>
  <c r="BH82" i="44"/>
  <c r="AQ82" i="44"/>
  <c r="BM82" i="44"/>
  <c r="BG82" i="44"/>
  <c r="AW82" i="44"/>
  <c r="BN82" i="44"/>
  <c r="AR82" i="44"/>
  <c r="AA82" i="44"/>
  <c r="AH82" i="44"/>
  <c r="AB82" i="44"/>
  <c r="AG82" i="44"/>
  <c r="AX82" i="44"/>
  <c r="CO129" i="29"/>
  <c r="CQ129" i="29" s="1"/>
  <c r="CK129" i="29"/>
  <c r="AR128" i="29" s="1"/>
  <c r="AL20" i="29" s="1"/>
  <c r="CX130" i="29"/>
  <c r="CV130" i="29"/>
  <c r="CO130" i="29" s="1"/>
  <c r="CQ130" i="29" s="1"/>
  <c r="Z134" i="29"/>
  <c r="F160" i="15"/>
  <c r="L29" i="39"/>
  <c r="B239" i="15"/>
  <c r="X238" i="15"/>
  <c r="C239" i="15"/>
  <c r="W238" i="15"/>
  <c r="Y238" i="15"/>
  <c r="AB136" i="29"/>
  <c r="CI138" i="29"/>
  <c r="CP138" i="29"/>
  <c r="CE139" i="29"/>
  <c r="CF139" i="29"/>
  <c r="AA135" i="29"/>
  <c r="CR136" i="29"/>
  <c r="CA136" i="29"/>
  <c r="BU136" i="29" s="1"/>
  <c r="W135" i="29"/>
  <c r="Y135" i="29" s="1"/>
  <c r="Z135" i="29" s="1"/>
  <c r="CB136" i="29"/>
  <c r="BV136" i="29" s="1"/>
  <c r="M135" i="29"/>
  <c r="CS136" i="29"/>
  <c r="CM136" i="29" s="1"/>
  <c r="AW140" i="29"/>
  <c r="AP140" i="29"/>
  <c r="AV140" i="29" s="1"/>
  <c r="CL135" i="29"/>
  <c r="CW135" i="29"/>
  <c r="CH140" i="29"/>
  <c r="BR139" i="29"/>
  <c r="BO140" i="29"/>
  <c r="BY139" i="29"/>
  <c r="BN140" i="29"/>
  <c r="T138" i="29"/>
  <c r="V137" i="29"/>
  <c r="S138" i="29"/>
  <c r="AF137" i="29"/>
  <c r="AE137" i="29"/>
  <c r="BQ140" i="29"/>
  <c r="AN141" i="29"/>
  <c r="AO141" i="29"/>
  <c r="CT139" i="29"/>
  <c r="AX139" i="29"/>
  <c r="CC135" i="29"/>
  <c r="R136" i="29"/>
  <c r="Q136" i="29"/>
  <c r="X136" i="29" s="1"/>
  <c r="K138" i="29"/>
  <c r="J138" i="29"/>
  <c r="L137" i="29"/>
  <c r="AQ137" i="29"/>
  <c r="U137" i="29"/>
  <c r="AC137" i="29" s="1"/>
  <c r="BZ132" i="29"/>
  <c r="BX133" i="29" s="1"/>
  <c r="BP138" i="29"/>
  <c r="BC138" i="29"/>
  <c r="BF138" i="29" s="1"/>
  <c r="BD139" i="29"/>
  <c r="CG138" i="29"/>
  <c r="BE138" i="29"/>
  <c r="BG138" i="29" s="1"/>
  <c r="BA138" i="29" s="1"/>
  <c r="BH137" i="29"/>
  <c r="BB137" i="29" s="1"/>
  <c r="AZ137" i="29"/>
  <c r="CX131" i="29" l="1"/>
  <c r="CV131" i="29"/>
  <c r="CO131" i="29" s="1"/>
  <c r="CQ131" i="29" s="1"/>
  <c r="X239" i="15"/>
  <c r="B240" i="15"/>
  <c r="C240" i="15"/>
  <c r="W239" i="15"/>
  <c r="Y239" i="15"/>
  <c r="AB137" i="29"/>
  <c r="CT140" i="29"/>
  <c r="AX140" i="29"/>
  <c r="R137" i="29"/>
  <c r="Q137" i="29"/>
  <c r="X137" i="29" s="1"/>
  <c r="AN142" i="29"/>
  <c r="AO142" i="29"/>
  <c r="BQ141" i="29"/>
  <c r="U138" i="29"/>
  <c r="AB138" i="29" s="1"/>
  <c r="CL136" i="29"/>
  <c r="CW136" i="29"/>
  <c r="AQ138" i="29"/>
  <c r="K139" i="29"/>
  <c r="L138" i="29"/>
  <c r="J139" i="29"/>
  <c r="AW141" i="29"/>
  <c r="AP141" i="29"/>
  <c r="AV141" i="29" s="1"/>
  <c r="AR141" i="29" s="1"/>
  <c r="BR140" i="29"/>
  <c r="BY140" i="29"/>
  <c r="BN141" i="29"/>
  <c r="BO141" i="29"/>
  <c r="CA137" i="29"/>
  <c r="BU137" i="29" s="1"/>
  <c r="CR137" i="29"/>
  <c r="CS137" i="29"/>
  <c r="CM137" i="29" s="1"/>
  <c r="M136" i="29"/>
  <c r="AA136" i="29"/>
  <c r="W136" i="29"/>
  <c r="Y136" i="29" s="1"/>
  <c r="Z136" i="29" s="1"/>
  <c r="CB137" i="29"/>
  <c r="BV137" i="29" s="1"/>
  <c r="S139" i="29"/>
  <c r="T139" i="29"/>
  <c r="V138" i="29"/>
  <c r="AF138" i="29"/>
  <c r="AE138" i="29"/>
  <c r="CC136" i="29"/>
  <c r="CI139" i="29"/>
  <c r="CE140" i="29"/>
  <c r="CP139" i="29"/>
  <c r="CF140" i="29"/>
  <c r="BZ133" i="29"/>
  <c r="BX134" i="29" s="1"/>
  <c r="BE139" i="29"/>
  <c r="BG139" i="29" s="1"/>
  <c r="BA139" i="29" s="1"/>
  <c r="BP139" i="29"/>
  <c r="BD140" i="29"/>
  <c r="BC139" i="29"/>
  <c r="BF139" i="29" s="1"/>
  <c r="CG139" i="29"/>
  <c r="BH138" i="29"/>
  <c r="BB138" i="29" s="1"/>
  <c r="AZ138" i="29"/>
  <c r="CX132" i="29" l="1"/>
  <c r="CV132" i="29"/>
  <c r="CO132" i="29" s="1"/>
  <c r="CQ132" i="29" s="1"/>
  <c r="AC138" i="29"/>
  <c r="X240" i="15"/>
  <c r="B241" i="15"/>
  <c r="C241" i="15"/>
  <c r="W240" i="15"/>
  <c r="Y240" i="15"/>
  <c r="CC137" i="29"/>
  <c r="CF141" i="29"/>
  <c r="CE141" i="29"/>
  <c r="CP140" i="29"/>
  <c r="CI140" i="29"/>
  <c r="AX141" i="29"/>
  <c r="AA137" i="29"/>
  <c r="CA138" i="29"/>
  <c r="BU138" i="29" s="1"/>
  <c r="CR138" i="29"/>
  <c r="CB138" i="29"/>
  <c r="BV138" i="29" s="1"/>
  <c r="W137" i="29"/>
  <c r="Y137" i="29" s="1"/>
  <c r="Z137" i="29" s="1"/>
  <c r="CS138" i="29"/>
  <c r="CM138" i="29" s="1"/>
  <c r="M137" i="29"/>
  <c r="BO142" i="29"/>
  <c r="BR141" i="29"/>
  <c r="BN142" i="29"/>
  <c r="AW142" i="29"/>
  <c r="AP142" i="29"/>
  <c r="AV142" i="29" s="1"/>
  <c r="AR142" i="29" s="1"/>
  <c r="T140" i="29"/>
  <c r="V139" i="29"/>
  <c r="S140" i="29"/>
  <c r="AE139" i="29"/>
  <c r="AF139" i="29"/>
  <c r="CL137" i="29"/>
  <c r="CW137" i="29"/>
  <c r="L139" i="29"/>
  <c r="J140" i="29"/>
  <c r="AQ139" i="29"/>
  <c r="K140" i="29"/>
  <c r="CH141" i="29"/>
  <c r="CH142" i="29" s="1"/>
  <c r="BQ142" i="29"/>
  <c r="U139" i="29"/>
  <c r="AC139" i="29" s="1"/>
  <c r="Q138" i="29"/>
  <c r="X138" i="29" s="1"/>
  <c r="R138" i="29"/>
  <c r="AN143" i="29"/>
  <c r="AO143" i="29"/>
  <c r="BH139" i="29"/>
  <c r="BB139" i="29" s="1"/>
  <c r="AZ139" i="29"/>
  <c r="BZ134" i="29"/>
  <c r="BX135" i="29" s="1"/>
  <c r="BE140" i="29"/>
  <c r="BG140" i="29" s="1"/>
  <c r="BA140" i="29" s="1"/>
  <c r="BD141" i="29"/>
  <c r="BC140" i="29"/>
  <c r="BF140" i="29" s="1"/>
  <c r="CG140" i="29"/>
  <c r="BP140" i="29"/>
  <c r="CV133" i="29" l="1"/>
  <c r="CO133" i="29" s="1"/>
  <c r="CQ133" i="29" s="1"/>
  <c r="CX133" i="29"/>
  <c r="AB139" i="29"/>
  <c r="B242" i="15"/>
  <c r="X241" i="15"/>
  <c r="C242" i="15"/>
  <c r="W241" i="15"/>
  <c r="Y241" i="15"/>
  <c r="U140" i="29"/>
  <c r="BY142" i="29"/>
  <c r="BO143" i="29"/>
  <c r="BR142" i="29"/>
  <c r="BN143" i="29"/>
  <c r="CF142" i="29"/>
  <c r="CE142" i="29"/>
  <c r="CI141" i="29"/>
  <c r="R139" i="29"/>
  <c r="Q139" i="29"/>
  <c r="X139" i="29" s="1"/>
  <c r="CT142" i="29"/>
  <c r="AX142" i="29"/>
  <c r="CC138" i="29"/>
  <c r="AW143" i="29"/>
  <c r="AP143" i="29"/>
  <c r="AV143" i="29" s="1"/>
  <c r="AR143" i="29" s="1"/>
  <c r="K141" i="29"/>
  <c r="AQ140" i="29"/>
  <c r="J141" i="29"/>
  <c r="L140" i="29"/>
  <c r="T141" i="29"/>
  <c r="V140" i="29"/>
  <c r="S141" i="29"/>
  <c r="AF140" i="29"/>
  <c r="AE140" i="29"/>
  <c r="CL138" i="29"/>
  <c r="CW138" i="29"/>
  <c r="AO144" i="29"/>
  <c r="AN144" i="29"/>
  <c r="M138" i="29"/>
  <c r="CR139" i="29"/>
  <c r="CS139" i="29"/>
  <c r="CM139" i="29" s="1"/>
  <c r="CB139" i="29"/>
  <c r="BV139" i="29" s="1"/>
  <c r="AA138" i="29"/>
  <c r="W138" i="29"/>
  <c r="Y138" i="29" s="1"/>
  <c r="Z138" i="29" s="1"/>
  <c r="CA139" i="29"/>
  <c r="BU139" i="29" s="1"/>
  <c r="BQ143" i="29"/>
  <c r="BQ144" i="29" s="1"/>
  <c r="BH140" i="29"/>
  <c r="BB140" i="29" s="1"/>
  <c r="AZ140" i="29"/>
  <c r="BC141" i="29"/>
  <c r="BF141" i="29" s="1"/>
  <c r="BE141" i="29"/>
  <c r="BG141" i="29" s="1"/>
  <c r="BA141" i="29" s="1"/>
  <c r="BI141" i="29"/>
  <c r="BD142" i="29"/>
  <c r="BP141" i="29"/>
  <c r="CG141" i="29"/>
  <c r="BZ135" i="29"/>
  <c r="BX136" i="29" s="1"/>
  <c r="CV134" i="29" l="1"/>
  <c r="CO134" i="29" s="1"/>
  <c r="CQ134" i="29" s="1"/>
  <c r="CX134" i="29"/>
  <c r="CC139" i="29"/>
  <c r="B243" i="15"/>
  <c r="X242" i="15"/>
  <c r="C243" i="15"/>
  <c r="W242" i="15"/>
  <c r="Y242" i="15"/>
  <c r="S142" i="29"/>
  <c r="T142" i="29"/>
  <c r="V141" i="29"/>
  <c r="AF141" i="29"/>
  <c r="AE141" i="29"/>
  <c r="J142" i="29"/>
  <c r="K142" i="29"/>
  <c r="L141" i="29"/>
  <c r="AQ141" i="29"/>
  <c r="BR143" i="29"/>
  <c r="BY143" i="29"/>
  <c r="BN144" i="29"/>
  <c r="BO144" i="29"/>
  <c r="R140" i="29"/>
  <c r="Q140" i="29"/>
  <c r="AW144" i="29"/>
  <c r="AP144" i="29"/>
  <c r="AV144" i="29" s="1"/>
  <c r="AR144" i="29" s="1"/>
  <c r="CF143" i="29"/>
  <c r="CP142" i="29"/>
  <c r="CI142" i="29"/>
  <c r="CE143" i="29"/>
  <c r="AN145" i="29"/>
  <c r="AO145" i="29"/>
  <c r="U141" i="29"/>
  <c r="AC141" i="29" s="1"/>
  <c r="CH143" i="29"/>
  <c r="CH144" i="29" s="1"/>
  <c r="M139" i="29"/>
  <c r="CS140" i="29"/>
  <c r="CM140" i="29" s="1"/>
  <c r="CA140" i="29"/>
  <c r="BU140" i="29" s="1"/>
  <c r="W139" i="29"/>
  <c r="Y139" i="29" s="1"/>
  <c r="Z139" i="29" s="1"/>
  <c r="CR140" i="29"/>
  <c r="AA139" i="29"/>
  <c r="CB140" i="29"/>
  <c r="BV140" i="29" s="1"/>
  <c r="CL139" i="29"/>
  <c r="CW139" i="29"/>
  <c r="CT143" i="29"/>
  <c r="AX143" i="29"/>
  <c r="BP142" i="29"/>
  <c r="BC142" i="29"/>
  <c r="BF142" i="29" s="1"/>
  <c r="BD143" i="29"/>
  <c r="CG142" i="29"/>
  <c r="BE142" i="29"/>
  <c r="BG142" i="29" s="1"/>
  <c r="BA142" i="29" s="1"/>
  <c r="AZ141" i="29"/>
  <c r="BH141" i="29"/>
  <c r="BB141" i="29" s="1"/>
  <c r="BZ136" i="29"/>
  <c r="BX137" i="29" s="1"/>
  <c r="CV135" i="29" l="1"/>
  <c r="CO135" i="29" s="1"/>
  <c r="CQ135" i="29" s="1"/>
  <c r="CX135" i="29"/>
  <c r="X243" i="15"/>
  <c r="B244" i="15"/>
  <c r="C244" i="15"/>
  <c r="Y243" i="15"/>
  <c r="W243" i="15"/>
  <c r="AB141" i="29"/>
  <c r="CC140" i="29"/>
  <c r="CL140" i="29"/>
  <c r="CW140" i="29"/>
  <c r="CT144" i="29"/>
  <c r="AX144" i="29"/>
  <c r="K143" i="29"/>
  <c r="J143" i="29"/>
  <c r="L142" i="29"/>
  <c r="AQ142" i="29"/>
  <c r="AN146" i="29"/>
  <c r="AO146" i="29"/>
  <c r="AA140" i="29"/>
  <c r="CR141" i="29"/>
  <c r="W140" i="29"/>
  <c r="CA141" i="29"/>
  <c r="BU141" i="29" s="1"/>
  <c r="T143" i="29"/>
  <c r="V142" i="29"/>
  <c r="S143" i="29"/>
  <c r="AF142" i="29"/>
  <c r="AE142" i="29"/>
  <c r="R141" i="29"/>
  <c r="Q141" i="29"/>
  <c r="X141" i="29" s="1"/>
  <c r="AW145" i="29"/>
  <c r="AP145" i="29"/>
  <c r="AV145" i="29" s="1"/>
  <c r="AR145" i="29" s="1"/>
  <c r="CP143" i="29"/>
  <c r="CE144" i="29"/>
  <c r="CF144" i="29"/>
  <c r="CI143" i="29"/>
  <c r="U142" i="29"/>
  <c r="AB142" i="29" s="1"/>
  <c r="BN145" i="29"/>
  <c r="BR144" i="29"/>
  <c r="BO145" i="29"/>
  <c r="BY144" i="29"/>
  <c r="BQ145" i="29"/>
  <c r="BQ146" i="29" s="1"/>
  <c r="BZ137" i="29"/>
  <c r="BX138" i="29" s="1"/>
  <c r="BE143" i="29"/>
  <c r="BG143" i="29" s="1"/>
  <c r="BA143" i="29" s="1"/>
  <c r="CG143" i="29"/>
  <c r="BD144" i="29"/>
  <c r="BC143" i="29"/>
  <c r="BF143" i="29" s="1"/>
  <c r="BP143" i="29"/>
  <c r="AZ142" i="29"/>
  <c r="BH142" i="29"/>
  <c r="BB142" i="29" s="1"/>
  <c r="CV136" i="29" l="1"/>
  <c r="CO136" i="29" s="1"/>
  <c r="CQ136" i="29" s="1"/>
  <c r="CX136" i="29"/>
  <c r="AC142" i="29"/>
  <c r="B245" i="15"/>
  <c r="X244" i="15"/>
  <c r="C245" i="15"/>
  <c r="W244" i="15"/>
  <c r="Y244" i="15"/>
  <c r="AW146" i="29"/>
  <c r="AP146" i="29"/>
  <c r="AV146" i="29" s="1"/>
  <c r="AR146" i="29" s="1"/>
  <c r="BN146" i="29"/>
  <c r="BY145" i="29"/>
  <c r="BR145" i="29"/>
  <c r="BO146" i="29"/>
  <c r="Q142" i="29"/>
  <c r="R142" i="29"/>
  <c r="CI144" i="29"/>
  <c r="CE145" i="29"/>
  <c r="CF145" i="29"/>
  <c r="CP144" i="29"/>
  <c r="CT145" i="29"/>
  <c r="AX145" i="29"/>
  <c r="U143" i="29"/>
  <c r="AB143" i="29" s="1"/>
  <c r="CS141" i="29"/>
  <c r="CM141" i="29" s="1"/>
  <c r="CH145" i="29"/>
  <c r="CH146" i="29" s="1"/>
  <c r="BQ147" i="29"/>
  <c r="CR142" i="29"/>
  <c r="CB142" i="29"/>
  <c r="BV142" i="29" s="1"/>
  <c r="M141" i="29"/>
  <c r="AA141" i="29"/>
  <c r="CA142" i="29"/>
  <c r="BU142" i="29" s="1"/>
  <c r="W141" i="29"/>
  <c r="Y141" i="29" s="1"/>
  <c r="CS142" i="29"/>
  <c r="CM142" i="29" s="1"/>
  <c r="CB141" i="29"/>
  <c r="S144" i="29"/>
  <c r="V143" i="29"/>
  <c r="T144" i="29"/>
  <c r="AF143" i="29"/>
  <c r="AE143" i="29"/>
  <c r="AO147" i="29"/>
  <c r="AN147" i="29"/>
  <c r="AQ143" i="29"/>
  <c r="L143" i="29"/>
  <c r="K144" i="29"/>
  <c r="J144" i="29"/>
  <c r="BZ138" i="29"/>
  <c r="BX139" i="29" s="1"/>
  <c r="BC144" i="29"/>
  <c r="BF144" i="29" s="1"/>
  <c r="BD145" i="29"/>
  <c r="BP144" i="29"/>
  <c r="BE144" i="29"/>
  <c r="BG144" i="29" s="1"/>
  <c r="BA144" i="29" s="1"/>
  <c r="CG144" i="29"/>
  <c r="AZ143" i="29"/>
  <c r="BH143" i="29"/>
  <c r="BB143" i="29" s="1"/>
  <c r="CV137" i="29" l="1"/>
  <c r="CO137" i="29" s="1"/>
  <c r="CQ137" i="29" s="1"/>
  <c r="CX137" i="29"/>
  <c r="B246" i="15"/>
  <c r="X245" i="15"/>
  <c r="C246" i="15"/>
  <c r="W245" i="15"/>
  <c r="Y245" i="15"/>
  <c r="CT141" i="29"/>
  <c r="CL142" i="29"/>
  <c r="CW142" i="29"/>
  <c r="J145" i="29"/>
  <c r="K145" i="29"/>
  <c r="AQ144" i="29"/>
  <c r="L144" i="29"/>
  <c r="AW147" i="29"/>
  <c r="AP147" i="29"/>
  <c r="AV147" i="29" s="1"/>
  <c r="AR147" i="29" s="1"/>
  <c r="S145" i="29"/>
  <c r="T145" i="29"/>
  <c r="V144" i="29"/>
  <c r="AE144" i="29"/>
  <c r="AF144" i="29"/>
  <c r="CC142" i="29"/>
  <c r="BN147" i="29"/>
  <c r="BY146" i="29"/>
  <c r="BO147" i="29"/>
  <c r="BR146" i="29"/>
  <c r="Q143" i="29"/>
  <c r="R143" i="29"/>
  <c r="AO148" i="29"/>
  <c r="AN148" i="29"/>
  <c r="AC143" i="29"/>
  <c r="CI145" i="29"/>
  <c r="CE146" i="29"/>
  <c r="CF146" i="29"/>
  <c r="CP145" i="29"/>
  <c r="M142" i="29"/>
  <c r="CA143" i="29"/>
  <c r="BU143" i="29" s="1"/>
  <c r="CB143" i="29"/>
  <c r="BV143" i="29" s="1"/>
  <c r="AA142" i="29"/>
  <c r="CR143" i="29"/>
  <c r="W142" i="29"/>
  <c r="Y142" i="29" s="1"/>
  <c r="CS143" i="29"/>
  <c r="CM143" i="29" s="1"/>
  <c r="BV141" i="29"/>
  <c r="CC141" i="29"/>
  <c r="U144" i="29"/>
  <c r="AB144" i="29" s="1"/>
  <c r="X142" i="29"/>
  <c r="CT146" i="29"/>
  <c r="AX146" i="29"/>
  <c r="BZ139" i="29"/>
  <c r="BX140" i="29" s="1"/>
  <c r="BD146" i="29"/>
  <c r="BE145" i="29"/>
  <c r="BG145" i="29" s="1"/>
  <c r="BA145" i="29" s="1"/>
  <c r="BC145" i="29"/>
  <c r="BF145" i="29" s="1"/>
  <c r="CG145" i="29"/>
  <c r="BP145" i="29"/>
  <c r="BH144" i="29"/>
  <c r="BB144" i="29" s="1"/>
  <c r="AZ144" i="29"/>
  <c r="CV138" i="29" l="1"/>
  <c r="CO138" i="29" s="1"/>
  <c r="CQ138" i="29" s="1"/>
  <c r="CX138" i="29"/>
  <c r="X246" i="15"/>
  <c r="B247" i="15"/>
  <c r="C247" i="15"/>
  <c r="W246" i="15"/>
  <c r="Y246" i="15"/>
  <c r="CL141" i="29"/>
  <c r="CW141" i="29"/>
  <c r="CP146" i="29"/>
  <c r="CF147" i="29"/>
  <c r="CI146" i="29"/>
  <c r="CE147" i="29"/>
  <c r="AO149" i="29"/>
  <c r="AN149" i="29"/>
  <c r="W143" i="29"/>
  <c r="Y143" i="29" s="1"/>
  <c r="AA143" i="29"/>
  <c r="CR144" i="29"/>
  <c r="CB144" i="29"/>
  <c r="BV144" i="29" s="1"/>
  <c r="M143" i="29"/>
  <c r="CS144" i="29"/>
  <c r="CM144" i="29" s="1"/>
  <c r="CA144" i="29"/>
  <c r="BU144" i="29" s="1"/>
  <c r="U145" i="29"/>
  <c r="AC144" i="29"/>
  <c r="CH147" i="29"/>
  <c r="K146" i="29"/>
  <c r="J146" i="29"/>
  <c r="L145" i="29"/>
  <c r="AQ145" i="29"/>
  <c r="CL143" i="29"/>
  <c r="CW143" i="29"/>
  <c r="X143" i="29"/>
  <c r="BO148" i="29"/>
  <c r="BY147" i="29"/>
  <c r="BR147" i="29"/>
  <c r="BN148" i="29"/>
  <c r="BQ148" i="29"/>
  <c r="BQ149" i="29" s="1"/>
  <c r="CT147" i="29"/>
  <c r="AX147" i="29"/>
  <c r="R144" i="29"/>
  <c r="Q144" i="29"/>
  <c r="X144" i="29" s="1"/>
  <c r="CC143" i="29"/>
  <c r="AW148" i="29"/>
  <c r="AP148" i="29"/>
  <c r="AV148" i="29" s="1"/>
  <c r="AR148" i="29" s="1"/>
  <c r="T146" i="29"/>
  <c r="V145" i="29"/>
  <c r="S146" i="29"/>
  <c r="AE145" i="29"/>
  <c r="AF145" i="29"/>
  <c r="BZ140" i="29"/>
  <c r="BY141" i="29" s="1"/>
  <c r="BH145" i="29"/>
  <c r="BB145" i="29" s="1"/>
  <c r="AZ145" i="29"/>
  <c r="BD147" i="29"/>
  <c r="CG146" i="29"/>
  <c r="BE146" i="29"/>
  <c r="BG146" i="29" s="1"/>
  <c r="BA146" i="29" s="1"/>
  <c r="BC146" i="29"/>
  <c r="BF146" i="29" s="1"/>
  <c r="BP146" i="29"/>
  <c r="CV139" i="29" l="1"/>
  <c r="CO139" i="29" s="1"/>
  <c r="CQ139" i="29" s="1"/>
  <c r="CX139" i="29"/>
  <c r="X247" i="15"/>
  <c r="B248" i="15"/>
  <c r="C248" i="15"/>
  <c r="W247" i="15"/>
  <c r="Y247" i="15"/>
  <c r="CC144" i="29"/>
  <c r="Q145" i="29"/>
  <c r="R145" i="29"/>
  <c r="AW149" i="29"/>
  <c r="AP149" i="29"/>
  <c r="AV149" i="29" s="1"/>
  <c r="AR149" i="29" s="1"/>
  <c r="CP147" i="29"/>
  <c r="CE148" i="29"/>
  <c r="CF148" i="29"/>
  <c r="CI147" i="29"/>
  <c r="CR145" i="29"/>
  <c r="CA145" i="29"/>
  <c r="BU145" i="29" s="1"/>
  <c r="CS145" i="29"/>
  <c r="CM145" i="29" s="1"/>
  <c r="AA144" i="29"/>
  <c r="M144" i="29"/>
  <c r="W144" i="29"/>
  <c r="Y144" i="29" s="1"/>
  <c r="CB145" i="29"/>
  <c r="BV145" i="29" s="1"/>
  <c r="AB145" i="29"/>
  <c r="CL144" i="29"/>
  <c r="CW144" i="29"/>
  <c r="AO150" i="29"/>
  <c r="AN150" i="29"/>
  <c r="U146" i="29"/>
  <c r="AB146" i="29" s="1"/>
  <c r="CT148" i="29"/>
  <c r="AX148" i="29"/>
  <c r="BY148" i="29"/>
  <c r="BR148" i="29"/>
  <c r="BN149" i="29"/>
  <c r="BO149" i="29"/>
  <c r="J147" i="29"/>
  <c r="L146" i="29"/>
  <c r="K147" i="29"/>
  <c r="AQ146" i="29"/>
  <c r="AC145" i="29"/>
  <c r="S147" i="29"/>
  <c r="V146" i="29"/>
  <c r="T147" i="29"/>
  <c r="AE146" i="29"/>
  <c r="AF146" i="29"/>
  <c r="CH148" i="29"/>
  <c r="CH149" i="29" s="1"/>
  <c r="BW141" i="29"/>
  <c r="BX141" i="29"/>
  <c r="BD148" i="29"/>
  <c r="BP147" i="29"/>
  <c r="CG147" i="29"/>
  <c r="BE147" i="29"/>
  <c r="BG147" i="29" s="1"/>
  <c r="BA147" i="29" s="1"/>
  <c r="BC147" i="29"/>
  <c r="BF147" i="29" s="1"/>
  <c r="AZ146" i="29"/>
  <c r="BH146" i="29"/>
  <c r="BB146" i="29" s="1"/>
  <c r="CX140" i="29" l="1"/>
  <c r="CV140" i="29"/>
  <c r="CO140" i="29" s="1"/>
  <c r="CQ140" i="29" s="1"/>
  <c r="CP141" i="29" s="1"/>
  <c r="CN141" i="29" s="1"/>
  <c r="CJ141" i="29" s="1"/>
  <c r="AJ21" i="29" s="1"/>
  <c r="B249" i="15"/>
  <c r="X248" i="15"/>
  <c r="C249" i="15"/>
  <c r="Y248" i="15"/>
  <c r="W248" i="15"/>
  <c r="AC146" i="29"/>
  <c r="S148" i="29"/>
  <c r="V147" i="29"/>
  <c r="T148" i="29"/>
  <c r="AE147" i="29"/>
  <c r="AF147" i="29"/>
  <c r="AW150" i="29"/>
  <c r="AP150" i="29"/>
  <c r="AV150" i="29" s="1"/>
  <c r="AR150" i="29" s="1"/>
  <c r="CL145" i="29"/>
  <c r="CW145" i="29"/>
  <c r="AO151" i="29"/>
  <c r="AN151" i="29"/>
  <c r="CC145" i="29"/>
  <c r="W145" i="29"/>
  <c r="Y145" i="29" s="1"/>
  <c r="CR146" i="29"/>
  <c r="CA146" i="29"/>
  <c r="BU146" i="29" s="1"/>
  <c r="AA145" i="29"/>
  <c r="CB146" i="29"/>
  <c r="BV146" i="29" s="1"/>
  <c r="CS146" i="29"/>
  <c r="CM146" i="29" s="1"/>
  <c r="M145" i="29"/>
  <c r="U147" i="29"/>
  <c r="AB147" i="29" s="1"/>
  <c r="BN150" i="29"/>
  <c r="BO150" i="29"/>
  <c r="BY149" i="29"/>
  <c r="BR149" i="29"/>
  <c r="BQ150" i="29"/>
  <c r="BQ151" i="29" s="1"/>
  <c r="CI148" i="29"/>
  <c r="CF149" i="29"/>
  <c r="CP148" i="29"/>
  <c r="CE149" i="29"/>
  <c r="CT149" i="29"/>
  <c r="AX149" i="29"/>
  <c r="AQ147" i="29"/>
  <c r="K148" i="29"/>
  <c r="L147" i="29"/>
  <c r="J148" i="29"/>
  <c r="Q146" i="29"/>
  <c r="X146" i="29" s="1"/>
  <c r="R146" i="29"/>
  <c r="X145" i="29"/>
  <c r="AZ147" i="29"/>
  <c r="BH147" i="29"/>
  <c r="BB147" i="29" s="1"/>
  <c r="BC148" i="29"/>
  <c r="BF148" i="29" s="1"/>
  <c r="BD149" i="29"/>
  <c r="CG148" i="29"/>
  <c r="BE148" i="29"/>
  <c r="BG148" i="29" s="1"/>
  <c r="BA148" i="29" s="1"/>
  <c r="BP148" i="29"/>
  <c r="BZ141" i="29"/>
  <c r="BX142" i="29" s="1"/>
  <c r="BT141" i="29"/>
  <c r="M140" i="29" s="1"/>
  <c r="BS141" i="29"/>
  <c r="CX141" i="29" l="1"/>
  <c r="CV141" i="29"/>
  <c r="CO141" i="29" s="1"/>
  <c r="CQ141" i="29" s="1"/>
  <c r="X249" i="15"/>
  <c r="B250" i="15"/>
  <c r="C250" i="15"/>
  <c r="W249" i="15"/>
  <c r="Y249" i="15"/>
  <c r="CC146" i="29"/>
  <c r="AC147" i="29"/>
  <c r="CL146" i="29"/>
  <c r="CW146" i="29"/>
  <c r="AW151" i="29"/>
  <c r="AP151" i="29"/>
  <c r="AV151" i="29" s="1"/>
  <c r="AR151" i="29" s="1"/>
  <c r="S149" i="29"/>
  <c r="T149" i="29"/>
  <c r="V148" i="29"/>
  <c r="AE148" i="29"/>
  <c r="AF148" i="29"/>
  <c r="CI149" i="29"/>
  <c r="CE150" i="29"/>
  <c r="CP149" i="29"/>
  <c r="CF150" i="29"/>
  <c r="Q147" i="29"/>
  <c r="X147" i="29" s="1"/>
  <c r="R147" i="29"/>
  <c r="AN152" i="29"/>
  <c r="AO152" i="29"/>
  <c r="AA146" i="29"/>
  <c r="W146" i="29"/>
  <c r="Y146" i="29" s="1"/>
  <c r="CA147" i="29"/>
  <c r="BU147" i="29" s="1"/>
  <c r="M146" i="29"/>
  <c r="CR147" i="29"/>
  <c r="CB147" i="29"/>
  <c r="BV147" i="29" s="1"/>
  <c r="CS147" i="29"/>
  <c r="CM147" i="29" s="1"/>
  <c r="L148" i="29"/>
  <c r="J149" i="29"/>
  <c r="AQ148" i="29"/>
  <c r="K149" i="29"/>
  <c r="CH150" i="29"/>
  <c r="CH151" i="29" s="1"/>
  <c r="U148" i="29"/>
  <c r="AC148" i="29" s="1"/>
  <c r="BO151" i="29"/>
  <c r="BY150" i="29"/>
  <c r="BR150" i="29"/>
  <c r="BN151" i="29"/>
  <c r="CT150" i="29"/>
  <c r="AX150" i="29"/>
  <c r="BZ142" i="29"/>
  <c r="BX143" i="29" s="1"/>
  <c r="H21" i="29"/>
  <c r="K14" i="40" s="1"/>
  <c r="X140" i="29"/>
  <c r="Y140" i="29" s="1"/>
  <c r="Z140" i="29" s="1"/>
  <c r="BC149" i="29"/>
  <c r="BF149" i="29" s="1"/>
  <c r="BE149" i="29"/>
  <c r="BG149" i="29" s="1"/>
  <c r="BA149" i="29" s="1"/>
  <c r="CG149" i="29"/>
  <c r="BP149" i="29"/>
  <c r="BD150" i="29"/>
  <c r="AZ148" i="29"/>
  <c r="BH148" i="29"/>
  <c r="BB148" i="29" s="1"/>
  <c r="CV142" i="29" l="1"/>
  <c r="CO142" i="29" s="1"/>
  <c r="CQ142" i="29" s="1"/>
  <c r="CX142" i="29"/>
  <c r="CK141" i="29"/>
  <c r="AR140" i="29" s="1"/>
  <c r="AL21" i="29" s="1"/>
  <c r="AC140" i="29"/>
  <c r="AB140" i="29"/>
  <c r="Z141" i="29"/>
  <c r="Z142" i="29" s="1"/>
  <c r="Z143" i="29" s="1"/>
  <c r="Z144" i="29" s="1"/>
  <c r="Z145" i="29" s="1"/>
  <c r="Z146" i="29" s="1"/>
  <c r="G21" i="29"/>
  <c r="L14" i="40" s="1"/>
  <c r="AB148" i="29"/>
  <c r="B251" i="15"/>
  <c r="X250" i="15"/>
  <c r="C251" i="15"/>
  <c r="W250" i="15"/>
  <c r="Y250" i="15"/>
  <c r="BR151" i="29"/>
  <c r="BY151" i="29"/>
  <c r="BO152" i="29"/>
  <c r="BN152" i="29"/>
  <c r="CL147" i="29"/>
  <c r="CW147" i="29"/>
  <c r="AO153" i="29"/>
  <c r="AN153" i="29"/>
  <c r="R148" i="29"/>
  <c r="Q148" i="29"/>
  <c r="X148" i="29" s="1"/>
  <c r="AQ149" i="29"/>
  <c r="J150" i="29"/>
  <c r="L149" i="29"/>
  <c r="K150" i="29"/>
  <c r="CC147" i="29"/>
  <c r="AW152" i="29"/>
  <c r="AP152" i="29"/>
  <c r="AV152" i="29" s="1"/>
  <c r="CE151" i="29"/>
  <c r="CI150" i="29"/>
  <c r="CF151" i="29"/>
  <c r="CP150" i="29"/>
  <c r="T150" i="29"/>
  <c r="S150" i="29"/>
  <c r="V149" i="29"/>
  <c r="AE149" i="29"/>
  <c r="AF149" i="29"/>
  <c r="U149" i="29"/>
  <c r="AB149" i="29" s="1"/>
  <c r="BQ152" i="29"/>
  <c r="BQ153" i="29" s="1"/>
  <c r="CB148" i="29"/>
  <c r="BV148" i="29" s="1"/>
  <c r="M147" i="29"/>
  <c r="CS148" i="29"/>
  <c r="CM148" i="29" s="1"/>
  <c r="AA147" i="29"/>
  <c r="CA148" i="29"/>
  <c r="BU148" i="29" s="1"/>
  <c r="CR148" i="29"/>
  <c r="W147" i="29"/>
  <c r="Y147" i="29" s="1"/>
  <c r="CT151" i="29"/>
  <c r="AX151" i="29"/>
  <c r="BZ143" i="29"/>
  <c r="BX144" i="29" s="1"/>
  <c r="BC150" i="29"/>
  <c r="BF150" i="29" s="1"/>
  <c r="BP150" i="29"/>
  <c r="BD151" i="29"/>
  <c r="CG150" i="29"/>
  <c r="BE150" i="29"/>
  <c r="BG150" i="29" s="1"/>
  <c r="BA150" i="29" s="1"/>
  <c r="AZ149" i="29"/>
  <c r="BH149" i="29"/>
  <c r="BB149" i="29" s="1"/>
  <c r="G28" i="15"/>
  <c r="D161" i="15"/>
  <c r="I30" i="39"/>
  <c r="H14" i="44" s="1"/>
  <c r="D14" i="45" s="1"/>
  <c r="K14" i="45" s="1"/>
  <c r="L14" i="45" s="1"/>
  <c r="J15" i="45" s="1"/>
  <c r="AR83" i="44" l="1"/>
  <c r="AZ83" i="44"/>
  <c r="BP83" i="44"/>
  <c r="BC83" i="44"/>
  <c r="AM83" i="44"/>
  <c r="W83" i="44"/>
  <c r="BF83" i="44"/>
  <c r="AP83" i="44"/>
  <c r="Z83" i="44"/>
  <c r="AK83" i="44"/>
  <c r="BQ83" i="44"/>
  <c r="BO83" i="44"/>
  <c r="AY83" i="44"/>
  <c r="AI83" i="44"/>
  <c r="BR83" i="44"/>
  <c r="BB83" i="44"/>
  <c r="AL83" i="44"/>
  <c r="V83" i="44"/>
  <c r="AS83" i="44"/>
  <c r="AJ83" i="44"/>
  <c r="AU83" i="44"/>
  <c r="BN83" i="44"/>
  <c r="AH83" i="44"/>
  <c r="BA83" i="44"/>
  <c r="X83" i="44"/>
  <c r="BD83" i="44"/>
  <c r="AO83" i="44"/>
  <c r="AQ83" i="44"/>
  <c r="BJ83" i="44"/>
  <c r="AD83" i="44"/>
  <c r="AB83" i="44"/>
  <c r="BK83" i="44"/>
  <c r="AE83" i="44"/>
  <c r="AX83" i="44"/>
  <c r="AN83" i="44"/>
  <c r="Y83" i="44"/>
  <c r="BE83" i="44"/>
  <c r="BH83" i="44"/>
  <c r="BG83" i="44"/>
  <c r="AA83" i="44"/>
  <c r="AT83" i="44"/>
  <c r="AC83" i="44"/>
  <c r="AG83" i="44"/>
  <c r="AF83" i="44"/>
  <c r="AW83" i="44"/>
  <c r="BI83" i="44"/>
  <c r="AV83" i="44"/>
  <c r="BM83" i="44"/>
  <c r="BL83" i="44"/>
  <c r="CV143" i="29"/>
  <c r="CO143" i="29" s="1"/>
  <c r="CQ143" i="29" s="1"/>
  <c r="CX143" i="29"/>
  <c r="Z147" i="29"/>
  <c r="F161" i="15"/>
  <c r="L30" i="39"/>
  <c r="X251" i="15"/>
  <c r="B252" i="15"/>
  <c r="C252" i="15"/>
  <c r="W251" i="15"/>
  <c r="Y251" i="15"/>
  <c r="AQ150" i="29"/>
  <c r="J151" i="29"/>
  <c r="K151" i="29"/>
  <c r="L150" i="29"/>
  <c r="BY152" i="29"/>
  <c r="BN153" i="29"/>
  <c r="BR152" i="29"/>
  <c r="BO153" i="29"/>
  <c r="CF152" i="29"/>
  <c r="CI151" i="29"/>
  <c r="CE152" i="29"/>
  <c r="CP151" i="29"/>
  <c r="AA148" i="29"/>
  <c r="M148" i="29"/>
  <c r="CS149" i="29"/>
  <c r="CM149" i="29" s="1"/>
  <c r="CB149" i="29"/>
  <c r="BV149" i="29" s="1"/>
  <c r="CR149" i="29"/>
  <c r="CA149" i="29"/>
  <c r="BU149" i="29" s="1"/>
  <c r="W148" i="29"/>
  <c r="Y148" i="29" s="1"/>
  <c r="Q149" i="29"/>
  <c r="X149" i="29" s="1"/>
  <c r="R149" i="29"/>
  <c r="U150" i="29"/>
  <c r="AC150" i="29" s="1"/>
  <c r="AW153" i="29"/>
  <c r="AP153" i="29"/>
  <c r="AV153" i="29" s="1"/>
  <c r="AR153" i="29" s="1"/>
  <c r="CH152" i="29"/>
  <c r="CH153" i="29" s="1"/>
  <c r="CL148" i="29"/>
  <c r="CW148" i="29"/>
  <c r="BQ154" i="29"/>
  <c r="CT152" i="29"/>
  <c r="AX152" i="29"/>
  <c r="CC148" i="29"/>
  <c r="AC149" i="29"/>
  <c r="T151" i="29"/>
  <c r="S151" i="29"/>
  <c r="V150" i="29"/>
  <c r="AE150" i="29"/>
  <c r="AF150" i="29"/>
  <c r="AN154" i="29"/>
  <c r="AO154" i="29"/>
  <c r="AZ150" i="29"/>
  <c r="BH150" i="29"/>
  <c r="BB150" i="29" s="1"/>
  <c r="BZ144" i="29"/>
  <c r="BX145" i="29" s="1"/>
  <c r="BC151" i="29"/>
  <c r="BF151" i="29" s="1"/>
  <c r="CG151" i="29"/>
  <c r="BE151" i="29"/>
  <c r="BG151" i="29" s="1"/>
  <c r="BA151" i="29" s="1"/>
  <c r="BP151" i="29"/>
  <c r="BD152" i="29"/>
  <c r="Z148" i="29" l="1"/>
  <c r="CV144" i="29"/>
  <c r="CO144" i="29" s="1"/>
  <c r="CQ144" i="29" s="1"/>
  <c r="CX144" i="29"/>
  <c r="X252" i="15"/>
  <c r="B253" i="15"/>
  <c r="C253" i="15"/>
  <c r="W252" i="15"/>
  <c r="Y252" i="15"/>
  <c r="AB150" i="29"/>
  <c r="U151" i="29"/>
  <c r="AC151" i="29" s="1"/>
  <c r="CH154" i="29"/>
  <c r="CL149" i="29"/>
  <c r="CW149" i="29"/>
  <c r="CF153" i="29"/>
  <c r="CE153" i="29"/>
  <c r="CP152" i="29"/>
  <c r="CI152" i="29"/>
  <c r="K152" i="29"/>
  <c r="J152" i="29"/>
  <c r="L151" i="29"/>
  <c r="AQ151" i="29"/>
  <c r="AN155" i="29"/>
  <c r="AO155" i="29"/>
  <c r="T152" i="29"/>
  <c r="S152" i="29"/>
  <c r="V151" i="29"/>
  <c r="AE151" i="29"/>
  <c r="AF151" i="29"/>
  <c r="CS150" i="29"/>
  <c r="CM150" i="29" s="1"/>
  <c r="CA150" i="29"/>
  <c r="BU150" i="29" s="1"/>
  <c r="AA149" i="29"/>
  <c r="CR150" i="29"/>
  <c r="CB150" i="29"/>
  <c r="BV150" i="29" s="1"/>
  <c r="M149" i="29"/>
  <c r="W149" i="29"/>
  <c r="Y149" i="29" s="1"/>
  <c r="CC149" i="29"/>
  <c r="BR153" i="29"/>
  <c r="BN154" i="29"/>
  <c r="BO154" i="29"/>
  <c r="AW154" i="29"/>
  <c r="AP154" i="29"/>
  <c r="AV154" i="29" s="1"/>
  <c r="AR154" i="29" s="1"/>
  <c r="BQ155" i="29"/>
  <c r="AX153" i="29"/>
  <c r="R150" i="29"/>
  <c r="Q150" i="29"/>
  <c r="BZ145" i="29"/>
  <c r="BX146" i="29" s="1"/>
  <c r="BP152" i="29"/>
  <c r="CG152" i="29"/>
  <c r="BD153" i="29"/>
  <c r="BC152" i="29"/>
  <c r="BF152" i="29" s="1"/>
  <c r="BE152" i="29"/>
  <c r="BG152" i="29" s="1"/>
  <c r="BA152" i="29" s="1"/>
  <c r="BH151" i="29"/>
  <c r="BB151" i="29" s="1"/>
  <c r="AZ151" i="29"/>
  <c r="Z149" i="29" l="1"/>
  <c r="CX145" i="29"/>
  <c r="CV145" i="29"/>
  <c r="CO145" i="29" s="1"/>
  <c r="CQ145" i="29" s="1"/>
  <c r="X253" i="15"/>
  <c r="B254" i="15"/>
  <c r="C254" i="15"/>
  <c r="Y253" i="15"/>
  <c r="W253" i="15"/>
  <c r="CC150" i="29"/>
  <c r="CA151" i="29"/>
  <c r="BU151" i="29" s="1"/>
  <c r="CR151" i="29"/>
  <c r="CB151" i="29"/>
  <c r="BV151" i="29" s="1"/>
  <c r="AA150" i="29"/>
  <c r="W150" i="29"/>
  <c r="Y150" i="29" s="1"/>
  <c r="CS151" i="29"/>
  <c r="CM151" i="29" s="1"/>
  <c r="M150" i="29"/>
  <c r="U152" i="29"/>
  <c r="T153" i="29"/>
  <c r="S153" i="29"/>
  <c r="V152" i="29"/>
  <c r="AE152" i="29"/>
  <c r="AF152" i="29"/>
  <c r="AO156" i="29"/>
  <c r="AN156" i="29"/>
  <c r="J153" i="29"/>
  <c r="K153" i="29"/>
  <c r="AQ152" i="29"/>
  <c r="L152" i="29"/>
  <c r="CF154" i="29"/>
  <c r="CI153" i="29"/>
  <c r="CE154" i="29"/>
  <c r="Q151" i="29"/>
  <c r="R151" i="29"/>
  <c r="CL150" i="29"/>
  <c r="CW150" i="29"/>
  <c r="X150" i="29"/>
  <c r="CT154" i="29"/>
  <c r="AX154" i="29"/>
  <c r="BY154" i="29"/>
  <c r="BO155" i="29"/>
  <c r="BR154" i="29"/>
  <c r="BN155" i="29"/>
  <c r="AW155" i="29"/>
  <c r="AP155" i="29"/>
  <c r="AV155" i="29" s="1"/>
  <c r="AR155" i="29" s="1"/>
  <c r="AB151" i="29"/>
  <c r="BZ146" i="29"/>
  <c r="BX147" i="29" s="1"/>
  <c r="BH152" i="29"/>
  <c r="BB152" i="29" s="1"/>
  <c r="AZ152" i="29"/>
  <c r="BP153" i="29"/>
  <c r="BI153" i="29"/>
  <c r="BE153" i="29"/>
  <c r="BG153" i="29" s="1"/>
  <c r="BA153" i="29" s="1"/>
  <c r="BC153" i="29"/>
  <c r="BF153" i="29" s="1"/>
  <c r="CG153" i="29"/>
  <c r="BD154" i="29"/>
  <c r="Z150" i="29" l="1"/>
  <c r="CX146" i="29"/>
  <c r="CV146" i="29"/>
  <c r="CO146" i="29" s="1"/>
  <c r="CQ146" i="29" s="1"/>
  <c r="B255" i="15"/>
  <c r="X254" i="15"/>
  <c r="C255" i="15"/>
  <c r="W254" i="15"/>
  <c r="Y254" i="15"/>
  <c r="CF155" i="29"/>
  <c r="CE155" i="29"/>
  <c r="CP154" i="29"/>
  <c r="CI154" i="29"/>
  <c r="U153" i="29"/>
  <c r="AC153" i="29" s="1"/>
  <c r="Q152" i="29"/>
  <c r="R152" i="29"/>
  <c r="CH155" i="29"/>
  <c r="CH156" i="29" s="1"/>
  <c r="X151" i="29"/>
  <c r="M151" i="29"/>
  <c r="W151" i="29"/>
  <c r="Y151" i="29" s="1"/>
  <c r="AA151" i="29"/>
  <c r="CB152" i="29"/>
  <c r="BV152" i="29" s="1"/>
  <c r="CR152" i="29"/>
  <c r="CA152" i="29"/>
  <c r="BU152" i="29" s="1"/>
  <c r="CS152" i="29"/>
  <c r="CM152" i="29" s="1"/>
  <c r="AW156" i="29"/>
  <c r="AP156" i="29"/>
  <c r="AV156" i="29" s="1"/>
  <c r="AR156" i="29" s="1"/>
  <c r="V153" i="29"/>
  <c r="S154" i="29"/>
  <c r="T154" i="29"/>
  <c r="AE153" i="29"/>
  <c r="AF153" i="29"/>
  <c r="CL151" i="29"/>
  <c r="CW151" i="29"/>
  <c r="BR155" i="29"/>
  <c r="BO156" i="29"/>
  <c r="BN156" i="29"/>
  <c r="BY155" i="29"/>
  <c r="AO157" i="29"/>
  <c r="AN157" i="29"/>
  <c r="BQ156" i="29"/>
  <c r="BQ157" i="29" s="1"/>
  <c r="CT155" i="29"/>
  <c r="AX155" i="29"/>
  <c r="AQ153" i="29"/>
  <c r="L153" i="29"/>
  <c r="J154" i="29"/>
  <c r="K154" i="29"/>
  <c r="CC151" i="29"/>
  <c r="BZ147" i="29"/>
  <c r="BX148" i="29" s="1"/>
  <c r="BE154" i="29"/>
  <c r="BG154" i="29" s="1"/>
  <c r="BA154" i="29" s="1"/>
  <c r="BD155" i="29"/>
  <c r="BP154" i="29"/>
  <c r="CG154" i="29"/>
  <c r="BC154" i="29"/>
  <c r="BF154" i="29" s="1"/>
  <c r="BH153" i="29"/>
  <c r="BB153" i="29" s="1"/>
  <c r="AZ153" i="29"/>
  <c r="Z151" i="29" l="1"/>
  <c r="CV147" i="29"/>
  <c r="CO147" i="29" s="1"/>
  <c r="CQ147" i="29" s="1"/>
  <c r="CX147" i="29"/>
  <c r="AB153" i="29"/>
  <c r="B256" i="15"/>
  <c r="X255" i="15"/>
  <c r="C256" i="15"/>
  <c r="W255" i="15"/>
  <c r="Y255" i="15"/>
  <c r="CC152" i="29"/>
  <c r="CE156" i="29"/>
  <c r="CF156" i="29"/>
  <c r="CI155" i="29"/>
  <c r="CP155" i="29"/>
  <c r="K155" i="29"/>
  <c r="L154" i="29"/>
  <c r="J155" i="29"/>
  <c r="AQ154" i="29"/>
  <c r="AW157" i="29"/>
  <c r="AP157" i="29"/>
  <c r="AV157" i="29" s="1"/>
  <c r="AR157" i="29" s="1"/>
  <c r="T155" i="29"/>
  <c r="V154" i="29"/>
  <c r="S155" i="29"/>
  <c r="AF154" i="29"/>
  <c r="AE154" i="29"/>
  <c r="CT156" i="29"/>
  <c r="AX156" i="29"/>
  <c r="CL152" i="29"/>
  <c r="CW152" i="29"/>
  <c r="AA152" i="29"/>
  <c r="W152" i="29"/>
  <c r="CR153" i="29"/>
  <c r="CA153" i="29"/>
  <c r="BU153" i="29" s="1"/>
  <c r="AN158" i="29"/>
  <c r="AO158" i="29"/>
  <c r="BN157" i="29"/>
  <c r="BO157" i="29"/>
  <c r="BQ158" i="29" s="1"/>
  <c r="BY156" i="29"/>
  <c r="BR156" i="29"/>
  <c r="U154" i="29"/>
  <c r="AC154" i="29" s="1"/>
  <c r="R153" i="29"/>
  <c r="Q153" i="29"/>
  <c r="BZ148" i="29"/>
  <c r="BX149" i="29" s="1"/>
  <c r="BC155" i="29"/>
  <c r="BF155" i="29" s="1"/>
  <c r="CG155" i="29"/>
  <c r="BP155" i="29"/>
  <c r="BD156" i="29"/>
  <c r="BE155" i="29"/>
  <c r="BG155" i="29" s="1"/>
  <c r="BA155" i="29" s="1"/>
  <c r="BH154" i="29"/>
  <c r="BB154" i="29" s="1"/>
  <c r="AZ154" i="29"/>
  <c r="CV148" i="29" l="1"/>
  <c r="CO148" i="29" s="1"/>
  <c r="CQ148" i="29" s="1"/>
  <c r="CX148" i="29"/>
  <c r="B257" i="15"/>
  <c r="X256" i="15"/>
  <c r="C257" i="15"/>
  <c r="W256" i="15"/>
  <c r="Y256" i="15"/>
  <c r="AB154" i="29"/>
  <c r="CS153" i="29"/>
  <c r="CM153" i="29" s="1"/>
  <c r="CB153" i="29"/>
  <c r="M153" i="29"/>
  <c r="CA154" i="29"/>
  <c r="BU154" i="29" s="1"/>
  <c r="AA153" i="29"/>
  <c r="CB154" i="29"/>
  <c r="BV154" i="29" s="1"/>
  <c r="CS154" i="29"/>
  <c r="CM154" i="29" s="1"/>
  <c r="W153" i="29"/>
  <c r="Y153" i="29" s="1"/>
  <c r="CR154" i="29"/>
  <c r="CE157" i="29"/>
  <c r="CP156" i="29"/>
  <c r="CI156" i="29"/>
  <c r="CF157" i="29"/>
  <c r="X153" i="29"/>
  <c r="U155" i="29"/>
  <c r="BO158" i="29"/>
  <c r="BR157" i="29"/>
  <c r="BY157" i="29"/>
  <c r="BN158" i="29"/>
  <c r="CH157" i="29"/>
  <c r="AN159" i="29"/>
  <c r="AO159" i="29"/>
  <c r="Q154" i="29"/>
  <c r="X154" i="29" s="1"/>
  <c r="R154" i="29"/>
  <c r="AW158" i="29"/>
  <c r="AP158" i="29"/>
  <c r="AV158" i="29" s="1"/>
  <c r="AR158" i="29" s="1"/>
  <c r="V155" i="29"/>
  <c r="T156" i="29"/>
  <c r="S156" i="29"/>
  <c r="AF155" i="29"/>
  <c r="AE155" i="29"/>
  <c r="CT157" i="29"/>
  <c r="AX157" i="29"/>
  <c r="L155" i="29"/>
  <c r="J156" i="29"/>
  <c r="K156" i="29"/>
  <c r="AQ155" i="29"/>
  <c r="BZ149" i="29"/>
  <c r="BX150" i="29" s="1"/>
  <c r="BC156" i="29"/>
  <c r="BF156" i="29" s="1"/>
  <c r="BP156" i="29"/>
  <c r="BE156" i="29"/>
  <c r="BG156" i="29" s="1"/>
  <c r="BA156" i="29" s="1"/>
  <c r="CG156" i="29"/>
  <c r="BD157" i="29"/>
  <c r="AZ155" i="29"/>
  <c r="BH155" i="29"/>
  <c r="BB155" i="29" s="1"/>
  <c r="CV149" i="29" l="1"/>
  <c r="CO149" i="29" s="1"/>
  <c r="CQ149" i="29" s="1"/>
  <c r="CX149" i="29"/>
  <c r="CT153" i="29"/>
  <c r="CL153" i="29" s="1"/>
  <c r="B258" i="15"/>
  <c r="X257" i="15"/>
  <c r="C258" i="15"/>
  <c r="CC154" i="29"/>
  <c r="Y257" i="15"/>
  <c r="W257" i="15"/>
  <c r="BV153" i="29"/>
  <c r="CC153" i="29"/>
  <c r="J157" i="29"/>
  <c r="K157" i="29"/>
  <c r="AQ156" i="29"/>
  <c r="L156" i="29"/>
  <c r="CT158" i="29"/>
  <c r="AX158" i="29"/>
  <c r="AN160" i="29"/>
  <c r="AO160" i="29"/>
  <c r="R155" i="29"/>
  <c r="Q155" i="29"/>
  <c r="X155" i="29" s="1"/>
  <c r="AW159" i="29"/>
  <c r="AP159" i="29"/>
  <c r="AV159" i="29" s="1"/>
  <c r="AR159" i="29" s="1"/>
  <c r="AB155" i="29"/>
  <c r="CF158" i="29"/>
  <c r="CP157" i="29"/>
  <c r="CE158" i="29"/>
  <c r="CI157" i="29"/>
  <c r="CL154" i="29"/>
  <c r="CW154" i="29"/>
  <c r="AC155" i="29"/>
  <c r="T157" i="29"/>
  <c r="V156" i="29"/>
  <c r="S157" i="29"/>
  <c r="AE156" i="29"/>
  <c r="AF156" i="29"/>
  <c r="U156" i="29"/>
  <c r="AC156" i="29" s="1"/>
  <c r="AA154" i="29"/>
  <c r="CR155" i="29"/>
  <c r="M154" i="29"/>
  <c r="W154" i="29"/>
  <c r="Y154" i="29" s="1"/>
  <c r="CB155" i="29"/>
  <c r="BV155" i="29" s="1"/>
  <c r="CS155" i="29"/>
  <c r="CM155" i="29" s="1"/>
  <c r="CA155" i="29"/>
  <c r="BU155" i="29" s="1"/>
  <c r="CH158" i="29"/>
  <c r="CH159" i="29" s="1"/>
  <c r="BO159" i="29"/>
  <c r="BR158" i="29"/>
  <c r="BN159" i="29"/>
  <c r="BY158" i="29"/>
  <c r="BQ159" i="29"/>
  <c r="BQ160" i="29" s="1"/>
  <c r="BZ150" i="29"/>
  <c r="BX151" i="29" s="1"/>
  <c r="BD158" i="29"/>
  <c r="BC157" i="29"/>
  <c r="BF157" i="29" s="1"/>
  <c r="BP157" i="29"/>
  <c r="BE157" i="29"/>
  <c r="BG157" i="29" s="1"/>
  <c r="BA157" i="29" s="1"/>
  <c r="CG157" i="29"/>
  <c r="BH156" i="29"/>
  <c r="BB156" i="29" s="1"/>
  <c r="AZ156" i="29"/>
  <c r="CV150" i="29" l="1"/>
  <c r="CO150" i="29" s="1"/>
  <c r="CQ150" i="29" s="1"/>
  <c r="CX150" i="29"/>
  <c r="CW153" i="29"/>
  <c r="B259" i="15"/>
  <c r="X258" i="15"/>
  <c r="C259" i="15"/>
  <c r="Y258" i="15"/>
  <c r="W258" i="15"/>
  <c r="AB156" i="29"/>
  <c r="AQ157" i="29"/>
  <c r="K158" i="29"/>
  <c r="J158" i="29"/>
  <c r="L157" i="29"/>
  <c r="CC155" i="29"/>
  <c r="R156" i="29"/>
  <c r="Q156" i="29"/>
  <c r="U157" i="29"/>
  <c r="AB157" i="29" s="1"/>
  <c r="BQ161" i="29"/>
  <c r="BR159" i="29"/>
  <c r="BN160" i="29"/>
  <c r="BY159" i="29"/>
  <c r="BO160" i="29"/>
  <c r="CF159" i="29"/>
  <c r="CI158" i="29"/>
  <c r="CE159" i="29"/>
  <c r="CP158" i="29"/>
  <c r="CT159" i="29"/>
  <c r="AX159" i="29"/>
  <c r="M155" i="29"/>
  <c r="W155" i="29"/>
  <c r="Y155" i="29" s="1"/>
  <c r="AA155" i="29"/>
  <c r="CS156" i="29"/>
  <c r="CM156" i="29" s="1"/>
  <c r="CA156" i="29"/>
  <c r="BU156" i="29" s="1"/>
  <c r="CR156" i="29"/>
  <c r="CB156" i="29"/>
  <c r="BV156" i="29" s="1"/>
  <c r="AO161" i="29"/>
  <c r="AN161" i="29"/>
  <c r="CL155" i="29"/>
  <c r="CW155" i="29"/>
  <c r="S158" i="29"/>
  <c r="T158" i="29"/>
  <c r="V157" i="29"/>
  <c r="AF157" i="29"/>
  <c r="AE157" i="29"/>
  <c r="AW160" i="29"/>
  <c r="AP160" i="29"/>
  <c r="AV160" i="29" s="1"/>
  <c r="AR160" i="29" s="1"/>
  <c r="BZ151" i="29"/>
  <c r="BX152" i="29" s="1"/>
  <c r="BH157" i="29"/>
  <c r="BB157" i="29" s="1"/>
  <c r="AZ157" i="29"/>
  <c r="BD159" i="29"/>
  <c r="CG158" i="29"/>
  <c r="BP158" i="29"/>
  <c r="BE158" i="29"/>
  <c r="BG158" i="29" s="1"/>
  <c r="BA158" i="29" s="1"/>
  <c r="BC158" i="29"/>
  <c r="BF158" i="29" s="1"/>
  <c r="CX151" i="29" l="1"/>
  <c r="CV151" i="29"/>
  <c r="CO151" i="29" s="1"/>
  <c r="CQ151" i="29" s="1"/>
  <c r="X259" i="15"/>
  <c r="B260" i="15"/>
  <c r="C260" i="15"/>
  <c r="Y259" i="15"/>
  <c r="W259" i="15"/>
  <c r="AC157" i="29"/>
  <c r="AN162" i="29"/>
  <c r="AO162" i="29"/>
  <c r="CE160" i="29"/>
  <c r="CF160" i="29"/>
  <c r="CI159" i="29"/>
  <c r="CP159" i="29"/>
  <c r="AA156" i="29"/>
  <c r="CB157" i="29"/>
  <c r="BV157" i="29" s="1"/>
  <c r="W156" i="29"/>
  <c r="Y156" i="29" s="1"/>
  <c r="CS157" i="29"/>
  <c r="CM157" i="29" s="1"/>
  <c r="CR157" i="29"/>
  <c r="M156" i="29"/>
  <c r="CA157" i="29"/>
  <c r="BU157" i="29" s="1"/>
  <c r="J159" i="29"/>
  <c r="K159" i="29"/>
  <c r="AQ158" i="29"/>
  <c r="L158" i="29"/>
  <c r="V158" i="29"/>
  <c r="S159" i="29"/>
  <c r="T159" i="29"/>
  <c r="AF158" i="29"/>
  <c r="AE158" i="29"/>
  <c r="CC156" i="29"/>
  <c r="BO161" i="29"/>
  <c r="BY160" i="29"/>
  <c r="BN161" i="29"/>
  <c r="BR160" i="29"/>
  <c r="CH160" i="29"/>
  <c r="CH161" i="29" s="1"/>
  <c r="R157" i="29"/>
  <c r="Q157" i="29"/>
  <c r="X157" i="29" s="1"/>
  <c r="X156" i="29"/>
  <c r="U158" i="29"/>
  <c r="AB158" i="29" s="1"/>
  <c r="BQ162" i="29"/>
  <c r="CT160" i="29"/>
  <c r="AX160" i="29"/>
  <c r="AW161" i="29"/>
  <c r="AP161" i="29"/>
  <c r="AV161" i="29" s="1"/>
  <c r="AR161" i="29" s="1"/>
  <c r="CL156" i="29"/>
  <c r="CW156" i="29"/>
  <c r="BZ152" i="29"/>
  <c r="BY153" i="29" s="1"/>
  <c r="BH158" i="29"/>
  <c r="BB158" i="29" s="1"/>
  <c r="AZ158" i="29"/>
  <c r="BP159" i="29"/>
  <c r="CG159" i="29"/>
  <c r="BD160" i="29"/>
  <c r="BE159" i="29"/>
  <c r="BG159" i="29" s="1"/>
  <c r="BA159" i="29" s="1"/>
  <c r="BC159" i="29"/>
  <c r="BF159" i="29" s="1"/>
  <c r="CV152" i="29" l="1"/>
  <c r="CO152" i="29" s="1"/>
  <c r="CQ152" i="29" s="1"/>
  <c r="CP153" i="29" s="1"/>
  <c r="CN153" i="29" s="1"/>
  <c r="CJ153" i="29" s="1"/>
  <c r="AJ22" i="29" s="1"/>
  <c r="CX152" i="29"/>
  <c r="X260" i="15"/>
  <c r="B261" i="15"/>
  <c r="C261" i="15"/>
  <c r="W260" i="15"/>
  <c r="Y260" i="15"/>
  <c r="AC158" i="29"/>
  <c r="CC157" i="29"/>
  <c r="CR158" i="29"/>
  <c r="M157" i="29"/>
  <c r="CA158" i="29"/>
  <c r="BU158" i="29" s="1"/>
  <c r="CB158" i="29"/>
  <c r="BV158" i="29" s="1"/>
  <c r="CS158" i="29"/>
  <c r="CM158" i="29" s="1"/>
  <c r="W157" i="29"/>
  <c r="Y157" i="29" s="1"/>
  <c r="AA157" i="29"/>
  <c r="V159" i="29"/>
  <c r="S160" i="29"/>
  <c r="T160" i="29"/>
  <c r="AF159" i="29"/>
  <c r="AE159" i="29"/>
  <c r="AO163" i="29"/>
  <c r="AN163" i="29"/>
  <c r="CT161" i="29"/>
  <c r="AX161" i="29"/>
  <c r="U159" i="29"/>
  <c r="AB159" i="29" s="1"/>
  <c r="L159" i="29"/>
  <c r="K160" i="29"/>
  <c r="J160" i="29"/>
  <c r="AQ159" i="29"/>
  <c r="AW162" i="29"/>
  <c r="AP162" i="29"/>
  <c r="AV162" i="29" s="1"/>
  <c r="AR162" i="29" s="1"/>
  <c r="R158" i="29"/>
  <c r="Q158" i="29"/>
  <c r="X158" i="29" s="1"/>
  <c r="BO162" i="29"/>
  <c r="BR161" i="29"/>
  <c r="BN162" i="29"/>
  <c r="BY161" i="29"/>
  <c r="CL157" i="29"/>
  <c r="CW157" i="29"/>
  <c r="CE161" i="29"/>
  <c r="CI160" i="29"/>
  <c r="CP160" i="29"/>
  <c r="CF161" i="29"/>
  <c r="BW153" i="29"/>
  <c r="BX153" i="29"/>
  <c r="BD161" i="29"/>
  <c r="BE160" i="29"/>
  <c r="BG160" i="29" s="1"/>
  <c r="BA160" i="29" s="1"/>
  <c r="BC160" i="29"/>
  <c r="BF160" i="29" s="1"/>
  <c r="BP160" i="29"/>
  <c r="CG160" i="29"/>
  <c r="BH159" i="29"/>
  <c r="BB159" i="29" s="1"/>
  <c r="AZ159" i="29"/>
  <c r="CX153" i="29" l="1"/>
  <c r="CV153" i="29"/>
  <c r="B262" i="15"/>
  <c r="X261" i="15"/>
  <c r="C262" i="15"/>
  <c r="Y261" i="15"/>
  <c r="W261" i="15"/>
  <c r="AC159" i="29"/>
  <c r="CS159" i="29"/>
  <c r="CM159" i="29" s="1"/>
  <c r="CR159" i="29"/>
  <c r="W158" i="29"/>
  <c r="Y158" i="29" s="1"/>
  <c r="CB159" i="29"/>
  <c r="BV159" i="29" s="1"/>
  <c r="AA158" i="29"/>
  <c r="M158" i="29"/>
  <c r="CA159" i="29"/>
  <c r="BU159" i="29" s="1"/>
  <c r="CT162" i="29"/>
  <c r="AX162" i="29"/>
  <c r="AN164" i="29"/>
  <c r="AO164" i="29"/>
  <c r="BY162" i="29"/>
  <c r="BO163" i="29"/>
  <c r="BR162" i="29"/>
  <c r="BN163" i="29"/>
  <c r="R159" i="29"/>
  <c r="Q159" i="29"/>
  <c r="X159" i="29" s="1"/>
  <c r="CL158" i="29"/>
  <c r="CW158" i="29"/>
  <c r="L160" i="29"/>
  <c r="K161" i="29"/>
  <c r="J161" i="29"/>
  <c r="AQ160" i="29"/>
  <c r="U160" i="29"/>
  <c r="AC160" i="29" s="1"/>
  <c r="CE162" i="29"/>
  <c r="CF162" i="29"/>
  <c r="CI161" i="29"/>
  <c r="CP161" i="29"/>
  <c r="CH162" i="29"/>
  <c r="CH163" i="29" s="1"/>
  <c r="AW163" i="29"/>
  <c r="AP163" i="29"/>
  <c r="AV163" i="29" s="1"/>
  <c r="AR163" i="29" s="1"/>
  <c r="S161" i="29"/>
  <c r="T161" i="29"/>
  <c r="V160" i="29"/>
  <c r="AE160" i="29"/>
  <c r="AF160" i="29"/>
  <c r="CC158" i="29"/>
  <c r="BQ163" i="29"/>
  <c r="BQ164" i="29" s="1"/>
  <c r="BE161" i="29"/>
  <c r="BG161" i="29" s="1"/>
  <c r="BA161" i="29" s="1"/>
  <c r="BC161" i="29"/>
  <c r="BF161" i="29" s="1"/>
  <c r="CG161" i="29"/>
  <c r="BP161" i="29"/>
  <c r="BD162" i="29"/>
  <c r="BZ153" i="29"/>
  <c r="BX154" i="29" s="1"/>
  <c r="AZ160" i="29"/>
  <c r="BH160" i="29"/>
  <c r="BB160" i="29" s="1"/>
  <c r="BT153" i="29"/>
  <c r="M152" i="29" s="1"/>
  <c r="BS153" i="29"/>
  <c r="CO153" i="29" l="1"/>
  <c r="CQ153" i="29" s="1"/>
  <c r="CK153" i="29"/>
  <c r="AR152" i="29" s="1"/>
  <c r="AL22" i="29" s="1"/>
  <c r="CV154" i="29"/>
  <c r="CO154" i="29" s="1"/>
  <c r="CQ154" i="29" s="1"/>
  <c r="CX154" i="29"/>
  <c r="B263" i="15"/>
  <c r="X262" i="15"/>
  <c r="C263" i="15"/>
  <c r="Y262" i="15"/>
  <c r="W262" i="15"/>
  <c r="AB160" i="29"/>
  <c r="T162" i="29"/>
  <c r="V161" i="29"/>
  <c r="S162" i="29"/>
  <c r="AF161" i="29"/>
  <c r="AE161" i="29"/>
  <c r="U161" i="29"/>
  <c r="Q160" i="29"/>
  <c r="X160" i="29" s="1"/>
  <c r="R160" i="29"/>
  <c r="CL159" i="29"/>
  <c r="CW159" i="29"/>
  <c r="CH164" i="29"/>
  <c r="CE163" i="29"/>
  <c r="CF163" i="29"/>
  <c r="CI162" i="29"/>
  <c r="CP162" i="29"/>
  <c r="J162" i="29"/>
  <c r="AQ161" i="29"/>
  <c r="K162" i="29"/>
  <c r="L161" i="29"/>
  <c r="AO165" i="29"/>
  <c r="AN165" i="29"/>
  <c r="CT163" i="29"/>
  <c r="AX163" i="29"/>
  <c r="W159" i="29"/>
  <c r="Y159" i="29" s="1"/>
  <c r="CR160" i="29"/>
  <c r="CA160" i="29"/>
  <c r="BU160" i="29" s="1"/>
  <c r="M159" i="29"/>
  <c r="CS160" i="29"/>
  <c r="CM160" i="29" s="1"/>
  <c r="AA159" i="29"/>
  <c r="CB160" i="29"/>
  <c r="BV160" i="29" s="1"/>
  <c r="BO164" i="29"/>
  <c r="BN164" i="29"/>
  <c r="BR163" i="29"/>
  <c r="BY163" i="29"/>
  <c r="AW164" i="29"/>
  <c r="AP164" i="29"/>
  <c r="AV164" i="29" s="1"/>
  <c r="CC159" i="29"/>
  <c r="H22" i="29"/>
  <c r="K15" i="40" s="1"/>
  <c r="X152" i="29"/>
  <c r="Y152" i="29" s="1"/>
  <c r="Z152" i="29" s="1"/>
  <c r="CG162" i="29"/>
  <c r="BD163" i="29"/>
  <c r="BP162" i="29"/>
  <c r="BE162" i="29"/>
  <c r="BG162" i="29" s="1"/>
  <c r="BA162" i="29" s="1"/>
  <c r="BC162" i="29"/>
  <c r="BF162" i="29" s="1"/>
  <c r="BZ154" i="29"/>
  <c r="BX155" i="29" s="1"/>
  <c r="BH161" i="29"/>
  <c r="BB161" i="29" s="1"/>
  <c r="AZ161" i="29"/>
  <c r="CV155" i="29" l="1"/>
  <c r="CO155" i="29" s="1"/>
  <c r="CQ155" i="29" s="1"/>
  <c r="CX155" i="29"/>
  <c r="AC152" i="29"/>
  <c r="AB152" i="29"/>
  <c r="Z153" i="29"/>
  <c r="Z154" i="29" s="1"/>
  <c r="Z155" i="29" s="1"/>
  <c r="Z156" i="29" s="1"/>
  <c r="Z157" i="29" s="1"/>
  <c r="Z158" i="29" s="1"/>
  <c r="Z159" i="29" s="1"/>
  <c r="G22" i="29"/>
  <c r="L15" i="40" s="1"/>
  <c r="X263" i="15"/>
  <c r="B264" i="15"/>
  <c r="C264" i="15"/>
  <c r="W263" i="15"/>
  <c r="Y263" i="15"/>
  <c r="CC160" i="29"/>
  <c r="CL160" i="29"/>
  <c r="CW160" i="29"/>
  <c r="Q161" i="29"/>
  <c r="X161" i="29" s="1"/>
  <c r="R161" i="29"/>
  <c r="CT164" i="29"/>
  <c r="AX164" i="29"/>
  <c r="BR164" i="29"/>
  <c r="BY164" i="29"/>
  <c r="BN165" i="29"/>
  <c r="BO165" i="29"/>
  <c r="BQ165" i="29"/>
  <c r="J163" i="29"/>
  <c r="AQ162" i="29"/>
  <c r="L162" i="29"/>
  <c r="K163" i="29"/>
  <c r="AB161" i="29"/>
  <c r="U162" i="29"/>
  <c r="AC162" i="29" s="1"/>
  <c r="AW165" i="29"/>
  <c r="AP165" i="29"/>
  <c r="AV165" i="29" s="1"/>
  <c r="AR165" i="29" s="1"/>
  <c r="CF164" i="29"/>
  <c r="CI163" i="29"/>
  <c r="CE164" i="29"/>
  <c r="CP163" i="29"/>
  <c r="AC161" i="29"/>
  <c r="AN166" i="29"/>
  <c r="AO166" i="29"/>
  <c r="AA160" i="29"/>
  <c r="CS161" i="29"/>
  <c r="CM161" i="29" s="1"/>
  <c r="CB161" i="29"/>
  <c r="BV161" i="29" s="1"/>
  <c r="M160" i="29"/>
  <c r="W160" i="29"/>
  <c r="Y160" i="29" s="1"/>
  <c r="CR161" i="29"/>
  <c r="CA161" i="29"/>
  <c r="BU161" i="29" s="1"/>
  <c r="S163" i="29"/>
  <c r="T163" i="29"/>
  <c r="V162" i="29"/>
  <c r="AF162" i="29"/>
  <c r="AE162" i="29"/>
  <c r="BZ155" i="29"/>
  <c r="BX156" i="29" s="1"/>
  <c r="BD164" i="29"/>
  <c r="BP163" i="29"/>
  <c r="CG163" i="29"/>
  <c r="BC163" i="29"/>
  <c r="BF163" i="29" s="1"/>
  <c r="BE163" i="29"/>
  <c r="BG163" i="29" s="1"/>
  <c r="BA163" i="29" s="1"/>
  <c r="I31" i="39"/>
  <c r="H15" i="44" s="1"/>
  <c r="D15" i="45" s="1"/>
  <c r="K15" i="45" s="1"/>
  <c r="L15" i="45" s="1"/>
  <c r="J16" i="45" s="1"/>
  <c r="D162" i="15"/>
  <c r="G29" i="15"/>
  <c r="AZ162" i="29"/>
  <c r="BH162" i="29"/>
  <c r="BB162" i="29" s="1"/>
  <c r="BQ84" i="44" l="1"/>
  <c r="BO84" i="44"/>
  <c r="BK84" i="44"/>
  <c r="BN84" i="44"/>
  <c r="BI84" i="44"/>
  <c r="BE84" i="44"/>
  <c r="BA84" i="44"/>
  <c r="AW84" i="44"/>
  <c r="AS84" i="44"/>
  <c r="AO84" i="44"/>
  <c r="AK84" i="44"/>
  <c r="AG84" i="44"/>
  <c r="AC84" i="44"/>
  <c r="Y84" i="44"/>
  <c r="BM84" i="44"/>
  <c r="BH84" i="44"/>
  <c r="BD84" i="44"/>
  <c r="AZ84" i="44"/>
  <c r="AV84" i="44"/>
  <c r="AR84" i="44"/>
  <c r="AN84" i="44"/>
  <c r="AJ84" i="44"/>
  <c r="AF84" i="44"/>
  <c r="AB84" i="44"/>
  <c r="X84" i="44"/>
  <c r="BR84" i="44"/>
  <c r="BL84" i="44"/>
  <c r="BG84" i="44"/>
  <c r="BC84" i="44"/>
  <c r="AY84" i="44"/>
  <c r="AU84" i="44"/>
  <c r="AQ84" i="44"/>
  <c r="AM84" i="44"/>
  <c r="AI84" i="44"/>
  <c r="AE84" i="44"/>
  <c r="AA84" i="44"/>
  <c r="W84" i="44"/>
  <c r="BP84" i="44"/>
  <c r="BJ84" i="44"/>
  <c r="BF84" i="44"/>
  <c r="BB84" i="44"/>
  <c r="AX84" i="44"/>
  <c r="AT84" i="44"/>
  <c r="AP84" i="44"/>
  <c r="AL84" i="44"/>
  <c r="AH84" i="44"/>
  <c r="AD84" i="44"/>
  <c r="Z84" i="44"/>
  <c r="CX156" i="29"/>
  <c r="CV156" i="29"/>
  <c r="CO156" i="29" s="1"/>
  <c r="CQ156" i="29" s="1"/>
  <c r="Z160" i="29"/>
  <c r="F162" i="15"/>
  <c r="L31" i="39"/>
  <c r="CC161" i="29"/>
  <c r="B265" i="15"/>
  <c r="X264" i="15"/>
  <c r="C265" i="15"/>
  <c r="Y264" i="15"/>
  <c r="W264" i="15"/>
  <c r="AX165" i="29"/>
  <c r="U163" i="29"/>
  <c r="AB163" i="29" s="1"/>
  <c r="R162" i="29"/>
  <c r="Q162" i="29"/>
  <c r="CR162" i="29"/>
  <c r="W161" i="29"/>
  <c r="Y161" i="29" s="1"/>
  <c r="CS162" i="29"/>
  <c r="CM162" i="29" s="1"/>
  <c r="M161" i="29"/>
  <c r="CB162" i="29"/>
  <c r="BV162" i="29" s="1"/>
  <c r="CA162" i="29"/>
  <c r="BU162" i="29" s="1"/>
  <c r="AA161" i="29"/>
  <c r="V163" i="29"/>
  <c r="S164" i="29"/>
  <c r="T164" i="29"/>
  <c r="AE163" i="29"/>
  <c r="AF163" i="29"/>
  <c r="CL161" i="29"/>
  <c r="CW161" i="29"/>
  <c r="AN167" i="29"/>
  <c r="AO167" i="29"/>
  <c r="CF165" i="29"/>
  <c r="CI164" i="29"/>
  <c r="CP164" i="29"/>
  <c r="CE165" i="29"/>
  <c r="BR165" i="29"/>
  <c r="BN166" i="29"/>
  <c r="BO166" i="29"/>
  <c r="AW166" i="29"/>
  <c r="AP166" i="29"/>
  <c r="AV166" i="29" s="1"/>
  <c r="AR166" i="29" s="1"/>
  <c r="AB162" i="29"/>
  <c r="L163" i="29"/>
  <c r="AQ163" i="29"/>
  <c r="J164" i="29"/>
  <c r="K164" i="29"/>
  <c r="BQ166" i="29"/>
  <c r="CH165" i="29"/>
  <c r="CH166" i="29" s="1"/>
  <c r="BZ156" i="29"/>
  <c r="BX157" i="29" s="1"/>
  <c r="BH163" i="29"/>
  <c r="BB163" i="29" s="1"/>
  <c r="AZ163" i="29"/>
  <c r="BP164" i="29"/>
  <c r="CG164" i="29"/>
  <c r="BE164" i="29"/>
  <c r="BG164" i="29" s="1"/>
  <c r="BA164" i="29" s="1"/>
  <c r="BD165" i="29"/>
  <c r="BC164" i="29"/>
  <c r="BF164" i="29" s="1"/>
  <c r="Z161" i="29" l="1"/>
  <c r="CV157" i="29"/>
  <c r="CO157" i="29" s="1"/>
  <c r="CQ157" i="29" s="1"/>
  <c r="CX157" i="29"/>
  <c r="X265" i="15"/>
  <c r="B266" i="15"/>
  <c r="C266" i="15"/>
  <c r="Y265" i="15"/>
  <c r="W265" i="15"/>
  <c r="AC163" i="29"/>
  <c r="CH167" i="29"/>
  <c r="CT166" i="29"/>
  <c r="AX166" i="29"/>
  <c r="AW167" i="29"/>
  <c r="AP167" i="29"/>
  <c r="AV167" i="29" s="1"/>
  <c r="AR167" i="29" s="1"/>
  <c r="BQ167" i="29"/>
  <c r="CL162" i="29"/>
  <c r="CW162" i="29"/>
  <c r="Q163" i="29"/>
  <c r="X163" i="29" s="1"/>
  <c r="R163" i="29"/>
  <c r="K165" i="29"/>
  <c r="L164" i="29"/>
  <c r="J165" i="29"/>
  <c r="AQ164" i="29"/>
  <c r="BR166" i="29"/>
  <c r="BO167" i="29"/>
  <c r="BY166" i="29"/>
  <c r="BN167" i="29"/>
  <c r="CI165" i="29"/>
  <c r="CF166" i="29"/>
  <c r="CE166" i="29"/>
  <c r="V164" i="29"/>
  <c r="S165" i="29"/>
  <c r="T165" i="29"/>
  <c r="AF164" i="29"/>
  <c r="AE164" i="29"/>
  <c r="CC162" i="29"/>
  <c r="AN168" i="29"/>
  <c r="AO168" i="29"/>
  <c r="U164" i="29"/>
  <c r="X162" i="29"/>
  <c r="CS163" i="29"/>
  <c r="CM163" i="29" s="1"/>
  <c r="M162" i="29"/>
  <c r="CB163" i="29"/>
  <c r="BV163" i="29" s="1"/>
  <c r="W162" i="29"/>
  <c r="Y162" i="29" s="1"/>
  <c r="CA163" i="29"/>
  <c r="BU163" i="29" s="1"/>
  <c r="CR163" i="29"/>
  <c r="AA162" i="29"/>
  <c r="BZ157" i="29"/>
  <c r="BX158" i="29" s="1"/>
  <c r="BH164" i="29"/>
  <c r="BB164" i="29" s="1"/>
  <c r="AZ164" i="29"/>
  <c r="BP165" i="29"/>
  <c r="BE165" i="29"/>
  <c r="BG165" i="29" s="1"/>
  <c r="BA165" i="29" s="1"/>
  <c r="BD166" i="29"/>
  <c r="BI165" i="29"/>
  <c r="CG165" i="29"/>
  <c r="BC165" i="29"/>
  <c r="BF165" i="29" s="1"/>
  <c r="Z162" i="29" l="1"/>
  <c r="CX158" i="29"/>
  <c r="CV158" i="29"/>
  <c r="CO158" i="29" s="1"/>
  <c r="CQ158" i="29" s="1"/>
  <c r="B267" i="15"/>
  <c r="X266" i="15"/>
  <c r="C267" i="15"/>
  <c r="Y266" i="15"/>
  <c r="W266" i="15"/>
  <c r="Q164" i="29"/>
  <c r="R164" i="29"/>
  <c r="T166" i="29"/>
  <c r="V165" i="29"/>
  <c r="S166" i="29"/>
  <c r="AF165" i="29"/>
  <c r="AE165" i="29"/>
  <c r="CC163" i="29"/>
  <c r="AN169" i="29"/>
  <c r="AO169" i="29"/>
  <c r="U165" i="29"/>
  <c r="AW168" i="29"/>
  <c r="AP168" i="29"/>
  <c r="AV168" i="29" s="1"/>
  <c r="AR168" i="29" s="1"/>
  <c r="K166" i="29"/>
  <c r="L165" i="29"/>
  <c r="J166" i="29"/>
  <c r="AQ165" i="29"/>
  <c r="CR164" i="29"/>
  <c r="CA164" i="29"/>
  <c r="BU164" i="29" s="1"/>
  <c r="AA163" i="29"/>
  <c r="M163" i="29"/>
  <c r="CS164" i="29"/>
  <c r="CM164" i="29" s="1"/>
  <c r="W163" i="29"/>
  <c r="Y163" i="29" s="1"/>
  <c r="CB164" i="29"/>
  <c r="BV164" i="29" s="1"/>
  <c r="CE167" i="29"/>
  <c r="CI166" i="29"/>
  <c r="CF167" i="29"/>
  <c r="CP166" i="29"/>
  <c r="BN168" i="29"/>
  <c r="BR167" i="29"/>
  <c r="BO168" i="29"/>
  <c r="BY167" i="29"/>
  <c r="CT167" i="29"/>
  <c r="AX167" i="29"/>
  <c r="CL163" i="29"/>
  <c r="CW163" i="29"/>
  <c r="BQ168" i="29"/>
  <c r="BQ169" i="29" s="1"/>
  <c r="BZ158" i="29"/>
  <c r="BX159" i="29" s="1"/>
  <c r="BH165" i="29"/>
  <c r="BB165" i="29" s="1"/>
  <c r="AZ165" i="29"/>
  <c r="CG166" i="29"/>
  <c r="BC166" i="29"/>
  <c r="BF166" i="29" s="1"/>
  <c r="BE166" i="29"/>
  <c r="BG166" i="29" s="1"/>
  <c r="BA166" i="29" s="1"/>
  <c r="BD167" i="29"/>
  <c r="BP166" i="29"/>
  <c r="Z163" i="29" l="1"/>
  <c r="CV159" i="29"/>
  <c r="CO159" i="29" s="1"/>
  <c r="CQ159" i="29" s="1"/>
  <c r="CX159" i="29"/>
  <c r="B268" i="15"/>
  <c r="X267" i="15"/>
  <c r="C268" i="15"/>
  <c r="X268" i="15" s="1"/>
  <c r="Y267" i="15"/>
  <c r="W267" i="15"/>
  <c r="BY168" i="29"/>
  <c r="BR168" i="29"/>
  <c r="BO169" i="29"/>
  <c r="BN169" i="29"/>
  <c r="CE168" i="29"/>
  <c r="CF168" i="29"/>
  <c r="CI167" i="29"/>
  <c r="CP167" i="29"/>
  <c r="CT168" i="29"/>
  <c r="AX168" i="29"/>
  <c r="AN170" i="29"/>
  <c r="AO170" i="29"/>
  <c r="S167" i="29"/>
  <c r="V166" i="29"/>
  <c r="T167" i="29"/>
  <c r="AE166" i="29"/>
  <c r="AF166" i="29"/>
  <c r="CR165" i="29"/>
  <c r="CA165" i="29"/>
  <c r="BU165" i="29" s="1"/>
  <c r="W164" i="29"/>
  <c r="AA164" i="29"/>
  <c r="Q165" i="29"/>
  <c r="X165" i="29" s="1"/>
  <c r="R165" i="29"/>
  <c r="AW169" i="29"/>
  <c r="AP169" i="29"/>
  <c r="AV169" i="29" s="1"/>
  <c r="AR169" i="29" s="1"/>
  <c r="BQ170" i="29"/>
  <c r="CL164" i="29"/>
  <c r="CW164" i="29"/>
  <c r="L166" i="29"/>
  <c r="AQ166" i="29"/>
  <c r="K167" i="29"/>
  <c r="J167" i="29"/>
  <c r="AC165" i="29"/>
  <c r="U166" i="29"/>
  <c r="AC166" i="29" s="1"/>
  <c r="CC164" i="29"/>
  <c r="AB165" i="29"/>
  <c r="CH168" i="29"/>
  <c r="CH169" i="29" s="1"/>
  <c r="BZ159" i="29"/>
  <c r="BX160" i="29" s="1"/>
  <c r="BH166" i="29"/>
  <c r="BB166" i="29" s="1"/>
  <c r="AZ166" i="29"/>
  <c r="BE167" i="29"/>
  <c r="BG167" i="29" s="1"/>
  <c r="BA167" i="29" s="1"/>
  <c r="BC167" i="29"/>
  <c r="BF167" i="29" s="1"/>
  <c r="BP167" i="29"/>
  <c r="BD168" i="29"/>
  <c r="CG167" i="29"/>
  <c r="CX160" i="29" l="1"/>
  <c r="CV160" i="29"/>
  <c r="CO160" i="29" s="1"/>
  <c r="CQ160" i="29" s="1"/>
  <c r="W268" i="15"/>
  <c r="Y268" i="15"/>
  <c r="Q166" i="29"/>
  <c r="X166" i="29" s="1"/>
  <c r="R166" i="29"/>
  <c r="CA166" i="29"/>
  <c r="BU166" i="29" s="1"/>
  <c r="CR166" i="29"/>
  <c r="CS166" i="29"/>
  <c r="CM166" i="29" s="1"/>
  <c r="AA165" i="29"/>
  <c r="M165" i="29"/>
  <c r="W165" i="29"/>
  <c r="Y165" i="29" s="1"/>
  <c r="CB166" i="29"/>
  <c r="BV166" i="29" s="1"/>
  <c r="CS165" i="29"/>
  <c r="CM165" i="29" s="1"/>
  <c r="AO171" i="29"/>
  <c r="AN171" i="29"/>
  <c r="AB166" i="29"/>
  <c r="J168" i="29"/>
  <c r="AQ167" i="29"/>
  <c r="K168" i="29"/>
  <c r="L167" i="29"/>
  <c r="CT169" i="29"/>
  <c r="AX169" i="29"/>
  <c r="CB165" i="29"/>
  <c r="T168" i="29"/>
  <c r="S168" i="29"/>
  <c r="V167" i="29"/>
  <c r="AE167" i="29"/>
  <c r="AF167" i="29"/>
  <c r="AW170" i="29"/>
  <c r="AP170" i="29"/>
  <c r="AV170" i="29" s="1"/>
  <c r="AR170" i="29" s="1"/>
  <c r="BY169" i="29"/>
  <c r="BN170" i="29"/>
  <c r="BO170" i="29"/>
  <c r="BR169" i="29"/>
  <c r="CE169" i="29"/>
  <c r="CP168" i="29"/>
  <c r="CI168" i="29"/>
  <c r="CF169" i="29"/>
  <c r="CH170" i="29" s="1"/>
  <c r="U167" i="29"/>
  <c r="BZ160" i="29"/>
  <c r="BX161" i="29" s="1"/>
  <c r="AZ167" i="29"/>
  <c r="BH167" i="29"/>
  <c r="BB167" i="29" s="1"/>
  <c r="BC168" i="29"/>
  <c r="BF168" i="29" s="1"/>
  <c r="CG168" i="29"/>
  <c r="BE168" i="29"/>
  <c r="BG168" i="29" s="1"/>
  <c r="BA168" i="29" s="1"/>
  <c r="BP168" i="29"/>
  <c r="BD169" i="29"/>
  <c r="CV161" i="29" l="1"/>
  <c r="CO161" i="29" s="1"/>
  <c r="CQ161" i="29" s="1"/>
  <c r="CX161" i="29"/>
  <c r="CT165" i="29"/>
  <c r="CW165" i="29" s="1"/>
  <c r="CH171" i="29"/>
  <c r="K169" i="29"/>
  <c r="J169" i="29"/>
  <c r="AQ168" i="29"/>
  <c r="L168" i="29"/>
  <c r="AW171" i="29"/>
  <c r="AP171" i="29"/>
  <c r="AV171" i="29" s="1"/>
  <c r="AR171" i="29" s="1"/>
  <c r="R167" i="29"/>
  <c r="Q167" i="29"/>
  <c r="BR170" i="29"/>
  <c r="BY170" i="29"/>
  <c r="BN171" i="29"/>
  <c r="BO171" i="29"/>
  <c r="U168" i="29"/>
  <c r="AB168" i="29" s="1"/>
  <c r="AB167" i="29"/>
  <c r="V168" i="29"/>
  <c r="T169" i="29"/>
  <c r="S169" i="29"/>
  <c r="AE168" i="29"/>
  <c r="AF168" i="29"/>
  <c r="CS167" i="29"/>
  <c r="CM167" i="29" s="1"/>
  <c r="CB167" i="29"/>
  <c r="BV167" i="29" s="1"/>
  <c r="M166" i="29"/>
  <c r="CA167" i="29"/>
  <c r="BU167" i="29" s="1"/>
  <c r="CR167" i="29"/>
  <c r="W166" i="29"/>
  <c r="Y166" i="29" s="1"/>
  <c r="AA166" i="29"/>
  <c r="CP169" i="29"/>
  <c r="CE170" i="29"/>
  <c r="CI169" i="29"/>
  <c r="CF170" i="29"/>
  <c r="CT170" i="29"/>
  <c r="AX170" i="29"/>
  <c r="AN172" i="29"/>
  <c r="AO172" i="29"/>
  <c r="CL166" i="29"/>
  <c r="CW166" i="29"/>
  <c r="BV165" i="29"/>
  <c r="CC165" i="29"/>
  <c r="AC167" i="29"/>
  <c r="CC166" i="29"/>
  <c r="BQ171" i="29"/>
  <c r="BQ172" i="29" s="1"/>
  <c r="AZ168" i="29"/>
  <c r="BH168" i="29"/>
  <c r="BB168" i="29" s="1"/>
  <c r="BZ161" i="29"/>
  <c r="BX162" i="29" s="1"/>
  <c r="BP169" i="29"/>
  <c r="BD170" i="29"/>
  <c r="BE169" i="29"/>
  <c r="BG169" i="29" s="1"/>
  <c r="BA169" i="29" s="1"/>
  <c r="CG169" i="29"/>
  <c r="BC169" i="29"/>
  <c r="BF169" i="29" s="1"/>
  <c r="CL165" i="29" l="1"/>
  <c r="CX162" i="29"/>
  <c r="CV162" i="29"/>
  <c r="CO162" i="29" s="1"/>
  <c r="CQ162" i="29" s="1"/>
  <c r="AC168" i="29"/>
  <c r="CC167" i="29"/>
  <c r="AO173" i="29"/>
  <c r="AN173" i="29"/>
  <c r="CP170" i="29"/>
  <c r="CF171" i="29"/>
  <c r="CE171" i="29"/>
  <c r="CI170" i="29"/>
  <c r="CT171" i="29"/>
  <c r="AX171" i="29"/>
  <c r="L169" i="29"/>
  <c r="J170" i="29"/>
  <c r="K170" i="29"/>
  <c r="AQ169" i="29"/>
  <c r="CH172" i="29"/>
  <c r="U169" i="29"/>
  <c r="BO172" i="29"/>
  <c r="BN172" i="29"/>
  <c r="BY171" i="29"/>
  <c r="BR171" i="29"/>
  <c r="CA168" i="29"/>
  <c r="BU168" i="29" s="1"/>
  <c r="CS168" i="29"/>
  <c r="CM168" i="29" s="1"/>
  <c r="CR168" i="29"/>
  <c r="AA167" i="29"/>
  <c r="CB168" i="29"/>
  <c r="BV168" i="29" s="1"/>
  <c r="W167" i="29"/>
  <c r="Y167" i="29" s="1"/>
  <c r="M167" i="29"/>
  <c r="AW172" i="29"/>
  <c r="AP172" i="29"/>
  <c r="AV172" i="29" s="1"/>
  <c r="AR172" i="29" s="1"/>
  <c r="BQ173" i="29"/>
  <c r="CL167" i="29"/>
  <c r="CW167" i="29"/>
  <c r="V169" i="29"/>
  <c r="S170" i="29"/>
  <c r="T170" i="29"/>
  <c r="AF169" i="29"/>
  <c r="AE169" i="29"/>
  <c r="Q168" i="29"/>
  <c r="R168" i="29"/>
  <c r="X167" i="29"/>
  <c r="BZ162" i="29"/>
  <c r="BX163" i="29" s="1"/>
  <c r="BP170" i="29"/>
  <c r="CG170" i="29"/>
  <c r="BD171" i="29"/>
  <c r="BC170" i="29"/>
  <c r="BF170" i="29" s="1"/>
  <c r="BE170" i="29"/>
  <c r="BG170" i="29" s="1"/>
  <c r="BA170" i="29" s="1"/>
  <c r="BH169" i="29"/>
  <c r="BB169" i="29" s="1"/>
  <c r="AZ169" i="29"/>
  <c r="CV163" i="29" l="1"/>
  <c r="CO163" i="29" s="1"/>
  <c r="CQ163" i="29" s="1"/>
  <c r="CX163" i="29"/>
  <c r="CC168" i="29"/>
  <c r="M168" i="29"/>
  <c r="CR169" i="29"/>
  <c r="CS169" i="29"/>
  <c r="CM169" i="29" s="1"/>
  <c r="CB169" i="29"/>
  <c r="BV169" i="29" s="1"/>
  <c r="W168" i="29"/>
  <c r="Y168" i="29" s="1"/>
  <c r="AA168" i="29"/>
  <c r="CA169" i="29"/>
  <c r="BU169" i="29" s="1"/>
  <c r="U170" i="29"/>
  <c r="AB170" i="29" s="1"/>
  <c r="Q169" i="29"/>
  <c r="X169" i="29" s="1"/>
  <c r="R169" i="29"/>
  <c r="AO174" i="29"/>
  <c r="AN174" i="29"/>
  <c r="CL168" i="29"/>
  <c r="CW168" i="29"/>
  <c r="AB169" i="29"/>
  <c r="CE172" i="29"/>
  <c r="CI171" i="29"/>
  <c r="CF172" i="29"/>
  <c r="CP171" i="29"/>
  <c r="AC169" i="29"/>
  <c r="K171" i="29"/>
  <c r="J171" i="29"/>
  <c r="L170" i="29"/>
  <c r="AQ170" i="29"/>
  <c r="X168" i="29"/>
  <c r="V170" i="29"/>
  <c r="S171" i="29"/>
  <c r="T171" i="29"/>
  <c r="AE170" i="29"/>
  <c r="AF170" i="29"/>
  <c r="CT172" i="29"/>
  <c r="AX172" i="29"/>
  <c r="BO173" i="29"/>
  <c r="BY172" i="29"/>
  <c r="BN173" i="29"/>
  <c r="BR172" i="29"/>
  <c r="AW173" i="29"/>
  <c r="AP173" i="29"/>
  <c r="AV173" i="29" s="1"/>
  <c r="AR173" i="29" s="1"/>
  <c r="BZ163" i="29"/>
  <c r="BX164" i="29" s="1"/>
  <c r="BH170" i="29"/>
  <c r="BB170" i="29" s="1"/>
  <c r="AZ170" i="29"/>
  <c r="BP171" i="29"/>
  <c r="CG171" i="29"/>
  <c r="BE171" i="29"/>
  <c r="BG171" i="29" s="1"/>
  <c r="BA171" i="29" s="1"/>
  <c r="BD172" i="29"/>
  <c r="BC171" i="29"/>
  <c r="BF171" i="29" s="1"/>
  <c r="CV164" i="29" l="1"/>
  <c r="CO164" i="29" s="1"/>
  <c r="CQ164" i="29" s="1"/>
  <c r="CP165" i="29" s="1"/>
  <c r="CN165" i="29" s="1"/>
  <c r="CJ165" i="29" s="1"/>
  <c r="AJ23" i="29" s="1"/>
  <c r="CX164" i="29"/>
  <c r="AC170" i="29"/>
  <c r="CT173" i="29"/>
  <c r="AX173" i="29"/>
  <c r="BO174" i="29"/>
  <c r="BY173" i="29"/>
  <c r="BR173" i="29"/>
  <c r="BN174" i="29"/>
  <c r="AN175" i="29"/>
  <c r="AO175" i="29"/>
  <c r="W169" i="29"/>
  <c r="Y169" i="29" s="1"/>
  <c r="M169" i="29"/>
  <c r="CA170" i="29"/>
  <c r="BU170" i="29" s="1"/>
  <c r="CR170" i="29"/>
  <c r="CS170" i="29"/>
  <c r="CM170" i="29" s="1"/>
  <c r="AA169" i="29"/>
  <c r="CB170" i="29"/>
  <c r="BV170" i="29" s="1"/>
  <c r="CL169" i="29"/>
  <c r="CW169" i="29"/>
  <c r="V171" i="29"/>
  <c r="S172" i="29"/>
  <c r="T172" i="29"/>
  <c r="AE171" i="29"/>
  <c r="AF171" i="29"/>
  <c r="CF173" i="29"/>
  <c r="CP172" i="29"/>
  <c r="CE173" i="29"/>
  <c r="CI172" i="29"/>
  <c r="CH173" i="29"/>
  <c r="BQ174" i="29"/>
  <c r="BQ175" i="29" s="1"/>
  <c r="CC169" i="29"/>
  <c r="AW174" i="29"/>
  <c r="AP174" i="29"/>
  <c r="AV174" i="29" s="1"/>
  <c r="AR174" i="29" s="1"/>
  <c r="U171" i="29"/>
  <c r="AB171" i="29" s="1"/>
  <c r="J172" i="29"/>
  <c r="AQ171" i="29"/>
  <c r="L171" i="29"/>
  <c r="K172" i="29"/>
  <c r="Q170" i="29"/>
  <c r="R170" i="29"/>
  <c r="AZ171" i="29"/>
  <c r="BH171" i="29"/>
  <c r="BB171" i="29" s="1"/>
  <c r="BZ164" i="29"/>
  <c r="BY165" i="29" s="1"/>
  <c r="BD173" i="29"/>
  <c r="BP172" i="29"/>
  <c r="BC172" i="29"/>
  <c r="BF172" i="29" s="1"/>
  <c r="CG172" i="29"/>
  <c r="BE172" i="29"/>
  <c r="BG172" i="29" s="1"/>
  <c r="BA172" i="29" s="1"/>
  <c r="CV165" i="29" l="1"/>
  <c r="CO165" i="29" s="1"/>
  <c r="CQ165" i="29" s="1"/>
  <c r="CX165" i="29"/>
  <c r="AC171" i="29"/>
  <c r="CC170" i="29"/>
  <c r="CT174" i="29"/>
  <c r="AX174" i="29"/>
  <c r="V172" i="29"/>
  <c r="T173" i="29"/>
  <c r="S173" i="29"/>
  <c r="AF172" i="29"/>
  <c r="AE172" i="29"/>
  <c r="U172" i="29"/>
  <c r="AC172" i="29" s="1"/>
  <c r="CA171" i="29"/>
  <c r="BU171" i="29" s="1"/>
  <c r="CR171" i="29"/>
  <c r="AA170" i="29"/>
  <c r="CS171" i="29"/>
  <c r="CM171" i="29" s="1"/>
  <c r="W170" i="29"/>
  <c r="Y170" i="29" s="1"/>
  <c r="M170" i="29"/>
  <c r="CB171" i="29"/>
  <c r="BV171" i="29" s="1"/>
  <c r="CI173" i="29"/>
  <c r="CF174" i="29"/>
  <c r="CE174" i="29"/>
  <c r="CP173" i="29"/>
  <c r="X170" i="29"/>
  <c r="CL170" i="29"/>
  <c r="CW170" i="29"/>
  <c r="AN176" i="29"/>
  <c r="AO176" i="29"/>
  <c r="J173" i="29"/>
  <c r="L172" i="29"/>
  <c r="AQ172" i="29"/>
  <c r="K173" i="29"/>
  <c r="Q171" i="29"/>
  <c r="X171" i="29" s="1"/>
  <c r="R171" i="29"/>
  <c r="CH174" i="29"/>
  <c r="CH175" i="29" s="1"/>
  <c r="AW175" i="29"/>
  <c r="AP175" i="29"/>
  <c r="AV175" i="29" s="1"/>
  <c r="AR175" i="29" s="1"/>
  <c r="BY174" i="29"/>
  <c r="BO175" i="29"/>
  <c r="BR174" i="29"/>
  <c r="BN175" i="29"/>
  <c r="BW165" i="29"/>
  <c r="BX165" i="29"/>
  <c r="BE173" i="29"/>
  <c r="BG173" i="29" s="1"/>
  <c r="BA173" i="29" s="1"/>
  <c r="BP173" i="29"/>
  <c r="BD174" i="29"/>
  <c r="BC173" i="29"/>
  <c r="BF173" i="29" s="1"/>
  <c r="CG173" i="29"/>
  <c r="AZ172" i="29"/>
  <c r="BH172" i="29"/>
  <c r="BB172" i="29" s="1"/>
  <c r="CX166" i="29" l="1"/>
  <c r="CV166" i="29"/>
  <c r="CO166" i="29" s="1"/>
  <c r="CQ166" i="29" s="1"/>
  <c r="CK165" i="29"/>
  <c r="AR164" i="29" s="1"/>
  <c r="AL23" i="29" s="1"/>
  <c r="AB172" i="29"/>
  <c r="BY175" i="29"/>
  <c r="BN176" i="29"/>
  <c r="BR175" i="29"/>
  <c r="BO176" i="29"/>
  <c r="CA172" i="29"/>
  <c r="BU172" i="29" s="1"/>
  <c r="CB172" i="29"/>
  <c r="BV172" i="29" s="1"/>
  <c r="CR172" i="29"/>
  <c r="CS172" i="29"/>
  <c r="CM172" i="29" s="1"/>
  <c r="AA171" i="29"/>
  <c r="W171" i="29"/>
  <c r="Y171" i="29" s="1"/>
  <c r="M171" i="29"/>
  <c r="CE175" i="29"/>
  <c r="CI174" i="29"/>
  <c r="CF175" i="29"/>
  <c r="CP174" i="29"/>
  <c r="CL171" i="29"/>
  <c r="CW171" i="29"/>
  <c r="CT175" i="29"/>
  <c r="AX175" i="29"/>
  <c r="AW176" i="29"/>
  <c r="AP176" i="29"/>
  <c r="AV176" i="29" s="1"/>
  <c r="CH176" i="29"/>
  <c r="K174" i="29"/>
  <c r="AQ173" i="29"/>
  <c r="L173" i="29"/>
  <c r="J174" i="29"/>
  <c r="U173" i="29"/>
  <c r="AB173" i="29" s="1"/>
  <c r="AN177" i="29"/>
  <c r="AO177" i="29"/>
  <c r="BQ176" i="29"/>
  <c r="BQ177" i="29" s="1"/>
  <c r="CC171" i="29"/>
  <c r="Q172" i="29"/>
  <c r="R172" i="29"/>
  <c r="S174" i="29"/>
  <c r="T174" i="29"/>
  <c r="V173" i="29"/>
  <c r="AF173" i="29"/>
  <c r="AE173" i="29"/>
  <c r="BT165" i="29"/>
  <c r="M164" i="29" s="1"/>
  <c r="BS165" i="29"/>
  <c r="AZ173" i="29"/>
  <c r="BH173" i="29"/>
  <c r="BB173" i="29" s="1"/>
  <c r="BC174" i="29"/>
  <c r="BF174" i="29" s="1"/>
  <c r="BD175" i="29"/>
  <c r="BE174" i="29"/>
  <c r="BG174" i="29" s="1"/>
  <c r="BA174" i="29" s="1"/>
  <c r="CG174" i="29"/>
  <c r="BP174" i="29"/>
  <c r="BZ165" i="29"/>
  <c r="BX166" i="29" s="1"/>
  <c r="CV167" i="29" l="1"/>
  <c r="CO167" i="29" s="1"/>
  <c r="CQ167" i="29" s="1"/>
  <c r="CX167" i="29"/>
  <c r="CH177" i="29"/>
  <c r="CI175" i="29"/>
  <c r="CE176" i="29"/>
  <c r="CF176" i="29"/>
  <c r="CP175" i="29"/>
  <c r="X172" i="29"/>
  <c r="CS173" i="29"/>
  <c r="CM173" i="29" s="1"/>
  <c r="CR173" i="29"/>
  <c r="CB173" i="29"/>
  <c r="BV173" i="29" s="1"/>
  <c r="CA173" i="29"/>
  <c r="BU173" i="29" s="1"/>
  <c r="M172" i="29"/>
  <c r="AA172" i="29"/>
  <c r="W172" i="29"/>
  <c r="Y172" i="29" s="1"/>
  <c r="AW177" i="29"/>
  <c r="AP177" i="29"/>
  <c r="AV177" i="29" s="1"/>
  <c r="AR177" i="29" s="1"/>
  <c r="Q173" i="29"/>
  <c r="X173" i="29" s="1"/>
  <c r="R173" i="29"/>
  <c r="V174" i="29"/>
  <c r="S175" i="29"/>
  <c r="T175" i="29"/>
  <c r="AF174" i="29"/>
  <c r="AE174" i="29"/>
  <c r="CT176" i="29"/>
  <c r="AX176" i="29"/>
  <c r="CC172" i="29"/>
  <c r="BY176" i="29"/>
  <c r="BN177" i="29"/>
  <c r="BO177" i="29"/>
  <c r="BR176" i="29"/>
  <c r="AO178" i="29"/>
  <c r="AN178" i="29"/>
  <c r="U174" i="29"/>
  <c r="AC174" i="29" s="1"/>
  <c r="BQ178" i="29"/>
  <c r="AC173" i="29"/>
  <c r="K175" i="29"/>
  <c r="AQ174" i="29"/>
  <c r="L174" i="29"/>
  <c r="J175" i="29"/>
  <c r="CL172" i="29"/>
  <c r="CW172" i="29"/>
  <c r="BP175" i="29"/>
  <c r="CG175" i="29"/>
  <c r="BD176" i="29"/>
  <c r="BC175" i="29"/>
  <c r="BF175" i="29" s="1"/>
  <c r="BE175" i="29"/>
  <c r="BG175" i="29" s="1"/>
  <c r="BA175" i="29" s="1"/>
  <c r="BZ166" i="29"/>
  <c r="BX167" i="29" s="1"/>
  <c r="BH174" i="29"/>
  <c r="BB174" i="29" s="1"/>
  <c r="AZ174" i="29"/>
  <c r="H23" i="29"/>
  <c r="K16" i="40" s="1"/>
  <c r="X164" i="29"/>
  <c r="Y164" i="29" s="1"/>
  <c r="Z164" i="29" s="1"/>
  <c r="CX168" i="29" l="1"/>
  <c r="CV168" i="29"/>
  <c r="CO168" i="29" s="1"/>
  <c r="CQ168" i="29" s="1"/>
  <c r="AC164" i="29"/>
  <c r="AB164" i="29"/>
  <c r="Z165" i="29"/>
  <c r="Z166" i="29" s="1"/>
  <c r="Z167" i="29" s="1"/>
  <c r="Z168" i="29" s="1"/>
  <c r="Z169" i="29" s="1"/>
  <c r="Z170" i="29" s="1"/>
  <c r="Z171" i="29" s="1"/>
  <c r="Z172" i="29" s="1"/>
  <c r="G23" i="29"/>
  <c r="L16" i="40" s="1"/>
  <c r="CC173" i="29"/>
  <c r="AO179" i="29"/>
  <c r="AN179" i="29"/>
  <c r="W173" i="29"/>
  <c r="Y173" i="29" s="1"/>
  <c r="CR174" i="29"/>
  <c r="M173" i="29"/>
  <c r="CA174" i="29"/>
  <c r="BU174" i="29" s="1"/>
  <c r="AA173" i="29"/>
  <c r="CB174" i="29"/>
  <c r="BV174" i="29" s="1"/>
  <c r="CS174" i="29"/>
  <c r="CM174" i="29" s="1"/>
  <c r="Q174" i="29"/>
  <c r="X174" i="29" s="1"/>
  <c r="R174" i="29"/>
  <c r="BR177" i="29"/>
  <c r="BO178" i="29"/>
  <c r="BN178" i="29"/>
  <c r="V175" i="29"/>
  <c r="S176" i="29"/>
  <c r="T176" i="29"/>
  <c r="AF175" i="29"/>
  <c r="AE175" i="29"/>
  <c r="CL173" i="29"/>
  <c r="CW173" i="29"/>
  <c r="AQ175" i="29"/>
  <c r="K176" i="29"/>
  <c r="L175" i="29"/>
  <c r="J176" i="29"/>
  <c r="AB174" i="29"/>
  <c r="AW178" i="29"/>
  <c r="AP178" i="29"/>
  <c r="AV178" i="29" s="1"/>
  <c r="AR178" i="29" s="1"/>
  <c r="U175" i="29"/>
  <c r="AC175" i="29" s="1"/>
  <c r="AX177" i="29"/>
  <c r="CI176" i="29"/>
  <c r="CE177" i="29"/>
  <c r="CF177" i="29"/>
  <c r="CH178" i="29" s="1"/>
  <c r="CP176" i="29"/>
  <c r="G30" i="15"/>
  <c r="D163" i="15"/>
  <c r="I32" i="39"/>
  <c r="H16" i="44" s="1"/>
  <c r="D16" i="45" s="1"/>
  <c r="K16" i="45" s="1"/>
  <c r="L16" i="45" s="1"/>
  <c r="J17" i="45" s="1"/>
  <c r="BZ167" i="29"/>
  <c r="BX168" i="29" s="1"/>
  <c r="CG176" i="29"/>
  <c r="BD177" i="29"/>
  <c r="BE176" i="29"/>
  <c r="BG176" i="29" s="1"/>
  <c r="BA176" i="29" s="1"/>
  <c r="BP176" i="29"/>
  <c r="BC176" i="29"/>
  <c r="BF176" i="29" s="1"/>
  <c r="BH175" i="29"/>
  <c r="BB175" i="29" s="1"/>
  <c r="AZ175" i="29"/>
  <c r="BR85" i="44" l="1"/>
  <c r="BN85" i="44"/>
  <c r="BJ85" i="44"/>
  <c r="BF85" i="44"/>
  <c r="BB85" i="44"/>
  <c r="AX85" i="44"/>
  <c r="AT85" i="44"/>
  <c r="AP85" i="44"/>
  <c r="AL85" i="44"/>
  <c r="AH85" i="44"/>
  <c r="AD85" i="44"/>
  <c r="Z85" i="44"/>
  <c r="BP85" i="44"/>
  <c r="BL85" i="44"/>
  <c r="BH85" i="44"/>
  <c r="BD85" i="44"/>
  <c r="AZ85" i="44"/>
  <c r="AV85" i="44"/>
  <c r="AR85" i="44"/>
  <c r="AN85" i="44"/>
  <c r="AJ85" i="44"/>
  <c r="AF85" i="44"/>
  <c r="AB85" i="44"/>
  <c r="X85" i="44"/>
  <c r="BO85" i="44"/>
  <c r="BG85" i="44"/>
  <c r="AY85" i="44"/>
  <c r="AQ85" i="44"/>
  <c r="AI85" i="44"/>
  <c r="AA85" i="44"/>
  <c r="BM85" i="44"/>
  <c r="BE85" i="44"/>
  <c r="AW85" i="44"/>
  <c r="AO85" i="44"/>
  <c r="AG85" i="44"/>
  <c r="Y85" i="44"/>
  <c r="BK85" i="44"/>
  <c r="BC85" i="44"/>
  <c r="AU85" i="44"/>
  <c r="AM85" i="44"/>
  <c r="AE85" i="44"/>
  <c r="BQ85" i="44"/>
  <c r="BI85" i="44"/>
  <c r="BA85" i="44"/>
  <c r="AS85" i="44"/>
  <c r="AK85" i="44"/>
  <c r="AC85" i="44"/>
  <c r="CV169" i="29"/>
  <c r="CO169" i="29" s="1"/>
  <c r="CQ169" i="29" s="1"/>
  <c r="CX169" i="29"/>
  <c r="Z173" i="29"/>
  <c r="F163" i="15"/>
  <c r="L32" i="39"/>
  <c r="CC174" i="29"/>
  <c r="AB175" i="29"/>
  <c r="AW179" i="29"/>
  <c r="AP179" i="29"/>
  <c r="AV179" i="29" s="1"/>
  <c r="AR179" i="29" s="1"/>
  <c r="Q175" i="29"/>
  <c r="X175" i="29" s="1"/>
  <c r="R175" i="29"/>
  <c r="CL174" i="29"/>
  <c r="CW174" i="29"/>
  <c r="AO180" i="29"/>
  <c r="AN180" i="29"/>
  <c r="CT178" i="29"/>
  <c r="AX178" i="29"/>
  <c r="K177" i="29"/>
  <c r="J177" i="29"/>
  <c r="AQ176" i="29"/>
  <c r="L176" i="29"/>
  <c r="CI177" i="29"/>
  <c r="CE178" i="29"/>
  <c r="CF178" i="29"/>
  <c r="U176" i="29"/>
  <c r="S177" i="29"/>
  <c r="V176" i="29"/>
  <c r="T177" i="29"/>
  <c r="AF176" i="29"/>
  <c r="AE176" i="29"/>
  <c r="BY178" i="29"/>
  <c r="BO179" i="29"/>
  <c r="BN179" i="29"/>
  <c r="BR178" i="29"/>
  <c r="CR175" i="29"/>
  <c r="AA174" i="29"/>
  <c r="M174" i="29"/>
  <c r="CS175" i="29"/>
  <c r="CM175" i="29" s="1"/>
  <c r="CA175" i="29"/>
  <c r="BU175" i="29" s="1"/>
  <c r="W174" i="29"/>
  <c r="Y174" i="29" s="1"/>
  <c r="CB175" i="29"/>
  <c r="BV175" i="29" s="1"/>
  <c r="BQ179" i="29"/>
  <c r="BZ168" i="29"/>
  <c r="BX169" i="29" s="1"/>
  <c r="BH176" i="29"/>
  <c r="BB176" i="29" s="1"/>
  <c r="AZ176" i="29"/>
  <c r="BE177" i="29"/>
  <c r="BG177" i="29" s="1"/>
  <c r="BA177" i="29" s="1"/>
  <c r="BP177" i="29"/>
  <c r="BD178" i="29"/>
  <c r="BI177" i="29"/>
  <c r="CG177" i="29"/>
  <c r="BC177" i="29"/>
  <c r="BF177" i="29" s="1"/>
  <c r="Z174" i="29" l="1"/>
  <c r="CV170" i="29"/>
  <c r="CO170" i="29" s="1"/>
  <c r="CQ170" i="29" s="1"/>
  <c r="CX170" i="29"/>
  <c r="CC175" i="29"/>
  <c r="BR179" i="29"/>
  <c r="BN180" i="29"/>
  <c r="BO180" i="29"/>
  <c r="BY179" i="29"/>
  <c r="S178" i="29"/>
  <c r="V177" i="29"/>
  <c r="T178" i="29"/>
  <c r="AF177" i="29"/>
  <c r="AE177" i="29"/>
  <c r="CI178" i="29"/>
  <c r="CE179" i="29"/>
  <c r="CF179" i="29"/>
  <c r="CP178" i="29"/>
  <c r="AW180" i="29"/>
  <c r="AP180" i="29"/>
  <c r="AV180" i="29" s="1"/>
  <c r="AR180" i="29" s="1"/>
  <c r="BQ180" i="29"/>
  <c r="BQ181" i="29" s="1"/>
  <c r="CL175" i="29"/>
  <c r="CW175" i="29"/>
  <c r="AO181" i="29"/>
  <c r="AN181" i="29"/>
  <c r="CT179" i="29"/>
  <c r="AX179" i="29"/>
  <c r="U177" i="29"/>
  <c r="AB177" i="29" s="1"/>
  <c r="M175" i="29"/>
  <c r="AA175" i="29"/>
  <c r="CR176" i="29"/>
  <c r="CS176" i="29"/>
  <c r="CM176" i="29" s="1"/>
  <c r="CB176" i="29"/>
  <c r="BV176" i="29" s="1"/>
  <c r="W175" i="29"/>
  <c r="Y175" i="29" s="1"/>
  <c r="Z175" i="29" s="1"/>
  <c r="CA176" i="29"/>
  <c r="BU176" i="29" s="1"/>
  <c r="CH179" i="29"/>
  <c r="Q176" i="29"/>
  <c r="R176" i="29"/>
  <c r="AQ177" i="29"/>
  <c r="L177" i="29"/>
  <c r="J178" i="29"/>
  <c r="K178" i="29"/>
  <c r="BZ169" i="29"/>
  <c r="BX170" i="29" s="1"/>
  <c r="CG178" i="29"/>
  <c r="BD179" i="29"/>
  <c r="BE178" i="29"/>
  <c r="BG178" i="29" s="1"/>
  <c r="BA178" i="29" s="1"/>
  <c r="BP178" i="29"/>
  <c r="BC178" i="29"/>
  <c r="BF178" i="29" s="1"/>
  <c r="AZ177" i="29"/>
  <c r="BH177" i="29"/>
  <c r="BB177" i="29" s="1"/>
  <c r="CX171" i="29" l="1"/>
  <c r="CV171" i="29"/>
  <c r="CO171" i="29" s="1"/>
  <c r="CQ171" i="29" s="1"/>
  <c r="CL176" i="29"/>
  <c r="CW176" i="29"/>
  <c r="AA176" i="29"/>
  <c r="CR177" i="29"/>
  <c r="W176" i="29"/>
  <c r="CA177" i="29"/>
  <c r="BU177" i="29" s="1"/>
  <c r="CH180" i="29"/>
  <c r="R177" i="29"/>
  <c r="Q177" i="29"/>
  <c r="CT180" i="29"/>
  <c r="AX180" i="29"/>
  <c r="CC176" i="29"/>
  <c r="AC177" i="29"/>
  <c r="U178" i="29"/>
  <c r="AW181" i="29"/>
  <c r="AP181" i="29"/>
  <c r="AV181" i="29" s="1"/>
  <c r="AR181" i="29" s="1"/>
  <c r="CI179" i="29"/>
  <c r="CP179" i="29"/>
  <c r="CF180" i="29"/>
  <c r="CE180" i="29"/>
  <c r="J179" i="29"/>
  <c r="L178" i="29"/>
  <c r="AQ178" i="29"/>
  <c r="K179" i="29"/>
  <c r="AO182" i="29"/>
  <c r="AN182" i="29"/>
  <c r="V178" i="29"/>
  <c r="S179" i="29"/>
  <c r="T179" i="29"/>
  <c r="AF178" i="29"/>
  <c r="AE178" i="29"/>
  <c r="BR180" i="29"/>
  <c r="BN181" i="29"/>
  <c r="BY180" i="29"/>
  <c r="BO181" i="29"/>
  <c r="BQ182" i="29" s="1"/>
  <c r="BZ170" i="29"/>
  <c r="BX171" i="29" s="1"/>
  <c r="BE179" i="29"/>
  <c r="BG179" i="29" s="1"/>
  <c r="BA179" i="29" s="1"/>
  <c r="BC179" i="29"/>
  <c r="BF179" i="29" s="1"/>
  <c r="BD180" i="29"/>
  <c r="BP179" i="29"/>
  <c r="CG179" i="29"/>
  <c r="BH178" i="29"/>
  <c r="BB178" i="29" s="1"/>
  <c r="AZ178" i="29"/>
  <c r="CV172" i="29" l="1"/>
  <c r="CO172" i="29" s="1"/>
  <c r="CQ172" i="29" s="1"/>
  <c r="CX172" i="29"/>
  <c r="CS177" i="29"/>
  <c r="CM177" i="29" s="1"/>
  <c r="CP180" i="29"/>
  <c r="CI180" i="29"/>
  <c r="CF181" i="29"/>
  <c r="CE181" i="29"/>
  <c r="R178" i="29"/>
  <c r="Q178" i="29"/>
  <c r="X178" i="29" s="1"/>
  <c r="AW182" i="29"/>
  <c r="AP182" i="29"/>
  <c r="AV182" i="29" s="1"/>
  <c r="AR182" i="29" s="1"/>
  <c r="CT181" i="29"/>
  <c r="AX181" i="29"/>
  <c r="AB178" i="29"/>
  <c r="CH181" i="29"/>
  <c r="CH182" i="29" s="1"/>
  <c r="AN183" i="29"/>
  <c r="AO183" i="29"/>
  <c r="M177" i="29"/>
  <c r="W177" i="29"/>
  <c r="Y177" i="29" s="1"/>
  <c r="CR178" i="29"/>
  <c r="CB178" i="29"/>
  <c r="BV178" i="29" s="1"/>
  <c r="AA177" i="29"/>
  <c r="CA178" i="29"/>
  <c r="BU178" i="29" s="1"/>
  <c r="CS178" i="29"/>
  <c r="CM178" i="29" s="1"/>
  <c r="T180" i="29"/>
  <c r="V179" i="29"/>
  <c r="S180" i="29"/>
  <c r="AE179" i="29"/>
  <c r="AF179" i="29"/>
  <c r="AC178" i="29"/>
  <c r="U179" i="29"/>
  <c r="AC179" i="29" s="1"/>
  <c r="K180" i="29"/>
  <c r="L179" i="29"/>
  <c r="J180" i="29"/>
  <c r="AQ179" i="29"/>
  <c r="X177" i="29"/>
  <c r="CB177" i="29"/>
  <c r="BV177" i="29" s="1"/>
  <c r="BR181" i="29"/>
  <c r="BO182" i="29"/>
  <c r="BN182" i="29"/>
  <c r="BY181" i="29"/>
  <c r="BH179" i="29"/>
  <c r="BB179" i="29" s="1"/>
  <c r="AZ179" i="29"/>
  <c r="BD181" i="29"/>
  <c r="BP180" i="29"/>
  <c r="BC180" i="29"/>
  <c r="BF180" i="29" s="1"/>
  <c r="BE180" i="29"/>
  <c r="BG180" i="29" s="1"/>
  <c r="BA180" i="29" s="1"/>
  <c r="CG180" i="29"/>
  <c r="BZ171" i="29"/>
  <c r="BX172" i="29" s="1"/>
  <c r="CX173" i="29" l="1"/>
  <c r="CV173" i="29"/>
  <c r="CO173" i="29" s="1"/>
  <c r="CQ173" i="29" s="1"/>
  <c r="CT177" i="29"/>
  <c r="CW177" i="29" s="1"/>
  <c r="AB179" i="29"/>
  <c r="CC178" i="29"/>
  <c r="CC177" i="29"/>
  <c r="Q179" i="29"/>
  <c r="R179" i="29"/>
  <c r="CF182" i="29"/>
  <c r="CE182" i="29"/>
  <c r="CI181" i="29"/>
  <c r="CP181" i="29"/>
  <c r="T181" i="29"/>
  <c r="S181" i="29"/>
  <c r="V180" i="29"/>
  <c r="AF180" i="29"/>
  <c r="AE180" i="29"/>
  <c r="CL178" i="29"/>
  <c r="CW178" i="29"/>
  <c r="AW183" i="29"/>
  <c r="AP183" i="29"/>
  <c r="AV183" i="29" s="1"/>
  <c r="AR183" i="29" s="1"/>
  <c r="BY182" i="29"/>
  <c r="BR182" i="29"/>
  <c r="BO183" i="29"/>
  <c r="BN183" i="29"/>
  <c r="U180" i="29"/>
  <c r="AB180" i="29" s="1"/>
  <c r="CH183" i="29"/>
  <c r="AA178" i="29"/>
  <c r="CA179" i="29"/>
  <c r="BU179" i="29" s="1"/>
  <c r="M178" i="29"/>
  <c r="W178" i="29"/>
  <c r="Y178" i="29" s="1"/>
  <c r="CS179" i="29"/>
  <c r="CM179" i="29" s="1"/>
  <c r="CB179" i="29"/>
  <c r="BV179" i="29" s="1"/>
  <c r="CR179" i="29"/>
  <c r="K181" i="29"/>
  <c r="J181" i="29"/>
  <c r="AQ180" i="29"/>
  <c r="L180" i="29"/>
  <c r="AO184" i="29"/>
  <c r="AN184" i="29"/>
  <c r="CT182" i="29"/>
  <c r="AX182" i="29"/>
  <c r="BQ183" i="29"/>
  <c r="BQ184" i="29" s="1"/>
  <c r="BZ172" i="29"/>
  <c r="BX173" i="29" s="1"/>
  <c r="BH180" i="29"/>
  <c r="BB180" i="29" s="1"/>
  <c r="AZ180" i="29"/>
  <c r="BE181" i="29"/>
  <c r="BG181" i="29" s="1"/>
  <c r="BA181" i="29" s="1"/>
  <c r="BP181" i="29"/>
  <c r="CG181" i="29"/>
  <c r="BC181" i="29"/>
  <c r="BF181" i="29" s="1"/>
  <c r="BD182" i="29"/>
  <c r="CV174" i="29" l="1"/>
  <c r="CO174" i="29" s="1"/>
  <c r="CQ174" i="29" s="1"/>
  <c r="CX174" i="29"/>
  <c r="CL177" i="29"/>
  <c r="AC180" i="29"/>
  <c r="U181" i="29"/>
  <c r="AC181" i="29" s="1"/>
  <c r="X179" i="29"/>
  <c r="CB180" i="29"/>
  <c r="BV180" i="29" s="1"/>
  <c r="W179" i="29"/>
  <c r="Y179" i="29" s="1"/>
  <c r="CS180" i="29"/>
  <c r="CM180" i="29" s="1"/>
  <c r="M179" i="29"/>
  <c r="CA180" i="29"/>
  <c r="BU180" i="29" s="1"/>
  <c r="AA179" i="29"/>
  <c r="CR180" i="29"/>
  <c r="BQ185" i="29"/>
  <c r="AN185" i="29"/>
  <c r="AO185" i="29"/>
  <c r="K182" i="29"/>
  <c r="L181" i="29"/>
  <c r="J182" i="29"/>
  <c r="AQ181" i="29"/>
  <c r="BO184" i="29"/>
  <c r="BR183" i="29"/>
  <c r="BY183" i="29"/>
  <c r="BN184" i="29"/>
  <c r="S182" i="29"/>
  <c r="V181" i="29"/>
  <c r="T182" i="29"/>
  <c r="AE181" i="29"/>
  <c r="AF181" i="29"/>
  <c r="CC179" i="29"/>
  <c r="CH184" i="29"/>
  <c r="CT183" i="29"/>
  <c r="AX183" i="29"/>
  <c r="CF183" i="29"/>
  <c r="CI182" i="29"/>
  <c r="CP182" i="29"/>
  <c r="CE183" i="29"/>
  <c r="AW184" i="29"/>
  <c r="AP184" i="29"/>
  <c r="AV184" i="29" s="1"/>
  <c r="AR184" i="29" s="1"/>
  <c r="CL179" i="29"/>
  <c r="CW179" i="29"/>
  <c r="Q180" i="29"/>
  <c r="X180" i="29" s="1"/>
  <c r="R180" i="29"/>
  <c r="BZ173" i="29"/>
  <c r="BX174" i="29" s="1"/>
  <c r="BP182" i="29"/>
  <c r="BE182" i="29"/>
  <c r="BG182" i="29" s="1"/>
  <c r="BA182" i="29" s="1"/>
  <c r="BD183" i="29"/>
  <c r="CG182" i="29"/>
  <c r="BC182" i="29"/>
  <c r="BF182" i="29" s="1"/>
  <c r="BH181" i="29"/>
  <c r="BB181" i="29" s="1"/>
  <c r="AZ181" i="29"/>
  <c r="CV175" i="29" l="1"/>
  <c r="CO175" i="29" s="1"/>
  <c r="CQ175" i="29" s="1"/>
  <c r="CX175" i="29"/>
  <c r="CC180" i="29"/>
  <c r="AB181" i="29"/>
  <c r="AA180" i="29"/>
  <c r="CA181" i="29"/>
  <c r="BU181" i="29" s="1"/>
  <c r="M180" i="29"/>
  <c r="CR181" i="29"/>
  <c r="CB181" i="29"/>
  <c r="BV181" i="29" s="1"/>
  <c r="CS181" i="29"/>
  <c r="CM181" i="29" s="1"/>
  <c r="W180" i="29"/>
  <c r="Y180" i="29" s="1"/>
  <c r="CT184" i="29"/>
  <c r="AX184" i="29"/>
  <c r="CP183" i="29"/>
  <c r="CE184" i="29"/>
  <c r="CF184" i="29"/>
  <c r="CI183" i="29"/>
  <c r="U182" i="29"/>
  <c r="AB182" i="29" s="1"/>
  <c r="BO185" i="29"/>
  <c r="BR184" i="29"/>
  <c r="BN185" i="29"/>
  <c r="BY184" i="29"/>
  <c r="L182" i="29"/>
  <c r="K183" i="29"/>
  <c r="AQ182" i="29"/>
  <c r="J183" i="29"/>
  <c r="BQ186" i="29"/>
  <c r="CH185" i="29"/>
  <c r="AN186" i="29"/>
  <c r="AO186" i="29"/>
  <c r="T183" i="29"/>
  <c r="S183" i="29"/>
  <c r="V182" i="29"/>
  <c r="AF182" i="29"/>
  <c r="AE182" i="29"/>
  <c r="AW185" i="29"/>
  <c r="AP185" i="29"/>
  <c r="AV185" i="29" s="1"/>
  <c r="AR185" i="29" s="1"/>
  <c r="CL180" i="29"/>
  <c r="CW180" i="29"/>
  <c r="R181" i="29"/>
  <c r="Q181" i="29"/>
  <c r="BZ174" i="29"/>
  <c r="BX175" i="29" s="1"/>
  <c r="BD184" i="29"/>
  <c r="BC183" i="29"/>
  <c r="BF183" i="29" s="1"/>
  <c r="BP183" i="29"/>
  <c r="CG183" i="29"/>
  <c r="BE183" i="29"/>
  <c r="BG183" i="29" s="1"/>
  <c r="BA183" i="29" s="1"/>
  <c r="AZ182" i="29"/>
  <c r="BH182" i="29"/>
  <c r="BB182" i="29" s="1"/>
  <c r="CX176" i="29" l="1"/>
  <c r="CV176" i="29"/>
  <c r="CO176" i="29" s="1"/>
  <c r="CQ176" i="29" s="1"/>
  <c r="CP177" i="29" s="1"/>
  <c r="CN177" i="29" s="1"/>
  <c r="CJ177" i="29" s="1"/>
  <c r="AJ24" i="29" s="1"/>
  <c r="CC181" i="29"/>
  <c r="AW186" i="29"/>
  <c r="AP186" i="29"/>
  <c r="AV186" i="29" s="1"/>
  <c r="AR186" i="29" s="1"/>
  <c r="CL181" i="29"/>
  <c r="CW181" i="29"/>
  <c r="S184" i="29"/>
  <c r="V183" i="29"/>
  <c r="T184" i="29"/>
  <c r="AF183" i="29"/>
  <c r="AE183" i="29"/>
  <c r="Q182" i="29"/>
  <c r="R182" i="29"/>
  <c r="CT185" i="29"/>
  <c r="AX185" i="29"/>
  <c r="BR185" i="29"/>
  <c r="BY185" i="29"/>
  <c r="BO186" i="29"/>
  <c r="BQ187" i="29" s="1"/>
  <c r="BN186" i="29"/>
  <c r="CH186" i="29"/>
  <c r="U183" i="29"/>
  <c r="AB183" i="29" s="1"/>
  <c r="X181" i="29"/>
  <c r="CA182" i="29"/>
  <c r="BU182" i="29" s="1"/>
  <c r="W181" i="29"/>
  <c r="Y181" i="29" s="1"/>
  <c r="CS182" i="29"/>
  <c r="CM182" i="29" s="1"/>
  <c r="AA181" i="29"/>
  <c r="CB182" i="29"/>
  <c r="BV182" i="29" s="1"/>
  <c r="M181" i="29"/>
  <c r="CR182" i="29"/>
  <c r="AO187" i="29"/>
  <c r="AN187" i="29"/>
  <c r="L183" i="29"/>
  <c r="J184" i="29"/>
  <c r="AQ183" i="29"/>
  <c r="K184" i="29"/>
  <c r="AC182" i="29"/>
  <c r="CP184" i="29"/>
  <c r="CE185" i="29"/>
  <c r="CF185" i="29"/>
  <c r="CI184" i="29"/>
  <c r="BZ175" i="29"/>
  <c r="BX176" i="29" s="1"/>
  <c r="AZ183" i="29"/>
  <c r="BH183" i="29"/>
  <c r="BB183" i="29" s="1"/>
  <c r="BP184" i="29"/>
  <c r="BD185" i="29"/>
  <c r="BC184" i="29"/>
  <c r="BF184" i="29" s="1"/>
  <c r="BE184" i="29"/>
  <c r="BG184" i="29" s="1"/>
  <c r="BA184" i="29" s="1"/>
  <c r="CG184" i="29"/>
  <c r="CV177" i="29" l="1"/>
  <c r="CO177" i="29" s="1"/>
  <c r="CQ177" i="29" s="1"/>
  <c r="CX177" i="29"/>
  <c r="M182" i="29"/>
  <c r="W182" i="29"/>
  <c r="Y182" i="29" s="1"/>
  <c r="CB183" i="29"/>
  <c r="BV183" i="29" s="1"/>
  <c r="CA183" i="29"/>
  <c r="BU183" i="29" s="1"/>
  <c r="CS183" i="29"/>
  <c r="CM183" i="29" s="1"/>
  <c r="CR183" i="29"/>
  <c r="AA182" i="29"/>
  <c r="CC182" i="29"/>
  <c r="AC183" i="29"/>
  <c r="U184" i="29"/>
  <c r="AB184" i="29" s="1"/>
  <c r="CL182" i="29"/>
  <c r="CW182" i="29"/>
  <c r="BR186" i="29"/>
  <c r="BN187" i="29"/>
  <c r="BO187" i="29"/>
  <c r="BQ188" i="29" s="1"/>
  <c r="BY186" i="29"/>
  <c r="X182" i="29"/>
  <c r="CT186" i="29"/>
  <c r="AX186" i="29"/>
  <c r="AN188" i="29"/>
  <c r="AO188" i="29"/>
  <c r="Q183" i="29"/>
  <c r="X183" i="29" s="1"/>
  <c r="R183" i="29"/>
  <c r="CP185" i="29"/>
  <c r="CI185" i="29"/>
  <c r="CE186" i="29"/>
  <c r="CF186" i="29"/>
  <c r="CH187" i="29" s="1"/>
  <c r="J185" i="29"/>
  <c r="K185" i="29"/>
  <c r="L184" i="29"/>
  <c r="AQ184" i="29"/>
  <c r="AW187" i="29"/>
  <c r="AP187" i="29"/>
  <c r="AV187" i="29" s="1"/>
  <c r="AR187" i="29" s="1"/>
  <c r="S185" i="29"/>
  <c r="V184" i="29"/>
  <c r="T185" i="29"/>
  <c r="AF184" i="29"/>
  <c r="AE184" i="29"/>
  <c r="BZ176" i="29"/>
  <c r="BY177" i="29" s="1"/>
  <c r="AZ184" i="29"/>
  <c r="BH184" i="29"/>
  <c r="BB184" i="29" s="1"/>
  <c r="BP185" i="29"/>
  <c r="BC185" i="29"/>
  <c r="BF185" i="29" s="1"/>
  <c r="CG185" i="29"/>
  <c r="BD186" i="29"/>
  <c r="BE185" i="29"/>
  <c r="BG185" i="29" s="1"/>
  <c r="BA185" i="29" s="1"/>
  <c r="CX178" i="29" l="1"/>
  <c r="CV178" i="29"/>
  <c r="CO178" i="29" s="1"/>
  <c r="CQ178" i="29" s="1"/>
  <c r="CK177" i="29"/>
  <c r="AR176" i="29" s="1"/>
  <c r="AL24" i="29" s="1"/>
  <c r="CC183" i="29"/>
  <c r="AC184" i="29"/>
  <c r="V185" i="29"/>
  <c r="T186" i="29"/>
  <c r="S186" i="29"/>
  <c r="AE185" i="29"/>
  <c r="AF185" i="29"/>
  <c r="CT187" i="29"/>
  <c r="AX187" i="29"/>
  <c r="AW188" i="29"/>
  <c r="AP188" i="29"/>
  <c r="AV188" i="29" s="1"/>
  <c r="U185" i="29"/>
  <c r="AB185" i="29" s="1"/>
  <c r="M183" i="29"/>
  <c r="CA184" i="29"/>
  <c r="BU184" i="29" s="1"/>
  <c r="CS184" i="29"/>
  <c r="CM184" i="29" s="1"/>
  <c r="CB184" i="29"/>
  <c r="BV184" i="29" s="1"/>
  <c r="AA183" i="29"/>
  <c r="CR184" i="29"/>
  <c r="W183" i="29"/>
  <c r="Y183" i="29" s="1"/>
  <c r="CE187" i="29"/>
  <c r="CF187" i="29"/>
  <c r="CI186" i="29"/>
  <c r="CP186" i="29"/>
  <c r="BR187" i="29"/>
  <c r="BN188" i="29"/>
  <c r="BO188" i="29"/>
  <c r="BY187" i="29"/>
  <c r="AQ185" i="29"/>
  <c r="J186" i="29"/>
  <c r="L185" i="29"/>
  <c r="K186" i="29"/>
  <c r="AO189" i="29"/>
  <c r="AN189" i="29"/>
  <c r="R184" i="29"/>
  <c r="Q184" i="29"/>
  <c r="X184" i="29" s="1"/>
  <c r="CL183" i="29"/>
  <c r="CW183" i="29"/>
  <c r="BW177" i="29"/>
  <c r="BX177" i="29"/>
  <c r="BH185" i="29"/>
  <c r="BB185" i="29" s="1"/>
  <c r="AZ185" i="29"/>
  <c r="BC186" i="29"/>
  <c r="BF186" i="29" s="1"/>
  <c r="BD187" i="29"/>
  <c r="BE186" i="29"/>
  <c r="BG186" i="29" s="1"/>
  <c r="BA186" i="29" s="1"/>
  <c r="CG186" i="29"/>
  <c r="BP186" i="29"/>
  <c r="CV179" i="29" l="1"/>
  <c r="CO179" i="29" s="1"/>
  <c r="CQ179" i="29" s="1"/>
  <c r="CX179" i="29"/>
  <c r="CC184" i="29"/>
  <c r="AW189" i="29"/>
  <c r="AP189" i="29"/>
  <c r="AV189" i="29" s="1"/>
  <c r="AR189" i="29" s="1"/>
  <c r="BR188" i="29"/>
  <c r="BO189" i="29"/>
  <c r="BY188" i="29"/>
  <c r="BN189" i="29"/>
  <c r="AA184" i="29"/>
  <c r="CA185" i="29"/>
  <c r="BU185" i="29" s="1"/>
  <c r="CS185" i="29"/>
  <c r="CM185" i="29" s="1"/>
  <c r="CR185" i="29"/>
  <c r="W184" i="29"/>
  <c r="Y184" i="29" s="1"/>
  <c r="M184" i="29"/>
  <c r="CB185" i="29"/>
  <c r="BV185" i="29" s="1"/>
  <c r="AO190" i="29"/>
  <c r="AN190" i="29"/>
  <c r="CE188" i="29"/>
  <c r="CI187" i="29"/>
  <c r="CP187" i="29"/>
  <c r="CF188" i="29"/>
  <c r="T187" i="29"/>
  <c r="S187" i="29"/>
  <c r="V186" i="29"/>
  <c r="AF186" i="29"/>
  <c r="AE186" i="29"/>
  <c r="CH188" i="29"/>
  <c r="CH189" i="29" s="1"/>
  <c r="U186" i="29"/>
  <c r="AC186" i="29" s="1"/>
  <c r="L186" i="29"/>
  <c r="AQ186" i="29"/>
  <c r="J187" i="29"/>
  <c r="K187" i="29"/>
  <c r="CL184" i="29"/>
  <c r="CW184" i="29"/>
  <c r="R185" i="29"/>
  <c r="Q185" i="29"/>
  <c r="X185" i="29" s="1"/>
  <c r="AC185" i="29"/>
  <c r="CT188" i="29"/>
  <c r="AX188" i="29"/>
  <c r="BQ189" i="29"/>
  <c r="BQ190" i="29" s="1"/>
  <c r="BD188" i="29"/>
  <c r="BE187" i="29"/>
  <c r="BG187" i="29" s="1"/>
  <c r="BA187" i="29" s="1"/>
  <c r="BC187" i="29"/>
  <c r="BF187" i="29" s="1"/>
  <c r="BP187" i="29"/>
  <c r="CG187" i="29"/>
  <c r="AZ186" i="29"/>
  <c r="BH186" i="29"/>
  <c r="BB186" i="29" s="1"/>
  <c r="BZ177" i="29"/>
  <c r="BX178" i="29" s="1"/>
  <c r="BT177" i="29"/>
  <c r="M176" i="29" s="1"/>
  <c r="BS177" i="29"/>
  <c r="CX180" i="29" l="1"/>
  <c r="CV180" i="29"/>
  <c r="CO180" i="29" s="1"/>
  <c r="CQ180" i="29" s="1"/>
  <c r="CC185" i="29"/>
  <c r="AB186" i="29"/>
  <c r="CI188" i="29"/>
  <c r="CE189" i="29"/>
  <c r="CF189" i="29"/>
  <c r="CP188" i="29"/>
  <c r="AX189" i="29"/>
  <c r="T188" i="29"/>
  <c r="S188" i="29"/>
  <c r="V187" i="29"/>
  <c r="AE187" i="29"/>
  <c r="AF187" i="29"/>
  <c r="CL185" i="29"/>
  <c r="CW185" i="29"/>
  <c r="CB186" i="29"/>
  <c r="BV186" i="29" s="1"/>
  <c r="CS186" i="29"/>
  <c r="CM186" i="29" s="1"/>
  <c r="CA186" i="29"/>
  <c r="BU186" i="29" s="1"/>
  <c r="CR186" i="29"/>
  <c r="M185" i="29"/>
  <c r="AA185" i="29"/>
  <c r="W185" i="29"/>
  <c r="Y185" i="29" s="1"/>
  <c r="K188" i="29"/>
  <c r="J188" i="29"/>
  <c r="L187" i="29"/>
  <c r="AQ187" i="29"/>
  <c r="R186" i="29"/>
  <c r="Q186" i="29"/>
  <c r="X186" i="29" s="1"/>
  <c r="AW190" i="29"/>
  <c r="AP190" i="29"/>
  <c r="AV190" i="29" s="1"/>
  <c r="AR190" i="29" s="1"/>
  <c r="BO190" i="29"/>
  <c r="BQ191" i="29" s="1"/>
  <c r="BR189" i="29"/>
  <c r="BN190" i="29"/>
  <c r="CH190" i="29"/>
  <c r="U187" i="29"/>
  <c r="AN191" i="29"/>
  <c r="AO191" i="29"/>
  <c r="BZ178" i="29"/>
  <c r="BX179" i="29" s="1"/>
  <c r="BD189" i="29"/>
  <c r="BP188" i="29"/>
  <c r="BC188" i="29"/>
  <c r="BF188" i="29" s="1"/>
  <c r="BE188" i="29"/>
  <c r="BG188" i="29" s="1"/>
  <c r="BA188" i="29" s="1"/>
  <c r="CG188" i="29"/>
  <c r="H24" i="29"/>
  <c r="K17" i="40" s="1"/>
  <c r="X176" i="29"/>
  <c r="Y176" i="29" s="1"/>
  <c r="Z176" i="29" s="1"/>
  <c r="BH187" i="29"/>
  <c r="BB187" i="29" s="1"/>
  <c r="AZ187" i="29"/>
  <c r="CV181" i="29" l="1"/>
  <c r="CO181" i="29" s="1"/>
  <c r="CQ181" i="29" s="1"/>
  <c r="CX181" i="29"/>
  <c r="AB176" i="29"/>
  <c r="AC176" i="29"/>
  <c r="Z177" i="29"/>
  <c r="Z178" i="29" s="1"/>
  <c r="Z179" i="29" s="1"/>
  <c r="Z180" i="29" s="1"/>
  <c r="Z181" i="29" s="1"/>
  <c r="Z182" i="29" s="1"/>
  <c r="Z183" i="29" s="1"/>
  <c r="Z184" i="29" s="1"/>
  <c r="Z185" i="29" s="1"/>
  <c r="G24" i="29"/>
  <c r="L17" i="40" s="1"/>
  <c r="CC186" i="29"/>
  <c r="R187" i="29"/>
  <c r="Q187" i="29"/>
  <c r="X187" i="29" s="1"/>
  <c r="U188" i="29"/>
  <c r="AB187" i="29"/>
  <c r="K189" i="29"/>
  <c r="J189" i="29"/>
  <c r="AQ188" i="29"/>
  <c r="L188" i="29"/>
  <c r="S189" i="29"/>
  <c r="T189" i="29"/>
  <c r="V188" i="29"/>
  <c r="AE188" i="29"/>
  <c r="AF188" i="29"/>
  <c r="BR190" i="29"/>
  <c r="BO191" i="29"/>
  <c r="BN191" i="29"/>
  <c r="BY190" i="29"/>
  <c r="AN192" i="29"/>
  <c r="AO192" i="29"/>
  <c r="AC187" i="29"/>
  <c r="CT190" i="29"/>
  <c r="AX190" i="29"/>
  <c r="CL186" i="29"/>
  <c r="CW186" i="29"/>
  <c r="CI189" i="29"/>
  <c r="CF190" i="29"/>
  <c r="CE190" i="29"/>
  <c r="AW191" i="29"/>
  <c r="AP191" i="29"/>
  <c r="AV191" i="29" s="1"/>
  <c r="AR191" i="29" s="1"/>
  <c r="CH191" i="29"/>
  <c r="AA186" i="29"/>
  <c r="CA187" i="29"/>
  <c r="BU187" i="29" s="1"/>
  <c r="CB187" i="29"/>
  <c r="BV187" i="29" s="1"/>
  <c r="M186" i="29"/>
  <c r="W186" i="29"/>
  <c r="Y186" i="29" s="1"/>
  <c r="CR187" i="29"/>
  <c r="CS187" i="29"/>
  <c r="CM187" i="29" s="1"/>
  <c r="BZ179" i="29"/>
  <c r="BX180" i="29" s="1"/>
  <c r="G31" i="15"/>
  <c r="D164" i="15"/>
  <c r="I33" i="39"/>
  <c r="H17" i="44" s="1"/>
  <c r="D17" i="45" s="1"/>
  <c r="K17" i="45" s="1"/>
  <c r="L17" i="45" s="1"/>
  <c r="J18" i="45" s="1"/>
  <c r="BE189" i="29"/>
  <c r="BG189" i="29" s="1"/>
  <c r="BA189" i="29" s="1"/>
  <c r="BP189" i="29"/>
  <c r="CG189" i="29"/>
  <c r="BC189" i="29"/>
  <c r="BF189" i="29" s="1"/>
  <c r="BD190" i="29"/>
  <c r="BI189" i="29"/>
  <c r="BH188" i="29"/>
  <c r="BB188" i="29" s="1"/>
  <c r="AZ188" i="29"/>
  <c r="BR86" i="44" l="1"/>
  <c r="BO86" i="44"/>
  <c r="BI86" i="44"/>
  <c r="BD86" i="44"/>
  <c r="AY86" i="44"/>
  <c r="AS86" i="44"/>
  <c r="AN86" i="44"/>
  <c r="AI86" i="44"/>
  <c r="AC86" i="44"/>
  <c r="BQ86" i="44"/>
  <c r="BL86" i="44"/>
  <c r="BG86" i="44"/>
  <c r="BA86" i="44"/>
  <c r="AV86" i="44"/>
  <c r="AQ86" i="44"/>
  <c r="AK86" i="44"/>
  <c r="AF86" i="44"/>
  <c r="AA86" i="44"/>
  <c r="BK86" i="44"/>
  <c r="AZ86" i="44"/>
  <c r="AO86" i="44"/>
  <c r="AE86" i="44"/>
  <c r="BH86" i="44"/>
  <c r="AW86" i="44"/>
  <c r="AM86" i="44"/>
  <c r="AB86" i="44"/>
  <c r="BP86" i="44"/>
  <c r="BE86" i="44"/>
  <c r="AU86" i="44"/>
  <c r="AJ86" i="44"/>
  <c r="Y86" i="44"/>
  <c r="BM86" i="44"/>
  <c r="BC86" i="44"/>
  <c r="AR86" i="44"/>
  <c r="AG86" i="44"/>
  <c r="AD86" i="44"/>
  <c r="AT86" i="44"/>
  <c r="BJ86" i="44"/>
  <c r="AL86" i="44"/>
  <c r="BB86" i="44"/>
  <c r="AP86" i="44"/>
  <c r="BN86" i="44"/>
  <c r="AX86" i="44"/>
  <c r="Z86" i="44"/>
  <c r="BF86" i="44"/>
  <c r="AH86" i="44"/>
  <c r="CV182" i="29"/>
  <c r="CO182" i="29" s="1"/>
  <c r="CQ182" i="29" s="1"/>
  <c r="CX182" i="29"/>
  <c r="Z186" i="29"/>
  <c r="F164" i="15"/>
  <c r="L33" i="39"/>
  <c r="CC187" i="29"/>
  <c r="CF191" i="29"/>
  <c r="CH192" i="29" s="1"/>
  <c r="CP190" i="29"/>
  <c r="CI190" i="29"/>
  <c r="CE191" i="29"/>
  <c r="AN193" i="29"/>
  <c r="AO193" i="29"/>
  <c r="BO192" i="29"/>
  <c r="BR191" i="29"/>
  <c r="BY191" i="29"/>
  <c r="BN192" i="29"/>
  <c r="V189" i="29"/>
  <c r="S190" i="29"/>
  <c r="T190" i="29"/>
  <c r="AF189" i="29"/>
  <c r="AE189" i="29"/>
  <c r="CL187" i="29"/>
  <c r="CW187" i="29"/>
  <c r="CT191" i="29"/>
  <c r="AX191" i="29"/>
  <c r="AW192" i="29"/>
  <c r="AP192" i="29"/>
  <c r="AV192" i="29" s="1"/>
  <c r="AR192" i="29" s="1"/>
  <c r="U189" i="29"/>
  <c r="AC189" i="29" s="1"/>
  <c r="J190" i="29"/>
  <c r="AQ189" i="29"/>
  <c r="L189" i="29"/>
  <c r="K190" i="29"/>
  <c r="R188" i="29"/>
  <c r="Q188" i="29"/>
  <c r="W187" i="29"/>
  <c r="Y187" i="29" s="1"/>
  <c r="Z187" i="29" s="1"/>
  <c r="CR188" i="29"/>
  <c r="CA188" i="29"/>
  <c r="BU188" i="29" s="1"/>
  <c r="AA187" i="29"/>
  <c r="M187" i="29"/>
  <c r="CB188" i="29"/>
  <c r="BV188" i="29" s="1"/>
  <c r="CS188" i="29"/>
  <c r="CM188" i="29" s="1"/>
  <c r="BQ192" i="29"/>
  <c r="BQ193" i="29" s="1"/>
  <c r="BZ180" i="29"/>
  <c r="BX181" i="29" s="1"/>
  <c r="BD191" i="29"/>
  <c r="BP190" i="29"/>
  <c r="BE190" i="29"/>
  <c r="BG190" i="29" s="1"/>
  <c r="BA190" i="29" s="1"/>
  <c r="BC190" i="29"/>
  <c r="BF190" i="29" s="1"/>
  <c r="CG190" i="29"/>
  <c r="AZ189" i="29"/>
  <c r="BH189" i="29"/>
  <c r="BB189" i="29" s="1"/>
  <c r="CV183" i="29" l="1"/>
  <c r="CO183" i="29" s="1"/>
  <c r="CQ183" i="29" s="1"/>
  <c r="CX183" i="29"/>
  <c r="CA189" i="29"/>
  <c r="BU189" i="29" s="1"/>
  <c r="W188" i="29"/>
  <c r="CR189" i="29"/>
  <c r="AA188" i="29"/>
  <c r="U190" i="29"/>
  <c r="AC190" i="29" s="1"/>
  <c r="CC188" i="29"/>
  <c r="BN193" i="29"/>
  <c r="BR192" i="29"/>
  <c r="BY192" i="29"/>
  <c r="BO193" i="29"/>
  <c r="J191" i="29"/>
  <c r="L190" i="29"/>
  <c r="K191" i="29"/>
  <c r="AQ190" i="29"/>
  <c r="R189" i="29"/>
  <c r="Q189" i="29"/>
  <c r="X189" i="29" s="1"/>
  <c r="CT192" i="29"/>
  <c r="AX192" i="29"/>
  <c r="AO194" i="29"/>
  <c r="AN194" i="29"/>
  <c r="CL188" i="29"/>
  <c r="CW188" i="29"/>
  <c r="AB189" i="29"/>
  <c r="S191" i="29"/>
  <c r="V190" i="29"/>
  <c r="T191" i="29"/>
  <c r="AE190" i="29"/>
  <c r="AF190" i="29"/>
  <c r="AW193" i="29"/>
  <c r="AP193" i="29"/>
  <c r="AV193" i="29" s="1"/>
  <c r="AR193" i="29" s="1"/>
  <c r="CP191" i="29"/>
  <c r="CE192" i="29"/>
  <c r="CF192" i="29"/>
  <c r="CH193" i="29" s="1"/>
  <c r="CI191" i="29"/>
  <c r="BZ181" i="29"/>
  <c r="BX182" i="29" s="1"/>
  <c r="BH190" i="29"/>
  <c r="BB190" i="29" s="1"/>
  <c r="AZ190" i="29"/>
  <c r="CG191" i="29"/>
  <c r="BE191" i="29"/>
  <c r="BG191" i="29" s="1"/>
  <c r="BA191" i="29" s="1"/>
  <c r="BD192" i="29"/>
  <c r="BC191" i="29"/>
  <c r="BF191" i="29" s="1"/>
  <c r="BP191" i="29"/>
  <c r="CV184" i="29" l="1"/>
  <c r="CO184" i="29" s="1"/>
  <c r="CQ184" i="29" s="1"/>
  <c r="CX184" i="29"/>
  <c r="CB189" i="29"/>
  <c r="U191" i="29"/>
  <c r="AB191" i="29" s="1"/>
  <c r="BO194" i="29"/>
  <c r="BN194" i="29"/>
  <c r="BY193" i="29"/>
  <c r="BR193" i="29"/>
  <c r="R190" i="29"/>
  <c r="Q190" i="29"/>
  <c r="CS189" i="29"/>
  <c r="CM189" i="29" s="1"/>
  <c r="V191" i="29"/>
  <c r="T192" i="29"/>
  <c r="S192" i="29"/>
  <c r="AF191" i="29"/>
  <c r="AE191" i="29"/>
  <c r="AW194" i="29"/>
  <c r="AP194" i="29"/>
  <c r="AV194" i="29" s="1"/>
  <c r="AR194" i="29" s="1"/>
  <c r="AB190" i="29"/>
  <c r="CE193" i="29"/>
  <c r="CF193" i="29"/>
  <c r="CP192" i="29"/>
  <c r="CI192" i="29"/>
  <c r="CT193" i="29"/>
  <c r="AX193" i="29"/>
  <c r="AO195" i="29"/>
  <c r="AN195" i="29"/>
  <c r="CB190" i="29"/>
  <c r="BV190" i="29" s="1"/>
  <c r="CA190" i="29"/>
  <c r="BU190" i="29" s="1"/>
  <c r="CR190" i="29"/>
  <c r="CS190" i="29"/>
  <c r="CM190" i="29" s="1"/>
  <c r="AA189" i="29"/>
  <c r="M189" i="29"/>
  <c r="W189" i="29"/>
  <c r="Y189" i="29" s="1"/>
  <c r="K192" i="29"/>
  <c r="AQ191" i="29"/>
  <c r="L191" i="29"/>
  <c r="J192" i="29"/>
  <c r="BQ194" i="29"/>
  <c r="BQ195" i="29" s="1"/>
  <c r="BZ182" i="29"/>
  <c r="BX183" i="29" s="1"/>
  <c r="BC192" i="29"/>
  <c r="BF192" i="29" s="1"/>
  <c r="BP192" i="29"/>
  <c r="BE192" i="29"/>
  <c r="BG192" i="29" s="1"/>
  <c r="BA192" i="29" s="1"/>
  <c r="BD193" i="29"/>
  <c r="CG192" i="29"/>
  <c r="AZ191" i="29"/>
  <c r="BH191" i="29"/>
  <c r="BB191" i="29" s="1"/>
  <c r="CX185" i="29" l="1"/>
  <c r="CV185" i="29"/>
  <c r="CO185" i="29" s="1"/>
  <c r="CQ185" i="29" s="1"/>
  <c r="CT189" i="29"/>
  <c r="CL189" i="29" s="1"/>
  <c r="CS191" i="29"/>
  <c r="CM191" i="29" s="1"/>
  <c r="AA190" i="29"/>
  <c r="W190" i="29"/>
  <c r="Y190" i="29" s="1"/>
  <c r="M190" i="29"/>
  <c r="CA191" i="29"/>
  <c r="BU191" i="29" s="1"/>
  <c r="CR191" i="29"/>
  <c r="CB191" i="29"/>
  <c r="BV191" i="29" s="1"/>
  <c r="BQ196" i="29"/>
  <c r="K193" i="29"/>
  <c r="AQ192" i="29"/>
  <c r="J193" i="29"/>
  <c r="L192" i="29"/>
  <c r="BN195" i="29"/>
  <c r="BO195" i="29"/>
  <c r="BR194" i="29"/>
  <c r="BY194" i="29"/>
  <c r="CC190" i="29"/>
  <c r="Q191" i="29"/>
  <c r="X191" i="29" s="1"/>
  <c r="R191" i="29"/>
  <c r="CF194" i="29"/>
  <c r="CP193" i="29"/>
  <c r="CE194" i="29"/>
  <c r="CI193" i="29"/>
  <c r="BV189" i="29"/>
  <c r="CC189" i="29"/>
  <c r="AW195" i="29"/>
  <c r="AP195" i="29"/>
  <c r="AV195" i="29" s="1"/>
  <c r="AR195" i="29" s="1"/>
  <c r="CT194" i="29"/>
  <c r="AX194" i="29"/>
  <c r="U192" i="29"/>
  <c r="AC192" i="29" s="1"/>
  <c r="CL190" i="29"/>
  <c r="CW190" i="29"/>
  <c r="AN196" i="29"/>
  <c r="AO196" i="29"/>
  <c r="V192" i="29"/>
  <c r="T193" i="29"/>
  <c r="S193" i="29"/>
  <c r="AF192" i="29"/>
  <c r="AE192" i="29"/>
  <c r="X190" i="29"/>
  <c r="AC191" i="29"/>
  <c r="CH194" i="29"/>
  <c r="CH195" i="29" s="1"/>
  <c r="BZ183" i="29"/>
  <c r="BX184" i="29" s="1"/>
  <c r="BH192" i="29"/>
  <c r="BB192" i="29" s="1"/>
  <c r="AZ192" i="29"/>
  <c r="BP193" i="29"/>
  <c r="BE193" i="29"/>
  <c r="BG193" i="29" s="1"/>
  <c r="BA193" i="29" s="1"/>
  <c r="BD194" i="29"/>
  <c r="CG193" i="29"/>
  <c r="BC193" i="29"/>
  <c r="BF193" i="29" s="1"/>
  <c r="CV186" i="29" l="1"/>
  <c r="CO186" i="29" s="1"/>
  <c r="CQ186" i="29" s="1"/>
  <c r="CX186" i="29"/>
  <c r="CW189" i="29"/>
  <c r="AW196" i="29"/>
  <c r="AP196" i="29"/>
  <c r="AV196" i="29" s="1"/>
  <c r="AR196" i="29" s="1"/>
  <c r="W191" i="29"/>
  <c r="Y191" i="29" s="1"/>
  <c r="CB192" i="29"/>
  <c r="BV192" i="29" s="1"/>
  <c r="CR192" i="29"/>
  <c r="AA191" i="29"/>
  <c r="M191" i="29"/>
  <c r="CA192" i="29"/>
  <c r="BU192" i="29" s="1"/>
  <c r="CS192" i="29"/>
  <c r="CM192" i="29" s="1"/>
  <c r="CL191" i="29"/>
  <c r="CW191" i="29"/>
  <c r="R192" i="29"/>
  <c r="Q192" i="29"/>
  <c r="X192" i="29" s="1"/>
  <c r="CT195" i="29"/>
  <c r="AX195" i="29"/>
  <c r="BO196" i="29"/>
  <c r="BQ197" i="29" s="1"/>
  <c r="BN196" i="29"/>
  <c r="BR195" i="29"/>
  <c r="BY195" i="29"/>
  <c r="S194" i="29"/>
  <c r="T194" i="29"/>
  <c r="V193" i="29"/>
  <c r="AF193" i="29"/>
  <c r="AE193" i="29"/>
  <c r="AO197" i="29"/>
  <c r="AN197" i="29"/>
  <c r="AB192" i="29"/>
  <c r="U193" i="29"/>
  <c r="AB193" i="29" s="1"/>
  <c r="CP194" i="29"/>
  <c r="CF195" i="29"/>
  <c r="CE195" i="29"/>
  <c r="CI194" i="29"/>
  <c r="K194" i="29"/>
  <c r="AQ193" i="29"/>
  <c r="J194" i="29"/>
  <c r="L193" i="29"/>
  <c r="CC191" i="29"/>
  <c r="BZ184" i="29"/>
  <c r="BX185" i="29" s="1"/>
  <c r="CG194" i="29"/>
  <c r="BP194" i="29"/>
  <c r="BD195" i="29"/>
  <c r="BE194" i="29"/>
  <c r="BG194" i="29" s="1"/>
  <c r="BA194" i="29" s="1"/>
  <c r="BC194" i="29"/>
  <c r="BF194" i="29" s="1"/>
  <c r="AZ193" i="29"/>
  <c r="BH193" i="29"/>
  <c r="BB193" i="29" s="1"/>
  <c r="CC192" i="29" l="1"/>
  <c r="CV187" i="29"/>
  <c r="CO187" i="29" s="1"/>
  <c r="CQ187" i="29" s="1"/>
  <c r="CX187" i="29"/>
  <c r="U194" i="29"/>
  <c r="AB194" i="29" s="1"/>
  <c r="AC193" i="29"/>
  <c r="CR193" i="29"/>
  <c r="AA192" i="29"/>
  <c r="CS193" i="29"/>
  <c r="CM193" i="29" s="1"/>
  <c r="CA193" i="29"/>
  <c r="BU193" i="29" s="1"/>
  <c r="CB193" i="29"/>
  <c r="BV193" i="29" s="1"/>
  <c r="W192" i="29"/>
  <c r="Y192" i="29" s="1"/>
  <c r="M192" i="29"/>
  <c r="BO197" i="29"/>
  <c r="BR196" i="29"/>
  <c r="BN197" i="29"/>
  <c r="BY196" i="29"/>
  <c r="L194" i="29"/>
  <c r="J195" i="29"/>
  <c r="AQ194" i="29"/>
  <c r="K195" i="29"/>
  <c r="CE196" i="29"/>
  <c r="CP195" i="29"/>
  <c r="CF196" i="29"/>
  <c r="CI195" i="29"/>
  <c r="AW197" i="29"/>
  <c r="AP197" i="29"/>
  <c r="AV197" i="29" s="1"/>
  <c r="AR197" i="29" s="1"/>
  <c r="CL192" i="29"/>
  <c r="CW192" i="29"/>
  <c r="CT196" i="29"/>
  <c r="AX196" i="29"/>
  <c r="Q193" i="29"/>
  <c r="X193" i="29" s="1"/>
  <c r="R193" i="29"/>
  <c r="AO198" i="29"/>
  <c r="AN198" i="29"/>
  <c r="V194" i="29"/>
  <c r="S195" i="29"/>
  <c r="T195" i="29"/>
  <c r="AE194" i="29"/>
  <c r="AF194" i="29"/>
  <c r="CH196" i="29"/>
  <c r="CH197" i="29" s="1"/>
  <c r="BZ185" i="29"/>
  <c r="BX186" i="29" s="1"/>
  <c r="BD196" i="29"/>
  <c r="CG195" i="29"/>
  <c r="BC195" i="29"/>
  <c r="BF195" i="29" s="1"/>
  <c r="BE195" i="29"/>
  <c r="BG195" i="29" s="1"/>
  <c r="BA195" i="29" s="1"/>
  <c r="BP195" i="29"/>
  <c r="BH194" i="29"/>
  <c r="BB194" i="29" s="1"/>
  <c r="AZ194" i="29"/>
  <c r="CV188" i="29" l="1"/>
  <c r="CO188" i="29" s="1"/>
  <c r="CQ188" i="29" s="1"/>
  <c r="CP189" i="29" s="1"/>
  <c r="CN189" i="29" s="1"/>
  <c r="CJ189" i="29" s="1"/>
  <c r="AJ25" i="29" s="1"/>
  <c r="CX188" i="29"/>
  <c r="CC193" i="29"/>
  <c r="AC194" i="29"/>
  <c r="T196" i="29"/>
  <c r="V195" i="29"/>
  <c r="S196" i="29"/>
  <c r="AF195" i="29"/>
  <c r="AE195" i="29"/>
  <c r="AO199" i="29"/>
  <c r="AN199" i="29"/>
  <c r="AW198" i="29"/>
  <c r="AP198" i="29"/>
  <c r="AV198" i="29" s="1"/>
  <c r="AR198" i="29" s="1"/>
  <c r="K196" i="29"/>
  <c r="AQ195" i="29"/>
  <c r="J196" i="29"/>
  <c r="L195" i="29"/>
  <c r="BY197" i="29"/>
  <c r="BR197" i="29"/>
  <c r="BN198" i="29"/>
  <c r="BO198" i="29"/>
  <c r="CL193" i="29"/>
  <c r="CW193" i="29"/>
  <c r="CI196" i="29"/>
  <c r="CE197" i="29"/>
  <c r="CF197" i="29"/>
  <c r="CH198" i="29" s="1"/>
  <c r="CP196" i="29"/>
  <c r="U195" i="29"/>
  <c r="AC195" i="29" s="1"/>
  <c r="BQ198" i="29"/>
  <c r="BQ199" i="29" s="1"/>
  <c r="CT197" i="29"/>
  <c r="AX197" i="29"/>
  <c r="CR194" i="29"/>
  <c r="CB194" i="29"/>
  <c r="BV194" i="29" s="1"/>
  <c r="W193" i="29"/>
  <c r="Y193" i="29" s="1"/>
  <c r="AA193" i="29"/>
  <c r="CS194" i="29"/>
  <c r="CM194" i="29" s="1"/>
  <c r="CA194" i="29"/>
  <c r="BU194" i="29" s="1"/>
  <c r="M193" i="29"/>
  <c r="Q194" i="29"/>
  <c r="X194" i="29" s="1"/>
  <c r="R194" i="29"/>
  <c r="BC196" i="29"/>
  <c r="BF196" i="29" s="1"/>
  <c r="CG196" i="29"/>
  <c r="BE196" i="29"/>
  <c r="BG196" i="29" s="1"/>
  <c r="BA196" i="29" s="1"/>
  <c r="BP196" i="29"/>
  <c r="BD197" i="29"/>
  <c r="BH195" i="29"/>
  <c r="BB195" i="29" s="1"/>
  <c r="AZ195" i="29"/>
  <c r="BZ186" i="29"/>
  <c r="BX187" i="29" s="1"/>
  <c r="CX189" i="29" l="1"/>
  <c r="CV189" i="29"/>
  <c r="CO189" i="29" s="1"/>
  <c r="CQ189" i="29" s="1"/>
  <c r="AB195" i="29"/>
  <c r="AO200" i="29"/>
  <c r="AN200" i="29"/>
  <c r="BR198" i="29"/>
  <c r="BY198" i="29"/>
  <c r="BN199" i="29"/>
  <c r="BO199" i="29"/>
  <c r="T197" i="29"/>
  <c r="S197" i="29"/>
  <c r="V196" i="29"/>
  <c r="AE196" i="29"/>
  <c r="AF196" i="29"/>
  <c r="CR195" i="29"/>
  <c r="CA195" i="29"/>
  <c r="BU195" i="29" s="1"/>
  <c r="CB195" i="29"/>
  <c r="BV195" i="29" s="1"/>
  <c r="M194" i="29"/>
  <c r="W194" i="29"/>
  <c r="Y194" i="29" s="1"/>
  <c r="CS195" i="29"/>
  <c r="CM195" i="29" s="1"/>
  <c r="AA194" i="29"/>
  <c r="CL194" i="29"/>
  <c r="CW194" i="29"/>
  <c r="BQ200" i="29"/>
  <c r="CT198" i="29"/>
  <c r="AX198" i="29"/>
  <c r="CP197" i="29"/>
  <c r="CE198" i="29"/>
  <c r="CF198" i="29"/>
  <c r="CI197" i="29"/>
  <c r="AQ196" i="29"/>
  <c r="K197" i="29"/>
  <c r="L196" i="29"/>
  <c r="J197" i="29"/>
  <c r="CC194" i="29"/>
  <c r="Q195" i="29"/>
  <c r="X195" i="29" s="1"/>
  <c r="R195" i="29"/>
  <c r="AW199" i="29"/>
  <c r="AP199" i="29"/>
  <c r="AV199" i="29" s="1"/>
  <c r="AR199" i="29" s="1"/>
  <c r="U196" i="29"/>
  <c r="AC196" i="29" s="1"/>
  <c r="BZ187" i="29"/>
  <c r="BX188" i="29" s="1"/>
  <c r="BH196" i="29"/>
  <c r="BB196" i="29" s="1"/>
  <c r="AZ196" i="29"/>
  <c r="BE197" i="29"/>
  <c r="BG197" i="29" s="1"/>
  <c r="BA197" i="29" s="1"/>
  <c r="BP197" i="29"/>
  <c r="CG197" i="29"/>
  <c r="BD198" i="29"/>
  <c r="BC197" i="29"/>
  <c r="BF197" i="29" s="1"/>
  <c r="CV190" i="29" l="1"/>
  <c r="CO190" i="29" s="1"/>
  <c r="CQ190" i="29" s="1"/>
  <c r="CX190" i="29"/>
  <c r="CK189" i="29"/>
  <c r="AR188" i="29" s="1"/>
  <c r="AL25" i="29" s="1"/>
  <c r="BN200" i="29"/>
  <c r="BO200" i="29"/>
  <c r="BR199" i="29"/>
  <c r="BY199" i="29"/>
  <c r="CT199" i="29"/>
  <c r="AX199" i="29"/>
  <c r="M195" i="29"/>
  <c r="CS196" i="29"/>
  <c r="CM196" i="29" s="1"/>
  <c r="CR196" i="29"/>
  <c r="AA195" i="29"/>
  <c r="CA196" i="29"/>
  <c r="BU196" i="29" s="1"/>
  <c r="W195" i="29"/>
  <c r="Y195" i="29" s="1"/>
  <c r="CB196" i="29"/>
  <c r="BV196" i="29" s="1"/>
  <c r="CF199" i="29"/>
  <c r="CI198" i="29"/>
  <c r="CE199" i="29"/>
  <c r="CP198" i="29"/>
  <c r="CL195" i="29"/>
  <c r="CW195" i="29"/>
  <c r="U197" i="29"/>
  <c r="AC197" i="29" s="1"/>
  <c r="AW200" i="29"/>
  <c r="AP200" i="29"/>
  <c r="AV200" i="29" s="1"/>
  <c r="Q196" i="29"/>
  <c r="X196" i="29" s="1"/>
  <c r="R196" i="29"/>
  <c r="AB196" i="29"/>
  <c r="J198" i="29"/>
  <c r="K198" i="29"/>
  <c r="AQ197" i="29"/>
  <c r="L197" i="29"/>
  <c r="CC195" i="29"/>
  <c r="T198" i="29"/>
  <c r="V197" i="29"/>
  <c r="S198" i="29"/>
  <c r="AE197" i="29"/>
  <c r="AF197" i="29"/>
  <c r="AN201" i="29"/>
  <c r="AO201" i="29"/>
  <c r="CH199" i="29"/>
  <c r="CH200" i="29" s="1"/>
  <c r="BZ188" i="29"/>
  <c r="BY189" i="29" s="1"/>
  <c r="BH197" i="29"/>
  <c r="BB197" i="29" s="1"/>
  <c r="AZ197" i="29"/>
  <c r="BP198" i="29"/>
  <c r="BC198" i="29"/>
  <c r="BF198" i="29" s="1"/>
  <c r="CG198" i="29"/>
  <c r="BD199" i="29"/>
  <c r="BE198" i="29"/>
  <c r="BG198" i="29" s="1"/>
  <c r="BA198" i="29" s="1"/>
  <c r="CV191" i="29" l="1"/>
  <c r="CO191" i="29" s="1"/>
  <c r="CQ191" i="29" s="1"/>
  <c r="CX191" i="29"/>
  <c r="CC196" i="29"/>
  <c r="AB197" i="29"/>
  <c r="V198" i="29"/>
  <c r="S199" i="29"/>
  <c r="T199" i="29"/>
  <c r="AF198" i="29"/>
  <c r="AE198" i="29"/>
  <c r="AQ198" i="29"/>
  <c r="K199" i="29"/>
  <c r="L198" i="29"/>
  <c r="J199" i="29"/>
  <c r="BR200" i="29"/>
  <c r="BN201" i="29"/>
  <c r="BY200" i="29"/>
  <c r="BO201" i="29"/>
  <c r="CL196" i="29"/>
  <c r="CW196" i="29"/>
  <c r="AN202" i="29"/>
  <c r="AO202" i="29"/>
  <c r="CT200" i="29"/>
  <c r="AX200" i="29"/>
  <c r="BQ201" i="29"/>
  <c r="BQ202" i="29" s="1"/>
  <c r="U198" i="29"/>
  <c r="AC198" i="29" s="1"/>
  <c r="M196" i="29"/>
  <c r="AA196" i="29"/>
  <c r="W196" i="29"/>
  <c r="Y196" i="29" s="1"/>
  <c r="CS197" i="29"/>
  <c r="CM197" i="29" s="1"/>
  <c r="CR197" i="29"/>
  <c r="CA197" i="29"/>
  <c r="BU197" i="29" s="1"/>
  <c r="CB197" i="29"/>
  <c r="BV197" i="29" s="1"/>
  <c r="AW201" i="29"/>
  <c r="AP201" i="29"/>
  <c r="AV201" i="29" s="1"/>
  <c r="AR201" i="29" s="1"/>
  <c r="Q197" i="29"/>
  <c r="R197" i="29"/>
  <c r="CP199" i="29"/>
  <c r="CI199" i="29"/>
  <c r="CF200" i="29"/>
  <c r="CH201" i="29" s="1"/>
  <c r="CE200" i="29"/>
  <c r="BW189" i="29"/>
  <c r="BX189" i="29"/>
  <c r="CG199" i="29"/>
  <c r="BD200" i="29"/>
  <c r="BP199" i="29"/>
  <c r="BC199" i="29"/>
  <c r="BF199" i="29" s="1"/>
  <c r="BE199" i="29"/>
  <c r="BG199" i="29" s="1"/>
  <c r="BA199" i="29" s="1"/>
  <c r="AZ198" i="29"/>
  <c r="BH198" i="29"/>
  <c r="BB198" i="29" s="1"/>
  <c r="CX192" i="29" l="1"/>
  <c r="CV192" i="29"/>
  <c r="CO192" i="29" s="1"/>
  <c r="CQ192" i="29" s="1"/>
  <c r="AN203" i="29"/>
  <c r="AO203" i="29"/>
  <c r="CB198" i="29"/>
  <c r="BV198" i="29" s="1"/>
  <c r="CR198" i="29"/>
  <c r="M197" i="29"/>
  <c r="CA198" i="29"/>
  <c r="BU198" i="29" s="1"/>
  <c r="W197" i="29"/>
  <c r="Y197" i="29" s="1"/>
  <c r="CS198" i="29"/>
  <c r="CM198" i="29" s="1"/>
  <c r="AA197" i="29"/>
  <c r="CL197" i="29"/>
  <c r="CW197" i="29"/>
  <c r="BQ203" i="29"/>
  <c r="AW202" i="29"/>
  <c r="AP202" i="29"/>
  <c r="AV202" i="29" s="1"/>
  <c r="AR202" i="29" s="1"/>
  <c r="U199" i="29"/>
  <c r="AB199" i="29" s="1"/>
  <c r="J200" i="29"/>
  <c r="K200" i="29"/>
  <c r="L199" i="29"/>
  <c r="AQ199" i="29"/>
  <c r="CC197" i="29"/>
  <c r="R198" i="29"/>
  <c r="Q198" i="29"/>
  <c r="BO202" i="29"/>
  <c r="BN202" i="29"/>
  <c r="BR201" i="29"/>
  <c r="CI200" i="29"/>
  <c r="CE201" i="29"/>
  <c r="CP200" i="29"/>
  <c r="CF201" i="29"/>
  <c r="T200" i="29"/>
  <c r="S200" i="29"/>
  <c r="V199" i="29"/>
  <c r="AE199" i="29"/>
  <c r="AF199" i="29"/>
  <c r="X197" i="29"/>
  <c r="AX201" i="29"/>
  <c r="AB198" i="29"/>
  <c r="BH199" i="29"/>
  <c r="BB199" i="29" s="1"/>
  <c r="AZ199" i="29"/>
  <c r="BZ189" i="29"/>
  <c r="BX190" i="29" s="1"/>
  <c r="CG200" i="29"/>
  <c r="BP200" i="29"/>
  <c r="BE200" i="29"/>
  <c r="BG200" i="29" s="1"/>
  <c r="BA200" i="29" s="1"/>
  <c r="BD201" i="29"/>
  <c r="BC200" i="29"/>
  <c r="BF200" i="29" s="1"/>
  <c r="BT189" i="29"/>
  <c r="M188" i="29" s="1"/>
  <c r="BS189" i="29"/>
  <c r="CX193" i="29" l="1"/>
  <c r="CV193" i="29"/>
  <c r="CO193" i="29" s="1"/>
  <c r="CQ193" i="29" s="1"/>
  <c r="CC198" i="29"/>
  <c r="AC199" i="29"/>
  <c r="CF202" i="29"/>
  <c r="CE202" i="29"/>
  <c r="CI201" i="29"/>
  <c r="AW203" i="29"/>
  <c r="AP203" i="29"/>
  <c r="AV203" i="29" s="1"/>
  <c r="AR203" i="29" s="1"/>
  <c r="U200" i="29"/>
  <c r="L200" i="29"/>
  <c r="J201" i="29"/>
  <c r="AQ200" i="29"/>
  <c r="K201" i="29"/>
  <c r="CL198" i="29"/>
  <c r="CW198" i="29"/>
  <c r="X198" i="29"/>
  <c r="W198" i="29"/>
  <c r="Y198" i="29" s="1"/>
  <c r="CA199" i="29"/>
  <c r="BU199" i="29" s="1"/>
  <c r="CR199" i="29"/>
  <c r="AA198" i="29"/>
  <c r="CS199" i="29"/>
  <c r="CM199" i="29" s="1"/>
  <c r="CB199" i="29"/>
  <c r="BV199" i="29" s="1"/>
  <c r="M198" i="29"/>
  <c r="BQ204" i="29"/>
  <c r="S201" i="29"/>
  <c r="T201" i="29"/>
  <c r="V200" i="29"/>
  <c r="AE200" i="29"/>
  <c r="AF200" i="29"/>
  <c r="BN203" i="29"/>
  <c r="BR202" i="29"/>
  <c r="BO203" i="29"/>
  <c r="BY202" i="29"/>
  <c r="CH202" i="29"/>
  <c r="CH203" i="29" s="1"/>
  <c r="Q199" i="29"/>
  <c r="X199" i="29" s="1"/>
  <c r="R199" i="29"/>
  <c r="CT202" i="29"/>
  <c r="AX202" i="29"/>
  <c r="AN204" i="29"/>
  <c r="AO204" i="29"/>
  <c r="BZ190" i="29"/>
  <c r="BX191" i="29" s="1"/>
  <c r="H25" i="29"/>
  <c r="K18" i="40" s="1"/>
  <c r="X188" i="29"/>
  <c r="Y188" i="29" s="1"/>
  <c r="Z188" i="29" s="1"/>
  <c r="BH200" i="29"/>
  <c r="BB200" i="29" s="1"/>
  <c r="AZ200" i="29"/>
  <c r="BI201" i="29"/>
  <c r="CG201" i="29"/>
  <c r="BP201" i="29"/>
  <c r="BD202" i="29"/>
  <c r="BC201" i="29"/>
  <c r="BF201" i="29" s="1"/>
  <c r="BE201" i="29"/>
  <c r="BG201" i="29" s="1"/>
  <c r="BA201" i="29" s="1"/>
  <c r="CX194" i="29" l="1"/>
  <c r="CV194" i="29"/>
  <c r="CO194" i="29" s="1"/>
  <c r="CQ194" i="29" s="1"/>
  <c r="CC199" i="29"/>
  <c r="AB188" i="29"/>
  <c r="AC188" i="29"/>
  <c r="Z189" i="29"/>
  <c r="Z190" i="29" s="1"/>
  <c r="Z191" i="29" s="1"/>
  <c r="Z192" i="29" s="1"/>
  <c r="Z193" i="29" s="1"/>
  <c r="Z194" i="29" s="1"/>
  <c r="Z195" i="29" s="1"/>
  <c r="Z196" i="29" s="1"/>
  <c r="Z197" i="29" s="1"/>
  <c r="Z198" i="29" s="1"/>
  <c r="G25" i="29"/>
  <c r="L18" i="40" s="1"/>
  <c r="AO205" i="29"/>
  <c r="AN205" i="29"/>
  <c r="Q200" i="29"/>
  <c r="R200" i="29"/>
  <c r="AW204" i="29"/>
  <c r="AP204" i="29"/>
  <c r="AV204" i="29" s="1"/>
  <c r="AR204" i="29" s="1"/>
  <c r="U201" i="29"/>
  <c r="AC201" i="29" s="1"/>
  <c r="L201" i="29"/>
  <c r="J202" i="29"/>
  <c r="AQ201" i="29"/>
  <c r="K202" i="29"/>
  <c r="CF203" i="29"/>
  <c r="CP202" i="29"/>
  <c r="CE203" i="29"/>
  <c r="CI202" i="29"/>
  <c r="CH204" i="29"/>
  <c r="W199" i="29"/>
  <c r="Y199" i="29" s="1"/>
  <c r="CA200" i="29"/>
  <c r="BU200" i="29" s="1"/>
  <c r="M199" i="29"/>
  <c r="CS200" i="29"/>
  <c r="CM200" i="29" s="1"/>
  <c r="CB200" i="29"/>
  <c r="BV200" i="29" s="1"/>
  <c r="AA199" i="29"/>
  <c r="CR200" i="29"/>
  <c r="BN204" i="29"/>
  <c r="BR203" i="29"/>
  <c r="BO204" i="29"/>
  <c r="BY203" i="29"/>
  <c r="CL199" i="29"/>
  <c r="CW199" i="29"/>
  <c r="CT203" i="29"/>
  <c r="AX203" i="29"/>
  <c r="V201" i="29"/>
  <c r="T202" i="29"/>
  <c r="S202" i="29"/>
  <c r="AF201" i="29"/>
  <c r="AE201" i="29"/>
  <c r="BZ191" i="29"/>
  <c r="BX192" i="29" s="1"/>
  <c r="BD203" i="29"/>
  <c r="CG202" i="29"/>
  <c r="BE202" i="29"/>
  <c r="BG202" i="29" s="1"/>
  <c r="BA202" i="29" s="1"/>
  <c r="BP202" i="29"/>
  <c r="BC202" i="29"/>
  <c r="BF202" i="29" s="1"/>
  <c r="AZ201" i="29"/>
  <c r="BH201" i="29"/>
  <c r="BB201" i="29" s="1"/>
  <c r="G32" i="15"/>
  <c r="I34" i="39"/>
  <c r="H18" i="44" s="1"/>
  <c r="D18" i="45" s="1"/>
  <c r="K18" i="45" s="1"/>
  <c r="L18" i="45" s="1"/>
  <c r="J19" i="45" s="1"/>
  <c r="D165" i="15"/>
  <c r="BJ87" i="44" l="1"/>
  <c r="AT87" i="44"/>
  <c r="AD87" i="44"/>
  <c r="BR87" i="44"/>
  <c r="BB87" i="44"/>
  <c r="AL87" i="44"/>
  <c r="BO87" i="44"/>
  <c r="AI87" i="44"/>
  <c r="BG87" i="44"/>
  <c r="AA87" i="44"/>
  <c r="AY87" i="44"/>
  <c r="AQ87" i="44"/>
  <c r="BM87" i="44"/>
  <c r="AW87" i="44"/>
  <c r="AG87" i="44"/>
  <c r="BH87" i="44"/>
  <c r="AR87" i="44"/>
  <c r="AB87" i="44"/>
  <c r="AU87" i="44"/>
  <c r="Z87" i="44"/>
  <c r="BF87" i="44"/>
  <c r="BE87" i="44"/>
  <c r="AO87" i="44"/>
  <c r="BP87" i="44"/>
  <c r="AZ87" i="44"/>
  <c r="AJ87" i="44"/>
  <c r="AE87" i="44"/>
  <c r="BK87" i="44"/>
  <c r="AP87" i="44"/>
  <c r="BQ87" i="44"/>
  <c r="AK87" i="44"/>
  <c r="AV87" i="44"/>
  <c r="AM87" i="44"/>
  <c r="AX87" i="44"/>
  <c r="AS87" i="44"/>
  <c r="BI87" i="44"/>
  <c r="AC87" i="44"/>
  <c r="AN87" i="44"/>
  <c r="BC87" i="44"/>
  <c r="BN87" i="44"/>
  <c r="BA87" i="44"/>
  <c r="BL87" i="44"/>
  <c r="AF87" i="44"/>
  <c r="BD87" i="44"/>
  <c r="AH87" i="44"/>
  <c r="CV195" i="29"/>
  <c r="CO195" i="29" s="1"/>
  <c r="CQ195" i="29" s="1"/>
  <c r="CX195" i="29"/>
  <c r="Z199" i="29"/>
  <c r="F165" i="15"/>
  <c r="L34" i="39"/>
  <c r="T203" i="29"/>
  <c r="V202" i="29"/>
  <c r="S203" i="29"/>
  <c r="AE202" i="29"/>
  <c r="AF202" i="29"/>
  <c r="U202" i="29"/>
  <c r="AB202" i="29" s="1"/>
  <c r="BY204" i="29"/>
  <c r="BN205" i="29"/>
  <c r="BR204" i="29"/>
  <c r="BO205" i="29"/>
  <c r="CL200" i="29"/>
  <c r="CW200" i="29"/>
  <c r="L202" i="29"/>
  <c r="K203" i="29"/>
  <c r="AQ202" i="29"/>
  <c r="J203" i="29"/>
  <c r="Q201" i="29"/>
  <c r="R201" i="29"/>
  <c r="CT204" i="29"/>
  <c r="AX204" i="29"/>
  <c r="AW205" i="29"/>
  <c r="AP205" i="29"/>
  <c r="AV205" i="29" s="1"/>
  <c r="AR205" i="29" s="1"/>
  <c r="AB201" i="29"/>
  <c r="AA200" i="29"/>
  <c r="W200" i="29"/>
  <c r="CR201" i="29"/>
  <c r="CA201" i="29"/>
  <c r="BU201" i="29" s="1"/>
  <c r="AN206" i="29"/>
  <c r="AO206" i="29"/>
  <c r="CC200" i="29"/>
  <c r="CE204" i="29"/>
  <c r="CF204" i="29"/>
  <c r="CP203" i="29"/>
  <c r="CI203" i="29"/>
  <c r="BQ205" i="29"/>
  <c r="BQ206" i="29" s="1"/>
  <c r="BZ192" i="29"/>
  <c r="BX193" i="29" s="1"/>
  <c r="BP203" i="29"/>
  <c r="BD204" i="29"/>
  <c r="BE203" i="29"/>
  <c r="BG203" i="29" s="1"/>
  <c r="BA203" i="29" s="1"/>
  <c r="CG203" i="29"/>
  <c r="BC203" i="29"/>
  <c r="BF203" i="29" s="1"/>
  <c r="AZ202" i="29"/>
  <c r="BH202" i="29"/>
  <c r="BB202" i="29" s="1"/>
  <c r="CV196" i="29" l="1"/>
  <c r="CO196" i="29" s="1"/>
  <c r="CQ196" i="29" s="1"/>
  <c r="CX196" i="29"/>
  <c r="AC202" i="29"/>
  <c r="CS201" i="29"/>
  <c r="CM201" i="29" s="1"/>
  <c r="M201" i="29"/>
  <c r="W201" i="29"/>
  <c r="Y201" i="29" s="1"/>
  <c r="CA202" i="29"/>
  <c r="BU202" i="29" s="1"/>
  <c r="CB202" i="29"/>
  <c r="BV202" i="29" s="1"/>
  <c r="CR202" i="29"/>
  <c r="CS202" i="29"/>
  <c r="CM202" i="29" s="1"/>
  <c r="AA201" i="29"/>
  <c r="U203" i="29"/>
  <c r="AC203" i="29" s="1"/>
  <c r="CI204" i="29"/>
  <c r="CP204" i="29"/>
  <c r="CF205" i="29"/>
  <c r="CE205" i="29"/>
  <c r="X201" i="29"/>
  <c r="V203" i="29"/>
  <c r="S204" i="29"/>
  <c r="T204" i="29"/>
  <c r="AE203" i="29"/>
  <c r="AF203" i="29"/>
  <c r="AN207" i="29"/>
  <c r="AO207" i="29"/>
  <c r="CB201" i="29"/>
  <c r="CH205" i="29"/>
  <c r="CH206" i="29" s="1"/>
  <c r="AW206" i="29"/>
  <c r="AP206" i="29"/>
  <c r="AV206" i="29" s="1"/>
  <c r="AR206" i="29" s="1"/>
  <c r="CT205" i="29"/>
  <c r="AX205" i="29"/>
  <c r="L203" i="29"/>
  <c r="J204" i="29"/>
  <c r="K204" i="29"/>
  <c r="AQ203" i="29"/>
  <c r="BO206" i="29"/>
  <c r="BY205" i="29"/>
  <c r="BR205" i="29"/>
  <c r="BN206" i="29"/>
  <c r="Q202" i="29"/>
  <c r="R202" i="29"/>
  <c r="BD205" i="29"/>
  <c r="CG204" i="29"/>
  <c r="BE204" i="29"/>
  <c r="BG204" i="29" s="1"/>
  <c r="BA204" i="29" s="1"/>
  <c r="BC204" i="29"/>
  <c r="BF204" i="29" s="1"/>
  <c r="BP204" i="29"/>
  <c r="AZ203" i="29"/>
  <c r="BH203" i="29"/>
  <c r="BB203" i="29" s="1"/>
  <c r="BZ193" i="29"/>
  <c r="BX194" i="29" s="1"/>
  <c r="CV197" i="29" l="1"/>
  <c r="CO197" i="29" s="1"/>
  <c r="CQ197" i="29" s="1"/>
  <c r="CX197" i="29"/>
  <c r="CT201" i="29"/>
  <c r="CL201" i="29" s="1"/>
  <c r="CR203" i="29"/>
  <c r="CS203" i="29"/>
  <c r="CM203" i="29" s="1"/>
  <c r="CA203" i="29"/>
  <c r="BU203" i="29" s="1"/>
  <c r="M202" i="29"/>
  <c r="CB203" i="29"/>
  <c r="BV203" i="29" s="1"/>
  <c r="W202" i="29"/>
  <c r="Y202" i="29" s="1"/>
  <c r="AA202" i="29"/>
  <c r="BV201" i="29"/>
  <c r="CC201" i="29"/>
  <c r="R203" i="29"/>
  <c r="Q203" i="29"/>
  <c r="CL202" i="29"/>
  <c r="CW202" i="29"/>
  <c r="X202" i="29"/>
  <c r="BN207" i="29"/>
  <c r="BR206" i="29"/>
  <c r="BO207" i="29"/>
  <c r="BY206" i="29"/>
  <c r="CT206" i="29"/>
  <c r="AX206" i="29"/>
  <c r="AN208" i="29"/>
  <c r="AO208" i="29"/>
  <c r="CI205" i="29"/>
  <c r="CF206" i="29"/>
  <c r="CP205" i="29"/>
  <c r="CE206" i="29"/>
  <c r="AB203" i="29"/>
  <c r="CC202" i="29"/>
  <c r="CH207" i="29"/>
  <c r="AW207" i="29"/>
  <c r="AP207" i="29"/>
  <c r="AV207" i="29" s="1"/>
  <c r="AR207" i="29" s="1"/>
  <c r="T205" i="29"/>
  <c r="S205" i="29"/>
  <c r="V204" i="29"/>
  <c r="AE204" i="29"/>
  <c r="AF204" i="29"/>
  <c r="K205" i="29"/>
  <c r="J205" i="29"/>
  <c r="AQ204" i="29"/>
  <c r="L204" i="29"/>
  <c r="BQ207" i="29"/>
  <c r="BQ208" i="29" s="1"/>
  <c r="U204" i="29"/>
  <c r="AB204" i="29" s="1"/>
  <c r="BZ194" i="29"/>
  <c r="BX195" i="29" s="1"/>
  <c r="CG205" i="29"/>
  <c r="BP205" i="29"/>
  <c r="BD206" i="29"/>
  <c r="BE205" i="29"/>
  <c r="BG205" i="29" s="1"/>
  <c r="BA205" i="29" s="1"/>
  <c r="BC205" i="29"/>
  <c r="BF205" i="29" s="1"/>
  <c r="BH204" i="29"/>
  <c r="BB204" i="29" s="1"/>
  <c r="AZ204" i="29"/>
  <c r="CX198" i="29" l="1"/>
  <c r="CV198" i="29"/>
  <c r="CO198" i="29" s="1"/>
  <c r="CQ198" i="29" s="1"/>
  <c r="CW201" i="29"/>
  <c r="AC204" i="29"/>
  <c r="CC203" i="29"/>
  <c r="L205" i="29"/>
  <c r="AQ205" i="29"/>
  <c r="J206" i="29"/>
  <c r="K206" i="29"/>
  <c r="U205" i="29"/>
  <c r="AC205" i="29" s="1"/>
  <c r="CH208" i="29"/>
  <c r="CF207" i="29"/>
  <c r="CE207" i="29"/>
  <c r="CP206" i="29"/>
  <c r="CI206" i="29"/>
  <c r="Q204" i="29"/>
  <c r="R204" i="29"/>
  <c r="S206" i="29"/>
  <c r="V205" i="29"/>
  <c r="T206" i="29"/>
  <c r="AE205" i="29"/>
  <c r="AF205" i="29"/>
  <c r="CL203" i="29"/>
  <c r="CW203" i="29"/>
  <c r="AO209" i="29"/>
  <c r="AN209" i="29"/>
  <c r="X203" i="29"/>
  <c r="CR204" i="29"/>
  <c r="CB204" i="29"/>
  <c r="BV204" i="29" s="1"/>
  <c r="AA203" i="29"/>
  <c r="CA204" i="29"/>
  <c r="BU204" i="29" s="1"/>
  <c r="W203" i="29"/>
  <c r="Y203" i="29" s="1"/>
  <c r="M203" i="29"/>
  <c r="CS204" i="29"/>
  <c r="CM204" i="29" s="1"/>
  <c r="CT207" i="29"/>
  <c r="AX207" i="29"/>
  <c r="AW208" i="29"/>
  <c r="AP208" i="29"/>
  <c r="AV208" i="29" s="1"/>
  <c r="AR208" i="29" s="1"/>
  <c r="BO208" i="29"/>
  <c r="BY207" i="29"/>
  <c r="BN208" i="29"/>
  <c r="BR207" i="29"/>
  <c r="BZ195" i="29"/>
  <c r="BX196" i="29" s="1"/>
  <c r="BH205" i="29"/>
  <c r="BB205" i="29" s="1"/>
  <c r="AZ205" i="29"/>
  <c r="BD207" i="29"/>
  <c r="BE206" i="29"/>
  <c r="BG206" i="29" s="1"/>
  <c r="BA206" i="29" s="1"/>
  <c r="BP206" i="29"/>
  <c r="CG206" i="29"/>
  <c r="BC206" i="29"/>
  <c r="BF206" i="29" s="1"/>
  <c r="CV199" i="29" l="1"/>
  <c r="CO199" i="29" s="1"/>
  <c r="CQ199" i="29" s="1"/>
  <c r="CX199" i="29"/>
  <c r="AB205" i="29"/>
  <c r="AA204" i="29"/>
  <c r="M204" i="29"/>
  <c r="CB205" i="29"/>
  <c r="BV205" i="29" s="1"/>
  <c r="W204" i="29"/>
  <c r="Y204" i="29" s="1"/>
  <c r="CS205" i="29"/>
  <c r="CM205" i="29" s="1"/>
  <c r="CA205" i="29"/>
  <c r="BU205" i="29" s="1"/>
  <c r="CR205" i="29"/>
  <c r="BO209" i="29"/>
  <c r="BN209" i="29"/>
  <c r="BR208" i="29"/>
  <c r="BY208" i="29"/>
  <c r="CL204" i="29"/>
  <c r="CW204" i="29"/>
  <c r="U206" i="29"/>
  <c r="AC206" i="29" s="1"/>
  <c r="CP207" i="29"/>
  <c r="CF208" i="29"/>
  <c r="CI207" i="29"/>
  <c r="CE208" i="29"/>
  <c r="CC204" i="29"/>
  <c r="X204" i="29"/>
  <c r="CH209" i="29"/>
  <c r="AQ206" i="29"/>
  <c r="K207" i="29"/>
  <c r="J207" i="29"/>
  <c r="L206" i="29"/>
  <c r="BQ209" i="29"/>
  <c r="BQ210" i="29" s="1"/>
  <c r="AO210" i="29"/>
  <c r="AN210" i="29"/>
  <c r="CT208" i="29"/>
  <c r="AX208" i="29"/>
  <c r="AW209" i="29"/>
  <c r="AP209" i="29"/>
  <c r="AV209" i="29" s="1"/>
  <c r="AR209" i="29" s="1"/>
  <c r="V206" i="29"/>
  <c r="S207" i="29"/>
  <c r="T207" i="29"/>
  <c r="AF206" i="29"/>
  <c r="AE206" i="29"/>
  <c r="R205" i="29"/>
  <c r="Q205" i="29"/>
  <c r="X205" i="29" s="1"/>
  <c r="BZ196" i="29"/>
  <c r="BX197" i="29" s="1"/>
  <c r="AZ206" i="29"/>
  <c r="BH206" i="29"/>
  <c r="BB206" i="29" s="1"/>
  <c r="CG207" i="29"/>
  <c r="BD208" i="29"/>
  <c r="BP207" i="29"/>
  <c r="BE207" i="29"/>
  <c r="BG207" i="29" s="1"/>
  <c r="BA207" i="29" s="1"/>
  <c r="BC207" i="29"/>
  <c r="BF207" i="29" s="1"/>
  <c r="CV200" i="29" l="1"/>
  <c r="CO200" i="29" s="1"/>
  <c r="CQ200" i="29" s="1"/>
  <c r="CP201" i="29" s="1"/>
  <c r="CN201" i="29" s="1"/>
  <c r="CX200" i="29"/>
  <c r="AB206" i="29"/>
  <c r="R206" i="29"/>
  <c r="Q206" i="29"/>
  <c r="BO210" i="29"/>
  <c r="BY209" i="29"/>
  <c r="BR209" i="29"/>
  <c r="BN210" i="29"/>
  <c r="M205" i="29"/>
  <c r="CB206" i="29"/>
  <c r="BV206" i="29" s="1"/>
  <c r="AA205" i="29"/>
  <c r="W205" i="29"/>
  <c r="Y205" i="29" s="1"/>
  <c r="CA206" i="29"/>
  <c r="BU206" i="29" s="1"/>
  <c r="CR206" i="29"/>
  <c r="CS206" i="29"/>
  <c r="CM206" i="29" s="1"/>
  <c r="AQ207" i="29"/>
  <c r="K208" i="29"/>
  <c r="J208" i="29"/>
  <c r="L207" i="29"/>
  <c r="CF209" i="29"/>
  <c r="CP208" i="29"/>
  <c r="CE209" i="29"/>
  <c r="CI208" i="29"/>
  <c r="CC205" i="29"/>
  <c r="U207" i="29"/>
  <c r="AB207" i="29" s="1"/>
  <c r="AN211" i="29"/>
  <c r="AO211" i="29"/>
  <c r="CH210" i="29"/>
  <c r="T208" i="29"/>
  <c r="V207" i="29"/>
  <c r="S208" i="29"/>
  <c r="AE207" i="29"/>
  <c r="AF207" i="29"/>
  <c r="CT209" i="29"/>
  <c r="AX209" i="29"/>
  <c r="AW210" i="29"/>
  <c r="AP210" i="29"/>
  <c r="AV210" i="29" s="1"/>
  <c r="AR210" i="29" s="1"/>
  <c r="BQ211" i="29"/>
  <c r="CL205" i="29"/>
  <c r="CW205" i="29"/>
  <c r="BZ197" i="29"/>
  <c r="BX198" i="29" s="1"/>
  <c r="BE208" i="29"/>
  <c r="BG208" i="29" s="1"/>
  <c r="BA208" i="29" s="1"/>
  <c r="BD209" i="29"/>
  <c r="BC208" i="29"/>
  <c r="BF208" i="29" s="1"/>
  <c r="BP208" i="29"/>
  <c r="CG208" i="29"/>
  <c r="AZ207" i="29"/>
  <c r="BH207" i="29"/>
  <c r="BB207" i="29" s="1"/>
  <c r="CV201" i="29" l="1"/>
  <c r="CO201" i="29" s="1"/>
  <c r="CQ201" i="29" s="1"/>
  <c r="CX201" i="29"/>
  <c r="CJ201" i="29"/>
  <c r="AJ26" i="29" s="1"/>
  <c r="CC206" i="29"/>
  <c r="CR207" i="29"/>
  <c r="M206" i="29"/>
  <c r="CS207" i="29"/>
  <c r="CM207" i="29" s="1"/>
  <c r="CA207" i="29"/>
  <c r="BU207" i="29" s="1"/>
  <c r="CB207" i="29"/>
  <c r="BV207" i="29" s="1"/>
  <c r="AA206" i="29"/>
  <c r="W206" i="29"/>
  <c r="Y206" i="29" s="1"/>
  <c r="U208" i="29"/>
  <c r="AB208" i="29" s="1"/>
  <c r="AW211" i="29"/>
  <c r="AP211" i="29"/>
  <c r="AV211" i="29" s="1"/>
  <c r="AR211" i="29" s="1"/>
  <c r="CF210" i="29"/>
  <c r="CE210" i="29"/>
  <c r="CP209" i="29"/>
  <c r="CI209" i="29"/>
  <c r="L208" i="29"/>
  <c r="K209" i="29"/>
  <c r="J209" i="29"/>
  <c r="AQ208" i="29"/>
  <c r="CL206" i="29"/>
  <c r="CW206" i="29"/>
  <c r="X206" i="29"/>
  <c r="CT210" i="29"/>
  <c r="AX210" i="29"/>
  <c r="AN212" i="29"/>
  <c r="AO212" i="29"/>
  <c r="Q207" i="29"/>
  <c r="R207" i="29"/>
  <c r="T209" i="29"/>
  <c r="S209" i="29"/>
  <c r="V208" i="29"/>
  <c r="AF208" i="29"/>
  <c r="AE208" i="29"/>
  <c r="CH211" i="29"/>
  <c r="AC207" i="29"/>
  <c r="BO211" i="29"/>
  <c r="BN211" i="29"/>
  <c r="BY210" i="29"/>
  <c r="BR210" i="29"/>
  <c r="BZ198" i="29"/>
  <c r="BX199" i="29" s="1"/>
  <c r="AZ208" i="29"/>
  <c r="BH208" i="29"/>
  <c r="BB208" i="29" s="1"/>
  <c r="BC209" i="29"/>
  <c r="BF209" i="29" s="1"/>
  <c r="BE209" i="29"/>
  <c r="BG209" i="29" s="1"/>
  <c r="BA209" i="29" s="1"/>
  <c r="BD210" i="29"/>
  <c r="CG209" i="29"/>
  <c r="BP209" i="29"/>
  <c r="CK201" i="29" l="1"/>
  <c r="AR200" i="29" s="1"/>
  <c r="AL26" i="29" s="1"/>
  <c r="CV202" i="29"/>
  <c r="CO202" i="29" s="1"/>
  <c r="CQ202" i="29" s="1"/>
  <c r="CX202" i="29"/>
  <c r="CC207" i="29"/>
  <c r="W207" i="29"/>
  <c r="Y207" i="29" s="1"/>
  <c r="CA208" i="29"/>
  <c r="BU208" i="29" s="1"/>
  <c r="AA207" i="29"/>
  <c r="M207" i="29"/>
  <c r="CR208" i="29"/>
  <c r="CB208" i="29"/>
  <c r="BV208" i="29" s="1"/>
  <c r="CS208" i="29"/>
  <c r="CM208" i="29" s="1"/>
  <c r="K210" i="29"/>
  <c r="L209" i="29"/>
  <c r="J210" i="29"/>
  <c r="AQ209" i="29"/>
  <c r="BY211" i="29"/>
  <c r="BN212" i="29"/>
  <c r="BR211" i="29"/>
  <c r="BO212" i="29"/>
  <c r="S210" i="29"/>
  <c r="V209" i="29"/>
  <c r="T210" i="29"/>
  <c r="AE209" i="29"/>
  <c r="AF209" i="29"/>
  <c r="BQ212" i="29"/>
  <c r="BQ213" i="29" s="1"/>
  <c r="CI210" i="29"/>
  <c r="CF211" i="29"/>
  <c r="CE211" i="29"/>
  <c r="CP210" i="29"/>
  <c r="U209" i="29"/>
  <c r="AB209" i="29" s="1"/>
  <c r="AW212" i="29"/>
  <c r="AP212" i="29"/>
  <c r="AV212" i="29" s="1"/>
  <c r="R208" i="29"/>
  <c r="Q208" i="29"/>
  <c r="X208" i="29" s="1"/>
  <c r="X207" i="29"/>
  <c r="AC208" i="29"/>
  <c r="CH212" i="29"/>
  <c r="CT211" i="29"/>
  <c r="AX211" i="29"/>
  <c r="CL207" i="29"/>
  <c r="CW207" i="29"/>
  <c r="BZ199" i="29"/>
  <c r="BX200" i="29" s="1"/>
  <c r="AZ209" i="29"/>
  <c r="BH209" i="29"/>
  <c r="BB209" i="29" s="1"/>
  <c r="BE210" i="29"/>
  <c r="BG210" i="29" s="1"/>
  <c r="BA210" i="29" s="1"/>
  <c r="BC210" i="29"/>
  <c r="BF210" i="29" s="1"/>
  <c r="CG210" i="29"/>
  <c r="BP210" i="29"/>
  <c r="BD211" i="29"/>
  <c r="CV203" i="29" l="1"/>
  <c r="CO203" i="29" s="1"/>
  <c r="CQ203" i="29" s="1"/>
  <c r="CX203" i="29"/>
  <c r="AC209" i="29"/>
  <c r="CC208" i="29"/>
  <c r="BQ214" i="29"/>
  <c r="U210" i="29"/>
  <c r="AB210" i="29" s="1"/>
  <c r="CT212" i="29"/>
  <c r="AX212" i="29"/>
  <c r="CE212" i="29"/>
  <c r="CF212" i="29"/>
  <c r="CI211" i="29"/>
  <c r="CP211" i="29"/>
  <c r="BO213" i="29"/>
  <c r="BR212" i="29"/>
  <c r="BY212" i="29"/>
  <c r="BN213" i="29"/>
  <c r="K211" i="29"/>
  <c r="L210" i="29"/>
  <c r="AQ210" i="29"/>
  <c r="J211" i="29"/>
  <c r="CL208" i="29"/>
  <c r="CW208" i="29"/>
  <c r="CA209" i="29"/>
  <c r="BU209" i="29" s="1"/>
  <c r="M208" i="29"/>
  <c r="W208" i="29"/>
  <c r="Y208" i="29" s="1"/>
  <c r="CR209" i="29"/>
  <c r="CB209" i="29"/>
  <c r="BV209" i="29" s="1"/>
  <c r="AA208" i="29"/>
  <c r="CS209" i="29"/>
  <c r="CM209" i="29" s="1"/>
  <c r="Q209" i="29"/>
  <c r="R209" i="29"/>
  <c r="V210" i="29"/>
  <c r="S211" i="29"/>
  <c r="T211" i="29"/>
  <c r="AE210" i="29"/>
  <c r="AF210" i="29"/>
  <c r="BZ200" i="29"/>
  <c r="BY201" i="29" s="1"/>
  <c r="AZ210" i="29"/>
  <c r="BH210" i="29"/>
  <c r="BB210" i="29" s="1"/>
  <c r="BE211" i="29"/>
  <c r="BG211" i="29" s="1"/>
  <c r="BA211" i="29" s="1"/>
  <c r="BP211" i="29"/>
  <c r="BC211" i="29"/>
  <c r="BF211" i="29" s="1"/>
  <c r="CG211" i="29"/>
  <c r="BD212" i="29"/>
  <c r="CV204" i="29" l="1"/>
  <c r="CO204" i="29" s="1"/>
  <c r="CQ204" i="29" s="1"/>
  <c r="CX204" i="29"/>
  <c r="CC209" i="29"/>
  <c r="U211" i="29"/>
  <c r="AB211" i="29" s="1"/>
  <c r="CR210" i="29"/>
  <c r="CA210" i="29"/>
  <c r="BU210" i="29" s="1"/>
  <c r="W209" i="29"/>
  <c r="Y209" i="29" s="1"/>
  <c r="CB210" i="29"/>
  <c r="BV210" i="29" s="1"/>
  <c r="M209" i="29"/>
  <c r="AA209" i="29"/>
  <c r="CS210" i="29"/>
  <c r="CM210" i="29" s="1"/>
  <c r="AC210" i="29"/>
  <c r="BQ215" i="29"/>
  <c r="CL209" i="29"/>
  <c r="CW209" i="29"/>
  <c r="CE213" i="29"/>
  <c r="CF213" i="29"/>
  <c r="CI212" i="29"/>
  <c r="CP212" i="29"/>
  <c r="CH213" i="29"/>
  <c r="V211" i="29"/>
  <c r="T212" i="29"/>
  <c r="S212" i="29"/>
  <c r="AF211" i="29"/>
  <c r="AE211" i="29"/>
  <c r="Q210" i="29"/>
  <c r="X210" i="29" s="1"/>
  <c r="R210" i="29"/>
  <c r="X209" i="29"/>
  <c r="J212" i="29"/>
  <c r="AQ211" i="29"/>
  <c r="K212" i="29"/>
  <c r="L211" i="29"/>
  <c r="BN214" i="29"/>
  <c r="BR213" i="29"/>
  <c r="BO214" i="29"/>
  <c r="BW201" i="29"/>
  <c r="BX201" i="29"/>
  <c r="BP212" i="29"/>
  <c r="BD213" i="29"/>
  <c r="BE212" i="29"/>
  <c r="BG212" i="29" s="1"/>
  <c r="BA212" i="29" s="1"/>
  <c r="BC212" i="29"/>
  <c r="BF212" i="29" s="1"/>
  <c r="CG212" i="29"/>
  <c r="BH211" i="29"/>
  <c r="BB211" i="29" s="1"/>
  <c r="AZ211" i="29"/>
  <c r="CV205" i="29" l="1"/>
  <c r="CO205" i="29" s="1"/>
  <c r="CQ205" i="29" s="1"/>
  <c r="CX205" i="29"/>
  <c r="AC211" i="29"/>
  <c r="CF214" i="29"/>
  <c r="CE214" i="29"/>
  <c r="CI213" i="29"/>
  <c r="U212" i="29"/>
  <c r="CH214" i="29"/>
  <c r="CH215" i="29" s="1"/>
  <c r="CL210" i="29"/>
  <c r="CW210" i="29"/>
  <c r="BO215" i="29"/>
  <c r="BY214" i="29"/>
  <c r="BN215" i="29"/>
  <c r="BR214" i="29"/>
  <c r="K213" i="29"/>
  <c r="L212" i="29"/>
  <c r="AQ212" i="29"/>
  <c r="J213" i="29"/>
  <c r="M210" i="29"/>
  <c r="CS211" i="29"/>
  <c r="CM211" i="29" s="1"/>
  <c r="W210" i="29"/>
  <c r="Y210" i="29" s="1"/>
  <c r="AA210" i="29"/>
  <c r="CB211" i="29"/>
  <c r="BV211" i="29" s="1"/>
  <c r="CA211" i="29"/>
  <c r="BU211" i="29" s="1"/>
  <c r="CR211" i="29"/>
  <c r="V212" i="29"/>
  <c r="T213" i="29"/>
  <c r="S213" i="29"/>
  <c r="AE212" i="29"/>
  <c r="AF212" i="29"/>
  <c r="CC210" i="29"/>
  <c r="R211" i="29"/>
  <c r="Q211" i="29"/>
  <c r="X211" i="29" s="1"/>
  <c r="BH212" i="29"/>
  <c r="BB212" i="29" s="1"/>
  <c r="AZ212" i="29"/>
  <c r="BZ201" i="29"/>
  <c r="BX202" i="29" s="1"/>
  <c r="BS201" i="29"/>
  <c r="BT201" i="29"/>
  <c r="M200" i="29" s="1"/>
  <c r="BE213" i="29"/>
  <c r="BG213" i="29" s="1"/>
  <c r="BA213" i="29" s="1"/>
  <c r="BC213" i="29"/>
  <c r="BF213" i="29" s="1"/>
  <c r="BI213" i="29"/>
  <c r="BP213" i="29"/>
  <c r="BD214" i="29"/>
  <c r="CG213" i="29"/>
  <c r="CV206" i="29" l="1"/>
  <c r="CO206" i="29" s="1"/>
  <c r="CQ206" i="29" s="1"/>
  <c r="CX206" i="29"/>
  <c r="K214" i="29"/>
  <c r="J214" i="29"/>
  <c r="L213" i="29"/>
  <c r="BN216" i="29"/>
  <c r="BO216" i="29"/>
  <c r="BR215" i="29"/>
  <c r="BY215" i="29"/>
  <c r="AA211" i="29"/>
  <c r="W211" i="29"/>
  <c r="Y211" i="29" s="1"/>
  <c r="CR212" i="29"/>
  <c r="CB212" i="29"/>
  <c r="BV212" i="29" s="1"/>
  <c r="CA212" i="29"/>
  <c r="BU212" i="29" s="1"/>
  <c r="M211" i="29"/>
  <c r="CS212" i="29"/>
  <c r="CM212" i="29" s="1"/>
  <c r="CC211" i="29"/>
  <c r="U213" i="29"/>
  <c r="AC213" i="29" s="1"/>
  <c r="CL211" i="29"/>
  <c r="CW211" i="29"/>
  <c r="R212" i="29"/>
  <c r="Q212" i="29"/>
  <c r="CI214" i="29"/>
  <c r="CP214" i="29"/>
  <c r="CE215" i="29"/>
  <c r="CF215" i="29"/>
  <c r="CH216" i="29" s="1"/>
  <c r="S214" i="29"/>
  <c r="V213" i="29"/>
  <c r="T214" i="29"/>
  <c r="AE213" i="29"/>
  <c r="AF213" i="29"/>
  <c r="BQ216" i="29"/>
  <c r="BQ217" i="29" s="1"/>
  <c r="BZ202" i="29"/>
  <c r="BX203" i="29" s="1"/>
  <c r="AZ213" i="29"/>
  <c r="BH213" i="29"/>
  <c r="BB213" i="29" s="1"/>
  <c r="CG214" i="29"/>
  <c r="BD215" i="29"/>
  <c r="BP214" i="29"/>
  <c r="BC214" i="29"/>
  <c r="BF214" i="29" s="1"/>
  <c r="BE214" i="29"/>
  <c r="BG214" i="29" s="1"/>
  <c r="BA214" i="29" s="1"/>
  <c r="H26" i="29"/>
  <c r="K19" i="40" s="1"/>
  <c r="X200" i="29"/>
  <c r="Y200" i="29" s="1"/>
  <c r="Z200" i="29" s="1"/>
  <c r="CV207" i="29" l="1"/>
  <c r="CO207" i="29" s="1"/>
  <c r="CQ207" i="29" s="1"/>
  <c r="CX207" i="29"/>
  <c r="AB200" i="29"/>
  <c r="AC200" i="29"/>
  <c r="Z201" i="29"/>
  <c r="Z202" i="29" s="1"/>
  <c r="Z203" i="29" s="1"/>
  <c r="Z204" i="29" s="1"/>
  <c r="Z205" i="29" s="1"/>
  <c r="Z206" i="29" s="1"/>
  <c r="Z207" i="29" s="1"/>
  <c r="Z208" i="29" s="1"/>
  <c r="Z209" i="29" s="1"/>
  <c r="Z210" i="29" s="1"/>
  <c r="Z211" i="29" s="1"/>
  <c r="G26" i="29"/>
  <c r="L19" i="40" s="1"/>
  <c r="CC212" i="29"/>
  <c r="W212" i="29"/>
  <c r="CA213" i="29"/>
  <c r="BU213" i="29" s="1"/>
  <c r="CR213" i="29"/>
  <c r="AA212" i="29"/>
  <c r="BQ218" i="29"/>
  <c r="R213" i="29"/>
  <c r="Q213" i="29"/>
  <c r="X213" i="29" s="1"/>
  <c r="BY216" i="29"/>
  <c r="BR216" i="29"/>
  <c r="BN217" i="29"/>
  <c r="BO217" i="29"/>
  <c r="K215" i="29"/>
  <c r="J215" i="29"/>
  <c r="L214" i="29"/>
  <c r="CF216" i="29"/>
  <c r="CI215" i="29"/>
  <c r="CE216" i="29"/>
  <c r="CP215" i="29"/>
  <c r="CL212" i="29"/>
  <c r="CW212" i="29"/>
  <c r="V214" i="29"/>
  <c r="T215" i="29"/>
  <c r="S215" i="29"/>
  <c r="AF214" i="29"/>
  <c r="AE214" i="29"/>
  <c r="U214" i="29"/>
  <c r="AB213" i="29"/>
  <c r="BZ203" i="29"/>
  <c r="BX204" i="29" s="1"/>
  <c r="G33" i="15"/>
  <c r="D166" i="15"/>
  <c r="I35" i="39"/>
  <c r="H19" i="44" s="1"/>
  <c r="D19" i="45" s="1"/>
  <c r="K19" i="45" s="1"/>
  <c r="L19" i="45" s="1"/>
  <c r="J20" i="45" s="1"/>
  <c r="BD216" i="29"/>
  <c r="BP215" i="29"/>
  <c r="BC215" i="29"/>
  <c r="BF215" i="29" s="1"/>
  <c r="CG215" i="29"/>
  <c r="BE215" i="29"/>
  <c r="BG215" i="29" s="1"/>
  <c r="BA215" i="29" s="1"/>
  <c r="AZ214" i="29"/>
  <c r="BH214" i="29"/>
  <c r="BB214" i="29" s="1"/>
  <c r="BM88" i="44" l="1"/>
  <c r="AG88" i="44"/>
  <c r="AR88" i="44"/>
  <c r="BK88" i="44"/>
  <c r="AU88" i="44"/>
  <c r="AE88" i="44"/>
  <c r="BE88" i="44"/>
  <c r="AJ88" i="44"/>
  <c r="BD88" i="44"/>
  <c r="AH88" i="44"/>
  <c r="BQ88" i="44"/>
  <c r="BB88" i="44"/>
  <c r="BG88" i="44"/>
  <c r="AQ88" i="44"/>
  <c r="AA88" i="44"/>
  <c r="AZ88" i="44"/>
  <c r="AD88" i="44"/>
  <c r="AX88" i="44"/>
  <c r="AC88" i="44"/>
  <c r="AK88" i="44"/>
  <c r="BC88" i="44"/>
  <c r="BP88" i="44"/>
  <c r="BN88" i="44"/>
  <c r="AL88" i="44"/>
  <c r="BA88" i="44"/>
  <c r="AY88" i="44"/>
  <c r="BJ88" i="44"/>
  <c r="BI88" i="44"/>
  <c r="AM88" i="44"/>
  <c r="AT88" i="44"/>
  <c r="AS88" i="44"/>
  <c r="AV88" i="44"/>
  <c r="BH88" i="44"/>
  <c r="AF88" i="44"/>
  <c r="BO88" i="44"/>
  <c r="AI88" i="44"/>
  <c r="AO88" i="44"/>
  <c r="AN88" i="44"/>
  <c r="BR88" i="44"/>
  <c r="AW88" i="44"/>
  <c r="BL88" i="44"/>
  <c r="AB88" i="44"/>
  <c r="AP88" i="44"/>
  <c r="BF88" i="44"/>
  <c r="CV208" i="29"/>
  <c r="CO208" i="29" s="1"/>
  <c r="CQ208" i="29" s="1"/>
  <c r="CX208" i="29"/>
  <c r="F166" i="15"/>
  <c r="L35" i="39"/>
  <c r="CS213" i="29"/>
  <c r="CM213" i="29" s="1"/>
  <c r="CB213" i="29"/>
  <c r="BV213" i="29" s="1"/>
  <c r="R214" i="29"/>
  <c r="Q214" i="29"/>
  <c r="X214" i="29" s="1"/>
  <c r="J216" i="29"/>
  <c r="K216" i="29"/>
  <c r="L215" i="29"/>
  <c r="AC214" i="29"/>
  <c r="U215" i="29"/>
  <c r="AB215" i="29" s="1"/>
  <c r="CI216" i="29"/>
  <c r="CP216" i="29"/>
  <c r="CF217" i="29"/>
  <c r="CE217" i="29"/>
  <c r="BN218" i="29"/>
  <c r="BO218" i="29"/>
  <c r="BR217" i="29"/>
  <c r="BY217" i="29"/>
  <c r="AB214" i="29"/>
  <c r="S216" i="29"/>
  <c r="V215" i="29"/>
  <c r="T216" i="29"/>
  <c r="AF215" i="29"/>
  <c r="AE215" i="29"/>
  <c r="CA214" i="29"/>
  <c r="BU214" i="29" s="1"/>
  <c r="W213" i="29"/>
  <c r="Y213" i="29" s="1"/>
  <c r="AA213" i="29"/>
  <c r="CR214" i="29"/>
  <c r="M213" i="29"/>
  <c r="CS214" i="29"/>
  <c r="CM214" i="29" s="1"/>
  <c r="CB214" i="29"/>
  <c r="BV214" i="29" s="1"/>
  <c r="CW213" i="29"/>
  <c r="CH217" i="29"/>
  <c r="CH218" i="29" s="1"/>
  <c r="BZ204" i="29"/>
  <c r="BX205" i="29" s="1"/>
  <c r="AZ215" i="29"/>
  <c r="BH215" i="29"/>
  <c r="BB215" i="29" s="1"/>
  <c r="BC216" i="29"/>
  <c r="BF216" i="29" s="1"/>
  <c r="CG216" i="29"/>
  <c r="BE216" i="29"/>
  <c r="BG216" i="29" s="1"/>
  <c r="BA216" i="29" s="1"/>
  <c r="BD217" i="29"/>
  <c r="BP216" i="29"/>
  <c r="CV209" i="29" l="1"/>
  <c r="CO209" i="29" s="1"/>
  <c r="CQ209" i="29" s="1"/>
  <c r="CX209" i="29"/>
  <c r="CL213" i="29"/>
  <c r="CC213" i="29"/>
  <c r="CC214" i="29"/>
  <c r="CL214" i="29"/>
  <c r="CW214" i="29"/>
  <c r="CF218" i="29"/>
  <c r="CE218" i="29"/>
  <c r="CI217" i="29"/>
  <c r="CP217" i="29"/>
  <c r="AC215" i="29"/>
  <c r="U216" i="29"/>
  <c r="AC216" i="29" s="1"/>
  <c r="BN219" i="29"/>
  <c r="BY218" i="29"/>
  <c r="BO219" i="29"/>
  <c r="BR218" i="29"/>
  <c r="BQ219" i="29"/>
  <c r="V216" i="29"/>
  <c r="S217" i="29"/>
  <c r="T217" i="29"/>
  <c r="AE216" i="29"/>
  <c r="AF216" i="29"/>
  <c r="R215" i="29"/>
  <c r="Q215" i="29"/>
  <c r="X215" i="29" s="1"/>
  <c r="L216" i="29"/>
  <c r="K217" i="29"/>
  <c r="J217" i="29"/>
  <c r="CR215" i="29"/>
  <c r="CA215" i="29"/>
  <c r="BU215" i="29" s="1"/>
  <c r="M214" i="29"/>
  <c r="CB215" i="29"/>
  <c r="BV215" i="29" s="1"/>
  <c r="CS215" i="29"/>
  <c r="CM215" i="29" s="1"/>
  <c r="W214" i="29"/>
  <c r="Y214" i="29" s="1"/>
  <c r="AA214" i="29"/>
  <c r="BZ205" i="29"/>
  <c r="BX206" i="29" s="1"/>
  <c r="AZ216" i="29"/>
  <c r="BH216" i="29"/>
  <c r="BB216" i="29" s="1"/>
  <c r="BP217" i="29"/>
  <c r="BE217" i="29"/>
  <c r="BG217" i="29" s="1"/>
  <c r="BA217" i="29" s="1"/>
  <c r="BC217" i="29"/>
  <c r="BF217" i="29" s="1"/>
  <c r="CG217" i="29"/>
  <c r="BD218" i="29"/>
  <c r="CV210" i="29" l="1"/>
  <c r="CO210" i="29" s="1"/>
  <c r="CQ210" i="29" s="1"/>
  <c r="CX210" i="29"/>
  <c r="CC215" i="29"/>
  <c r="BQ220" i="29"/>
  <c r="CL215" i="29"/>
  <c r="CW215" i="29"/>
  <c r="CS216" i="29"/>
  <c r="CM216" i="29" s="1"/>
  <c r="AA215" i="29"/>
  <c r="M215" i="29"/>
  <c r="W215" i="29"/>
  <c r="Y215" i="29" s="1"/>
  <c r="CR216" i="29"/>
  <c r="CB216" i="29"/>
  <c r="BV216" i="29" s="1"/>
  <c r="CA216" i="29"/>
  <c r="BU216" i="29" s="1"/>
  <c r="V217" i="29"/>
  <c r="S218" i="29"/>
  <c r="T218" i="29"/>
  <c r="AF217" i="29"/>
  <c r="AE217" i="29"/>
  <c r="Q216" i="29"/>
  <c r="R216" i="29"/>
  <c r="CF219" i="29"/>
  <c r="CP218" i="29"/>
  <c r="CE219" i="29"/>
  <c r="CI218" i="29"/>
  <c r="CH219" i="29"/>
  <c r="CH220" i="29" s="1"/>
  <c r="K218" i="29"/>
  <c r="J218" i="29"/>
  <c r="L217" i="29"/>
  <c r="U217" i="29"/>
  <c r="AC217" i="29" s="1"/>
  <c r="BO220" i="29"/>
  <c r="BR219" i="29"/>
  <c r="BY219" i="29"/>
  <c r="BN220" i="29"/>
  <c r="AB216" i="29"/>
  <c r="AZ217" i="29"/>
  <c r="BH217" i="29"/>
  <c r="BB217" i="29" s="1"/>
  <c r="BC218" i="29"/>
  <c r="BF218" i="29" s="1"/>
  <c r="CG218" i="29"/>
  <c r="BP218" i="29"/>
  <c r="BD219" i="29"/>
  <c r="BE218" i="29"/>
  <c r="BG218" i="29" s="1"/>
  <c r="BA218" i="29" s="1"/>
  <c r="BZ206" i="29"/>
  <c r="BX207" i="29" s="1"/>
  <c r="CV211" i="29" l="1"/>
  <c r="CO211" i="29" s="1"/>
  <c r="CQ211" i="29" s="1"/>
  <c r="CX211" i="29"/>
  <c r="AB217" i="29"/>
  <c r="CC216" i="29"/>
  <c r="L218" i="29"/>
  <c r="K219" i="29"/>
  <c r="J219" i="29"/>
  <c r="CL216" i="29"/>
  <c r="CW216" i="29"/>
  <c r="BQ221" i="29"/>
  <c r="BQ222" i="29" s="1"/>
  <c r="CE220" i="29"/>
  <c r="CF220" i="29"/>
  <c r="CP219" i="29"/>
  <c r="CI219" i="29"/>
  <c r="BR220" i="29"/>
  <c r="BY220" i="29"/>
  <c r="BN221" i="29"/>
  <c r="BO221" i="29"/>
  <c r="V218" i="29"/>
  <c r="S219" i="29"/>
  <c r="T219" i="29"/>
  <c r="AF218" i="29"/>
  <c r="AE218" i="29"/>
  <c r="Q217" i="29"/>
  <c r="R217" i="29"/>
  <c r="X216" i="29"/>
  <c r="M216" i="29"/>
  <c r="CS217" i="29"/>
  <c r="CM217" i="29" s="1"/>
  <c r="W216" i="29"/>
  <c r="Y216" i="29" s="1"/>
  <c r="CA217" i="29"/>
  <c r="BU217" i="29" s="1"/>
  <c r="CB217" i="29"/>
  <c r="BV217" i="29" s="1"/>
  <c r="AA216" i="29"/>
  <c r="CR217" i="29"/>
  <c r="U218" i="29"/>
  <c r="BZ207" i="29"/>
  <c r="BX208" i="29" s="1"/>
  <c r="BD220" i="29"/>
  <c r="BE219" i="29"/>
  <c r="BG219" i="29" s="1"/>
  <c r="BA219" i="29" s="1"/>
  <c r="BC219" i="29"/>
  <c r="BF219" i="29" s="1"/>
  <c r="CG219" i="29"/>
  <c r="BP219" i="29"/>
  <c r="AZ218" i="29"/>
  <c r="BH218" i="29"/>
  <c r="BB218" i="29" s="1"/>
  <c r="CV212" i="29" l="1"/>
  <c r="CO212" i="29" s="1"/>
  <c r="CQ212" i="29" s="1"/>
  <c r="CP213" i="29" s="1"/>
  <c r="CN213" i="29" s="1"/>
  <c r="CX212" i="29"/>
  <c r="CC217" i="29"/>
  <c r="Q218" i="29"/>
  <c r="R218" i="29"/>
  <c r="CL217" i="29"/>
  <c r="CW217" i="29"/>
  <c r="AC218" i="29"/>
  <c r="CR218" i="29"/>
  <c r="CB218" i="29"/>
  <c r="BV218" i="29" s="1"/>
  <c r="W217" i="29"/>
  <c r="Y217" i="29" s="1"/>
  <c r="CA218" i="29"/>
  <c r="BU218" i="29" s="1"/>
  <c r="AA217" i="29"/>
  <c r="M217" i="29"/>
  <c r="CS218" i="29"/>
  <c r="CM218" i="29" s="1"/>
  <c r="U219" i="29"/>
  <c r="CE221" i="29"/>
  <c r="CP220" i="29"/>
  <c r="CI220" i="29"/>
  <c r="CF221" i="29"/>
  <c r="J220" i="29"/>
  <c r="K220" i="29"/>
  <c r="L219" i="29"/>
  <c r="AB218" i="29"/>
  <c r="X217" i="29"/>
  <c r="BY221" i="29"/>
  <c r="BR221" i="29"/>
  <c r="BN222" i="29"/>
  <c r="BO222" i="29"/>
  <c r="BQ223" i="29" s="1"/>
  <c r="CH221" i="29"/>
  <c r="T220" i="29"/>
  <c r="S220" i="29"/>
  <c r="V219" i="29"/>
  <c r="AF219" i="29"/>
  <c r="AE219" i="29"/>
  <c r="BZ208" i="29"/>
  <c r="BX209" i="29" s="1"/>
  <c r="BP220" i="29"/>
  <c r="BC220" i="29"/>
  <c r="BF220" i="29" s="1"/>
  <c r="BE220" i="29"/>
  <c r="BG220" i="29" s="1"/>
  <c r="BA220" i="29" s="1"/>
  <c r="CG220" i="29"/>
  <c r="BD221" i="29"/>
  <c r="BH219" i="29"/>
  <c r="BB219" i="29" s="1"/>
  <c r="AZ219" i="29"/>
  <c r="CC218" i="29" l="1"/>
  <c r="CV213" i="29"/>
  <c r="CO213" i="29" s="1"/>
  <c r="CQ213" i="29" s="1"/>
  <c r="CX213" i="29"/>
  <c r="CJ213" i="29"/>
  <c r="CF222" i="29"/>
  <c r="CE222" i="29"/>
  <c r="CP221" i="29"/>
  <c r="CI221" i="29"/>
  <c r="R219" i="29"/>
  <c r="Q219" i="29"/>
  <c r="V220" i="29"/>
  <c r="T221" i="29"/>
  <c r="S221" i="29"/>
  <c r="AF220" i="29"/>
  <c r="AE220" i="29"/>
  <c r="AC219" i="29"/>
  <c r="X218" i="29"/>
  <c r="CB219" i="29"/>
  <c r="BV219" i="29" s="1"/>
  <c r="W218" i="29"/>
  <c r="Y218" i="29" s="1"/>
  <c r="M218" i="29"/>
  <c r="AA218" i="29"/>
  <c r="CS219" i="29"/>
  <c r="CM219" i="29" s="1"/>
  <c r="CR219" i="29"/>
  <c r="CA219" i="29"/>
  <c r="BU219" i="29" s="1"/>
  <c r="U220" i="29"/>
  <c r="AC220" i="29" s="1"/>
  <c r="CH222" i="29"/>
  <c r="CH223" i="29" s="1"/>
  <c r="J221" i="29"/>
  <c r="L220" i="29"/>
  <c r="K221" i="29"/>
  <c r="AB219" i="29"/>
  <c r="CL218" i="29"/>
  <c r="CW218" i="29"/>
  <c r="BN223" i="29"/>
  <c r="BR222" i="29"/>
  <c r="BY222" i="29"/>
  <c r="BO223" i="29"/>
  <c r="BZ209" i="29"/>
  <c r="BX210" i="29" s="1"/>
  <c r="AZ220" i="29"/>
  <c r="BH220" i="29"/>
  <c r="BB220" i="29" s="1"/>
  <c r="BC221" i="29"/>
  <c r="BF221" i="29" s="1"/>
  <c r="CG221" i="29"/>
  <c r="BE221" i="29"/>
  <c r="BG221" i="29" s="1"/>
  <c r="BA221" i="29" s="1"/>
  <c r="BD222" i="29"/>
  <c r="BP221" i="29"/>
  <c r="CK213" i="29" l="1"/>
  <c r="AR212" i="29" s="1"/>
  <c r="AK18" i="29" s="1"/>
  <c r="AK19" i="29" s="1"/>
  <c r="AK20" i="29" s="1"/>
  <c r="AK21" i="29" s="1"/>
  <c r="AK22" i="29" s="1"/>
  <c r="AK23" i="29" s="1"/>
  <c r="AK24" i="29" s="1"/>
  <c r="AK25" i="29" s="1"/>
  <c r="AK26" i="29" s="1"/>
  <c r="CV214" i="29"/>
  <c r="CO214" i="29" s="1"/>
  <c r="CQ214" i="29" s="1"/>
  <c r="CX214" i="29"/>
  <c r="CL219" i="29"/>
  <c r="CW219" i="29"/>
  <c r="CS220" i="29"/>
  <c r="CM220" i="29" s="1"/>
  <c r="CA220" i="29"/>
  <c r="BU220" i="29" s="1"/>
  <c r="CB220" i="29"/>
  <c r="BV220" i="29" s="1"/>
  <c r="CR220" i="29"/>
  <c r="M219" i="29"/>
  <c r="W219" i="29"/>
  <c r="Y219" i="29" s="1"/>
  <c r="AA219" i="29"/>
  <c r="J222" i="29"/>
  <c r="K222" i="29"/>
  <c r="L221" i="29"/>
  <c r="Q220" i="29"/>
  <c r="X220" i="29" s="1"/>
  <c r="R220" i="29"/>
  <c r="CC219" i="29"/>
  <c r="U221" i="29"/>
  <c r="AC221" i="29" s="1"/>
  <c r="X219" i="29"/>
  <c r="CH224" i="29"/>
  <c r="BO224" i="29"/>
  <c r="BY223" i="29"/>
  <c r="BN224" i="29"/>
  <c r="BR223" i="29"/>
  <c r="AB220" i="29"/>
  <c r="T222" i="29"/>
  <c r="S222" i="29"/>
  <c r="V221" i="29"/>
  <c r="AE221" i="29"/>
  <c r="AF221" i="29"/>
  <c r="CF223" i="29"/>
  <c r="CE223" i="29"/>
  <c r="CI222" i="29"/>
  <c r="CP222" i="29"/>
  <c r="BQ224" i="29"/>
  <c r="AZ221" i="29"/>
  <c r="BH221" i="29"/>
  <c r="BB221" i="29" s="1"/>
  <c r="BC222" i="29"/>
  <c r="BF222" i="29" s="1"/>
  <c r="BD223" i="29"/>
  <c r="BE222" i="29"/>
  <c r="BG222" i="29" s="1"/>
  <c r="BA222" i="29" s="1"/>
  <c r="BP222" i="29"/>
  <c r="CG222" i="29"/>
  <c r="BZ210" i="29"/>
  <c r="BX211" i="29" s="1"/>
  <c r="CV215" i="29" l="1"/>
  <c r="CO215" i="29" s="1"/>
  <c r="CQ215" i="29" s="1"/>
  <c r="CX215" i="29"/>
  <c r="AB221" i="29"/>
  <c r="BN225" i="29"/>
  <c r="BO225" i="29"/>
  <c r="BY224" i="29"/>
  <c r="BR224" i="29"/>
  <c r="BQ225" i="29"/>
  <c r="CI223" i="29"/>
  <c r="CP223" i="29"/>
  <c r="CE224" i="29"/>
  <c r="CF224" i="29"/>
  <c r="U222" i="29"/>
  <c r="AC222" i="29" s="1"/>
  <c r="Q221" i="29"/>
  <c r="X221" i="29" s="1"/>
  <c r="R221" i="29"/>
  <c r="L222" i="29"/>
  <c r="K223" i="29"/>
  <c r="J223" i="29"/>
  <c r="CC220" i="29"/>
  <c r="CL220" i="29"/>
  <c r="CW220" i="29"/>
  <c r="V222" i="29"/>
  <c r="S223" i="29"/>
  <c r="T223" i="29"/>
  <c r="AE222" i="29"/>
  <c r="AF222" i="29"/>
  <c r="CH225" i="29"/>
  <c r="M220" i="29"/>
  <c r="AA220" i="29"/>
  <c r="CA221" i="29"/>
  <c r="BU221" i="29" s="1"/>
  <c r="CB221" i="29"/>
  <c r="BV221" i="29" s="1"/>
  <c r="CR221" i="29"/>
  <c r="CS221" i="29"/>
  <c r="CM221" i="29" s="1"/>
  <c r="W220" i="29"/>
  <c r="Y220" i="29" s="1"/>
  <c r="AZ222" i="29"/>
  <c r="BH222" i="29"/>
  <c r="BB222" i="29" s="1"/>
  <c r="BZ211" i="29"/>
  <c r="BX212" i="29" s="1"/>
  <c r="BP223" i="29"/>
  <c r="BD224" i="29"/>
  <c r="BE223" i="29"/>
  <c r="BG223" i="29" s="1"/>
  <c r="BA223" i="29" s="1"/>
  <c r="CG223" i="29"/>
  <c r="BC223" i="29"/>
  <c r="BF223" i="29" s="1"/>
  <c r="CV216" i="29" l="1"/>
  <c r="CO216" i="29" s="1"/>
  <c r="CQ216" i="29" s="1"/>
  <c r="CX216" i="29"/>
  <c r="CL221" i="29"/>
  <c r="CW221" i="29"/>
  <c r="BO226" i="29"/>
  <c r="BN226" i="29"/>
  <c r="BR225" i="29"/>
  <c r="CC221" i="29"/>
  <c r="T224" i="29"/>
  <c r="S224" i="29"/>
  <c r="V223" i="29"/>
  <c r="AF223" i="29"/>
  <c r="AE223" i="29"/>
  <c r="L223" i="29"/>
  <c r="J224" i="29"/>
  <c r="K224" i="29"/>
  <c r="CP224" i="29"/>
  <c r="CF225" i="29"/>
  <c r="CI224" i="29"/>
  <c r="CE225" i="29"/>
  <c r="BQ226" i="29"/>
  <c r="CR222" i="29"/>
  <c r="CB222" i="29"/>
  <c r="BV222" i="29" s="1"/>
  <c r="M221" i="29"/>
  <c r="AA221" i="29"/>
  <c r="CA222" i="29"/>
  <c r="BU222" i="29" s="1"/>
  <c r="CS222" i="29"/>
  <c r="CM222" i="29" s="1"/>
  <c r="W221" i="29"/>
  <c r="Y221" i="29" s="1"/>
  <c r="U223" i="29"/>
  <c r="AC223" i="29" s="1"/>
  <c r="Q222" i="29"/>
  <c r="X222" i="29" s="1"/>
  <c r="R222" i="29"/>
  <c r="AB222" i="29"/>
  <c r="BZ212" i="29"/>
  <c r="BY213" i="29" s="1"/>
  <c r="CG224" i="29"/>
  <c r="BD225" i="29"/>
  <c r="BP224" i="29"/>
  <c r="BE224" i="29"/>
  <c r="BG224" i="29" s="1"/>
  <c r="BA224" i="29" s="1"/>
  <c r="BC224" i="29"/>
  <c r="BF224" i="29" s="1"/>
  <c r="BH223" i="29"/>
  <c r="BB223" i="29" s="1"/>
  <c r="AZ223" i="29"/>
  <c r="CV217" i="29" l="1"/>
  <c r="CO217" i="29" s="1"/>
  <c r="CQ217" i="29" s="1"/>
  <c r="CX217" i="29"/>
  <c r="AB223" i="29"/>
  <c r="BY226" i="29"/>
  <c r="BO227" i="29"/>
  <c r="BN227" i="29"/>
  <c r="BR226" i="29"/>
  <c r="CB223" i="29"/>
  <c r="BV223" i="29" s="1"/>
  <c r="M222" i="29"/>
  <c r="CR223" i="29"/>
  <c r="AA222" i="29"/>
  <c r="CS223" i="29"/>
  <c r="CM223" i="29" s="1"/>
  <c r="CA223" i="29"/>
  <c r="BU223" i="29" s="1"/>
  <c r="W222" i="29"/>
  <c r="Y222" i="29" s="1"/>
  <c r="CL222" i="29"/>
  <c r="CW222" i="29"/>
  <c r="CC222" i="29"/>
  <c r="CI225" i="29"/>
  <c r="U224" i="29"/>
  <c r="J225" i="29"/>
  <c r="K225" i="29"/>
  <c r="L224" i="29"/>
  <c r="R223" i="29"/>
  <c r="Q223" i="29"/>
  <c r="BQ227" i="29"/>
  <c r="T225" i="29"/>
  <c r="V224" i="29"/>
  <c r="S225" i="29"/>
  <c r="AE224" i="29"/>
  <c r="AF224" i="29"/>
  <c r="BW213" i="29"/>
  <c r="BX213" i="29"/>
  <c r="BP225" i="29"/>
  <c r="BI225" i="29"/>
  <c r="CG225" i="29"/>
  <c r="BD226" i="29"/>
  <c r="BC225" i="29"/>
  <c r="BF225" i="29" s="1"/>
  <c r="BE225" i="29"/>
  <c r="BG225" i="29" s="1"/>
  <c r="BA225" i="29" s="1"/>
  <c r="BH224" i="29"/>
  <c r="BB224" i="29" s="1"/>
  <c r="AZ224" i="29"/>
  <c r="CV218" i="29" l="1"/>
  <c r="CO218" i="29" s="1"/>
  <c r="CQ218" i="29" s="1"/>
  <c r="CX218" i="29"/>
  <c r="T226" i="29"/>
  <c r="V225" i="29"/>
  <c r="S226" i="29"/>
  <c r="AF225" i="29"/>
  <c r="AE225" i="29"/>
  <c r="BQ228" i="29"/>
  <c r="CC223" i="29"/>
  <c r="BY227" i="29"/>
  <c r="BO228" i="29"/>
  <c r="BR227" i="29"/>
  <c r="BN228" i="29"/>
  <c r="U225" i="29"/>
  <c r="AC225" i="29" s="1"/>
  <c r="X223" i="29"/>
  <c r="CB224" i="29"/>
  <c r="BV224" i="29" s="1"/>
  <c r="CA224" i="29"/>
  <c r="BU224" i="29" s="1"/>
  <c r="CS224" i="29"/>
  <c r="CM224" i="29" s="1"/>
  <c r="CR224" i="29"/>
  <c r="W223" i="29"/>
  <c r="Y223" i="29" s="1"/>
  <c r="AA223" i="29"/>
  <c r="M223" i="29"/>
  <c r="K226" i="29"/>
  <c r="J226" i="29"/>
  <c r="L225" i="29"/>
  <c r="Q224" i="29"/>
  <c r="R224" i="29"/>
  <c r="CL223" i="29"/>
  <c r="CW223" i="29"/>
  <c r="BP226" i="29"/>
  <c r="BD227" i="29"/>
  <c r="BC226" i="29"/>
  <c r="BF226" i="29" s="1"/>
  <c r="BE226" i="29"/>
  <c r="BG226" i="29" s="1"/>
  <c r="BA226" i="29" s="1"/>
  <c r="BS213" i="29"/>
  <c r="BT213" i="29"/>
  <c r="M212" i="29" s="1"/>
  <c r="BZ213" i="29"/>
  <c r="BX214" i="29" s="1"/>
  <c r="BH225" i="29"/>
  <c r="BB225" i="29" s="1"/>
  <c r="AZ225" i="29"/>
  <c r="CV219" i="29" l="1"/>
  <c r="CO219" i="29" s="1"/>
  <c r="CQ219" i="29" s="1"/>
  <c r="CX219" i="29"/>
  <c r="CC224" i="29"/>
  <c r="CL224" i="29"/>
  <c r="CW224" i="29"/>
  <c r="U226" i="29"/>
  <c r="AB226" i="29" s="1"/>
  <c r="W224" i="29"/>
  <c r="AA224" i="29"/>
  <c r="CR225" i="29"/>
  <c r="CA225" i="29"/>
  <c r="BU225" i="29" s="1"/>
  <c r="BY228" i="29"/>
  <c r="BO229" i="29"/>
  <c r="BR228" i="29"/>
  <c r="BN229" i="29"/>
  <c r="T227" i="29"/>
  <c r="V226" i="29"/>
  <c r="S227" i="29"/>
  <c r="AF226" i="29"/>
  <c r="AE226" i="29"/>
  <c r="R225" i="29"/>
  <c r="Q225" i="29"/>
  <c r="K227" i="29"/>
  <c r="L226" i="29"/>
  <c r="J227" i="29"/>
  <c r="AB225" i="29"/>
  <c r="BQ229" i="29"/>
  <c r="BQ230" i="29" s="1"/>
  <c r="BZ214" i="29"/>
  <c r="BX215" i="29" s="1"/>
  <c r="AZ226" i="29"/>
  <c r="BH226" i="29"/>
  <c r="BB226" i="29" s="1"/>
  <c r="H27" i="29"/>
  <c r="K20" i="40" s="1"/>
  <c r="X212" i="29"/>
  <c r="Y212" i="29" s="1"/>
  <c r="Z212" i="29" s="1"/>
  <c r="BD228" i="29"/>
  <c r="BE227" i="29"/>
  <c r="BG227" i="29" s="1"/>
  <c r="BA227" i="29" s="1"/>
  <c r="BP227" i="29"/>
  <c r="BC227" i="29"/>
  <c r="BF227" i="29" s="1"/>
  <c r="CV220" i="29" l="1"/>
  <c r="CO220" i="29" s="1"/>
  <c r="CQ220" i="29" s="1"/>
  <c r="CX220" i="29"/>
  <c r="AB212" i="29"/>
  <c r="AC212" i="29"/>
  <c r="Z213" i="29"/>
  <c r="Z214" i="29" s="1"/>
  <c r="Z215" i="29" s="1"/>
  <c r="Z216" i="29" s="1"/>
  <c r="Z217" i="29" s="1"/>
  <c r="Z218" i="29" s="1"/>
  <c r="Z219" i="29" s="1"/>
  <c r="Z220" i="29" s="1"/>
  <c r="Z221" i="29" s="1"/>
  <c r="Z222" i="29" s="1"/>
  <c r="Z223" i="29" s="1"/>
  <c r="G27" i="29"/>
  <c r="L20" i="40" s="1"/>
  <c r="AA225" i="29"/>
  <c r="CB226" i="29"/>
  <c r="BV226" i="29" s="1"/>
  <c r="W225" i="29"/>
  <c r="Y225" i="29" s="1"/>
  <c r="CA226" i="29"/>
  <c r="BU226" i="29" s="1"/>
  <c r="M225" i="29"/>
  <c r="U227" i="29"/>
  <c r="CS225" i="29"/>
  <c r="CM225" i="29" s="1"/>
  <c r="L227" i="29"/>
  <c r="K228" i="29"/>
  <c r="J228" i="29"/>
  <c r="BR229" i="29"/>
  <c r="BN230" i="29"/>
  <c r="BO230" i="29"/>
  <c r="BY229" i="29"/>
  <c r="CB225" i="29"/>
  <c r="BV225" i="29" s="1"/>
  <c r="V227" i="29"/>
  <c r="T228" i="29"/>
  <c r="S228" i="29"/>
  <c r="AE227" i="29"/>
  <c r="AF227" i="29"/>
  <c r="X225" i="29"/>
  <c r="CW225" i="29"/>
  <c r="Q226" i="29"/>
  <c r="R226" i="29"/>
  <c r="AC226" i="29"/>
  <c r="BP228" i="29"/>
  <c r="BE228" i="29"/>
  <c r="BG228" i="29" s="1"/>
  <c r="BA228" i="29" s="1"/>
  <c r="BC228" i="29"/>
  <c r="BF228" i="29" s="1"/>
  <c r="BD229" i="29"/>
  <c r="BZ215" i="29"/>
  <c r="BX216" i="29" s="1"/>
  <c r="AZ227" i="29"/>
  <c r="BH227" i="29"/>
  <c r="BB227" i="29" s="1"/>
  <c r="D167" i="15"/>
  <c r="I36" i="39"/>
  <c r="H20" i="44" s="1"/>
  <c r="D20" i="45" s="1"/>
  <c r="K20" i="45" s="1"/>
  <c r="L20" i="45" s="1"/>
  <c r="J21" i="45" s="1"/>
  <c r="G34" i="15"/>
  <c r="BM89" i="44" l="1"/>
  <c r="AG89" i="44"/>
  <c r="BH89" i="44"/>
  <c r="AR89" i="44"/>
  <c r="AB89" i="44"/>
  <c r="AY89" i="44"/>
  <c r="AD89" i="44"/>
  <c r="AX89" i="44"/>
  <c r="AC89" i="44"/>
  <c r="BQ89" i="44"/>
  <c r="AQ89" i="44"/>
  <c r="BD89" i="44"/>
  <c r="AN89" i="44"/>
  <c r="BO89" i="44"/>
  <c r="AT89" i="44"/>
  <c r="BN89" i="44"/>
  <c r="AS89" i="44"/>
  <c r="AK89" i="44"/>
  <c r="BP89" i="44"/>
  <c r="AJ89" i="44"/>
  <c r="AO89" i="44"/>
  <c r="AM89" i="44"/>
  <c r="AU89" i="44"/>
  <c r="AL89" i="44"/>
  <c r="BA89" i="44"/>
  <c r="BB89" i="44"/>
  <c r="BL89" i="44"/>
  <c r="AF89" i="44"/>
  <c r="AI89" i="44"/>
  <c r="AH89" i="44"/>
  <c r="AZ89" i="44"/>
  <c r="BJ89" i="44"/>
  <c r="BI89" i="44"/>
  <c r="BG89" i="44"/>
  <c r="AE89" i="44"/>
  <c r="AV89" i="44"/>
  <c r="BE89" i="44"/>
  <c r="BC89" i="44"/>
  <c r="BF89" i="44"/>
  <c r="AP89" i="44"/>
  <c r="AW89" i="44"/>
  <c r="BK89" i="44"/>
  <c r="BR89" i="44"/>
  <c r="CV221" i="29"/>
  <c r="CO221" i="29" s="1"/>
  <c r="CQ221" i="29" s="1"/>
  <c r="CX221" i="29"/>
  <c r="L36" i="39"/>
  <c r="F167" i="15"/>
  <c r="CC225" i="29"/>
  <c r="CL225" i="29"/>
  <c r="BO231" i="29"/>
  <c r="BR230" i="29"/>
  <c r="BY230" i="29"/>
  <c r="BN231" i="29"/>
  <c r="J229" i="29"/>
  <c r="K229" i="29"/>
  <c r="L228" i="29"/>
  <c r="R227" i="29"/>
  <c r="Q227" i="29"/>
  <c r="X227" i="29" s="1"/>
  <c r="AC227" i="29"/>
  <c r="M226" i="29"/>
  <c r="CB227" i="29"/>
  <c r="BV227" i="29" s="1"/>
  <c r="W226" i="29"/>
  <c r="Y226" i="29" s="1"/>
  <c r="CA227" i="29"/>
  <c r="BU227" i="29" s="1"/>
  <c r="AA226" i="29"/>
  <c r="BQ231" i="29"/>
  <c r="BQ232" i="29" s="1"/>
  <c r="AB227" i="29"/>
  <c r="S229" i="29"/>
  <c r="V228" i="29"/>
  <c r="T229" i="29"/>
  <c r="AE228" i="29"/>
  <c r="AF228" i="29"/>
  <c r="X226" i="29"/>
  <c r="U228" i="29"/>
  <c r="AC228" i="29" s="1"/>
  <c r="CC226" i="29"/>
  <c r="BH228" i="29"/>
  <c r="BB228" i="29" s="1"/>
  <c r="AZ228" i="29"/>
  <c r="BE229" i="29"/>
  <c r="BG229" i="29" s="1"/>
  <c r="BA229" i="29" s="1"/>
  <c r="BC229" i="29"/>
  <c r="BF229" i="29" s="1"/>
  <c r="BP229" i="29"/>
  <c r="BD230" i="29"/>
  <c r="BZ216" i="29"/>
  <c r="BX217" i="29" s="1"/>
  <c r="CV222" i="29" l="1"/>
  <c r="CO222" i="29" s="1"/>
  <c r="CQ222" i="29" s="1"/>
  <c r="CX222" i="29"/>
  <c r="AB228" i="29"/>
  <c r="T230" i="29"/>
  <c r="V229" i="29"/>
  <c r="S230" i="29"/>
  <c r="AE229" i="29"/>
  <c r="AF229" i="29"/>
  <c r="CC227" i="29"/>
  <c r="L229" i="29"/>
  <c r="J230" i="29"/>
  <c r="K230" i="29"/>
  <c r="R228" i="29"/>
  <c r="Q228" i="29"/>
  <c r="X228" i="29" s="1"/>
  <c r="U229" i="29"/>
  <c r="AB229" i="29" s="1"/>
  <c r="W227" i="29"/>
  <c r="Y227" i="29" s="1"/>
  <c r="CB228" i="29"/>
  <c r="BV228" i="29" s="1"/>
  <c r="CA228" i="29"/>
  <c r="BU228" i="29" s="1"/>
  <c r="AA227" i="29"/>
  <c r="M227" i="29"/>
  <c r="BY231" i="29"/>
  <c r="BR231" i="29"/>
  <c r="BO232" i="29"/>
  <c r="BQ233" i="29" s="1"/>
  <c r="BN232" i="29"/>
  <c r="BZ217" i="29"/>
  <c r="BX218" i="29" s="1"/>
  <c r="AZ229" i="29"/>
  <c r="BH229" i="29"/>
  <c r="BB229" i="29" s="1"/>
  <c r="BD231" i="29"/>
  <c r="BP230" i="29"/>
  <c r="BC230" i="29"/>
  <c r="BF230" i="29" s="1"/>
  <c r="BE230" i="29"/>
  <c r="BG230" i="29" s="1"/>
  <c r="BA230" i="29" s="1"/>
  <c r="CV223" i="29" l="1"/>
  <c r="CO223" i="29" s="1"/>
  <c r="CQ223" i="29" s="1"/>
  <c r="CX223" i="29"/>
  <c r="AC229" i="29"/>
  <c r="U230" i="29"/>
  <c r="AB230" i="29" s="1"/>
  <c r="CC228" i="29"/>
  <c r="K231" i="29"/>
  <c r="L230" i="29"/>
  <c r="J231" i="29"/>
  <c r="BN233" i="29"/>
  <c r="BO233" i="29"/>
  <c r="BY232" i="29"/>
  <c r="BR232" i="29"/>
  <c r="V230" i="29"/>
  <c r="T231" i="29"/>
  <c r="S231" i="29"/>
  <c r="AF230" i="29"/>
  <c r="AE230" i="29"/>
  <c r="R229" i="29"/>
  <c r="Q229" i="29"/>
  <c r="X229" i="29" s="1"/>
  <c r="M228" i="29"/>
  <c r="CB229" i="29"/>
  <c r="BV229" i="29" s="1"/>
  <c r="W228" i="29"/>
  <c r="Y228" i="29" s="1"/>
  <c r="CA229" i="29"/>
  <c r="BU229" i="29" s="1"/>
  <c r="AA228" i="29"/>
  <c r="AZ230" i="29"/>
  <c r="BH230" i="29"/>
  <c r="BB230" i="29" s="1"/>
  <c r="BZ218" i="29"/>
  <c r="BX219" i="29" s="1"/>
  <c r="BP231" i="29"/>
  <c r="BD232" i="29"/>
  <c r="BE231" i="29"/>
  <c r="BG231" i="29" s="1"/>
  <c r="BA231" i="29" s="1"/>
  <c r="BC231" i="29"/>
  <c r="BF231" i="29" s="1"/>
  <c r="CV224" i="29" l="1"/>
  <c r="CO224" i="29" s="1"/>
  <c r="CQ224" i="29" s="1"/>
  <c r="CP225" i="29" s="1"/>
  <c r="CN225" i="29" s="1"/>
  <c r="CX224" i="29"/>
  <c r="CC229" i="29"/>
  <c r="AC230" i="29"/>
  <c r="V231" i="29"/>
  <c r="S232" i="29"/>
  <c r="T232" i="29"/>
  <c r="AF231" i="29"/>
  <c r="AE231" i="29"/>
  <c r="BO234" i="29"/>
  <c r="BY233" i="29"/>
  <c r="BN234" i="29"/>
  <c r="BR233" i="29"/>
  <c r="K232" i="29"/>
  <c r="L231" i="29"/>
  <c r="J232" i="29"/>
  <c r="AA229" i="29"/>
  <c r="M229" i="29"/>
  <c r="CA230" i="29"/>
  <c r="BU230" i="29" s="1"/>
  <c r="W229" i="29"/>
  <c r="Y229" i="29" s="1"/>
  <c r="CB230" i="29"/>
  <c r="BV230" i="29" s="1"/>
  <c r="U231" i="29"/>
  <c r="AC231" i="29" s="1"/>
  <c r="R230" i="29"/>
  <c r="Q230" i="29"/>
  <c r="X230" i="29" s="1"/>
  <c r="BQ234" i="29"/>
  <c r="BQ235" i="29" s="1"/>
  <c r="BZ219" i="29"/>
  <c r="BX220" i="29" s="1"/>
  <c r="AZ231" i="29"/>
  <c r="BH231" i="29"/>
  <c r="BB231" i="29" s="1"/>
  <c r="BP232" i="29"/>
  <c r="BC232" i="29"/>
  <c r="BF232" i="29" s="1"/>
  <c r="BE232" i="29"/>
  <c r="BG232" i="29" s="1"/>
  <c r="BA232" i="29" s="1"/>
  <c r="BD233" i="29"/>
  <c r="CV225" i="29" l="1"/>
  <c r="CO225" i="29" s="1"/>
  <c r="CQ225" i="29" s="1"/>
  <c r="CX225" i="29"/>
  <c r="CJ225" i="29"/>
  <c r="AB231" i="29"/>
  <c r="CC230" i="29"/>
  <c r="T233" i="29"/>
  <c r="S233" i="29"/>
  <c r="V232" i="29"/>
  <c r="AF232" i="29"/>
  <c r="AE232" i="29"/>
  <c r="Q231" i="29"/>
  <c r="X231" i="29" s="1"/>
  <c r="R231" i="29"/>
  <c r="K233" i="29"/>
  <c r="J233" i="29"/>
  <c r="L232" i="29"/>
  <c r="BY234" i="29"/>
  <c r="BR234" i="29"/>
  <c r="BO235" i="29"/>
  <c r="BN235" i="29"/>
  <c r="U232" i="29"/>
  <c r="CB231" i="29"/>
  <c r="BV231" i="29" s="1"/>
  <c r="CA231" i="29"/>
  <c r="BU231" i="29" s="1"/>
  <c r="M230" i="29"/>
  <c r="AA230" i="29"/>
  <c r="W230" i="29"/>
  <c r="Y230" i="29" s="1"/>
  <c r="BZ220" i="29"/>
  <c r="BX221" i="29" s="1"/>
  <c r="BC233" i="29"/>
  <c r="BF233" i="29" s="1"/>
  <c r="BD234" i="29"/>
  <c r="BE233" i="29"/>
  <c r="BG233" i="29" s="1"/>
  <c r="BA233" i="29" s="1"/>
  <c r="BP233" i="29"/>
  <c r="BH232" i="29"/>
  <c r="BB232" i="29" s="1"/>
  <c r="AZ232" i="29"/>
  <c r="CK225" i="29" l="1"/>
  <c r="Q232" i="29"/>
  <c r="R232" i="29"/>
  <c r="BR235" i="29"/>
  <c r="BN236" i="29"/>
  <c r="BO236" i="29"/>
  <c r="BY235" i="29"/>
  <c r="AC232" i="29"/>
  <c r="J234" i="29"/>
  <c r="K234" i="29"/>
  <c r="L233" i="29"/>
  <c r="BQ236" i="29"/>
  <c r="BQ237" i="29" s="1"/>
  <c r="U233" i="29"/>
  <c r="CC231" i="29"/>
  <c r="AB232" i="29"/>
  <c r="T234" i="29"/>
  <c r="S234" i="29"/>
  <c r="V233" i="29"/>
  <c r="AE233" i="29"/>
  <c r="AF233" i="29"/>
  <c r="W231" i="29"/>
  <c r="Y231" i="29" s="1"/>
  <c r="AA231" i="29"/>
  <c r="M231" i="29"/>
  <c r="CA232" i="29"/>
  <c r="BU232" i="29" s="1"/>
  <c r="CB232" i="29"/>
  <c r="BV232" i="29" s="1"/>
  <c r="BP234" i="29"/>
  <c r="BE234" i="29"/>
  <c r="BG234" i="29" s="1"/>
  <c r="BA234" i="29" s="1"/>
  <c r="BD235" i="29"/>
  <c r="BC234" i="29"/>
  <c r="BF234" i="29" s="1"/>
  <c r="BH233" i="29"/>
  <c r="BB233" i="29" s="1"/>
  <c r="AZ233" i="29"/>
  <c r="BZ221" i="29"/>
  <c r="BX222" i="29" s="1"/>
  <c r="U234" i="29" l="1"/>
  <c r="R233" i="29"/>
  <c r="Q233" i="29"/>
  <c r="X233" i="29" s="1"/>
  <c r="V234" i="29"/>
  <c r="S235" i="29"/>
  <c r="T235" i="29"/>
  <c r="AF234" i="29"/>
  <c r="AE234" i="29"/>
  <c r="AB233" i="29"/>
  <c r="J235" i="29"/>
  <c r="L234" i="29"/>
  <c r="K235" i="29"/>
  <c r="BY236" i="29"/>
  <c r="BR236" i="29"/>
  <c r="BO237" i="29"/>
  <c r="BN237" i="29"/>
  <c r="M232" i="29"/>
  <c r="CA233" i="29"/>
  <c r="BU233" i="29" s="1"/>
  <c r="AA232" i="29"/>
  <c r="CB233" i="29"/>
  <c r="BV233" i="29" s="1"/>
  <c r="W232" i="29"/>
  <c r="Y232" i="29" s="1"/>
  <c r="CC232" i="29"/>
  <c r="AC233" i="29"/>
  <c r="X232" i="29"/>
  <c r="BQ238" i="29"/>
  <c r="BZ222" i="29"/>
  <c r="BX223" i="29" s="1"/>
  <c r="AZ234" i="29"/>
  <c r="BH234" i="29"/>
  <c r="BB234" i="29" s="1"/>
  <c r="BD236" i="29"/>
  <c r="BP235" i="29"/>
  <c r="BC235" i="29"/>
  <c r="BF235" i="29" s="1"/>
  <c r="BE235" i="29"/>
  <c r="BG235" i="29" s="1"/>
  <c r="BA235" i="29" s="1"/>
  <c r="R234" i="29" l="1"/>
  <c r="Q234" i="29"/>
  <c r="BQ239" i="29"/>
  <c r="BO238" i="29"/>
  <c r="BN238" i="29"/>
  <c r="BR237" i="29"/>
  <c r="AC234" i="29"/>
  <c r="CC233" i="29"/>
  <c r="V235" i="29"/>
  <c r="S236" i="29"/>
  <c r="T236" i="29"/>
  <c r="AE235" i="29"/>
  <c r="AF235" i="29"/>
  <c r="M233" i="29"/>
  <c r="W233" i="29"/>
  <c r="Y233" i="29" s="1"/>
  <c r="AA233" i="29"/>
  <c r="CA234" i="29"/>
  <c r="BU234" i="29" s="1"/>
  <c r="CB234" i="29"/>
  <c r="BV234" i="29" s="1"/>
  <c r="AB234" i="29"/>
  <c r="L235" i="29"/>
  <c r="J236" i="29"/>
  <c r="K236" i="29"/>
  <c r="U235" i="29"/>
  <c r="AB235" i="29" s="1"/>
  <c r="AZ235" i="29"/>
  <c r="BH235" i="29"/>
  <c r="BB235" i="29" s="1"/>
  <c r="BZ223" i="29"/>
  <c r="BX224" i="29" s="1"/>
  <c r="BC236" i="29"/>
  <c r="BF236" i="29" s="1"/>
  <c r="BP236" i="29"/>
  <c r="BE236" i="29"/>
  <c r="BG236" i="29" s="1"/>
  <c r="BA236" i="29" s="1"/>
  <c r="BD237" i="29"/>
  <c r="AC235" i="29" l="1"/>
  <c r="CB235" i="29"/>
  <c r="BV235" i="29" s="1"/>
  <c r="CA235" i="29"/>
  <c r="BU235" i="29" s="1"/>
  <c r="AA234" i="29"/>
  <c r="M234" i="29"/>
  <c r="W234" i="29"/>
  <c r="Y234" i="29" s="1"/>
  <c r="BN239" i="29"/>
  <c r="BR238" i="29"/>
  <c r="BO239" i="29"/>
  <c r="BY238" i="29"/>
  <c r="K237" i="29"/>
  <c r="L236" i="29"/>
  <c r="J237" i="29"/>
  <c r="CC234" i="29"/>
  <c r="T237" i="29"/>
  <c r="V236" i="29"/>
  <c r="S237" i="29"/>
  <c r="AF236" i="29"/>
  <c r="AE236" i="29"/>
  <c r="R235" i="29"/>
  <c r="Q235" i="29"/>
  <c r="X235" i="29" s="1"/>
  <c r="U236" i="29"/>
  <c r="X234" i="29"/>
  <c r="BZ224" i="29"/>
  <c r="BY225" i="29" s="1"/>
  <c r="BE237" i="29"/>
  <c r="BG237" i="29" s="1"/>
  <c r="BA237" i="29" s="1"/>
  <c r="BD238" i="29"/>
  <c r="BI237" i="29"/>
  <c r="BC237" i="29"/>
  <c r="BF237" i="29" s="1"/>
  <c r="BP237" i="29"/>
  <c r="BH236" i="29"/>
  <c r="BB236" i="29" s="1"/>
  <c r="AZ236" i="29"/>
  <c r="CC235" i="29" l="1"/>
  <c r="U237" i="29"/>
  <c r="AB237" i="29" s="1"/>
  <c r="BN240" i="29"/>
  <c r="BO240" i="29"/>
  <c r="BR239" i="29"/>
  <c r="BY239" i="29"/>
  <c r="Q236" i="29"/>
  <c r="R236" i="29"/>
  <c r="BQ240" i="29"/>
  <c r="BQ241" i="29" s="1"/>
  <c r="M235" i="29"/>
  <c r="CB236" i="29"/>
  <c r="BV236" i="29" s="1"/>
  <c r="CA236" i="29"/>
  <c r="BU236" i="29" s="1"/>
  <c r="W235" i="29"/>
  <c r="Y235" i="29" s="1"/>
  <c r="AA235" i="29"/>
  <c r="V237" i="29"/>
  <c r="S238" i="29"/>
  <c r="T238" i="29"/>
  <c r="AF237" i="29"/>
  <c r="AE237" i="29"/>
  <c r="L237" i="29"/>
  <c r="J238" i="29"/>
  <c r="K238" i="29"/>
  <c r="BW225" i="29"/>
  <c r="BX225" i="29"/>
  <c r="AZ237" i="29"/>
  <c r="BH237" i="29"/>
  <c r="BB237" i="29" s="1"/>
  <c r="BE238" i="29"/>
  <c r="BG238" i="29" s="1"/>
  <c r="BA238" i="29" s="1"/>
  <c r="BC238" i="29"/>
  <c r="BF238" i="29" s="1"/>
  <c r="BD239" i="29"/>
  <c r="BP238" i="29"/>
  <c r="CC236" i="29" l="1"/>
  <c r="U238" i="29"/>
  <c r="V238" i="29"/>
  <c r="S239" i="29"/>
  <c r="T239" i="29"/>
  <c r="AF238" i="29"/>
  <c r="AE238" i="29"/>
  <c r="Q237" i="29"/>
  <c r="R237" i="29"/>
  <c r="BR240" i="29"/>
  <c r="BO241" i="29"/>
  <c r="BN241" i="29"/>
  <c r="BY240" i="29"/>
  <c r="AC237" i="29"/>
  <c r="J239" i="29"/>
  <c r="K239" i="29"/>
  <c r="L238" i="29"/>
  <c r="CA237" i="29"/>
  <c r="BU237" i="29" s="1"/>
  <c r="W236" i="29"/>
  <c r="AA236" i="29"/>
  <c r="BC239" i="29"/>
  <c r="BF239" i="29" s="1"/>
  <c r="BP239" i="29"/>
  <c r="BE239" i="29"/>
  <c r="BG239" i="29" s="1"/>
  <c r="BA239" i="29" s="1"/>
  <c r="BD240" i="29"/>
  <c r="AZ238" i="29"/>
  <c r="BH238" i="29"/>
  <c r="BB238" i="29" s="1"/>
  <c r="BZ225" i="29"/>
  <c r="BX226" i="29" s="1"/>
  <c r="BT225" i="29"/>
  <c r="M224" i="29" s="1"/>
  <c r="BS225" i="29"/>
  <c r="T240" i="29" l="1"/>
  <c r="S240" i="29"/>
  <c r="V239" i="29"/>
  <c r="AF239" i="29"/>
  <c r="AE239" i="29"/>
  <c r="Q238" i="29"/>
  <c r="X238" i="29" s="1"/>
  <c r="R238" i="29"/>
  <c r="L239" i="29"/>
  <c r="K240" i="29"/>
  <c r="J240" i="29"/>
  <c r="X237" i="29"/>
  <c r="AA237" i="29"/>
  <c r="CA238" i="29"/>
  <c r="BU238" i="29" s="1"/>
  <c r="CB238" i="29"/>
  <c r="BV238" i="29" s="1"/>
  <c r="M237" i="29"/>
  <c r="W237" i="29"/>
  <c r="Y237" i="29" s="1"/>
  <c r="U239" i="29"/>
  <c r="AB239" i="29" s="1"/>
  <c r="AC238" i="29"/>
  <c r="BO242" i="29"/>
  <c r="BN242" i="29"/>
  <c r="BY241" i="29"/>
  <c r="BR241" i="29"/>
  <c r="AB238" i="29"/>
  <c r="BQ242" i="29"/>
  <c r="BZ226" i="29"/>
  <c r="BX227" i="29" s="1"/>
  <c r="BE240" i="29"/>
  <c r="BG240" i="29" s="1"/>
  <c r="BA240" i="29" s="1"/>
  <c r="BC240" i="29"/>
  <c r="BF240" i="29" s="1"/>
  <c r="BP240" i="29"/>
  <c r="BD241" i="29"/>
  <c r="H28" i="29"/>
  <c r="K21" i="40" s="1"/>
  <c r="X224" i="29"/>
  <c r="Y224" i="29" s="1"/>
  <c r="Z224" i="29" s="1"/>
  <c r="AZ239" i="29"/>
  <c r="BH239" i="29"/>
  <c r="BB239" i="29" s="1"/>
  <c r="AB224" i="29" l="1"/>
  <c r="AC224" i="29"/>
  <c r="Z225" i="29"/>
  <c r="Z226" i="29" s="1"/>
  <c r="Z227" i="29" s="1"/>
  <c r="Z228" i="29" s="1"/>
  <c r="Z229" i="29" s="1"/>
  <c r="Z230" i="29" s="1"/>
  <c r="Z231" i="29" s="1"/>
  <c r="Z232" i="29" s="1"/>
  <c r="Z233" i="29" s="1"/>
  <c r="Z234" i="29" s="1"/>
  <c r="Z235" i="29" s="1"/>
  <c r="CB237" i="29"/>
  <c r="CC237" i="29" s="1"/>
  <c r="G28" i="29"/>
  <c r="L21" i="40" s="1"/>
  <c r="Q239" i="29"/>
  <c r="R239" i="29"/>
  <c r="J241" i="29"/>
  <c r="K241" i="29"/>
  <c r="L240" i="29"/>
  <c r="CB239" i="29"/>
  <c r="BV239" i="29" s="1"/>
  <c r="W238" i="29"/>
  <c r="Y238" i="29" s="1"/>
  <c r="AA238" i="29"/>
  <c r="M238" i="29"/>
  <c r="CA239" i="29"/>
  <c r="BU239" i="29" s="1"/>
  <c r="U240" i="29"/>
  <c r="AB240" i="29" s="1"/>
  <c r="BR242" i="29"/>
  <c r="BO243" i="29"/>
  <c r="BY242" i="29"/>
  <c r="BN243" i="29"/>
  <c r="CC238" i="29"/>
  <c r="BQ243" i="29"/>
  <c r="BQ244" i="29" s="1"/>
  <c r="AC239" i="29"/>
  <c r="V240" i="29"/>
  <c r="T241" i="29"/>
  <c r="S241" i="29"/>
  <c r="AE240" i="29"/>
  <c r="AF240" i="29"/>
  <c r="BZ227" i="29"/>
  <c r="BX228" i="29" s="1"/>
  <c r="AZ240" i="29"/>
  <c r="BH240" i="29"/>
  <c r="BB240" i="29" s="1"/>
  <c r="D168" i="15"/>
  <c r="G35" i="15"/>
  <c r="I37" i="39"/>
  <c r="H21" i="44" s="1"/>
  <c r="D21" i="45" s="1"/>
  <c r="K21" i="45" s="1"/>
  <c r="L21" i="45" s="1"/>
  <c r="J22" i="45" s="1"/>
  <c r="BE241" i="29"/>
  <c r="BG241" i="29" s="1"/>
  <c r="BA241" i="29" s="1"/>
  <c r="BC241" i="29"/>
  <c r="BF241" i="29" s="1"/>
  <c r="BD242" i="29"/>
  <c r="BP241" i="29"/>
  <c r="BP90" i="44" l="1"/>
  <c r="BL90" i="44"/>
  <c r="BH90" i="44"/>
  <c r="BD90" i="44"/>
  <c r="AZ90" i="44"/>
  <c r="AV90" i="44"/>
  <c r="AR90" i="44"/>
  <c r="AN90" i="44"/>
  <c r="AJ90" i="44"/>
  <c r="AF90" i="44"/>
  <c r="BR90" i="44"/>
  <c r="BN90" i="44"/>
  <c r="BJ90" i="44"/>
  <c r="BF90" i="44"/>
  <c r="BB90" i="44"/>
  <c r="AX90" i="44"/>
  <c r="AT90" i="44"/>
  <c r="AP90" i="44"/>
  <c r="AL90" i="44"/>
  <c r="AH90" i="44"/>
  <c r="AD90" i="44"/>
  <c r="BM90" i="44"/>
  <c r="BE90" i="44"/>
  <c r="AW90" i="44"/>
  <c r="AO90" i="44"/>
  <c r="AG90" i="44"/>
  <c r="BK90" i="44"/>
  <c r="BC90" i="44"/>
  <c r="AU90" i="44"/>
  <c r="AM90" i="44"/>
  <c r="AE90" i="44"/>
  <c r="BQ90" i="44"/>
  <c r="BI90" i="44"/>
  <c r="BA90" i="44"/>
  <c r="AS90" i="44"/>
  <c r="AK90" i="44"/>
  <c r="AC90" i="44"/>
  <c r="BO90" i="44"/>
  <c r="BG90" i="44"/>
  <c r="AY90" i="44"/>
  <c r="AQ90" i="44"/>
  <c r="AI90" i="44"/>
  <c r="BV237" i="29"/>
  <c r="F168" i="15"/>
  <c r="L37" i="39"/>
  <c r="CC239" i="29"/>
  <c r="BN244" i="29"/>
  <c r="BR243" i="29"/>
  <c r="BO244" i="29"/>
  <c r="BQ245" i="29" s="1"/>
  <c r="BY243" i="29"/>
  <c r="J242" i="29"/>
  <c r="K242" i="29"/>
  <c r="L241" i="29"/>
  <c r="CB240" i="29"/>
  <c r="BV240" i="29" s="1"/>
  <c r="AA239" i="29"/>
  <c r="M239" i="29"/>
  <c r="CA240" i="29"/>
  <c r="BU240" i="29" s="1"/>
  <c r="W239" i="29"/>
  <c r="Y239" i="29" s="1"/>
  <c r="T242" i="29"/>
  <c r="V241" i="29"/>
  <c r="S242" i="29"/>
  <c r="AE241" i="29"/>
  <c r="AF241" i="29"/>
  <c r="R240" i="29"/>
  <c r="Q240" i="29"/>
  <c r="X240" i="29" s="1"/>
  <c r="U241" i="29"/>
  <c r="AC241" i="29" s="1"/>
  <c r="AC240" i="29"/>
  <c r="X239" i="29"/>
  <c r="BZ228" i="29"/>
  <c r="BX229" i="29" s="1"/>
  <c r="BH241" i="29"/>
  <c r="BB241" i="29" s="1"/>
  <c r="AZ241" i="29"/>
  <c r="BP242" i="29"/>
  <c r="BD243" i="29"/>
  <c r="BC242" i="29"/>
  <c r="BF242" i="29" s="1"/>
  <c r="BE242" i="29"/>
  <c r="BG242" i="29" s="1"/>
  <c r="BA242" i="29" s="1"/>
  <c r="CC240" i="29" l="1"/>
  <c r="V242" i="29"/>
  <c r="S243" i="29"/>
  <c r="T243" i="29"/>
  <c r="AF242" i="29"/>
  <c r="AE242" i="29"/>
  <c r="J243" i="29"/>
  <c r="K243" i="29"/>
  <c r="L242" i="29"/>
  <c r="R241" i="29"/>
  <c r="Q241" i="29"/>
  <c r="AA240" i="29"/>
  <c r="CB241" i="29"/>
  <c r="BV241" i="29" s="1"/>
  <c r="CA241" i="29"/>
  <c r="BU241" i="29" s="1"/>
  <c r="W240" i="29"/>
  <c r="Y240" i="29" s="1"/>
  <c r="M240" i="29"/>
  <c r="U242" i="29"/>
  <c r="AB241" i="29"/>
  <c r="BO245" i="29"/>
  <c r="BQ246" i="29" s="1"/>
  <c r="BN245" i="29"/>
  <c r="BR244" i="29"/>
  <c r="BY244" i="29"/>
  <c r="BH242" i="29"/>
  <c r="BB242" i="29" s="1"/>
  <c r="AZ242" i="29"/>
  <c r="BE243" i="29"/>
  <c r="BG243" i="29" s="1"/>
  <c r="BA243" i="29" s="1"/>
  <c r="BC243" i="29"/>
  <c r="BF243" i="29" s="1"/>
  <c r="BP243" i="29"/>
  <c r="BD244" i="29"/>
  <c r="BZ229" i="29"/>
  <c r="BX230" i="29" s="1"/>
  <c r="CC241" i="29" l="1"/>
  <c r="CB242" i="29"/>
  <c r="BV242" i="29" s="1"/>
  <c r="CA242" i="29"/>
  <c r="BU242" i="29" s="1"/>
  <c r="AA241" i="29"/>
  <c r="W241" i="29"/>
  <c r="Y241" i="29" s="1"/>
  <c r="M241" i="29"/>
  <c r="U243" i="29"/>
  <c r="AB243" i="29" s="1"/>
  <c r="Q242" i="29"/>
  <c r="R242" i="29"/>
  <c r="AC242" i="29"/>
  <c r="BO246" i="29"/>
  <c r="BQ247" i="29" s="1"/>
  <c r="BR245" i="29"/>
  <c r="BN246" i="29"/>
  <c r="BY245" i="29"/>
  <c r="AB242" i="29"/>
  <c r="X241" i="29"/>
  <c r="J244" i="29"/>
  <c r="K244" i="29"/>
  <c r="L243" i="29"/>
  <c r="V243" i="29"/>
  <c r="S244" i="29"/>
  <c r="T244" i="29"/>
  <c r="AE243" i="29"/>
  <c r="AF243" i="29"/>
  <c r="BZ230" i="29"/>
  <c r="BX231" i="29" s="1"/>
  <c r="BP244" i="29"/>
  <c r="BD245" i="29"/>
  <c r="BE244" i="29"/>
  <c r="BG244" i="29" s="1"/>
  <c r="BA244" i="29" s="1"/>
  <c r="BC244" i="29"/>
  <c r="BF244" i="29" s="1"/>
  <c r="AZ243" i="29"/>
  <c r="BH243" i="29"/>
  <c r="BB243" i="29" s="1"/>
  <c r="CC242" i="29" l="1"/>
  <c r="T245" i="29"/>
  <c r="S245" i="29"/>
  <c r="V244" i="29"/>
  <c r="AF244" i="29"/>
  <c r="AE244" i="29"/>
  <c r="U244" i="29"/>
  <c r="AC244" i="29" s="1"/>
  <c r="R243" i="29"/>
  <c r="Q243" i="29"/>
  <c r="X243" i="29" s="1"/>
  <c r="AA242" i="29"/>
  <c r="M242" i="29"/>
  <c r="CA243" i="29"/>
  <c r="BU243" i="29" s="1"/>
  <c r="CB243" i="29"/>
  <c r="BV243" i="29" s="1"/>
  <c r="W242" i="29"/>
  <c r="Y242" i="29" s="1"/>
  <c r="X242" i="29"/>
  <c r="K245" i="29"/>
  <c r="J245" i="29"/>
  <c r="L244" i="29"/>
  <c r="BR246" i="29"/>
  <c r="BO247" i="29"/>
  <c r="BN247" i="29"/>
  <c r="BY246" i="29"/>
  <c r="AC243" i="29"/>
  <c r="BE245" i="29"/>
  <c r="BG245" i="29" s="1"/>
  <c r="BA245" i="29" s="1"/>
  <c r="BD246" i="29"/>
  <c r="BP245" i="29"/>
  <c r="BC245" i="29"/>
  <c r="BF245" i="29" s="1"/>
  <c r="BH244" i="29"/>
  <c r="BB244" i="29" s="1"/>
  <c r="AZ244" i="29"/>
  <c r="BZ231" i="29"/>
  <c r="BX232" i="29" s="1"/>
  <c r="CC243" i="29" l="1"/>
  <c r="U245" i="29"/>
  <c r="V245" i="29"/>
  <c r="T246" i="29"/>
  <c r="S246" i="29"/>
  <c r="AE245" i="29"/>
  <c r="AF245" i="29"/>
  <c r="BY247" i="29"/>
  <c r="BR247" i="29"/>
  <c r="BN248" i="29"/>
  <c r="BO248" i="29"/>
  <c r="J246" i="29"/>
  <c r="K246" i="29"/>
  <c r="L245" i="29"/>
  <c r="Q244" i="29"/>
  <c r="X244" i="29" s="1"/>
  <c r="R244" i="29"/>
  <c r="CA244" i="29"/>
  <c r="BU244" i="29" s="1"/>
  <c r="M243" i="29"/>
  <c r="W243" i="29"/>
  <c r="Y243" i="29" s="1"/>
  <c r="AA243" i="29"/>
  <c r="CB244" i="29"/>
  <c r="BV244" i="29" s="1"/>
  <c r="AB244" i="29"/>
  <c r="BQ248" i="29"/>
  <c r="BQ249" i="29" s="1"/>
  <c r="AZ245" i="29"/>
  <c r="BH245" i="29"/>
  <c r="BB245" i="29" s="1"/>
  <c r="BZ232" i="29"/>
  <c r="BX233" i="29" s="1"/>
  <c r="BC246" i="29"/>
  <c r="BF246" i="29" s="1"/>
  <c r="BD247" i="29"/>
  <c r="BE246" i="29"/>
  <c r="BG246" i="29" s="1"/>
  <c r="BA246" i="29" s="1"/>
  <c r="BP246" i="29"/>
  <c r="CC244" i="29" l="1"/>
  <c r="J247" i="29"/>
  <c r="L246" i="29"/>
  <c r="K247" i="29"/>
  <c r="U246" i="29"/>
  <c r="AC246" i="29" s="1"/>
  <c r="Q245" i="29"/>
  <c r="X245" i="29" s="1"/>
  <c r="R245" i="29"/>
  <c r="T247" i="29"/>
  <c r="S247" i="29"/>
  <c r="V246" i="29"/>
  <c r="AE246" i="29"/>
  <c r="AF246" i="29"/>
  <c r="AC245" i="29"/>
  <c r="AA244" i="29"/>
  <c r="CB245" i="29"/>
  <c r="BV245" i="29" s="1"/>
  <c r="CA245" i="29"/>
  <c r="BU245" i="29" s="1"/>
  <c r="W244" i="29"/>
  <c r="Y244" i="29" s="1"/>
  <c r="M244" i="29"/>
  <c r="BR248" i="29"/>
  <c r="BY248" i="29"/>
  <c r="BO249" i="29"/>
  <c r="BN249" i="29"/>
  <c r="AB245" i="29"/>
  <c r="BZ233" i="29"/>
  <c r="BX234" i="29" s="1"/>
  <c r="BC247" i="29"/>
  <c r="BF247" i="29" s="1"/>
  <c r="BE247" i="29"/>
  <c r="BG247" i="29" s="1"/>
  <c r="BA247" i="29" s="1"/>
  <c r="BP247" i="29"/>
  <c r="BD248" i="29"/>
  <c r="BH246" i="29"/>
  <c r="BB246" i="29" s="1"/>
  <c r="AZ246" i="29"/>
  <c r="CC245" i="29" l="1"/>
  <c r="T248" i="29"/>
  <c r="V247" i="29"/>
  <c r="S248" i="29"/>
  <c r="AF247" i="29"/>
  <c r="AE247" i="29"/>
  <c r="R246" i="29"/>
  <c r="Q246" i="29"/>
  <c r="BN250" i="29"/>
  <c r="BO250" i="29"/>
  <c r="BR249" i="29"/>
  <c r="AB246" i="29"/>
  <c r="BQ250" i="29"/>
  <c r="U247" i="29"/>
  <c r="AB247" i="29" s="1"/>
  <c r="CA246" i="29"/>
  <c r="BU246" i="29" s="1"/>
  <c r="W245" i="29"/>
  <c r="Y245" i="29" s="1"/>
  <c r="AA245" i="29"/>
  <c r="M245" i="29"/>
  <c r="CB246" i="29"/>
  <c r="BV246" i="29" s="1"/>
  <c r="K248" i="29"/>
  <c r="L247" i="29"/>
  <c r="J248" i="29"/>
  <c r="BH247" i="29"/>
  <c r="BB247" i="29" s="1"/>
  <c r="AZ247" i="29"/>
  <c r="BZ234" i="29"/>
  <c r="BX235" i="29" s="1"/>
  <c r="BD249" i="29"/>
  <c r="BP248" i="29"/>
  <c r="BE248" i="29"/>
  <c r="BG248" i="29" s="1"/>
  <c r="BA248" i="29" s="1"/>
  <c r="BC248" i="29"/>
  <c r="BF248" i="29" s="1"/>
  <c r="CC246" i="29" l="1"/>
  <c r="BN251" i="29"/>
  <c r="BO251" i="29"/>
  <c r="BR250" i="29"/>
  <c r="BY250" i="29"/>
  <c r="S249" i="29"/>
  <c r="T249" i="29"/>
  <c r="V248" i="29"/>
  <c r="AF248" i="29"/>
  <c r="AE248" i="29"/>
  <c r="BQ251" i="29"/>
  <c r="BQ252" i="29" s="1"/>
  <c r="R247" i="29"/>
  <c r="Q247" i="29"/>
  <c r="X247" i="29" s="1"/>
  <c r="X246" i="29"/>
  <c r="CB247" i="29"/>
  <c r="BV247" i="29" s="1"/>
  <c r="CA247" i="29"/>
  <c r="BU247" i="29" s="1"/>
  <c r="M246" i="29"/>
  <c r="AA246" i="29"/>
  <c r="W246" i="29"/>
  <c r="Y246" i="29" s="1"/>
  <c r="U248" i="29"/>
  <c r="J249" i="29"/>
  <c r="K249" i="29"/>
  <c r="L248" i="29"/>
  <c r="AC247" i="29"/>
  <c r="BZ235" i="29"/>
  <c r="BX236" i="29" s="1"/>
  <c r="AZ248" i="29"/>
  <c r="BH248" i="29"/>
  <c r="BB248" i="29" s="1"/>
  <c r="BE249" i="29"/>
  <c r="BG249" i="29" s="1"/>
  <c r="BA249" i="29" s="1"/>
  <c r="BD250" i="29"/>
  <c r="BC249" i="29"/>
  <c r="BF249" i="29" s="1"/>
  <c r="BI249" i="29"/>
  <c r="BP249" i="29"/>
  <c r="CC247" i="29" l="1"/>
  <c r="J250" i="29"/>
  <c r="K250" i="29"/>
  <c r="L249" i="29"/>
  <c r="R248" i="29"/>
  <c r="Q248" i="29"/>
  <c r="V249" i="29"/>
  <c r="T250" i="29"/>
  <c r="S250" i="29"/>
  <c r="AF249" i="29"/>
  <c r="AE249" i="29"/>
  <c r="BN252" i="29"/>
  <c r="BY251" i="29"/>
  <c r="BR251" i="29"/>
  <c r="BO252" i="29"/>
  <c r="M247" i="29"/>
  <c r="CB248" i="29"/>
  <c r="BV248" i="29" s="1"/>
  <c r="W247" i="29"/>
  <c r="Y247" i="29" s="1"/>
  <c r="CA248" i="29"/>
  <c r="BU248" i="29" s="1"/>
  <c r="AA247" i="29"/>
  <c r="U249" i="29"/>
  <c r="AC249" i="29" s="1"/>
  <c r="BE250" i="29"/>
  <c r="BG250" i="29" s="1"/>
  <c r="BA250" i="29" s="1"/>
  <c r="BC250" i="29"/>
  <c r="BF250" i="29" s="1"/>
  <c r="BD251" i="29"/>
  <c r="BP250" i="29"/>
  <c r="AZ249" i="29"/>
  <c r="BH249" i="29"/>
  <c r="BB249" i="29" s="1"/>
  <c r="BZ236" i="29"/>
  <c r="BY237" i="29" s="1"/>
  <c r="BW237" i="29" s="1"/>
  <c r="AB249" i="29" l="1"/>
  <c r="BR252" i="29"/>
  <c r="BY252" i="29"/>
  <c r="BO253" i="29"/>
  <c r="BN253" i="29"/>
  <c r="BQ253" i="29"/>
  <c r="L250" i="29"/>
  <c r="J251" i="29"/>
  <c r="K251" i="29"/>
  <c r="CC248" i="29"/>
  <c r="U250" i="29"/>
  <c r="AC250" i="29" s="1"/>
  <c r="AA248" i="29"/>
  <c r="CA249" i="29"/>
  <c r="BU249" i="29" s="1"/>
  <c r="W248" i="29"/>
  <c r="Q249" i="29"/>
  <c r="R249" i="29"/>
  <c r="S251" i="29"/>
  <c r="V250" i="29"/>
  <c r="T251" i="29"/>
  <c r="AF250" i="29"/>
  <c r="AE250" i="29"/>
  <c r="BS237" i="29"/>
  <c r="BT237" i="29"/>
  <c r="M236" i="29" s="1"/>
  <c r="BX237" i="29"/>
  <c r="BD252" i="29"/>
  <c r="BC251" i="29"/>
  <c r="BF251" i="29" s="1"/>
  <c r="BE251" i="29"/>
  <c r="BG251" i="29" s="1"/>
  <c r="BA251" i="29" s="1"/>
  <c r="BP251" i="29"/>
  <c r="BH250" i="29"/>
  <c r="BB250" i="29" s="1"/>
  <c r="AZ250" i="29"/>
  <c r="AB250" i="29" l="1"/>
  <c r="BN254" i="29"/>
  <c r="BY253" i="29"/>
  <c r="BR253" i="29"/>
  <c r="BO254" i="29"/>
  <c r="X249" i="29"/>
  <c r="CB250" i="29"/>
  <c r="BV250" i="29" s="1"/>
  <c r="W249" i="29"/>
  <c r="Y249" i="29" s="1"/>
  <c r="M249" i="29"/>
  <c r="AA249" i="29"/>
  <c r="CA250" i="29"/>
  <c r="BU250" i="29" s="1"/>
  <c r="BQ254" i="29"/>
  <c r="BQ255" i="29" s="1"/>
  <c r="S252" i="29"/>
  <c r="V251" i="29"/>
  <c r="T252" i="29"/>
  <c r="AF251" i="29"/>
  <c r="AE251" i="29"/>
  <c r="U251" i="29"/>
  <c r="R250" i="29"/>
  <c r="Q250" i="29"/>
  <c r="K252" i="29"/>
  <c r="J252" i="29"/>
  <c r="L251" i="29"/>
  <c r="BP252" i="29"/>
  <c r="BD253" i="29"/>
  <c r="BE252" i="29"/>
  <c r="BG252" i="29" s="1"/>
  <c r="BA252" i="29" s="1"/>
  <c r="BC252" i="29"/>
  <c r="BF252" i="29" s="1"/>
  <c r="BZ237" i="29"/>
  <c r="BX238" i="29" s="1"/>
  <c r="AZ251" i="29"/>
  <c r="BH251" i="29"/>
  <c r="BB251" i="29" s="1"/>
  <c r="H29" i="29"/>
  <c r="K22" i="40" s="1"/>
  <c r="X236" i="29"/>
  <c r="Y236" i="29" s="1"/>
  <c r="Z236" i="29" s="1"/>
  <c r="CB249" i="29" s="1"/>
  <c r="AC236" i="29" l="1"/>
  <c r="AB236" i="29"/>
  <c r="Z237" i="29"/>
  <c r="Z238" i="29" s="1"/>
  <c r="Z239" i="29" s="1"/>
  <c r="Z240" i="29" s="1"/>
  <c r="Z241" i="29" s="1"/>
  <c r="Z242" i="29" s="1"/>
  <c r="Z243" i="29" s="1"/>
  <c r="Z244" i="29" s="1"/>
  <c r="Z245" i="29" s="1"/>
  <c r="Z246" i="29" s="1"/>
  <c r="Z247" i="29" s="1"/>
  <c r="G29" i="29"/>
  <c r="L22" i="40" s="1"/>
  <c r="CC250" i="29"/>
  <c r="BV249" i="29"/>
  <c r="CC249" i="29"/>
  <c r="R251" i="29"/>
  <c r="Q251" i="29"/>
  <c r="X251" i="29" s="1"/>
  <c r="BQ256" i="29"/>
  <c r="BR254" i="29"/>
  <c r="BO255" i="29"/>
  <c r="BN255" i="29"/>
  <c r="BY254" i="29"/>
  <c r="X250" i="29"/>
  <c r="CA251" i="29"/>
  <c r="BU251" i="29" s="1"/>
  <c r="AA250" i="29"/>
  <c r="CB251" i="29"/>
  <c r="BV251" i="29" s="1"/>
  <c r="M250" i="29"/>
  <c r="W250" i="29"/>
  <c r="Y250" i="29" s="1"/>
  <c r="AB251" i="29"/>
  <c r="T253" i="29"/>
  <c r="S253" i="29"/>
  <c r="V252" i="29"/>
  <c r="AF252" i="29"/>
  <c r="AE252" i="29"/>
  <c r="U252" i="29"/>
  <c r="K253" i="29"/>
  <c r="J253" i="29"/>
  <c r="L252" i="29"/>
  <c r="AC251" i="29"/>
  <c r="I38" i="39"/>
  <c r="H22" i="44" s="1"/>
  <c r="D22" i="45" s="1"/>
  <c r="K22" i="45" s="1"/>
  <c r="L22" i="45" s="1"/>
  <c r="J23" i="45" s="1"/>
  <c r="G36" i="15"/>
  <c r="D169" i="15"/>
  <c r="BZ238" i="29"/>
  <c r="BX239" i="29" s="1"/>
  <c r="AZ252" i="29"/>
  <c r="BH252" i="29"/>
  <c r="BB252" i="29" s="1"/>
  <c r="BP253" i="29"/>
  <c r="BD254" i="29"/>
  <c r="BC253" i="29"/>
  <c r="BF253" i="29" s="1"/>
  <c r="BE253" i="29"/>
  <c r="BG253" i="29" s="1"/>
  <c r="BA253" i="29" s="1"/>
  <c r="BO91" i="44" l="1"/>
  <c r="BG91" i="44"/>
  <c r="AZ91" i="44"/>
  <c r="AT91" i="44"/>
  <c r="AL91" i="44"/>
  <c r="AE91" i="44"/>
  <c r="BR91" i="44"/>
  <c r="BK91" i="44"/>
  <c r="BD91" i="44"/>
  <c r="AV91" i="44"/>
  <c r="AP91" i="44"/>
  <c r="AI91" i="44"/>
  <c r="BJ91" i="44"/>
  <c r="AU91" i="44"/>
  <c r="AF91" i="44"/>
  <c r="BF91" i="44"/>
  <c r="AQ91" i="44"/>
  <c r="AD91" i="44"/>
  <c r="BP91" i="44"/>
  <c r="BB91" i="44"/>
  <c r="AN91" i="44"/>
  <c r="BL91" i="44"/>
  <c r="AY91" i="44"/>
  <c r="AJ91" i="44"/>
  <c r="BQ91" i="44"/>
  <c r="BA91" i="44"/>
  <c r="AK91" i="44"/>
  <c r="AR91" i="44"/>
  <c r="BN91" i="44"/>
  <c r="BI91" i="44"/>
  <c r="AS91" i="44"/>
  <c r="AH91" i="44"/>
  <c r="BC91" i="44"/>
  <c r="BE91" i="44"/>
  <c r="AM91" i="44"/>
  <c r="AG91" i="44"/>
  <c r="AW91" i="44"/>
  <c r="AX91" i="44"/>
  <c r="AO91" i="44"/>
  <c r="BH91" i="44"/>
  <c r="BM91" i="44"/>
  <c r="F169" i="15"/>
  <c r="L38" i="39"/>
  <c r="Q252" i="29"/>
  <c r="X252" i="29" s="1"/>
  <c r="R252" i="29"/>
  <c r="AC252" i="29"/>
  <c r="CC251" i="29"/>
  <c r="AB252" i="29"/>
  <c r="U253" i="29"/>
  <c r="AB253" i="29" s="1"/>
  <c r="BR255" i="29"/>
  <c r="BY255" i="29"/>
  <c r="BO256" i="29"/>
  <c r="BN256" i="29"/>
  <c r="CA252" i="29"/>
  <c r="BU252" i="29" s="1"/>
  <c r="W251" i="29"/>
  <c r="Y251" i="29" s="1"/>
  <c r="CB252" i="29"/>
  <c r="BV252" i="29" s="1"/>
  <c r="M251" i="29"/>
  <c r="AA251" i="29"/>
  <c r="L253" i="29"/>
  <c r="J254" i="29"/>
  <c r="K254" i="29"/>
  <c r="T254" i="29"/>
  <c r="V253" i="29"/>
  <c r="S254" i="29"/>
  <c r="AE253" i="29"/>
  <c r="AF253" i="29"/>
  <c r="BZ239" i="29"/>
  <c r="BX240" i="29" s="1"/>
  <c r="BH253" i="29"/>
  <c r="BB253" i="29" s="1"/>
  <c r="AZ253" i="29"/>
  <c r="BD255" i="29"/>
  <c r="BC254" i="29"/>
  <c r="BF254" i="29" s="1"/>
  <c r="BE254" i="29"/>
  <c r="BG254" i="29" s="1"/>
  <c r="BA254" i="29" s="1"/>
  <c r="BP254" i="29"/>
  <c r="AC253" i="29" l="1"/>
  <c r="BN257" i="29"/>
  <c r="BY256" i="29"/>
  <c r="BR256" i="29"/>
  <c r="BO257" i="29"/>
  <c r="CC252" i="29"/>
  <c r="U254" i="29"/>
  <c r="AC254" i="29" s="1"/>
  <c r="R253" i="29"/>
  <c r="Q253" i="29"/>
  <c r="W252" i="29"/>
  <c r="Y252" i="29" s="1"/>
  <c r="M252" i="29"/>
  <c r="AA252" i="29"/>
  <c r="CB253" i="29"/>
  <c r="BV253" i="29" s="1"/>
  <c r="CA253" i="29"/>
  <c r="BU253" i="29" s="1"/>
  <c r="T255" i="29"/>
  <c r="S255" i="29"/>
  <c r="V254" i="29"/>
  <c r="AE254" i="29"/>
  <c r="AF254" i="29"/>
  <c r="J255" i="29"/>
  <c r="L254" i="29"/>
  <c r="K255" i="29"/>
  <c r="BQ257" i="29"/>
  <c r="BQ258" i="29" s="1"/>
  <c r="BZ240" i="29"/>
  <c r="BX241" i="29" s="1"/>
  <c r="AZ254" i="29"/>
  <c r="BH254" i="29"/>
  <c r="BB254" i="29" s="1"/>
  <c r="BD256" i="29"/>
  <c r="BE255" i="29"/>
  <c r="BG255" i="29" s="1"/>
  <c r="BA255" i="29" s="1"/>
  <c r="BP255" i="29"/>
  <c r="BC255" i="29"/>
  <c r="BF255" i="29" s="1"/>
  <c r="AB254" i="29" l="1"/>
  <c r="T256" i="29"/>
  <c r="S256" i="29"/>
  <c r="V255" i="29"/>
  <c r="AF255" i="29"/>
  <c r="AE255" i="29"/>
  <c r="CB254" i="29"/>
  <c r="BV254" i="29" s="1"/>
  <c r="W253" i="29"/>
  <c r="Y253" i="29" s="1"/>
  <c r="AA253" i="29"/>
  <c r="CA254" i="29"/>
  <c r="BU254" i="29" s="1"/>
  <c r="M253" i="29"/>
  <c r="J256" i="29"/>
  <c r="K256" i="29"/>
  <c r="L255" i="29"/>
  <c r="CC253" i="29"/>
  <c r="U255" i="29"/>
  <c r="AB255" i="29" s="1"/>
  <c r="X253" i="29"/>
  <c r="R254" i="29"/>
  <c r="Q254" i="29"/>
  <c r="X254" i="29" s="1"/>
  <c r="BR257" i="29"/>
  <c r="BO258" i="29"/>
  <c r="BY257" i="29"/>
  <c r="BN258" i="29"/>
  <c r="BH255" i="29"/>
  <c r="BB255" i="29" s="1"/>
  <c r="AZ255" i="29"/>
  <c r="BZ241" i="29"/>
  <c r="BX242" i="29" s="1"/>
  <c r="BD257" i="29"/>
  <c r="BE256" i="29"/>
  <c r="BG256" i="29" s="1"/>
  <c r="BA256" i="29" s="1"/>
  <c r="BP256" i="29"/>
  <c r="BC256" i="29"/>
  <c r="BF256" i="29" s="1"/>
  <c r="CC254" i="29" l="1"/>
  <c r="W254" i="29"/>
  <c r="Y254" i="29" s="1"/>
  <c r="AA254" i="29"/>
  <c r="M254" i="29"/>
  <c r="CA255" i="29"/>
  <c r="BU255" i="29" s="1"/>
  <c r="CB255" i="29"/>
  <c r="BV255" i="29" s="1"/>
  <c r="AC255" i="29"/>
  <c r="U256" i="29"/>
  <c r="AB256" i="29" s="1"/>
  <c r="BR258" i="29"/>
  <c r="BY258" i="29"/>
  <c r="BN259" i="29"/>
  <c r="BO259" i="29"/>
  <c r="K257" i="29"/>
  <c r="J257" i="29"/>
  <c r="L256" i="29"/>
  <c r="T257" i="29"/>
  <c r="V256" i="29"/>
  <c r="S257" i="29"/>
  <c r="AE256" i="29"/>
  <c r="AF256" i="29"/>
  <c r="BQ259" i="29"/>
  <c r="BQ260" i="29" s="1"/>
  <c r="Q255" i="29"/>
  <c r="X255" i="29" s="1"/>
  <c r="R255" i="29"/>
  <c r="BZ242" i="29"/>
  <c r="BX243" i="29" s="1"/>
  <c r="AZ256" i="29"/>
  <c r="BH256" i="29"/>
  <c r="BB256" i="29" s="1"/>
  <c r="BD258" i="29"/>
  <c r="BP257" i="29"/>
  <c r="BC257" i="29"/>
  <c r="BF257" i="29" s="1"/>
  <c r="BE257" i="29"/>
  <c r="BG257" i="29" s="1"/>
  <c r="BA257" i="29" s="1"/>
  <c r="T258" i="29" l="1"/>
  <c r="V257" i="29"/>
  <c r="S258" i="29"/>
  <c r="AF257" i="29"/>
  <c r="AE257" i="29"/>
  <c r="BY259" i="29"/>
  <c r="BR259" i="29"/>
  <c r="BN260" i="29"/>
  <c r="BO260" i="29"/>
  <c r="R256" i="29"/>
  <c r="Q256" i="29"/>
  <c r="X256" i="29" s="1"/>
  <c r="CC255" i="29"/>
  <c r="K258" i="29"/>
  <c r="J258" i="29"/>
  <c r="L257" i="29"/>
  <c r="CA256" i="29"/>
  <c r="BU256" i="29" s="1"/>
  <c r="AA255" i="29"/>
  <c r="M255" i="29"/>
  <c r="W255" i="29"/>
  <c r="Y255" i="29" s="1"/>
  <c r="CB256" i="29"/>
  <c r="BV256" i="29" s="1"/>
  <c r="U257" i="29"/>
  <c r="AC256" i="29"/>
  <c r="BZ243" i="29"/>
  <c r="BX244" i="29" s="1"/>
  <c r="BH257" i="29"/>
  <c r="BB257" i="29" s="1"/>
  <c r="AZ257" i="29"/>
  <c r="BD259" i="29"/>
  <c r="BP258" i="29"/>
  <c r="BE258" i="29"/>
  <c r="BG258" i="29" s="1"/>
  <c r="BA258" i="29" s="1"/>
  <c r="BC258" i="29"/>
  <c r="BF258" i="29" s="1"/>
  <c r="CC256" i="29" l="1"/>
  <c r="R257" i="29"/>
  <c r="Q257" i="29"/>
  <c r="X257" i="29" s="1"/>
  <c r="AC257" i="29"/>
  <c r="BO261" i="29"/>
  <c r="BR260" i="29"/>
  <c r="BY260" i="29"/>
  <c r="BN261" i="29"/>
  <c r="T259" i="29"/>
  <c r="S259" i="29"/>
  <c r="V258" i="29"/>
  <c r="AF258" i="29"/>
  <c r="AE258" i="29"/>
  <c r="M256" i="29"/>
  <c r="CA257" i="29"/>
  <c r="BU257" i="29" s="1"/>
  <c r="AA256" i="29"/>
  <c r="W256" i="29"/>
  <c r="Y256" i="29" s="1"/>
  <c r="CB257" i="29"/>
  <c r="BV257" i="29" s="1"/>
  <c r="BQ261" i="29"/>
  <c r="BQ262" i="29" s="1"/>
  <c r="J259" i="29"/>
  <c r="L258" i="29"/>
  <c r="K259" i="29"/>
  <c r="AB257" i="29"/>
  <c r="U258" i="29"/>
  <c r="AC258" i="29" s="1"/>
  <c r="BZ244" i="29"/>
  <c r="BX245" i="29" s="1"/>
  <c r="AZ258" i="29"/>
  <c r="BH258" i="29"/>
  <c r="BB258" i="29" s="1"/>
  <c r="BP259" i="29"/>
  <c r="BC259" i="29"/>
  <c r="BF259" i="29" s="1"/>
  <c r="BD260" i="29"/>
  <c r="BE259" i="29"/>
  <c r="BG259" i="29" s="1"/>
  <c r="BA259" i="29" s="1"/>
  <c r="AB258" i="29" l="1"/>
  <c r="CC257" i="29"/>
  <c r="U259" i="29"/>
  <c r="AA257" i="29"/>
  <c r="CB258" i="29"/>
  <c r="BV258" i="29" s="1"/>
  <c r="W257" i="29"/>
  <c r="Y257" i="29" s="1"/>
  <c r="M257" i="29"/>
  <c r="CA258" i="29"/>
  <c r="BU258" i="29" s="1"/>
  <c r="V259" i="29"/>
  <c r="S260" i="29"/>
  <c r="T260" i="29"/>
  <c r="AF259" i="29"/>
  <c r="AE259" i="29"/>
  <c r="BO262" i="29"/>
  <c r="BQ263" i="29" s="1"/>
  <c r="BN262" i="29"/>
  <c r="BR261" i="29"/>
  <c r="R258" i="29"/>
  <c r="Q258" i="29"/>
  <c r="J260" i="29"/>
  <c r="K260" i="29"/>
  <c r="L259" i="29"/>
  <c r="BZ245" i="29"/>
  <c r="BX246" i="29" s="1"/>
  <c r="BE260" i="29"/>
  <c r="BG260" i="29" s="1"/>
  <c r="BA260" i="29" s="1"/>
  <c r="BP260" i="29"/>
  <c r="BC260" i="29"/>
  <c r="BF260" i="29" s="1"/>
  <c r="BD261" i="29"/>
  <c r="BH259" i="29"/>
  <c r="BB259" i="29" s="1"/>
  <c r="AZ259" i="29"/>
  <c r="CC258" i="29" l="1"/>
  <c r="R259" i="29"/>
  <c r="Q259" i="29"/>
  <c r="AC259" i="29"/>
  <c r="M258" i="29"/>
  <c r="CB259" i="29"/>
  <c r="BV259" i="29" s="1"/>
  <c r="W258" i="29"/>
  <c r="Y258" i="29" s="1"/>
  <c r="CA259" i="29"/>
  <c r="BU259" i="29" s="1"/>
  <c r="AA258" i="29"/>
  <c r="S261" i="29"/>
  <c r="T261" i="29"/>
  <c r="V260" i="29"/>
  <c r="AF260" i="29"/>
  <c r="AE260" i="29"/>
  <c r="AB259" i="29"/>
  <c r="K261" i="29"/>
  <c r="J261" i="29"/>
  <c r="L260" i="29"/>
  <c r="X258" i="29"/>
  <c r="BY262" i="29"/>
  <c r="BN263" i="29"/>
  <c r="BR262" i="29"/>
  <c r="BO263" i="29"/>
  <c r="U260" i="29"/>
  <c r="BZ246" i="29"/>
  <c r="BX247" i="29" s="1"/>
  <c r="BP261" i="29"/>
  <c r="BI261" i="29"/>
  <c r="BD262" i="29"/>
  <c r="BE261" i="29"/>
  <c r="BG261" i="29" s="1"/>
  <c r="BA261" i="29" s="1"/>
  <c r="BC261" i="29"/>
  <c r="BF261" i="29" s="1"/>
  <c r="AZ260" i="29"/>
  <c r="BH260" i="29"/>
  <c r="BB260" i="29" s="1"/>
  <c r="CC259" i="29" l="1"/>
  <c r="M259" i="29"/>
  <c r="AA259" i="29"/>
  <c r="CB260" i="29"/>
  <c r="BV260" i="29" s="1"/>
  <c r="W259" i="29"/>
  <c r="Y259" i="29" s="1"/>
  <c r="CA260" i="29"/>
  <c r="BU260" i="29" s="1"/>
  <c r="BR263" i="29"/>
  <c r="BO264" i="29"/>
  <c r="BN264" i="29"/>
  <c r="BY263" i="29"/>
  <c r="V261" i="29"/>
  <c r="T262" i="29"/>
  <c r="S262" i="29"/>
  <c r="AF261" i="29"/>
  <c r="AE261" i="29"/>
  <c r="Q260" i="29"/>
  <c r="R260" i="29"/>
  <c r="K262" i="29"/>
  <c r="L261" i="29"/>
  <c r="J262" i="29"/>
  <c r="U261" i="29"/>
  <c r="AB261" i="29" s="1"/>
  <c r="BQ264" i="29"/>
  <c r="BQ265" i="29" s="1"/>
  <c r="X259" i="29"/>
  <c r="BZ247" i="29"/>
  <c r="BX248" i="29" s="1"/>
  <c r="AZ261" i="29"/>
  <c r="BH261" i="29"/>
  <c r="BB261" i="29" s="1"/>
  <c r="BC262" i="29"/>
  <c r="BF262" i="29" s="1"/>
  <c r="BD263" i="29"/>
  <c r="BE262" i="29"/>
  <c r="BG262" i="29" s="1"/>
  <c r="BA262" i="29" s="1"/>
  <c r="BP262" i="29"/>
  <c r="AC261" i="29" l="1"/>
  <c r="L262" i="29"/>
  <c r="K263" i="29"/>
  <c r="J263" i="29"/>
  <c r="CC260" i="29"/>
  <c r="U262" i="29"/>
  <c r="R261" i="29"/>
  <c r="Q261" i="29"/>
  <c r="AA260" i="29"/>
  <c r="CA261" i="29"/>
  <c r="BU261" i="29" s="1"/>
  <c r="W260" i="29"/>
  <c r="S263" i="29"/>
  <c r="V262" i="29"/>
  <c r="T263" i="29"/>
  <c r="AF262" i="29"/>
  <c r="AE262" i="29"/>
  <c r="BY264" i="29"/>
  <c r="BN265" i="29"/>
  <c r="BO265" i="29"/>
  <c r="BQ266" i="29" s="1"/>
  <c r="BR264" i="29"/>
  <c r="BZ248" i="29"/>
  <c r="BY249" i="29" s="1"/>
  <c r="BD264" i="29"/>
  <c r="BP263" i="29"/>
  <c r="BE263" i="29"/>
  <c r="BG263" i="29" s="1"/>
  <c r="BA263" i="29" s="1"/>
  <c r="BC263" i="29"/>
  <c r="BF263" i="29" s="1"/>
  <c r="BH262" i="29"/>
  <c r="BB262" i="29" s="1"/>
  <c r="AZ262" i="29"/>
  <c r="M261" i="29" l="1"/>
  <c r="CB262" i="29"/>
  <c r="BV262" i="29" s="1"/>
  <c r="CA262" i="29"/>
  <c r="BU262" i="29" s="1"/>
  <c r="W261" i="29"/>
  <c r="Y261" i="29" s="1"/>
  <c r="AA261" i="29"/>
  <c r="R262" i="29"/>
  <c r="Q262" i="29"/>
  <c r="U263" i="29"/>
  <c r="AB263" i="29" s="1"/>
  <c r="AC262" i="29"/>
  <c r="J264" i="29"/>
  <c r="L263" i="29"/>
  <c r="K264" i="29"/>
  <c r="AB262" i="29"/>
  <c r="BY265" i="29"/>
  <c r="BO266" i="29"/>
  <c r="BR265" i="29"/>
  <c r="BN266" i="29"/>
  <c r="T264" i="29"/>
  <c r="S264" i="29"/>
  <c r="V263" i="29"/>
  <c r="AE263" i="29"/>
  <c r="AF263" i="29"/>
  <c r="X261" i="29"/>
  <c r="BW249" i="29"/>
  <c r="BX249" i="29"/>
  <c r="BD265" i="29"/>
  <c r="BE264" i="29"/>
  <c r="BG264" i="29" s="1"/>
  <c r="BA264" i="29" s="1"/>
  <c r="BC264" i="29"/>
  <c r="BF264" i="29" s="1"/>
  <c r="BP264" i="29"/>
  <c r="BH263" i="29"/>
  <c r="BB263" i="29" s="1"/>
  <c r="AZ263" i="29"/>
  <c r="X262" i="29" l="1"/>
  <c r="AA262" i="29"/>
  <c r="CB263" i="29"/>
  <c r="BV263" i="29" s="1"/>
  <c r="M262" i="29"/>
  <c r="CA263" i="29"/>
  <c r="BU263" i="29" s="1"/>
  <c r="W262" i="29"/>
  <c r="Y262" i="29" s="1"/>
  <c r="U264" i="29"/>
  <c r="AB264" i="29" s="1"/>
  <c r="J265" i="29"/>
  <c r="L264" i="29"/>
  <c r="K265" i="29"/>
  <c r="BO267" i="29"/>
  <c r="BY266" i="29"/>
  <c r="BR266" i="29"/>
  <c r="BN267" i="29"/>
  <c r="CC262" i="29"/>
  <c r="Q263" i="29"/>
  <c r="X263" i="29" s="1"/>
  <c r="R263" i="29"/>
  <c r="T265" i="29"/>
  <c r="V264" i="29"/>
  <c r="S265" i="29"/>
  <c r="AF264" i="29"/>
  <c r="AE264" i="29"/>
  <c r="AC263" i="29"/>
  <c r="BQ267" i="29"/>
  <c r="BQ268" i="29" s="1"/>
  <c r="BE265" i="29"/>
  <c r="BG265" i="29" s="1"/>
  <c r="BA265" i="29" s="1"/>
  <c r="BP265" i="29"/>
  <c r="BD266" i="29"/>
  <c r="BC265" i="29"/>
  <c r="BF265" i="29" s="1"/>
  <c r="BZ249" i="29"/>
  <c r="BX250" i="29" s="1"/>
  <c r="BH264" i="29"/>
  <c r="BB264" i="29" s="1"/>
  <c r="AZ264" i="29"/>
  <c r="BS249" i="29"/>
  <c r="BT249" i="29"/>
  <c r="M248" i="29" s="1"/>
  <c r="CA264" i="29" l="1"/>
  <c r="BU264" i="29" s="1"/>
  <c r="AA263" i="29"/>
  <c r="W263" i="29"/>
  <c r="Y263" i="29" s="1"/>
  <c r="M263" i="29"/>
  <c r="CB264" i="29"/>
  <c r="BV264" i="29" s="1"/>
  <c r="L265" i="29"/>
  <c r="K266" i="29"/>
  <c r="J266" i="29"/>
  <c r="U265" i="29"/>
  <c r="AB265" i="29" s="1"/>
  <c r="BR267" i="29"/>
  <c r="BY267" i="29"/>
  <c r="BN268" i="29"/>
  <c r="BO268" i="29"/>
  <c r="Q264" i="29"/>
  <c r="R264" i="29"/>
  <c r="V265" i="29"/>
  <c r="T266" i="29"/>
  <c r="S266" i="29"/>
  <c r="AE265" i="29"/>
  <c r="AF265" i="29"/>
  <c r="AC264" i="29"/>
  <c r="CC263" i="29"/>
  <c r="BZ250" i="29"/>
  <c r="BX251" i="29" s="1"/>
  <c r="BH265" i="29"/>
  <c r="BB265" i="29" s="1"/>
  <c r="AZ265" i="29"/>
  <c r="BP266" i="29"/>
  <c r="BC266" i="29"/>
  <c r="BF266" i="29" s="1"/>
  <c r="BD267" i="29"/>
  <c r="BE266" i="29"/>
  <c r="BG266" i="29" s="1"/>
  <c r="BA266" i="29" s="1"/>
  <c r="H30" i="29"/>
  <c r="K23" i="40" s="1"/>
  <c r="X248" i="29"/>
  <c r="Y248" i="29" s="1"/>
  <c r="Z248" i="29" s="1"/>
  <c r="AB248" i="29" l="1"/>
  <c r="AC248" i="29"/>
  <c r="Z249" i="29"/>
  <c r="Z250" i="29" s="1"/>
  <c r="Z251" i="29" s="1"/>
  <c r="Z252" i="29" s="1"/>
  <c r="Z253" i="29" s="1"/>
  <c r="Z254" i="29" s="1"/>
  <c r="Z255" i="29" s="1"/>
  <c r="Z256" i="29" s="1"/>
  <c r="Z257" i="29" s="1"/>
  <c r="Z258" i="29" s="1"/>
  <c r="Z259" i="29" s="1"/>
  <c r="CB261" i="29"/>
  <c r="G30" i="29"/>
  <c r="L23" i="40" s="1"/>
  <c r="CC264" i="29"/>
  <c r="T267" i="29"/>
  <c r="S267" i="29"/>
  <c r="V266" i="29"/>
  <c r="AF266" i="29"/>
  <c r="AE266" i="29"/>
  <c r="BR268" i="29"/>
  <c r="BN269" i="29"/>
  <c r="BY268" i="29"/>
  <c r="BO269" i="29"/>
  <c r="Q265" i="29"/>
  <c r="R265" i="29"/>
  <c r="J267" i="29"/>
  <c r="K267" i="29"/>
  <c r="L266" i="29"/>
  <c r="CA265" i="29"/>
  <c r="BU265" i="29" s="1"/>
  <c r="AA264" i="29"/>
  <c r="W264" i="29"/>
  <c r="Y264" i="29" s="1"/>
  <c r="CB265" i="29"/>
  <c r="BV265" i="29" s="1"/>
  <c r="M264" i="29"/>
  <c r="X264" i="29"/>
  <c r="AC265" i="29"/>
  <c r="BQ269" i="29"/>
  <c r="BQ270" i="29" s="1"/>
  <c r="U266" i="29"/>
  <c r="AB266" i="29" s="1"/>
  <c r="BP267" i="29"/>
  <c r="BD268" i="29"/>
  <c r="BE267" i="29"/>
  <c r="BG267" i="29" s="1"/>
  <c r="BA267" i="29" s="1"/>
  <c r="BC267" i="29"/>
  <c r="BF267" i="29" s="1"/>
  <c r="G37" i="15"/>
  <c r="I39" i="39"/>
  <c r="H23" i="44" s="1"/>
  <c r="D23" i="45" s="1"/>
  <c r="K23" i="45" s="1"/>
  <c r="L23" i="45" s="1"/>
  <c r="J24" i="45" s="1"/>
  <c r="D170" i="15"/>
  <c r="AZ266" i="29"/>
  <c r="BH266" i="29"/>
  <c r="BB266" i="29" s="1"/>
  <c r="BZ251" i="29"/>
  <c r="BX252" i="29" s="1"/>
  <c r="BH92" i="44" l="1"/>
  <c r="AM92" i="44"/>
  <c r="AX92" i="44"/>
  <c r="AQ92" i="44"/>
  <c r="AF92" i="44"/>
  <c r="BL92" i="44"/>
  <c r="BB92" i="44"/>
  <c r="BI92" i="44"/>
  <c r="AS92" i="44"/>
  <c r="BP92" i="44"/>
  <c r="AU92" i="44"/>
  <c r="BO92" i="44"/>
  <c r="AT92" i="44"/>
  <c r="AH92" i="44"/>
  <c r="BG92" i="44"/>
  <c r="BQ92" i="44"/>
  <c r="BA92" i="44"/>
  <c r="AK92" i="44"/>
  <c r="BF92" i="44"/>
  <c r="AJ92" i="44"/>
  <c r="BD92" i="44"/>
  <c r="AI92" i="44"/>
  <c r="BC92" i="44"/>
  <c r="AL92" i="44"/>
  <c r="AW92" i="44"/>
  <c r="AZ92" i="44"/>
  <c r="AY92" i="44"/>
  <c r="BN92" i="44"/>
  <c r="BE92" i="44"/>
  <c r="BJ92" i="44"/>
  <c r="AO92" i="44"/>
  <c r="AP92" i="44"/>
  <c r="AN92" i="44"/>
  <c r="BM92" i="44"/>
  <c r="AG92" i="44"/>
  <c r="AE92" i="44"/>
  <c r="AV92" i="44"/>
  <c r="BK92" i="44"/>
  <c r="AR92" i="44"/>
  <c r="BR92" i="44"/>
  <c r="BV261" i="29"/>
  <c r="CC261" i="29"/>
  <c r="L39" i="39"/>
  <c r="F170" i="15"/>
  <c r="AC266" i="29"/>
  <c r="Q266" i="29"/>
  <c r="X266" i="29" s="1"/>
  <c r="R266" i="29"/>
  <c r="X265" i="29"/>
  <c r="CB266" i="29"/>
  <c r="BV266" i="29" s="1"/>
  <c r="M265" i="29"/>
  <c r="AA265" i="29"/>
  <c r="W265" i="29"/>
  <c r="Y265" i="29" s="1"/>
  <c r="CA266" i="29"/>
  <c r="BU266" i="29" s="1"/>
  <c r="K268" i="29"/>
  <c r="L267" i="29"/>
  <c r="J268" i="29"/>
  <c r="BN270" i="29"/>
  <c r="BO270" i="29"/>
  <c r="BY269" i="29"/>
  <c r="BR269" i="29"/>
  <c r="V267" i="29"/>
  <c r="T268" i="29"/>
  <c r="S268" i="29"/>
  <c r="AE267" i="29"/>
  <c r="AF267" i="29"/>
  <c r="U267" i="29"/>
  <c r="AB267" i="29" s="1"/>
  <c r="BQ271" i="29"/>
  <c r="CC265" i="29"/>
  <c r="BZ252" i="29"/>
  <c r="BX253" i="29" s="1"/>
  <c r="BD269" i="29"/>
  <c r="BC268" i="29"/>
  <c r="BF268" i="29" s="1"/>
  <c r="BE268" i="29"/>
  <c r="BG268" i="29" s="1"/>
  <c r="BA268" i="29" s="1"/>
  <c r="BP268" i="29"/>
  <c r="BH267" i="29"/>
  <c r="BB267" i="29" s="1"/>
  <c r="AZ267" i="29"/>
  <c r="AC267" i="29" l="1"/>
  <c r="CC266" i="29"/>
  <c r="R267" i="29"/>
  <c r="Q267" i="29"/>
  <c r="X267" i="29" s="1"/>
  <c r="U268" i="29"/>
  <c r="AB268" i="29" s="1"/>
  <c r="CB267" i="29"/>
  <c r="BV267" i="29" s="1"/>
  <c r="AA266" i="29"/>
  <c r="W266" i="29"/>
  <c r="Y266" i="29" s="1"/>
  <c r="CA267" i="29"/>
  <c r="BU267" i="29" s="1"/>
  <c r="M266" i="29"/>
  <c r="V268" i="29"/>
  <c r="S269" i="29"/>
  <c r="T269" i="29"/>
  <c r="AF268" i="29"/>
  <c r="AE268" i="29"/>
  <c r="BO271" i="29"/>
  <c r="BQ272" i="29" s="1"/>
  <c r="BY270" i="29"/>
  <c r="BR270" i="29"/>
  <c r="BN271" i="29"/>
  <c r="K269" i="29"/>
  <c r="J269" i="29"/>
  <c r="L268" i="29"/>
  <c r="AZ268" i="29"/>
  <c r="BH268" i="29"/>
  <c r="BB268" i="29" s="1"/>
  <c r="BD270" i="29"/>
  <c r="BP269" i="29"/>
  <c r="BC269" i="29"/>
  <c r="BF269" i="29" s="1"/>
  <c r="BE269" i="29"/>
  <c r="BG269" i="29" s="1"/>
  <c r="BA269" i="29" s="1"/>
  <c r="BZ253" i="29"/>
  <c r="BX254" i="29" s="1"/>
  <c r="AC268" i="29" l="1"/>
  <c r="CC267" i="29"/>
  <c r="T270" i="29"/>
  <c r="S270" i="29"/>
  <c r="V269" i="29"/>
  <c r="AE269" i="29"/>
  <c r="AF269" i="29"/>
  <c r="L269" i="29"/>
  <c r="J270" i="29"/>
  <c r="K270" i="29"/>
  <c r="BO272" i="29"/>
  <c r="BN272" i="29"/>
  <c r="BR271" i="29"/>
  <c r="BY271" i="29"/>
  <c r="U269" i="29"/>
  <c r="Q268" i="29"/>
  <c r="R268" i="29"/>
  <c r="AA267" i="29"/>
  <c r="CA268" i="29"/>
  <c r="BU268" i="29" s="1"/>
  <c r="CB268" i="29"/>
  <c r="BV268" i="29" s="1"/>
  <c r="W267" i="29"/>
  <c r="Y267" i="29" s="1"/>
  <c r="M267" i="29"/>
  <c r="BZ254" i="29"/>
  <c r="BX255" i="29" s="1"/>
  <c r="BD271" i="29"/>
  <c r="BC270" i="29"/>
  <c r="BF270" i="29" s="1"/>
  <c r="BP270" i="29"/>
  <c r="BE270" i="29"/>
  <c r="BG270" i="29" s="1"/>
  <c r="BA270" i="29" s="1"/>
  <c r="AZ269" i="29"/>
  <c r="BH269" i="29"/>
  <c r="BB269" i="29" s="1"/>
  <c r="CC268" i="29" l="1"/>
  <c r="X268" i="29"/>
  <c r="AA268" i="29"/>
  <c r="W268" i="29"/>
  <c r="Y268" i="29" s="1"/>
  <c r="M268" i="29"/>
  <c r="CA269" i="29"/>
  <c r="BU269" i="29" s="1"/>
  <c r="CB269" i="29"/>
  <c r="BV269" i="29" s="1"/>
  <c r="K271" i="29"/>
  <c r="L270" i="29"/>
  <c r="J271" i="29"/>
  <c r="Q269" i="29"/>
  <c r="R269" i="29"/>
  <c r="AC269" i="29"/>
  <c r="U270" i="29"/>
  <c r="AB270" i="29" s="1"/>
  <c r="AB269" i="29"/>
  <c r="BR272" i="29"/>
  <c r="BY272" i="29"/>
  <c r="BN273" i="29"/>
  <c r="BO273" i="29"/>
  <c r="T271" i="29"/>
  <c r="V270" i="29"/>
  <c r="S271" i="29"/>
  <c r="AF270" i="29"/>
  <c r="AE270" i="29"/>
  <c r="BQ273" i="29"/>
  <c r="BZ255" i="29"/>
  <c r="BX256" i="29" s="1"/>
  <c r="BD272" i="29"/>
  <c r="BC271" i="29"/>
  <c r="BF271" i="29" s="1"/>
  <c r="BP271" i="29"/>
  <c r="BE271" i="29"/>
  <c r="BG271" i="29" s="1"/>
  <c r="BA271" i="29" s="1"/>
  <c r="AZ270" i="29"/>
  <c r="BH270" i="29"/>
  <c r="BB270" i="29" s="1"/>
  <c r="CC269" i="29" l="1"/>
  <c r="BO274" i="29"/>
  <c r="BN274" i="29"/>
  <c r="BR273" i="29"/>
  <c r="CB270" i="29"/>
  <c r="BV270" i="29" s="1"/>
  <c r="AA269" i="29"/>
  <c r="W269" i="29"/>
  <c r="Y269" i="29" s="1"/>
  <c r="CA270" i="29"/>
  <c r="BU270" i="29" s="1"/>
  <c r="M269" i="29"/>
  <c r="U271" i="29"/>
  <c r="AB271" i="29" s="1"/>
  <c r="R270" i="29"/>
  <c r="Q270" i="29"/>
  <c r="BQ274" i="29"/>
  <c r="BQ275" i="29" s="1"/>
  <c r="S272" i="29"/>
  <c r="T272" i="29"/>
  <c r="V271" i="29"/>
  <c r="AE271" i="29"/>
  <c r="AF271" i="29"/>
  <c r="AC270" i="29"/>
  <c r="X269" i="29"/>
  <c r="L271" i="29"/>
  <c r="K272" i="29"/>
  <c r="J272" i="29"/>
  <c r="BD273" i="29"/>
  <c r="BE272" i="29"/>
  <c r="BG272" i="29" s="1"/>
  <c r="BA272" i="29" s="1"/>
  <c r="BP272" i="29"/>
  <c r="BC272" i="29"/>
  <c r="BF272" i="29" s="1"/>
  <c r="BH271" i="29"/>
  <c r="BB271" i="29" s="1"/>
  <c r="AZ271" i="29"/>
  <c r="BZ256" i="29"/>
  <c r="BX257" i="29" s="1"/>
  <c r="AC271" i="29" l="1"/>
  <c r="S273" i="29"/>
  <c r="V272" i="29"/>
  <c r="T273" i="29"/>
  <c r="AF272" i="29"/>
  <c r="AE272" i="29"/>
  <c r="AA270" i="29"/>
  <c r="M270" i="29"/>
  <c r="CB271" i="29"/>
  <c r="BV271" i="29" s="1"/>
  <c r="CA271" i="29"/>
  <c r="BU271" i="29" s="1"/>
  <c r="W270" i="29"/>
  <c r="Y270" i="29" s="1"/>
  <c r="L272" i="29"/>
  <c r="K273" i="29"/>
  <c r="J273" i="29"/>
  <c r="U272" i="29"/>
  <c r="BQ276" i="29"/>
  <c r="CC270" i="29"/>
  <c r="BN275" i="29"/>
  <c r="BY274" i="29"/>
  <c r="BR274" i="29"/>
  <c r="BO275" i="29"/>
  <c r="X270" i="29"/>
  <c r="Q271" i="29"/>
  <c r="X271" i="29" s="1"/>
  <c r="R271" i="29"/>
  <c r="BZ257" i="29"/>
  <c r="BX258" i="29" s="1"/>
  <c r="BH272" i="29"/>
  <c r="BB272" i="29" s="1"/>
  <c r="AZ272" i="29"/>
  <c r="BE273" i="29"/>
  <c r="BG273" i="29" s="1"/>
  <c r="BA273" i="29" s="1"/>
  <c r="BI273" i="29"/>
  <c r="BC273" i="29"/>
  <c r="BF273" i="29" s="1"/>
  <c r="BP273" i="29"/>
  <c r="BD274" i="29"/>
  <c r="CC271" i="29" l="1"/>
  <c r="R272" i="29"/>
  <c r="Q272" i="29"/>
  <c r="V273" i="29"/>
  <c r="T274" i="29"/>
  <c r="S274" i="29"/>
  <c r="AE273" i="29"/>
  <c r="AF273" i="29"/>
  <c r="CB272" i="29"/>
  <c r="BV272" i="29" s="1"/>
  <c r="W271" i="29"/>
  <c r="Y271" i="29" s="1"/>
  <c r="M271" i="29"/>
  <c r="CA272" i="29"/>
  <c r="BU272" i="29" s="1"/>
  <c r="AA271" i="29"/>
  <c r="L273" i="29"/>
  <c r="K274" i="29"/>
  <c r="J274" i="29"/>
  <c r="U273" i="29"/>
  <c r="AC273" i="29" s="1"/>
  <c r="BO276" i="29"/>
  <c r="BN276" i="29"/>
  <c r="BY275" i="29"/>
  <c r="BR275" i="29"/>
  <c r="BZ258" i="29"/>
  <c r="BX259" i="29" s="1"/>
  <c r="BE274" i="29"/>
  <c r="BG274" i="29" s="1"/>
  <c r="BA274" i="29" s="1"/>
  <c r="BP274" i="29"/>
  <c r="BC274" i="29"/>
  <c r="BF274" i="29" s="1"/>
  <c r="BD275" i="29"/>
  <c r="BH273" i="29"/>
  <c r="BB273" i="29" s="1"/>
  <c r="AZ273" i="29"/>
  <c r="AB273" i="29" l="1"/>
  <c r="BY276" i="29"/>
  <c r="BN277" i="29"/>
  <c r="BO277" i="29"/>
  <c r="BR276" i="29"/>
  <c r="R273" i="29"/>
  <c r="Q273" i="29"/>
  <c r="L274" i="29"/>
  <c r="K275" i="29"/>
  <c r="J275" i="29"/>
  <c r="BQ277" i="29"/>
  <c r="BQ278" i="29" s="1"/>
  <c r="W272" i="29"/>
  <c r="CA273" i="29"/>
  <c r="BU273" i="29" s="1"/>
  <c r="AA272" i="29"/>
  <c r="CC272" i="29"/>
  <c r="U274" i="29"/>
  <c r="AB274" i="29" s="1"/>
  <c r="T275" i="29"/>
  <c r="V274" i="29"/>
  <c r="S275" i="29"/>
  <c r="AE274" i="29"/>
  <c r="AF274" i="29"/>
  <c r="BZ259" i="29"/>
  <c r="BX260" i="29" s="1"/>
  <c r="BP275" i="29"/>
  <c r="BC275" i="29"/>
  <c r="BF275" i="29" s="1"/>
  <c r="BE275" i="29"/>
  <c r="BG275" i="29" s="1"/>
  <c r="BA275" i="29" s="1"/>
  <c r="BD276" i="29"/>
  <c r="AZ274" i="29"/>
  <c r="BH274" i="29"/>
  <c r="BB274" i="29" s="1"/>
  <c r="CB274" i="29" l="1"/>
  <c r="BV274" i="29" s="1"/>
  <c r="AA273" i="29"/>
  <c r="M273" i="29"/>
  <c r="CA274" i="29"/>
  <c r="BU274" i="29" s="1"/>
  <c r="W273" i="29"/>
  <c r="Y273" i="29" s="1"/>
  <c r="V275" i="29"/>
  <c r="S276" i="29"/>
  <c r="T276" i="29"/>
  <c r="AF275" i="29"/>
  <c r="AE275" i="29"/>
  <c r="J276" i="29"/>
  <c r="K276" i="29"/>
  <c r="L275" i="29"/>
  <c r="Q274" i="29"/>
  <c r="X274" i="29" s="1"/>
  <c r="R274" i="29"/>
  <c r="U275" i="29"/>
  <c r="AC275" i="29" s="1"/>
  <c r="AC274" i="29"/>
  <c r="X273" i="29"/>
  <c r="BR277" i="29"/>
  <c r="BN278" i="29"/>
  <c r="BO278" i="29"/>
  <c r="BY277" i="29"/>
  <c r="BZ260" i="29"/>
  <c r="BY261" i="29" s="1"/>
  <c r="BH275" i="29"/>
  <c r="BB275" i="29" s="1"/>
  <c r="AZ275" i="29"/>
  <c r="BE276" i="29"/>
  <c r="BG276" i="29" s="1"/>
  <c r="BA276" i="29" s="1"/>
  <c r="BC276" i="29"/>
  <c r="BF276" i="29" s="1"/>
  <c r="BD277" i="29"/>
  <c r="BP276" i="29"/>
  <c r="R275" i="29" l="1"/>
  <c r="Q275" i="29"/>
  <c r="U276" i="29"/>
  <c r="BY278" i="29"/>
  <c r="BR278" i="29"/>
  <c r="BN279" i="29"/>
  <c r="BO279" i="29"/>
  <c r="BQ279" i="29"/>
  <c r="AB275" i="29"/>
  <c r="CB275" i="29"/>
  <c r="BV275" i="29" s="1"/>
  <c r="W274" i="29"/>
  <c r="Y274" i="29" s="1"/>
  <c r="M274" i="29"/>
  <c r="CA275" i="29"/>
  <c r="BU275" i="29" s="1"/>
  <c r="AA274" i="29"/>
  <c r="L276" i="29"/>
  <c r="J277" i="29"/>
  <c r="K277" i="29"/>
  <c r="V276" i="29"/>
  <c r="S277" i="29"/>
  <c r="T277" i="29"/>
  <c r="AE276" i="29"/>
  <c r="AF276" i="29"/>
  <c r="CC274" i="29"/>
  <c r="BW261" i="29"/>
  <c r="BX261" i="29"/>
  <c r="BP277" i="29"/>
  <c r="BC277" i="29"/>
  <c r="BF277" i="29" s="1"/>
  <c r="BD278" i="29"/>
  <c r="BE277" i="29"/>
  <c r="BG277" i="29" s="1"/>
  <c r="BA277" i="29" s="1"/>
  <c r="BH276" i="29"/>
  <c r="BB276" i="29" s="1"/>
  <c r="AZ276" i="29"/>
  <c r="CC275" i="29" l="1"/>
  <c r="V277" i="29"/>
  <c r="S278" i="29"/>
  <c r="T278" i="29"/>
  <c r="AF277" i="29"/>
  <c r="AE277" i="29"/>
  <c r="BN280" i="29"/>
  <c r="BR279" i="29"/>
  <c r="BO280" i="29"/>
  <c r="BY279" i="29"/>
  <c r="R276" i="29"/>
  <c r="Q276" i="29"/>
  <c r="M275" i="29"/>
  <c r="CA276" i="29"/>
  <c r="BU276" i="29" s="1"/>
  <c r="W275" i="29"/>
  <c r="Y275" i="29" s="1"/>
  <c r="AA275" i="29"/>
  <c r="CB276" i="29"/>
  <c r="BV276" i="29" s="1"/>
  <c r="U277" i="29"/>
  <c r="AC277" i="29" s="1"/>
  <c r="AC276" i="29"/>
  <c r="AB276" i="29"/>
  <c r="L277" i="29"/>
  <c r="K278" i="29"/>
  <c r="J278" i="29"/>
  <c r="BQ280" i="29"/>
  <c r="BQ281" i="29" s="1"/>
  <c r="X275" i="29"/>
  <c r="BH277" i="29"/>
  <c r="BB277" i="29" s="1"/>
  <c r="AZ277" i="29"/>
  <c r="BZ261" i="29"/>
  <c r="BX262" i="29" s="1"/>
  <c r="BD279" i="29"/>
  <c r="BE278" i="29"/>
  <c r="BG278" i="29" s="1"/>
  <c r="BA278" i="29" s="1"/>
  <c r="BC278" i="29"/>
  <c r="BF278" i="29" s="1"/>
  <c r="BP278" i="29"/>
  <c r="BS261" i="29"/>
  <c r="BT261" i="29"/>
  <c r="M260" i="29" s="1"/>
  <c r="M276" i="29" l="1"/>
  <c r="W276" i="29"/>
  <c r="Y276" i="29" s="1"/>
  <c r="CB277" i="29"/>
  <c r="BV277" i="29" s="1"/>
  <c r="AA276" i="29"/>
  <c r="CA277" i="29"/>
  <c r="BU277" i="29" s="1"/>
  <c r="T279" i="29"/>
  <c r="V278" i="29"/>
  <c r="S279" i="29"/>
  <c r="AE278" i="29"/>
  <c r="AF278" i="29"/>
  <c r="K279" i="29"/>
  <c r="J279" i="29"/>
  <c r="L278" i="29"/>
  <c r="CC276" i="29"/>
  <c r="U278" i="29"/>
  <c r="AC278" i="29" s="1"/>
  <c r="R277" i="29"/>
  <c r="Q277" i="29"/>
  <c r="X277" i="29" s="1"/>
  <c r="AB277" i="29"/>
  <c r="X276" i="29"/>
  <c r="BY280" i="29"/>
  <c r="BR280" i="29"/>
  <c r="BN281" i="29"/>
  <c r="BO281" i="29"/>
  <c r="BQ282" i="29" s="1"/>
  <c r="BZ262" i="29"/>
  <c r="BX263" i="29" s="1"/>
  <c r="AZ278" i="29"/>
  <c r="BH278" i="29"/>
  <c r="BB278" i="29" s="1"/>
  <c r="H31" i="29"/>
  <c r="K24" i="40" s="1"/>
  <c r="X260" i="29"/>
  <c r="Y260" i="29" s="1"/>
  <c r="Z260" i="29" s="1"/>
  <c r="BP279" i="29"/>
  <c r="BE279" i="29"/>
  <c r="BG279" i="29" s="1"/>
  <c r="BA279" i="29" s="1"/>
  <c r="BC279" i="29"/>
  <c r="BF279" i="29" s="1"/>
  <c r="BD280" i="29"/>
  <c r="AC260" i="29" l="1"/>
  <c r="AB260" i="29"/>
  <c r="Z261" i="29"/>
  <c r="Z262" i="29" s="1"/>
  <c r="Z263" i="29" s="1"/>
  <c r="Z264" i="29" s="1"/>
  <c r="Z265" i="29" s="1"/>
  <c r="Z266" i="29" s="1"/>
  <c r="Z267" i="29" s="1"/>
  <c r="Z268" i="29" s="1"/>
  <c r="Z269" i="29" s="1"/>
  <c r="Z270" i="29" s="1"/>
  <c r="Z271" i="29" s="1"/>
  <c r="CB273" i="29"/>
  <c r="G31" i="29"/>
  <c r="L24" i="40" s="1"/>
  <c r="CC277" i="29"/>
  <c r="R278" i="29"/>
  <c r="Q278" i="29"/>
  <c r="T280" i="29"/>
  <c r="V279" i="29"/>
  <c r="S280" i="29"/>
  <c r="AE279" i="29"/>
  <c r="AF279" i="29"/>
  <c r="BR281" i="29"/>
  <c r="BO282" i="29"/>
  <c r="BN282" i="29"/>
  <c r="BY281" i="29"/>
  <c r="W277" i="29"/>
  <c r="Y277" i="29" s="1"/>
  <c r="CB278" i="29"/>
  <c r="BV278" i="29" s="1"/>
  <c r="M277" i="29"/>
  <c r="AA277" i="29"/>
  <c r="CA278" i="29"/>
  <c r="BU278" i="29" s="1"/>
  <c r="AB278" i="29"/>
  <c r="U279" i="29"/>
  <c r="L279" i="29"/>
  <c r="K280" i="29"/>
  <c r="J280" i="29"/>
  <c r="BZ263" i="29"/>
  <c r="BX264" i="29" s="1"/>
  <c r="BP280" i="29"/>
  <c r="BD281" i="29"/>
  <c r="BE280" i="29"/>
  <c r="BG280" i="29" s="1"/>
  <c r="BA280" i="29" s="1"/>
  <c r="BC280" i="29"/>
  <c r="BF280" i="29" s="1"/>
  <c r="AZ279" i="29"/>
  <c r="BH279" i="29"/>
  <c r="BB279" i="29" s="1"/>
  <c r="G38" i="15"/>
  <c r="I40" i="39"/>
  <c r="H24" i="44" s="1"/>
  <c r="D24" i="45" s="1"/>
  <c r="K24" i="45" s="1"/>
  <c r="L24" i="45" s="1"/>
  <c r="J25" i="45" s="1"/>
  <c r="D171" i="15"/>
  <c r="BA93" i="44" l="1"/>
  <c r="AF93" i="44"/>
  <c r="BL93" i="44"/>
  <c r="AQ93" i="44"/>
  <c r="BE93" i="44"/>
  <c r="AJ93" i="44"/>
  <c r="BP93" i="44"/>
  <c r="AU93" i="44"/>
  <c r="BN93" i="44"/>
  <c r="AX93" i="44"/>
  <c r="AH93" i="44"/>
  <c r="AY93" i="44"/>
  <c r="BM93" i="44"/>
  <c r="AR93" i="44"/>
  <c r="BJ93" i="44"/>
  <c r="AT93" i="44"/>
  <c r="BO93" i="44"/>
  <c r="AS93" i="44"/>
  <c r="BH93" i="44"/>
  <c r="AM93" i="44"/>
  <c r="AP93" i="44"/>
  <c r="AN93" i="44"/>
  <c r="AG93" i="44"/>
  <c r="AK93" i="44"/>
  <c r="BK93" i="44"/>
  <c r="BF93" i="44"/>
  <c r="BI93" i="44"/>
  <c r="BC93" i="44"/>
  <c r="BG93" i="44"/>
  <c r="AO93" i="44"/>
  <c r="BR93" i="44"/>
  <c r="AI93" i="44"/>
  <c r="AZ93" i="44"/>
  <c r="BB93" i="44"/>
  <c r="AW93" i="44"/>
  <c r="AV93" i="44"/>
  <c r="AL93" i="44"/>
  <c r="BQ93" i="44"/>
  <c r="BD93" i="44"/>
  <c r="CC273" i="29"/>
  <c r="BV273" i="29"/>
  <c r="F171" i="15"/>
  <c r="L40" i="39"/>
  <c r="CC278" i="29"/>
  <c r="R279" i="29"/>
  <c r="Q279" i="29"/>
  <c r="BY282" i="29"/>
  <c r="BO283" i="29"/>
  <c r="BN283" i="29"/>
  <c r="BR282" i="29"/>
  <c r="U280" i="29"/>
  <c r="AC280" i="29" s="1"/>
  <c r="W278" i="29"/>
  <c r="Y278" i="29" s="1"/>
  <c r="CB279" i="29"/>
  <c r="BV279" i="29" s="1"/>
  <c r="CA279" i="29"/>
  <c r="BU279" i="29" s="1"/>
  <c r="M278" i="29"/>
  <c r="AA278" i="29"/>
  <c r="K281" i="29"/>
  <c r="L280" i="29"/>
  <c r="J281" i="29"/>
  <c r="AC279" i="29"/>
  <c r="AB279" i="29"/>
  <c r="V280" i="29"/>
  <c r="S281" i="29"/>
  <c r="T281" i="29"/>
  <c r="AF280" i="29"/>
  <c r="AE280" i="29"/>
  <c r="BQ283" i="29"/>
  <c r="BQ284" i="29" s="1"/>
  <c r="X278" i="29"/>
  <c r="BZ264" i="29"/>
  <c r="BX265" i="29" s="1"/>
  <c r="AZ280" i="29"/>
  <c r="BH280" i="29"/>
  <c r="BB280" i="29" s="1"/>
  <c r="BE281" i="29"/>
  <c r="BG281" i="29" s="1"/>
  <c r="BA281" i="29" s="1"/>
  <c r="BP281" i="29"/>
  <c r="BD282" i="29"/>
  <c r="BC281" i="29"/>
  <c r="BF281" i="29" s="1"/>
  <c r="CC279" i="29" l="1"/>
  <c r="U281" i="29"/>
  <c r="X279" i="29"/>
  <c r="CB280" i="29"/>
  <c r="BV280" i="29" s="1"/>
  <c r="CA280" i="29"/>
  <c r="BU280" i="29" s="1"/>
  <c r="AA279" i="29"/>
  <c r="W279" i="29"/>
  <c r="Y279" i="29" s="1"/>
  <c r="M279" i="29"/>
  <c r="R280" i="29"/>
  <c r="Q280" i="29"/>
  <c r="X280" i="29" s="1"/>
  <c r="T282" i="29"/>
  <c r="S282" i="29"/>
  <c r="V281" i="29"/>
  <c r="AF281" i="29"/>
  <c r="AE281" i="29"/>
  <c r="BQ285" i="29"/>
  <c r="K282" i="29"/>
  <c r="J282" i="29"/>
  <c r="L281" i="29"/>
  <c r="AB280" i="29"/>
  <c r="BY283" i="29"/>
  <c r="BN284" i="29"/>
  <c r="BO284" i="29"/>
  <c r="BR283" i="29"/>
  <c r="BZ265" i="29"/>
  <c r="BX266" i="29" s="1"/>
  <c r="BE282" i="29"/>
  <c r="BG282" i="29" s="1"/>
  <c r="BA282" i="29" s="1"/>
  <c r="BD283" i="29"/>
  <c r="BC282" i="29"/>
  <c r="BF282" i="29" s="1"/>
  <c r="BP282" i="29"/>
  <c r="AZ281" i="29"/>
  <c r="BH281" i="29"/>
  <c r="BB281" i="29" s="1"/>
  <c r="BN285" i="29" l="1"/>
  <c r="BY284" i="29"/>
  <c r="BR284" i="29"/>
  <c r="BO285" i="29"/>
  <c r="S283" i="29"/>
  <c r="T283" i="29"/>
  <c r="V282" i="29"/>
  <c r="AF282" i="29"/>
  <c r="AE282" i="29"/>
  <c r="Q281" i="29"/>
  <c r="R281" i="29"/>
  <c r="CC280" i="29"/>
  <c r="AB281" i="29"/>
  <c r="L282" i="29"/>
  <c r="K283" i="29"/>
  <c r="J283" i="29"/>
  <c r="AC281" i="29"/>
  <c r="BQ286" i="29"/>
  <c r="U282" i="29"/>
  <c r="AB282" i="29" s="1"/>
  <c r="CB281" i="29"/>
  <c r="BV281" i="29" s="1"/>
  <c r="CA281" i="29"/>
  <c r="BU281" i="29" s="1"/>
  <c r="AA280" i="29"/>
  <c r="M280" i="29"/>
  <c r="W280" i="29"/>
  <c r="Y280" i="29" s="1"/>
  <c r="BC283" i="29"/>
  <c r="BF283" i="29" s="1"/>
  <c r="BD284" i="29"/>
  <c r="BE283" i="29"/>
  <c r="BG283" i="29" s="1"/>
  <c r="BA283" i="29" s="1"/>
  <c r="BP283" i="29"/>
  <c r="BZ266" i="29"/>
  <c r="BX267" i="29" s="1"/>
  <c r="BH282" i="29"/>
  <c r="BB282" i="29" s="1"/>
  <c r="AZ282" i="29"/>
  <c r="CC281" i="29" l="1"/>
  <c r="M281" i="29"/>
  <c r="CA282" i="29"/>
  <c r="BU282" i="29" s="1"/>
  <c r="AA281" i="29"/>
  <c r="W281" i="29"/>
  <c r="Y281" i="29" s="1"/>
  <c r="CB282" i="29"/>
  <c r="BV282" i="29" s="1"/>
  <c r="V283" i="29"/>
  <c r="T284" i="29"/>
  <c r="S284" i="29"/>
  <c r="AE283" i="29"/>
  <c r="AF283" i="29"/>
  <c r="Q282" i="29"/>
  <c r="X282" i="29" s="1"/>
  <c r="R282" i="29"/>
  <c r="AC282" i="29"/>
  <c r="K284" i="29"/>
  <c r="L283" i="29"/>
  <c r="J284" i="29"/>
  <c r="U283" i="29"/>
  <c r="AC283" i="29" s="1"/>
  <c r="BQ287" i="29"/>
  <c r="X281" i="29"/>
  <c r="BN286" i="29"/>
  <c r="BO286" i="29"/>
  <c r="BR285" i="29"/>
  <c r="BZ267" i="29"/>
  <c r="BX268" i="29" s="1"/>
  <c r="BP284" i="29"/>
  <c r="BE284" i="29"/>
  <c r="BG284" i="29" s="1"/>
  <c r="BA284" i="29" s="1"/>
  <c r="BD285" i="29"/>
  <c r="BC284" i="29"/>
  <c r="BF284" i="29" s="1"/>
  <c r="AZ283" i="29"/>
  <c r="BH283" i="29"/>
  <c r="BB283" i="29" s="1"/>
  <c r="CC282" i="29" l="1"/>
  <c r="BR286" i="29"/>
  <c r="BY286" i="29"/>
  <c r="BO287" i="29"/>
  <c r="BN287" i="29"/>
  <c r="Q283" i="29"/>
  <c r="R283" i="29"/>
  <c r="U284" i="29"/>
  <c r="AB283" i="29"/>
  <c r="J285" i="29"/>
  <c r="K285" i="29"/>
  <c r="L284" i="29"/>
  <c r="CB283" i="29"/>
  <c r="BV283" i="29" s="1"/>
  <c r="CA283" i="29"/>
  <c r="BU283" i="29" s="1"/>
  <c r="M282" i="29"/>
  <c r="AA282" i="29"/>
  <c r="W282" i="29"/>
  <c r="Y282" i="29" s="1"/>
  <c r="S285" i="29"/>
  <c r="V284" i="29"/>
  <c r="T285" i="29"/>
  <c r="AE284" i="29"/>
  <c r="AF284" i="29"/>
  <c r="BZ268" i="29"/>
  <c r="BX269" i="29" s="1"/>
  <c r="BH284" i="29"/>
  <c r="BB284" i="29" s="1"/>
  <c r="AZ284" i="29"/>
  <c r="BC285" i="29"/>
  <c r="BF285" i="29" s="1"/>
  <c r="BI285" i="29"/>
  <c r="BD286" i="29"/>
  <c r="BE285" i="29"/>
  <c r="BG285" i="29" s="1"/>
  <c r="BA285" i="29" s="1"/>
  <c r="BP285" i="29"/>
  <c r="CC283" i="29" l="1"/>
  <c r="M283" i="29"/>
  <c r="CA284" i="29"/>
  <c r="BU284" i="29" s="1"/>
  <c r="CB284" i="29"/>
  <c r="BV284" i="29" s="1"/>
  <c r="W283" i="29"/>
  <c r="Y283" i="29" s="1"/>
  <c r="AA283" i="29"/>
  <c r="S286" i="29"/>
  <c r="T286" i="29"/>
  <c r="V285" i="29"/>
  <c r="AE285" i="29"/>
  <c r="AF285" i="29"/>
  <c r="R284" i="29"/>
  <c r="Q284" i="29"/>
  <c r="U285" i="29"/>
  <c r="AB285" i="29" s="1"/>
  <c r="L285" i="29"/>
  <c r="K286" i="29"/>
  <c r="J286" i="29"/>
  <c r="BY287" i="29"/>
  <c r="BR287" i="29"/>
  <c r="BO288" i="29"/>
  <c r="BN288" i="29"/>
  <c r="BQ288" i="29"/>
  <c r="X283" i="29"/>
  <c r="BZ269" i="29"/>
  <c r="BX270" i="29" s="1"/>
  <c r="AZ285" i="29"/>
  <c r="BH285" i="29"/>
  <c r="BB285" i="29" s="1"/>
  <c r="BP286" i="29"/>
  <c r="BC286" i="29"/>
  <c r="BF286" i="29" s="1"/>
  <c r="BE286" i="29"/>
  <c r="BG286" i="29" s="1"/>
  <c r="BA286" i="29" s="1"/>
  <c r="BD287" i="29"/>
  <c r="AC285" i="29" l="1"/>
  <c r="BY288" i="29"/>
  <c r="BO289" i="29"/>
  <c r="BR288" i="29"/>
  <c r="BN289" i="29"/>
  <c r="K287" i="29"/>
  <c r="J287" i="29"/>
  <c r="L286" i="29"/>
  <c r="CC284" i="29"/>
  <c r="CA285" i="29"/>
  <c r="BU285" i="29" s="1"/>
  <c r="AA284" i="29"/>
  <c r="W284" i="29"/>
  <c r="U286" i="29"/>
  <c r="AB286" i="29" s="1"/>
  <c r="BQ289" i="29"/>
  <c r="BQ290" i="29" s="1"/>
  <c r="R285" i="29"/>
  <c r="Q285" i="29"/>
  <c r="T287" i="29"/>
  <c r="V286" i="29"/>
  <c r="S287" i="29"/>
  <c r="AE286" i="29"/>
  <c r="AF286" i="29"/>
  <c r="BZ270" i="29"/>
  <c r="BX271" i="29" s="1"/>
  <c r="BC287" i="29"/>
  <c r="BF287" i="29" s="1"/>
  <c r="BP287" i="29"/>
  <c r="BD288" i="29"/>
  <c r="BE287" i="29"/>
  <c r="BG287" i="29" s="1"/>
  <c r="BA287" i="29" s="1"/>
  <c r="AZ286" i="29"/>
  <c r="BH286" i="29"/>
  <c r="BB286" i="29" s="1"/>
  <c r="AC286" i="29" l="1"/>
  <c r="V287" i="29"/>
  <c r="T288" i="29"/>
  <c r="S288" i="29"/>
  <c r="AE287" i="29"/>
  <c r="AF287" i="29"/>
  <c r="BN290" i="29"/>
  <c r="BY289" i="29"/>
  <c r="BR289" i="29"/>
  <c r="BO290" i="29"/>
  <c r="U287" i="29"/>
  <c r="AB287" i="29" s="1"/>
  <c r="CA286" i="29"/>
  <c r="BU286" i="29" s="1"/>
  <c r="AA285" i="29"/>
  <c r="W285" i="29"/>
  <c r="Y285" i="29" s="1"/>
  <c r="CB286" i="29"/>
  <c r="BV286" i="29" s="1"/>
  <c r="M285" i="29"/>
  <c r="X285" i="29"/>
  <c r="R286" i="29"/>
  <c r="Q286" i="29"/>
  <c r="X286" i="29" s="1"/>
  <c r="L287" i="29"/>
  <c r="J288" i="29"/>
  <c r="K288" i="29"/>
  <c r="BZ271" i="29"/>
  <c r="BX272" i="29" s="1"/>
  <c r="AZ287" i="29"/>
  <c r="BH287" i="29"/>
  <c r="BB287" i="29" s="1"/>
  <c r="BP288" i="29"/>
  <c r="BC288" i="29"/>
  <c r="BF288" i="29" s="1"/>
  <c r="BD289" i="29"/>
  <c r="BE288" i="29"/>
  <c r="BG288" i="29" s="1"/>
  <c r="BA288" i="29" s="1"/>
  <c r="BN291" i="29" l="1"/>
  <c r="BR290" i="29"/>
  <c r="BY290" i="29"/>
  <c r="BO291" i="29"/>
  <c r="L288" i="29"/>
  <c r="K289" i="29"/>
  <c r="J289" i="29"/>
  <c r="BQ291" i="29"/>
  <c r="BQ292" i="29" s="1"/>
  <c r="U288" i="29"/>
  <c r="R287" i="29"/>
  <c r="Q287" i="29"/>
  <c r="CA287" i="29"/>
  <c r="BU287" i="29" s="1"/>
  <c r="AA286" i="29"/>
  <c r="W286" i="29"/>
  <c r="Y286" i="29" s="1"/>
  <c r="M286" i="29"/>
  <c r="CB287" i="29"/>
  <c r="BV287" i="29" s="1"/>
  <c r="CC286" i="29"/>
  <c r="AC287" i="29"/>
  <c r="V288" i="29"/>
  <c r="T289" i="29"/>
  <c r="S289" i="29"/>
  <c r="AF288" i="29"/>
  <c r="AE288" i="29"/>
  <c r="BE289" i="29"/>
  <c r="BG289" i="29" s="1"/>
  <c r="BA289" i="29" s="1"/>
  <c r="BP289" i="29"/>
  <c r="BD290" i="29"/>
  <c r="BC289" i="29"/>
  <c r="BF289" i="29" s="1"/>
  <c r="BZ272" i="29"/>
  <c r="BY273" i="29" s="1"/>
  <c r="BW273" i="29" s="1"/>
  <c r="AZ288" i="29"/>
  <c r="BH288" i="29"/>
  <c r="BB288" i="29" s="1"/>
  <c r="CC287" i="29" l="1"/>
  <c r="U289" i="29"/>
  <c r="AC289" i="29" s="1"/>
  <c r="R288" i="29"/>
  <c r="Q288" i="29"/>
  <c r="X288" i="29" s="1"/>
  <c r="V289" i="29"/>
  <c r="S290" i="29"/>
  <c r="T290" i="29"/>
  <c r="AF289" i="29"/>
  <c r="AE289" i="29"/>
  <c r="AB288" i="29"/>
  <c r="K290" i="29"/>
  <c r="J290" i="29"/>
  <c r="L289" i="29"/>
  <c r="AC288" i="29"/>
  <c r="X287" i="29"/>
  <c r="CB288" i="29"/>
  <c r="BV288" i="29" s="1"/>
  <c r="AA287" i="29"/>
  <c r="CA288" i="29"/>
  <c r="BU288" i="29" s="1"/>
  <c r="W287" i="29"/>
  <c r="Y287" i="29" s="1"/>
  <c r="M287" i="29"/>
  <c r="BR291" i="29"/>
  <c r="BN292" i="29"/>
  <c r="BY291" i="29"/>
  <c r="BO292" i="29"/>
  <c r="BS273" i="29"/>
  <c r="BT273" i="29"/>
  <c r="M272" i="29" s="1"/>
  <c r="BP290" i="29"/>
  <c r="BD291" i="29"/>
  <c r="BE290" i="29"/>
  <c r="BG290" i="29" s="1"/>
  <c r="BA290" i="29" s="1"/>
  <c r="BC290" i="29"/>
  <c r="BF290" i="29" s="1"/>
  <c r="AZ289" i="29"/>
  <c r="BH289" i="29"/>
  <c r="BB289" i="29" s="1"/>
  <c r="BX273" i="29"/>
  <c r="CC288" i="29" l="1"/>
  <c r="R289" i="29"/>
  <c r="Q289" i="29"/>
  <c r="X289" i="29" s="1"/>
  <c r="BR292" i="29"/>
  <c r="BN293" i="29"/>
  <c r="BO293" i="29"/>
  <c r="BY292" i="29"/>
  <c r="BQ293" i="29"/>
  <c r="BQ294" i="29" s="1"/>
  <c r="K291" i="29"/>
  <c r="J291" i="29"/>
  <c r="L290" i="29"/>
  <c r="T291" i="29"/>
  <c r="S291" i="29"/>
  <c r="V290" i="29"/>
  <c r="AE290" i="29"/>
  <c r="AF290" i="29"/>
  <c r="AB289" i="29"/>
  <c r="W288" i="29"/>
  <c r="Y288" i="29" s="1"/>
  <c r="M288" i="29"/>
  <c r="CB289" i="29"/>
  <c r="BV289" i="29" s="1"/>
  <c r="CA289" i="29"/>
  <c r="BU289" i="29" s="1"/>
  <c r="AA288" i="29"/>
  <c r="U290" i="29"/>
  <c r="AB290" i="29" s="1"/>
  <c r="BZ273" i="29"/>
  <c r="BX274" i="29" s="1"/>
  <c r="BE291" i="29"/>
  <c r="BG291" i="29" s="1"/>
  <c r="BA291" i="29" s="1"/>
  <c r="BD292" i="29"/>
  <c r="BC291" i="29"/>
  <c r="BF291" i="29" s="1"/>
  <c r="BP291" i="29"/>
  <c r="AZ290" i="29"/>
  <c r="BH290" i="29"/>
  <c r="BB290" i="29" s="1"/>
  <c r="H32" i="29"/>
  <c r="K25" i="40" s="1"/>
  <c r="X272" i="29"/>
  <c r="Y272" i="29" s="1"/>
  <c r="Z272" i="29" s="1"/>
  <c r="AB272" i="29" l="1"/>
  <c r="AC272" i="29"/>
  <c r="Z273" i="29"/>
  <c r="Z274" i="29" s="1"/>
  <c r="Z275" i="29" s="1"/>
  <c r="Z276" i="29" s="1"/>
  <c r="Z277" i="29" s="1"/>
  <c r="Z278" i="29" s="1"/>
  <c r="Z279" i="29" s="1"/>
  <c r="Z280" i="29" s="1"/>
  <c r="Z281" i="29" s="1"/>
  <c r="Z282" i="29" s="1"/>
  <c r="Z283" i="29" s="1"/>
  <c r="CB285" i="29"/>
  <c r="G32" i="29"/>
  <c r="L25" i="40" s="1"/>
  <c r="AC290" i="29"/>
  <c r="R290" i="29"/>
  <c r="Q290" i="29"/>
  <c r="BY293" i="29"/>
  <c r="BO294" i="29"/>
  <c r="BN294" i="29"/>
  <c r="BR293" i="29"/>
  <c r="V291" i="29"/>
  <c r="S292" i="29"/>
  <c r="T292" i="29"/>
  <c r="AF291" i="29"/>
  <c r="AE291" i="29"/>
  <c r="BQ295" i="29"/>
  <c r="U291" i="29"/>
  <c r="AC291" i="29" s="1"/>
  <c r="K292" i="29"/>
  <c r="J292" i="29"/>
  <c r="L291" i="29"/>
  <c r="CC289" i="29"/>
  <c r="M289" i="29"/>
  <c r="CB290" i="29"/>
  <c r="BV290" i="29" s="1"/>
  <c r="CA290" i="29"/>
  <c r="BU290" i="29" s="1"/>
  <c r="AA289" i="29"/>
  <c r="W289" i="29"/>
  <c r="Y289" i="29" s="1"/>
  <c r="BP292" i="29"/>
  <c r="BC292" i="29"/>
  <c r="BF292" i="29" s="1"/>
  <c r="BE292" i="29"/>
  <c r="BG292" i="29" s="1"/>
  <c r="BA292" i="29" s="1"/>
  <c r="BD293" i="29"/>
  <c r="G39" i="15"/>
  <c r="I41" i="39"/>
  <c r="H25" i="44" s="1"/>
  <c r="D25" i="45" s="1"/>
  <c r="K25" i="45" s="1"/>
  <c r="L25" i="45" s="1"/>
  <c r="J26" i="45" s="1"/>
  <c r="D172" i="15"/>
  <c r="BZ274" i="29"/>
  <c r="BX275" i="29" s="1"/>
  <c r="BH291" i="29"/>
  <c r="BB291" i="29" s="1"/>
  <c r="AZ291" i="29"/>
  <c r="BQ94" i="44" l="1"/>
  <c r="BF94" i="44"/>
  <c r="BD94" i="44"/>
  <c r="AN94" i="44"/>
  <c r="BC94" i="44"/>
  <c r="AH94" i="44"/>
  <c r="BB94" i="44"/>
  <c r="AG94" i="44"/>
  <c r="BP94" i="44"/>
  <c r="AZ94" i="44"/>
  <c r="AJ94" i="44"/>
  <c r="AX94" i="44"/>
  <c r="BR94" i="44"/>
  <c r="AW94" i="44"/>
  <c r="AO94" i="44"/>
  <c r="AK94" i="44"/>
  <c r="BL94" i="44"/>
  <c r="BN94" i="44"/>
  <c r="BM94" i="44"/>
  <c r="AP94" i="44"/>
  <c r="BO94" i="44"/>
  <c r="BH94" i="44"/>
  <c r="BI94" i="44"/>
  <c r="BG94" i="44"/>
  <c r="AU94" i="44"/>
  <c r="AV94" i="44"/>
  <c r="AS94" i="44"/>
  <c r="AQ94" i="44"/>
  <c r="AY94" i="44"/>
  <c r="BK94" i="44"/>
  <c r="AT94" i="44"/>
  <c r="AR94" i="44"/>
  <c r="AM94" i="44"/>
  <c r="AL94" i="44"/>
  <c r="BA94" i="44"/>
  <c r="BJ94" i="44"/>
  <c r="AI94" i="44"/>
  <c r="BE94" i="44"/>
  <c r="BV285" i="29"/>
  <c r="CC285" i="29"/>
  <c r="L41" i="39"/>
  <c r="F172" i="15"/>
  <c r="CC290" i="29"/>
  <c r="CB291" i="29"/>
  <c r="BV291" i="29" s="1"/>
  <c r="W290" i="29"/>
  <c r="Y290" i="29" s="1"/>
  <c r="M290" i="29"/>
  <c r="AA290" i="29"/>
  <c r="CA291" i="29"/>
  <c r="BU291" i="29" s="1"/>
  <c r="J293" i="29"/>
  <c r="L292" i="29"/>
  <c r="K293" i="29"/>
  <c r="U292" i="29"/>
  <c r="AB292" i="29" s="1"/>
  <c r="BO295" i="29"/>
  <c r="BY294" i="29"/>
  <c r="BN295" i="29"/>
  <c r="BR294" i="29"/>
  <c r="T293" i="29"/>
  <c r="V292" i="29"/>
  <c r="S293" i="29"/>
  <c r="AE292" i="29"/>
  <c r="AF292" i="29"/>
  <c r="R291" i="29"/>
  <c r="Q291" i="29"/>
  <c r="X291" i="29" s="1"/>
  <c r="AB291" i="29"/>
  <c r="X290" i="29"/>
  <c r="BZ275" i="29"/>
  <c r="BX276" i="29" s="1"/>
  <c r="AZ292" i="29"/>
  <c r="BH292" i="29"/>
  <c r="BB292" i="29" s="1"/>
  <c r="BP293" i="29"/>
  <c r="BE293" i="29"/>
  <c r="BG293" i="29" s="1"/>
  <c r="BA293" i="29" s="1"/>
  <c r="BD294" i="29"/>
  <c r="BC293" i="29"/>
  <c r="BF293" i="29" s="1"/>
  <c r="V293" i="29" l="1"/>
  <c r="T294" i="29"/>
  <c r="S294" i="29"/>
  <c r="AE293" i="29"/>
  <c r="AF293" i="29"/>
  <c r="BN296" i="29"/>
  <c r="BO296" i="29"/>
  <c r="BY295" i="29"/>
  <c r="BR295" i="29"/>
  <c r="BQ296" i="29"/>
  <c r="CC291" i="29"/>
  <c r="J294" i="29"/>
  <c r="L293" i="29"/>
  <c r="K294" i="29"/>
  <c r="AA291" i="29"/>
  <c r="CB292" i="29"/>
  <c r="BV292" i="29" s="1"/>
  <c r="CA292" i="29"/>
  <c r="BU292" i="29" s="1"/>
  <c r="M291" i="29"/>
  <c r="W291" i="29"/>
  <c r="Y291" i="29" s="1"/>
  <c r="U293" i="29"/>
  <c r="AB293" i="29" s="1"/>
  <c r="R292" i="29"/>
  <c r="Q292" i="29"/>
  <c r="X292" i="29" s="1"/>
  <c r="AC292" i="29"/>
  <c r="BD295" i="29"/>
  <c r="BP294" i="29"/>
  <c r="BC294" i="29"/>
  <c r="BF294" i="29" s="1"/>
  <c r="BE294" i="29"/>
  <c r="BG294" i="29" s="1"/>
  <c r="BA294" i="29" s="1"/>
  <c r="BH293" i="29"/>
  <c r="BB293" i="29" s="1"/>
  <c r="AZ293" i="29"/>
  <c r="BZ276" i="29"/>
  <c r="BX277" i="29" s="1"/>
  <c r="CC292" i="29" l="1"/>
  <c r="BO297" i="29"/>
  <c r="BR296" i="29"/>
  <c r="BY296" i="29"/>
  <c r="BN297" i="29"/>
  <c r="U294" i="29"/>
  <c r="AA292" i="29"/>
  <c r="W292" i="29"/>
  <c r="Y292" i="29" s="1"/>
  <c r="CA293" i="29"/>
  <c r="BU293" i="29" s="1"/>
  <c r="M292" i="29"/>
  <c r="CB293" i="29"/>
  <c r="BV293" i="29" s="1"/>
  <c r="J295" i="29"/>
  <c r="L294" i="29"/>
  <c r="K295" i="29"/>
  <c r="BQ297" i="29"/>
  <c r="BQ298" i="29" s="1"/>
  <c r="T295" i="29"/>
  <c r="S295" i="29"/>
  <c r="V294" i="29"/>
  <c r="AF294" i="29"/>
  <c r="AE294" i="29"/>
  <c r="R293" i="29"/>
  <c r="Q293" i="29"/>
  <c r="X293" i="29" s="1"/>
  <c r="AC293" i="29"/>
  <c r="BH294" i="29"/>
  <c r="BB294" i="29" s="1"/>
  <c r="AZ294" i="29"/>
  <c r="BZ277" i="29"/>
  <c r="BX278" i="29" s="1"/>
  <c r="BD296" i="29"/>
  <c r="BE295" i="29"/>
  <c r="BG295" i="29" s="1"/>
  <c r="BA295" i="29" s="1"/>
  <c r="BP295" i="29"/>
  <c r="BC295" i="29"/>
  <c r="BF295" i="29" s="1"/>
  <c r="CC293" i="29" l="1"/>
  <c r="T296" i="29"/>
  <c r="V295" i="29"/>
  <c r="S296" i="29"/>
  <c r="AE295" i="29"/>
  <c r="AF295" i="29"/>
  <c r="Q294" i="29"/>
  <c r="X294" i="29" s="1"/>
  <c r="R294" i="29"/>
  <c r="M293" i="29"/>
  <c r="AA293" i="29"/>
  <c r="CA294" i="29"/>
  <c r="BU294" i="29" s="1"/>
  <c r="W293" i="29"/>
  <c r="Y293" i="29" s="1"/>
  <c r="CB294" i="29"/>
  <c r="BV294" i="29" s="1"/>
  <c r="AB294" i="29"/>
  <c r="AC294" i="29"/>
  <c r="BR297" i="29"/>
  <c r="BO298" i="29"/>
  <c r="BN298" i="29"/>
  <c r="U295" i="29"/>
  <c r="K296" i="29"/>
  <c r="L295" i="29"/>
  <c r="J296" i="29"/>
  <c r="BZ278" i="29"/>
  <c r="BX279" i="29" s="1"/>
  <c r="BH295" i="29"/>
  <c r="BB295" i="29" s="1"/>
  <c r="AZ295" i="29"/>
  <c r="BE296" i="29"/>
  <c r="BG296" i="29" s="1"/>
  <c r="BA296" i="29" s="1"/>
  <c r="BP296" i="29"/>
  <c r="BC296" i="29"/>
  <c r="BF296" i="29" s="1"/>
  <c r="BD297" i="29"/>
  <c r="Q295" i="29" l="1"/>
  <c r="X295" i="29" s="1"/>
  <c r="R295" i="29"/>
  <c r="BN299" i="29"/>
  <c r="BR298" i="29"/>
  <c r="BO299" i="29"/>
  <c r="BY298" i="29"/>
  <c r="U296" i="29"/>
  <c r="AC295" i="29"/>
  <c r="CC294" i="29"/>
  <c r="M294" i="29"/>
  <c r="CB295" i="29"/>
  <c r="BV295" i="29" s="1"/>
  <c r="CA295" i="29"/>
  <c r="BU295" i="29" s="1"/>
  <c r="AA294" i="29"/>
  <c r="W294" i="29"/>
  <c r="Y294" i="29" s="1"/>
  <c r="AB295" i="29"/>
  <c r="T297" i="29"/>
  <c r="S297" i="29"/>
  <c r="V296" i="29"/>
  <c r="AF296" i="29"/>
  <c r="AE296" i="29"/>
  <c r="L296" i="29"/>
  <c r="K297" i="29"/>
  <c r="J297" i="29"/>
  <c r="BQ299" i="29"/>
  <c r="BQ300" i="29" s="1"/>
  <c r="BZ279" i="29"/>
  <c r="BX280" i="29" s="1"/>
  <c r="BE297" i="29"/>
  <c r="BG297" i="29" s="1"/>
  <c r="BA297" i="29" s="1"/>
  <c r="BP297" i="29"/>
  <c r="BI297" i="29"/>
  <c r="BC297" i="29"/>
  <c r="BF297" i="29" s="1"/>
  <c r="BD298" i="29"/>
  <c r="AZ296" i="29"/>
  <c r="BH296" i="29"/>
  <c r="BB296" i="29" s="1"/>
  <c r="U297" i="29" l="1"/>
  <c r="AB297" i="29" s="1"/>
  <c r="L297" i="29"/>
  <c r="K298" i="29"/>
  <c r="J298" i="29"/>
  <c r="CC295" i="29"/>
  <c r="BY299" i="29"/>
  <c r="BR299" i="29"/>
  <c r="BO300" i="29"/>
  <c r="BQ301" i="29" s="1"/>
  <c r="BN300" i="29"/>
  <c r="M295" i="29"/>
  <c r="CA296" i="29"/>
  <c r="BU296" i="29" s="1"/>
  <c r="CB296" i="29"/>
  <c r="BV296" i="29" s="1"/>
  <c r="AA295" i="29"/>
  <c r="W295" i="29"/>
  <c r="Y295" i="29" s="1"/>
  <c r="S298" i="29"/>
  <c r="V297" i="29"/>
  <c r="T298" i="29"/>
  <c r="AF297" i="29"/>
  <c r="AE297" i="29"/>
  <c r="Q296" i="29"/>
  <c r="R296" i="29"/>
  <c r="BD299" i="29"/>
  <c r="BE298" i="29"/>
  <c r="BG298" i="29" s="1"/>
  <c r="BA298" i="29" s="1"/>
  <c r="BP298" i="29"/>
  <c r="BC298" i="29"/>
  <c r="BF298" i="29" s="1"/>
  <c r="BZ280" i="29"/>
  <c r="BX281" i="29" s="1"/>
  <c r="AZ297" i="29"/>
  <c r="BH297" i="29"/>
  <c r="BB297" i="29" s="1"/>
  <c r="AC297" i="29" l="1"/>
  <c r="CC296" i="29"/>
  <c r="K299" i="29"/>
  <c r="L298" i="29"/>
  <c r="J299" i="29"/>
  <c r="V298" i="29"/>
  <c r="S299" i="29"/>
  <c r="T299" i="29"/>
  <c r="AE298" i="29"/>
  <c r="AF298" i="29"/>
  <c r="AA296" i="29"/>
  <c r="CA297" i="29"/>
  <c r="BU297" i="29" s="1"/>
  <c r="W296" i="29"/>
  <c r="R297" i="29"/>
  <c r="Q297" i="29"/>
  <c r="X297" i="29" s="1"/>
  <c r="U298" i="29"/>
  <c r="AC298" i="29" s="1"/>
  <c r="BY300" i="29"/>
  <c r="BO301" i="29"/>
  <c r="BN301" i="29"/>
  <c r="BR300" i="29"/>
  <c r="BZ281" i="29"/>
  <c r="BX282" i="29" s="1"/>
  <c r="BH298" i="29"/>
  <c r="BB298" i="29" s="1"/>
  <c r="AZ298" i="29"/>
  <c r="BE299" i="29"/>
  <c r="BG299" i="29" s="1"/>
  <c r="BA299" i="29" s="1"/>
  <c r="BP299" i="29"/>
  <c r="BD300" i="29"/>
  <c r="BC299" i="29"/>
  <c r="BF299" i="29" s="1"/>
  <c r="AB298" i="29" l="1"/>
  <c r="BO302" i="29"/>
  <c r="BR301" i="29"/>
  <c r="BY301" i="29"/>
  <c r="BN302" i="29"/>
  <c r="T300" i="29"/>
  <c r="S300" i="29"/>
  <c r="V299" i="29"/>
  <c r="AF299" i="29"/>
  <c r="AE299" i="29"/>
  <c r="U299" i="29"/>
  <c r="AB299" i="29" s="1"/>
  <c r="L299" i="29"/>
  <c r="K300" i="29"/>
  <c r="J300" i="29"/>
  <c r="AA297" i="29"/>
  <c r="CB298" i="29"/>
  <c r="BV298" i="29" s="1"/>
  <c r="W297" i="29"/>
  <c r="Y297" i="29" s="1"/>
  <c r="M297" i="29"/>
  <c r="CA298" i="29"/>
  <c r="BU298" i="29" s="1"/>
  <c r="Q298" i="29"/>
  <c r="X298" i="29" s="1"/>
  <c r="R298" i="29"/>
  <c r="BQ302" i="29"/>
  <c r="BZ282" i="29"/>
  <c r="BX283" i="29" s="1"/>
  <c r="BH299" i="29"/>
  <c r="BB299" i="29" s="1"/>
  <c r="AZ299" i="29"/>
  <c r="BD301" i="29"/>
  <c r="BP300" i="29"/>
  <c r="BC300" i="29"/>
  <c r="BF300" i="29" s="1"/>
  <c r="BE300" i="29"/>
  <c r="BG300" i="29" s="1"/>
  <c r="BA300" i="29" s="1"/>
  <c r="V300" i="29" l="1"/>
  <c r="S301" i="29"/>
  <c r="T301" i="29"/>
  <c r="AF300" i="29"/>
  <c r="AE300" i="29"/>
  <c r="BY302" i="29"/>
  <c r="BR302" i="29"/>
  <c r="BN303" i="29"/>
  <c r="BO303" i="29"/>
  <c r="BQ303" i="29"/>
  <c r="BQ304" i="29" s="1"/>
  <c r="CA299" i="29"/>
  <c r="BU299" i="29" s="1"/>
  <c r="AA298" i="29"/>
  <c r="CB299" i="29"/>
  <c r="BV299" i="29" s="1"/>
  <c r="M298" i="29"/>
  <c r="W298" i="29"/>
  <c r="Y298" i="29" s="1"/>
  <c r="R299" i="29"/>
  <c r="Q299" i="29"/>
  <c r="X299" i="29" s="1"/>
  <c r="CC298" i="29"/>
  <c r="K301" i="29"/>
  <c r="J301" i="29"/>
  <c r="L300" i="29"/>
  <c r="AC299" i="29"/>
  <c r="U300" i="29"/>
  <c r="AB300" i="29" s="1"/>
  <c r="AZ300" i="29"/>
  <c r="BH300" i="29"/>
  <c r="BB300" i="29" s="1"/>
  <c r="BZ283" i="29"/>
  <c r="BX284" i="29" s="1"/>
  <c r="BP301" i="29"/>
  <c r="BE301" i="29"/>
  <c r="BG301" i="29" s="1"/>
  <c r="BA301" i="29" s="1"/>
  <c r="BD302" i="29"/>
  <c r="BC301" i="29"/>
  <c r="BF301" i="29" s="1"/>
  <c r="L301" i="29" l="1"/>
  <c r="J302" i="29"/>
  <c r="K302" i="29"/>
  <c r="S302" i="29"/>
  <c r="V301" i="29"/>
  <c r="T302" i="29"/>
  <c r="AF301" i="29"/>
  <c r="AE301" i="29"/>
  <c r="CB300" i="29"/>
  <c r="BV300" i="29" s="1"/>
  <c r="M299" i="29"/>
  <c r="W299" i="29"/>
  <c r="Y299" i="29" s="1"/>
  <c r="AA299" i="29"/>
  <c r="CA300" i="29"/>
  <c r="BU300" i="29" s="1"/>
  <c r="Q300" i="29"/>
  <c r="R300" i="29"/>
  <c r="BR303" i="29"/>
  <c r="BO304" i="29"/>
  <c r="BQ305" i="29" s="1"/>
  <c r="BN304" i="29"/>
  <c r="BY303" i="29"/>
  <c r="U301" i="29"/>
  <c r="AC301" i="29" s="1"/>
  <c r="AC300" i="29"/>
  <c r="CC299" i="29"/>
  <c r="BZ284" i="29"/>
  <c r="BY285" i="29" s="1"/>
  <c r="AZ301" i="29"/>
  <c r="BH301" i="29"/>
  <c r="BB301" i="29" s="1"/>
  <c r="BD303" i="29"/>
  <c r="BC302" i="29"/>
  <c r="BF302" i="29" s="1"/>
  <c r="BP302" i="29"/>
  <c r="BE302" i="29"/>
  <c r="BG302" i="29" s="1"/>
  <c r="BA302" i="29" s="1"/>
  <c r="CC300" i="29" l="1"/>
  <c r="T303" i="29"/>
  <c r="S303" i="29"/>
  <c r="V302" i="29"/>
  <c r="AF302" i="29"/>
  <c r="AE302" i="29"/>
  <c r="CB301" i="29"/>
  <c r="BV301" i="29" s="1"/>
  <c r="M300" i="29"/>
  <c r="AA300" i="29"/>
  <c r="W300" i="29"/>
  <c r="Y300" i="29" s="1"/>
  <c r="CA301" i="29"/>
  <c r="BU301" i="29" s="1"/>
  <c r="X300" i="29"/>
  <c r="BO305" i="29"/>
  <c r="BR304" i="29"/>
  <c r="BY304" i="29"/>
  <c r="BN305" i="29"/>
  <c r="K303" i="29"/>
  <c r="L302" i="29"/>
  <c r="J303" i="29"/>
  <c r="R301" i="29"/>
  <c r="Q301" i="29"/>
  <c r="AB301" i="29"/>
  <c r="U302" i="29"/>
  <c r="AB302" i="29" s="1"/>
  <c r="BW285" i="29"/>
  <c r="BX285" i="29"/>
  <c r="BP303" i="29"/>
  <c r="BE303" i="29"/>
  <c r="BG303" i="29" s="1"/>
  <c r="BA303" i="29" s="1"/>
  <c r="BD304" i="29"/>
  <c r="BC303" i="29"/>
  <c r="BF303" i="29" s="1"/>
  <c r="AZ302" i="29"/>
  <c r="BH302" i="29"/>
  <c r="BB302" i="29" s="1"/>
  <c r="AC302" i="29" l="1"/>
  <c r="CB302" i="29"/>
  <c r="BV302" i="29" s="1"/>
  <c r="AA301" i="29"/>
  <c r="W301" i="29"/>
  <c r="Y301" i="29" s="1"/>
  <c r="M301" i="29"/>
  <c r="CA302" i="29"/>
  <c r="BU302" i="29" s="1"/>
  <c r="U303" i="29"/>
  <c r="AB303" i="29" s="1"/>
  <c r="J304" i="29"/>
  <c r="L303" i="29"/>
  <c r="K304" i="29"/>
  <c r="BO306" i="29"/>
  <c r="BN306" i="29"/>
  <c r="BR305" i="29"/>
  <c r="BY305" i="29"/>
  <c r="S304" i="29"/>
  <c r="T304" i="29"/>
  <c r="V303" i="29"/>
  <c r="AF303" i="29"/>
  <c r="AE303" i="29"/>
  <c r="X301" i="29"/>
  <c r="R302" i="29"/>
  <c r="Q302" i="29"/>
  <c r="X302" i="29" s="1"/>
  <c r="CC301" i="29"/>
  <c r="BQ306" i="29"/>
  <c r="BQ307" i="29" s="1"/>
  <c r="BH303" i="29"/>
  <c r="BB303" i="29" s="1"/>
  <c r="AZ303" i="29"/>
  <c r="BZ285" i="29"/>
  <c r="BX286" i="29" s="1"/>
  <c r="BD305" i="29"/>
  <c r="BP304" i="29"/>
  <c r="BC304" i="29"/>
  <c r="BF304" i="29" s="1"/>
  <c r="BE304" i="29"/>
  <c r="BG304" i="29" s="1"/>
  <c r="BA304" i="29" s="1"/>
  <c r="BT285" i="29"/>
  <c r="M284" i="29" s="1"/>
  <c r="BS285" i="29"/>
  <c r="V304" i="29" l="1"/>
  <c r="S305" i="29"/>
  <c r="T305" i="29"/>
  <c r="AF304" i="29"/>
  <c r="AE304" i="29"/>
  <c r="CC302" i="29"/>
  <c r="AA302" i="29"/>
  <c r="CA303" i="29"/>
  <c r="BU303" i="29" s="1"/>
  <c r="CB303" i="29"/>
  <c r="BV303" i="29" s="1"/>
  <c r="W302" i="29"/>
  <c r="Y302" i="29" s="1"/>
  <c r="M302" i="29"/>
  <c r="U304" i="29"/>
  <c r="AB304" i="29" s="1"/>
  <c r="BY306" i="29"/>
  <c r="BO307" i="29"/>
  <c r="BR306" i="29"/>
  <c r="BN307" i="29"/>
  <c r="Q303" i="29"/>
  <c r="X303" i="29" s="1"/>
  <c r="R303" i="29"/>
  <c r="BQ308" i="29"/>
  <c r="J305" i="29"/>
  <c r="K305" i="29"/>
  <c r="L304" i="29"/>
  <c r="AC303" i="29"/>
  <c r="BZ286" i="29"/>
  <c r="BX287" i="29" s="1"/>
  <c r="BH304" i="29"/>
  <c r="BB304" i="29" s="1"/>
  <c r="AZ304" i="29"/>
  <c r="H33" i="29"/>
  <c r="K26" i="40" s="1"/>
  <c r="X284" i="29"/>
  <c r="Y284" i="29" s="1"/>
  <c r="Z284" i="29" s="1"/>
  <c r="BP305" i="29"/>
  <c r="BE305" i="29"/>
  <c r="BG305" i="29" s="1"/>
  <c r="BA305" i="29" s="1"/>
  <c r="BD306" i="29"/>
  <c r="BC305" i="29"/>
  <c r="BF305" i="29" s="1"/>
  <c r="AB284" i="29" l="1"/>
  <c r="AC284" i="29"/>
  <c r="Z285" i="29"/>
  <c r="Z286" i="29" s="1"/>
  <c r="Z287" i="29" s="1"/>
  <c r="Z288" i="29" s="1"/>
  <c r="Z289" i="29" s="1"/>
  <c r="Z290" i="29" s="1"/>
  <c r="Z291" i="29" s="1"/>
  <c r="Z292" i="29" s="1"/>
  <c r="Z293" i="29" s="1"/>
  <c r="Z294" i="29" s="1"/>
  <c r="Z295" i="29" s="1"/>
  <c r="CB297" i="29"/>
  <c r="G33" i="29"/>
  <c r="L26" i="40" s="1"/>
  <c r="CC303" i="29"/>
  <c r="AC304" i="29"/>
  <c r="T306" i="29"/>
  <c r="S306" i="29"/>
  <c r="V305" i="29"/>
  <c r="AF305" i="29"/>
  <c r="AE305" i="29"/>
  <c r="J306" i="29"/>
  <c r="K306" i="29"/>
  <c r="L305" i="29"/>
  <c r="BR307" i="29"/>
  <c r="BN308" i="29"/>
  <c r="BO308" i="29"/>
  <c r="BY307" i="29"/>
  <c r="U305" i="29"/>
  <c r="M303" i="29"/>
  <c r="W303" i="29"/>
  <c r="Y303" i="29" s="1"/>
  <c r="CB304" i="29"/>
  <c r="BV304" i="29" s="1"/>
  <c r="AA303" i="29"/>
  <c r="CA304" i="29"/>
  <c r="BU304" i="29" s="1"/>
  <c r="Q304" i="29"/>
  <c r="X304" i="29" s="1"/>
  <c r="R304" i="29"/>
  <c r="BZ287" i="29"/>
  <c r="BX288" i="29" s="1"/>
  <c r="BD307" i="29"/>
  <c r="BP306" i="29"/>
  <c r="BE306" i="29"/>
  <c r="BG306" i="29" s="1"/>
  <c r="BA306" i="29" s="1"/>
  <c r="BC306" i="29"/>
  <c r="BF306" i="29" s="1"/>
  <c r="AZ305" i="29"/>
  <c r="BH305" i="29"/>
  <c r="BB305" i="29" s="1"/>
  <c r="G40" i="15"/>
  <c r="I42" i="39"/>
  <c r="H26" i="44" s="1"/>
  <c r="D26" i="45" s="1"/>
  <c r="K26" i="45" s="1"/>
  <c r="L26" i="45" s="1"/>
  <c r="J27" i="45" s="1"/>
  <c r="D173" i="15"/>
  <c r="BQ95" i="44" l="1"/>
  <c r="BM95" i="44"/>
  <c r="BI95" i="44"/>
  <c r="BE95" i="44"/>
  <c r="BA95" i="44"/>
  <c r="AW95" i="44"/>
  <c r="AS95" i="44"/>
  <c r="AO95" i="44"/>
  <c r="AK95" i="44"/>
  <c r="BO95" i="44"/>
  <c r="BK95" i="44"/>
  <c r="BG95" i="44"/>
  <c r="BC95" i="44"/>
  <c r="AY95" i="44"/>
  <c r="AU95" i="44"/>
  <c r="AQ95" i="44"/>
  <c r="AM95" i="44"/>
  <c r="AI95" i="44"/>
  <c r="BR95" i="44"/>
  <c r="BJ95" i="44"/>
  <c r="BB95" i="44"/>
  <c r="AT95" i="44"/>
  <c r="AL95" i="44"/>
  <c r="BN95" i="44"/>
  <c r="BF95" i="44"/>
  <c r="AX95" i="44"/>
  <c r="AP95" i="44"/>
  <c r="AH95" i="44"/>
  <c r="BL95" i="44"/>
  <c r="AV95" i="44"/>
  <c r="BH95" i="44"/>
  <c r="AR95" i="44"/>
  <c r="BD95" i="44"/>
  <c r="AN95" i="44"/>
  <c r="BP95" i="44"/>
  <c r="AZ95" i="44"/>
  <c r="AJ95" i="44"/>
  <c r="BV297" i="29"/>
  <c r="CC297" i="29"/>
  <c r="L42" i="39"/>
  <c r="F173" i="15"/>
  <c r="CC304" i="29"/>
  <c r="Q305" i="29"/>
  <c r="X305" i="29" s="1"/>
  <c r="R305" i="29"/>
  <c r="BR308" i="29"/>
  <c r="BO309" i="29"/>
  <c r="BN309" i="29"/>
  <c r="BY308" i="29"/>
  <c r="J307" i="29"/>
  <c r="K307" i="29"/>
  <c r="L306" i="29"/>
  <c r="BQ309" i="29"/>
  <c r="BQ310" i="29" s="1"/>
  <c r="AC305" i="29"/>
  <c r="U306" i="29"/>
  <c r="AC306" i="29" s="1"/>
  <c r="AB305" i="29"/>
  <c r="T307" i="29"/>
  <c r="S307" i="29"/>
  <c r="V306" i="29"/>
  <c r="AE306" i="29"/>
  <c r="AF306" i="29"/>
  <c r="M304" i="29"/>
  <c r="CA305" i="29"/>
  <c r="BU305" i="29" s="1"/>
  <c r="W304" i="29"/>
  <c r="Y304" i="29" s="1"/>
  <c r="CB305" i="29"/>
  <c r="BV305" i="29" s="1"/>
  <c r="AA304" i="29"/>
  <c r="BZ288" i="29"/>
  <c r="BX289" i="29" s="1"/>
  <c r="BH306" i="29"/>
  <c r="BB306" i="29" s="1"/>
  <c r="AZ306" i="29"/>
  <c r="BP307" i="29"/>
  <c r="BC307" i="29"/>
  <c r="BF307" i="29" s="1"/>
  <c r="BE307" i="29"/>
  <c r="BG307" i="29" s="1"/>
  <c r="BA307" i="29" s="1"/>
  <c r="BD308" i="29"/>
  <c r="AB306" i="29" l="1"/>
  <c r="U307" i="29"/>
  <c r="S308" i="29"/>
  <c r="T308" i="29"/>
  <c r="V307" i="29"/>
  <c r="AF307" i="29"/>
  <c r="AE307" i="29"/>
  <c r="K308" i="29"/>
  <c r="J308" i="29"/>
  <c r="L307" i="29"/>
  <c r="BO310" i="29"/>
  <c r="BN310" i="29"/>
  <c r="BR309" i="29"/>
  <c r="AA305" i="29"/>
  <c r="M305" i="29"/>
  <c r="CA306" i="29"/>
  <c r="BU306" i="29" s="1"/>
  <c r="W305" i="29"/>
  <c r="Y305" i="29" s="1"/>
  <c r="CB306" i="29"/>
  <c r="BV306" i="29" s="1"/>
  <c r="CC305" i="29"/>
  <c r="R306" i="29"/>
  <c r="Q306" i="29"/>
  <c r="X306" i="29" s="1"/>
  <c r="BD309" i="29"/>
  <c r="BE308" i="29"/>
  <c r="BG308" i="29" s="1"/>
  <c r="BA308" i="29" s="1"/>
  <c r="BP308" i="29"/>
  <c r="BC308" i="29"/>
  <c r="BF308" i="29" s="1"/>
  <c r="BZ289" i="29"/>
  <c r="BX290" i="29" s="1"/>
  <c r="BH307" i="29"/>
  <c r="BB307" i="29" s="1"/>
  <c r="AZ307" i="29"/>
  <c r="L308" i="29" l="1"/>
  <c r="J309" i="29"/>
  <c r="K309" i="29"/>
  <c r="Q307" i="29"/>
  <c r="R307" i="29"/>
  <c r="CB307" i="29"/>
  <c r="BV307" i="29" s="1"/>
  <c r="W306" i="29"/>
  <c r="Y306" i="29" s="1"/>
  <c r="CA307" i="29"/>
  <c r="BU307" i="29" s="1"/>
  <c r="M306" i="29"/>
  <c r="AA306" i="29"/>
  <c r="CC306" i="29"/>
  <c r="BN311" i="29"/>
  <c r="BR310" i="29"/>
  <c r="BY310" i="29"/>
  <c r="BO311" i="29"/>
  <c r="T309" i="29"/>
  <c r="V308" i="29"/>
  <c r="S309" i="29"/>
  <c r="AF308" i="29"/>
  <c r="AE308" i="29"/>
  <c r="AB307" i="29"/>
  <c r="U308" i="29"/>
  <c r="AC307" i="29"/>
  <c r="BQ311" i="29"/>
  <c r="BQ312" i="29" s="1"/>
  <c r="AZ308" i="29"/>
  <c r="BH308" i="29"/>
  <c r="BB308" i="29" s="1"/>
  <c r="BZ290" i="29"/>
  <c r="BX291" i="29" s="1"/>
  <c r="BE309" i="29"/>
  <c r="BG309" i="29" s="1"/>
  <c r="BA309" i="29" s="1"/>
  <c r="BD310" i="29"/>
  <c r="BP309" i="29"/>
  <c r="BI309" i="29"/>
  <c r="BC309" i="29"/>
  <c r="BF309" i="29" s="1"/>
  <c r="CC307" i="29" l="1"/>
  <c r="T310" i="29"/>
  <c r="V309" i="29"/>
  <c r="S310" i="29"/>
  <c r="AF309" i="29"/>
  <c r="AE309" i="29"/>
  <c r="BY311" i="29"/>
  <c r="BO312" i="29"/>
  <c r="BR311" i="29"/>
  <c r="BN312" i="29"/>
  <c r="W307" i="29"/>
  <c r="Y307" i="29" s="1"/>
  <c r="CA308" i="29"/>
  <c r="BU308" i="29" s="1"/>
  <c r="CB308" i="29"/>
  <c r="BV308" i="29" s="1"/>
  <c r="AA307" i="29"/>
  <c r="M307" i="29"/>
  <c r="BQ313" i="29"/>
  <c r="Q308" i="29"/>
  <c r="R308" i="29"/>
  <c r="U309" i="29"/>
  <c r="AB309" i="29" s="1"/>
  <c r="X307" i="29"/>
  <c r="K310" i="29"/>
  <c r="L309" i="29"/>
  <c r="J310" i="29"/>
  <c r="BZ291" i="29"/>
  <c r="BX292" i="29" s="1"/>
  <c r="BH309" i="29"/>
  <c r="BB309" i="29" s="1"/>
  <c r="AZ309" i="29"/>
  <c r="BE310" i="29"/>
  <c r="BG310" i="29" s="1"/>
  <c r="BA310" i="29" s="1"/>
  <c r="BD311" i="29"/>
  <c r="BP310" i="29"/>
  <c r="BC310" i="29"/>
  <c r="BF310" i="29" s="1"/>
  <c r="AC309" i="29" l="1"/>
  <c r="S311" i="29"/>
  <c r="V310" i="29"/>
  <c r="T311" i="29"/>
  <c r="AF310" i="29"/>
  <c r="AE310" i="29"/>
  <c r="R309" i="29"/>
  <c r="Q309" i="29"/>
  <c r="X309" i="29" s="1"/>
  <c r="CA309" i="29"/>
  <c r="BU309" i="29" s="1"/>
  <c r="AA308" i="29"/>
  <c r="W308" i="29"/>
  <c r="J311" i="29"/>
  <c r="K311" i="29"/>
  <c r="L310" i="29"/>
  <c r="CC308" i="29"/>
  <c r="BO313" i="29"/>
  <c r="BY312" i="29"/>
  <c r="BR312" i="29"/>
  <c r="BN313" i="29"/>
  <c r="U310" i="29"/>
  <c r="AC310" i="29" s="1"/>
  <c r="BZ292" i="29"/>
  <c r="BX293" i="29" s="1"/>
  <c r="AZ310" i="29"/>
  <c r="BH310" i="29"/>
  <c r="BB310" i="29" s="1"/>
  <c r="BP311" i="29"/>
  <c r="BE311" i="29"/>
  <c r="BG311" i="29" s="1"/>
  <c r="BA311" i="29" s="1"/>
  <c r="BC311" i="29"/>
  <c r="BF311" i="29" s="1"/>
  <c r="BD312" i="29"/>
  <c r="AB310" i="29" l="1"/>
  <c r="BY313" i="29"/>
  <c r="BN314" i="29"/>
  <c r="BR313" i="29"/>
  <c r="BO314" i="29"/>
  <c r="Q310" i="29"/>
  <c r="R310" i="29"/>
  <c r="U311" i="29"/>
  <c r="AB311" i="29" s="1"/>
  <c r="J312" i="29"/>
  <c r="L311" i="29"/>
  <c r="K312" i="29"/>
  <c r="BQ314" i="29"/>
  <c r="BQ315" i="29" s="1"/>
  <c r="CA310" i="29"/>
  <c r="BU310" i="29" s="1"/>
  <c r="AA309" i="29"/>
  <c r="W309" i="29"/>
  <c r="Y309" i="29" s="1"/>
  <c r="M309" i="29"/>
  <c r="CB310" i="29"/>
  <c r="BV310" i="29" s="1"/>
  <c r="S312" i="29"/>
  <c r="V311" i="29"/>
  <c r="T312" i="29"/>
  <c r="AE311" i="29"/>
  <c r="AF311" i="29"/>
  <c r="BZ293" i="29"/>
  <c r="BX294" i="29" s="1"/>
  <c r="BE312" i="29"/>
  <c r="BG312" i="29" s="1"/>
  <c r="BA312" i="29" s="1"/>
  <c r="BD313" i="29"/>
  <c r="BC312" i="29"/>
  <c r="BF312" i="29" s="1"/>
  <c r="BP312" i="29"/>
  <c r="BH311" i="29"/>
  <c r="BB311" i="29" s="1"/>
  <c r="AZ311" i="29"/>
  <c r="AC311" i="29" l="1"/>
  <c r="S313" i="29"/>
  <c r="V312" i="29"/>
  <c r="T313" i="29"/>
  <c r="AE312" i="29"/>
  <c r="AF312" i="29"/>
  <c r="CB311" i="29"/>
  <c r="BV311" i="29" s="1"/>
  <c r="CA311" i="29"/>
  <c r="BU311" i="29" s="1"/>
  <c r="AA310" i="29"/>
  <c r="M310" i="29"/>
  <c r="W310" i="29"/>
  <c r="Y310" i="29" s="1"/>
  <c r="BQ316" i="29"/>
  <c r="BY314" i="29"/>
  <c r="BR314" i="29"/>
  <c r="BO315" i="29"/>
  <c r="BN315" i="29"/>
  <c r="U312" i="29"/>
  <c r="AB312" i="29" s="1"/>
  <c r="CC310" i="29"/>
  <c r="K313" i="29"/>
  <c r="J313" i="29"/>
  <c r="L312" i="29"/>
  <c r="R311" i="29"/>
  <c r="Q311" i="29"/>
  <c r="X311" i="29" s="1"/>
  <c r="X310" i="29"/>
  <c r="BZ294" i="29"/>
  <c r="BX295" i="29" s="1"/>
  <c r="BD314" i="29"/>
  <c r="BP313" i="29"/>
  <c r="BC313" i="29"/>
  <c r="BF313" i="29" s="1"/>
  <c r="BE313" i="29"/>
  <c r="BG313" i="29" s="1"/>
  <c r="BA313" i="29" s="1"/>
  <c r="BH312" i="29"/>
  <c r="BB312" i="29" s="1"/>
  <c r="AZ312" i="29"/>
  <c r="CC311" i="29" l="1"/>
  <c r="L313" i="29"/>
  <c r="J314" i="29"/>
  <c r="K314" i="29"/>
  <c r="S314" i="29"/>
  <c r="V313" i="29"/>
  <c r="T314" i="29"/>
  <c r="AE313" i="29"/>
  <c r="AF313" i="29"/>
  <c r="Q312" i="29"/>
  <c r="X312" i="29" s="1"/>
  <c r="R312" i="29"/>
  <c r="BN316" i="29"/>
  <c r="BR315" i="29"/>
  <c r="BO316" i="29"/>
  <c r="BY315" i="29"/>
  <c r="U313" i="29"/>
  <c r="AA311" i="29"/>
  <c r="M311" i="29"/>
  <c r="CA312" i="29"/>
  <c r="BU312" i="29" s="1"/>
  <c r="CB312" i="29"/>
  <c r="BV312" i="29" s="1"/>
  <c r="W311" i="29"/>
  <c r="Y311" i="29" s="1"/>
  <c r="AC312" i="29"/>
  <c r="BZ295" i="29"/>
  <c r="BX296" i="29" s="1"/>
  <c r="BC314" i="29"/>
  <c r="BF314" i="29" s="1"/>
  <c r="BD315" i="29"/>
  <c r="BE314" i="29"/>
  <c r="BG314" i="29" s="1"/>
  <c r="BA314" i="29" s="1"/>
  <c r="BP314" i="29"/>
  <c r="AZ313" i="29"/>
  <c r="BH313" i="29"/>
  <c r="BB313" i="29" s="1"/>
  <c r="Q313" i="29" l="1"/>
  <c r="X313" i="29" s="1"/>
  <c r="R313" i="29"/>
  <c r="J315" i="29"/>
  <c r="K315" i="29"/>
  <c r="L314" i="29"/>
  <c r="CC312" i="29"/>
  <c r="AB313" i="29"/>
  <c r="CA313" i="29"/>
  <c r="BU313" i="29" s="1"/>
  <c r="AA312" i="29"/>
  <c r="W312" i="29"/>
  <c r="Y312" i="29" s="1"/>
  <c r="M312" i="29"/>
  <c r="CB313" i="29"/>
  <c r="BV313" i="29" s="1"/>
  <c r="T315" i="29"/>
  <c r="S315" i="29"/>
  <c r="V314" i="29"/>
  <c r="AF314" i="29"/>
  <c r="AE314" i="29"/>
  <c r="BY316" i="29"/>
  <c r="BR316" i="29"/>
  <c r="BN317" i="29"/>
  <c r="BO317" i="29"/>
  <c r="AC313" i="29"/>
  <c r="BQ317" i="29"/>
  <c r="U314" i="29"/>
  <c r="AB314" i="29" s="1"/>
  <c r="BZ296" i="29"/>
  <c r="BY297" i="29" s="1"/>
  <c r="BD316" i="29"/>
  <c r="BP315" i="29"/>
  <c r="BC315" i="29"/>
  <c r="BF315" i="29" s="1"/>
  <c r="BE315" i="29"/>
  <c r="BG315" i="29" s="1"/>
  <c r="BA315" i="29" s="1"/>
  <c r="BH314" i="29"/>
  <c r="BB314" i="29" s="1"/>
  <c r="AZ314" i="29"/>
  <c r="BQ318" i="29" l="1"/>
  <c r="CC313" i="29"/>
  <c r="K316" i="29"/>
  <c r="J316" i="29"/>
  <c r="L315" i="29"/>
  <c r="AA313" i="29"/>
  <c r="CA314" i="29"/>
  <c r="BU314" i="29" s="1"/>
  <c r="W313" i="29"/>
  <c r="Y313" i="29" s="1"/>
  <c r="M313" i="29"/>
  <c r="CB314" i="29"/>
  <c r="BV314" i="29" s="1"/>
  <c r="BY317" i="29"/>
  <c r="BO318" i="29"/>
  <c r="BN318" i="29"/>
  <c r="BR317" i="29"/>
  <c r="V315" i="29"/>
  <c r="S316" i="29"/>
  <c r="T316" i="29"/>
  <c r="AE315" i="29"/>
  <c r="AF315" i="29"/>
  <c r="R314" i="29"/>
  <c r="Q314" i="29"/>
  <c r="X314" i="29" s="1"/>
  <c r="AC314" i="29"/>
  <c r="U315" i="29"/>
  <c r="AB315" i="29" s="1"/>
  <c r="BW297" i="29"/>
  <c r="BX297" i="29"/>
  <c r="BD317" i="29"/>
  <c r="BE316" i="29"/>
  <c r="BG316" i="29" s="1"/>
  <c r="BA316" i="29" s="1"/>
  <c r="BP316" i="29"/>
  <c r="BC316" i="29"/>
  <c r="BF316" i="29" s="1"/>
  <c r="BH315" i="29"/>
  <c r="BB315" i="29" s="1"/>
  <c r="AZ315" i="29"/>
  <c r="AC315" i="29" l="1"/>
  <c r="S317" i="29"/>
  <c r="T317" i="29"/>
  <c r="V316" i="29"/>
  <c r="AE316" i="29"/>
  <c r="AF316" i="29"/>
  <c r="U316" i="29"/>
  <c r="AB316" i="29" s="1"/>
  <c r="BR318" i="29"/>
  <c r="BY318" i="29"/>
  <c r="BN319" i="29"/>
  <c r="BO319" i="29"/>
  <c r="BQ319" i="29"/>
  <c r="Q315" i="29"/>
  <c r="R315" i="29"/>
  <c r="W314" i="29"/>
  <c r="Y314" i="29" s="1"/>
  <c r="CA315" i="29"/>
  <c r="BU315" i="29" s="1"/>
  <c r="CB315" i="29"/>
  <c r="BV315" i="29" s="1"/>
  <c r="AA314" i="29"/>
  <c r="M314" i="29"/>
  <c r="CC314" i="29"/>
  <c r="J317" i="29"/>
  <c r="L316" i="29"/>
  <c r="K317" i="29"/>
  <c r="BD318" i="29"/>
  <c r="BP317" i="29"/>
  <c r="BC317" i="29"/>
  <c r="BF317" i="29" s="1"/>
  <c r="BE317" i="29"/>
  <c r="BG317" i="29" s="1"/>
  <c r="BA317" i="29" s="1"/>
  <c r="BZ297" i="29"/>
  <c r="BX298" i="29" s="1"/>
  <c r="BH316" i="29"/>
  <c r="BB316" i="29" s="1"/>
  <c r="AZ316" i="29"/>
  <c r="BS297" i="29"/>
  <c r="BT297" i="29"/>
  <c r="M296" i="29" s="1"/>
  <c r="AC316" i="29" l="1"/>
  <c r="K318" i="29"/>
  <c r="L317" i="29"/>
  <c r="J318" i="29"/>
  <c r="CC315" i="29"/>
  <c r="BQ320" i="29"/>
  <c r="T318" i="29"/>
  <c r="S318" i="29"/>
  <c r="V317" i="29"/>
  <c r="AF317" i="29"/>
  <c r="AE317" i="29"/>
  <c r="U317" i="29"/>
  <c r="AC317" i="29" s="1"/>
  <c r="X315" i="29"/>
  <c r="CB316" i="29"/>
  <c r="BV316" i="29" s="1"/>
  <c r="M315" i="29"/>
  <c r="W315" i="29"/>
  <c r="Y315" i="29" s="1"/>
  <c r="AA315" i="29"/>
  <c r="CA316" i="29"/>
  <c r="BU316" i="29" s="1"/>
  <c r="BO320" i="29"/>
  <c r="BN320" i="29"/>
  <c r="BY319" i="29"/>
  <c r="BR319" i="29"/>
  <c r="Q316" i="29"/>
  <c r="R316" i="29"/>
  <c r="BZ298" i="29"/>
  <c r="BX299" i="29" s="1"/>
  <c r="AZ317" i="29"/>
  <c r="BH317" i="29"/>
  <c r="BB317" i="29" s="1"/>
  <c r="H34" i="29"/>
  <c r="K27" i="40" s="1"/>
  <c r="X296" i="29"/>
  <c r="Y296" i="29" s="1"/>
  <c r="Z296" i="29" s="1"/>
  <c r="BP318" i="29"/>
  <c r="BC318" i="29"/>
  <c r="BF318" i="29" s="1"/>
  <c r="BE318" i="29"/>
  <c r="BG318" i="29" s="1"/>
  <c r="BA318" i="29" s="1"/>
  <c r="BD319" i="29"/>
  <c r="AC296" i="29" l="1"/>
  <c r="AB296" i="29"/>
  <c r="Z297" i="29"/>
  <c r="Z298" i="29" s="1"/>
  <c r="Z299" i="29" s="1"/>
  <c r="Z300" i="29" s="1"/>
  <c r="Z301" i="29" s="1"/>
  <c r="Z302" i="29" s="1"/>
  <c r="Z303" i="29" s="1"/>
  <c r="Z304" i="29" s="1"/>
  <c r="Z305" i="29" s="1"/>
  <c r="Z306" i="29" s="1"/>
  <c r="Z307" i="29" s="1"/>
  <c r="CB309" i="29"/>
  <c r="G34" i="29"/>
  <c r="L27" i="40" s="1"/>
  <c r="CC316" i="29"/>
  <c r="M316" i="29"/>
  <c r="AA316" i="29"/>
  <c r="CB317" i="29"/>
  <c r="BV317" i="29" s="1"/>
  <c r="W316" i="29"/>
  <c r="Y316" i="29" s="1"/>
  <c r="CA317" i="29"/>
  <c r="BU317" i="29" s="1"/>
  <c r="BN321" i="29"/>
  <c r="BO321" i="29"/>
  <c r="BY320" i="29"/>
  <c r="BR320" i="29"/>
  <c r="R317" i="29"/>
  <c r="Q317" i="29"/>
  <c r="X317" i="29" s="1"/>
  <c r="BQ321" i="29"/>
  <c r="J319" i="29"/>
  <c r="K319" i="29"/>
  <c r="L318" i="29"/>
  <c r="V318" i="29"/>
  <c r="S319" i="29"/>
  <c r="T319" i="29"/>
  <c r="AF318" i="29"/>
  <c r="AE318" i="29"/>
  <c r="X316" i="29"/>
  <c r="AB317" i="29"/>
  <c r="U318" i="29"/>
  <c r="AB318" i="29" s="1"/>
  <c r="BC319" i="29"/>
  <c r="BF319" i="29" s="1"/>
  <c r="BD320" i="29"/>
  <c r="BE319" i="29"/>
  <c r="BG319" i="29" s="1"/>
  <c r="BA319" i="29" s="1"/>
  <c r="BP319" i="29"/>
  <c r="G41" i="15"/>
  <c r="I43" i="39"/>
  <c r="H27" i="44" s="1"/>
  <c r="D27" i="45" s="1"/>
  <c r="K27" i="45" s="1"/>
  <c r="L27" i="45" s="1"/>
  <c r="J28" i="45" s="1"/>
  <c r="D174" i="15"/>
  <c r="BZ299" i="29"/>
  <c r="BX300" i="29" s="1"/>
  <c r="AZ318" i="29"/>
  <c r="BH318" i="29"/>
  <c r="BB318" i="29" s="1"/>
  <c r="BP96" i="44" l="1"/>
  <c r="BH96" i="44"/>
  <c r="BA96" i="44"/>
  <c r="AT96" i="44"/>
  <c r="AL96" i="44"/>
  <c r="BR96" i="44"/>
  <c r="BL96" i="44"/>
  <c r="BE96" i="44"/>
  <c r="AW96" i="44"/>
  <c r="AP96" i="44"/>
  <c r="AJ96" i="44"/>
  <c r="BJ96" i="44"/>
  <c r="AV96" i="44"/>
  <c r="BQ96" i="44"/>
  <c r="BB96" i="44"/>
  <c r="AO96" i="44"/>
  <c r="AZ96" i="44"/>
  <c r="AR96" i="44"/>
  <c r="BM96" i="44"/>
  <c r="AK96" i="44"/>
  <c r="BF96" i="44"/>
  <c r="BK96" i="44"/>
  <c r="AU96" i="44"/>
  <c r="BD96" i="44"/>
  <c r="BC96" i="44"/>
  <c r="AM96" i="44"/>
  <c r="AS96" i="44"/>
  <c r="BN96" i="44"/>
  <c r="BO96" i="44"/>
  <c r="AI96" i="44"/>
  <c r="AX96" i="44"/>
  <c r="BG96" i="44"/>
  <c r="BI96" i="44"/>
  <c r="AY96" i="44"/>
  <c r="AQ96" i="44"/>
  <c r="AN96" i="44"/>
  <c r="CC309" i="29"/>
  <c r="BV309" i="29"/>
  <c r="F174" i="15"/>
  <c r="L43" i="39"/>
  <c r="AC318" i="29"/>
  <c r="BQ322" i="29"/>
  <c r="CC317" i="29"/>
  <c r="V319" i="29"/>
  <c r="T320" i="29"/>
  <c r="S320" i="29"/>
  <c r="AF319" i="29"/>
  <c r="AE319" i="29"/>
  <c r="Q318" i="29"/>
  <c r="R318" i="29"/>
  <c r="U319" i="29"/>
  <c r="AC319" i="29" s="1"/>
  <c r="L319" i="29"/>
  <c r="K320" i="29"/>
  <c r="J320" i="29"/>
  <c r="AA317" i="29"/>
  <c r="W317" i="29"/>
  <c r="Y317" i="29" s="1"/>
  <c r="CA318" i="29"/>
  <c r="BU318" i="29" s="1"/>
  <c r="CB318" i="29"/>
  <c r="BV318" i="29" s="1"/>
  <c r="M317" i="29"/>
  <c r="BN322" i="29"/>
  <c r="BO322" i="29"/>
  <c r="BR321" i="29"/>
  <c r="BZ300" i="29"/>
  <c r="BX301" i="29" s="1"/>
  <c r="BP320" i="29"/>
  <c r="BE320" i="29"/>
  <c r="BG320" i="29" s="1"/>
  <c r="BA320" i="29" s="1"/>
  <c r="BD321" i="29"/>
  <c r="BC320" i="29"/>
  <c r="BF320" i="29" s="1"/>
  <c r="BH319" i="29"/>
  <c r="BB319" i="29" s="1"/>
  <c r="AZ319" i="29"/>
  <c r="J321" i="29" l="1"/>
  <c r="K321" i="29"/>
  <c r="L320" i="29"/>
  <c r="CC318" i="29"/>
  <c r="U320" i="29"/>
  <c r="BQ323" i="29"/>
  <c r="R319" i="29"/>
  <c r="Q319" i="29"/>
  <c r="X319" i="29" s="1"/>
  <c r="X318" i="29"/>
  <c r="CA319" i="29"/>
  <c r="BU319" i="29" s="1"/>
  <c r="AA318" i="29"/>
  <c r="M318" i="29"/>
  <c r="CB319" i="29"/>
  <c r="BV319" i="29" s="1"/>
  <c r="W318" i="29"/>
  <c r="Y318" i="29" s="1"/>
  <c r="V320" i="29"/>
  <c r="S321" i="29"/>
  <c r="T321" i="29"/>
  <c r="AE320" i="29"/>
  <c r="AF320" i="29"/>
  <c r="BY322" i="29"/>
  <c r="BR322" i="29"/>
  <c r="BO323" i="29"/>
  <c r="BN323" i="29"/>
  <c r="AB319" i="29"/>
  <c r="BZ301" i="29"/>
  <c r="BX302" i="29" s="1"/>
  <c r="AZ320" i="29"/>
  <c r="BH320" i="29"/>
  <c r="BB320" i="29" s="1"/>
  <c r="BC321" i="29"/>
  <c r="BF321" i="29" s="1"/>
  <c r="BP321" i="29"/>
  <c r="BE321" i="29"/>
  <c r="BG321" i="29" s="1"/>
  <c r="BA321" i="29" s="1"/>
  <c r="BD322" i="29"/>
  <c r="BI321" i="29"/>
  <c r="CC319" i="29" l="1"/>
  <c r="BR323" i="29"/>
  <c r="BO324" i="29"/>
  <c r="BY323" i="29"/>
  <c r="BN324" i="29"/>
  <c r="M319" i="29"/>
  <c r="CA320" i="29"/>
  <c r="BU320" i="29" s="1"/>
  <c r="W319" i="29"/>
  <c r="Y319" i="29" s="1"/>
  <c r="CB320" i="29"/>
  <c r="BV320" i="29" s="1"/>
  <c r="AA319" i="29"/>
  <c r="K322" i="29"/>
  <c r="L321" i="29"/>
  <c r="J322" i="29"/>
  <c r="V321" i="29"/>
  <c r="S322" i="29"/>
  <c r="T322" i="29"/>
  <c r="AF321" i="29"/>
  <c r="AE321" i="29"/>
  <c r="Q320" i="29"/>
  <c r="R320" i="29"/>
  <c r="U321" i="29"/>
  <c r="AB321" i="29" s="1"/>
  <c r="BQ324" i="29"/>
  <c r="BQ325" i="29" s="1"/>
  <c r="BZ302" i="29"/>
  <c r="BX303" i="29" s="1"/>
  <c r="BP322" i="29"/>
  <c r="BD323" i="29"/>
  <c r="BC322" i="29"/>
  <c r="BF322" i="29" s="1"/>
  <c r="BE322" i="29"/>
  <c r="BG322" i="29" s="1"/>
  <c r="BA322" i="29" s="1"/>
  <c r="BH321" i="29"/>
  <c r="BB321" i="29" s="1"/>
  <c r="AZ321" i="29"/>
  <c r="AC321" i="29" l="1"/>
  <c r="U322" i="29"/>
  <c r="AB322" i="29" s="1"/>
  <c r="J323" i="29"/>
  <c r="K323" i="29"/>
  <c r="L322" i="29"/>
  <c r="CC320" i="29"/>
  <c r="BY324" i="29"/>
  <c r="BR324" i="29"/>
  <c r="BO325" i="29"/>
  <c r="BN325" i="29"/>
  <c r="BQ326" i="29"/>
  <c r="CA321" i="29"/>
  <c r="BU321" i="29" s="1"/>
  <c r="W320" i="29"/>
  <c r="AA320" i="29"/>
  <c r="Q321" i="29"/>
  <c r="X321" i="29" s="1"/>
  <c r="R321" i="29"/>
  <c r="V322" i="29"/>
  <c r="S323" i="29"/>
  <c r="T323" i="29"/>
  <c r="AE322" i="29"/>
  <c r="AF322" i="29"/>
  <c r="BZ303" i="29"/>
  <c r="BX304" i="29" s="1"/>
  <c r="BP323" i="29"/>
  <c r="BD324" i="29"/>
  <c r="BE323" i="29"/>
  <c r="BG323" i="29" s="1"/>
  <c r="BA323" i="29" s="1"/>
  <c r="BC323" i="29"/>
  <c r="BF323" i="29" s="1"/>
  <c r="AZ322" i="29"/>
  <c r="BH322" i="29"/>
  <c r="BB322" i="29" s="1"/>
  <c r="BO326" i="29" l="1"/>
  <c r="BY325" i="29"/>
  <c r="BN326" i="29"/>
  <c r="BR325" i="29"/>
  <c r="Q322" i="29"/>
  <c r="R322" i="29"/>
  <c r="U323" i="29"/>
  <c r="AC323" i="29" s="1"/>
  <c r="M321" i="29"/>
  <c r="W321" i="29"/>
  <c r="Y321" i="29" s="1"/>
  <c r="CA322" i="29"/>
  <c r="BU322" i="29" s="1"/>
  <c r="AA321" i="29"/>
  <c r="CB322" i="29"/>
  <c r="BV322" i="29" s="1"/>
  <c r="K324" i="29"/>
  <c r="L323" i="29"/>
  <c r="J324" i="29"/>
  <c r="AC322" i="29"/>
  <c r="S324" i="29"/>
  <c r="V323" i="29"/>
  <c r="T324" i="29"/>
  <c r="AF323" i="29"/>
  <c r="AE323" i="29"/>
  <c r="BQ327" i="29"/>
  <c r="BZ304" i="29"/>
  <c r="BX305" i="29" s="1"/>
  <c r="BP324" i="29"/>
  <c r="BC324" i="29"/>
  <c r="BF324" i="29" s="1"/>
  <c r="BE324" i="29"/>
  <c r="BG324" i="29" s="1"/>
  <c r="BA324" i="29" s="1"/>
  <c r="BD325" i="29"/>
  <c r="AZ323" i="29"/>
  <c r="BH323" i="29"/>
  <c r="BB323" i="29" s="1"/>
  <c r="AB323" i="29" l="1"/>
  <c r="T325" i="29"/>
  <c r="S325" i="29"/>
  <c r="V324" i="29"/>
  <c r="AE324" i="29"/>
  <c r="AF324" i="29"/>
  <c r="U324" i="29"/>
  <c r="AC324" i="29" s="1"/>
  <c r="J325" i="29"/>
  <c r="K325" i="29"/>
  <c r="L324" i="29"/>
  <c r="BN327" i="29"/>
  <c r="BY326" i="29"/>
  <c r="BR326" i="29"/>
  <c r="BO327" i="29"/>
  <c r="CC322" i="29"/>
  <c r="R323" i="29"/>
  <c r="Q323" i="29"/>
  <c r="X322" i="29"/>
  <c r="M322" i="29"/>
  <c r="AA322" i="29"/>
  <c r="CA323" i="29"/>
  <c r="BU323" i="29" s="1"/>
  <c r="CB323" i="29"/>
  <c r="BV323" i="29" s="1"/>
  <c r="W322" i="29"/>
  <c r="Y322" i="29" s="1"/>
  <c r="BZ305" i="29"/>
  <c r="BX306" i="29" s="1"/>
  <c r="BH324" i="29"/>
  <c r="BB324" i="29" s="1"/>
  <c r="AZ324" i="29"/>
  <c r="BE325" i="29"/>
  <c r="BG325" i="29" s="1"/>
  <c r="BA325" i="29" s="1"/>
  <c r="BP325" i="29"/>
  <c r="BD326" i="29"/>
  <c r="BC325" i="29"/>
  <c r="BF325" i="29" s="1"/>
  <c r="AB324" i="29" l="1"/>
  <c r="U325" i="29"/>
  <c r="AB325" i="29" s="1"/>
  <c r="X323" i="29"/>
  <c r="CB324" i="29"/>
  <c r="BV324" i="29" s="1"/>
  <c r="W323" i="29"/>
  <c r="Y323" i="29" s="1"/>
  <c r="CA324" i="29"/>
  <c r="BU324" i="29" s="1"/>
  <c r="AA323" i="29"/>
  <c r="M323" i="29"/>
  <c r="R324" i="29"/>
  <c r="Q324" i="29"/>
  <c r="X324" i="29" s="1"/>
  <c r="T326" i="29"/>
  <c r="V325" i="29"/>
  <c r="S326" i="29"/>
  <c r="AF325" i="29"/>
  <c r="AE325" i="29"/>
  <c r="CC323" i="29"/>
  <c r="BO328" i="29"/>
  <c r="BN328" i="29"/>
  <c r="BR327" i="29"/>
  <c r="BY327" i="29"/>
  <c r="BQ328" i="29"/>
  <c r="BQ329" i="29" s="1"/>
  <c r="J326" i="29"/>
  <c r="K326" i="29"/>
  <c r="L325" i="29"/>
  <c r="BZ306" i="29"/>
  <c r="BX307" i="29" s="1"/>
  <c r="AZ325" i="29"/>
  <c r="BH325" i="29"/>
  <c r="BB325" i="29" s="1"/>
  <c r="BP326" i="29"/>
  <c r="BD327" i="29"/>
  <c r="BC326" i="29"/>
  <c r="BF326" i="29" s="1"/>
  <c r="BE326" i="29"/>
  <c r="BG326" i="29" s="1"/>
  <c r="BA326" i="29" s="1"/>
  <c r="CC324" i="29" l="1"/>
  <c r="K327" i="29"/>
  <c r="L326" i="29"/>
  <c r="J327" i="29"/>
  <c r="T327" i="29"/>
  <c r="S327" i="29"/>
  <c r="V326" i="29"/>
  <c r="AE326" i="29"/>
  <c r="AF326" i="29"/>
  <c r="R325" i="29"/>
  <c r="Q325" i="29"/>
  <c r="AA324" i="29"/>
  <c r="CB325" i="29"/>
  <c r="BV325" i="29" s="1"/>
  <c r="CA325" i="29"/>
  <c r="BU325" i="29" s="1"/>
  <c r="W324" i="29"/>
  <c r="Y324" i="29" s="1"/>
  <c r="M324" i="29"/>
  <c r="AC325" i="29"/>
  <c r="BQ330" i="29"/>
  <c r="BY328" i="29"/>
  <c r="BO329" i="29"/>
  <c r="BR328" i="29"/>
  <c r="BN329" i="29"/>
  <c r="U326" i="29"/>
  <c r="AB326" i="29" s="1"/>
  <c r="BZ307" i="29"/>
  <c r="BX308" i="29" s="1"/>
  <c r="BP327" i="29"/>
  <c r="BE327" i="29"/>
  <c r="BG327" i="29" s="1"/>
  <c r="BA327" i="29" s="1"/>
  <c r="BD328" i="29"/>
  <c r="BC327" i="29"/>
  <c r="BF327" i="29" s="1"/>
  <c r="AZ326" i="29"/>
  <c r="BH326" i="29"/>
  <c r="BB326" i="29" s="1"/>
  <c r="CC325" i="29" l="1"/>
  <c r="AC326" i="29"/>
  <c r="X325" i="29"/>
  <c r="M325" i="29"/>
  <c r="CB326" i="29"/>
  <c r="BV326" i="29" s="1"/>
  <c r="AA325" i="29"/>
  <c r="CA326" i="29"/>
  <c r="BU326" i="29" s="1"/>
  <c r="W325" i="29"/>
  <c r="Y325" i="29" s="1"/>
  <c r="Q326" i="29"/>
  <c r="X326" i="29" s="1"/>
  <c r="R326" i="29"/>
  <c r="U327" i="29"/>
  <c r="AB327" i="29" s="1"/>
  <c r="K328" i="29"/>
  <c r="J328" i="29"/>
  <c r="L327" i="29"/>
  <c r="BR329" i="29"/>
  <c r="BN330" i="29"/>
  <c r="BO330" i="29"/>
  <c r="BQ331" i="29" s="1"/>
  <c r="BY329" i="29"/>
  <c r="V327" i="29"/>
  <c r="T328" i="29"/>
  <c r="S328" i="29"/>
  <c r="AE327" i="29"/>
  <c r="AF327" i="29"/>
  <c r="AZ327" i="29"/>
  <c r="BH327" i="29"/>
  <c r="BB327" i="29" s="1"/>
  <c r="BZ308" i="29"/>
  <c r="BY309" i="29" s="1"/>
  <c r="BD329" i="29"/>
  <c r="BC328" i="29"/>
  <c r="BF328" i="29" s="1"/>
  <c r="BE328" i="29"/>
  <c r="BG328" i="29" s="1"/>
  <c r="BA328" i="29" s="1"/>
  <c r="BP328" i="29"/>
  <c r="CC326" i="29" l="1"/>
  <c r="AC327" i="29"/>
  <c r="K329" i="29"/>
  <c r="J329" i="29"/>
  <c r="L328" i="29"/>
  <c r="U328" i="29"/>
  <c r="AC328" i="29" s="1"/>
  <c r="BO331" i="29"/>
  <c r="BQ332" i="29" s="1"/>
  <c r="BY330" i="29"/>
  <c r="BR330" i="29"/>
  <c r="BN331" i="29"/>
  <c r="Q327" i="29"/>
  <c r="X327" i="29" s="1"/>
  <c r="R327" i="29"/>
  <c r="V328" i="29"/>
  <c r="T329" i="29"/>
  <c r="S329" i="29"/>
  <c r="AE328" i="29"/>
  <c r="AF328" i="29"/>
  <c r="W326" i="29"/>
  <c r="Y326" i="29" s="1"/>
  <c r="CB327" i="29"/>
  <c r="BV327" i="29" s="1"/>
  <c r="AA326" i="29"/>
  <c r="M326" i="29"/>
  <c r="CA327" i="29"/>
  <c r="BU327" i="29" s="1"/>
  <c r="BW309" i="29"/>
  <c r="BX309" i="29"/>
  <c r="BP329" i="29"/>
  <c r="BD330" i="29"/>
  <c r="BC329" i="29"/>
  <c r="BF329" i="29" s="1"/>
  <c r="BE329" i="29"/>
  <c r="BG329" i="29" s="1"/>
  <c r="BA329" i="29" s="1"/>
  <c r="AZ328" i="29"/>
  <c r="BH328" i="29"/>
  <c r="BB328" i="29" s="1"/>
  <c r="CC327" i="29" l="1"/>
  <c r="J330" i="29"/>
  <c r="K330" i="29"/>
  <c r="L329" i="29"/>
  <c r="Q328" i="29"/>
  <c r="R328" i="29"/>
  <c r="U329" i="29"/>
  <c r="AC329" i="29" s="1"/>
  <c r="AB328" i="29"/>
  <c r="V329" i="29"/>
  <c r="S330" i="29"/>
  <c r="T330" i="29"/>
  <c r="AF329" i="29"/>
  <c r="AE329" i="29"/>
  <c r="M327" i="29"/>
  <c r="AA327" i="29"/>
  <c r="W327" i="29"/>
  <c r="Y327" i="29" s="1"/>
  <c r="CA328" i="29"/>
  <c r="BU328" i="29" s="1"/>
  <c r="CB328" i="29"/>
  <c r="BV328" i="29" s="1"/>
  <c r="BR331" i="29"/>
  <c r="BY331" i="29"/>
  <c r="BO332" i="29"/>
  <c r="BN332" i="29"/>
  <c r="BE330" i="29"/>
  <c r="BG330" i="29" s="1"/>
  <c r="BA330" i="29" s="1"/>
  <c r="BP330" i="29"/>
  <c r="BD331" i="29"/>
  <c r="BC330" i="29"/>
  <c r="BF330" i="29" s="1"/>
  <c r="BZ309" i="29"/>
  <c r="BX310" i="29" s="1"/>
  <c r="BH329" i="29"/>
  <c r="BB329" i="29" s="1"/>
  <c r="AZ329" i="29"/>
  <c r="BS309" i="29"/>
  <c r="BT309" i="29"/>
  <c r="M308" i="29" s="1"/>
  <c r="AB329" i="29" l="1"/>
  <c r="BR332" i="29"/>
  <c r="BN333" i="29"/>
  <c r="BY332" i="29"/>
  <c r="BO333" i="29"/>
  <c r="U330" i="29"/>
  <c r="M328" i="29"/>
  <c r="CB329" i="29"/>
  <c r="BV329" i="29" s="1"/>
  <c r="CA329" i="29"/>
  <c r="BU329" i="29" s="1"/>
  <c r="AA328" i="29"/>
  <c r="W328" i="29"/>
  <c r="Y328" i="29" s="1"/>
  <c r="K331" i="29"/>
  <c r="L330" i="29"/>
  <c r="J331" i="29"/>
  <c r="BQ333" i="29"/>
  <c r="BQ334" i="29" s="1"/>
  <c r="CC328" i="29"/>
  <c r="T331" i="29"/>
  <c r="V330" i="29"/>
  <c r="S331" i="29"/>
  <c r="AF330" i="29"/>
  <c r="AE330" i="29"/>
  <c r="R329" i="29"/>
  <c r="Q329" i="29"/>
  <c r="X328" i="29"/>
  <c r="BZ310" i="29"/>
  <c r="BX311" i="29" s="1"/>
  <c r="BP331" i="29"/>
  <c r="BD332" i="29"/>
  <c r="BE331" i="29"/>
  <c r="BG331" i="29" s="1"/>
  <c r="BA331" i="29" s="1"/>
  <c r="BC331" i="29"/>
  <c r="BF331" i="29" s="1"/>
  <c r="H35" i="29"/>
  <c r="K28" i="40" s="1"/>
  <c r="X308" i="29"/>
  <c r="Y308" i="29" s="1"/>
  <c r="Z308" i="29" s="1"/>
  <c r="BH330" i="29"/>
  <c r="BB330" i="29" s="1"/>
  <c r="AZ330" i="29"/>
  <c r="AB308" i="29" l="1"/>
  <c r="AC308" i="29"/>
  <c r="Z309" i="29"/>
  <c r="Z310" i="29" s="1"/>
  <c r="Z311" i="29" s="1"/>
  <c r="Z312" i="29" s="1"/>
  <c r="Z313" i="29" s="1"/>
  <c r="Z314" i="29" s="1"/>
  <c r="Z315" i="29" s="1"/>
  <c r="Z316" i="29" s="1"/>
  <c r="Z317" i="29" s="1"/>
  <c r="Z318" i="29" s="1"/>
  <c r="Z319" i="29" s="1"/>
  <c r="CB321" i="29"/>
  <c r="G35" i="29"/>
  <c r="L28" i="40" s="1"/>
  <c r="CC329" i="29"/>
  <c r="CA330" i="29"/>
  <c r="BU330" i="29" s="1"/>
  <c r="AA329" i="29"/>
  <c r="W329" i="29"/>
  <c r="Y329" i="29" s="1"/>
  <c r="M329" i="29"/>
  <c r="CB330" i="29"/>
  <c r="BV330" i="29" s="1"/>
  <c r="R330" i="29"/>
  <c r="Q330" i="29"/>
  <c r="X330" i="29" s="1"/>
  <c r="U331" i="29"/>
  <c r="AB331" i="29" s="1"/>
  <c r="L331" i="29"/>
  <c r="J332" i="29"/>
  <c r="K332" i="29"/>
  <c r="AB330" i="29"/>
  <c r="X329" i="29"/>
  <c r="AC330" i="29"/>
  <c r="V331" i="29"/>
  <c r="S332" i="29"/>
  <c r="T332" i="29"/>
  <c r="AE331" i="29"/>
  <c r="AF331" i="29"/>
  <c r="BN334" i="29"/>
  <c r="BO334" i="29"/>
  <c r="BR333" i="29"/>
  <c r="BZ311" i="29"/>
  <c r="BX312" i="29" s="1"/>
  <c r="BP332" i="29"/>
  <c r="BC332" i="29"/>
  <c r="BF332" i="29" s="1"/>
  <c r="BD333" i="29"/>
  <c r="BE332" i="29"/>
  <c r="BG332" i="29" s="1"/>
  <c r="BA332" i="29" s="1"/>
  <c r="D175" i="15"/>
  <c r="I44" i="39"/>
  <c r="H28" i="44" s="1"/>
  <c r="D28" i="45" s="1"/>
  <c r="K28" i="45" s="1"/>
  <c r="L28" i="45" s="1"/>
  <c r="J29" i="45" s="1"/>
  <c r="G42" i="15"/>
  <c r="BH331" i="29"/>
  <c r="BB331" i="29" s="1"/>
  <c r="AZ331" i="29"/>
  <c r="BO97" i="44" l="1"/>
  <c r="BI97" i="44"/>
  <c r="BB97" i="44"/>
  <c r="AT97" i="44"/>
  <c r="AM97" i="44"/>
  <c r="BM97" i="44"/>
  <c r="BE97" i="44"/>
  <c r="AX97" i="44"/>
  <c r="AQ97" i="44"/>
  <c r="BR97" i="44"/>
  <c r="BC97" i="44"/>
  <c r="AO97" i="44"/>
  <c r="BJ97" i="44"/>
  <c r="AW97" i="44"/>
  <c r="AS97" i="44"/>
  <c r="BN97" i="44"/>
  <c r="AL97" i="44"/>
  <c r="BG97" i="44"/>
  <c r="AY97" i="44"/>
  <c r="BD97" i="44"/>
  <c r="AN97" i="44"/>
  <c r="AP97" i="44"/>
  <c r="BK97" i="44"/>
  <c r="BL97" i="44"/>
  <c r="AV97" i="44"/>
  <c r="BA97" i="44"/>
  <c r="BH97" i="44"/>
  <c r="BF97" i="44"/>
  <c r="AJ97" i="44"/>
  <c r="AU97" i="44"/>
  <c r="AZ97" i="44"/>
  <c r="BQ97" i="44"/>
  <c r="AR97" i="44"/>
  <c r="AK97" i="44"/>
  <c r="BP97" i="44"/>
  <c r="BV321" i="29"/>
  <c r="CC321" i="29"/>
  <c r="L44" i="39"/>
  <c r="F175" i="15"/>
  <c r="AC331" i="29"/>
  <c r="BY334" i="29"/>
  <c r="BO335" i="29"/>
  <c r="BR334" i="29"/>
  <c r="BN335" i="29"/>
  <c r="T333" i="29"/>
  <c r="S333" i="29"/>
  <c r="V332" i="29"/>
  <c r="AF332" i="29"/>
  <c r="AE332" i="29"/>
  <c r="BQ335" i="29"/>
  <c r="BQ336" i="29" s="1"/>
  <c r="K333" i="29"/>
  <c r="L332" i="29"/>
  <c r="J333" i="29"/>
  <c r="U332" i="29"/>
  <c r="CC330" i="29"/>
  <c r="Q331" i="29"/>
  <c r="R331" i="29"/>
  <c r="CA331" i="29"/>
  <c r="BU331" i="29" s="1"/>
  <c r="W330" i="29"/>
  <c r="Y330" i="29" s="1"/>
  <c r="AA330" i="29"/>
  <c r="CB331" i="29"/>
  <c r="BV331" i="29" s="1"/>
  <c r="M330" i="29"/>
  <c r="BZ312" i="29"/>
  <c r="BX313" i="29" s="1"/>
  <c r="AZ332" i="29"/>
  <c r="BH332" i="29"/>
  <c r="BB332" i="29" s="1"/>
  <c r="BC333" i="29"/>
  <c r="BF333" i="29" s="1"/>
  <c r="BP333" i="29"/>
  <c r="BE333" i="29"/>
  <c r="BG333" i="29" s="1"/>
  <c r="BA333" i="29" s="1"/>
  <c r="BD334" i="29"/>
  <c r="BI333" i="29"/>
  <c r="R332" i="29" l="1"/>
  <c r="Q332" i="29"/>
  <c r="K334" i="29"/>
  <c r="L333" i="29"/>
  <c r="J334" i="29"/>
  <c r="CC331" i="29"/>
  <c r="U333" i="29"/>
  <c r="BO336" i="29"/>
  <c r="BY335" i="29"/>
  <c r="BR335" i="29"/>
  <c r="BN336" i="29"/>
  <c r="X331" i="29"/>
  <c r="M331" i="29"/>
  <c r="CA332" i="29"/>
  <c r="BU332" i="29" s="1"/>
  <c r="AA331" i="29"/>
  <c r="CB332" i="29"/>
  <c r="BV332" i="29" s="1"/>
  <c r="W331" i="29"/>
  <c r="Y331" i="29" s="1"/>
  <c r="T334" i="29"/>
  <c r="V333" i="29"/>
  <c r="S334" i="29"/>
  <c r="AE333" i="29"/>
  <c r="AF333" i="29"/>
  <c r="BZ313" i="29"/>
  <c r="BX314" i="29" s="1"/>
  <c r="BE334" i="29"/>
  <c r="BG334" i="29" s="1"/>
  <c r="BA334" i="29" s="1"/>
  <c r="BC334" i="29"/>
  <c r="BF334" i="29" s="1"/>
  <c r="BD335" i="29"/>
  <c r="BP334" i="29"/>
  <c r="AZ333" i="29"/>
  <c r="BH333" i="29"/>
  <c r="BB333" i="29" s="1"/>
  <c r="V334" i="29" l="1"/>
  <c r="S335" i="29"/>
  <c r="T335" i="29"/>
  <c r="AF334" i="29"/>
  <c r="AE334" i="29"/>
  <c r="BY336" i="29"/>
  <c r="BN337" i="29"/>
  <c r="BO337" i="29"/>
  <c r="BR336" i="29"/>
  <c r="BQ337" i="29"/>
  <c r="L334" i="29"/>
  <c r="K335" i="29"/>
  <c r="J335" i="29"/>
  <c r="R333" i="29"/>
  <c r="Q333" i="29"/>
  <c r="CA333" i="29"/>
  <c r="BU333" i="29" s="1"/>
  <c r="W332" i="29"/>
  <c r="AA332" i="29"/>
  <c r="U334" i="29"/>
  <c r="AC334" i="29" s="1"/>
  <c r="CC332" i="29"/>
  <c r="AB333" i="29"/>
  <c r="AC333" i="29"/>
  <c r="BZ314" i="29"/>
  <c r="BX315" i="29" s="1"/>
  <c r="BH334" i="29"/>
  <c r="BB334" i="29" s="1"/>
  <c r="AZ334" i="29"/>
  <c r="BE335" i="29"/>
  <c r="BG335" i="29" s="1"/>
  <c r="BA335" i="29" s="1"/>
  <c r="BD336" i="29"/>
  <c r="BP335" i="29"/>
  <c r="BC335" i="29"/>
  <c r="BF335" i="29" s="1"/>
  <c r="AB334" i="29" l="1"/>
  <c r="BQ338" i="29"/>
  <c r="U335" i="29"/>
  <c r="AB335" i="29" s="1"/>
  <c r="T336" i="29"/>
  <c r="V335" i="29"/>
  <c r="S336" i="29"/>
  <c r="AE335" i="29"/>
  <c r="AF335" i="29"/>
  <c r="Q334" i="29"/>
  <c r="X334" i="29" s="1"/>
  <c r="R334" i="29"/>
  <c r="X333" i="29"/>
  <c r="AA333" i="29"/>
  <c r="W333" i="29"/>
  <c r="Y333" i="29" s="1"/>
  <c r="M333" i="29"/>
  <c r="CB334" i="29"/>
  <c r="BV334" i="29" s="1"/>
  <c r="CA334" i="29"/>
  <c r="BU334" i="29" s="1"/>
  <c r="K336" i="29"/>
  <c r="L335" i="29"/>
  <c r="J336" i="29"/>
  <c r="BO338" i="29"/>
  <c r="BR337" i="29"/>
  <c r="BN338" i="29"/>
  <c r="BY337" i="29"/>
  <c r="BZ315" i="29"/>
  <c r="BX316" i="29" s="1"/>
  <c r="AZ335" i="29"/>
  <c r="BH335" i="29"/>
  <c r="BB335" i="29" s="1"/>
  <c r="BE336" i="29"/>
  <c r="BG336" i="29" s="1"/>
  <c r="BA336" i="29" s="1"/>
  <c r="BP336" i="29"/>
  <c r="BC336" i="29"/>
  <c r="BF336" i="29" s="1"/>
  <c r="BD337" i="29"/>
  <c r="BO339" i="29" l="1"/>
  <c r="BN339" i="29"/>
  <c r="BR338" i="29"/>
  <c r="BY338" i="29"/>
  <c r="CC334" i="29"/>
  <c r="BQ339" i="29"/>
  <c r="U336" i="29"/>
  <c r="AC336" i="29" s="1"/>
  <c r="R335" i="29"/>
  <c r="Q335" i="29"/>
  <c r="M334" i="29"/>
  <c r="W334" i="29"/>
  <c r="Y334" i="29" s="1"/>
  <c r="AA334" i="29"/>
  <c r="CB335" i="29"/>
  <c r="BV335" i="29" s="1"/>
  <c r="CA335" i="29"/>
  <c r="BU335" i="29" s="1"/>
  <c r="K337" i="29"/>
  <c r="J337" i="29"/>
  <c r="L336" i="29"/>
  <c r="S337" i="29"/>
  <c r="V336" i="29"/>
  <c r="T337" i="29"/>
  <c r="AE336" i="29"/>
  <c r="AF336" i="29"/>
  <c r="AC335" i="29"/>
  <c r="BZ316" i="29"/>
  <c r="BX317" i="29" s="1"/>
  <c r="BP337" i="29"/>
  <c r="BE337" i="29"/>
  <c r="BG337" i="29" s="1"/>
  <c r="BA337" i="29" s="1"/>
  <c r="BD338" i="29"/>
  <c r="BC337" i="29"/>
  <c r="BF337" i="29" s="1"/>
  <c r="AZ336" i="29"/>
  <c r="BH336" i="29"/>
  <c r="BB336" i="29" s="1"/>
  <c r="K338" i="29" l="1"/>
  <c r="L337" i="29"/>
  <c r="J338" i="29"/>
  <c r="S338" i="29"/>
  <c r="V337" i="29"/>
  <c r="T338" i="29"/>
  <c r="AE337" i="29"/>
  <c r="AF337" i="29"/>
  <c r="CC335" i="29"/>
  <c r="BQ340" i="29"/>
  <c r="X335" i="29"/>
  <c r="M335" i="29"/>
  <c r="CA336" i="29"/>
  <c r="BU336" i="29" s="1"/>
  <c r="W335" i="29"/>
  <c r="Y335" i="29" s="1"/>
  <c r="AA335" i="29"/>
  <c r="CB336" i="29"/>
  <c r="BV336" i="29" s="1"/>
  <c r="R336" i="29"/>
  <c r="Q336" i="29"/>
  <c r="BR339" i="29"/>
  <c r="BY339" i="29"/>
  <c r="BO340" i="29"/>
  <c r="BN340" i="29"/>
  <c r="U337" i="29"/>
  <c r="AC337" i="29" s="1"/>
  <c r="AB336" i="29"/>
  <c r="BZ317" i="29"/>
  <c r="BX318" i="29" s="1"/>
  <c r="AZ337" i="29"/>
  <c r="BH337" i="29"/>
  <c r="BB337" i="29" s="1"/>
  <c r="BP338" i="29"/>
  <c r="BD339" i="29"/>
  <c r="BC338" i="29"/>
  <c r="BF338" i="29" s="1"/>
  <c r="BE338" i="29"/>
  <c r="BG338" i="29" s="1"/>
  <c r="BA338" i="29" s="1"/>
  <c r="AB337" i="29" l="1"/>
  <c r="CC336" i="29"/>
  <c r="BQ341" i="29"/>
  <c r="BQ342" i="29" s="1"/>
  <c r="S339" i="29"/>
  <c r="T339" i="29"/>
  <c r="V338" i="29"/>
  <c r="AE338" i="29"/>
  <c r="AF338" i="29"/>
  <c r="M336" i="29"/>
  <c r="CB337" i="29"/>
  <c r="BV337" i="29" s="1"/>
  <c r="AA336" i="29"/>
  <c r="W336" i="29"/>
  <c r="Y336" i="29" s="1"/>
  <c r="CA337" i="29"/>
  <c r="BU337" i="29" s="1"/>
  <c r="K339" i="29"/>
  <c r="L338" i="29"/>
  <c r="J339" i="29"/>
  <c r="Q337" i="29"/>
  <c r="R337" i="29"/>
  <c r="BN341" i="29"/>
  <c r="BR340" i="29"/>
  <c r="BO341" i="29"/>
  <c r="BY340" i="29"/>
  <c r="X336" i="29"/>
  <c r="U338" i="29"/>
  <c r="AC338" i="29" s="1"/>
  <c r="AZ338" i="29"/>
  <c r="BH338" i="29"/>
  <c r="BB338" i="29" s="1"/>
  <c r="BZ318" i="29"/>
  <c r="BX319" i="29" s="1"/>
  <c r="BD340" i="29"/>
  <c r="BC339" i="29"/>
  <c r="BF339" i="29" s="1"/>
  <c r="BE339" i="29"/>
  <c r="BG339" i="29" s="1"/>
  <c r="BA339" i="29" s="1"/>
  <c r="BP339" i="29"/>
  <c r="AB338" i="29" l="1"/>
  <c r="CC337" i="29"/>
  <c r="BR341" i="29"/>
  <c r="BY341" i="29"/>
  <c r="BN342" i="29"/>
  <c r="BO342" i="29"/>
  <c r="U339" i="29"/>
  <c r="BQ343" i="29"/>
  <c r="CB338" i="29"/>
  <c r="BV338" i="29" s="1"/>
  <c r="AA337" i="29"/>
  <c r="W337" i="29"/>
  <c r="Y337" i="29" s="1"/>
  <c r="M337" i="29"/>
  <c r="CA338" i="29"/>
  <c r="BU338" i="29" s="1"/>
  <c r="L339" i="29"/>
  <c r="K340" i="29"/>
  <c r="J340" i="29"/>
  <c r="Q338" i="29"/>
  <c r="X338" i="29" s="1"/>
  <c r="R338" i="29"/>
  <c r="X337" i="29"/>
  <c r="T340" i="29"/>
  <c r="V339" i="29"/>
  <c r="S340" i="29"/>
  <c r="AF339" i="29"/>
  <c r="AE339" i="29"/>
  <c r="BZ319" i="29"/>
  <c r="BX320" i="29" s="1"/>
  <c r="AZ339" i="29"/>
  <c r="BH339" i="29"/>
  <c r="BB339" i="29" s="1"/>
  <c r="BP340" i="29"/>
  <c r="BC340" i="29"/>
  <c r="BF340" i="29" s="1"/>
  <c r="BD341" i="29"/>
  <c r="BE340" i="29"/>
  <c r="BG340" i="29" s="1"/>
  <c r="BA340" i="29" s="1"/>
  <c r="R339" i="29" l="1"/>
  <c r="Q339" i="29"/>
  <c r="X339" i="29" s="1"/>
  <c r="CC338" i="29"/>
  <c r="AC339" i="29"/>
  <c r="T341" i="29"/>
  <c r="V340" i="29"/>
  <c r="S341" i="29"/>
  <c r="AF340" i="29"/>
  <c r="AE340" i="29"/>
  <c r="U340" i="29"/>
  <c r="AB339" i="29"/>
  <c r="AA338" i="29"/>
  <c r="CB339" i="29"/>
  <c r="BV339" i="29" s="1"/>
  <c r="CA339" i="29"/>
  <c r="BU339" i="29" s="1"/>
  <c r="M338" i="29"/>
  <c r="W338" i="29"/>
  <c r="Y338" i="29" s="1"/>
  <c r="K341" i="29"/>
  <c r="L340" i="29"/>
  <c r="J341" i="29"/>
  <c r="BQ344" i="29"/>
  <c r="BN343" i="29"/>
  <c r="BR342" i="29"/>
  <c r="BO343" i="29"/>
  <c r="BY342" i="29"/>
  <c r="BZ320" i="29"/>
  <c r="BY321" i="29" s="1"/>
  <c r="BD342" i="29"/>
  <c r="BE341" i="29"/>
  <c r="BG341" i="29" s="1"/>
  <c r="BA341" i="29" s="1"/>
  <c r="BP341" i="29"/>
  <c r="BC341" i="29"/>
  <c r="BF341" i="29" s="1"/>
  <c r="AZ340" i="29"/>
  <c r="BH340" i="29"/>
  <c r="BB340" i="29" s="1"/>
  <c r="T342" i="29" l="1"/>
  <c r="S342" i="29"/>
  <c r="V341" i="29"/>
  <c r="AF341" i="29"/>
  <c r="AE341" i="29"/>
  <c r="L341" i="29"/>
  <c r="K342" i="29"/>
  <c r="J342" i="29"/>
  <c r="R340" i="29"/>
  <c r="Q340" i="29"/>
  <c r="M339" i="29"/>
  <c r="CA340" i="29"/>
  <c r="BU340" i="29" s="1"/>
  <c r="W339" i="29"/>
  <c r="Y339" i="29" s="1"/>
  <c r="CB340" i="29"/>
  <c r="BV340" i="29" s="1"/>
  <c r="AA339" i="29"/>
  <c r="CC339" i="29"/>
  <c r="AC340" i="29"/>
  <c r="U341" i="29"/>
  <c r="AB341" i="29" s="1"/>
  <c r="BY343" i="29"/>
  <c r="BN344" i="29"/>
  <c r="BO344" i="29"/>
  <c r="BR343" i="29"/>
  <c r="AB340" i="29"/>
  <c r="BW321" i="29"/>
  <c r="BX321" i="29"/>
  <c r="BP342" i="29"/>
  <c r="BC342" i="29"/>
  <c r="BF342" i="29" s="1"/>
  <c r="BE342" i="29"/>
  <c r="BG342" i="29" s="1"/>
  <c r="BA342" i="29" s="1"/>
  <c r="BD343" i="29"/>
  <c r="AZ341" i="29"/>
  <c r="BH341" i="29"/>
  <c r="BB341" i="29" s="1"/>
  <c r="AC341" i="29" l="1"/>
  <c r="W340" i="29"/>
  <c r="Y340" i="29" s="1"/>
  <c r="AA340" i="29"/>
  <c r="M340" i="29"/>
  <c r="CB341" i="29"/>
  <c r="BV341" i="29" s="1"/>
  <c r="CA341" i="29"/>
  <c r="BU341" i="29" s="1"/>
  <c r="CC340" i="29"/>
  <c r="U342" i="29"/>
  <c r="BR344" i="29"/>
  <c r="BO345" i="29"/>
  <c r="BY344" i="29"/>
  <c r="BN345" i="29"/>
  <c r="BQ345" i="29"/>
  <c r="BQ346" i="29" s="1"/>
  <c r="V342" i="29"/>
  <c r="S343" i="29"/>
  <c r="T343" i="29"/>
  <c r="AE342" i="29"/>
  <c r="AF342" i="29"/>
  <c r="R341" i="29"/>
  <c r="Q341" i="29"/>
  <c r="X340" i="29"/>
  <c r="L342" i="29"/>
  <c r="J343" i="29"/>
  <c r="K343" i="29"/>
  <c r="BH342" i="29"/>
  <c r="BB342" i="29" s="1"/>
  <c r="AZ342" i="29"/>
  <c r="BD344" i="29"/>
  <c r="BP343" i="29"/>
  <c r="BE343" i="29"/>
  <c r="BG343" i="29" s="1"/>
  <c r="BA343" i="29" s="1"/>
  <c r="BC343" i="29"/>
  <c r="BF343" i="29" s="1"/>
  <c r="BZ321" i="29"/>
  <c r="BX322" i="29" s="1"/>
  <c r="BT321" i="29"/>
  <c r="M320" i="29" s="1"/>
  <c r="BS321" i="29"/>
  <c r="X341" i="29" l="1"/>
  <c r="W341" i="29"/>
  <c r="Y341" i="29" s="1"/>
  <c r="M341" i="29"/>
  <c r="CB342" i="29"/>
  <c r="BV342" i="29" s="1"/>
  <c r="AA341" i="29"/>
  <c r="CA342" i="29"/>
  <c r="BU342" i="29" s="1"/>
  <c r="R342" i="29"/>
  <c r="Q342" i="29"/>
  <c r="U343" i="29"/>
  <c r="AC343" i="29" s="1"/>
  <c r="AC342" i="29"/>
  <c r="CC341" i="29"/>
  <c r="L343" i="29"/>
  <c r="K344" i="29"/>
  <c r="J344" i="29"/>
  <c r="T344" i="29"/>
  <c r="S344" i="29"/>
  <c r="V343" i="29"/>
  <c r="AE343" i="29"/>
  <c r="AF343" i="29"/>
  <c r="BN346" i="29"/>
  <c r="BO346" i="29"/>
  <c r="BR345" i="29"/>
  <c r="AB342" i="29"/>
  <c r="BQ347" i="29"/>
  <c r="BZ322" i="29"/>
  <c r="BX323" i="29" s="1"/>
  <c r="BE344" i="29"/>
  <c r="BG344" i="29" s="1"/>
  <c r="BA344" i="29" s="1"/>
  <c r="BC344" i="29"/>
  <c r="BF344" i="29" s="1"/>
  <c r="BD345" i="29"/>
  <c r="BP344" i="29"/>
  <c r="H36" i="29"/>
  <c r="K29" i="40" s="1"/>
  <c r="X320" i="29"/>
  <c r="Y320" i="29" s="1"/>
  <c r="Z320" i="29" s="1"/>
  <c r="AZ343" i="29"/>
  <c r="BH343" i="29"/>
  <c r="BB343" i="29" s="1"/>
  <c r="AB320" i="29" l="1"/>
  <c r="AC320" i="29"/>
  <c r="Z321" i="29"/>
  <c r="Z322" i="29" s="1"/>
  <c r="Z323" i="29" s="1"/>
  <c r="Z324" i="29" s="1"/>
  <c r="Z325" i="29" s="1"/>
  <c r="Z326" i="29" s="1"/>
  <c r="Z327" i="29" s="1"/>
  <c r="Z328" i="29" s="1"/>
  <c r="Z329" i="29" s="1"/>
  <c r="Z330" i="29" s="1"/>
  <c r="Z331" i="29" s="1"/>
  <c r="CB333" i="29"/>
  <c r="G36" i="29"/>
  <c r="L29" i="40" s="1"/>
  <c r="AB343" i="29"/>
  <c r="CC342" i="29"/>
  <c r="AA342" i="29"/>
  <c r="M342" i="29"/>
  <c r="W342" i="29"/>
  <c r="Y342" i="29" s="1"/>
  <c r="CA343" i="29"/>
  <c r="BU343" i="29" s="1"/>
  <c r="CB343" i="29"/>
  <c r="BV343" i="29" s="1"/>
  <c r="BN347" i="29"/>
  <c r="BO347" i="29"/>
  <c r="BY346" i="29"/>
  <c r="BR346" i="29"/>
  <c r="J345" i="29"/>
  <c r="K345" i="29"/>
  <c r="L344" i="29"/>
  <c r="Q343" i="29"/>
  <c r="R343" i="29"/>
  <c r="X342" i="29"/>
  <c r="BQ348" i="29"/>
  <c r="U344" i="29"/>
  <c r="S345" i="29"/>
  <c r="T345" i="29"/>
  <c r="V344" i="29"/>
  <c r="AE344" i="29"/>
  <c r="AF344" i="29"/>
  <c r="D176" i="15"/>
  <c r="I45" i="39"/>
  <c r="H29" i="44" s="1"/>
  <c r="D29" i="45" s="1"/>
  <c r="K29" i="45" s="1"/>
  <c r="L29" i="45" s="1"/>
  <c r="J30" i="45" s="1"/>
  <c r="G43" i="15"/>
  <c r="BE345" i="29"/>
  <c r="BG345" i="29" s="1"/>
  <c r="BA345" i="29" s="1"/>
  <c r="BP345" i="29"/>
  <c r="BI345" i="29"/>
  <c r="BC345" i="29"/>
  <c r="BF345" i="29" s="1"/>
  <c r="BD346" i="29"/>
  <c r="BZ323" i="29"/>
  <c r="BX324" i="29" s="1"/>
  <c r="AZ344" i="29"/>
  <c r="BH344" i="29"/>
  <c r="BB344" i="29" s="1"/>
  <c r="BA98" i="44" l="1"/>
  <c r="BL98" i="44"/>
  <c r="AQ98" i="44"/>
  <c r="BE98" i="44"/>
  <c r="AU98" i="44"/>
  <c r="BP98" i="44"/>
  <c r="BF98" i="44"/>
  <c r="AP98" i="44"/>
  <c r="BD98" i="44"/>
  <c r="BM98" i="44"/>
  <c r="BR98" i="44"/>
  <c r="BB98" i="44"/>
  <c r="AL98" i="44"/>
  <c r="AY98" i="44"/>
  <c r="BH98" i="44"/>
  <c r="BN98" i="44"/>
  <c r="BO98" i="44"/>
  <c r="BC98" i="44"/>
  <c r="AV98" i="44"/>
  <c r="AX98" i="44"/>
  <c r="AS98" i="44"/>
  <c r="AR98" i="44"/>
  <c r="BQ98" i="44"/>
  <c r="AZ98" i="44"/>
  <c r="BI98" i="44"/>
  <c r="AK98" i="44"/>
  <c r="BK98" i="44"/>
  <c r="AM98" i="44"/>
  <c r="AO98" i="44"/>
  <c r="AN98" i="44"/>
  <c r="BG98" i="44"/>
  <c r="BJ98" i="44"/>
  <c r="AW98" i="44"/>
  <c r="AT98" i="44"/>
  <c r="BV333" i="29"/>
  <c r="CC333" i="29"/>
  <c r="F176" i="15"/>
  <c r="L45" i="39"/>
  <c r="U345" i="29"/>
  <c r="AC345" i="29" s="1"/>
  <c r="AA343" i="29"/>
  <c r="CB344" i="29"/>
  <c r="BV344" i="29" s="1"/>
  <c r="CA344" i="29"/>
  <c r="BU344" i="29" s="1"/>
  <c r="M343" i="29"/>
  <c r="W343" i="29"/>
  <c r="Y343" i="29" s="1"/>
  <c r="CC343" i="29"/>
  <c r="V345" i="29"/>
  <c r="S346" i="29"/>
  <c r="T346" i="29"/>
  <c r="AE345" i="29"/>
  <c r="AF345" i="29"/>
  <c r="Q344" i="29"/>
  <c r="R344" i="29"/>
  <c r="X343" i="29"/>
  <c r="L345" i="29"/>
  <c r="K346" i="29"/>
  <c r="J346" i="29"/>
  <c r="BR347" i="29"/>
  <c r="BY347" i="29"/>
  <c r="BO348" i="29"/>
  <c r="BN348" i="29"/>
  <c r="BZ324" i="29"/>
  <c r="BX325" i="29" s="1"/>
  <c r="BD347" i="29"/>
  <c r="BC346" i="29"/>
  <c r="BF346" i="29" s="1"/>
  <c r="BE346" i="29"/>
  <c r="BG346" i="29" s="1"/>
  <c r="BA346" i="29" s="1"/>
  <c r="BP346" i="29"/>
  <c r="AZ345" i="29"/>
  <c r="BH345" i="29"/>
  <c r="BB345" i="29" s="1"/>
  <c r="CC344" i="29" l="1"/>
  <c r="BO349" i="29"/>
  <c r="BR348" i="29"/>
  <c r="BY348" i="29"/>
  <c r="BN349" i="29"/>
  <c r="L346" i="29"/>
  <c r="K347" i="29"/>
  <c r="J347" i="29"/>
  <c r="AA344" i="29"/>
  <c r="CA345" i="29"/>
  <c r="BU345" i="29" s="1"/>
  <c r="W344" i="29"/>
  <c r="U346" i="29"/>
  <c r="T347" i="29"/>
  <c r="V346" i="29"/>
  <c r="S347" i="29"/>
  <c r="AF346" i="29"/>
  <c r="AE346" i="29"/>
  <c r="R345" i="29"/>
  <c r="Q345" i="29"/>
  <c r="BQ349" i="29"/>
  <c r="BQ350" i="29" s="1"/>
  <c r="AB345" i="29"/>
  <c r="BD348" i="29"/>
  <c r="BP347" i="29"/>
  <c r="BE347" i="29"/>
  <c r="BG347" i="29" s="1"/>
  <c r="BA347" i="29" s="1"/>
  <c r="BC347" i="29"/>
  <c r="BF347" i="29" s="1"/>
  <c r="BH346" i="29"/>
  <c r="BB346" i="29" s="1"/>
  <c r="AZ346" i="29"/>
  <c r="BZ325" i="29"/>
  <c r="BX326" i="29" s="1"/>
  <c r="K348" i="29" l="1"/>
  <c r="J348" i="29"/>
  <c r="L347" i="29"/>
  <c r="X345" i="29"/>
  <c r="AA345" i="29"/>
  <c r="CA346" i="29"/>
  <c r="BU346" i="29" s="1"/>
  <c r="M345" i="29"/>
  <c r="W345" i="29"/>
  <c r="Y345" i="29" s="1"/>
  <c r="CB346" i="29"/>
  <c r="BV346" i="29" s="1"/>
  <c r="U347" i="29"/>
  <c r="AB347" i="29" s="1"/>
  <c r="R346" i="29"/>
  <c r="Q346" i="29"/>
  <c r="AC346" i="29"/>
  <c r="T348" i="29"/>
  <c r="S348" i="29"/>
  <c r="V347" i="29"/>
  <c r="AF347" i="29"/>
  <c r="AE347" i="29"/>
  <c r="AB346" i="29"/>
  <c r="BY349" i="29"/>
  <c r="BR349" i="29"/>
  <c r="BN350" i="29"/>
  <c r="BO350" i="29"/>
  <c r="BQ351" i="29"/>
  <c r="AZ347" i="29"/>
  <c r="BH347" i="29"/>
  <c r="BB347" i="29" s="1"/>
  <c r="BZ326" i="29"/>
  <c r="BX327" i="29" s="1"/>
  <c r="BE348" i="29"/>
  <c r="BG348" i="29" s="1"/>
  <c r="BA348" i="29" s="1"/>
  <c r="BC348" i="29"/>
  <c r="BF348" i="29" s="1"/>
  <c r="BD349" i="29"/>
  <c r="BP348" i="29"/>
  <c r="L348" i="29" l="1"/>
  <c r="J349" i="29"/>
  <c r="K349" i="29"/>
  <c r="U348" i="29"/>
  <c r="AC348" i="29" s="1"/>
  <c r="W346" i="29"/>
  <c r="Y346" i="29" s="1"/>
  <c r="CA347" i="29"/>
  <c r="BU347" i="29" s="1"/>
  <c r="CB347" i="29"/>
  <c r="BV347" i="29" s="1"/>
  <c r="AA346" i="29"/>
  <c r="M346" i="29"/>
  <c r="Q347" i="29"/>
  <c r="X347" i="29" s="1"/>
  <c r="R347" i="29"/>
  <c r="BO351" i="29"/>
  <c r="BY350" i="29"/>
  <c r="BR350" i="29"/>
  <c r="BN351" i="29"/>
  <c r="T349" i="29"/>
  <c r="S349" i="29"/>
  <c r="V348" i="29"/>
  <c r="AF348" i="29"/>
  <c r="AE348" i="29"/>
  <c r="X346" i="29"/>
  <c r="AC347" i="29"/>
  <c r="CC346" i="29"/>
  <c r="BZ327" i="29"/>
  <c r="BX328" i="29" s="1"/>
  <c r="BC349" i="29"/>
  <c r="BF349" i="29" s="1"/>
  <c r="BE349" i="29"/>
  <c r="BG349" i="29" s="1"/>
  <c r="BA349" i="29" s="1"/>
  <c r="BP349" i="29"/>
  <c r="BD350" i="29"/>
  <c r="AZ348" i="29"/>
  <c r="BH348" i="29"/>
  <c r="BB348" i="29" s="1"/>
  <c r="BR351" i="29" l="1"/>
  <c r="BO352" i="29"/>
  <c r="BY351" i="29"/>
  <c r="BN352" i="29"/>
  <c r="R348" i="29"/>
  <c r="Q348" i="29"/>
  <c r="X348" i="29" s="1"/>
  <c r="U349" i="29"/>
  <c r="CC347" i="29"/>
  <c r="AB348" i="29"/>
  <c r="BQ352" i="29"/>
  <c r="T350" i="29"/>
  <c r="V349" i="29"/>
  <c r="S350" i="29"/>
  <c r="AF349" i="29"/>
  <c r="AE349" i="29"/>
  <c r="AA347" i="29"/>
  <c r="W347" i="29"/>
  <c r="Y347" i="29" s="1"/>
  <c r="CA348" i="29"/>
  <c r="BU348" i="29" s="1"/>
  <c r="CB348" i="29"/>
  <c r="BV348" i="29" s="1"/>
  <c r="M347" i="29"/>
  <c r="L349" i="29"/>
  <c r="K350" i="29"/>
  <c r="J350" i="29"/>
  <c r="BZ328" i="29"/>
  <c r="BX329" i="29" s="1"/>
  <c r="BD351" i="29"/>
  <c r="BE350" i="29"/>
  <c r="BG350" i="29" s="1"/>
  <c r="BA350" i="29" s="1"/>
  <c r="BC350" i="29"/>
  <c r="BF350" i="29" s="1"/>
  <c r="BP350" i="29"/>
  <c r="AZ349" i="29"/>
  <c r="BH349" i="29"/>
  <c r="BB349" i="29" s="1"/>
  <c r="J351" i="29" l="1"/>
  <c r="K351" i="29"/>
  <c r="L350" i="29"/>
  <c r="T351" i="29"/>
  <c r="S351" i="29"/>
  <c r="V350" i="29"/>
  <c r="AF350" i="29"/>
  <c r="AE350" i="29"/>
  <c r="Q349" i="29"/>
  <c r="X349" i="29" s="1"/>
  <c r="R349" i="29"/>
  <c r="BY352" i="29"/>
  <c r="BN353" i="29"/>
  <c r="BR352" i="29"/>
  <c r="BO353" i="29"/>
  <c r="BQ353" i="29"/>
  <c r="AB349" i="29"/>
  <c r="CC348" i="29"/>
  <c r="U350" i="29"/>
  <c r="AC350" i="29" s="1"/>
  <c r="AC349" i="29"/>
  <c r="M348" i="29"/>
  <c r="CB349" i="29"/>
  <c r="BV349" i="29" s="1"/>
  <c r="AA348" i="29"/>
  <c r="W348" i="29"/>
  <c r="Y348" i="29" s="1"/>
  <c r="CA349" i="29"/>
  <c r="BU349" i="29" s="1"/>
  <c r="BZ329" i="29"/>
  <c r="BX330" i="29" s="1"/>
  <c r="BP351" i="29"/>
  <c r="BD352" i="29"/>
  <c r="BC351" i="29"/>
  <c r="BF351" i="29" s="1"/>
  <c r="BE351" i="29"/>
  <c r="BG351" i="29" s="1"/>
  <c r="BA351" i="29" s="1"/>
  <c r="BH350" i="29"/>
  <c r="BB350" i="29" s="1"/>
  <c r="AZ350" i="29"/>
  <c r="CC349" i="29" l="1"/>
  <c r="J352" i="29"/>
  <c r="K352" i="29"/>
  <c r="L351" i="29"/>
  <c r="BY353" i="29"/>
  <c r="BN354" i="29"/>
  <c r="BO354" i="29"/>
  <c r="BR353" i="29"/>
  <c r="R350" i="29"/>
  <c r="Q350" i="29"/>
  <c r="X350" i="29" s="1"/>
  <c r="W349" i="29"/>
  <c r="Y349" i="29" s="1"/>
  <c r="M349" i="29"/>
  <c r="AA349" i="29"/>
  <c r="CA350" i="29"/>
  <c r="BU350" i="29" s="1"/>
  <c r="CB350" i="29"/>
  <c r="BV350" i="29" s="1"/>
  <c r="U351" i="29"/>
  <c r="AB351" i="29" s="1"/>
  <c r="AB350" i="29"/>
  <c r="BQ354" i="29"/>
  <c r="BQ355" i="29" s="1"/>
  <c r="V351" i="29"/>
  <c r="S352" i="29"/>
  <c r="T352" i="29"/>
  <c r="AF351" i="29"/>
  <c r="AE351" i="29"/>
  <c r="BZ330" i="29"/>
  <c r="BX331" i="29" s="1"/>
  <c r="BP352" i="29"/>
  <c r="BE352" i="29"/>
  <c r="BG352" i="29" s="1"/>
  <c r="BA352" i="29" s="1"/>
  <c r="BD353" i="29"/>
  <c r="BC352" i="29"/>
  <c r="BF352" i="29" s="1"/>
  <c r="AZ351" i="29"/>
  <c r="BH351" i="29"/>
  <c r="BB351" i="29" s="1"/>
  <c r="CC350" i="29" l="1"/>
  <c r="AC351" i="29"/>
  <c r="BY354" i="29"/>
  <c r="BN355" i="29"/>
  <c r="BR354" i="29"/>
  <c r="BO355" i="29"/>
  <c r="J353" i="29"/>
  <c r="K353" i="29"/>
  <c r="L352" i="29"/>
  <c r="V352" i="29"/>
  <c r="T353" i="29"/>
  <c r="S353" i="29"/>
  <c r="AE352" i="29"/>
  <c r="AF352" i="29"/>
  <c r="M350" i="29"/>
  <c r="AA350" i="29"/>
  <c r="W350" i="29"/>
  <c r="Y350" i="29" s="1"/>
  <c r="CB351" i="29"/>
  <c r="BV351" i="29" s="1"/>
  <c r="CA351" i="29"/>
  <c r="BU351" i="29" s="1"/>
  <c r="U352" i="29"/>
  <c r="R351" i="29"/>
  <c r="Q351" i="29"/>
  <c r="X351" i="29" s="1"/>
  <c r="BZ331" i="29"/>
  <c r="BX332" i="29" s="1"/>
  <c r="BH352" i="29"/>
  <c r="BB352" i="29" s="1"/>
  <c r="AZ352" i="29"/>
  <c r="BD354" i="29"/>
  <c r="BP353" i="29"/>
  <c r="BC353" i="29"/>
  <c r="BF353" i="29" s="1"/>
  <c r="BE353" i="29"/>
  <c r="BG353" i="29" s="1"/>
  <c r="BA353" i="29" s="1"/>
  <c r="CC351" i="29" l="1"/>
  <c r="Q352" i="29"/>
  <c r="X352" i="29" s="1"/>
  <c r="R352" i="29"/>
  <c r="U353" i="29"/>
  <c r="AB353" i="29" s="1"/>
  <c r="J354" i="29"/>
  <c r="L353" i="29"/>
  <c r="K354" i="29"/>
  <c r="AC352" i="29"/>
  <c r="V353" i="29"/>
  <c r="T354" i="29"/>
  <c r="S354" i="29"/>
  <c r="AF353" i="29"/>
  <c r="AE353" i="29"/>
  <c r="W351" i="29"/>
  <c r="Y351" i="29" s="1"/>
  <c r="CB352" i="29"/>
  <c r="BV352" i="29" s="1"/>
  <c r="M351" i="29"/>
  <c r="CA352" i="29"/>
  <c r="BU352" i="29" s="1"/>
  <c r="AA351" i="29"/>
  <c r="AB352" i="29"/>
  <c r="BY355" i="29"/>
  <c r="BO356" i="29"/>
  <c r="BN356" i="29"/>
  <c r="BR355" i="29"/>
  <c r="BQ356" i="29"/>
  <c r="BZ332" i="29"/>
  <c r="BY333" i="29" s="1"/>
  <c r="AZ353" i="29"/>
  <c r="BH353" i="29"/>
  <c r="BB353" i="29" s="1"/>
  <c r="BC354" i="29"/>
  <c r="BF354" i="29" s="1"/>
  <c r="BP354" i="29"/>
  <c r="BE354" i="29"/>
  <c r="BG354" i="29" s="1"/>
  <c r="BA354" i="29" s="1"/>
  <c r="BD355" i="29"/>
  <c r="AC353" i="29" l="1"/>
  <c r="BW333" i="29"/>
  <c r="BS333" i="29" s="1"/>
  <c r="BX333" i="29"/>
  <c r="BZ333" i="29" s="1"/>
  <c r="BX334" i="29" s="1"/>
  <c r="CC352" i="29"/>
  <c r="U354" i="29"/>
  <c r="AC354" i="29" s="1"/>
  <c r="R353" i="29"/>
  <c r="Q353" i="29"/>
  <c r="X353" i="29" s="1"/>
  <c r="BY356" i="29"/>
  <c r="BO357" i="29"/>
  <c r="BN357" i="29"/>
  <c r="BR356" i="29"/>
  <c r="V354" i="29"/>
  <c r="S355" i="29"/>
  <c r="T355" i="29"/>
  <c r="AF354" i="29"/>
  <c r="AE354" i="29"/>
  <c r="K355" i="29"/>
  <c r="J355" i="29"/>
  <c r="L354" i="29"/>
  <c r="CA353" i="29"/>
  <c r="BU353" i="29" s="1"/>
  <c r="CB353" i="29"/>
  <c r="BV353" i="29" s="1"/>
  <c r="AA352" i="29"/>
  <c r="W352" i="29"/>
  <c r="Y352" i="29" s="1"/>
  <c r="M352" i="29"/>
  <c r="BQ357" i="29"/>
  <c r="BQ358" i="29" s="1"/>
  <c r="AZ354" i="29"/>
  <c r="BH354" i="29"/>
  <c r="BB354" i="29" s="1"/>
  <c r="BP355" i="29"/>
  <c r="BC355" i="29"/>
  <c r="BF355" i="29" s="1"/>
  <c r="BE355" i="29"/>
  <c r="BG355" i="29" s="1"/>
  <c r="BA355" i="29" s="1"/>
  <c r="BD356" i="29"/>
  <c r="BT333" i="29" l="1"/>
  <c r="M332" i="29" s="1"/>
  <c r="R354" i="29"/>
  <c r="Q354" i="29"/>
  <c r="X354" i="29" s="1"/>
  <c r="CA354" i="29"/>
  <c r="BU354" i="29" s="1"/>
  <c r="W353" i="29"/>
  <c r="Y353" i="29" s="1"/>
  <c r="CB354" i="29"/>
  <c r="BV354" i="29" s="1"/>
  <c r="M353" i="29"/>
  <c r="AA353" i="29"/>
  <c r="AB354" i="29"/>
  <c r="V355" i="29"/>
  <c r="S356" i="29"/>
  <c r="T356" i="29"/>
  <c r="AF355" i="29"/>
  <c r="AE355" i="29"/>
  <c r="CC353" i="29"/>
  <c r="L355" i="29"/>
  <c r="K356" i="29"/>
  <c r="J356" i="29"/>
  <c r="U355" i="29"/>
  <c r="AB355" i="29" s="1"/>
  <c r="BR357" i="29"/>
  <c r="BN358" i="29"/>
  <c r="BO358" i="29"/>
  <c r="AZ355" i="29"/>
  <c r="BH355" i="29"/>
  <c r="BB355" i="29" s="1"/>
  <c r="BP356" i="29"/>
  <c r="BC356" i="29"/>
  <c r="BF356" i="29" s="1"/>
  <c r="BD357" i="29"/>
  <c r="BE356" i="29"/>
  <c r="BG356" i="29" s="1"/>
  <c r="BA356" i="29" s="1"/>
  <c r="H37" i="29"/>
  <c r="K30" i="40" s="1"/>
  <c r="X332" i="29"/>
  <c r="Y332" i="29" s="1"/>
  <c r="Z332" i="29" s="1"/>
  <c r="BZ334" i="29"/>
  <c r="BX335" i="29" s="1"/>
  <c r="AB332" i="29" l="1"/>
  <c r="AC332" i="29"/>
  <c r="Z333" i="29"/>
  <c r="Z334" i="29" s="1"/>
  <c r="Z335" i="29" s="1"/>
  <c r="Z336" i="29" s="1"/>
  <c r="Z337" i="29" s="1"/>
  <c r="Z338" i="29" s="1"/>
  <c r="Z339" i="29" s="1"/>
  <c r="Z340" i="29" s="1"/>
  <c r="Z341" i="29" s="1"/>
  <c r="Z342" i="29" s="1"/>
  <c r="Z343" i="29" s="1"/>
  <c r="CB345" i="29"/>
  <c r="G37" i="29"/>
  <c r="L30" i="40" s="1"/>
  <c r="AC355" i="29"/>
  <c r="CC354" i="29"/>
  <c r="U356" i="29"/>
  <c r="CA355" i="29"/>
  <c r="BU355" i="29" s="1"/>
  <c r="CB355" i="29"/>
  <c r="BV355" i="29" s="1"/>
  <c r="AA354" i="29"/>
  <c r="M354" i="29"/>
  <c r="W354" i="29"/>
  <c r="Y354" i="29" s="1"/>
  <c r="S357" i="29"/>
  <c r="T357" i="29"/>
  <c r="V356" i="29"/>
  <c r="AF356" i="29"/>
  <c r="AE356" i="29"/>
  <c r="BO359" i="29"/>
  <c r="BN359" i="29"/>
  <c r="BY358" i="29"/>
  <c r="BR358" i="29"/>
  <c r="Q355" i="29"/>
  <c r="X355" i="29" s="1"/>
  <c r="R355" i="29"/>
  <c r="K357" i="29"/>
  <c r="L356" i="29"/>
  <c r="J357" i="29"/>
  <c r="BQ359" i="29"/>
  <c r="D177" i="15"/>
  <c r="I46" i="39"/>
  <c r="H30" i="44" s="1"/>
  <c r="D30" i="45" s="1"/>
  <c r="K30" i="45" s="1"/>
  <c r="L30" i="45" s="1"/>
  <c r="J31" i="45" s="1"/>
  <c r="G44" i="15"/>
  <c r="BZ335" i="29"/>
  <c r="BX336" i="29" s="1"/>
  <c r="AZ356" i="29"/>
  <c r="BH356" i="29"/>
  <c r="BB356" i="29" s="1"/>
  <c r="BE357" i="29"/>
  <c r="BG357" i="29" s="1"/>
  <c r="BA357" i="29" s="1"/>
  <c r="BI357" i="29"/>
  <c r="BC357" i="29"/>
  <c r="BF357" i="29" s="1"/>
  <c r="BP357" i="29"/>
  <c r="BD358" i="29"/>
  <c r="AP99" i="44" l="1"/>
  <c r="BK99" i="44"/>
  <c r="BI99" i="44"/>
  <c r="AS99" i="44"/>
  <c r="BC99" i="44"/>
  <c r="BR99" i="44"/>
  <c r="AV99" i="44"/>
  <c r="AT99" i="44"/>
  <c r="BE99" i="44"/>
  <c r="AO99" i="44"/>
  <c r="AX99" i="44"/>
  <c r="BL99" i="44"/>
  <c r="AQ99" i="44"/>
  <c r="BD99" i="44"/>
  <c r="BA99" i="44"/>
  <c r="AR99" i="44"/>
  <c r="AL99" i="44"/>
  <c r="BO99" i="44"/>
  <c r="BF99" i="44"/>
  <c r="AN99" i="44"/>
  <c r="AZ99" i="44"/>
  <c r="AW99" i="44"/>
  <c r="AM99" i="44"/>
  <c r="BQ99" i="44"/>
  <c r="BN99" i="44"/>
  <c r="BG99" i="44"/>
  <c r="BJ99" i="44"/>
  <c r="BM99" i="44"/>
  <c r="BH99" i="44"/>
  <c r="BB99" i="44"/>
  <c r="AY99" i="44"/>
  <c r="AU99" i="44"/>
  <c r="BP99" i="44"/>
  <c r="BV345" i="29"/>
  <c r="CC345" i="29"/>
  <c r="F177" i="15"/>
  <c r="L46" i="39"/>
  <c r="CC355" i="29"/>
  <c r="BO360" i="29"/>
  <c r="BR359" i="29"/>
  <c r="BY359" i="29"/>
  <c r="BN360" i="29"/>
  <c r="T358" i="29"/>
  <c r="S358" i="29"/>
  <c r="V357" i="29"/>
  <c r="AF357" i="29"/>
  <c r="AE357" i="29"/>
  <c r="J358" i="29"/>
  <c r="L357" i="29"/>
  <c r="K358" i="29"/>
  <c r="U357" i="29"/>
  <c r="AB357" i="29" s="1"/>
  <c r="BQ360" i="29"/>
  <c r="BQ361" i="29" s="1"/>
  <c r="Q356" i="29"/>
  <c r="R356" i="29"/>
  <c r="AA355" i="29"/>
  <c r="CA356" i="29"/>
  <c r="BU356" i="29" s="1"/>
  <c r="W355" i="29"/>
  <c r="Y355" i="29" s="1"/>
  <c r="CB356" i="29"/>
  <c r="BV356" i="29" s="1"/>
  <c r="M355" i="29"/>
  <c r="BZ336" i="29"/>
  <c r="BX337" i="29" s="1"/>
  <c r="BH357" i="29"/>
  <c r="BB357" i="29" s="1"/>
  <c r="AZ357" i="29"/>
  <c r="BP358" i="29"/>
  <c r="BC358" i="29"/>
  <c r="BF358" i="29" s="1"/>
  <c r="BE358" i="29"/>
  <c r="BG358" i="29" s="1"/>
  <c r="BA358" i="29" s="1"/>
  <c r="BD359" i="29"/>
  <c r="R357" i="29" l="1"/>
  <c r="Q357" i="29"/>
  <c r="X357" i="29" s="1"/>
  <c r="AA356" i="29"/>
  <c r="CA357" i="29"/>
  <c r="BU357" i="29" s="1"/>
  <c r="W356" i="29"/>
  <c r="AC357" i="29"/>
  <c r="T359" i="29"/>
  <c r="S359" i="29"/>
  <c r="V358" i="29"/>
  <c r="AF358" i="29"/>
  <c r="AE358" i="29"/>
  <c r="BN361" i="29"/>
  <c r="BR360" i="29"/>
  <c r="BY360" i="29"/>
  <c r="BO361" i="29"/>
  <c r="U358" i="29"/>
  <c r="AB358" i="29" s="1"/>
  <c r="CC356" i="29"/>
  <c r="BQ362" i="29"/>
  <c r="L358" i="29"/>
  <c r="J359" i="29"/>
  <c r="K359" i="29"/>
  <c r="BZ337" i="29"/>
  <c r="BX338" i="29" s="1"/>
  <c r="BP359" i="29"/>
  <c r="BD360" i="29"/>
  <c r="BE359" i="29"/>
  <c r="BG359" i="29" s="1"/>
  <c r="BA359" i="29" s="1"/>
  <c r="BC359" i="29"/>
  <c r="BF359" i="29" s="1"/>
  <c r="AZ358" i="29"/>
  <c r="BH358" i="29"/>
  <c r="BB358" i="29" s="1"/>
  <c r="AC358" i="29" l="1"/>
  <c r="U359" i="29"/>
  <c r="AC359" i="29" s="1"/>
  <c r="CB358" i="29"/>
  <c r="BV358" i="29" s="1"/>
  <c r="AA357" i="29"/>
  <c r="CA358" i="29"/>
  <c r="BU358" i="29" s="1"/>
  <c r="M357" i="29"/>
  <c r="W357" i="29"/>
  <c r="Y357" i="29" s="1"/>
  <c r="K360" i="29"/>
  <c r="L359" i="29"/>
  <c r="J360" i="29"/>
  <c r="BN362" i="29"/>
  <c r="BR361" i="29"/>
  <c r="BO362" i="29"/>
  <c r="BY361" i="29"/>
  <c r="S360" i="29"/>
  <c r="V359" i="29"/>
  <c r="T360" i="29"/>
  <c r="AF359" i="29"/>
  <c r="AE359" i="29"/>
  <c r="Q358" i="29"/>
  <c r="X358" i="29" s="1"/>
  <c r="R358" i="29"/>
  <c r="BH359" i="29"/>
  <c r="BB359" i="29" s="1"/>
  <c r="AZ359" i="29"/>
  <c r="BD361" i="29"/>
  <c r="BC360" i="29"/>
  <c r="BF360" i="29" s="1"/>
  <c r="BE360" i="29"/>
  <c r="BG360" i="29" s="1"/>
  <c r="BA360" i="29" s="1"/>
  <c r="BP360" i="29"/>
  <c r="BZ338" i="29"/>
  <c r="BX339" i="29" s="1"/>
  <c r="AB359" i="29" l="1"/>
  <c r="V360" i="29"/>
  <c r="S361" i="29"/>
  <c r="T361" i="29"/>
  <c r="AE360" i="29"/>
  <c r="AF360" i="29"/>
  <c r="BR362" i="29"/>
  <c r="BO363" i="29"/>
  <c r="BN363" i="29"/>
  <c r="BY362" i="29"/>
  <c r="R359" i="29"/>
  <c r="Q359" i="29"/>
  <c r="BQ363" i="29"/>
  <c r="W358" i="29"/>
  <c r="Y358" i="29" s="1"/>
  <c r="CA359" i="29"/>
  <c r="BU359" i="29" s="1"/>
  <c r="M358" i="29"/>
  <c r="CB359" i="29"/>
  <c r="BV359" i="29" s="1"/>
  <c r="AA358" i="29"/>
  <c r="J361" i="29"/>
  <c r="L360" i="29"/>
  <c r="K361" i="29"/>
  <c r="U360" i="29"/>
  <c r="AB360" i="29" s="1"/>
  <c r="CC358" i="29"/>
  <c r="BZ339" i="29"/>
  <c r="BX340" i="29" s="1"/>
  <c r="AZ360" i="29"/>
  <c r="BH360" i="29"/>
  <c r="BB360" i="29" s="1"/>
  <c r="BE361" i="29"/>
  <c r="BG361" i="29" s="1"/>
  <c r="BA361" i="29" s="1"/>
  <c r="BD362" i="29"/>
  <c r="BP361" i="29"/>
  <c r="BC361" i="29"/>
  <c r="BF361" i="29" s="1"/>
  <c r="AC360" i="29" l="1"/>
  <c r="X359" i="29"/>
  <c r="CB360" i="29"/>
  <c r="BV360" i="29" s="1"/>
  <c r="W359" i="29"/>
  <c r="Y359" i="29" s="1"/>
  <c r="M359" i="29"/>
  <c r="AA359" i="29"/>
  <c r="CA360" i="29"/>
  <c r="BU360" i="29" s="1"/>
  <c r="BO364" i="29"/>
  <c r="BR363" i="29"/>
  <c r="BY363" i="29"/>
  <c r="BN364" i="29"/>
  <c r="T362" i="29"/>
  <c r="S362" i="29"/>
  <c r="V361" i="29"/>
  <c r="AF361" i="29"/>
  <c r="AE361" i="29"/>
  <c r="CC359" i="29"/>
  <c r="U361" i="29"/>
  <c r="AC361" i="29" s="1"/>
  <c r="L361" i="29"/>
  <c r="J362" i="29"/>
  <c r="K362" i="29"/>
  <c r="Q360" i="29"/>
  <c r="R360" i="29"/>
  <c r="BQ364" i="29"/>
  <c r="BQ365" i="29" s="1"/>
  <c r="AZ361" i="29"/>
  <c r="BH361" i="29"/>
  <c r="BB361" i="29" s="1"/>
  <c r="BP362" i="29"/>
  <c r="BD363" i="29"/>
  <c r="BC362" i="29"/>
  <c r="BF362" i="29" s="1"/>
  <c r="BE362" i="29"/>
  <c r="BG362" i="29" s="1"/>
  <c r="BA362" i="29" s="1"/>
  <c r="BZ340" i="29"/>
  <c r="BX341" i="29" s="1"/>
  <c r="AB361" i="29" l="1"/>
  <c r="J363" i="29"/>
  <c r="L362" i="29"/>
  <c r="K363" i="29"/>
  <c r="CC360" i="29"/>
  <c r="U362" i="29"/>
  <c r="AB362" i="29" s="1"/>
  <c r="X360" i="29"/>
  <c r="CB361" i="29"/>
  <c r="BV361" i="29" s="1"/>
  <c r="CA361" i="29"/>
  <c r="BU361" i="29" s="1"/>
  <c r="AA360" i="29"/>
  <c r="M360" i="29"/>
  <c r="W360" i="29"/>
  <c r="Y360" i="29" s="1"/>
  <c r="R361" i="29"/>
  <c r="Q361" i="29"/>
  <c r="X361" i="29" s="1"/>
  <c r="T363" i="29"/>
  <c r="V362" i="29"/>
  <c r="S363" i="29"/>
  <c r="AE362" i="29"/>
  <c r="AF362" i="29"/>
  <c r="BY364" i="29"/>
  <c r="BN365" i="29"/>
  <c r="BO365" i="29"/>
  <c r="BR364" i="29"/>
  <c r="BZ341" i="29"/>
  <c r="BX342" i="29" s="1"/>
  <c r="BD364" i="29"/>
  <c r="BP363" i="29"/>
  <c r="BE363" i="29"/>
  <c r="BG363" i="29" s="1"/>
  <c r="BA363" i="29" s="1"/>
  <c r="BC363" i="29"/>
  <c r="BF363" i="29" s="1"/>
  <c r="AZ362" i="29"/>
  <c r="BH362" i="29"/>
  <c r="BB362" i="29" s="1"/>
  <c r="AC362" i="29" l="1"/>
  <c r="BN366" i="29"/>
  <c r="BO366" i="29"/>
  <c r="BR365" i="29"/>
  <c r="BY365" i="29"/>
  <c r="K364" i="29"/>
  <c r="L363" i="29"/>
  <c r="J364" i="29"/>
  <c r="U363" i="29"/>
  <c r="AC363" i="29" s="1"/>
  <c r="BQ366" i="29"/>
  <c r="BQ367" i="29" s="1"/>
  <c r="W361" i="29"/>
  <c r="Y361" i="29" s="1"/>
  <c r="CB362" i="29"/>
  <c r="BV362" i="29" s="1"/>
  <c r="CA362" i="29"/>
  <c r="BU362" i="29" s="1"/>
  <c r="AA361" i="29"/>
  <c r="M361" i="29"/>
  <c r="S364" i="29"/>
  <c r="T364" i="29"/>
  <c r="V363" i="29"/>
  <c r="AE363" i="29"/>
  <c r="AF363" i="29"/>
  <c r="CC361" i="29"/>
  <c r="R362" i="29"/>
  <c r="Q362" i="29"/>
  <c r="X362" i="29" s="1"/>
  <c r="AZ363" i="29"/>
  <c r="BH363" i="29"/>
  <c r="BB363" i="29" s="1"/>
  <c r="BZ342" i="29"/>
  <c r="BX343" i="29" s="1"/>
  <c r="BD365" i="29"/>
  <c r="BP364" i="29"/>
  <c r="BE364" i="29"/>
  <c r="BG364" i="29" s="1"/>
  <c r="BA364" i="29" s="1"/>
  <c r="BC364" i="29"/>
  <c r="BF364" i="29" s="1"/>
  <c r="U364" i="29" l="1"/>
  <c r="CB363" i="29"/>
  <c r="BV363" i="29" s="1"/>
  <c r="M362" i="29"/>
  <c r="W362" i="29"/>
  <c r="Y362" i="29" s="1"/>
  <c r="CA363" i="29"/>
  <c r="BU363" i="29" s="1"/>
  <c r="AA362" i="29"/>
  <c r="CC362" i="29"/>
  <c r="BR366" i="29"/>
  <c r="BO367" i="29"/>
  <c r="BN367" i="29"/>
  <c r="BY366" i="29"/>
  <c r="R363" i="29"/>
  <c r="Q363" i="29"/>
  <c r="X363" i="29" s="1"/>
  <c r="AB363" i="29"/>
  <c r="L364" i="29"/>
  <c r="K365" i="29"/>
  <c r="J365" i="29"/>
  <c r="V364" i="29"/>
  <c r="T365" i="29"/>
  <c r="S365" i="29"/>
  <c r="AF364" i="29"/>
  <c r="AE364" i="29"/>
  <c r="BQ368" i="29"/>
  <c r="BZ343" i="29"/>
  <c r="BX344" i="29" s="1"/>
  <c r="BH364" i="29"/>
  <c r="BB364" i="29" s="1"/>
  <c r="AZ364" i="29"/>
  <c r="BE365" i="29"/>
  <c r="BG365" i="29" s="1"/>
  <c r="BA365" i="29" s="1"/>
  <c r="BD366" i="29"/>
  <c r="BP365" i="29"/>
  <c r="BC365" i="29"/>
  <c r="BF365" i="29" s="1"/>
  <c r="Q364" i="29" l="1"/>
  <c r="X364" i="29" s="1"/>
  <c r="R364" i="29"/>
  <c r="AC364" i="29"/>
  <c r="U365" i="29"/>
  <c r="CC363" i="29"/>
  <c r="AB364" i="29"/>
  <c r="T366" i="29"/>
  <c r="V365" i="29"/>
  <c r="S366" i="29"/>
  <c r="AE365" i="29"/>
  <c r="AF365" i="29"/>
  <c r="L365" i="29"/>
  <c r="K366" i="29"/>
  <c r="J366" i="29"/>
  <c r="CA364" i="29"/>
  <c r="BU364" i="29" s="1"/>
  <c r="M363" i="29"/>
  <c r="CB364" i="29"/>
  <c r="BV364" i="29" s="1"/>
  <c r="W363" i="29"/>
  <c r="Y363" i="29" s="1"/>
  <c r="AA363" i="29"/>
  <c r="BR367" i="29"/>
  <c r="BY367" i="29"/>
  <c r="BN368" i="29"/>
  <c r="BO368" i="29"/>
  <c r="BQ369" i="29" s="1"/>
  <c r="AZ365" i="29"/>
  <c r="BH365" i="29"/>
  <c r="BB365" i="29" s="1"/>
  <c r="BC366" i="29"/>
  <c r="BF366" i="29" s="1"/>
  <c r="BP366" i="29"/>
  <c r="BE366" i="29"/>
  <c r="BG366" i="29" s="1"/>
  <c r="BA366" i="29" s="1"/>
  <c r="BD367" i="29"/>
  <c r="BZ344" i="29"/>
  <c r="BY345" i="29" s="1"/>
  <c r="CC364" i="29" l="1"/>
  <c r="Q365" i="29"/>
  <c r="X365" i="29" s="1"/>
  <c r="R365" i="29"/>
  <c r="L366" i="29"/>
  <c r="K367" i="29"/>
  <c r="J367" i="29"/>
  <c r="U366" i="29"/>
  <c r="AB366" i="29" s="1"/>
  <c r="AC365" i="29"/>
  <c r="BN369" i="29"/>
  <c r="BR368" i="29"/>
  <c r="BY368" i="29"/>
  <c r="BO369" i="29"/>
  <c r="AB365" i="29"/>
  <c r="CB365" i="29"/>
  <c r="BV365" i="29" s="1"/>
  <c r="CA365" i="29"/>
  <c r="BU365" i="29" s="1"/>
  <c r="AA364" i="29"/>
  <c r="W364" i="29"/>
  <c r="Y364" i="29" s="1"/>
  <c r="M364" i="29"/>
  <c r="V366" i="29"/>
  <c r="T367" i="29"/>
  <c r="S367" i="29"/>
  <c r="AF366" i="29"/>
  <c r="AE366" i="29"/>
  <c r="BW345" i="29"/>
  <c r="BX345" i="29"/>
  <c r="BC367" i="29"/>
  <c r="BF367" i="29" s="1"/>
  <c r="BP367" i="29"/>
  <c r="BD368" i="29"/>
  <c r="BE367" i="29"/>
  <c r="BG367" i="29" s="1"/>
  <c r="BA367" i="29" s="1"/>
  <c r="AZ366" i="29"/>
  <c r="BH366" i="29"/>
  <c r="BB366" i="29" s="1"/>
  <c r="U367" i="29" l="1"/>
  <c r="AB367" i="29" s="1"/>
  <c r="CC365" i="29"/>
  <c r="R366" i="29"/>
  <c r="Q366" i="29"/>
  <c r="L367" i="29"/>
  <c r="K368" i="29"/>
  <c r="J368" i="29"/>
  <c r="BO370" i="29"/>
  <c r="BN370" i="29"/>
  <c r="BR369" i="29"/>
  <c r="V367" i="29"/>
  <c r="S368" i="29"/>
  <c r="T368" i="29"/>
  <c r="AE367" i="29"/>
  <c r="AF367" i="29"/>
  <c r="BQ370" i="29"/>
  <c r="BQ371" i="29" s="1"/>
  <c r="AA365" i="29"/>
  <c r="M365" i="29"/>
  <c r="CB366" i="29"/>
  <c r="BV366" i="29" s="1"/>
  <c r="W365" i="29"/>
  <c r="Y365" i="29" s="1"/>
  <c r="CA366" i="29"/>
  <c r="BU366" i="29" s="1"/>
  <c r="AC366" i="29"/>
  <c r="BZ345" i="29"/>
  <c r="BX346" i="29" s="1"/>
  <c r="AZ367" i="29"/>
  <c r="BH367" i="29"/>
  <c r="BB367" i="29" s="1"/>
  <c r="BP368" i="29"/>
  <c r="BD369" i="29"/>
  <c r="BC368" i="29"/>
  <c r="BF368" i="29" s="1"/>
  <c r="BE368" i="29"/>
  <c r="BG368" i="29" s="1"/>
  <c r="BA368" i="29" s="1"/>
  <c r="BS345" i="29"/>
  <c r="BT345" i="29"/>
  <c r="M344" i="29" s="1"/>
  <c r="S369" i="29" l="1"/>
  <c r="V368" i="29"/>
  <c r="T369" i="29"/>
  <c r="AE368" i="29"/>
  <c r="AF368" i="29"/>
  <c r="U368" i="29"/>
  <c r="BN371" i="29"/>
  <c r="BR370" i="29"/>
  <c r="BY370" i="29"/>
  <c r="BO371" i="29"/>
  <c r="BQ372" i="29" s="1"/>
  <c r="X366" i="29"/>
  <c r="M366" i="29"/>
  <c r="CB367" i="29"/>
  <c r="BV367" i="29" s="1"/>
  <c r="W366" i="29"/>
  <c r="Y366" i="29" s="1"/>
  <c r="AA366" i="29"/>
  <c r="CA367" i="29"/>
  <c r="BU367" i="29" s="1"/>
  <c r="Q367" i="29"/>
  <c r="R367" i="29"/>
  <c r="AC367" i="29"/>
  <c r="CC366" i="29"/>
  <c r="K369" i="29"/>
  <c r="J369" i="29"/>
  <c r="L368" i="29"/>
  <c r="BP369" i="29"/>
  <c r="BC369" i="29"/>
  <c r="BF369" i="29" s="1"/>
  <c r="BE369" i="29"/>
  <c r="BG369" i="29" s="1"/>
  <c r="BA369" i="29" s="1"/>
  <c r="BI369" i="29"/>
  <c r="BD370" i="29"/>
  <c r="AZ368" i="29"/>
  <c r="BH368" i="29"/>
  <c r="BB368" i="29" s="1"/>
  <c r="BZ346" i="29"/>
  <c r="BX347" i="29" s="1"/>
  <c r="H38" i="29"/>
  <c r="K31" i="40" s="1"/>
  <c r="X344" i="29"/>
  <c r="Y344" i="29" s="1"/>
  <c r="Z344" i="29" s="1"/>
  <c r="AC344" i="29" l="1"/>
  <c r="AB344" i="29"/>
  <c r="Z345" i="29"/>
  <c r="Z346" i="29" s="1"/>
  <c r="Z347" i="29" s="1"/>
  <c r="Z348" i="29" s="1"/>
  <c r="Z349" i="29" s="1"/>
  <c r="Z350" i="29" s="1"/>
  <c r="Z351" i="29" s="1"/>
  <c r="Z352" i="29" s="1"/>
  <c r="Z353" i="29" s="1"/>
  <c r="Z354" i="29" s="1"/>
  <c r="Z355" i="29" s="1"/>
  <c r="CB357" i="29"/>
  <c r="G38" i="29"/>
  <c r="L31" i="40" s="1"/>
  <c r="K370" i="29"/>
  <c r="J370" i="29"/>
  <c r="L369" i="29"/>
  <c r="CA368" i="29"/>
  <c r="BU368" i="29" s="1"/>
  <c r="CB368" i="29"/>
  <c r="BV368" i="29" s="1"/>
  <c r="W367" i="29"/>
  <c r="Y367" i="29" s="1"/>
  <c r="AA367" i="29"/>
  <c r="M367" i="29"/>
  <c r="Q368" i="29"/>
  <c r="R368" i="29"/>
  <c r="V369" i="29"/>
  <c r="S370" i="29"/>
  <c r="T370" i="29"/>
  <c r="AE369" i="29"/>
  <c r="AF369" i="29"/>
  <c r="X367" i="29"/>
  <c r="BY371" i="29"/>
  <c r="BN372" i="29"/>
  <c r="BO372" i="29"/>
  <c r="BR371" i="29"/>
  <c r="U369" i="29"/>
  <c r="CC367" i="29"/>
  <c r="BZ347" i="29"/>
  <c r="BX348" i="29" s="1"/>
  <c r="D178" i="15"/>
  <c r="I47" i="39"/>
  <c r="H31" i="44" s="1"/>
  <c r="D31" i="45" s="1"/>
  <c r="K31" i="45" s="1"/>
  <c r="L31" i="45" s="1"/>
  <c r="J32" i="45" s="1"/>
  <c r="G45" i="15"/>
  <c r="AZ369" i="29"/>
  <c r="BH369" i="29"/>
  <c r="BB369" i="29" s="1"/>
  <c r="BP370" i="29"/>
  <c r="BE370" i="29"/>
  <c r="BG370" i="29" s="1"/>
  <c r="BA370" i="29" s="1"/>
  <c r="BC370" i="29"/>
  <c r="BF370" i="29" s="1"/>
  <c r="BD371" i="29"/>
  <c r="BR100" i="44" l="1"/>
  <c r="BN100" i="44"/>
  <c r="BJ100" i="44"/>
  <c r="BF100" i="44"/>
  <c r="BB100" i="44"/>
  <c r="AX100" i="44"/>
  <c r="AT100" i="44"/>
  <c r="AP100" i="44"/>
  <c r="BP100" i="44"/>
  <c r="BL100" i="44"/>
  <c r="BH100" i="44"/>
  <c r="BD100" i="44"/>
  <c r="AZ100" i="44"/>
  <c r="AV100" i="44"/>
  <c r="AR100" i="44"/>
  <c r="AN100" i="44"/>
  <c r="BK100" i="44"/>
  <c r="BC100" i="44"/>
  <c r="AU100" i="44"/>
  <c r="AM100" i="44"/>
  <c r="BO100" i="44"/>
  <c r="BG100" i="44"/>
  <c r="AY100" i="44"/>
  <c r="AQ100" i="44"/>
  <c r="BM100" i="44"/>
  <c r="AW100" i="44"/>
  <c r="BI100" i="44"/>
  <c r="AS100" i="44"/>
  <c r="BE100" i="44"/>
  <c r="AO100" i="44"/>
  <c r="BQ100" i="44"/>
  <c r="BA100" i="44"/>
  <c r="CC357" i="29"/>
  <c r="BV357" i="29"/>
  <c r="F178" i="15"/>
  <c r="L47" i="39"/>
  <c r="CC368" i="29"/>
  <c r="R369" i="29"/>
  <c r="Q369" i="29"/>
  <c r="S371" i="29"/>
  <c r="V370" i="29"/>
  <c r="T371" i="29"/>
  <c r="AF370" i="29"/>
  <c r="AE370" i="29"/>
  <c r="AA368" i="29"/>
  <c r="CA369" i="29"/>
  <c r="BU369" i="29" s="1"/>
  <c r="W368" i="29"/>
  <c r="AC369" i="29"/>
  <c r="BN373" i="29"/>
  <c r="BR372" i="29"/>
  <c r="BY372" i="29"/>
  <c r="BO373" i="29"/>
  <c r="U370" i="29"/>
  <c r="AB370" i="29" s="1"/>
  <c r="K371" i="29"/>
  <c r="J371" i="29"/>
  <c r="L370" i="29"/>
  <c r="AB369" i="29"/>
  <c r="BQ373" i="29"/>
  <c r="BQ374" i="29" s="1"/>
  <c r="BZ348" i="29"/>
  <c r="BX349" i="29" s="1"/>
  <c r="BH370" i="29"/>
  <c r="BB370" i="29" s="1"/>
  <c r="AZ370" i="29"/>
  <c r="BE371" i="29"/>
  <c r="BG371" i="29" s="1"/>
  <c r="BA371" i="29" s="1"/>
  <c r="BD372" i="29"/>
  <c r="BC371" i="29"/>
  <c r="BF371" i="29" s="1"/>
  <c r="BP371" i="29"/>
  <c r="BQ375" i="29" l="1"/>
  <c r="CB370" i="29"/>
  <c r="BV370" i="29" s="1"/>
  <c r="M369" i="29"/>
  <c r="CA370" i="29"/>
  <c r="BU370" i="29" s="1"/>
  <c r="AA369" i="29"/>
  <c r="W369" i="29"/>
  <c r="Y369" i="29" s="1"/>
  <c r="L371" i="29"/>
  <c r="K372" i="29"/>
  <c r="J372" i="29"/>
  <c r="BR373" i="29"/>
  <c r="BO374" i="29"/>
  <c r="BN374" i="29"/>
  <c r="BY373" i="29"/>
  <c r="T372" i="29"/>
  <c r="S372" i="29"/>
  <c r="V371" i="29"/>
  <c r="AF371" i="29"/>
  <c r="AE371" i="29"/>
  <c r="X369" i="29"/>
  <c r="R370" i="29"/>
  <c r="Q370" i="29"/>
  <c r="AC370" i="29"/>
  <c r="U371" i="29"/>
  <c r="BZ349" i="29"/>
  <c r="BX350" i="29" s="1"/>
  <c r="AZ371" i="29"/>
  <c r="BH371" i="29"/>
  <c r="BB371" i="29" s="1"/>
  <c r="BD373" i="29"/>
  <c r="BP372" i="29"/>
  <c r="BE372" i="29"/>
  <c r="BG372" i="29" s="1"/>
  <c r="BA372" i="29" s="1"/>
  <c r="BC372" i="29"/>
  <c r="BF372" i="29" s="1"/>
  <c r="Q371" i="29" l="1"/>
  <c r="X371" i="29" s="1"/>
  <c r="R371" i="29"/>
  <c r="L372" i="29"/>
  <c r="J373" i="29"/>
  <c r="K373" i="29"/>
  <c r="AC371" i="29"/>
  <c r="CA371" i="29"/>
  <c r="BU371" i="29" s="1"/>
  <c r="AA370" i="29"/>
  <c r="CB371" i="29"/>
  <c r="BV371" i="29" s="1"/>
  <c r="M370" i="29"/>
  <c r="W370" i="29"/>
  <c r="Y370" i="29" s="1"/>
  <c r="U372" i="29"/>
  <c r="AC372" i="29" s="1"/>
  <c r="BN375" i="29"/>
  <c r="BY374" i="29"/>
  <c r="BO375" i="29"/>
  <c r="BR374" i="29"/>
  <c r="AB371" i="29"/>
  <c r="X370" i="29"/>
  <c r="V372" i="29"/>
  <c r="S373" i="29"/>
  <c r="T373" i="29"/>
  <c r="AF372" i="29"/>
  <c r="AE372" i="29"/>
  <c r="CC370" i="29"/>
  <c r="BZ350" i="29"/>
  <c r="BX351" i="29" s="1"/>
  <c r="BH372" i="29"/>
  <c r="BB372" i="29" s="1"/>
  <c r="AZ372" i="29"/>
  <c r="BP373" i="29"/>
  <c r="BC373" i="29"/>
  <c r="BF373" i="29" s="1"/>
  <c r="BE373" i="29"/>
  <c r="BG373" i="29" s="1"/>
  <c r="BA373" i="29" s="1"/>
  <c r="BD374" i="29"/>
  <c r="AB372" i="29" l="1"/>
  <c r="CC371" i="29"/>
  <c r="J374" i="29"/>
  <c r="L373" i="29"/>
  <c r="K374" i="29"/>
  <c r="U373" i="29"/>
  <c r="Q372" i="29"/>
  <c r="X372" i="29" s="1"/>
  <c r="R372" i="29"/>
  <c r="T374" i="29"/>
  <c r="S374" i="29"/>
  <c r="V373" i="29"/>
  <c r="AE373" i="29"/>
  <c r="AF373" i="29"/>
  <c r="BY375" i="29"/>
  <c r="BO376" i="29"/>
  <c r="BR375" i="29"/>
  <c r="BN376" i="29"/>
  <c r="CB372" i="29"/>
  <c r="BV372" i="29" s="1"/>
  <c r="M371" i="29"/>
  <c r="W371" i="29"/>
  <c r="Y371" i="29" s="1"/>
  <c r="CA372" i="29"/>
  <c r="BU372" i="29" s="1"/>
  <c r="AA371" i="29"/>
  <c r="BQ376" i="29"/>
  <c r="BQ377" i="29" s="1"/>
  <c r="BD375" i="29"/>
  <c r="BC374" i="29"/>
  <c r="BF374" i="29" s="1"/>
  <c r="BE374" i="29"/>
  <c r="BG374" i="29" s="1"/>
  <c r="BA374" i="29" s="1"/>
  <c r="BP374" i="29"/>
  <c r="BZ351" i="29"/>
  <c r="BX352" i="29" s="1"/>
  <c r="BH373" i="29"/>
  <c r="BB373" i="29" s="1"/>
  <c r="AZ373" i="29"/>
  <c r="T375" i="29" l="1"/>
  <c r="S375" i="29"/>
  <c r="V374" i="29"/>
  <c r="AE374" i="29"/>
  <c r="AF374" i="29"/>
  <c r="R373" i="29"/>
  <c r="Q373" i="29"/>
  <c r="AC373" i="29"/>
  <c r="CC372" i="29"/>
  <c r="BY376" i="29"/>
  <c r="BN377" i="29"/>
  <c r="BO377" i="29"/>
  <c r="BR376" i="29"/>
  <c r="AB373" i="29"/>
  <c r="U374" i="29"/>
  <c r="AB374" i="29" s="1"/>
  <c r="CB373" i="29"/>
  <c r="BV373" i="29" s="1"/>
  <c r="W372" i="29"/>
  <c r="Y372" i="29" s="1"/>
  <c r="M372" i="29"/>
  <c r="CA373" i="29"/>
  <c r="BU373" i="29" s="1"/>
  <c r="AA372" i="29"/>
  <c r="L374" i="29"/>
  <c r="J375" i="29"/>
  <c r="K375" i="29"/>
  <c r="BZ352" i="29"/>
  <c r="BX353" i="29" s="1"/>
  <c r="BH374" i="29"/>
  <c r="BB374" i="29" s="1"/>
  <c r="AZ374" i="29"/>
  <c r="BC375" i="29"/>
  <c r="BF375" i="29" s="1"/>
  <c r="BP375" i="29"/>
  <c r="BE375" i="29"/>
  <c r="BG375" i="29" s="1"/>
  <c r="BA375" i="29" s="1"/>
  <c r="BD376" i="29"/>
  <c r="AC374" i="29" l="1"/>
  <c r="BY377" i="29"/>
  <c r="BR377" i="29"/>
  <c r="BN378" i="29"/>
  <c r="BO378" i="29"/>
  <c r="U375" i="29"/>
  <c r="AC375" i="29" s="1"/>
  <c r="CC373" i="29"/>
  <c r="BQ378" i="29"/>
  <c r="BQ379" i="29" s="1"/>
  <c r="T376" i="29"/>
  <c r="S376" i="29"/>
  <c r="V375" i="29"/>
  <c r="AF375" i="29"/>
  <c r="AE375" i="29"/>
  <c r="J376" i="29"/>
  <c r="K376" i="29"/>
  <c r="L375" i="29"/>
  <c r="M373" i="29"/>
  <c r="CA374" i="29"/>
  <c r="BU374" i="29" s="1"/>
  <c r="AA373" i="29"/>
  <c r="W373" i="29"/>
  <c r="Y373" i="29" s="1"/>
  <c r="CB374" i="29"/>
  <c r="BV374" i="29" s="1"/>
  <c r="R374" i="29"/>
  <c r="Q374" i="29"/>
  <c r="X374" i="29" s="1"/>
  <c r="X373" i="29"/>
  <c r="BP376" i="29"/>
  <c r="BD377" i="29"/>
  <c r="BE376" i="29"/>
  <c r="BG376" i="29" s="1"/>
  <c r="BA376" i="29" s="1"/>
  <c r="BC376" i="29"/>
  <c r="BF376" i="29" s="1"/>
  <c r="BZ353" i="29"/>
  <c r="BX354" i="29" s="1"/>
  <c r="AZ375" i="29"/>
  <c r="BH375" i="29"/>
  <c r="BB375" i="29" s="1"/>
  <c r="AA374" i="29" l="1"/>
  <c r="CA375" i="29"/>
  <c r="BU375" i="29" s="1"/>
  <c r="M374" i="29"/>
  <c r="CB375" i="29"/>
  <c r="BV375" i="29" s="1"/>
  <c r="W374" i="29"/>
  <c r="Y374" i="29" s="1"/>
  <c r="S377" i="29"/>
  <c r="T377" i="29"/>
  <c r="V376" i="29"/>
  <c r="AE376" i="29"/>
  <c r="AF376" i="29"/>
  <c r="Q375" i="29"/>
  <c r="R375" i="29"/>
  <c r="L376" i="29"/>
  <c r="K377" i="29"/>
  <c r="J377" i="29"/>
  <c r="AB375" i="29"/>
  <c r="CC374" i="29"/>
  <c r="U376" i="29"/>
  <c r="AB376" i="29" s="1"/>
  <c r="BN379" i="29"/>
  <c r="BY378" i="29"/>
  <c r="BO379" i="29"/>
  <c r="BR378" i="29"/>
  <c r="AZ376" i="29"/>
  <c r="BH376" i="29"/>
  <c r="BB376" i="29" s="1"/>
  <c r="BC377" i="29"/>
  <c r="BF377" i="29" s="1"/>
  <c r="BP377" i="29"/>
  <c r="BE377" i="29"/>
  <c r="BG377" i="29" s="1"/>
  <c r="BA377" i="29" s="1"/>
  <c r="BD378" i="29"/>
  <c r="BZ354" i="29"/>
  <c r="BX355" i="29" s="1"/>
  <c r="CC375" i="29" l="1"/>
  <c r="AC376" i="29"/>
  <c r="BO380" i="29"/>
  <c r="BN380" i="29"/>
  <c r="BR379" i="29"/>
  <c r="BY379" i="29"/>
  <c r="U377" i="29"/>
  <c r="L377" i="29"/>
  <c r="K378" i="29"/>
  <c r="J378" i="29"/>
  <c r="CB376" i="29"/>
  <c r="BV376" i="29" s="1"/>
  <c r="AA375" i="29"/>
  <c r="W375" i="29"/>
  <c r="Y375" i="29" s="1"/>
  <c r="CA376" i="29"/>
  <c r="BU376" i="29" s="1"/>
  <c r="M375" i="29"/>
  <c r="Q376" i="29"/>
  <c r="R376" i="29"/>
  <c r="BQ380" i="29"/>
  <c r="BQ381" i="29" s="1"/>
  <c r="X375" i="29"/>
  <c r="V377" i="29"/>
  <c r="S378" i="29"/>
  <c r="T378" i="29"/>
  <c r="AF377" i="29"/>
  <c r="AE377" i="29"/>
  <c r="BZ355" i="29"/>
  <c r="BX356" i="29" s="1"/>
  <c r="BE378" i="29"/>
  <c r="BG378" i="29" s="1"/>
  <c r="BA378" i="29" s="1"/>
  <c r="BP378" i="29"/>
  <c r="BD379" i="29"/>
  <c r="BC378" i="29"/>
  <c r="BF378" i="29" s="1"/>
  <c r="BH377" i="29"/>
  <c r="BB377" i="29" s="1"/>
  <c r="AZ377" i="29"/>
  <c r="U378" i="29" l="1"/>
  <c r="AB378" i="29" s="1"/>
  <c r="Q377" i="29"/>
  <c r="X377" i="29" s="1"/>
  <c r="R377" i="29"/>
  <c r="X376" i="29"/>
  <c r="W376" i="29"/>
  <c r="Y376" i="29" s="1"/>
  <c r="AA376" i="29"/>
  <c r="M376" i="29"/>
  <c r="CA377" i="29"/>
  <c r="BU377" i="29" s="1"/>
  <c r="CB377" i="29"/>
  <c r="BV377" i="29" s="1"/>
  <c r="AC377" i="29"/>
  <c r="J379" i="29"/>
  <c r="L378" i="29"/>
  <c r="K379" i="29"/>
  <c r="AB377" i="29"/>
  <c r="BO381" i="29"/>
  <c r="BQ382" i="29" s="1"/>
  <c r="BR380" i="29"/>
  <c r="BN381" i="29"/>
  <c r="BY380" i="29"/>
  <c r="S379" i="29"/>
  <c r="V378" i="29"/>
  <c r="T379" i="29"/>
  <c r="AE378" i="29"/>
  <c r="AF378" i="29"/>
  <c r="CC376" i="29"/>
  <c r="BZ356" i="29"/>
  <c r="BY357" i="29" s="1"/>
  <c r="BW357" i="29" s="1"/>
  <c r="AZ378" i="29"/>
  <c r="BH378" i="29"/>
  <c r="BB378" i="29" s="1"/>
  <c r="BC379" i="29"/>
  <c r="BF379" i="29" s="1"/>
  <c r="BD380" i="29"/>
  <c r="BE379" i="29"/>
  <c r="BG379" i="29" s="1"/>
  <c r="BA379" i="29" s="1"/>
  <c r="BP379" i="29"/>
  <c r="T380" i="29" l="1"/>
  <c r="S380" i="29"/>
  <c r="V379" i="29"/>
  <c r="AE379" i="29"/>
  <c r="AF379" i="29"/>
  <c r="J380" i="29"/>
  <c r="K380" i="29"/>
  <c r="L379" i="29"/>
  <c r="AC378" i="29"/>
  <c r="CC377" i="29"/>
  <c r="R378" i="29"/>
  <c r="Q378" i="29"/>
  <c r="X378" i="29" s="1"/>
  <c r="U379" i="29"/>
  <c r="BO382" i="29"/>
  <c r="BN382" i="29"/>
  <c r="BR381" i="29"/>
  <c r="CB378" i="29"/>
  <c r="BV378" i="29" s="1"/>
  <c r="AA377" i="29"/>
  <c r="CA378" i="29"/>
  <c r="BU378" i="29" s="1"/>
  <c r="M377" i="29"/>
  <c r="W377" i="29"/>
  <c r="Y377" i="29" s="1"/>
  <c r="BP380" i="29"/>
  <c r="BC380" i="29"/>
  <c r="BF380" i="29" s="1"/>
  <c r="BE380" i="29"/>
  <c r="BG380" i="29" s="1"/>
  <c r="BA380" i="29" s="1"/>
  <c r="BD381" i="29"/>
  <c r="BX357" i="29"/>
  <c r="BH379" i="29"/>
  <c r="BB379" i="29" s="1"/>
  <c r="AZ379" i="29"/>
  <c r="BT357" i="29"/>
  <c r="M356" i="29" s="1"/>
  <c r="BS357" i="29"/>
  <c r="CC378" i="29" l="1"/>
  <c r="BR382" i="29"/>
  <c r="BO383" i="29"/>
  <c r="BY382" i="29"/>
  <c r="BN383" i="29"/>
  <c r="R379" i="29"/>
  <c r="Q379" i="29"/>
  <c r="CB379" i="29"/>
  <c r="BV379" i="29" s="1"/>
  <c r="M378" i="29"/>
  <c r="W378" i="29"/>
  <c r="Y378" i="29" s="1"/>
  <c r="AA378" i="29"/>
  <c r="CA379" i="29"/>
  <c r="BU379" i="29" s="1"/>
  <c r="V380" i="29"/>
  <c r="S381" i="29"/>
  <c r="T381" i="29"/>
  <c r="AE380" i="29"/>
  <c r="AF380" i="29"/>
  <c r="U380" i="29"/>
  <c r="AC379" i="29"/>
  <c r="L380" i="29"/>
  <c r="J381" i="29"/>
  <c r="K381" i="29"/>
  <c r="AB379" i="29"/>
  <c r="BQ383" i="29"/>
  <c r="BQ384" i="29" s="1"/>
  <c r="BD382" i="29"/>
  <c r="BC381" i="29"/>
  <c r="BF381" i="29" s="1"/>
  <c r="BE381" i="29"/>
  <c r="BG381" i="29" s="1"/>
  <c r="BA381" i="29" s="1"/>
  <c r="BI381" i="29"/>
  <c r="BP381" i="29"/>
  <c r="BH380" i="29"/>
  <c r="BB380" i="29" s="1"/>
  <c r="AZ380" i="29"/>
  <c r="H39" i="29"/>
  <c r="K32" i="40" s="1"/>
  <c r="X356" i="29"/>
  <c r="Y356" i="29" s="1"/>
  <c r="Z356" i="29" s="1"/>
  <c r="BZ357" i="29"/>
  <c r="BX358" i="29" s="1"/>
  <c r="AB356" i="29" l="1"/>
  <c r="AC356" i="29"/>
  <c r="Z357" i="29"/>
  <c r="Z358" i="29" s="1"/>
  <c r="Z359" i="29" s="1"/>
  <c r="Z360" i="29" s="1"/>
  <c r="Z361" i="29" s="1"/>
  <c r="Z362" i="29" s="1"/>
  <c r="Z363" i="29" s="1"/>
  <c r="Z364" i="29" s="1"/>
  <c r="Z365" i="29" s="1"/>
  <c r="Z366" i="29" s="1"/>
  <c r="Z367" i="29" s="1"/>
  <c r="CB369" i="29"/>
  <c r="G39" i="29"/>
  <c r="L32" i="40" s="1"/>
  <c r="Q380" i="29"/>
  <c r="R380" i="29"/>
  <c r="U381" i="29"/>
  <c r="AB381" i="29" s="1"/>
  <c r="CB380" i="29"/>
  <c r="BV380" i="29" s="1"/>
  <c r="M379" i="29"/>
  <c r="W379" i="29"/>
  <c r="Y379" i="29" s="1"/>
  <c r="CA380" i="29"/>
  <c r="BU380" i="29" s="1"/>
  <c r="AA379" i="29"/>
  <c r="X379" i="29"/>
  <c r="BR383" i="29"/>
  <c r="BN384" i="29"/>
  <c r="BY383" i="29"/>
  <c r="BO384" i="29"/>
  <c r="K382" i="29"/>
  <c r="J382" i="29"/>
  <c r="L381" i="29"/>
  <c r="CC379" i="29"/>
  <c r="BQ385" i="29"/>
  <c r="T382" i="29"/>
  <c r="V381" i="29"/>
  <c r="S382" i="29"/>
  <c r="AF381" i="29"/>
  <c r="AE381" i="29"/>
  <c r="BH381" i="29"/>
  <c r="BB381" i="29" s="1"/>
  <c r="AZ381" i="29"/>
  <c r="BZ358" i="29"/>
  <c r="BX359" i="29" s="1"/>
  <c r="BP382" i="29"/>
  <c r="BD383" i="29"/>
  <c r="BC382" i="29"/>
  <c r="BF382" i="29" s="1"/>
  <c r="BE382" i="29"/>
  <c r="BG382" i="29" s="1"/>
  <c r="BA382" i="29" s="1"/>
  <c r="D179" i="15"/>
  <c r="I48" i="39"/>
  <c r="H32" i="44" s="1"/>
  <c r="D32" i="45" s="1"/>
  <c r="K32" i="45" s="1"/>
  <c r="L32" i="45" s="1"/>
  <c r="J33" i="45" s="1"/>
  <c r="G46" i="15"/>
  <c r="BO101" i="44" l="1"/>
  <c r="BK101" i="44"/>
  <c r="BG101" i="44"/>
  <c r="BC101" i="44"/>
  <c r="AY101" i="44"/>
  <c r="AU101" i="44"/>
  <c r="AQ101" i="44"/>
  <c r="BQ101" i="44"/>
  <c r="BM101" i="44"/>
  <c r="BI101" i="44"/>
  <c r="BE101" i="44"/>
  <c r="BA101" i="44"/>
  <c r="AW101" i="44"/>
  <c r="AS101" i="44"/>
  <c r="AO101" i="44"/>
  <c r="BL101" i="44"/>
  <c r="BD101" i="44"/>
  <c r="AV101" i="44"/>
  <c r="AN101" i="44"/>
  <c r="BP101" i="44"/>
  <c r="BH101" i="44"/>
  <c r="AZ101" i="44"/>
  <c r="AR101" i="44"/>
  <c r="BN101" i="44"/>
  <c r="AX101" i="44"/>
  <c r="BJ101" i="44"/>
  <c r="AT101" i="44"/>
  <c r="BF101" i="44"/>
  <c r="AP101" i="44"/>
  <c r="BR101" i="44"/>
  <c r="BB101" i="44"/>
  <c r="BV369" i="29"/>
  <c r="CC369" i="29"/>
  <c r="L48" i="39"/>
  <c r="F179" i="15"/>
  <c r="S383" i="29"/>
  <c r="T383" i="29"/>
  <c r="V382" i="29"/>
  <c r="AE382" i="29"/>
  <c r="AF382" i="29"/>
  <c r="CC380" i="29"/>
  <c r="U382" i="29"/>
  <c r="AC382" i="29" s="1"/>
  <c r="K383" i="29"/>
  <c r="L382" i="29"/>
  <c r="J383" i="29"/>
  <c r="Q381" i="29"/>
  <c r="R381" i="29"/>
  <c r="W380" i="29"/>
  <c r="AA380" i="29"/>
  <c r="CA381" i="29"/>
  <c r="BU381" i="29" s="1"/>
  <c r="BY384" i="29"/>
  <c r="BR384" i="29"/>
  <c r="BO385" i="29"/>
  <c r="BQ386" i="29" s="1"/>
  <c r="BN385" i="29"/>
  <c r="AC381" i="29"/>
  <c r="BZ359" i="29"/>
  <c r="BX360" i="29" s="1"/>
  <c r="BD384" i="29"/>
  <c r="BE383" i="29"/>
  <c r="BG383" i="29" s="1"/>
  <c r="BA383" i="29" s="1"/>
  <c r="BC383" i="29"/>
  <c r="BF383" i="29" s="1"/>
  <c r="BP383" i="29"/>
  <c r="BH382" i="29"/>
  <c r="BB382" i="29" s="1"/>
  <c r="AZ382" i="29"/>
  <c r="V383" i="29" l="1"/>
  <c r="S384" i="29"/>
  <c r="T384" i="29"/>
  <c r="AF383" i="29"/>
  <c r="AE383" i="29"/>
  <c r="W381" i="29"/>
  <c r="Y381" i="29" s="1"/>
  <c r="CA382" i="29"/>
  <c r="BU382" i="29" s="1"/>
  <c r="CB382" i="29"/>
  <c r="BV382" i="29" s="1"/>
  <c r="M381" i="29"/>
  <c r="AA381" i="29"/>
  <c r="X381" i="29"/>
  <c r="R382" i="29"/>
  <c r="Q382" i="29"/>
  <c r="X382" i="29" s="1"/>
  <c r="U383" i="29"/>
  <c r="AC383" i="29" s="1"/>
  <c r="BO386" i="29"/>
  <c r="BY385" i="29"/>
  <c r="BN386" i="29"/>
  <c r="BR385" i="29"/>
  <c r="K384" i="29"/>
  <c r="L383" i="29"/>
  <c r="J384" i="29"/>
  <c r="AB382" i="29"/>
  <c r="BZ360" i="29"/>
  <c r="BX361" i="29" s="1"/>
  <c r="BE384" i="29"/>
  <c r="BG384" i="29" s="1"/>
  <c r="BA384" i="29" s="1"/>
  <c r="BC384" i="29"/>
  <c r="BF384" i="29" s="1"/>
  <c r="BP384" i="29"/>
  <c r="BD385" i="29"/>
  <c r="BH383" i="29"/>
  <c r="BB383" i="29" s="1"/>
  <c r="AZ383" i="29"/>
  <c r="U384" i="29" l="1"/>
  <c r="M382" i="29"/>
  <c r="W382" i="29"/>
  <c r="Y382" i="29" s="1"/>
  <c r="AA382" i="29"/>
  <c r="CA383" i="29"/>
  <c r="BU383" i="29" s="1"/>
  <c r="CB383" i="29"/>
  <c r="BV383" i="29" s="1"/>
  <c r="Q383" i="29"/>
  <c r="X383" i="29" s="1"/>
  <c r="R383" i="29"/>
  <c r="CC382" i="29"/>
  <c r="V384" i="29"/>
  <c r="S385" i="29"/>
  <c r="T385" i="29"/>
  <c r="AE384" i="29"/>
  <c r="AF384" i="29"/>
  <c r="L384" i="29"/>
  <c r="J385" i="29"/>
  <c r="K385" i="29"/>
  <c r="BY386" i="29"/>
  <c r="BN387" i="29"/>
  <c r="BR386" i="29"/>
  <c r="BO387" i="29"/>
  <c r="AB383" i="29"/>
  <c r="BQ387" i="29"/>
  <c r="BZ361" i="29"/>
  <c r="BX362" i="29" s="1"/>
  <c r="AZ384" i="29"/>
  <c r="BH384" i="29"/>
  <c r="BB384" i="29" s="1"/>
  <c r="BE385" i="29"/>
  <c r="BG385" i="29" s="1"/>
  <c r="BA385" i="29" s="1"/>
  <c r="BP385" i="29"/>
  <c r="BD386" i="29"/>
  <c r="BC385" i="29"/>
  <c r="BF385" i="29" s="1"/>
  <c r="T386" i="29" l="1"/>
  <c r="V385" i="29"/>
  <c r="S386" i="29"/>
  <c r="AE385" i="29"/>
  <c r="AF385" i="29"/>
  <c r="BQ388" i="29"/>
  <c r="U385" i="29"/>
  <c r="AC385" i="29" s="1"/>
  <c r="R384" i="29"/>
  <c r="Q384" i="29"/>
  <c r="X384" i="29" s="1"/>
  <c r="M383" i="29"/>
  <c r="AA383" i="29"/>
  <c r="CA384" i="29"/>
  <c r="BU384" i="29" s="1"/>
  <c r="CB384" i="29"/>
  <c r="BV384" i="29" s="1"/>
  <c r="W383" i="29"/>
  <c r="Y383" i="29" s="1"/>
  <c r="AC384" i="29"/>
  <c r="BY387" i="29"/>
  <c r="BR387" i="29"/>
  <c r="BO388" i="29"/>
  <c r="BN388" i="29"/>
  <c r="J386" i="29"/>
  <c r="L385" i="29"/>
  <c r="K386" i="29"/>
  <c r="CC383" i="29"/>
  <c r="AB384" i="29"/>
  <c r="BZ362" i="29"/>
  <c r="BX363" i="29" s="1"/>
  <c r="BP386" i="29"/>
  <c r="BE386" i="29"/>
  <c r="BG386" i="29" s="1"/>
  <c r="BA386" i="29" s="1"/>
  <c r="BC386" i="29"/>
  <c r="BF386" i="29" s="1"/>
  <c r="BD387" i="29"/>
  <c r="BH385" i="29"/>
  <c r="BB385" i="29" s="1"/>
  <c r="AZ385" i="29"/>
  <c r="CC384" i="29" l="1"/>
  <c r="AB385" i="29"/>
  <c r="K387" i="29"/>
  <c r="J387" i="29"/>
  <c r="L386" i="29"/>
  <c r="BO389" i="29"/>
  <c r="BN389" i="29"/>
  <c r="BY388" i="29"/>
  <c r="BR388" i="29"/>
  <c r="U386" i="29"/>
  <c r="AC386" i="29" s="1"/>
  <c r="Q385" i="29"/>
  <c r="R385" i="29"/>
  <c r="BQ389" i="29"/>
  <c r="BQ390" i="29" s="1"/>
  <c r="V386" i="29"/>
  <c r="T387" i="29"/>
  <c r="S387" i="29"/>
  <c r="AE386" i="29"/>
  <c r="AF386" i="29"/>
  <c r="W384" i="29"/>
  <c r="Y384" i="29" s="1"/>
  <c r="AA384" i="29"/>
  <c r="M384" i="29"/>
  <c r="CA385" i="29"/>
  <c r="BU385" i="29" s="1"/>
  <c r="CB385" i="29"/>
  <c r="BV385" i="29" s="1"/>
  <c r="BP387" i="29"/>
  <c r="BD388" i="29"/>
  <c r="BC387" i="29"/>
  <c r="BF387" i="29" s="1"/>
  <c r="BE387" i="29"/>
  <c r="BG387" i="29" s="1"/>
  <c r="BA387" i="29" s="1"/>
  <c r="BZ363" i="29"/>
  <c r="BX364" i="29" s="1"/>
  <c r="AZ386" i="29"/>
  <c r="BH386" i="29"/>
  <c r="BB386" i="29" s="1"/>
  <c r="AB386" i="29" l="1"/>
  <c r="W385" i="29"/>
  <c r="Y385" i="29" s="1"/>
  <c r="M385" i="29"/>
  <c r="AA385" i="29"/>
  <c r="CA386" i="29"/>
  <c r="BU386" i="29" s="1"/>
  <c r="CB386" i="29"/>
  <c r="BV386" i="29" s="1"/>
  <c r="CC385" i="29"/>
  <c r="Q386" i="29"/>
  <c r="R386" i="29"/>
  <c r="U387" i="29"/>
  <c r="AC387" i="29" s="1"/>
  <c r="X385" i="29"/>
  <c r="J388" i="29"/>
  <c r="L387" i="29"/>
  <c r="K388" i="29"/>
  <c r="S388" i="29"/>
  <c r="V387" i="29"/>
  <c r="T388" i="29"/>
  <c r="AF387" i="29"/>
  <c r="AE387" i="29"/>
  <c r="BY389" i="29"/>
  <c r="BO390" i="29"/>
  <c r="BR389" i="29"/>
  <c r="BN390" i="29"/>
  <c r="BH387" i="29"/>
  <c r="BB387" i="29" s="1"/>
  <c r="AZ387" i="29"/>
  <c r="BZ364" i="29"/>
  <c r="BX365" i="29" s="1"/>
  <c r="BE388" i="29"/>
  <c r="BG388" i="29" s="1"/>
  <c r="BA388" i="29" s="1"/>
  <c r="BC388" i="29"/>
  <c r="BF388" i="29" s="1"/>
  <c r="BD389" i="29"/>
  <c r="BP388" i="29"/>
  <c r="U388" i="29" l="1"/>
  <c r="AC388" i="29" s="1"/>
  <c r="K389" i="29"/>
  <c r="J389" i="29"/>
  <c r="L388" i="29"/>
  <c r="CC386" i="29"/>
  <c r="BR390" i="29"/>
  <c r="BY390" i="29"/>
  <c r="BO391" i="29"/>
  <c r="BN391" i="29"/>
  <c r="T389" i="29"/>
  <c r="V388" i="29"/>
  <c r="S389" i="29"/>
  <c r="AE388" i="29"/>
  <c r="AF388" i="29"/>
  <c r="R387" i="29"/>
  <c r="Q387" i="29"/>
  <c r="X386" i="29"/>
  <c r="W386" i="29"/>
  <c r="Y386" i="29" s="1"/>
  <c r="CB387" i="29"/>
  <c r="BV387" i="29" s="1"/>
  <c r="M386" i="29"/>
  <c r="AA386" i="29"/>
  <c r="CA387" i="29"/>
  <c r="BU387" i="29" s="1"/>
  <c r="AB387" i="29"/>
  <c r="BQ391" i="29"/>
  <c r="BD390" i="29"/>
  <c r="BE389" i="29"/>
  <c r="BG389" i="29" s="1"/>
  <c r="BA389" i="29" s="1"/>
  <c r="BC389" i="29"/>
  <c r="BF389" i="29" s="1"/>
  <c r="BP389" i="29"/>
  <c r="BZ365" i="29"/>
  <c r="BX366" i="29" s="1"/>
  <c r="BH388" i="29"/>
  <c r="BB388" i="29" s="1"/>
  <c r="AZ388" i="29"/>
  <c r="CC387" i="29" l="1"/>
  <c r="W387" i="29"/>
  <c r="Y387" i="29" s="1"/>
  <c r="AA387" i="29"/>
  <c r="CB388" i="29"/>
  <c r="BV388" i="29" s="1"/>
  <c r="CA388" i="29"/>
  <c r="BU388" i="29" s="1"/>
  <c r="M387" i="29"/>
  <c r="U389" i="29"/>
  <c r="AB389" i="29" s="1"/>
  <c r="BY391" i="29"/>
  <c r="BN392" i="29"/>
  <c r="BR391" i="29"/>
  <c r="BO392" i="29"/>
  <c r="Q388" i="29"/>
  <c r="R388" i="29"/>
  <c r="BQ392" i="29"/>
  <c r="BQ393" i="29" s="1"/>
  <c r="T390" i="29"/>
  <c r="S390" i="29"/>
  <c r="V389" i="29"/>
  <c r="AF389" i="29"/>
  <c r="AE389" i="29"/>
  <c r="AB388" i="29"/>
  <c r="X387" i="29"/>
  <c r="K390" i="29"/>
  <c r="L389" i="29"/>
  <c r="J390" i="29"/>
  <c r="BH389" i="29"/>
  <c r="BB389" i="29" s="1"/>
  <c r="AZ389" i="29"/>
  <c r="BZ366" i="29"/>
  <c r="BX367" i="29" s="1"/>
  <c r="BE390" i="29"/>
  <c r="BG390" i="29" s="1"/>
  <c r="BA390" i="29" s="1"/>
  <c r="BP390" i="29"/>
  <c r="BD391" i="29"/>
  <c r="BC390" i="29"/>
  <c r="BF390" i="29" s="1"/>
  <c r="L390" i="29" l="1"/>
  <c r="K391" i="29"/>
  <c r="J391" i="29"/>
  <c r="V390" i="29"/>
  <c r="S391" i="29"/>
  <c r="T391" i="29"/>
  <c r="AE390" i="29"/>
  <c r="AF390" i="29"/>
  <c r="AA388" i="29"/>
  <c r="CB389" i="29"/>
  <c r="BV389" i="29" s="1"/>
  <c r="CA389" i="29"/>
  <c r="BU389" i="29" s="1"/>
  <c r="M388" i="29"/>
  <c r="W388" i="29"/>
  <c r="Y388" i="29" s="1"/>
  <c r="CC388" i="29"/>
  <c r="U390" i="29"/>
  <c r="AB390" i="29" s="1"/>
  <c r="BN393" i="29"/>
  <c r="BY392" i="29"/>
  <c r="BR392" i="29"/>
  <c r="BO393" i="29"/>
  <c r="Q389" i="29"/>
  <c r="X389" i="29" s="1"/>
  <c r="R389" i="29"/>
  <c r="X388" i="29"/>
  <c r="AC389" i="29"/>
  <c r="BZ367" i="29"/>
  <c r="BX368" i="29" s="1"/>
  <c r="BH390" i="29"/>
  <c r="BB390" i="29" s="1"/>
  <c r="AZ390" i="29"/>
  <c r="BE391" i="29"/>
  <c r="BG391" i="29" s="1"/>
  <c r="BA391" i="29" s="1"/>
  <c r="BD392" i="29"/>
  <c r="BC391" i="29"/>
  <c r="BF391" i="29" s="1"/>
  <c r="BP391" i="29"/>
  <c r="CC389" i="29" l="1"/>
  <c r="T392" i="29"/>
  <c r="V391" i="29"/>
  <c r="S392" i="29"/>
  <c r="AE391" i="29"/>
  <c r="AF391" i="29"/>
  <c r="K392" i="29"/>
  <c r="J392" i="29"/>
  <c r="L391" i="29"/>
  <c r="U391" i="29"/>
  <c r="AB391" i="29" s="1"/>
  <c r="Q390" i="29"/>
  <c r="X390" i="29" s="1"/>
  <c r="R390" i="29"/>
  <c r="AA389" i="29"/>
  <c r="M389" i="29"/>
  <c r="CA390" i="29"/>
  <c r="BU390" i="29" s="1"/>
  <c r="W389" i="29"/>
  <c r="Y389" i="29" s="1"/>
  <c r="CB390" i="29"/>
  <c r="BV390" i="29" s="1"/>
  <c r="AC390" i="29"/>
  <c r="BO394" i="29"/>
  <c r="BN394" i="29"/>
  <c r="BR393" i="29"/>
  <c r="BQ394" i="29"/>
  <c r="BZ368" i="29"/>
  <c r="BY369" i="29" s="1"/>
  <c r="BE392" i="29"/>
  <c r="BG392" i="29" s="1"/>
  <c r="BA392" i="29" s="1"/>
  <c r="BP392" i="29"/>
  <c r="BC392" i="29"/>
  <c r="BF392" i="29" s="1"/>
  <c r="BD393" i="29"/>
  <c r="BH391" i="29"/>
  <c r="BB391" i="29" s="1"/>
  <c r="AZ391" i="29"/>
  <c r="BQ395" i="29" l="1"/>
  <c r="BQ396" i="29" s="1"/>
  <c r="K393" i="29"/>
  <c r="J393" i="29"/>
  <c r="L392" i="29"/>
  <c r="BN395" i="29"/>
  <c r="BO395" i="29"/>
  <c r="BY394" i="29"/>
  <c r="BR394" i="29"/>
  <c r="Q391" i="29"/>
  <c r="X391" i="29" s="1"/>
  <c r="R391" i="29"/>
  <c r="U392" i="29"/>
  <c r="AC391" i="29"/>
  <c r="T393" i="29"/>
  <c r="V392" i="29"/>
  <c r="S393" i="29"/>
  <c r="AF392" i="29"/>
  <c r="AE392" i="29"/>
  <c r="CC390" i="29"/>
  <c r="CB391" i="29"/>
  <c r="BV391" i="29" s="1"/>
  <c r="W390" i="29"/>
  <c r="Y390" i="29" s="1"/>
  <c r="M390" i="29"/>
  <c r="CA391" i="29"/>
  <c r="BU391" i="29" s="1"/>
  <c r="AA390" i="29"/>
  <c r="BW369" i="29"/>
  <c r="BX369" i="29"/>
  <c r="AZ392" i="29"/>
  <c r="BH392" i="29"/>
  <c r="BB392" i="29" s="1"/>
  <c r="BE393" i="29"/>
  <c r="BG393" i="29" s="1"/>
  <c r="BA393" i="29" s="1"/>
  <c r="BP393" i="29"/>
  <c r="BC393" i="29"/>
  <c r="BF393" i="29" s="1"/>
  <c r="BD394" i="29"/>
  <c r="BI393" i="29"/>
  <c r="U393" i="29" l="1"/>
  <c r="AC393" i="29" s="1"/>
  <c r="BR395" i="29"/>
  <c r="BY395" i="29"/>
  <c r="BN396" i="29"/>
  <c r="BO396" i="29"/>
  <c r="K394" i="29"/>
  <c r="L393" i="29"/>
  <c r="J394" i="29"/>
  <c r="M391" i="29"/>
  <c r="AA391" i="29"/>
  <c r="W391" i="29"/>
  <c r="Y391" i="29" s="1"/>
  <c r="CA392" i="29"/>
  <c r="BU392" i="29" s="1"/>
  <c r="CB392" i="29"/>
  <c r="BV392" i="29" s="1"/>
  <c r="BQ397" i="29"/>
  <c r="CC391" i="29"/>
  <c r="V393" i="29"/>
  <c r="S394" i="29"/>
  <c r="T394" i="29"/>
  <c r="AE393" i="29"/>
  <c r="AF393" i="29"/>
  <c r="Q392" i="29"/>
  <c r="R392" i="29"/>
  <c r="BZ369" i="29"/>
  <c r="BX370" i="29" s="1"/>
  <c r="BD395" i="29"/>
  <c r="BC394" i="29"/>
  <c r="BF394" i="29" s="1"/>
  <c r="BE394" i="29"/>
  <c r="BG394" i="29" s="1"/>
  <c r="BA394" i="29" s="1"/>
  <c r="BP394" i="29"/>
  <c r="BH393" i="29"/>
  <c r="BB393" i="29" s="1"/>
  <c r="AZ393" i="29"/>
  <c r="BT369" i="29"/>
  <c r="M368" i="29" s="1"/>
  <c r="BS369" i="29"/>
  <c r="AB393" i="29" l="1"/>
  <c r="CA393" i="29"/>
  <c r="BU393" i="29" s="1"/>
  <c r="W392" i="29"/>
  <c r="AA392" i="29"/>
  <c r="U394" i="29"/>
  <c r="AC394" i="29" s="1"/>
  <c r="V394" i="29"/>
  <c r="S395" i="29"/>
  <c r="T395" i="29"/>
  <c r="AE394" i="29"/>
  <c r="AF394" i="29"/>
  <c r="CC392" i="29"/>
  <c r="L394" i="29"/>
  <c r="J395" i="29"/>
  <c r="K395" i="29"/>
  <c r="BN397" i="29"/>
  <c r="BO397" i="29"/>
  <c r="BY396" i="29"/>
  <c r="BR396" i="29"/>
  <c r="Q393" i="29"/>
  <c r="X393" i="29" s="1"/>
  <c r="R393" i="29"/>
  <c r="BC395" i="29"/>
  <c r="BF395" i="29" s="1"/>
  <c r="BP395" i="29"/>
  <c r="BE395" i="29"/>
  <c r="BG395" i="29" s="1"/>
  <c r="BA395" i="29" s="1"/>
  <c r="BD396" i="29"/>
  <c r="AZ394" i="29"/>
  <c r="BH394" i="29"/>
  <c r="BB394" i="29" s="1"/>
  <c r="H40" i="29"/>
  <c r="K33" i="40" s="1"/>
  <c r="X368" i="29"/>
  <c r="Y368" i="29" s="1"/>
  <c r="Z368" i="29" s="1"/>
  <c r="BZ370" i="29"/>
  <c r="BX371" i="29" s="1"/>
  <c r="AC368" i="29" l="1"/>
  <c r="AB368" i="29"/>
  <c r="Z369" i="29"/>
  <c r="Z370" i="29" s="1"/>
  <c r="Z371" i="29" s="1"/>
  <c r="Z372" i="29" s="1"/>
  <c r="Z373" i="29" s="1"/>
  <c r="Z374" i="29" s="1"/>
  <c r="Z375" i="29" s="1"/>
  <c r="Z376" i="29" s="1"/>
  <c r="Z377" i="29" s="1"/>
  <c r="Z378" i="29" s="1"/>
  <c r="Z379" i="29" s="1"/>
  <c r="CB381" i="29"/>
  <c r="G40" i="29"/>
  <c r="L33" i="40" s="1"/>
  <c r="BY397" i="29"/>
  <c r="BO398" i="29"/>
  <c r="BN398" i="29"/>
  <c r="BR397" i="29"/>
  <c r="S396" i="29"/>
  <c r="V395" i="29"/>
  <c r="T396" i="29"/>
  <c r="AE395" i="29"/>
  <c r="AF395" i="29"/>
  <c r="AB394" i="29"/>
  <c r="M393" i="29"/>
  <c r="W393" i="29"/>
  <c r="Y393" i="29" s="1"/>
  <c r="CA394" i="29"/>
  <c r="BU394" i="29" s="1"/>
  <c r="CB394" i="29"/>
  <c r="BV394" i="29" s="1"/>
  <c r="AA393" i="29"/>
  <c r="U395" i="29"/>
  <c r="AB395" i="29" s="1"/>
  <c r="K396" i="29"/>
  <c r="J396" i="29"/>
  <c r="L395" i="29"/>
  <c r="BQ398" i="29"/>
  <c r="BQ399" i="29" s="1"/>
  <c r="Q394" i="29"/>
  <c r="X394" i="29" s="1"/>
  <c r="R394" i="29"/>
  <c r="BZ371" i="29"/>
  <c r="BX372" i="29" s="1"/>
  <c r="D180" i="15"/>
  <c r="I49" i="39"/>
  <c r="H33" i="44" s="1"/>
  <c r="D33" i="45" s="1"/>
  <c r="K33" i="45" s="1"/>
  <c r="L33" i="45" s="1"/>
  <c r="J34" i="45" s="1"/>
  <c r="G47" i="15"/>
  <c r="BP396" i="29"/>
  <c r="BD397" i="29"/>
  <c r="BC396" i="29"/>
  <c r="BF396" i="29" s="1"/>
  <c r="BE396" i="29"/>
  <c r="BG396" i="29" s="1"/>
  <c r="BA396" i="29" s="1"/>
  <c r="BH395" i="29"/>
  <c r="BB395" i="29" s="1"/>
  <c r="AZ395" i="29"/>
  <c r="BR102" i="44" l="1"/>
  <c r="BJ102" i="44"/>
  <c r="BC102" i="44"/>
  <c r="AW102" i="44"/>
  <c r="AO102" i="44"/>
  <c r="BN102" i="44"/>
  <c r="BG102" i="44"/>
  <c r="AY102" i="44"/>
  <c r="AS102" i="44"/>
  <c r="BE102" i="44"/>
  <c r="AQ102" i="44"/>
  <c r="BM102" i="44"/>
  <c r="AX102" i="44"/>
  <c r="BI102" i="44"/>
  <c r="BB102" i="44"/>
  <c r="AT102" i="44"/>
  <c r="BO102" i="44"/>
  <c r="BH102" i="44"/>
  <c r="AR102" i="44"/>
  <c r="BA102" i="44"/>
  <c r="BP102" i="44"/>
  <c r="AZ102" i="44"/>
  <c r="AP102" i="44"/>
  <c r="BK102" i="44"/>
  <c r="BL102" i="44"/>
  <c r="BQ102" i="44"/>
  <c r="BD102" i="44"/>
  <c r="AV102" i="44"/>
  <c r="AU102" i="44"/>
  <c r="BF102" i="44"/>
  <c r="BV381" i="29"/>
  <c r="CC381" i="29"/>
  <c r="F180" i="15"/>
  <c r="L49" i="39"/>
  <c r="Q395" i="29"/>
  <c r="R395" i="29"/>
  <c r="CC394" i="29"/>
  <c r="K397" i="29"/>
  <c r="L396" i="29"/>
  <c r="J397" i="29"/>
  <c r="U396" i="29"/>
  <c r="AC396" i="29" s="1"/>
  <c r="T397" i="29"/>
  <c r="S397" i="29"/>
  <c r="V396" i="29"/>
  <c r="AF396" i="29"/>
  <c r="AE396" i="29"/>
  <c r="W394" i="29"/>
  <c r="Y394" i="29" s="1"/>
  <c r="CB395" i="29"/>
  <c r="BV395" i="29" s="1"/>
  <c r="AA394" i="29"/>
  <c r="M394" i="29"/>
  <c r="CA395" i="29"/>
  <c r="BU395" i="29" s="1"/>
  <c r="AC395" i="29"/>
  <c r="BO399" i="29"/>
  <c r="BY398" i="29"/>
  <c r="BN399" i="29"/>
  <c r="BR398" i="29"/>
  <c r="BZ372" i="29"/>
  <c r="BX373" i="29" s="1"/>
  <c r="BH396" i="29"/>
  <c r="BB396" i="29" s="1"/>
  <c r="AZ396" i="29"/>
  <c r="BD398" i="29"/>
  <c r="BP397" i="29"/>
  <c r="BC397" i="29"/>
  <c r="BF397" i="29" s="1"/>
  <c r="BE397" i="29"/>
  <c r="BG397" i="29" s="1"/>
  <c r="BA397" i="29" s="1"/>
  <c r="CC395" i="29" l="1"/>
  <c r="CA396" i="29"/>
  <c r="BU396" i="29" s="1"/>
  <c r="W395" i="29"/>
  <c r="Y395" i="29" s="1"/>
  <c r="AA395" i="29"/>
  <c r="CB396" i="29"/>
  <c r="BV396" i="29" s="1"/>
  <c r="M395" i="29"/>
  <c r="L397" i="29"/>
  <c r="J398" i="29"/>
  <c r="K398" i="29"/>
  <c r="X395" i="29"/>
  <c r="R396" i="29"/>
  <c r="Q396" i="29"/>
  <c r="BN400" i="29"/>
  <c r="BR399" i="29"/>
  <c r="BO400" i="29"/>
  <c r="BY399" i="29"/>
  <c r="U397" i="29"/>
  <c r="AC397" i="29" s="1"/>
  <c r="AB396" i="29"/>
  <c r="BQ400" i="29"/>
  <c r="BQ401" i="29" s="1"/>
  <c r="S398" i="29"/>
  <c r="T398" i="29"/>
  <c r="V397" i="29"/>
  <c r="AF397" i="29"/>
  <c r="AE397" i="29"/>
  <c r="BZ373" i="29"/>
  <c r="BX374" i="29" s="1"/>
  <c r="AZ397" i="29"/>
  <c r="BH397" i="29"/>
  <c r="BB397" i="29" s="1"/>
  <c r="BE398" i="29"/>
  <c r="BG398" i="29" s="1"/>
  <c r="BA398" i="29" s="1"/>
  <c r="BD399" i="29"/>
  <c r="BC398" i="29"/>
  <c r="BF398" i="29" s="1"/>
  <c r="BP398" i="29"/>
  <c r="AB397" i="29" l="1"/>
  <c r="CC396" i="29"/>
  <c r="W396" i="29"/>
  <c r="Y396" i="29" s="1"/>
  <c r="CB397" i="29"/>
  <c r="BV397" i="29" s="1"/>
  <c r="AA396" i="29"/>
  <c r="CA397" i="29"/>
  <c r="BU397" i="29" s="1"/>
  <c r="M396" i="29"/>
  <c r="T399" i="29"/>
  <c r="S399" i="29"/>
  <c r="V398" i="29"/>
  <c r="AF398" i="29"/>
  <c r="AE398" i="29"/>
  <c r="R397" i="29"/>
  <c r="Q397" i="29"/>
  <c r="X397" i="29" s="1"/>
  <c r="BR400" i="29"/>
  <c r="BY400" i="29"/>
  <c r="BN401" i="29"/>
  <c r="BO401" i="29"/>
  <c r="BQ402" i="29" s="1"/>
  <c r="X396" i="29"/>
  <c r="J399" i="29"/>
  <c r="K399" i="29"/>
  <c r="L398" i="29"/>
  <c r="U398" i="29"/>
  <c r="BZ374" i="29"/>
  <c r="BX375" i="29" s="1"/>
  <c r="AZ398" i="29"/>
  <c r="BH398" i="29"/>
  <c r="BB398" i="29" s="1"/>
  <c r="BP399" i="29"/>
  <c r="BE399" i="29"/>
  <c r="BG399" i="29" s="1"/>
  <c r="BA399" i="29" s="1"/>
  <c r="BD400" i="29"/>
  <c r="BC399" i="29"/>
  <c r="BF399" i="29" s="1"/>
  <c r="CC397" i="29" l="1"/>
  <c r="Q398" i="29"/>
  <c r="R398" i="29"/>
  <c r="K400" i="29"/>
  <c r="J400" i="29"/>
  <c r="L399" i="29"/>
  <c r="AC398" i="29"/>
  <c r="U399" i="29"/>
  <c r="AB399" i="29" s="1"/>
  <c r="AB398" i="29"/>
  <c r="V399" i="29"/>
  <c r="T400" i="29"/>
  <c r="S400" i="29"/>
  <c r="AE399" i="29"/>
  <c r="AF399" i="29"/>
  <c r="BO402" i="29"/>
  <c r="BR401" i="29"/>
  <c r="BN402" i="29"/>
  <c r="BY401" i="29"/>
  <c r="W397" i="29"/>
  <c r="Y397" i="29" s="1"/>
  <c r="CA398" i="29"/>
  <c r="BU398" i="29" s="1"/>
  <c r="AA397" i="29"/>
  <c r="M397" i="29"/>
  <c r="CB398" i="29"/>
  <c r="BV398" i="29" s="1"/>
  <c r="BH399" i="29"/>
  <c r="BB399" i="29" s="1"/>
  <c r="AZ399" i="29"/>
  <c r="BE400" i="29"/>
  <c r="BG400" i="29" s="1"/>
  <c r="BA400" i="29" s="1"/>
  <c r="BC400" i="29"/>
  <c r="BF400" i="29" s="1"/>
  <c r="BD401" i="29"/>
  <c r="BP400" i="29"/>
  <c r="BZ375" i="29"/>
  <c r="BX376" i="29" s="1"/>
  <c r="AC399" i="29" l="1"/>
  <c r="BN403" i="29"/>
  <c r="BR402" i="29"/>
  <c r="BO403" i="29"/>
  <c r="BY402" i="29"/>
  <c r="V400" i="29"/>
  <c r="S401" i="29"/>
  <c r="T401" i="29"/>
  <c r="AE400" i="29"/>
  <c r="AF400" i="29"/>
  <c r="CB399" i="29"/>
  <c r="BV399" i="29" s="1"/>
  <c r="CA399" i="29"/>
  <c r="BU399" i="29" s="1"/>
  <c r="W398" i="29"/>
  <c r="Y398" i="29" s="1"/>
  <c r="AA398" i="29"/>
  <c r="M398" i="29"/>
  <c r="X398" i="29"/>
  <c r="L400" i="29"/>
  <c r="J401" i="29"/>
  <c r="K401" i="29"/>
  <c r="CC398" i="29"/>
  <c r="U400" i="29"/>
  <c r="AB400" i="29" s="1"/>
  <c r="R399" i="29"/>
  <c r="Q399" i="29"/>
  <c r="BQ403" i="29"/>
  <c r="BQ404" i="29" s="1"/>
  <c r="BZ376" i="29"/>
  <c r="BX377" i="29" s="1"/>
  <c r="BH400" i="29"/>
  <c r="BB400" i="29" s="1"/>
  <c r="AZ400" i="29"/>
  <c r="BD402" i="29"/>
  <c r="BP401" i="29"/>
  <c r="BE401" i="29"/>
  <c r="BG401" i="29" s="1"/>
  <c r="BA401" i="29" s="1"/>
  <c r="BC401" i="29"/>
  <c r="BF401" i="29" s="1"/>
  <c r="CC399" i="29" l="1"/>
  <c r="AC400" i="29"/>
  <c r="BY403" i="29"/>
  <c r="BR403" i="29"/>
  <c r="BN404" i="29"/>
  <c r="BO404" i="29"/>
  <c r="X399" i="29"/>
  <c r="AA399" i="29"/>
  <c r="CB400" i="29"/>
  <c r="BV400" i="29" s="1"/>
  <c r="W399" i="29"/>
  <c r="Y399" i="29" s="1"/>
  <c r="CA400" i="29"/>
  <c r="BU400" i="29" s="1"/>
  <c r="M399" i="29"/>
  <c r="U401" i="29"/>
  <c r="AB401" i="29" s="1"/>
  <c r="BQ405" i="29"/>
  <c r="T402" i="29"/>
  <c r="V401" i="29"/>
  <c r="S402" i="29"/>
  <c r="AE401" i="29"/>
  <c r="AF401" i="29"/>
  <c r="Q400" i="29"/>
  <c r="X400" i="29" s="1"/>
  <c r="R400" i="29"/>
  <c r="K402" i="29"/>
  <c r="J402" i="29"/>
  <c r="L401" i="29"/>
  <c r="BH401" i="29"/>
  <c r="BB401" i="29" s="1"/>
  <c r="AZ401" i="29"/>
  <c r="BZ377" i="29"/>
  <c r="BX378" i="29" s="1"/>
  <c r="BE402" i="29"/>
  <c r="BG402" i="29" s="1"/>
  <c r="BA402" i="29" s="1"/>
  <c r="BC402" i="29"/>
  <c r="BF402" i="29" s="1"/>
  <c r="BD403" i="29"/>
  <c r="BP402" i="29"/>
  <c r="AC401" i="29" l="1"/>
  <c r="CC400" i="29"/>
  <c r="CB401" i="29"/>
  <c r="BV401" i="29" s="1"/>
  <c r="M400" i="29"/>
  <c r="CA401" i="29"/>
  <c r="BU401" i="29" s="1"/>
  <c r="AA400" i="29"/>
  <c r="W400" i="29"/>
  <c r="Y400" i="29" s="1"/>
  <c r="U402" i="29"/>
  <c r="R401" i="29"/>
  <c r="Q401" i="29"/>
  <c r="L402" i="29"/>
  <c r="J403" i="29"/>
  <c r="K403" i="29"/>
  <c r="T403" i="29"/>
  <c r="V402" i="29"/>
  <c r="S403" i="29"/>
  <c r="AE402" i="29"/>
  <c r="AF402" i="29"/>
  <c r="BN405" i="29"/>
  <c r="BO405" i="29"/>
  <c r="BQ406" i="29" s="1"/>
  <c r="BY404" i="29"/>
  <c r="BR404" i="29"/>
  <c r="BZ378" i="29"/>
  <c r="BX379" i="29" s="1"/>
  <c r="BE403" i="29"/>
  <c r="BG403" i="29" s="1"/>
  <c r="BA403" i="29" s="1"/>
  <c r="BD404" i="29"/>
  <c r="BC403" i="29"/>
  <c r="BF403" i="29" s="1"/>
  <c r="BP403" i="29"/>
  <c r="AZ402" i="29"/>
  <c r="BH402" i="29"/>
  <c r="BB402" i="29" s="1"/>
  <c r="CC401" i="29" l="1"/>
  <c r="S404" i="29"/>
  <c r="V403" i="29"/>
  <c r="T404" i="29"/>
  <c r="AF403" i="29"/>
  <c r="AE403" i="29"/>
  <c r="Q402" i="29"/>
  <c r="X402" i="29" s="1"/>
  <c r="R402" i="29"/>
  <c r="AA401" i="29"/>
  <c r="M401" i="29"/>
  <c r="CB402" i="29"/>
  <c r="BV402" i="29" s="1"/>
  <c r="CA402" i="29"/>
  <c r="BU402" i="29" s="1"/>
  <c r="W401" i="29"/>
  <c r="Y401" i="29" s="1"/>
  <c r="AC402" i="29"/>
  <c r="K404" i="29"/>
  <c r="J404" i="29"/>
  <c r="L403" i="29"/>
  <c r="BN406" i="29"/>
  <c r="BO406" i="29"/>
  <c r="BR405" i="29"/>
  <c r="U403" i="29"/>
  <c r="AC403" i="29" s="1"/>
  <c r="X401" i="29"/>
  <c r="AB402" i="29"/>
  <c r="BD405" i="29"/>
  <c r="BP404" i="29"/>
  <c r="BE404" i="29"/>
  <c r="BG404" i="29" s="1"/>
  <c r="BA404" i="29" s="1"/>
  <c r="BC404" i="29"/>
  <c r="BF404" i="29" s="1"/>
  <c r="BZ379" i="29"/>
  <c r="BX380" i="29" s="1"/>
  <c r="AZ403" i="29"/>
  <c r="BH403" i="29"/>
  <c r="BB403" i="29" s="1"/>
  <c r="AB403" i="29" l="1"/>
  <c r="CC402" i="29"/>
  <c r="U404" i="29"/>
  <c r="Q403" i="29"/>
  <c r="X403" i="29" s="1"/>
  <c r="R403" i="29"/>
  <c r="BO407" i="29"/>
  <c r="BR406" i="29"/>
  <c r="BY406" i="29"/>
  <c r="BN407" i="29"/>
  <c r="L404" i="29"/>
  <c r="K405" i="29"/>
  <c r="J405" i="29"/>
  <c r="S405" i="29"/>
  <c r="T405" i="29"/>
  <c r="V404" i="29"/>
  <c r="AE404" i="29"/>
  <c r="AF404" i="29"/>
  <c r="M402" i="29"/>
  <c r="CB403" i="29"/>
  <c r="BV403" i="29" s="1"/>
  <c r="CA403" i="29"/>
  <c r="BU403" i="29" s="1"/>
  <c r="AA402" i="29"/>
  <c r="W402" i="29"/>
  <c r="Y402" i="29" s="1"/>
  <c r="BQ407" i="29"/>
  <c r="BZ380" i="29"/>
  <c r="BY381" i="29" s="1"/>
  <c r="BW381" i="29" s="1"/>
  <c r="BH404" i="29"/>
  <c r="BB404" i="29" s="1"/>
  <c r="AZ404" i="29"/>
  <c r="BI405" i="29"/>
  <c r="BE405" i="29"/>
  <c r="BG405" i="29" s="1"/>
  <c r="BA405" i="29" s="1"/>
  <c r="BP405" i="29"/>
  <c r="BC405" i="29"/>
  <c r="BF405" i="29" s="1"/>
  <c r="BD406" i="29"/>
  <c r="CC403" i="29" l="1"/>
  <c r="BQ408" i="29"/>
  <c r="U405" i="29"/>
  <c r="AC405" i="29" s="1"/>
  <c r="BY407" i="29"/>
  <c r="BO408" i="29"/>
  <c r="BN408" i="29"/>
  <c r="BR407" i="29"/>
  <c r="Q404" i="29"/>
  <c r="R404" i="29"/>
  <c r="V405" i="29"/>
  <c r="S406" i="29"/>
  <c r="T406" i="29"/>
  <c r="AF405" i="29"/>
  <c r="AE405" i="29"/>
  <c r="L405" i="29"/>
  <c r="K406" i="29"/>
  <c r="J406" i="29"/>
  <c r="CA404" i="29"/>
  <c r="BU404" i="29" s="1"/>
  <c r="M403" i="29"/>
  <c r="CB404" i="29"/>
  <c r="BV404" i="29" s="1"/>
  <c r="W403" i="29"/>
  <c r="Y403" i="29" s="1"/>
  <c r="AA403" i="29"/>
  <c r="BT381" i="29"/>
  <c r="M380" i="29" s="1"/>
  <c r="BS381" i="29"/>
  <c r="BX381" i="29"/>
  <c r="BC406" i="29"/>
  <c r="BF406" i="29" s="1"/>
  <c r="BD407" i="29"/>
  <c r="BE406" i="29"/>
  <c r="BG406" i="29" s="1"/>
  <c r="BA406" i="29" s="1"/>
  <c r="BP406" i="29"/>
  <c r="AZ405" i="29"/>
  <c r="BH405" i="29"/>
  <c r="BB405" i="29" s="1"/>
  <c r="K407" i="29" l="1"/>
  <c r="L406" i="29"/>
  <c r="J407" i="29"/>
  <c r="V406" i="29"/>
  <c r="S407" i="29"/>
  <c r="T407" i="29"/>
  <c r="AF406" i="29"/>
  <c r="AE406" i="29"/>
  <c r="W404" i="29"/>
  <c r="CA405" i="29"/>
  <c r="BU405" i="29" s="1"/>
  <c r="AA404" i="29"/>
  <c r="CC404" i="29"/>
  <c r="U406" i="29"/>
  <c r="AB406" i="29" s="1"/>
  <c r="R405" i="29"/>
  <c r="Q405" i="29"/>
  <c r="X405" i="29" s="1"/>
  <c r="BQ409" i="29"/>
  <c r="BQ410" i="29" s="1"/>
  <c r="BN409" i="29"/>
  <c r="BO409" i="29"/>
  <c r="BY408" i="29"/>
  <c r="BR408" i="29"/>
  <c r="AB405" i="29"/>
  <c r="BP407" i="29"/>
  <c r="BE407" i="29"/>
  <c r="BG407" i="29" s="1"/>
  <c r="BA407" i="29" s="1"/>
  <c r="BD408" i="29"/>
  <c r="BC407" i="29"/>
  <c r="BF407" i="29" s="1"/>
  <c r="AZ406" i="29"/>
  <c r="BH406" i="29"/>
  <c r="BB406" i="29" s="1"/>
  <c r="BZ381" i="29"/>
  <c r="BX382" i="29" s="1"/>
  <c r="H41" i="29"/>
  <c r="K34" i="40" s="1"/>
  <c r="X380" i="29"/>
  <c r="Y380" i="29" s="1"/>
  <c r="Z380" i="29" s="1"/>
  <c r="AB380" i="29" l="1"/>
  <c r="AC380" i="29"/>
  <c r="Z381" i="29"/>
  <c r="Z382" i="29" s="1"/>
  <c r="Z383" i="29" s="1"/>
  <c r="Z384" i="29" s="1"/>
  <c r="Z385" i="29" s="1"/>
  <c r="Z386" i="29" s="1"/>
  <c r="Z387" i="29" s="1"/>
  <c r="Z388" i="29" s="1"/>
  <c r="Z389" i="29" s="1"/>
  <c r="Z390" i="29" s="1"/>
  <c r="Z391" i="29" s="1"/>
  <c r="CB393" i="29"/>
  <c r="G41" i="29"/>
  <c r="L34" i="40" s="1"/>
  <c r="S408" i="29"/>
  <c r="V407" i="29"/>
  <c r="T408" i="29"/>
  <c r="AF407" i="29"/>
  <c r="AE407" i="29"/>
  <c r="U407" i="29"/>
  <c r="L407" i="29"/>
  <c r="J408" i="29"/>
  <c r="K408" i="29"/>
  <c r="BQ411" i="29"/>
  <c r="R406" i="29"/>
  <c r="Q406" i="29"/>
  <c r="X406" i="29" s="1"/>
  <c r="BR409" i="29"/>
  <c r="BO410" i="29"/>
  <c r="BY409" i="29"/>
  <c r="BN410" i="29"/>
  <c r="CB406" i="29"/>
  <c r="BV406" i="29" s="1"/>
  <c r="AA405" i="29"/>
  <c r="M405" i="29"/>
  <c r="W405" i="29"/>
  <c r="Y405" i="29" s="1"/>
  <c r="CA406" i="29"/>
  <c r="BU406" i="29" s="1"/>
  <c r="AC406" i="29"/>
  <c r="BZ382" i="29"/>
  <c r="BX383" i="29" s="1"/>
  <c r="BP408" i="29"/>
  <c r="BC408" i="29"/>
  <c r="BF408" i="29" s="1"/>
  <c r="BE408" i="29"/>
  <c r="BG408" i="29" s="1"/>
  <c r="BA408" i="29" s="1"/>
  <c r="BD409" i="29"/>
  <c r="BH407" i="29"/>
  <c r="BB407" i="29" s="1"/>
  <c r="AZ407" i="29"/>
  <c r="D181" i="15"/>
  <c r="I50" i="39"/>
  <c r="H34" i="44" s="1"/>
  <c r="D34" i="45" s="1"/>
  <c r="K34" i="45" s="1"/>
  <c r="L34" i="45" s="1"/>
  <c r="J35" i="45" s="1"/>
  <c r="G48" i="15"/>
  <c r="BG103" i="44" l="1"/>
  <c r="AV103" i="44"/>
  <c r="AT103" i="44"/>
  <c r="BF103" i="44"/>
  <c r="BD103" i="44"/>
  <c r="AY103" i="44"/>
  <c r="BK103" i="44"/>
  <c r="BQ103" i="44"/>
  <c r="AR103" i="44"/>
  <c r="BA103" i="44"/>
  <c r="BL103" i="44"/>
  <c r="BI103" i="44"/>
  <c r="AQ103" i="44"/>
  <c r="AX103" i="44"/>
  <c r="BB103" i="44"/>
  <c r="AZ103" i="44"/>
  <c r="BH103" i="44"/>
  <c r="BR103" i="44"/>
  <c r="AW103" i="44"/>
  <c r="BM103" i="44"/>
  <c r="BP103" i="44"/>
  <c r="BJ103" i="44"/>
  <c r="BN103" i="44"/>
  <c r="BE103" i="44"/>
  <c r="BC103" i="44"/>
  <c r="AS103" i="44"/>
  <c r="AP103" i="44"/>
  <c r="AU103" i="44"/>
  <c r="BO103" i="44"/>
  <c r="BV393" i="29"/>
  <c r="CC393" i="29"/>
  <c r="L50" i="39"/>
  <c r="F181" i="15"/>
  <c r="R407" i="29"/>
  <c r="Q407" i="29"/>
  <c r="K409" i="29"/>
  <c r="J409" i="29"/>
  <c r="L408" i="29"/>
  <c r="AC407" i="29"/>
  <c r="T409" i="29"/>
  <c r="S409" i="29"/>
  <c r="V408" i="29"/>
  <c r="AE408" i="29"/>
  <c r="AF408" i="29"/>
  <c r="BQ412" i="29"/>
  <c r="CA407" i="29"/>
  <c r="BU407" i="29" s="1"/>
  <c r="AA406" i="29"/>
  <c r="CB407" i="29"/>
  <c r="BV407" i="29" s="1"/>
  <c r="W406" i="29"/>
  <c r="Y406" i="29" s="1"/>
  <c r="M406" i="29"/>
  <c r="AB407" i="29"/>
  <c r="CC406" i="29"/>
  <c r="BR410" i="29"/>
  <c r="BY410" i="29"/>
  <c r="BO411" i="29"/>
  <c r="BN411" i="29"/>
  <c r="U408" i="29"/>
  <c r="AB408" i="29" s="1"/>
  <c r="BD410" i="29"/>
  <c r="BE409" i="29"/>
  <c r="BG409" i="29" s="1"/>
  <c r="BA409" i="29" s="1"/>
  <c r="BP409" i="29"/>
  <c r="BC409" i="29"/>
  <c r="BF409" i="29" s="1"/>
  <c r="BH408" i="29"/>
  <c r="BB408" i="29" s="1"/>
  <c r="AZ408" i="29"/>
  <c r="BZ383" i="29"/>
  <c r="BX384" i="29" s="1"/>
  <c r="CC407" i="29" l="1"/>
  <c r="AC408" i="29"/>
  <c r="U409" i="29"/>
  <c r="AC409" i="29" s="1"/>
  <c r="R408" i="29"/>
  <c r="Q408" i="29"/>
  <c r="BY411" i="29"/>
  <c r="BR411" i="29"/>
  <c r="BO412" i="29"/>
  <c r="BN412" i="29"/>
  <c r="V409" i="29"/>
  <c r="T410" i="29"/>
  <c r="S410" i="29"/>
  <c r="AE409" i="29"/>
  <c r="AF409" i="29"/>
  <c r="L409" i="29"/>
  <c r="K410" i="29"/>
  <c r="J410" i="29"/>
  <c r="X407" i="29"/>
  <c r="M407" i="29"/>
  <c r="AA407" i="29"/>
  <c r="CA408" i="29"/>
  <c r="BU408" i="29" s="1"/>
  <c r="W407" i="29"/>
  <c r="Y407" i="29" s="1"/>
  <c r="CB408" i="29"/>
  <c r="BV408" i="29" s="1"/>
  <c r="AZ409" i="29"/>
  <c r="BH409" i="29"/>
  <c r="BB409" i="29" s="1"/>
  <c r="BZ384" i="29"/>
  <c r="BX385" i="29" s="1"/>
  <c r="BE410" i="29"/>
  <c r="BG410" i="29" s="1"/>
  <c r="BA410" i="29" s="1"/>
  <c r="BC410" i="29"/>
  <c r="BF410" i="29" s="1"/>
  <c r="BD411" i="29"/>
  <c r="BP410" i="29"/>
  <c r="X408" i="29" l="1"/>
  <c r="AA408" i="29"/>
  <c r="CA409" i="29"/>
  <c r="BU409" i="29" s="1"/>
  <c r="CB409" i="29"/>
  <c r="BV409" i="29" s="1"/>
  <c r="M408" i="29"/>
  <c r="W408" i="29"/>
  <c r="Y408" i="29" s="1"/>
  <c r="CC408" i="29"/>
  <c r="J411" i="29"/>
  <c r="L410" i="29"/>
  <c r="K411" i="29"/>
  <c r="U410" i="29"/>
  <c r="AC410" i="29" s="1"/>
  <c r="BN413" i="29"/>
  <c r="BO413" i="29"/>
  <c r="BY412" i="29"/>
  <c r="BR412" i="29"/>
  <c r="BQ413" i="29"/>
  <c r="V410" i="29"/>
  <c r="T411" i="29"/>
  <c r="S411" i="29"/>
  <c r="AF410" i="29"/>
  <c r="AE410" i="29"/>
  <c r="R409" i="29"/>
  <c r="Q409" i="29"/>
  <c r="AB409" i="29"/>
  <c r="BC411" i="29"/>
  <c r="BF411" i="29" s="1"/>
  <c r="BD412" i="29"/>
  <c r="BE411" i="29"/>
  <c r="BG411" i="29" s="1"/>
  <c r="BA411" i="29" s="1"/>
  <c r="BP411" i="29"/>
  <c r="BZ385" i="29"/>
  <c r="BX386" i="29" s="1"/>
  <c r="AZ410" i="29"/>
  <c r="BH410" i="29"/>
  <c r="BB410" i="29" s="1"/>
  <c r="M409" i="29" l="1"/>
  <c r="CB410" i="29"/>
  <c r="BV410" i="29" s="1"/>
  <c r="AA409" i="29"/>
  <c r="CA410" i="29"/>
  <c r="BU410" i="29" s="1"/>
  <c r="W409" i="29"/>
  <c r="Y409" i="29" s="1"/>
  <c r="U411" i="29"/>
  <c r="AC411" i="29" s="1"/>
  <c r="V411" i="29"/>
  <c r="S412" i="29"/>
  <c r="T412" i="29"/>
  <c r="AF411" i="29"/>
  <c r="AE411" i="29"/>
  <c r="Q410" i="29"/>
  <c r="R410" i="29"/>
  <c r="BR413" i="29"/>
  <c r="BO414" i="29"/>
  <c r="BY413" i="29"/>
  <c r="BN414" i="29"/>
  <c r="AB410" i="29"/>
  <c r="X409" i="29"/>
  <c r="BQ414" i="29"/>
  <c r="K412" i="29"/>
  <c r="L411" i="29"/>
  <c r="J412" i="29"/>
  <c r="CC409" i="29"/>
  <c r="BZ386" i="29"/>
  <c r="BX387" i="29" s="1"/>
  <c r="BE412" i="29"/>
  <c r="BG412" i="29" s="1"/>
  <c r="BA412" i="29" s="1"/>
  <c r="BP412" i="29"/>
  <c r="BC412" i="29"/>
  <c r="BF412" i="29" s="1"/>
  <c r="BD413" i="29"/>
  <c r="BH411" i="29"/>
  <c r="BB411" i="29" s="1"/>
  <c r="AZ411" i="29"/>
  <c r="CC410" i="29" l="1"/>
  <c r="CA411" i="29"/>
  <c r="BU411" i="29" s="1"/>
  <c r="M410" i="29"/>
  <c r="AA410" i="29"/>
  <c r="W410" i="29"/>
  <c r="Y410" i="29" s="1"/>
  <c r="CB411" i="29"/>
  <c r="BV411" i="29" s="1"/>
  <c r="U412" i="29"/>
  <c r="AB412" i="29" s="1"/>
  <c r="K413" i="29"/>
  <c r="L412" i="29"/>
  <c r="J413" i="29"/>
  <c r="BO415" i="29"/>
  <c r="BN415" i="29"/>
  <c r="BR414" i="29"/>
  <c r="BY414" i="29"/>
  <c r="Q411" i="29"/>
  <c r="X411" i="29" s="1"/>
  <c r="R411" i="29"/>
  <c r="BQ415" i="29"/>
  <c r="BQ416" i="29" s="1"/>
  <c r="X410" i="29"/>
  <c r="T413" i="29"/>
  <c r="V412" i="29"/>
  <c r="S413" i="29"/>
  <c r="AF412" i="29"/>
  <c r="AE412" i="29"/>
  <c r="AB411" i="29"/>
  <c r="BZ387" i="29"/>
  <c r="BX388" i="29" s="1"/>
  <c r="BD414" i="29"/>
  <c r="BE413" i="29"/>
  <c r="BG413" i="29" s="1"/>
  <c r="BA413" i="29" s="1"/>
  <c r="BP413" i="29"/>
  <c r="BC413" i="29"/>
  <c r="BF413" i="29" s="1"/>
  <c r="AZ412" i="29"/>
  <c r="BH412" i="29"/>
  <c r="BB412" i="29" s="1"/>
  <c r="AC412" i="29" l="1"/>
  <c r="V413" i="29"/>
  <c r="T414" i="29"/>
  <c r="S414" i="29"/>
  <c r="AE413" i="29"/>
  <c r="AF413" i="29"/>
  <c r="M411" i="29"/>
  <c r="CB412" i="29"/>
  <c r="BV412" i="29" s="1"/>
  <c r="CA412" i="29"/>
  <c r="BU412" i="29" s="1"/>
  <c r="AA411" i="29"/>
  <c r="W411" i="29"/>
  <c r="Y411" i="29" s="1"/>
  <c r="K414" i="29"/>
  <c r="L413" i="29"/>
  <c r="J414" i="29"/>
  <c r="CC411" i="29"/>
  <c r="U413" i="29"/>
  <c r="AC413" i="29" s="1"/>
  <c r="BR415" i="29"/>
  <c r="BY415" i="29"/>
  <c r="BN416" i="29"/>
  <c r="BO416" i="29"/>
  <c r="Q412" i="29"/>
  <c r="X412" i="29" s="1"/>
  <c r="R412" i="29"/>
  <c r="BD415" i="29"/>
  <c r="BC414" i="29"/>
  <c r="BF414" i="29" s="1"/>
  <c r="BP414" i="29"/>
  <c r="BE414" i="29"/>
  <c r="BG414" i="29" s="1"/>
  <c r="BA414" i="29" s="1"/>
  <c r="AZ413" i="29"/>
  <c r="BH413" i="29"/>
  <c r="BB413" i="29" s="1"/>
  <c r="BZ388" i="29"/>
  <c r="BX389" i="29" s="1"/>
  <c r="CC412" i="29" l="1"/>
  <c r="U414" i="29"/>
  <c r="AB414" i="29" s="1"/>
  <c r="CA413" i="29"/>
  <c r="BU413" i="29" s="1"/>
  <c r="M412" i="29"/>
  <c r="AA412" i="29"/>
  <c r="W412" i="29"/>
  <c r="Y412" i="29" s="1"/>
  <c r="CB413" i="29"/>
  <c r="BV413" i="29" s="1"/>
  <c r="T415" i="29"/>
  <c r="S415" i="29"/>
  <c r="V414" i="29"/>
  <c r="AF414" i="29"/>
  <c r="AE414" i="29"/>
  <c r="Q413" i="29"/>
  <c r="X413" i="29" s="1"/>
  <c r="R413" i="29"/>
  <c r="AB413" i="29"/>
  <c r="J415" i="29"/>
  <c r="L414" i="29"/>
  <c r="K415" i="29"/>
  <c r="BY416" i="29"/>
  <c r="BO417" i="29"/>
  <c r="BR416" i="29"/>
  <c r="BN417" i="29"/>
  <c r="BQ417" i="29"/>
  <c r="BQ418" i="29" s="1"/>
  <c r="BZ389" i="29"/>
  <c r="BX390" i="29" s="1"/>
  <c r="AZ414" i="29"/>
  <c r="BH414" i="29"/>
  <c r="BB414" i="29" s="1"/>
  <c r="BE415" i="29"/>
  <c r="BG415" i="29" s="1"/>
  <c r="BA415" i="29" s="1"/>
  <c r="BC415" i="29"/>
  <c r="BF415" i="29" s="1"/>
  <c r="BP415" i="29"/>
  <c r="BD416" i="29"/>
  <c r="AC414" i="29" l="1"/>
  <c r="CC413" i="29"/>
  <c r="V415" i="29"/>
  <c r="T416" i="29"/>
  <c r="S416" i="29"/>
  <c r="AE415" i="29"/>
  <c r="AF415" i="29"/>
  <c r="L415" i="29"/>
  <c r="J416" i="29"/>
  <c r="K416" i="29"/>
  <c r="BN418" i="29"/>
  <c r="BR417" i="29"/>
  <c r="BO418" i="29"/>
  <c r="CB414" i="29"/>
  <c r="BV414" i="29" s="1"/>
  <c r="AA413" i="29"/>
  <c r="W413" i="29"/>
  <c r="Y413" i="29" s="1"/>
  <c r="CA414" i="29"/>
  <c r="BU414" i="29" s="1"/>
  <c r="M413" i="29"/>
  <c r="U415" i="29"/>
  <c r="Q414" i="29"/>
  <c r="R414" i="29"/>
  <c r="BH415" i="29"/>
  <c r="BB415" i="29" s="1"/>
  <c r="AZ415" i="29"/>
  <c r="BE416" i="29"/>
  <c r="BG416" i="29" s="1"/>
  <c r="BA416" i="29" s="1"/>
  <c r="BP416" i="29"/>
  <c r="BD417" i="29"/>
  <c r="BC416" i="29"/>
  <c r="BF416" i="29" s="1"/>
  <c r="BZ390" i="29"/>
  <c r="BX391" i="29" s="1"/>
  <c r="W414" i="29" l="1"/>
  <c r="Y414" i="29" s="1"/>
  <c r="CB415" i="29"/>
  <c r="BV415" i="29" s="1"/>
  <c r="M414" i="29"/>
  <c r="CA415" i="29"/>
  <c r="BU415" i="29" s="1"/>
  <c r="AA414" i="29"/>
  <c r="CC414" i="29"/>
  <c r="T417" i="29"/>
  <c r="V416" i="29"/>
  <c r="S417" i="29"/>
  <c r="AE416" i="29"/>
  <c r="AF416" i="29"/>
  <c r="Q415" i="29"/>
  <c r="X415" i="29" s="1"/>
  <c r="R415" i="29"/>
  <c r="X414" i="29"/>
  <c r="AB415" i="29"/>
  <c r="BO419" i="29"/>
  <c r="BY418" i="29"/>
  <c r="BR418" i="29"/>
  <c r="BN419" i="29"/>
  <c r="K417" i="29"/>
  <c r="J417" i="29"/>
  <c r="L416" i="29"/>
  <c r="BQ419" i="29"/>
  <c r="BQ420" i="29" s="1"/>
  <c r="AC415" i="29"/>
  <c r="U416" i="29"/>
  <c r="BZ391" i="29"/>
  <c r="BX392" i="29" s="1"/>
  <c r="AZ416" i="29"/>
  <c r="BH416" i="29"/>
  <c r="BB416" i="29" s="1"/>
  <c r="BC417" i="29"/>
  <c r="BF417" i="29" s="1"/>
  <c r="BI417" i="29"/>
  <c r="BP417" i="29"/>
  <c r="BE417" i="29"/>
  <c r="BG417" i="29" s="1"/>
  <c r="BA417" i="29" s="1"/>
  <c r="BD418" i="29"/>
  <c r="CC415" i="29" l="1"/>
  <c r="K418" i="29"/>
  <c r="L417" i="29"/>
  <c r="J418" i="29"/>
  <c r="BN420" i="29"/>
  <c r="BR419" i="29"/>
  <c r="BY419" i="29"/>
  <c r="BO420" i="29"/>
  <c r="BQ421" i="29" s="1"/>
  <c r="AA415" i="29"/>
  <c r="W415" i="29"/>
  <c r="Y415" i="29" s="1"/>
  <c r="CB416" i="29"/>
  <c r="BV416" i="29" s="1"/>
  <c r="M415" i="29"/>
  <c r="CA416" i="29"/>
  <c r="BU416" i="29" s="1"/>
  <c r="U417" i="29"/>
  <c r="AB417" i="29" s="1"/>
  <c r="V417" i="29"/>
  <c r="S418" i="29"/>
  <c r="T418" i="29"/>
  <c r="AF417" i="29"/>
  <c r="AE417" i="29"/>
  <c r="R416" i="29"/>
  <c r="Q416" i="29"/>
  <c r="BZ392" i="29"/>
  <c r="BY393" i="29" s="1"/>
  <c r="BD419" i="29"/>
  <c r="BP418" i="29"/>
  <c r="BE418" i="29"/>
  <c r="BG418" i="29" s="1"/>
  <c r="BA418" i="29" s="1"/>
  <c r="BC418" i="29"/>
  <c r="BF418" i="29" s="1"/>
  <c r="AZ417" i="29"/>
  <c r="BH417" i="29"/>
  <c r="BB417" i="29" s="1"/>
  <c r="CC416" i="29" l="1"/>
  <c r="AC417" i="29"/>
  <c r="U418" i="29"/>
  <c r="AC418" i="29" s="1"/>
  <c r="BY420" i="29"/>
  <c r="BN421" i="29"/>
  <c r="BR420" i="29"/>
  <c r="BO421" i="29"/>
  <c r="W416" i="29"/>
  <c r="AA416" i="29"/>
  <c r="CA417" i="29"/>
  <c r="BU417" i="29" s="1"/>
  <c r="J419" i="29"/>
  <c r="L418" i="29"/>
  <c r="K419" i="29"/>
  <c r="V418" i="29"/>
  <c r="S419" i="29"/>
  <c r="T419" i="29"/>
  <c r="AE418" i="29"/>
  <c r="AF418" i="29"/>
  <c r="Q417" i="29"/>
  <c r="R417" i="29"/>
  <c r="BW393" i="29"/>
  <c r="BX393" i="29"/>
  <c r="BH418" i="29"/>
  <c r="BB418" i="29" s="1"/>
  <c r="AZ418" i="29"/>
  <c r="BC419" i="29"/>
  <c r="BF419" i="29" s="1"/>
  <c r="BP419" i="29"/>
  <c r="BE419" i="29"/>
  <c r="BG419" i="29" s="1"/>
  <c r="BA419" i="29" s="1"/>
  <c r="BD420" i="29"/>
  <c r="AB418" i="29" l="1"/>
  <c r="W417" i="29"/>
  <c r="Y417" i="29" s="1"/>
  <c r="CA418" i="29"/>
  <c r="BU418" i="29" s="1"/>
  <c r="M417" i="29"/>
  <c r="CB418" i="29"/>
  <c r="BV418" i="29" s="1"/>
  <c r="AA417" i="29"/>
  <c r="U419" i="29"/>
  <c r="V419" i="29"/>
  <c r="S420" i="29"/>
  <c r="T420" i="29"/>
  <c r="AF419" i="29"/>
  <c r="AE419" i="29"/>
  <c r="X417" i="29"/>
  <c r="L419" i="29"/>
  <c r="K420" i="29"/>
  <c r="J420" i="29"/>
  <c r="BN422" i="29"/>
  <c r="BR421" i="29"/>
  <c r="BO422" i="29"/>
  <c r="BY421" i="29"/>
  <c r="R418" i="29"/>
  <c r="Q418" i="29"/>
  <c r="X418" i="29" s="1"/>
  <c r="BQ422" i="29"/>
  <c r="BQ423" i="29" s="1"/>
  <c r="BZ393" i="29"/>
  <c r="BX394" i="29" s="1"/>
  <c r="BE420" i="29"/>
  <c r="BG420" i="29" s="1"/>
  <c r="BA420" i="29" s="1"/>
  <c r="BP420" i="29"/>
  <c r="BD421" i="29"/>
  <c r="BC420" i="29"/>
  <c r="BF420" i="29" s="1"/>
  <c r="AZ419" i="29"/>
  <c r="BH419" i="29"/>
  <c r="BB419" i="29" s="1"/>
  <c r="BS393" i="29"/>
  <c r="BT393" i="29"/>
  <c r="M392" i="29" s="1"/>
  <c r="V420" i="29" l="1"/>
  <c r="S421" i="29"/>
  <c r="T421" i="29"/>
  <c r="AE420" i="29"/>
  <c r="AF420" i="29"/>
  <c r="Q419" i="29"/>
  <c r="R419" i="29"/>
  <c r="BO423" i="29"/>
  <c r="BN423" i="29"/>
  <c r="BR422" i="29"/>
  <c r="BY422" i="29"/>
  <c r="U420" i="29"/>
  <c r="AC420" i="29" s="1"/>
  <c r="AC419" i="29"/>
  <c r="AA418" i="29"/>
  <c r="CB419" i="29"/>
  <c r="BV419" i="29" s="1"/>
  <c r="W418" i="29"/>
  <c r="Y418" i="29" s="1"/>
  <c r="CA419" i="29"/>
  <c r="BU419" i="29" s="1"/>
  <c r="M418" i="29"/>
  <c r="K421" i="29"/>
  <c r="L420" i="29"/>
  <c r="J421" i="29"/>
  <c r="AB419" i="29"/>
  <c r="CC418" i="29"/>
  <c r="BZ394" i="29"/>
  <c r="BX395" i="29" s="1"/>
  <c r="AZ420" i="29"/>
  <c r="BH420" i="29"/>
  <c r="BB420" i="29" s="1"/>
  <c r="H42" i="29"/>
  <c r="K35" i="40" s="1"/>
  <c r="X392" i="29"/>
  <c r="Y392" i="29" s="1"/>
  <c r="Z392" i="29" s="1"/>
  <c r="BP421" i="29"/>
  <c r="BC421" i="29"/>
  <c r="BF421" i="29" s="1"/>
  <c r="BE421" i="29"/>
  <c r="BG421" i="29" s="1"/>
  <c r="BA421" i="29" s="1"/>
  <c r="BD422" i="29"/>
  <c r="AB392" i="29" l="1"/>
  <c r="AC392" i="29"/>
  <c r="Z393" i="29"/>
  <c r="Z394" i="29" s="1"/>
  <c r="Z395" i="29" s="1"/>
  <c r="Z396" i="29" s="1"/>
  <c r="Z397" i="29" s="1"/>
  <c r="Z398" i="29" s="1"/>
  <c r="Z399" i="29" s="1"/>
  <c r="Z400" i="29" s="1"/>
  <c r="Z401" i="29" s="1"/>
  <c r="Z402" i="29" s="1"/>
  <c r="Z403" i="29" s="1"/>
  <c r="CB405" i="29"/>
  <c r="G42" i="29"/>
  <c r="L35" i="40" s="1"/>
  <c r="CC419" i="29"/>
  <c r="AA419" i="29"/>
  <c r="CA420" i="29"/>
  <c r="BU420" i="29" s="1"/>
  <c r="CB420" i="29"/>
  <c r="BV420" i="29" s="1"/>
  <c r="W419" i="29"/>
  <c r="Y419" i="29" s="1"/>
  <c r="M419" i="29"/>
  <c r="U421" i="29"/>
  <c r="AB421" i="29" s="1"/>
  <c r="BO424" i="29"/>
  <c r="BN424" i="29"/>
  <c r="BY423" i="29"/>
  <c r="BR423" i="29"/>
  <c r="L421" i="29"/>
  <c r="K422" i="29"/>
  <c r="J422" i="29"/>
  <c r="R420" i="29"/>
  <c r="Q420" i="29"/>
  <c r="X419" i="29"/>
  <c r="BQ424" i="29"/>
  <c r="BQ425" i="29" s="1"/>
  <c r="AB420" i="29"/>
  <c r="T422" i="29"/>
  <c r="S422" i="29"/>
  <c r="V421" i="29"/>
  <c r="AF421" i="29"/>
  <c r="AE421" i="29"/>
  <c r="D182" i="15"/>
  <c r="I51" i="39"/>
  <c r="H35" i="44" s="1"/>
  <c r="D35" i="45" s="1"/>
  <c r="K35" i="45" s="1"/>
  <c r="L35" i="45" s="1"/>
  <c r="J36" i="45" s="1"/>
  <c r="G49" i="15"/>
  <c r="BZ395" i="29"/>
  <c r="BX396" i="29" s="1"/>
  <c r="BE422" i="29"/>
  <c r="BG422" i="29" s="1"/>
  <c r="BA422" i="29" s="1"/>
  <c r="BD423" i="29"/>
  <c r="BP422" i="29"/>
  <c r="BC422" i="29"/>
  <c r="BF422" i="29" s="1"/>
  <c r="BH421" i="29"/>
  <c r="BB421" i="29" s="1"/>
  <c r="AZ421" i="29"/>
  <c r="AS104" i="44" l="1"/>
  <c r="BF104" i="44"/>
  <c r="BH104" i="44"/>
  <c r="AR104" i="44"/>
  <c r="BB104" i="44"/>
  <c r="BE104" i="44"/>
  <c r="BC104" i="44"/>
  <c r="BI104" i="44"/>
  <c r="BD104" i="44"/>
  <c r="BR104" i="44"/>
  <c r="AW104" i="44"/>
  <c r="AX104" i="44"/>
  <c r="AU104" i="44"/>
  <c r="BP104" i="44"/>
  <c r="BM104" i="44"/>
  <c r="BQ104" i="44"/>
  <c r="AY104" i="44"/>
  <c r="BL104" i="44"/>
  <c r="BG104" i="44"/>
  <c r="BJ104" i="44"/>
  <c r="AZ104" i="44"/>
  <c r="AQ104" i="44"/>
  <c r="BA104" i="44"/>
  <c r="AV104" i="44"/>
  <c r="BK104" i="44"/>
  <c r="BO104" i="44"/>
  <c r="BN104" i="44"/>
  <c r="AT104" i="44"/>
  <c r="CC405" i="29"/>
  <c r="BV405" i="29"/>
  <c r="F182" i="15"/>
  <c r="L51" i="39"/>
  <c r="CC420" i="29"/>
  <c r="T423" i="29"/>
  <c r="S423" i="29"/>
  <c r="V422" i="29"/>
  <c r="AE422" i="29"/>
  <c r="AF422" i="29"/>
  <c r="X420" i="29"/>
  <c r="W420" i="29"/>
  <c r="Y420" i="29" s="1"/>
  <c r="CA421" i="29"/>
  <c r="BU421" i="29" s="1"/>
  <c r="AA420" i="29"/>
  <c r="CB421" i="29"/>
  <c r="BV421" i="29" s="1"/>
  <c r="M420" i="29"/>
  <c r="BO425" i="29"/>
  <c r="BR424" i="29"/>
  <c r="BN425" i="29"/>
  <c r="BY424" i="29"/>
  <c r="BQ426" i="29"/>
  <c r="R421" i="29"/>
  <c r="Q421" i="29"/>
  <c r="X421" i="29" s="1"/>
  <c r="U422" i="29"/>
  <c r="J423" i="29"/>
  <c r="K423" i="29"/>
  <c r="L422" i="29"/>
  <c r="AC421" i="29"/>
  <c r="BZ396" i="29"/>
  <c r="BX397" i="29" s="1"/>
  <c r="BH422" i="29"/>
  <c r="BB422" i="29" s="1"/>
  <c r="AZ422" i="29"/>
  <c r="BE423" i="29"/>
  <c r="BG423" i="29" s="1"/>
  <c r="BA423" i="29" s="1"/>
  <c r="BP423" i="29"/>
  <c r="BD424" i="29"/>
  <c r="BC423" i="29"/>
  <c r="BF423" i="29" s="1"/>
  <c r="CC421" i="29" l="1"/>
  <c r="Q422" i="29"/>
  <c r="X422" i="29" s="1"/>
  <c r="R422" i="29"/>
  <c r="AC422" i="29"/>
  <c r="U423" i="29"/>
  <c r="AC423" i="29" s="1"/>
  <c r="K424" i="29"/>
  <c r="L423" i="29"/>
  <c r="J424" i="29"/>
  <c r="AB422" i="29"/>
  <c r="BR425" i="29"/>
  <c r="BO426" i="29"/>
  <c r="BN426" i="29"/>
  <c r="BY425" i="29"/>
  <c r="T424" i="29"/>
  <c r="V423" i="29"/>
  <c r="S424" i="29"/>
  <c r="AE423" i="29"/>
  <c r="AF423" i="29"/>
  <c r="AA421" i="29"/>
  <c r="CA422" i="29"/>
  <c r="BU422" i="29" s="1"/>
  <c r="CB422" i="29"/>
  <c r="BV422" i="29" s="1"/>
  <c r="W421" i="29"/>
  <c r="Y421" i="29" s="1"/>
  <c r="M421" i="29"/>
  <c r="BZ397" i="29"/>
  <c r="BX398" i="29" s="1"/>
  <c r="AZ423" i="29"/>
  <c r="BH423" i="29"/>
  <c r="BB423" i="29" s="1"/>
  <c r="BE424" i="29"/>
  <c r="BG424" i="29" s="1"/>
  <c r="BA424" i="29" s="1"/>
  <c r="BP424" i="29"/>
  <c r="BD425" i="29"/>
  <c r="BC424" i="29"/>
  <c r="BF424" i="29" s="1"/>
  <c r="AB423" i="29" l="1"/>
  <c r="BN427" i="29"/>
  <c r="BY426" i="29"/>
  <c r="BO427" i="29"/>
  <c r="BR426" i="29"/>
  <c r="T425" i="29"/>
  <c r="S425" i="29"/>
  <c r="V424" i="29"/>
  <c r="AE424" i="29"/>
  <c r="AF424" i="29"/>
  <c r="BQ427" i="29"/>
  <c r="BQ428" i="29" s="1"/>
  <c r="K425" i="29"/>
  <c r="J425" i="29"/>
  <c r="L424" i="29"/>
  <c r="AA422" i="29"/>
  <c r="M422" i="29"/>
  <c r="CA423" i="29"/>
  <c r="BU423" i="29" s="1"/>
  <c r="CB423" i="29"/>
  <c r="BV423" i="29" s="1"/>
  <c r="W422" i="29"/>
  <c r="Y422" i="29" s="1"/>
  <c r="CC422" i="29"/>
  <c r="U424" i="29"/>
  <c r="AC424" i="29" s="1"/>
  <c r="Q423" i="29"/>
  <c r="X423" i="29" s="1"/>
  <c r="R423" i="29"/>
  <c r="BZ398" i="29"/>
  <c r="BX399" i="29" s="1"/>
  <c r="BH424" i="29"/>
  <c r="BB424" i="29" s="1"/>
  <c r="AZ424" i="29"/>
  <c r="BC425" i="29"/>
  <c r="BF425" i="29" s="1"/>
  <c r="BD426" i="29"/>
  <c r="BE425" i="29"/>
  <c r="BG425" i="29" s="1"/>
  <c r="BA425" i="29" s="1"/>
  <c r="BP425" i="29"/>
  <c r="CC423" i="29" l="1"/>
  <c r="Q424" i="29"/>
  <c r="R424" i="29"/>
  <c r="L425" i="29"/>
  <c r="K426" i="29"/>
  <c r="J426" i="29"/>
  <c r="BN428" i="29"/>
  <c r="BO428" i="29"/>
  <c r="BY427" i="29"/>
  <c r="BR427" i="29"/>
  <c r="U425" i="29"/>
  <c r="AC425" i="29" s="1"/>
  <c r="AA423" i="29"/>
  <c r="M423" i="29"/>
  <c r="W423" i="29"/>
  <c r="Y423" i="29" s="1"/>
  <c r="CA424" i="29"/>
  <c r="BU424" i="29" s="1"/>
  <c r="CB424" i="29"/>
  <c r="BV424" i="29" s="1"/>
  <c r="AB424" i="29"/>
  <c r="T426" i="29"/>
  <c r="S426" i="29"/>
  <c r="V425" i="29"/>
  <c r="AF425" i="29"/>
  <c r="AE425" i="29"/>
  <c r="BQ429" i="29"/>
  <c r="BZ399" i="29"/>
  <c r="BX400" i="29" s="1"/>
  <c r="BD427" i="29"/>
  <c r="BP426" i="29"/>
  <c r="BE426" i="29"/>
  <c r="BG426" i="29" s="1"/>
  <c r="BA426" i="29" s="1"/>
  <c r="BC426" i="29"/>
  <c r="BF426" i="29" s="1"/>
  <c r="AZ425" i="29"/>
  <c r="BH425" i="29"/>
  <c r="BB425" i="29" s="1"/>
  <c r="CC424" i="29" l="1"/>
  <c r="U426" i="29"/>
  <c r="AC426" i="29" s="1"/>
  <c r="CA425" i="29"/>
  <c r="BU425" i="29" s="1"/>
  <c r="W424" i="29"/>
  <c r="Y424" i="29" s="1"/>
  <c r="CB425" i="29"/>
  <c r="BV425" i="29" s="1"/>
  <c r="M424" i="29"/>
  <c r="AA424" i="29"/>
  <c r="V426" i="29"/>
  <c r="S427" i="29"/>
  <c r="T427" i="29"/>
  <c r="AE426" i="29"/>
  <c r="AF426" i="29"/>
  <c r="Q425" i="29"/>
  <c r="X425" i="29" s="1"/>
  <c r="R425" i="29"/>
  <c r="L426" i="29"/>
  <c r="J427" i="29"/>
  <c r="K427" i="29"/>
  <c r="X424" i="29"/>
  <c r="AB425" i="29"/>
  <c r="BY428" i="29"/>
  <c r="BN429" i="29"/>
  <c r="BR428" i="29"/>
  <c r="BO429" i="29"/>
  <c r="BQ430" i="29" s="1"/>
  <c r="BZ400" i="29"/>
  <c r="BX401" i="29" s="1"/>
  <c r="BE427" i="29"/>
  <c r="BG427" i="29" s="1"/>
  <c r="BA427" i="29" s="1"/>
  <c r="BP427" i="29"/>
  <c r="BD428" i="29"/>
  <c r="BC427" i="29"/>
  <c r="BF427" i="29" s="1"/>
  <c r="AZ426" i="29"/>
  <c r="BH426" i="29"/>
  <c r="BB426" i="29" s="1"/>
  <c r="CC425" i="29" l="1"/>
  <c r="K428" i="29"/>
  <c r="J428" i="29"/>
  <c r="L427" i="29"/>
  <c r="T428" i="29"/>
  <c r="V427" i="29"/>
  <c r="S428" i="29"/>
  <c r="AE427" i="29"/>
  <c r="AF427" i="29"/>
  <c r="CB426" i="29"/>
  <c r="BV426" i="29" s="1"/>
  <c r="M425" i="29"/>
  <c r="AA425" i="29"/>
  <c r="CA426" i="29"/>
  <c r="BU426" i="29" s="1"/>
  <c r="W425" i="29"/>
  <c r="Y425" i="29" s="1"/>
  <c r="U427" i="29"/>
  <c r="AB427" i="29" s="1"/>
  <c r="R426" i="29"/>
  <c r="Q426" i="29"/>
  <c r="BR429" i="29"/>
  <c r="BO430" i="29"/>
  <c r="BQ431" i="29" s="1"/>
  <c r="BN430" i="29"/>
  <c r="AB426" i="29"/>
  <c r="BZ401" i="29"/>
  <c r="BX402" i="29" s="1"/>
  <c r="BH427" i="29"/>
  <c r="BB427" i="29" s="1"/>
  <c r="AZ427" i="29"/>
  <c r="BP428" i="29"/>
  <c r="BE428" i="29"/>
  <c r="BG428" i="29" s="1"/>
  <c r="BA428" i="29" s="1"/>
  <c r="BD429" i="29"/>
  <c r="BC428" i="29"/>
  <c r="BF428" i="29" s="1"/>
  <c r="J429" i="29" l="1"/>
  <c r="L428" i="29"/>
  <c r="K429" i="29"/>
  <c r="CA427" i="29"/>
  <c r="BU427" i="29" s="1"/>
  <c r="W426" i="29"/>
  <c r="Y426" i="29" s="1"/>
  <c r="AA426" i="29"/>
  <c r="M426" i="29"/>
  <c r="CB427" i="29"/>
  <c r="BV427" i="29" s="1"/>
  <c r="T429" i="29"/>
  <c r="S429" i="29"/>
  <c r="V428" i="29"/>
  <c r="AF428" i="29"/>
  <c r="AE428" i="29"/>
  <c r="Q427" i="29"/>
  <c r="X427" i="29" s="1"/>
  <c r="R427" i="29"/>
  <c r="X426" i="29"/>
  <c r="AC427" i="29"/>
  <c r="BO431" i="29"/>
  <c r="BY430" i="29"/>
  <c r="BR430" i="29"/>
  <c r="BN431" i="29"/>
  <c r="CC426" i="29"/>
  <c r="U428" i="29"/>
  <c r="BZ402" i="29"/>
  <c r="BX403" i="29" s="1"/>
  <c r="AZ428" i="29"/>
  <c r="BH428" i="29"/>
  <c r="BB428" i="29" s="1"/>
  <c r="BP429" i="29"/>
  <c r="BI429" i="29"/>
  <c r="BD430" i="29"/>
  <c r="BE429" i="29"/>
  <c r="BG429" i="29" s="1"/>
  <c r="BA429" i="29" s="1"/>
  <c r="BC429" i="29"/>
  <c r="BF429" i="29" s="1"/>
  <c r="CC427" i="29" l="1"/>
  <c r="R428" i="29"/>
  <c r="Q428" i="29"/>
  <c r="S430" i="29"/>
  <c r="V429" i="29"/>
  <c r="T430" i="29"/>
  <c r="AE429" i="29"/>
  <c r="AF429" i="29"/>
  <c r="BY431" i="29"/>
  <c r="BO432" i="29"/>
  <c r="BR431" i="29"/>
  <c r="BN432" i="29"/>
  <c r="BQ432" i="29"/>
  <c r="BQ433" i="29" s="1"/>
  <c r="M427" i="29"/>
  <c r="AA427" i="29"/>
  <c r="CB428" i="29"/>
  <c r="BV428" i="29" s="1"/>
  <c r="W427" i="29"/>
  <c r="Y427" i="29" s="1"/>
  <c r="CA428" i="29"/>
  <c r="BU428" i="29" s="1"/>
  <c r="U429" i="29"/>
  <c r="AB429" i="29" s="1"/>
  <c r="J430" i="29"/>
  <c r="K430" i="29"/>
  <c r="L429" i="29"/>
  <c r="BZ403" i="29"/>
  <c r="BX404" i="29" s="1"/>
  <c r="BP430" i="29"/>
  <c r="BD431" i="29"/>
  <c r="BE430" i="29"/>
  <c r="BG430" i="29" s="1"/>
  <c r="BA430" i="29" s="1"/>
  <c r="BC430" i="29"/>
  <c r="BF430" i="29" s="1"/>
  <c r="AZ429" i="29"/>
  <c r="BH429" i="29"/>
  <c r="BB429" i="29" s="1"/>
  <c r="AC429" i="29" l="1"/>
  <c r="CC428" i="29"/>
  <c r="U430" i="29"/>
  <c r="AB430" i="29" s="1"/>
  <c r="Q429" i="29"/>
  <c r="R429" i="29"/>
  <c r="CA429" i="29"/>
  <c r="BU429" i="29" s="1"/>
  <c r="W428" i="29"/>
  <c r="AA428" i="29"/>
  <c r="BN433" i="29"/>
  <c r="BR432" i="29"/>
  <c r="BY432" i="29"/>
  <c r="BO433" i="29"/>
  <c r="V430" i="29"/>
  <c r="T431" i="29"/>
  <c r="S431" i="29"/>
  <c r="AE430" i="29"/>
  <c r="AF430" i="29"/>
  <c r="J431" i="29"/>
  <c r="L430" i="29"/>
  <c r="K431" i="29"/>
  <c r="BZ404" i="29"/>
  <c r="BY405" i="29" s="1"/>
  <c r="BE431" i="29"/>
  <c r="BG431" i="29" s="1"/>
  <c r="BA431" i="29" s="1"/>
  <c r="BP431" i="29"/>
  <c r="BC431" i="29"/>
  <c r="BF431" i="29" s="1"/>
  <c r="BD432" i="29"/>
  <c r="AZ430" i="29"/>
  <c r="BH430" i="29"/>
  <c r="BB430" i="29" s="1"/>
  <c r="AC430" i="29" l="1"/>
  <c r="J432" i="29"/>
  <c r="L431" i="29"/>
  <c r="K432" i="29"/>
  <c r="BY433" i="29"/>
  <c r="BN434" i="29"/>
  <c r="BR433" i="29"/>
  <c r="BO434" i="29"/>
  <c r="BQ434" i="29"/>
  <c r="U431" i="29"/>
  <c r="V431" i="29"/>
  <c r="S432" i="29"/>
  <c r="T432" i="29"/>
  <c r="AE431" i="29"/>
  <c r="AF431" i="29"/>
  <c r="X429" i="29"/>
  <c r="CA430" i="29"/>
  <c r="BU430" i="29" s="1"/>
  <c r="W429" i="29"/>
  <c r="Y429" i="29" s="1"/>
  <c r="CB430" i="29"/>
  <c r="BV430" i="29" s="1"/>
  <c r="M429" i="29"/>
  <c r="AA429" i="29"/>
  <c r="R430" i="29"/>
  <c r="Q430" i="29"/>
  <c r="X430" i="29" s="1"/>
  <c r="BW405" i="29"/>
  <c r="BX405" i="29"/>
  <c r="BP432" i="29"/>
  <c r="BC432" i="29"/>
  <c r="BF432" i="29" s="1"/>
  <c r="BE432" i="29"/>
  <c r="BG432" i="29" s="1"/>
  <c r="BA432" i="29" s="1"/>
  <c r="BD433" i="29"/>
  <c r="AZ431" i="29"/>
  <c r="BH431" i="29"/>
  <c r="BB431" i="29" s="1"/>
  <c r="AA430" i="29" l="1"/>
  <c r="CA431" i="29"/>
  <c r="BU431" i="29" s="1"/>
  <c r="M430" i="29"/>
  <c r="W430" i="29"/>
  <c r="Y430" i="29" s="1"/>
  <c r="CB431" i="29"/>
  <c r="BV431" i="29" s="1"/>
  <c r="CC430" i="29"/>
  <c r="BQ435" i="29"/>
  <c r="Q431" i="29"/>
  <c r="X431" i="29" s="1"/>
  <c r="R431" i="29"/>
  <c r="BO435" i="29"/>
  <c r="BR434" i="29"/>
  <c r="BY434" i="29"/>
  <c r="BN435" i="29"/>
  <c r="L432" i="29"/>
  <c r="K433" i="29"/>
  <c r="J433" i="29"/>
  <c r="S433" i="29"/>
  <c r="V432" i="29"/>
  <c r="T433" i="29"/>
  <c r="AF432" i="29"/>
  <c r="AE432" i="29"/>
  <c r="AC431" i="29"/>
  <c r="U432" i="29"/>
  <c r="AC432" i="29" s="1"/>
  <c r="AB431" i="29"/>
  <c r="BZ405" i="29"/>
  <c r="BX406" i="29" s="1"/>
  <c r="AZ432" i="29"/>
  <c r="BH432" i="29"/>
  <c r="BB432" i="29" s="1"/>
  <c r="BP433" i="29"/>
  <c r="BD434" i="29"/>
  <c r="BC433" i="29"/>
  <c r="BF433" i="29" s="1"/>
  <c r="BE433" i="29"/>
  <c r="BG433" i="29" s="1"/>
  <c r="BA433" i="29" s="1"/>
  <c r="BS405" i="29"/>
  <c r="BT405" i="29"/>
  <c r="M404" i="29" s="1"/>
  <c r="U433" i="29" l="1"/>
  <c r="AB433" i="29" s="1"/>
  <c r="CC431" i="29"/>
  <c r="R432" i="29"/>
  <c r="Q432" i="29"/>
  <c r="S434" i="29"/>
  <c r="V433" i="29"/>
  <c r="T434" i="29"/>
  <c r="AF433" i="29"/>
  <c r="AE433" i="29"/>
  <c r="J434" i="29"/>
  <c r="L433" i="29"/>
  <c r="K434" i="29"/>
  <c r="AA431" i="29"/>
  <c r="W431" i="29"/>
  <c r="Y431" i="29" s="1"/>
  <c r="CB432" i="29"/>
  <c r="BV432" i="29" s="1"/>
  <c r="M431" i="29"/>
  <c r="CA432" i="29"/>
  <c r="BU432" i="29" s="1"/>
  <c r="AB432" i="29"/>
  <c r="BN436" i="29"/>
  <c r="BY435" i="29"/>
  <c r="BR435" i="29"/>
  <c r="BO436" i="29"/>
  <c r="BQ436" i="29"/>
  <c r="BD435" i="29"/>
  <c r="BE434" i="29"/>
  <c r="BG434" i="29" s="1"/>
  <c r="BA434" i="29" s="1"/>
  <c r="BC434" i="29"/>
  <c r="BF434" i="29" s="1"/>
  <c r="BP434" i="29"/>
  <c r="AZ433" i="29"/>
  <c r="BH433" i="29"/>
  <c r="BB433" i="29" s="1"/>
  <c r="BZ406" i="29"/>
  <c r="BX407" i="29" s="1"/>
  <c r="H43" i="29"/>
  <c r="K36" i="40" s="1"/>
  <c r="X404" i="29"/>
  <c r="Y404" i="29" s="1"/>
  <c r="Z404" i="29" s="1"/>
  <c r="AC404" i="29" l="1"/>
  <c r="AB404" i="29"/>
  <c r="Z405" i="29"/>
  <c r="Z406" i="29" s="1"/>
  <c r="Z407" i="29" s="1"/>
  <c r="Z408" i="29" s="1"/>
  <c r="Z409" i="29" s="1"/>
  <c r="Z410" i="29" s="1"/>
  <c r="Z411" i="29" s="1"/>
  <c r="Z412" i="29" s="1"/>
  <c r="Z413" i="29" s="1"/>
  <c r="Z414" i="29" s="1"/>
  <c r="Z415" i="29" s="1"/>
  <c r="CB417" i="29"/>
  <c r="G43" i="29"/>
  <c r="L36" i="40" s="1"/>
  <c r="CC432" i="29"/>
  <c r="BN437" i="29"/>
  <c r="BY436" i="29"/>
  <c r="BR436" i="29"/>
  <c r="BO437" i="29"/>
  <c r="W432" i="29"/>
  <c r="Y432" i="29" s="1"/>
  <c r="CB433" i="29"/>
  <c r="BV433" i="29" s="1"/>
  <c r="AA432" i="29"/>
  <c r="CA433" i="29"/>
  <c r="BU433" i="29" s="1"/>
  <c r="M432" i="29"/>
  <c r="Q433" i="29"/>
  <c r="X433" i="29" s="1"/>
  <c r="R433" i="29"/>
  <c r="U434" i="29"/>
  <c r="AB434" i="29" s="1"/>
  <c r="AC433" i="29"/>
  <c r="V434" i="29"/>
  <c r="T435" i="29"/>
  <c r="S435" i="29"/>
  <c r="AF434" i="29"/>
  <c r="AE434" i="29"/>
  <c r="BQ437" i="29"/>
  <c r="BQ438" i="29" s="1"/>
  <c r="K435" i="29"/>
  <c r="J435" i="29"/>
  <c r="L434" i="29"/>
  <c r="X432" i="29"/>
  <c r="BZ407" i="29"/>
  <c r="BX408" i="29" s="1"/>
  <c r="AZ434" i="29"/>
  <c r="BH434" i="29"/>
  <c r="BB434" i="29" s="1"/>
  <c r="D183" i="15"/>
  <c r="I52" i="39"/>
  <c r="H36" i="44" s="1"/>
  <c r="D36" i="45" s="1"/>
  <c r="K36" i="45" s="1"/>
  <c r="L36" i="45" s="1"/>
  <c r="J37" i="45" s="1"/>
  <c r="G50" i="15"/>
  <c r="BD436" i="29"/>
  <c r="BE435" i="29"/>
  <c r="BG435" i="29" s="1"/>
  <c r="BA435" i="29" s="1"/>
  <c r="BP435" i="29"/>
  <c r="BC435" i="29"/>
  <c r="BF435" i="29" s="1"/>
  <c r="BH105" i="44" l="1"/>
  <c r="AT105" i="44"/>
  <c r="BE105" i="44"/>
  <c r="BR105" i="44"/>
  <c r="AV105" i="44"/>
  <c r="AR105" i="44"/>
  <c r="BQ105" i="44"/>
  <c r="BA105" i="44"/>
  <c r="BL105" i="44"/>
  <c r="BN105" i="44"/>
  <c r="BK105" i="44"/>
  <c r="AU105" i="44"/>
  <c r="AW105" i="44"/>
  <c r="BF105" i="44"/>
  <c r="BC105" i="44"/>
  <c r="AS105" i="44"/>
  <c r="AY105" i="44"/>
  <c r="BM105" i="44"/>
  <c r="BG105" i="44"/>
  <c r="BD105" i="44"/>
  <c r="BJ105" i="44"/>
  <c r="AZ105" i="44"/>
  <c r="BI105" i="44"/>
  <c r="BB105" i="44"/>
  <c r="AX105" i="44"/>
  <c r="BP105" i="44"/>
  <c r="BO105" i="44"/>
  <c r="BV417" i="29"/>
  <c r="CC417" i="29"/>
  <c r="F183" i="15"/>
  <c r="L52" i="39"/>
  <c r="AC434" i="29"/>
  <c r="CC433" i="29"/>
  <c r="K436" i="29"/>
  <c r="J436" i="29"/>
  <c r="L435" i="29"/>
  <c r="U435" i="29"/>
  <c r="AC435" i="29" s="1"/>
  <c r="R434" i="29"/>
  <c r="Q434" i="29"/>
  <c r="X434" i="29" s="1"/>
  <c r="BY437" i="29"/>
  <c r="BR437" i="29"/>
  <c r="BO438" i="29"/>
  <c r="BN438" i="29"/>
  <c r="S436" i="29"/>
  <c r="V435" i="29"/>
  <c r="T436" i="29"/>
  <c r="AF435" i="29"/>
  <c r="AE435" i="29"/>
  <c r="W433" i="29"/>
  <c r="Y433" i="29" s="1"/>
  <c r="AA433" i="29"/>
  <c r="M433" i="29"/>
  <c r="CA434" i="29"/>
  <c r="BU434" i="29" s="1"/>
  <c r="CB434" i="29"/>
  <c r="BV434" i="29" s="1"/>
  <c r="BD437" i="29"/>
  <c r="BP436" i="29"/>
  <c r="BC436" i="29"/>
  <c r="BF436" i="29" s="1"/>
  <c r="BE436" i="29"/>
  <c r="BG436" i="29" s="1"/>
  <c r="BA436" i="29" s="1"/>
  <c r="BH435" i="29"/>
  <c r="BB435" i="29" s="1"/>
  <c r="AZ435" i="29"/>
  <c r="BZ408" i="29"/>
  <c r="BX409" i="29" s="1"/>
  <c r="AB435" i="29" l="1"/>
  <c r="CC434" i="29"/>
  <c r="T437" i="29"/>
  <c r="S437" i="29"/>
  <c r="V436" i="29"/>
  <c r="AE436" i="29"/>
  <c r="AF436" i="29"/>
  <c r="BN439" i="29"/>
  <c r="BO439" i="29"/>
  <c r="BR438" i="29"/>
  <c r="BY438" i="29"/>
  <c r="CA435" i="29"/>
  <c r="BU435" i="29" s="1"/>
  <c r="W434" i="29"/>
  <c r="Y434" i="29" s="1"/>
  <c r="CB435" i="29"/>
  <c r="BV435" i="29" s="1"/>
  <c r="M434" i="29"/>
  <c r="AA434" i="29"/>
  <c r="K437" i="29"/>
  <c r="L436" i="29"/>
  <c r="J437" i="29"/>
  <c r="U436" i="29"/>
  <c r="AB436" i="29" s="1"/>
  <c r="BQ439" i="29"/>
  <c r="BQ440" i="29" s="1"/>
  <c r="Q435" i="29"/>
  <c r="R435" i="29"/>
  <c r="BZ409" i="29"/>
  <c r="BX410" i="29" s="1"/>
  <c r="BH436" i="29"/>
  <c r="BB436" i="29" s="1"/>
  <c r="AZ436" i="29"/>
  <c r="BP437" i="29"/>
  <c r="BE437" i="29"/>
  <c r="BG437" i="29" s="1"/>
  <c r="BA437" i="29" s="1"/>
  <c r="BD438" i="29"/>
  <c r="BC437" i="29"/>
  <c r="BF437" i="29" s="1"/>
  <c r="CC435" i="29" l="1"/>
  <c r="AC436" i="29"/>
  <c r="U437" i="29"/>
  <c r="AB437" i="29" s="1"/>
  <c r="BR439" i="29"/>
  <c r="BY439" i="29"/>
  <c r="BN440" i="29"/>
  <c r="BO440" i="29"/>
  <c r="R436" i="29"/>
  <c r="Q436" i="29"/>
  <c r="V437" i="29"/>
  <c r="S438" i="29"/>
  <c r="T438" i="29"/>
  <c r="AE437" i="29"/>
  <c r="AF437" i="29"/>
  <c r="X435" i="29"/>
  <c r="CB436" i="29"/>
  <c r="BV436" i="29" s="1"/>
  <c r="AA435" i="29"/>
  <c r="M435" i="29"/>
  <c r="W435" i="29"/>
  <c r="Y435" i="29" s="1"/>
  <c r="CA436" i="29"/>
  <c r="BU436" i="29" s="1"/>
  <c r="K438" i="29"/>
  <c r="J438" i="29"/>
  <c r="L437" i="29"/>
  <c r="BZ410" i="29"/>
  <c r="BX411" i="29" s="1"/>
  <c r="AZ437" i="29"/>
  <c r="BH437" i="29"/>
  <c r="BB437" i="29" s="1"/>
  <c r="BP438" i="29"/>
  <c r="BC438" i="29"/>
  <c r="BF438" i="29" s="1"/>
  <c r="BE438" i="29"/>
  <c r="BG438" i="29" s="1"/>
  <c r="BA438" i="29" s="1"/>
  <c r="BD439" i="29"/>
  <c r="CC436" i="29" l="1"/>
  <c r="V438" i="29"/>
  <c r="S439" i="29"/>
  <c r="T439" i="29"/>
  <c r="AF438" i="29"/>
  <c r="AE438" i="29"/>
  <c r="U438" i="29"/>
  <c r="AC438" i="29" s="1"/>
  <c r="BN441" i="29"/>
  <c r="BY440" i="29"/>
  <c r="BR440" i="29"/>
  <c r="BO441" i="29"/>
  <c r="R437" i="29"/>
  <c r="Q437" i="29"/>
  <c r="BQ441" i="29"/>
  <c r="BQ442" i="29" s="1"/>
  <c r="X436" i="29"/>
  <c r="W436" i="29"/>
  <c r="Y436" i="29" s="1"/>
  <c r="CA437" i="29"/>
  <c r="BU437" i="29" s="1"/>
  <c r="M436" i="29"/>
  <c r="AA436" i="29"/>
  <c r="CB437" i="29"/>
  <c r="BV437" i="29" s="1"/>
  <c r="K439" i="29"/>
  <c r="J439" i="29"/>
  <c r="L438" i="29"/>
  <c r="AC437" i="29"/>
  <c r="BE439" i="29"/>
  <c r="BG439" i="29" s="1"/>
  <c r="BA439" i="29" s="1"/>
  <c r="BC439" i="29"/>
  <c r="BF439" i="29" s="1"/>
  <c r="BP439" i="29"/>
  <c r="BD440" i="29"/>
  <c r="BZ411" i="29"/>
  <c r="BX412" i="29" s="1"/>
  <c r="AZ438" i="29"/>
  <c r="BH438" i="29"/>
  <c r="BB438" i="29" s="1"/>
  <c r="AB438" i="29" l="1"/>
  <c r="CC437" i="29"/>
  <c r="CB438" i="29"/>
  <c r="BV438" i="29" s="1"/>
  <c r="M437" i="29"/>
  <c r="W437" i="29"/>
  <c r="Y437" i="29" s="1"/>
  <c r="AA437" i="29"/>
  <c r="CA438" i="29"/>
  <c r="BU438" i="29" s="1"/>
  <c r="T440" i="29"/>
  <c r="S440" i="29"/>
  <c r="V439" i="29"/>
  <c r="AF439" i="29"/>
  <c r="AE439" i="29"/>
  <c r="X437" i="29"/>
  <c r="U439" i="29"/>
  <c r="AC439" i="29" s="1"/>
  <c r="K440" i="29"/>
  <c r="J440" i="29"/>
  <c r="L439" i="29"/>
  <c r="BN442" i="29"/>
  <c r="BR441" i="29"/>
  <c r="BO442" i="29"/>
  <c r="BQ443" i="29" s="1"/>
  <c r="Q438" i="29"/>
  <c r="X438" i="29" s="1"/>
  <c r="R438" i="29"/>
  <c r="BZ412" i="29"/>
  <c r="BX413" i="29" s="1"/>
  <c r="BC440" i="29"/>
  <c r="BF440" i="29" s="1"/>
  <c r="BP440" i="29"/>
  <c r="BE440" i="29"/>
  <c r="BG440" i="29" s="1"/>
  <c r="BA440" i="29" s="1"/>
  <c r="BD441" i="29"/>
  <c r="BH439" i="29"/>
  <c r="BB439" i="29" s="1"/>
  <c r="AZ439" i="29"/>
  <c r="AB439" i="29" l="1"/>
  <c r="CC438" i="29"/>
  <c r="J441" i="29"/>
  <c r="L440" i="29"/>
  <c r="K441" i="29"/>
  <c r="W438" i="29"/>
  <c r="Y438" i="29" s="1"/>
  <c r="CA439" i="29"/>
  <c r="BU439" i="29" s="1"/>
  <c r="M438" i="29"/>
  <c r="AA438" i="29"/>
  <c r="CB439" i="29"/>
  <c r="BV439" i="29" s="1"/>
  <c r="R439" i="29"/>
  <c r="Q439" i="29"/>
  <c r="X439" i="29" s="1"/>
  <c r="U440" i="29"/>
  <c r="BR442" i="29"/>
  <c r="BY442" i="29"/>
  <c r="BO443" i="29"/>
  <c r="BQ444" i="29" s="1"/>
  <c r="BN443" i="29"/>
  <c r="T441" i="29"/>
  <c r="V440" i="29"/>
  <c r="S441" i="29"/>
  <c r="AE440" i="29"/>
  <c r="AF440" i="29"/>
  <c r="BI441" i="29"/>
  <c r="BD442" i="29"/>
  <c r="BP441" i="29"/>
  <c r="BE441" i="29"/>
  <c r="BG441" i="29" s="1"/>
  <c r="BA441" i="29" s="1"/>
  <c r="BC441" i="29"/>
  <c r="BF441" i="29" s="1"/>
  <c r="AZ440" i="29"/>
  <c r="BH440" i="29"/>
  <c r="BB440" i="29" s="1"/>
  <c r="BZ413" i="29"/>
  <c r="BX414" i="29" s="1"/>
  <c r="CC439" i="29" l="1"/>
  <c r="AA439" i="29"/>
  <c r="CA440" i="29"/>
  <c r="BU440" i="29" s="1"/>
  <c r="W439" i="29"/>
  <c r="Y439" i="29" s="1"/>
  <c r="M439" i="29"/>
  <c r="CB440" i="29"/>
  <c r="BV440" i="29" s="1"/>
  <c r="K442" i="29"/>
  <c r="L441" i="29"/>
  <c r="J442" i="29"/>
  <c r="R440" i="29"/>
  <c r="Q440" i="29"/>
  <c r="V441" i="29"/>
  <c r="S442" i="29"/>
  <c r="T442" i="29"/>
  <c r="AE441" i="29"/>
  <c r="AF441" i="29"/>
  <c r="U441" i="29"/>
  <c r="AB441" i="29" s="1"/>
  <c r="BR443" i="29"/>
  <c r="BY443" i="29"/>
  <c r="BO444" i="29"/>
  <c r="BN444" i="29"/>
  <c r="BZ414" i="29"/>
  <c r="BX415" i="29" s="1"/>
  <c r="BE442" i="29"/>
  <c r="BG442" i="29" s="1"/>
  <c r="BA442" i="29" s="1"/>
  <c r="BD443" i="29"/>
  <c r="BP442" i="29"/>
  <c r="BC442" i="29"/>
  <c r="BF442" i="29" s="1"/>
  <c r="AZ441" i="29"/>
  <c r="BH441" i="29"/>
  <c r="BB441" i="29" s="1"/>
  <c r="CC440" i="29" l="1"/>
  <c r="AC441" i="29"/>
  <c r="T443" i="29"/>
  <c r="S443" i="29"/>
  <c r="V442" i="29"/>
  <c r="AE442" i="29"/>
  <c r="AF442" i="29"/>
  <c r="R441" i="29"/>
  <c r="Q441" i="29"/>
  <c r="U442" i="29"/>
  <c r="AB442" i="29" s="1"/>
  <c r="BY444" i="29"/>
  <c r="BN445" i="29"/>
  <c r="BO445" i="29"/>
  <c r="BR444" i="29"/>
  <c r="BQ445" i="29"/>
  <c r="BQ446" i="29" s="1"/>
  <c r="AA440" i="29"/>
  <c r="CA441" i="29"/>
  <c r="BU441" i="29" s="1"/>
  <c r="W440" i="29"/>
  <c r="J443" i="29"/>
  <c r="K443" i="29"/>
  <c r="L442" i="29"/>
  <c r="BZ415" i="29"/>
  <c r="BX416" i="29" s="1"/>
  <c r="BE443" i="29"/>
  <c r="BG443" i="29" s="1"/>
  <c r="BA443" i="29" s="1"/>
  <c r="BD444" i="29"/>
  <c r="BC443" i="29"/>
  <c r="BF443" i="29" s="1"/>
  <c r="BP443" i="29"/>
  <c r="BH442" i="29"/>
  <c r="BB442" i="29" s="1"/>
  <c r="AZ442" i="29"/>
  <c r="AC442" i="29" l="1"/>
  <c r="U443" i="29"/>
  <c r="AB443" i="29" s="1"/>
  <c r="K444" i="29"/>
  <c r="L443" i="29"/>
  <c r="J444" i="29"/>
  <c r="BO446" i="29"/>
  <c r="BY445" i="29"/>
  <c r="BR445" i="29"/>
  <c r="BN446" i="29"/>
  <c r="BQ447" i="29"/>
  <c r="CB442" i="29"/>
  <c r="BV442" i="29" s="1"/>
  <c r="AA441" i="29"/>
  <c r="W441" i="29"/>
  <c r="Y441" i="29" s="1"/>
  <c r="M441" i="29"/>
  <c r="CA442" i="29"/>
  <c r="BU442" i="29" s="1"/>
  <c r="T444" i="29"/>
  <c r="V443" i="29"/>
  <c r="S444" i="29"/>
  <c r="AE443" i="29"/>
  <c r="AF443" i="29"/>
  <c r="R442" i="29"/>
  <c r="Q442" i="29"/>
  <c r="X442" i="29" s="1"/>
  <c r="X441" i="29"/>
  <c r="BZ416" i="29"/>
  <c r="BY417" i="29" s="1"/>
  <c r="BD445" i="29"/>
  <c r="BP444" i="29"/>
  <c r="BE444" i="29"/>
  <c r="BG444" i="29" s="1"/>
  <c r="BA444" i="29" s="1"/>
  <c r="BC444" i="29"/>
  <c r="BF444" i="29" s="1"/>
  <c r="BH443" i="29"/>
  <c r="BB443" i="29" s="1"/>
  <c r="AZ443" i="29"/>
  <c r="CC442" i="29" l="1"/>
  <c r="BW417" i="29"/>
  <c r="BS417" i="29" s="1"/>
  <c r="BX417" i="29"/>
  <c r="BZ417" i="29" s="1"/>
  <c r="BX418" i="29" s="1"/>
  <c r="BQ448" i="29"/>
  <c r="K445" i="29"/>
  <c r="L444" i="29"/>
  <c r="J445" i="29"/>
  <c r="V444" i="29"/>
  <c r="S445" i="29"/>
  <c r="T445" i="29"/>
  <c r="AE444" i="29"/>
  <c r="AF444" i="29"/>
  <c r="BY446" i="29"/>
  <c r="BR446" i="29"/>
  <c r="BN447" i="29"/>
  <c r="BO447" i="29"/>
  <c r="Q443" i="29"/>
  <c r="R443" i="29"/>
  <c r="M442" i="29"/>
  <c r="W442" i="29"/>
  <c r="Y442" i="29" s="1"/>
  <c r="AA442" i="29"/>
  <c r="CA443" i="29"/>
  <c r="BU443" i="29" s="1"/>
  <c r="CB443" i="29"/>
  <c r="BV443" i="29" s="1"/>
  <c r="U444" i="29"/>
  <c r="AC443" i="29"/>
  <c r="BH444" i="29"/>
  <c r="BB444" i="29" s="1"/>
  <c r="AZ444" i="29"/>
  <c r="BP445" i="29"/>
  <c r="BD446" i="29"/>
  <c r="BE445" i="29"/>
  <c r="BG445" i="29" s="1"/>
  <c r="BA445" i="29" s="1"/>
  <c r="BC445" i="29"/>
  <c r="BF445" i="29" s="1"/>
  <c r="BT417" i="29" l="1"/>
  <c r="M416" i="29" s="1"/>
  <c r="CC443" i="29"/>
  <c r="W443" i="29"/>
  <c r="Y443" i="29" s="1"/>
  <c r="M443" i="29"/>
  <c r="CB444" i="29"/>
  <c r="BV444" i="29" s="1"/>
  <c r="CA444" i="29"/>
  <c r="BU444" i="29" s="1"/>
  <c r="AA443" i="29"/>
  <c r="BQ449" i="29"/>
  <c r="R444" i="29"/>
  <c r="Q444" i="29"/>
  <c r="X444" i="29" s="1"/>
  <c r="BN448" i="29"/>
  <c r="BR447" i="29"/>
  <c r="BO448" i="29"/>
  <c r="BY447" i="29"/>
  <c r="AC444" i="29"/>
  <c r="V445" i="29"/>
  <c r="S446" i="29"/>
  <c r="T446" i="29"/>
  <c r="AE445" i="29"/>
  <c r="AF445" i="29"/>
  <c r="AB444" i="29"/>
  <c r="X443" i="29"/>
  <c r="U445" i="29"/>
  <c r="AC445" i="29" s="1"/>
  <c r="K446" i="29"/>
  <c r="J446" i="29"/>
  <c r="L445" i="29"/>
  <c r="H44" i="29"/>
  <c r="K37" i="40" s="1"/>
  <c r="X416" i="29"/>
  <c r="Y416" i="29" s="1"/>
  <c r="Z416" i="29" s="1"/>
  <c r="BD447" i="29"/>
  <c r="BE446" i="29"/>
  <c r="BG446" i="29" s="1"/>
  <c r="BA446" i="29" s="1"/>
  <c r="BP446" i="29"/>
  <c r="BC446" i="29"/>
  <c r="BF446" i="29" s="1"/>
  <c r="BZ418" i="29"/>
  <c r="BX419" i="29" s="1"/>
  <c r="AZ445" i="29"/>
  <c r="BH445" i="29"/>
  <c r="BB445" i="29" s="1"/>
  <c r="AB416" i="29" l="1"/>
  <c r="AC416" i="29"/>
  <c r="Z417" i="29"/>
  <c r="Z418" i="29" s="1"/>
  <c r="Z419" i="29" s="1"/>
  <c r="Z420" i="29" s="1"/>
  <c r="Z421" i="29" s="1"/>
  <c r="Z422" i="29" s="1"/>
  <c r="Z423" i="29" s="1"/>
  <c r="Z424" i="29" s="1"/>
  <c r="Z425" i="29" s="1"/>
  <c r="Z426" i="29" s="1"/>
  <c r="Z427" i="29" s="1"/>
  <c r="CB429" i="29"/>
  <c r="G44" i="29"/>
  <c r="L37" i="40" s="1"/>
  <c r="AB445" i="29"/>
  <c r="K447" i="29"/>
  <c r="J447" i="29"/>
  <c r="L446" i="29"/>
  <c r="T447" i="29"/>
  <c r="V446" i="29"/>
  <c r="S447" i="29"/>
  <c r="AE446" i="29"/>
  <c r="AF446" i="29"/>
  <c r="Q445" i="29"/>
  <c r="R445" i="29"/>
  <c r="U446" i="29"/>
  <c r="AB446" i="29" s="1"/>
  <c r="CC444" i="29"/>
  <c r="BR448" i="29"/>
  <c r="BO449" i="29"/>
  <c r="BN449" i="29"/>
  <c r="BY448" i="29"/>
  <c r="M444" i="29"/>
  <c r="CA445" i="29"/>
  <c r="BU445" i="29" s="1"/>
  <c r="W444" i="29"/>
  <c r="Y444" i="29" s="1"/>
  <c r="CB445" i="29"/>
  <c r="BV445" i="29" s="1"/>
  <c r="AA444" i="29"/>
  <c r="BZ419" i="29"/>
  <c r="BX420" i="29" s="1"/>
  <c r="BP447" i="29"/>
  <c r="BD448" i="29"/>
  <c r="BC447" i="29"/>
  <c r="BF447" i="29" s="1"/>
  <c r="BE447" i="29"/>
  <c r="BG447" i="29" s="1"/>
  <c r="BA447" i="29" s="1"/>
  <c r="AZ446" i="29"/>
  <c r="BH446" i="29"/>
  <c r="BB446" i="29" s="1"/>
  <c r="D184" i="15"/>
  <c r="I53" i="39"/>
  <c r="H37" i="44" s="1"/>
  <c r="D37" i="45" s="1"/>
  <c r="K37" i="45" s="1"/>
  <c r="L37" i="45" s="1"/>
  <c r="J38" i="45" s="1"/>
  <c r="G51" i="15"/>
  <c r="BO106" i="44" l="1"/>
  <c r="BK106" i="44"/>
  <c r="BG106" i="44"/>
  <c r="BC106" i="44"/>
  <c r="AY106" i="44"/>
  <c r="AU106" i="44"/>
  <c r="BQ106" i="44"/>
  <c r="BM106" i="44"/>
  <c r="BI106" i="44"/>
  <c r="BE106" i="44"/>
  <c r="BA106" i="44"/>
  <c r="AW106" i="44"/>
  <c r="AS106" i="44"/>
  <c r="BL106" i="44"/>
  <c r="BD106" i="44"/>
  <c r="AV106" i="44"/>
  <c r="BP106" i="44"/>
  <c r="BH106" i="44"/>
  <c r="AZ106" i="44"/>
  <c r="BN106" i="44"/>
  <c r="AX106" i="44"/>
  <c r="BJ106" i="44"/>
  <c r="AT106" i="44"/>
  <c r="BF106" i="44"/>
  <c r="BR106" i="44"/>
  <c r="BB106" i="44"/>
  <c r="CC429" i="29"/>
  <c r="BV429" i="29"/>
  <c r="L53" i="39"/>
  <c r="F184" i="15"/>
  <c r="X445" i="29"/>
  <c r="W445" i="29"/>
  <c r="Y445" i="29" s="1"/>
  <c r="M445" i="29"/>
  <c r="CA446" i="29"/>
  <c r="BU446" i="29" s="1"/>
  <c r="AA445" i="29"/>
  <c r="CB446" i="29"/>
  <c r="BV446" i="29" s="1"/>
  <c r="CC445" i="29"/>
  <c r="BN450" i="29"/>
  <c r="BO450" i="29"/>
  <c r="BR449" i="29"/>
  <c r="BY449" i="29"/>
  <c r="BQ450" i="29"/>
  <c r="BQ451" i="29" s="1"/>
  <c r="U447" i="29"/>
  <c r="AB447" i="29" s="1"/>
  <c r="Q446" i="29"/>
  <c r="X446" i="29" s="1"/>
  <c r="R446" i="29"/>
  <c r="AC446" i="29"/>
  <c r="L447" i="29"/>
  <c r="J448" i="29"/>
  <c r="K448" i="29"/>
  <c r="V447" i="29"/>
  <c r="S448" i="29"/>
  <c r="T448" i="29"/>
  <c r="AF447" i="29"/>
  <c r="AE447" i="29"/>
  <c r="BZ420" i="29"/>
  <c r="BX421" i="29" s="1"/>
  <c r="BD449" i="29"/>
  <c r="BP448" i="29"/>
  <c r="BE448" i="29"/>
  <c r="BG448" i="29" s="1"/>
  <c r="BA448" i="29" s="1"/>
  <c r="BC448" i="29"/>
  <c r="BF448" i="29" s="1"/>
  <c r="AZ447" i="29"/>
  <c r="BH447" i="29"/>
  <c r="BB447" i="29" s="1"/>
  <c r="AC447" i="29" l="1"/>
  <c r="CC446" i="29"/>
  <c r="T449" i="29"/>
  <c r="S449" i="29"/>
  <c r="V448" i="29"/>
  <c r="AE448" i="29"/>
  <c r="AF448" i="29"/>
  <c r="U448" i="29"/>
  <c r="AC448" i="29" s="1"/>
  <c r="BN451" i="29"/>
  <c r="BY450" i="29"/>
  <c r="BO451" i="29"/>
  <c r="BR450" i="29"/>
  <c r="CB447" i="29"/>
  <c r="BV447" i="29" s="1"/>
  <c r="W446" i="29"/>
  <c r="Y446" i="29" s="1"/>
  <c r="CA447" i="29"/>
  <c r="BU447" i="29" s="1"/>
  <c r="AA446" i="29"/>
  <c r="M446" i="29"/>
  <c r="BQ452" i="29"/>
  <c r="L448" i="29"/>
  <c r="J449" i="29"/>
  <c r="K449" i="29"/>
  <c r="Q447" i="29"/>
  <c r="R447" i="29"/>
  <c r="BH448" i="29"/>
  <c r="BB448" i="29" s="1"/>
  <c r="AZ448" i="29"/>
  <c r="BE449" i="29"/>
  <c r="BG449" i="29" s="1"/>
  <c r="BA449" i="29" s="1"/>
  <c r="BD450" i="29"/>
  <c r="BC449" i="29"/>
  <c r="BF449" i="29" s="1"/>
  <c r="BP449" i="29"/>
  <c r="BZ421" i="29"/>
  <c r="BX422" i="29" s="1"/>
  <c r="AB448" i="29" l="1"/>
  <c r="BR451" i="29"/>
  <c r="BY451" i="29"/>
  <c r="BO452" i="29"/>
  <c r="BN452" i="29"/>
  <c r="CC447" i="29"/>
  <c r="U449" i="29"/>
  <c r="AC449" i="29" s="1"/>
  <c r="L449" i="29"/>
  <c r="K450" i="29"/>
  <c r="J450" i="29"/>
  <c r="T450" i="29"/>
  <c r="V449" i="29"/>
  <c r="S450" i="29"/>
  <c r="AE449" i="29"/>
  <c r="AF449" i="29"/>
  <c r="X447" i="29"/>
  <c r="W447" i="29"/>
  <c r="Y447" i="29" s="1"/>
  <c r="CB448" i="29"/>
  <c r="BV448" i="29" s="1"/>
  <c r="M447" i="29"/>
  <c r="AA447" i="29"/>
  <c r="CA448" i="29"/>
  <c r="BU448" i="29" s="1"/>
  <c r="Q448" i="29"/>
  <c r="R448" i="29"/>
  <c r="BZ422" i="29"/>
  <c r="BX423" i="29" s="1"/>
  <c r="BP450" i="29"/>
  <c r="BE450" i="29"/>
  <c r="BG450" i="29" s="1"/>
  <c r="BA450" i="29" s="1"/>
  <c r="BD451" i="29"/>
  <c r="BC450" i="29"/>
  <c r="BF450" i="29" s="1"/>
  <c r="AZ449" i="29"/>
  <c r="BH449" i="29"/>
  <c r="BB449" i="29" s="1"/>
  <c r="CC448" i="29" l="1"/>
  <c r="AB449" i="29"/>
  <c r="U450" i="29"/>
  <c r="BY452" i="29"/>
  <c r="BN453" i="29"/>
  <c r="BO453" i="29"/>
  <c r="BR452" i="29"/>
  <c r="X448" i="29"/>
  <c r="CB449" i="29"/>
  <c r="BV449" i="29" s="1"/>
  <c r="M448" i="29"/>
  <c r="AA448" i="29"/>
  <c r="W448" i="29"/>
  <c r="Y448" i="29" s="1"/>
  <c r="CA449" i="29"/>
  <c r="BU449" i="29" s="1"/>
  <c r="BQ453" i="29"/>
  <c r="BQ454" i="29" s="1"/>
  <c r="K451" i="29"/>
  <c r="J451" i="29"/>
  <c r="L450" i="29"/>
  <c r="T451" i="29"/>
  <c r="S451" i="29"/>
  <c r="V450" i="29"/>
  <c r="AE450" i="29"/>
  <c r="AF450" i="29"/>
  <c r="R449" i="29"/>
  <c r="Q449" i="29"/>
  <c r="X449" i="29" s="1"/>
  <c r="AZ450" i="29"/>
  <c r="BH450" i="29"/>
  <c r="BB450" i="29" s="1"/>
  <c r="BZ423" i="29"/>
  <c r="BX424" i="29" s="1"/>
  <c r="BP451" i="29"/>
  <c r="BE451" i="29"/>
  <c r="BG451" i="29" s="1"/>
  <c r="BA451" i="29" s="1"/>
  <c r="BD452" i="29"/>
  <c r="BC451" i="29"/>
  <c r="BF451" i="29" s="1"/>
  <c r="Q450" i="29" l="1"/>
  <c r="X450" i="29" s="1"/>
  <c r="R450" i="29"/>
  <c r="AA449" i="29"/>
  <c r="CA450" i="29"/>
  <c r="BU450" i="29" s="1"/>
  <c r="W449" i="29"/>
  <c r="Y449" i="29" s="1"/>
  <c r="M449" i="29"/>
  <c r="CB450" i="29"/>
  <c r="BV450" i="29" s="1"/>
  <c r="CC449" i="29"/>
  <c r="BN454" i="29"/>
  <c r="BO454" i="29"/>
  <c r="BR453" i="29"/>
  <c r="AB450" i="29"/>
  <c r="S452" i="29"/>
  <c r="T452" i="29"/>
  <c r="V451" i="29"/>
  <c r="AF451" i="29"/>
  <c r="AE451" i="29"/>
  <c r="AC450" i="29"/>
  <c r="U451" i="29"/>
  <c r="AC451" i="29" s="1"/>
  <c r="L451" i="29"/>
  <c r="K452" i="29"/>
  <c r="J452" i="29"/>
  <c r="BZ424" i="29"/>
  <c r="BX425" i="29" s="1"/>
  <c r="AZ451" i="29"/>
  <c r="BH451" i="29"/>
  <c r="BB451" i="29" s="1"/>
  <c r="BE452" i="29"/>
  <c r="BG452" i="29" s="1"/>
  <c r="BA452" i="29" s="1"/>
  <c r="BC452" i="29"/>
  <c r="BF452" i="29" s="1"/>
  <c r="BD453" i="29"/>
  <c r="BP452" i="29"/>
  <c r="CC450" i="29" l="1"/>
  <c r="Q451" i="29"/>
  <c r="X451" i="29" s="1"/>
  <c r="R451" i="29"/>
  <c r="V452" i="29"/>
  <c r="S453" i="29"/>
  <c r="T453" i="29"/>
  <c r="AF452" i="29"/>
  <c r="AE452" i="29"/>
  <c r="BR454" i="29"/>
  <c r="BO455" i="29"/>
  <c r="BY454" i="29"/>
  <c r="BN455" i="29"/>
  <c r="BQ455" i="29"/>
  <c r="BQ456" i="29" s="1"/>
  <c r="J453" i="29"/>
  <c r="L452" i="29"/>
  <c r="K453" i="29"/>
  <c r="AA450" i="29"/>
  <c r="M450" i="29"/>
  <c r="W450" i="29"/>
  <c r="Y450" i="29" s="1"/>
  <c r="CB451" i="29"/>
  <c r="BV451" i="29" s="1"/>
  <c r="CA451" i="29"/>
  <c r="BU451" i="29" s="1"/>
  <c r="AB451" i="29"/>
  <c r="U452" i="29"/>
  <c r="BH452" i="29"/>
  <c r="BB452" i="29" s="1"/>
  <c r="AZ452" i="29"/>
  <c r="BZ425" i="29"/>
  <c r="BX426" i="29" s="1"/>
  <c r="BP453" i="29"/>
  <c r="BI453" i="29"/>
  <c r="BE453" i="29"/>
  <c r="BG453" i="29" s="1"/>
  <c r="BA453" i="29" s="1"/>
  <c r="BD454" i="29"/>
  <c r="BC453" i="29"/>
  <c r="BF453" i="29" s="1"/>
  <c r="CC451" i="29" l="1"/>
  <c r="BR455" i="29"/>
  <c r="BN456" i="29"/>
  <c r="BO456" i="29"/>
  <c r="BY455" i="29"/>
  <c r="V453" i="29"/>
  <c r="S454" i="29"/>
  <c r="T454" i="29"/>
  <c r="AE453" i="29"/>
  <c r="AF453" i="29"/>
  <c r="U453" i="29"/>
  <c r="AB453" i="29" s="1"/>
  <c r="Q452" i="29"/>
  <c r="R452" i="29"/>
  <c r="L453" i="29"/>
  <c r="J454" i="29"/>
  <c r="K454" i="29"/>
  <c r="BQ457" i="29"/>
  <c r="AA451" i="29"/>
  <c r="CB452" i="29"/>
  <c r="BV452" i="29" s="1"/>
  <c r="W451" i="29"/>
  <c r="Y451" i="29" s="1"/>
  <c r="CA452" i="29"/>
  <c r="BU452" i="29" s="1"/>
  <c r="M451" i="29"/>
  <c r="BZ426" i="29"/>
  <c r="BX427" i="29" s="1"/>
  <c r="BP454" i="29"/>
  <c r="BC454" i="29"/>
  <c r="BF454" i="29" s="1"/>
  <c r="BE454" i="29"/>
  <c r="BG454" i="29" s="1"/>
  <c r="BA454" i="29" s="1"/>
  <c r="BD455" i="29"/>
  <c r="AZ453" i="29"/>
  <c r="BH453" i="29"/>
  <c r="BB453" i="29" s="1"/>
  <c r="CC452" i="29" l="1"/>
  <c r="L454" i="29"/>
  <c r="J455" i="29"/>
  <c r="K455" i="29"/>
  <c r="AA452" i="29"/>
  <c r="W452" i="29"/>
  <c r="CA453" i="29"/>
  <c r="BU453" i="29" s="1"/>
  <c r="Q453" i="29"/>
  <c r="X453" i="29" s="1"/>
  <c r="R453" i="29"/>
  <c r="AC453" i="29"/>
  <c r="V454" i="29"/>
  <c r="T455" i="29"/>
  <c r="S455" i="29"/>
  <c r="AE454" i="29"/>
  <c r="AF454" i="29"/>
  <c r="BO457" i="29"/>
  <c r="BY456" i="29"/>
  <c r="BR456" i="29"/>
  <c r="BN457" i="29"/>
  <c r="U454" i="29"/>
  <c r="AB454" i="29" s="1"/>
  <c r="AZ454" i="29"/>
  <c r="BH454" i="29"/>
  <c r="BB454" i="29" s="1"/>
  <c r="BE455" i="29"/>
  <c r="BG455" i="29" s="1"/>
  <c r="BA455" i="29" s="1"/>
  <c r="BP455" i="29"/>
  <c r="BC455" i="29"/>
  <c r="BF455" i="29" s="1"/>
  <c r="BD456" i="29"/>
  <c r="BZ427" i="29"/>
  <c r="BX428" i="29" s="1"/>
  <c r="BY457" i="29" l="1"/>
  <c r="BR457" i="29"/>
  <c r="BO458" i="29"/>
  <c r="BN458" i="29"/>
  <c r="V455" i="29"/>
  <c r="S456" i="29"/>
  <c r="T456" i="29"/>
  <c r="AE455" i="29"/>
  <c r="AF455" i="29"/>
  <c r="K456" i="29"/>
  <c r="L455" i="29"/>
  <c r="J456" i="29"/>
  <c r="Q454" i="29"/>
  <c r="R454" i="29"/>
  <c r="CB454" i="29"/>
  <c r="BV454" i="29" s="1"/>
  <c r="CA454" i="29"/>
  <c r="BU454" i="29" s="1"/>
  <c r="W453" i="29"/>
  <c r="Y453" i="29" s="1"/>
  <c r="AA453" i="29"/>
  <c r="M453" i="29"/>
  <c r="AC454" i="29"/>
  <c r="U455" i="29"/>
  <c r="BQ458" i="29"/>
  <c r="BZ428" i="29"/>
  <c r="BY429" i="29" s="1"/>
  <c r="BE456" i="29"/>
  <c r="BG456" i="29" s="1"/>
  <c r="BA456" i="29" s="1"/>
  <c r="BD457" i="29"/>
  <c r="BC456" i="29"/>
  <c r="BF456" i="29" s="1"/>
  <c r="BP456" i="29"/>
  <c r="AZ455" i="29"/>
  <c r="BH455" i="29"/>
  <c r="BB455" i="29" s="1"/>
  <c r="CC454" i="29" l="1"/>
  <c r="Q455" i="29"/>
  <c r="X455" i="29" s="1"/>
  <c r="R455" i="29"/>
  <c r="M454" i="29"/>
  <c r="CB455" i="29"/>
  <c r="BV455" i="29" s="1"/>
  <c r="W454" i="29"/>
  <c r="Y454" i="29" s="1"/>
  <c r="CA455" i="29"/>
  <c r="BU455" i="29" s="1"/>
  <c r="AA454" i="29"/>
  <c r="L456" i="29"/>
  <c r="J457" i="29"/>
  <c r="K457" i="29"/>
  <c r="V456" i="29"/>
  <c r="S457" i="29"/>
  <c r="T457" i="29"/>
  <c r="AF456" i="29"/>
  <c r="AE456" i="29"/>
  <c r="BO459" i="29"/>
  <c r="BR458" i="29"/>
  <c r="BY458" i="29"/>
  <c r="BN459" i="29"/>
  <c r="AB455" i="29"/>
  <c r="X454" i="29"/>
  <c r="BQ459" i="29"/>
  <c r="BQ460" i="29" s="1"/>
  <c r="AC455" i="29"/>
  <c r="U456" i="29"/>
  <c r="AB456" i="29" s="1"/>
  <c r="BW429" i="29"/>
  <c r="BX429" i="29"/>
  <c r="AZ456" i="29"/>
  <c r="BH456" i="29"/>
  <c r="BB456" i="29" s="1"/>
  <c r="BC457" i="29"/>
  <c r="BF457" i="29" s="1"/>
  <c r="BD458" i="29"/>
  <c r="BP457" i="29"/>
  <c r="BE457" i="29"/>
  <c r="BG457" i="29" s="1"/>
  <c r="BA457" i="29" s="1"/>
  <c r="Q456" i="29" l="1"/>
  <c r="X456" i="29" s="1"/>
  <c r="R456" i="29"/>
  <c r="V457" i="29"/>
  <c r="S458" i="29"/>
  <c r="T458" i="29"/>
  <c r="AF457" i="29"/>
  <c r="AE457" i="29"/>
  <c r="AC456" i="29"/>
  <c r="BO460" i="29"/>
  <c r="BN460" i="29"/>
  <c r="BR459" i="29"/>
  <c r="BY459" i="29"/>
  <c r="U457" i="29"/>
  <c r="AB457" i="29" s="1"/>
  <c r="CC455" i="29"/>
  <c r="M455" i="29"/>
  <c r="AA455" i="29"/>
  <c r="W455" i="29"/>
  <c r="Y455" i="29" s="1"/>
  <c r="CA456" i="29"/>
  <c r="BU456" i="29" s="1"/>
  <c r="CB456" i="29"/>
  <c r="BV456" i="29" s="1"/>
  <c r="BQ461" i="29"/>
  <c r="L457" i="29"/>
  <c r="J458" i="29"/>
  <c r="K458" i="29"/>
  <c r="BD459" i="29"/>
  <c r="BE458" i="29"/>
  <c r="BG458" i="29" s="1"/>
  <c r="BA458" i="29" s="1"/>
  <c r="BP458" i="29"/>
  <c r="BC458" i="29"/>
  <c r="BF458" i="29" s="1"/>
  <c r="BZ429" i="29"/>
  <c r="BX430" i="29" s="1"/>
  <c r="BH457" i="29"/>
  <c r="BB457" i="29" s="1"/>
  <c r="AZ457" i="29"/>
  <c r="BT429" i="29"/>
  <c r="M428" i="29" s="1"/>
  <c r="BS429" i="29"/>
  <c r="AC457" i="29" l="1"/>
  <c r="BY460" i="29"/>
  <c r="BR460" i="29"/>
  <c r="BO461" i="29"/>
  <c r="BN461" i="29"/>
  <c r="T459" i="29"/>
  <c r="S459" i="29"/>
  <c r="V458" i="29"/>
  <c r="AF458" i="29"/>
  <c r="AE458" i="29"/>
  <c r="U458" i="29"/>
  <c r="AC458" i="29" s="1"/>
  <c r="CB457" i="29"/>
  <c r="BV457" i="29" s="1"/>
  <c r="AA456" i="29"/>
  <c r="W456" i="29"/>
  <c r="Y456" i="29" s="1"/>
  <c r="CA457" i="29"/>
  <c r="BU457" i="29" s="1"/>
  <c r="M456" i="29"/>
  <c r="BQ462" i="29"/>
  <c r="K459" i="29"/>
  <c r="L458" i="29"/>
  <c r="J459" i="29"/>
  <c r="CC456" i="29"/>
  <c r="Q457" i="29"/>
  <c r="X457" i="29" s="1"/>
  <c r="R457" i="29"/>
  <c r="BH458" i="29"/>
  <c r="BB458" i="29" s="1"/>
  <c r="AZ458" i="29"/>
  <c r="H45" i="29"/>
  <c r="K38" i="40" s="1"/>
  <c r="X428" i="29"/>
  <c r="Y428" i="29" s="1"/>
  <c r="Z428" i="29" s="1"/>
  <c r="BZ430" i="29"/>
  <c r="BX431" i="29" s="1"/>
  <c r="BC459" i="29"/>
  <c r="BF459" i="29" s="1"/>
  <c r="BD460" i="29"/>
  <c r="BE459" i="29"/>
  <c r="BG459" i="29" s="1"/>
  <c r="BA459" i="29" s="1"/>
  <c r="BP459" i="29"/>
  <c r="AC428" i="29" l="1"/>
  <c r="AB428" i="29"/>
  <c r="Z429" i="29"/>
  <c r="Z430" i="29" s="1"/>
  <c r="Z431" i="29" s="1"/>
  <c r="Z432" i="29" s="1"/>
  <c r="Z433" i="29" s="1"/>
  <c r="Z434" i="29" s="1"/>
  <c r="Z435" i="29" s="1"/>
  <c r="Z436" i="29" s="1"/>
  <c r="Z437" i="29" s="1"/>
  <c r="Z438" i="29" s="1"/>
  <c r="Z439" i="29" s="1"/>
  <c r="CB441" i="29"/>
  <c r="G45" i="29"/>
  <c r="L38" i="40" s="1"/>
  <c r="CC457" i="29"/>
  <c r="U459" i="29"/>
  <c r="AC459" i="29" s="1"/>
  <c r="T460" i="29"/>
  <c r="S460" i="29"/>
  <c r="V459" i="29"/>
  <c r="AE459" i="29"/>
  <c r="AF459" i="29"/>
  <c r="CA458" i="29"/>
  <c r="BU458" i="29" s="1"/>
  <c r="AA457" i="29"/>
  <c r="M457" i="29"/>
  <c r="W457" i="29"/>
  <c r="Y457" i="29" s="1"/>
  <c r="CB458" i="29"/>
  <c r="BV458" i="29" s="1"/>
  <c r="J460" i="29"/>
  <c r="K460" i="29"/>
  <c r="L459" i="29"/>
  <c r="Q458" i="29"/>
  <c r="X458" i="29" s="1"/>
  <c r="R458" i="29"/>
  <c r="BQ463" i="29"/>
  <c r="AB458" i="29"/>
  <c r="BY461" i="29"/>
  <c r="BO462" i="29"/>
  <c r="BN462" i="29"/>
  <c r="BR461" i="29"/>
  <c r="D185" i="15"/>
  <c r="I54" i="39"/>
  <c r="H38" i="44" s="1"/>
  <c r="D38" i="45" s="1"/>
  <c r="K38" i="45" s="1"/>
  <c r="L38" i="45" s="1"/>
  <c r="J39" i="45" s="1"/>
  <c r="G52" i="15"/>
  <c r="BZ431" i="29"/>
  <c r="BX432" i="29" s="1"/>
  <c r="AZ459" i="29"/>
  <c r="BH459" i="29"/>
  <c r="BB459" i="29" s="1"/>
  <c r="BD461" i="29"/>
  <c r="BC460" i="29"/>
  <c r="BF460" i="29" s="1"/>
  <c r="BP460" i="29"/>
  <c r="BE460" i="29"/>
  <c r="BG460" i="29" s="1"/>
  <c r="BA460" i="29" s="1"/>
  <c r="BM107" i="44" l="1"/>
  <c r="BD107" i="44"/>
  <c r="AU107" i="44"/>
  <c r="BI107" i="44"/>
  <c r="AY107" i="44"/>
  <c r="BP107" i="44"/>
  <c r="AW107" i="44"/>
  <c r="BE107" i="44"/>
  <c r="BK107" i="44"/>
  <c r="BC107" i="44"/>
  <c r="BJ107" i="44"/>
  <c r="AT107" i="44"/>
  <c r="BA107" i="44"/>
  <c r="AZ107" i="44"/>
  <c r="BR107" i="44"/>
  <c r="BB107" i="44"/>
  <c r="BL107" i="44"/>
  <c r="BO107" i="44"/>
  <c r="BN107" i="44"/>
  <c r="BG107" i="44"/>
  <c r="BF107" i="44"/>
  <c r="AV107" i="44"/>
  <c r="BH107" i="44"/>
  <c r="AX107" i="44"/>
  <c r="BQ107" i="44"/>
  <c r="BV441" i="29"/>
  <c r="CC441" i="29"/>
  <c r="F185" i="15"/>
  <c r="L54" i="39"/>
  <c r="CC458" i="29"/>
  <c r="CA459" i="29"/>
  <c r="BU459" i="29" s="1"/>
  <c r="AA458" i="29"/>
  <c r="M458" i="29"/>
  <c r="W458" i="29"/>
  <c r="Y458" i="29" s="1"/>
  <c r="CB459" i="29"/>
  <c r="BV459" i="29" s="1"/>
  <c r="Q459" i="29"/>
  <c r="R459" i="29"/>
  <c r="BY462" i="29"/>
  <c r="BN463" i="29"/>
  <c r="BO463" i="29"/>
  <c r="BQ464" i="29" s="1"/>
  <c r="BR462" i="29"/>
  <c r="U460" i="29"/>
  <c r="AC460" i="29" s="1"/>
  <c r="AB459" i="29"/>
  <c r="L460" i="29"/>
  <c r="K461" i="29"/>
  <c r="J461" i="29"/>
  <c r="T461" i="29"/>
  <c r="S461" i="29"/>
  <c r="V460" i="29"/>
  <c r="AE460" i="29"/>
  <c r="AF460" i="29"/>
  <c r="BP461" i="29"/>
  <c r="BC461" i="29"/>
  <c r="BF461" i="29" s="1"/>
  <c r="BE461" i="29"/>
  <c r="BG461" i="29" s="1"/>
  <c r="BA461" i="29" s="1"/>
  <c r="BD462" i="29"/>
  <c r="AZ460" i="29"/>
  <c r="BH460" i="29"/>
  <c r="BB460" i="29" s="1"/>
  <c r="BZ432" i="29"/>
  <c r="BX433" i="29" s="1"/>
  <c r="V461" i="29" l="1"/>
  <c r="T462" i="29"/>
  <c r="S462" i="29"/>
  <c r="AF461" i="29"/>
  <c r="AE461" i="29"/>
  <c r="U461" i="29"/>
  <c r="AB461" i="29" s="1"/>
  <c r="R460" i="29"/>
  <c r="Q460" i="29"/>
  <c r="BY463" i="29"/>
  <c r="BN464" i="29"/>
  <c r="BO464" i="29"/>
  <c r="BR463" i="29"/>
  <c r="X459" i="29"/>
  <c r="CB460" i="29"/>
  <c r="BV460" i="29" s="1"/>
  <c r="W459" i="29"/>
  <c r="Y459" i="29" s="1"/>
  <c r="AA459" i="29"/>
  <c r="CA460" i="29"/>
  <c r="BU460" i="29" s="1"/>
  <c r="M459" i="29"/>
  <c r="L461" i="29"/>
  <c r="J462" i="29"/>
  <c r="K462" i="29"/>
  <c r="AB460" i="29"/>
  <c r="CC459" i="29"/>
  <c r="BC462" i="29"/>
  <c r="BF462" i="29" s="1"/>
  <c r="BD463" i="29"/>
  <c r="BE462" i="29"/>
  <c r="BG462" i="29" s="1"/>
  <c r="BA462" i="29" s="1"/>
  <c r="BP462" i="29"/>
  <c r="BZ433" i="29"/>
  <c r="BX434" i="29" s="1"/>
  <c r="BH461" i="29"/>
  <c r="BB461" i="29" s="1"/>
  <c r="AZ461" i="29"/>
  <c r="CC460" i="29" l="1"/>
  <c r="BR464" i="29"/>
  <c r="BY464" i="29"/>
  <c r="BN465" i="29"/>
  <c r="BO465" i="29"/>
  <c r="X460" i="29"/>
  <c r="M460" i="29"/>
  <c r="W460" i="29"/>
  <c r="Y460" i="29" s="1"/>
  <c r="AA460" i="29"/>
  <c r="CB461" i="29"/>
  <c r="BV461" i="29" s="1"/>
  <c r="CA461" i="29"/>
  <c r="BU461" i="29" s="1"/>
  <c r="V462" i="29"/>
  <c r="T463" i="29"/>
  <c r="S463" i="29"/>
  <c r="AF462" i="29"/>
  <c r="AE462" i="29"/>
  <c r="J463" i="29"/>
  <c r="K463" i="29"/>
  <c r="L462" i="29"/>
  <c r="R461" i="29"/>
  <c r="Q461" i="29"/>
  <c r="X461" i="29" s="1"/>
  <c r="AC461" i="29"/>
  <c r="U462" i="29"/>
  <c r="AB462" i="29" s="1"/>
  <c r="BQ465" i="29"/>
  <c r="BQ466" i="29" s="1"/>
  <c r="BD464" i="29"/>
  <c r="BC463" i="29"/>
  <c r="BF463" i="29" s="1"/>
  <c r="BE463" i="29"/>
  <c r="BG463" i="29" s="1"/>
  <c r="BA463" i="29" s="1"/>
  <c r="BP463" i="29"/>
  <c r="BZ434" i="29"/>
  <c r="BX435" i="29" s="1"/>
  <c r="BH462" i="29"/>
  <c r="BB462" i="29" s="1"/>
  <c r="AZ462" i="29"/>
  <c r="AC462" i="29" l="1"/>
  <c r="K464" i="29"/>
  <c r="J464" i="29"/>
  <c r="L463" i="29"/>
  <c r="U463" i="29"/>
  <c r="T464" i="29"/>
  <c r="S464" i="29"/>
  <c r="V463" i="29"/>
  <c r="AE463" i="29"/>
  <c r="AF463" i="29"/>
  <c r="BR465" i="29"/>
  <c r="BO466" i="29"/>
  <c r="BN466" i="29"/>
  <c r="R462" i="29"/>
  <c r="Q462" i="29"/>
  <c r="X462" i="29" s="1"/>
  <c r="AA461" i="29"/>
  <c r="W461" i="29"/>
  <c r="Y461" i="29" s="1"/>
  <c r="CB462" i="29"/>
  <c r="BV462" i="29" s="1"/>
  <c r="CA462" i="29"/>
  <c r="BU462" i="29" s="1"/>
  <c r="M461" i="29"/>
  <c r="CC461" i="29"/>
  <c r="BZ435" i="29"/>
  <c r="BX436" i="29" s="1"/>
  <c r="AZ463" i="29"/>
  <c r="BH463" i="29"/>
  <c r="BB463" i="29" s="1"/>
  <c r="BE464" i="29"/>
  <c r="BG464" i="29" s="1"/>
  <c r="BA464" i="29" s="1"/>
  <c r="BD465" i="29"/>
  <c r="BC464" i="29"/>
  <c r="BF464" i="29" s="1"/>
  <c r="BP464" i="29"/>
  <c r="S465" i="29" l="1"/>
  <c r="V464" i="29"/>
  <c r="T465" i="29"/>
  <c r="AF464" i="29"/>
  <c r="AE464" i="29"/>
  <c r="BR466" i="29"/>
  <c r="BN467" i="29"/>
  <c r="BY466" i="29"/>
  <c r="BO467" i="29"/>
  <c r="R463" i="29"/>
  <c r="Q463" i="29"/>
  <c r="X463" i="29" s="1"/>
  <c r="CA463" i="29"/>
  <c r="BU463" i="29" s="1"/>
  <c r="AA462" i="29"/>
  <c r="CB463" i="29"/>
  <c r="BV463" i="29" s="1"/>
  <c r="M462" i="29"/>
  <c r="W462" i="29"/>
  <c r="Y462" i="29" s="1"/>
  <c r="AC463" i="29"/>
  <c r="L464" i="29"/>
  <c r="J465" i="29"/>
  <c r="K465" i="29"/>
  <c r="CC462" i="29"/>
  <c r="BQ467" i="29"/>
  <c r="BQ468" i="29" s="1"/>
  <c r="U464" i="29"/>
  <c r="AB463" i="29"/>
  <c r="BZ436" i="29"/>
  <c r="BX437" i="29" s="1"/>
  <c r="BD466" i="29"/>
  <c r="BC465" i="29"/>
  <c r="BF465" i="29" s="1"/>
  <c r="BE465" i="29"/>
  <c r="BG465" i="29" s="1"/>
  <c r="BA465" i="29" s="1"/>
  <c r="BP465" i="29"/>
  <c r="BI465" i="29"/>
  <c r="AZ464" i="29"/>
  <c r="BH464" i="29"/>
  <c r="BB464" i="29" s="1"/>
  <c r="CC463" i="29" l="1"/>
  <c r="R464" i="29"/>
  <c r="Q464" i="29"/>
  <c r="BO468" i="29"/>
  <c r="BR467" i="29"/>
  <c r="BY467" i="29"/>
  <c r="BN468" i="29"/>
  <c r="U465" i="29"/>
  <c r="AB465" i="29" s="1"/>
  <c r="L465" i="29"/>
  <c r="K466" i="29"/>
  <c r="J466" i="29"/>
  <c r="CB464" i="29"/>
  <c r="BV464" i="29" s="1"/>
  <c r="AA463" i="29"/>
  <c r="M463" i="29"/>
  <c r="CA464" i="29"/>
  <c r="BU464" i="29" s="1"/>
  <c r="W463" i="29"/>
  <c r="Y463" i="29" s="1"/>
  <c r="V465" i="29"/>
  <c r="T466" i="29"/>
  <c r="S466" i="29"/>
  <c r="AF465" i="29"/>
  <c r="AE465" i="29"/>
  <c r="BH465" i="29"/>
  <c r="BB465" i="29" s="1"/>
  <c r="AZ465" i="29"/>
  <c r="BZ437" i="29"/>
  <c r="BX438" i="29" s="1"/>
  <c r="BD467" i="29"/>
  <c r="BE466" i="29"/>
  <c r="BG466" i="29" s="1"/>
  <c r="BA466" i="29" s="1"/>
  <c r="BP466" i="29"/>
  <c r="BC466" i="29"/>
  <c r="BF466" i="29" s="1"/>
  <c r="CC464" i="29" l="1"/>
  <c r="V466" i="29"/>
  <c r="S467" i="29"/>
  <c r="T467" i="29"/>
  <c r="AE466" i="29"/>
  <c r="AF466" i="29"/>
  <c r="W464" i="29"/>
  <c r="CA465" i="29"/>
  <c r="BU465" i="29" s="1"/>
  <c r="AA464" i="29"/>
  <c r="L466" i="29"/>
  <c r="J467" i="29"/>
  <c r="K467" i="29"/>
  <c r="BY468" i="29"/>
  <c r="BO469" i="29"/>
  <c r="BR468" i="29"/>
  <c r="BN469" i="29"/>
  <c r="BQ469" i="29"/>
  <c r="BQ470" i="29" s="1"/>
  <c r="R465" i="29"/>
  <c r="Q465" i="29"/>
  <c r="U466" i="29"/>
  <c r="AB466" i="29" s="1"/>
  <c r="AC465" i="29"/>
  <c r="BZ438" i="29"/>
  <c r="BX439" i="29" s="1"/>
  <c r="AZ466" i="29"/>
  <c r="BH466" i="29"/>
  <c r="BB466" i="29" s="1"/>
  <c r="BD468" i="29"/>
  <c r="BP467" i="29"/>
  <c r="BE467" i="29"/>
  <c r="BG467" i="29" s="1"/>
  <c r="BA467" i="29" s="1"/>
  <c r="BC467" i="29"/>
  <c r="BF467" i="29" s="1"/>
  <c r="BQ471" i="29" l="1"/>
  <c r="CB466" i="29"/>
  <c r="BV466" i="29" s="1"/>
  <c r="CA466" i="29"/>
  <c r="BU466" i="29" s="1"/>
  <c r="M465" i="29"/>
  <c r="W465" i="29"/>
  <c r="Y465" i="29" s="1"/>
  <c r="AA465" i="29"/>
  <c r="U467" i="29"/>
  <c r="AB467" i="29" s="1"/>
  <c r="T468" i="29"/>
  <c r="S468" i="29"/>
  <c r="V467" i="29"/>
  <c r="AE467" i="29"/>
  <c r="AF467" i="29"/>
  <c r="J468" i="29"/>
  <c r="K468" i="29"/>
  <c r="L467" i="29"/>
  <c r="Q466" i="29"/>
  <c r="R466" i="29"/>
  <c r="X465" i="29"/>
  <c r="AC466" i="29"/>
  <c r="BO470" i="29"/>
  <c r="BY469" i="29"/>
  <c r="BN470" i="29"/>
  <c r="BR469" i="29"/>
  <c r="BZ439" i="29"/>
  <c r="BX440" i="29" s="1"/>
  <c r="BH467" i="29"/>
  <c r="BB467" i="29" s="1"/>
  <c r="AZ467" i="29"/>
  <c r="BP468" i="29"/>
  <c r="BD469" i="29"/>
  <c r="BC468" i="29"/>
  <c r="BF468" i="29" s="1"/>
  <c r="BE468" i="29"/>
  <c r="BG468" i="29" s="1"/>
  <c r="BA468" i="29" s="1"/>
  <c r="CC466" i="29" l="1"/>
  <c r="J469" i="29"/>
  <c r="K469" i="29"/>
  <c r="L468" i="29"/>
  <c r="Q467" i="29"/>
  <c r="X467" i="29" s="1"/>
  <c r="R467" i="29"/>
  <c r="AA466" i="29"/>
  <c r="CB467" i="29"/>
  <c r="BV467" i="29" s="1"/>
  <c r="CA467" i="29"/>
  <c r="BU467" i="29" s="1"/>
  <c r="M466" i="29"/>
  <c r="W466" i="29"/>
  <c r="Y466" i="29" s="1"/>
  <c r="U468" i="29"/>
  <c r="AB468" i="29" s="1"/>
  <c r="BQ472" i="29"/>
  <c r="V468" i="29"/>
  <c r="S469" i="29"/>
  <c r="T469" i="29"/>
  <c r="AF468" i="29"/>
  <c r="AE468" i="29"/>
  <c r="BO471" i="29"/>
  <c r="BN471" i="29"/>
  <c r="BR470" i="29"/>
  <c r="BY470" i="29"/>
  <c r="X466" i="29"/>
  <c r="AC467" i="29"/>
  <c r="BZ440" i="29"/>
  <c r="BY441" i="29" s="1"/>
  <c r="BD470" i="29"/>
  <c r="BP469" i="29"/>
  <c r="BC469" i="29"/>
  <c r="BF469" i="29" s="1"/>
  <c r="BE469" i="29"/>
  <c r="BG469" i="29" s="1"/>
  <c r="BA469" i="29" s="1"/>
  <c r="AZ468" i="29"/>
  <c r="BH468" i="29"/>
  <c r="BB468" i="29" s="1"/>
  <c r="CC467" i="29" l="1"/>
  <c r="CA468" i="29"/>
  <c r="BU468" i="29" s="1"/>
  <c r="W467" i="29"/>
  <c r="Y467" i="29" s="1"/>
  <c r="CB468" i="29"/>
  <c r="BV468" i="29" s="1"/>
  <c r="M467" i="29"/>
  <c r="AA467" i="29"/>
  <c r="S470" i="29"/>
  <c r="V469" i="29"/>
  <c r="T470" i="29"/>
  <c r="AE469" i="29"/>
  <c r="AF469" i="29"/>
  <c r="BR471" i="29"/>
  <c r="BN472" i="29"/>
  <c r="BY471" i="29"/>
  <c r="BO472" i="29"/>
  <c r="U469" i="29"/>
  <c r="Q468" i="29"/>
  <c r="R468" i="29"/>
  <c r="AC468" i="29"/>
  <c r="K470" i="29"/>
  <c r="J470" i="29"/>
  <c r="L469" i="29"/>
  <c r="BW441" i="29"/>
  <c r="BX441" i="29"/>
  <c r="BH469" i="29"/>
  <c r="BB469" i="29" s="1"/>
  <c r="AZ469" i="29"/>
  <c r="BP470" i="29"/>
  <c r="BD471" i="29"/>
  <c r="BE470" i="29"/>
  <c r="BG470" i="29" s="1"/>
  <c r="BA470" i="29" s="1"/>
  <c r="BC470" i="29"/>
  <c r="BF470" i="29" s="1"/>
  <c r="X468" i="29" l="1"/>
  <c r="W468" i="29"/>
  <c r="Y468" i="29" s="1"/>
  <c r="M468" i="29"/>
  <c r="CB469" i="29"/>
  <c r="BV469" i="29" s="1"/>
  <c r="CA469" i="29"/>
  <c r="BU469" i="29" s="1"/>
  <c r="AA468" i="29"/>
  <c r="BY472" i="29"/>
  <c r="BR472" i="29"/>
  <c r="BO473" i="29"/>
  <c r="BN473" i="29"/>
  <c r="U470" i="29"/>
  <c r="BQ473" i="29"/>
  <c r="R469" i="29"/>
  <c r="Q469" i="29"/>
  <c r="X469" i="29" s="1"/>
  <c r="CC468" i="29"/>
  <c r="AB469" i="29"/>
  <c r="T471" i="29"/>
  <c r="S471" i="29"/>
  <c r="V470" i="29"/>
  <c r="AF470" i="29"/>
  <c r="AE470" i="29"/>
  <c r="K471" i="29"/>
  <c r="J471" i="29"/>
  <c r="L470" i="29"/>
  <c r="AC469" i="29"/>
  <c r="AZ470" i="29"/>
  <c r="BH470" i="29"/>
  <c r="BB470" i="29" s="1"/>
  <c r="BZ441" i="29"/>
  <c r="BX442" i="29" s="1"/>
  <c r="BP471" i="29"/>
  <c r="BC471" i="29"/>
  <c r="BF471" i="29" s="1"/>
  <c r="BE471" i="29"/>
  <c r="BG471" i="29" s="1"/>
  <c r="BA471" i="29" s="1"/>
  <c r="BD472" i="29"/>
  <c r="BT441" i="29"/>
  <c r="M440" i="29" s="1"/>
  <c r="BS441" i="29"/>
  <c r="CC469" i="29" l="1"/>
  <c r="L471" i="29"/>
  <c r="J472" i="29"/>
  <c r="K472" i="29"/>
  <c r="U471" i="29"/>
  <c r="AC471" i="29" s="1"/>
  <c r="BQ474" i="29"/>
  <c r="BQ475" i="29" s="1"/>
  <c r="S472" i="29"/>
  <c r="T472" i="29"/>
  <c r="V471" i="29"/>
  <c r="AF471" i="29"/>
  <c r="AE471" i="29"/>
  <c r="Q470" i="29"/>
  <c r="X470" i="29" s="1"/>
  <c r="R470" i="29"/>
  <c r="W469" i="29"/>
  <c r="Y469" i="29" s="1"/>
  <c r="CB470" i="29"/>
  <c r="BV470" i="29" s="1"/>
  <c r="CA470" i="29"/>
  <c r="BU470" i="29" s="1"/>
  <c r="M469" i="29"/>
  <c r="AA469" i="29"/>
  <c r="AB470" i="29"/>
  <c r="BO474" i="29"/>
  <c r="BR473" i="29"/>
  <c r="BN474" i="29"/>
  <c r="BY473" i="29"/>
  <c r="AC470" i="29"/>
  <c r="BP472" i="29"/>
  <c r="BC472" i="29"/>
  <c r="BF472" i="29" s="1"/>
  <c r="BE472" i="29"/>
  <c r="BG472" i="29" s="1"/>
  <c r="BA472" i="29" s="1"/>
  <c r="BD473" i="29"/>
  <c r="BZ442" i="29"/>
  <c r="BX443" i="29" s="1"/>
  <c r="H46" i="29"/>
  <c r="K39" i="40" s="1"/>
  <c r="X440" i="29"/>
  <c r="Y440" i="29" s="1"/>
  <c r="Z440" i="29" s="1"/>
  <c r="AZ471" i="29"/>
  <c r="BH471" i="29"/>
  <c r="BB471" i="29" s="1"/>
  <c r="AB440" i="29" l="1"/>
  <c r="AC440" i="29"/>
  <c r="Z441" i="29"/>
  <c r="Z442" i="29" s="1"/>
  <c r="Z443" i="29" s="1"/>
  <c r="Z444" i="29" s="1"/>
  <c r="Z445" i="29" s="1"/>
  <c r="Z446" i="29" s="1"/>
  <c r="Z447" i="29" s="1"/>
  <c r="Z448" i="29" s="1"/>
  <c r="Z449" i="29" s="1"/>
  <c r="Z450" i="29" s="1"/>
  <c r="Z451" i="29" s="1"/>
  <c r="CB453" i="29"/>
  <c r="G46" i="29"/>
  <c r="L39" i="40" s="1"/>
  <c r="AB471" i="29"/>
  <c r="L472" i="29"/>
  <c r="J473" i="29"/>
  <c r="K473" i="29"/>
  <c r="CC470" i="29"/>
  <c r="CB471" i="29"/>
  <c r="BV471" i="29" s="1"/>
  <c r="CA471" i="29"/>
  <c r="BU471" i="29" s="1"/>
  <c r="M470" i="29"/>
  <c r="W470" i="29"/>
  <c r="Y470" i="29" s="1"/>
  <c r="AA470" i="29"/>
  <c r="V472" i="29"/>
  <c r="S473" i="29"/>
  <c r="T473" i="29"/>
  <c r="AF472" i="29"/>
  <c r="AE472" i="29"/>
  <c r="R471" i="29"/>
  <c r="Q471" i="29"/>
  <c r="X471" i="29" s="1"/>
  <c r="U472" i="29"/>
  <c r="AC472" i="29" s="1"/>
  <c r="BR474" i="29"/>
  <c r="BN475" i="29"/>
  <c r="BY474" i="29"/>
  <c r="BO475" i="29"/>
  <c r="BE473" i="29"/>
  <c r="BG473" i="29" s="1"/>
  <c r="BA473" i="29" s="1"/>
  <c r="BD474" i="29"/>
  <c r="BP473" i="29"/>
  <c r="BC473" i="29"/>
  <c r="BF473" i="29" s="1"/>
  <c r="BZ443" i="29"/>
  <c r="BX444" i="29" s="1"/>
  <c r="BH472" i="29"/>
  <c r="BB472" i="29" s="1"/>
  <c r="AZ472" i="29"/>
  <c r="D186" i="15"/>
  <c r="I55" i="39"/>
  <c r="H39" i="44" s="1"/>
  <c r="D39" i="45" s="1"/>
  <c r="K39" i="45" s="1"/>
  <c r="L39" i="45" s="1"/>
  <c r="J40" i="45" s="1"/>
  <c r="G53" i="15"/>
  <c r="BH108" i="44" l="1"/>
  <c r="AU108" i="44"/>
  <c r="BM108" i="44"/>
  <c r="AZ108" i="44"/>
  <c r="BN108" i="44"/>
  <c r="AX108" i="44"/>
  <c r="AY108" i="44"/>
  <c r="BQ108" i="44"/>
  <c r="BA108" i="44"/>
  <c r="BF108" i="44"/>
  <c r="BI108" i="44"/>
  <c r="BE108" i="44"/>
  <c r="BC108" i="44"/>
  <c r="BG108" i="44"/>
  <c r="BB108" i="44"/>
  <c r="AW108" i="44"/>
  <c r="BL108" i="44"/>
  <c r="BP108" i="44"/>
  <c r="BO108" i="44"/>
  <c r="BK108" i="44"/>
  <c r="BR108" i="44"/>
  <c r="BD108" i="44"/>
  <c r="AV108" i="44"/>
  <c r="BJ108" i="44"/>
  <c r="BV453" i="29"/>
  <c r="CC453" i="29"/>
  <c r="L55" i="39"/>
  <c r="F186" i="15"/>
  <c r="BN476" i="29"/>
  <c r="BO476" i="29"/>
  <c r="BR475" i="29"/>
  <c r="BY475" i="29"/>
  <c r="T474" i="29"/>
  <c r="S474" i="29"/>
  <c r="V473" i="29"/>
  <c r="AF473" i="29"/>
  <c r="AE473" i="29"/>
  <c r="U473" i="29"/>
  <c r="AB473" i="29" s="1"/>
  <c r="Q472" i="29"/>
  <c r="X472" i="29" s="1"/>
  <c r="R472" i="29"/>
  <c r="AB472" i="29"/>
  <c r="BQ476" i="29"/>
  <c r="BQ477" i="29" s="1"/>
  <c r="W471" i="29"/>
  <c r="Y471" i="29" s="1"/>
  <c r="CA472" i="29"/>
  <c r="BU472" i="29" s="1"/>
  <c r="CB472" i="29"/>
  <c r="BV472" i="29" s="1"/>
  <c r="AA471" i="29"/>
  <c r="M471" i="29"/>
  <c r="CC471" i="29"/>
  <c r="J474" i="29"/>
  <c r="L473" i="29"/>
  <c r="K474" i="29"/>
  <c r="BZ444" i="29"/>
  <c r="BX445" i="29" s="1"/>
  <c r="BD475" i="29"/>
  <c r="BE474" i="29"/>
  <c r="BG474" i="29" s="1"/>
  <c r="BA474" i="29" s="1"/>
  <c r="BC474" i="29"/>
  <c r="BF474" i="29" s="1"/>
  <c r="BP474" i="29"/>
  <c r="AZ473" i="29"/>
  <c r="BH473" i="29"/>
  <c r="BB473" i="29" s="1"/>
  <c r="AC473" i="29" l="1"/>
  <c r="U474" i="29"/>
  <c r="AB474" i="29" s="1"/>
  <c r="BO477" i="29"/>
  <c r="BY476" i="29"/>
  <c r="BR476" i="29"/>
  <c r="BN477" i="29"/>
  <c r="CB473" i="29"/>
  <c r="BV473" i="29" s="1"/>
  <c r="AA472" i="29"/>
  <c r="CA473" i="29"/>
  <c r="BU473" i="29" s="1"/>
  <c r="M472" i="29"/>
  <c r="W472" i="29"/>
  <c r="Y472" i="29" s="1"/>
  <c r="T475" i="29"/>
  <c r="S475" i="29"/>
  <c r="V474" i="29"/>
  <c r="AF474" i="29"/>
  <c r="AE474" i="29"/>
  <c r="L474" i="29"/>
  <c r="K475" i="29"/>
  <c r="J475" i="29"/>
  <c r="CC472" i="29"/>
  <c r="R473" i="29"/>
  <c r="Q473" i="29"/>
  <c r="X473" i="29" s="1"/>
  <c r="BZ445" i="29"/>
  <c r="BX446" i="29" s="1"/>
  <c r="BD476" i="29"/>
  <c r="BC475" i="29"/>
  <c r="BF475" i="29" s="1"/>
  <c r="BE475" i="29"/>
  <c r="BG475" i="29" s="1"/>
  <c r="BA475" i="29" s="1"/>
  <c r="BP475" i="29"/>
  <c r="BH474" i="29"/>
  <c r="BB474" i="29" s="1"/>
  <c r="AZ474" i="29"/>
  <c r="AC474" i="29" l="1"/>
  <c r="V475" i="29"/>
  <c r="S476" i="29"/>
  <c r="T476" i="29"/>
  <c r="AE475" i="29"/>
  <c r="AF475" i="29"/>
  <c r="AA473" i="29"/>
  <c r="M473" i="29"/>
  <c r="CB474" i="29"/>
  <c r="BV474" i="29" s="1"/>
  <c r="CA474" i="29"/>
  <c r="BU474" i="29" s="1"/>
  <c r="W473" i="29"/>
  <c r="Y473" i="29" s="1"/>
  <c r="J476" i="29"/>
  <c r="L475" i="29"/>
  <c r="K476" i="29"/>
  <c r="CC473" i="29"/>
  <c r="BO478" i="29"/>
  <c r="BR477" i="29"/>
  <c r="BN478" i="29"/>
  <c r="BQ478" i="29"/>
  <c r="BQ479" i="29" s="1"/>
  <c r="U475" i="29"/>
  <c r="AB475" i="29" s="1"/>
  <c r="R474" i="29"/>
  <c r="Q474" i="29"/>
  <c r="X474" i="29" s="1"/>
  <c r="BH475" i="29"/>
  <c r="BB475" i="29" s="1"/>
  <c r="AZ475" i="29"/>
  <c r="BD477" i="29"/>
  <c r="BP476" i="29"/>
  <c r="BC476" i="29"/>
  <c r="BF476" i="29" s="1"/>
  <c r="BE476" i="29"/>
  <c r="BG476" i="29" s="1"/>
  <c r="BA476" i="29" s="1"/>
  <c r="BZ446" i="29"/>
  <c r="BX447" i="29" s="1"/>
  <c r="AC475" i="29" l="1"/>
  <c r="CC474" i="29"/>
  <c r="T477" i="29"/>
  <c r="S477" i="29"/>
  <c r="V476" i="29"/>
  <c r="AE476" i="29"/>
  <c r="AF476" i="29"/>
  <c r="Q475" i="29"/>
  <c r="R475" i="29"/>
  <c r="L476" i="29"/>
  <c r="K477" i="29"/>
  <c r="J477" i="29"/>
  <c r="U476" i="29"/>
  <c r="M474" i="29"/>
  <c r="W474" i="29"/>
  <c r="Y474" i="29" s="1"/>
  <c r="CA475" i="29"/>
  <c r="BU475" i="29" s="1"/>
  <c r="CB475" i="29"/>
  <c r="BV475" i="29" s="1"/>
  <c r="AA474" i="29"/>
  <c r="BN479" i="29"/>
  <c r="BR478" i="29"/>
  <c r="BO479" i="29"/>
  <c r="BY478" i="29"/>
  <c r="BZ447" i="29"/>
  <c r="BX448" i="29" s="1"/>
  <c r="BC477" i="29"/>
  <c r="BF477" i="29" s="1"/>
  <c r="BD478" i="29"/>
  <c r="BE477" i="29"/>
  <c r="BG477" i="29" s="1"/>
  <c r="BA477" i="29" s="1"/>
  <c r="BI477" i="29"/>
  <c r="BP477" i="29"/>
  <c r="BH476" i="29"/>
  <c r="BB476" i="29" s="1"/>
  <c r="AZ476" i="29"/>
  <c r="U477" i="29" l="1"/>
  <c r="AC477" i="29" s="1"/>
  <c r="CC475" i="29"/>
  <c r="R476" i="29"/>
  <c r="Q476" i="29"/>
  <c r="S478" i="29"/>
  <c r="V477" i="29"/>
  <c r="T478" i="29"/>
  <c r="AE477" i="29"/>
  <c r="AF477" i="29"/>
  <c r="W475" i="29"/>
  <c r="Y475" i="29" s="1"/>
  <c r="AA475" i="29"/>
  <c r="M475" i="29"/>
  <c r="CA476" i="29"/>
  <c r="BU476" i="29" s="1"/>
  <c r="CB476" i="29"/>
  <c r="BV476" i="29" s="1"/>
  <c r="BN480" i="29"/>
  <c r="BO480" i="29"/>
  <c r="BR479" i="29"/>
  <c r="BY479" i="29"/>
  <c r="BQ480" i="29"/>
  <c r="BQ481" i="29" s="1"/>
  <c r="L477" i="29"/>
  <c r="J478" i="29"/>
  <c r="K478" i="29"/>
  <c r="X475" i="29"/>
  <c r="BZ448" i="29"/>
  <c r="BX449" i="29" s="1"/>
  <c r="BC478" i="29"/>
  <c r="BF478" i="29" s="1"/>
  <c r="BP478" i="29"/>
  <c r="BE478" i="29"/>
  <c r="BG478" i="29" s="1"/>
  <c r="BA478" i="29" s="1"/>
  <c r="BD479" i="29"/>
  <c r="AZ477" i="29"/>
  <c r="BH477" i="29"/>
  <c r="BB477" i="29" s="1"/>
  <c r="AB477" i="29" l="1"/>
  <c r="AA476" i="29"/>
  <c r="W476" i="29"/>
  <c r="CA477" i="29"/>
  <c r="BU477" i="29" s="1"/>
  <c r="L478" i="29"/>
  <c r="K479" i="29"/>
  <c r="J479" i="29"/>
  <c r="CC476" i="29"/>
  <c r="V478" i="29"/>
  <c r="T479" i="29"/>
  <c r="S479" i="29"/>
  <c r="AE478" i="29"/>
  <c r="AF478" i="29"/>
  <c r="BY480" i="29"/>
  <c r="BN481" i="29"/>
  <c r="BR480" i="29"/>
  <c r="BO481" i="29"/>
  <c r="U478" i="29"/>
  <c r="Q477" i="29"/>
  <c r="X477" i="29" s="1"/>
  <c r="R477" i="29"/>
  <c r="BZ449" i="29"/>
  <c r="BX450" i="29" s="1"/>
  <c r="BH478" i="29"/>
  <c r="BB478" i="29" s="1"/>
  <c r="AZ478" i="29"/>
  <c r="BE479" i="29"/>
  <c r="BG479" i="29" s="1"/>
  <c r="BA479" i="29" s="1"/>
  <c r="BP479" i="29"/>
  <c r="BD480" i="29"/>
  <c r="BC479" i="29"/>
  <c r="BF479" i="29" s="1"/>
  <c r="BN482" i="29" l="1"/>
  <c r="BY481" i="29"/>
  <c r="BO482" i="29"/>
  <c r="BR481" i="29"/>
  <c r="Q478" i="29"/>
  <c r="R478" i="29"/>
  <c r="AC478" i="29"/>
  <c r="U479" i="29"/>
  <c r="AB479" i="29" s="1"/>
  <c r="AA477" i="29"/>
  <c r="M477" i="29"/>
  <c r="CB478" i="29"/>
  <c r="BV478" i="29" s="1"/>
  <c r="CA478" i="29"/>
  <c r="BU478" i="29" s="1"/>
  <c r="W477" i="29"/>
  <c r="Y477" i="29" s="1"/>
  <c r="AB478" i="29"/>
  <c r="T480" i="29"/>
  <c r="S480" i="29"/>
  <c r="V479" i="29"/>
  <c r="AE479" i="29"/>
  <c r="AF479" i="29"/>
  <c r="K480" i="29"/>
  <c r="L479" i="29"/>
  <c r="J480" i="29"/>
  <c r="BQ482" i="29"/>
  <c r="BQ483" i="29" s="1"/>
  <c r="BZ450" i="29"/>
  <c r="BX451" i="29" s="1"/>
  <c r="AZ479" i="29"/>
  <c r="BH479" i="29"/>
  <c r="BB479" i="29" s="1"/>
  <c r="BP480" i="29"/>
  <c r="BD481" i="29"/>
  <c r="BE480" i="29"/>
  <c r="BG480" i="29" s="1"/>
  <c r="BA480" i="29" s="1"/>
  <c r="BC480" i="29"/>
  <c r="BF480" i="29" s="1"/>
  <c r="AC479" i="29" l="1"/>
  <c r="L480" i="29"/>
  <c r="J481" i="29"/>
  <c r="K481" i="29"/>
  <c r="U480" i="29"/>
  <c r="AB480" i="29" s="1"/>
  <c r="V480" i="29"/>
  <c r="S481" i="29"/>
  <c r="T481" i="29"/>
  <c r="AF480" i="29"/>
  <c r="AE480" i="29"/>
  <c r="R479" i="29"/>
  <c r="Q479" i="29"/>
  <c r="BN483" i="29"/>
  <c r="BO483" i="29"/>
  <c r="BR482" i="29"/>
  <c r="BY482" i="29"/>
  <c r="CC478" i="29"/>
  <c r="X478" i="29"/>
  <c r="CA479" i="29"/>
  <c r="BU479" i="29" s="1"/>
  <c r="M478" i="29"/>
  <c r="W478" i="29"/>
  <c r="Y478" i="29" s="1"/>
  <c r="CB479" i="29"/>
  <c r="BV479" i="29" s="1"/>
  <c r="AA478" i="29"/>
  <c r="BH480" i="29"/>
  <c r="BB480" i="29" s="1"/>
  <c r="AZ480" i="29"/>
  <c r="BZ451" i="29"/>
  <c r="BX452" i="29" s="1"/>
  <c r="BE481" i="29"/>
  <c r="BG481" i="29" s="1"/>
  <c r="BA481" i="29" s="1"/>
  <c r="BC481" i="29"/>
  <c r="BF481" i="29" s="1"/>
  <c r="BD482" i="29"/>
  <c r="BP481" i="29"/>
  <c r="AC480" i="29" l="1"/>
  <c r="BO484" i="29"/>
  <c r="BR483" i="29"/>
  <c r="BN484" i="29"/>
  <c r="BY483" i="29"/>
  <c r="U481" i="29"/>
  <c r="K482" i="29"/>
  <c r="L481" i="29"/>
  <c r="J482" i="29"/>
  <c r="R480" i="29"/>
  <c r="Q480" i="29"/>
  <c r="X480" i="29" s="1"/>
  <c r="CC479" i="29"/>
  <c r="W479" i="29"/>
  <c r="Y479" i="29" s="1"/>
  <c r="M479" i="29"/>
  <c r="AA479" i="29"/>
  <c r="CB480" i="29"/>
  <c r="BV480" i="29" s="1"/>
  <c r="CA480" i="29"/>
  <c r="BU480" i="29" s="1"/>
  <c r="BQ484" i="29"/>
  <c r="BQ485" i="29" s="1"/>
  <c r="X479" i="29"/>
  <c r="V481" i="29"/>
  <c r="T482" i="29"/>
  <c r="S482" i="29"/>
  <c r="AF481" i="29"/>
  <c r="AE481" i="29"/>
  <c r="BP482" i="29"/>
  <c r="BD483" i="29"/>
  <c r="BE482" i="29"/>
  <c r="BG482" i="29" s="1"/>
  <c r="BA482" i="29" s="1"/>
  <c r="BC482" i="29"/>
  <c r="BF482" i="29" s="1"/>
  <c r="BZ452" i="29"/>
  <c r="BY453" i="29" s="1"/>
  <c r="BH481" i="29"/>
  <c r="BB481" i="29" s="1"/>
  <c r="AZ481" i="29"/>
  <c r="Q481" i="29" l="1"/>
  <c r="R481" i="29"/>
  <c r="U482" i="29"/>
  <c r="AC482" i="29" s="1"/>
  <c r="AC481" i="29"/>
  <c r="V482" i="29"/>
  <c r="S483" i="29"/>
  <c r="T483" i="29"/>
  <c r="AF482" i="29"/>
  <c r="AE482" i="29"/>
  <c r="CC480" i="29"/>
  <c r="CB481" i="29"/>
  <c r="BV481" i="29" s="1"/>
  <c r="M480" i="29"/>
  <c r="W480" i="29"/>
  <c r="Y480" i="29" s="1"/>
  <c r="CA481" i="29"/>
  <c r="BU481" i="29" s="1"/>
  <c r="AA480" i="29"/>
  <c r="AB481" i="29"/>
  <c r="BR484" i="29"/>
  <c r="BN485" i="29"/>
  <c r="BY484" i="29"/>
  <c r="BO485" i="29"/>
  <c r="J483" i="29"/>
  <c r="L482" i="29"/>
  <c r="K483" i="29"/>
  <c r="BW453" i="29"/>
  <c r="BX453" i="29"/>
  <c r="BP483" i="29"/>
  <c r="BD484" i="29"/>
  <c r="BC483" i="29"/>
  <c r="BF483" i="29" s="1"/>
  <c r="BE483" i="29"/>
  <c r="BG483" i="29" s="1"/>
  <c r="BA483" i="29" s="1"/>
  <c r="AZ482" i="29"/>
  <c r="BH482" i="29"/>
  <c r="BB482" i="29" s="1"/>
  <c r="U483" i="29" l="1"/>
  <c r="BR485" i="29"/>
  <c r="BY485" i="29"/>
  <c r="BN486" i="29"/>
  <c r="BO486" i="29"/>
  <c r="W481" i="29"/>
  <c r="Y481" i="29" s="1"/>
  <c r="CA482" i="29"/>
  <c r="BU482" i="29" s="1"/>
  <c r="M481" i="29"/>
  <c r="CB482" i="29"/>
  <c r="BV482" i="29" s="1"/>
  <c r="AA481" i="29"/>
  <c r="R482" i="29"/>
  <c r="Q482" i="29"/>
  <c r="X482" i="29" s="1"/>
  <c r="L483" i="29"/>
  <c r="J484" i="29"/>
  <c r="K484" i="29"/>
  <c r="CC481" i="29"/>
  <c r="AB482" i="29"/>
  <c r="X481" i="29"/>
  <c r="V483" i="29"/>
  <c r="T484" i="29"/>
  <c r="S484" i="29"/>
  <c r="AF483" i="29"/>
  <c r="AE483" i="29"/>
  <c r="BQ486" i="29"/>
  <c r="BQ487" i="29" s="1"/>
  <c r="BC484" i="29"/>
  <c r="BF484" i="29" s="1"/>
  <c r="BP484" i="29"/>
  <c r="BE484" i="29"/>
  <c r="BG484" i="29" s="1"/>
  <c r="BA484" i="29" s="1"/>
  <c r="BD485" i="29"/>
  <c r="BZ453" i="29"/>
  <c r="BX454" i="29" s="1"/>
  <c r="BH483" i="29"/>
  <c r="BB483" i="29" s="1"/>
  <c r="AZ483" i="29"/>
  <c r="BS453" i="29"/>
  <c r="BT453" i="29"/>
  <c r="M452" i="29" s="1"/>
  <c r="J485" i="29" l="1"/>
  <c r="L484" i="29"/>
  <c r="K485" i="29"/>
  <c r="BR486" i="29"/>
  <c r="BO487" i="29"/>
  <c r="BN487" i="29"/>
  <c r="BY486" i="29"/>
  <c r="R483" i="29"/>
  <c r="Q483" i="29"/>
  <c r="U484" i="29"/>
  <c r="AB484" i="29" s="1"/>
  <c r="AC483" i="29"/>
  <c r="BQ488" i="29"/>
  <c r="V484" i="29"/>
  <c r="T485" i="29"/>
  <c r="S485" i="29"/>
  <c r="AE484" i="29"/>
  <c r="AF484" i="29"/>
  <c r="CC482" i="29"/>
  <c r="AB483" i="29"/>
  <c r="W482" i="29"/>
  <c r="Y482" i="29" s="1"/>
  <c r="AA482" i="29"/>
  <c r="M482" i="29"/>
  <c r="CA483" i="29"/>
  <c r="BU483" i="29" s="1"/>
  <c r="CB483" i="29"/>
  <c r="BV483" i="29" s="1"/>
  <c r="BE485" i="29"/>
  <c r="BG485" i="29" s="1"/>
  <c r="BA485" i="29" s="1"/>
  <c r="BP485" i="29"/>
  <c r="BD486" i="29"/>
  <c r="BC485" i="29"/>
  <c r="BF485" i="29" s="1"/>
  <c r="BZ454" i="29"/>
  <c r="BX455" i="29" s="1"/>
  <c r="H47" i="29"/>
  <c r="K40" i="40" s="1"/>
  <c r="X452" i="29"/>
  <c r="Y452" i="29" s="1"/>
  <c r="Z452" i="29" s="1"/>
  <c r="BH484" i="29"/>
  <c r="BB484" i="29" s="1"/>
  <c r="AZ484" i="29"/>
  <c r="AB452" i="29" l="1"/>
  <c r="AC452" i="29"/>
  <c r="Z453" i="29"/>
  <c r="Z454" i="29" s="1"/>
  <c r="Z455" i="29" s="1"/>
  <c r="Z456" i="29" s="1"/>
  <c r="Z457" i="29" s="1"/>
  <c r="Z458" i="29" s="1"/>
  <c r="Z459" i="29" s="1"/>
  <c r="Z460" i="29" s="1"/>
  <c r="Z461" i="29" s="1"/>
  <c r="Z462" i="29" s="1"/>
  <c r="Z463" i="29" s="1"/>
  <c r="CB465" i="29"/>
  <c r="G47" i="29"/>
  <c r="L40" i="40" s="1"/>
  <c r="AC484" i="29"/>
  <c r="U485" i="29"/>
  <c r="L485" i="29"/>
  <c r="J486" i="29"/>
  <c r="K486" i="29"/>
  <c r="S486" i="29"/>
  <c r="V485" i="29"/>
  <c r="T486" i="29"/>
  <c r="AF485" i="29"/>
  <c r="AE485" i="29"/>
  <c r="M483" i="29"/>
  <c r="W483" i="29"/>
  <c r="Y483" i="29" s="1"/>
  <c r="CA484" i="29"/>
  <c r="BU484" i="29" s="1"/>
  <c r="CB484" i="29"/>
  <c r="BV484" i="29" s="1"/>
  <c r="AA483" i="29"/>
  <c r="CC483" i="29"/>
  <c r="Q484" i="29"/>
  <c r="X484" i="29" s="1"/>
  <c r="R484" i="29"/>
  <c r="BO488" i="29"/>
  <c r="BQ489" i="29" s="1"/>
  <c r="BY487" i="29"/>
  <c r="BN488" i="29"/>
  <c r="BR487" i="29"/>
  <c r="X483" i="29"/>
  <c r="BZ455" i="29"/>
  <c r="BX456" i="29" s="1"/>
  <c r="BD487" i="29"/>
  <c r="BP486" i="29"/>
  <c r="BE486" i="29"/>
  <c r="BG486" i="29" s="1"/>
  <c r="BA486" i="29" s="1"/>
  <c r="BC486" i="29"/>
  <c r="BF486" i="29" s="1"/>
  <c r="D187" i="15"/>
  <c r="I56" i="39"/>
  <c r="H40" i="44" s="1"/>
  <c r="D40" i="45" s="1"/>
  <c r="K40" i="45" s="1"/>
  <c r="L40" i="45" s="1"/>
  <c r="J41" i="45" s="1"/>
  <c r="G54" i="15"/>
  <c r="BH485" i="29"/>
  <c r="BB485" i="29" s="1"/>
  <c r="AZ485" i="29"/>
  <c r="BN109" i="44" l="1"/>
  <c r="AZ109" i="44"/>
  <c r="BE109" i="44"/>
  <c r="BK109" i="44"/>
  <c r="BR109" i="44"/>
  <c r="AW109" i="44"/>
  <c r="AV109" i="44"/>
  <c r="BG109" i="44"/>
  <c r="BM109" i="44"/>
  <c r="BQ109" i="44"/>
  <c r="BP109" i="44"/>
  <c r="BH109" i="44"/>
  <c r="BI109" i="44"/>
  <c r="BL109" i="44"/>
  <c r="BC109" i="44"/>
  <c r="BJ109" i="44"/>
  <c r="BF109" i="44"/>
  <c r="BB109" i="44"/>
  <c r="AY109" i="44"/>
  <c r="BD109" i="44"/>
  <c r="BO109" i="44"/>
  <c r="BA109" i="44"/>
  <c r="AX109" i="44"/>
  <c r="BV465" i="29"/>
  <c r="CC465" i="29"/>
  <c r="F187" i="15"/>
  <c r="L56" i="39"/>
  <c r="U486" i="29"/>
  <c r="AB486" i="29" s="1"/>
  <c r="R485" i="29"/>
  <c r="Q485" i="29"/>
  <c r="X485" i="29" s="1"/>
  <c r="K487" i="29"/>
  <c r="L486" i="29"/>
  <c r="J487" i="29"/>
  <c r="AB485" i="29"/>
  <c r="BY488" i="29"/>
  <c r="BN489" i="29"/>
  <c r="BR488" i="29"/>
  <c r="BO489" i="29"/>
  <c r="CC484" i="29"/>
  <c r="T487" i="29"/>
  <c r="S487" i="29"/>
  <c r="V486" i="29"/>
  <c r="AF486" i="29"/>
  <c r="AE486" i="29"/>
  <c r="AC485" i="29"/>
  <c r="CB485" i="29"/>
  <c r="BV485" i="29" s="1"/>
  <c r="AA484" i="29"/>
  <c r="CA485" i="29"/>
  <c r="BU485" i="29" s="1"/>
  <c r="M484" i="29"/>
  <c r="W484" i="29"/>
  <c r="Y484" i="29" s="1"/>
  <c r="BZ456" i="29"/>
  <c r="BX457" i="29" s="1"/>
  <c r="AZ486" i="29"/>
  <c r="BH486" i="29"/>
  <c r="BB486" i="29" s="1"/>
  <c r="BP487" i="29"/>
  <c r="BE487" i="29"/>
  <c r="BG487" i="29" s="1"/>
  <c r="BA487" i="29" s="1"/>
  <c r="BC487" i="29"/>
  <c r="BF487" i="29" s="1"/>
  <c r="BD488" i="29"/>
  <c r="AC486" i="29" l="1"/>
  <c r="U487" i="29"/>
  <c r="AC487" i="29" s="1"/>
  <c r="BR489" i="29"/>
  <c r="BN490" i="29"/>
  <c r="BO490" i="29"/>
  <c r="T488" i="29"/>
  <c r="V487" i="29"/>
  <c r="S488" i="29"/>
  <c r="AE487" i="29"/>
  <c r="AF487" i="29"/>
  <c r="CC485" i="29"/>
  <c r="BQ490" i="29"/>
  <c r="BQ491" i="29" s="1"/>
  <c r="W485" i="29"/>
  <c r="Y485" i="29" s="1"/>
  <c r="CB486" i="29"/>
  <c r="BV486" i="29" s="1"/>
  <c r="M485" i="29"/>
  <c r="CA486" i="29"/>
  <c r="BU486" i="29" s="1"/>
  <c r="AA485" i="29"/>
  <c r="L487" i="29"/>
  <c r="J488" i="29"/>
  <c r="K488" i="29"/>
  <c r="Q486" i="29"/>
  <c r="X486" i="29" s="1"/>
  <c r="R486" i="29"/>
  <c r="BZ457" i="29"/>
  <c r="BX458" i="29" s="1"/>
  <c r="BP488" i="29"/>
  <c r="BD489" i="29"/>
  <c r="BC488" i="29"/>
  <c r="BF488" i="29" s="1"/>
  <c r="BE488" i="29"/>
  <c r="BG488" i="29" s="1"/>
  <c r="BA488" i="29" s="1"/>
  <c r="BH487" i="29"/>
  <c r="BB487" i="29" s="1"/>
  <c r="AZ487" i="29"/>
  <c r="CC486" i="29" l="1"/>
  <c r="S489" i="29"/>
  <c r="T489" i="29"/>
  <c r="V488" i="29"/>
  <c r="AF488" i="29"/>
  <c r="AE488" i="29"/>
  <c r="BN491" i="29"/>
  <c r="BY490" i="29"/>
  <c r="BO491" i="29"/>
  <c r="BQ492" i="29" s="1"/>
  <c r="BR490" i="29"/>
  <c r="L488" i="29"/>
  <c r="J489" i="29"/>
  <c r="K489" i="29"/>
  <c r="Q487" i="29"/>
  <c r="X487" i="29" s="1"/>
  <c r="R487" i="29"/>
  <c r="U488" i="29"/>
  <c r="AB487" i="29"/>
  <c r="AA486" i="29"/>
  <c r="W486" i="29"/>
  <c r="Y486" i="29" s="1"/>
  <c r="CB487" i="29"/>
  <c r="BV487" i="29" s="1"/>
  <c r="CA487" i="29"/>
  <c r="BU487" i="29" s="1"/>
  <c r="M486" i="29"/>
  <c r="BC489" i="29"/>
  <c r="BF489" i="29" s="1"/>
  <c r="BD490" i="29"/>
  <c r="BE489" i="29"/>
  <c r="BG489" i="29" s="1"/>
  <c r="BA489" i="29" s="1"/>
  <c r="BI489" i="29"/>
  <c r="BP489" i="29"/>
  <c r="BZ458" i="29"/>
  <c r="BX459" i="29" s="1"/>
  <c r="AZ488" i="29"/>
  <c r="BH488" i="29"/>
  <c r="BB488" i="29" s="1"/>
  <c r="CC487" i="29" l="1"/>
  <c r="AA487" i="29"/>
  <c r="CA488" i="29"/>
  <c r="BU488" i="29" s="1"/>
  <c r="M487" i="29"/>
  <c r="W487" i="29"/>
  <c r="Y487" i="29" s="1"/>
  <c r="CB488" i="29"/>
  <c r="BV488" i="29" s="1"/>
  <c r="V489" i="29"/>
  <c r="S490" i="29"/>
  <c r="T490" i="29"/>
  <c r="AE489" i="29"/>
  <c r="AF489" i="29"/>
  <c r="Q488" i="29"/>
  <c r="R488" i="29"/>
  <c r="L489" i="29"/>
  <c r="K490" i="29"/>
  <c r="J490" i="29"/>
  <c r="BY491" i="29"/>
  <c r="BR491" i="29"/>
  <c r="BO492" i="29"/>
  <c r="BN492" i="29"/>
  <c r="U489" i="29"/>
  <c r="AC489" i="29" s="1"/>
  <c r="BC490" i="29"/>
  <c r="BF490" i="29" s="1"/>
  <c r="BD491" i="29"/>
  <c r="BE490" i="29"/>
  <c r="BG490" i="29" s="1"/>
  <c r="BA490" i="29" s="1"/>
  <c r="BP490" i="29"/>
  <c r="BZ459" i="29"/>
  <c r="BX460" i="29" s="1"/>
  <c r="AZ489" i="29"/>
  <c r="BH489" i="29"/>
  <c r="BB489" i="29" s="1"/>
  <c r="AB489" i="29" l="1"/>
  <c r="S491" i="29"/>
  <c r="T491" i="29"/>
  <c r="V490" i="29"/>
  <c r="AE490" i="29"/>
  <c r="AF490" i="29"/>
  <c r="R489" i="29"/>
  <c r="Q489" i="29"/>
  <c r="X489" i="29" s="1"/>
  <c r="BO493" i="29"/>
  <c r="BN493" i="29"/>
  <c r="BY492" i="29"/>
  <c r="BR492" i="29"/>
  <c r="L490" i="29"/>
  <c r="K491" i="29"/>
  <c r="J491" i="29"/>
  <c r="CA489" i="29"/>
  <c r="BU489" i="29" s="1"/>
  <c r="W488" i="29"/>
  <c r="AA488" i="29"/>
  <c r="U490" i="29"/>
  <c r="AC490" i="29" s="1"/>
  <c r="CC488" i="29"/>
  <c r="BQ493" i="29"/>
  <c r="BQ494" i="29" s="1"/>
  <c r="BZ460" i="29"/>
  <c r="BX461" i="29" s="1"/>
  <c r="BD492" i="29"/>
  <c r="BE491" i="29"/>
  <c r="BG491" i="29" s="1"/>
  <c r="BA491" i="29" s="1"/>
  <c r="BP491" i="29"/>
  <c r="BC491" i="29"/>
  <c r="BF491" i="29" s="1"/>
  <c r="BH490" i="29"/>
  <c r="BB490" i="29" s="1"/>
  <c r="AZ490" i="29"/>
  <c r="AB490" i="29" l="1"/>
  <c r="BO494" i="29"/>
  <c r="BR493" i="29"/>
  <c r="BY493" i="29"/>
  <c r="BN494" i="29"/>
  <c r="V491" i="29"/>
  <c r="S492" i="29"/>
  <c r="T492" i="29"/>
  <c r="AE491" i="29"/>
  <c r="AF491" i="29"/>
  <c r="L491" i="29"/>
  <c r="J492" i="29"/>
  <c r="K492" i="29"/>
  <c r="U491" i="29"/>
  <c r="AB491" i="29" s="1"/>
  <c r="Q490" i="29"/>
  <c r="R490" i="29"/>
  <c r="CB490" i="29"/>
  <c r="BV490" i="29" s="1"/>
  <c r="AA489" i="29"/>
  <c r="W489" i="29"/>
  <c r="Y489" i="29" s="1"/>
  <c r="CA490" i="29"/>
  <c r="BU490" i="29" s="1"/>
  <c r="M489" i="29"/>
  <c r="BZ461" i="29"/>
  <c r="BX462" i="29" s="1"/>
  <c r="BH491" i="29"/>
  <c r="BB491" i="29" s="1"/>
  <c r="AZ491" i="29"/>
  <c r="BE492" i="29"/>
  <c r="BG492" i="29" s="1"/>
  <c r="BA492" i="29" s="1"/>
  <c r="BD493" i="29"/>
  <c r="BC492" i="29"/>
  <c r="BF492" i="29" s="1"/>
  <c r="BP492" i="29"/>
  <c r="L492" i="29" l="1"/>
  <c r="K493" i="29"/>
  <c r="J493" i="29"/>
  <c r="CC490" i="29"/>
  <c r="T493" i="29"/>
  <c r="V492" i="29"/>
  <c r="S493" i="29"/>
  <c r="AE492" i="29"/>
  <c r="AF492" i="29"/>
  <c r="R491" i="29"/>
  <c r="Q491" i="29"/>
  <c r="X491" i="29" s="1"/>
  <c r="BN495" i="29"/>
  <c r="BY494" i="29"/>
  <c r="BR494" i="29"/>
  <c r="BO495" i="29"/>
  <c r="AA490" i="29"/>
  <c r="M490" i="29"/>
  <c r="W490" i="29"/>
  <c r="Y490" i="29" s="1"/>
  <c r="CA491" i="29"/>
  <c r="BU491" i="29" s="1"/>
  <c r="CB491" i="29"/>
  <c r="BV491" i="29" s="1"/>
  <c r="AC491" i="29"/>
  <c r="X490" i="29"/>
  <c r="BQ495" i="29"/>
  <c r="U492" i="29"/>
  <c r="BZ462" i="29"/>
  <c r="BX463" i="29" s="1"/>
  <c r="BH492" i="29"/>
  <c r="BB492" i="29" s="1"/>
  <c r="AZ492" i="29"/>
  <c r="BP493" i="29"/>
  <c r="BD494" i="29"/>
  <c r="BC493" i="29"/>
  <c r="BF493" i="29" s="1"/>
  <c r="BE493" i="29"/>
  <c r="BG493" i="29" s="1"/>
  <c r="BA493" i="29" s="1"/>
  <c r="Q492" i="29" l="1"/>
  <c r="X492" i="29" s="1"/>
  <c r="R492" i="29"/>
  <c r="BY495" i="29"/>
  <c r="BN496" i="29"/>
  <c r="BR495" i="29"/>
  <c r="BO496" i="29"/>
  <c r="W491" i="29"/>
  <c r="Y491" i="29" s="1"/>
  <c r="M491" i="29"/>
  <c r="CA492" i="29"/>
  <c r="BU492" i="29" s="1"/>
  <c r="AA491" i="29"/>
  <c r="CB492" i="29"/>
  <c r="BV492" i="29" s="1"/>
  <c r="S494" i="29"/>
  <c r="V493" i="29"/>
  <c r="T494" i="29"/>
  <c r="AE493" i="29"/>
  <c r="AF493" i="29"/>
  <c r="L493" i="29"/>
  <c r="K494" i="29"/>
  <c r="J494" i="29"/>
  <c r="AC492" i="29"/>
  <c r="CC491" i="29"/>
  <c r="AB492" i="29"/>
  <c r="BQ496" i="29"/>
  <c r="U493" i="29"/>
  <c r="AB493" i="29" s="1"/>
  <c r="BZ463" i="29"/>
  <c r="BX464" i="29" s="1"/>
  <c r="BC494" i="29"/>
  <c r="BF494" i="29" s="1"/>
  <c r="BP494" i="29"/>
  <c r="BE494" i="29"/>
  <c r="BG494" i="29" s="1"/>
  <c r="BA494" i="29" s="1"/>
  <c r="BD495" i="29"/>
  <c r="BH493" i="29"/>
  <c r="BB493" i="29" s="1"/>
  <c r="AZ493" i="29"/>
  <c r="CC492" i="29" l="1"/>
  <c r="U494" i="29"/>
  <c r="BR496" i="29"/>
  <c r="BY496" i="29"/>
  <c r="BN497" i="29"/>
  <c r="BO497" i="29"/>
  <c r="Q493" i="29"/>
  <c r="X493" i="29" s="1"/>
  <c r="R493" i="29"/>
  <c r="BQ497" i="29"/>
  <c r="BQ498" i="29" s="1"/>
  <c r="AA492" i="29"/>
  <c r="CB493" i="29"/>
  <c r="BV493" i="29" s="1"/>
  <c r="M492" i="29"/>
  <c r="W492" i="29"/>
  <c r="Y492" i="29" s="1"/>
  <c r="CA493" i="29"/>
  <c r="BU493" i="29" s="1"/>
  <c r="AC493" i="29"/>
  <c r="L494" i="29"/>
  <c r="K495" i="29"/>
  <c r="J495" i="29"/>
  <c r="V494" i="29"/>
  <c r="S495" i="29"/>
  <c r="T495" i="29"/>
  <c r="AF494" i="29"/>
  <c r="AE494" i="29"/>
  <c r="BZ464" i="29"/>
  <c r="BY465" i="29" s="1"/>
  <c r="AZ494" i="29"/>
  <c r="BH494" i="29"/>
  <c r="BB494" i="29" s="1"/>
  <c r="BP495" i="29"/>
  <c r="BE495" i="29"/>
  <c r="BG495" i="29" s="1"/>
  <c r="BA495" i="29" s="1"/>
  <c r="BD496" i="29"/>
  <c r="BC495" i="29"/>
  <c r="BF495" i="29" s="1"/>
  <c r="CC493" i="29" l="1"/>
  <c r="BR497" i="29"/>
  <c r="BO498" i="29"/>
  <c r="BN498" i="29"/>
  <c r="BY497" i="29"/>
  <c r="Q494" i="29"/>
  <c r="R494" i="29"/>
  <c r="AC494" i="29"/>
  <c r="T496" i="29"/>
  <c r="S496" i="29"/>
  <c r="V495" i="29"/>
  <c r="AF495" i="29"/>
  <c r="AE495" i="29"/>
  <c r="J496" i="29"/>
  <c r="L495" i="29"/>
  <c r="K496" i="29"/>
  <c r="AB494" i="29"/>
  <c r="U495" i="29"/>
  <c r="W493" i="29"/>
  <c r="Y493" i="29" s="1"/>
  <c r="CB494" i="29"/>
  <c r="BV494" i="29" s="1"/>
  <c r="AA493" i="29"/>
  <c r="M493" i="29"/>
  <c r="CA494" i="29"/>
  <c r="BU494" i="29" s="1"/>
  <c r="BW465" i="29"/>
  <c r="BX465" i="29"/>
  <c r="BP496" i="29"/>
  <c r="BD497" i="29"/>
  <c r="BC496" i="29"/>
  <c r="BF496" i="29" s="1"/>
  <c r="BE496" i="29"/>
  <c r="BG496" i="29" s="1"/>
  <c r="BA496" i="29" s="1"/>
  <c r="AZ495" i="29"/>
  <c r="BH495" i="29"/>
  <c r="BB495" i="29" s="1"/>
  <c r="R495" i="29" l="1"/>
  <c r="Q495" i="29"/>
  <c r="X495" i="29" s="1"/>
  <c r="L496" i="29"/>
  <c r="K497" i="29"/>
  <c r="J497" i="29"/>
  <c r="M494" i="29"/>
  <c r="AA494" i="29"/>
  <c r="CB495" i="29"/>
  <c r="BV495" i="29" s="1"/>
  <c r="CA495" i="29"/>
  <c r="BU495" i="29" s="1"/>
  <c r="W494" i="29"/>
  <c r="Y494" i="29" s="1"/>
  <c r="V496" i="29"/>
  <c r="S497" i="29"/>
  <c r="T497" i="29"/>
  <c r="AE496" i="29"/>
  <c r="AF496" i="29"/>
  <c r="BR498" i="29"/>
  <c r="BN499" i="29"/>
  <c r="BO499" i="29"/>
  <c r="BY498" i="29"/>
  <c r="AC495" i="29"/>
  <c r="BQ499" i="29"/>
  <c r="BQ500" i="29" s="1"/>
  <c r="CC494" i="29"/>
  <c r="AB495" i="29"/>
  <c r="U496" i="29"/>
  <c r="AB496" i="29" s="1"/>
  <c r="X494" i="29"/>
  <c r="BC497" i="29"/>
  <c r="BF497" i="29" s="1"/>
  <c r="BP497" i="29"/>
  <c r="BE497" i="29"/>
  <c r="BG497" i="29" s="1"/>
  <c r="BA497" i="29" s="1"/>
  <c r="BD498" i="29"/>
  <c r="BZ465" i="29"/>
  <c r="BX466" i="29" s="1"/>
  <c r="BH496" i="29"/>
  <c r="BB496" i="29" s="1"/>
  <c r="AZ496" i="29"/>
  <c r="BS465" i="29"/>
  <c r="BT465" i="29"/>
  <c r="M464" i="29" s="1"/>
  <c r="AC496" i="29" l="1"/>
  <c r="T498" i="29"/>
  <c r="V497" i="29"/>
  <c r="S498" i="29"/>
  <c r="AF497" i="29"/>
  <c r="AE497" i="29"/>
  <c r="U497" i="29"/>
  <c r="CB496" i="29"/>
  <c r="BV496" i="29" s="1"/>
  <c r="CA496" i="29"/>
  <c r="BU496" i="29" s="1"/>
  <c r="W495" i="29"/>
  <c r="Y495" i="29" s="1"/>
  <c r="M495" i="29"/>
  <c r="AA495" i="29"/>
  <c r="J498" i="29"/>
  <c r="L497" i="29"/>
  <c r="K498" i="29"/>
  <c r="R496" i="29"/>
  <c r="Q496" i="29"/>
  <c r="BR499" i="29"/>
  <c r="BO500" i="29"/>
  <c r="BN500" i="29"/>
  <c r="BY499" i="29"/>
  <c r="CC495" i="29"/>
  <c r="BZ466" i="29"/>
  <c r="BX467" i="29" s="1"/>
  <c r="BD499" i="29"/>
  <c r="BP498" i="29"/>
  <c r="BC498" i="29"/>
  <c r="BF498" i="29" s="1"/>
  <c r="BE498" i="29"/>
  <c r="BG498" i="29" s="1"/>
  <c r="BA498" i="29" s="1"/>
  <c r="H48" i="29"/>
  <c r="K41" i="40" s="1"/>
  <c r="X464" i="29"/>
  <c r="Y464" i="29" s="1"/>
  <c r="Z464" i="29" s="1"/>
  <c r="AZ497" i="29"/>
  <c r="BH497" i="29"/>
  <c r="BB497" i="29" s="1"/>
  <c r="AB464" i="29" l="1"/>
  <c r="AC464" i="29"/>
  <c r="Z465" i="29"/>
  <c r="Z466" i="29" s="1"/>
  <c r="Z467" i="29" s="1"/>
  <c r="Z468" i="29" s="1"/>
  <c r="Z469" i="29" s="1"/>
  <c r="Z470" i="29" s="1"/>
  <c r="Z471" i="29" s="1"/>
  <c r="Z472" i="29" s="1"/>
  <c r="Z473" i="29" s="1"/>
  <c r="Z474" i="29" s="1"/>
  <c r="Z475" i="29" s="1"/>
  <c r="CB477" i="29"/>
  <c r="G48" i="29"/>
  <c r="L41" i="40" s="1"/>
  <c r="R497" i="29"/>
  <c r="Q497" i="29"/>
  <c r="X497" i="29" s="1"/>
  <c r="BR500" i="29"/>
  <c r="BY500" i="29"/>
  <c r="BO501" i="29"/>
  <c r="BN501" i="29"/>
  <c r="J499" i="29"/>
  <c r="L498" i="29"/>
  <c r="K499" i="29"/>
  <c r="V498" i="29"/>
  <c r="S499" i="29"/>
  <c r="T499" i="29"/>
  <c r="AE498" i="29"/>
  <c r="AF498" i="29"/>
  <c r="X496" i="29"/>
  <c r="CB497" i="29"/>
  <c r="BV497" i="29" s="1"/>
  <c r="CA497" i="29"/>
  <c r="BU497" i="29" s="1"/>
  <c r="W496" i="29"/>
  <c r="Y496" i="29" s="1"/>
  <c r="M496" i="29"/>
  <c r="AA496" i="29"/>
  <c r="AC497" i="29"/>
  <c r="U498" i="29"/>
  <c r="BQ501" i="29"/>
  <c r="BQ502" i="29" s="1"/>
  <c r="CC496" i="29"/>
  <c r="AB497" i="29"/>
  <c r="D188" i="15"/>
  <c r="I57" i="39"/>
  <c r="H41" i="44" s="1"/>
  <c r="D41" i="45" s="1"/>
  <c r="K41" i="45" s="1"/>
  <c r="L41" i="45" s="1"/>
  <c r="J42" i="45" s="1"/>
  <c r="G55" i="15"/>
  <c r="BE499" i="29"/>
  <c r="BG499" i="29" s="1"/>
  <c r="BA499" i="29" s="1"/>
  <c r="BP499" i="29"/>
  <c r="BD500" i="29"/>
  <c r="BC499" i="29"/>
  <c r="BF499" i="29" s="1"/>
  <c r="BZ467" i="29"/>
  <c r="BX468" i="29" s="1"/>
  <c r="BH498" i="29"/>
  <c r="BB498" i="29" s="1"/>
  <c r="AZ498" i="29"/>
  <c r="BF110" i="44" l="1"/>
  <c r="BE110" i="44"/>
  <c r="BL110" i="44"/>
  <c r="BJ110" i="44"/>
  <c r="AZ110" i="44"/>
  <c r="BK110" i="44"/>
  <c r="BQ110" i="44"/>
  <c r="BA110" i="44"/>
  <c r="BG110" i="44"/>
  <c r="BC110" i="44"/>
  <c r="BM110" i="44"/>
  <c r="BB110" i="44"/>
  <c r="BN110" i="44"/>
  <c r="BI110" i="44"/>
  <c r="BP110" i="44"/>
  <c r="AW110" i="44"/>
  <c r="BO110" i="44"/>
  <c r="BR110" i="44"/>
  <c r="BH110" i="44"/>
  <c r="AY110" i="44"/>
  <c r="AX110" i="44"/>
  <c r="BD110" i="44"/>
  <c r="BV477" i="29"/>
  <c r="CC477" i="29"/>
  <c r="F188" i="15"/>
  <c r="L57" i="39"/>
  <c r="CC497" i="29"/>
  <c r="Q498" i="29"/>
  <c r="R498" i="29"/>
  <c r="J500" i="29"/>
  <c r="K500" i="29"/>
  <c r="L499" i="29"/>
  <c r="BO502" i="29"/>
  <c r="BQ503" i="29" s="1"/>
  <c r="BN502" i="29"/>
  <c r="BR501" i="29"/>
  <c r="M497" i="29"/>
  <c r="W497" i="29"/>
  <c r="Y497" i="29" s="1"/>
  <c r="AA497" i="29"/>
  <c r="CA498" i="29"/>
  <c r="BU498" i="29" s="1"/>
  <c r="CB498" i="29"/>
  <c r="BV498" i="29" s="1"/>
  <c r="AC498" i="29"/>
  <c r="T500" i="29"/>
  <c r="S500" i="29"/>
  <c r="V499" i="29"/>
  <c r="AE499" i="29"/>
  <c r="AF499" i="29"/>
  <c r="AB498" i="29"/>
  <c r="U499" i="29"/>
  <c r="AC499" i="29" s="1"/>
  <c r="BZ468" i="29"/>
  <c r="BX469" i="29" s="1"/>
  <c r="BH499" i="29"/>
  <c r="BB499" i="29" s="1"/>
  <c r="AZ499" i="29"/>
  <c r="BP500" i="29"/>
  <c r="BD501" i="29"/>
  <c r="BE500" i="29"/>
  <c r="BG500" i="29" s="1"/>
  <c r="BA500" i="29" s="1"/>
  <c r="BC500" i="29"/>
  <c r="BF500" i="29" s="1"/>
  <c r="AB499" i="29" l="1"/>
  <c r="U500" i="29"/>
  <c r="X498" i="29"/>
  <c r="M498" i="29"/>
  <c r="CA499" i="29"/>
  <c r="BU499" i="29" s="1"/>
  <c r="CB499" i="29"/>
  <c r="BV499" i="29" s="1"/>
  <c r="AA498" i="29"/>
  <c r="W498" i="29"/>
  <c r="Y498" i="29" s="1"/>
  <c r="R499" i="29"/>
  <c r="Q499" i="29"/>
  <c r="S501" i="29"/>
  <c r="T501" i="29"/>
  <c r="V500" i="29"/>
  <c r="AF500" i="29"/>
  <c r="AE500" i="29"/>
  <c r="K501" i="29"/>
  <c r="L500" i="29"/>
  <c r="J501" i="29"/>
  <c r="CC498" i="29"/>
  <c r="BN503" i="29"/>
  <c r="BR502" i="29"/>
  <c r="BO503" i="29"/>
  <c r="BY502" i="29"/>
  <c r="BE501" i="29"/>
  <c r="BG501" i="29" s="1"/>
  <c r="BA501" i="29" s="1"/>
  <c r="BP501" i="29"/>
  <c r="BD502" i="29"/>
  <c r="BI501" i="29"/>
  <c r="BC501" i="29"/>
  <c r="BF501" i="29" s="1"/>
  <c r="AZ500" i="29"/>
  <c r="BH500" i="29"/>
  <c r="BB500" i="29" s="1"/>
  <c r="BZ469" i="29"/>
  <c r="BX470" i="29" s="1"/>
  <c r="CC499" i="29" l="1"/>
  <c r="CB500" i="29"/>
  <c r="BV500" i="29" s="1"/>
  <c r="CA500" i="29"/>
  <c r="BU500" i="29" s="1"/>
  <c r="M499" i="29"/>
  <c r="AA499" i="29"/>
  <c r="W499" i="29"/>
  <c r="Y499" i="29" s="1"/>
  <c r="BN504" i="29"/>
  <c r="BR503" i="29"/>
  <c r="BY503" i="29"/>
  <c r="BO504" i="29"/>
  <c r="U501" i="29"/>
  <c r="AB501" i="29" s="1"/>
  <c r="X499" i="29"/>
  <c r="R500" i="29"/>
  <c r="Q500" i="29"/>
  <c r="L501" i="29"/>
  <c r="K502" i="29"/>
  <c r="J502" i="29"/>
  <c r="S502" i="29"/>
  <c r="T502" i="29"/>
  <c r="V501" i="29"/>
  <c r="AF501" i="29"/>
  <c r="AE501" i="29"/>
  <c r="BQ504" i="29"/>
  <c r="BZ470" i="29"/>
  <c r="BX471" i="29" s="1"/>
  <c r="AZ501" i="29"/>
  <c r="BH501" i="29"/>
  <c r="BB501" i="29" s="1"/>
  <c r="BD503" i="29"/>
  <c r="BC502" i="29"/>
  <c r="BF502" i="29" s="1"/>
  <c r="BE502" i="29"/>
  <c r="BG502" i="29" s="1"/>
  <c r="BA502" i="29" s="1"/>
  <c r="BP502" i="29"/>
  <c r="CC500" i="29" l="1"/>
  <c r="V502" i="29"/>
  <c r="T503" i="29"/>
  <c r="S503" i="29"/>
  <c r="AE502" i="29"/>
  <c r="AF502" i="29"/>
  <c r="BY504" i="29"/>
  <c r="BO505" i="29"/>
  <c r="BR504" i="29"/>
  <c r="BN505" i="29"/>
  <c r="U502" i="29"/>
  <c r="AC502" i="29" s="1"/>
  <c r="W500" i="29"/>
  <c r="AA500" i="29"/>
  <c r="CA501" i="29"/>
  <c r="BU501" i="29" s="1"/>
  <c r="Q501" i="29"/>
  <c r="X501" i="29" s="1"/>
  <c r="R501" i="29"/>
  <c r="BQ505" i="29"/>
  <c r="BQ506" i="29" s="1"/>
  <c r="J503" i="29"/>
  <c r="K503" i="29"/>
  <c r="L502" i="29"/>
  <c r="AC501" i="29"/>
  <c r="BZ471" i="29"/>
  <c r="BX472" i="29" s="1"/>
  <c r="AZ502" i="29"/>
  <c r="BH502" i="29"/>
  <c r="BB502" i="29" s="1"/>
  <c r="BC503" i="29"/>
  <c r="BF503" i="29" s="1"/>
  <c r="BP503" i="29"/>
  <c r="BE503" i="29"/>
  <c r="BG503" i="29" s="1"/>
  <c r="BA503" i="29" s="1"/>
  <c r="BD504" i="29"/>
  <c r="AB502" i="29" l="1"/>
  <c r="K504" i="29"/>
  <c r="J504" i="29"/>
  <c r="L503" i="29"/>
  <c r="BN506" i="29"/>
  <c r="BO506" i="29"/>
  <c r="BR505" i="29"/>
  <c r="BY505" i="29"/>
  <c r="U503" i="29"/>
  <c r="AB503" i="29" s="1"/>
  <c r="W501" i="29"/>
  <c r="Y501" i="29" s="1"/>
  <c r="CA502" i="29"/>
  <c r="BU502" i="29" s="1"/>
  <c r="CB502" i="29"/>
  <c r="BV502" i="29" s="1"/>
  <c r="M501" i="29"/>
  <c r="AA501" i="29"/>
  <c r="T504" i="29"/>
  <c r="S504" i="29"/>
  <c r="V503" i="29"/>
  <c r="AF503" i="29"/>
  <c r="AE503" i="29"/>
  <c r="Q502" i="29"/>
  <c r="R502" i="29"/>
  <c r="BZ472" i="29"/>
  <c r="BX473" i="29" s="1"/>
  <c r="BC504" i="29"/>
  <c r="BF504" i="29" s="1"/>
  <c r="BD505" i="29"/>
  <c r="BP504" i="29"/>
  <c r="BE504" i="29"/>
  <c r="BG504" i="29" s="1"/>
  <c r="BA504" i="29" s="1"/>
  <c r="AZ503" i="29"/>
  <c r="BH503" i="29"/>
  <c r="BB503" i="29" s="1"/>
  <c r="AC503" i="29" l="1"/>
  <c r="CC502" i="29"/>
  <c r="AA502" i="29"/>
  <c r="CB503" i="29"/>
  <c r="BV503" i="29" s="1"/>
  <c r="W502" i="29"/>
  <c r="Y502" i="29" s="1"/>
  <c r="M502" i="29"/>
  <c r="CA503" i="29"/>
  <c r="BU503" i="29" s="1"/>
  <c r="V504" i="29"/>
  <c r="S505" i="29"/>
  <c r="T505" i="29"/>
  <c r="AE504" i="29"/>
  <c r="AF504" i="29"/>
  <c r="BR506" i="29"/>
  <c r="BN507" i="29"/>
  <c r="BO507" i="29"/>
  <c r="BY506" i="29"/>
  <c r="J505" i="29"/>
  <c r="L504" i="29"/>
  <c r="K505" i="29"/>
  <c r="X502" i="29"/>
  <c r="BQ507" i="29"/>
  <c r="U504" i="29"/>
  <c r="AB504" i="29" s="1"/>
  <c r="Q503" i="29"/>
  <c r="X503" i="29" s="1"/>
  <c r="R503" i="29"/>
  <c r="BD506" i="29"/>
  <c r="BP505" i="29"/>
  <c r="BC505" i="29"/>
  <c r="BF505" i="29" s="1"/>
  <c r="BE505" i="29"/>
  <c r="BG505" i="29" s="1"/>
  <c r="BA505" i="29" s="1"/>
  <c r="AZ504" i="29"/>
  <c r="BH504" i="29"/>
  <c r="BB504" i="29" s="1"/>
  <c r="BZ473" i="29"/>
  <c r="BX474" i="29" s="1"/>
  <c r="CC503" i="29" l="1"/>
  <c r="AC504" i="29"/>
  <c r="J506" i="29"/>
  <c r="K506" i="29"/>
  <c r="L505" i="29"/>
  <c r="BY507" i="29"/>
  <c r="BN508" i="29"/>
  <c r="BR507" i="29"/>
  <c r="BO508" i="29"/>
  <c r="V505" i="29"/>
  <c r="S506" i="29"/>
  <c r="T506" i="29"/>
  <c r="AF505" i="29"/>
  <c r="AE505" i="29"/>
  <c r="R504" i="29"/>
  <c r="Q504" i="29"/>
  <c r="X504" i="29" s="1"/>
  <c r="AA503" i="29"/>
  <c r="CA504" i="29"/>
  <c r="BU504" i="29" s="1"/>
  <c r="CB504" i="29"/>
  <c r="BV504" i="29" s="1"/>
  <c r="M503" i="29"/>
  <c r="W503" i="29"/>
  <c r="Y503" i="29" s="1"/>
  <c r="BQ508" i="29"/>
  <c r="BQ509" i="29" s="1"/>
  <c r="U505" i="29"/>
  <c r="BH505" i="29"/>
  <c r="BB505" i="29" s="1"/>
  <c r="AZ505" i="29"/>
  <c r="BZ474" i="29"/>
  <c r="BX475" i="29" s="1"/>
  <c r="BE506" i="29"/>
  <c r="BG506" i="29" s="1"/>
  <c r="BA506" i="29" s="1"/>
  <c r="BD507" i="29"/>
  <c r="BC506" i="29"/>
  <c r="BF506" i="29" s="1"/>
  <c r="BP506" i="29"/>
  <c r="CC504" i="29" l="1"/>
  <c r="R505" i="29"/>
  <c r="Q505" i="29"/>
  <c r="X505" i="29" s="1"/>
  <c r="U506" i="29"/>
  <c r="L506" i="29"/>
  <c r="J507" i="29"/>
  <c r="K507" i="29"/>
  <c r="AB505" i="29"/>
  <c r="AC505" i="29"/>
  <c r="M504" i="29"/>
  <c r="W504" i="29"/>
  <c r="Y504" i="29" s="1"/>
  <c r="CB505" i="29"/>
  <c r="BV505" i="29" s="1"/>
  <c r="CA505" i="29"/>
  <c r="BU505" i="29" s="1"/>
  <c r="AA504" i="29"/>
  <c r="BQ510" i="29"/>
  <c r="T507" i="29"/>
  <c r="S507" i="29"/>
  <c r="V506" i="29"/>
  <c r="AE506" i="29"/>
  <c r="AF506" i="29"/>
  <c r="BR508" i="29"/>
  <c r="BY508" i="29"/>
  <c r="BN509" i="29"/>
  <c r="BO509" i="29"/>
  <c r="BZ475" i="29"/>
  <c r="BX476" i="29" s="1"/>
  <c r="BH506" i="29"/>
  <c r="BB506" i="29" s="1"/>
  <c r="AZ506" i="29"/>
  <c r="BD508" i="29"/>
  <c r="BC507" i="29"/>
  <c r="BF507" i="29" s="1"/>
  <c r="BE507" i="29"/>
  <c r="BG507" i="29" s="1"/>
  <c r="BA507" i="29" s="1"/>
  <c r="BP507" i="29"/>
  <c r="CC505" i="29" l="1"/>
  <c r="Q506" i="29"/>
  <c r="X506" i="29" s="1"/>
  <c r="R506" i="29"/>
  <c r="W505" i="29"/>
  <c r="Y505" i="29" s="1"/>
  <c r="CB506" i="29"/>
  <c r="BV506" i="29" s="1"/>
  <c r="AA505" i="29"/>
  <c r="M505" i="29"/>
  <c r="CA506" i="29"/>
  <c r="BU506" i="29" s="1"/>
  <c r="U507" i="29"/>
  <c r="AB507" i="29" s="1"/>
  <c r="K508" i="29"/>
  <c r="J508" i="29"/>
  <c r="L507" i="29"/>
  <c r="AB506" i="29"/>
  <c r="BO510" i="29"/>
  <c r="BR509" i="29"/>
  <c r="BY509" i="29"/>
  <c r="BN510" i="29"/>
  <c r="V507" i="29"/>
  <c r="T508" i="29"/>
  <c r="S508" i="29"/>
  <c r="AF507" i="29"/>
  <c r="AE507" i="29"/>
  <c r="AC506" i="29"/>
  <c r="AZ507" i="29"/>
  <c r="BH507" i="29"/>
  <c r="BB507" i="29" s="1"/>
  <c r="BZ476" i="29"/>
  <c r="BY477" i="29" s="1"/>
  <c r="BW477" i="29" s="1"/>
  <c r="BD509" i="29"/>
  <c r="BC508" i="29"/>
  <c r="BF508" i="29" s="1"/>
  <c r="BP508" i="29"/>
  <c r="BE508" i="29"/>
  <c r="BG508" i="29" s="1"/>
  <c r="BA508" i="29" s="1"/>
  <c r="U508" i="29" l="1"/>
  <c r="AC508" i="29" s="1"/>
  <c r="CC506" i="29"/>
  <c r="AA506" i="29"/>
  <c r="CB507" i="29"/>
  <c r="BV507" i="29" s="1"/>
  <c r="M506" i="29"/>
  <c r="W506" i="29"/>
  <c r="Y506" i="29" s="1"/>
  <c r="CA507" i="29"/>
  <c r="BU507" i="29" s="1"/>
  <c r="Q507" i="29"/>
  <c r="R507" i="29"/>
  <c r="AC507" i="29"/>
  <c r="V508" i="29"/>
  <c r="S509" i="29"/>
  <c r="T509" i="29"/>
  <c r="AF508" i="29"/>
  <c r="AE508" i="29"/>
  <c r="BR510" i="29"/>
  <c r="BN511" i="29"/>
  <c r="BO511" i="29"/>
  <c r="BY510" i="29"/>
  <c r="J509" i="29"/>
  <c r="L508" i="29"/>
  <c r="K509" i="29"/>
  <c r="BQ511" i="29"/>
  <c r="BH508" i="29"/>
  <c r="BB508" i="29" s="1"/>
  <c r="AZ508" i="29"/>
  <c r="BS477" i="29"/>
  <c r="BT477" i="29"/>
  <c r="M476" i="29" s="1"/>
  <c r="BD510" i="29"/>
  <c r="BE509" i="29"/>
  <c r="BG509" i="29" s="1"/>
  <c r="BA509" i="29" s="1"/>
  <c r="BP509" i="29"/>
  <c r="BC509" i="29"/>
  <c r="BF509" i="29" s="1"/>
  <c r="BX477" i="29"/>
  <c r="CC507" i="29" l="1"/>
  <c r="BQ512" i="29"/>
  <c r="Q508" i="29"/>
  <c r="X508" i="29" s="1"/>
  <c r="R508" i="29"/>
  <c r="V509" i="29"/>
  <c r="S510" i="29"/>
  <c r="T510" i="29"/>
  <c r="AF509" i="29"/>
  <c r="AE509" i="29"/>
  <c r="AB508" i="29"/>
  <c r="L509" i="29"/>
  <c r="J510" i="29"/>
  <c r="K510" i="29"/>
  <c r="BN512" i="29"/>
  <c r="BO512" i="29"/>
  <c r="BR511" i="29"/>
  <c r="BY511" i="29"/>
  <c r="U509" i="29"/>
  <c r="AC509" i="29" s="1"/>
  <c r="X507" i="29"/>
  <c r="CB508" i="29"/>
  <c r="BV508" i="29" s="1"/>
  <c r="M507" i="29"/>
  <c r="W507" i="29"/>
  <c r="Y507" i="29" s="1"/>
  <c r="CA508" i="29"/>
  <c r="BU508" i="29" s="1"/>
  <c r="AA507" i="29"/>
  <c r="H49" i="29"/>
  <c r="K42" i="40" s="1"/>
  <c r="X476" i="29"/>
  <c r="Y476" i="29" s="1"/>
  <c r="Z476" i="29" s="1"/>
  <c r="BH509" i="29"/>
  <c r="BB509" i="29" s="1"/>
  <c r="AZ509" i="29"/>
  <c r="BZ477" i="29"/>
  <c r="BX478" i="29" s="1"/>
  <c r="BE510" i="29"/>
  <c r="BG510" i="29" s="1"/>
  <c r="BA510" i="29" s="1"/>
  <c r="BD511" i="29"/>
  <c r="BP510" i="29"/>
  <c r="BC510" i="29"/>
  <c r="BF510" i="29" s="1"/>
  <c r="AB476" i="29" l="1"/>
  <c r="AC476" i="29"/>
  <c r="Z477" i="29"/>
  <c r="Z478" i="29" s="1"/>
  <c r="Z479" i="29" s="1"/>
  <c r="Z480" i="29" s="1"/>
  <c r="Z481" i="29" s="1"/>
  <c r="Z482" i="29" s="1"/>
  <c r="Z483" i="29" s="1"/>
  <c r="Z484" i="29" s="1"/>
  <c r="Z485" i="29" s="1"/>
  <c r="Z486" i="29" s="1"/>
  <c r="Z487" i="29" s="1"/>
  <c r="CB489" i="29"/>
  <c r="G49" i="29"/>
  <c r="L42" i="40" s="1"/>
  <c r="K511" i="29"/>
  <c r="J511" i="29"/>
  <c r="L510" i="29"/>
  <c r="CA509" i="29"/>
  <c r="BU509" i="29" s="1"/>
  <c r="M508" i="29"/>
  <c r="AA508" i="29"/>
  <c r="CB509" i="29"/>
  <c r="BV509" i="29" s="1"/>
  <c r="W508" i="29"/>
  <c r="Y508" i="29" s="1"/>
  <c r="Q509" i="29"/>
  <c r="R509" i="29"/>
  <c r="BQ513" i="29"/>
  <c r="U510" i="29"/>
  <c r="AB510" i="29" s="1"/>
  <c r="CC508" i="29"/>
  <c r="AB509" i="29"/>
  <c r="BO513" i="29"/>
  <c r="BR512" i="29"/>
  <c r="BY512" i="29"/>
  <c r="BN513" i="29"/>
  <c r="V510" i="29"/>
  <c r="S511" i="29"/>
  <c r="T511" i="29"/>
  <c r="AF510" i="29"/>
  <c r="AE510" i="29"/>
  <c r="BZ478" i="29"/>
  <c r="BX479" i="29" s="1"/>
  <c r="BC511" i="29"/>
  <c r="BF511" i="29" s="1"/>
  <c r="BD512" i="29"/>
  <c r="BE511" i="29"/>
  <c r="BG511" i="29" s="1"/>
  <c r="BA511" i="29" s="1"/>
  <c r="BP511" i="29"/>
  <c r="D189" i="15"/>
  <c r="I58" i="39"/>
  <c r="H42" i="44" s="1"/>
  <c r="D42" i="45" s="1"/>
  <c r="K42" i="45" s="1"/>
  <c r="L42" i="45" s="1"/>
  <c r="J43" i="45" s="1"/>
  <c r="G56" i="15"/>
  <c r="AZ510" i="29"/>
  <c r="BH510" i="29"/>
  <c r="BB510" i="29" s="1"/>
  <c r="BQ111" i="44" l="1"/>
  <c r="BM111" i="44"/>
  <c r="BI111" i="44"/>
  <c r="BE111" i="44"/>
  <c r="BA111" i="44"/>
  <c r="BO111" i="44"/>
  <c r="BK111" i="44"/>
  <c r="BG111" i="44"/>
  <c r="BC111" i="44"/>
  <c r="AY111" i="44"/>
  <c r="BN111" i="44"/>
  <c r="BF111" i="44"/>
  <c r="AX111" i="44"/>
  <c r="BR111" i="44"/>
  <c r="BJ111" i="44"/>
  <c r="BB111" i="44"/>
  <c r="BH111" i="44"/>
  <c r="BD111" i="44"/>
  <c r="BP111" i="44"/>
  <c r="AZ111" i="44"/>
  <c r="BL111" i="44"/>
  <c r="BV489" i="29"/>
  <c r="CC489" i="29"/>
  <c r="F189" i="15"/>
  <c r="L58" i="39"/>
  <c r="M509" i="29"/>
  <c r="AA509" i="29"/>
  <c r="CB510" i="29"/>
  <c r="BV510" i="29" s="1"/>
  <c r="W509" i="29"/>
  <c r="Y509" i="29" s="1"/>
  <c r="CA510" i="29"/>
  <c r="BU510" i="29" s="1"/>
  <c r="T512" i="29"/>
  <c r="V511" i="29"/>
  <c r="S512" i="29"/>
  <c r="AE511" i="29"/>
  <c r="AF511" i="29"/>
  <c r="BQ514" i="29"/>
  <c r="CC509" i="29"/>
  <c r="L511" i="29"/>
  <c r="J512" i="29"/>
  <c r="K512" i="29"/>
  <c r="U511" i="29"/>
  <c r="AC511" i="29" s="1"/>
  <c r="R510" i="29"/>
  <c r="Q510" i="29"/>
  <c r="X510" i="29" s="1"/>
  <c r="X509" i="29"/>
  <c r="BN514" i="29"/>
  <c r="BR513" i="29"/>
  <c r="BO514" i="29"/>
  <c r="AC510" i="29"/>
  <c r="BE512" i="29"/>
  <c r="BG512" i="29" s="1"/>
  <c r="BA512" i="29" s="1"/>
  <c r="BD513" i="29"/>
  <c r="BP512" i="29"/>
  <c r="BC512" i="29"/>
  <c r="BF512" i="29" s="1"/>
  <c r="BH511" i="29"/>
  <c r="BB511" i="29" s="1"/>
  <c r="AZ511" i="29"/>
  <c r="BZ479" i="29"/>
  <c r="BX480" i="29" s="1"/>
  <c r="CC510" i="29" l="1"/>
  <c r="AB511" i="29"/>
  <c r="BR514" i="29"/>
  <c r="BO515" i="29"/>
  <c r="BN515" i="29"/>
  <c r="BY514" i="29"/>
  <c r="CA511" i="29"/>
  <c r="BU511" i="29" s="1"/>
  <c r="CB511" i="29"/>
  <c r="BV511" i="29" s="1"/>
  <c r="M510" i="29"/>
  <c r="W510" i="29"/>
  <c r="Y510" i="29" s="1"/>
  <c r="AA510" i="29"/>
  <c r="U512" i="29"/>
  <c r="J513" i="29"/>
  <c r="K513" i="29"/>
  <c r="L512" i="29"/>
  <c r="BQ515" i="29"/>
  <c r="BQ516" i="29" s="1"/>
  <c r="R511" i="29"/>
  <c r="Q511" i="29"/>
  <c r="X511" i="29" s="1"/>
  <c r="T513" i="29"/>
  <c r="V512" i="29"/>
  <c r="S513" i="29"/>
  <c r="AE512" i="29"/>
  <c r="AF512" i="29"/>
  <c r="BZ480" i="29"/>
  <c r="BX481" i="29" s="1"/>
  <c r="BH512" i="29"/>
  <c r="BB512" i="29" s="1"/>
  <c r="AZ512" i="29"/>
  <c r="BD514" i="29"/>
  <c r="BC513" i="29"/>
  <c r="BF513" i="29" s="1"/>
  <c r="BP513" i="29"/>
  <c r="BE513" i="29"/>
  <c r="BG513" i="29" s="1"/>
  <c r="BA513" i="29" s="1"/>
  <c r="BI513" i="29"/>
  <c r="CC511" i="29" l="1"/>
  <c r="T514" i="29"/>
  <c r="S514" i="29"/>
  <c r="V513" i="29"/>
  <c r="AE513" i="29"/>
  <c r="AF513" i="29"/>
  <c r="BO516" i="29"/>
  <c r="BQ517" i="29" s="1"/>
  <c r="BN516" i="29"/>
  <c r="BR515" i="29"/>
  <c r="BY515" i="29"/>
  <c r="Q512" i="29"/>
  <c r="R512" i="29"/>
  <c r="U513" i="29"/>
  <c r="AB513" i="29" s="1"/>
  <c r="W511" i="29"/>
  <c r="Y511" i="29" s="1"/>
  <c r="CA512" i="29"/>
  <c r="BU512" i="29" s="1"/>
  <c r="AA511" i="29"/>
  <c r="M511" i="29"/>
  <c r="CB512" i="29"/>
  <c r="BV512" i="29" s="1"/>
  <c r="L513" i="29"/>
  <c r="K514" i="29"/>
  <c r="J514" i="29"/>
  <c r="AZ513" i="29"/>
  <c r="BH513" i="29"/>
  <c r="BB513" i="29" s="1"/>
  <c r="BZ481" i="29"/>
  <c r="BX482" i="29" s="1"/>
  <c r="BP514" i="29"/>
  <c r="BD515" i="29"/>
  <c r="BE514" i="29"/>
  <c r="BG514" i="29" s="1"/>
  <c r="BA514" i="29" s="1"/>
  <c r="BC514" i="29"/>
  <c r="BF514" i="29" s="1"/>
  <c r="CC512" i="29" l="1"/>
  <c r="U514" i="29"/>
  <c r="AC514" i="29" s="1"/>
  <c r="W512" i="29"/>
  <c r="AA512" i="29"/>
  <c r="CA513" i="29"/>
  <c r="BU513" i="29" s="1"/>
  <c r="BN517" i="29"/>
  <c r="BO517" i="29"/>
  <c r="BY516" i="29"/>
  <c r="BR516" i="29"/>
  <c r="L514" i="29"/>
  <c r="J515" i="29"/>
  <c r="K515" i="29"/>
  <c r="R513" i="29"/>
  <c r="Q513" i="29"/>
  <c r="X513" i="29" s="1"/>
  <c r="T515" i="29"/>
  <c r="V514" i="29"/>
  <c r="S515" i="29"/>
  <c r="AE514" i="29"/>
  <c r="AF514" i="29"/>
  <c r="AC513" i="29"/>
  <c r="BZ482" i="29"/>
  <c r="BX483" i="29" s="1"/>
  <c r="AZ514" i="29"/>
  <c r="BH514" i="29"/>
  <c r="BB514" i="29" s="1"/>
  <c r="BP515" i="29"/>
  <c r="BD516" i="29"/>
  <c r="BE515" i="29"/>
  <c r="BG515" i="29" s="1"/>
  <c r="BA515" i="29" s="1"/>
  <c r="BC515" i="29"/>
  <c r="BF515" i="29" s="1"/>
  <c r="AB514" i="29" l="1"/>
  <c r="CB514" i="29"/>
  <c r="BV514" i="29" s="1"/>
  <c r="AA513" i="29"/>
  <c r="W513" i="29"/>
  <c r="Y513" i="29" s="1"/>
  <c r="CA514" i="29"/>
  <c r="BU514" i="29" s="1"/>
  <c r="M513" i="29"/>
  <c r="BY517" i="29"/>
  <c r="BR517" i="29"/>
  <c r="BN518" i="29"/>
  <c r="BO518" i="29"/>
  <c r="U515" i="29"/>
  <c r="V515" i="29"/>
  <c r="T516" i="29"/>
  <c r="S516" i="29"/>
  <c r="AF515" i="29"/>
  <c r="AE515" i="29"/>
  <c r="K516" i="29"/>
  <c r="J516" i="29"/>
  <c r="L515" i="29"/>
  <c r="R514" i="29"/>
  <c r="Q514" i="29"/>
  <c r="BQ518" i="29"/>
  <c r="BQ519" i="29" s="1"/>
  <c r="BZ483" i="29"/>
  <c r="BX484" i="29" s="1"/>
  <c r="BH515" i="29"/>
  <c r="BB515" i="29" s="1"/>
  <c r="AZ515" i="29"/>
  <c r="BP516" i="29"/>
  <c r="BC516" i="29"/>
  <c r="BF516" i="29" s="1"/>
  <c r="BE516" i="29"/>
  <c r="BG516" i="29" s="1"/>
  <c r="BA516" i="29" s="1"/>
  <c r="BD517" i="29"/>
  <c r="X514" i="29" l="1"/>
  <c r="CB515" i="29"/>
  <c r="BV515" i="29" s="1"/>
  <c r="AA514" i="29"/>
  <c r="M514" i="29"/>
  <c r="CA515" i="29"/>
  <c r="BU515" i="29" s="1"/>
  <c r="W514" i="29"/>
  <c r="Y514" i="29" s="1"/>
  <c r="U516" i="29"/>
  <c r="R515" i="29"/>
  <c r="Q515" i="29"/>
  <c r="K517" i="29"/>
  <c r="L516" i="29"/>
  <c r="J517" i="29"/>
  <c r="T517" i="29"/>
  <c r="V516" i="29"/>
  <c r="S517" i="29"/>
  <c r="AF516" i="29"/>
  <c r="AE516" i="29"/>
  <c r="AB515" i="29"/>
  <c r="AC515" i="29"/>
  <c r="BN519" i="29"/>
  <c r="BY518" i="29"/>
  <c r="BO519" i="29"/>
  <c r="BQ520" i="29" s="1"/>
  <c r="BR518" i="29"/>
  <c r="CC514" i="29"/>
  <c r="BZ484" i="29"/>
  <c r="BX485" i="29" s="1"/>
  <c r="BD518" i="29"/>
  <c r="BC517" i="29"/>
  <c r="BF517" i="29" s="1"/>
  <c r="BE517" i="29"/>
  <c r="BG517" i="29" s="1"/>
  <c r="BA517" i="29" s="1"/>
  <c r="BP517" i="29"/>
  <c r="AZ516" i="29"/>
  <c r="BH516" i="29"/>
  <c r="BB516" i="29" s="1"/>
  <c r="CC515" i="29" l="1"/>
  <c r="U517" i="29"/>
  <c r="AC517" i="29" s="1"/>
  <c r="L517" i="29"/>
  <c r="K518" i="29"/>
  <c r="J518" i="29"/>
  <c r="R516" i="29"/>
  <c r="Q516" i="29"/>
  <c r="X516" i="29" s="1"/>
  <c r="BO520" i="29"/>
  <c r="BY519" i="29"/>
  <c r="BN520" i="29"/>
  <c r="BR519" i="29"/>
  <c r="V517" i="29"/>
  <c r="S518" i="29"/>
  <c r="T518" i="29"/>
  <c r="AF517" i="29"/>
  <c r="AE517" i="29"/>
  <c r="AC516" i="29"/>
  <c r="X515" i="29"/>
  <c r="M515" i="29"/>
  <c r="AA515" i="29"/>
  <c r="CB516" i="29"/>
  <c r="BV516" i="29" s="1"/>
  <c r="W515" i="29"/>
  <c r="Y515" i="29" s="1"/>
  <c r="CA516" i="29"/>
  <c r="BU516" i="29" s="1"/>
  <c r="AB516" i="29"/>
  <c r="BZ485" i="29"/>
  <c r="BX486" i="29" s="1"/>
  <c r="AZ517" i="29"/>
  <c r="BH517" i="29"/>
  <c r="BB517" i="29" s="1"/>
  <c r="BP518" i="29"/>
  <c r="BD519" i="29"/>
  <c r="BC518" i="29"/>
  <c r="BF518" i="29" s="1"/>
  <c r="BE518" i="29"/>
  <c r="BG518" i="29" s="1"/>
  <c r="BA518" i="29" s="1"/>
  <c r="J519" i="29" l="1"/>
  <c r="L518" i="29"/>
  <c r="K519" i="29"/>
  <c r="S519" i="29"/>
  <c r="T519" i="29"/>
  <c r="V518" i="29"/>
  <c r="AF518" i="29"/>
  <c r="AE518" i="29"/>
  <c r="W516" i="29"/>
  <c r="Y516" i="29" s="1"/>
  <c r="M516" i="29"/>
  <c r="CA517" i="29"/>
  <c r="BU517" i="29" s="1"/>
  <c r="CB517" i="29"/>
  <c r="BV517" i="29" s="1"/>
  <c r="AA516" i="29"/>
  <c r="U518" i="29"/>
  <c r="AC518" i="29" s="1"/>
  <c r="R517" i="29"/>
  <c r="Q517" i="29"/>
  <c r="X517" i="29" s="1"/>
  <c r="CC516" i="29"/>
  <c r="BY520" i="29"/>
  <c r="BR520" i="29"/>
  <c r="BO521" i="29"/>
  <c r="BN521" i="29"/>
  <c r="AB517" i="29"/>
  <c r="BQ521" i="29"/>
  <c r="BZ486" i="29"/>
  <c r="BX487" i="29" s="1"/>
  <c r="BC519" i="29"/>
  <c r="BF519" i="29" s="1"/>
  <c r="BD520" i="29"/>
  <c r="BP519" i="29"/>
  <c r="BE519" i="29"/>
  <c r="BG519" i="29" s="1"/>
  <c r="BA519" i="29" s="1"/>
  <c r="AZ518" i="29"/>
  <c r="BH518" i="29"/>
  <c r="BB518" i="29" s="1"/>
  <c r="AB518" i="29" l="1"/>
  <c r="CC517" i="29"/>
  <c r="J520" i="29"/>
  <c r="K520" i="29"/>
  <c r="L519" i="29"/>
  <c r="Q518" i="29"/>
  <c r="X518" i="29" s="1"/>
  <c r="R518" i="29"/>
  <c r="T520" i="29"/>
  <c r="S520" i="29"/>
  <c r="V519" i="29"/>
  <c r="AE519" i="29"/>
  <c r="AF519" i="29"/>
  <c r="BO522" i="29"/>
  <c r="BR521" i="29"/>
  <c r="BY521" i="29"/>
  <c r="BN522" i="29"/>
  <c r="BQ522" i="29"/>
  <c r="BQ523" i="29" s="1"/>
  <c r="CB518" i="29"/>
  <c r="BV518" i="29" s="1"/>
  <c r="M517" i="29"/>
  <c r="W517" i="29"/>
  <c r="Y517" i="29" s="1"/>
  <c r="CA518" i="29"/>
  <c r="BU518" i="29" s="1"/>
  <c r="AA517" i="29"/>
  <c r="U519" i="29"/>
  <c r="AC519" i="29" s="1"/>
  <c r="BZ487" i="29"/>
  <c r="BX488" i="29" s="1"/>
  <c r="AZ519" i="29"/>
  <c r="BH519" i="29"/>
  <c r="BB519" i="29" s="1"/>
  <c r="BC520" i="29"/>
  <c r="BF520" i="29" s="1"/>
  <c r="BP520" i="29"/>
  <c r="BE520" i="29"/>
  <c r="BG520" i="29" s="1"/>
  <c r="BA520" i="29" s="1"/>
  <c r="BD521" i="29"/>
  <c r="AB519" i="29" l="1"/>
  <c r="CC518" i="29"/>
  <c r="R519" i="29"/>
  <c r="Q519" i="29"/>
  <c r="L520" i="29"/>
  <c r="K521" i="29"/>
  <c r="J521" i="29"/>
  <c r="BQ524" i="29"/>
  <c r="BN523" i="29"/>
  <c r="BO523" i="29"/>
  <c r="BY522" i="29"/>
  <c r="BR522" i="29"/>
  <c r="U520" i="29"/>
  <c r="AC520" i="29" s="1"/>
  <c r="CA519" i="29"/>
  <c r="BU519" i="29" s="1"/>
  <c r="AA518" i="29"/>
  <c r="CB519" i="29"/>
  <c r="BV519" i="29" s="1"/>
  <c r="M518" i="29"/>
  <c r="W518" i="29"/>
  <c r="Y518" i="29" s="1"/>
  <c r="T521" i="29"/>
  <c r="V520" i="29"/>
  <c r="S521" i="29"/>
  <c r="AF520" i="29"/>
  <c r="AE520" i="29"/>
  <c r="BC521" i="29"/>
  <c r="BF521" i="29" s="1"/>
  <c r="BE521" i="29"/>
  <c r="BG521" i="29" s="1"/>
  <c r="BA521" i="29" s="1"/>
  <c r="BP521" i="29"/>
  <c r="BD522" i="29"/>
  <c r="BZ488" i="29"/>
  <c r="BY489" i="29" s="1"/>
  <c r="BW489" i="29" s="1"/>
  <c r="BH520" i="29"/>
  <c r="BB520" i="29" s="1"/>
  <c r="AZ520" i="29"/>
  <c r="AB520" i="29" l="1"/>
  <c r="CA520" i="29"/>
  <c r="BU520" i="29" s="1"/>
  <c r="W519" i="29"/>
  <c r="Y519" i="29" s="1"/>
  <c r="CB520" i="29"/>
  <c r="BV520" i="29" s="1"/>
  <c r="M519" i="29"/>
  <c r="AA519" i="29"/>
  <c r="V521" i="29"/>
  <c r="T522" i="29"/>
  <c r="S522" i="29"/>
  <c r="AF521" i="29"/>
  <c r="AE521" i="29"/>
  <c r="Q520" i="29"/>
  <c r="X520" i="29" s="1"/>
  <c r="R520" i="29"/>
  <c r="BN524" i="29"/>
  <c r="BR523" i="29"/>
  <c r="BY523" i="29"/>
  <c r="BO524" i="29"/>
  <c r="J522" i="29"/>
  <c r="L521" i="29"/>
  <c r="K522" i="29"/>
  <c r="X519" i="29"/>
  <c r="U521" i="29"/>
  <c r="AB521" i="29" s="1"/>
  <c r="CC519" i="29"/>
  <c r="BE522" i="29"/>
  <c r="BG522" i="29" s="1"/>
  <c r="BA522" i="29" s="1"/>
  <c r="BP522" i="29"/>
  <c r="BD523" i="29"/>
  <c r="BC522" i="29"/>
  <c r="BF522" i="29" s="1"/>
  <c r="BX489" i="29"/>
  <c r="BS489" i="29"/>
  <c r="BT489" i="29"/>
  <c r="M488" i="29" s="1"/>
  <c r="AZ521" i="29"/>
  <c r="BH521" i="29"/>
  <c r="BB521" i="29" s="1"/>
  <c r="BR524" i="29" l="1"/>
  <c r="BY524" i="29"/>
  <c r="BN525" i="29"/>
  <c r="BO525" i="29"/>
  <c r="CC520" i="29"/>
  <c r="K523" i="29"/>
  <c r="L522" i="29"/>
  <c r="J523" i="29"/>
  <c r="U522" i="29"/>
  <c r="AC522" i="29" s="1"/>
  <c r="M520" i="29"/>
  <c r="W520" i="29"/>
  <c r="Y520" i="29" s="1"/>
  <c r="AA520" i="29"/>
  <c r="CA521" i="29"/>
  <c r="BU521" i="29" s="1"/>
  <c r="CB521" i="29"/>
  <c r="BV521" i="29" s="1"/>
  <c r="S523" i="29"/>
  <c r="T523" i="29"/>
  <c r="V522" i="29"/>
  <c r="AE522" i="29"/>
  <c r="AF522" i="29"/>
  <c r="BQ525" i="29"/>
  <c r="BQ526" i="29" s="1"/>
  <c r="R521" i="29"/>
  <c r="Q521" i="29"/>
  <c r="X521" i="29" s="1"/>
  <c r="AC521" i="29"/>
  <c r="BZ489" i="29"/>
  <c r="BX490" i="29" s="1"/>
  <c r="AZ522" i="29"/>
  <c r="BH522" i="29"/>
  <c r="BB522" i="29" s="1"/>
  <c r="BP523" i="29"/>
  <c r="BD524" i="29"/>
  <c r="BC523" i="29"/>
  <c r="BF523" i="29" s="1"/>
  <c r="BE523" i="29"/>
  <c r="BG523" i="29" s="1"/>
  <c r="BA523" i="29" s="1"/>
  <c r="H50" i="29"/>
  <c r="K43" i="40" s="1"/>
  <c r="X488" i="29"/>
  <c r="Y488" i="29" s="1"/>
  <c r="Z488" i="29" s="1"/>
  <c r="AB488" i="29" l="1"/>
  <c r="AC488" i="29"/>
  <c r="Z489" i="29"/>
  <c r="Z490" i="29" s="1"/>
  <c r="Z491" i="29" s="1"/>
  <c r="Z492" i="29" s="1"/>
  <c r="Z493" i="29" s="1"/>
  <c r="Z494" i="29" s="1"/>
  <c r="Z495" i="29" s="1"/>
  <c r="Z496" i="29" s="1"/>
  <c r="Z497" i="29" s="1"/>
  <c r="Z498" i="29" s="1"/>
  <c r="Z499" i="29" s="1"/>
  <c r="CB501" i="29"/>
  <c r="G50" i="29"/>
  <c r="L43" i="40" s="1"/>
  <c r="U523" i="29"/>
  <c r="AB522" i="29"/>
  <c r="K524" i="29"/>
  <c r="J524" i="29"/>
  <c r="L523" i="29"/>
  <c r="T524" i="29"/>
  <c r="S524" i="29"/>
  <c r="V523" i="29"/>
  <c r="AE523" i="29"/>
  <c r="AF523" i="29"/>
  <c r="CC521" i="29"/>
  <c r="BQ527" i="29"/>
  <c r="R522" i="29"/>
  <c r="Q522" i="29"/>
  <c r="CB522" i="29"/>
  <c r="BV522" i="29" s="1"/>
  <c r="CA522" i="29"/>
  <c r="BU522" i="29" s="1"/>
  <c r="AA521" i="29"/>
  <c r="W521" i="29"/>
  <c r="Y521" i="29" s="1"/>
  <c r="M521" i="29"/>
  <c r="BO526" i="29"/>
  <c r="BR525" i="29"/>
  <c r="BN526" i="29"/>
  <c r="BC524" i="29"/>
  <c r="BF524" i="29" s="1"/>
  <c r="BE524" i="29"/>
  <c r="BG524" i="29" s="1"/>
  <c r="BA524" i="29" s="1"/>
  <c r="BD525" i="29"/>
  <c r="BP524" i="29"/>
  <c r="AZ523" i="29"/>
  <c r="BH523" i="29"/>
  <c r="BB523" i="29" s="1"/>
  <c r="I59" i="39"/>
  <c r="H43" i="44" s="1"/>
  <c r="D43" i="45" s="1"/>
  <c r="K43" i="45" s="1"/>
  <c r="L43" i="45" s="1"/>
  <c r="J44" i="45" s="1"/>
  <c r="D190" i="15"/>
  <c r="G57" i="15"/>
  <c r="BZ490" i="29"/>
  <c r="BX491" i="29" s="1"/>
  <c r="BN112" i="44" l="1"/>
  <c r="BE112" i="44"/>
  <c r="BI112" i="44"/>
  <c r="AY112" i="44"/>
  <c r="BF112" i="44"/>
  <c r="BO112" i="44"/>
  <c r="BK112" i="44"/>
  <c r="BA112" i="44"/>
  <c r="BP112" i="44"/>
  <c r="AZ112" i="44"/>
  <c r="BB112" i="44"/>
  <c r="BJ112" i="44"/>
  <c r="BH112" i="44"/>
  <c r="BM112" i="44"/>
  <c r="BG112" i="44"/>
  <c r="BR112" i="44"/>
  <c r="BQ112" i="44"/>
  <c r="BL112" i="44"/>
  <c r="BD112" i="44"/>
  <c r="BC112" i="44"/>
  <c r="BV501" i="29"/>
  <c r="CC501" i="29"/>
  <c r="F190" i="15"/>
  <c r="L59" i="39"/>
  <c r="Q523" i="29"/>
  <c r="X523" i="29" s="1"/>
  <c r="R523" i="29"/>
  <c r="CB523" i="29"/>
  <c r="BV523" i="29" s="1"/>
  <c r="M522" i="29"/>
  <c r="CA523" i="29"/>
  <c r="BU523" i="29" s="1"/>
  <c r="AA522" i="29"/>
  <c r="W522" i="29"/>
  <c r="Y522" i="29" s="1"/>
  <c r="AC523" i="29"/>
  <c r="BY526" i="29"/>
  <c r="BN527" i="29"/>
  <c r="BR526" i="29"/>
  <c r="BO527" i="29"/>
  <c r="U524" i="29"/>
  <c r="K525" i="29"/>
  <c r="J525" i="29"/>
  <c r="L524" i="29"/>
  <c r="AB523" i="29"/>
  <c r="CC522" i="29"/>
  <c r="X522" i="29"/>
  <c r="V524" i="29"/>
  <c r="S525" i="29"/>
  <c r="T525" i="29"/>
  <c r="AF524" i="29"/>
  <c r="AE524" i="29"/>
  <c r="BE525" i="29"/>
  <c r="BG525" i="29" s="1"/>
  <c r="BA525" i="29" s="1"/>
  <c r="BI525" i="29"/>
  <c r="BP525" i="29"/>
  <c r="BC525" i="29"/>
  <c r="BF525" i="29" s="1"/>
  <c r="BD526" i="29"/>
  <c r="BZ491" i="29"/>
  <c r="BX492" i="29" s="1"/>
  <c r="AZ524" i="29"/>
  <c r="BH524" i="29"/>
  <c r="BB524" i="29" s="1"/>
  <c r="CC523" i="29" l="1"/>
  <c r="U525" i="29"/>
  <c r="AB525" i="29" s="1"/>
  <c r="R524" i="29"/>
  <c r="Q524" i="29"/>
  <c r="CB524" i="29"/>
  <c r="BV524" i="29" s="1"/>
  <c r="AA523" i="29"/>
  <c r="CA524" i="29"/>
  <c r="BU524" i="29" s="1"/>
  <c r="M523" i="29"/>
  <c r="W523" i="29"/>
  <c r="Y523" i="29" s="1"/>
  <c r="S526" i="29"/>
  <c r="T526" i="29"/>
  <c r="V525" i="29"/>
  <c r="AE525" i="29"/>
  <c r="AF525" i="29"/>
  <c r="L525" i="29"/>
  <c r="K526" i="29"/>
  <c r="J526" i="29"/>
  <c r="BR527" i="29"/>
  <c r="BO528" i="29"/>
  <c r="BN528" i="29"/>
  <c r="BY527" i="29"/>
  <c r="BQ528" i="29"/>
  <c r="BZ492" i="29"/>
  <c r="BX493" i="29" s="1"/>
  <c r="BP526" i="29"/>
  <c r="BE526" i="29"/>
  <c r="BG526" i="29" s="1"/>
  <c r="BA526" i="29" s="1"/>
  <c r="BC526" i="29"/>
  <c r="BF526" i="29" s="1"/>
  <c r="BD527" i="29"/>
  <c r="BH525" i="29"/>
  <c r="BB525" i="29" s="1"/>
  <c r="AZ525" i="29"/>
  <c r="CC524" i="29" l="1"/>
  <c r="AA524" i="29"/>
  <c r="W524" i="29"/>
  <c r="CA525" i="29"/>
  <c r="BU525" i="29" s="1"/>
  <c r="BQ529" i="29"/>
  <c r="U526" i="29"/>
  <c r="AC526" i="29" s="1"/>
  <c r="BR528" i="29"/>
  <c r="BY528" i="29"/>
  <c r="BN529" i="29"/>
  <c r="BO529" i="29"/>
  <c r="T527" i="29"/>
  <c r="S527" i="29"/>
  <c r="V526" i="29"/>
  <c r="AE526" i="29"/>
  <c r="AF526" i="29"/>
  <c r="Q525" i="29"/>
  <c r="R525" i="29"/>
  <c r="L526" i="29"/>
  <c r="K527" i="29"/>
  <c r="J527" i="29"/>
  <c r="AC525" i="29"/>
  <c r="BE527" i="29"/>
  <c r="BG527" i="29" s="1"/>
  <c r="BA527" i="29" s="1"/>
  <c r="BP527" i="29"/>
  <c r="BD528" i="29"/>
  <c r="BC527" i="29"/>
  <c r="BF527" i="29" s="1"/>
  <c r="BZ493" i="29"/>
  <c r="BX494" i="29" s="1"/>
  <c r="BH526" i="29"/>
  <c r="BB526" i="29" s="1"/>
  <c r="AZ526" i="29"/>
  <c r="J528" i="29" l="1"/>
  <c r="L527" i="29"/>
  <c r="K528" i="29"/>
  <c r="X525" i="29"/>
  <c r="M525" i="29"/>
  <c r="W525" i="29"/>
  <c r="Y525" i="29" s="1"/>
  <c r="CB526" i="29"/>
  <c r="BV526" i="29" s="1"/>
  <c r="AA525" i="29"/>
  <c r="CA526" i="29"/>
  <c r="BU526" i="29" s="1"/>
  <c r="U527" i="29"/>
  <c r="AC527" i="29" s="1"/>
  <c r="T528" i="29"/>
  <c r="V527" i="29"/>
  <c r="S528" i="29"/>
  <c r="AE527" i="29"/>
  <c r="AF527" i="29"/>
  <c r="BQ530" i="29"/>
  <c r="BY529" i="29"/>
  <c r="BN530" i="29"/>
  <c r="BR529" i="29"/>
  <c r="BO530" i="29"/>
  <c r="Q526" i="29"/>
  <c r="X526" i="29" s="1"/>
  <c r="R526" i="29"/>
  <c r="AB526" i="29"/>
  <c r="BH527" i="29"/>
  <c r="BB527" i="29" s="1"/>
  <c r="AZ527" i="29"/>
  <c r="BC528" i="29"/>
  <c r="BF528" i="29" s="1"/>
  <c r="BP528" i="29"/>
  <c r="BE528" i="29"/>
  <c r="BG528" i="29" s="1"/>
  <c r="BA528" i="29" s="1"/>
  <c r="BD529" i="29"/>
  <c r="BZ494" i="29"/>
  <c r="BX495" i="29" s="1"/>
  <c r="BY530" i="29" l="1"/>
  <c r="BO531" i="29"/>
  <c r="BR530" i="29"/>
  <c r="BN531" i="29"/>
  <c r="BQ531" i="29"/>
  <c r="L528" i="29"/>
  <c r="J529" i="29"/>
  <c r="K529" i="29"/>
  <c r="Q527" i="29"/>
  <c r="R527" i="29"/>
  <c r="CB527" i="29"/>
  <c r="BV527" i="29" s="1"/>
  <c r="W526" i="29"/>
  <c r="Y526" i="29" s="1"/>
  <c r="CA527" i="29"/>
  <c r="BU527" i="29" s="1"/>
  <c r="AA526" i="29"/>
  <c r="M526" i="29"/>
  <c r="U528" i="29"/>
  <c r="AC528" i="29" s="1"/>
  <c r="AB527" i="29"/>
  <c r="S529" i="29"/>
  <c r="V528" i="29"/>
  <c r="T529" i="29"/>
  <c r="AF528" i="29"/>
  <c r="AE528" i="29"/>
  <c r="CC526" i="29"/>
  <c r="BZ495" i="29"/>
  <c r="BX496" i="29" s="1"/>
  <c r="BP529" i="29"/>
  <c r="BD530" i="29"/>
  <c r="BE529" i="29"/>
  <c r="BG529" i="29" s="1"/>
  <c r="BA529" i="29" s="1"/>
  <c r="BC529" i="29"/>
  <c r="BF529" i="29" s="1"/>
  <c r="BH528" i="29"/>
  <c r="BB528" i="29" s="1"/>
  <c r="AZ528" i="29"/>
  <c r="AB528" i="29" l="1"/>
  <c r="CC527" i="29"/>
  <c r="AA527" i="29"/>
  <c r="CB528" i="29"/>
  <c r="BV528" i="29" s="1"/>
  <c r="CA528" i="29"/>
  <c r="BU528" i="29" s="1"/>
  <c r="W527" i="29"/>
  <c r="Y527" i="29" s="1"/>
  <c r="M527" i="29"/>
  <c r="BN532" i="29"/>
  <c r="BR531" i="29"/>
  <c r="BY531" i="29"/>
  <c r="BO532" i="29"/>
  <c r="T530" i="29"/>
  <c r="S530" i="29"/>
  <c r="V529" i="29"/>
  <c r="AE529" i="29"/>
  <c r="AF529" i="29"/>
  <c r="Q528" i="29"/>
  <c r="X528" i="29" s="1"/>
  <c r="R528" i="29"/>
  <c r="BQ532" i="29"/>
  <c r="BQ533" i="29" s="1"/>
  <c r="L529" i="29"/>
  <c r="K530" i="29"/>
  <c r="J530" i="29"/>
  <c r="U529" i="29"/>
  <c r="AC529" i="29" s="1"/>
  <c r="X527" i="29"/>
  <c r="BZ496" i="29"/>
  <c r="BX497" i="29" s="1"/>
  <c r="BD531" i="29"/>
  <c r="BP530" i="29"/>
  <c r="BC530" i="29"/>
  <c r="BF530" i="29" s="1"/>
  <c r="BE530" i="29"/>
  <c r="BG530" i="29" s="1"/>
  <c r="BA530" i="29" s="1"/>
  <c r="AZ529" i="29"/>
  <c r="BH529" i="29"/>
  <c r="BB529" i="29" s="1"/>
  <c r="T531" i="29" l="1"/>
  <c r="V530" i="29"/>
  <c r="S531" i="29"/>
  <c r="AE530" i="29"/>
  <c r="AF530" i="29"/>
  <c r="R529" i="29"/>
  <c r="Q529" i="29"/>
  <c r="X529" i="29" s="1"/>
  <c r="BY532" i="29"/>
  <c r="BR532" i="29"/>
  <c r="BN533" i="29"/>
  <c r="BO533" i="29"/>
  <c r="CC528" i="29"/>
  <c r="AB529" i="29"/>
  <c r="L530" i="29"/>
  <c r="K531" i="29"/>
  <c r="J531" i="29"/>
  <c r="CA529" i="29"/>
  <c r="BU529" i="29" s="1"/>
  <c r="W528" i="29"/>
  <c r="Y528" i="29" s="1"/>
  <c r="AA528" i="29"/>
  <c r="M528" i="29"/>
  <c r="CB529" i="29"/>
  <c r="BV529" i="29" s="1"/>
  <c r="U530" i="29"/>
  <c r="AB530" i="29" s="1"/>
  <c r="BZ497" i="29"/>
  <c r="BX498" i="29" s="1"/>
  <c r="BP531" i="29"/>
  <c r="BC531" i="29"/>
  <c r="BF531" i="29" s="1"/>
  <c r="BD532" i="29"/>
  <c r="BE531" i="29"/>
  <c r="BG531" i="29" s="1"/>
  <c r="BA531" i="29" s="1"/>
  <c r="BH530" i="29"/>
  <c r="BB530" i="29" s="1"/>
  <c r="AZ530" i="29"/>
  <c r="CC529" i="29" l="1"/>
  <c r="AC530" i="29"/>
  <c r="J532" i="29"/>
  <c r="L531" i="29"/>
  <c r="K532" i="29"/>
  <c r="BN534" i="29"/>
  <c r="BR533" i="29"/>
  <c r="BY533" i="29"/>
  <c r="BO534" i="29"/>
  <c r="V531" i="29"/>
  <c r="S532" i="29"/>
  <c r="T532" i="29"/>
  <c r="AE531" i="29"/>
  <c r="AF531" i="29"/>
  <c r="AA529" i="29"/>
  <c r="W529" i="29"/>
  <c r="Y529" i="29" s="1"/>
  <c r="CA530" i="29"/>
  <c r="BU530" i="29" s="1"/>
  <c r="CB530" i="29"/>
  <c r="BV530" i="29" s="1"/>
  <c r="M529" i="29"/>
  <c r="BQ534" i="29"/>
  <c r="R530" i="29"/>
  <c r="Q530" i="29"/>
  <c r="X530" i="29" s="1"/>
  <c r="U531" i="29"/>
  <c r="AZ531" i="29"/>
  <c r="BH531" i="29"/>
  <c r="BB531" i="29" s="1"/>
  <c r="BZ498" i="29"/>
  <c r="BX499" i="29" s="1"/>
  <c r="BD533" i="29"/>
  <c r="BP532" i="29"/>
  <c r="BE532" i="29"/>
  <c r="BG532" i="29" s="1"/>
  <c r="BA532" i="29" s="1"/>
  <c r="BC532" i="29"/>
  <c r="BF532" i="29" s="1"/>
  <c r="CC530" i="29" l="1"/>
  <c r="J533" i="29"/>
  <c r="K533" i="29"/>
  <c r="L532" i="29"/>
  <c r="Q531" i="29"/>
  <c r="X531" i="29" s="1"/>
  <c r="R531" i="29"/>
  <c r="V532" i="29"/>
  <c r="S533" i="29"/>
  <c r="T533" i="29"/>
  <c r="AF532" i="29"/>
  <c r="AE532" i="29"/>
  <c r="AC531" i="29"/>
  <c r="U532" i="29"/>
  <c r="AA530" i="29"/>
  <c r="CA531" i="29"/>
  <c r="BU531" i="29" s="1"/>
  <c r="CB531" i="29"/>
  <c r="BV531" i="29" s="1"/>
  <c r="W530" i="29"/>
  <c r="Y530" i="29" s="1"/>
  <c r="M530" i="29"/>
  <c r="BO535" i="29"/>
  <c r="BN535" i="29"/>
  <c r="BR534" i="29"/>
  <c r="BY534" i="29"/>
  <c r="AB531" i="29"/>
  <c r="BQ535" i="29"/>
  <c r="BQ536" i="29" s="1"/>
  <c r="BZ499" i="29"/>
  <c r="BX500" i="29" s="1"/>
  <c r="AZ532" i="29"/>
  <c r="BH532" i="29"/>
  <c r="BB532" i="29" s="1"/>
  <c r="BE533" i="29"/>
  <c r="BG533" i="29" s="1"/>
  <c r="BA533" i="29" s="1"/>
  <c r="BD534" i="29"/>
  <c r="BP533" i="29"/>
  <c r="BC533" i="29"/>
  <c r="BF533" i="29" s="1"/>
  <c r="CC531" i="29" l="1"/>
  <c r="R532" i="29"/>
  <c r="Q532" i="29"/>
  <c r="BN536" i="29"/>
  <c r="BR535" i="29"/>
  <c r="BY535" i="29"/>
  <c r="BO536" i="29"/>
  <c r="AC532" i="29"/>
  <c r="L533" i="29"/>
  <c r="K534" i="29"/>
  <c r="J534" i="29"/>
  <c r="AB532" i="29"/>
  <c r="S534" i="29"/>
  <c r="T534" i="29"/>
  <c r="V533" i="29"/>
  <c r="AF533" i="29"/>
  <c r="AE533" i="29"/>
  <c r="BQ537" i="29"/>
  <c r="U533" i="29"/>
  <c r="AC533" i="29" s="1"/>
  <c r="CA532" i="29"/>
  <c r="BU532" i="29" s="1"/>
  <c r="CB532" i="29"/>
  <c r="BV532" i="29" s="1"/>
  <c r="AA531" i="29"/>
  <c r="W531" i="29"/>
  <c r="Y531" i="29" s="1"/>
  <c r="M531" i="29"/>
  <c r="BH533" i="29"/>
  <c r="BB533" i="29" s="1"/>
  <c r="AZ533" i="29"/>
  <c r="BC534" i="29"/>
  <c r="BF534" i="29" s="1"/>
  <c r="BD535" i="29"/>
  <c r="BE534" i="29"/>
  <c r="BG534" i="29" s="1"/>
  <c r="BA534" i="29" s="1"/>
  <c r="BP534" i="29"/>
  <c r="BZ500" i="29"/>
  <c r="BY501" i="29" s="1"/>
  <c r="AB533" i="29" l="1"/>
  <c r="V534" i="29"/>
  <c r="S535" i="29"/>
  <c r="T535" i="29"/>
  <c r="AF534" i="29"/>
  <c r="AE534" i="29"/>
  <c r="L534" i="29"/>
  <c r="K535" i="29"/>
  <c r="J535" i="29"/>
  <c r="AA532" i="29"/>
  <c r="CA533" i="29"/>
  <c r="BU533" i="29" s="1"/>
  <c r="M532" i="29"/>
  <c r="CB533" i="29"/>
  <c r="BV533" i="29" s="1"/>
  <c r="W532" i="29"/>
  <c r="Y532" i="29" s="1"/>
  <c r="R533" i="29"/>
  <c r="Q533" i="29"/>
  <c r="X533" i="29" s="1"/>
  <c r="U534" i="29"/>
  <c r="AC534" i="29" s="1"/>
  <c r="CC532" i="29"/>
  <c r="BO537" i="29"/>
  <c r="BQ538" i="29" s="1"/>
  <c r="BR536" i="29"/>
  <c r="BY536" i="29"/>
  <c r="BN537" i="29"/>
  <c r="X532" i="29"/>
  <c r="BW501" i="29"/>
  <c r="BX501" i="29"/>
  <c r="BD536" i="29"/>
  <c r="BE535" i="29"/>
  <c r="BG535" i="29" s="1"/>
  <c r="BA535" i="29" s="1"/>
  <c r="BP535" i="29"/>
  <c r="BC535" i="29"/>
  <c r="BF535" i="29" s="1"/>
  <c r="AZ534" i="29"/>
  <c r="BH534" i="29"/>
  <c r="BB534" i="29" s="1"/>
  <c r="CC533" i="29" l="1"/>
  <c r="U535" i="29"/>
  <c r="AB535" i="29" s="1"/>
  <c r="Q534" i="29"/>
  <c r="R534" i="29"/>
  <c r="M533" i="29"/>
  <c r="CB534" i="29"/>
  <c r="BV534" i="29" s="1"/>
  <c r="W533" i="29"/>
  <c r="Y533" i="29" s="1"/>
  <c r="CA534" i="29"/>
  <c r="BU534" i="29" s="1"/>
  <c r="AA533" i="29"/>
  <c r="BO538" i="29"/>
  <c r="BR537" i="29"/>
  <c r="BN538" i="29"/>
  <c r="AB534" i="29"/>
  <c r="J536" i="29"/>
  <c r="L535" i="29"/>
  <c r="K536" i="29"/>
  <c r="S536" i="29"/>
  <c r="V535" i="29"/>
  <c r="T536" i="29"/>
  <c r="AE535" i="29"/>
  <c r="AF535" i="29"/>
  <c r="BP536" i="29"/>
  <c r="BC536" i="29"/>
  <c r="BF536" i="29" s="1"/>
  <c r="BE536" i="29"/>
  <c r="BG536" i="29" s="1"/>
  <c r="BA536" i="29" s="1"/>
  <c r="BD537" i="29"/>
  <c r="BZ501" i="29"/>
  <c r="BX502" i="29" s="1"/>
  <c r="AZ535" i="29"/>
  <c r="BH535" i="29"/>
  <c r="BB535" i="29" s="1"/>
  <c r="BS501" i="29"/>
  <c r="BT501" i="29"/>
  <c r="M500" i="29" s="1"/>
  <c r="CC534" i="29" l="1"/>
  <c r="U536" i="29"/>
  <c r="M534" i="29"/>
  <c r="AA534" i="29"/>
  <c r="CA535" i="29"/>
  <c r="BU535" i="29" s="1"/>
  <c r="W534" i="29"/>
  <c r="Y534" i="29" s="1"/>
  <c r="CB535" i="29"/>
  <c r="BV535" i="29" s="1"/>
  <c r="BN539" i="29"/>
  <c r="BY538" i="29"/>
  <c r="BR538" i="29"/>
  <c r="BO539" i="29"/>
  <c r="L536" i="29"/>
  <c r="K537" i="29"/>
  <c r="J537" i="29"/>
  <c r="Q535" i="29"/>
  <c r="R535" i="29"/>
  <c r="T537" i="29"/>
  <c r="S537" i="29"/>
  <c r="V536" i="29"/>
  <c r="AE536" i="29"/>
  <c r="AF536" i="29"/>
  <c r="X534" i="29"/>
  <c r="AC535" i="29"/>
  <c r="BQ539" i="29"/>
  <c r="BQ540" i="29" s="1"/>
  <c r="BD538" i="29"/>
  <c r="BP537" i="29"/>
  <c r="BI537" i="29"/>
  <c r="BC537" i="29"/>
  <c r="BF537" i="29" s="1"/>
  <c r="BE537" i="29"/>
  <c r="BG537" i="29" s="1"/>
  <c r="BA537" i="29" s="1"/>
  <c r="BZ502" i="29"/>
  <c r="BX503" i="29" s="1"/>
  <c r="AZ536" i="29"/>
  <c r="BH536" i="29"/>
  <c r="BB536" i="29" s="1"/>
  <c r="H51" i="29"/>
  <c r="K44" i="40" s="1"/>
  <c r="X500" i="29"/>
  <c r="Y500" i="29" s="1"/>
  <c r="Z500" i="29" s="1"/>
  <c r="AC500" i="29" l="1"/>
  <c r="AB500" i="29"/>
  <c r="Z501" i="29"/>
  <c r="Z502" i="29" s="1"/>
  <c r="Z503" i="29" s="1"/>
  <c r="Z504" i="29" s="1"/>
  <c r="Z505" i="29" s="1"/>
  <c r="Z506" i="29" s="1"/>
  <c r="Z507" i="29" s="1"/>
  <c r="Z508" i="29" s="1"/>
  <c r="Z509" i="29" s="1"/>
  <c r="Z510" i="29" s="1"/>
  <c r="Z511" i="29" s="1"/>
  <c r="CB513" i="29"/>
  <c r="G51" i="29"/>
  <c r="L44" i="40" s="1"/>
  <c r="J538" i="29"/>
  <c r="L537" i="29"/>
  <c r="K538" i="29"/>
  <c r="U537" i="29"/>
  <c r="CB536" i="29"/>
  <c r="BV536" i="29" s="1"/>
  <c r="CA536" i="29"/>
  <c r="BU536" i="29" s="1"/>
  <c r="W535" i="29"/>
  <c r="Y535" i="29" s="1"/>
  <c r="AA535" i="29"/>
  <c r="M535" i="29"/>
  <c r="T538" i="29"/>
  <c r="S538" i="29"/>
  <c r="V537" i="29"/>
  <c r="AF537" i="29"/>
  <c r="AE537" i="29"/>
  <c r="BY539" i="29"/>
  <c r="BR539" i="29"/>
  <c r="BO540" i="29"/>
  <c r="BQ541" i="29" s="1"/>
  <c r="BN540" i="29"/>
  <c r="CC535" i="29"/>
  <c r="Q536" i="29"/>
  <c r="R536" i="29"/>
  <c r="X535" i="29"/>
  <c r="D191" i="15"/>
  <c r="I60" i="39"/>
  <c r="H44" i="44" s="1"/>
  <c r="D44" i="45" s="1"/>
  <c r="K44" i="45" s="1"/>
  <c r="L44" i="45" s="1"/>
  <c r="J45" i="45" s="1"/>
  <c r="G58" i="15"/>
  <c r="BZ503" i="29"/>
  <c r="BX504" i="29" s="1"/>
  <c r="BH537" i="29"/>
  <c r="BB537" i="29" s="1"/>
  <c r="AZ537" i="29"/>
  <c r="BC538" i="29"/>
  <c r="BF538" i="29" s="1"/>
  <c r="BP538" i="29"/>
  <c r="BE538" i="29"/>
  <c r="BG538" i="29" s="1"/>
  <c r="BA538" i="29" s="1"/>
  <c r="BD539" i="29"/>
  <c r="BN113" i="44" l="1"/>
  <c r="BC113" i="44"/>
  <c r="BR113" i="44"/>
  <c r="BH113" i="44"/>
  <c r="AZ113" i="44"/>
  <c r="BG113" i="44"/>
  <c r="BP113" i="44"/>
  <c r="BK113" i="44"/>
  <c r="BB113" i="44"/>
  <c r="BI113" i="44"/>
  <c r="BJ113" i="44"/>
  <c r="BQ113" i="44"/>
  <c r="BA113" i="44"/>
  <c r="BF113" i="44"/>
  <c r="BM113" i="44"/>
  <c r="BL113" i="44"/>
  <c r="BE113" i="44"/>
  <c r="BO113" i="44"/>
  <c r="BD113" i="44"/>
  <c r="CC513" i="29"/>
  <c r="BV513" i="29"/>
  <c r="L60" i="39"/>
  <c r="F191" i="15"/>
  <c r="L538" i="29"/>
  <c r="K539" i="29"/>
  <c r="J539" i="29"/>
  <c r="V538" i="29"/>
  <c r="S539" i="29"/>
  <c r="T539" i="29"/>
  <c r="AE538" i="29"/>
  <c r="AF538" i="29"/>
  <c r="Q537" i="29"/>
  <c r="R537" i="29"/>
  <c r="U538" i="29"/>
  <c r="AC538" i="29" s="1"/>
  <c r="BN541" i="29"/>
  <c r="BO541" i="29"/>
  <c r="BR540" i="29"/>
  <c r="BY540" i="29"/>
  <c r="AB537" i="29"/>
  <c r="AA536" i="29"/>
  <c r="CA537" i="29"/>
  <c r="BU537" i="29" s="1"/>
  <c r="W536" i="29"/>
  <c r="CC536" i="29"/>
  <c r="AC537" i="29"/>
  <c r="BZ504" i="29"/>
  <c r="BX505" i="29" s="1"/>
  <c r="BH538" i="29"/>
  <c r="BB538" i="29" s="1"/>
  <c r="AZ538" i="29"/>
  <c r="BE539" i="29"/>
  <c r="BG539" i="29" s="1"/>
  <c r="BA539" i="29" s="1"/>
  <c r="BP539" i="29"/>
  <c r="BD540" i="29"/>
  <c r="BC539" i="29"/>
  <c r="BF539" i="29" s="1"/>
  <c r="AB538" i="29" l="1"/>
  <c r="BY541" i="29"/>
  <c r="BN542" i="29"/>
  <c r="BO542" i="29"/>
  <c r="BR541" i="29"/>
  <c r="M537" i="29"/>
  <c r="CA538" i="29"/>
  <c r="BU538" i="29" s="1"/>
  <c r="CB538" i="29"/>
  <c r="BV538" i="29" s="1"/>
  <c r="AA537" i="29"/>
  <c r="W537" i="29"/>
  <c r="Y537" i="29" s="1"/>
  <c r="U539" i="29"/>
  <c r="AC539" i="29" s="1"/>
  <c r="J540" i="29"/>
  <c r="L539" i="29"/>
  <c r="K540" i="29"/>
  <c r="X537" i="29"/>
  <c r="BQ542" i="29"/>
  <c r="BQ543" i="29" s="1"/>
  <c r="Q538" i="29"/>
  <c r="X538" i="29" s="1"/>
  <c r="R538" i="29"/>
  <c r="V539" i="29"/>
  <c r="T540" i="29"/>
  <c r="S540" i="29"/>
  <c r="AF539" i="29"/>
  <c r="AE539" i="29"/>
  <c r="BD541" i="29"/>
  <c r="BP540" i="29"/>
  <c r="BE540" i="29"/>
  <c r="BG540" i="29" s="1"/>
  <c r="BA540" i="29" s="1"/>
  <c r="BC540" i="29"/>
  <c r="BF540" i="29" s="1"/>
  <c r="AZ539" i="29"/>
  <c r="BH539" i="29"/>
  <c r="BB539" i="29" s="1"/>
  <c r="BZ505" i="29"/>
  <c r="BX506" i="29" s="1"/>
  <c r="T541" i="29" l="1"/>
  <c r="S541" i="29"/>
  <c r="V540" i="29"/>
  <c r="AE540" i="29"/>
  <c r="AF540" i="29"/>
  <c r="W538" i="29"/>
  <c r="Y538" i="29" s="1"/>
  <c r="AA538" i="29"/>
  <c r="M538" i="29"/>
  <c r="CA539" i="29"/>
  <c r="BU539" i="29" s="1"/>
  <c r="CB539" i="29"/>
  <c r="BV539" i="29" s="1"/>
  <c r="R539" i="29"/>
  <c r="Q539" i="29"/>
  <c r="K541" i="29"/>
  <c r="J541" i="29"/>
  <c r="L540" i="29"/>
  <c r="AB539" i="29"/>
  <c r="BY542" i="29"/>
  <c r="BR542" i="29"/>
  <c r="BO543" i="29"/>
  <c r="BQ544" i="29" s="1"/>
  <c r="BN543" i="29"/>
  <c r="U540" i="29"/>
  <c r="AB540" i="29" s="1"/>
  <c r="CC538" i="29"/>
  <c r="BH540" i="29"/>
  <c r="BB540" i="29" s="1"/>
  <c r="AZ540" i="29"/>
  <c r="BZ506" i="29"/>
  <c r="BX507" i="29" s="1"/>
  <c r="BD542" i="29"/>
  <c r="BP541" i="29"/>
  <c r="BC541" i="29"/>
  <c r="BF541" i="29" s="1"/>
  <c r="BE541" i="29"/>
  <c r="BG541" i="29" s="1"/>
  <c r="BA541" i="29" s="1"/>
  <c r="CC539" i="29" l="1"/>
  <c r="K542" i="29"/>
  <c r="J542" i="29"/>
  <c r="L541" i="29"/>
  <c r="U541" i="29"/>
  <c r="AB541" i="29" s="1"/>
  <c r="R540" i="29"/>
  <c r="Q540" i="29"/>
  <c r="X540" i="29" s="1"/>
  <c r="BN544" i="29"/>
  <c r="BY543" i="29"/>
  <c r="BO544" i="29"/>
  <c r="BR543" i="29"/>
  <c r="X539" i="29"/>
  <c r="CA540" i="29"/>
  <c r="BU540" i="29" s="1"/>
  <c r="M539" i="29"/>
  <c r="AA539" i="29"/>
  <c r="CB540" i="29"/>
  <c r="BV540" i="29" s="1"/>
  <c r="W539" i="29"/>
  <c r="Y539" i="29" s="1"/>
  <c r="V541" i="29"/>
  <c r="T542" i="29"/>
  <c r="S542" i="29"/>
  <c r="AE541" i="29"/>
  <c r="AF541" i="29"/>
  <c r="AC540" i="29"/>
  <c r="BZ507" i="29"/>
  <c r="BX508" i="29" s="1"/>
  <c r="AZ541" i="29"/>
  <c r="BH541" i="29"/>
  <c r="BB541" i="29" s="1"/>
  <c r="BD543" i="29"/>
  <c r="BE542" i="29"/>
  <c r="BG542" i="29" s="1"/>
  <c r="BA542" i="29" s="1"/>
  <c r="BP542" i="29"/>
  <c r="BC542" i="29"/>
  <c r="BF542" i="29" s="1"/>
  <c r="AC541" i="29" l="1"/>
  <c r="K543" i="29"/>
  <c r="L542" i="29"/>
  <c r="J543" i="29"/>
  <c r="CC540" i="29"/>
  <c r="BO545" i="29"/>
  <c r="BN545" i="29"/>
  <c r="BY544" i="29"/>
  <c r="BR544" i="29"/>
  <c r="U542" i="29"/>
  <c r="AB542" i="29" s="1"/>
  <c r="BQ545" i="29"/>
  <c r="BQ546" i="29" s="1"/>
  <c r="AA540" i="29"/>
  <c r="CB541" i="29"/>
  <c r="BV541" i="29" s="1"/>
  <c r="M540" i="29"/>
  <c r="CA541" i="29"/>
  <c r="BU541" i="29" s="1"/>
  <c r="W540" i="29"/>
  <c r="Y540" i="29" s="1"/>
  <c r="V542" i="29"/>
  <c r="S543" i="29"/>
  <c r="T543" i="29"/>
  <c r="AF542" i="29"/>
  <c r="AE542" i="29"/>
  <c r="R541" i="29"/>
  <c r="Q541" i="29"/>
  <c r="AZ542" i="29"/>
  <c r="BH542" i="29"/>
  <c r="BB542" i="29" s="1"/>
  <c r="BZ508" i="29"/>
  <c r="BX509" i="29" s="1"/>
  <c r="BD544" i="29"/>
  <c r="BE543" i="29"/>
  <c r="BG543" i="29" s="1"/>
  <c r="BA543" i="29" s="1"/>
  <c r="BP543" i="29"/>
  <c r="BC543" i="29"/>
  <c r="BF543" i="29" s="1"/>
  <c r="CC541" i="29" l="1"/>
  <c r="AA541" i="29"/>
  <c r="CA542" i="29"/>
  <c r="BU542" i="29" s="1"/>
  <c r="W541" i="29"/>
  <c r="Y541" i="29" s="1"/>
  <c r="CB542" i="29"/>
  <c r="BV542" i="29" s="1"/>
  <c r="M541" i="29"/>
  <c r="R542" i="29"/>
  <c r="Q542" i="29"/>
  <c r="X541" i="29"/>
  <c r="S544" i="29"/>
  <c r="T544" i="29"/>
  <c r="V543" i="29"/>
  <c r="AE543" i="29"/>
  <c r="AF543" i="29"/>
  <c r="AC542" i="29"/>
  <c r="BR545" i="29"/>
  <c r="BN546" i="29"/>
  <c r="BO546" i="29"/>
  <c r="BY545" i="29"/>
  <c r="J544" i="29"/>
  <c r="L543" i="29"/>
  <c r="K544" i="29"/>
  <c r="U543" i="29"/>
  <c r="AB543" i="29" s="1"/>
  <c r="BZ509" i="29"/>
  <c r="BX510" i="29" s="1"/>
  <c r="BH543" i="29"/>
  <c r="BB543" i="29" s="1"/>
  <c r="AZ543" i="29"/>
  <c r="BC544" i="29"/>
  <c r="BF544" i="29" s="1"/>
  <c r="BD545" i="29"/>
  <c r="BE544" i="29"/>
  <c r="BG544" i="29" s="1"/>
  <c r="BA544" i="29" s="1"/>
  <c r="BP544" i="29"/>
  <c r="CC542" i="29" l="1"/>
  <c r="BN547" i="29"/>
  <c r="BR546" i="29"/>
  <c r="BO547" i="29"/>
  <c r="BY546" i="29"/>
  <c r="BQ547" i="29"/>
  <c r="V544" i="29"/>
  <c r="S545" i="29"/>
  <c r="T545" i="29"/>
  <c r="AE544" i="29"/>
  <c r="AF544" i="29"/>
  <c r="Q543" i="29"/>
  <c r="X543" i="29" s="1"/>
  <c r="R543" i="29"/>
  <c r="L544" i="29"/>
  <c r="J545" i="29"/>
  <c r="K545" i="29"/>
  <c r="U544" i="29"/>
  <c r="AC544" i="29" s="1"/>
  <c r="AC543" i="29"/>
  <c r="X542" i="29"/>
  <c r="M542" i="29"/>
  <c r="W542" i="29"/>
  <c r="Y542" i="29" s="1"/>
  <c r="CA543" i="29"/>
  <c r="BU543" i="29" s="1"/>
  <c r="AA542" i="29"/>
  <c r="CB543" i="29"/>
  <c r="BV543" i="29" s="1"/>
  <c r="BZ510" i="29"/>
  <c r="BX511" i="29" s="1"/>
  <c r="BP545" i="29"/>
  <c r="BC545" i="29"/>
  <c r="BF545" i="29" s="1"/>
  <c r="BE545" i="29"/>
  <c r="BG545" i="29" s="1"/>
  <c r="BA545" i="29" s="1"/>
  <c r="BD546" i="29"/>
  <c r="BH544" i="29"/>
  <c r="BB544" i="29" s="1"/>
  <c r="AZ544" i="29"/>
  <c r="CC543" i="29" l="1"/>
  <c r="AB544" i="29"/>
  <c r="U545" i="29"/>
  <c r="BN548" i="29"/>
  <c r="BR547" i="29"/>
  <c r="BO548" i="29"/>
  <c r="BY547" i="29"/>
  <c r="J546" i="29"/>
  <c r="L545" i="29"/>
  <c r="K546" i="29"/>
  <c r="BQ548" i="29"/>
  <c r="BQ549" i="29" s="1"/>
  <c r="R544" i="29"/>
  <c r="Q544" i="29"/>
  <c r="X544" i="29" s="1"/>
  <c r="CA544" i="29"/>
  <c r="BU544" i="29" s="1"/>
  <c r="CB544" i="29"/>
  <c r="BV544" i="29" s="1"/>
  <c r="M543" i="29"/>
  <c r="AA543" i="29"/>
  <c r="W543" i="29"/>
  <c r="Y543" i="29" s="1"/>
  <c r="T546" i="29"/>
  <c r="S546" i="29"/>
  <c r="V545" i="29"/>
  <c r="AE545" i="29"/>
  <c r="AF545" i="29"/>
  <c r="BZ511" i="29"/>
  <c r="BX512" i="29" s="1"/>
  <c r="BH545" i="29"/>
  <c r="BB545" i="29" s="1"/>
  <c r="AZ545" i="29"/>
  <c r="BE546" i="29"/>
  <c r="BG546" i="29" s="1"/>
  <c r="BA546" i="29" s="1"/>
  <c r="BP546" i="29"/>
  <c r="BD547" i="29"/>
  <c r="BC546" i="29"/>
  <c r="BF546" i="29" s="1"/>
  <c r="CC544" i="29" l="1"/>
  <c r="R545" i="29"/>
  <c r="Q545" i="29"/>
  <c r="T547" i="29"/>
  <c r="S547" i="29"/>
  <c r="V546" i="29"/>
  <c r="AE546" i="29"/>
  <c r="AF546" i="29"/>
  <c r="M544" i="29"/>
  <c r="W544" i="29"/>
  <c r="Y544" i="29" s="1"/>
  <c r="CA545" i="29"/>
  <c r="BU545" i="29" s="1"/>
  <c r="CB545" i="29"/>
  <c r="BV545" i="29" s="1"/>
  <c r="AA544" i="29"/>
  <c r="J547" i="29"/>
  <c r="K547" i="29"/>
  <c r="L546" i="29"/>
  <c r="BO549" i="29"/>
  <c r="BQ550" i="29" s="1"/>
  <c r="BN549" i="29"/>
  <c r="BR548" i="29"/>
  <c r="BY548" i="29"/>
  <c r="AB545" i="29"/>
  <c r="U546" i="29"/>
  <c r="AB546" i="29" s="1"/>
  <c r="AC545" i="29"/>
  <c r="BZ512" i="29"/>
  <c r="BY513" i="29" s="1"/>
  <c r="AZ546" i="29"/>
  <c r="BH546" i="29"/>
  <c r="BB546" i="29" s="1"/>
  <c r="BP547" i="29"/>
  <c r="BD548" i="29"/>
  <c r="BE547" i="29"/>
  <c r="BG547" i="29" s="1"/>
  <c r="BA547" i="29" s="1"/>
  <c r="BC547" i="29"/>
  <c r="BF547" i="29" s="1"/>
  <c r="CC545" i="29" l="1"/>
  <c r="X545" i="29"/>
  <c r="W545" i="29"/>
  <c r="Y545" i="29" s="1"/>
  <c r="M545" i="29"/>
  <c r="CA546" i="29"/>
  <c r="BU546" i="29" s="1"/>
  <c r="AA545" i="29"/>
  <c r="CB546" i="29"/>
  <c r="BV546" i="29" s="1"/>
  <c r="Q546" i="29"/>
  <c r="R546" i="29"/>
  <c r="U547" i="29"/>
  <c r="AC547" i="29" s="1"/>
  <c r="BN550" i="29"/>
  <c r="BO550" i="29"/>
  <c r="BR549" i="29"/>
  <c r="AC546" i="29"/>
  <c r="L547" i="29"/>
  <c r="J548" i="29"/>
  <c r="K548" i="29"/>
  <c r="V547" i="29"/>
  <c r="T548" i="29"/>
  <c r="S548" i="29"/>
  <c r="AE547" i="29"/>
  <c r="AF547" i="29"/>
  <c r="BW513" i="29"/>
  <c r="BX513" i="29"/>
  <c r="BE548" i="29"/>
  <c r="BG548" i="29" s="1"/>
  <c r="BA548" i="29" s="1"/>
  <c r="BP548" i="29"/>
  <c r="BD549" i="29"/>
  <c r="BC548" i="29"/>
  <c r="BF548" i="29" s="1"/>
  <c r="AZ547" i="29"/>
  <c r="BH547" i="29"/>
  <c r="BB547" i="29" s="1"/>
  <c r="S549" i="29" l="1"/>
  <c r="T549" i="29"/>
  <c r="V548" i="29"/>
  <c r="AF548" i="29"/>
  <c r="AE548" i="29"/>
  <c r="Q547" i="29"/>
  <c r="R547" i="29"/>
  <c r="X546" i="29"/>
  <c r="W546" i="29"/>
  <c r="Y546" i="29" s="1"/>
  <c r="AA546" i="29"/>
  <c r="CB547" i="29"/>
  <c r="BV547" i="29" s="1"/>
  <c r="CA547" i="29"/>
  <c r="BU547" i="29" s="1"/>
  <c r="M546" i="29"/>
  <c r="J549" i="29"/>
  <c r="L548" i="29"/>
  <c r="K549" i="29"/>
  <c r="AB547" i="29"/>
  <c r="CC546" i="29"/>
  <c r="U548" i="29"/>
  <c r="BO551" i="29"/>
  <c r="BR550" i="29"/>
  <c r="BN551" i="29"/>
  <c r="BY550" i="29"/>
  <c r="BQ551" i="29"/>
  <c r="BQ552" i="29" s="1"/>
  <c r="AZ548" i="29"/>
  <c r="BH548" i="29"/>
  <c r="BB548" i="29" s="1"/>
  <c r="BZ513" i="29"/>
  <c r="BX514" i="29" s="1"/>
  <c r="BC549" i="29"/>
  <c r="BF549" i="29" s="1"/>
  <c r="BD550" i="29"/>
  <c r="BI549" i="29"/>
  <c r="BP549" i="29"/>
  <c r="BE549" i="29"/>
  <c r="BG549" i="29" s="1"/>
  <c r="BA549" i="29" s="1"/>
  <c r="BT513" i="29"/>
  <c r="M512" i="29" s="1"/>
  <c r="BS513" i="29"/>
  <c r="CA548" i="29" l="1"/>
  <c r="BU548" i="29" s="1"/>
  <c r="AA547" i="29"/>
  <c r="M547" i="29"/>
  <c r="W547" i="29"/>
  <c r="Y547" i="29" s="1"/>
  <c r="CB548" i="29"/>
  <c r="BV548" i="29" s="1"/>
  <c r="R548" i="29"/>
  <c r="Q548" i="29"/>
  <c r="V549" i="29"/>
  <c r="T550" i="29"/>
  <c r="S550" i="29"/>
  <c r="AE549" i="29"/>
  <c r="AF549" i="29"/>
  <c r="BR551" i="29"/>
  <c r="BY551" i="29"/>
  <c r="BO552" i="29"/>
  <c r="BQ553" i="29" s="1"/>
  <c r="BN552" i="29"/>
  <c r="X547" i="29"/>
  <c r="U549" i="29"/>
  <c r="AC549" i="29" s="1"/>
  <c r="K550" i="29"/>
  <c r="J550" i="29"/>
  <c r="L549" i="29"/>
  <c r="CC547" i="29"/>
  <c r="BZ514" i="29"/>
  <c r="BX515" i="29" s="1"/>
  <c r="H52" i="29"/>
  <c r="K45" i="40" s="1"/>
  <c r="X512" i="29"/>
  <c r="Y512" i="29" s="1"/>
  <c r="Z512" i="29" s="1"/>
  <c r="BP550" i="29"/>
  <c r="BE550" i="29"/>
  <c r="BG550" i="29" s="1"/>
  <c r="BA550" i="29" s="1"/>
  <c r="BD551" i="29"/>
  <c r="BC550" i="29"/>
  <c r="BF550" i="29" s="1"/>
  <c r="AZ549" i="29"/>
  <c r="BH549" i="29"/>
  <c r="BB549" i="29" s="1"/>
  <c r="AB512" i="29" l="1"/>
  <c r="AC512" i="29"/>
  <c r="Z513" i="29"/>
  <c r="Z514" i="29" s="1"/>
  <c r="Z515" i="29" s="1"/>
  <c r="Z516" i="29" s="1"/>
  <c r="Z517" i="29" s="1"/>
  <c r="Z518" i="29" s="1"/>
  <c r="Z519" i="29" s="1"/>
  <c r="Z520" i="29" s="1"/>
  <c r="Z521" i="29" s="1"/>
  <c r="Z522" i="29" s="1"/>
  <c r="Z523" i="29" s="1"/>
  <c r="CB525" i="29"/>
  <c r="G52" i="29"/>
  <c r="L45" i="40" s="1"/>
  <c r="AB549" i="29"/>
  <c r="L550" i="29"/>
  <c r="J551" i="29"/>
  <c r="K551" i="29"/>
  <c r="U550" i="29"/>
  <c r="V550" i="29"/>
  <c r="S551" i="29"/>
  <c r="T551" i="29"/>
  <c r="AE550" i="29"/>
  <c r="AF550" i="29"/>
  <c r="CC548" i="29"/>
  <c r="R549" i="29"/>
  <c r="Q549" i="29"/>
  <c r="BN553" i="29"/>
  <c r="BR552" i="29"/>
  <c r="BY552" i="29"/>
  <c r="BO553" i="29"/>
  <c r="AA548" i="29"/>
  <c r="CA549" i="29"/>
  <c r="BU549" i="29" s="1"/>
  <c r="W548" i="29"/>
  <c r="D192" i="15"/>
  <c r="I61" i="39"/>
  <c r="H45" i="44" s="1"/>
  <c r="D45" i="45" s="1"/>
  <c r="K45" i="45" s="1"/>
  <c r="L45" i="45" s="1"/>
  <c r="J46" i="45" s="1"/>
  <c r="G59" i="15"/>
  <c r="BC551" i="29"/>
  <c r="BF551" i="29" s="1"/>
  <c r="BD552" i="29"/>
  <c r="BE551" i="29"/>
  <c r="BG551" i="29" s="1"/>
  <c r="BA551" i="29" s="1"/>
  <c r="BP551" i="29"/>
  <c r="BZ515" i="29"/>
  <c r="BX516" i="29" s="1"/>
  <c r="AZ550" i="29"/>
  <c r="BH550" i="29"/>
  <c r="BB550" i="29" s="1"/>
  <c r="BL114" i="44" l="1"/>
  <c r="BQ114" i="44"/>
  <c r="BD114" i="44"/>
  <c r="BO114" i="44"/>
  <c r="BR114" i="44"/>
  <c r="BP114" i="44"/>
  <c r="BF114" i="44"/>
  <c r="BG114" i="44"/>
  <c r="BH114" i="44"/>
  <c r="BA114" i="44"/>
  <c r="BJ114" i="44"/>
  <c r="BK114" i="44"/>
  <c r="BI114" i="44"/>
  <c r="BC114" i="44"/>
  <c r="BN114" i="44"/>
  <c r="BE114" i="44"/>
  <c r="BM114" i="44"/>
  <c r="BB114" i="44"/>
  <c r="BV525" i="29"/>
  <c r="CC525" i="29"/>
  <c r="F192" i="15"/>
  <c r="L61" i="39"/>
  <c r="AA549" i="29"/>
  <c r="M549" i="29"/>
  <c r="CB550" i="29"/>
  <c r="BV550" i="29" s="1"/>
  <c r="W549" i="29"/>
  <c r="Y549" i="29" s="1"/>
  <c r="CA550" i="29"/>
  <c r="BU550" i="29" s="1"/>
  <c r="Q550" i="29"/>
  <c r="X550" i="29" s="1"/>
  <c r="R550" i="29"/>
  <c r="V551" i="29"/>
  <c r="S552" i="29"/>
  <c r="T552" i="29"/>
  <c r="AF551" i="29"/>
  <c r="AE551" i="29"/>
  <c r="AC550" i="29"/>
  <c r="BY553" i="29"/>
  <c r="BN554" i="29"/>
  <c r="BO554" i="29"/>
  <c r="BR553" i="29"/>
  <c r="U551" i="29"/>
  <c r="AB551" i="29" s="1"/>
  <c r="AB550" i="29"/>
  <c r="BQ554" i="29"/>
  <c r="BQ555" i="29" s="1"/>
  <c r="X549" i="29"/>
  <c r="J552" i="29"/>
  <c r="K552" i="29"/>
  <c r="L551" i="29"/>
  <c r="BZ516" i="29"/>
  <c r="BX517" i="29" s="1"/>
  <c r="AZ551" i="29"/>
  <c r="BH551" i="29"/>
  <c r="BB551" i="29" s="1"/>
  <c r="BD553" i="29"/>
  <c r="BE552" i="29"/>
  <c r="BG552" i="29" s="1"/>
  <c r="BA552" i="29" s="1"/>
  <c r="BP552" i="29"/>
  <c r="BC552" i="29"/>
  <c r="BF552" i="29" s="1"/>
  <c r="L552" i="29" l="1"/>
  <c r="K553" i="29"/>
  <c r="J553" i="29"/>
  <c r="R551" i="29"/>
  <c r="Q551" i="29"/>
  <c r="X551" i="29" s="1"/>
  <c r="BR554" i="29"/>
  <c r="BN555" i="29"/>
  <c r="BY554" i="29"/>
  <c r="BO555" i="29"/>
  <c r="U552" i="29"/>
  <c r="AC551" i="29"/>
  <c r="M550" i="29"/>
  <c r="W550" i="29"/>
  <c r="Y550" i="29" s="1"/>
  <c r="CA551" i="29"/>
  <c r="BU551" i="29" s="1"/>
  <c r="AA550" i="29"/>
  <c r="CB551" i="29"/>
  <c r="BV551" i="29" s="1"/>
  <c r="T553" i="29"/>
  <c r="S553" i="29"/>
  <c r="V552" i="29"/>
  <c r="AF552" i="29"/>
  <c r="AE552" i="29"/>
  <c r="CC550" i="29"/>
  <c r="BZ517" i="29"/>
  <c r="BX518" i="29" s="1"/>
  <c r="BH552" i="29"/>
  <c r="BB552" i="29" s="1"/>
  <c r="AZ552" i="29"/>
  <c r="BP553" i="29"/>
  <c r="BE553" i="29"/>
  <c r="BG553" i="29" s="1"/>
  <c r="BA553" i="29" s="1"/>
  <c r="BC553" i="29"/>
  <c r="BF553" i="29" s="1"/>
  <c r="BD554" i="29"/>
  <c r="T554" i="29" l="1"/>
  <c r="S554" i="29"/>
  <c r="V553" i="29"/>
  <c r="AF553" i="29"/>
  <c r="AE553" i="29"/>
  <c r="BO556" i="29"/>
  <c r="BY555" i="29"/>
  <c r="BR555" i="29"/>
  <c r="BN556" i="29"/>
  <c r="L553" i="29"/>
  <c r="K554" i="29"/>
  <c r="J554" i="29"/>
  <c r="CC551" i="29"/>
  <c r="Q552" i="29"/>
  <c r="R552" i="29"/>
  <c r="AA551" i="29"/>
  <c r="W551" i="29"/>
  <c r="Y551" i="29" s="1"/>
  <c r="CB552" i="29"/>
  <c r="BV552" i="29" s="1"/>
  <c r="M551" i="29"/>
  <c r="CA552" i="29"/>
  <c r="BU552" i="29" s="1"/>
  <c r="AC552" i="29"/>
  <c r="BQ556" i="29"/>
  <c r="U553" i="29"/>
  <c r="AB553" i="29" s="1"/>
  <c r="AB552" i="29"/>
  <c r="BZ518" i="29"/>
  <c r="BX519" i="29" s="1"/>
  <c r="BP554" i="29"/>
  <c r="BE554" i="29"/>
  <c r="BG554" i="29" s="1"/>
  <c r="BA554" i="29" s="1"/>
  <c r="BC554" i="29"/>
  <c r="BF554" i="29" s="1"/>
  <c r="BD555" i="29"/>
  <c r="BH553" i="29"/>
  <c r="BB553" i="29" s="1"/>
  <c r="AZ553" i="29"/>
  <c r="AC553" i="29" l="1"/>
  <c r="U554" i="29"/>
  <c r="Q553" i="29"/>
  <c r="X553" i="29" s="1"/>
  <c r="R553" i="29"/>
  <c r="K555" i="29"/>
  <c r="L554" i="29"/>
  <c r="J555" i="29"/>
  <c r="BY556" i="29"/>
  <c r="BR556" i="29"/>
  <c r="BN557" i="29"/>
  <c r="BO557" i="29"/>
  <c r="CC552" i="29"/>
  <c r="T555" i="29"/>
  <c r="V554" i="29"/>
  <c r="S555" i="29"/>
  <c r="AF554" i="29"/>
  <c r="AE554" i="29"/>
  <c r="X552" i="29"/>
  <c r="CB553" i="29"/>
  <c r="BV553" i="29" s="1"/>
  <c r="M552" i="29"/>
  <c r="CA553" i="29"/>
  <c r="BU553" i="29" s="1"/>
  <c r="W552" i="29"/>
  <c r="Y552" i="29" s="1"/>
  <c r="AA552" i="29"/>
  <c r="BQ557" i="29"/>
  <c r="BQ558" i="29" s="1"/>
  <c r="BZ519" i="29"/>
  <c r="BX520" i="29" s="1"/>
  <c r="BE555" i="29"/>
  <c r="BG555" i="29" s="1"/>
  <c r="BA555" i="29" s="1"/>
  <c r="BD556" i="29"/>
  <c r="BC555" i="29"/>
  <c r="BF555" i="29" s="1"/>
  <c r="BP555" i="29"/>
  <c r="BH554" i="29"/>
  <c r="BB554" i="29" s="1"/>
  <c r="AZ554" i="29"/>
  <c r="CC553" i="29" l="1"/>
  <c r="J556" i="29"/>
  <c r="K556" i="29"/>
  <c r="L555" i="29"/>
  <c r="R554" i="29"/>
  <c r="Q554" i="29"/>
  <c r="U555" i="29"/>
  <c r="AC555" i="29" s="1"/>
  <c r="AC554" i="29"/>
  <c r="BY557" i="29"/>
  <c r="BR557" i="29"/>
  <c r="BN558" i="29"/>
  <c r="BO558" i="29"/>
  <c r="BQ559" i="29" s="1"/>
  <c r="AB554" i="29"/>
  <c r="T556" i="29"/>
  <c r="V555" i="29"/>
  <c r="S556" i="29"/>
  <c r="AF555" i="29"/>
  <c r="AE555" i="29"/>
  <c r="AA553" i="29"/>
  <c r="CA554" i="29"/>
  <c r="BU554" i="29" s="1"/>
  <c r="CB554" i="29"/>
  <c r="BV554" i="29" s="1"/>
  <c r="W553" i="29"/>
  <c r="Y553" i="29" s="1"/>
  <c r="M553" i="29"/>
  <c r="BE556" i="29"/>
  <c r="BG556" i="29" s="1"/>
  <c r="BA556" i="29" s="1"/>
  <c r="BC556" i="29"/>
  <c r="BF556" i="29" s="1"/>
  <c r="BP556" i="29"/>
  <c r="BD557" i="29"/>
  <c r="BZ520" i="29"/>
  <c r="BX521" i="29" s="1"/>
  <c r="AZ555" i="29"/>
  <c r="BH555" i="29"/>
  <c r="BB555" i="29" s="1"/>
  <c r="CC554" i="29" l="1"/>
  <c r="AB555" i="29"/>
  <c r="U556" i="29"/>
  <c r="AC556" i="29" s="1"/>
  <c r="BY558" i="29"/>
  <c r="BR558" i="29"/>
  <c r="BN559" i="29"/>
  <c r="BO559" i="29"/>
  <c r="BQ560" i="29" s="1"/>
  <c r="X554" i="29"/>
  <c r="CB555" i="29"/>
  <c r="BV555" i="29" s="1"/>
  <c r="M554" i="29"/>
  <c r="CA555" i="29"/>
  <c r="BU555" i="29" s="1"/>
  <c r="W554" i="29"/>
  <c r="Y554" i="29" s="1"/>
  <c r="AA554" i="29"/>
  <c r="L556" i="29"/>
  <c r="J557" i="29"/>
  <c r="K557" i="29"/>
  <c r="T557" i="29"/>
  <c r="S557" i="29"/>
  <c r="V556" i="29"/>
  <c r="AE556" i="29"/>
  <c r="AF556" i="29"/>
  <c r="R555" i="29"/>
  <c r="Q555" i="29"/>
  <c r="X555" i="29" s="1"/>
  <c r="BH556" i="29"/>
  <c r="BB556" i="29" s="1"/>
  <c r="AZ556" i="29"/>
  <c r="BE557" i="29"/>
  <c r="BG557" i="29" s="1"/>
  <c r="BA557" i="29" s="1"/>
  <c r="BD558" i="29"/>
  <c r="BC557" i="29"/>
  <c r="BF557" i="29" s="1"/>
  <c r="BP557" i="29"/>
  <c r="BZ521" i="29"/>
  <c r="BX522" i="29" s="1"/>
  <c r="AB556" i="29" l="1"/>
  <c r="V557" i="29"/>
  <c r="S558" i="29"/>
  <c r="T558" i="29"/>
  <c r="AF557" i="29"/>
  <c r="AE557" i="29"/>
  <c r="CC555" i="29"/>
  <c r="CA556" i="29"/>
  <c r="BU556" i="29" s="1"/>
  <c r="AA555" i="29"/>
  <c r="W555" i="29"/>
  <c r="Y555" i="29" s="1"/>
  <c r="M555" i="29"/>
  <c r="CB556" i="29"/>
  <c r="BV556" i="29" s="1"/>
  <c r="K558" i="29"/>
  <c r="L557" i="29"/>
  <c r="J558" i="29"/>
  <c r="U557" i="29"/>
  <c r="AB557" i="29" s="1"/>
  <c r="BR559" i="29"/>
  <c r="BO560" i="29"/>
  <c r="BN560" i="29"/>
  <c r="BY559" i="29"/>
  <c r="Q556" i="29"/>
  <c r="X556" i="29" s="1"/>
  <c r="R556" i="29"/>
  <c r="BZ522" i="29"/>
  <c r="BX523" i="29" s="1"/>
  <c r="BP558" i="29"/>
  <c r="BD559" i="29"/>
  <c r="BE558" i="29"/>
  <c r="BG558" i="29" s="1"/>
  <c r="BA558" i="29" s="1"/>
  <c r="BC558" i="29"/>
  <c r="BF558" i="29" s="1"/>
  <c r="AZ557" i="29"/>
  <c r="BH557" i="29"/>
  <c r="BB557" i="29" s="1"/>
  <c r="AC557" i="29" l="1"/>
  <c r="K559" i="29"/>
  <c r="L558" i="29"/>
  <c r="J559" i="29"/>
  <c r="U558" i="29"/>
  <c r="AC558" i="29" s="1"/>
  <c r="M556" i="29"/>
  <c r="W556" i="29"/>
  <c r="Y556" i="29" s="1"/>
  <c r="CA557" i="29"/>
  <c r="BU557" i="29" s="1"/>
  <c r="CB557" i="29"/>
  <c r="BV557" i="29" s="1"/>
  <c r="AA556" i="29"/>
  <c r="BO561" i="29"/>
  <c r="BR560" i="29"/>
  <c r="BN561" i="29"/>
  <c r="BY560" i="29"/>
  <c r="CC556" i="29"/>
  <c r="R557" i="29"/>
  <c r="Q557" i="29"/>
  <c r="T559" i="29"/>
  <c r="V558" i="29"/>
  <c r="S559" i="29"/>
  <c r="AF558" i="29"/>
  <c r="AE558" i="29"/>
  <c r="BQ561" i="29"/>
  <c r="BH558" i="29"/>
  <c r="BB558" i="29" s="1"/>
  <c r="AZ558" i="29"/>
  <c r="BD560" i="29"/>
  <c r="BC559" i="29"/>
  <c r="BF559" i="29" s="1"/>
  <c r="BE559" i="29"/>
  <c r="BG559" i="29" s="1"/>
  <c r="BA559" i="29" s="1"/>
  <c r="BP559" i="29"/>
  <c r="BZ523" i="29"/>
  <c r="BX524" i="29" s="1"/>
  <c r="BQ562" i="29" l="1"/>
  <c r="R558" i="29"/>
  <c r="Q558" i="29"/>
  <c r="X558" i="29" s="1"/>
  <c r="S560" i="29"/>
  <c r="T560" i="29"/>
  <c r="V559" i="29"/>
  <c r="AE559" i="29"/>
  <c r="AF559" i="29"/>
  <c r="BN562" i="29"/>
  <c r="BR561" i="29"/>
  <c r="BO562" i="29"/>
  <c r="AA557" i="29"/>
  <c r="W557" i="29"/>
  <c r="Y557" i="29" s="1"/>
  <c r="CA558" i="29"/>
  <c r="BU558" i="29" s="1"/>
  <c r="M557" i="29"/>
  <c r="CB558" i="29"/>
  <c r="BV558" i="29" s="1"/>
  <c r="CC557" i="29"/>
  <c r="AB558" i="29"/>
  <c r="L559" i="29"/>
  <c r="J560" i="29"/>
  <c r="K560" i="29"/>
  <c r="U559" i="29"/>
  <c r="AC559" i="29" s="1"/>
  <c r="X557" i="29"/>
  <c r="BZ524" i="29"/>
  <c r="BY525" i="29" s="1"/>
  <c r="BE560" i="29"/>
  <c r="BG560" i="29" s="1"/>
  <c r="BA560" i="29" s="1"/>
  <c r="BD561" i="29"/>
  <c r="BC560" i="29"/>
  <c r="BF560" i="29" s="1"/>
  <c r="BP560" i="29"/>
  <c r="AZ559" i="29"/>
  <c r="BH559" i="29"/>
  <c r="BB559" i="29" s="1"/>
  <c r="AB559" i="29" l="1"/>
  <c r="R559" i="29"/>
  <c r="Q559" i="29"/>
  <c r="X559" i="29" s="1"/>
  <c r="CC558" i="29"/>
  <c r="S561" i="29"/>
  <c r="T561" i="29"/>
  <c r="V560" i="29"/>
  <c r="AF560" i="29"/>
  <c r="AE560" i="29"/>
  <c r="J561" i="29"/>
  <c r="L560" i="29"/>
  <c r="K561" i="29"/>
  <c r="U560" i="29"/>
  <c r="BQ563" i="29"/>
  <c r="BY562" i="29"/>
  <c r="BR562" i="29"/>
  <c r="BN563" i="29"/>
  <c r="BO563" i="29"/>
  <c r="M558" i="29"/>
  <c r="AA558" i="29"/>
  <c r="CB559" i="29"/>
  <c r="BV559" i="29" s="1"/>
  <c r="W558" i="29"/>
  <c r="Y558" i="29" s="1"/>
  <c r="CA559" i="29"/>
  <c r="BU559" i="29" s="1"/>
  <c r="BW525" i="29"/>
  <c r="BX525" i="29"/>
  <c r="BH560" i="29"/>
  <c r="BB560" i="29" s="1"/>
  <c r="AZ560" i="29"/>
  <c r="BP561" i="29"/>
  <c r="BE561" i="29"/>
  <c r="BG561" i="29" s="1"/>
  <c r="BA561" i="29" s="1"/>
  <c r="BI561" i="29"/>
  <c r="BC561" i="29"/>
  <c r="BF561" i="29" s="1"/>
  <c r="BD562" i="29"/>
  <c r="CC559" i="29" l="1"/>
  <c r="R560" i="29"/>
  <c r="Q560" i="29"/>
  <c r="U561" i="29"/>
  <c r="AB561" i="29" s="1"/>
  <c r="M559" i="29"/>
  <c r="CA560" i="29"/>
  <c r="BU560" i="29" s="1"/>
  <c r="AA559" i="29"/>
  <c r="CB560" i="29"/>
  <c r="BV560" i="29" s="1"/>
  <c r="W559" i="29"/>
  <c r="Y559" i="29" s="1"/>
  <c r="S562" i="29"/>
  <c r="V561" i="29"/>
  <c r="T562" i="29"/>
  <c r="AF561" i="29"/>
  <c r="AE561" i="29"/>
  <c r="BO564" i="29"/>
  <c r="BY563" i="29"/>
  <c r="BN564" i="29"/>
  <c r="BR563" i="29"/>
  <c r="BQ564" i="29"/>
  <c r="BQ565" i="29" s="1"/>
  <c r="L561" i="29"/>
  <c r="K562" i="29"/>
  <c r="J562" i="29"/>
  <c r="BH561" i="29"/>
  <c r="BB561" i="29" s="1"/>
  <c r="AZ561" i="29"/>
  <c r="BZ525" i="29"/>
  <c r="BX526" i="29" s="1"/>
  <c r="BE562" i="29"/>
  <c r="BG562" i="29" s="1"/>
  <c r="BA562" i="29" s="1"/>
  <c r="BP562" i="29"/>
  <c r="BD563" i="29"/>
  <c r="BC562" i="29"/>
  <c r="BF562" i="29" s="1"/>
  <c r="BS525" i="29"/>
  <c r="BT525" i="29"/>
  <c r="M524" i="29" s="1"/>
  <c r="CC560" i="29" l="1"/>
  <c r="J563" i="29"/>
  <c r="K563" i="29"/>
  <c r="L562" i="29"/>
  <c r="S563" i="29"/>
  <c r="V562" i="29"/>
  <c r="T563" i="29"/>
  <c r="AE562" i="29"/>
  <c r="AF562" i="29"/>
  <c r="AA560" i="29"/>
  <c r="CA561" i="29"/>
  <c r="BU561" i="29" s="1"/>
  <c r="W560" i="29"/>
  <c r="BN565" i="29"/>
  <c r="BY564" i="29"/>
  <c r="BR564" i="29"/>
  <c r="BO565" i="29"/>
  <c r="Q561" i="29"/>
  <c r="X561" i="29" s="1"/>
  <c r="R561" i="29"/>
  <c r="U562" i="29"/>
  <c r="AC562" i="29" s="1"/>
  <c r="AC561" i="29"/>
  <c r="BZ526" i="29"/>
  <c r="BX527" i="29" s="1"/>
  <c r="H53" i="29"/>
  <c r="K46" i="40" s="1"/>
  <c r="X524" i="29"/>
  <c r="Y524" i="29" s="1"/>
  <c r="Z524" i="29" s="1"/>
  <c r="AZ562" i="29"/>
  <c r="BH562" i="29"/>
  <c r="BB562" i="29" s="1"/>
  <c r="BP563" i="29"/>
  <c r="BE563" i="29"/>
  <c r="BG563" i="29" s="1"/>
  <c r="BA563" i="29" s="1"/>
  <c r="BD564" i="29"/>
  <c r="BC563" i="29"/>
  <c r="BF563" i="29" s="1"/>
  <c r="AC524" i="29" l="1"/>
  <c r="AB524" i="29"/>
  <c r="Z525" i="29"/>
  <c r="Z526" i="29" s="1"/>
  <c r="Z527" i="29" s="1"/>
  <c r="Z528" i="29" s="1"/>
  <c r="Z529" i="29" s="1"/>
  <c r="Z530" i="29" s="1"/>
  <c r="Z531" i="29" s="1"/>
  <c r="Z532" i="29" s="1"/>
  <c r="Z533" i="29" s="1"/>
  <c r="Z534" i="29" s="1"/>
  <c r="Z535" i="29" s="1"/>
  <c r="CB537" i="29"/>
  <c r="G53" i="29"/>
  <c r="L46" i="40" s="1"/>
  <c r="BR565" i="29"/>
  <c r="BY565" i="29"/>
  <c r="BO566" i="29"/>
  <c r="BN566" i="29"/>
  <c r="BQ566" i="29"/>
  <c r="T564" i="29"/>
  <c r="S564" i="29"/>
  <c r="V563" i="29"/>
  <c r="AF563" i="29"/>
  <c r="AE563" i="29"/>
  <c r="K564" i="29"/>
  <c r="L563" i="29"/>
  <c r="J564" i="29"/>
  <c r="Q562" i="29"/>
  <c r="X562" i="29" s="1"/>
  <c r="R562" i="29"/>
  <c r="AB562" i="29"/>
  <c r="AA561" i="29"/>
  <c r="CA562" i="29"/>
  <c r="BU562" i="29" s="1"/>
  <c r="M561" i="29"/>
  <c r="W561" i="29"/>
  <c r="Y561" i="29" s="1"/>
  <c r="CB562" i="29"/>
  <c r="BV562" i="29" s="1"/>
  <c r="U563" i="29"/>
  <c r="AB563" i="29" s="1"/>
  <c r="AZ563" i="29"/>
  <c r="BH563" i="29"/>
  <c r="BB563" i="29" s="1"/>
  <c r="BE564" i="29"/>
  <c r="BG564" i="29" s="1"/>
  <c r="BA564" i="29" s="1"/>
  <c r="BD565" i="29"/>
  <c r="BC564" i="29"/>
  <c r="BF564" i="29" s="1"/>
  <c r="BP564" i="29"/>
  <c r="D193" i="15"/>
  <c r="I62" i="39"/>
  <c r="H46" i="44" s="1"/>
  <c r="D46" i="45" s="1"/>
  <c r="K46" i="45" s="1"/>
  <c r="L46" i="45" s="1"/>
  <c r="J47" i="45" s="1"/>
  <c r="G60" i="15"/>
  <c r="BZ527" i="29"/>
  <c r="BX528" i="29" s="1"/>
  <c r="BI115" i="44" l="1"/>
  <c r="BN115" i="44"/>
  <c r="BQ115" i="44"/>
  <c r="BE115" i="44"/>
  <c r="BJ115" i="44"/>
  <c r="BL115" i="44"/>
  <c r="BK115" i="44"/>
  <c r="BO115" i="44"/>
  <c r="BG115" i="44"/>
  <c r="BR115" i="44"/>
  <c r="BM115" i="44"/>
  <c r="BF115" i="44"/>
  <c r="BD115" i="44"/>
  <c r="BC115" i="44"/>
  <c r="BB115" i="44"/>
  <c r="BH115" i="44"/>
  <c r="BP115" i="44"/>
  <c r="BV537" i="29"/>
  <c r="CC537" i="29"/>
  <c r="F193" i="15"/>
  <c r="L62" i="39"/>
  <c r="CC562" i="29"/>
  <c r="AC563" i="29"/>
  <c r="BQ567" i="29"/>
  <c r="R563" i="29"/>
  <c r="Q563" i="29"/>
  <c r="X563" i="29" s="1"/>
  <c r="L564" i="29"/>
  <c r="K565" i="29"/>
  <c r="J565" i="29"/>
  <c r="U564" i="29"/>
  <c r="AC564" i="29" s="1"/>
  <c r="BR566" i="29"/>
  <c r="BY566" i="29"/>
  <c r="BN567" i="29"/>
  <c r="BO567" i="29"/>
  <c r="M562" i="29"/>
  <c r="CB563" i="29"/>
  <c r="BV563" i="29" s="1"/>
  <c r="AA562" i="29"/>
  <c r="W562" i="29"/>
  <c r="Y562" i="29" s="1"/>
  <c r="CA563" i="29"/>
  <c r="BU563" i="29" s="1"/>
  <c r="V564" i="29"/>
  <c r="S565" i="29"/>
  <c r="T565" i="29"/>
  <c r="AE564" i="29"/>
  <c r="AF564" i="29"/>
  <c r="BZ528" i="29"/>
  <c r="BX529" i="29" s="1"/>
  <c r="BP565" i="29"/>
  <c r="BC565" i="29"/>
  <c r="BF565" i="29" s="1"/>
  <c r="BE565" i="29"/>
  <c r="BG565" i="29" s="1"/>
  <c r="BA565" i="29" s="1"/>
  <c r="BD566" i="29"/>
  <c r="BH564" i="29"/>
  <c r="BB564" i="29" s="1"/>
  <c r="AZ564" i="29"/>
  <c r="CC563" i="29" l="1"/>
  <c r="BQ568" i="29"/>
  <c r="BQ569" i="29" s="1"/>
  <c r="BN568" i="29"/>
  <c r="BO568" i="29"/>
  <c r="BR567" i="29"/>
  <c r="BY567" i="29"/>
  <c r="R564" i="29"/>
  <c r="Q564" i="29"/>
  <c r="J566" i="29"/>
  <c r="L565" i="29"/>
  <c r="K566" i="29"/>
  <c r="CB564" i="29"/>
  <c r="BV564" i="29" s="1"/>
  <c r="M563" i="29"/>
  <c r="AA563" i="29"/>
  <c r="W563" i="29"/>
  <c r="Y563" i="29" s="1"/>
  <c r="CA564" i="29"/>
  <c r="BU564" i="29" s="1"/>
  <c r="V565" i="29"/>
  <c r="T566" i="29"/>
  <c r="S566" i="29"/>
  <c r="AF565" i="29"/>
  <c r="AE565" i="29"/>
  <c r="U565" i="29"/>
  <c r="AC565" i="29" s="1"/>
  <c r="AB564" i="29"/>
  <c r="BZ529" i="29"/>
  <c r="BX530" i="29" s="1"/>
  <c r="AZ565" i="29"/>
  <c r="BH565" i="29"/>
  <c r="BB565" i="29" s="1"/>
  <c r="BC566" i="29"/>
  <c r="BF566" i="29" s="1"/>
  <c r="BE566" i="29"/>
  <c r="BG566" i="29" s="1"/>
  <c r="BA566" i="29" s="1"/>
  <c r="BD567" i="29"/>
  <c r="BP566" i="29"/>
  <c r="CC564" i="29" l="1"/>
  <c r="CB565" i="29"/>
  <c r="BV565" i="29" s="1"/>
  <c r="CA565" i="29"/>
  <c r="BU565" i="29" s="1"/>
  <c r="M564" i="29"/>
  <c r="W564" i="29"/>
  <c r="Y564" i="29" s="1"/>
  <c r="AA564" i="29"/>
  <c r="R565" i="29"/>
  <c r="Q565" i="29"/>
  <c r="X565" i="29" s="1"/>
  <c r="U566" i="29"/>
  <c r="AC566" i="29" s="1"/>
  <c r="AB565" i="29"/>
  <c r="S567" i="29"/>
  <c r="T567" i="29"/>
  <c r="V566" i="29"/>
  <c r="AE566" i="29"/>
  <c r="AF566" i="29"/>
  <c r="J567" i="29"/>
  <c r="L566" i="29"/>
  <c r="K567" i="29"/>
  <c r="X564" i="29"/>
  <c r="BO569" i="29"/>
  <c r="BQ570" i="29" s="1"/>
  <c r="BN569" i="29"/>
  <c r="BY568" i="29"/>
  <c r="BR568" i="29"/>
  <c r="BZ530" i="29"/>
  <c r="BX531" i="29" s="1"/>
  <c r="BD568" i="29"/>
  <c r="BP567" i="29"/>
  <c r="BE567" i="29"/>
  <c r="BG567" i="29" s="1"/>
  <c r="BA567" i="29" s="1"/>
  <c r="BC567" i="29"/>
  <c r="BF567" i="29" s="1"/>
  <c r="BH566" i="29"/>
  <c r="BB566" i="29" s="1"/>
  <c r="AZ566" i="29"/>
  <c r="CC565" i="29" l="1"/>
  <c r="L567" i="29"/>
  <c r="K568" i="29"/>
  <c r="J568" i="29"/>
  <c r="Q566" i="29"/>
  <c r="R566" i="29"/>
  <c r="BN570" i="29"/>
  <c r="BO570" i="29"/>
  <c r="BQ571" i="29" s="1"/>
  <c r="BR569" i="29"/>
  <c r="BY569" i="29"/>
  <c r="V567" i="29"/>
  <c r="S568" i="29"/>
  <c r="T568" i="29"/>
  <c r="AF567" i="29"/>
  <c r="AE567" i="29"/>
  <c r="CA566" i="29"/>
  <c r="BU566" i="29" s="1"/>
  <c r="W565" i="29"/>
  <c r="Y565" i="29" s="1"/>
  <c r="M565" i="29"/>
  <c r="CB566" i="29"/>
  <c r="BV566" i="29" s="1"/>
  <c r="AA565" i="29"/>
  <c r="U567" i="29"/>
  <c r="AB566" i="29"/>
  <c r="BH567" i="29"/>
  <c r="BB567" i="29" s="1"/>
  <c r="AZ567" i="29"/>
  <c r="BZ531" i="29"/>
  <c r="BX532" i="29" s="1"/>
  <c r="BD569" i="29"/>
  <c r="BP568" i="29"/>
  <c r="BE568" i="29"/>
  <c r="BG568" i="29" s="1"/>
  <c r="BA568" i="29" s="1"/>
  <c r="BC568" i="29"/>
  <c r="BF568" i="29" s="1"/>
  <c r="CC566" i="29" l="1"/>
  <c r="V568" i="29"/>
  <c r="S569" i="29"/>
  <c r="T569" i="29"/>
  <c r="AF568" i="29"/>
  <c r="AE568" i="29"/>
  <c r="K569" i="29"/>
  <c r="L568" i="29"/>
  <c r="J569" i="29"/>
  <c r="W566" i="29"/>
  <c r="Y566" i="29" s="1"/>
  <c r="CA567" i="29"/>
  <c r="BU567" i="29" s="1"/>
  <c r="M566" i="29"/>
  <c r="CB567" i="29"/>
  <c r="BV567" i="29" s="1"/>
  <c r="AA566" i="29"/>
  <c r="Q567" i="29"/>
  <c r="R567" i="29"/>
  <c r="U568" i="29"/>
  <c r="BO571" i="29"/>
  <c r="BR570" i="29"/>
  <c r="BY570" i="29"/>
  <c r="BN571" i="29"/>
  <c r="AC567" i="29"/>
  <c r="AB567" i="29"/>
  <c r="X566" i="29"/>
  <c r="BZ532" i="29"/>
  <c r="BX533" i="29" s="1"/>
  <c r="BH568" i="29"/>
  <c r="BB568" i="29" s="1"/>
  <c r="AZ568" i="29"/>
  <c r="BP569" i="29"/>
  <c r="BE569" i="29"/>
  <c r="BG569" i="29" s="1"/>
  <c r="BA569" i="29" s="1"/>
  <c r="BD570" i="29"/>
  <c r="BC569" i="29"/>
  <c r="BF569" i="29" s="1"/>
  <c r="CC567" i="29" l="1"/>
  <c r="Q568" i="29"/>
  <c r="R568" i="29"/>
  <c r="AB568" i="29"/>
  <c r="W567" i="29"/>
  <c r="Y567" i="29" s="1"/>
  <c r="M567" i="29"/>
  <c r="CA568" i="29"/>
  <c r="BU568" i="29" s="1"/>
  <c r="CB568" i="29"/>
  <c r="BV568" i="29" s="1"/>
  <c r="AA567" i="29"/>
  <c r="AC568" i="29"/>
  <c r="T570" i="29"/>
  <c r="S570" i="29"/>
  <c r="V569" i="29"/>
  <c r="AE569" i="29"/>
  <c r="AF569" i="29"/>
  <c r="BY571" i="29"/>
  <c r="BR571" i="29"/>
  <c r="BN572" i="29"/>
  <c r="BO572" i="29"/>
  <c r="X567" i="29"/>
  <c r="K570" i="29"/>
  <c r="J570" i="29"/>
  <c r="L569" i="29"/>
  <c r="U569" i="29"/>
  <c r="AB569" i="29" s="1"/>
  <c r="BQ572" i="29"/>
  <c r="BQ573" i="29" s="1"/>
  <c r="BP570" i="29"/>
  <c r="BD571" i="29"/>
  <c r="BE570" i="29"/>
  <c r="BG570" i="29" s="1"/>
  <c r="BA570" i="29" s="1"/>
  <c r="BC570" i="29"/>
  <c r="BF570" i="29" s="1"/>
  <c r="BH569" i="29"/>
  <c r="BB569" i="29" s="1"/>
  <c r="AZ569" i="29"/>
  <c r="BZ533" i="29"/>
  <c r="BX534" i="29" s="1"/>
  <c r="L570" i="29" l="1"/>
  <c r="J571" i="29"/>
  <c r="K571" i="29"/>
  <c r="Q569" i="29"/>
  <c r="R569" i="29"/>
  <c r="AC569" i="29"/>
  <c r="U570" i="29"/>
  <c r="AC570" i="29" s="1"/>
  <c r="CC568" i="29"/>
  <c r="X568" i="29"/>
  <c r="CB569" i="29"/>
  <c r="BV569" i="29" s="1"/>
  <c r="AA568" i="29"/>
  <c r="M568" i="29"/>
  <c r="CA569" i="29"/>
  <c r="BU569" i="29" s="1"/>
  <c r="W568" i="29"/>
  <c r="Y568" i="29" s="1"/>
  <c r="BY572" i="29"/>
  <c r="BN573" i="29"/>
  <c r="BO573" i="29"/>
  <c r="BR572" i="29"/>
  <c r="T571" i="29"/>
  <c r="S571" i="29"/>
  <c r="V570" i="29"/>
  <c r="AF570" i="29"/>
  <c r="AE570" i="29"/>
  <c r="BZ534" i="29"/>
  <c r="BX535" i="29" s="1"/>
  <c r="AZ570" i="29"/>
  <c r="BH570" i="29"/>
  <c r="BB570" i="29" s="1"/>
  <c r="BE571" i="29"/>
  <c r="BG571" i="29" s="1"/>
  <c r="BA571" i="29" s="1"/>
  <c r="BD572" i="29"/>
  <c r="BP571" i="29"/>
  <c r="BC571" i="29"/>
  <c r="BF571" i="29" s="1"/>
  <c r="CC569" i="29" l="1"/>
  <c r="BR573" i="29"/>
  <c r="BO574" i="29"/>
  <c r="BN574" i="29"/>
  <c r="U571" i="29"/>
  <c r="AB571" i="29" s="1"/>
  <c r="AB570" i="29"/>
  <c r="M569" i="29"/>
  <c r="CB570" i="29"/>
  <c r="BV570" i="29" s="1"/>
  <c r="CA570" i="29"/>
  <c r="BU570" i="29" s="1"/>
  <c r="AA569" i="29"/>
  <c r="W569" i="29"/>
  <c r="Y569" i="29" s="1"/>
  <c r="S572" i="29"/>
  <c r="V571" i="29"/>
  <c r="T572" i="29"/>
  <c r="AE571" i="29"/>
  <c r="AF571" i="29"/>
  <c r="X569" i="29"/>
  <c r="Q570" i="29"/>
  <c r="X570" i="29" s="1"/>
  <c r="R570" i="29"/>
  <c r="BQ574" i="29"/>
  <c r="BQ575" i="29" s="1"/>
  <c r="K572" i="29"/>
  <c r="L571" i="29"/>
  <c r="J572" i="29"/>
  <c r="BZ535" i="29"/>
  <c r="BX536" i="29" s="1"/>
  <c r="AZ571" i="29"/>
  <c r="BH571" i="29"/>
  <c r="BB571" i="29" s="1"/>
  <c r="BD573" i="29"/>
  <c r="BP572" i="29"/>
  <c r="BE572" i="29"/>
  <c r="BG572" i="29" s="1"/>
  <c r="BA572" i="29" s="1"/>
  <c r="BC572" i="29"/>
  <c r="BF572" i="29" s="1"/>
  <c r="AC571" i="29" l="1"/>
  <c r="U572" i="29"/>
  <c r="CC570" i="29"/>
  <c r="R571" i="29"/>
  <c r="Q571" i="29"/>
  <c r="X571" i="29" s="1"/>
  <c r="BY574" i="29"/>
  <c r="BO575" i="29"/>
  <c r="BN575" i="29"/>
  <c r="BR574" i="29"/>
  <c r="J573" i="29"/>
  <c r="K573" i="29"/>
  <c r="L572" i="29"/>
  <c r="CA571" i="29"/>
  <c r="BU571" i="29" s="1"/>
  <c r="W570" i="29"/>
  <c r="Y570" i="29" s="1"/>
  <c r="CB571" i="29"/>
  <c r="BV571" i="29" s="1"/>
  <c r="M570" i="29"/>
  <c r="AA570" i="29"/>
  <c r="V572" i="29"/>
  <c r="T573" i="29"/>
  <c r="S573" i="29"/>
  <c r="AF572" i="29"/>
  <c r="AE572" i="29"/>
  <c r="BQ576" i="29"/>
  <c r="BH572" i="29"/>
  <c r="BB572" i="29" s="1"/>
  <c r="AZ572" i="29"/>
  <c r="BZ536" i="29"/>
  <c r="BY537" i="29" s="1"/>
  <c r="BE573" i="29"/>
  <c r="BG573" i="29" s="1"/>
  <c r="BA573" i="29" s="1"/>
  <c r="BI573" i="29"/>
  <c r="BP573" i="29"/>
  <c r="BC573" i="29"/>
  <c r="BF573" i="29" s="1"/>
  <c r="BD574" i="29"/>
  <c r="CC571" i="29" l="1"/>
  <c r="L573" i="29"/>
  <c r="K574" i="29"/>
  <c r="J574" i="29"/>
  <c r="BO576" i="29"/>
  <c r="BR575" i="29"/>
  <c r="BN576" i="29"/>
  <c r="BY575" i="29"/>
  <c r="R572" i="29"/>
  <c r="Q572" i="29"/>
  <c r="V573" i="29"/>
  <c r="S574" i="29"/>
  <c r="T574" i="29"/>
  <c r="AE573" i="29"/>
  <c r="AF573" i="29"/>
  <c r="U573" i="29"/>
  <c r="AC573" i="29" s="1"/>
  <c r="CB572" i="29"/>
  <c r="BV572" i="29" s="1"/>
  <c r="CA572" i="29"/>
  <c r="BU572" i="29" s="1"/>
  <c r="W571" i="29"/>
  <c r="Y571" i="29" s="1"/>
  <c r="AA571" i="29"/>
  <c r="M571" i="29"/>
  <c r="BW537" i="29"/>
  <c r="BX537" i="29"/>
  <c r="BE574" i="29"/>
  <c r="BG574" i="29" s="1"/>
  <c r="BA574" i="29" s="1"/>
  <c r="BD575" i="29"/>
  <c r="BP574" i="29"/>
  <c r="BC574" i="29"/>
  <c r="BF574" i="29" s="1"/>
  <c r="BH573" i="29"/>
  <c r="BB573" i="29" s="1"/>
  <c r="AZ573" i="29"/>
  <c r="AB573" i="29" l="1"/>
  <c r="V574" i="29"/>
  <c r="T575" i="29"/>
  <c r="S575" i="29"/>
  <c r="AF574" i="29"/>
  <c r="AE574" i="29"/>
  <c r="CA573" i="29"/>
  <c r="BU573" i="29" s="1"/>
  <c r="W572" i="29"/>
  <c r="AA572" i="29"/>
  <c r="K575" i="29"/>
  <c r="L574" i="29"/>
  <c r="J575" i="29"/>
  <c r="CC572" i="29"/>
  <c r="U574" i="29"/>
  <c r="AB574" i="29" s="1"/>
  <c r="BO577" i="29"/>
  <c r="BN577" i="29"/>
  <c r="BR576" i="29"/>
  <c r="BY576" i="29"/>
  <c r="Q573" i="29"/>
  <c r="X573" i="29" s="1"/>
  <c r="R573" i="29"/>
  <c r="BQ577" i="29"/>
  <c r="BH574" i="29"/>
  <c r="BB574" i="29" s="1"/>
  <c r="AZ574" i="29"/>
  <c r="BC575" i="29"/>
  <c r="BF575" i="29" s="1"/>
  <c r="BP575" i="29"/>
  <c r="BD576" i="29"/>
  <c r="BE575" i="29"/>
  <c r="BG575" i="29" s="1"/>
  <c r="BA575" i="29" s="1"/>
  <c r="BZ537" i="29"/>
  <c r="BX538" i="29" s="1"/>
  <c r="BS537" i="29"/>
  <c r="BT537" i="29"/>
  <c r="M536" i="29" s="1"/>
  <c r="AC574" i="29" l="1"/>
  <c r="U575" i="29"/>
  <c r="AC575" i="29" s="1"/>
  <c r="BQ578" i="29"/>
  <c r="Q574" i="29"/>
  <c r="X574" i="29" s="1"/>
  <c r="R574" i="29"/>
  <c r="V575" i="29"/>
  <c r="S576" i="29"/>
  <c r="T576" i="29"/>
  <c r="AE575" i="29"/>
  <c r="AF575" i="29"/>
  <c r="M573" i="29"/>
  <c r="CA574" i="29"/>
  <c r="BU574" i="29" s="1"/>
  <c r="CB574" i="29"/>
  <c r="BV574" i="29" s="1"/>
  <c r="W573" i="29"/>
  <c r="Y573" i="29" s="1"/>
  <c r="AA573" i="29"/>
  <c r="BR577" i="29"/>
  <c r="BO578" i="29"/>
  <c r="BN578" i="29"/>
  <c r="BY577" i="29"/>
  <c r="K576" i="29"/>
  <c r="L575" i="29"/>
  <c r="J576" i="29"/>
  <c r="BZ538" i="29"/>
  <c r="BX539" i="29" s="1"/>
  <c r="H54" i="29"/>
  <c r="K47" i="40" s="1"/>
  <c r="X536" i="29"/>
  <c r="Y536" i="29" s="1"/>
  <c r="Z536" i="29" s="1"/>
  <c r="AZ575" i="29"/>
  <c r="BH575" i="29"/>
  <c r="BB575" i="29" s="1"/>
  <c r="BC576" i="29"/>
  <c r="BF576" i="29" s="1"/>
  <c r="BD577" i="29"/>
  <c r="BE576" i="29"/>
  <c r="BG576" i="29" s="1"/>
  <c r="BA576" i="29" s="1"/>
  <c r="BP576" i="29"/>
  <c r="AB536" i="29" l="1"/>
  <c r="AC536" i="29"/>
  <c r="Z537" i="29"/>
  <c r="Z538" i="29" s="1"/>
  <c r="Z539" i="29" s="1"/>
  <c r="Z540" i="29" s="1"/>
  <c r="Z541" i="29" s="1"/>
  <c r="Z542" i="29" s="1"/>
  <c r="Z543" i="29" s="1"/>
  <c r="Z544" i="29" s="1"/>
  <c r="Z545" i="29" s="1"/>
  <c r="Z546" i="29" s="1"/>
  <c r="Z547" i="29" s="1"/>
  <c r="CB549" i="29"/>
  <c r="G54" i="29"/>
  <c r="L47" i="40" s="1"/>
  <c r="CC574" i="29"/>
  <c r="J577" i="29"/>
  <c r="K577" i="29"/>
  <c r="L576" i="29"/>
  <c r="BR578" i="29"/>
  <c r="BO579" i="29"/>
  <c r="BN579" i="29"/>
  <c r="BY578" i="29"/>
  <c r="U576" i="29"/>
  <c r="AC576" i="29" s="1"/>
  <c r="CA575" i="29"/>
  <c r="BU575" i="29" s="1"/>
  <c r="CB575" i="29"/>
  <c r="BV575" i="29" s="1"/>
  <c r="W574" i="29"/>
  <c r="Y574" i="29" s="1"/>
  <c r="M574" i="29"/>
  <c r="AA574" i="29"/>
  <c r="BQ579" i="29"/>
  <c r="BQ580" i="29" s="1"/>
  <c r="R575" i="29"/>
  <c r="Q575" i="29"/>
  <c r="X575" i="29" s="1"/>
  <c r="V576" i="29"/>
  <c r="T577" i="29"/>
  <c r="S577" i="29"/>
  <c r="AF576" i="29"/>
  <c r="AE576" i="29"/>
  <c r="AB575" i="29"/>
  <c r="BZ539" i="29"/>
  <c r="BX540" i="29" s="1"/>
  <c r="AZ576" i="29"/>
  <c r="BH576" i="29"/>
  <c r="BB576" i="29" s="1"/>
  <c r="I63" i="39"/>
  <c r="H47" i="44" s="1"/>
  <c r="D47" i="45" s="1"/>
  <c r="K47" i="45" s="1"/>
  <c r="L47" i="45" s="1"/>
  <c r="J48" i="45" s="1"/>
  <c r="D194" i="15"/>
  <c r="G61" i="15"/>
  <c r="BD578" i="29"/>
  <c r="BP577" i="29"/>
  <c r="BE577" i="29"/>
  <c r="BG577" i="29" s="1"/>
  <c r="BA577" i="29" s="1"/>
  <c r="BC577" i="29"/>
  <c r="BF577" i="29" s="1"/>
  <c r="BQ116" i="44" l="1"/>
  <c r="BM116" i="44"/>
  <c r="BI116" i="44"/>
  <c r="BE116" i="44"/>
  <c r="BO116" i="44"/>
  <c r="BK116" i="44"/>
  <c r="BG116" i="44"/>
  <c r="BC116" i="44"/>
  <c r="BR116" i="44"/>
  <c r="BJ116" i="44"/>
  <c r="BN116" i="44"/>
  <c r="BF116" i="44"/>
  <c r="BD116" i="44"/>
  <c r="BP116" i="44"/>
  <c r="BL116" i="44"/>
  <c r="BH116" i="44"/>
  <c r="BV549" i="29"/>
  <c r="CC549" i="29"/>
  <c r="L63" i="39"/>
  <c r="F194" i="15"/>
  <c r="AB576" i="29"/>
  <c r="U577" i="29"/>
  <c r="AC577" i="29" s="1"/>
  <c r="CC575" i="29"/>
  <c r="K578" i="29"/>
  <c r="J578" i="29"/>
  <c r="L577" i="29"/>
  <c r="S578" i="29"/>
  <c r="T578" i="29"/>
  <c r="V577" i="29"/>
  <c r="AE577" i="29"/>
  <c r="AF577" i="29"/>
  <c r="AA575" i="29"/>
  <c r="CB576" i="29"/>
  <c r="BV576" i="29" s="1"/>
  <c r="CA576" i="29"/>
  <c r="BU576" i="29" s="1"/>
  <c r="W575" i="29"/>
  <c r="Y575" i="29" s="1"/>
  <c r="M575" i="29"/>
  <c r="BY579" i="29"/>
  <c r="BO580" i="29"/>
  <c r="BN580" i="29"/>
  <c r="BR579" i="29"/>
  <c r="Q576" i="29"/>
  <c r="R576" i="29"/>
  <c r="BH577" i="29"/>
  <c r="BB577" i="29" s="1"/>
  <c r="AZ577" i="29"/>
  <c r="BE578" i="29"/>
  <c r="BG578" i="29" s="1"/>
  <c r="BA578" i="29" s="1"/>
  <c r="BD579" i="29"/>
  <c r="BP578" i="29"/>
  <c r="BC578" i="29"/>
  <c r="BF578" i="29" s="1"/>
  <c r="BZ540" i="29"/>
  <c r="BX541" i="29" s="1"/>
  <c r="CC576" i="29" l="1"/>
  <c r="AB577" i="29"/>
  <c r="V578" i="29"/>
  <c r="S579" i="29"/>
  <c r="T579" i="29"/>
  <c r="AF578" i="29"/>
  <c r="AE578" i="29"/>
  <c r="K579" i="29"/>
  <c r="L578" i="29"/>
  <c r="J579" i="29"/>
  <c r="BR580" i="29"/>
  <c r="BN581" i="29"/>
  <c r="BY580" i="29"/>
  <c r="BO581" i="29"/>
  <c r="U578" i="29"/>
  <c r="AC578" i="29" s="1"/>
  <c r="X576" i="29"/>
  <c r="CB577" i="29"/>
  <c r="BV577" i="29" s="1"/>
  <c r="M576" i="29"/>
  <c r="AA576" i="29"/>
  <c r="W576" i="29"/>
  <c r="Y576" i="29" s="1"/>
  <c r="CA577" i="29"/>
  <c r="BU577" i="29" s="1"/>
  <c r="BQ581" i="29"/>
  <c r="Q577" i="29"/>
  <c r="X577" i="29" s="1"/>
  <c r="R577" i="29"/>
  <c r="BE579" i="29"/>
  <c r="BG579" i="29" s="1"/>
  <c r="BA579" i="29" s="1"/>
  <c r="BP579" i="29"/>
  <c r="BC579" i="29"/>
  <c r="BF579" i="29" s="1"/>
  <c r="BD580" i="29"/>
  <c r="BZ541" i="29"/>
  <c r="BX542" i="29" s="1"/>
  <c r="BH578" i="29"/>
  <c r="BB578" i="29" s="1"/>
  <c r="AZ578" i="29"/>
  <c r="CC577" i="29" l="1"/>
  <c r="AB578" i="29"/>
  <c r="CA578" i="29"/>
  <c r="BU578" i="29" s="1"/>
  <c r="M577" i="29"/>
  <c r="W577" i="29"/>
  <c r="Y577" i="29" s="1"/>
  <c r="CB578" i="29"/>
  <c r="BV578" i="29" s="1"/>
  <c r="AA577" i="29"/>
  <c r="BY581" i="29"/>
  <c r="BO582" i="29"/>
  <c r="BR581" i="29"/>
  <c r="BN582" i="29"/>
  <c r="K580" i="29"/>
  <c r="L579" i="29"/>
  <c r="J580" i="29"/>
  <c r="U579" i="29"/>
  <c r="AB579" i="29" s="1"/>
  <c r="BQ582" i="29"/>
  <c r="BQ583" i="29" s="1"/>
  <c r="Q578" i="29"/>
  <c r="R578" i="29"/>
  <c r="S580" i="29"/>
  <c r="V579" i="29"/>
  <c r="T580" i="29"/>
  <c r="AF579" i="29"/>
  <c r="AE579" i="29"/>
  <c r="BZ542" i="29"/>
  <c r="BX543" i="29" s="1"/>
  <c r="BC580" i="29"/>
  <c r="BF580" i="29" s="1"/>
  <c r="BD581" i="29"/>
  <c r="BE580" i="29"/>
  <c r="BG580" i="29" s="1"/>
  <c r="BA580" i="29" s="1"/>
  <c r="BP580" i="29"/>
  <c r="AZ579" i="29"/>
  <c r="BH579" i="29"/>
  <c r="BB579" i="29" s="1"/>
  <c r="CC578" i="29" l="1"/>
  <c r="X578" i="29"/>
  <c r="AA578" i="29"/>
  <c r="W578" i="29"/>
  <c r="Y578" i="29" s="1"/>
  <c r="CA579" i="29"/>
  <c r="BU579" i="29" s="1"/>
  <c r="CB579" i="29"/>
  <c r="BV579" i="29" s="1"/>
  <c r="M578" i="29"/>
  <c r="BQ584" i="29"/>
  <c r="U580" i="29"/>
  <c r="R579" i="29"/>
  <c r="Q579" i="29"/>
  <c r="BO583" i="29"/>
  <c r="BY582" i="29"/>
  <c r="BN583" i="29"/>
  <c r="BR582" i="29"/>
  <c r="V580" i="29"/>
  <c r="S581" i="29"/>
  <c r="T581" i="29"/>
  <c r="AF580" i="29"/>
  <c r="AE580" i="29"/>
  <c r="AC579" i="29"/>
  <c r="J581" i="29"/>
  <c r="L580" i="29"/>
  <c r="K581" i="29"/>
  <c r="BZ543" i="29"/>
  <c r="BX544" i="29" s="1"/>
  <c r="BD582" i="29"/>
  <c r="BP581" i="29"/>
  <c r="BE581" i="29"/>
  <c r="BG581" i="29" s="1"/>
  <c r="BA581" i="29" s="1"/>
  <c r="BC581" i="29"/>
  <c r="BF581" i="29" s="1"/>
  <c r="BH580" i="29"/>
  <c r="BB580" i="29" s="1"/>
  <c r="AZ580" i="29"/>
  <c r="CC579" i="29" l="1"/>
  <c r="J582" i="29"/>
  <c r="K582" i="29"/>
  <c r="L581" i="29"/>
  <c r="U581" i="29"/>
  <c r="AC581" i="29" s="1"/>
  <c r="R580" i="29"/>
  <c r="Q580" i="29"/>
  <c r="X580" i="29" s="1"/>
  <c r="BR583" i="29"/>
  <c r="BY583" i="29"/>
  <c r="BO584" i="29"/>
  <c r="BN584" i="29"/>
  <c r="AC580" i="29"/>
  <c r="X579" i="29"/>
  <c r="CB580" i="29"/>
  <c r="BV580" i="29" s="1"/>
  <c r="M579" i="29"/>
  <c r="AA579" i="29"/>
  <c r="CA580" i="29"/>
  <c r="BU580" i="29" s="1"/>
  <c r="W579" i="29"/>
  <c r="Y579" i="29" s="1"/>
  <c r="AB580" i="29"/>
  <c r="S582" i="29"/>
  <c r="V581" i="29"/>
  <c r="T582" i="29"/>
  <c r="AE581" i="29"/>
  <c r="AF581" i="29"/>
  <c r="BQ585" i="29"/>
  <c r="BD583" i="29"/>
  <c r="BE582" i="29"/>
  <c r="BG582" i="29" s="1"/>
  <c r="BA582" i="29" s="1"/>
  <c r="BP582" i="29"/>
  <c r="BC582" i="29"/>
  <c r="BF582" i="29" s="1"/>
  <c r="BH581" i="29"/>
  <c r="BB581" i="29" s="1"/>
  <c r="AZ581" i="29"/>
  <c r="BZ544" i="29"/>
  <c r="BX545" i="29" s="1"/>
  <c r="AB581" i="29" l="1"/>
  <c r="U582" i="29"/>
  <c r="Q581" i="29"/>
  <c r="X581" i="29" s="1"/>
  <c r="R581" i="29"/>
  <c r="J583" i="29"/>
  <c r="L582" i="29"/>
  <c r="K583" i="29"/>
  <c r="S583" i="29"/>
  <c r="V582" i="29"/>
  <c r="T583" i="29"/>
  <c r="AF582" i="29"/>
  <c r="AE582" i="29"/>
  <c r="CC580" i="29"/>
  <c r="BO585" i="29"/>
  <c r="BR584" i="29"/>
  <c r="BN585" i="29"/>
  <c r="BY584" i="29"/>
  <c r="CB581" i="29"/>
  <c r="BV581" i="29" s="1"/>
  <c r="AA580" i="29"/>
  <c r="CA581" i="29"/>
  <c r="BU581" i="29" s="1"/>
  <c r="W580" i="29"/>
  <c r="Y580" i="29" s="1"/>
  <c r="M580" i="29"/>
  <c r="BZ545" i="29"/>
  <c r="BX546" i="29" s="1"/>
  <c r="AZ582" i="29"/>
  <c r="BH582" i="29"/>
  <c r="BB582" i="29" s="1"/>
  <c r="BP583" i="29"/>
  <c r="BE583" i="29"/>
  <c r="BG583" i="29" s="1"/>
  <c r="BA583" i="29" s="1"/>
  <c r="BD584" i="29"/>
  <c r="BC583" i="29"/>
  <c r="BF583" i="29" s="1"/>
  <c r="CC581" i="29" l="1"/>
  <c r="U583" i="29"/>
  <c r="R582" i="29"/>
  <c r="Q582" i="29"/>
  <c r="X582" i="29" s="1"/>
  <c r="BN586" i="29"/>
  <c r="BO586" i="29"/>
  <c r="BR585" i="29"/>
  <c r="BQ586" i="29"/>
  <c r="BQ587" i="29" s="1"/>
  <c r="AB582" i="29"/>
  <c r="S584" i="29"/>
  <c r="T584" i="29"/>
  <c r="V583" i="29"/>
  <c r="AE583" i="29"/>
  <c r="AF583" i="29"/>
  <c r="J584" i="29"/>
  <c r="L583" i="29"/>
  <c r="K584" i="29"/>
  <c r="AC582" i="29"/>
  <c r="AA581" i="29"/>
  <c r="CB582" i="29"/>
  <c r="BV582" i="29" s="1"/>
  <c r="M581" i="29"/>
  <c r="W581" i="29"/>
  <c r="Y581" i="29" s="1"/>
  <c r="CA582" i="29"/>
  <c r="BU582" i="29" s="1"/>
  <c r="AZ583" i="29"/>
  <c r="BH583" i="29"/>
  <c r="BB583" i="29" s="1"/>
  <c r="BP584" i="29"/>
  <c r="BD585" i="29"/>
  <c r="BC584" i="29"/>
  <c r="BF584" i="29" s="1"/>
  <c r="BE584" i="29"/>
  <c r="BG584" i="29" s="1"/>
  <c r="BA584" i="29" s="1"/>
  <c r="BZ546" i="29"/>
  <c r="BX547" i="29" s="1"/>
  <c r="CC582" i="29" l="1"/>
  <c r="J585" i="29"/>
  <c r="L584" i="29"/>
  <c r="K585" i="29"/>
  <c r="Q583" i="29"/>
  <c r="X583" i="29" s="1"/>
  <c r="R583" i="29"/>
  <c r="AC583" i="29"/>
  <c r="S585" i="29"/>
  <c r="T585" i="29"/>
  <c r="V584" i="29"/>
  <c r="AE584" i="29"/>
  <c r="AF584" i="29"/>
  <c r="CB583" i="29"/>
  <c r="BV583" i="29" s="1"/>
  <c r="CA583" i="29"/>
  <c r="BU583" i="29" s="1"/>
  <c r="AA582" i="29"/>
  <c r="W582" i="29"/>
  <c r="Y582" i="29" s="1"/>
  <c r="M582" i="29"/>
  <c r="AB583" i="29"/>
  <c r="U584" i="29"/>
  <c r="BN587" i="29"/>
  <c r="BO587" i="29"/>
  <c r="BY586" i="29"/>
  <c r="BR586" i="29"/>
  <c r="BE585" i="29"/>
  <c r="BG585" i="29" s="1"/>
  <c r="BA585" i="29" s="1"/>
  <c r="BI585" i="29"/>
  <c r="BP585" i="29"/>
  <c r="BD586" i="29"/>
  <c r="BC585" i="29"/>
  <c r="BF585" i="29" s="1"/>
  <c r="BZ547" i="29"/>
  <c r="BX548" i="29" s="1"/>
  <c r="AZ584" i="29"/>
  <c r="BH584" i="29"/>
  <c r="BB584" i="29" s="1"/>
  <c r="V585" i="29" l="1"/>
  <c r="T586" i="29"/>
  <c r="S586" i="29"/>
  <c r="AF585" i="29"/>
  <c r="AE585" i="29"/>
  <c r="L585" i="29"/>
  <c r="K586" i="29"/>
  <c r="J586" i="29"/>
  <c r="BR587" i="29"/>
  <c r="BY587" i="29"/>
  <c r="BO588" i="29"/>
  <c r="BN588" i="29"/>
  <c r="R584" i="29"/>
  <c r="Q584" i="29"/>
  <c r="U585" i="29"/>
  <c r="AB585" i="29" s="1"/>
  <c r="W583" i="29"/>
  <c r="Y583" i="29" s="1"/>
  <c r="M583" i="29"/>
  <c r="CA584" i="29"/>
  <c r="BU584" i="29" s="1"/>
  <c r="AA583" i="29"/>
  <c r="CB584" i="29"/>
  <c r="BV584" i="29" s="1"/>
  <c r="CC583" i="29"/>
  <c r="BQ588" i="29"/>
  <c r="BZ548" i="29"/>
  <c r="BY549" i="29" s="1"/>
  <c r="BC586" i="29"/>
  <c r="BF586" i="29" s="1"/>
  <c r="BP586" i="29"/>
  <c r="BE586" i="29"/>
  <c r="BG586" i="29" s="1"/>
  <c r="BA586" i="29" s="1"/>
  <c r="BD587" i="29"/>
  <c r="BH585" i="29"/>
  <c r="BB585" i="29" s="1"/>
  <c r="AZ585" i="29"/>
  <c r="BO589" i="29" l="1"/>
  <c r="BN589" i="29"/>
  <c r="BY588" i="29"/>
  <c r="BR588" i="29"/>
  <c r="K587" i="29"/>
  <c r="L586" i="29"/>
  <c r="J587" i="29"/>
  <c r="BQ589" i="29"/>
  <c r="BQ590" i="29" s="1"/>
  <c r="AA584" i="29"/>
  <c r="CA585" i="29"/>
  <c r="BU585" i="29" s="1"/>
  <c r="W584" i="29"/>
  <c r="S587" i="29"/>
  <c r="V586" i="29"/>
  <c r="T587" i="29"/>
  <c r="AE586" i="29"/>
  <c r="AF586" i="29"/>
  <c r="Q585" i="29"/>
  <c r="R585" i="29"/>
  <c r="U586" i="29"/>
  <c r="AC586" i="29" s="1"/>
  <c r="CC584" i="29"/>
  <c r="AC585" i="29"/>
  <c r="BW549" i="29"/>
  <c r="BX549" i="29"/>
  <c r="AZ586" i="29"/>
  <c r="BH586" i="29"/>
  <c r="BB586" i="29" s="1"/>
  <c r="BD588" i="29"/>
  <c r="BP587" i="29"/>
  <c r="BC587" i="29"/>
  <c r="BF587" i="29" s="1"/>
  <c r="BE587" i="29"/>
  <c r="BG587" i="29" s="1"/>
  <c r="BA587" i="29" s="1"/>
  <c r="AB586" i="29" l="1"/>
  <c r="M585" i="29"/>
  <c r="AA585" i="29"/>
  <c r="W585" i="29"/>
  <c r="Y585" i="29" s="1"/>
  <c r="CA586" i="29"/>
  <c r="BU586" i="29" s="1"/>
  <c r="CB586" i="29"/>
  <c r="BV586" i="29" s="1"/>
  <c r="U587" i="29"/>
  <c r="AB587" i="29" s="1"/>
  <c r="L587" i="29"/>
  <c r="K588" i="29"/>
  <c r="J588" i="29"/>
  <c r="BO590" i="29"/>
  <c r="BY589" i="29"/>
  <c r="BR589" i="29"/>
  <c r="BN590" i="29"/>
  <c r="Q586" i="29"/>
  <c r="X586" i="29" s="1"/>
  <c r="R586" i="29"/>
  <c r="X585" i="29"/>
  <c r="V587" i="29"/>
  <c r="S588" i="29"/>
  <c r="T588" i="29"/>
  <c r="AF587" i="29"/>
  <c r="AE587" i="29"/>
  <c r="BQ591" i="29"/>
  <c r="BH587" i="29"/>
  <c r="BB587" i="29" s="1"/>
  <c r="AZ587" i="29"/>
  <c r="BZ549" i="29"/>
  <c r="BX550" i="29" s="1"/>
  <c r="BE588" i="29"/>
  <c r="BG588" i="29" s="1"/>
  <c r="BA588" i="29" s="1"/>
  <c r="BC588" i="29"/>
  <c r="BF588" i="29" s="1"/>
  <c r="BD589" i="29"/>
  <c r="BP588" i="29"/>
  <c r="BS549" i="29"/>
  <c r="BT549" i="29"/>
  <c r="M548" i="29" s="1"/>
  <c r="U588" i="29" l="1"/>
  <c r="AB588" i="29" s="1"/>
  <c r="R587" i="29"/>
  <c r="Q587" i="29"/>
  <c r="X587" i="29" s="1"/>
  <c r="BQ592" i="29"/>
  <c r="V588" i="29"/>
  <c r="S589" i="29"/>
  <c r="T589" i="29"/>
  <c r="AE588" i="29"/>
  <c r="AF588" i="29"/>
  <c r="K589" i="29"/>
  <c r="J589" i="29"/>
  <c r="L588" i="29"/>
  <c r="AC587" i="29"/>
  <c r="AA586" i="29"/>
  <c r="CB587" i="29"/>
  <c r="BV587" i="29" s="1"/>
  <c r="W586" i="29"/>
  <c r="Y586" i="29" s="1"/>
  <c r="M586" i="29"/>
  <c r="CA587" i="29"/>
  <c r="BU587" i="29" s="1"/>
  <c r="BY590" i="29"/>
  <c r="BN591" i="29"/>
  <c r="BR590" i="29"/>
  <c r="BO591" i="29"/>
  <c r="CC586" i="29"/>
  <c r="BZ550" i="29"/>
  <c r="BX551" i="29" s="1"/>
  <c r="BP589" i="29"/>
  <c r="BD590" i="29"/>
  <c r="BC589" i="29"/>
  <c r="BF589" i="29" s="1"/>
  <c r="BE589" i="29"/>
  <c r="BG589" i="29" s="1"/>
  <c r="BA589" i="29" s="1"/>
  <c r="AZ588" i="29"/>
  <c r="BH588" i="29"/>
  <c r="BB588" i="29" s="1"/>
  <c r="H55" i="29"/>
  <c r="K48" i="40" s="1"/>
  <c r="X548" i="29"/>
  <c r="Y548" i="29" s="1"/>
  <c r="Z548" i="29" s="1"/>
  <c r="AC548" i="29" l="1"/>
  <c r="AB548" i="29"/>
  <c r="Z549" i="29"/>
  <c r="Z550" i="29" s="1"/>
  <c r="Z551" i="29" s="1"/>
  <c r="Z552" i="29" s="1"/>
  <c r="Z553" i="29" s="1"/>
  <c r="Z554" i="29" s="1"/>
  <c r="Z555" i="29" s="1"/>
  <c r="Z556" i="29" s="1"/>
  <c r="Z557" i="29" s="1"/>
  <c r="Z558" i="29" s="1"/>
  <c r="Z559" i="29" s="1"/>
  <c r="CB561" i="29"/>
  <c r="G55" i="29"/>
  <c r="L48" i="40" s="1"/>
  <c r="CC587" i="29"/>
  <c r="BR591" i="29"/>
  <c r="BO592" i="29"/>
  <c r="BQ593" i="29" s="1"/>
  <c r="BN592" i="29"/>
  <c r="BY591" i="29"/>
  <c r="S590" i="29"/>
  <c r="V589" i="29"/>
  <c r="T590" i="29"/>
  <c r="AE589" i="29"/>
  <c r="AF589" i="29"/>
  <c r="Q588" i="29"/>
  <c r="R588" i="29"/>
  <c r="K590" i="29"/>
  <c r="L589" i="29"/>
  <c r="J590" i="29"/>
  <c r="U589" i="29"/>
  <c r="CB588" i="29"/>
  <c r="BV588" i="29" s="1"/>
  <c r="CA588" i="29"/>
  <c r="BU588" i="29" s="1"/>
  <c r="AA587" i="29"/>
  <c r="M587" i="29"/>
  <c r="W587" i="29"/>
  <c r="Y587" i="29" s="1"/>
  <c r="AC588" i="29"/>
  <c r="BZ551" i="29"/>
  <c r="BX552" i="29" s="1"/>
  <c r="BC590" i="29"/>
  <c r="BF590" i="29" s="1"/>
  <c r="BP590" i="29"/>
  <c r="BE590" i="29"/>
  <c r="BG590" i="29" s="1"/>
  <c r="BA590" i="29" s="1"/>
  <c r="BD591" i="29"/>
  <c r="D195" i="15"/>
  <c r="I64" i="39"/>
  <c r="H48" i="44" s="1"/>
  <c r="D48" i="45" s="1"/>
  <c r="K48" i="45" s="1"/>
  <c r="L48" i="45" s="1"/>
  <c r="J49" i="45" s="1"/>
  <c r="G62" i="15"/>
  <c r="AZ589" i="29"/>
  <c r="BH589" i="29"/>
  <c r="BB589" i="29" s="1"/>
  <c r="BR117" i="44" l="1"/>
  <c r="BN117" i="44"/>
  <c r="BJ117" i="44"/>
  <c r="BF117" i="44"/>
  <c r="BP117" i="44"/>
  <c r="BL117" i="44"/>
  <c r="BH117" i="44"/>
  <c r="BD117" i="44"/>
  <c r="BK117" i="44"/>
  <c r="BO117" i="44"/>
  <c r="BG117" i="44"/>
  <c r="BE117" i="44"/>
  <c r="BQ117" i="44"/>
  <c r="BM117" i="44"/>
  <c r="BI117" i="44"/>
  <c r="CC561" i="29"/>
  <c r="BV561" i="29"/>
  <c r="F195" i="15"/>
  <c r="L64" i="39"/>
  <c r="Q589" i="29"/>
  <c r="R589" i="29"/>
  <c r="U590" i="29"/>
  <c r="AC589" i="29"/>
  <c r="J591" i="29"/>
  <c r="K591" i="29"/>
  <c r="L590" i="29"/>
  <c r="CC588" i="29"/>
  <c r="AB589" i="29"/>
  <c r="S591" i="29"/>
  <c r="V590" i="29"/>
  <c r="T591" i="29"/>
  <c r="AE590" i="29"/>
  <c r="AF590" i="29"/>
  <c r="X588" i="29"/>
  <c r="CA589" i="29"/>
  <c r="BU589" i="29" s="1"/>
  <c r="AA588" i="29"/>
  <c r="CB589" i="29"/>
  <c r="BV589" i="29" s="1"/>
  <c r="M588" i="29"/>
  <c r="W588" i="29"/>
  <c r="Y588" i="29" s="1"/>
  <c r="BY592" i="29"/>
  <c r="BN593" i="29"/>
  <c r="BR592" i="29"/>
  <c r="BO593" i="29"/>
  <c r="BC591" i="29"/>
  <c r="BF591" i="29" s="1"/>
  <c r="BP591" i="29"/>
  <c r="BE591" i="29"/>
  <c r="BG591" i="29" s="1"/>
  <c r="BA591" i="29" s="1"/>
  <c r="BD592" i="29"/>
  <c r="BZ552" i="29"/>
  <c r="BX553" i="29" s="1"/>
  <c r="BH590" i="29"/>
  <c r="BB590" i="29" s="1"/>
  <c r="AZ590" i="29"/>
  <c r="Q590" i="29" l="1"/>
  <c r="X590" i="29" s="1"/>
  <c r="R590" i="29"/>
  <c r="BN594" i="29"/>
  <c r="BY593" i="29"/>
  <c r="BO594" i="29"/>
  <c r="BR593" i="29"/>
  <c r="CC589" i="29"/>
  <c r="U591" i="29"/>
  <c r="J592" i="29"/>
  <c r="K592" i="29"/>
  <c r="L591" i="29"/>
  <c r="AB590" i="29"/>
  <c r="AA589" i="29"/>
  <c r="CA590" i="29"/>
  <c r="BU590" i="29" s="1"/>
  <c r="CB590" i="29"/>
  <c r="BV590" i="29" s="1"/>
  <c r="M589" i="29"/>
  <c r="W589" i="29"/>
  <c r="Y589" i="29" s="1"/>
  <c r="AC590" i="29"/>
  <c r="BQ594" i="29"/>
  <c r="BQ595" i="29" s="1"/>
  <c r="S592" i="29"/>
  <c r="V591" i="29"/>
  <c r="T592" i="29"/>
  <c r="AE591" i="29"/>
  <c r="AF591" i="29"/>
  <c r="X589" i="29"/>
  <c r="BZ553" i="29"/>
  <c r="BX554" i="29" s="1"/>
  <c r="BD593" i="29"/>
  <c r="BP592" i="29"/>
  <c r="BC592" i="29"/>
  <c r="BF592" i="29" s="1"/>
  <c r="BE592" i="29"/>
  <c r="BG592" i="29" s="1"/>
  <c r="BA592" i="29" s="1"/>
  <c r="BH591" i="29"/>
  <c r="BB591" i="29" s="1"/>
  <c r="AZ591" i="29"/>
  <c r="CC590" i="29" l="1"/>
  <c r="V592" i="29"/>
  <c r="T593" i="29"/>
  <c r="S593" i="29"/>
  <c r="AF592" i="29"/>
  <c r="AE592" i="29"/>
  <c r="R591" i="29"/>
  <c r="Q591" i="29"/>
  <c r="X591" i="29" s="1"/>
  <c r="AB591" i="29"/>
  <c r="BN595" i="29"/>
  <c r="BR594" i="29"/>
  <c r="BY594" i="29"/>
  <c r="BO595" i="29"/>
  <c r="U592" i="29"/>
  <c r="AC592" i="29" s="1"/>
  <c r="L592" i="29"/>
  <c r="K593" i="29"/>
  <c r="J593" i="29"/>
  <c r="AC591" i="29"/>
  <c r="CB591" i="29"/>
  <c r="BV591" i="29" s="1"/>
  <c r="AA590" i="29"/>
  <c r="M590" i="29"/>
  <c r="CA591" i="29"/>
  <c r="BU591" i="29" s="1"/>
  <c r="W590" i="29"/>
  <c r="Y590" i="29" s="1"/>
  <c r="BZ554" i="29"/>
  <c r="BX555" i="29" s="1"/>
  <c r="BP593" i="29"/>
  <c r="BC593" i="29"/>
  <c r="BF593" i="29" s="1"/>
  <c r="BE593" i="29"/>
  <c r="BG593" i="29" s="1"/>
  <c r="BA593" i="29" s="1"/>
  <c r="BD594" i="29"/>
  <c r="BH592" i="29"/>
  <c r="BB592" i="29" s="1"/>
  <c r="AZ592" i="29"/>
  <c r="AB592" i="29" l="1"/>
  <c r="CC591" i="29"/>
  <c r="L593" i="29"/>
  <c r="K594" i="29"/>
  <c r="J594" i="29"/>
  <c r="U593" i="29"/>
  <c r="AB593" i="29" s="1"/>
  <c r="BY595" i="29"/>
  <c r="BO596" i="29"/>
  <c r="BR595" i="29"/>
  <c r="BN596" i="29"/>
  <c r="BQ596" i="29"/>
  <c r="S594" i="29"/>
  <c r="T594" i="29"/>
  <c r="V593" i="29"/>
  <c r="AE593" i="29"/>
  <c r="AF593" i="29"/>
  <c r="Q592" i="29"/>
  <c r="R592" i="29"/>
  <c r="M591" i="29"/>
  <c r="W591" i="29"/>
  <c r="Y591" i="29" s="1"/>
  <c r="AA591" i="29"/>
  <c r="CB592" i="29"/>
  <c r="BV592" i="29" s="1"/>
  <c r="CA592" i="29"/>
  <c r="BU592" i="29" s="1"/>
  <c r="BC594" i="29"/>
  <c r="BF594" i="29" s="1"/>
  <c r="BD595" i="29"/>
  <c r="BE594" i="29"/>
  <c r="BG594" i="29" s="1"/>
  <c r="BA594" i="29" s="1"/>
  <c r="BP594" i="29"/>
  <c r="BH593" i="29"/>
  <c r="BB593" i="29" s="1"/>
  <c r="AZ593" i="29"/>
  <c r="BZ555" i="29"/>
  <c r="BX556" i="29" s="1"/>
  <c r="CC592" i="29" l="1"/>
  <c r="CB593" i="29"/>
  <c r="BV593" i="29" s="1"/>
  <c r="W592" i="29"/>
  <c r="Y592" i="29" s="1"/>
  <c r="AA592" i="29"/>
  <c r="M592" i="29"/>
  <c r="CA593" i="29"/>
  <c r="BU593" i="29" s="1"/>
  <c r="J595" i="29"/>
  <c r="K595" i="29"/>
  <c r="L594" i="29"/>
  <c r="R593" i="29"/>
  <c r="Q593" i="29"/>
  <c r="X593" i="29" s="1"/>
  <c r="U594" i="29"/>
  <c r="AB594" i="29" s="1"/>
  <c r="BY596" i="29"/>
  <c r="BN597" i="29"/>
  <c r="BO597" i="29"/>
  <c r="BR596" i="29"/>
  <c r="AC593" i="29"/>
  <c r="V594" i="29"/>
  <c r="S595" i="29"/>
  <c r="T595" i="29"/>
  <c r="AF594" i="29"/>
  <c r="AE594" i="29"/>
  <c r="X592" i="29"/>
  <c r="BQ597" i="29"/>
  <c r="BZ556" i="29"/>
  <c r="BX557" i="29" s="1"/>
  <c r="BP595" i="29"/>
  <c r="BC595" i="29"/>
  <c r="BF595" i="29" s="1"/>
  <c r="BE595" i="29"/>
  <c r="BG595" i="29" s="1"/>
  <c r="BA595" i="29" s="1"/>
  <c r="BD596" i="29"/>
  <c r="BH594" i="29"/>
  <c r="BB594" i="29" s="1"/>
  <c r="AZ594" i="29"/>
  <c r="AC594" i="29" l="1"/>
  <c r="BR597" i="29"/>
  <c r="BN598" i="29"/>
  <c r="BO598" i="29"/>
  <c r="CC593" i="29"/>
  <c r="U595" i="29"/>
  <c r="AC595" i="29" s="1"/>
  <c r="BQ598" i="29"/>
  <c r="BQ599" i="29" s="1"/>
  <c r="S596" i="29"/>
  <c r="V595" i="29"/>
  <c r="T596" i="29"/>
  <c r="AF595" i="29"/>
  <c r="AE595" i="29"/>
  <c r="Q594" i="29"/>
  <c r="R594" i="29"/>
  <c r="CA594" i="29"/>
  <c r="BU594" i="29" s="1"/>
  <c r="CB594" i="29"/>
  <c r="BV594" i="29" s="1"/>
  <c r="AA593" i="29"/>
  <c r="W593" i="29"/>
  <c r="Y593" i="29" s="1"/>
  <c r="M593" i="29"/>
  <c r="L595" i="29"/>
  <c r="K596" i="29"/>
  <c r="J596" i="29"/>
  <c r="BE596" i="29"/>
  <c r="BG596" i="29" s="1"/>
  <c r="BA596" i="29" s="1"/>
  <c r="BP596" i="29"/>
  <c r="BD597" i="29"/>
  <c r="BC596" i="29"/>
  <c r="BF596" i="29" s="1"/>
  <c r="AZ595" i="29"/>
  <c r="BH595" i="29"/>
  <c r="BB595" i="29" s="1"/>
  <c r="BZ557" i="29"/>
  <c r="BX558" i="29" s="1"/>
  <c r="AB595" i="29" l="1"/>
  <c r="CC594" i="29"/>
  <c r="AA594" i="29"/>
  <c r="CA595" i="29"/>
  <c r="BU595" i="29" s="1"/>
  <c r="W594" i="29"/>
  <c r="Y594" i="29" s="1"/>
  <c r="CB595" i="29"/>
  <c r="BV595" i="29" s="1"/>
  <c r="M594" i="29"/>
  <c r="BR598" i="29"/>
  <c r="BN599" i="29"/>
  <c r="BY598" i="29"/>
  <c r="BO599" i="29"/>
  <c r="U596" i="29"/>
  <c r="BQ600" i="29"/>
  <c r="J597" i="29"/>
  <c r="L596" i="29"/>
  <c r="K597" i="29"/>
  <c r="X594" i="29"/>
  <c r="T597" i="29"/>
  <c r="V596" i="29"/>
  <c r="S597" i="29"/>
  <c r="AE596" i="29"/>
  <c r="AF596" i="29"/>
  <c r="Q595" i="29"/>
  <c r="R595" i="29"/>
  <c r="BI597" i="29"/>
  <c r="BD598" i="29"/>
  <c r="BP597" i="29"/>
  <c r="BE597" i="29"/>
  <c r="BG597" i="29" s="1"/>
  <c r="BA597" i="29" s="1"/>
  <c r="BC597" i="29"/>
  <c r="BF597" i="29" s="1"/>
  <c r="BZ558" i="29"/>
  <c r="BX559" i="29" s="1"/>
  <c r="BH596" i="29"/>
  <c r="BB596" i="29" s="1"/>
  <c r="AZ596" i="29"/>
  <c r="U597" i="29" l="1"/>
  <c r="J598" i="29"/>
  <c r="K598" i="29"/>
  <c r="L597" i="29"/>
  <c r="BQ601" i="29"/>
  <c r="BO600" i="29"/>
  <c r="BR599" i="29"/>
  <c r="BY599" i="29"/>
  <c r="BN600" i="29"/>
  <c r="CC595" i="29"/>
  <c r="X595" i="29"/>
  <c r="CB596" i="29"/>
  <c r="BV596" i="29" s="1"/>
  <c r="W595" i="29"/>
  <c r="Y595" i="29" s="1"/>
  <c r="CA596" i="29"/>
  <c r="BU596" i="29" s="1"/>
  <c r="M595" i="29"/>
  <c r="AA595" i="29"/>
  <c r="V597" i="29"/>
  <c r="S598" i="29"/>
  <c r="T598" i="29"/>
  <c r="AE597" i="29"/>
  <c r="AF597" i="29"/>
  <c r="Q596" i="29"/>
  <c r="R596" i="29"/>
  <c r="BZ559" i="29"/>
  <c r="BX560" i="29" s="1"/>
  <c r="BD599" i="29"/>
  <c r="BC598" i="29"/>
  <c r="BF598" i="29" s="1"/>
  <c r="BE598" i="29"/>
  <c r="BG598" i="29" s="1"/>
  <c r="BA598" i="29" s="1"/>
  <c r="BP598" i="29"/>
  <c r="BH597" i="29"/>
  <c r="BB597" i="29" s="1"/>
  <c r="AZ597" i="29"/>
  <c r="V598" i="29" l="1"/>
  <c r="S599" i="29"/>
  <c r="T599" i="29"/>
  <c r="AE598" i="29"/>
  <c r="AF598" i="29"/>
  <c r="BQ602" i="29"/>
  <c r="R597" i="29"/>
  <c r="Q597" i="29"/>
  <c r="X597" i="29" s="1"/>
  <c r="W596" i="29"/>
  <c r="AA596" i="29"/>
  <c r="CA597" i="29"/>
  <c r="BU597" i="29" s="1"/>
  <c r="U598" i="29"/>
  <c r="AB598" i="29" s="1"/>
  <c r="AC597" i="29"/>
  <c r="L598" i="29"/>
  <c r="J599" i="29"/>
  <c r="K599" i="29"/>
  <c r="AB597" i="29"/>
  <c r="CC596" i="29"/>
  <c r="BR600" i="29"/>
  <c r="BO601" i="29"/>
  <c r="BY600" i="29"/>
  <c r="BN601" i="29"/>
  <c r="BZ560" i="29"/>
  <c r="BY561" i="29" s="1"/>
  <c r="BE599" i="29"/>
  <c r="BG599" i="29" s="1"/>
  <c r="BA599" i="29" s="1"/>
  <c r="BP599" i="29"/>
  <c r="BC599" i="29"/>
  <c r="BF599" i="29" s="1"/>
  <c r="BD600" i="29"/>
  <c r="AZ598" i="29"/>
  <c r="BH598" i="29"/>
  <c r="BB598" i="29" s="1"/>
  <c r="U599" i="29" l="1"/>
  <c r="AB599" i="29" s="1"/>
  <c r="T600" i="29"/>
  <c r="S600" i="29"/>
  <c r="V599" i="29"/>
  <c r="AE599" i="29"/>
  <c r="AF599" i="29"/>
  <c r="BR601" i="29"/>
  <c r="BN602" i="29"/>
  <c r="BY601" i="29"/>
  <c r="BO602" i="29"/>
  <c r="K600" i="29"/>
  <c r="J600" i="29"/>
  <c r="L599" i="29"/>
  <c r="Q598" i="29"/>
  <c r="R598" i="29"/>
  <c r="AC598" i="29"/>
  <c r="AA597" i="29"/>
  <c r="CB598" i="29"/>
  <c r="BV598" i="29" s="1"/>
  <c r="M597" i="29"/>
  <c r="W597" i="29"/>
  <c r="Y597" i="29" s="1"/>
  <c r="CA598" i="29"/>
  <c r="BU598" i="29" s="1"/>
  <c r="BW561" i="29"/>
  <c r="BX561" i="29"/>
  <c r="BD601" i="29"/>
  <c r="BC600" i="29"/>
  <c r="BF600" i="29" s="1"/>
  <c r="BE600" i="29"/>
  <c r="BG600" i="29" s="1"/>
  <c r="BA600" i="29" s="1"/>
  <c r="BP600" i="29"/>
  <c r="AZ599" i="29"/>
  <c r="BH599" i="29"/>
  <c r="BB599" i="29" s="1"/>
  <c r="CC598" i="29" l="1"/>
  <c r="J601" i="29"/>
  <c r="K601" i="29"/>
  <c r="L600" i="29"/>
  <c r="X598" i="29"/>
  <c r="CA599" i="29"/>
  <c r="BU599" i="29" s="1"/>
  <c r="AA598" i="29"/>
  <c r="M598" i="29"/>
  <c r="W598" i="29"/>
  <c r="Y598" i="29" s="1"/>
  <c r="CB599" i="29"/>
  <c r="BV599" i="29" s="1"/>
  <c r="BY602" i="29"/>
  <c r="BR602" i="29"/>
  <c r="BN603" i="29"/>
  <c r="BO603" i="29"/>
  <c r="T601" i="29"/>
  <c r="V600" i="29"/>
  <c r="S601" i="29"/>
  <c r="AF600" i="29"/>
  <c r="AE600" i="29"/>
  <c r="U600" i="29"/>
  <c r="AC600" i="29" s="1"/>
  <c r="Q599" i="29"/>
  <c r="R599" i="29"/>
  <c r="BQ603" i="29"/>
  <c r="AC599" i="29"/>
  <c r="AZ600" i="29"/>
  <c r="BH600" i="29"/>
  <c r="BB600" i="29" s="1"/>
  <c r="BE601" i="29"/>
  <c r="BG601" i="29" s="1"/>
  <c r="BA601" i="29" s="1"/>
  <c r="BD602" i="29"/>
  <c r="BC601" i="29"/>
  <c r="BF601" i="29" s="1"/>
  <c r="BP601" i="29"/>
  <c r="BZ561" i="29"/>
  <c r="BX562" i="29" s="1"/>
  <c r="BT561" i="29"/>
  <c r="M560" i="29" s="1"/>
  <c r="BS561" i="29"/>
  <c r="CC599" i="29" l="1"/>
  <c r="K602" i="29"/>
  <c r="J602" i="29"/>
  <c r="L601" i="29"/>
  <c r="CB600" i="29"/>
  <c r="BV600" i="29" s="1"/>
  <c r="CA600" i="29"/>
  <c r="BU600" i="29" s="1"/>
  <c r="W599" i="29"/>
  <c r="Y599" i="29" s="1"/>
  <c r="M599" i="29"/>
  <c r="AA599" i="29"/>
  <c r="U601" i="29"/>
  <c r="AB601" i="29" s="1"/>
  <c r="Q600" i="29"/>
  <c r="X600" i="29" s="1"/>
  <c r="R600" i="29"/>
  <c r="BN604" i="29"/>
  <c r="BO604" i="29"/>
  <c r="BY603" i="29"/>
  <c r="BR603" i="29"/>
  <c r="BQ604" i="29"/>
  <c r="BQ605" i="29" s="1"/>
  <c r="X599" i="29"/>
  <c r="AB600" i="29"/>
  <c r="T602" i="29"/>
  <c r="V601" i="29"/>
  <c r="S602" i="29"/>
  <c r="AF601" i="29"/>
  <c r="AE601" i="29"/>
  <c r="BZ562" i="29"/>
  <c r="BX563" i="29" s="1"/>
  <c r="BD603" i="29"/>
  <c r="BP602" i="29"/>
  <c r="BC602" i="29"/>
  <c r="BF602" i="29" s="1"/>
  <c r="BE602" i="29"/>
  <c r="BG602" i="29" s="1"/>
  <c r="BA602" i="29" s="1"/>
  <c r="H56" i="29"/>
  <c r="K49" i="40" s="1"/>
  <c r="X560" i="29"/>
  <c r="Y560" i="29" s="1"/>
  <c r="Z560" i="29" s="1"/>
  <c r="BH601" i="29"/>
  <c r="BB601" i="29" s="1"/>
  <c r="AZ601" i="29"/>
  <c r="AC560" i="29" l="1"/>
  <c r="AB560" i="29"/>
  <c r="Z561" i="29"/>
  <c r="Z562" i="29" s="1"/>
  <c r="Z563" i="29" s="1"/>
  <c r="Z564" i="29" s="1"/>
  <c r="Z565" i="29" s="1"/>
  <c r="Z566" i="29" s="1"/>
  <c r="Z567" i="29" s="1"/>
  <c r="Z568" i="29" s="1"/>
  <c r="Z569" i="29" s="1"/>
  <c r="Z570" i="29" s="1"/>
  <c r="Z571" i="29" s="1"/>
  <c r="CB573" i="29"/>
  <c r="G56" i="29"/>
  <c r="L49" i="40" s="1"/>
  <c r="AC601" i="29"/>
  <c r="CC600" i="29"/>
  <c r="U602" i="29"/>
  <c r="BO605" i="29"/>
  <c r="BY604" i="29"/>
  <c r="BR604" i="29"/>
  <c r="BN605" i="29"/>
  <c r="CA601" i="29"/>
  <c r="BU601" i="29" s="1"/>
  <c r="W600" i="29"/>
  <c r="Y600" i="29" s="1"/>
  <c r="M600" i="29"/>
  <c r="CB601" i="29"/>
  <c r="BV601" i="29" s="1"/>
  <c r="AA600" i="29"/>
  <c r="BQ606" i="29"/>
  <c r="K603" i="29"/>
  <c r="J603" i="29"/>
  <c r="L602" i="29"/>
  <c r="T603" i="29"/>
  <c r="S603" i="29"/>
  <c r="V602" i="29"/>
  <c r="AE602" i="29"/>
  <c r="AF602" i="29"/>
  <c r="Q601" i="29"/>
  <c r="X601" i="29" s="1"/>
  <c r="R601" i="29"/>
  <c r="D196" i="15"/>
  <c r="I65" i="39"/>
  <c r="H49" i="44" s="1"/>
  <c r="D49" i="45" s="1"/>
  <c r="K49" i="45" s="1"/>
  <c r="L49" i="45" s="1"/>
  <c r="J50" i="45" s="1"/>
  <c r="G63" i="15"/>
  <c r="BD604" i="29"/>
  <c r="BE603" i="29"/>
  <c r="BG603" i="29" s="1"/>
  <c r="BA603" i="29" s="1"/>
  <c r="BC603" i="29"/>
  <c r="BF603" i="29" s="1"/>
  <c r="BP603" i="29"/>
  <c r="BZ563" i="29"/>
  <c r="BX564" i="29" s="1"/>
  <c r="AZ602" i="29"/>
  <c r="BH602" i="29"/>
  <c r="BB602" i="29" s="1"/>
  <c r="BN118" i="44" l="1"/>
  <c r="BH118" i="44"/>
  <c r="BG118" i="44"/>
  <c r="BO118" i="44"/>
  <c r="BL118" i="44"/>
  <c r="BE118" i="44"/>
  <c r="BJ118" i="44"/>
  <c r="BM118" i="44"/>
  <c r="BK118" i="44"/>
  <c r="BI118" i="44"/>
  <c r="BQ118" i="44"/>
  <c r="BP118" i="44"/>
  <c r="BR118" i="44"/>
  <c r="BF118" i="44"/>
  <c r="CC573" i="29"/>
  <c r="BV573" i="29"/>
  <c r="L65" i="39"/>
  <c r="F196" i="15"/>
  <c r="V603" i="29"/>
  <c r="S604" i="29"/>
  <c r="T604" i="29"/>
  <c r="AE603" i="29"/>
  <c r="AF603" i="29"/>
  <c r="R602" i="29"/>
  <c r="Q602" i="29"/>
  <c r="X602" i="29" s="1"/>
  <c r="AB602" i="29"/>
  <c r="CC601" i="29"/>
  <c r="AC602" i="29"/>
  <c r="W601" i="29"/>
  <c r="Y601" i="29" s="1"/>
  <c r="M601" i="29"/>
  <c r="CA602" i="29"/>
  <c r="BU602" i="29" s="1"/>
  <c r="CB602" i="29"/>
  <c r="BV602" i="29" s="1"/>
  <c r="AA601" i="29"/>
  <c r="U603" i="29"/>
  <c r="AB603" i="29" s="1"/>
  <c r="K604" i="29"/>
  <c r="L603" i="29"/>
  <c r="J604" i="29"/>
  <c r="BO606" i="29"/>
  <c r="BY605" i="29"/>
  <c r="BR605" i="29"/>
  <c r="BN606" i="29"/>
  <c r="BD605" i="29"/>
  <c r="BC604" i="29"/>
  <c r="BF604" i="29" s="1"/>
  <c r="BE604" i="29"/>
  <c r="BG604" i="29" s="1"/>
  <c r="BA604" i="29" s="1"/>
  <c r="BP604" i="29"/>
  <c r="BZ564" i="29"/>
  <c r="BX565" i="29" s="1"/>
  <c r="BH603" i="29"/>
  <c r="BB603" i="29" s="1"/>
  <c r="AZ603" i="29"/>
  <c r="CC602" i="29" l="1"/>
  <c r="AC603" i="29"/>
  <c r="L604" i="29"/>
  <c r="J605" i="29"/>
  <c r="K605" i="29"/>
  <c r="S605" i="29"/>
  <c r="T605" i="29"/>
  <c r="V604" i="29"/>
  <c r="AE604" i="29"/>
  <c r="AF604" i="29"/>
  <c r="BY606" i="29"/>
  <c r="BR606" i="29"/>
  <c r="BN607" i="29"/>
  <c r="BO607" i="29"/>
  <c r="Q603" i="29"/>
  <c r="R603" i="29"/>
  <c r="BQ607" i="29"/>
  <c r="BQ608" i="29" s="1"/>
  <c r="U604" i="29"/>
  <c r="AB604" i="29" s="1"/>
  <c r="W602" i="29"/>
  <c r="Y602" i="29" s="1"/>
  <c r="AA602" i="29"/>
  <c r="CA603" i="29"/>
  <c r="BU603" i="29" s="1"/>
  <c r="CB603" i="29"/>
  <c r="BV603" i="29" s="1"/>
  <c r="M602" i="29"/>
  <c r="BZ565" i="29"/>
  <c r="BX566" i="29" s="1"/>
  <c r="BH604" i="29"/>
  <c r="BB604" i="29" s="1"/>
  <c r="AZ604" i="29"/>
  <c r="BC605" i="29"/>
  <c r="BF605" i="29" s="1"/>
  <c r="BP605" i="29"/>
  <c r="BE605" i="29"/>
  <c r="BG605" i="29" s="1"/>
  <c r="BA605" i="29" s="1"/>
  <c r="BD606" i="29"/>
  <c r="AC604" i="29" l="1"/>
  <c r="CC603" i="29"/>
  <c r="K606" i="29"/>
  <c r="J606" i="29"/>
  <c r="L605" i="29"/>
  <c r="R604" i="29"/>
  <c r="Q604" i="29"/>
  <c r="X604" i="29" s="1"/>
  <c r="X603" i="29"/>
  <c r="CA604" i="29"/>
  <c r="BU604" i="29" s="1"/>
  <c r="CB604" i="29"/>
  <c r="BV604" i="29" s="1"/>
  <c r="AA603" i="29"/>
  <c r="M603" i="29"/>
  <c r="W603" i="29"/>
  <c r="Y603" i="29" s="1"/>
  <c r="T606" i="29"/>
  <c r="S606" i="29"/>
  <c r="V605" i="29"/>
  <c r="AF605" i="29"/>
  <c r="AE605" i="29"/>
  <c r="BY607" i="29"/>
  <c r="BR607" i="29"/>
  <c r="BO608" i="29"/>
  <c r="BN608" i="29"/>
  <c r="U605" i="29"/>
  <c r="BE606" i="29"/>
  <c r="BG606" i="29" s="1"/>
  <c r="BA606" i="29" s="1"/>
  <c r="BD607" i="29"/>
  <c r="BP606" i="29"/>
  <c r="BC606" i="29"/>
  <c r="BF606" i="29" s="1"/>
  <c r="BZ566" i="29"/>
  <c r="BX567" i="29" s="1"/>
  <c r="BH605" i="29"/>
  <c r="BB605" i="29" s="1"/>
  <c r="AZ605" i="29"/>
  <c r="CC604" i="29" l="1"/>
  <c r="R605" i="29"/>
  <c r="Q605" i="29"/>
  <c r="X605" i="29" s="1"/>
  <c r="BN609" i="29"/>
  <c r="BO609" i="29"/>
  <c r="BR608" i="29"/>
  <c r="BY608" i="29"/>
  <c r="L606" i="29"/>
  <c r="K607" i="29"/>
  <c r="J607" i="29"/>
  <c r="AB605" i="29"/>
  <c r="AC605" i="29"/>
  <c r="U606" i="29"/>
  <c r="AC606" i="29" s="1"/>
  <c r="BQ609" i="29"/>
  <c r="BQ610" i="29" s="1"/>
  <c r="T607" i="29"/>
  <c r="S607" i="29"/>
  <c r="V606" i="29"/>
  <c r="AE606" i="29"/>
  <c r="AF606" i="29"/>
  <c r="AA604" i="29"/>
  <c r="CB605" i="29"/>
  <c r="BV605" i="29" s="1"/>
  <c r="M604" i="29"/>
  <c r="W604" i="29"/>
  <c r="Y604" i="29" s="1"/>
  <c r="CA605" i="29"/>
  <c r="BU605" i="29" s="1"/>
  <c r="BZ567" i="29"/>
  <c r="BX568" i="29" s="1"/>
  <c r="BH606" i="29"/>
  <c r="BB606" i="29" s="1"/>
  <c r="AZ606" i="29"/>
  <c r="BP607" i="29"/>
  <c r="BE607" i="29"/>
  <c r="BG607" i="29" s="1"/>
  <c r="BA607" i="29" s="1"/>
  <c r="BD608" i="29"/>
  <c r="BC607" i="29"/>
  <c r="BF607" i="29" s="1"/>
  <c r="T608" i="29" l="1"/>
  <c r="V607" i="29"/>
  <c r="S608" i="29"/>
  <c r="AE607" i="29"/>
  <c r="AF607" i="29"/>
  <c r="M605" i="29"/>
  <c r="CA606" i="29"/>
  <c r="BU606" i="29" s="1"/>
  <c r="W605" i="29"/>
  <c r="Y605" i="29" s="1"/>
  <c r="CB606" i="29"/>
  <c r="BV606" i="29" s="1"/>
  <c r="AA605" i="29"/>
  <c r="U607" i="29"/>
  <c r="AB607" i="29" s="1"/>
  <c r="Q606" i="29"/>
  <c r="R606" i="29"/>
  <c r="AB606" i="29"/>
  <c r="J608" i="29"/>
  <c r="L607" i="29"/>
  <c r="K608" i="29"/>
  <c r="BN610" i="29"/>
  <c r="BO610" i="29"/>
  <c r="BR609" i="29"/>
  <c r="CC605" i="29"/>
  <c r="BQ611" i="29"/>
  <c r="AZ607" i="29"/>
  <c r="BH607" i="29"/>
  <c r="BB607" i="29" s="1"/>
  <c r="BD609" i="29"/>
  <c r="BE608" i="29"/>
  <c r="BG608" i="29" s="1"/>
  <c r="BA608" i="29" s="1"/>
  <c r="BC608" i="29"/>
  <c r="BF608" i="29" s="1"/>
  <c r="BP608" i="29"/>
  <c r="BZ568" i="29"/>
  <c r="BX569" i="29" s="1"/>
  <c r="AC607" i="29" l="1"/>
  <c r="CC606" i="29"/>
  <c r="X606" i="29"/>
  <c r="AA606" i="29"/>
  <c r="M606" i="29"/>
  <c r="CA607" i="29"/>
  <c r="BU607" i="29" s="1"/>
  <c r="W606" i="29"/>
  <c r="Y606" i="29" s="1"/>
  <c r="CB607" i="29"/>
  <c r="BV607" i="29" s="1"/>
  <c r="U608" i="29"/>
  <c r="BY610" i="29"/>
  <c r="BR610" i="29"/>
  <c r="BO611" i="29"/>
  <c r="BQ612" i="29" s="1"/>
  <c r="BN611" i="29"/>
  <c r="R607" i="29"/>
  <c r="Q607" i="29"/>
  <c r="X607" i="29" s="1"/>
  <c r="S609" i="29"/>
  <c r="T609" i="29"/>
  <c r="V608" i="29"/>
  <c r="AE608" i="29"/>
  <c r="AF608" i="29"/>
  <c r="K609" i="29"/>
  <c r="L608" i="29"/>
  <c r="J609" i="29"/>
  <c r="BI609" i="29"/>
  <c r="BP609" i="29"/>
  <c r="BD610" i="29"/>
  <c r="BE609" i="29"/>
  <c r="BG609" i="29" s="1"/>
  <c r="BA609" i="29" s="1"/>
  <c r="BC609" i="29"/>
  <c r="BF609" i="29" s="1"/>
  <c r="BZ569" i="29"/>
  <c r="BX570" i="29" s="1"/>
  <c r="AZ608" i="29"/>
  <c r="BH608" i="29"/>
  <c r="BB608" i="29" s="1"/>
  <c r="CC607" i="29" l="1"/>
  <c r="L609" i="29"/>
  <c r="J610" i="29"/>
  <c r="K610" i="29"/>
  <c r="S610" i="29"/>
  <c r="T610" i="29"/>
  <c r="V609" i="29"/>
  <c r="AE609" i="29"/>
  <c r="AF609" i="29"/>
  <c r="BR611" i="29"/>
  <c r="BN612" i="29"/>
  <c r="BO612" i="29"/>
  <c r="BY611" i="29"/>
  <c r="U609" i="29"/>
  <c r="AB609" i="29" s="1"/>
  <c r="W607" i="29"/>
  <c r="Y607" i="29" s="1"/>
  <c r="M607" i="29"/>
  <c r="CB608" i="29"/>
  <c r="BV608" i="29" s="1"/>
  <c r="CA608" i="29"/>
  <c r="BU608" i="29" s="1"/>
  <c r="AA607" i="29"/>
  <c r="Q608" i="29"/>
  <c r="R608" i="29"/>
  <c r="BP610" i="29"/>
  <c r="BD611" i="29"/>
  <c r="BC610" i="29"/>
  <c r="BF610" i="29" s="1"/>
  <c r="BE610" i="29"/>
  <c r="BG610" i="29" s="1"/>
  <c r="BA610" i="29" s="1"/>
  <c r="BZ570" i="29"/>
  <c r="BX571" i="29" s="1"/>
  <c r="BH609" i="29"/>
  <c r="BB609" i="29" s="1"/>
  <c r="AZ609" i="29"/>
  <c r="CC608" i="29" l="1"/>
  <c r="Q609" i="29"/>
  <c r="R609" i="29"/>
  <c r="BN613" i="29"/>
  <c r="BY612" i="29"/>
  <c r="BO613" i="29"/>
  <c r="BR612" i="29"/>
  <c r="L610" i="29"/>
  <c r="J611" i="29"/>
  <c r="K611" i="29"/>
  <c r="S611" i="29"/>
  <c r="V610" i="29"/>
  <c r="T611" i="29"/>
  <c r="AE610" i="29"/>
  <c r="AF610" i="29"/>
  <c r="U610" i="29"/>
  <c r="W608" i="29"/>
  <c r="AA608" i="29"/>
  <c r="CA609" i="29"/>
  <c r="BU609" i="29" s="1"/>
  <c r="AC609" i="29"/>
  <c r="BQ613" i="29"/>
  <c r="BQ614" i="29" s="1"/>
  <c r="BH610" i="29"/>
  <c r="BB610" i="29" s="1"/>
  <c r="AZ610" i="29"/>
  <c r="BZ571" i="29"/>
  <c r="BX572" i="29" s="1"/>
  <c r="BP611" i="29"/>
  <c r="BD612" i="29"/>
  <c r="BC611" i="29"/>
  <c r="BF611" i="29" s="1"/>
  <c r="BE611" i="29"/>
  <c r="BG611" i="29" s="1"/>
  <c r="BA611" i="29" s="1"/>
  <c r="R610" i="29" l="1"/>
  <c r="Q610" i="29"/>
  <c r="L611" i="29"/>
  <c r="J612" i="29"/>
  <c r="K612" i="29"/>
  <c r="BN614" i="29"/>
  <c r="BY613" i="29"/>
  <c r="BR613" i="29"/>
  <c r="BO614" i="29"/>
  <c r="CA610" i="29"/>
  <c r="BU610" i="29" s="1"/>
  <c r="CB610" i="29"/>
  <c r="BV610" i="29" s="1"/>
  <c r="AA609" i="29"/>
  <c r="M609" i="29"/>
  <c r="W609" i="29"/>
  <c r="Y609" i="29" s="1"/>
  <c r="U611" i="29"/>
  <c r="AB611" i="29" s="1"/>
  <c r="BQ615" i="29"/>
  <c r="AB610" i="29"/>
  <c r="V611" i="29"/>
  <c r="T612" i="29"/>
  <c r="S612" i="29"/>
  <c r="AF611" i="29"/>
  <c r="AE611" i="29"/>
  <c r="X609" i="29"/>
  <c r="AC610" i="29"/>
  <c r="BZ572" i="29"/>
  <c r="BY573" i="29" s="1"/>
  <c r="BC612" i="29"/>
  <c r="BF612" i="29" s="1"/>
  <c r="BD613" i="29"/>
  <c r="BE612" i="29"/>
  <c r="BG612" i="29" s="1"/>
  <c r="BA612" i="29" s="1"/>
  <c r="BP612" i="29"/>
  <c r="BH611" i="29"/>
  <c r="BB611" i="29" s="1"/>
  <c r="AZ611" i="29"/>
  <c r="CC610" i="29" l="1"/>
  <c r="T613" i="29"/>
  <c r="V612" i="29"/>
  <c r="S613" i="29"/>
  <c r="AE612" i="29"/>
  <c r="AF612" i="29"/>
  <c r="Q611" i="29"/>
  <c r="X611" i="29" s="1"/>
  <c r="R611" i="29"/>
  <c r="X610" i="29"/>
  <c r="M610" i="29"/>
  <c r="AA610" i="29"/>
  <c r="W610" i="29"/>
  <c r="Y610" i="29" s="1"/>
  <c r="CA611" i="29"/>
  <c r="BU611" i="29" s="1"/>
  <c r="CB611" i="29"/>
  <c r="BV611" i="29" s="1"/>
  <c r="U612" i="29"/>
  <c r="AC611" i="29"/>
  <c r="BR614" i="29"/>
  <c r="BO615" i="29"/>
  <c r="BY614" i="29"/>
  <c r="BN615" i="29"/>
  <c r="L612" i="29"/>
  <c r="K613" i="29"/>
  <c r="J613" i="29"/>
  <c r="BW573" i="29"/>
  <c r="BX573" i="29"/>
  <c r="BH612" i="29"/>
  <c r="BB612" i="29" s="1"/>
  <c r="AZ612" i="29"/>
  <c r="BE613" i="29"/>
  <c r="BG613" i="29" s="1"/>
  <c r="BA613" i="29" s="1"/>
  <c r="BC613" i="29"/>
  <c r="BF613" i="29" s="1"/>
  <c r="BP613" i="29"/>
  <c r="BD614" i="29"/>
  <c r="R612" i="29" l="1"/>
  <c r="Q612" i="29"/>
  <c r="T614" i="29"/>
  <c r="S614" i="29"/>
  <c r="V613" i="29"/>
  <c r="AF613" i="29"/>
  <c r="AE613" i="29"/>
  <c r="J614" i="29"/>
  <c r="L613" i="29"/>
  <c r="K614" i="29"/>
  <c r="BN616" i="29"/>
  <c r="BR615" i="29"/>
  <c r="BO616" i="29"/>
  <c r="BY615" i="29"/>
  <c r="AC612" i="29"/>
  <c r="CC611" i="29"/>
  <c r="AB612" i="29"/>
  <c r="U613" i="29"/>
  <c r="AB613" i="29" s="1"/>
  <c r="BQ616" i="29"/>
  <c r="BQ617" i="29" s="1"/>
  <c r="AA611" i="29"/>
  <c r="W611" i="29"/>
  <c r="Y611" i="29" s="1"/>
  <c r="CA612" i="29"/>
  <c r="BU612" i="29" s="1"/>
  <c r="M611" i="29"/>
  <c r="CB612" i="29"/>
  <c r="BV612" i="29" s="1"/>
  <c r="BD615" i="29"/>
  <c r="BE614" i="29"/>
  <c r="BG614" i="29" s="1"/>
  <c r="BA614" i="29" s="1"/>
  <c r="BP614" i="29"/>
  <c r="BC614" i="29"/>
  <c r="BF614" i="29" s="1"/>
  <c r="AZ613" i="29"/>
  <c r="BH613" i="29"/>
  <c r="BB613" i="29" s="1"/>
  <c r="BZ573" i="29"/>
  <c r="BX574" i="29" s="1"/>
  <c r="BT573" i="29"/>
  <c r="M572" i="29" s="1"/>
  <c r="BS573" i="29"/>
  <c r="CC612" i="29" l="1"/>
  <c r="K615" i="29"/>
  <c r="L614" i="29"/>
  <c r="J615" i="29"/>
  <c r="CA613" i="29"/>
  <c r="BU613" i="29" s="1"/>
  <c r="AA612" i="29"/>
  <c r="M612" i="29"/>
  <c r="W612" i="29"/>
  <c r="Y612" i="29" s="1"/>
  <c r="CB613" i="29"/>
  <c r="BV613" i="29" s="1"/>
  <c r="BO617" i="29"/>
  <c r="BR616" i="29"/>
  <c r="BY616" i="29"/>
  <c r="BN617" i="29"/>
  <c r="Q613" i="29"/>
  <c r="X613" i="29" s="1"/>
  <c r="R613" i="29"/>
  <c r="U614" i="29"/>
  <c r="AC614" i="29" s="1"/>
  <c r="X612" i="29"/>
  <c r="AC613" i="29"/>
  <c r="V614" i="29"/>
  <c r="T615" i="29"/>
  <c r="S615" i="29"/>
  <c r="AE614" i="29"/>
  <c r="AF614" i="29"/>
  <c r="BZ574" i="29"/>
  <c r="BX575" i="29" s="1"/>
  <c r="BH614" i="29"/>
  <c r="BB614" i="29" s="1"/>
  <c r="AZ614" i="29"/>
  <c r="H57" i="29"/>
  <c r="K50" i="40" s="1"/>
  <c r="X572" i="29"/>
  <c r="Y572" i="29" s="1"/>
  <c r="Z572" i="29" s="1"/>
  <c r="BD616" i="29"/>
  <c r="BP615" i="29"/>
  <c r="BC615" i="29"/>
  <c r="BF615" i="29" s="1"/>
  <c r="BE615" i="29"/>
  <c r="BG615" i="29" s="1"/>
  <c r="BA615" i="29" s="1"/>
  <c r="AC572" i="29" l="1"/>
  <c r="AB572" i="29"/>
  <c r="Z573" i="29"/>
  <c r="Z574" i="29" s="1"/>
  <c r="Z575" i="29" s="1"/>
  <c r="Z576" i="29" s="1"/>
  <c r="Z577" i="29" s="1"/>
  <c r="Z578" i="29" s="1"/>
  <c r="Z579" i="29" s="1"/>
  <c r="Z580" i="29" s="1"/>
  <c r="Z581" i="29" s="1"/>
  <c r="Z582" i="29" s="1"/>
  <c r="Z583" i="29" s="1"/>
  <c r="CB585" i="29"/>
  <c r="G57" i="29"/>
  <c r="L50" i="40" s="1"/>
  <c r="AB614" i="29"/>
  <c r="CC613" i="29"/>
  <c r="BN618" i="29"/>
  <c r="BO618" i="29"/>
  <c r="BR617" i="29"/>
  <c r="BY617" i="29"/>
  <c r="U615" i="29"/>
  <c r="BQ618" i="29"/>
  <c r="BQ619" i="29" s="1"/>
  <c r="V615" i="29"/>
  <c r="T616" i="29"/>
  <c r="S616" i="29"/>
  <c r="AE615" i="29"/>
  <c r="AF615" i="29"/>
  <c r="L615" i="29"/>
  <c r="J616" i="29"/>
  <c r="K616" i="29"/>
  <c r="Q614" i="29"/>
  <c r="R614" i="29"/>
  <c r="W613" i="29"/>
  <c r="Y613" i="29" s="1"/>
  <c r="AA613" i="29"/>
  <c r="CB614" i="29"/>
  <c r="BV614" i="29" s="1"/>
  <c r="M613" i="29"/>
  <c r="CA614" i="29"/>
  <c r="BU614" i="29" s="1"/>
  <c r="BZ575" i="29"/>
  <c r="BX576" i="29" s="1"/>
  <c r="BC616" i="29"/>
  <c r="BF616" i="29" s="1"/>
  <c r="BP616" i="29"/>
  <c r="BE616" i="29"/>
  <c r="BG616" i="29" s="1"/>
  <c r="BA616" i="29" s="1"/>
  <c r="BD617" i="29"/>
  <c r="D197" i="15"/>
  <c r="I66" i="39"/>
  <c r="H50" i="44" s="1"/>
  <c r="D50" i="45" s="1"/>
  <c r="K50" i="45" s="1"/>
  <c r="L50" i="45" s="1"/>
  <c r="J51" i="45" s="1"/>
  <c r="G64" i="15"/>
  <c r="BH615" i="29"/>
  <c r="BB615" i="29" s="1"/>
  <c r="AZ615" i="29"/>
  <c r="BG119" i="44" l="1"/>
  <c r="BM119" i="44"/>
  <c r="BN119" i="44"/>
  <c r="BQ119" i="44"/>
  <c r="BO119" i="44"/>
  <c r="BF119" i="44"/>
  <c r="BL119" i="44"/>
  <c r="BR119" i="44"/>
  <c r="BK119" i="44"/>
  <c r="BP119" i="44"/>
  <c r="BJ119" i="44"/>
  <c r="BH119" i="44"/>
  <c r="BI119" i="44"/>
  <c r="BV585" i="29"/>
  <c r="CC585" i="29"/>
  <c r="F197" i="15"/>
  <c r="L66" i="39"/>
  <c r="CA615" i="29"/>
  <c r="BU615" i="29" s="1"/>
  <c r="M614" i="29"/>
  <c r="AA614" i="29"/>
  <c r="CB615" i="29"/>
  <c r="BV615" i="29" s="1"/>
  <c r="W614" i="29"/>
  <c r="Y614" i="29" s="1"/>
  <c r="T617" i="29"/>
  <c r="S617" i="29"/>
  <c r="V616" i="29"/>
  <c r="AF616" i="29"/>
  <c r="AE616" i="29"/>
  <c r="Q615" i="29"/>
  <c r="X615" i="29" s="1"/>
  <c r="R615" i="29"/>
  <c r="CC614" i="29"/>
  <c r="X614" i="29"/>
  <c r="AC615" i="29"/>
  <c r="BY618" i="29"/>
  <c r="BN619" i="29"/>
  <c r="BR618" i="29"/>
  <c r="BO619" i="29"/>
  <c r="K617" i="29"/>
  <c r="J617" i="29"/>
  <c r="L616" i="29"/>
  <c r="BQ620" i="29"/>
  <c r="AB615" i="29"/>
  <c r="U616" i="29"/>
  <c r="AB616" i="29" s="1"/>
  <c r="BZ576" i="29"/>
  <c r="BX577" i="29" s="1"/>
  <c r="BH616" i="29"/>
  <c r="BB616" i="29" s="1"/>
  <c r="AZ616" i="29"/>
  <c r="BE617" i="29"/>
  <c r="BG617" i="29" s="1"/>
  <c r="BA617" i="29" s="1"/>
  <c r="BP617" i="29"/>
  <c r="BD618" i="29"/>
  <c r="BC617" i="29"/>
  <c r="BF617" i="29" s="1"/>
  <c r="AC616" i="29" l="1"/>
  <c r="S618" i="29"/>
  <c r="V617" i="29"/>
  <c r="T618" i="29"/>
  <c r="AE617" i="29"/>
  <c r="AF617" i="29"/>
  <c r="Q616" i="29"/>
  <c r="R616" i="29"/>
  <c r="J618" i="29"/>
  <c r="K618" i="29"/>
  <c r="L617" i="29"/>
  <c r="CC615" i="29"/>
  <c r="BR619" i="29"/>
  <c r="BN620" i="29"/>
  <c r="BO620" i="29"/>
  <c r="BQ621" i="29" s="1"/>
  <c r="BY619" i="29"/>
  <c r="W615" i="29"/>
  <c r="Y615" i="29" s="1"/>
  <c r="M615" i="29"/>
  <c r="AA615" i="29"/>
  <c r="CB616" i="29"/>
  <c r="BV616" i="29" s="1"/>
  <c r="CA616" i="29"/>
  <c r="BU616" i="29" s="1"/>
  <c r="U617" i="29"/>
  <c r="AB617" i="29" s="1"/>
  <c r="BZ577" i="29"/>
  <c r="BX578" i="29" s="1"/>
  <c r="AZ617" i="29"/>
  <c r="BH617" i="29"/>
  <c r="BB617" i="29" s="1"/>
  <c r="BP618" i="29"/>
  <c r="BE618" i="29"/>
  <c r="BG618" i="29" s="1"/>
  <c r="BA618" i="29" s="1"/>
  <c r="BD619" i="29"/>
  <c r="BC618" i="29"/>
  <c r="BF618" i="29" s="1"/>
  <c r="CC616" i="29" l="1"/>
  <c r="X616" i="29"/>
  <c r="CB617" i="29"/>
  <c r="BV617" i="29" s="1"/>
  <c r="W616" i="29"/>
  <c r="Y616" i="29" s="1"/>
  <c r="CA617" i="29"/>
  <c r="BU617" i="29" s="1"/>
  <c r="AA616" i="29"/>
  <c r="M616" i="29"/>
  <c r="R617" i="29"/>
  <c r="Q617" i="29"/>
  <c r="J619" i="29"/>
  <c r="L618" i="29"/>
  <c r="K619" i="29"/>
  <c r="U618" i="29"/>
  <c r="AC617" i="29"/>
  <c r="BO621" i="29"/>
  <c r="BQ622" i="29" s="1"/>
  <c r="BN621" i="29"/>
  <c r="BR620" i="29"/>
  <c r="BY620" i="29"/>
  <c r="V618" i="29"/>
  <c r="S619" i="29"/>
  <c r="T619" i="29"/>
  <c r="AE618" i="29"/>
  <c r="AF618" i="29"/>
  <c r="BD620" i="29"/>
  <c r="BP619" i="29"/>
  <c r="BE619" i="29"/>
  <c r="BG619" i="29" s="1"/>
  <c r="BA619" i="29" s="1"/>
  <c r="BC619" i="29"/>
  <c r="BF619" i="29" s="1"/>
  <c r="BH618" i="29"/>
  <c r="BB618" i="29" s="1"/>
  <c r="AZ618" i="29"/>
  <c r="BZ578" i="29"/>
  <c r="BX579" i="29" s="1"/>
  <c r="L619" i="29" l="1"/>
  <c r="K620" i="29"/>
  <c r="J620" i="29"/>
  <c r="CA618" i="29"/>
  <c r="BU618" i="29" s="1"/>
  <c r="CB618" i="29"/>
  <c r="BV618" i="29" s="1"/>
  <c r="W617" i="29"/>
  <c r="Y617" i="29" s="1"/>
  <c r="AA617" i="29"/>
  <c r="M617" i="29"/>
  <c r="S620" i="29"/>
  <c r="V619" i="29"/>
  <c r="T620" i="29"/>
  <c r="AF619" i="29"/>
  <c r="AE619" i="29"/>
  <c r="R618" i="29"/>
  <c r="Q618" i="29"/>
  <c r="AC618" i="29"/>
  <c r="CC617" i="29"/>
  <c r="U619" i="29"/>
  <c r="BR621" i="29"/>
  <c r="BO622" i="29"/>
  <c r="BN622" i="29"/>
  <c r="AB618" i="29"/>
  <c r="X617" i="29"/>
  <c r="BZ579" i="29"/>
  <c r="BX580" i="29" s="1"/>
  <c r="AZ619" i="29"/>
  <c r="BH619" i="29"/>
  <c r="BB619" i="29" s="1"/>
  <c r="BP620" i="29"/>
  <c r="BE620" i="29"/>
  <c r="BG620" i="29" s="1"/>
  <c r="BA620" i="29" s="1"/>
  <c r="BD621" i="29"/>
  <c r="BC620" i="29"/>
  <c r="BF620" i="29" s="1"/>
  <c r="CC618" i="29" l="1"/>
  <c r="Q619" i="29"/>
  <c r="X619" i="29" s="1"/>
  <c r="R619" i="29"/>
  <c r="U620" i="29"/>
  <c r="AB619" i="29"/>
  <c r="K621" i="29"/>
  <c r="J621" i="29"/>
  <c r="L620" i="29"/>
  <c r="BY622" i="29"/>
  <c r="BN623" i="29"/>
  <c r="BO623" i="29"/>
  <c r="BR622" i="29"/>
  <c r="AC619" i="29"/>
  <c r="X618" i="29"/>
  <c r="M618" i="29"/>
  <c r="CB619" i="29"/>
  <c r="BV619" i="29" s="1"/>
  <c r="W618" i="29"/>
  <c r="Y618" i="29" s="1"/>
  <c r="AA618" i="29"/>
  <c r="CA619" i="29"/>
  <c r="BU619" i="29" s="1"/>
  <c r="V620" i="29"/>
  <c r="T621" i="29"/>
  <c r="S621" i="29"/>
  <c r="AF620" i="29"/>
  <c r="AE620" i="29"/>
  <c r="BQ623" i="29"/>
  <c r="BQ624" i="29" s="1"/>
  <c r="BH620" i="29"/>
  <c r="BB620" i="29" s="1"/>
  <c r="AZ620" i="29"/>
  <c r="BD622" i="29"/>
  <c r="BI621" i="29"/>
  <c r="BC621" i="29"/>
  <c r="BF621" i="29" s="1"/>
  <c r="BP621" i="29"/>
  <c r="BE621" i="29"/>
  <c r="BG621" i="29" s="1"/>
  <c r="BA621" i="29" s="1"/>
  <c r="BZ580" i="29"/>
  <c r="BX581" i="29" s="1"/>
  <c r="CC619" i="29" l="1"/>
  <c r="T622" i="29"/>
  <c r="S622" i="29"/>
  <c r="V621" i="29"/>
  <c r="AE621" i="29"/>
  <c r="AF621" i="29"/>
  <c r="U621" i="29"/>
  <c r="AB621" i="29" s="1"/>
  <c r="BY623" i="29"/>
  <c r="BO624" i="29"/>
  <c r="BR623" i="29"/>
  <c r="BN624" i="29"/>
  <c r="CA620" i="29"/>
  <c r="BU620" i="29" s="1"/>
  <c r="M619" i="29"/>
  <c r="AA619" i="29"/>
  <c r="CB620" i="29"/>
  <c r="BV620" i="29" s="1"/>
  <c r="W619" i="29"/>
  <c r="Y619" i="29" s="1"/>
  <c r="K622" i="29"/>
  <c r="L621" i="29"/>
  <c r="J622" i="29"/>
  <c r="R620" i="29"/>
  <c r="Q620" i="29"/>
  <c r="BZ581" i="29"/>
  <c r="BX582" i="29" s="1"/>
  <c r="BP622" i="29"/>
  <c r="BE622" i="29"/>
  <c r="BG622" i="29" s="1"/>
  <c r="BA622" i="29" s="1"/>
  <c r="BD623" i="29"/>
  <c r="BC622" i="29"/>
  <c r="BF622" i="29" s="1"/>
  <c r="AZ621" i="29"/>
  <c r="BH621" i="29"/>
  <c r="BB621" i="29" s="1"/>
  <c r="CC620" i="29" l="1"/>
  <c r="AA620" i="29"/>
  <c r="W620" i="29"/>
  <c r="CA621" i="29"/>
  <c r="BU621" i="29" s="1"/>
  <c r="K623" i="29"/>
  <c r="J623" i="29"/>
  <c r="L622" i="29"/>
  <c r="V622" i="29"/>
  <c r="T623" i="29"/>
  <c r="S623" i="29"/>
  <c r="AF622" i="29"/>
  <c r="AE622" i="29"/>
  <c r="U622" i="29"/>
  <c r="AB622" i="29" s="1"/>
  <c r="R621" i="29"/>
  <c r="Q621" i="29"/>
  <c r="X621" i="29" s="1"/>
  <c r="BN625" i="29"/>
  <c r="BY624" i="29"/>
  <c r="BR624" i="29"/>
  <c r="BO625" i="29"/>
  <c r="BQ625" i="29"/>
  <c r="BQ626" i="29" s="1"/>
  <c r="AC621" i="29"/>
  <c r="BZ582" i="29"/>
  <c r="BX583" i="29" s="1"/>
  <c r="AZ622" i="29"/>
  <c r="BH622" i="29"/>
  <c r="BB622" i="29" s="1"/>
  <c r="BC623" i="29"/>
  <c r="BF623" i="29" s="1"/>
  <c r="BE623" i="29"/>
  <c r="BG623" i="29" s="1"/>
  <c r="BA623" i="29" s="1"/>
  <c r="BP623" i="29"/>
  <c r="BD624" i="29"/>
  <c r="V623" i="29" l="1"/>
  <c r="T624" i="29"/>
  <c r="S624" i="29"/>
  <c r="AE623" i="29"/>
  <c r="AF623" i="29"/>
  <c r="J624" i="29"/>
  <c r="L623" i="29"/>
  <c r="K624" i="29"/>
  <c r="BQ627" i="29"/>
  <c r="BN626" i="29"/>
  <c r="BR625" i="29"/>
  <c r="BO626" i="29"/>
  <c r="BY625" i="29"/>
  <c r="W621" i="29"/>
  <c r="Y621" i="29" s="1"/>
  <c r="M621" i="29"/>
  <c r="AA621" i="29"/>
  <c r="CA622" i="29"/>
  <c r="BU622" i="29" s="1"/>
  <c r="CB622" i="29"/>
  <c r="BV622" i="29" s="1"/>
  <c r="R622" i="29"/>
  <c r="Q622" i="29"/>
  <c r="AC622" i="29"/>
  <c r="U623" i="29"/>
  <c r="AC623" i="29" s="1"/>
  <c r="BZ583" i="29"/>
  <c r="BX584" i="29" s="1"/>
  <c r="BD625" i="29"/>
  <c r="BP624" i="29"/>
  <c r="BE624" i="29"/>
  <c r="BG624" i="29" s="1"/>
  <c r="BA624" i="29" s="1"/>
  <c r="BC624" i="29"/>
  <c r="BF624" i="29" s="1"/>
  <c r="AZ623" i="29"/>
  <c r="BH623" i="29"/>
  <c r="BB623" i="29" s="1"/>
  <c r="CC622" i="29" l="1"/>
  <c r="Q623" i="29"/>
  <c r="R623" i="29"/>
  <c r="X622" i="29"/>
  <c r="M622" i="29"/>
  <c r="CB623" i="29"/>
  <c r="BV623" i="29" s="1"/>
  <c r="CA623" i="29"/>
  <c r="BU623" i="29" s="1"/>
  <c r="W622" i="29"/>
  <c r="Y622" i="29" s="1"/>
  <c r="AA622" i="29"/>
  <c r="AB623" i="29"/>
  <c r="BY626" i="29"/>
  <c r="BO627" i="29"/>
  <c r="BN627" i="29"/>
  <c r="BR626" i="29"/>
  <c r="K625" i="29"/>
  <c r="J625" i="29"/>
  <c r="L624" i="29"/>
  <c r="U624" i="29"/>
  <c r="T625" i="29"/>
  <c r="S625" i="29"/>
  <c r="V624" i="29"/>
  <c r="AE624" i="29"/>
  <c r="AF624" i="29"/>
  <c r="BH624" i="29"/>
  <c r="BB624" i="29" s="1"/>
  <c r="AZ624" i="29"/>
  <c r="BZ584" i="29"/>
  <c r="BY585" i="29" s="1"/>
  <c r="BE625" i="29"/>
  <c r="BG625" i="29" s="1"/>
  <c r="BA625" i="29" s="1"/>
  <c r="BP625" i="29"/>
  <c r="BD626" i="29"/>
  <c r="BC625" i="29"/>
  <c r="BF625" i="29" s="1"/>
  <c r="CC623" i="29" l="1"/>
  <c r="BN628" i="29"/>
  <c r="BO628" i="29"/>
  <c r="BR627" i="29"/>
  <c r="BY627" i="29"/>
  <c r="Q624" i="29"/>
  <c r="X624" i="29" s="1"/>
  <c r="R624" i="29"/>
  <c r="AC624" i="29"/>
  <c r="AB624" i="29"/>
  <c r="X623" i="29"/>
  <c r="W623" i="29"/>
  <c r="Y623" i="29" s="1"/>
  <c r="AA623" i="29"/>
  <c r="CA624" i="29"/>
  <c r="BU624" i="29" s="1"/>
  <c r="CB624" i="29"/>
  <c r="BV624" i="29" s="1"/>
  <c r="M623" i="29"/>
  <c r="U625" i="29"/>
  <c r="AB625" i="29" s="1"/>
  <c r="J626" i="29"/>
  <c r="K626" i="29"/>
  <c r="L625" i="29"/>
  <c r="V625" i="29"/>
  <c r="S626" i="29"/>
  <c r="T626" i="29"/>
  <c r="AE625" i="29"/>
  <c r="AF625" i="29"/>
  <c r="BQ628" i="29"/>
  <c r="BQ629" i="29" s="1"/>
  <c r="BW585" i="29"/>
  <c r="BX585" i="29"/>
  <c r="BP626" i="29"/>
  <c r="BC626" i="29"/>
  <c r="BF626" i="29" s="1"/>
  <c r="BE626" i="29"/>
  <c r="BG626" i="29" s="1"/>
  <c r="BA626" i="29" s="1"/>
  <c r="BD627" i="29"/>
  <c r="AZ625" i="29"/>
  <c r="BH625" i="29"/>
  <c r="BB625" i="29" s="1"/>
  <c r="BN629" i="29" l="1"/>
  <c r="BO629" i="29"/>
  <c r="BR628" i="29"/>
  <c r="BY628" i="29"/>
  <c r="R625" i="29"/>
  <c r="Q625" i="29"/>
  <c r="BQ630" i="29"/>
  <c r="L626" i="29"/>
  <c r="K627" i="29"/>
  <c r="J627" i="29"/>
  <c r="AC625" i="29"/>
  <c r="W624" i="29"/>
  <c r="Y624" i="29" s="1"/>
  <c r="CA625" i="29"/>
  <c r="BU625" i="29" s="1"/>
  <c r="AA624" i="29"/>
  <c r="M624" i="29"/>
  <c r="CB625" i="29"/>
  <c r="BV625" i="29" s="1"/>
  <c r="V626" i="29"/>
  <c r="S627" i="29"/>
  <c r="T627" i="29"/>
  <c r="AF626" i="29"/>
  <c r="AE626" i="29"/>
  <c r="U626" i="29"/>
  <c r="AC626" i="29" s="1"/>
  <c r="CC624" i="29"/>
  <c r="BC627" i="29"/>
  <c r="BF627" i="29" s="1"/>
  <c r="BP627" i="29"/>
  <c r="BE627" i="29"/>
  <c r="BG627" i="29" s="1"/>
  <c r="BA627" i="29" s="1"/>
  <c r="BD628" i="29"/>
  <c r="AZ626" i="29"/>
  <c r="BH626" i="29"/>
  <c r="BB626" i="29" s="1"/>
  <c r="BZ585" i="29"/>
  <c r="BX586" i="29" s="1"/>
  <c r="BT585" i="29"/>
  <c r="M584" i="29" s="1"/>
  <c r="BS585" i="29"/>
  <c r="AB626" i="29" l="1"/>
  <c r="R626" i="29"/>
  <c r="Q626" i="29"/>
  <c r="X626" i="29" s="1"/>
  <c r="X625" i="29"/>
  <c r="CA626" i="29"/>
  <c r="BU626" i="29" s="1"/>
  <c r="AA625" i="29"/>
  <c r="W625" i="29"/>
  <c r="Y625" i="29" s="1"/>
  <c r="CB626" i="29"/>
  <c r="BV626" i="29" s="1"/>
  <c r="M625" i="29"/>
  <c r="BY629" i="29"/>
  <c r="BR629" i="29"/>
  <c r="BN630" i="29"/>
  <c r="BO630" i="29"/>
  <c r="V627" i="29"/>
  <c r="T628" i="29"/>
  <c r="S628" i="29"/>
  <c r="AE627" i="29"/>
  <c r="AF627" i="29"/>
  <c r="CC625" i="29"/>
  <c r="K628" i="29"/>
  <c r="L627" i="29"/>
  <c r="J628" i="29"/>
  <c r="U627" i="29"/>
  <c r="AC627" i="29" s="1"/>
  <c r="BZ586" i="29"/>
  <c r="BX587" i="29" s="1"/>
  <c r="BD629" i="29"/>
  <c r="BC628" i="29"/>
  <c r="BF628" i="29" s="1"/>
  <c r="BE628" i="29"/>
  <c r="BG628" i="29" s="1"/>
  <c r="BA628" i="29" s="1"/>
  <c r="BP628" i="29"/>
  <c r="H58" i="29"/>
  <c r="K51" i="40" s="1"/>
  <c r="X584" i="29"/>
  <c r="Y584" i="29" s="1"/>
  <c r="Z584" i="29" s="1"/>
  <c r="AZ627" i="29"/>
  <c r="BH627" i="29"/>
  <c r="BB627" i="29" s="1"/>
  <c r="AB584" i="29" l="1"/>
  <c r="AC584" i="29"/>
  <c r="Z585" i="29"/>
  <c r="Z586" i="29" s="1"/>
  <c r="Z587" i="29" s="1"/>
  <c r="Z588" i="29" s="1"/>
  <c r="Z589" i="29" s="1"/>
  <c r="Z590" i="29" s="1"/>
  <c r="Z591" i="29" s="1"/>
  <c r="Z592" i="29" s="1"/>
  <c r="Z593" i="29" s="1"/>
  <c r="Z594" i="29" s="1"/>
  <c r="Z595" i="29" s="1"/>
  <c r="CB597" i="29"/>
  <c r="G58" i="29"/>
  <c r="L51" i="40" s="1"/>
  <c r="CC626" i="29"/>
  <c r="AB627" i="29"/>
  <c r="BY630" i="29"/>
  <c r="BO631" i="29"/>
  <c r="BN631" i="29"/>
  <c r="BR630" i="29"/>
  <c r="J629" i="29"/>
  <c r="K629" i="29"/>
  <c r="L628" i="29"/>
  <c r="U628" i="29"/>
  <c r="AB628" i="29" s="1"/>
  <c r="V628" i="29"/>
  <c r="S629" i="29"/>
  <c r="T629" i="29"/>
  <c r="AF628" i="29"/>
  <c r="AE628" i="29"/>
  <c r="BQ631" i="29"/>
  <c r="BQ632" i="29" s="1"/>
  <c r="Q627" i="29"/>
  <c r="X627" i="29" s="1"/>
  <c r="R627" i="29"/>
  <c r="M626" i="29"/>
  <c r="CA627" i="29"/>
  <c r="BU627" i="29" s="1"/>
  <c r="CB627" i="29"/>
  <c r="BV627" i="29" s="1"/>
  <c r="W626" i="29"/>
  <c r="Y626" i="29" s="1"/>
  <c r="AA626" i="29"/>
  <c r="BH628" i="29"/>
  <c r="BB628" i="29" s="1"/>
  <c r="AZ628" i="29"/>
  <c r="D198" i="15"/>
  <c r="I67" i="39"/>
  <c r="H51" i="44" s="1"/>
  <c r="D51" i="45" s="1"/>
  <c r="K51" i="45" s="1"/>
  <c r="L51" i="45" s="1"/>
  <c r="J52" i="45" s="1"/>
  <c r="G65" i="15"/>
  <c r="BP629" i="29"/>
  <c r="BD630" i="29"/>
  <c r="BE629" i="29"/>
  <c r="BG629" i="29" s="1"/>
  <c r="BA629" i="29" s="1"/>
  <c r="BC629" i="29"/>
  <c r="BF629" i="29" s="1"/>
  <c r="BZ587" i="29"/>
  <c r="BX588" i="29" s="1"/>
  <c r="BJ120" i="44" l="1"/>
  <c r="BH120" i="44"/>
  <c r="BN120" i="44"/>
  <c r="BR120" i="44"/>
  <c r="BK120" i="44"/>
  <c r="BM120" i="44"/>
  <c r="BO120" i="44"/>
  <c r="BG120" i="44"/>
  <c r="BP120" i="44"/>
  <c r="BL120" i="44"/>
  <c r="BI120" i="44"/>
  <c r="BQ120" i="44"/>
  <c r="BV597" i="29"/>
  <c r="CC597" i="29"/>
  <c r="L67" i="39"/>
  <c r="F198" i="15"/>
  <c r="CC627" i="29"/>
  <c r="AC628" i="29"/>
  <c r="W627" i="29"/>
  <c r="Y627" i="29" s="1"/>
  <c r="CA628" i="29"/>
  <c r="BU628" i="29" s="1"/>
  <c r="M627" i="29"/>
  <c r="AA627" i="29"/>
  <c r="CB628" i="29"/>
  <c r="BV628" i="29" s="1"/>
  <c r="V629" i="29"/>
  <c r="S630" i="29"/>
  <c r="T630" i="29"/>
  <c r="AF629" i="29"/>
  <c r="AE629" i="29"/>
  <c r="Q628" i="29"/>
  <c r="X628" i="29" s="1"/>
  <c r="R628" i="29"/>
  <c r="L629" i="29"/>
  <c r="K630" i="29"/>
  <c r="J630" i="29"/>
  <c r="BO632" i="29"/>
  <c r="BY631" i="29"/>
  <c r="BR631" i="29"/>
  <c r="BN632" i="29"/>
  <c r="BQ633" i="29"/>
  <c r="U629" i="29"/>
  <c r="AC629" i="29" s="1"/>
  <c r="BZ588" i="29"/>
  <c r="BX589" i="29" s="1"/>
  <c r="BP630" i="29"/>
  <c r="BE630" i="29"/>
  <c r="BG630" i="29" s="1"/>
  <c r="BA630" i="29" s="1"/>
  <c r="BD631" i="29"/>
  <c r="BC630" i="29"/>
  <c r="BF630" i="29" s="1"/>
  <c r="AZ629" i="29"/>
  <c r="BH629" i="29"/>
  <c r="BB629" i="29" s="1"/>
  <c r="BQ634" i="29" l="1"/>
  <c r="BO633" i="29"/>
  <c r="BR632" i="29"/>
  <c r="BN633" i="29"/>
  <c r="BY632" i="29"/>
  <c r="CC628" i="29"/>
  <c r="R629" i="29"/>
  <c r="Q629" i="29"/>
  <c r="X629" i="29" s="1"/>
  <c r="S631" i="29"/>
  <c r="T631" i="29"/>
  <c r="V630" i="29"/>
  <c r="AF630" i="29"/>
  <c r="AE630" i="29"/>
  <c r="AB629" i="29"/>
  <c r="L630" i="29"/>
  <c r="K631" i="29"/>
  <c r="J631" i="29"/>
  <c r="W628" i="29"/>
  <c r="Y628" i="29" s="1"/>
  <c r="AA628" i="29"/>
  <c r="M628" i="29"/>
  <c r="CB629" i="29"/>
  <c r="BV629" i="29" s="1"/>
  <c r="CA629" i="29"/>
  <c r="BU629" i="29" s="1"/>
  <c r="U630" i="29"/>
  <c r="AB630" i="29" s="1"/>
  <c r="BZ589" i="29"/>
  <c r="BX590" i="29" s="1"/>
  <c r="BH630" i="29"/>
  <c r="BB630" i="29" s="1"/>
  <c r="AZ630" i="29"/>
  <c r="BD632" i="29"/>
  <c r="BC631" i="29"/>
  <c r="BF631" i="29" s="1"/>
  <c r="BE631" i="29"/>
  <c r="BG631" i="29" s="1"/>
  <c r="BA631" i="29" s="1"/>
  <c r="BP631" i="29"/>
  <c r="AC630" i="29" l="1"/>
  <c r="U631" i="29"/>
  <c r="AC631" i="29" s="1"/>
  <c r="L631" i="29"/>
  <c r="K632" i="29"/>
  <c r="J632" i="29"/>
  <c r="BO634" i="29"/>
  <c r="BR633" i="29"/>
  <c r="BN634" i="29"/>
  <c r="CC629" i="29"/>
  <c r="BQ635" i="29"/>
  <c r="Q630" i="29"/>
  <c r="R630" i="29"/>
  <c r="T632" i="29"/>
  <c r="S632" i="29"/>
  <c r="V631" i="29"/>
  <c r="AF631" i="29"/>
  <c r="AE631" i="29"/>
  <c r="CA630" i="29"/>
  <c r="BU630" i="29" s="1"/>
  <c r="M629" i="29"/>
  <c r="AA629" i="29"/>
  <c r="W629" i="29"/>
  <c r="Y629" i="29" s="1"/>
  <c r="CB630" i="29"/>
  <c r="BV630" i="29" s="1"/>
  <c r="BZ590" i="29"/>
  <c r="BX591" i="29" s="1"/>
  <c r="AZ631" i="29"/>
  <c r="BH631" i="29"/>
  <c r="BB631" i="29" s="1"/>
  <c r="BE632" i="29"/>
  <c r="BG632" i="29" s="1"/>
  <c r="BA632" i="29" s="1"/>
  <c r="BC632" i="29"/>
  <c r="BF632" i="29" s="1"/>
  <c r="BD633" i="29"/>
  <c r="BP632" i="29"/>
  <c r="CC630" i="29" l="1"/>
  <c r="AB631" i="29"/>
  <c r="S633" i="29"/>
  <c r="T633" i="29"/>
  <c r="V632" i="29"/>
  <c r="AF632" i="29"/>
  <c r="AE632" i="29"/>
  <c r="K633" i="29"/>
  <c r="J633" i="29"/>
  <c r="L632" i="29"/>
  <c r="X630" i="29"/>
  <c r="W630" i="29"/>
  <c r="Y630" i="29" s="1"/>
  <c r="M630" i="29"/>
  <c r="CA631" i="29"/>
  <c r="BU631" i="29" s="1"/>
  <c r="AA630" i="29"/>
  <c r="CB631" i="29"/>
  <c r="BV631" i="29" s="1"/>
  <c r="U632" i="29"/>
  <c r="BQ636" i="29"/>
  <c r="BR634" i="29"/>
  <c r="BO635" i="29"/>
  <c r="BN635" i="29"/>
  <c r="BY634" i="29"/>
  <c r="R631" i="29"/>
  <c r="Q631" i="29"/>
  <c r="X631" i="29" s="1"/>
  <c r="BI633" i="29"/>
  <c r="BD634" i="29"/>
  <c r="BE633" i="29"/>
  <c r="BG633" i="29" s="1"/>
  <c r="BA633" i="29" s="1"/>
  <c r="BP633" i="29"/>
  <c r="BC633" i="29"/>
  <c r="BF633" i="29" s="1"/>
  <c r="BH632" i="29"/>
  <c r="BB632" i="29" s="1"/>
  <c r="AZ632" i="29"/>
  <c r="BZ591" i="29"/>
  <c r="BX592" i="29" s="1"/>
  <c r="W631" i="29" l="1"/>
  <c r="Y631" i="29" s="1"/>
  <c r="AA631" i="29"/>
  <c r="CA632" i="29"/>
  <c r="BU632" i="29" s="1"/>
  <c r="M631" i="29"/>
  <c r="CB632" i="29"/>
  <c r="BV632" i="29" s="1"/>
  <c r="BN636" i="29"/>
  <c r="BO636" i="29"/>
  <c r="BR635" i="29"/>
  <c r="BY635" i="29"/>
  <c r="T634" i="29"/>
  <c r="S634" i="29"/>
  <c r="V633" i="29"/>
  <c r="AF633" i="29"/>
  <c r="AE633" i="29"/>
  <c r="R632" i="29"/>
  <c r="Q632" i="29"/>
  <c r="U633" i="29"/>
  <c r="AC633" i="29" s="1"/>
  <c r="K634" i="29"/>
  <c r="J634" i="29"/>
  <c r="L633" i="29"/>
  <c r="BQ637" i="29"/>
  <c r="CC631" i="29"/>
  <c r="BZ592" i="29"/>
  <c r="BX593" i="29" s="1"/>
  <c r="BP634" i="29"/>
  <c r="BD635" i="29"/>
  <c r="BC634" i="29"/>
  <c r="BF634" i="29" s="1"/>
  <c r="BE634" i="29"/>
  <c r="BG634" i="29" s="1"/>
  <c r="BA634" i="29" s="1"/>
  <c r="AZ633" i="29"/>
  <c r="BH633" i="29"/>
  <c r="BB633" i="29" s="1"/>
  <c r="AB633" i="29" l="1"/>
  <c r="CC632" i="29"/>
  <c r="AA632" i="29"/>
  <c r="CA633" i="29"/>
  <c r="BU633" i="29" s="1"/>
  <c r="W632" i="29"/>
  <c r="K635" i="29"/>
  <c r="J635" i="29"/>
  <c r="L634" i="29"/>
  <c r="Q633" i="29"/>
  <c r="X633" i="29" s="1"/>
  <c r="R633" i="29"/>
  <c r="U634" i="29"/>
  <c r="AC634" i="29" s="1"/>
  <c r="BN637" i="29"/>
  <c r="BO637" i="29"/>
  <c r="BR636" i="29"/>
  <c r="BY636" i="29"/>
  <c r="BQ638" i="29"/>
  <c r="S635" i="29"/>
  <c r="V634" i="29"/>
  <c r="T635" i="29"/>
  <c r="AF634" i="29"/>
  <c r="AE634" i="29"/>
  <c r="BD636" i="29"/>
  <c r="BP635" i="29"/>
  <c r="BC635" i="29"/>
  <c r="BF635" i="29" s="1"/>
  <c r="BE635" i="29"/>
  <c r="BG635" i="29" s="1"/>
  <c r="BA635" i="29" s="1"/>
  <c r="BZ593" i="29"/>
  <c r="BX594" i="29" s="1"/>
  <c r="AZ634" i="29"/>
  <c r="BH634" i="29"/>
  <c r="BB634" i="29" s="1"/>
  <c r="AB634" i="29" l="1"/>
  <c r="BQ639" i="29"/>
  <c r="T636" i="29"/>
  <c r="S636" i="29"/>
  <c r="V635" i="29"/>
  <c r="AF635" i="29"/>
  <c r="AE635" i="29"/>
  <c r="R634" i="29"/>
  <c r="Q634" i="29"/>
  <c r="CB634" i="29"/>
  <c r="BV634" i="29" s="1"/>
  <c r="M633" i="29"/>
  <c r="CA634" i="29"/>
  <c r="BU634" i="29" s="1"/>
  <c r="W633" i="29"/>
  <c r="Y633" i="29" s="1"/>
  <c r="AA633" i="29"/>
  <c r="K636" i="29"/>
  <c r="L635" i="29"/>
  <c r="J636" i="29"/>
  <c r="U635" i="29"/>
  <c r="AB635" i="29" s="1"/>
  <c r="BY637" i="29"/>
  <c r="BO638" i="29"/>
  <c r="BR637" i="29"/>
  <c r="BN638" i="29"/>
  <c r="BZ594" i="29"/>
  <c r="BX595" i="29" s="1"/>
  <c r="AZ635" i="29"/>
  <c r="BH635" i="29"/>
  <c r="BB635" i="29" s="1"/>
  <c r="BE636" i="29"/>
  <c r="BG636" i="29" s="1"/>
  <c r="BA636" i="29" s="1"/>
  <c r="BC636" i="29"/>
  <c r="BF636" i="29" s="1"/>
  <c r="BP636" i="29"/>
  <c r="BD637" i="29"/>
  <c r="AC635" i="29" l="1"/>
  <c r="K637" i="29"/>
  <c r="J637" i="29"/>
  <c r="L636" i="29"/>
  <c r="AA634" i="29"/>
  <c r="CB635" i="29"/>
  <c r="BV635" i="29" s="1"/>
  <c r="M634" i="29"/>
  <c r="CA635" i="29"/>
  <c r="BU635" i="29" s="1"/>
  <c r="W634" i="29"/>
  <c r="Y634" i="29" s="1"/>
  <c r="BR638" i="29"/>
  <c r="BO639" i="29"/>
  <c r="BY638" i="29"/>
  <c r="BN639" i="29"/>
  <c r="CC634" i="29"/>
  <c r="U636" i="29"/>
  <c r="AB636" i="29" s="1"/>
  <c r="T637" i="29"/>
  <c r="S637" i="29"/>
  <c r="V636" i="29"/>
  <c r="AF636" i="29"/>
  <c r="AE636" i="29"/>
  <c r="Q635" i="29"/>
  <c r="R635" i="29"/>
  <c r="X634" i="29"/>
  <c r="BZ595" i="29"/>
  <c r="BX596" i="29" s="1"/>
  <c r="BC637" i="29"/>
  <c r="BF637" i="29" s="1"/>
  <c r="BE637" i="29"/>
  <c r="BG637" i="29" s="1"/>
  <c r="BA637" i="29" s="1"/>
  <c r="BP637" i="29"/>
  <c r="BD638" i="29"/>
  <c r="BH636" i="29"/>
  <c r="BB636" i="29" s="1"/>
  <c r="AZ636" i="29"/>
  <c r="CC635" i="29" l="1"/>
  <c r="AC636" i="29"/>
  <c r="X635" i="29"/>
  <c r="AA635" i="29"/>
  <c r="M635" i="29"/>
  <c r="W635" i="29"/>
  <c r="Y635" i="29" s="1"/>
  <c r="CB636" i="29"/>
  <c r="BV636" i="29" s="1"/>
  <c r="CA636" i="29"/>
  <c r="BU636" i="29" s="1"/>
  <c r="K638" i="29"/>
  <c r="L637" i="29"/>
  <c r="J638" i="29"/>
  <c r="BN640" i="29"/>
  <c r="BR639" i="29"/>
  <c r="BO640" i="29"/>
  <c r="BY639" i="29"/>
  <c r="S638" i="29"/>
  <c r="V637" i="29"/>
  <c r="T638" i="29"/>
  <c r="AE637" i="29"/>
  <c r="AF637" i="29"/>
  <c r="U637" i="29"/>
  <c r="AB637" i="29" s="1"/>
  <c r="Q636" i="29"/>
  <c r="R636" i="29"/>
  <c r="BQ640" i="29"/>
  <c r="BZ596" i="29"/>
  <c r="BY597" i="29" s="1"/>
  <c r="BP638" i="29"/>
  <c r="BE638" i="29"/>
  <c r="BG638" i="29" s="1"/>
  <c r="BA638" i="29" s="1"/>
  <c r="BD639" i="29"/>
  <c r="BC638" i="29"/>
  <c r="BF638" i="29" s="1"/>
  <c r="BH637" i="29"/>
  <c r="BB637" i="29" s="1"/>
  <c r="AZ637" i="29"/>
  <c r="AC637" i="29" l="1"/>
  <c r="CC636" i="29"/>
  <c r="X636" i="29"/>
  <c r="CB637" i="29"/>
  <c r="BV637" i="29" s="1"/>
  <c r="AA636" i="29"/>
  <c r="W636" i="29"/>
  <c r="Y636" i="29" s="1"/>
  <c r="CA637" i="29"/>
  <c r="BU637" i="29" s="1"/>
  <c r="M636" i="29"/>
  <c r="U638" i="29"/>
  <c r="AC638" i="29" s="1"/>
  <c r="BQ641" i="29"/>
  <c r="R637" i="29"/>
  <c r="Q637" i="29"/>
  <c r="X637" i="29" s="1"/>
  <c r="S639" i="29"/>
  <c r="V638" i="29"/>
  <c r="T639" i="29"/>
  <c r="AE638" i="29"/>
  <c r="AF638" i="29"/>
  <c r="BY640" i="29"/>
  <c r="BR640" i="29"/>
  <c r="BN641" i="29"/>
  <c r="BO641" i="29"/>
  <c r="J639" i="29"/>
  <c r="K639" i="29"/>
  <c r="L638" i="29"/>
  <c r="BW597" i="29"/>
  <c r="BX597" i="29"/>
  <c r="AZ638" i="29"/>
  <c r="BH638" i="29"/>
  <c r="BB638" i="29" s="1"/>
  <c r="BD640" i="29"/>
  <c r="BP639" i="29"/>
  <c r="BC639" i="29"/>
  <c r="BF639" i="29" s="1"/>
  <c r="BE639" i="29"/>
  <c r="BG639" i="29" s="1"/>
  <c r="BA639" i="29" s="1"/>
  <c r="AB638" i="29" l="1"/>
  <c r="CC637" i="29"/>
  <c r="J640" i="29"/>
  <c r="L639" i="29"/>
  <c r="K640" i="29"/>
  <c r="S640" i="29"/>
  <c r="T640" i="29"/>
  <c r="V639" i="29"/>
  <c r="AE639" i="29"/>
  <c r="AF639" i="29"/>
  <c r="CB638" i="29"/>
  <c r="BV638" i="29" s="1"/>
  <c r="CA638" i="29"/>
  <c r="BU638" i="29" s="1"/>
  <c r="M637" i="29"/>
  <c r="W637" i="29"/>
  <c r="Y637" i="29" s="1"/>
  <c r="AA637" i="29"/>
  <c r="R638" i="29"/>
  <c r="Q638" i="29"/>
  <c r="X638" i="29" s="1"/>
  <c r="BO642" i="29"/>
  <c r="BN642" i="29"/>
  <c r="BY641" i="29"/>
  <c r="BR641" i="29"/>
  <c r="U639" i="29"/>
  <c r="AB639" i="29" s="1"/>
  <c r="BQ642" i="29"/>
  <c r="BH639" i="29"/>
  <c r="BB639" i="29" s="1"/>
  <c r="AZ639" i="29"/>
  <c r="BZ597" i="29"/>
  <c r="BX598" i="29" s="1"/>
  <c r="BP640" i="29"/>
  <c r="BD641" i="29"/>
  <c r="BC640" i="29"/>
  <c r="BF640" i="29" s="1"/>
  <c r="BE640" i="29"/>
  <c r="BG640" i="29" s="1"/>
  <c r="BA640" i="29" s="1"/>
  <c r="BS597" i="29"/>
  <c r="BT597" i="29"/>
  <c r="M596" i="29" s="1"/>
  <c r="AC639" i="29" l="1"/>
  <c r="BY642" i="29"/>
  <c r="BR642" i="29"/>
  <c r="BN643" i="29"/>
  <c r="BO643" i="29"/>
  <c r="K641" i="29"/>
  <c r="L640" i="29"/>
  <c r="J641" i="29"/>
  <c r="BQ643" i="29"/>
  <c r="BQ644" i="29" s="1"/>
  <c r="CC638" i="29"/>
  <c r="Q639" i="29"/>
  <c r="R639" i="29"/>
  <c r="T641" i="29"/>
  <c r="S641" i="29"/>
  <c r="V640" i="29"/>
  <c r="AE640" i="29"/>
  <c r="AF640" i="29"/>
  <c r="CA639" i="29"/>
  <c r="BU639" i="29" s="1"/>
  <c r="M638" i="29"/>
  <c r="W638" i="29"/>
  <c r="Y638" i="29" s="1"/>
  <c r="CB639" i="29"/>
  <c r="BV639" i="29" s="1"/>
  <c r="AA638" i="29"/>
  <c r="U640" i="29"/>
  <c r="AC640" i="29" s="1"/>
  <c r="BZ598" i="29"/>
  <c r="BX599" i="29" s="1"/>
  <c r="AZ640" i="29"/>
  <c r="BH640" i="29"/>
  <c r="BB640" i="29" s="1"/>
  <c r="BP641" i="29"/>
  <c r="BC641" i="29"/>
  <c r="BF641" i="29" s="1"/>
  <c r="BE641" i="29"/>
  <c r="BG641" i="29" s="1"/>
  <c r="BA641" i="29" s="1"/>
  <c r="BD642" i="29"/>
  <c r="H59" i="29"/>
  <c r="K52" i="40" s="1"/>
  <c r="X596" i="29"/>
  <c r="Y596" i="29" s="1"/>
  <c r="Z596" i="29" s="1"/>
  <c r="AC596" i="29" l="1"/>
  <c r="AB596" i="29"/>
  <c r="Z597" i="29"/>
  <c r="Z598" i="29" s="1"/>
  <c r="Z599" i="29" s="1"/>
  <c r="Z600" i="29" s="1"/>
  <c r="Z601" i="29" s="1"/>
  <c r="Z602" i="29" s="1"/>
  <c r="Z603" i="29" s="1"/>
  <c r="Z604" i="29" s="1"/>
  <c r="Z605" i="29" s="1"/>
  <c r="Z606" i="29" s="1"/>
  <c r="Z607" i="29" s="1"/>
  <c r="CB609" i="29"/>
  <c r="G59" i="29"/>
  <c r="L52" i="40" s="1"/>
  <c r="AB640" i="29"/>
  <c r="AA639" i="29"/>
  <c r="CB640" i="29"/>
  <c r="BV640" i="29" s="1"/>
  <c r="W639" i="29"/>
  <c r="Y639" i="29" s="1"/>
  <c r="CA640" i="29"/>
  <c r="BU640" i="29" s="1"/>
  <c r="M639" i="29"/>
  <c r="Q640" i="29"/>
  <c r="R640" i="29"/>
  <c r="U641" i="29"/>
  <c r="AB641" i="29" s="1"/>
  <c r="T642" i="29"/>
  <c r="S642" i="29"/>
  <c r="V641" i="29"/>
  <c r="AF641" i="29"/>
  <c r="AE641" i="29"/>
  <c r="J642" i="29"/>
  <c r="K642" i="29"/>
  <c r="L641" i="29"/>
  <c r="CC639" i="29"/>
  <c r="X639" i="29"/>
  <c r="BR643" i="29"/>
  <c r="BY643" i="29"/>
  <c r="BO644" i="29"/>
  <c r="BN644" i="29"/>
  <c r="D199" i="15"/>
  <c r="I68" i="39"/>
  <c r="H52" i="44" s="1"/>
  <c r="D52" i="45" s="1"/>
  <c r="K52" i="45" s="1"/>
  <c r="L52" i="45" s="1"/>
  <c r="J53" i="45" s="1"/>
  <c r="G66" i="15"/>
  <c r="BZ599" i="29"/>
  <c r="BX600" i="29" s="1"/>
  <c r="BH641" i="29"/>
  <c r="BB641" i="29" s="1"/>
  <c r="AZ641" i="29"/>
  <c r="BD643" i="29"/>
  <c r="BE642" i="29"/>
  <c r="BG642" i="29" s="1"/>
  <c r="BA642" i="29" s="1"/>
  <c r="BP642" i="29"/>
  <c r="BC642" i="29"/>
  <c r="BF642" i="29" s="1"/>
  <c r="BN121" i="44" l="1"/>
  <c r="BQ121" i="44"/>
  <c r="BL121" i="44"/>
  <c r="BH121" i="44"/>
  <c r="BM121" i="44"/>
  <c r="BP121" i="44"/>
  <c r="BI121" i="44"/>
  <c r="BR121" i="44"/>
  <c r="BJ121" i="44"/>
  <c r="BK121" i="44"/>
  <c r="BO121" i="44"/>
  <c r="CC609" i="29"/>
  <c r="BV609" i="29"/>
  <c r="F199" i="15"/>
  <c r="L68" i="39"/>
  <c r="CC640" i="29"/>
  <c r="BR644" i="29"/>
  <c r="BN645" i="29"/>
  <c r="BY644" i="29"/>
  <c r="BO645" i="29"/>
  <c r="U642" i="29"/>
  <c r="CA641" i="29"/>
  <c r="BU641" i="29" s="1"/>
  <c r="M640" i="29"/>
  <c r="W640" i="29"/>
  <c r="Y640" i="29" s="1"/>
  <c r="CB641" i="29"/>
  <c r="BV641" i="29" s="1"/>
  <c r="AA640" i="29"/>
  <c r="R641" i="29"/>
  <c r="Q641" i="29"/>
  <c r="X640" i="29"/>
  <c r="T643" i="29"/>
  <c r="V642" i="29"/>
  <c r="S643" i="29"/>
  <c r="AE642" i="29"/>
  <c r="AF642" i="29"/>
  <c r="BQ645" i="29"/>
  <c r="BQ646" i="29" s="1"/>
  <c r="L642" i="29"/>
  <c r="K643" i="29"/>
  <c r="J643" i="29"/>
  <c r="AC641" i="29"/>
  <c r="BD644" i="29"/>
  <c r="BP643" i="29"/>
  <c r="BC643" i="29"/>
  <c r="BF643" i="29" s="1"/>
  <c r="BE643" i="29"/>
  <c r="BG643" i="29" s="1"/>
  <c r="BA643" i="29" s="1"/>
  <c r="AZ642" i="29"/>
  <c r="BH642" i="29"/>
  <c r="BB642" i="29" s="1"/>
  <c r="BZ600" i="29"/>
  <c r="BX601" i="29" s="1"/>
  <c r="M641" i="29" l="1"/>
  <c r="CA642" i="29"/>
  <c r="BU642" i="29" s="1"/>
  <c r="CB642" i="29"/>
  <c r="BV642" i="29" s="1"/>
  <c r="W641" i="29"/>
  <c r="Y641" i="29" s="1"/>
  <c r="AA641" i="29"/>
  <c r="R642" i="29"/>
  <c r="Q642" i="29"/>
  <c r="X642" i="29" s="1"/>
  <c r="L643" i="29"/>
  <c r="J644" i="29"/>
  <c r="K644" i="29"/>
  <c r="T644" i="29"/>
  <c r="V643" i="29"/>
  <c r="S644" i="29"/>
  <c r="AF643" i="29"/>
  <c r="AE643" i="29"/>
  <c r="AC642" i="29"/>
  <c r="CC641" i="29"/>
  <c r="AB642" i="29"/>
  <c r="U643" i="29"/>
  <c r="AC643" i="29" s="1"/>
  <c r="X641" i="29"/>
  <c r="BO646" i="29"/>
  <c r="BN646" i="29"/>
  <c r="BR645" i="29"/>
  <c r="BH643" i="29"/>
  <c r="BB643" i="29" s="1"/>
  <c r="AZ643" i="29"/>
  <c r="BZ601" i="29"/>
  <c r="BX602" i="29" s="1"/>
  <c r="BC644" i="29"/>
  <c r="BF644" i="29" s="1"/>
  <c r="BD645" i="29"/>
  <c r="BE644" i="29"/>
  <c r="BG644" i="29" s="1"/>
  <c r="BA644" i="29" s="1"/>
  <c r="BP644" i="29"/>
  <c r="AB643" i="29" l="1"/>
  <c r="BR646" i="29"/>
  <c r="BN647" i="29"/>
  <c r="BY646" i="29"/>
  <c r="BO647" i="29"/>
  <c r="BQ647" i="29"/>
  <c r="BQ648" i="29" s="1"/>
  <c r="CC642" i="29"/>
  <c r="Q643" i="29"/>
  <c r="R643" i="29"/>
  <c r="T645" i="29"/>
  <c r="V644" i="29"/>
  <c r="S645" i="29"/>
  <c r="AE644" i="29"/>
  <c r="AF644" i="29"/>
  <c r="U644" i="29"/>
  <c r="K645" i="29"/>
  <c r="L644" i="29"/>
  <c r="J645" i="29"/>
  <c r="M642" i="29"/>
  <c r="AA642" i="29"/>
  <c r="CA643" i="29"/>
  <c r="BU643" i="29" s="1"/>
  <c r="W642" i="29"/>
  <c r="Y642" i="29" s="1"/>
  <c r="CB643" i="29"/>
  <c r="BV643" i="29" s="1"/>
  <c r="BZ602" i="29"/>
  <c r="BX603" i="29" s="1"/>
  <c r="BP645" i="29"/>
  <c r="BD646" i="29"/>
  <c r="BI645" i="29"/>
  <c r="BE645" i="29"/>
  <c r="BG645" i="29" s="1"/>
  <c r="BA645" i="29" s="1"/>
  <c r="BC645" i="29"/>
  <c r="BF645" i="29" s="1"/>
  <c r="AZ644" i="29"/>
  <c r="BH644" i="29"/>
  <c r="BB644" i="29" s="1"/>
  <c r="CC643" i="29" l="1"/>
  <c r="J646" i="29"/>
  <c r="K646" i="29"/>
  <c r="L645" i="29"/>
  <c r="R644" i="29"/>
  <c r="Q644" i="29"/>
  <c r="M643" i="29"/>
  <c r="W643" i="29"/>
  <c r="Y643" i="29" s="1"/>
  <c r="CB644" i="29"/>
  <c r="BV644" i="29" s="1"/>
  <c r="CA644" i="29"/>
  <c r="BU644" i="29" s="1"/>
  <c r="AA643" i="29"/>
  <c r="X643" i="29"/>
  <c r="BQ649" i="29"/>
  <c r="V645" i="29"/>
  <c r="T646" i="29"/>
  <c r="S646" i="29"/>
  <c r="AE645" i="29"/>
  <c r="AF645" i="29"/>
  <c r="U645" i="29"/>
  <c r="BO648" i="29"/>
  <c r="BY647" i="29"/>
  <c r="BR647" i="29"/>
  <c r="BN648" i="29"/>
  <c r="BZ603" i="29"/>
  <c r="BX604" i="29" s="1"/>
  <c r="AZ645" i="29"/>
  <c r="BH645" i="29"/>
  <c r="BB645" i="29" s="1"/>
  <c r="BP646" i="29"/>
  <c r="BC646" i="29"/>
  <c r="BF646" i="29" s="1"/>
  <c r="BD647" i="29"/>
  <c r="BE646" i="29"/>
  <c r="BG646" i="29" s="1"/>
  <c r="BA646" i="29" s="1"/>
  <c r="CC644" i="29" l="1"/>
  <c r="R645" i="29"/>
  <c r="Q645" i="29"/>
  <c r="T647" i="29"/>
  <c r="S647" i="29"/>
  <c r="V646" i="29"/>
  <c r="AF646" i="29"/>
  <c r="AE646" i="29"/>
  <c r="AC645" i="29"/>
  <c r="J647" i="29"/>
  <c r="K647" i="29"/>
  <c r="L646" i="29"/>
  <c r="BO649" i="29"/>
  <c r="BY648" i="29"/>
  <c r="BN649" i="29"/>
  <c r="BR648" i="29"/>
  <c r="U646" i="29"/>
  <c r="AB646" i="29" s="1"/>
  <c r="CA645" i="29"/>
  <c r="BU645" i="29" s="1"/>
  <c r="W644" i="29"/>
  <c r="AA644" i="29"/>
  <c r="AB645" i="29"/>
  <c r="BC647" i="29"/>
  <c r="BF647" i="29" s="1"/>
  <c r="BP647" i="29"/>
  <c r="BE647" i="29"/>
  <c r="BG647" i="29" s="1"/>
  <c r="BA647" i="29" s="1"/>
  <c r="BD648" i="29"/>
  <c r="BH646" i="29"/>
  <c r="BB646" i="29" s="1"/>
  <c r="AZ646" i="29"/>
  <c r="BZ604" i="29"/>
  <c r="BX605" i="29" s="1"/>
  <c r="BO650" i="29" l="1"/>
  <c r="BN650" i="29"/>
  <c r="BY649" i="29"/>
  <c r="BR649" i="29"/>
  <c r="BQ650" i="29"/>
  <c r="BQ651" i="29" s="1"/>
  <c r="AA645" i="29"/>
  <c r="W645" i="29"/>
  <c r="Y645" i="29" s="1"/>
  <c r="CA646" i="29"/>
  <c r="BU646" i="29" s="1"/>
  <c r="M645" i="29"/>
  <c r="CB646" i="29"/>
  <c r="BV646" i="29" s="1"/>
  <c r="U647" i="29"/>
  <c r="AC647" i="29" s="1"/>
  <c r="R646" i="29"/>
  <c r="Q646" i="29"/>
  <c r="X646" i="29" s="1"/>
  <c r="L647" i="29"/>
  <c r="K648" i="29"/>
  <c r="J648" i="29"/>
  <c r="S648" i="29"/>
  <c r="V647" i="29"/>
  <c r="T648" i="29"/>
  <c r="AF647" i="29"/>
  <c r="AE647" i="29"/>
  <c r="AC646" i="29"/>
  <c r="X645" i="29"/>
  <c r="BZ605" i="29"/>
  <c r="BX606" i="29" s="1"/>
  <c r="BD649" i="29"/>
  <c r="BE648" i="29"/>
  <c r="BG648" i="29" s="1"/>
  <c r="BA648" i="29" s="1"/>
  <c r="BC648" i="29"/>
  <c r="BF648" i="29" s="1"/>
  <c r="BP648" i="29"/>
  <c r="AZ647" i="29"/>
  <c r="BH647" i="29"/>
  <c r="BB647" i="29" s="1"/>
  <c r="CC646" i="29" l="1"/>
  <c r="AB647" i="29"/>
  <c r="V648" i="29"/>
  <c r="T649" i="29"/>
  <c r="S649" i="29"/>
  <c r="AF648" i="29"/>
  <c r="AE648" i="29"/>
  <c r="J649" i="29"/>
  <c r="K649" i="29"/>
  <c r="L648" i="29"/>
  <c r="BQ652" i="29"/>
  <c r="BO651" i="29"/>
  <c r="BR650" i="29"/>
  <c r="BN651" i="29"/>
  <c r="BY650" i="29"/>
  <c r="U648" i="29"/>
  <c r="CA647" i="29"/>
  <c r="BU647" i="29" s="1"/>
  <c r="AA646" i="29"/>
  <c r="M646" i="29"/>
  <c r="W646" i="29"/>
  <c r="Y646" i="29" s="1"/>
  <c r="CB647" i="29"/>
  <c r="BV647" i="29" s="1"/>
  <c r="Q647" i="29"/>
  <c r="R647" i="29"/>
  <c r="BZ606" i="29"/>
  <c r="BX607" i="29" s="1"/>
  <c r="BD650" i="29"/>
  <c r="BP649" i="29"/>
  <c r="BC649" i="29"/>
  <c r="BF649" i="29" s="1"/>
  <c r="BE649" i="29"/>
  <c r="BG649" i="29" s="1"/>
  <c r="BA649" i="29" s="1"/>
  <c r="AZ648" i="29"/>
  <c r="BH648" i="29"/>
  <c r="BB648" i="29" s="1"/>
  <c r="Q648" i="29" l="1"/>
  <c r="R648" i="29"/>
  <c r="X647" i="29"/>
  <c r="AA647" i="29"/>
  <c r="W647" i="29"/>
  <c r="Y647" i="29" s="1"/>
  <c r="M647" i="29"/>
  <c r="CA648" i="29"/>
  <c r="BU648" i="29" s="1"/>
  <c r="CB648" i="29"/>
  <c r="BV648" i="29" s="1"/>
  <c r="AC648" i="29"/>
  <c r="J650" i="29"/>
  <c r="L649" i="29"/>
  <c r="K650" i="29"/>
  <c r="U649" i="29"/>
  <c r="AB649" i="29" s="1"/>
  <c r="CC647" i="29"/>
  <c r="AB648" i="29"/>
  <c r="BR651" i="29"/>
  <c r="BO652" i="29"/>
  <c r="BY651" i="29"/>
  <c r="BN652" i="29"/>
  <c r="V649" i="29"/>
  <c r="T650" i="29"/>
  <c r="S650" i="29"/>
  <c r="AF649" i="29"/>
  <c r="AE649" i="29"/>
  <c r="BZ607" i="29"/>
  <c r="BX608" i="29" s="1"/>
  <c r="BP650" i="29"/>
  <c r="BE650" i="29"/>
  <c r="BG650" i="29" s="1"/>
  <c r="BA650" i="29" s="1"/>
  <c r="BD651" i="29"/>
  <c r="BC650" i="29"/>
  <c r="BF650" i="29" s="1"/>
  <c r="AZ649" i="29"/>
  <c r="BH649" i="29"/>
  <c r="BB649" i="29" s="1"/>
  <c r="S651" i="29" l="1"/>
  <c r="T651" i="29"/>
  <c r="V650" i="29"/>
  <c r="AF650" i="29"/>
  <c r="AE650" i="29"/>
  <c r="BR652" i="29"/>
  <c r="BY652" i="29"/>
  <c r="BO653" i="29"/>
  <c r="BN653" i="29"/>
  <c r="AC649" i="29"/>
  <c r="CA649" i="29"/>
  <c r="BU649" i="29" s="1"/>
  <c r="W648" i="29"/>
  <c r="Y648" i="29" s="1"/>
  <c r="M648" i="29"/>
  <c r="AA648" i="29"/>
  <c r="CB649" i="29"/>
  <c r="BV649" i="29" s="1"/>
  <c r="BQ653" i="29"/>
  <c r="BQ654" i="29" s="1"/>
  <c r="Q649" i="29"/>
  <c r="R649" i="29"/>
  <c r="U650" i="29"/>
  <c r="AB650" i="29" s="1"/>
  <c r="K651" i="29"/>
  <c r="L650" i="29"/>
  <c r="J651" i="29"/>
  <c r="CC648" i="29"/>
  <c r="X648" i="29"/>
  <c r="BZ608" i="29"/>
  <c r="BY609" i="29" s="1"/>
  <c r="BW609" i="29" s="1"/>
  <c r="BH650" i="29"/>
  <c r="BB650" i="29" s="1"/>
  <c r="AZ650" i="29"/>
  <c r="BC651" i="29"/>
  <c r="BF651" i="29" s="1"/>
  <c r="BD652" i="29"/>
  <c r="BE651" i="29"/>
  <c r="BG651" i="29" s="1"/>
  <c r="BA651" i="29" s="1"/>
  <c r="BP651" i="29"/>
  <c r="AC650" i="29" l="1"/>
  <c r="T652" i="29"/>
  <c r="S652" i="29"/>
  <c r="V651" i="29"/>
  <c r="AF651" i="29"/>
  <c r="AE651" i="29"/>
  <c r="CB650" i="29"/>
  <c r="BV650" i="29" s="1"/>
  <c r="AA649" i="29"/>
  <c r="W649" i="29"/>
  <c r="Y649" i="29" s="1"/>
  <c r="M649" i="29"/>
  <c r="CA650" i="29"/>
  <c r="BU650" i="29" s="1"/>
  <c r="K652" i="29"/>
  <c r="L651" i="29"/>
  <c r="J652" i="29"/>
  <c r="X649" i="29"/>
  <c r="U651" i="29"/>
  <c r="AC651" i="29" s="1"/>
  <c r="Q650" i="29"/>
  <c r="X650" i="29" s="1"/>
  <c r="R650" i="29"/>
  <c r="CC649" i="29"/>
  <c r="BR653" i="29"/>
  <c r="BO654" i="29"/>
  <c r="BY653" i="29"/>
  <c r="BN654" i="29"/>
  <c r="BD653" i="29"/>
  <c r="BP652" i="29"/>
  <c r="BC652" i="29"/>
  <c r="BF652" i="29" s="1"/>
  <c r="BE652" i="29"/>
  <c r="BG652" i="29" s="1"/>
  <c r="BA652" i="29" s="1"/>
  <c r="BX609" i="29"/>
  <c r="BH651" i="29"/>
  <c r="BB651" i="29" s="1"/>
  <c r="AZ651" i="29"/>
  <c r="BT609" i="29"/>
  <c r="M608" i="29" s="1"/>
  <c r="BS609" i="29"/>
  <c r="AB651" i="29" l="1"/>
  <c r="BO655" i="29"/>
  <c r="BN655" i="29"/>
  <c r="BR654" i="29"/>
  <c r="BY654" i="29"/>
  <c r="S653" i="29"/>
  <c r="V652" i="29"/>
  <c r="T653" i="29"/>
  <c r="AE652" i="29"/>
  <c r="AF652" i="29"/>
  <c r="U652" i="29"/>
  <c r="AC652" i="29" s="1"/>
  <c r="CA651" i="29"/>
  <c r="BU651" i="29" s="1"/>
  <c r="AA650" i="29"/>
  <c r="M650" i="29"/>
  <c r="CB651" i="29"/>
  <c r="BV651" i="29" s="1"/>
  <c r="W650" i="29"/>
  <c r="Y650" i="29" s="1"/>
  <c r="L652" i="29"/>
  <c r="K653" i="29"/>
  <c r="J653" i="29"/>
  <c r="BQ655" i="29"/>
  <c r="BQ656" i="29" s="1"/>
  <c r="Q651" i="29"/>
  <c r="X651" i="29" s="1"/>
  <c r="R651" i="29"/>
  <c r="CC650" i="29"/>
  <c r="H60" i="29"/>
  <c r="K53" i="40" s="1"/>
  <c r="X608" i="29"/>
  <c r="Y608" i="29" s="1"/>
  <c r="Z608" i="29" s="1"/>
  <c r="BH652" i="29"/>
  <c r="BB652" i="29" s="1"/>
  <c r="AZ652" i="29"/>
  <c r="BZ609" i="29"/>
  <c r="BX610" i="29" s="1"/>
  <c r="BE653" i="29"/>
  <c r="BG653" i="29" s="1"/>
  <c r="BA653" i="29" s="1"/>
  <c r="BP653" i="29"/>
  <c r="BD654" i="29"/>
  <c r="BC653" i="29"/>
  <c r="BF653" i="29" s="1"/>
  <c r="AC608" i="29" l="1"/>
  <c r="AB608" i="29"/>
  <c r="Z609" i="29"/>
  <c r="Z610" i="29" s="1"/>
  <c r="Z611" i="29" s="1"/>
  <c r="Z612" i="29" s="1"/>
  <c r="Z613" i="29" s="1"/>
  <c r="Z614" i="29" s="1"/>
  <c r="Z615" i="29" s="1"/>
  <c r="Z616" i="29" s="1"/>
  <c r="Z617" i="29" s="1"/>
  <c r="Z618" i="29" s="1"/>
  <c r="Z619" i="29" s="1"/>
  <c r="CB621" i="29"/>
  <c r="G60" i="29"/>
  <c r="L53" i="40" s="1"/>
  <c r="AB652" i="29"/>
  <c r="CC651" i="29"/>
  <c r="V653" i="29"/>
  <c r="S654" i="29"/>
  <c r="T654" i="29"/>
  <c r="AF653" i="29"/>
  <c r="AE653" i="29"/>
  <c r="U653" i="29"/>
  <c r="AC653" i="29" s="1"/>
  <c r="BR655" i="29"/>
  <c r="BY655" i="29"/>
  <c r="BO656" i="29"/>
  <c r="BQ657" i="29" s="1"/>
  <c r="BN656" i="29"/>
  <c r="W651" i="29"/>
  <c r="Y651" i="29" s="1"/>
  <c r="AA651" i="29"/>
  <c r="M651" i="29"/>
  <c r="CB652" i="29"/>
  <c r="BV652" i="29" s="1"/>
  <c r="CA652" i="29"/>
  <c r="BU652" i="29" s="1"/>
  <c r="L653" i="29"/>
  <c r="J654" i="29"/>
  <c r="K654" i="29"/>
  <c r="R652" i="29"/>
  <c r="Q652" i="29"/>
  <c r="X652" i="29" s="1"/>
  <c r="AZ653" i="29"/>
  <c r="BH653" i="29"/>
  <c r="BB653" i="29" s="1"/>
  <c r="BZ610" i="29"/>
  <c r="BX611" i="29" s="1"/>
  <c r="BD655" i="29"/>
  <c r="BC654" i="29"/>
  <c r="BF654" i="29" s="1"/>
  <c r="BE654" i="29"/>
  <c r="BG654" i="29" s="1"/>
  <c r="BA654" i="29" s="1"/>
  <c r="BP654" i="29"/>
  <c r="I69" i="39"/>
  <c r="H53" i="44" s="1"/>
  <c r="D53" i="45" s="1"/>
  <c r="K53" i="45" s="1"/>
  <c r="L53" i="45" s="1"/>
  <c r="J54" i="45" s="1"/>
  <c r="D200" i="15"/>
  <c r="G67" i="15"/>
  <c r="BP122" i="44" l="1"/>
  <c r="BL122" i="44"/>
  <c r="BR122" i="44"/>
  <c r="BN122" i="44"/>
  <c r="BJ122" i="44"/>
  <c r="BQ122" i="44"/>
  <c r="BI122" i="44"/>
  <c r="BM122" i="44"/>
  <c r="BO122" i="44"/>
  <c r="BK122" i="44"/>
  <c r="BV621" i="29"/>
  <c r="CC621" i="29"/>
  <c r="F200" i="15"/>
  <c r="L69" i="39"/>
  <c r="L654" i="29"/>
  <c r="J655" i="29"/>
  <c r="K655" i="29"/>
  <c r="V654" i="29"/>
  <c r="S655" i="29"/>
  <c r="T655" i="29"/>
  <c r="AF654" i="29"/>
  <c r="AE654" i="29"/>
  <c r="U654" i="29"/>
  <c r="AC654" i="29" s="1"/>
  <c r="W652" i="29"/>
  <c r="Y652" i="29" s="1"/>
  <c r="CB653" i="29"/>
  <c r="BV653" i="29" s="1"/>
  <c r="CA653" i="29"/>
  <c r="BU653" i="29" s="1"/>
  <c r="AA652" i="29"/>
  <c r="M652" i="29"/>
  <c r="Q653" i="29"/>
  <c r="X653" i="29" s="1"/>
  <c r="R653" i="29"/>
  <c r="CC652" i="29"/>
  <c r="BN657" i="29"/>
  <c r="BR656" i="29"/>
  <c r="BY656" i="29"/>
  <c r="BO657" i="29"/>
  <c r="AB653" i="29"/>
  <c r="BZ611" i="29"/>
  <c r="BX612" i="29" s="1"/>
  <c r="BH654" i="29"/>
  <c r="BB654" i="29" s="1"/>
  <c r="AZ654" i="29"/>
  <c r="BE655" i="29"/>
  <c r="BG655" i="29" s="1"/>
  <c r="BA655" i="29" s="1"/>
  <c r="BP655" i="29"/>
  <c r="BD656" i="29"/>
  <c r="BC655" i="29"/>
  <c r="BF655" i="29" s="1"/>
  <c r="CC653" i="29" l="1"/>
  <c r="AB654" i="29"/>
  <c r="BR657" i="29"/>
  <c r="BO658" i="29"/>
  <c r="BN658" i="29"/>
  <c r="V655" i="29"/>
  <c r="T656" i="29"/>
  <c r="S656" i="29"/>
  <c r="AF655" i="29"/>
  <c r="AE655" i="29"/>
  <c r="U655" i="29"/>
  <c r="AC655" i="29" s="1"/>
  <c r="BQ658" i="29"/>
  <c r="BQ659" i="29" s="1"/>
  <c r="M653" i="29"/>
  <c r="W653" i="29"/>
  <c r="Y653" i="29" s="1"/>
  <c r="CB654" i="29"/>
  <c r="BV654" i="29" s="1"/>
  <c r="CA654" i="29"/>
  <c r="BU654" i="29" s="1"/>
  <c r="AA653" i="29"/>
  <c r="R654" i="29"/>
  <c r="Q654" i="29"/>
  <c r="X654" i="29" s="1"/>
  <c r="L655" i="29"/>
  <c r="K656" i="29"/>
  <c r="J656" i="29"/>
  <c r="BZ612" i="29"/>
  <c r="BX613" i="29" s="1"/>
  <c r="AZ655" i="29"/>
  <c r="BH655" i="29"/>
  <c r="BB655" i="29" s="1"/>
  <c r="BD657" i="29"/>
  <c r="BE656" i="29"/>
  <c r="BG656" i="29" s="1"/>
  <c r="BA656" i="29" s="1"/>
  <c r="BC656" i="29"/>
  <c r="BF656" i="29" s="1"/>
  <c r="BP656" i="29"/>
  <c r="CC654" i="29" l="1"/>
  <c r="CA655" i="29"/>
  <c r="BU655" i="29" s="1"/>
  <c r="M654" i="29"/>
  <c r="W654" i="29"/>
  <c r="Y654" i="29" s="1"/>
  <c r="AA654" i="29"/>
  <c r="CB655" i="29"/>
  <c r="BV655" i="29" s="1"/>
  <c r="U656" i="29"/>
  <c r="BO659" i="29"/>
  <c r="BR658" i="29"/>
  <c r="BN659" i="29"/>
  <c r="BY658" i="29"/>
  <c r="R655" i="29"/>
  <c r="Q655" i="29"/>
  <c r="AB655" i="29"/>
  <c r="T657" i="29"/>
  <c r="V656" i="29"/>
  <c r="S657" i="29"/>
  <c r="AE656" i="29"/>
  <c r="AF656" i="29"/>
  <c r="L656" i="29"/>
  <c r="J657" i="29"/>
  <c r="K657" i="29"/>
  <c r="BQ660" i="29"/>
  <c r="BZ613" i="29"/>
  <c r="BX614" i="29" s="1"/>
  <c r="BH656" i="29"/>
  <c r="BB656" i="29" s="1"/>
  <c r="AZ656" i="29"/>
  <c r="BC657" i="29"/>
  <c r="BF657" i="29" s="1"/>
  <c r="BD658" i="29"/>
  <c r="BI657" i="29"/>
  <c r="BE657" i="29"/>
  <c r="BG657" i="29" s="1"/>
  <c r="BA657" i="29" s="1"/>
  <c r="BP657" i="29"/>
  <c r="V657" i="29" l="1"/>
  <c r="S658" i="29"/>
  <c r="T658" i="29"/>
  <c r="AF657" i="29"/>
  <c r="AE657" i="29"/>
  <c r="Q656" i="29"/>
  <c r="R656" i="29"/>
  <c r="J658" i="29"/>
  <c r="K658" i="29"/>
  <c r="L657" i="29"/>
  <c r="BO660" i="29"/>
  <c r="BQ661" i="29" s="1"/>
  <c r="BR659" i="29"/>
  <c r="BN660" i="29"/>
  <c r="BY659" i="29"/>
  <c r="CC655" i="29"/>
  <c r="U657" i="29"/>
  <c r="CB656" i="29"/>
  <c r="BV656" i="29" s="1"/>
  <c r="W655" i="29"/>
  <c r="Y655" i="29" s="1"/>
  <c r="CA656" i="29"/>
  <c r="BU656" i="29" s="1"/>
  <c r="M655" i="29"/>
  <c r="AA655" i="29"/>
  <c r="X655" i="29"/>
  <c r="BD659" i="29"/>
  <c r="BE658" i="29"/>
  <c r="BG658" i="29" s="1"/>
  <c r="BA658" i="29" s="1"/>
  <c r="BP658" i="29"/>
  <c r="BC658" i="29"/>
  <c r="BF658" i="29" s="1"/>
  <c r="BZ614" i="29"/>
  <c r="BX615" i="29" s="1"/>
  <c r="AZ657" i="29"/>
  <c r="BH657" i="29"/>
  <c r="BB657" i="29" s="1"/>
  <c r="R657" i="29" l="1"/>
  <c r="Q657" i="29"/>
  <c r="X657" i="29" s="1"/>
  <c r="CC656" i="29"/>
  <c r="AB657" i="29"/>
  <c r="L658" i="29"/>
  <c r="J659" i="29"/>
  <c r="K659" i="29"/>
  <c r="CA657" i="29"/>
  <c r="BU657" i="29" s="1"/>
  <c r="AA656" i="29"/>
  <c r="W656" i="29"/>
  <c r="U658" i="29"/>
  <c r="AB658" i="29" s="1"/>
  <c r="AC657" i="29"/>
  <c r="BN661" i="29"/>
  <c r="BO661" i="29"/>
  <c r="BY660" i="29"/>
  <c r="BR660" i="29"/>
  <c r="T659" i="29"/>
  <c r="V658" i="29"/>
  <c r="S659" i="29"/>
  <c r="AF658" i="29"/>
  <c r="AE658" i="29"/>
  <c r="BH658" i="29"/>
  <c r="BB658" i="29" s="1"/>
  <c r="AZ658" i="29"/>
  <c r="BZ615" i="29"/>
  <c r="BX616" i="29" s="1"/>
  <c r="BC659" i="29"/>
  <c r="BF659" i="29" s="1"/>
  <c r="BD660" i="29"/>
  <c r="BE659" i="29"/>
  <c r="BG659" i="29" s="1"/>
  <c r="BA659" i="29" s="1"/>
  <c r="BP659" i="29"/>
  <c r="AC658" i="29" l="1"/>
  <c r="BY661" i="29"/>
  <c r="BN662" i="29"/>
  <c r="BR661" i="29"/>
  <c r="BO662" i="29"/>
  <c r="V659" i="29"/>
  <c r="T660" i="29"/>
  <c r="S660" i="29"/>
  <c r="AE659" i="29"/>
  <c r="AF659" i="29"/>
  <c r="U659" i="29"/>
  <c r="AB659" i="29" s="1"/>
  <c r="Q658" i="29"/>
  <c r="X658" i="29" s="1"/>
  <c r="R658" i="29"/>
  <c r="K660" i="29"/>
  <c r="J660" i="29"/>
  <c r="L659" i="29"/>
  <c r="BQ662" i="29"/>
  <c r="BQ663" i="29" s="1"/>
  <c r="W657" i="29"/>
  <c r="Y657" i="29" s="1"/>
  <c r="AA657" i="29"/>
  <c r="CB658" i="29"/>
  <c r="BV658" i="29" s="1"/>
  <c r="CA658" i="29"/>
  <c r="BU658" i="29" s="1"/>
  <c r="M657" i="29"/>
  <c r="BE660" i="29"/>
  <c r="BG660" i="29" s="1"/>
  <c r="BA660" i="29" s="1"/>
  <c r="BP660" i="29"/>
  <c r="BC660" i="29"/>
  <c r="BF660" i="29" s="1"/>
  <c r="BD661" i="29"/>
  <c r="BZ616" i="29"/>
  <c r="BX617" i="29" s="1"/>
  <c r="BH659" i="29"/>
  <c r="BB659" i="29" s="1"/>
  <c r="AZ659" i="29"/>
  <c r="AC659" i="29" l="1"/>
  <c r="Q659" i="29"/>
  <c r="R659" i="29"/>
  <c r="BR662" i="29"/>
  <c r="BN663" i="29"/>
  <c r="BO663" i="29"/>
  <c r="BQ664" i="29" s="1"/>
  <c r="BY662" i="29"/>
  <c r="CC658" i="29"/>
  <c r="U660" i="29"/>
  <c r="AC660" i="29" s="1"/>
  <c r="K661" i="29"/>
  <c r="L660" i="29"/>
  <c r="J661" i="29"/>
  <c r="M658" i="29"/>
  <c r="CA659" i="29"/>
  <c r="BU659" i="29" s="1"/>
  <c r="W658" i="29"/>
  <c r="Y658" i="29" s="1"/>
  <c r="AA658" i="29"/>
  <c r="CB659" i="29"/>
  <c r="BV659" i="29" s="1"/>
  <c r="V660" i="29"/>
  <c r="T661" i="29"/>
  <c r="S661" i="29"/>
  <c r="AF660" i="29"/>
  <c r="AE660" i="29"/>
  <c r="BZ617" i="29"/>
  <c r="BX618" i="29" s="1"/>
  <c r="AZ660" i="29"/>
  <c r="BH660" i="29"/>
  <c r="BB660" i="29" s="1"/>
  <c r="BD662" i="29"/>
  <c r="BP661" i="29"/>
  <c r="BE661" i="29"/>
  <c r="BG661" i="29" s="1"/>
  <c r="BA661" i="29" s="1"/>
  <c r="BC661" i="29"/>
  <c r="BF661" i="29" s="1"/>
  <c r="AB660" i="29" l="1"/>
  <c r="CC659" i="29"/>
  <c r="L661" i="29"/>
  <c r="J662" i="29"/>
  <c r="K662" i="29"/>
  <c r="AA659" i="29"/>
  <c r="CB660" i="29"/>
  <c r="BV660" i="29" s="1"/>
  <c r="M659" i="29"/>
  <c r="CA660" i="29"/>
  <c r="BU660" i="29" s="1"/>
  <c r="W659" i="29"/>
  <c r="Y659" i="29" s="1"/>
  <c r="U661" i="29"/>
  <c r="AB661" i="29" s="1"/>
  <c r="Q660" i="29"/>
  <c r="R660" i="29"/>
  <c r="V661" i="29"/>
  <c r="T662" i="29"/>
  <c r="S662" i="29"/>
  <c r="AE661" i="29"/>
  <c r="AF661" i="29"/>
  <c r="BR663" i="29"/>
  <c r="BO664" i="29"/>
  <c r="BN664" i="29"/>
  <c r="BY663" i="29"/>
  <c r="X659" i="29"/>
  <c r="BZ618" i="29"/>
  <c r="BX619" i="29" s="1"/>
  <c r="AZ661" i="29"/>
  <c r="BH661" i="29"/>
  <c r="BB661" i="29" s="1"/>
  <c r="BP662" i="29"/>
  <c r="BD663" i="29"/>
  <c r="BC662" i="29"/>
  <c r="BF662" i="29" s="1"/>
  <c r="BE662" i="29"/>
  <c r="BG662" i="29" s="1"/>
  <c r="BA662" i="29" s="1"/>
  <c r="CC660" i="29" l="1"/>
  <c r="BN665" i="29"/>
  <c r="BR664" i="29"/>
  <c r="BY664" i="29"/>
  <c r="BO665" i="29"/>
  <c r="U662" i="29"/>
  <c r="AB662" i="29" s="1"/>
  <c r="X660" i="29"/>
  <c r="AA660" i="29"/>
  <c r="CB661" i="29"/>
  <c r="BV661" i="29" s="1"/>
  <c r="CA661" i="29"/>
  <c r="BU661" i="29" s="1"/>
  <c r="M660" i="29"/>
  <c r="W660" i="29"/>
  <c r="Y660" i="29" s="1"/>
  <c r="T663" i="29"/>
  <c r="S663" i="29"/>
  <c r="V662" i="29"/>
  <c r="AF662" i="29"/>
  <c r="AE662" i="29"/>
  <c r="Q661" i="29"/>
  <c r="R661" i="29"/>
  <c r="AC661" i="29"/>
  <c r="K663" i="29"/>
  <c r="L662" i="29"/>
  <c r="J663" i="29"/>
  <c r="BQ665" i="29"/>
  <c r="BQ666" i="29" s="1"/>
  <c r="AZ662" i="29"/>
  <c r="BH662" i="29"/>
  <c r="BB662" i="29" s="1"/>
  <c r="BD664" i="29"/>
  <c r="BP663" i="29"/>
  <c r="BC663" i="29"/>
  <c r="BF663" i="29" s="1"/>
  <c r="BE663" i="29"/>
  <c r="BG663" i="29" s="1"/>
  <c r="BA663" i="29" s="1"/>
  <c r="BZ619" i="29"/>
  <c r="BX620" i="29" s="1"/>
  <c r="CC661" i="29" l="1"/>
  <c r="AC662" i="29"/>
  <c r="X661" i="29"/>
  <c r="W661" i="29"/>
  <c r="Y661" i="29" s="1"/>
  <c r="AA661" i="29"/>
  <c r="CA662" i="29"/>
  <c r="BU662" i="29" s="1"/>
  <c r="CB662" i="29"/>
  <c r="BV662" i="29" s="1"/>
  <c r="M661" i="29"/>
  <c r="U663" i="29"/>
  <c r="AC663" i="29" s="1"/>
  <c r="BR665" i="29"/>
  <c r="BN666" i="29"/>
  <c r="BY665" i="29"/>
  <c r="BO666" i="29"/>
  <c r="BQ667" i="29" s="1"/>
  <c r="K664" i="29"/>
  <c r="L663" i="29"/>
  <c r="J664" i="29"/>
  <c r="T664" i="29"/>
  <c r="S664" i="29"/>
  <c r="V663" i="29"/>
  <c r="AE663" i="29"/>
  <c r="AF663" i="29"/>
  <c r="R662" i="29"/>
  <c r="Q662" i="29"/>
  <c r="X662" i="29" s="1"/>
  <c r="BZ620" i="29"/>
  <c r="BY621" i="29" s="1"/>
  <c r="BW621" i="29" s="1"/>
  <c r="BD665" i="29"/>
  <c r="BP664" i="29"/>
  <c r="BC664" i="29"/>
  <c r="BF664" i="29" s="1"/>
  <c r="BE664" i="29"/>
  <c r="BG664" i="29" s="1"/>
  <c r="BA664" i="29" s="1"/>
  <c r="AZ663" i="29"/>
  <c r="BH663" i="29"/>
  <c r="BB663" i="29" s="1"/>
  <c r="AB663" i="29" l="1"/>
  <c r="W662" i="29"/>
  <c r="Y662" i="29" s="1"/>
  <c r="CA663" i="29"/>
  <c r="BU663" i="29" s="1"/>
  <c r="AA662" i="29"/>
  <c r="M662" i="29"/>
  <c r="CB663" i="29"/>
  <c r="BV663" i="29" s="1"/>
  <c r="U664" i="29"/>
  <c r="L664" i="29"/>
  <c r="K665" i="29"/>
  <c r="J665" i="29"/>
  <c r="CC662" i="29"/>
  <c r="T665" i="29"/>
  <c r="V664" i="29"/>
  <c r="S665" i="29"/>
  <c r="AF664" i="29"/>
  <c r="AE664" i="29"/>
  <c r="BY666" i="29"/>
  <c r="BO667" i="29"/>
  <c r="BR666" i="29"/>
  <c r="BN667" i="29"/>
  <c r="R663" i="29"/>
  <c r="Q663" i="29"/>
  <c r="X663" i="29" s="1"/>
  <c r="BD666" i="29"/>
  <c r="BC665" i="29"/>
  <c r="BF665" i="29" s="1"/>
  <c r="BP665" i="29"/>
  <c r="BE665" i="29"/>
  <c r="BG665" i="29" s="1"/>
  <c r="BA665" i="29" s="1"/>
  <c r="BX621" i="29"/>
  <c r="AZ664" i="29"/>
  <c r="BH664" i="29"/>
  <c r="BB664" i="29" s="1"/>
  <c r="BS621" i="29"/>
  <c r="BT621" i="29"/>
  <c r="M620" i="29" s="1"/>
  <c r="CC663" i="29" l="1"/>
  <c r="R664" i="29"/>
  <c r="Q664" i="29"/>
  <c r="X664" i="29" s="1"/>
  <c r="BN668" i="29"/>
  <c r="BY667" i="29"/>
  <c r="BR667" i="29"/>
  <c r="BO668" i="29"/>
  <c r="U665" i="29"/>
  <c r="AB665" i="29" s="1"/>
  <c r="AC664" i="29"/>
  <c r="CA664" i="29"/>
  <c r="BU664" i="29" s="1"/>
  <c r="CB664" i="29"/>
  <c r="BV664" i="29" s="1"/>
  <c r="W663" i="29"/>
  <c r="Y663" i="29" s="1"/>
  <c r="M663" i="29"/>
  <c r="AA663" i="29"/>
  <c r="J666" i="29"/>
  <c r="K666" i="29"/>
  <c r="L665" i="29"/>
  <c r="AB664" i="29"/>
  <c r="BQ668" i="29"/>
  <c r="T666" i="29"/>
  <c r="S666" i="29"/>
  <c r="V665" i="29"/>
  <c r="AF665" i="29"/>
  <c r="AE665" i="29"/>
  <c r="H61" i="29"/>
  <c r="K54" i="40" s="1"/>
  <c r="X620" i="29"/>
  <c r="Y620" i="29" s="1"/>
  <c r="Z620" i="29" s="1"/>
  <c r="BH665" i="29"/>
  <c r="BB665" i="29" s="1"/>
  <c r="AZ665" i="29"/>
  <c r="BZ621" i="29"/>
  <c r="BX622" i="29" s="1"/>
  <c r="BD667" i="29"/>
  <c r="BP666" i="29"/>
  <c r="BE666" i="29"/>
  <c r="BG666" i="29" s="1"/>
  <c r="BA666" i="29" s="1"/>
  <c r="BC666" i="29"/>
  <c r="BF666" i="29" s="1"/>
  <c r="AC620" i="29" l="1"/>
  <c r="AB620" i="29"/>
  <c r="Z621" i="29"/>
  <c r="Z622" i="29" s="1"/>
  <c r="Z623" i="29" s="1"/>
  <c r="Z624" i="29" s="1"/>
  <c r="Z625" i="29" s="1"/>
  <c r="Z626" i="29" s="1"/>
  <c r="Z627" i="29" s="1"/>
  <c r="Z628" i="29" s="1"/>
  <c r="Z629" i="29" s="1"/>
  <c r="Z630" i="29" s="1"/>
  <c r="Z631" i="29" s="1"/>
  <c r="CB633" i="29"/>
  <c r="G61" i="29"/>
  <c r="L54" i="40" s="1"/>
  <c r="CC664" i="29"/>
  <c r="BQ669" i="29"/>
  <c r="Q665" i="29"/>
  <c r="R665" i="29"/>
  <c r="K667" i="29"/>
  <c r="L666" i="29"/>
  <c r="J667" i="29"/>
  <c r="CA665" i="29"/>
  <c r="BU665" i="29" s="1"/>
  <c r="CB665" i="29"/>
  <c r="BV665" i="29" s="1"/>
  <c r="AA664" i="29"/>
  <c r="W664" i="29"/>
  <c r="Y664" i="29" s="1"/>
  <c r="M664" i="29"/>
  <c r="U666" i="29"/>
  <c r="AC666" i="29" s="1"/>
  <c r="BO669" i="29"/>
  <c r="BY668" i="29"/>
  <c r="BN669" i="29"/>
  <c r="BR668" i="29"/>
  <c r="T667" i="29"/>
  <c r="S667" i="29"/>
  <c r="V666" i="29"/>
  <c r="AF666" i="29"/>
  <c r="AE666" i="29"/>
  <c r="AC665" i="29"/>
  <c r="BZ622" i="29"/>
  <c r="BX623" i="29" s="1"/>
  <c r="BD668" i="29"/>
  <c r="BP667" i="29"/>
  <c r="BE667" i="29"/>
  <c r="BG667" i="29" s="1"/>
  <c r="BA667" i="29" s="1"/>
  <c r="BC667" i="29"/>
  <c r="BF667" i="29" s="1"/>
  <c r="AZ666" i="29"/>
  <c r="BH666" i="29"/>
  <c r="BB666" i="29" s="1"/>
  <c r="D201" i="15"/>
  <c r="I70" i="39"/>
  <c r="H54" i="44" s="1"/>
  <c r="D54" i="45" s="1"/>
  <c r="K54" i="45" s="1"/>
  <c r="L54" i="45" s="1"/>
  <c r="J55" i="45" s="1"/>
  <c r="G68" i="15"/>
  <c r="BO123" i="44" l="1"/>
  <c r="BP123" i="44"/>
  <c r="BK123" i="44"/>
  <c r="BJ123" i="44"/>
  <c r="BR123" i="44"/>
  <c r="BL123" i="44"/>
  <c r="BM123" i="44"/>
  <c r="BQ123" i="44"/>
  <c r="BN123" i="44"/>
  <c r="BV633" i="29"/>
  <c r="CC633" i="29"/>
  <c r="F201" i="15"/>
  <c r="L70" i="39"/>
  <c r="AB666" i="29"/>
  <c r="CC665" i="29"/>
  <c r="CA666" i="29"/>
  <c r="BU666" i="29" s="1"/>
  <c r="AA665" i="29"/>
  <c r="W665" i="29"/>
  <c r="Y665" i="29" s="1"/>
  <c r="M665" i="29"/>
  <c r="CB666" i="29"/>
  <c r="BV666" i="29" s="1"/>
  <c r="U667" i="29"/>
  <c r="AC667" i="29" s="1"/>
  <c r="X665" i="29"/>
  <c r="T668" i="29"/>
  <c r="V667" i="29"/>
  <c r="S668" i="29"/>
  <c r="AE667" i="29"/>
  <c r="AF667" i="29"/>
  <c r="BO670" i="29"/>
  <c r="BR669" i="29"/>
  <c r="BN670" i="29"/>
  <c r="J668" i="29"/>
  <c r="L667" i="29"/>
  <c r="K668" i="29"/>
  <c r="BQ670" i="29"/>
  <c r="BQ671" i="29" s="1"/>
  <c r="R666" i="29"/>
  <c r="Q666" i="29"/>
  <c r="X666" i="29" s="1"/>
  <c r="BZ623" i="29"/>
  <c r="BX624" i="29" s="1"/>
  <c r="BH667" i="29"/>
  <c r="BB667" i="29" s="1"/>
  <c r="AZ667" i="29"/>
  <c r="BC668" i="29"/>
  <c r="BF668" i="29" s="1"/>
  <c r="BP668" i="29"/>
  <c r="BE668" i="29"/>
  <c r="BG668" i="29" s="1"/>
  <c r="BA668" i="29" s="1"/>
  <c r="BD669" i="29"/>
  <c r="T669" i="29" l="1"/>
  <c r="V668" i="29"/>
  <c r="S669" i="29"/>
  <c r="AF668" i="29"/>
  <c r="AE668" i="29"/>
  <c r="CC666" i="29"/>
  <c r="L668" i="29"/>
  <c r="K669" i="29"/>
  <c r="J669" i="29"/>
  <c r="U668" i="29"/>
  <c r="R667" i="29"/>
  <c r="Q667" i="29"/>
  <c r="X667" i="29" s="1"/>
  <c r="AA666" i="29"/>
  <c r="W666" i="29"/>
  <c r="Y666" i="29" s="1"/>
  <c r="M666" i="29"/>
  <c r="CB667" i="29"/>
  <c r="BV667" i="29" s="1"/>
  <c r="CA667" i="29"/>
  <c r="BU667" i="29" s="1"/>
  <c r="BY670" i="29"/>
  <c r="BO671" i="29"/>
  <c r="BQ672" i="29" s="1"/>
  <c r="BN671" i="29"/>
  <c r="BR670" i="29"/>
  <c r="AB667" i="29"/>
  <c r="BD670" i="29"/>
  <c r="BI669" i="29"/>
  <c r="BC669" i="29"/>
  <c r="BF669" i="29" s="1"/>
  <c r="BE669" i="29"/>
  <c r="BG669" i="29" s="1"/>
  <c r="BA669" i="29" s="1"/>
  <c r="BP669" i="29"/>
  <c r="BZ624" i="29"/>
  <c r="BX625" i="29" s="1"/>
  <c r="BH668" i="29"/>
  <c r="BB668" i="29" s="1"/>
  <c r="AZ668" i="29"/>
  <c r="CC667" i="29" l="1"/>
  <c r="U669" i="29"/>
  <c r="AC669" i="29" s="1"/>
  <c r="J670" i="29"/>
  <c r="L669" i="29"/>
  <c r="K670" i="29"/>
  <c r="BR671" i="29"/>
  <c r="BN672" i="29"/>
  <c r="BY671" i="29"/>
  <c r="BO672" i="29"/>
  <c r="T670" i="29"/>
  <c r="S670" i="29"/>
  <c r="V669" i="29"/>
  <c r="AF669" i="29"/>
  <c r="AE669" i="29"/>
  <c r="AA667" i="29"/>
  <c r="CB668" i="29"/>
  <c r="BV668" i="29" s="1"/>
  <c r="CA668" i="29"/>
  <c r="BU668" i="29" s="1"/>
  <c r="W667" i="29"/>
  <c r="Y667" i="29" s="1"/>
  <c r="M667" i="29"/>
  <c r="Q668" i="29"/>
  <c r="R668" i="29"/>
  <c r="BZ625" i="29"/>
  <c r="BX626" i="29" s="1"/>
  <c r="AZ669" i="29"/>
  <c r="BH669" i="29"/>
  <c r="BB669" i="29" s="1"/>
  <c r="BP670" i="29"/>
  <c r="BD671" i="29"/>
  <c r="BE670" i="29"/>
  <c r="BG670" i="29" s="1"/>
  <c r="BA670" i="29" s="1"/>
  <c r="BC670" i="29"/>
  <c r="BF670" i="29" s="1"/>
  <c r="CC668" i="29" l="1"/>
  <c r="AB669" i="29"/>
  <c r="U670" i="29"/>
  <c r="AB670" i="29" s="1"/>
  <c r="V670" i="29"/>
  <c r="T671" i="29"/>
  <c r="S671" i="29"/>
  <c r="AF670" i="29"/>
  <c r="AE670" i="29"/>
  <c r="AA668" i="29"/>
  <c r="W668" i="29"/>
  <c r="CA669" i="29"/>
  <c r="BU669" i="29" s="1"/>
  <c r="BO673" i="29"/>
  <c r="BY672" i="29"/>
  <c r="BR672" i="29"/>
  <c r="BN673" i="29"/>
  <c r="J671" i="29"/>
  <c r="L670" i="29"/>
  <c r="K671" i="29"/>
  <c r="Q669" i="29"/>
  <c r="R669" i="29"/>
  <c r="BQ673" i="29"/>
  <c r="BP671" i="29"/>
  <c r="BE671" i="29"/>
  <c r="BG671" i="29" s="1"/>
  <c r="BA671" i="29" s="1"/>
  <c r="BD672" i="29"/>
  <c r="BC671" i="29"/>
  <c r="BF671" i="29" s="1"/>
  <c r="AZ670" i="29"/>
  <c r="BH670" i="29"/>
  <c r="BB670" i="29" s="1"/>
  <c r="BZ626" i="29"/>
  <c r="BX627" i="29" s="1"/>
  <c r="BN674" i="29" l="1"/>
  <c r="BY673" i="29"/>
  <c r="BO674" i="29"/>
  <c r="BR673" i="29"/>
  <c r="T672" i="29"/>
  <c r="S672" i="29"/>
  <c r="V671" i="29"/>
  <c r="AF671" i="29"/>
  <c r="AE671" i="29"/>
  <c r="AC670" i="29"/>
  <c r="U671" i="29"/>
  <c r="AB671" i="29" s="1"/>
  <c r="R670" i="29"/>
  <c r="Q670" i="29"/>
  <c r="X670" i="29" s="1"/>
  <c r="M669" i="29"/>
  <c r="CB670" i="29"/>
  <c r="BV670" i="29" s="1"/>
  <c r="W669" i="29"/>
  <c r="Y669" i="29" s="1"/>
  <c r="AA669" i="29"/>
  <c r="CA670" i="29"/>
  <c r="BU670" i="29" s="1"/>
  <c r="BQ674" i="29"/>
  <c r="J672" i="29"/>
  <c r="L671" i="29"/>
  <c r="K672" i="29"/>
  <c r="X669" i="29"/>
  <c r="BZ627" i="29"/>
  <c r="BX628" i="29" s="1"/>
  <c r="AZ671" i="29"/>
  <c r="BH671" i="29"/>
  <c r="BB671" i="29" s="1"/>
  <c r="BP672" i="29"/>
  <c r="BE672" i="29"/>
  <c r="BG672" i="29" s="1"/>
  <c r="BA672" i="29" s="1"/>
  <c r="BD673" i="29"/>
  <c r="BC672" i="29"/>
  <c r="BF672" i="29" s="1"/>
  <c r="AC671" i="29" l="1"/>
  <c r="CC670" i="29"/>
  <c r="BY674" i="29"/>
  <c r="BO675" i="29"/>
  <c r="BN675" i="29"/>
  <c r="BR674" i="29"/>
  <c r="BQ675" i="29"/>
  <c r="BQ676" i="29" s="1"/>
  <c r="T673" i="29"/>
  <c r="S673" i="29"/>
  <c r="V672" i="29"/>
  <c r="AE672" i="29"/>
  <c r="AF672" i="29"/>
  <c r="J673" i="29"/>
  <c r="L672" i="29"/>
  <c r="K673" i="29"/>
  <c r="CA671" i="29"/>
  <c r="BU671" i="29" s="1"/>
  <c r="M670" i="29"/>
  <c r="AA670" i="29"/>
  <c r="CB671" i="29"/>
  <c r="BV671" i="29" s="1"/>
  <c r="W670" i="29"/>
  <c r="Y670" i="29" s="1"/>
  <c r="Q671" i="29"/>
  <c r="X671" i="29" s="1"/>
  <c r="R671" i="29"/>
  <c r="U672" i="29"/>
  <c r="AB672" i="29" s="1"/>
  <c r="BZ628" i="29"/>
  <c r="BX629" i="29" s="1"/>
  <c r="BH672" i="29"/>
  <c r="BB672" i="29" s="1"/>
  <c r="AZ672" i="29"/>
  <c r="BE673" i="29"/>
  <c r="BG673" i="29" s="1"/>
  <c r="BA673" i="29" s="1"/>
  <c r="BD674" i="29"/>
  <c r="BC673" i="29"/>
  <c r="BF673" i="29" s="1"/>
  <c r="BP673" i="29"/>
  <c r="AC672" i="29" l="1"/>
  <c r="CC671" i="29"/>
  <c r="CA672" i="29"/>
  <c r="BU672" i="29" s="1"/>
  <c r="W671" i="29"/>
  <c r="Y671" i="29" s="1"/>
  <c r="CB672" i="29"/>
  <c r="BV672" i="29" s="1"/>
  <c r="AA671" i="29"/>
  <c r="M671" i="29"/>
  <c r="U673" i="29"/>
  <c r="R672" i="29"/>
  <c r="Q672" i="29"/>
  <c r="X672" i="29" s="1"/>
  <c r="J674" i="29"/>
  <c r="L673" i="29"/>
  <c r="K674" i="29"/>
  <c r="V673" i="29"/>
  <c r="S674" i="29"/>
  <c r="T674" i="29"/>
  <c r="AE673" i="29"/>
  <c r="AF673" i="29"/>
  <c r="BO676" i="29"/>
  <c r="BQ677" i="29" s="1"/>
  <c r="BR675" i="29"/>
  <c r="BN676" i="29"/>
  <c r="BY675" i="29"/>
  <c r="BZ629" i="29"/>
  <c r="BX630" i="29" s="1"/>
  <c r="AZ673" i="29"/>
  <c r="BH673" i="29"/>
  <c r="BB673" i="29" s="1"/>
  <c r="BD675" i="29"/>
  <c r="BE674" i="29"/>
  <c r="BG674" i="29" s="1"/>
  <c r="BA674" i="29" s="1"/>
  <c r="BP674" i="29"/>
  <c r="BC674" i="29"/>
  <c r="BF674" i="29" s="1"/>
  <c r="U674" i="29" l="1"/>
  <c r="AB674" i="29" s="1"/>
  <c r="R673" i="29"/>
  <c r="Q673" i="29"/>
  <c r="CC672" i="29"/>
  <c r="L674" i="29"/>
  <c r="J675" i="29"/>
  <c r="K675" i="29"/>
  <c r="M672" i="29"/>
  <c r="W672" i="29"/>
  <c r="Y672" i="29" s="1"/>
  <c r="CA673" i="29"/>
  <c r="BU673" i="29" s="1"/>
  <c r="CB673" i="29"/>
  <c r="BV673" i="29" s="1"/>
  <c r="AA672" i="29"/>
  <c r="AC673" i="29"/>
  <c r="BN677" i="29"/>
  <c r="BO677" i="29"/>
  <c r="BQ678" i="29" s="1"/>
  <c r="BR676" i="29"/>
  <c r="BY676" i="29"/>
  <c r="V674" i="29"/>
  <c r="S675" i="29"/>
  <c r="T675" i="29"/>
  <c r="AE674" i="29"/>
  <c r="AF674" i="29"/>
  <c r="AB673" i="29"/>
  <c r="BZ630" i="29"/>
  <c r="BX631" i="29" s="1"/>
  <c r="BH674" i="29"/>
  <c r="BB674" i="29" s="1"/>
  <c r="AZ674" i="29"/>
  <c r="BD676" i="29"/>
  <c r="BE675" i="29"/>
  <c r="BG675" i="29" s="1"/>
  <c r="BA675" i="29" s="1"/>
  <c r="BP675" i="29"/>
  <c r="BC675" i="29"/>
  <c r="BF675" i="29" s="1"/>
  <c r="AC674" i="29" l="1"/>
  <c r="M673" i="29"/>
  <c r="CB674" i="29"/>
  <c r="BV674" i="29" s="1"/>
  <c r="CA674" i="29"/>
  <c r="BU674" i="29" s="1"/>
  <c r="W673" i="29"/>
  <c r="Y673" i="29" s="1"/>
  <c r="AA673" i="29"/>
  <c r="V675" i="29"/>
  <c r="T676" i="29"/>
  <c r="S676" i="29"/>
  <c r="AE675" i="29"/>
  <c r="AF675" i="29"/>
  <c r="X673" i="29"/>
  <c r="U675" i="29"/>
  <c r="AB675" i="29" s="1"/>
  <c r="CC673" i="29"/>
  <c r="J676" i="29"/>
  <c r="K676" i="29"/>
  <c r="L675" i="29"/>
  <c r="BR677" i="29"/>
  <c r="BO678" i="29"/>
  <c r="BY677" i="29"/>
  <c r="BN678" i="29"/>
  <c r="R674" i="29"/>
  <c r="Q674" i="29"/>
  <c r="X674" i="29" s="1"/>
  <c r="BZ631" i="29"/>
  <c r="BX632" i="29" s="1"/>
  <c r="BP676" i="29"/>
  <c r="BD677" i="29"/>
  <c r="BC676" i="29"/>
  <c r="BF676" i="29" s="1"/>
  <c r="BE676" i="29"/>
  <c r="BG676" i="29" s="1"/>
  <c r="BA676" i="29" s="1"/>
  <c r="BH675" i="29"/>
  <c r="BB675" i="29" s="1"/>
  <c r="AZ675" i="29"/>
  <c r="CC674" i="29" l="1"/>
  <c r="BO679" i="29"/>
  <c r="BN679" i="29"/>
  <c r="BR678" i="29"/>
  <c r="BY678" i="29"/>
  <c r="R675" i="29"/>
  <c r="Q675" i="29"/>
  <c r="X675" i="29" s="1"/>
  <c r="V676" i="29"/>
  <c r="T677" i="29"/>
  <c r="S677" i="29"/>
  <c r="AF676" i="29"/>
  <c r="AE676" i="29"/>
  <c r="U676" i="29"/>
  <c r="AB676" i="29" s="1"/>
  <c r="M674" i="29"/>
  <c r="CB675" i="29"/>
  <c r="BV675" i="29" s="1"/>
  <c r="AA674" i="29"/>
  <c r="W674" i="29"/>
  <c r="Y674" i="29" s="1"/>
  <c r="CA675" i="29"/>
  <c r="BU675" i="29" s="1"/>
  <c r="K677" i="29"/>
  <c r="L676" i="29"/>
  <c r="J677" i="29"/>
  <c r="AC675" i="29"/>
  <c r="BQ679" i="29"/>
  <c r="BQ680" i="29" s="1"/>
  <c r="BZ632" i="29"/>
  <c r="BY633" i="29" s="1"/>
  <c r="BW633" i="29" s="1"/>
  <c r="BD678" i="29"/>
  <c r="BP677" i="29"/>
  <c r="BE677" i="29"/>
  <c r="BG677" i="29" s="1"/>
  <c r="BA677" i="29" s="1"/>
  <c r="BC677" i="29"/>
  <c r="BF677" i="29" s="1"/>
  <c r="BH676" i="29"/>
  <c r="BB676" i="29" s="1"/>
  <c r="AZ676" i="29"/>
  <c r="AC676" i="29" l="1"/>
  <c r="U677" i="29"/>
  <c r="AC677" i="29" s="1"/>
  <c r="CC675" i="29"/>
  <c r="V677" i="29"/>
  <c r="T678" i="29"/>
  <c r="S678" i="29"/>
  <c r="AE677" i="29"/>
  <c r="AF677" i="29"/>
  <c r="J678" i="29"/>
  <c r="K678" i="29"/>
  <c r="L677" i="29"/>
  <c r="BN680" i="29"/>
  <c r="BO680" i="29"/>
  <c r="BQ681" i="29" s="1"/>
  <c r="BR679" i="29"/>
  <c r="BY679" i="29"/>
  <c r="Q676" i="29"/>
  <c r="R676" i="29"/>
  <c r="CA676" i="29"/>
  <c r="BU676" i="29" s="1"/>
  <c r="M675" i="29"/>
  <c r="CB676" i="29"/>
  <c r="BV676" i="29" s="1"/>
  <c r="W675" i="29"/>
  <c r="Y675" i="29" s="1"/>
  <c r="AA675" i="29"/>
  <c r="BE678" i="29"/>
  <c r="BG678" i="29" s="1"/>
  <c r="BA678" i="29" s="1"/>
  <c r="BD679" i="29"/>
  <c r="BP678" i="29"/>
  <c r="BC678" i="29"/>
  <c r="BF678" i="29" s="1"/>
  <c r="AZ677" i="29"/>
  <c r="BH677" i="29"/>
  <c r="BB677" i="29" s="1"/>
  <c r="BX633" i="29"/>
  <c r="BS633" i="29"/>
  <c r="BT633" i="29"/>
  <c r="M632" i="29" s="1"/>
  <c r="AB677" i="29" l="1"/>
  <c r="CC676" i="29"/>
  <c r="AA676" i="29"/>
  <c r="CA677" i="29"/>
  <c r="BU677" i="29" s="1"/>
  <c r="CB677" i="29"/>
  <c r="BV677" i="29" s="1"/>
  <c r="M676" i="29"/>
  <c r="W676" i="29"/>
  <c r="Y676" i="29" s="1"/>
  <c r="V678" i="29"/>
  <c r="S679" i="29"/>
  <c r="T679" i="29"/>
  <c r="AF678" i="29"/>
  <c r="AE678" i="29"/>
  <c r="X676" i="29"/>
  <c r="L678" i="29"/>
  <c r="J679" i="29"/>
  <c r="K679" i="29"/>
  <c r="BN681" i="29"/>
  <c r="BR680" i="29"/>
  <c r="BO681" i="29"/>
  <c r="BY680" i="29"/>
  <c r="U678" i="29"/>
  <c r="AC678" i="29" s="1"/>
  <c r="Q677" i="29"/>
  <c r="R677" i="29"/>
  <c r="H62" i="29"/>
  <c r="K55" i="40" s="1"/>
  <c r="X632" i="29"/>
  <c r="Y632" i="29" s="1"/>
  <c r="Z632" i="29" s="1"/>
  <c r="AZ678" i="29"/>
  <c r="BH678" i="29"/>
  <c r="BB678" i="29" s="1"/>
  <c r="BZ633" i="29"/>
  <c r="BX634" i="29" s="1"/>
  <c r="BD680" i="29"/>
  <c r="BP679" i="29"/>
  <c r="BC679" i="29"/>
  <c r="BF679" i="29" s="1"/>
  <c r="BE679" i="29"/>
  <c r="BG679" i="29" s="1"/>
  <c r="BA679" i="29" s="1"/>
  <c r="AB632" i="29" l="1"/>
  <c r="AC632" i="29"/>
  <c r="Z633" i="29"/>
  <c r="Z634" i="29" s="1"/>
  <c r="Z635" i="29" s="1"/>
  <c r="Z636" i="29" s="1"/>
  <c r="Z637" i="29" s="1"/>
  <c r="Z638" i="29" s="1"/>
  <c r="Z639" i="29" s="1"/>
  <c r="Z640" i="29" s="1"/>
  <c r="Z641" i="29" s="1"/>
  <c r="Z642" i="29" s="1"/>
  <c r="Z643" i="29" s="1"/>
  <c r="CB645" i="29"/>
  <c r="G62" i="29"/>
  <c r="L55" i="40" s="1"/>
  <c r="CC677" i="29"/>
  <c r="CB678" i="29"/>
  <c r="BV678" i="29" s="1"/>
  <c r="CA678" i="29"/>
  <c r="BU678" i="29" s="1"/>
  <c r="M677" i="29"/>
  <c r="W677" i="29"/>
  <c r="Y677" i="29" s="1"/>
  <c r="AA677" i="29"/>
  <c r="U679" i="29"/>
  <c r="AC679" i="29" s="1"/>
  <c r="X677" i="29"/>
  <c r="K680" i="29"/>
  <c r="L679" i="29"/>
  <c r="J680" i="29"/>
  <c r="Q678" i="29"/>
  <c r="R678" i="29"/>
  <c r="BR681" i="29"/>
  <c r="BO682" i="29"/>
  <c r="BN682" i="29"/>
  <c r="AB678" i="29"/>
  <c r="V679" i="29"/>
  <c r="S680" i="29"/>
  <c r="T680" i="29"/>
  <c r="AE679" i="29"/>
  <c r="AF679" i="29"/>
  <c r="BQ682" i="29"/>
  <c r="BQ683" i="29" s="1"/>
  <c r="BZ634" i="29"/>
  <c r="BX635" i="29" s="1"/>
  <c r="BD681" i="29"/>
  <c r="BE680" i="29"/>
  <c r="BG680" i="29" s="1"/>
  <c r="BA680" i="29" s="1"/>
  <c r="BP680" i="29"/>
  <c r="BC680" i="29"/>
  <c r="BF680" i="29" s="1"/>
  <c r="BH679" i="29"/>
  <c r="BB679" i="29" s="1"/>
  <c r="AZ679" i="29"/>
  <c r="D202" i="15"/>
  <c r="I71" i="39"/>
  <c r="H55" i="44" s="1"/>
  <c r="D55" i="45" s="1"/>
  <c r="K55" i="45" s="1"/>
  <c r="L55" i="45" s="1"/>
  <c r="J56" i="45" s="1"/>
  <c r="G69" i="15"/>
  <c r="BR124" i="44" l="1"/>
  <c r="BQ124" i="44"/>
  <c r="BO124" i="44"/>
  <c r="BM124" i="44"/>
  <c r="BL124" i="44"/>
  <c r="BK124" i="44"/>
  <c r="BP124" i="44"/>
  <c r="BN124" i="44"/>
  <c r="CC645" i="29"/>
  <c r="BV645" i="29"/>
  <c r="F202" i="15"/>
  <c r="L71" i="39"/>
  <c r="AB679" i="29"/>
  <c r="S681" i="29"/>
  <c r="T681" i="29"/>
  <c r="V680" i="29"/>
  <c r="AF680" i="29"/>
  <c r="AE680" i="29"/>
  <c r="X678" i="29"/>
  <c r="M678" i="29"/>
  <c r="AA678" i="29"/>
  <c r="CA679" i="29"/>
  <c r="BU679" i="29" s="1"/>
  <c r="W678" i="29"/>
  <c r="Y678" i="29" s="1"/>
  <c r="CB679" i="29"/>
  <c r="BV679" i="29" s="1"/>
  <c r="U680" i="29"/>
  <c r="BR682" i="29"/>
  <c r="BY682" i="29"/>
  <c r="BN683" i="29"/>
  <c r="BO683" i="29"/>
  <c r="BQ684" i="29" s="1"/>
  <c r="Q679" i="29"/>
  <c r="X679" i="29" s="1"/>
  <c r="R679" i="29"/>
  <c r="CC678" i="29"/>
  <c r="J681" i="29"/>
  <c r="K681" i="29"/>
  <c r="L680" i="29"/>
  <c r="BH680" i="29"/>
  <c r="BB680" i="29" s="1"/>
  <c r="AZ680" i="29"/>
  <c r="BZ635" i="29"/>
  <c r="BX636" i="29" s="1"/>
  <c r="BI681" i="29"/>
  <c r="BD682" i="29"/>
  <c r="BP681" i="29"/>
  <c r="BE681" i="29"/>
  <c r="BG681" i="29" s="1"/>
  <c r="BA681" i="29" s="1"/>
  <c r="BC681" i="29"/>
  <c r="BF681" i="29" s="1"/>
  <c r="CC679" i="29" l="1"/>
  <c r="J682" i="29"/>
  <c r="L681" i="29"/>
  <c r="K682" i="29"/>
  <c r="Q680" i="29"/>
  <c r="R680" i="29"/>
  <c r="W679" i="29"/>
  <c r="Y679" i="29" s="1"/>
  <c r="M679" i="29"/>
  <c r="AA679" i="29"/>
  <c r="CB680" i="29"/>
  <c r="BV680" i="29" s="1"/>
  <c r="CA680" i="29"/>
  <c r="BU680" i="29" s="1"/>
  <c r="S682" i="29"/>
  <c r="V681" i="29"/>
  <c r="T682" i="29"/>
  <c r="AE681" i="29"/>
  <c r="AF681" i="29"/>
  <c r="BN684" i="29"/>
  <c r="BR683" i="29"/>
  <c r="BY683" i="29"/>
  <c r="BO684" i="29"/>
  <c r="U681" i="29"/>
  <c r="AB681" i="29" s="1"/>
  <c r="BZ636" i="29"/>
  <c r="BX637" i="29" s="1"/>
  <c r="BP682" i="29"/>
  <c r="BD683" i="29"/>
  <c r="BE682" i="29"/>
  <c r="BG682" i="29" s="1"/>
  <c r="BA682" i="29" s="1"/>
  <c r="BC682" i="29"/>
  <c r="BF682" i="29" s="1"/>
  <c r="BH681" i="29"/>
  <c r="BB681" i="29" s="1"/>
  <c r="AZ681" i="29"/>
  <c r="Q681" i="29" l="1"/>
  <c r="R681" i="29"/>
  <c r="BR684" i="29"/>
  <c r="BY684" i="29"/>
  <c r="BO685" i="29"/>
  <c r="BN685" i="29"/>
  <c r="U682" i="29"/>
  <c r="AB682" i="29" s="1"/>
  <c r="AA680" i="29"/>
  <c r="CA681" i="29"/>
  <c r="BU681" i="29" s="1"/>
  <c r="W680" i="29"/>
  <c r="BQ685" i="29"/>
  <c r="V682" i="29"/>
  <c r="T683" i="29"/>
  <c r="S683" i="29"/>
  <c r="AF682" i="29"/>
  <c r="AE682" i="29"/>
  <c r="AC681" i="29"/>
  <c r="CC680" i="29"/>
  <c r="L682" i="29"/>
  <c r="J683" i="29"/>
  <c r="K683" i="29"/>
  <c r="BZ637" i="29"/>
  <c r="BX638" i="29" s="1"/>
  <c r="BE683" i="29"/>
  <c r="BG683" i="29" s="1"/>
  <c r="BA683" i="29" s="1"/>
  <c r="BD684" i="29"/>
  <c r="BP683" i="29"/>
  <c r="BC683" i="29"/>
  <c r="BF683" i="29" s="1"/>
  <c r="AZ682" i="29"/>
  <c r="BH682" i="29"/>
  <c r="BB682" i="29" s="1"/>
  <c r="U683" i="29" l="1"/>
  <c r="AB683" i="29" s="1"/>
  <c r="J684" i="29"/>
  <c r="K684" i="29"/>
  <c r="L683" i="29"/>
  <c r="T684" i="29"/>
  <c r="V683" i="29"/>
  <c r="S684" i="29"/>
  <c r="AF683" i="29"/>
  <c r="AE683" i="29"/>
  <c r="CB682" i="29"/>
  <c r="BV682" i="29" s="1"/>
  <c r="M681" i="29"/>
  <c r="AA681" i="29"/>
  <c r="CA682" i="29"/>
  <c r="BU682" i="29" s="1"/>
  <c r="W681" i="29"/>
  <c r="Y681" i="29" s="1"/>
  <c r="R682" i="29"/>
  <c r="Q682" i="29"/>
  <c r="X682" i="29" s="1"/>
  <c r="BO686" i="29"/>
  <c r="BR685" i="29"/>
  <c r="BY685" i="29"/>
  <c r="BN686" i="29"/>
  <c r="BQ686" i="29"/>
  <c r="BQ687" i="29" s="1"/>
  <c r="AC682" i="29"/>
  <c r="X681" i="29"/>
  <c r="BZ638" i="29"/>
  <c r="BX639" i="29" s="1"/>
  <c r="BE684" i="29"/>
  <c r="BG684" i="29" s="1"/>
  <c r="BA684" i="29" s="1"/>
  <c r="BD685" i="29"/>
  <c r="BC684" i="29"/>
  <c r="BF684" i="29" s="1"/>
  <c r="BP684" i="29"/>
  <c r="AZ683" i="29"/>
  <c r="BH683" i="29"/>
  <c r="BB683" i="29" s="1"/>
  <c r="V684" i="29" l="1"/>
  <c r="T685" i="29"/>
  <c r="S685" i="29"/>
  <c r="AF684" i="29"/>
  <c r="AE684" i="29"/>
  <c r="R683" i="29"/>
  <c r="Q683" i="29"/>
  <c r="X683" i="29" s="1"/>
  <c r="CB683" i="29"/>
  <c r="BV683" i="29" s="1"/>
  <c r="CA683" i="29"/>
  <c r="BU683" i="29" s="1"/>
  <c r="W682" i="29"/>
  <c r="Y682" i="29" s="1"/>
  <c r="AA682" i="29"/>
  <c r="M682" i="29"/>
  <c r="BQ688" i="29"/>
  <c r="BN687" i="29"/>
  <c r="BO687" i="29"/>
  <c r="BY686" i="29"/>
  <c r="BR686" i="29"/>
  <c r="CC682" i="29"/>
  <c r="U684" i="29"/>
  <c r="J685" i="29"/>
  <c r="L684" i="29"/>
  <c r="K685" i="29"/>
  <c r="AC683" i="29"/>
  <c r="BZ639" i="29"/>
  <c r="BX640" i="29" s="1"/>
  <c r="BC685" i="29"/>
  <c r="BF685" i="29" s="1"/>
  <c r="BP685" i="29"/>
  <c r="BE685" i="29"/>
  <c r="BG685" i="29" s="1"/>
  <c r="BA685" i="29" s="1"/>
  <c r="BD686" i="29"/>
  <c r="AZ684" i="29"/>
  <c r="BH684" i="29"/>
  <c r="BB684" i="29" s="1"/>
  <c r="CC683" i="29" l="1"/>
  <c r="Q684" i="29"/>
  <c r="X684" i="29" s="1"/>
  <c r="R684" i="29"/>
  <c r="K686" i="29"/>
  <c r="J686" i="29"/>
  <c r="L685" i="29"/>
  <c r="AB684" i="29"/>
  <c r="U685" i="29"/>
  <c r="AC685" i="29" s="1"/>
  <c r="AC684" i="29"/>
  <c r="BN688" i="29"/>
  <c r="BY687" i="29"/>
  <c r="BR687" i="29"/>
  <c r="BO688" i="29"/>
  <c r="T686" i="29"/>
  <c r="S686" i="29"/>
  <c r="V685" i="29"/>
  <c r="AF685" i="29"/>
  <c r="AE685" i="29"/>
  <c r="CB684" i="29"/>
  <c r="BV684" i="29" s="1"/>
  <c r="M683" i="29"/>
  <c r="CA684" i="29"/>
  <c r="BU684" i="29" s="1"/>
  <c r="AA683" i="29"/>
  <c r="W683" i="29"/>
  <c r="Y683" i="29" s="1"/>
  <c r="BZ640" i="29"/>
  <c r="BX641" i="29" s="1"/>
  <c r="AZ685" i="29"/>
  <c r="BH685" i="29"/>
  <c r="BB685" i="29" s="1"/>
  <c r="BD687" i="29"/>
  <c r="BC686" i="29"/>
  <c r="BF686" i="29" s="1"/>
  <c r="BP686" i="29"/>
  <c r="BE686" i="29"/>
  <c r="BG686" i="29" s="1"/>
  <c r="BA686" i="29" s="1"/>
  <c r="BR688" i="29" l="1"/>
  <c r="BO689" i="29"/>
  <c r="BN689" i="29"/>
  <c r="BY688" i="29"/>
  <c r="BQ689" i="29"/>
  <c r="Q685" i="29"/>
  <c r="R685" i="29"/>
  <c r="U686" i="29"/>
  <c r="CB685" i="29"/>
  <c r="BV685" i="29" s="1"/>
  <c r="W684" i="29"/>
  <c r="Y684" i="29" s="1"/>
  <c r="AA684" i="29"/>
  <c r="CA685" i="29"/>
  <c r="BU685" i="29" s="1"/>
  <c r="M684" i="29"/>
  <c r="CC684" i="29"/>
  <c r="V686" i="29"/>
  <c r="S687" i="29"/>
  <c r="T687" i="29"/>
  <c r="AF686" i="29"/>
  <c r="AE686" i="29"/>
  <c r="AB685" i="29"/>
  <c r="K687" i="29"/>
  <c r="J687" i="29"/>
  <c r="L686" i="29"/>
  <c r="BZ641" i="29"/>
  <c r="BX642" i="29" s="1"/>
  <c r="AZ686" i="29"/>
  <c r="BH686" i="29"/>
  <c r="BB686" i="29" s="1"/>
  <c r="BC687" i="29"/>
  <c r="BF687" i="29" s="1"/>
  <c r="BP687" i="29"/>
  <c r="BE687" i="29"/>
  <c r="BG687" i="29" s="1"/>
  <c r="BA687" i="29" s="1"/>
  <c r="BD688" i="29"/>
  <c r="Q686" i="29" l="1"/>
  <c r="X686" i="29" s="1"/>
  <c r="R686" i="29"/>
  <c r="U687" i="29"/>
  <c r="AB687" i="29" s="1"/>
  <c r="K688" i="29"/>
  <c r="J688" i="29"/>
  <c r="L687" i="29"/>
  <c r="AB686" i="29"/>
  <c r="BQ690" i="29"/>
  <c r="X685" i="29"/>
  <c r="CB686" i="29"/>
  <c r="BV686" i="29" s="1"/>
  <c r="M685" i="29"/>
  <c r="W685" i="29"/>
  <c r="Y685" i="29" s="1"/>
  <c r="CA686" i="29"/>
  <c r="BU686" i="29" s="1"/>
  <c r="AA685" i="29"/>
  <c r="BO690" i="29"/>
  <c r="BY689" i="29"/>
  <c r="BR689" i="29"/>
  <c r="BN690" i="29"/>
  <c r="S688" i="29"/>
  <c r="T688" i="29"/>
  <c r="V687" i="29"/>
  <c r="AE687" i="29"/>
  <c r="AF687" i="29"/>
  <c r="CC685" i="29"/>
  <c r="AC686" i="29"/>
  <c r="BZ642" i="29"/>
  <c r="BX643" i="29" s="1"/>
  <c r="BP688" i="29"/>
  <c r="BE688" i="29"/>
  <c r="BG688" i="29" s="1"/>
  <c r="BA688" i="29" s="1"/>
  <c r="BC688" i="29"/>
  <c r="BF688" i="29" s="1"/>
  <c r="BD689" i="29"/>
  <c r="AZ687" i="29"/>
  <c r="BH687" i="29"/>
  <c r="BB687" i="29" s="1"/>
  <c r="CC686" i="29" l="1"/>
  <c r="R687" i="29"/>
  <c r="Q687" i="29"/>
  <c r="AA686" i="29"/>
  <c r="W686" i="29"/>
  <c r="Y686" i="29" s="1"/>
  <c r="CB687" i="29"/>
  <c r="BV687" i="29" s="1"/>
  <c r="CA687" i="29"/>
  <c r="BU687" i="29" s="1"/>
  <c r="M686" i="29"/>
  <c r="V688" i="29"/>
  <c r="T689" i="29"/>
  <c r="S689" i="29"/>
  <c r="AE688" i="29"/>
  <c r="AF688" i="29"/>
  <c r="U688" i="29"/>
  <c r="BN691" i="29"/>
  <c r="BY690" i="29"/>
  <c r="BO691" i="29"/>
  <c r="BR690" i="29"/>
  <c r="BQ691" i="29"/>
  <c r="BQ692" i="29" s="1"/>
  <c r="L688" i="29"/>
  <c r="J689" i="29"/>
  <c r="K689" i="29"/>
  <c r="AC687" i="29"/>
  <c r="BZ643" i="29"/>
  <c r="BX644" i="29" s="1"/>
  <c r="BP689" i="29"/>
  <c r="BD690" i="29"/>
  <c r="BC689" i="29"/>
  <c r="BF689" i="29" s="1"/>
  <c r="BE689" i="29"/>
  <c r="BG689" i="29" s="1"/>
  <c r="BA689" i="29" s="1"/>
  <c r="AZ688" i="29"/>
  <c r="BH688" i="29"/>
  <c r="BB688" i="29" s="1"/>
  <c r="J690" i="29" l="1"/>
  <c r="L689" i="29"/>
  <c r="K690" i="29"/>
  <c r="R688" i="29"/>
  <c r="Q688" i="29"/>
  <c r="CC687" i="29"/>
  <c r="CB688" i="29"/>
  <c r="BV688" i="29" s="1"/>
  <c r="W687" i="29"/>
  <c r="Y687" i="29" s="1"/>
  <c r="CA688" i="29"/>
  <c r="BU688" i="29" s="1"/>
  <c r="AA687" i="29"/>
  <c r="M687" i="29"/>
  <c r="BN692" i="29"/>
  <c r="BR691" i="29"/>
  <c r="BO692" i="29"/>
  <c r="BY691" i="29"/>
  <c r="AB688" i="29"/>
  <c r="U689" i="29"/>
  <c r="AC688" i="29"/>
  <c r="V689" i="29"/>
  <c r="S690" i="29"/>
  <c r="T690" i="29"/>
  <c r="AF689" i="29"/>
  <c r="AE689" i="29"/>
  <c r="X687" i="29"/>
  <c r="BZ644" i="29"/>
  <c r="BY645" i="29" s="1"/>
  <c r="BP690" i="29"/>
  <c r="BD691" i="29"/>
  <c r="BE690" i="29"/>
  <c r="BG690" i="29" s="1"/>
  <c r="BA690" i="29" s="1"/>
  <c r="BC690" i="29"/>
  <c r="BF690" i="29" s="1"/>
  <c r="BH689" i="29"/>
  <c r="BB689" i="29" s="1"/>
  <c r="AZ689" i="29"/>
  <c r="CC688" i="29" l="1"/>
  <c r="V690" i="29"/>
  <c r="T691" i="29"/>
  <c r="S691" i="29"/>
  <c r="AE690" i="29"/>
  <c r="AF690" i="29"/>
  <c r="R689" i="29"/>
  <c r="Q689" i="29"/>
  <c r="X689" i="29" s="1"/>
  <c r="AA688" i="29"/>
  <c r="M688" i="29"/>
  <c r="CB689" i="29"/>
  <c r="BV689" i="29" s="1"/>
  <c r="W688" i="29"/>
  <c r="Y688" i="29" s="1"/>
  <c r="CA689" i="29"/>
  <c r="BU689" i="29" s="1"/>
  <c r="U690" i="29"/>
  <c r="AB690" i="29" s="1"/>
  <c r="AB689" i="29"/>
  <c r="BR692" i="29"/>
  <c r="BN693" i="29"/>
  <c r="BO693" i="29"/>
  <c r="BY692" i="29"/>
  <c r="AC689" i="29"/>
  <c r="BQ693" i="29"/>
  <c r="BQ694" i="29" s="1"/>
  <c r="X688" i="29"/>
  <c r="J691" i="29"/>
  <c r="K691" i="29"/>
  <c r="L690" i="29"/>
  <c r="BW645" i="29"/>
  <c r="BX645" i="29"/>
  <c r="BD692" i="29"/>
  <c r="BC691" i="29"/>
  <c r="BF691" i="29" s="1"/>
  <c r="BE691" i="29"/>
  <c r="BG691" i="29" s="1"/>
  <c r="BA691" i="29" s="1"/>
  <c r="BP691" i="29"/>
  <c r="BH690" i="29"/>
  <c r="BB690" i="29" s="1"/>
  <c r="AZ690" i="29"/>
  <c r="AC690" i="29" l="1"/>
  <c r="CC689" i="29"/>
  <c r="T692" i="29"/>
  <c r="S692" i="29"/>
  <c r="V691" i="29"/>
  <c r="AE691" i="29"/>
  <c r="AF691" i="29"/>
  <c r="U691" i="29"/>
  <c r="AB691" i="29" s="1"/>
  <c r="BO694" i="29"/>
  <c r="BR693" i="29"/>
  <c r="BN694" i="29"/>
  <c r="Q690" i="29"/>
  <c r="X690" i="29" s="1"/>
  <c r="R690" i="29"/>
  <c r="K692" i="29"/>
  <c r="L691" i="29"/>
  <c r="J692" i="29"/>
  <c r="AA689" i="29"/>
  <c r="CA690" i="29"/>
  <c r="BU690" i="29" s="1"/>
  <c r="M689" i="29"/>
  <c r="W689" i="29"/>
  <c r="Y689" i="29" s="1"/>
  <c r="CB690" i="29"/>
  <c r="BV690" i="29" s="1"/>
  <c r="BS645" i="29"/>
  <c r="BT645" i="29"/>
  <c r="M644" i="29" s="1"/>
  <c r="AZ691" i="29"/>
  <c r="BH691" i="29"/>
  <c r="BB691" i="29" s="1"/>
  <c r="BP692" i="29"/>
  <c r="BD693" i="29"/>
  <c r="BC692" i="29"/>
  <c r="BF692" i="29" s="1"/>
  <c r="BE692" i="29"/>
  <c r="BG692" i="29" s="1"/>
  <c r="BA692" i="29" s="1"/>
  <c r="BZ645" i="29"/>
  <c r="BX646" i="29"/>
  <c r="CC690" i="29" l="1"/>
  <c r="BN695" i="29"/>
  <c r="BO695" i="29"/>
  <c r="BR694" i="29"/>
  <c r="BY694" i="29"/>
  <c r="T693" i="29"/>
  <c r="S693" i="29"/>
  <c r="V692" i="29"/>
  <c r="AF692" i="29"/>
  <c r="AE692" i="29"/>
  <c r="BQ695" i="29"/>
  <c r="BQ696" i="29" s="1"/>
  <c r="U692" i="29"/>
  <c r="AA690" i="29"/>
  <c r="CB691" i="29"/>
  <c r="BV691" i="29" s="1"/>
  <c r="CA691" i="29"/>
  <c r="BU691" i="29" s="1"/>
  <c r="M690" i="29"/>
  <c r="W690" i="29"/>
  <c r="Y690" i="29" s="1"/>
  <c r="R691" i="29"/>
  <c r="Q691" i="29"/>
  <c r="X691" i="29" s="1"/>
  <c r="L692" i="29"/>
  <c r="K693" i="29"/>
  <c r="J693" i="29"/>
  <c r="AC691" i="29"/>
  <c r="BZ646" i="29"/>
  <c r="BX647" i="29" s="1"/>
  <c r="BD694" i="29"/>
  <c r="BE693" i="29"/>
  <c r="BG693" i="29" s="1"/>
  <c r="BA693" i="29" s="1"/>
  <c r="BI693" i="29"/>
  <c r="BP693" i="29"/>
  <c r="BC693" i="29"/>
  <c r="BF693" i="29" s="1"/>
  <c r="H63" i="29"/>
  <c r="K56" i="40" s="1"/>
  <c r="X644" i="29"/>
  <c r="Y644" i="29" s="1"/>
  <c r="Z644" i="29" s="1"/>
  <c r="AZ692" i="29"/>
  <c r="BH692" i="29"/>
  <c r="BB692" i="29" s="1"/>
  <c r="AC644" i="29" l="1"/>
  <c r="AB644" i="29"/>
  <c r="Z645" i="29"/>
  <c r="Z646" i="29" s="1"/>
  <c r="Z647" i="29" s="1"/>
  <c r="Z648" i="29" s="1"/>
  <c r="Z649" i="29" s="1"/>
  <c r="Z650" i="29" s="1"/>
  <c r="Z651" i="29" s="1"/>
  <c r="Z652" i="29" s="1"/>
  <c r="Z653" i="29" s="1"/>
  <c r="Z654" i="29" s="1"/>
  <c r="Z655" i="29" s="1"/>
  <c r="CB657" i="29"/>
  <c r="G63" i="29"/>
  <c r="L56" i="40" s="1"/>
  <c r="CC691" i="29"/>
  <c r="U693" i="29"/>
  <c r="AC693" i="29" s="1"/>
  <c r="BR695" i="29"/>
  <c r="BN696" i="29"/>
  <c r="BY695" i="29"/>
  <c r="BO696" i="29"/>
  <c r="BQ697" i="29" s="1"/>
  <c r="R692" i="29"/>
  <c r="Q692" i="29"/>
  <c r="CA692" i="29"/>
  <c r="BU692" i="29" s="1"/>
  <c r="AA691" i="29"/>
  <c r="CB692" i="29"/>
  <c r="BV692" i="29" s="1"/>
  <c r="M691" i="29"/>
  <c r="W691" i="29"/>
  <c r="Y691" i="29" s="1"/>
  <c r="V693" i="29"/>
  <c r="S694" i="29"/>
  <c r="T694" i="29"/>
  <c r="AF693" i="29"/>
  <c r="AE693" i="29"/>
  <c r="L693" i="29"/>
  <c r="J694" i="29"/>
  <c r="K694" i="29"/>
  <c r="BZ647" i="29"/>
  <c r="BX648" i="29" s="1"/>
  <c r="D203" i="15"/>
  <c r="I72" i="39"/>
  <c r="H56" i="44" s="1"/>
  <c r="D56" i="45" s="1"/>
  <c r="K56" i="45" s="1"/>
  <c r="L56" i="45" s="1"/>
  <c r="J57" i="45" s="1"/>
  <c r="G70" i="15"/>
  <c r="AZ693" i="29"/>
  <c r="BH693" i="29"/>
  <c r="BB693" i="29" s="1"/>
  <c r="BD695" i="29"/>
  <c r="BP694" i="29"/>
  <c r="BC694" i="29"/>
  <c r="BF694" i="29" s="1"/>
  <c r="BE694" i="29"/>
  <c r="BG694" i="29" s="1"/>
  <c r="BA694" i="29" s="1"/>
  <c r="BN125" i="44" l="1"/>
  <c r="BP125" i="44"/>
  <c r="BO125" i="44"/>
  <c r="BQ125" i="44"/>
  <c r="BR125" i="44"/>
  <c r="BM125" i="44"/>
  <c r="BL125" i="44"/>
  <c r="CC657" i="29"/>
  <c r="BV657" i="29"/>
  <c r="F203" i="15"/>
  <c r="L72" i="39"/>
  <c r="AB693" i="29"/>
  <c r="U694" i="29"/>
  <c r="AC694" i="29" s="1"/>
  <c r="J695" i="29"/>
  <c r="L694" i="29"/>
  <c r="K695" i="29"/>
  <c r="CA693" i="29"/>
  <c r="BU693" i="29" s="1"/>
  <c r="AA692" i="29"/>
  <c r="W692" i="29"/>
  <c r="T695" i="29"/>
  <c r="S695" i="29"/>
  <c r="V694" i="29"/>
  <c r="AF694" i="29"/>
  <c r="AE694" i="29"/>
  <c r="CC692" i="29"/>
  <c r="BO697" i="29"/>
  <c r="BR696" i="29"/>
  <c r="BN697" i="29"/>
  <c r="BY696" i="29"/>
  <c r="R693" i="29"/>
  <c r="Q693" i="29"/>
  <c r="X693" i="29" s="1"/>
  <c r="BZ648" i="29"/>
  <c r="BX649" i="29" s="1"/>
  <c r="AZ694" i="29"/>
  <c r="BH694" i="29"/>
  <c r="BB694" i="29" s="1"/>
  <c r="BD696" i="29"/>
  <c r="BE695" i="29"/>
  <c r="BG695" i="29" s="1"/>
  <c r="BA695" i="29" s="1"/>
  <c r="BP695" i="29"/>
  <c r="BC695" i="29"/>
  <c r="BF695" i="29" s="1"/>
  <c r="AB694" i="29" l="1"/>
  <c r="U695" i="29"/>
  <c r="AB695" i="29" s="1"/>
  <c r="K696" i="29"/>
  <c r="J696" i="29"/>
  <c r="L695" i="29"/>
  <c r="S696" i="29"/>
  <c r="T696" i="29"/>
  <c r="V695" i="29"/>
  <c r="AE695" i="29"/>
  <c r="AF695" i="29"/>
  <c r="AA693" i="29"/>
  <c r="W693" i="29"/>
  <c r="Y693" i="29" s="1"/>
  <c r="M693" i="29"/>
  <c r="CB694" i="29"/>
  <c r="BV694" i="29" s="1"/>
  <c r="CA694" i="29"/>
  <c r="BU694" i="29" s="1"/>
  <c r="BO698" i="29"/>
  <c r="BY697" i="29"/>
  <c r="BN698" i="29"/>
  <c r="BR697" i="29"/>
  <c r="R694" i="29"/>
  <c r="Q694" i="29"/>
  <c r="BQ698" i="29"/>
  <c r="BZ649" i="29"/>
  <c r="BX650" i="29" s="1"/>
  <c r="BH695" i="29"/>
  <c r="BB695" i="29" s="1"/>
  <c r="AZ695" i="29"/>
  <c r="BD697" i="29"/>
  <c r="BE696" i="29"/>
  <c r="BG696" i="29" s="1"/>
  <c r="BA696" i="29" s="1"/>
  <c r="BP696" i="29"/>
  <c r="BC696" i="29"/>
  <c r="BF696" i="29" s="1"/>
  <c r="M694" i="29" l="1"/>
  <c r="CA695" i="29"/>
  <c r="BU695" i="29" s="1"/>
  <c r="CB695" i="29"/>
  <c r="BV695" i="29" s="1"/>
  <c r="W694" i="29"/>
  <c r="Y694" i="29" s="1"/>
  <c r="AA694" i="29"/>
  <c r="U696" i="29"/>
  <c r="AC696" i="29" s="1"/>
  <c r="J697" i="29"/>
  <c r="K697" i="29"/>
  <c r="L696" i="29"/>
  <c r="BN699" i="29"/>
  <c r="BY698" i="29"/>
  <c r="BR698" i="29"/>
  <c r="BO699" i="29"/>
  <c r="BQ699" i="29"/>
  <c r="BQ700" i="29" s="1"/>
  <c r="CC694" i="29"/>
  <c r="R695" i="29"/>
  <c r="Q695" i="29"/>
  <c r="X695" i="29" s="1"/>
  <c r="X694" i="29"/>
  <c r="V696" i="29"/>
  <c r="T697" i="29"/>
  <c r="S697" i="29"/>
  <c r="AE696" i="29"/>
  <c r="AF696" i="29"/>
  <c r="AC695" i="29"/>
  <c r="BZ650" i="29"/>
  <c r="BX651" i="29" s="1"/>
  <c r="BD698" i="29"/>
  <c r="BE697" i="29"/>
  <c r="BG697" i="29" s="1"/>
  <c r="BA697" i="29" s="1"/>
  <c r="BP697" i="29"/>
  <c r="BC697" i="29"/>
  <c r="BF697" i="29" s="1"/>
  <c r="BH696" i="29"/>
  <c r="BB696" i="29" s="1"/>
  <c r="AZ696" i="29"/>
  <c r="AB696" i="29" l="1"/>
  <c r="S698" i="29"/>
  <c r="T698" i="29"/>
  <c r="V697" i="29"/>
  <c r="AF697" i="29"/>
  <c r="AE697" i="29"/>
  <c r="L697" i="29"/>
  <c r="K698" i="29"/>
  <c r="J698" i="29"/>
  <c r="M695" i="29"/>
  <c r="W695" i="29"/>
  <c r="Y695" i="29" s="1"/>
  <c r="CB696" i="29"/>
  <c r="BV696" i="29" s="1"/>
  <c r="CA696" i="29"/>
  <c r="BU696" i="29" s="1"/>
  <c r="AA695" i="29"/>
  <c r="BN700" i="29"/>
  <c r="BY699" i="29"/>
  <c r="BR699" i="29"/>
  <c r="BO700" i="29"/>
  <c r="BQ701" i="29" s="1"/>
  <c r="CC695" i="29"/>
  <c r="Q696" i="29"/>
  <c r="R696" i="29"/>
  <c r="U697" i="29"/>
  <c r="AC697" i="29" s="1"/>
  <c r="BZ651" i="29"/>
  <c r="BX652" i="29" s="1"/>
  <c r="BD699" i="29"/>
  <c r="BC698" i="29"/>
  <c r="BF698" i="29" s="1"/>
  <c r="BE698" i="29"/>
  <c r="BG698" i="29" s="1"/>
  <c r="BA698" i="29" s="1"/>
  <c r="BP698" i="29"/>
  <c r="AZ697" i="29"/>
  <c r="BH697" i="29"/>
  <c r="BB697" i="29" s="1"/>
  <c r="CC696" i="29" l="1"/>
  <c r="AB697" i="29"/>
  <c r="M696" i="29"/>
  <c r="CB697" i="29"/>
  <c r="BV697" i="29" s="1"/>
  <c r="CA697" i="29"/>
  <c r="BU697" i="29" s="1"/>
  <c r="AA696" i="29"/>
  <c r="W696" i="29"/>
  <c r="Y696" i="29" s="1"/>
  <c r="V698" i="29"/>
  <c r="S699" i="29"/>
  <c r="T699" i="29"/>
  <c r="AE698" i="29"/>
  <c r="AF698" i="29"/>
  <c r="U698" i="29"/>
  <c r="AC698" i="29" s="1"/>
  <c r="R697" i="29"/>
  <c r="Q697" i="29"/>
  <c r="BN701" i="29"/>
  <c r="BO701" i="29"/>
  <c r="BR700" i="29"/>
  <c r="BY700" i="29"/>
  <c r="X696" i="29"/>
  <c r="K699" i="29"/>
  <c r="J699" i="29"/>
  <c r="L698" i="29"/>
  <c r="BZ652" i="29"/>
  <c r="BX653" i="29" s="1"/>
  <c r="AZ698" i="29"/>
  <c r="BH698" i="29"/>
  <c r="BB698" i="29" s="1"/>
  <c r="BE699" i="29"/>
  <c r="BG699" i="29" s="1"/>
  <c r="BA699" i="29" s="1"/>
  <c r="BP699" i="29"/>
  <c r="BC699" i="29"/>
  <c r="BF699" i="29" s="1"/>
  <c r="BD700" i="29"/>
  <c r="CC697" i="29" l="1"/>
  <c r="AB698" i="29"/>
  <c r="AA697" i="29"/>
  <c r="W697" i="29"/>
  <c r="Y697" i="29" s="1"/>
  <c r="CA698" i="29"/>
  <c r="BU698" i="29" s="1"/>
  <c r="M697" i="29"/>
  <c r="CB698" i="29"/>
  <c r="BV698" i="29" s="1"/>
  <c r="S700" i="29"/>
  <c r="V699" i="29"/>
  <c r="T700" i="29"/>
  <c r="AF699" i="29"/>
  <c r="AE699" i="29"/>
  <c r="L699" i="29"/>
  <c r="K700" i="29"/>
  <c r="J700" i="29"/>
  <c r="X697" i="29"/>
  <c r="U699" i="29"/>
  <c r="BY701" i="29"/>
  <c r="BR701" i="29"/>
  <c r="BO702" i="29"/>
  <c r="BN702" i="29"/>
  <c r="BQ702" i="29"/>
  <c r="BQ703" i="29" s="1"/>
  <c r="Q698" i="29"/>
  <c r="X698" i="29" s="1"/>
  <c r="R698" i="29"/>
  <c r="BZ653" i="29"/>
  <c r="BX654" i="29" s="1"/>
  <c r="BH699" i="29"/>
  <c r="BB699" i="29" s="1"/>
  <c r="AZ699" i="29"/>
  <c r="BD701" i="29"/>
  <c r="BP700" i="29"/>
  <c r="BE700" i="29"/>
  <c r="BG700" i="29" s="1"/>
  <c r="BA700" i="29" s="1"/>
  <c r="BC700" i="29"/>
  <c r="BF700" i="29" s="1"/>
  <c r="U700" i="29" l="1"/>
  <c r="AB700" i="29" s="1"/>
  <c r="R699" i="29"/>
  <c r="Q699" i="29"/>
  <c r="CC698" i="29"/>
  <c r="CA699" i="29"/>
  <c r="BU699" i="29" s="1"/>
  <c r="CB699" i="29"/>
  <c r="BV699" i="29" s="1"/>
  <c r="AA698" i="29"/>
  <c r="M698" i="29"/>
  <c r="W698" i="29"/>
  <c r="Y698" i="29" s="1"/>
  <c r="BN703" i="29"/>
  <c r="BO703" i="29"/>
  <c r="BR702" i="29"/>
  <c r="BY702" i="29"/>
  <c r="AC699" i="29"/>
  <c r="J701" i="29"/>
  <c r="K701" i="29"/>
  <c r="L700" i="29"/>
  <c r="T701" i="29"/>
  <c r="S701" i="29"/>
  <c r="V700" i="29"/>
  <c r="AF700" i="29"/>
  <c r="AE700" i="29"/>
  <c r="AB699" i="29"/>
  <c r="BZ654" i="29"/>
  <c r="BX655" i="29" s="1"/>
  <c r="BC701" i="29"/>
  <c r="BF701" i="29" s="1"/>
  <c r="BD702" i="29"/>
  <c r="BE701" i="29"/>
  <c r="BG701" i="29" s="1"/>
  <c r="BA701" i="29" s="1"/>
  <c r="BP701" i="29"/>
  <c r="AZ700" i="29"/>
  <c r="BH700" i="29"/>
  <c r="BB700" i="29" s="1"/>
  <c r="CC699" i="29" l="1"/>
  <c r="AC700" i="29"/>
  <c r="CA700" i="29"/>
  <c r="BU700" i="29" s="1"/>
  <c r="M699" i="29"/>
  <c r="AA699" i="29"/>
  <c r="W699" i="29"/>
  <c r="Y699" i="29" s="1"/>
  <c r="CB700" i="29"/>
  <c r="BV700" i="29" s="1"/>
  <c r="J702" i="29"/>
  <c r="K702" i="29"/>
  <c r="L701" i="29"/>
  <c r="U701" i="29"/>
  <c r="AC701" i="29" s="1"/>
  <c r="BR703" i="29"/>
  <c r="BO704" i="29"/>
  <c r="BN704" i="29"/>
  <c r="BY703" i="29"/>
  <c r="BQ704" i="29"/>
  <c r="V701" i="29"/>
  <c r="S702" i="29"/>
  <c r="T702" i="29"/>
  <c r="AE701" i="29"/>
  <c r="AF701" i="29"/>
  <c r="X699" i="29"/>
  <c r="R700" i="29"/>
  <c r="Q700" i="29"/>
  <c r="X700" i="29" s="1"/>
  <c r="BZ655" i="29"/>
  <c r="BX656" i="29" s="1"/>
  <c r="BP702" i="29"/>
  <c r="BE702" i="29"/>
  <c r="BG702" i="29" s="1"/>
  <c r="BA702" i="29" s="1"/>
  <c r="BD703" i="29"/>
  <c r="BC702" i="29"/>
  <c r="BF702" i="29" s="1"/>
  <c r="BH701" i="29"/>
  <c r="BB701" i="29" s="1"/>
  <c r="AZ701" i="29"/>
  <c r="CC700" i="29" l="1"/>
  <c r="AB701" i="29"/>
  <c r="W700" i="29"/>
  <c r="Y700" i="29" s="1"/>
  <c r="AA700" i="29"/>
  <c r="CA701" i="29"/>
  <c r="BU701" i="29" s="1"/>
  <c r="M700" i="29"/>
  <c r="CB701" i="29"/>
  <c r="BV701" i="29" s="1"/>
  <c r="U702" i="29"/>
  <c r="AB702" i="29" s="1"/>
  <c r="BQ705" i="29"/>
  <c r="BN705" i="29"/>
  <c r="BY704" i="29"/>
  <c r="BO705" i="29"/>
  <c r="BR704" i="29"/>
  <c r="T703" i="29"/>
  <c r="S703" i="29"/>
  <c r="V702" i="29"/>
  <c r="AF702" i="29"/>
  <c r="AE702" i="29"/>
  <c r="R701" i="29"/>
  <c r="Q701" i="29"/>
  <c r="X701" i="29" s="1"/>
  <c r="K703" i="29"/>
  <c r="L702" i="29"/>
  <c r="J703" i="29"/>
  <c r="BZ656" i="29"/>
  <c r="BY657" i="29" s="1"/>
  <c r="BH702" i="29"/>
  <c r="BB702" i="29" s="1"/>
  <c r="AZ702" i="29"/>
  <c r="BP703" i="29"/>
  <c r="BD704" i="29"/>
  <c r="BC703" i="29"/>
  <c r="BF703" i="29" s="1"/>
  <c r="BE703" i="29"/>
  <c r="BG703" i="29" s="1"/>
  <c r="BA703" i="29" s="1"/>
  <c r="CC701" i="29" l="1"/>
  <c r="CA702" i="29"/>
  <c r="BU702" i="29" s="1"/>
  <c r="W701" i="29"/>
  <c r="Y701" i="29" s="1"/>
  <c r="M701" i="29"/>
  <c r="AA701" i="29"/>
  <c r="CB702" i="29"/>
  <c r="BV702" i="29" s="1"/>
  <c r="BQ706" i="29"/>
  <c r="BQ707" i="29" s="1"/>
  <c r="BO706" i="29"/>
  <c r="BN706" i="29"/>
  <c r="BR705" i="29"/>
  <c r="U703" i="29"/>
  <c r="AC703" i="29" s="1"/>
  <c r="Q702" i="29"/>
  <c r="R702" i="29"/>
  <c r="J704" i="29"/>
  <c r="L703" i="29"/>
  <c r="K704" i="29"/>
  <c r="T704" i="29"/>
  <c r="S704" i="29"/>
  <c r="V703" i="29"/>
  <c r="AE703" i="29"/>
  <c r="AF703" i="29"/>
  <c r="AC702" i="29"/>
  <c r="BW657" i="29"/>
  <c r="BX657" i="29"/>
  <c r="BH703" i="29"/>
  <c r="BB703" i="29" s="1"/>
  <c r="AZ703" i="29"/>
  <c r="BE704" i="29"/>
  <c r="BG704" i="29" s="1"/>
  <c r="BA704" i="29" s="1"/>
  <c r="BC704" i="29"/>
  <c r="BF704" i="29" s="1"/>
  <c r="BP704" i="29"/>
  <c r="BD705" i="29"/>
  <c r="J705" i="29" l="1"/>
  <c r="L704" i="29"/>
  <c r="K705" i="29"/>
  <c r="AA702" i="29"/>
  <c r="W702" i="29"/>
  <c r="Y702" i="29" s="1"/>
  <c r="CB703" i="29"/>
  <c r="BV703" i="29" s="1"/>
  <c r="CA703" i="29"/>
  <c r="BU703" i="29" s="1"/>
  <c r="M702" i="29"/>
  <c r="CC702" i="29"/>
  <c r="U704" i="29"/>
  <c r="R703" i="29"/>
  <c r="Q703" i="29"/>
  <c r="S705" i="29"/>
  <c r="V704" i="29"/>
  <c r="T705" i="29"/>
  <c r="AE704" i="29"/>
  <c r="AF704" i="29"/>
  <c r="X702" i="29"/>
  <c r="AB703" i="29"/>
  <c r="BO707" i="29"/>
  <c r="BR706" i="29"/>
  <c r="BY706" i="29"/>
  <c r="BN707" i="29"/>
  <c r="BI705" i="29"/>
  <c r="BC705" i="29"/>
  <c r="BF705" i="29" s="1"/>
  <c r="BE705" i="29"/>
  <c r="BG705" i="29" s="1"/>
  <c r="BA705" i="29" s="1"/>
  <c r="BP705" i="29"/>
  <c r="BD706" i="29"/>
  <c r="BZ657" i="29"/>
  <c r="BX658" i="29" s="1"/>
  <c r="BH704" i="29"/>
  <c r="BB704" i="29" s="1"/>
  <c r="AZ704" i="29"/>
  <c r="BT657" i="29"/>
  <c r="M656" i="29" s="1"/>
  <c r="BS657" i="29"/>
  <c r="CC703" i="29" l="1"/>
  <c r="J706" i="29"/>
  <c r="K706" i="29"/>
  <c r="L705" i="29"/>
  <c r="U705" i="29"/>
  <c r="AB705" i="29" s="1"/>
  <c r="BR707" i="29"/>
  <c r="BY707" i="29"/>
  <c r="BO708" i="29"/>
  <c r="BN708" i="29"/>
  <c r="T706" i="29"/>
  <c r="S706" i="29"/>
  <c r="V705" i="29"/>
  <c r="AF705" i="29"/>
  <c r="AE705" i="29"/>
  <c r="X703" i="29"/>
  <c r="CB704" i="29"/>
  <c r="BV704" i="29" s="1"/>
  <c r="M703" i="29"/>
  <c r="AA703" i="29"/>
  <c r="CA704" i="29"/>
  <c r="BU704" i="29" s="1"/>
  <c r="W703" i="29"/>
  <c r="Y703" i="29" s="1"/>
  <c r="Q704" i="29"/>
  <c r="R704" i="29"/>
  <c r="BQ708" i="29"/>
  <c r="BQ709" i="29" s="1"/>
  <c r="BZ658" i="29"/>
  <c r="BX659" i="29" s="1"/>
  <c r="AZ705" i="29"/>
  <c r="BH705" i="29"/>
  <c r="BB705" i="29" s="1"/>
  <c r="H64" i="29"/>
  <c r="K57" i="40" s="1"/>
  <c r="X656" i="29"/>
  <c r="Y656" i="29" s="1"/>
  <c r="Z656" i="29" s="1"/>
  <c r="BP706" i="29"/>
  <c r="BD707" i="29"/>
  <c r="BE706" i="29"/>
  <c r="BG706" i="29" s="1"/>
  <c r="BA706" i="29" s="1"/>
  <c r="BC706" i="29"/>
  <c r="BF706" i="29" s="1"/>
  <c r="AB656" i="29" l="1"/>
  <c r="AC656" i="29"/>
  <c r="Z657" i="29"/>
  <c r="Z658" i="29" s="1"/>
  <c r="Z659" i="29" s="1"/>
  <c r="Z660" i="29" s="1"/>
  <c r="Z661" i="29" s="1"/>
  <c r="Z662" i="29" s="1"/>
  <c r="Z663" i="29" s="1"/>
  <c r="Z664" i="29" s="1"/>
  <c r="Z665" i="29" s="1"/>
  <c r="Z666" i="29" s="1"/>
  <c r="Z667" i="29" s="1"/>
  <c r="CB669" i="29"/>
  <c r="AC705" i="29"/>
  <c r="G64" i="29"/>
  <c r="L57" i="40" s="1"/>
  <c r="CC704" i="29"/>
  <c r="AA704" i="29"/>
  <c r="CA705" i="29"/>
  <c r="BU705" i="29" s="1"/>
  <c r="W704" i="29"/>
  <c r="U706" i="29"/>
  <c r="AC706" i="29" s="1"/>
  <c r="BN709" i="29"/>
  <c r="BY708" i="29"/>
  <c r="BR708" i="29"/>
  <c r="BO709" i="29"/>
  <c r="BQ710" i="29" s="1"/>
  <c r="S707" i="29"/>
  <c r="T707" i="29"/>
  <c r="V706" i="29"/>
  <c r="AE706" i="29"/>
  <c r="AF706" i="29"/>
  <c r="Q705" i="29"/>
  <c r="R705" i="29"/>
  <c r="L706" i="29"/>
  <c r="J707" i="29"/>
  <c r="K707" i="29"/>
  <c r="BH706" i="29"/>
  <c r="BB706" i="29" s="1"/>
  <c r="AZ706" i="29"/>
  <c r="BZ659" i="29"/>
  <c r="BX660" i="29" s="1"/>
  <c r="D204" i="15"/>
  <c r="I73" i="39"/>
  <c r="H57" i="44" s="1"/>
  <c r="D57" i="45" s="1"/>
  <c r="K57" i="45" s="1"/>
  <c r="L57" i="45" s="1"/>
  <c r="J58" i="45" s="1"/>
  <c r="G71" i="15"/>
  <c r="BC707" i="29"/>
  <c r="BF707" i="29" s="1"/>
  <c r="BD708" i="29"/>
  <c r="BE707" i="29"/>
  <c r="BG707" i="29" s="1"/>
  <c r="BA707" i="29" s="1"/>
  <c r="BP707" i="29"/>
  <c r="BN126" i="44" l="1"/>
  <c r="BQ126" i="44"/>
  <c r="BM126" i="44"/>
  <c r="BP126" i="44"/>
  <c r="BR126" i="44"/>
  <c r="BO126" i="44"/>
  <c r="CC669" i="29"/>
  <c r="BV669" i="29"/>
  <c r="F204" i="15"/>
  <c r="L73" i="39"/>
  <c r="AB706" i="29"/>
  <c r="T708" i="29"/>
  <c r="V707" i="29"/>
  <c r="S708" i="29"/>
  <c r="AE707" i="29"/>
  <c r="AF707" i="29"/>
  <c r="J708" i="29"/>
  <c r="K708" i="29"/>
  <c r="L707" i="29"/>
  <c r="W705" i="29"/>
  <c r="Y705" i="29" s="1"/>
  <c r="AA705" i="29"/>
  <c r="M705" i="29"/>
  <c r="CA706" i="29"/>
  <c r="BU706" i="29" s="1"/>
  <c r="CB706" i="29"/>
  <c r="BV706" i="29" s="1"/>
  <c r="U707" i="29"/>
  <c r="AB707" i="29" s="1"/>
  <c r="X705" i="29"/>
  <c r="BO710" i="29"/>
  <c r="BN710" i="29"/>
  <c r="BR709" i="29"/>
  <c r="BY709" i="29"/>
  <c r="Q706" i="29"/>
  <c r="R706" i="29"/>
  <c r="BZ660" i="29"/>
  <c r="BX661" i="29" s="1"/>
  <c r="BP708" i="29"/>
  <c r="BC708" i="29"/>
  <c r="BF708" i="29" s="1"/>
  <c r="BD709" i="29"/>
  <c r="BE708" i="29"/>
  <c r="BG708" i="29" s="1"/>
  <c r="BA708" i="29" s="1"/>
  <c r="AZ707" i="29"/>
  <c r="BH707" i="29"/>
  <c r="BB707" i="29" s="1"/>
  <c r="AC707" i="29" l="1"/>
  <c r="X706" i="29"/>
  <c r="M706" i="29"/>
  <c r="CA707" i="29"/>
  <c r="BU707" i="29" s="1"/>
  <c r="W706" i="29"/>
  <c r="Y706" i="29" s="1"/>
  <c r="CB707" i="29"/>
  <c r="BV707" i="29" s="1"/>
  <c r="AA706" i="29"/>
  <c r="BO711" i="29"/>
  <c r="BY710" i="29"/>
  <c r="BN711" i="29"/>
  <c r="BR710" i="29"/>
  <c r="BQ711" i="29"/>
  <c r="BQ712" i="29" s="1"/>
  <c r="K709" i="29"/>
  <c r="L708" i="29"/>
  <c r="J709" i="29"/>
  <c r="U708" i="29"/>
  <c r="AB708" i="29" s="1"/>
  <c r="CC706" i="29"/>
  <c r="R707" i="29"/>
  <c r="Q707" i="29"/>
  <c r="V708" i="29"/>
  <c r="S709" i="29"/>
  <c r="T709" i="29"/>
  <c r="AF708" i="29"/>
  <c r="AE708" i="29"/>
  <c r="BZ661" i="29"/>
  <c r="BX662" i="29" s="1"/>
  <c r="AZ708" i="29"/>
  <c r="BH708" i="29"/>
  <c r="BB708" i="29" s="1"/>
  <c r="BD710" i="29"/>
  <c r="BE709" i="29"/>
  <c r="BG709" i="29" s="1"/>
  <c r="BA709" i="29" s="1"/>
  <c r="BP709" i="29"/>
  <c r="BC709" i="29"/>
  <c r="BF709" i="29" s="1"/>
  <c r="CC707" i="29" l="1"/>
  <c r="AC708" i="29"/>
  <c r="V709" i="29"/>
  <c r="T710" i="29"/>
  <c r="S710" i="29"/>
  <c r="AE709" i="29"/>
  <c r="AF709" i="29"/>
  <c r="U709" i="29"/>
  <c r="AB709" i="29" s="1"/>
  <c r="R708" i="29"/>
  <c r="Q708" i="29"/>
  <c r="J710" i="29"/>
  <c r="K710" i="29"/>
  <c r="L709" i="29"/>
  <c r="X707" i="29"/>
  <c r="W707" i="29"/>
  <c r="Y707" i="29" s="1"/>
  <c r="CB708" i="29"/>
  <c r="BV708" i="29" s="1"/>
  <c r="CA708" i="29"/>
  <c r="BU708" i="29" s="1"/>
  <c r="AA707" i="29"/>
  <c r="M707" i="29"/>
  <c r="BN712" i="29"/>
  <c r="BY711" i="29"/>
  <c r="BR711" i="29"/>
  <c r="BO712" i="29"/>
  <c r="BZ662" i="29"/>
  <c r="BX663" i="29" s="1"/>
  <c r="AZ709" i="29"/>
  <c r="BH709" i="29"/>
  <c r="BB709" i="29" s="1"/>
  <c r="BC710" i="29"/>
  <c r="BF710" i="29" s="1"/>
  <c r="BP710" i="29"/>
  <c r="BE710" i="29"/>
  <c r="BG710" i="29" s="1"/>
  <c r="BA710" i="29" s="1"/>
  <c r="BD711" i="29"/>
  <c r="CC708" i="29" l="1"/>
  <c r="AC709" i="29"/>
  <c r="U710" i="29"/>
  <c r="AB710" i="29" s="1"/>
  <c r="BY712" i="29"/>
  <c r="BO713" i="29"/>
  <c r="BR712" i="29"/>
  <c r="BN713" i="29"/>
  <c r="BQ713" i="29"/>
  <c r="BQ714" i="29" s="1"/>
  <c r="X708" i="29"/>
  <c r="M708" i="29"/>
  <c r="AA708" i="29"/>
  <c r="CA709" i="29"/>
  <c r="BU709" i="29" s="1"/>
  <c r="W708" i="29"/>
  <c r="Y708" i="29" s="1"/>
  <c r="CB709" i="29"/>
  <c r="BV709" i="29" s="1"/>
  <c r="V710" i="29"/>
  <c r="T711" i="29"/>
  <c r="S711" i="29"/>
  <c r="AF710" i="29"/>
  <c r="AE710" i="29"/>
  <c r="J711" i="29"/>
  <c r="K711" i="29"/>
  <c r="L710" i="29"/>
  <c r="Q709" i="29"/>
  <c r="X709" i="29" s="1"/>
  <c r="R709" i="29"/>
  <c r="BZ663" i="29"/>
  <c r="BX664" i="29" s="1"/>
  <c r="AZ710" i="29"/>
  <c r="BH710" i="29"/>
  <c r="BB710" i="29" s="1"/>
  <c r="BC711" i="29"/>
  <c r="BF711" i="29" s="1"/>
  <c r="BE711" i="29"/>
  <c r="BG711" i="29" s="1"/>
  <c r="BA711" i="29" s="1"/>
  <c r="BP711" i="29"/>
  <c r="BD712" i="29"/>
  <c r="AC710" i="29" l="1"/>
  <c r="CB710" i="29"/>
  <c r="BV710" i="29" s="1"/>
  <c r="AA709" i="29"/>
  <c r="CA710" i="29"/>
  <c r="BU710" i="29" s="1"/>
  <c r="W709" i="29"/>
  <c r="Y709" i="29" s="1"/>
  <c r="M709" i="29"/>
  <c r="T712" i="29"/>
  <c r="S712" i="29"/>
  <c r="V711" i="29"/>
  <c r="AF711" i="29"/>
  <c r="AE711" i="29"/>
  <c r="BO714" i="29"/>
  <c r="BQ715" i="29" s="1"/>
  <c r="BR713" i="29"/>
  <c r="BY713" i="29"/>
  <c r="BN714" i="29"/>
  <c r="J712" i="29"/>
  <c r="K712" i="29"/>
  <c r="L711" i="29"/>
  <c r="U711" i="29"/>
  <c r="AB711" i="29" s="1"/>
  <c r="CC709" i="29"/>
  <c r="R710" i="29"/>
  <c r="Q710" i="29"/>
  <c r="X710" i="29" s="1"/>
  <c r="BZ664" i="29"/>
  <c r="BX665" i="29" s="1"/>
  <c r="BD713" i="29"/>
  <c r="BP712" i="29"/>
  <c r="BC712" i="29"/>
  <c r="BF712" i="29" s="1"/>
  <c r="BE712" i="29"/>
  <c r="BG712" i="29" s="1"/>
  <c r="BA712" i="29" s="1"/>
  <c r="BH711" i="29"/>
  <c r="BB711" i="29" s="1"/>
  <c r="AZ711" i="29"/>
  <c r="T713" i="29" l="1"/>
  <c r="V712" i="29"/>
  <c r="S713" i="29"/>
  <c r="AE712" i="29"/>
  <c r="AF712" i="29"/>
  <c r="W710" i="29"/>
  <c r="Y710" i="29" s="1"/>
  <c r="M710" i="29"/>
  <c r="CA711" i="29"/>
  <c r="BU711" i="29" s="1"/>
  <c r="CB711" i="29"/>
  <c r="BV711" i="29" s="1"/>
  <c r="AA710" i="29"/>
  <c r="CC710" i="29"/>
  <c r="R711" i="29"/>
  <c r="Q711" i="29"/>
  <c r="X711" i="29" s="1"/>
  <c r="K713" i="29"/>
  <c r="L712" i="29"/>
  <c r="J713" i="29"/>
  <c r="AC711" i="29"/>
  <c r="BY714" i="29"/>
  <c r="BO715" i="29"/>
  <c r="BN715" i="29"/>
  <c r="BR714" i="29"/>
  <c r="U712" i="29"/>
  <c r="AB712" i="29" s="1"/>
  <c r="BZ665" i="29"/>
  <c r="BX666" i="29" s="1"/>
  <c r="BC713" i="29"/>
  <c r="BF713" i="29" s="1"/>
  <c r="BE713" i="29"/>
  <c r="BG713" i="29" s="1"/>
  <c r="BA713" i="29" s="1"/>
  <c r="BP713" i="29"/>
  <c r="BD714" i="29"/>
  <c r="BH712" i="29"/>
  <c r="BB712" i="29" s="1"/>
  <c r="AZ712" i="29"/>
  <c r="AC712" i="29" l="1"/>
  <c r="BY715" i="29"/>
  <c r="BN716" i="29"/>
  <c r="BR715" i="29"/>
  <c r="BO716" i="29"/>
  <c r="V713" i="29"/>
  <c r="T714" i="29"/>
  <c r="S714" i="29"/>
  <c r="AE713" i="29"/>
  <c r="AF713" i="29"/>
  <c r="J714" i="29"/>
  <c r="L713" i="29"/>
  <c r="K714" i="29"/>
  <c r="CC711" i="29"/>
  <c r="U713" i="29"/>
  <c r="AC713" i="29" s="1"/>
  <c r="R712" i="29"/>
  <c r="Q712" i="29"/>
  <c r="AA711" i="29"/>
  <c r="CA712" i="29"/>
  <c r="BU712" i="29" s="1"/>
  <c r="CB712" i="29"/>
  <c r="BV712" i="29" s="1"/>
  <c r="M711" i="29"/>
  <c r="W711" i="29"/>
  <c r="Y711" i="29" s="1"/>
  <c r="BQ716" i="29"/>
  <c r="BQ717" i="29" s="1"/>
  <c r="BZ666" i="29"/>
  <c r="BX667" i="29" s="1"/>
  <c r="BH713" i="29"/>
  <c r="BB713" i="29" s="1"/>
  <c r="AZ713" i="29"/>
  <c r="BD715" i="29"/>
  <c r="BE714" i="29"/>
  <c r="BG714" i="29" s="1"/>
  <c r="BA714" i="29" s="1"/>
  <c r="BP714" i="29"/>
  <c r="BC714" i="29"/>
  <c r="BF714" i="29" s="1"/>
  <c r="CC712" i="29" l="1"/>
  <c r="CA713" i="29"/>
  <c r="BU713" i="29" s="1"/>
  <c r="W712" i="29"/>
  <c r="Y712" i="29" s="1"/>
  <c r="M712" i="29"/>
  <c r="AA712" i="29"/>
  <c r="CB713" i="29"/>
  <c r="BV713" i="29" s="1"/>
  <c r="V714" i="29"/>
  <c r="S715" i="29"/>
  <c r="T715" i="29"/>
  <c r="AF714" i="29"/>
  <c r="AE714" i="29"/>
  <c r="R713" i="29"/>
  <c r="Q713" i="29"/>
  <c r="X713" i="29" s="1"/>
  <c r="J715" i="29"/>
  <c r="K715" i="29"/>
  <c r="L714" i="29"/>
  <c r="BO717" i="29"/>
  <c r="BN717" i="29"/>
  <c r="BR716" i="29"/>
  <c r="BY716" i="29"/>
  <c r="BQ718" i="29"/>
  <c r="X712" i="29"/>
  <c r="AB713" i="29"/>
  <c r="U714" i="29"/>
  <c r="AB714" i="29" s="1"/>
  <c r="BZ667" i="29"/>
  <c r="BX668" i="29" s="1"/>
  <c r="BD716" i="29"/>
  <c r="BP715" i="29"/>
  <c r="BC715" i="29"/>
  <c r="BF715" i="29" s="1"/>
  <c r="BE715" i="29"/>
  <c r="BG715" i="29" s="1"/>
  <c r="BA715" i="29" s="1"/>
  <c r="BH714" i="29"/>
  <c r="BB714" i="29" s="1"/>
  <c r="AZ714" i="29"/>
  <c r="AC714" i="29" l="1"/>
  <c r="BO718" i="29"/>
  <c r="BQ719" i="29" s="1"/>
  <c r="BR717" i="29"/>
  <c r="BN718" i="29"/>
  <c r="CA714" i="29"/>
  <c r="BU714" i="29" s="1"/>
  <c r="AA713" i="29"/>
  <c r="M713" i="29"/>
  <c r="CB714" i="29"/>
  <c r="BV714" i="29" s="1"/>
  <c r="W713" i="29"/>
  <c r="Y713" i="29" s="1"/>
  <c r="V715" i="29"/>
  <c r="T716" i="29"/>
  <c r="S716" i="29"/>
  <c r="AF715" i="29"/>
  <c r="AE715" i="29"/>
  <c r="CC713" i="29"/>
  <c r="K716" i="29"/>
  <c r="J716" i="29"/>
  <c r="L715" i="29"/>
  <c r="U715" i="29"/>
  <c r="R714" i="29"/>
  <c r="Q714" i="29"/>
  <c r="X714" i="29" s="1"/>
  <c r="BZ668" i="29"/>
  <c r="BY669" i="29" s="1"/>
  <c r="AZ715" i="29"/>
  <c r="BH715" i="29"/>
  <c r="BB715" i="29" s="1"/>
  <c r="BP716" i="29"/>
  <c r="BD717" i="29"/>
  <c r="BE716" i="29"/>
  <c r="BG716" i="29" s="1"/>
  <c r="BA716" i="29" s="1"/>
  <c r="BC716" i="29"/>
  <c r="BF716" i="29" s="1"/>
  <c r="CC714" i="29" l="1"/>
  <c r="R715" i="29"/>
  <c r="Q715" i="29"/>
  <c r="M714" i="29"/>
  <c r="CA715" i="29"/>
  <c r="BU715" i="29" s="1"/>
  <c r="W714" i="29"/>
  <c r="Y714" i="29" s="1"/>
  <c r="CB715" i="29"/>
  <c r="BV715" i="29" s="1"/>
  <c r="AA714" i="29"/>
  <c r="AB715" i="29"/>
  <c r="L716" i="29"/>
  <c r="K717" i="29"/>
  <c r="J717" i="29"/>
  <c r="U716" i="29"/>
  <c r="BR718" i="29"/>
  <c r="BY718" i="29"/>
  <c r="BO719" i="29"/>
  <c r="BQ720" i="29" s="1"/>
  <c r="BN719" i="29"/>
  <c r="AC715" i="29"/>
  <c r="T717" i="29"/>
  <c r="V716" i="29"/>
  <c r="S717" i="29"/>
  <c r="AE716" i="29"/>
  <c r="AF716" i="29"/>
  <c r="BW669" i="29"/>
  <c r="BX669" i="29"/>
  <c r="BC717" i="29"/>
  <c r="BF717" i="29" s="1"/>
  <c r="BP717" i="29"/>
  <c r="BE717" i="29"/>
  <c r="BG717" i="29" s="1"/>
  <c r="BA717" i="29" s="1"/>
  <c r="BI717" i="29"/>
  <c r="BD718" i="29"/>
  <c r="AZ716" i="29"/>
  <c r="BH716" i="29"/>
  <c r="BB716" i="29" s="1"/>
  <c r="X715" i="29" l="1"/>
  <c r="W715" i="29"/>
  <c r="Y715" i="29" s="1"/>
  <c r="CA716" i="29"/>
  <c r="BU716" i="29" s="1"/>
  <c r="CB716" i="29"/>
  <c r="BV716" i="29" s="1"/>
  <c r="AA715" i="29"/>
  <c r="M715" i="29"/>
  <c r="T718" i="29"/>
  <c r="S718" i="29"/>
  <c r="V717" i="29"/>
  <c r="AE717" i="29"/>
  <c r="AF717" i="29"/>
  <c r="Q716" i="29"/>
  <c r="R716" i="29"/>
  <c r="CC715" i="29"/>
  <c r="BR719" i="29"/>
  <c r="BO720" i="29"/>
  <c r="BY719" i="29"/>
  <c r="BN720" i="29"/>
  <c r="U717" i="29"/>
  <c r="L717" i="29"/>
  <c r="J718" i="29"/>
  <c r="K718" i="29"/>
  <c r="BC718" i="29"/>
  <c r="BF718" i="29" s="1"/>
  <c r="BP718" i="29"/>
  <c r="BE718" i="29"/>
  <c r="BG718" i="29" s="1"/>
  <c r="BA718" i="29" s="1"/>
  <c r="BD719" i="29"/>
  <c r="BH717" i="29"/>
  <c r="BB717" i="29" s="1"/>
  <c r="AZ717" i="29"/>
  <c r="BZ669" i="29"/>
  <c r="BX670" i="29" s="1"/>
  <c r="BS669" i="29"/>
  <c r="BT669" i="29"/>
  <c r="M668" i="29" s="1"/>
  <c r="CC716" i="29" l="1"/>
  <c r="Q717" i="29"/>
  <c r="X717" i="29" s="1"/>
  <c r="R717" i="29"/>
  <c r="AB717" i="29"/>
  <c r="BY720" i="29"/>
  <c r="BO721" i="29"/>
  <c r="BN721" i="29"/>
  <c r="BR720" i="29"/>
  <c r="AA716" i="29"/>
  <c r="CA717" i="29"/>
  <c r="BU717" i="29" s="1"/>
  <c r="W716" i="29"/>
  <c r="U718" i="29"/>
  <c r="AB718" i="29" s="1"/>
  <c r="AC717" i="29"/>
  <c r="T719" i="29"/>
  <c r="V718" i="29"/>
  <c r="S719" i="29"/>
  <c r="AE718" i="29"/>
  <c r="AF718" i="29"/>
  <c r="K719" i="29"/>
  <c r="J719" i="29"/>
  <c r="L718" i="29"/>
  <c r="BQ721" i="29"/>
  <c r="BQ722" i="29" s="1"/>
  <c r="BZ670" i="29"/>
  <c r="BX671" i="29" s="1"/>
  <c r="BD720" i="29"/>
  <c r="BP719" i="29"/>
  <c r="BE719" i="29"/>
  <c r="BG719" i="29" s="1"/>
  <c r="BA719" i="29" s="1"/>
  <c r="BC719" i="29"/>
  <c r="BF719" i="29" s="1"/>
  <c r="H65" i="29"/>
  <c r="K58" i="40" s="1"/>
  <c r="X668" i="29"/>
  <c r="Y668" i="29" s="1"/>
  <c r="Z668" i="29" s="1"/>
  <c r="BH718" i="29"/>
  <c r="BB718" i="29" s="1"/>
  <c r="AZ718" i="29"/>
  <c r="AB668" i="29" l="1"/>
  <c r="AC668" i="29"/>
  <c r="Z669" i="29"/>
  <c r="Z670" i="29" s="1"/>
  <c r="Z671" i="29" s="1"/>
  <c r="Z672" i="29" s="1"/>
  <c r="Z673" i="29" s="1"/>
  <c r="Z674" i="29" s="1"/>
  <c r="Z675" i="29" s="1"/>
  <c r="Z676" i="29" s="1"/>
  <c r="Z677" i="29" s="1"/>
  <c r="Z678" i="29" s="1"/>
  <c r="Z679" i="29" s="1"/>
  <c r="CB681" i="29"/>
  <c r="G65" i="29"/>
  <c r="L58" i="40" s="1"/>
  <c r="AC718" i="29"/>
  <c r="K720" i="29"/>
  <c r="J720" i="29"/>
  <c r="L719" i="29"/>
  <c r="T720" i="29"/>
  <c r="S720" i="29"/>
  <c r="V719" i="29"/>
  <c r="AE719" i="29"/>
  <c r="AF719" i="29"/>
  <c r="BN722" i="29"/>
  <c r="BY721" i="29"/>
  <c r="BO722" i="29"/>
  <c r="BR721" i="29"/>
  <c r="AA717" i="29"/>
  <c r="M717" i="29"/>
  <c r="CB718" i="29"/>
  <c r="BV718" i="29" s="1"/>
  <c r="W717" i="29"/>
  <c r="Y717" i="29" s="1"/>
  <c r="CA718" i="29"/>
  <c r="BU718" i="29" s="1"/>
  <c r="U719" i="29"/>
  <c r="Q718" i="29"/>
  <c r="R718" i="29"/>
  <c r="BZ671" i="29"/>
  <c r="BX672" i="29" s="1"/>
  <c r="D205" i="15"/>
  <c r="I74" i="39"/>
  <c r="H58" i="44" s="1"/>
  <c r="D58" i="45" s="1"/>
  <c r="K58" i="45" s="1"/>
  <c r="L58" i="45" s="1"/>
  <c r="J59" i="45" s="1"/>
  <c r="G72" i="15"/>
  <c r="BD721" i="29"/>
  <c r="BE720" i="29"/>
  <c r="BG720" i="29" s="1"/>
  <c r="BA720" i="29" s="1"/>
  <c r="BC720" i="29"/>
  <c r="BF720" i="29" s="1"/>
  <c r="BP720" i="29"/>
  <c r="BH719" i="29"/>
  <c r="BB719" i="29" s="1"/>
  <c r="AZ719" i="29"/>
  <c r="BR127" i="44" l="1"/>
  <c r="BN127" i="44"/>
  <c r="BP127" i="44"/>
  <c r="BO127" i="44"/>
  <c r="BQ127" i="44"/>
  <c r="BV681" i="29"/>
  <c r="CC681" i="29"/>
  <c r="F205" i="15"/>
  <c r="L74" i="39"/>
  <c r="Q719" i="29"/>
  <c r="X719" i="29" s="1"/>
  <c r="R719" i="29"/>
  <c r="U720" i="29"/>
  <c r="AC720" i="29" s="1"/>
  <c r="AB719" i="29"/>
  <c r="BN723" i="29"/>
  <c r="BY722" i="29"/>
  <c r="BO723" i="29"/>
  <c r="BR722" i="29"/>
  <c r="BQ723" i="29"/>
  <c r="BQ724" i="29" s="1"/>
  <c r="X718" i="29"/>
  <c r="M718" i="29"/>
  <c r="CB719" i="29"/>
  <c r="BV719" i="29" s="1"/>
  <c r="W718" i="29"/>
  <c r="Y718" i="29" s="1"/>
  <c r="AA718" i="29"/>
  <c r="CA719" i="29"/>
  <c r="BU719" i="29" s="1"/>
  <c r="CC718" i="29"/>
  <c r="AC719" i="29"/>
  <c r="T721" i="29"/>
  <c r="V720" i="29"/>
  <c r="S721" i="29"/>
  <c r="AF720" i="29"/>
  <c r="AE720" i="29"/>
  <c r="J721" i="29"/>
  <c r="L720" i="29"/>
  <c r="K721" i="29"/>
  <c r="BZ672" i="29"/>
  <c r="BX673" i="29" s="1"/>
  <c r="BP721" i="29"/>
  <c r="BC721" i="29"/>
  <c r="BF721" i="29" s="1"/>
  <c r="BD722" i="29"/>
  <c r="BE721" i="29"/>
  <c r="BG721" i="29" s="1"/>
  <c r="BA721" i="29" s="1"/>
  <c r="BH720" i="29"/>
  <c r="BB720" i="29" s="1"/>
  <c r="AZ720" i="29"/>
  <c r="CC719" i="29" l="1"/>
  <c r="AB720" i="29"/>
  <c r="U721" i="29"/>
  <c r="AC721" i="29" s="1"/>
  <c r="BR723" i="29"/>
  <c r="BN724" i="29"/>
  <c r="BO724" i="29"/>
  <c r="BY723" i="29"/>
  <c r="R720" i="29"/>
  <c r="Q720" i="29"/>
  <c r="BQ725" i="29"/>
  <c r="CA720" i="29"/>
  <c r="BU720" i="29" s="1"/>
  <c r="M719" i="29"/>
  <c r="CB720" i="29"/>
  <c r="BV720" i="29" s="1"/>
  <c r="W719" i="29"/>
  <c r="Y719" i="29" s="1"/>
  <c r="AA719" i="29"/>
  <c r="S722" i="29"/>
  <c r="T722" i="29"/>
  <c r="V721" i="29"/>
  <c r="AF721" i="29"/>
  <c r="AE721" i="29"/>
  <c r="L721" i="29"/>
  <c r="J722" i="29"/>
  <c r="K722" i="29"/>
  <c r="BZ673" i="29"/>
  <c r="BX674" i="29" s="1"/>
  <c r="AZ721" i="29"/>
  <c r="BH721" i="29"/>
  <c r="BB721" i="29" s="1"/>
  <c r="BC722" i="29"/>
  <c r="BF722" i="29" s="1"/>
  <c r="BP722" i="29"/>
  <c r="BE722" i="29"/>
  <c r="BG722" i="29" s="1"/>
  <c r="BA722" i="29" s="1"/>
  <c r="BD723" i="29"/>
  <c r="CC720" i="29" l="1"/>
  <c r="U722" i="29"/>
  <c r="BN725" i="29"/>
  <c r="BR724" i="29"/>
  <c r="BY724" i="29"/>
  <c r="BO725" i="29"/>
  <c r="AB721" i="29"/>
  <c r="X720" i="29"/>
  <c r="CA721" i="29"/>
  <c r="BU721" i="29" s="1"/>
  <c r="W720" i="29"/>
  <c r="Y720" i="29" s="1"/>
  <c r="CB721" i="29"/>
  <c r="BV721" i="29" s="1"/>
  <c r="AA720" i="29"/>
  <c r="M720" i="29"/>
  <c r="V722" i="29"/>
  <c r="S723" i="29"/>
  <c r="T723" i="29"/>
  <c r="AE722" i="29"/>
  <c r="AF722" i="29"/>
  <c r="Q721" i="29"/>
  <c r="R721" i="29"/>
  <c r="K723" i="29"/>
  <c r="L722" i="29"/>
  <c r="J723" i="29"/>
  <c r="BZ674" i="29"/>
  <c r="BX675" i="29" s="1"/>
  <c r="BC723" i="29"/>
  <c r="BF723" i="29" s="1"/>
  <c r="BE723" i="29"/>
  <c r="BG723" i="29" s="1"/>
  <c r="BA723" i="29" s="1"/>
  <c r="BD724" i="29"/>
  <c r="BP723" i="29"/>
  <c r="AZ722" i="29"/>
  <c r="BH722" i="29"/>
  <c r="BB722" i="29" s="1"/>
  <c r="X721" i="29" l="1"/>
  <c r="M721" i="29"/>
  <c r="W721" i="29"/>
  <c r="Y721" i="29" s="1"/>
  <c r="CB722" i="29"/>
  <c r="BV722" i="29" s="1"/>
  <c r="AA721" i="29"/>
  <c r="CA722" i="29"/>
  <c r="BU722" i="29" s="1"/>
  <c r="U723" i="29"/>
  <c r="AB723" i="29" s="1"/>
  <c r="R722" i="29"/>
  <c r="Q722" i="29"/>
  <c r="X722" i="29" s="1"/>
  <c r="AB722" i="29"/>
  <c r="J724" i="29"/>
  <c r="K724" i="29"/>
  <c r="L723" i="29"/>
  <c r="AC722" i="29"/>
  <c r="S724" i="29"/>
  <c r="T724" i="29"/>
  <c r="V723" i="29"/>
  <c r="AE723" i="29"/>
  <c r="AF723" i="29"/>
  <c r="CC721" i="29"/>
  <c r="BO726" i="29"/>
  <c r="BR725" i="29"/>
  <c r="BN726" i="29"/>
  <c r="BY725" i="29"/>
  <c r="BQ726" i="29"/>
  <c r="BQ727" i="29" s="1"/>
  <c r="BZ675" i="29"/>
  <c r="BX676" i="29" s="1"/>
  <c r="BH723" i="29"/>
  <c r="BB723" i="29" s="1"/>
  <c r="AZ723" i="29"/>
  <c r="BP724" i="29"/>
  <c r="BE724" i="29"/>
  <c r="BG724" i="29" s="1"/>
  <c r="BA724" i="29" s="1"/>
  <c r="BD725" i="29"/>
  <c r="BC724" i="29"/>
  <c r="BF724" i="29" s="1"/>
  <c r="AC723" i="29" l="1"/>
  <c r="CC722" i="29"/>
  <c r="BY726" i="29"/>
  <c r="BO727" i="29"/>
  <c r="BR726" i="29"/>
  <c r="BN727" i="29"/>
  <c r="R723" i="29"/>
  <c r="Q723" i="29"/>
  <c r="X723" i="29" s="1"/>
  <c r="V724" i="29"/>
  <c r="T725" i="29"/>
  <c r="S725" i="29"/>
  <c r="AE724" i="29"/>
  <c r="AF724" i="29"/>
  <c r="U724" i="29"/>
  <c r="AB724" i="29" s="1"/>
  <c r="K725" i="29"/>
  <c r="L724" i="29"/>
  <c r="J725" i="29"/>
  <c r="CA723" i="29"/>
  <c r="BU723" i="29" s="1"/>
  <c r="CB723" i="29"/>
  <c r="BV723" i="29" s="1"/>
  <c r="W722" i="29"/>
  <c r="Y722" i="29" s="1"/>
  <c r="M722" i="29"/>
  <c r="AA722" i="29"/>
  <c r="BZ676" i="29"/>
  <c r="BX677" i="29" s="1"/>
  <c r="AZ724" i="29"/>
  <c r="BH724" i="29"/>
  <c r="BB724" i="29" s="1"/>
  <c r="BE725" i="29"/>
  <c r="BG725" i="29" s="1"/>
  <c r="BA725" i="29" s="1"/>
  <c r="BC725" i="29"/>
  <c r="BF725" i="29" s="1"/>
  <c r="BD726" i="29"/>
  <c r="BP725" i="29"/>
  <c r="CC723" i="29" l="1"/>
  <c r="AC724" i="29"/>
  <c r="U725" i="29"/>
  <c r="BY727" i="29"/>
  <c r="BN728" i="29"/>
  <c r="BO728" i="29"/>
  <c r="BR727" i="29"/>
  <c r="S726" i="29"/>
  <c r="V725" i="29"/>
  <c r="T726" i="29"/>
  <c r="AF725" i="29"/>
  <c r="AE725" i="29"/>
  <c r="Q724" i="29"/>
  <c r="X724" i="29" s="1"/>
  <c r="R724" i="29"/>
  <c r="BQ728" i="29"/>
  <c r="BQ729" i="29" s="1"/>
  <c r="L725" i="29"/>
  <c r="K726" i="29"/>
  <c r="J726" i="29"/>
  <c r="CB724" i="29"/>
  <c r="BV724" i="29" s="1"/>
  <c r="W723" i="29"/>
  <c r="Y723" i="29" s="1"/>
  <c r="AA723" i="29"/>
  <c r="M723" i="29"/>
  <c r="CA724" i="29"/>
  <c r="BU724" i="29" s="1"/>
  <c r="BZ677" i="29"/>
  <c r="BX678" i="29" s="1"/>
  <c r="BC726" i="29"/>
  <c r="BF726" i="29" s="1"/>
  <c r="BD727" i="29"/>
  <c r="BE726" i="29"/>
  <c r="BG726" i="29" s="1"/>
  <c r="BA726" i="29" s="1"/>
  <c r="BP726" i="29"/>
  <c r="BH725" i="29"/>
  <c r="BB725" i="29" s="1"/>
  <c r="AZ725" i="29"/>
  <c r="R725" i="29" l="1"/>
  <c r="Q725" i="29"/>
  <c r="X725" i="29" s="1"/>
  <c r="CC724" i="29"/>
  <c r="T727" i="29"/>
  <c r="V726" i="29"/>
  <c r="S727" i="29"/>
  <c r="AE726" i="29"/>
  <c r="AF726" i="29"/>
  <c r="BR728" i="29"/>
  <c r="BY728" i="29"/>
  <c r="BN729" i="29"/>
  <c r="BO729" i="29"/>
  <c r="AC725" i="29"/>
  <c r="BQ730" i="29"/>
  <c r="CB725" i="29"/>
  <c r="BV725" i="29" s="1"/>
  <c r="CA725" i="29"/>
  <c r="BU725" i="29" s="1"/>
  <c r="AA724" i="29"/>
  <c r="W724" i="29"/>
  <c r="Y724" i="29" s="1"/>
  <c r="M724" i="29"/>
  <c r="AB725" i="29"/>
  <c r="L726" i="29"/>
  <c r="J727" i="29"/>
  <c r="K727" i="29"/>
  <c r="U726" i="29"/>
  <c r="AB726" i="29" s="1"/>
  <c r="BZ678" i="29"/>
  <c r="BX679" i="29" s="1"/>
  <c r="BC727" i="29"/>
  <c r="BF727" i="29" s="1"/>
  <c r="BD728" i="29"/>
  <c r="BE727" i="29"/>
  <c r="BG727" i="29" s="1"/>
  <c r="BA727" i="29" s="1"/>
  <c r="BP727" i="29"/>
  <c r="BH726" i="29"/>
  <c r="BB726" i="29" s="1"/>
  <c r="AZ726" i="29"/>
  <c r="AC726" i="29" l="1"/>
  <c r="U727" i="29"/>
  <c r="AC727" i="29" s="1"/>
  <c r="L727" i="29"/>
  <c r="J728" i="29"/>
  <c r="K728" i="29"/>
  <c r="M725" i="29"/>
  <c r="CA726" i="29"/>
  <c r="BU726" i="29" s="1"/>
  <c r="CB726" i="29"/>
  <c r="BV726" i="29" s="1"/>
  <c r="AA725" i="29"/>
  <c r="W725" i="29"/>
  <c r="Y725" i="29" s="1"/>
  <c r="R726" i="29"/>
  <c r="Q726" i="29"/>
  <c r="CC725" i="29"/>
  <c r="BR729" i="29"/>
  <c r="BN730" i="29"/>
  <c r="BO730" i="29"/>
  <c r="BQ731" i="29" s="1"/>
  <c r="S728" i="29"/>
  <c r="V727" i="29"/>
  <c r="T728" i="29"/>
  <c r="AF727" i="29"/>
  <c r="AE727" i="29"/>
  <c r="BZ679" i="29"/>
  <c r="BX680" i="29" s="1"/>
  <c r="BE728" i="29"/>
  <c r="BG728" i="29" s="1"/>
  <c r="BA728" i="29" s="1"/>
  <c r="BD729" i="29"/>
  <c r="BP728" i="29"/>
  <c r="BC728" i="29"/>
  <c r="BF728" i="29" s="1"/>
  <c r="AZ727" i="29"/>
  <c r="BH727" i="29"/>
  <c r="BB727" i="29" s="1"/>
  <c r="CC726" i="29" l="1"/>
  <c r="AB727" i="29"/>
  <c r="T729" i="29"/>
  <c r="V728" i="29"/>
  <c r="S729" i="29"/>
  <c r="AF728" i="29"/>
  <c r="AE728" i="29"/>
  <c r="W726" i="29"/>
  <c r="Y726" i="29" s="1"/>
  <c r="CA727" i="29"/>
  <c r="BU727" i="29" s="1"/>
  <c r="AA726" i="29"/>
  <c r="CB727" i="29"/>
  <c r="BV727" i="29" s="1"/>
  <c r="M726" i="29"/>
  <c r="J729" i="29"/>
  <c r="K729" i="29"/>
  <c r="L728" i="29"/>
  <c r="U728" i="29"/>
  <c r="BO731" i="29"/>
  <c r="BQ732" i="29" s="1"/>
  <c r="BN731" i="29"/>
  <c r="BR730" i="29"/>
  <c r="BY730" i="29"/>
  <c r="X726" i="29"/>
  <c r="R727" i="29"/>
  <c r="Q727" i="29"/>
  <c r="X727" i="29" s="1"/>
  <c r="BZ680" i="29"/>
  <c r="BY681" i="29" s="1"/>
  <c r="BE729" i="29"/>
  <c r="BG729" i="29" s="1"/>
  <c r="BA729" i="29" s="1"/>
  <c r="BI729" i="29"/>
  <c r="BP729" i="29"/>
  <c r="BD730" i="29"/>
  <c r="BC729" i="29"/>
  <c r="BF729" i="29" s="1"/>
  <c r="AZ728" i="29"/>
  <c r="BH728" i="29"/>
  <c r="BB728" i="29" s="1"/>
  <c r="J730" i="29" l="1"/>
  <c r="K730" i="29"/>
  <c r="L729" i="29"/>
  <c r="M727" i="29"/>
  <c r="W727" i="29"/>
  <c r="Y727" i="29" s="1"/>
  <c r="CB728" i="29"/>
  <c r="BV728" i="29" s="1"/>
  <c r="CA728" i="29"/>
  <c r="BU728" i="29" s="1"/>
  <c r="AA727" i="29"/>
  <c r="T730" i="29"/>
  <c r="S730" i="29"/>
  <c r="V729" i="29"/>
  <c r="AE729" i="29"/>
  <c r="AF729" i="29"/>
  <c r="Q728" i="29"/>
  <c r="R728" i="29"/>
  <c r="CC727" i="29"/>
  <c r="BR731" i="29"/>
  <c r="BN732" i="29"/>
  <c r="BY731" i="29"/>
  <c r="BO732" i="29"/>
  <c r="U729" i="29"/>
  <c r="AB729" i="29" s="1"/>
  <c r="BW681" i="29"/>
  <c r="BX681" i="29"/>
  <c r="BD731" i="29"/>
  <c r="BC730" i="29"/>
  <c r="BF730" i="29" s="1"/>
  <c r="BE730" i="29"/>
  <c r="BG730" i="29" s="1"/>
  <c r="BA730" i="29" s="1"/>
  <c r="BP730" i="29"/>
  <c r="BH729" i="29"/>
  <c r="BB729" i="29" s="1"/>
  <c r="AZ729" i="29"/>
  <c r="CC728" i="29" l="1"/>
  <c r="AA728" i="29"/>
  <c r="CA729" i="29"/>
  <c r="BU729" i="29" s="1"/>
  <c r="W728" i="29"/>
  <c r="R729" i="29"/>
  <c r="Q729" i="29"/>
  <c r="X729" i="29" s="1"/>
  <c r="AC729" i="29"/>
  <c r="U730" i="29"/>
  <c r="AB730" i="29" s="1"/>
  <c r="BN733" i="29"/>
  <c r="BO733" i="29"/>
  <c r="BR732" i="29"/>
  <c r="BY732" i="29"/>
  <c r="V730" i="29"/>
  <c r="T731" i="29"/>
  <c r="S731" i="29"/>
  <c r="AF730" i="29"/>
  <c r="AE730" i="29"/>
  <c r="K731" i="29"/>
  <c r="J731" i="29"/>
  <c r="L730" i="29"/>
  <c r="BQ733" i="29"/>
  <c r="BQ734" i="29" s="1"/>
  <c r="BE731" i="29"/>
  <c r="BG731" i="29" s="1"/>
  <c r="BA731" i="29" s="1"/>
  <c r="BC731" i="29"/>
  <c r="BF731" i="29" s="1"/>
  <c r="BD732" i="29"/>
  <c r="BP731" i="29"/>
  <c r="AZ730" i="29"/>
  <c r="BH730" i="29"/>
  <c r="BB730" i="29" s="1"/>
  <c r="BZ681" i="29"/>
  <c r="BX682" i="29" s="1"/>
  <c r="BS681" i="29"/>
  <c r="BT681" i="29"/>
  <c r="M680" i="29" s="1"/>
  <c r="U731" i="29" l="1"/>
  <c r="AC731" i="29" s="1"/>
  <c r="AC730" i="29"/>
  <c r="W729" i="29"/>
  <c r="Y729" i="29" s="1"/>
  <c r="M729" i="29"/>
  <c r="AA729" i="29"/>
  <c r="CA730" i="29"/>
  <c r="BU730" i="29" s="1"/>
  <c r="CB730" i="29"/>
  <c r="BV730" i="29" s="1"/>
  <c r="K732" i="29"/>
  <c r="J732" i="29"/>
  <c r="L731" i="29"/>
  <c r="V731" i="29"/>
  <c r="S732" i="29"/>
  <c r="T732" i="29"/>
  <c r="AF731" i="29"/>
  <c r="AE731" i="29"/>
  <c r="BN734" i="29"/>
  <c r="BO734" i="29"/>
  <c r="BY733" i="29"/>
  <c r="BR733" i="29"/>
  <c r="BQ735" i="29"/>
  <c r="R730" i="29"/>
  <c r="Q730" i="29"/>
  <c r="BZ682" i="29"/>
  <c r="BX683" i="29" s="1"/>
  <c r="BC732" i="29"/>
  <c r="BF732" i="29" s="1"/>
  <c r="BP732" i="29"/>
  <c r="BE732" i="29"/>
  <c r="BG732" i="29" s="1"/>
  <c r="BA732" i="29" s="1"/>
  <c r="BD733" i="29"/>
  <c r="BH731" i="29"/>
  <c r="BB731" i="29" s="1"/>
  <c r="AZ731" i="29"/>
  <c r="H66" i="29"/>
  <c r="K59" i="40" s="1"/>
  <c r="X680" i="29"/>
  <c r="Y680" i="29" s="1"/>
  <c r="Z680" i="29" s="1"/>
  <c r="AB680" i="29" l="1"/>
  <c r="AC680" i="29"/>
  <c r="Z681" i="29"/>
  <c r="Z682" i="29" s="1"/>
  <c r="Z683" i="29" s="1"/>
  <c r="Z684" i="29" s="1"/>
  <c r="Z685" i="29" s="1"/>
  <c r="Z686" i="29" s="1"/>
  <c r="Z687" i="29" s="1"/>
  <c r="Z688" i="29" s="1"/>
  <c r="Z689" i="29" s="1"/>
  <c r="Z690" i="29" s="1"/>
  <c r="Z691" i="29" s="1"/>
  <c r="CB693" i="29"/>
  <c r="G66" i="29"/>
  <c r="L59" i="40" s="1"/>
  <c r="BN735" i="29"/>
  <c r="BY734" i="29"/>
  <c r="BO735" i="29"/>
  <c r="BR734" i="29"/>
  <c r="T733" i="29"/>
  <c r="V732" i="29"/>
  <c r="S733" i="29"/>
  <c r="AE732" i="29"/>
  <c r="AF732" i="29"/>
  <c r="W730" i="29"/>
  <c r="Y730" i="29" s="1"/>
  <c r="M730" i="29"/>
  <c r="AA730" i="29"/>
  <c r="CA731" i="29"/>
  <c r="BU731" i="29" s="1"/>
  <c r="CB731" i="29"/>
  <c r="BV731" i="29" s="1"/>
  <c r="U732" i="29"/>
  <c r="AB732" i="29" s="1"/>
  <c r="J733" i="29"/>
  <c r="K733" i="29"/>
  <c r="L732" i="29"/>
  <c r="R731" i="29"/>
  <c r="Q731" i="29"/>
  <c r="X730" i="29"/>
  <c r="CC730" i="29"/>
  <c r="AB731" i="29"/>
  <c r="BZ683" i="29"/>
  <c r="BX684" i="29" s="1"/>
  <c r="D206" i="15"/>
  <c r="I75" i="39"/>
  <c r="H59" i="44" s="1"/>
  <c r="D59" i="45" s="1"/>
  <c r="K59" i="45" s="1"/>
  <c r="L59" i="45" s="1"/>
  <c r="J60" i="45" s="1"/>
  <c r="G79" i="15"/>
  <c r="AZ732" i="29"/>
  <c r="BH732" i="29"/>
  <c r="BB732" i="29" s="1"/>
  <c r="BE733" i="29"/>
  <c r="BG733" i="29" s="1"/>
  <c r="BA733" i="29" s="1"/>
  <c r="BC733" i="29"/>
  <c r="BF733" i="29" s="1"/>
  <c r="BP733" i="29"/>
  <c r="BD734" i="29"/>
  <c r="BQ128" i="44" l="1"/>
  <c r="BR128" i="44"/>
  <c r="BP128" i="44"/>
  <c r="BO128" i="44"/>
  <c r="BV693" i="29"/>
  <c r="CC693" i="29"/>
  <c r="L75" i="39"/>
  <c r="F206" i="15"/>
  <c r="AC732" i="29"/>
  <c r="CC731" i="29"/>
  <c r="U733" i="29"/>
  <c r="BY735" i="29"/>
  <c r="BR735" i="29"/>
  <c r="BO736" i="29"/>
  <c r="BN736" i="29"/>
  <c r="AA731" i="29"/>
  <c r="W731" i="29"/>
  <c r="Y731" i="29" s="1"/>
  <c r="M731" i="29"/>
  <c r="CB732" i="29"/>
  <c r="BV732" i="29" s="1"/>
  <c r="CA732" i="29"/>
  <c r="BU732" i="29" s="1"/>
  <c r="K734" i="29"/>
  <c r="L733" i="29"/>
  <c r="J734" i="29"/>
  <c r="S734" i="29"/>
  <c r="T734" i="29"/>
  <c r="V733" i="29"/>
  <c r="AF733" i="29"/>
  <c r="AE733" i="29"/>
  <c r="X731" i="29"/>
  <c r="R732" i="29"/>
  <c r="Q732" i="29"/>
  <c r="X732" i="29" s="1"/>
  <c r="BQ736" i="29"/>
  <c r="BQ737" i="29" s="1"/>
  <c r="BZ684" i="29"/>
  <c r="BX685" i="29" s="1"/>
  <c r="BD735" i="29"/>
  <c r="BE734" i="29"/>
  <c r="BG734" i="29" s="1"/>
  <c r="BA734" i="29" s="1"/>
  <c r="BC734" i="29"/>
  <c r="BF734" i="29" s="1"/>
  <c r="BP734" i="29"/>
  <c r="AZ733" i="29"/>
  <c r="BH733" i="29"/>
  <c r="BB733" i="29" s="1"/>
  <c r="Q733" i="29" l="1"/>
  <c r="R733" i="29"/>
  <c r="V734" i="29"/>
  <c r="T735" i="29"/>
  <c r="S735" i="29"/>
  <c r="AF734" i="29"/>
  <c r="AE734" i="29"/>
  <c r="L734" i="29"/>
  <c r="K735" i="29"/>
  <c r="J735" i="29"/>
  <c r="BR736" i="29"/>
  <c r="BY736" i="29"/>
  <c r="BN737" i="29"/>
  <c r="BO737" i="29"/>
  <c r="AC733" i="29"/>
  <c r="W732" i="29"/>
  <c r="Y732" i="29" s="1"/>
  <c r="CB733" i="29"/>
  <c r="BV733" i="29" s="1"/>
  <c r="AA732" i="29"/>
  <c r="M732" i="29"/>
  <c r="CA733" i="29"/>
  <c r="BU733" i="29" s="1"/>
  <c r="U734" i="29"/>
  <c r="AB734" i="29" s="1"/>
  <c r="CC732" i="29"/>
  <c r="AB733" i="29"/>
  <c r="BZ685" i="29"/>
  <c r="BX686" i="29" s="1"/>
  <c r="BP735" i="29"/>
  <c r="BD736" i="29"/>
  <c r="BC735" i="29"/>
  <c r="BF735" i="29" s="1"/>
  <c r="BE735" i="29"/>
  <c r="BG735" i="29" s="1"/>
  <c r="BA735" i="29" s="1"/>
  <c r="AZ734" i="29"/>
  <c r="BH734" i="29"/>
  <c r="BB734" i="29" s="1"/>
  <c r="S736" i="29" l="1"/>
  <c r="T736" i="29"/>
  <c r="V735" i="29"/>
  <c r="AE735" i="29"/>
  <c r="AF735" i="29"/>
  <c r="R734" i="29"/>
  <c r="Q734" i="29"/>
  <c r="X734" i="29" s="1"/>
  <c r="CB734" i="29"/>
  <c r="BV734" i="29" s="1"/>
  <c r="M733" i="29"/>
  <c r="W733" i="29"/>
  <c r="Y733" i="29" s="1"/>
  <c r="AA733" i="29"/>
  <c r="CA734" i="29"/>
  <c r="BU734" i="29" s="1"/>
  <c r="AC734" i="29"/>
  <c r="BY737" i="29"/>
  <c r="BO738" i="29"/>
  <c r="BR737" i="29"/>
  <c r="BN738" i="29"/>
  <c r="X733" i="29"/>
  <c r="BQ738" i="29"/>
  <c r="BQ739" i="29" s="1"/>
  <c r="CC733" i="29"/>
  <c r="J736" i="29"/>
  <c r="L735" i="29"/>
  <c r="K736" i="29"/>
  <c r="U735" i="29"/>
  <c r="AB735" i="29" s="1"/>
  <c r="BZ686" i="29"/>
  <c r="BX687" i="29" s="1"/>
  <c r="BE736" i="29"/>
  <c r="BG736" i="29" s="1"/>
  <c r="BA736" i="29" s="1"/>
  <c r="BD737" i="29"/>
  <c r="BP736" i="29"/>
  <c r="BC736" i="29"/>
  <c r="BF736" i="29" s="1"/>
  <c r="BH735" i="29"/>
  <c r="BB735" i="29" s="1"/>
  <c r="AZ735" i="29"/>
  <c r="AC735" i="29" l="1"/>
  <c r="L736" i="29"/>
  <c r="K737" i="29"/>
  <c r="J737" i="29"/>
  <c r="CC734" i="29"/>
  <c r="T737" i="29"/>
  <c r="S737" i="29"/>
  <c r="V736" i="29"/>
  <c r="AF736" i="29"/>
  <c r="AE736" i="29"/>
  <c r="Q735" i="29"/>
  <c r="R735" i="29"/>
  <c r="BQ740" i="29"/>
  <c r="BO739" i="29"/>
  <c r="BN739" i="29"/>
  <c r="BY738" i="29"/>
  <c r="BR738" i="29"/>
  <c r="U736" i="29"/>
  <c r="AB736" i="29" s="1"/>
  <c r="M734" i="29"/>
  <c r="AA734" i="29"/>
  <c r="CA735" i="29"/>
  <c r="BU735" i="29" s="1"/>
  <c r="CB735" i="29"/>
  <c r="BV735" i="29" s="1"/>
  <c r="W734" i="29"/>
  <c r="Y734" i="29" s="1"/>
  <c r="BZ687" i="29"/>
  <c r="BX688" i="29" s="1"/>
  <c r="BD738" i="29"/>
  <c r="BP737" i="29"/>
  <c r="BE737" i="29"/>
  <c r="BG737" i="29" s="1"/>
  <c r="BA737" i="29" s="1"/>
  <c r="BC737" i="29"/>
  <c r="BF737" i="29" s="1"/>
  <c r="AZ736" i="29"/>
  <c r="BH736" i="29"/>
  <c r="BB736" i="29" s="1"/>
  <c r="AC736" i="29" l="1"/>
  <c r="X735" i="29"/>
  <c r="M735" i="29"/>
  <c r="CA736" i="29"/>
  <c r="BU736" i="29" s="1"/>
  <c r="CB736" i="29"/>
  <c r="BV736" i="29" s="1"/>
  <c r="AA735" i="29"/>
  <c r="W735" i="29"/>
  <c r="Y735" i="29" s="1"/>
  <c r="U737" i="29"/>
  <c r="L737" i="29"/>
  <c r="K738" i="29"/>
  <c r="J738" i="29"/>
  <c r="CC735" i="29"/>
  <c r="BN740" i="29"/>
  <c r="BY739" i="29"/>
  <c r="BR739" i="29"/>
  <c r="BO740" i="29"/>
  <c r="V737" i="29"/>
  <c r="S738" i="29"/>
  <c r="T738" i="29"/>
  <c r="AF737" i="29"/>
  <c r="AE737" i="29"/>
  <c r="R736" i="29"/>
  <c r="Q736" i="29"/>
  <c r="X736" i="29" s="1"/>
  <c r="BZ688" i="29"/>
  <c r="BX689" i="29" s="1"/>
  <c r="BE738" i="29"/>
  <c r="BG738" i="29" s="1"/>
  <c r="BA738" i="29" s="1"/>
  <c r="BD739" i="29"/>
  <c r="BP738" i="29"/>
  <c r="BC738" i="29"/>
  <c r="BF738" i="29" s="1"/>
  <c r="AZ737" i="29"/>
  <c r="BH737" i="29"/>
  <c r="BB737" i="29" s="1"/>
  <c r="CC736" i="29" l="1"/>
  <c r="BY740" i="29"/>
  <c r="BR740" i="29"/>
  <c r="BO741" i="29"/>
  <c r="BN741" i="29"/>
  <c r="Q737" i="29"/>
  <c r="X737" i="29" s="1"/>
  <c r="R737" i="29"/>
  <c r="V738" i="29"/>
  <c r="T739" i="29"/>
  <c r="S739" i="29"/>
  <c r="AE738" i="29"/>
  <c r="AF738" i="29"/>
  <c r="AC737" i="29"/>
  <c r="W736" i="29"/>
  <c r="Y736" i="29" s="1"/>
  <c r="M736" i="29"/>
  <c r="CA737" i="29"/>
  <c r="BU737" i="29" s="1"/>
  <c r="CB737" i="29"/>
  <c r="BV737" i="29" s="1"/>
  <c r="AA736" i="29"/>
  <c r="BQ741" i="29"/>
  <c r="BQ742" i="29" s="1"/>
  <c r="U738" i="29"/>
  <c r="AC738" i="29" s="1"/>
  <c r="J739" i="29"/>
  <c r="K739" i="29"/>
  <c r="L738" i="29"/>
  <c r="AB737" i="29"/>
  <c r="BZ689" i="29"/>
  <c r="BX690" i="29" s="1"/>
  <c r="BD740" i="29"/>
  <c r="BP739" i="29"/>
  <c r="BE739" i="29"/>
  <c r="BG739" i="29" s="1"/>
  <c r="BA739" i="29" s="1"/>
  <c r="BC739" i="29"/>
  <c r="BF739" i="29" s="1"/>
  <c r="AZ738" i="29"/>
  <c r="BH738" i="29"/>
  <c r="BB738" i="29" s="1"/>
  <c r="AB738" i="29" l="1"/>
  <c r="U739" i="29"/>
  <c r="J740" i="29"/>
  <c r="K740" i="29"/>
  <c r="L739" i="29"/>
  <c r="T740" i="29"/>
  <c r="V739" i="29"/>
  <c r="S740" i="29"/>
  <c r="AF739" i="29"/>
  <c r="AE739" i="29"/>
  <c r="W737" i="29"/>
  <c r="Y737" i="29" s="1"/>
  <c r="CB738" i="29"/>
  <c r="BV738" i="29" s="1"/>
  <c r="M737" i="29"/>
  <c r="AA737" i="29"/>
  <c r="CA738" i="29"/>
  <c r="BU738" i="29" s="1"/>
  <c r="R738" i="29"/>
  <c r="Q738" i="29"/>
  <c r="X738" i="29" s="1"/>
  <c r="CC737" i="29"/>
  <c r="BN742" i="29"/>
  <c r="BR741" i="29"/>
  <c r="BO742" i="29"/>
  <c r="BZ690" i="29"/>
  <c r="BX691" i="29" s="1"/>
  <c r="BP740" i="29"/>
  <c r="BD741" i="29"/>
  <c r="BC740" i="29"/>
  <c r="BF740" i="29" s="1"/>
  <c r="BE740" i="29"/>
  <c r="BG740" i="29" s="1"/>
  <c r="BA740" i="29" s="1"/>
  <c r="BH739" i="29"/>
  <c r="BB739" i="29" s="1"/>
  <c r="AZ739" i="29"/>
  <c r="V740" i="29" l="1"/>
  <c r="T741" i="29"/>
  <c r="S741" i="29"/>
  <c r="AF740" i="29"/>
  <c r="AE740" i="29"/>
  <c r="R739" i="29"/>
  <c r="Q739" i="29"/>
  <c r="BN743" i="29"/>
  <c r="BY742" i="29"/>
  <c r="BO743" i="29"/>
  <c r="BR742" i="29"/>
  <c r="BQ743" i="29"/>
  <c r="AC739" i="29"/>
  <c r="AA738" i="29"/>
  <c r="W738" i="29"/>
  <c r="Y738" i="29" s="1"/>
  <c r="CB739" i="29"/>
  <c r="BV739" i="29" s="1"/>
  <c r="CA739" i="29"/>
  <c r="BU739" i="29" s="1"/>
  <c r="M738" i="29"/>
  <c r="CC738" i="29"/>
  <c r="U740" i="29"/>
  <c r="L740" i="29"/>
  <c r="J741" i="29"/>
  <c r="K741" i="29"/>
  <c r="AB739" i="29"/>
  <c r="BZ691" i="29"/>
  <c r="BX692" i="29" s="1"/>
  <c r="BD742" i="29"/>
  <c r="BE741" i="29"/>
  <c r="BG741" i="29" s="1"/>
  <c r="BA741" i="29" s="1"/>
  <c r="BI741" i="29"/>
  <c r="BC741" i="29"/>
  <c r="BF741" i="29" s="1"/>
  <c r="BP741" i="29"/>
  <c r="AZ740" i="29"/>
  <c r="BH740" i="29"/>
  <c r="BB740" i="29" s="1"/>
  <c r="CC739" i="29" l="1"/>
  <c r="BY743" i="29"/>
  <c r="BR743" i="29"/>
  <c r="BN744" i="29"/>
  <c r="BO744" i="29"/>
  <c r="CA740" i="29"/>
  <c r="BU740" i="29" s="1"/>
  <c r="CB740" i="29"/>
  <c r="BV740" i="29" s="1"/>
  <c r="M739" i="29"/>
  <c r="W739" i="29"/>
  <c r="Y739" i="29" s="1"/>
  <c r="AA739" i="29"/>
  <c r="U741" i="29"/>
  <c r="AB741" i="29" s="1"/>
  <c r="R740" i="29"/>
  <c r="Q740" i="29"/>
  <c r="T742" i="29"/>
  <c r="S742" i="29"/>
  <c r="V741" i="29"/>
  <c r="AE741" i="29"/>
  <c r="AF741" i="29"/>
  <c r="J742" i="29"/>
  <c r="L741" i="29"/>
  <c r="K742" i="29"/>
  <c r="BQ744" i="29"/>
  <c r="BQ745" i="29" s="1"/>
  <c r="X739" i="29"/>
  <c r="BZ692" i="29"/>
  <c r="BY693" i="29" s="1"/>
  <c r="BC742" i="29"/>
  <c r="BF742" i="29" s="1"/>
  <c r="BP742" i="29"/>
  <c r="BE742" i="29"/>
  <c r="BG742" i="29" s="1"/>
  <c r="BA742" i="29" s="1"/>
  <c r="BD743" i="29"/>
  <c r="AZ741" i="29"/>
  <c r="BH741" i="29"/>
  <c r="BB741" i="29" s="1"/>
  <c r="CC740" i="29" l="1"/>
  <c r="AC741" i="29"/>
  <c r="K743" i="29"/>
  <c r="J743" i="29"/>
  <c r="L742" i="29"/>
  <c r="AA740" i="29"/>
  <c r="CA741" i="29"/>
  <c r="BU741" i="29" s="1"/>
  <c r="W740" i="29"/>
  <c r="U742" i="29"/>
  <c r="R741" i="29"/>
  <c r="Q741" i="29"/>
  <c r="T743" i="29"/>
  <c r="S743" i="29"/>
  <c r="V742" i="29"/>
  <c r="AE742" i="29"/>
  <c r="AF742" i="29"/>
  <c r="BN745" i="29"/>
  <c r="BR744" i="29"/>
  <c r="BO745" i="29"/>
  <c r="BY744" i="29"/>
  <c r="BW693" i="29"/>
  <c r="BX693" i="29"/>
  <c r="AZ742" i="29"/>
  <c r="BH742" i="29"/>
  <c r="BB742" i="29" s="1"/>
  <c r="BC743" i="29"/>
  <c r="BF743" i="29" s="1"/>
  <c r="BE743" i="29"/>
  <c r="BG743" i="29" s="1"/>
  <c r="BA743" i="29" s="1"/>
  <c r="BP743" i="29"/>
  <c r="BD744" i="29"/>
  <c r="T744" i="29" l="1"/>
  <c r="S744" i="29"/>
  <c r="V743" i="29"/>
  <c r="AF743" i="29"/>
  <c r="AE743" i="29"/>
  <c r="Q742" i="29"/>
  <c r="R742" i="29"/>
  <c r="BO746" i="29"/>
  <c r="BN746" i="29"/>
  <c r="BR745" i="29"/>
  <c r="BY745" i="29"/>
  <c r="BQ746" i="29"/>
  <c r="BQ747" i="29" s="1"/>
  <c r="AC742" i="29"/>
  <c r="X741" i="29"/>
  <c r="AA741" i="29"/>
  <c r="CB742" i="29"/>
  <c r="BV742" i="29" s="1"/>
  <c r="CA742" i="29"/>
  <c r="BU742" i="29" s="1"/>
  <c r="W741" i="29"/>
  <c r="Y741" i="29" s="1"/>
  <c r="M741" i="29"/>
  <c r="AB742" i="29"/>
  <c r="U743" i="29"/>
  <c r="AB743" i="29" s="1"/>
  <c r="L743" i="29"/>
  <c r="K744" i="29"/>
  <c r="J744" i="29"/>
  <c r="AZ743" i="29"/>
  <c r="BH743" i="29"/>
  <c r="BB743" i="29" s="1"/>
  <c r="BP744" i="29"/>
  <c r="BD745" i="29"/>
  <c r="BE744" i="29"/>
  <c r="BG744" i="29" s="1"/>
  <c r="BA744" i="29" s="1"/>
  <c r="BC744" i="29"/>
  <c r="BF744" i="29" s="1"/>
  <c r="BZ693" i="29"/>
  <c r="BX694" i="29" s="1"/>
  <c r="BT693" i="29"/>
  <c r="M692" i="29" s="1"/>
  <c r="BS693" i="29"/>
  <c r="J745" i="29" l="1"/>
  <c r="K745" i="29"/>
  <c r="L744" i="29"/>
  <c r="T745" i="29"/>
  <c r="S745" i="29"/>
  <c r="V744" i="29"/>
  <c r="AE744" i="29"/>
  <c r="AF744" i="29"/>
  <c r="W742" i="29"/>
  <c r="Y742" i="29" s="1"/>
  <c r="CA743" i="29"/>
  <c r="BU743" i="29" s="1"/>
  <c r="CB743" i="29"/>
  <c r="BV743" i="29" s="1"/>
  <c r="AA742" i="29"/>
  <c r="M742" i="29"/>
  <c r="Q743" i="29"/>
  <c r="R743" i="29"/>
  <c r="AC743" i="29"/>
  <c r="CC742" i="29"/>
  <c r="BO747" i="29"/>
  <c r="BY746" i="29"/>
  <c r="BR746" i="29"/>
  <c r="BN747" i="29"/>
  <c r="X742" i="29"/>
  <c r="U744" i="29"/>
  <c r="AC744" i="29" s="1"/>
  <c r="BD746" i="29"/>
  <c r="BP745" i="29"/>
  <c r="BC745" i="29"/>
  <c r="BF745" i="29" s="1"/>
  <c r="BE745" i="29"/>
  <c r="BG745" i="29" s="1"/>
  <c r="BA745" i="29" s="1"/>
  <c r="BZ694" i="29"/>
  <c r="BX695" i="29" s="1"/>
  <c r="H67" i="29"/>
  <c r="K60" i="40" s="1"/>
  <c r="X692" i="29"/>
  <c r="Y692" i="29" s="1"/>
  <c r="Z692" i="29" s="1"/>
  <c r="AZ744" i="29"/>
  <c r="BH744" i="29"/>
  <c r="BB744" i="29" s="1"/>
  <c r="AC692" i="29" l="1"/>
  <c r="AB692" i="29"/>
  <c r="Z693" i="29"/>
  <c r="Z694" i="29" s="1"/>
  <c r="Z695" i="29" s="1"/>
  <c r="Z696" i="29" s="1"/>
  <c r="Z697" i="29" s="1"/>
  <c r="Z698" i="29" s="1"/>
  <c r="Z699" i="29" s="1"/>
  <c r="Z700" i="29" s="1"/>
  <c r="Z701" i="29" s="1"/>
  <c r="Z702" i="29" s="1"/>
  <c r="Z703" i="29" s="1"/>
  <c r="CB705" i="29"/>
  <c r="G67" i="29"/>
  <c r="L60" i="40" s="1"/>
  <c r="CC743" i="29"/>
  <c r="BO748" i="29"/>
  <c r="BY747" i="29"/>
  <c r="BN748" i="29"/>
  <c r="BR747" i="29"/>
  <c r="J746" i="29"/>
  <c r="K746" i="29"/>
  <c r="L745" i="29"/>
  <c r="R744" i="29"/>
  <c r="Q744" i="29"/>
  <c r="BQ748" i="29"/>
  <c r="BQ749" i="29" s="1"/>
  <c r="AA743" i="29"/>
  <c r="W743" i="29"/>
  <c r="Y743" i="29" s="1"/>
  <c r="CA744" i="29"/>
  <c r="BU744" i="29" s="1"/>
  <c r="CB744" i="29"/>
  <c r="BV744" i="29" s="1"/>
  <c r="M743" i="29"/>
  <c r="U745" i="29"/>
  <c r="AC745" i="29" s="1"/>
  <c r="AB744" i="29"/>
  <c r="X743" i="29"/>
  <c r="T746" i="29"/>
  <c r="S746" i="29"/>
  <c r="V745" i="29"/>
  <c r="AF745" i="29"/>
  <c r="AE745" i="29"/>
  <c r="BZ695" i="29"/>
  <c r="BX696" i="29" s="1"/>
  <c r="I76" i="39"/>
  <c r="H60" i="44" s="1"/>
  <c r="D60" i="45" s="1"/>
  <c r="K60" i="45" s="1"/>
  <c r="L60" i="45" s="1"/>
  <c r="J61" i="45" s="1"/>
  <c r="G80" i="15"/>
  <c r="D207" i="15"/>
  <c r="BH745" i="29"/>
  <c r="BB745" i="29" s="1"/>
  <c r="AZ745" i="29"/>
  <c r="BC746" i="29"/>
  <c r="BF746" i="29" s="1"/>
  <c r="BE746" i="29"/>
  <c r="BG746" i="29" s="1"/>
  <c r="BA746" i="29" s="1"/>
  <c r="BP746" i="29"/>
  <c r="BD747" i="29"/>
  <c r="BQ129" i="44" l="1"/>
  <c r="BP129" i="44"/>
  <c r="BR129" i="44"/>
  <c r="BV705" i="29"/>
  <c r="CC705" i="29"/>
  <c r="L76" i="39"/>
  <c r="F207" i="15"/>
  <c r="AB745" i="29"/>
  <c r="CC744" i="29"/>
  <c r="W744" i="29"/>
  <c r="Y744" i="29" s="1"/>
  <c r="AA744" i="29"/>
  <c r="CA745" i="29"/>
  <c r="BU745" i="29" s="1"/>
  <c r="CB745" i="29"/>
  <c r="BV745" i="29" s="1"/>
  <c r="M744" i="29"/>
  <c r="L746" i="29"/>
  <c r="K747" i="29"/>
  <c r="J747" i="29"/>
  <c r="U746" i="29"/>
  <c r="AC746" i="29" s="1"/>
  <c r="R745" i="29"/>
  <c r="Q745" i="29"/>
  <c r="X744" i="29"/>
  <c r="BR748" i="29"/>
  <c r="BO749" i="29"/>
  <c r="BY748" i="29"/>
  <c r="BN749" i="29"/>
  <c r="S747" i="29"/>
  <c r="V746" i="29"/>
  <c r="T747" i="29"/>
  <c r="AE746" i="29"/>
  <c r="AF746" i="29"/>
  <c r="BQ750" i="29"/>
  <c r="BZ696" i="29"/>
  <c r="BX697" i="29" s="1"/>
  <c r="BH746" i="29"/>
  <c r="BB746" i="29" s="1"/>
  <c r="AZ746" i="29"/>
  <c r="BE747" i="29"/>
  <c r="BG747" i="29" s="1"/>
  <c r="BA747" i="29" s="1"/>
  <c r="BP747" i="29"/>
  <c r="BC747" i="29"/>
  <c r="BF747" i="29" s="1"/>
  <c r="BD748" i="29"/>
  <c r="BN750" i="29" l="1"/>
  <c r="BY749" i="29"/>
  <c r="BR749" i="29"/>
  <c r="BO750" i="29"/>
  <c r="U747" i="29"/>
  <c r="Q746" i="29"/>
  <c r="X746" i="29" s="1"/>
  <c r="R746" i="29"/>
  <c r="L747" i="29"/>
  <c r="K748" i="29"/>
  <c r="J748" i="29"/>
  <c r="BQ751" i="29"/>
  <c r="V747" i="29"/>
  <c r="T748" i="29"/>
  <c r="S748" i="29"/>
  <c r="AE747" i="29"/>
  <c r="AF747" i="29"/>
  <c r="X745" i="29"/>
  <c r="CB746" i="29"/>
  <c r="BV746" i="29" s="1"/>
  <c r="CA746" i="29"/>
  <c r="BU746" i="29" s="1"/>
  <c r="W745" i="29"/>
  <c r="Y745" i="29" s="1"/>
  <c r="AA745" i="29"/>
  <c r="M745" i="29"/>
  <c r="AB746" i="29"/>
  <c r="CC745" i="29"/>
  <c r="BZ697" i="29"/>
  <c r="BX698" i="29" s="1"/>
  <c r="BE748" i="29"/>
  <c r="BG748" i="29" s="1"/>
  <c r="BA748" i="29" s="1"/>
  <c r="BD749" i="29"/>
  <c r="BC748" i="29"/>
  <c r="BF748" i="29" s="1"/>
  <c r="BP748" i="29"/>
  <c r="BH747" i="29"/>
  <c r="BB747" i="29" s="1"/>
  <c r="AZ747" i="29"/>
  <c r="CC746" i="29" l="1"/>
  <c r="Q747" i="29"/>
  <c r="X747" i="29" s="1"/>
  <c r="R747" i="29"/>
  <c r="U748" i="29"/>
  <c r="AC748" i="29" s="1"/>
  <c r="BQ752" i="29"/>
  <c r="AC747" i="29"/>
  <c r="S749" i="29"/>
  <c r="T749" i="29"/>
  <c r="V748" i="29"/>
  <c r="AF748" i="29"/>
  <c r="AE748" i="29"/>
  <c r="AB747" i="29"/>
  <c r="K749" i="29"/>
  <c r="L748" i="29"/>
  <c r="J749" i="29"/>
  <c r="M746" i="29"/>
  <c r="AA746" i="29"/>
  <c r="CB747" i="29"/>
  <c r="BV747" i="29" s="1"/>
  <c r="W746" i="29"/>
  <c r="Y746" i="29" s="1"/>
  <c r="CA747" i="29"/>
  <c r="BU747" i="29" s="1"/>
  <c r="BO751" i="29"/>
  <c r="BR750" i="29"/>
  <c r="BY750" i="29"/>
  <c r="BN751" i="29"/>
  <c r="BZ698" i="29"/>
  <c r="BX699" i="29" s="1"/>
  <c r="BE749" i="29"/>
  <c r="BG749" i="29" s="1"/>
  <c r="BA749" i="29" s="1"/>
  <c r="BD750" i="29"/>
  <c r="BC749" i="29"/>
  <c r="BF749" i="29" s="1"/>
  <c r="BP749" i="29"/>
  <c r="AZ748" i="29"/>
  <c r="BH748" i="29"/>
  <c r="BB748" i="29" s="1"/>
  <c r="T750" i="29" l="1"/>
  <c r="S750" i="29"/>
  <c r="V749" i="29"/>
  <c r="AE749" i="29"/>
  <c r="AF749" i="29"/>
  <c r="Q748" i="29"/>
  <c r="R748" i="29"/>
  <c r="U749" i="29"/>
  <c r="AC749" i="29" s="1"/>
  <c r="M747" i="29"/>
  <c r="CB748" i="29"/>
  <c r="BV748" i="29" s="1"/>
  <c r="AA747" i="29"/>
  <c r="CA748" i="29"/>
  <c r="BU748" i="29" s="1"/>
  <c r="W747" i="29"/>
  <c r="Y747" i="29" s="1"/>
  <c r="BQ753" i="29"/>
  <c r="BO752" i="29"/>
  <c r="BN752" i="29"/>
  <c r="BY751" i="29"/>
  <c r="BR751" i="29"/>
  <c r="CC747" i="29"/>
  <c r="L749" i="29"/>
  <c r="J750" i="29"/>
  <c r="K750" i="29"/>
  <c r="AB748" i="29"/>
  <c r="BZ699" i="29"/>
  <c r="BX700" i="29" s="1"/>
  <c r="BD751" i="29"/>
  <c r="BP750" i="29"/>
  <c r="BE750" i="29"/>
  <c r="BG750" i="29" s="1"/>
  <c r="BA750" i="29" s="1"/>
  <c r="BC750" i="29"/>
  <c r="BF750" i="29" s="1"/>
  <c r="BH749" i="29"/>
  <c r="BB749" i="29" s="1"/>
  <c r="AZ749" i="29"/>
  <c r="CC748" i="29" l="1"/>
  <c r="M748" i="29"/>
  <c r="W748" i="29"/>
  <c r="Y748" i="29" s="1"/>
  <c r="AA748" i="29"/>
  <c r="CB749" i="29"/>
  <c r="BV749" i="29" s="1"/>
  <c r="CA749" i="29"/>
  <c r="BU749" i="29" s="1"/>
  <c r="U750" i="29"/>
  <c r="AC750" i="29" s="1"/>
  <c r="K751" i="29"/>
  <c r="J751" i="29"/>
  <c r="L750" i="29"/>
  <c r="BN753" i="29"/>
  <c r="BY752" i="29"/>
  <c r="BR752" i="29"/>
  <c r="BO753" i="29"/>
  <c r="Q749" i="29"/>
  <c r="X749" i="29" s="1"/>
  <c r="R749" i="29"/>
  <c r="BQ754" i="29"/>
  <c r="AB749" i="29"/>
  <c r="V750" i="29"/>
  <c r="S751" i="29"/>
  <c r="T751" i="29"/>
  <c r="AE750" i="29"/>
  <c r="AF750" i="29"/>
  <c r="X748" i="29"/>
  <c r="BZ700" i="29"/>
  <c r="BX701" i="29" s="1"/>
  <c r="BD752" i="29"/>
  <c r="BC751" i="29"/>
  <c r="BF751" i="29" s="1"/>
  <c r="BE751" i="29"/>
  <c r="BG751" i="29" s="1"/>
  <c r="BA751" i="29" s="1"/>
  <c r="BP751" i="29"/>
  <c r="BH750" i="29"/>
  <c r="BB750" i="29" s="1"/>
  <c r="AZ750" i="29"/>
  <c r="AB750" i="29" l="1"/>
  <c r="CC749" i="29"/>
  <c r="U751" i="29"/>
  <c r="L751" i="29"/>
  <c r="J752" i="29"/>
  <c r="K752" i="29"/>
  <c r="CA750" i="29"/>
  <c r="BU750" i="29" s="1"/>
  <c r="W749" i="29"/>
  <c r="Y749" i="29" s="1"/>
  <c r="CB750" i="29"/>
  <c r="BV750" i="29" s="1"/>
  <c r="AA749" i="29"/>
  <c r="M749" i="29"/>
  <c r="Q750" i="29"/>
  <c r="R750" i="29"/>
  <c r="V751" i="29"/>
  <c r="S752" i="29"/>
  <c r="T752" i="29"/>
  <c r="AF751" i="29"/>
  <c r="AE751" i="29"/>
  <c r="BN754" i="29"/>
  <c r="BR753" i="29"/>
  <c r="BO754" i="29"/>
  <c r="BQ755" i="29" s="1"/>
  <c r="BZ701" i="29"/>
  <c r="BX702" i="29" s="1"/>
  <c r="BH751" i="29"/>
  <c r="BB751" i="29" s="1"/>
  <c r="AZ751" i="29"/>
  <c r="BP752" i="29"/>
  <c r="BE752" i="29"/>
  <c r="BG752" i="29" s="1"/>
  <c r="BA752" i="29" s="1"/>
  <c r="BD753" i="29"/>
  <c r="BC752" i="29"/>
  <c r="BF752" i="29" s="1"/>
  <c r="Q751" i="29" l="1"/>
  <c r="R751" i="29"/>
  <c r="S753" i="29"/>
  <c r="V752" i="29"/>
  <c r="T753" i="29"/>
  <c r="AE752" i="29"/>
  <c r="AF752" i="29"/>
  <c r="X750" i="29"/>
  <c r="W750" i="29"/>
  <c r="Y750" i="29" s="1"/>
  <c r="CA751" i="29"/>
  <c r="BU751" i="29" s="1"/>
  <c r="M750" i="29"/>
  <c r="CB751" i="29"/>
  <c r="BV751" i="29" s="1"/>
  <c r="AA750" i="29"/>
  <c r="L752" i="29"/>
  <c r="K753" i="29"/>
  <c r="J753" i="29"/>
  <c r="AC751" i="29"/>
  <c r="U752" i="29"/>
  <c r="AB751" i="29"/>
  <c r="BO755" i="29"/>
  <c r="BN755" i="29"/>
  <c r="BR754" i="29"/>
  <c r="BY754" i="29"/>
  <c r="CC750" i="29"/>
  <c r="BZ702" i="29"/>
  <c r="BX703" i="29" s="1"/>
  <c r="BH752" i="29"/>
  <c r="BB752" i="29" s="1"/>
  <c r="AZ752" i="29"/>
  <c r="BC753" i="29"/>
  <c r="BF753" i="29" s="1"/>
  <c r="BI753" i="29"/>
  <c r="BE753" i="29"/>
  <c r="BG753" i="29" s="1"/>
  <c r="BA753" i="29" s="1"/>
  <c r="BD754" i="29"/>
  <c r="BP753" i="29"/>
  <c r="J754" i="29" l="1"/>
  <c r="K754" i="29"/>
  <c r="L753" i="29"/>
  <c r="BR755" i="29"/>
  <c r="BY755" i="29"/>
  <c r="BN756" i="29"/>
  <c r="BO756" i="29"/>
  <c r="R752" i="29"/>
  <c r="Q752" i="29"/>
  <c r="U753" i="29"/>
  <c r="AB753" i="29" s="1"/>
  <c r="AA751" i="29"/>
  <c r="W751" i="29"/>
  <c r="Y751" i="29" s="1"/>
  <c r="M751" i="29"/>
  <c r="CA752" i="29"/>
  <c r="BU752" i="29" s="1"/>
  <c r="CB752" i="29"/>
  <c r="BV752" i="29" s="1"/>
  <c r="CC751" i="29"/>
  <c r="BQ756" i="29"/>
  <c r="S754" i="29"/>
  <c r="V753" i="29"/>
  <c r="T754" i="29"/>
  <c r="AE753" i="29"/>
  <c r="AF753" i="29"/>
  <c r="X751" i="29"/>
  <c r="BZ703" i="29"/>
  <c r="BX704" i="29" s="1"/>
  <c r="AZ753" i="29"/>
  <c r="BH753" i="29"/>
  <c r="BB753" i="29" s="1"/>
  <c r="BD755" i="29"/>
  <c r="BP754" i="29"/>
  <c r="BE754" i="29"/>
  <c r="BG754" i="29" s="1"/>
  <c r="BA754" i="29" s="1"/>
  <c r="BC754" i="29"/>
  <c r="BF754" i="29" s="1"/>
  <c r="AC753" i="29" l="1"/>
  <c r="BN757" i="29"/>
  <c r="BY756" i="29"/>
  <c r="BO757" i="29"/>
  <c r="BR756" i="29"/>
  <c r="U754" i="29"/>
  <c r="CC752" i="29"/>
  <c r="J755" i="29"/>
  <c r="L754" i="29"/>
  <c r="K755" i="29"/>
  <c r="BQ757" i="29"/>
  <c r="AA752" i="29"/>
  <c r="CA753" i="29"/>
  <c r="BU753" i="29" s="1"/>
  <c r="W752" i="29"/>
  <c r="S755" i="29"/>
  <c r="T755" i="29"/>
  <c r="V754" i="29"/>
  <c r="AE754" i="29"/>
  <c r="AF754" i="29"/>
  <c r="R753" i="29"/>
  <c r="Q753" i="29"/>
  <c r="X753" i="29" s="1"/>
  <c r="BZ704" i="29"/>
  <c r="BY705" i="29" s="1"/>
  <c r="BH754" i="29"/>
  <c r="BB754" i="29" s="1"/>
  <c r="AZ754" i="29"/>
  <c r="BD756" i="29"/>
  <c r="BP755" i="29"/>
  <c r="BC755" i="29"/>
  <c r="BF755" i="29" s="1"/>
  <c r="BE755" i="29"/>
  <c r="BG755" i="29" s="1"/>
  <c r="BA755" i="29" s="1"/>
  <c r="S756" i="29" l="1"/>
  <c r="V755" i="29"/>
  <c r="T756" i="29"/>
  <c r="AE755" i="29"/>
  <c r="AF755" i="29"/>
  <c r="U755" i="29"/>
  <c r="Q754" i="29"/>
  <c r="X754" i="29" s="1"/>
  <c r="R754" i="29"/>
  <c r="BR757" i="29"/>
  <c r="BN758" i="29"/>
  <c r="BO758" i="29"/>
  <c r="BY757" i="29"/>
  <c r="AA753" i="29"/>
  <c r="CB754" i="29"/>
  <c r="BV754" i="29" s="1"/>
  <c r="W753" i="29"/>
  <c r="Y753" i="29" s="1"/>
  <c r="M753" i="29"/>
  <c r="CA754" i="29"/>
  <c r="BU754" i="29" s="1"/>
  <c r="AC754" i="29"/>
  <c r="BQ758" i="29"/>
  <c r="BQ759" i="29" s="1"/>
  <c r="AB754" i="29"/>
  <c r="K756" i="29"/>
  <c r="L755" i="29"/>
  <c r="J756" i="29"/>
  <c r="BW705" i="29"/>
  <c r="BX705" i="29"/>
  <c r="AZ755" i="29"/>
  <c r="BH755" i="29"/>
  <c r="BB755" i="29" s="1"/>
  <c r="BP756" i="29"/>
  <c r="BD757" i="29"/>
  <c r="BC756" i="29"/>
  <c r="BF756" i="29" s="1"/>
  <c r="BE756" i="29"/>
  <c r="BG756" i="29" s="1"/>
  <c r="BA756" i="29" s="1"/>
  <c r="CC754" i="29" l="1"/>
  <c r="R755" i="29"/>
  <c r="Q755" i="29"/>
  <c r="X755" i="29" s="1"/>
  <c r="AC755" i="29"/>
  <c r="T757" i="29"/>
  <c r="V756" i="29"/>
  <c r="S757" i="29"/>
  <c r="AF756" i="29"/>
  <c r="AE756" i="29"/>
  <c r="CA755" i="29"/>
  <c r="BU755" i="29" s="1"/>
  <c r="M754" i="29"/>
  <c r="CB755" i="29"/>
  <c r="BV755" i="29" s="1"/>
  <c r="W754" i="29"/>
  <c r="Y754" i="29" s="1"/>
  <c r="AA754" i="29"/>
  <c r="U756" i="29"/>
  <c r="AC756" i="29" s="1"/>
  <c r="L756" i="29"/>
  <c r="J757" i="29"/>
  <c r="K757" i="29"/>
  <c r="BO759" i="29"/>
  <c r="BQ760" i="29" s="1"/>
  <c r="BR758" i="29"/>
  <c r="BN759" i="29"/>
  <c r="BY758" i="29"/>
  <c r="AB755" i="29"/>
  <c r="AZ756" i="29"/>
  <c r="BH756" i="29"/>
  <c r="BB756" i="29" s="1"/>
  <c r="BZ705" i="29"/>
  <c r="BX706" i="29" s="1"/>
  <c r="BP757" i="29"/>
  <c r="BC757" i="29"/>
  <c r="BF757" i="29" s="1"/>
  <c r="BE757" i="29"/>
  <c r="BG757" i="29" s="1"/>
  <c r="BA757" i="29" s="1"/>
  <c r="BD758" i="29"/>
  <c r="BS705" i="29"/>
  <c r="BT705" i="29"/>
  <c r="M704" i="29" s="1"/>
  <c r="AB756" i="29" l="1"/>
  <c r="CC755" i="29"/>
  <c r="K758" i="29"/>
  <c r="L757" i="29"/>
  <c r="J758" i="29"/>
  <c r="U757" i="29"/>
  <c r="AB757" i="29" s="1"/>
  <c r="M755" i="29"/>
  <c r="CA756" i="29"/>
  <c r="BU756" i="29" s="1"/>
  <c r="CB756" i="29"/>
  <c r="BV756" i="29" s="1"/>
  <c r="W755" i="29"/>
  <c r="Y755" i="29" s="1"/>
  <c r="AA755" i="29"/>
  <c r="BR759" i="29"/>
  <c r="BY759" i="29"/>
  <c r="BO760" i="29"/>
  <c r="BN760" i="29"/>
  <c r="S758" i="29"/>
  <c r="V757" i="29"/>
  <c r="T758" i="29"/>
  <c r="AF757" i="29"/>
  <c r="AE757" i="29"/>
  <c r="Q756" i="29"/>
  <c r="X756" i="29" s="1"/>
  <c r="R756" i="29"/>
  <c r="BZ706" i="29"/>
  <c r="BX707" i="29" s="1"/>
  <c r="BP758" i="29"/>
  <c r="BD759" i="29"/>
  <c r="BC758" i="29"/>
  <c r="BF758" i="29" s="1"/>
  <c r="BE758" i="29"/>
  <c r="BG758" i="29" s="1"/>
  <c r="BA758" i="29" s="1"/>
  <c r="AZ757" i="29"/>
  <c r="BH757" i="29"/>
  <c r="BB757" i="29" s="1"/>
  <c r="H68" i="29"/>
  <c r="K61" i="40" s="1"/>
  <c r="X704" i="29"/>
  <c r="Y704" i="29" s="1"/>
  <c r="Z704" i="29" s="1"/>
  <c r="AC704" i="29" l="1"/>
  <c r="AB704" i="29"/>
  <c r="Z705" i="29"/>
  <c r="Z706" i="29" s="1"/>
  <c r="Z707" i="29" s="1"/>
  <c r="Z708" i="29" s="1"/>
  <c r="Z709" i="29" s="1"/>
  <c r="Z710" i="29" s="1"/>
  <c r="Z711" i="29" s="1"/>
  <c r="Z712" i="29" s="1"/>
  <c r="Z713" i="29" s="1"/>
  <c r="Z714" i="29" s="1"/>
  <c r="Z715" i="29" s="1"/>
  <c r="CB717" i="29"/>
  <c r="G68" i="29"/>
  <c r="L61" i="40" s="1"/>
  <c r="AC757" i="29"/>
  <c r="U758" i="29"/>
  <c r="L758" i="29"/>
  <c r="K759" i="29"/>
  <c r="J759" i="29"/>
  <c r="CC756" i="29"/>
  <c r="T759" i="29"/>
  <c r="S759" i="29"/>
  <c r="V758" i="29"/>
  <c r="AF758" i="29"/>
  <c r="AE758" i="29"/>
  <c r="BN761" i="29"/>
  <c r="BR760" i="29"/>
  <c r="BO761" i="29"/>
  <c r="BY760" i="29"/>
  <c r="BQ761" i="29"/>
  <c r="AA756" i="29"/>
  <c r="W756" i="29"/>
  <c r="Y756" i="29" s="1"/>
  <c r="M756" i="29"/>
  <c r="CA757" i="29"/>
  <c r="BU757" i="29" s="1"/>
  <c r="CB757" i="29"/>
  <c r="BV757" i="29" s="1"/>
  <c r="Q757" i="29"/>
  <c r="R757" i="29"/>
  <c r="BZ707" i="29"/>
  <c r="BX708" i="29" s="1"/>
  <c r="BE759" i="29"/>
  <c r="BG759" i="29" s="1"/>
  <c r="BA759" i="29" s="1"/>
  <c r="BC759" i="29"/>
  <c r="BF759" i="29" s="1"/>
  <c r="BP759" i="29"/>
  <c r="BD760" i="29"/>
  <c r="D208" i="15"/>
  <c r="I85" i="39"/>
  <c r="H61" i="44" s="1"/>
  <c r="D61" i="45" s="1"/>
  <c r="K61" i="45" s="1"/>
  <c r="L61" i="45" s="1"/>
  <c r="J62" i="45" s="1"/>
  <c r="G81" i="15"/>
  <c r="BH758" i="29"/>
  <c r="BB758" i="29" s="1"/>
  <c r="AZ758" i="29"/>
  <c r="BV717" i="29" l="1"/>
  <c r="CC717" i="29"/>
  <c r="F208" i="15"/>
  <c r="L85" i="39"/>
  <c r="Q758" i="29"/>
  <c r="X758" i="29" s="1"/>
  <c r="R758" i="29"/>
  <c r="CB758" i="29"/>
  <c r="BV758" i="29" s="1"/>
  <c r="CA758" i="29"/>
  <c r="BU758" i="29" s="1"/>
  <c r="M757" i="29"/>
  <c r="W757" i="29"/>
  <c r="Y757" i="29" s="1"/>
  <c r="AA757" i="29"/>
  <c r="BQ762" i="29"/>
  <c r="U759" i="29"/>
  <c r="AC759" i="29" s="1"/>
  <c r="AC758" i="29"/>
  <c r="X757" i="29"/>
  <c r="V759" i="29"/>
  <c r="S760" i="29"/>
  <c r="T760" i="29"/>
  <c r="AF759" i="29"/>
  <c r="AE759" i="29"/>
  <c r="L759" i="29"/>
  <c r="J760" i="29"/>
  <c r="K760" i="29"/>
  <c r="AB758" i="29"/>
  <c r="CC757" i="29"/>
  <c r="BR761" i="29"/>
  <c r="BY761" i="29"/>
  <c r="BO762" i="29"/>
  <c r="BN762" i="29"/>
  <c r="BZ708" i="29"/>
  <c r="BX709" i="29" s="1"/>
  <c r="BH759" i="29"/>
  <c r="BB759" i="29" s="1"/>
  <c r="AZ759" i="29"/>
  <c r="BE760" i="29"/>
  <c r="BG760" i="29" s="1"/>
  <c r="BA760" i="29" s="1"/>
  <c r="BD761" i="29"/>
  <c r="BC760" i="29"/>
  <c r="BF760" i="29" s="1"/>
  <c r="BP760" i="29"/>
  <c r="CC758" i="29" l="1"/>
  <c r="AB759" i="29"/>
  <c r="S761" i="29"/>
  <c r="T761" i="29"/>
  <c r="V760" i="29"/>
  <c r="AE760" i="29"/>
  <c r="AF760" i="29"/>
  <c r="U760" i="29"/>
  <c r="AC760" i="29" s="1"/>
  <c r="R759" i="29"/>
  <c r="Q759" i="29"/>
  <c r="BQ763" i="29"/>
  <c r="BQ764" i="29" s="1"/>
  <c r="BO763" i="29"/>
  <c r="BN763" i="29"/>
  <c r="BR762" i="29"/>
  <c r="BY762" i="29"/>
  <c r="CA759" i="29"/>
  <c r="BU759" i="29" s="1"/>
  <c r="AA758" i="29"/>
  <c r="CB759" i="29"/>
  <c r="BV759" i="29" s="1"/>
  <c r="M758" i="29"/>
  <c r="W758" i="29"/>
  <c r="Y758" i="29" s="1"/>
  <c r="K761" i="29"/>
  <c r="J761" i="29"/>
  <c r="L760" i="29"/>
  <c r="BZ709" i="29"/>
  <c r="BX710" i="29" s="1"/>
  <c r="BH760" i="29"/>
  <c r="BB760" i="29" s="1"/>
  <c r="AZ760" i="29"/>
  <c r="BC761" i="29"/>
  <c r="BF761" i="29" s="1"/>
  <c r="BD762" i="29"/>
  <c r="BE761" i="29"/>
  <c r="BG761" i="29" s="1"/>
  <c r="BA761" i="29" s="1"/>
  <c r="BP761" i="29"/>
  <c r="CC759" i="29" l="1"/>
  <c r="BO764" i="29"/>
  <c r="BN764" i="29"/>
  <c r="BR763" i="29"/>
  <c r="BY763" i="29"/>
  <c r="T762" i="29"/>
  <c r="S762" i="29"/>
  <c r="V761" i="29"/>
  <c r="AE761" i="29"/>
  <c r="AF761" i="29"/>
  <c r="M759" i="29"/>
  <c r="AA759" i="29"/>
  <c r="CA760" i="29"/>
  <c r="BU760" i="29" s="1"/>
  <c r="W759" i="29"/>
  <c r="Y759" i="29" s="1"/>
  <c r="CB760" i="29"/>
  <c r="BV760" i="29" s="1"/>
  <c r="BQ765" i="29"/>
  <c r="R760" i="29"/>
  <c r="Q760" i="29"/>
  <c r="X760" i="29" s="1"/>
  <c r="U761" i="29"/>
  <c r="K762" i="29"/>
  <c r="J762" i="29"/>
  <c r="L761" i="29"/>
  <c r="X759" i="29"/>
  <c r="AB760" i="29"/>
  <c r="BZ710" i="29"/>
  <c r="BX711" i="29" s="1"/>
  <c r="AZ761" i="29"/>
  <c r="BH761" i="29"/>
  <c r="BB761" i="29" s="1"/>
  <c r="BE762" i="29"/>
  <c r="BG762" i="29" s="1"/>
  <c r="BA762" i="29" s="1"/>
  <c r="BP762" i="29"/>
  <c r="BC762" i="29"/>
  <c r="BF762" i="29" s="1"/>
  <c r="BD763" i="29"/>
  <c r="Q761" i="29" l="1"/>
  <c r="X761" i="29" s="1"/>
  <c r="R761" i="29"/>
  <c r="U762" i="29"/>
  <c r="AB762" i="29" s="1"/>
  <c r="AC761" i="29"/>
  <c r="S763" i="29"/>
  <c r="V762" i="29"/>
  <c r="T763" i="29"/>
  <c r="AF762" i="29"/>
  <c r="AE762" i="29"/>
  <c r="BN765" i="29"/>
  <c r="BO765" i="29"/>
  <c r="BQ766" i="29" s="1"/>
  <c r="BY764" i="29"/>
  <c r="BR764" i="29"/>
  <c r="AB761" i="29"/>
  <c r="J763" i="29"/>
  <c r="K763" i="29"/>
  <c r="L762" i="29"/>
  <c r="W760" i="29"/>
  <c r="Y760" i="29" s="1"/>
  <c r="M760" i="29"/>
  <c r="CA761" i="29"/>
  <c r="BU761" i="29" s="1"/>
  <c r="CB761" i="29"/>
  <c r="BV761" i="29" s="1"/>
  <c r="AA760" i="29"/>
  <c r="CC760" i="29"/>
  <c r="BZ711" i="29"/>
  <c r="BX712" i="29" s="1"/>
  <c r="AZ762" i="29"/>
  <c r="BH762" i="29"/>
  <c r="BB762" i="29" s="1"/>
  <c r="BC763" i="29"/>
  <c r="BF763" i="29" s="1"/>
  <c r="BP763" i="29"/>
  <c r="BE763" i="29"/>
  <c r="BG763" i="29" s="1"/>
  <c r="BA763" i="29" s="1"/>
  <c r="BD764" i="29"/>
  <c r="Q762" i="29" l="1"/>
  <c r="R762" i="29"/>
  <c r="BR765" i="29"/>
  <c r="BN766" i="29"/>
  <c r="BO766" i="29"/>
  <c r="BQ767" i="29" s="1"/>
  <c r="U763" i="29"/>
  <c r="M761" i="29"/>
  <c r="CB762" i="29"/>
  <c r="BV762" i="29" s="1"/>
  <c r="AA761" i="29"/>
  <c r="W761" i="29"/>
  <c r="Y761" i="29" s="1"/>
  <c r="CA762" i="29"/>
  <c r="BU762" i="29" s="1"/>
  <c r="S764" i="29"/>
  <c r="V763" i="29"/>
  <c r="T764" i="29"/>
  <c r="AF763" i="29"/>
  <c r="AE763" i="29"/>
  <c r="L763" i="29"/>
  <c r="J764" i="29"/>
  <c r="K764" i="29"/>
  <c r="CC761" i="29"/>
  <c r="AC762" i="29"/>
  <c r="BZ712" i="29"/>
  <c r="BX713" i="29" s="1"/>
  <c r="BP764" i="29"/>
  <c r="BD765" i="29"/>
  <c r="BE764" i="29"/>
  <c r="BG764" i="29" s="1"/>
  <c r="BA764" i="29" s="1"/>
  <c r="BC764" i="29"/>
  <c r="BF764" i="29" s="1"/>
  <c r="BH763" i="29"/>
  <c r="BB763" i="29" s="1"/>
  <c r="AZ763" i="29"/>
  <c r="CC762" i="29" l="1"/>
  <c r="Q763" i="29"/>
  <c r="R763" i="29"/>
  <c r="W762" i="29"/>
  <c r="Y762" i="29" s="1"/>
  <c r="AA762" i="29"/>
  <c r="M762" i="29"/>
  <c r="CA763" i="29"/>
  <c r="BU763" i="29" s="1"/>
  <c r="CB763" i="29"/>
  <c r="BV763" i="29" s="1"/>
  <c r="U764" i="29"/>
  <c r="AB763" i="29"/>
  <c r="K765" i="29"/>
  <c r="J765" i="29"/>
  <c r="L764" i="29"/>
  <c r="AC763" i="29"/>
  <c r="X762" i="29"/>
  <c r="T765" i="29"/>
  <c r="S765" i="29"/>
  <c r="V764" i="29"/>
  <c r="AE764" i="29"/>
  <c r="AF764" i="29"/>
  <c r="BO767" i="29"/>
  <c r="BY766" i="29"/>
  <c r="BN767" i="29"/>
  <c r="BR766" i="29"/>
  <c r="AZ764" i="29"/>
  <c r="BH764" i="29"/>
  <c r="BB764" i="29" s="1"/>
  <c r="BE765" i="29"/>
  <c r="BG765" i="29" s="1"/>
  <c r="BA765" i="29" s="1"/>
  <c r="BC765" i="29"/>
  <c r="BF765" i="29" s="1"/>
  <c r="BI765" i="29"/>
  <c r="BP765" i="29"/>
  <c r="BD766" i="29"/>
  <c r="BZ713" i="29"/>
  <c r="BX714" i="29" s="1"/>
  <c r="CC763" i="29" l="1"/>
  <c r="CB764" i="29"/>
  <c r="BV764" i="29" s="1"/>
  <c r="CA764" i="29"/>
  <c r="BU764" i="29" s="1"/>
  <c r="M763" i="29"/>
  <c r="W763" i="29"/>
  <c r="Y763" i="29" s="1"/>
  <c r="AA763" i="29"/>
  <c r="BO768" i="29"/>
  <c r="BY767" i="29"/>
  <c r="BR767" i="29"/>
  <c r="BN768" i="29"/>
  <c r="U765" i="29"/>
  <c r="AC765" i="29" s="1"/>
  <c r="S766" i="29"/>
  <c r="T766" i="29"/>
  <c r="V765" i="29"/>
  <c r="AE765" i="29"/>
  <c r="AF765" i="29"/>
  <c r="BQ768" i="29"/>
  <c r="BQ769" i="29" s="1"/>
  <c r="K766" i="29"/>
  <c r="L765" i="29"/>
  <c r="J766" i="29"/>
  <c r="Q764" i="29"/>
  <c r="R764" i="29"/>
  <c r="X763" i="29"/>
  <c r="BZ714" i="29"/>
  <c r="BX715" i="29" s="1"/>
  <c r="AZ765" i="29"/>
  <c r="BH765" i="29"/>
  <c r="BB765" i="29" s="1"/>
  <c r="BP766" i="29"/>
  <c r="BD767" i="29"/>
  <c r="BC766" i="29"/>
  <c r="BF766" i="29" s="1"/>
  <c r="BE766" i="29"/>
  <c r="BG766" i="29" s="1"/>
  <c r="BA766" i="29" s="1"/>
  <c r="T767" i="29" l="1"/>
  <c r="V766" i="29"/>
  <c r="S767" i="29"/>
  <c r="AF766" i="29"/>
  <c r="AE766" i="29"/>
  <c r="BO769" i="29"/>
  <c r="BQ770" i="29" s="1"/>
  <c r="BY768" i="29"/>
  <c r="BR768" i="29"/>
  <c r="BN769" i="29"/>
  <c r="U766" i="29"/>
  <c r="AB766" i="29" s="1"/>
  <c r="CC764" i="29"/>
  <c r="L766" i="29"/>
  <c r="K767" i="29"/>
  <c r="J767" i="29"/>
  <c r="R765" i="29"/>
  <c r="Q765" i="29"/>
  <c r="X765" i="29" s="1"/>
  <c r="AA764" i="29"/>
  <c r="W764" i="29"/>
  <c r="CA765" i="29"/>
  <c r="BU765" i="29" s="1"/>
  <c r="AB765" i="29"/>
  <c r="BZ715" i="29"/>
  <c r="BX716" i="29" s="1"/>
  <c r="AZ766" i="29"/>
  <c r="BH766" i="29"/>
  <c r="BB766" i="29" s="1"/>
  <c r="BD768" i="29"/>
  <c r="BE767" i="29"/>
  <c r="BG767" i="29" s="1"/>
  <c r="BA767" i="29" s="1"/>
  <c r="BP767" i="29"/>
  <c r="BC767" i="29"/>
  <c r="BF767" i="29" s="1"/>
  <c r="BQ771" i="29" l="1"/>
  <c r="V767" i="29"/>
  <c r="S768" i="29"/>
  <c r="T768" i="29"/>
  <c r="AE767" i="29"/>
  <c r="AF767" i="29"/>
  <c r="CA766" i="29"/>
  <c r="BU766" i="29" s="1"/>
  <c r="CB766" i="29"/>
  <c r="BV766" i="29" s="1"/>
  <c r="AA765" i="29"/>
  <c r="M765" i="29"/>
  <c r="W765" i="29"/>
  <c r="Y765" i="29" s="1"/>
  <c r="K768" i="29"/>
  <c r="L767" i="29"/>
  <c r="J768" i="29"/>
  <c r="R766" i="29"/>
  <c r="Q766" i="29"/>
  <c r="X766" i="29" s="1"/>
  <c r="BY769" i="29"/>
  <c r="BO770" i="29"/>
  <c r="BR769" i="29"/>
  <c r="BN770" i="29"/>
  <c r="AC766" i="29"/>
  <c r="U767" i="29"/>
  <c r="BZ716" i="29"/>
  <c r="BY717" i="29" s="1"/>
  <c r="BE768" i="29"/>
  <c r="BG768" i="29" s="1"/>
  <c r="BA768" i="29" s="1"/>
  <c r="BC768" i="29"/>
  <c r="BF768" i="29" s="1"/>
  <c r="BD769" i="29"/>
  <c r="BP768" i="29"/>
  <c r="BH767" i="29"/>
  <c r="BB767" i="29" s="1"/>
  <c r="AZ767" i="29"/>
  <c r="V768" i="29" l="1"/>
  <c r="T769" i="29"/>
  <c r="S769" i="29"/>
  <c r="AE768" i="29"/>
  <c r="AF768" i="29"/>
  <c r="Q767" i="29"/>
  <c r="X767" i="29" s="1"/>
  <c r="R767" i="29"/>
  <c r="U768" i="29"/>
  <c r="AB768" i="29" s="1"/>
  <c r="AC767" i="29"/>
  <c r="M766" i="29"/>
  <c r="CA767" i="29"/>
  <c r="BU767" i="29" s="1"/>
  <c r="W766" i="29"/>
  <c r="Y766" i="29" s="1"/>
  <c r="AA766" i="29"/>
  <c r="CB767" i="29"/>
  <c r="BV767" i="29" s="1"/>
  <c r="L768" i="29"/>
  <c r="K769" i="29"/>
  <c r="J769" i="29"/>
  <c r="AB767" i="29"/>
  <c r="BO771" i="29"/>
  <c r="BR770" i="29"/>
  <c r="BN771" i="29"/>
  <c r="BY770" i="29"/>
  <c r="CC766" i="29"/>
  <c r="BW717" i="29"/>
  <c r="BX717" i="29"/>
  <c r="BE769" i="29"/>
  <c r="BG769" i="29" s="1"/>
  <c r="BA769" i="29" s="1"/>
  <c r="BD770" i="29"/>
  <c r="BP769" i="29"/>
  <c r="BC769" i="29"/>
  <c r="BF769" i="29" s="1"/>
  <c r="AZ768" i="29"/>
  <c r="BH768" i="29"/>
  <c r="BB768" i="29" s="1"/>
  <c r="AC768" i="29" l="1"/>
  <c r="BR771" i="29"/>
  <c r="BN772" i="29"/>
  <c r="BY771" i="29"/>
  <c r="BO772" i="29"/>
  <c r="U769" i="29"/>
  <c r="L769" i="29"/>
  <c r="J770" i="29"/>
  <c r="K770" i="29"/>
  <c r="BQ772" i="29"/>
  <c r="BQ773" i="29" s="1"/>
  <c r="T770" i="29"/>
  <c r="V769" i="29"/>
  <c r="S770" i="29"/>
  <c r="AF769" i="29"/>
  <c r="AE769" i="29"/>
  <c r="R768" i="29"/>
  <c r="Q768" i="29"/>
  <c r="CC767" i="29"/>
  <c r="W767" i="29"/>
  <c r="Y767" i="29" s="1"/>
  <c r="AA767" i="29"/>
  <c r="CB768" i="29"/>
  <c r="BV768" i="29" s="1"/>
  <c r="CA768" i="29"/>
  <c r="BU768" i="29" s="1"/>
  <c r="M767" i="29"/>
  <c r="BC770" i="29"/>
  <c r="BF770" i="29" s="1"/>
  <c r="BE770" i="29"/>
  <c r="BG770" i="29" s="1"/>
  <c r="BA770" i="29" s="1"/>
  <c r="BP770" i="29"/>
  <c r="BD771" i="29"/>
  <c r="BZ717" i="29"/>
  <c r="BX718" i="29" s="1"/>
  <c r="BH769" i="29"/>
  <c r="BB769" i="29" s="1"/>
  <c r="AZ769" i="29"/>
  <c r="BT717" i="29"/>
  <c r="M716" i="29" s="1"/>
  <c r="BS717" i="29"/>
  <c r="R769" i="29" l="1"/>
  <c r="Q769" i="29"/>
  <c r="X769" i="29" s="1"/>
  <c r="CC768" i="29"/>
  <c r="U770" i="29"/>
  <c r="AC770" i="29" s="1"/>
  <c r="K771" i="29"/>
  <c r="J771" i="29"/>
  <c r="L770" i="29"/>
  <c r="AC769" i="29"/>
  <c r="X768" i="29"/>
  <c r="CB769" i="29"/>
  <c r="BV769" i="29" s="1"/>
  <c r="AA768" i="29"/>
  <c r="M768" i="29"/>
  <c r="W768" i="29"/>
  <c r="Y768" i="29" s="1"/>
  <c r="CA769" i="29"/>
  <c r="BU769" i="29" s="1"/>
  <c r="AB769" i="29"/>
  <c r="V770" i="29"/>
  <c r="T771" i="29"/>
  <c r="S771" i="29"/>
  <c r="AF770" i="29"/>
  <c r="AE770" i="29"/>
  <c r="BO773" i="29"/>
  <c r="BY772" i="29"/>
  <c r="BN773" i="29"/>
  <c r="BR772" i="29"/>
  <c r="H69" i="29"/>
  <c r="K62" i="40" s="1"/>
  <c r="X716" i="29"/>
  <c r="Y716" i="29" s="1"/>
  <c r="Z716" i="29" s="1"/>
  <c r="BP771" i="29"/>
  <c r="BD772" i="29"/>
  <c r="BC771" i="29"/>
  <c r="BF771" i="29" s="1"/>
  <c r="BE771" i="29"/>
  <c r="BG771" i="29" s="1"/>
  <c r="BA771" i="29" s="1"/>
  <c r="BZ718" i="29"/>
  <c r="BX719" i="29" s="1"/>
  <c r="BH770" i="29"/>
  <c r="BB770" i="29" s="1"/>
  <c r="AZ770" i="29"/>
  <c r="AB716" i="29" l="1"/>
  <c r="AC716" i="29"/>
  <c r="Z717" i="29"/>
  <c r="Z718" i="29" s="1"/>
  <c r="Z719" i="29" s="1"/>
  <c r="Z720" i="29" s="1"/>
  <c r="Z721" i="29" s="1"/>
  <c r="Z722" i="29" s="1"/>
  <c r="Z723" i="29" s="1"/>
  <c r="Z724" i="29" s="1"/>
  <c r="Z725" i="29" s="1"/>
  <c r="Z726" i="29" s="1"/>
  <c r="Z727" i="29" s="1"/>
  <c r="CB729" i="29"/>
  <c r="G69" i="29"/>
  <c r="L62" i="40" s="1"/>
  <c r="AB770" i="29"/>
  <c r="BO774" i="29"/>
  <c r="BY773" i="29"/>
  <c r="BR773" i="29"/>
  <c r="BN774" i="29"/>
  <c r="T772" i="29"/>
  <c r="S772" i="29"/>
  <c r="V771" i="29"/>
  <c r="AF771" i="29"/>
  <c r="AE771" i="29"/>
  <c r="K772" i="29"/>
  <c r="L771" i="29"/>
  <c r="J772" i="29"/>
  <c r="BQ774" i="29"/>
  <c r="BQ775" i="29" s="1"/>
  <c r="U771" i="29"/>
  <c r="AB771" i="29" s="1"/>
  <c r="CC769" i="29"/>
  <c r="Q770" i="29"/>
  <c r="R770" i="29"/>
  <c r="AA769" i="29"/>
  <c r="CB770" i="29"/>
  <c r="BV770" i="29" s="1"/>
  <c r="W769" i="29"/>
  <c r="Y769" i="29" s="1"/>
  <c r="M769" i="29"/>
  <c r="CA770" i="29"/>
  <c r="BU770" i="29" s="1"/>
  <c r="BH771" i="29"/>
  <c r="BB771" i="29" s="1"/>
  <c r="AZ771" i="29"/>
  <c r="BZ719" i="29"/>
  <c r="BX720" i="29" s="1"/>
  <c r="BE772" i="29"/>
  <c r="BG772" i="29" s="1"/>
  <c r="BA772" i="29" s="1"/>
  <c r="BD773" i="29"/>
  <c r="BP772" i="29"/>
  <c r="BC772" i="29"/>
  <c r="BF772" i="29" s="1"/>
  <c r="D209" i="15"/>
  <c r="I86" i="39"/>
  <c r="H62" i="44" s="1"/>
  <c r="D62" i="45" s="1"/>
  <c r="K62" i="45" s="1"/>
  <c r="L62" i="45" s="1"/>
  <c r="J63" i="45" s="1"/>
  <c r="G82" i="15"/>
  <c r="BR131" i="44" l="1"/>
  <c r="CC729" i="29"/>
  <c r="BV729" i="29"/>
  <c r="F209" i="15"/>
  <c r="L86" i="39"/>
  <c r="CC770" i="29"/>
  <c r="X770" i="29"/>
  <c r="W770" i="29"/>
  <c r="Y770" i="29" s="1"/>
  <c r="AA770" i="29"/>
  <c r="CB771" i="29"/>
  <c r="BV771" i="29" s="1"/>
  <c r="M770" i="29"/>
  <c r="CA771" i="29"/>
  <c r="BU771" i="29" s="1"/>
  <c r="L772" i="29"/>
  <c r="K773" i="29"/>
  <c r="J773" i="29"/>
  <c r="BQ776" i="29"/>
  <c r="U772" i="29"/>
  <c r="AC772" i="29" s="1"/>
  <c r="R771" i="29"/>
  <c r="Q771" i="29"/>
  <c r="T773" i="29"/>
  <c r="S773" i="29"/>
  <c r="V772" i="29"/>
  <c r="AF772" i="29"/>
  <c r="AE772" i="29"/>
  <c r="BR774" i="29"/>
  <c r="BN775" i="29"/>
  <c r="BY774" i="29"/>
  <c r="BO775" i="29"/>
  <c r="AC771" i="29"/>
  <c r="BZ720" i="29"/>
  <c r="BX721" i="29" s="1"/>
  <c r="BE773" i="29"/>
  <c r="BG773" i="29" s="1"/>
  <c r="BA773" i="29" s="1"/>
  <c r="BP773" i="29"/>
  <c r="BC773" i="29"/>
  <c r="BF773" i="29" s="1"/>
  <c r="BD774" i="29"/>
  <c r="AZ772" i="29"/>
  <c r="BH772" i="29"/>
  <c r="BB772" i="29" s="1"/>
  <c r="AB772" i="29" l="1"/>
  <c r="CC771" i="29"/>
  <c r="U773" i="29"/>
  <c r="AB773" i="29" s="1"/>
  <c r="BR775" i="29"/>
  <c r="BN776" i="29"/>
  <c r="BO776" i="29"/>
  <c r="BY775" i="29"/>
  <c r="T774" i="29"/>
  <c r="S774" i="29"/>
  <c r="V773" i="29"/>
  <c r="AF773" i="29"/>
  <c r="AE773" i="29"/>
  <c r="Q772" i="29"/>
  <c r="R772" i="29"/>
  <c r="AA771" i="29"/>
  <c r="CB772" i="29"/>
  <c r="BV772" i="29" s="1"/>
  <c r="W771" i="29"/>
  <c r="Y771" i="29" s="1"/>
  <c r="M771" i="29"/>
  <c r="CA772" i="29"/>
  <c r="BU772" i="29" s="1"/>
  <c r="K774" i="29"/>
  <c r="L773" i="29"/>
  <c r="J774" i="29"/>
  <c r="X771" i="29"/>
  <c r="BZ721" i="29"/>
  <c r="BX722" i="29" s="1"/>
  <c r="BE774" i="29"/>
  <c r="BG774" i="29" s="1"/>
  <c r="BA774" i="29" s="1"/>
  <c r="BD775" i="29"/>
  <c r="BC774" i="29"/>
  <c r="BF774" i="29" s="1"/>
  <c r="BP774" i="29"/>
  <c r="AZ773" i="29"/>
  <c r="BH773" i="29"/>
  <c r="BB773" i="29" s="1"/>
  <c r="CC772" i="29" l="1"/>
  <c r="U774" i="29"/>
  <c r="AB774" i="29" s="1"/>
  <c r="J775" i="29"/>
  <c r="K775" i="29"/>
  <c r="L774" i="29"/>
  <c r="BY776" i="29"/>
  <c r="BR776" i="29"/>
  <c r="BO777" i="29"/>
  <c r="BN777" i="29"/>
  <c r="Q773" i="29"/>
  <c r="X773" i="29" s="1"/>
  <c r="R773" i="29"/>
  <c r="S775" i="29"/>
  <c r="T775" i="29"/>
  <c r="V774" i="29"/>
  <c r="AF774" i="29"/>
  <c r="AE774" i="29"/>
  <c r="AC773" i="29"/>
  <c r="CB773" i="29"/>
  <c r="BV773" i="29" s="1"/>
  <c r="M772" i="29"/>
  <c r="CA773" i="29"/>
  <c r="BU773" i="29" s="1"/>
  <c r="AA772" i="29"/>
  <c r="W772" i="29"/>
  <c r="Y772" i="29" s="1"/>
  <c r="X772" i="29"/>
  <c r="BQ777" i="29"/>
  <c r="BQ778" i="29" s="1"/>
  <c r="BZ722" i="29"/>
  <c r="BX723" i="29" s="1"/>
  <c r="BD776" i="29"/>
  <c r="BE775" i="29"/>
  <c r="BG775" i="29" s="1"/>
  <c r="BA775" i="29" s="1"/>
  <c r="BP775" i="29"/>
  <c r="BC775" i="29"/>
  <c r="BF775" i="29" s="1"/>
  <c r="AZ774" i="29"/>
  <c r="BH774" i="29"/>
  <c r="BB774" i="29" s="1"/>
  <c r="T776" i="29" l="1"/>
  <c r="S776" i="29"/>
  <c r="V775" i="29"/>
  <c r="AF775" i="29"/>
  <c r="AE775" i="29"/>
  <c r="R774" i="29"/>
  <c r="Q774" i="29"/>
  <c r="X774" i="29" s="1"/>
  <c r="U775" i="29"/>
  <c r="AC775" i="29" s="1"/>
  <c r="CC773" i="29"/>
  <c r="BR777" i="29"/>
  <c r="BN778" i="29"/>
  <c r="BO778" i="29"/>
  <c r="L775" i="29"/>
  <c r="K776" i="29"/>
  <c r="J776" i="29"/>
  <c r="AC774" i="29"/>
  <c r="BQ779" i="29"/>
  <c r="CA774" i="29"/>
  <c r="BU774" i="29" s="1"/>
  <c r="W773" i="29"/>
  <c r="Y773" i="29" s="1"/>
  <c r="CB774" i="29"/>
  <c r="BV774" i="29" s="1"/>
  <c r="AA773" i="29"/>
  <c r="M773" i="29"/>
  <c r="BZ723" i="29"/>
  <c r="BX724" i="29" s="1"/>
  <c r="BD777" i="29"/>
  <c r="BC776" i="29"/>
  <c r="BF776" i="29" s="1"/>
  <c r="BP776" i="29"/>
  <c r="BE776" i="29"/>
  <c r="BG776" i="29" s="1"/>
  <c r="BA776" i="29" s="1"/>
  <c r="AZ775" i="29"/>
  <c r="BH775" i="29"/>
  <c r="BB775" i="29" s="1"/>
  <c r="CC774" i="29" l="1"/>
  <c r="BR778" i="29"/>
  <c r="BO779" i="29"/>
  <c r="BN779" i="29"/>
  <c r="BY778" i="29"/>
  <c r="R775" i="29"/>
  <c r="Q775" i="29"/>
  <c r="X775" i="29" s="1"/>
  <c r="U776" i="29"/>
  <c r="BQ780" i="29"/>
  <c r="L776" i="29"/>
  <c r="J777" i="29"/>
  <c r="K777" i="29"/>
  <c r="AB775" i="29"/>
  <c r="T777" i="29"/>
  <c r="S777" i="29"/>
  <c r="V776" i="29"/>
  <c r="AE776" i="29"/>
  <c r="AF776" i="29"/>
  <c r="CB775" i="29"/>
  <c r="BV775" i="29" s="1"/>
  <c r="M774" i="29"/>
  <c r="W774" i="29"/>
  <c r="Y774" i="29" s="1"/>
  <c r="CA775" i="29"/>
  <c r="BU775" i="29" s="1"/>
  <c r="AA774" i="29"/>
  <c r="BZ724" i="29"/>
  <c r="BX725" i="29" s="1"/>
  <c r="BH776" i="29"/>
  <c r="BB776" i="29" s="1"/>
  <c r="AZ776" i="29"/>
  <c r="BP777" i="29"/>
  <c r="BD778" i="29"/>
  <c r="BI777" i="29"/>
  <c r="BC777" i="29"/>
  <c r="BF777" i="29" s="1"/>
  <c r="BE777" i="29"/>
  <c r="BG777" i="29" s="1"/>
  <c r="BA777" i="29" s="1"/>
  <c r="V777" i="29" l="1"/>
  <c r="T778" i="29"/>
  <c r="S778" i="29"/>
  <c r="AF777" i="29"/>
  <c r="AE777" i="29"/>
  <c r="Q776" i="29"/>
  <c r="R776" i="29"/>
  <c r="U777" i="29"/>
  <c r="AC777" i="29" s="1"/>
  <c r="CC775" i="29"/>
  <c r="J778" i="29"/>
  <c r="K778" i="29"/>
  <c r="L777" i="29"/>
  <c r="CA776" i="29"/>
  <c r="BU776" i="29" s="1"/>
  <c r="AA775" i="29"/>
  <c r="W775" i="29"/>
  <c r="Y775" i="29" s="1"/>
  <c r="M775" i="29"/>
  <c r="CB776" i="29"/>
  <c r="BV776" i="29" s="1"/>
  <c r="BY779" i="29"/>
  <c r="BR779" i="29"/>
  <c r="BO780" i="29"/>
  <c r="BN780" i="29"/>
  <c r="BZ725" i="29"/>
  <c r="BX726" i="29" s="1"/>
  <c r="AZ777" i="29"/>
  <c r="BH777" i="29"/>
  <c r="BB777" i="29" s="1"/>
  <c r="BP778" i="29"/>
  <c r="BE778" i="29"/>
  <c r="BG778" i="29" s="1"/>
  <c r="BA778" i="29" s="1"/>
  <c r="BD779" i="29"/>
  <c r="BC778" i="29"/>
  <c r="BF778" i="29" s="1"/>
  <c r="AB777" i="29" l="1"/>
  <c r="J779" i="29"/>
  <c r="K779" i="29"/>
  <c r="L778" i="29"/>
  <c r="U778" i="29"/>
  <c r="AB778" i="29" s="1"/>
  <c r="CC776" i="29"/>
  <c r="AA776" i="29"/>
  <c r="CA777" i="29"/>
  <c r="BU777" i="29" s="1"/>
  <c r="W776" i="29"/>
  <c r="T779" i="29"/>
  <c r="V778" i="29"/>
  <c r="S779" i="29"/>
  <c r="AE778" i="29"/>
  <c r="AF778" i="29"/>
  <c r="BN781" i="29"/>
  <c r="BO781" i="29"/>
  <c r="BY780" i="29"/>
  <c r="BR780" i="29"/>
  <c r="R777" i="29"/>
  <c r="Q777" i="29"/>
  <c r="X777" i="29" s="1"/>
  <c r="BQ781" i="29"/>
  <c r="BZ726" i="29"/>
  <c r="BX727" i="29" s="1"/>
  <c r="AZ778" i="29"/>
  <c r="BH778" i="29"/>
  <c r="BB778" i="29" s="1"/>
  <c r="BE779" i="29"/>
  <c r="BG779" i="29" s="1"/>
  <c r="BA779" i="29" s="1"/>
  <c r="BP779" i="29"/>
  <c r="BD780" i="29"/>
  <c r="BC779" i="29"/>
  <c r="BF779" i="29" s="1"/>
  <c r="CB778" i="29" l="1"/>
  <c r="BV778" i="29" s="1"/>
  <c r="M777" i="29"/>
  <c r="CA778" i="29"/>
  <c r="BU778" i="29" s="1"/>
  <c r="AA777" i="29"/>
  <c r="W777" i="29"/>
  <c r="Y777" i="29" s="1"/>
  <c r="BY781" i="29"/>
  <c r="BR781" i="29"/>
  <c r="BN782" i="29"/>
  <c r="BO782" i="29"/>
  <c r="U779" i="29"/>
  <c r="AC779" i="29" s="1"/>
  <c r="BQ782" i="29"/>
  <c r="BQ783" i="29" s="1"/>
  <c r="T780" i="29"/>
  <c r="S780" i="29"/>
  <c r="V779" i="29"/>
  <c r="AE779" i="29"/>
  <c r="AF779" i="29"/>
  <c r="R778" i="29"/>
  <c r="Q778" i="29"/>
  <c r="X778" i="29" s="1"/>
  <c r="K780" i="29"/>
  <c r="L779" i="29"/>
  <c r="J780" i="29"/>
  <c r="AC778" i="29"/>
  <c r="BZ727" i="29"/>
  <c r="BX728" i="29" s="1"/>
  <c r="BH779" i="29"/>
  <c r="BB779" i="29" s="1"/>
  <c r="AZ779" i="29"/>
  <c r="BC780" i="29"/>
  <c r="BF780" i="29" s="1"/>
  <c r="BD781" i="29"/>
  <c r="BP780" i="29"/>
  <c r="BE780" i="29"/>
  <c r="BG780" i="29" s="1"/>
  <c r="BA780" i="29" s="1"/>
  <c r="U780" i="29" l="1"/>
  <c r="L780" i="29"/>
  <c r="J781" i="29"/>
  <c r="K781" i="29"/>
  <c r="T781" i="29"/>
  <c r="V780" i="29"/>
  <c r="S781" i="29"/>
  <c r="AE780" i="29"/>
  <c r="AF780" i="29"/>
  <c r="AB779" i="29"/>
  <c r="R779" i="29"/>
  <c r="Q779" i="29"/>
  <c r="X779" i="29" s="1"/>
  <c r="M778" i="29"/>
  <c r="W778" i="29"/>
  <c r="Y778" i="29" s="1"/>
  <c r="CB779" i="29"/>
  <c r="BV779" i="29" s="1"/>
  <c r="CA779" i="29"/>
  <c r="BU779" i="29" s="1"/>
  <c r="AA778" i="29"/>
  <c r="BN783" i="29"/>
  <c r="BY782" i="29"/>
  <c r="BO783" i="29"/>
  <c r="BR782" i="29"/>
  <c r="CC778" i="29"/>
  <c r="BZ728" i="29"/>
  <c r="BY729" i="29" s="1"/>
  <c r="AZ780" i="29"/>
  <c r="BH780" i="29"/>
  <c r="BB780" i="29" s="1"/>
  <c r="BD782" i="29"/>
  <c r="BP781" i="29"/>
  <c r="BC781" i="29"/>
  <c r="BF781" i="29" s="1"/>
  <c r="BE781" i="29"/>
  <c r="BG781" i="29" s="1"/>
  <c r="BA781" i="29" s="1"/>
  <c r="CC779" i="29" l="1"/>
  <c r="T782" i="29"/>
  <c r="S782" i="29"/>
  <c r="V781" i="29"/>
  <c r="AE781" i="29"/>
  <c r="AF781" i="29"/>
  <c r="Q780" i="29"/>
  <c r="R780" i="29"/>
  <c r="BO784" i="29"/>
  <c r="BY783" i="29"/>
  <c r="BN784" i="29"/>
  <c r="BR783" i="29"/>
  <c r="J782" i="29"/>
  <c r="L781" i="29"/>
  <c r="K782" i="29"/>
  <c r="AC780" i="29"/>
  <c r="BQ784" i="29"/>
  <c r="BQ785" i="29" s="1"/>
  <c r="U781" i="29"/>
  <c r="AB781" i="29" s="1"/>
  <c r="AB780" i="29"/>
  <c r="AA779" i="29"/>
  <c r="CB780" i="29"/>
  <c r="BV780" i="29" s="1"/>
  <c r="CA780" i="29"/>
  <c r="BU780" i="29" s="1"/>
  <c r="W779" i="29"/>
  <c r="Y779" i="29" s="1"/>
  <c r="M779" i="29"/>
  <c r="BW729" i="29"/>
  <c r="BX729" i="29"/>
  <c r="AZ781" i="29"/>
  <c r="BH781" i="29"/>
  <c r="BB781" i="29" s="1"/>
  <c r="BD783" i="29"/>
  <c r="BP782" i="29"/>
  <c r="BC782" i="29"/>
  <c r="BF782" i="29" s="1"/>
  <c r="BE782" i="29"/>
  <c r="BG782" i="29" s="1"/>
  <c r="BA782" i="29" s="1"/>
  <c r="CC780" i="29" l="1"/>
  <c r="AC781" i="29"/>
  <c r="J783" i="29"/>
  <c r="L782" i="29"/>
  <c r="K783" i="29"/>
  <c r="CA781" i="29"/>
  <c r="BU781" i="29" s="1"/>
  <c r="CB781" i="29"/>
  <c r="BV781" i="29" s="1"/>
  <c r="M780" i="29"/>
  <c r="W780" i="29"/>
  <c r="Y780" i="29" s="1"/>
  <c r="AA780" i="29"/>
  <c r="X780" i="29"/>
  <c r="U782" i="29"/>
  <c r="AB782" i="29" s="1"/>
  <c r="BQ786" i="29"/>
  <c r="BR784" i="29"/>
  <c r="BY784" i="29"/>
  <c r="BO785" i="29"/>
  <c r="BN785" i="29"/>
  <c r="V782" i="29"/>
  <c r="S783" i="29"/>
  <c r="T783" i="29"/>
  <c r="AF782" i="29"/>
  <c r="AE782" i="29"/>
  <c r="R781" i="29"/>
  <c r="Q781" i="29"/>
  <c r="AZ782" i="29"/>
  <c r="BH782" i="29"/>
  <c r="BB782" i="29" s="1"/>
  <c r="BZ729" i="29"/>
  <c r="BX730" i="29" s="1"/>
  <c r="BC783" i="29"/>
  <c r="BF783" i="29" s="1"/>
  <c r="BP783" i="29"/>
  <c r="BE783" i="29"/>
  <c r="BG783" i="29" s="1"/>
  <c r="BA783" i="29" s="1"/>
  <c r="BD784" i="29"/>
  <c r="BS729" i="29"/>
  <c r="BT729" i="29"/>
  <c r="M728" i="29" s="1"/>
  <c r="CC781" i="29" l="1"/>
  <c r="CB782" i="29"/>
  <c r="BV782" i="29" s="1"/>
  <c r="CA782" i="29"/>
  <c r="BU782" i="29" s="1"/>
  <c r="W781" i="29"/>
  <c r="Y781" i="29" s="1"/>
  <c r="AA781" i="29"/>
  <c r="M781" i="29"/>
  <c r="L783" i="29"/>
  <c r="J784" i="29"/>
  <c r="K784" i="29"/>
  <c r="V783" i="29"/>
  <c r="T784" i="29"/>
  <c r="S784" i="29"/>
  <c r="AF783" i="29"/>
  <c r="AE783" i="29"/>
  <c r="BN786" i="29"/>
  <c r="BO786" i="29"/>
  <c r="BY785" i="29"/>
  <c r="BR785" i="29"/>
  <c r="Q782" i="29"/>
  <c r="X782" i="29" s="1"/>
  <c r="R782" i="29"/>
  <c r="X781" i="29"/>
  <c r="U783" i="29"/>
  <c r="AC782" i="29"/>
  <c r="BD785" i="29"/>
  <c r="BP784" i="29"/>
  <c r="BC784" i="29"/>
  <c r="BF784" i="29" s="1"/>
  <c r="BE784" i="29"/>
  <c r="BG784" i="29" s="1"/>
  <c r="BA784" i="29" s="1"/>
  <c r="BZ730" i="29"/>
  <c r="BX731" i="29" s="1"/>
  <c r="H70" i="29"/>
  <c r="K63" i="40" s="1"/>
  <c r="X728" i="29"/>
  <c r="Y728" i="29" s="1"/>
  <c r="Z728" i="29" s="1"/>
  <c r="AZ783" i="29"/>
  <c r="BH783" i="29"/>
  <c r="BB783" i="29" s="1"/>
  <c r="AB728" i="29" l="1"/>
  <c r="AC728" i="29"/>
  <c r="Z729" i="29"/>
  <c r="Z730" i="29" s="1"/>
  <c r="Z731" i="29" s="1"/>
  <c r="Z732" i="29" s="1"/>
  <c r="Z733" i="29" s="1"/>
  <c r="Z734" i="29" s="1"/>
  <c r="Z735" i="29" s="1"/>
  <c r="Z736" i="29" s="1"/>
  <c r="Z737" i="29" s="1"/>
  <c r="Z738" i="29" s="1"/>
  <c r="Z739" i="29" s="1"/>
  <c r="CB741" i="29"/>
  <c r="G70" i="29"/>
  <c r="L63" i="40" s="1"/>
  <c r="Q783" i="29"/>
  <c r="R783" i="29"/>
  <c r="L784" i="29"/>
  <c r="K785" i="29"/>
  <c r="J785" i="29"/>
  <c r="AB783" i="29"/>
  <c r="BY786" i="29"/>
  <c r="BR786" i="29"/>
  <c r="BN787" i="29"/>
  <c r="BO787" i="29"/>
  <c r="U784" i="29"/>
  <c r="AC784" i="29" s="1"/>
  <c r="CC782" i="29"/>
  <c r="AC783" i="29"/>
  <c r="CB783" i="29"/>
  <c r="BV783" i="29" s="1"/>
  <c r="CA783" i="29"/>
  <c r="BU783" i="29" s="1"/>
  <c r="M782" i="29"/>
  <c r="W782" i="29"/>
  <c r="Y782" i="29" s="1"/>
  <c r="AA782" i="29"/>
  <c r="T785" i="29"/>
  <c r="S785" i="29"/>
  <c r="V784" i="29"/>
  <c r="AF784" i="29"/>
  <c r="AE784" i="29"/>
  <c r="BQ787" i="29"/>
  <c r="BZ731" i="29"/>
  <c r="BX732" i="29" s="1"/>
  <c r="D210" i="15"/>
  <c r="I87" i="39"/>
  <c r="H63" i="44" s="1"/>
  <c r="D63" i="45" s="1"/>
  <c r="K63" i="45" s="1"/>
  <c r="L63" i="45" s="1"/>
  <c r="G83" i="15"/>
  <c r="AZ784" i="29"/>
  <c r="BH784" i="29"/>
  <c r="BB784" i="29" s="1"/>
  <c r="BD786" i="29"/>
  <c r="BE785" i="29"/>
  <c r="BG785" i="29" s="1"/>
  <c r="BA785" i="29" s="1"/>
  <c r="BP785" i="29"/>
  <c r="BC785" i="29"/>
  <c r="BF785" i="29" s="1"/>
  <c r="BV741" i="29" l="1"/>
  <c r="CC741" i="29"/>
  <c r="CC783" i="29"/>
  <c r="F210" i="15"/>
  <c r="L87" i="39"/>
  <c r="V785" i="29"/>
  <c r="S786" i="29"/>
  <c r="T786" i="29"/>
  <c r="AE785" i="29"/>
  <c r="AF785" i="29"/>
  <c r="BN788" i="29"/>
  <c r="BO788" i="29"/>
  <c r="BY787" i="29"/>
  <c r="BR787" i="29"/>
  <c r="Q784" i="29"/>
  <c r="R784" i="29"/>
  <c r="X783" i="29"/>
  <c r="M783" i="29"/>
  <c r="AA783" i="29"/>
  <c r="W783" i="29"/>
  <c r="Y783" i="29" s="1"/>
  <c r="CB784" i="29"/>
  <c r="BV784" i="29" s="1"/>
  <c r="CA784" i="29"/>
  <c r="BU784" i="29" s="1"/>
  <c r="BQ788" i="29"/>
  <c r="BQ789" i="29" s="1"/>
  <c r="U785" i="29"/>
  <c r="AC785" i="29" s="1"/>
  <c r="AB784" i="29"/>
  <c r="L785" i="29"/>
  <c r="K786" i="29"/>
  <c r="J786" i="29"/>
  <c r="BZ732" i="29"/>
  <c r="BX733" i="29" s="1"/>
  <c r="BH785" i="29"/>
  <c r="BB785" i="29" s="1"/>
  <c r="AZ785" i="29"/>
  <c r="BP786" i="29"/>
  <c r="BD787" i="29"/>
  <c r="BE786" i="29"/>
  <c r="BG786" i="29" s="1"/>
  <c r="BA786" i="29" s="1"/>
  <c r="BC786" i="29"/>
  <c r="BF786" i="29" s="1"/>
  <c r="AB785" i="29" l="1"/>
  <c r="X784" i="29"/>
  <c r="AA784" i="29"/>
  <c r="CB785" i="29"/>
  <c r="BV785" i="29" s="1"/>
  <c r="M784" i="29"/>
  <c r="W784" i="29"/>
  <c r="Y784" i="29" s="1"/>
  <c r="CA785" i="29"/>
  <c r="BU785" i="29" s="1"/>
  <c r="R785" i="29"/>
  <c r="Q785" i="29"/>
  <c r="CC784" i="29"/>
  <c r="BY788" i="29"/>
  <c r="BR788" i="29"/>
  <c r="BN789" i="29"/>
  <c r="BO789" i="29"/>
  <c r="S787" i="29"/>
  <c r="T787" i="29"/>
  <c r="V786" i="29"/>
  <c r="AF786" i="29"/>
  <c r="AE786" i="29"/>
  <c r="J787" i="29"/>
  <c r="K787" i="29"/>
  <c r="L786" i="29"/>
  <c r="U786" i="29"/>
  <c r="BQ790" i="29"/>
  <c r="BZ733" i="29"/>
  <c r="BX734" i="29" s="1"/>
  <c r="AZ786" i="29"/>
  <c r="BH786" i="29"/>
  <c r="BB786" i="29" s="1"/>
  <c r="BC787" i="29"/>
  <c r="BF787" i="29" s="1"/>
  <c r="BP787" i="29"/>
  <c r="BD788" i="29"/>
  <c r="BE787" i="29"/>
  <c r="BG787" i="29" s="1"/>
  <c r="BA787" i="29" s="1"/>
  <c r="CC785" i="29" l="1"/>
  <c r="Q786" i="29"/>
  <c r="R786" i="29"/>
  <c r="AC786" i="29"/>
  <c r="K788" i="29"/>
  <c r="L787" i="29"/>
  <c r="J788" i="29"/>
  <c r="X785" i="29"/>
  <c r="CA786" i="29"/>
  <c r="BU786" i="29" s="1"/>
  <c r="CB786" i="29"/>
  <c r="BV786" i="29" s="1"/>
  <c r="W785" i="29"/>
  <c r="Y785" i="29" s="1"/>
  <c r="M785" i="29"/>
  <c r="AA785" i="29"/>
  <c r="U787" i="29"/>
  <c r="AC787" i="29" s="1"/>
  <c r="BO790" i="29"/>
  <c r="BQ791" i="29" s="1"/>
  <c r="BN790" i="29"/>
  <c r="BR789" i="29"/>
  <c r="AB786" i="29"/>
  <c r="S788" i="29"/>
  <c r="T788" i="29"/>
  <c r="V787" i="29"/>
  <c r="AE787" i="29"/>
  <c r="AF787" i="29"/>
  <c r="BZ734" i="29"/>
  <c r="BX735" i="29" s="1"/>
  <c r="BD789" i="29"/>
  <c r="BC788" i="29"/>
  <c r="BF788" i="29" s="1"/>
  <c r="BE788" i="29"/>
  <c r="BG788" i="29" s="1"/>
  <c r="BA788" i="29" s="1"/>
  <c r="BP788" i="29"/>
  <c r="AZ787" i="29"/>
  <c r="BH787" i="29"/>
  <c r="BB787" i="29" s="1"/>
  <c r="AB787" i="29" l="1"/>
  <c r="CC786" i="29"/>
  <c r="CB787" i="29"/>
  <c r="BV787" i="29" s="1"/>
  <c r="M786" i="29"/>
  <c r="AA786" i="29"/>
  <c r="W786" i="29"/>
  <c r="Y786" i="29" s="1"/>
  <c r="CA787" i="29"/>
  <c r="BU787" i="29" s="1"/>
  <c r="R787" i="29"/>
  <c r="Q787" i="29"/>
  <c r="S789" i="29"/>
  <c r="T789" i="29"/>
  <c r="V788" i="29"/>
  <c r="AF788" i="29"/>
  <c r="AE788" i="29"/>
  <c r="K789" i="29"/>
  <c r="J789" i="29"/>
  <c r="L788" i="29"/>
  <c r="U788" i="29"/>
  <c r="BR790" i="29"/>
  <c r="BY790" i="29"/>
  <c r="BN791" i="29"/>
  <c r="BO791" i="29"/>
  <c r="X786" i="29"/>
  <c r="BZ735" i="29"/>
  <c r="BX736" i="29" s="1"/>
  <c r="BH788" i="29"/>
  <c r="BB788" i="29" s="1"/>
  <c r="AZ788" i="29"/>
  <c r="BD790" i="29"/>
  <c r="BP789" i="29"/>
  <c r="BC789" i="29"/>
  <c r="BF789" i="29" s="1"/>
  <c r="BE789" i="29"/>
  <c r="BG789" i="29" s="1"/>
  <c r="BA789" i="29" s="1"/>
  <c r="BI789" i="29"/>
  <c r="CC787" i="29" l="1"/>
  <c r="U789" i="29"/>
  <c r="AB789" i="29" s="1"/>
  <c r="BN792" i="29"/>
  <c r="BO792" i="29"/>
  <c r="BR791" i="29"/>
  <c r="BY791" i="29"/>
  <c r="AA787" i="29"/>
  <c r="M787" i="29"/>
  <c r="W787" i="29"/>
  <c r="Y787" i="29" s="1"/>
  <c r="CB788" i="29"/>
  <c r="BV788" i="29" s="1"/>
  <c r="CA788" i="29"/>
  <c r="BU788" i="29" s="1"/>
  <c r="L789" i="29"/>
  <c r="K790" i="29"/>
  <c r="J790" i="29"/>
  <c r="Q788" i="29"/>
  <c r="R788" i="29"/>
  <c r="V789" i="29"/>
  <c r="T790" i="29"/>
  <c r="S790" i="29"/>
  <c r="AF789" i="29"/>
  <c r="AE789" i="29"/>
  <c r="X787" i="29"/>
  <c r="BQ792" i="29"/>
  <c r="BQ793" i="29" s="1"/>
  <c r="BZ736" i="29"/>
  <c r="BX737" i="29" s="1"/>
  <c r="BH789" i="29"/>
  <c r="BB789" i="29" s="1"/>
  <c r="AZ789" i="29"/>
  <c r="BC790" i="29"/>
  <c r="BF790" i="29" s="1"/>
  <c r="BP790" i="29"/>
  <c r="BE790" i="29"/>
  <c r="BG790" i="29" s="1"/>
  <c r="BA790" i="29" s="1"/>
  <c r="BD791" i="29"/>
  <c r="CC788" i="29" l="1"/>
  <c r="AC789" i="29"/>
  <c r="U790" i="29"/>
  <c r="AB790" i="29" s="1"/>
  <c r="V790" i="29"/>
  <c r="S791" i="29"/>
  <c r="T791" i="29"/>
  <c r="AF790" i="29"/>
  <c r="AE790" i="29"/>
  <c r="BR792" i="29"/>
  <c r="BO793" i="29"/>
  <c r="BQ794" i="29" s="1"/>
  <c r="BY792" i="29"/>
  <c r="BN793" i="29"/>
  <c r="K791" i="29"/>
  <c r="L790" i="29"/>
  <c r="J791" i="29"/>
  <c r="AA788" i="29"/>
  <c r="W788" i="29"/>
  <c r="CA789" i="29"/>
  <c r="BU789" i="29" s="1"/>
  <c r="Q789" i="29"/>
  <c r="R789" i="29"/>
  <c r="BZ737" i="29"/>
  <c r="BX738" i="29" s="1"/>
  <c r="BP791" i="29"/>
  <c r="BC791" i="29"/>
  <c r="BF791" i="29" s="1"/>
  <c r="BD792" i="29"/>
  <c r="BE791" i="29"/>
  <c r="BG791" i="29" s="1"/>
  <c r="BA791" i="29" s="1"/>
  <c r="BH790" i="29"/>
  <c r="BB790" i="29" s="1"/>
  <c r="AZ790" i="29"/>
  <c r="Q790" i="29" l="1"/>
  <c r="X790" i="29" s="1"/>
  <c r="R790" i="29"/>
  <c r="U791" i="29"/>
  <c r="AB791" i="29" s="1"/>
  <c r="AC790" i="29"/>
  <c r="M789" i="29"/>
  <c r="CB790" i="29"/>
  <c r="BV790" i="29" s="1"/>
  <c r="AA789" i="29"/>
  <c r="CA790" i="29"/>
  <c r="BU790" i="29" s="1"/>
  <c r="W789" i="29"/>
  <c r="Y789" i="29" s="1"/>
  <c r="J792" i="29"/>
  <c r="K792" i="29"/>
  <c r="L791" i="29"/>
  <c r="BO794" i="29"/>
  <c r="BQ795" i="29" s="1"/>
  <c r="BY793" i="29"/>
  <c r="BR793" i="29"/>
  <c r="BN794" i="29"/>
  <c r="T792" i="29"/>
  <c r="V791" i="29"/>
  <c r="S792" i="29"/>
  <c r="AF791" i="29"/>
  <c r="AE791" i="29"/>
  <c r="X789" i="29"/>
  <c r="BZ738" i="29"/>
  <c r="BX739" i="29" s="1"/>
  <c r="BH791" i="29"/>
  <c r="BB791" i="29" s="1"/>
  <c r="AZ791" i="29"/>
  <c r="BD793" i="29"/>
  <c r="BC792" i="29"/>
  <c r="BF792" i="29" s="1"/>
  <c r="BE792" i="29"/>
  <c r="BG792" i="29" s="1"/>
  <c r="BA792" i="29" s="1"/>
  <c r="BP792" i="29"/>
  <c r="AC791" i="29" l="1"/>
  <c r="Q791" i="29"/>
  <c r="R791" i="29"/>
  <c r="U792" i="29"/>
  <c r="AB792" i="29" s="1"/>
  <c r="L792" i="29"/>
  <c r="K793" i="29"/>
  <c r="J793" i="29"/>
  <c r="V792" i="29"/>
  <c r="T793" i="29"/>
  <c r="S793" i="29"/>
  <c r="AE792" i="29"/>
  <c r="AF792" i="29"/>
  <c r="BY794" i="29"/>
  <c r="BR794" i="29"/>
  <c r="BO795" i="29"/>
  <c r="BN795" i="29"/>
  <c r="CC790" i="29"/>
  <c r="AA790" i="29"/>
  <c r="CB791" i="29"/>
  <c r="BV791" i="29" s="1"/>
  <c r="W790" i="29"/>
  <c r="Y790" i="29" s="1"/>
  <c r="CA791" i="29"/>
  <c r="BU791" i="29" s="1"/>
  <c r="M790" i="29"/>
  <c r="BZ739" i="29"/>
  <c r="BX740" i="29" s="1"/>
  <c r="BH792" i="29"/>
  <c r="BB792" i="29" s="1"/>
  <c r="AZ792" i="29"/>
  <c r="BC793" i="29"/>
  <c r="BF793" i="29" s="1"/>
  <c r="BD794" i="29"/>
  <c r="BE793" i="29"/>
  <c r="BG793" i="29" s="1"/>
  <c r="BA793" i="29" s="1"/>
  <c r="BP793" i="29"/>
  <c r="U793" i="29" l="1"/>
  <c r="K794" i="29"/>
  <c r="J794" i="29"/>
  <c r="L793" i="29"/>
  <c r="V793" i="29"/>
  <c r="T794" i="29"/>
  <c r="S794" i="29"/>
  <c r="AE793" i="29"/>
  <c r="AF793" i="29"/>
  <c r="Q792" i="29"/>
  <c r="X792" i="29" s="1"/>
  <c r="R792" i="29"/>
  <c r="CB792" i="29"/>
  <c r="BV792" i="29" s="1"/>
  <c r="M791" i="29"/>
  <c r="AA791" i="29"/>
  <c r="CA792" i="29"/>
  <c r="BU792" i="29" s="1"/>
  <c r="W791" i="29"/>
  <c r="Y791" i="29" s="1"/>
  <c r="CC791" i="29"/>
  <c r="BO796" i="29"/>
  <c r="BR795" i="29"/>
  <c r="BN796" i="29"/>
  <c r="BY795" i="29"/>
  <c r="AC792" i="29"/>
  <c r="X791" i="29"/>
  <c r="BQ796" i="29"/>
  <c r="BZ740" i="29"/>
  <c r="BY741" i="29" s="1"/>
  <c r="BC794" i="29"/>
  <c r="BF794" i="29" s="1"/>
  <c r="BD795" i="29"/>
  <c r="BE794" i="29"/>
  <c r="BG794" i="29" s="1"/>
  <c r="BA794" i="29" s="1"/>
  <c r="BP794" i="29"/>
  <c r="AZ793" i="29"/>
  <c r="BH793" i="29"/>
  <c r="BB793" i="29" s="1"/>
  <c r="BN797" i="29" l="1"/>
  <c r="BO797" i="29"/>
  <c r="BY796" i="29"/>
  <c r="BR796" i="29"/>
  <c r="R793" i="29"/>
  <c r="Q793" i="29"/>
  <c r="AB793" i="29"/>
  <c r="BQ797" i="29"/>
  <c r="BQ798" i="29" s="1"/>
  <c r="U794" i="29"/>
  <c r="AB794" i="29" s="1"/>
  <c r="AC793" i="29"/>
  <c r="CC792" i="29"/>
  <c r="W792" i="29"/>
  <c r="Y792" i="29" s="1"/>
  <c r="CB793" i="29"/>
  <c r="BV793" i="29" s="1"/>
  <c r="M792" i="29"/>
  <c r="CA793" i="29"/>
  <c r="BU793" i="29" s="1"/>
  <c r="AA792" i="29"/>
  <c r="V794" i="29"/>
  <c r="S795" i="29"/>
  <c r="T795" i="29"/>
  <c r="AE794" i="29"/>
  <c r="AF794" i="29"/>
  <c r="J795" i="29"/>
  <c r="L794" i="29"/>
  <c r="K795" i="29"/>
  <c r="BW741" i="29"/>
  <c r="BX741" i="29"/>
  <c r="BH794" i="29"/>
  <c r="BB794" i="29" s="1"/>
  <c r="AZ794" i="29"/>
  <c r="BE795" i="29"/>
  <c r="BG795" i="29" s="1"/>
  <c r="BA795" i="29" s="1"/>
  <c r="BD796" i="29"/>
  <c r="BP795" i="29"/>
  <c r="BC795" i="29"/>
  <c r="BF795" i="29" s="1"/>
  <c r="W793" i="29" l="1"/>
  <c r="Y793" i="29" s="1"/>
  <c r="CA794" i="29"/>
  <c r="BU794" i="29" s="1"/>
  <c r="AA793" i="29"/>
  <c r="M793" i="29"/>
  <c r="CB794" i="29"/>
  <c r="BV794" i="29" s="1"/>
  <c r="X793" i="29"/>
  <c r="BY797" i="29"/>
  <c r="BO798" i="29"/>
  <c r="BQ799" i="29" s="1"/>
  <c r="BN798" i="29"/>
  <c r="BR797" i="29"/>
  <c r="L795" i="29"/>
  <c r="J796" i="29"/>
  <c r="K796" i="29"/>
  <c r="CC793" i="29"/>
  <c r="R794" i="29"/>
  <c r="Q794" i="29"/>
  <c r="U795" i="29"/>
  <c r="AB795" i="29" s="1"/>
  <c r="T796" i="29"/>
  <c r="V795" i="29"/>
  <c r="S796" i="29"/>
  <c r="AF795" i="29"/>
  <c r="AE795" i="29"/>
  <c r="AC794" i="29"/>
  <c r="BH795" i="29"/>
  <c r="BB795" i="29" s="1"/>
  <c r="AZ795" i="29"/>
  <c r="BZ741" i="29"/>
  <c r="BX742" i="29" s="1"/>
  <c r="BP796" i="29"/>
  <c r="BE796" i="29"/>
  <c r="BG796" i="29" s="1"/>
  <c r="BA796" i="29" s="1"/>
  <c r="BC796" i="29"/>
  <c r="BF796" i="29" s="1"/>
  <c r="BD797" i="29"/>
  <c r="BS741" i="29"/>
  <c r="BT741" i="29"/>
  <c r="M740" i="29" s="1"/>
  <c r="AC795" i="29" l="1"/>
  <c r="R795" i="29"/>
  <c r="Q795" i="29"/>
  <c r="J797" i="29"/>
  <c r="L796" i="29"/>
  <c r="K797" i="29"/>
  <c r="CC794" i="29"/>
  <c r="S797" i="29"/>
  <c r="T797" i="29"/>
  <c r="V796" i="29"/>
  <c r="AE796" i="29"/>
  <c r="AF796" i="29"/>
  <c r="U796" i="29"/>
  <c r="AB796" i="29" s="1"/>
  <c r="X794" i="29"/>
  <c r="CA795" i="29"/>
  <c r="BU795" i="29" s="1"/>
  <c r="AA794" i="29"/>
  <c r="CB795" i="29"/>
  <c r="BV795" i="29" s="1"/>
  <c r="W794" i="29"/>
  <c r="Y794" i="29" s="1"/>
  <c r="M794" i="29"/>
  <c r="BO799" i="29"/>
  <c r="BN799" i="29"/>
  <c r="BR798" i="29"/>
  <c r="BY798" i="29"/>
  <c r="BZ742" i="29"/>
  <c r="BX743" i="29" s="1"/>
  <c r="BP797" i="29"/>
  <c r="BD798" i="29"/>
  <c r="BC797" i="29"/>
  <c r="BF797" i="29" s="1"/>
  <c r="BE797" i="29"/>
  <c r="BG797" i="29" s="1"/>
  <c r="BA797" i="29" s="1"/>
  <c r="BH796" i="29"/>
  <c r="BB796" i="29" s="1"/>
  <c r="AZ796" i="29"/>
  <c r="H71" i="29"/>
  <c r="K64" i="40" s="1"/>
  <c r="X740" i="29"/>
  <c r="Y740" i="29" s="1"/>
  <c r="Z740" i="29" s="1"/>
  <c r="AB740" i="29" l="1"/>
  <c r="AC740" i="29"/>
  <c r="Z741" i="29"/>
  <c r="Z742" i="29" s="1"/>
  <c r="Z743" i="29" s="1"/>
  <c r="Z744" i="29" s="1"/>
  <c r="Z745" i="29" s="1"/>
  <c r="Z746" i="29" s="1"/>
  <c r="Z747" i="29" s="1"/>
  <c r="Z748" i="29" s="1"/>
  <c r="Z749" i="29" s="1"/>
  <c r="Z750" i="29" s="1"/>
  <c r="Z751" i="29" s="1"/>
  <c r="CB753" i="29"/>
  <c r="G71" i="29"/>
  <c r="L64" i="40" s="1"/>
  <c r="V797" i="29"/>
  <c r="T798" i="29"/>
  <c r="S798" i="29"/>
  <c r="AE797" i="29"/>
  <c r="AF797" i="29"/>
  <c r="J798" i="29"/>
  <c r="L797" i="29"/>
  <c r="K798" i="29"/>
  <c r="M795" i="29"/>
  <c r="CB796" i="29"/>
  <c r="BV796" i="29" s="1"/>
  <c r="AA795" i="29"/>
  <c r="W795" i="29"/>
  <c r="Y795" i="29" s="1"/>
  <c r="CA796" i="29"/>
  <c r="BU796" i="29" s="1"/>
  <c r="U797" i="29"/>
  <c r="AC797" i="29" s="1"/>
  <c r="BN800" i="29"/>
  <c r="BO800" i="29"/>
  <c r="BY799" i="29"/>
  <c r="BR799" i="29"/>
  <c r="R796" i="29"/>
  <c r="Q796" i="29"/>
  <c r="CC795" i="29"/>
  <c r="AC796" i="29"/>
  <c r="X795" i="29"/>
  <c r="BQ800" i="29"/>
  <c r="BQ801" i="29" s="1"/>
  <c r="BZ743" i="29"/>
  <c r="BX744" i="29" s="1"/>
  <c r="BE798" i="29"/>
  <c r="BG798" i="29" s="1"/>
  <c r="BA798" i="29" s="1"/>
  <c r="BD799" i="29"/>
  <c r="BC798" i="29"/>
  <c r="BF798" i="29" s="1"/>
  <c r="BP798" i="29"/>
  <c r="D218" i="15"/>
  <c r="I88" i="39"/>
  <c r="G84" i="15"/>
  <c r="BH797" i="29"/>
  <c r="BB797" i="29" s="1"/>
  <c r="AZ797" i="29"/>
  <c r="BV753" i="29" l="1"/>
  <c r="CC753" i="29"/>
  <c r="L88" i="39"/>
  <c r="F218" i="15"/>
  <c r="AB797" i="29"/>
  <c r="U798" i="29"/>
  <c r="AB798" i="29" s="1"/>
  <c r="R797" i="29"/>
  <c r="Q797" i="29"/>
  <c r="CC796" i="29"/>
  <c r="T799" i="29"/>
  <c r="S799" i="29"/>
  <c r="V798" i="29"/>
  <c r="AE798" i="29"/>
  <c r="AF798" i="29"/>
  <c r="M796" i="29"/>
  <c r="CA797" i="29"/>
  <c r="BU797" i="29" s="1"/>
  <c r="W796" i="29"/>
  <c r="Y796" i="29" s="1"/>
  <c r="CB797" i="29"/>
  <c r="BV797" i="29" s="1"/>
  <c r="AA796" i="29"/>
  <c r="X796" i="29"/>
  <c r="BO801" i="29"/>
  <c r="BN801" i="29"/>
  <c r="BY800" i="29"/>
  <c r="BR800" i="29"/>
  <c r="L798" i="29"/>
  <c r="J799" i="29"/>
  <c r="K799" i="29"/>
  <c r="BZ744" i="29"/>
  <c r="BX745" i="29" s="1"/>
  <c r="BC799" i="29"/>
  <c r="BF799" i="29" s="1"/>
  <c r="BE799" i="29"/>
  <c r="BG799" i="29" s="1"/>
  <c r="BA799" i="29" s="1"/>
  <c r="BP799" i="29"/>
  <c r="BD800" i="29"/>
  <c r="AZ798" i="29"/>
  <c r="BH798" i="29"/>
  <c r="BB798" i="29" s="1"/>
  <c r="CC797" i="29" l="1"/>
  <c r="AC798" i="29"/>
  <c r="M797" i="29"/>
  <c r="W797" i="29"/>
  <c r="Y797" i="29" s="1"/>
  <c r="CB798" i="29"/>
  <c r="BV798" i="29" s="1"/>
  <c r="CA798" i="29"/>
  <c r="BU798" i="29" s="1"/>
  <c r="AA797" i="29"/>
  <c r="BN802" i="29"/>
  <c r="BO802" i="29"/>
  <c r="BR801" i="29"/>
  <c r="BQ802" i="29"/>
  <c r="BQ803" i="29" s="1"/>
  <c r="U799" i="29"/>
  <c r="X797" i="29"/>
  <c r="T800" i="29"/>
  <c r="S800" i="29"/>
  <c r="V799" i="29"/>
  <c r="AE799" i="29"/>
  <c r="AF799" i="29"/>
  <c r="J800" i="29"/>
  <c r="K800" i="29"/>
  <c r="L799" i="29"/>
  <c r="Q798" i="29"/>
  <c r="X798" i="29" s="1"/>
  <c r="R798" i="29"/>
  <c r="BZ745" i="29"/>
  <c r="BX746" i="29" s="1"/>
  <c r="AZ799" i="29"/>
  <c r="BH799" i="29"/>
  <c r="BB799" i="29" s="1"/>
  <c r="BD801" i="29"/>
  <c r="BP800" i="29"/>
  <c r="BE800" i="29"/>
  <c r="BG800" i="29" s="1"/>
  <c r="BA800" i="29" s="1"/>
  <c r="BC800" i="29"/>
  <c r="BF800" i="29" s="1"/>
  <c r="CC798" i="29" l="1"/>
  <c r="J801" i="29"/>
  <c r="K801" i="29"/>
  <c r="L800" i="29"/>
  <c r="Q799" i="29"/>
  <c r="X799" i="29" s="1"/>
  <c r="R799" i="29"/>
  <c r="U800" i="29"/>
  <c r="AB799" i="29"/>
  <c r="BR802" i="29"/>
  <c r="BN803" i="29"/>
  <c r="BO803" i="29"/>
  <c r="BY802" i="29"/>
  <c r="W798" i="29"/>
  <c r="Y798" i="29" s="1"/>
  <c r="M798" i="29"/>
  <c r="AA798" i="29"/>
  <c r="CA799" i="29"/>
  <c r="BU799" i="29" s="1"/>
  <c r="CB799" i="29"/>
  <c r="BV799" i="29" s="1"/>
  <c r="S801" i="29"/>
  <c r="V800" i="29"/>
  <c r="T801" i="29"/>
  <c r="AE800" i="29"/>
  <c r="AF800" i="29"/>
  <c r="AC799" i="29"/>
  <c r="BZ746" i="29"/>
  <c r="BX747" i="29" s="1"/>
  <c r="BH800" i="29"/>
  <c r="BB800" i="29" s="1"/>
  <c r="AZ800" i="29"/>
  <c r="BD802" i="29"/>
  <c r="BC801" i="29"/>
  <c r="BF801" i="29" s="1"/>
  <c r="BP801" i="29"/>
  <c r="BE801" i="29"/>
  <c r="BG801" i="29" s="1"/>
  <c r="BA801" i="29" s="1"/>
  <c r="BI801" i="29"/>
  <c r="CC799" i="29" l="1"/>
  <c r="K802" i="29"/>
  <c r="L801" i="29"/>
  <c r="J802" i="29"/>
  <c r="U801" i="29"/>
  <c r="AC801" i="29" s="1"/>
  <c r="BR803" i="29"/>
  <c r="BY803" i="29"/>
  <c r="BO804" i="29"/>
  <c r="BN804" i="29"/>
  <c r="CB800" i="29"/>
  <c r="BV800" i="29" s="1"/>
  <c r="W799" i="29"/>
  <c r="Y799" i="29" s="1"/>
  <c r="M799" i="29"/>
  <c r="CA800" i="29"/>
  <c r="BU800" i="29" s="1"/>
  <c r="AA799" i="29"/>
  <c r="BQ804" i="29"/>
  <c r="BQ805" i="29" s="1"/>
  <c r="T802" i="29"/>
  <c r="S802" i="29"/>
  <c r="V801" i="29"/>
  <c r="AF801" i="29"/>
  <c r="AE801" i="29"/>
  <c r="R800" i="29"/>
  <c r="Q800" i="29"/>
  <c r="BZ747" i="29"/>
  <c r="BX748" i="29" s="1"/>
  <c r="BH801" i="29"/>
  <c r="BB801" i="29" s="1"/>
  <c r="AZ801" i="29"/>
  <c r="BD803" i="29"/>
  <c r="BP802" i="29"/>
  <c r="BE802" i="29"/>
  <c r="BG802" i="29" s="1"/>
  <c r="BA802" i="29" s="1"/>
  <c r="BC802" i="29"/>
  <c r="BF802" i="29" s="1"/>
  <c r="AB801" i="29" l="1"/>
  <c r="CA801" i="29"/>
  <c r="BU801" i="29" s="1"/>
  <c r="AA800" i="29"/>
  <c r="W800" i="29"/>
  <c r="CC800" i="29"/>
  <c r="BQ806" i="29"/>
  <c r="BN805" i="29"/>
  <c r="BO805" i="29"/>
  <c r="BR804" i="29"/>
  <c r="BY804" i="29"/>
  <c r="K803" i="29"/>
  <c r="J803" i="29"/>
  <c r="L802" i="29"/>
  <c r="U802" i="29"/>
  <c r="AC802" i="29" s="1"/>
  <c r="V802" i="29"/>
  <c r="T803" i="29"/>
  <c r="S803" i="29"/>
  <c r="AE802" i="29"/>
  <c r="AF802" i="29"/>
  <c r="R801" i="29"/>
  <c r="Q801" i="29"/>
  <c r="X801" i="29" s="1"/>
  <c r="BZ748" i="29"/>
  <c r="BX749" i="29" s="1"/>
  <c r="BE803" i="29"/>
  <c r="BG803" i="29" s="1"/>
  <c r="BA803" i="29" s="1"/>
  <c r="BP803" i="29"/>
  <c r="BC803" i="29"/>
  <c r="BF803" i="29" s="1"/>
  <c r="BD804" i="29"/>
  <c r="AZ802" i="29"/>
  <c r="BH802" i="29"/>
  <c r="BB802" i="29" s="1"/>
  <c r="AB802" i="29" l="1"/>
  <c r="U803" i="29"/>
  <c r="AB803" i="29" s="1"/>
  <c r="L803" i="29"/>
  <c r="J804" i="29"/>
  <c r="K804" i="29"/>
  <c r="T804" i="29"/>
  <c r="S804" i="29"/>
  <c r="V803" i="29"/>
  <c r="AE803" i="29"/>
  <c r="AF803" i="29"/>
  <c r="BQ807" i="29"/>
  <c r="CA802" i="29"/>
  <c r="BU802" i="29" s="1"/>
  <c r="W801" i="29"/>
  <c r="Y801" i="29" s="1"/>
  <c r="M801" i="29"/>
  <c r="AA801" i="29"/>
  <c r="R802" i="29"/>
  <c r="Q802" i="29"/>
  <c r="BY805" i="29"/>
  <c r="BN806" i="29"/>
  <c r="BR805" i="29"/>
  <c r="BO806" i="29"/>
  <c r="BZ749" i="29"/>
  <c r="BX750" i="29" s="1"/>
  <c r="BP804" i="29"/>
  <c r="BD805" i="29"/>
  <c r="BE804" i="29"/>
  <c r="BG804" i="29" s="1"/>
  <c r="BA804" i="29" s="1"/>
  <c r="BC804" i="29"/>
  <c r="BF804" i="29" s="1"/>
  <c r="BH803" i="29"/>
  <c r="BB803" i="29" s="1"/>
  <c r="AZ803" i="29"/>
  <c r="W802" i="29" l="1"/>
  <c r="Y802" i="29" s="1"/>
  <c r="AA802" i="29"/>
  <c r="CA803" i="29"/>
  <c r="BU803" i="29" s="1"/>
  <c r="M802" i="29"/>
  <c r="U804" i="29"/>
  <c r="T805" i="29"/>
  <c r="S805" i="29"/>
  <c r="V804" i="29"/>
  <c r="AF804" i="29"/>
  <c r="AE804" i="29"/>
  <c r="Q803" i="29"/>
  <c r="R803" i="29"/>
  <c r="BR806" i="29"/>
  <c r="BY806" i="29"/>
  <c r="BO807" i="29"/>
  <c r="BQ808" i="29" s="1"/>
  <c r="BN807" i="29"/>
  <c r="X802" i="29"/>
  <c r="L804" i="29"/>
  <c r="J805" i="29"/>
  <c r="K805" i="29"/>
  <c r="AC803" i="29"/>
  <c r="BZ750" i="29"/>
  <c r="BX751" i="29" s="1"/>
  <c r="BE805" i="29"/>
  <c r="BG805" i="29" s="1"/>
  <c r="BA805" i="29" s="1"/>
  <c r="BD806" i="29"/>
  <c r="BC805" i="29"/>
  <c r="BF805" i="29" s="1"/>
  <c r="BP805" i="29"/>
  <c r="AZ804" i="29"/>
  <c r="BH804" i="29"/>
  <c r="BB804" i="29" s="1"/>
  <c r="M803" i="29" l="1"/>
  <c r="AA803" i="29"/>
  <c r="CA804" i="29"/>
  <c r="BU804" i="29" s="1"/>
  <c r="W803" i="29"/>
  <c r="Y803" i="29" s="1"/>
  <c r="Q804" i="29"/>
  <c r="X804" i="29" s="1"/>
  <c r="R804" i="29"/>
  <c r="K806" i="29"/>
  <c r="L805" i="29"/>
  <c r="J806" i="29"/>
  <c r="X803" i="29"/>
  <c r="U805" i="29"/>
  <c r="AB805" i="29" s="1"/>
  <c r="AB804" i="29"/>
  <c r="BY807" i="29"/>
  <c r="BN808" i="29"/>
  <c r="BO808" i="29"/>
  <c r="BR807" i="29"/>
  <c r="S806" i="29"/>
  <c r="T806" i="29"/>
  <c r="V805" i="29"/>
  <c r="AE805" i="29"/>
  <c r="AF805" i="29"/>
  <c r="AC804" i="29"/>
  <c r="BZ751" i="29"/>
  <c r="BX752" i="29" s="1"/>
  <c r="BC806" i="29"/>
  <c r="BF806" i="29" s="1"/>
  <c r="BE806" i="29"/>
  <c r="BG806" i="29" s="1"/>
  <c r="BA806" i="29" s="1"/>
  <c r="BP806" i="29"/>
  <c r="BD807" i="29"/>
  <c r="AZ805" i="29"/>
  <c r="BH805" i="29"/>
  <c r="BB805" i="29" s="1"/>
  <c r="AC805" i="29" l="1"/>
  <c r="L806" i="29"/>
  <c r="J807" i="29"/>
  <c r="K807" i="29"/>
  <c r="BY808" i="29"/>
  <c r="BN809" i="29"/>
  <c r="BR808" i="29"/>
  <c r="BO809" i="29"/>
  <c r="R805" i="29"/>
  <c r="Q805" i="29"/>
  <c r="X805" i="29" s="1"/>
  <c r="S807" i="29"/>
  <c r="V806" i="29"/>
  <c r="T807" i="29"/>
  <c r="AE806" i="29"/>
  <c r="AF806" i="29"/>
  <c r="U806" i="29"/>
  <c r="CA805" i="29"/>
  <c r="BU805" i="29" s="1"/>
  <c r="W804" i="29"/>
  <c r="Y804" i="29" s="1"/>
  <c r="AA804" i="29"/>
  <c r="M804" i="29"/>
  <c r="BQ809" i="29"/>
  <c r="BZ752" i="29"/>
  <c r="BY753" i="29" s="1"/>
  <c r="AZ806" i="29"/>
  <c r="BH806" i="29"/>
  <c r="BB806" i="29" s="1"/>
  <c r="BP807" i="29"/>
  <c r="BE807" i="29"/>
  <c r="BG807" i="29" s="1"/>
  <c r="BA807" i="29" s="1"/>
  <c r="BD808" i="29"/>
  <c r="BC807" i="29"/>
  <c r="BF807" i="29" s="1"/>
  <c r="R806" i="29" l="1"/>
  <c r="Q806" i="29"/>
  <c r="U807" i="29"/>
  <c r="AC807" i="29" s="1"/>
  <c r="BR809" i="29"/>
  <c r="BO810" i="29"/>
  <c r="BY809" i="29"/>
  <c r="BN810" i="29"/>
  <c r="L807" i="29"/>
  <c r="J808" i="29"/>
  <c r="K808" i="29"/>
  <c r="BQ810" i="29"/>
  <c r="AB806" i="29"/>
  <c r="M805" i="29"/>
  <c r="W805" i="29"/>
  <c r="Y805" i="29" s="1"/>
  <c r="AA805" i="29"/>
  <c r="CA806" i="29"/>
  <c r="BU806" i="29" s="1"/>
  <c r="AC806" i="29"/>
  <c r="S808" i="29"/>
  <c r="V807" i="29"/>
  <c r="T808" i="29"/>
  <c r="AE807" i="29"/>
  <c r="AF807" i="29"/>
  <c r="BW753" i="29"/>
  <c r="BX753" i="29"/>
  <c r="BD809" i="29"/>
  <c r="BP808" i="29"/>
  <c r="BC808" i="29"/>
  <c r="BF808" i="29" s="1"/>
  <c r="BE808" i="29"/>
  <c r="BG808" i="29" s="1"/>
  <c r="BA808" i="29" s="1"/>
  <c r="BH807" i="29"/>
  <c r="BB807" i="29" s="1"/>
  <c r="AZ807" i="29"/>
  <c r="BO811" i="29" l="1"/>
  <c r="BY810" i="29"/>
  <c r="BR810" i="29"/>
  <c r="BN811" i="29"/>
  <c r="U808" i="29"/>
  <c r="X806" i="29"/>
  <c r="AA806" i="29"/>
  <c r="W806" i="29"/>
  <c r="Y806" i="29" s="1"/>
  <c r="M806" i="29"/>
  <c r="CA807" i="29"/>
  <c r="BU807" i="29" s="1"/>
  <c r="BQ811" i="29"/>
  <c r="BQ812" i="29" s="1"/>
  <c r="R807" i="29"/>
  <c r="Q807" i="29"/>
  <c r="X807" i="29" s="1"/>
  <c r="S809" i="29"/>
  <c r="V808" i="29"/>
  <c r="T809" i="29"/>
  <c r="AE808" i="29"/>
  <c r="AF808" i="29"/>
  <c r="K809" i="29"/>
  <c r="J809" i="29"/>
  <c r="L808" i="29"/>
  <c r="AB807" i="29"/>
  <c r="BH808" i="29"/>
  <c r="BB808" i="29" s="1"/>
  <c r="AZ808" i="29"/>
  <c r="BC809" i="29"/>
  <c r="BF809" i="29" s="1"/>
  <c r="BD810" i="29"/>
  <c r="BP809" i="29"/>
  <c r="BE809" i="29"/>
  <c r="BG809" i="29" s="1"/>
  <c r="BA809" i="29" s="1"/>
  <c r="BZ753" i="29"/>
  <c r="BX754" i="29" s="1"/>
  <c r="BS753" i="29"/>
  <c r="BT753" i="29"/>
  <c r="M752" i="29" s="1"/>
  <c r="R808" i="29" l="1"/>
  <c r="Q808" i="29"/>
  <c r="J810" i="29"/>
  <c r="L809" i="29"/>
  <c r="K810" i="29"/>
  <c r="V809" i="29"/>
  <c r="S810" i="29"/>
  <c r="T810" i="29"/>
  <c r="AF809" i="29"/>
  <c r="AE809" i="29"/>
  <c r="CA808" i="29"/>
  <c r="BU808" i="29" s="1"/>
  <c r="W807" i="29"/>
  <c r="Y807" i="29" s="1"/>
  <c r="M807" i="29"/>
  <c r="AA807" i="29"/>
  <c r="AC808" i="29"/>
  <c r="AB808" i="29"/>
  <c r="BR811" i="29"/>
  <c r="BO812" i="29"/>
  <c r="BY811" i="29"/>
  <c r="BN812" i="29"/>
  <c r="U809" i="29"/>
  <c r="AB809" i="29" s="1"/>
  <c r="BE810" i="29"/>
  <c r="BG810" i="29" s="1"/>
  <c r="BA810" i="29" s="1"/>
  <c r="BD811" i="29"/>
  <c r="BP810" i="29"/>
  <c r="BC810" i="29"/>
  <c r="BF810" i="29" s="1"/>
  <c r="BZ754" i="29"/>
  <c r="BX755" i="29" s="1"/>
  <c r="BH809" i="29"/>
  <c r="BB809" i="29" s="1"/>
  <c r="AZ809" i="29"/>
  <c r="H72" i="29"/>
  <c r="K65" i="40" s="1"/>
  <c r="X752" i="29"/>
  <c r="Y752" i="29" s="1"/>
  <c r="Z752" i="29" s="1"/>
  <c r="AB752" i="29" l="1"/>
  <c r="AC752" i="29"/>
  <c r="Z753" i="29"/>
  <c r="Z754" i="29" s="1"/>
  <c r="Z755" i="29" s="1"/>
  <c r="Z756" i="29" s="1"/>
  <c r="Z757" i="29" s="1"/>
  <c r="Z758" i="29" s="1"/>
  <c r="Z759" i="29" s="1"/>
  <c r="Z760" i="29" s="1"/>
  <c r="Z761" i="29" s="1"/>
  <c r="Z762" i="29" s="1"/>
  <c r="Z763" i="29" s="1"/>
  <c r="CB765" i="29"/>
  <c r="G72" i="29"/>
  <c r="L65" i="40" s="1"/>
  <c r="AC809" i="29"/>
  <c r="BR812" i="29"/>
  <c r="BO813" i="29"/>
  <c r="BN813" i="29"/>
  <c r="BY812" i="29"/>
  <c r="J811" i="29"/>
  <c r="L810" i="29"/>
  <c r="K811" i="29"/>
  <c r="S811" i="29"/>
  <c r="V810" i="29"/>
  <c r="T811" i="29"/>
  <c r="AF810" i="29"/>
  <c r="AE810" i="29"/>
  <c r="U810" i="29"/>
  <c r="AB810" i="29" s="1"/>
  <c r="BQ813" i="29"/>
  <c r="BQ814" i="29" s="1"/>
  <c r="AA808" i="29"/>
  <c r="W808" i="29"/>
  <c r="Y808" i="29" s="1"/>
  <c r="M808" i="29"/>
  <c r="CA809" i="29"/>
  <c r="BU809" i="29" s="1"/>
  <c r="R809" i="29"/>
  <c r="Q809" i="29"/>
  <c r="X809" i="29" s="1"/>
  <c r="X808" i="29"/>
  <c r="BE811" i="29"/>
  <c r="BG811" i="29" s="1"/>
  <c r="BA811" i="29" s="1"/>
  <c r="BD812" i="29"/>
  <c r="BC811" i="29"/>
  <c r="BF811" i="29" s="1"/>
  <c r="BP811" i="29"/>
  <c r="BH810" i="29"/>
  <c r="BB810" i="29" s="1"/>
  <c r="AZ810" i="29"/>
  <c r="D219" i="15"/>
  <c r="I89" i="39"/>
  <c r="G85" i="15"/>
  <c r="BZ755" i="29"/>
  <c r="BX756" i="29" s="1"/>
  <c r="CC765" i="29" l="1"/>
  <c r="BV765" i="29"/>
  <c r="L89" i="39"/>
  <c r="F219" i="15"/>
  <c r="AC810" i="29"/>
  <c r="K812" i="29"/>
  <c r="L811" i="29"/>
  <c r="J812" i="29"/>
  <c r="T812" i="29"/>
  <c r="V811" i="29"/>
  <c r="S812" i="29"/>
  <c r="AF811" i="29"/>
  <c r="AE811" i="29"/>
  <c r="BR813" i="29"/>
  <c r="BO814" i="29"/>
  <c r="BN814" i="29"/>
  <c r="CA810" i="29"/>
  <c r="BU810" i="29" s="1"/>
  <c r="AA809" i="29"/>
  <c r="W809" i="29"/>
  <c r="Y809" i="29" s="1"/>
  <c r="M809" i="29"/>
  <c r="BQ815" i="29"/>
  <c r="Q810" i="29"/>
  <c r="R810" i="29"/>
  <c r="U811" i="29"/>
  <c r="AB811" i="29" s="1"/>
  <c r="BZ756" i="29"/>
  <c r="BX757" i="29" s="1"/>
  <c r="AZ811" i="29"/>
  <c r="BH811" i="29"/>
  <c r="BB811" i="29" s="1"/>
  <c r="BC812" i="29"/>
  <c r="BF812" i="29" s="1"/>
  <c r="BE812" i="29"/>
  <c r="BG812" i="29" s="1"/>
  <c r="BA812" i="29" s="1"/>
  <c r="BD813" i="29"/>
  <c r="BP812" i="29"/>
  <c r="AC811" i="29" l="1"/>
  <c r="BY814" i="29"/>
  <c r="BR814" i="29"/>
  <c r="BN815" i="29"/>
  <c r="BO815" i="29"/>
  <c r="U812" i="29"/>
  <c r="T813" i="29"/>
  <c r="V812" i="29"/>
  <c r="S813" i="29"/>
  <c r="AE812" i="29"/>
  <c r="AF812" i="29"/>
  <c r="L812" i="29"/>
  <c r="K813" i="29"/>
  <c r="J813" i="29"/>
  <c r="R811" i="29"/>
  <c r="Q811" i="29"/>
  <c r="X811" i="29" s="1"/>
  <c r="X810" i="29"/>
  <c r="AA810" i="29"/>
  <c r="CA811" i="29"/>
  <c r="BU811" i="29" s="1"/>
  <c r="W810" i="29"/>
  <c r="Y810" i="29" s="1"/>
  <c r="M810" i="29"/>
  <c r="BZ757" i="29"/>
  <c r="BX758" i="29" s="1"/>
  <c r="BI813" i="29"/>
  <c r="BP813" i="29"/>
  <c r="BD814" i="29"/>
  <c r="BE813" i="29"/>
  <c r="BG813" i="29" s="1"/>
  <c r="BA813" i="29" s="1"/>
  <c r="BC813" i="29"/>
  <c r="BF813" i="29" s="1"/>
  <c r="BH812" i="29"/>
  <c r="BB812" i="29" s="1"/>
  <c r="AZ812" i="29"/>
  <c r="Q812" i="29" l="1"/>
  <c r="R812" i="29"/>
  <c r="S814" i="29"/>
  <c r="V813" i="29"/>
  <c r="T814" i="29"/>
  <c r="AE813" i="29"/>
  <c r="AF813" i="29"/>
  <c r="BN816" i="29"/>
  <c r="BR815" i="29"/>
  <c r="BO816" i="29"/>
  <c r="BY815" i="29"/>
  <c r="BQ816" i="29"/>
  <c r="BQ817" i="29" s="1"/>
  <c r="AA811" i="29"/>
  <c r="M811" i="29"/>
  <c r="CA812" i="29"/>
  <c r="BU812" i="29" s="1"/>
  <c r="W811" i="29"/>
  <c r="Y811" i="29" s="1"/>
  <c r="K814" i="29"/>
  <c r="L813" i="29"/>
  <c r="J814" i="29"/>
  <c r="U813" i="29"/>
  <c r="AB813" i="29" s="1"/>
  <c r="BZ758" i="29"/>
  <c r="BX759" i="29" s="1"/>
  <c r="AZ813" i="29"/>
  <c r="BH813" i="29"/>
  <c r="BB813" i="29" s="1"/>
  <c r="BD815" i="29"/>
  <c r="BC814" i="29"/>
  <c r="BF814" i="29" s="1"/>
  <c r="BP814" i="29"/>
  <c r="BE814" i="29"/>
  <c r="BG814" i="29" s="1"/>
  <c r="BA814" i="29" s="1"/>
  <c r="AC813" i="29" l="1"/>
  <c r="U814" i="29"/>
  <c r="AB814" i="29" s="1"/>
  <c r="Q813" i="29"/>
  <c r="R813" i="29"/>
  <c r="BO817" i="29"/>
  <c r="BY816" i="29"/>
  <c r="BR816" i="29"/>
  <c r="BN817" i="29"/>
  <c r="T815" i="29"/>
  <c r="S815" i="29"/>
  <c r="V814" i="29"/>
  <c r="AF814" i="29"/>
  <c r="AE814" i="29"/>
  <c r="AA812" i="29"/>
  <c r="CA813" i="29"/>
  <c r="BU813" i="29" s="1"/>
  <c r="W812" i="29"/>
  <c r="K815" i="29"/>
  <c r="L814" i="29"/>
  <c r="J815" i="29"/>
  <c r="BQ818" i="29"/>
  <c r="BZ759" i="29"/>
  <c r="BX760" i="29" s="1"/>
  <c r="AZ814" i="29"/>
  <c r="BH814" i="29"/>
  <c r="BB814" i="29" s="1"/>
  <c r="BD816" i="29"/>
  <c r="BC815" i="29"/>
  <c r="BF815" i="29" s="1"/>
  <c r="BE815" i="29"/>
  <c r="BG815" i="29" s="1"/>
  <c r="BA815" i="29" s="1"/>
  <c r="BP815" i="29"/>
  <c r="S816" i="29" l="1"/>
  <c r="T816" i="29"/>
  <c r="V815" i="29"/>
  <c r="AF815" i="29"/>
  <c r="AE815" i="29"/>
  <c r="BR817" i="29"/>
  <c r="BY817" i="29"/>
  <c r="BO818" i="29"/>
  <c r="BN818" i="29"/>
  <c r="AC814" i="29"/>
  <c r="U815" i="29"/>
  <c r="AB815" i="29" s="1"/>
  <c r="Q814" i="29"/>
  <c r="R814" i="29"/>
  <c r="J816" i="29"/>
  <c r="K816" i="29"/>
  <c r="L815" i="29"/>
  <c r="X813" i="29"/>
  <c r="W813" i="29"/>
  <c r="Y813" i="29" s="1"/>
  <c r="M813" i="29"/>
  <c r="AA813" i="29"/>
  <c r="CA814" i="29"/>
  <c r="BU814" i="29" s="1"/>
  <c r="BZ760" i="29"/>
  <c r="BX761" i="29" s="1"/>
  <c r="AZ815" i="29"/>
  <c r="BH815" i="29"/>
  <c r="BB815" i="29" s="1"/>
  <c r="BD817" i="29"/>
  <c r="BE816" i="29"/>
  <c r="BG816" i="29" s="1"/>
  <c r="BA816" i="29" s="1"/>
  <c r="BP816" i="29"/>
  <c r="BC816" i="29"/>
  <c r="BF816" i="29" s="1"/>
  <c r="AA814" i="29" l="1"/>
  <c r="M814" i="29"/>
  <c r="CA815" i="29"/>
  <c r="BU815" i="29" s="1"/>
  <c r="W814" i="29"/>
  <c r="Y814" i="29" s="1"/>
  <c r="K817" i="29"/>
  <c r="L816" i="29"/>
  <c r="J817" i="29"/>
  <c r="BO819" i="29"/>
  <c r="BN819" i="29"/>
  <c r="BR818" i="29"/>
  <c r="BY818" i="29"/>
  <c r="BQ819" i="29"/>
  <c r="BQ820" i="29" s="1"/>
  <c r="Q815" i="29"/>
  <c r="X815" i="29" s="1"/>
  <c r="R815" i="29"/>
  <c r="V816" i="29"/>
  <c r="S817" i="29"/>
  <c r="T817" i="29"/>
  <c r="AE816" i="29"/>
  <c r="AF816" i="29"/>
  <c r="X814" i="29"/>
  <c r="AC815" i="29"/>
  <c r="U816" i="29"/>
  <c r="BZ761" i="29"/>
  <c r="BX762" i="29" s="1"/>
  <c r="BH816" i="29"/>
  <c r="BB816" i="29" s="1"/>
  <c r="AZ816" i="29"/>
  <c r="BD818" i="29"/>
  <c r="BP817" i="29"/>
  <c r="BC817" i="29"/>
  <c r="BF817" i="29" s="1"/>
  <c r="BE817" i="29"/>
  <c r="BG817" i="29" s="1"/>
  <c r="BA817" i="29" s="1"/>
  <c r="Q816" i="29" l="1"/>
  <c r="X816" i="29" s="1"/>
  <c r="R816" i="29"/>
  <c r="U817" i="29"/>
  <c r="AB817" i="29" s="1"/>
  <c r="W815" i="29"/>
  <c r="Y815" i="29" s="1"/>
  <c r="AA815" i="29"/>
  <c r="CA816" i="29"/>
  <c r="BU816" i="29" s="1"/>
  <c r="M815" i="29"/>
  <c r="J818" i="29"/>
  <c r="L817" i="29"/>
  <c r="K818" i="29"/>
  <c r="V817" i="29"/>
  <c r="S818" i="29"/>
  <c r="T818" i="29"/>
  <c r="AE817" i="29"/>
  <c r="AF817" i="29"/>
  <c r="AB816" i="29"/>
  <c r="AC816" i="29"/>
  <c r="BQ821" i="29"/>
  <c r="BY819" i="29"/>
  <c r="BO820" i="29"/>
  <c r="BN820" i="29"/>
  <c r="BR819" i="29"/>
  <c r="BZ762" i="29"/>
  <c r="BX763" i="29" s="1"/>
  <c r="BE818" i="29"/>
  <c r="BG818" i="29" s="1"/>
  <c r="BA818" i="29" s="1"/>
  <c r="BD819" i="29"/>
  <c r="BP818" i="29"/>
  <c r="BC818" i="29"/>
  <c r="BF818" i="29" s="1"/>
  <c r="BH817" i="29"/>
  <c r="BB817" i="29" s="1"/>
  <c r="AZ817" i="29"/>
  <c r="BO821" i="29" l="1"/>
  <c r="BN821" i="29"/>
  <c r="BR820" i="29"/>
  <c r="BY820" i="29"/>
  <c r="U818" i="29"/>
  <c r="AB818" i="29" s="1"/>
  <c r="R817" i="29"/>
  <c r="Q817" i="29"/>
  <c r="X817" i="29" s="1"/>
  <c r="V818" i="29"/>
  <c r="S819" i="29"/>
  <c r="T819" i="29"/>
  <c r="AF818" i="29"/>
  <c r="AE818" i="29"/>
  <c r="AA816" i="29"/>
  <c r="W816" i="29"/>
  <c r="Y816" i="29" s="1"/>
  <c r="M816" i="29"/>
  <c r="CA817" i="29"/>
  <c r="BU817" i="29" s="1"/>
  <c r="BQ822" i="29"/>
  <c r="J819" i="29"/>
  <c r="L818" i="29"/>
  <c r="K819" i="29"/>
  <c r="AC817" i="29"/>
  <c r="BZ763" i="29"/>
  <c r="BX764" i="29" s="1"/>
  <c r="BC819" i="29"/>
  <c r="BF819" i="29" s="1"/>
  <c r="BD820" i="29"/>
  <c r="BP819" i="29"/>
  <c r="BE819" i="29"/>
  <c r="BG819" i="29" s="1"/>
  <c r="BA819" i="29" s="1"/>
  <c r="AZ818" i="29"/>
  <c r="BH818" i="29"/>
  <c r="BB818" i="29" s="1"/>
  <c r="AC818" i="29" l="1"/>
  <c r="AA817" i="29"/>
  <c r="W817" i="29"/>
  <c r="Y817" i="29" s="1"/>
  <c r="CA818" i="29"/>
  <c r="BU818" i="29" s="1"/>
  <c r="M817" i="29"/>
  <c r="U819" i="29"/>
  <c r="AC819" i="29" s="1"/>
  <c r="J820" i="29"/>
  <c r="K820" i="29"/>
  <c r="L819" i="29"/>
  <c r="T820" i="29"/>
  <c r="V819" i="29"/>
  <c r="S820" i="29"/>
  <c r="AE819" i="29"/>
  <c r="AF819" i="29"/>
  <c r="BR821" i="29"/>
  <c r="BO822" i="29"/>
  <c r="BN822" i="29"/>
  <c r="BY821" i="29"/>
  <c r="R818" i="29"/>
  <c r="Q818" i="29"/>
  <c r="X818" i="29" s="1"/>
  <c r="BZ764" i="29"/>
  <c r="BY765" i="29" s="1"/>
  <c r="BP820" i="29"/>
  <c r="BC820" i="29"/>
  <c r="BF820" i="29" s="1"/>
  <c r="BE820" i="29"/>
  <c r="BG820" i="29" s="1"/>
  <c r="BA820" i="29" s="1"/>
  <c r="BD821" i="29"/>
  <c r="AZ819" i="29"/>
  <c r="BH819" i="29"/>
  <c r="BB819" i="29" s="1"/>
  <c r="S821" i="29" l="1"/>
  <c r="T821" i="29"/>
  <c r="V820" i="29"/>
  <c r="AF820" i="29"/>
  <c r="AE820" i="29"/>
  <c r="Q819" i="29"/>
  <c r="R819" i="29"/>
  <c r="CA819" i="29"/>
  <c r="BU819" i="29" s="1"/>
  <c r="M818" i="29"/>
  <c r="W818" i="29"/>
  <c r="Y818" i="29" s="1"/>
  <c r="AA818" i="29"/>
  <c r="BR822" i="29"/>
  <c r="BN823" i="29"/>
  <c r="BO823" i="29"/>
  <c r="BY822" i="29"/>
  <c r="U820" i="29"/>
  <c r="AC820" i="29" s="1"/>
  <c r="L820" i="29"/>
  <c r="K821" i="29"/>
  <c r="J821" i="29"/>
  <c r="AB819" i="29"/>
  <c r="BQ823" i="29"/>
  <c r="BQ824" i="29" s="1"/>
  <c r="BW765" i="29"/>
  <c r="BX765" i="29"/>
  <c r="BH820" i="29"/>
  <c r="BB820" i="29" s="1"/>
  <c r="AZ820" i="29"/>
  <c r="BE821" i="29"/>
  <c r="BG821" i="29" s="1"/>
  <c r="BA821" i="29" s="1"/>
  <c r="BD822" i="29"/>
  <c r="BP821" i="29"/>
  <c r="BC821" i="29"/>
  <c r="BF821" i="29" s="1"/>
  <c r="W819" i="29" l="1"/>
  <c r="Y819" i="29" s="1"/>
  <c r="M819" i="29"/>
  <c r="AA819" i="29"/>
  <c r="CA820" i="29"/>
  <c r="BU820" i="29" s="1"/>
  <c r="R820" i="29"/>
  <c r="Q820" i="29"/>
  <c r="BO824" i="29"/>
  <c r="BR823" i="29"/>
  <c r="BY823" i="29"/>
  <c r="BN824" i="29"/>
  <c r="S822" i="29"/>
  <c r="V821" i="29"/>
  <c r="T822" i="29"/>
  <c r="AE821" i="29"/>
  <c r="AF821" i="29"/>
  <c r="BQ825" i="29"/>
  <c r="X819" i="29"/>
  <c r="U821" i="29"/>
  <c r="AC821" i="29" s="1"/>
  <c r="L821" i="29"/>
  <c r="K822" i="29"/>
  <c r="J822" i="29"/>
  <c r="AB820" i="29"/>
  <c r="BH821" i="29"/>
  <c r="BB821" i="29" s="1"/>
  <c r="AZ821" i="29"/>
  <c r="BZ765" i="29"/>
  <c r="BX766" i="29" s="1"/>
  <c r="BC822" i="29"/>
  <c r="BF822" i="29" s="1"/>
  <c r="BP822" i="29"/>
  <c r="BE822" i="29"/>
  <c r="BG822" i="29" s="1"/>
  <c r="BA822" i="29" s="1"/>
  <c r="BD823" i="29"/>
  <c r="BT765" i="29"/>
  <c r="M764" i="29" s="1"/>
  <c r="BS765" i="29"/>
  <c r="AB821" i="29" l="1"/>
  <c r="K823" i="29"/>
  <c r="L822" i="29"/>
  <c r="J823" i="29"/>
  <c r="U822" i="29"/>
  <c r="BN825" i="29"/>
  <c r="BR824" i="29"/>
  <c r="BO825" i="29"/>
  <c r="BY824" i="29"/>
  <c r="AA820" i="29"/>
  <c r="W820" i="29"/>
  <c r="Y820" i="29" s="1"/>
  <c r="CA821" i="29"/>
  <c r="BU821" i="29" s="1"/>
  <c r="M820" i="29"/>
  <c r="Q821" i="29"/>
  <c r="X821" i="29" s="1"/>
  <c r="R821" i="29"/>
  <c r="V822" i="29"/>
  <c r="S823" i="29"/>
  <c r="T823" i="29"/>
  <c r="AE822" i="29"/>
  <c r="AF822" i="29"/>
  <c r="X820" i="29"/>
  <c r="BZ766" i="29"/>
  <c r="BX767" i="29" s="1"/>
  <c r="BP823" i="29"/>
  <c r="BC823" i="29"/>
  <c r="BF823" i="29" s="1"/>
  <c r="BE823" i="29"/>
  <c r="BG823" i="29" s="1"/>
  <c r="BA823" i="29" s="1"/>
  <c r="BD824" i="29"/>
  <c r="H73" i="29"/>
  <c r="K66" i="40" s="1"/>
  <c r="X764" i="29"/>
  <c r="Y764" i="29" s="1"/>
  <c r="Z764" i="29" s="1"/>
  <c r="BH822" i="29"/>
  <c r="BB822" i="29" s="1"/>
  <c r="AZ822" i="29"/>
  <c r="AB764" i="29" l="1"/>
  <c r="AC764" i="29"/>
  <c r="Z765" i="29"/>
  <c r="Z766" i="29" s="1"/>
  <c r="Z767" i="29" s="1"/>
  <c r="Z768" i="29" s="1"/>
  <c r="Z769" i="29" s="1"/>
  <c r="Z770" i="29" s="1"/>
  <c r="Z771" i="29" s="1"/>
  <c r="Z772" i="29" s="1"/>
  <c r="Z773" i="29" s="1"/>
  <c r="Z774" i="29" s="1"/>
  <c r="Z775" i="29" s="1"/>
  <c r="CB777" i="29"/>
  <c r="G73" i="29"/>
  <c r="L66" i="40" s="1"/>
  <c r="Q822" i="29"/>
  <c r="X822" i="29" s="1"/>
  <c r="R822" i="29"/>
  <c r="BN826" i="29"/>
  <c r="BR825" i="29"/>
  <c r="BO826" i="29"/>
  <c r="AC822" i="29"/>
  <c r="L823" i="29"/>
  <c r="K824" i="29"/>
  <c r="J824" i="29"/>
  <c r="T824" i="29"/>
  <c r="V823" i="29"/>
  <c r="S824" i="29"/>
  <c r="AE823" i="29"/>
  <c r="AF823" i="29"/>
  <c r="AB822" i="29"/>
  <c r="BQ826" i="29"/>
  <c r="BQ827" i="29" s="1"/>
  <c r="U823" i="29"/>
  <c r="AB823" i="29" s="1"/>
  <c r="W821" i="29"/>
  <c r="Y821" i="29" s="1"/>
  <c r="CA822" i="29"/>
  <c r="BU822" i="29" s="1"/>
  <c r="AA821" i="29"/>
  <c r="M821" i="29"/>
  <c r="D220" i="15"/>
  <c r="I90" i="39"/>
  <c r="G86" i="15"/>
  <c r="BH823" i="29"/>
  <c r="BB823" i="29" s="1"/>
  <c r="AZ823" i="29"/>
  <c r="BE824" i="29"/>
  <c r="BG824" i="29" s="1"/>
  <c r="BA824" i="29" s="1"/>
  <c r="BP824" i="29"/>
  <c r="BD825" i="29"/>
  <c r="BC824" i="29"/>
  <c r="BF824" i="29" s="1"/>
  <c r="BZ767" i="29"/>
  <c r="BX768" i="29" s="1"/>
  <c r="BV777" i="29" l="1"/>
  <c r="CC777" i="29"/>
  <c r="F220" i="15"/>
  <c r="L90" i="39"/>
  <c r="AC823" i="29"/>
  <c r="T825" i="29"/>
  <c r="S825" i="29"/>
  <c r="V824" i="29"/>
  <c r="AF824" i="29"/>
  <c r="AE824" i="29"/>
  <c r="BR826" i="29"/>
  <c r="BO827" i="29"/>
  <c r="BY826" i="29"/>
  <c r="BN827" i="29"/>
  <c r="BQ828" i="29"/>
  <c r="U824" i="29"/>
  <c r="J825" i="29"/>
  <c r="L824" i="29"/>
  <c r="K825" i="29"/>
  <c r="CA823" i="29"/>
  <c r="BU823" i="29" s="1"/>
  <c r="M822" i="29"/>
  <c r="AA822" i="29"/>
  <c r="W822" i="29"/>
  <c r="Y822" i="29" s="1"/>
  <c r="Q823" i="29"/>
  <c r="X823" i="29" s="1"/>
  <c r="R823" i="29"/>
  <c r="BZ768" i="29"/>
  <c r="BX769" i="29" s="1"/>
  <c r="BP825" i="29"/>
  <c r="BE825" i="29"/>
  <c r="BG825" i="29" s="1"/>
  <c r="BA825" i="29" s="1"/>
  <c r="BC825" i="29"/>
  <c r="BF825" i="29" s="1"/>
  <c r="BD826" i="29"/>
  <c r="BI825" i="29"/>
  <c r="BH824" i="29"/>
  <c r="BB824" i="29" s="1"/>
  <c r="AZ824" i="29"/>
  <c r="U825" i="29" l="1"/>
  <c r="AC825" i="29" s="1"/>
  <c r="J826" i="29"/>
  <c r="K826" i="29"/>
  <c r="L825" i="29"/>
  <c r="V825" i="29"/>
  <c r="T826" i="29"/>
  <c r="S826" i="29"/>
  <c r="AE825" i="29"/>
  <c r="AF825" i="29"/>
  <c r="W823" i="29"/>
  <c r="Y823" i="29" s="1"/>
  <c r="M823" i="29"/>
  <c r="CA824" i="29"/>
  <c r="BU824" i="29" s="1"/>
  <c r="AA823" i="29"/>
  <c r="Q824" i="29"/>
  <c r="R824" i="29"/>
  <c r="BY827" i="29"/>
  <c r="BR827" i="29"/>
  <c r="BO828" i="29"/>
  <c r="BQ829" i="29" s="1"/>
  <c r="BN828" i="29"/>
  <c r="BZ769" i="29"/>
  <c r="BX770" i="29" s="1"/>
  <c r="BP826" i="29"/>
  <c r="BC826" i="29"/>
  <c r="BF826" i="29" s="1"/>
  <c r="BE826" i="29"/>
  <c r="BG826" i="29" s="1"/>
  <c r="BA826" i="29" s="1"/>
  <c r="BD827" i="29"/>
  <c r="AZ825" i="29"/>
  <c r="BH825" i="29"/>
  <c r="BB825" i="29" s="1"/>
  <c r="S827" i="29" l="1"/>
  <c r="V826" i="29"/>
  <c r="T827" i="29"/>
  <c r="AF826" i="29"/>
  <c r="AE826" i="29"/>
  <c r="BO829" i="29"/>
  <c r="BY828" i="29"/>
  <c r="BN829" i="29"/>
  <c r="BR828" i="29"/>
  <c r="AA824" i="29"/>
  <c r="CA825" i="29"/>
  <c r="BU825" i="29" s="1"/>
  <c r="W824" i="29"/>
  <c r="Q825" i="29"/>
  <c r="R825" i="29"/>
  <c r="U826" i="29"/>
  <c r="K827" i="29"/>
  <c r="L826" i="29"/>
  <c r="J827" i="29"/>
  <c r="AB825" i="29"/>
  <c r="BZ770" i="29"/>
  <c r="BX771" i="29" s="1"/>
  <c r="BH826" i="29"/>
  <c r="BB826" i="29" s="1"/>
  <c r="AZ826" i="29"/>
  <c r="BP827" i="29"/>
  <c r="BE827" i="29"/>
  <c r="BG827" i="29" s="1"/>
  <c r="BA827" i="29" s="1"/>
  <c r="BD828" i="29"/>
  <c r="BC827" i="29"/>
  <c r="BF827" i="29" s="1"/>
  <c r="J828" i="29" l="1"/>
  <c r="K828" i="29"/>
  <c r="L827" i="29"/>
  <c r="R826" i="29"/>
  <c r="Q826" i="29"/>
  <c r="U827" i="29"/>
  <c r="AC827" i="29" s="1"/>
  <c r="AC826" i="29"/>
  <c r="AA825" i="29"/>
  <c r="M825" i="29"/>
  <c r="W825" i="29"/>
  <c r="Y825" i="29" s="1"/>
  <c r="CA826" i="29"/>
  <c r="BU826" i="29" s="1"/>
  <c r="AB826" i="29"/>
  <c r="X825" i="29"/>
  <c r="BO830" i="29"/>
  <c r="BN830" i="29"/>
  <c r="BR829" i="29"/>
  <c r="BY829" i="29"/>
  <c r="T828" i="29"/>
  <c r="V827" i="29"/>
  <c r="S828" i="29"/>
  <c r="AE827" i="29"/>
  <c r="AF827" i="29"/>
  <c r="BQ830" i="29"/>
  <c r="AZ827" i="29"/>
  <c r="BH827" i="29"/>
  <c r="BB827" i="29" s="1"/>
  <c r="BC828" i="29"/>
  <c r="BF828" i="29" s="1"/>
  <c r="BD829" i="29"/>
  <c r="BP828" i="29"/>
  <c r="BE828" i="29"/>
  <c r="BG828" i="29" s="1"/>
  <c r="BA828" i="29" s="1"/>
  <c r="BZ771" i="29"/>
  <c r="BX772" i="29" s="1"/>
  <c r="U828" i="29" l="1"/>
  <c r="AB828" i="29" s="1"/>
  <c r="V828" i="29"/>
  <c r="T829" i="29"/>
  <c r="S829" i="29"/>
  <c r="AE828" i="29"/>
  <c r="AF828" i="29"/>
  <c r="BY830" i="29"/>
  <c r="BN831" i="29"/>
  <c r="BO831" i="29"/>
  <c r="BR830" i="29"/>
  <c r="Q827" i="29"/>
  <c r="R827" i="29"/>
  <c r="CA827" i="29"/>
  <c r="BU827" i="29" s="1"/>
  <c r="M826" i="29"/>
  <c r="AA826" i="29"/>
  <c r="W826" i="29"/>
  <c r="Y826" i="29" s="1"/>
  <c r="BQ831" i="29"/>
  <c r="AB827" i="29"/>
  <c r="X826" i="29"/>
  <c r="L828" i="29"/>
  <c r="J829" i="29"/>
  <c r="K829" i="29"/>
  <c r="BZ772" i="29"/>
  <c r="BX773" i="29" s="1"/>
  <c r="BP829" i="29"/>
  <c r="BE829" i="29"/>
  <c r="BG829" i="29" s="1"/>
  <c r="BA829" i="29" s="1"/>
  <c r="BC829" i="29"/>
  <c r="BF829" i="29" s="1"/>
  <c r="BD830" i="29"/>
  <c r="BH828" i="29"/>
  <c r="BB828" i="29" s="1"/>
  <c r="AZ828" i="29"/>
  <c r="BQ832" i="29" l="1"/>
  <c r="W827" i="29"/>
  <c r="Y827" i="29" s="1"/>
  <c r="CA828" i="29"/>
  <c r="BU828" i="29" s="1"/>
  <c r="M827" i="29"/>
  <c r="AA827" i="29"/>
  <c r="U829" i="29"/>
  <c r="BN832" i="29"/>
  <c r="BR831" i="29"/>
  <c r="BY831" i="29"/>
  <c r="BO832" i="29"/>
  <c r="R828" i="29"/>
  <c r="Q828" i="29"/>
  <c r="X828" i="29" s="1"/>
  <c r="J830" i="29"/>
  <c r="K830" i="29"/>
  <c r="L829" i="29"/>
  <c r="X827" i="29"/>
  <c r="T830" i="29"/>
  <c r="V829" i="29"/>
  <c r="S830" i="29"/>
  <c r="AE829" i="29"/>
  <c r="AF829" i="29"/>
  <c r="AC828" i="29"/>
  <c r="BZ773" i="29"/>
  <c r="BX774" i="29" s="1"/>
  <c r="BD831" i="29"/>
  <c r="BC830" i="29"/>
  <c r="BF830" i="29" s="1"/>
  <c r="BE830" i="29"/>
  <c r="BG830" i="29" s="1"/>
  <c r="BA830" i="29" s="1"/>
  <c r="BP830" i="29"/>
  <c r="AZ829" i="29"/>
  <c r="BH829" i="29"/>
  <c r="BB829" i="29" s="1"/>
  <c r="T831" i="29" l="1"/>
  <c r="V830" i="29"/>
  <c r="S831" i="29"/>
  <c r="AF830" i="29"/>
  <c r="AE830" i="29"/>
  <c r="BN833" i="29"/>
  <c r="BR832" i="29"/>
  <c r="BO833" i="29"/>
  <c r="BY832" i="29"/>
  <c r="R829" i="29"/>
  <c r="Q829" i="29"/>
  <c r="AC829" i="29"/>
  <c r="U830" i="29"/>
  <c r="AC830" i="29" s="1"/>
  <c r="M828" i="29"/>
  <c r="W828" i="29"/>
  <c r="Y828" i="29" s="1"/>
  <c r="AA828" i="29"/>
  <c r="CA829" i="29"/>
  <c r="BU829" i="29" s="1"/>
  <c r="AB829" i="29"/>
  <c r="BQ833" i="29"/>
  <c r="BQ834" i="29" s="1"/>
  <c r="L830" i="29"/>
  <c r="J831" i="29"/>
  <c r="K831" i="29"/>
  <c r="BZ774" i="29"/>
  <c r="BX775" i="29" s="1"/>
  <c r="BH830" i="29"/>
  <c r="BB830" i="29" s="1"/>
  <c r="AZ830" i="29"/>
  <c r="BD832" i="29"/>
  <c r="BE831" i="29"/>
  <c r="BG831" i="29" s="1"/>
  <c r="BA831" i="29" s="1"/>
  <c r="BC831" i="29"/>
  <c r="BF831" i="29" s="1"/>
  <c r="BP831" i="29"/>
  <c r="AB830" i="29" l="1"/>
  <c r="M829" i="29"/>
  <c r="AA829" i="29"/>
  <c r="CA830" i="29"/>
  <c r="BU830" i="29" s="1"/>
  <c r="W829" i="29"/>
  <c r="Y829" i="29" s="1"/>
  <c r="U831" i="29"/>
  <c r="AB831" i="29" s="1"/>
  <c r="T832" i="29"/>
  <c r="V831" i="29"/>
  <c r="S832" i="29"/>
  <c r="AE831" i="29"/>
  <c r="AF831" i="29"/>
  <c r="L831" i="29"/>
  <c r="J832" i="29"/>
  <c r="K832" i="29"/>
  <c r="R830" i="29"/>
  <c r="Q830" i="29"/>
  <c r="X830" i="29" s="1"/>
  <c r="X829" i="29"/>
  <c r="BN834" i="29"/>
  <c r="BR833" i="29"/>
  <c r="BO834" i="29"/>
  <c r="BY833" i="29"/>
  <c r="BZ775" i="29"/>
  <c r="BX776" i="29" s="1"/>
  <c r="BH831" i="29"/>
  <c r="BB831" i="29" s="1"/>
  <c r="AZ831" i="29"/>
  <c r="BP832" i="29"/>
  <c r="BE832" i="29"/>
  <c r="BG832" i="29" s="1"/>
  <c r="BA832" i="29" s="1"/>
  <c r="BC832" i="29"/>
  <c r="BF832" i="29" s="1"/>
  <c r="BD833" i="29"/>
  <c r="J833" i="29" l="1"/>
  <c r="K833" i="29"/>
  <c r="L832" i="29"/>
  <c r="U832" i="29"/>
  <c r="AB832" i="29" s="1"/>
  <c r="W830" i="29"/>
  <c r="Y830" i="29" s="1"/>
  <c r="AA830" i="29"/>
  <c r="M830" i="29"/>
  <c r="CA831" i="29"/>
  <c r="BU831" i="29" s="1"/>
  <c r="R831" i="29"/>
  <c r="Q831" i="29"/>
  <c r="BR834" i="29"/>
  <c r="BO835" i="29"/>
  <c r="BN835" i="29"/>
  <c r="BY834" i="29"/>
  <c r="BQ835" i="29"/>
  <c r="BQ836" i="29" s="1"/>
  <c r="V832" i="29"/>
  <c r="S833" i="29"/>
  <c r="T833" i="29"/>
  <c r="AE832" i="29"/>
  <c r="AF832" i="29"/>
  <c r="AC831" i="29"/>
  <c r="BP833" i="29"/>
  <c r="BE833" i="29"/>
  <c r="BG833" i="29" s="1"/>
  <c r="BA833" i="29" s="1"/>
  <c r="BC833" i="29"/>
  <c r="BF833" i="29" s="1"/>
  <c r="BD834" i="29"/>
  <c r="BH832" i="29"/>
  <c r="BB832" i="29" s="1"/>
  <c r="AZ832" i="29"/>
  <c r="BZ776" i="29"/>
  <c r="BY777" i="29" s="1"/>
  <c r="AC832" i="29" l="1"/>
  <c r="U833" i="29"/>
  <c r="BY835" i="29"/>
  <c r="BR835" i="29"/>
  <c r="BN836" i="29"/>
  <c r="BO836" i="29"/>
  <c r="R832" i="29"/>
  <c r="Q832" i="29"/>
  <c r="J834" i="29"/>
  <c r="L833" i="29"/>
  <c r="K834" i="29"/>
  <c r="BQ837" i="29"/>
  <c r="S834" i="29"/>
  <c r="V833" i="29"/>
  <c r="T834" i="29"/>
  <c r="AF833" i="29"/>
  <c r="AE833" i="29"/>
  <c r="X831" i="29"/>
  <c r="W831" i="29"/>
  <c r="Y831" i="29" s="1"/>
  <c r="CA832" i="29"/>
  <c r="BU832" i="29" s="1"/>
  <c r="M831" i="29"/>
  <c r="AA831" i="29"/>
  <c r="BW777" i="29"/>
  <c r="BX777" i="29"/>
  <c r="BP834" i="29"/>
  <c r="BC834" i="29"/>
  <c r="BF834" i="29" s="1"/>
  <c r="BE834" i="29"/>
  <c r="BG834" i="29" s="1"/>
  <c r="BA834" i="29" s="1"/>
  <c r="BD835" i="29"/>
  <c r="BH833" i="29"/>
  <c r="BB833" i="29" s="1"/>
  <c r="AZ833" i="29"/>
  <c r="CA833" i="29" l="1"/>
  <c r="BU833" i="29" s="1"/>
  <c r="AA832" i="29"/>
  <c r="M832" i="29"/>
  <c r="W832" i="29"/>
  <c r="Y832" i="29" s="1"/>
  <c r="Q833" i="29"/>
  <c r="R833" i="29"/>
  <c r="V834" i="29"/>
  <c r="T835" i="29"/>
  <c r="S835" i="29"/>
  <c r="AE834" i="29"/>
  <c r="AF834" i="29"/>
  <c r="J835" i="29"/>
  <c r="K835" i="29"/>
  <c r="L834" i="29"/>
  <c r="X832" i="29"/>
  <c r="AC833" i="29"/>
  <c r="AB833" i="29"/>
  <c r="U834" i="29"/>
  <c r="AB834" i="29" s="1"/>
  <c r="BN837" i="29"/>
  <c r="BO837" i="29"/>
  <c r="BY836" i="29"/>
  <c r="BR836" i="29"/>
  <c r="AZ834" i="29"/>
  <c r="BH834" i="29"/>
  <c r="BB834" i="29" s="1"/>
  <c r="BP835" i="29"/>
  <c r="BE835" i="29"/>
  <c r="BG835" i="29" s="1"/>
  <c r="BA835" i="29" s="1"/>
  <c r="BD836" i="29"/>
  <c r="BC835" i="29"/>
  <c r="BF835" i="29" s="1"/>
  <c r="BZ777" i="29"/>
  <c r="BX778" i="29" s="1"/>
  <c r="BT777" i="29"/>
  <c r="M776" i="29" s="1"/>
  <c r="BS777" i="29"/>
  <c r="U835" i="29" l="1"/>
  <c r="AC835" i="29" s="1"/>
  <c r="W833" i="29"/>
  <c r="Y833" i="29" s="1"/>
  <c r="M833" i="29"/>
  <c r="AA833" i="29"/>
  <c r="CA834" i="29"/>
  <c r="BU834" i="29" s="1"/>
  <c r="BO838" i="29"/>
  <c r="BN838" i="29"/>
  <c r="BR837" i="29"/>
  <c r="K836" i="29"/>
  <c r="J836" i="29"/>
  <c r="L835" i="29"/>
  <c r="T836" i="29"/>
  <c r="S836" i="29"/>
  <c r="V835" i="29"/>
  <c r="AE835" i="29"/>
  <c r="AF835" i="29"/>
  <c r="X833" i="29"/>
  <c r="BQ838" i="29"/>
  <c r="BQ839" i="29" s="1"/>
  <c r="Q834" i="29"/>
  <c r="X834" i="29" s="1"/>
  <c r="R834" i="29"/>
  <c r="AC834" i="29"/>
  <c r="BZ778" i="29"/>
  <c r="BX779" i="29" s="1"/>
  <c r="H74" i="29"/>
  <c r="K67" i="40" s="1"/>
  <c r="X776" i="29"/>
  <c r="Y776" i="29" s="1"/>
  <c r="Z776" i="29" s="1"/>
  <c r="AZ835" i="29"/>
  <c r="BH835" i="29"/>
  <c r="BB835" i="29" s="1"/>
  <c r="BD837" i="29"/>
  <c r="BC836" i="29"/>
  <c r="BF836" i="29" s="1"/>
  <c r="BE836" i="29"/>
  <c r="BG836" i="29" s="1"/>
  <c r="BA836" i="29" s="1"/>
  <c r="BP836" i="29"/>
  <c r="AB776" i="29" l="1"/>
  <c r="AC776" i="29"/>
  <c r="Z777" i="29"/>
  <c r="Z778" i="29" s="1"/>
  <c r="Z779" i="29" s="1"/>
  <c r="Z780" i="29" s="1"/>
  <c r="Z781" i="29" s="1"/>
  <c r="Z782" i="29" s="1"/>
  <c r="Z783" i="29" s="1"/>
  <c r="Z784" i="29" s="1"/>
  <c r="Z785" i="29" s="1"/>
  <c r="Z786" i="29" s="1"/>
  <c r="Z787" i="29" s="1"/>
  <c r="CB789" i="29"/>
  <c r="G74" i="29"/>
  <c r="L67" i="40" s="1"/>
  <c r="AB835" i="29"/>
  <c r="BR838" i="29"/>
  <c r="BO839" i="29"/>
  <c r="BY838" i="29"/>
  <c r="BN839" i="29"/>
  <c r="U836" i="29"/>
  <c r="K837" i="29"/>
  <c r="L836" i="29"/>
  <c r="J837" i="29"/>
  <c r="S837" i="29"/>
  <c r="T837" i="29"/>
  <c r="V836" i="29"/>
  <c r="AF836" i="29"/>
  <c r="AE836" i="29"/>
  <c r="CA835" i="29"/>
  <c r="BU835" i="29" s="1"/>
  <c r="W834" i="29"/>
  <c r="Y834" i="29" s="1"/>
  <c r="AA834" i="29"/>
  <c r="M834" i="29"/>
  <c r="Q835" i="29"/>
  <c r="X835" i="29" s="1"/>
  <c r="R835" i="29"/>
  <c r="BZ779" i="29"/>
  <c r="BX780" i="29" s="1"/>
  <c r="D221" i="15"/>
  <c r="I91" i="39"/>
  <c r="G87" i="15"/>
  <c r="BD838" i="29"/>
  <c r="BE837" i="29"/>
  <c r="BG837" i="29" s="1"/>
  <c r="BA837" i="29" s="1"/>
  <c r="BP837" i="29"/>
  <c r="BI837" i="29"/>
  <c r="BC837" i="29"/>
  <c r="BF837" i="29" s="1"/>
  <c r="BH836" i="29"/>
  <c r="BB836" i="29" s="1"/>
  <c r="AZ836" i="29"/>
  <c r="BV789" i="29" l="1"/>
  <c r="CC789" i="29"/>
  <c r="L91" i="39"/>
  <c r="F221" i="15"/>
  <c r="BR839" i="29"/>
  <c r="BY839" i="29"/>
  <c r="BN840" i="29"/>
  <c r="BO840" i="29"/>
  <c r="T838" i="29"/>
  <c r="V837" i="29"/>
  <c r="S838" i="29"/>
  <c r="AE837" i="29"/>
  <c r="AF837" i="29"/>
  <c r="R836" i="29"/>
  <c r="Q836" i="29"/>
  <c r="CA836" i="29"/>
  <c r="BU836" i="29" s="1"/>
  <c r="M835" i="29"/>
  <c r="AA835" i="29"/>
  <c r="W835" i="29"/>
  <c r="Y835" i="29" s="1"/>
  <c r="U837" i="29"/>
  <c r="AC837" i="29" s="1"/>
  <c r="K838" i="29"/>
  <c r="J838" i="29"/>
  <c r="L837" i="29"/>
  <c r="BQ840" i="29"/>
  <c r="BQ841" i="29" s="1"/>
  <c r="BZ780" i="29"/>
  <c r="BX781" i="29" s="1"/>
  <c r="AZ837" i="29"/>
  <c r="BH837" i="29"/>
  <c r="BB837" i="29" s="1"/>
  <c r="BP838" i="29"/>
  <c r="BE838" i="29"/>
  <c r="BG838" i="29" s="1"/>
  <c r="BA838" i="29" s="1"/>
  <c r="BD839" i="29"/>
  <c r="BC838" i="29"/>
  <c r="BF838" i="29" s="1"/>
  <c r="AB837" i="29" l="1"/>
  <c r="CA837" i="29"/>
  <c r="BU837" i="29" s="1"/>
  <c r="AA836" i="29"/>
  <c r="W836" i="29"/>
  <c r="U838" i="29"/>
  <c r="BQ842" i="29"/>
  <c r="K839" i="29"/>
  <c r="J839" i="29"/>
  <c r="L838" i="29"/>
  <c r="V838" i="29"/>
  <c r="T839" i="29"/>
  <c r="S839" i="29"/>
  <c r="AE838" i="29"/>
  <c r="AF838" i="29"/>
  <c r="Q837" i="29"/>
  <c r="R837" i="29"/>
  <c r="BR840" i="29"/>
  <c r="BY840" i="29"/>
  <c r="BO841" i="29"/>
  <c r="BN841" i="29"/>
  <c r="BH838" i="29"/>
  <c r="BB838" i="29" s="1"/>
  <c r="AZ838" i="29"/>
  <c r="BD840" i="29"/>
  <c r="BE839" i="29"/>
  <c r="BG839" i="29" s="1"/>
  <c r="BA839" i="29" s="1"/>
  <c r="BP839" i="29"/>
  <c r="BC839" i="29"/>
  <c r="BF839" i="29" s="1"/>
  <c r="BZ781" i="29"/>
  <c r="BX782" i="29" s="1"/>
  <c r="CA838" i="29" l="1"/>
  <c r="BU838" i="29" s="1"/>
  <c r="AA837" i="29"/>
  <c r="W837" i="29"/>
  <c r="Y837" i="29" s="1"/>
  <c r="M837" i="29"/>
  <c r="V839" i="29"/>
  <c r="S840" i="29"/>
  <c r="T840" i="29"/>
  <c r="AE839" i="29"/>
  <c r="AF839" i="29"/>
  <c r="Q838" i="29"/>
  <c r="R838" i="29"/>
  <c r="K840" i="29"/>
  <c r="J840" i="29"/>
  <c r="L839" i="29"/>
  <c r="AB838" i="29"/>
  <c r="X837" i="29"/>
  <c r="BQ843" i="29"/>
  <c r="AC838" i="29"/>
  <c r="BR841" i="29"/>
  <c r="BO842" i="29"/>
  <c r="BY841" i="29"/>
  <c r="BN842" i="29"/>
  <c r="U839" i="29"/>
  <c r="AB839" i="29" s="1"/>
  <c r="BP840" i="29"/>
  <c r="BE840" i="29"/>
  <c r="BG840" i="29" s="1"/>
  <c r="BA840" i="29" s="1"/>
  <c r="BD841" i="29"/>
  <c r="BC840" i="29"/>
  <c r="BF840" i="29" s="1"/>
  <c r="BZ782" i="29"/>
  <c r="BX783" i="29" s="1"/>
  <c r="BH839" i="29"/>
  <c r="BB839" i="29" s="1"/>
  <c r="AZ839" i="29"/>
  <c r="K841" i="29" l="1"/>
  <c r="L840" i="29"/>
  <c r="J841" i="29"/>
  <c r="Q839" i="29"/>
  <c r="X839" i="29" s="1"/>
  <c r="R839" i="29"/>
  <c r="W838" i="29"/>
  <c r="Y838" i="29" s="1"/>
  <c r="M838" i="29"/>
  <c r="AA838" i="29"/>
  <c r="CA839" i="29"/>
  <c r="BU839" i="29" s="1"/>
  <c r="T841" i="29"/>
  <c r="V840" i="29"/>
  <c r="S841" i="29"/>
  <c r="AF840" i="29"/>
  <c r="AE840" i="29"/>
  <c r="AC839" i="29"/>
  <c r="BN843" i="29"/>
  <c r="BO843" i="29"/>
  <c r="BQ844" i="29" s="1"/>
  <c r="BY842" i="29"/>
  <c r="BR842" i="29"/>
  <c r="X838" i="29"/>
  <c r="U840" i="29"/>
  <c r="BZ783" i="29"/>
  <c r="BX784" i="29" s="1"/>
  <c r="AZ840" i="29"/>
  <c r="BH840" i="29"/>
  <c r="BB840" i="29" s="1"/>
  <c r="BE841" i="29"/>
  <c r="BG841" i="29" s="1"/>
  <c r="BA841" i="29" s="1"/>
  <c r="BD842" i="29"/>
  <c r="BC841" i="29"/>
  <c r="BF841" i="29" s="1"/>
  <c r="BP841" i="29"/>
  <c r="Q840" i="29" l="1"/>
  <c r="R840" i="29"/>
  <c r="AC840" i="29"/>
  <c r="V841" i="29"/>
  <c r="T842" i="29"/>
  <c r="S842" i="29"/>
  <c r="AE841" i="29"/>
  <c r="AF841" i="29"/>
  <c r="AB840" i="29"/>
  <c r="BR843" i="29"/>
  <c r="BY843" i="29"/>
  <c r="BN844" i="29"/>
  <c r="BO844" i="29"/>
  <c r="K842" i="29"/>
  <c r="J842" i="29"/>
  <c r="L841" i="29"/>
  <c r="U841" i="29"/>
  <c r="AA839" i="29"/>
  <c r="CA840" i="29"/>
  <c r="BU840" i="29" s="1"/>
  <c r="M839" i="29"/>
  <c r="W839" i="29"/>
  <c r="Y839" i="29" s="1"/>
  <c r="BD843" i="29"/>
  <c r="BE842" i="29"/>
  <c r="BG842" i="29" s="1"/>
  <c r="BA842" i="29" s="1"/>
  <c r="BC842" i="29"/>
  <c r="BF842" i="29" s="1"/>
  <c r="BP842" i="29"/>
  <c r="BZ784" i="29"/>
  <c r="BX785" i="29" s="1"/>
  <c r="AZ841" i="29"/>
  <c r="BH841" i="29"/>
  <c r="BB841" i="29" s="1"/>
  <c r="R841" i="29" l="1"/>
  <c r="Q841" i="29"/>
  <c r="BR844" i="29"/>
  <c r="BN845" i="29"/>
  <c r="BY844" i="29"/>
  <c r="BO845" i="29"/>
  <c r="AC841" i="29"/>
  <c r="M840" i="29"/>
  <c r="W840" i="29"/>
  <c r="Y840" i="29" s="1"/>
  <c r="AA840" i="29"/>
  <c r="CA841" i="29"/>
  <c r="BU841" i="29" s="1"/>
  <c r="V842" i="29"/>
  <c r="S843" i="29"/>
  <c r="T843" i="29"/>
  <c r="AE842" i="29"/>
  <c r="AF842" i="29"/>
  <c r="AB841" i="29"/>
  <c r="K843" i="29"/>
  <c r="L842" i="29"/>
  <c r="J843" i="29"/>
  <c r="BQ845" i="29"/>
  <c r="U842" i="29"/>
  <c r="AB842" i="29" s="1"/>
  <c r="X840" i="29"/>
  <c r="AZ842" i="29"/>
  <c r="BH842" i="29"/>
  <c r="BB842" i="29" s="1"/>
  <c r="BZ785" i="29"/>
  <c r="BX786" i="29" s="1"/>
  <c r="BC843" i="29"/>
  <c r="BF843" i="29" s="1"/>
  <c r="BD844" i="29"/>
  <c r="BE843" i="29"/>
  <c r="BG843" i="29" s="1"/>
  <c r="BA843" i="29" s="1"/>
  <c r="BP843" i="29"/>
  <c r="AC842" i="29" l="1"/>
  <c r="M841" i="29"/>
  <c r="CA842" i="29"/>
  <c r="BU842" i="29" s="1"/>
  <c r="W841" i="29"/>
  <c r="Y841" i="29" s="1"/>
  <c r="AA841" i="29"/>
  <c r="K844" i="29"/>
  <c r="L843" i="29"/>
  <c r="J844" i="29"/>
  <c r="V843" i="29"/>
  <c r="S844" i="29"/>
  <c r="T844" i="29"/>
  <c r="AF843" i="29"/>
  <c r="AE843" i="29"/>
  <c r="X841" i="29"/>
  <c r="BQ846" i="29"/>
  <c r="BQ847" i="29" s="1"/>
  <c r="U843" i="29"/>
  <c r="BR845" i="29"/>
  <c r="BO846" i="29"/>
  <c r="BY845" i="29"/>
  <c r="BN846" i="29"/>
  <c r="R842" i="29"/>
  <c r="Q842" i="29"/>
  <c r="BD845" i="29"/>
  <c r="BP844" i="29"/>
  <c r="BE844" i="29"/>
  <c r="BG844" i="29" s="1"/>
  <c r="BA844" i="29" s="1"/>
  <c r="BC844" i="29"/>
  <c r="BF844" i="29" s="1"/>
  <c r="BZ786" i="29"/>
  <c r="BX787" i="29" s="1"/>
  <c r="AZ843" i="29"/>
  <c r="BH843" i="29"/>
  <c r="BB843" i="29" s="1"/>
  <c r="R843" i="29" l="1"/>
  <c r="Q843" i="29"/>
  <c r="X843" i="29" s="1"/>
  <c r="U844" i="29"/>
  <c r="J845" i="29"/>
  <c r="K845" i="29"/>
  <c r="L844" i="29"/>
  <c r="X842" i="29"/>
  <c r="M842" i="29"/>
  <c r="CA843" i="29"/>
  <c r="BU843" i="29" s="1"/>
  <c r="W842" i="29"/>
  <c r="Y842" i="29" s="1"/>
  <c r="AA842" i="29"/>
  <c r="BO847" i="29"/>
  <c r="BR846" i="29"/>
  <c r="BN847" i="29"/>
  <c r="BY846" i="29"/>
  <c r="AC843" i="29"/>
  <c r="AB843" i="29"/>
  <c r="BQ848" i="29"/>
  <c r="V844" i="29"/>
  <c r="S845" i="29"/>
  <c r="T845" i="29"/>
  <c r="AE844" i="29"/>
  <c r="AF844" i="29"/>
  <c r="BZ787" i="29"/>
  <c r="BX788" i="29" s="1"/>
  <c r="BH844" i="29"/>
  <c r="BB844" i="29" s="1"/>
  <c r="AZ844" i="29"/>
  <c r="BE845" i="29"/>
  <c r="BG845" i="29" s="1"/>
  <c r="BA845" i="29" s="1"/>
  <c r="BP845" i="29"/>
  <c r="BD846" i="29"/>
  <c r="BC845" i="29"/>
  <c r="BF845" i="29" s="1"/>
  <c r="Q844" i="29" l="1"/>
  <c r="R844" i="29"/>
  <c r="AA843" i="29"/>
  <c r="CA844" i="29"/>
  <c r="BU844" i="29" s="1"/>
  <c r="W843" i="29"/>
  <c r="Y843" i="29" s="1"/>
  <c r="M843" i="29"/>
  <c r="BQ849" i="29"/>
  <c r="BY847" i="29"/>
  <c r="BO848" i="29"/>
  <c r="BR847" i="29"/>
  <c r="BN848" i="29"/>
  <c r="AB844" i="29"/>
  <c r="U845" i="29"/>
  <c r="AC845" i="29" s="1"/>
  <c r="V845" i="29"/>
  <c r="T846" i="29"/>
  <c r="S846" i="29"/>
  <c r="AF845" i="29"/>
  <c r="AE845" i="29"/>
  <c r="L845" i="29"/>
  <c r="J846" i="29"/>
  <c r="K846" i="29"/>
  <c r="AC844" i="29"/>
  <c r="BP846" i="29"/>
  <c r="BE846" i="29"/>
  <c r="BG846" i="29" s="1"/>
  <c r="BA846" i="29" s="1"/>
  <c r="BC846" i="29"/>
  <c r="BF846" i="29" s="1"/>
  <c r="BD847" i="29"/>
  <c r="BZ788" i="29"/>
  <c r="BY789" i="29" s="1"/>
  <c r="BH845" i="29"/>
  <c r="BB845" i="29" s="1"/>
  <c r="AZ845" i="29"/>
  <c r="U846" i="29" l="1"/>
  <c r="M844" i="29"/>
  <c r="AA844" i="29"/>
  <c r="W844" i="29"/>
  <c r="Y844" i="29" s="1"/>
  <c r="CA845" i="29"/>
  <c r="BU845" i="29" s="1"/>
  <c r="AB845" i="29"/>
  <c r="S847" i="29"/>
  <c r="V846" i="29"/>
  <c r="T847" i="29"/>
  <c r="AE846" i="29"/>
  <c r="AF846" i="29"/>
  <c r="BN849" i="29"/>
  <c r="BR848" i="29"/>
  <c r="BO849" i="29"/>
  <c r="BY848" i="29"/>
  <c r="Q845" i="29"/>
  <c r="X845" i="29" s="1"/>
  <c r="R845" i="29"/>
  <c r="BQ850" i="29"/>
  <c r="K847" i="29"/>
  <c r="J847" i="29"/>
  <c r="L846" i="29"/>
  <c r="X844" i="29"/>
  <c r="BW789" i="29"/>
  <c r="BX789" i="29"/>
  <c r="BP847" i="29"/>
  <c r="BE847" i="29"/>
  <c r="BG847" i="29" s="1"/>
  <c r="BA847" i="29" s="1"/>
  <c r="BD848" i="29"/>
  <c r="BC847" i="29"/>
  <c r="BF847" i="29" s="1"/>
  <c r="AZ846" i="29"/>
  <c r="BH846" i="29"/>
  <c r="BB846" i="29" s="1"/>
  <c r="Q846" i="29" l="1"/>
  <c r="R846" i="29"/>
  <c r="BR849" i="29"/>
  <c r="BN850" i="29"/>
  <c r="BO850" i="29"/>
  <c r="AB846" i="29"/>
  <c r="U847" i="29"/>
  <c r="K848" i="29"/>
  <c r="J848" i="29"/>
  <c r="L847" i="29"/>
  <c r="V847" i="29"/>
  <c r="T848" i="29"/>
  <c r="S848" i="29"/>
  <c r="AE847" i="29"/>
  <c r="AF847" i="29"/>
  <c r="AC846" i="29"/>
  <c r="BQ851" i="29"/>
  <c r="AA845" i="29"/>
  <c r="W845" i="29"/>
  <c r="Y845" i="29" s="1"/>
  <c r="M845" i="29"/>
  <c r="CA846" i="29"/>
  <c r="BU846" i="29" s="1"/>
  <c r="BE848" i="29"/>
  <c r="BG848" i="29" s="1"/>
  <c r="BA848" i="29" s="1"/>
  <c r="BC848" i="29"/>
  <c r="BF848" i="29" s="1"/>
  <c r="BD849" i="29"/>
  <c r="BP848" i="29"/>
  <c r="BZ789" i="29"/>
  <c r="BX790" i="29" s="1"/>
  <c r="BH847" i="29"/>
  <c r="BB847" i="29" s="1"/>
  <c r="AZ847" i="29"/>
  <c r="BT789" i="29"/>
  <c r="M788" i="29" s="1"/>
  <c r="BS789" i="29"/>
  <c r="S849" i="29" l="1"/>
  <c r="V848" i="29"/>
  <c r="T849" i="29"/>
  <c r="AF848" i="29"/>
  <c r="AE848" i="29"/>
  <c r="J849" i="29"/>
  <c r="K849" i="29"/>
  <c r="L848" i="29"/>
  <c r="R847" i="29"/>
  <c r="Q847" i="29"/>
  <c r="BN851" i="29"/>
  <c r="BR850" i="29"/>
  <c r="BO851" i="29"/>
  <c r="BY850" i="29"/>
  <c r="M846" i="29"/>
  <c r="CA847" i="29"/>
  <c r="BU847" i="29" s="1"/>
  <c r="AA846" i="29"/>
  <c r="W846" i="29"/>
  <c r="Y846" i="29" s="1"/>
  <c r="BQ852" i="29"/>
  <c r="AC847" i="29"/>
  <c r="X846" i="29"/>
  <c r="U848" i="29"/>
  <c r="AB847" i="29"/>
  <c r="BZ790" i="29"/>
  <c r="BX791" i="29" s="1"/>
  <c r="BE849" i="29"/>
  <c r="BG849" i="29" s="1"/>
  <c r="BA849" i="29" s="1"/>
  <c r="BD850" i="29"/>
  <c r="BP849" i="29"/>
  <c r="BI849" i="29"/>
  <c r="BC849" i="29"/>
  <c r="BF849" i="29" s="1"/>
  <c r="H75" i="29"/>
  <c r="K68" i="40" s="1"/>
  <c r="X788" i="29"/>
  <c r="Y788" i="29" s="1"/>
  <c r="Z788" i="29" s="1"/>
  <c r="AZ848" i="29"/>
  <c r="BH848" i="29"/>
  <c r="BB848" i="29" s="1"/>
  <c r="AC788" i="29" l="1"/>
  <c r="AB788" i="29"/>
  <c r="Z789" i="29"/>
  <c r="Z790" i="29" s="1"/>
  <c r="Z791" i="29" s="1"/>
  <c r="Z792" i="29" s="1"/>
  <c r="Z793" i="29" s="1"/>
  <c r="Z794" i="29" s="1"/>
  <c r="Z795" i="29" s="1"/>
  <c r="Z796" i="29" s="1"/>
  <c r="Z797" i="29" s="1"/>
  <c r="Z798" i="29" s="1"/>
  <c r="Z799" i="29" s="1"/>
  <c r="CB801" i="29"/>
  <c r="G75" i="29"/>
  <c r="L68" i="40" s="1"/>
  <c r="CA848" i="29"/>
  <c r="BU848" i="29" s="1"/>
  <c r="M847" i="29"/>
  <c r="AA847" i="29"/>
  <c r="W847" i="29"/>
  <c r="Y847" i="29" s="1"/>
  <c r="J850" i="29"/>
  <c r="K850" i="29"/>
  <c r="L849" i="29"/>
  <c r="T850" i="29"/>
  <c r="S850" i="29"/>
  <c r="V849" i="29"/>
  <c r="AE849" i="29"/>
  <c r="AF849" i="29"/>
  <c r="R848" i="29"/>
  <c r="Q848" i="29"/>
  <c r="BY851" i="29"/>
  <c r="BN852" i="29"/>
  <c r="BR851" i="29"/>
  <c r="BO852" i="29"/>
  <c r="X847" i="29"/>
  <c r="U849" i="29"/>
  <c r="AC849" i="29" s="1"/>
  <c r="BZ791" i="29"/>
  <c r="BX792" i="29" s="1"/>
  <c r="BH849" i="29"/>
  <c r="BB849" i="29" s="1"/>
  <c r="AZ849" i="29"/>
  <c r="D222" i="15"/>
  <c r="I92" i="39"/>
  <c r="G88" i="15"/>
  <c r="BC850" i="29"/>
  <c r="BF850" i="29" s="1"/>
  <c r="BE850" i="29"/>
  <c r="BG850" i="29" s="1"/>
  <c r="BA850" i="29" s="1"/>
  <c r="BD851" i="29"/>
  <c r="BP850" i="29"/>
  <c r="BV801" i="29" l="1"/>
  <c r="CC801" i="29"/>
  <c r="L92" i="39"/>
  <c r="F222" i="15"/>
  <c r="U850" i="29"/>
  <c r="AB850" i="29" s="1"/>
  <c r="T851" i="29"/>
  <c r="S851" i="29"/>
  <c r="V850" i="29"/>
  <c r="AE850" i="29"/>
  <c r="AF850" i="29"/>
  <c r="R849" i="29"/>
  <c r="Q849" i="29"/>
  <c r="X849" i="29" s="1"/>
  <c r="BO853" i="29"/>
  <c r="BY852" i="29"/>
  <c r="BN853" i="29"/>
  <c r="BR852" i="29"/>
  <c r="BQ853" i="29"/>
  <c r="BQ854" i="29" s="1"/>
  <c r="AB849" i="29"/>
  <c r="W848" i="29"/>
  <c r="AA848" i="29"/>
  <c r="CA849" i="29"/>
  <c r="BU849" i="29" s="1"/>
  <c r="J851" i="29"/>
  <c r="K851" i="29"/>
  <c r="L850" i="29"/>
  <c r="BZ792" i="29"/>
  <c r="BX793" i="29" s="1"/>
  <c r="AZ850" i="29"/>
  <c r="BH850" i="29"/>
  <c r="BB850" i="29" s="1"/>
  <c r="BC851" i="29"/>
  <c r="BF851" i="29" s="1"/>
  <c r="BE851" i="29"/>
  <c r="BG851" i="29" s="1"/>
  <c r="BA851" i="29" s="1"/>
  <c r="BP851" i="29"/>
  <c r="BD852" i="29"/>
  <c r="AC850" i="29" l="1"/>
  <c r="U851" i="29"/>
  <c r="J852" i="29"/>
  <c r="L851" i="29"/>
  <c r="K852" i="29"/>
  <c r="BY853" i="29"/>
  <c r="BR853" i="29"/>
  <c r="BN854" i="29"/>
  <c r="BO854" i="29"/>
  <c r="V851" i="29"/>
  <c r="T852" i="29"/>
  <c r="S852" i="29"/>
  <c r="AE851" i="29"/>
  <c r="AF851" i="29"/>
  <c r="W849" i="29"/>
  <c r="Y849" i="29" s="1"/>
  <c r="AA849" i="29"/>
  <c r="M849" i="29"/>
  <c r="CA850" i="29"/>
  <c r="BU850" i="29" s="1"/>
  <c r="Q850" i="29"/>
  <c r="R850" i="29"/>
  <c r="BZ793" i="29"/>
  <c r="BX794" i="29" s="1"/>
  <c r="BD853" i="29"/>
  <c r="BP852" i="29"/>
  <c r="BC852" i="29"/>
  <c r="BF852" i="29" s="1"/>
  <c r="BE852" i="29"/>
  <c r="BG852" i="29" s="1"/>
  <c r="BA852" i="29" s="1"/>
  <c r="BH851" i="29"/>
  <c r="BB851" i="29" s="1"/>
  <c r="AZ851" i="29"/>
  <c r="AA850" i="29" l="1"/>
  <c r="M850" i="29"/>
  <c r="CA851" i="29"/>
  <c r="BU851" i="29" s="1"/>
  <c r="W850" i="29"/>
  <c r="Y850" i="29" s="1"/>
  <c r="BY854" i="29"/>
  <c r="BN855" i="29"/>
  <c r="BO855" i="29"/>
  <c r="BR854" i="29"/>
  <c r="BQ855" i="29"/>
  <c r="U852" i="29"/>
  <c r="AC852" i="29" s="1"/>
  <c r="L852" i="29"/>
  <c r="J853" i="29"/>
  <c r="K853" i="29"/>
  <c r="Q851" i="29"/>
  <c r="X851" i="29" s="1"/>
  <c r="R851" i="29"/>
  <c r="X850" i="29"/>
  <c r="V852" i="29"/>
  <c r="T853" i="29"/>
  <c r="S853" i="29"/>
  <c r="AE852" i="29"/>
  <c r="AF852" i="29"/>
  <c r="AB851" i="29"/>
  <c r="AC851" i="29"/>
  <c r="BZ794" i="29"/>
  <c r="BX795" i="29" s="1"/>
  <c r="BD854" i="29"/>
  <c r="BE853" i="29"/>
  <c r="BG853" i="29" s="1"/>
  <c r="BA853" i="29" s="1"/>
  <c r="BC853" i="29"/>
  <c r="BF853" i="29" s="1"/>
  <c r="BP853" i="29"/>
  <c r="BH852" i="29"/>
  <c r="BB852" i="29" s="1"/>
  <c r="AZ852" i="29"/>
  <c r="AB852" i="29" l="1"/>
  <c r="BY855" i="29"/>
  <c r="BO856" i="29"/>
  <c r="BN856" i="29"/>
  <c r="BR855" i="29"/>
  <c r="T854" i="29"/>
  <c r="S854" i="29"/>
  <c r="V853" i="29"/>
  <c r="AF853" i="29"/>
  <c r="AE853" i="29"/>
  <c r="CA852" i="29"/>
  <c r="BU852" i="29" s="1"/>
  <c r="M851" i="29"/>
  <c r="AA851" i="29"/>
  <c r="W851" i="29"/>
  <c r="Y851" i="29" s="1"/>
  <c r="BQ856" i="29"/>
  <c r="BQ857" i="29" s="1"/>
  <c r="U853" i="29"/>
  <c r="AC853" i="29" s="1"/>
  <c r="L853" i="29"/>
  <c r="J854" i="29"/>
  <c r="K854" i="29"/>
  <c r="R852" i="29"/>
  <c r="Q852" i="29"/>
  <c r="X852" i="29" s="1"/>
  <c r="BE854" i="29"/>
  <c r="BG854" i="29" s="1"/>
  <c r="BA854" i="29" s="1"/>
  <c r="BC854" i="29"/>
  <c r="BF854" i="29" s="1"/>
  <c r="BD855" i="29"/>
  <c r="BP854" i="29"/>
  <c r="BZ795" i="29"/>
  <c r="BX796" i="29" s="1"/>
  <c r="AZ853" i="29"/>
  <c r="BH853" i="29"/>
  <c r="BB853" i="29" s="1"/>
  <c r="AB853" i="29" l="1"/>
  <c r="K855" i="29"/>
  <c r="J855" i="29"/>
  <c r="L854" i="29"/>
  <c r="W852" i="29"/>
  <c r="Y852" i="29" s="1"/>
  <c r="CA853" i="29"/>
  <c r="BU853" i="29" s="1"/>
  <c r="AA852" i="29"/>
  <c r="M852" i="29"/>
  <c r="U854" i="29"/>
  <c r="AC854" i="29" s="1"/>
  <c r="BN857" i="29"/>
  <c r="BR856" i="29"/>
  <c r="BO857" i="29"/>
  <c r="BY856" i="29"/>
  <c r="BQ858" i="29"/>
  <c r="V854" i="29"/>
  <c r="S855" i="29"/>
  <c r="T855" i="29"/>
  <c r="AF854" i="29"/>
  <c r="AE854" i="29"/>
  <c r="Q853" i="29"/>
  <c r="X853" i="29" s="1"/>
  <c r="R853" i="29"/>
  <c r="BZ796" i="29"/>
  <c r="BX797" i="29" s="1"/>
  <c r="BD856" i="29"/>
  <c r="BC855" i="29"/>
  <c r="BF855" i="29" s="1"/>
  <c r="BP855" i="29"/>
  <c r="BE855" i="29"/>
  <c r="BG855" i="29" s="1"/>
  <c r="BA855" i="29" s="1"/>
  <c r="BH854" i="29"/>
  <c r="BB854" i="29" s="1"/>
  <c r="AZ854" i="29"/>
  <c r="V855" i="29" l="1"/>
  <c r="S856" i="29"/>
  <c r="T856" i="29"/>
  <c r="AF855" i="29"/>
  <c r="AE855" i="29"/>
  <c r="R854" i="29"/>
  <c r="Q854" i="29"/>
  <c r="L855" i="29"/>
  <c r="K856" i="29"/>
  <c r="J856" i="29"/>
  <c r="CA854" i="29"/>
  <c r="BU854" i="29" s="1"/>
  <c r="M853" i="29"/>
  <c r="W853" i="29"/>
  <c r="Y853" i="29" s="1"/>
  <c r="AA853" i="29"/>
  <c r="U855" i="29"/>
  <c r="AC855" i="29" s="1"/>
  <c r="BN858" i="29"/>
  <c r="BR857" i="29"/>
  <c r="BO858" i="29"/>
  <c r="BQ859" i="29" s="1"/>
  <c r="BY857" i="29"/>
  <c r="AB854" i="29"/>
  <c r="BZ797" i="29"/>
  <c r="BX798" i="29" s="1"/>
  <c r="AZ855" i="29"/>
  <c r="BH855" i="29"/>
  <c r="BB855" i="29" s="1"/>
  <c r="BD857" i="29"/>
  <c r="BE856" i="29"/>
  <c r="BG856" i="29" s="1"/>
  <c r="BA856" i="29" s="1"/>
  <c r="BC856" i="29"/>
  <c r="BF856" i="29" s="1"/>
  <c r="BP856" i="29"/>
  <c r="AB855" i="29" l="1"/>
  <c r="U856" i="29"/>
  <c r="AB856" i="29" s="1"/>
  <c r="K857" i="29"/>
  <c r="L856" i="29"/>
  <c r="J857" i="29"/>
  <c r="R855" i="29"/>
  <c r="Q855" i="29"/>
  <c r="BO859" i="29"/>
  <c r="BR858" i="29"/>
  <c r="BN859" i="29"/>
  <c r="BY858" i="29"/>
  <c r="X854" i="29"/>
  <c r="W854" i="29"/>
  <c r="Y854" i="29" s="1"/>
  <c r="CA855" i="29"/>
  <c r="BU855" i="29" s="1"/>
  <c r="AA854" i="29"/>
  <c r="M854" i="29"/>
  <c r="T857" i="29"/>
  <c r="V856" i="29"/>
  <c r="S857" i="29"/>
  <c r="AF856" i="29"/>
  <c r="AE856" i="29"/>
  <c r="BZ798" i="29"/>
  <c r="BX799" i="29" s="1"/>
  <c r="BH856" i="29"/>
  <c r="BB856" i="29" s="1"/>
  <c r="AZ856" i="29"/>
  <c r="BC857" i="29"/>
  <c r="BF857" i="29" s="1"/>
  <c r="BD858" i="29"/>
  <c r="BE857" i="29"/>
  <c r="BG857" i="29" s="1"/>
  <c r="BA857" i="29" s="1"/>
  <c r="BP857" i="29"/>
  <c r="AC856" i="29" l="1"/>
  <c r="M855" i="29"/>
  <c r="AA855" i="29"/>
  <c r="CA856" i="29"/>
  <c r="BU856" i="29" s="1"/>
  <c r="W855" i="29"/>
  <c r="Y855" i="29" s="1"/>
  <c r="U857" i="29"/>
  <c r="AC857" i="29" s="1"/>
  <c r="K858" i="29"/>
  <c r="L857" i="29"/>
  <c r="J858" i="29"/>
  <c r="BR859" i="29"/>
  <c r="BO860" i="29"/>
  <c r="BN860" i="29"/>
  <c r="BY859" i="29"/>
  <c r="T858" i="29"/>
  <c r="V857" i="29"/>
  <c r="S858" i="29"/>
  <c r="AE857" i="29"/>
  <c r="AF857" i="29"/>
  <c r="X855" i="29"/>
  <c r="R856" i="29"/>
  <c r="Q856" i="29"/>
  <c r="BQ860" i="29"/>
  <c r="BZ799" i="29"/>
  <c r="BX800" i="29" s="1"/>
  <c r="BH857" i="29"/>
  <c r="BB857" i="29" s="1"/>
  <c r="AZ857" i="29"/>
  <c r="BC858" i="29"/>
  <c r="BF858" i="29" s="1"/>
  <c r="BE858" i="29"/>
  <c r="BG858" i="29" s="1"/>
  <c r="BA858" i="29" s="1"/>
  <c r="BD859" i="29"/>
  <c r="BP858" i="29"/>
  <c r="BO861" i="29" l="1"/>
  <c r="BY860" i="29"/>
  <c r="BR860" i="29"/>
  <c r="BN861" i="29"/>
  <c r="BQ861" i="29"/>
  <c r="BQ862" i="29" s="1"/>
  <c r="W856" i="29"/>
  <c r="Y856" i="29" s="1"/>
  <c r="M856" i="29"/>
  <c r="CA857" i="29"/>
  <c r="BU857" i="29" s="1"/>
  <c r="AA856" i="29"/>
  <c r="V858" i="29"/>
  <c r="S859" i="29"/>
  <c r="T859" i="29"/>
  <c r="AE858" i="29"/>
  <c r="AF858" i="29"/>
  <c r="X856" i="29"/>
  <c r="Q857" i="29"/>
  <c r="R857" i="29"/>
  <c r="L858" i="29"/>
  <c r="J859" i="29"/>
  <c r="K859" i="29"/>
  <c r="U858" i="29"/>
  <c r="AB858" i="29" s="1"/>
  <c r="AB857" i="29"/>
  <c r="BZ800" i="29"/>
  <c r="BY801" i="29" s="1"/>
  <c r="BP859" i="29"/>
  <c r="BE859" i="29"/>
  <c r="BG859" i="29" s="1"/>
  <c r="BA859" i="29" s="1"/>
  <c r="BC859" i="29"/>
  <c r="BF859" i="29" s="1"/>
  <c r="BD860" i="29"/>
  <c r="BH858" i="29"/>
  <c r="BB858" i="29" s="1"/>
  <c r="AZ858" i="29"/>
  <c r="AA857" i="29" l="1"/>
  <c r="M857" i="29"/>
  <c r="W857" i="29"/>
  <c r="Y857" i="29" s="1"/>
  <c r="CA858" i="29"/>
  <c r="BU858" i="29" s="1"/>
  <c r="V859" i="29"/>
  <c r="S860" i="29"/>
  <c r="T860" i="29"/>
  <c r="AE859" i="29"/>
  <c r="AF859" i="29"/>
  <c r="U859" i="29"/>
  <c r="AB859" i="29" s="1"/>
  <c r="R858" i="29"/>
  <c r="Q858" i="29"/>
  <c r="X858" i="29" s="1"/>
  <c r="AC858" i="29"/>
  <c r="X857" i="29"/>
  <c r="BN862" i="29"/>
  <c r="BR861" i="29"/>
  <c r="BO862" i="29"/>
  <c r="J860" i="29"/>
  <c r="L859" i="29"/>
  <c r="K860" i="29"/>
  <c r="BW801" i="29"/>
  <c r="BX801" i="29"/>
  <c r="BC860" i="29"/>
  <c r="BF860" i="29" s="1"/>
  <c r="BD861" i="29"/>
  <c r="BP860" i="29"/>
  <c r="BE860" i="29"/>
  <c r="BG860" i="29" s="1"/>
  <c r="BA860" i="29" s="1"/>
  <c r="AZ859" i="29"/>
  <c r="BH859" i="29"/>
  <c r="BB859" i="29" s="1"/>
  <c r="J861" i="29" l="1"/>
  <c r="L860" i="29"/>
  <c r="K861" i="29"/>
  <c r="Q859" i="29"/>
  <c r="R859" i="29"/>
  <c r="BO863" i="29"/>
  <c r="BY862" i="29"/>
  <c r="BN863" i="29"/>
  <c r="BR862" i="29"/>
  <c r="AC859" i="29"/>
  <c r="V860" i="29"/>
  <c r="S861" i="29"/>
  <c r="T861" i="29"/>
  <c r="AE860" i="29"/>
  <c r="AF860" i="29"/>
  <c r="BQ863" i="29"/>
  <c r="M858" i="29"/>
  <c r="AA858" i="29"/>
  <c r="CA859" i="29"/>
  <c r="BU859" i="29" s="1"/>
  <c r="W858" i="29"/>
  <c r="Y858" i="29" s="1"/>
  <c r="U860" i="29"/>
  <c r="BE861" i="29"/>
  <c r="BG861" i="29" s="1"/>
  <c r="BA861" i="29" s="1"/>
  <c r="BD862" i="29"/>
  <c r="BI861" i="29"/>
  <c r="BC861" i="29"/>
  <c r="BF861" i="29" s="1"/>
  <c r="BP861" i="29"/>
  <c r="BH860" i="29"/>
  <c r="BB860" i="29" s="1"/>
  <c r="AZ860" i="29"/>
  <c r="BZ801" i="29"/>
  <c r="BT801" i="29"/>
  <c r="M800" i="29" s="1"/>
  <c r="BS801" i="29"/>
  <c r="V861" i="29" l="1"/>
  <c r="S862" i="29"/>
  <c r="T862" i="29"/>
  <c r="AF861" i="29"/>
  <c r="AE861" i="29"/>
  <c r="BY863" i="29"/>
  <c r="BR863" i="29"/>
  <c r="BN864" i="29"/>
  <c r="BO864" i="29"/>
  <c r="L861" i="29"/>
  <c r="K862" i="29"/>
  <c r="J862" i="29"/>
  <c r="BQ864" i="29"/>
  <c r="BQ865" i="29" s="1"/>
  <c r="U861" i="29"/>
  <c r="AB861" i="29" s="1"/>
  <c r="Q860" i="29"/>
  <c r="R860" i="29"/>
  <c r="X859" i="29"/>
  <c r="AA859" i="29"/>
  <c r="M859" i="29"/>
  <c r="W859" i="29"/>
  <c r="Y859" i="29" s="1"/>
  <c r="CA860" i="29"/>
  <c r="BU860" i="29" s="1"/>
  <c r="BH861" i="29"/>
  <c r="BB861" i="29" s="1"/>
  <c r="AZ861" i="29"/>
  <c r="H76" i="29"/>
  <c r="K69" i="40" s="1"/>
  <c r="X800" i="29"/>
  <c r="Y800" i="29" s="1"/>
  <c r="Z800" i="29" s="1"/>
  <c r="BE862" i="29"/>
  <c r="BG862" i="29" s="1"/>
  <c r="BA862" i="29" s="1"/>
  <c r="BP862" i="29"/>
  <c r="BC862" i="29"/>
  <c r="BF862" i="29" s="1"/>
  <c r="BD863" i="29"/>
  <c r="CB802" i="29" l="1"/>
  <c r="CB803" i="29"/>
  <c r="CB804" i="29"/>
  <c r="CB805" i="29"/>
  <c r="CB806" i="29"/>
  <c r="CB807" i="29"/>
  <c r="CB808" i="29"/>
  <c r="CB809" i="29"/>
  <c r="CB810" i="29"/>
  <c r="CB811" i="29"/>
  <c r="CB812" i="29"/>
  <c r="AB800" i="29"/>
  <c r="AC800" i="29"/>
  <c r="Z801" i="29"/>
  <c r="Z802" i="29" s="1"/>
  <c r="Z803" i="29" s="1"/>
  <c r="Z804" i="29" s="1"/>
  <c r="Z805" i="29" s="1"/>
  <c r="Z806" i="29" s="1"/>
  <c r="Z807" i="29" s="1"/>
  <c r="Z808" i="29" s="1"/>
  <c r="Z809" i="29" s="1"/>
  <c r="Z810" i="29" s="1"/>
  <c r="Z811" i="29" s="1"/>
  <c r="CB813" i="29"/>
  <c r="G76" i="29"/>
  <c r="L69" i="40" s="1"/>
  <c r="U862" i="29"/>
  <c r="AC862" i="29" s="1"/>
  <c r="AA860" i="29"/>
  <c r="CA861" i="29"/>
  <c r="BU861" i="29" s="1"/>
  <c r="W860" i="29"/>
  <c r="BO865" i="29"/>
  <c r="BR864" i="29"/>
  <c r="BY864" i="29"/>
  <c r="BN865" i="29"/>
  <c r="Q861" i="29"/>
  <c r="X861" i="29" s="1"/>
  <c r="R861" i="29"/>
  <c r="AC861" i="29"/>
  <c r="K863" i="29"/>
  <c r="J863" i="29"/>
  <c r="L862" i="29"/>
  <c r="V862" i="29"/>
  <c r="T863" i="29"/>
  <c r="S863" i="29"/>
  <c r="AE862" i="29"/>
  <c r="AF862" i="29"/>
  <c r="AZ862" i="29"/>
  <c r="BH862" i="29"/>
  <c r="BB862" i="29" s="1"/>
  <c r="BP863" i="29"/>
  <c r="BD864" i="29"/>
  <c r="BE863" i="29"/>
  <c r="BG863" i="29" s="1"/>
  <c r="BA863" i="29" s="1"/>
  <c r="BC863" i="29"/>
  <c r="BF863" i="29" s="1"/>
  <c r="D223" i="15"/>
  <c r="I93" i="39"/>
  <c r="G89" i="15"/>
  <c r="BV812" i="29" l="1"/>
  <c r="CC812" i="29"/>
  <c r="BV808" i="29"/>
  <c r="CC808" i="29"/>
  <c r="BV804" i="29"/>
  <c r="CC804" i="29"/>
  <c r="BV807" i="29"/>
  <c r="CC807" i="29"/>
  <c r="BV810" i="29"/>
  <c r="CC810" i="29"/>
  <c r="BV802" i="29"/>
  <c r="CC802" i="29"/>
  <c r="BX802" i="29" s="1"/>
  <c r="BZ802" i="29" s="1"/>
  <c r="BX803" i="29" s="1"/>
  <c r="BZ803" i="29" s="1"/>
  <c r="BX804" i="29" s="1"/>
  <c r="BZ804" i="29" s="1"/>
  <c r="BX805" i="29" s="1"/>
  <c r="BV811" i="29"/>
  <c r="CC811" i="29"/>
  <c r="BV803" i="29"/>
  <c r="CC803" i="29"/>
  <c r="BV806" i="29"/>
  <c r="CC806" i="29"/>
  <c r="BV809" i="29"/>
  <c r="CC809" i="29"/>
  <c r="BV805" i="29"/>
  <c r="CC805" i="29"/>
  <c r="BV813" i="29"/>
  <c r="CC813" i="29"/>
  <c r="F223" i="15"/>
  <c r="L93" i="39"/>
  <c r="U863" i="29"/>
  <c r="AB863" i="29" s="1"/>
  <c r="S864" i="29"/>
  <c r="V863" i="29"/>
  <c r="T864" i="29"/>
  <c r="AE863" i="29"/>
  <c r="AF863" i="29"/>
  <c r="K864" i="29"/>
  <c r="J864" i="29"/>
  <c r="L863" i="29"/>
  <c r="Q862" i="29"/>
  <c r="R862" i="29"/>
  <c r="M861" i="29"/>
  <c r="AA861" i="29"/>
  <c r="CA862" i="29"/>
  <c r="BU862" i="29" s="1"/>
  <c r="W861" i="29"/>
  <c r="Y861" i="29" s="1"/>
  <c r="BR865" i="29"/>
  <c r="BO866" i="29"/>
  <c r="BN866" i="29"/>
  <c r="BY865" i="29"/>
  <c r="BQ866" i="29"/>
  <c r="BQ867" i="29" s="1"/>
  <c r="AB862" i="29"/>
  <c r="AZ863" i="29"/>
  <c r="BH863" i="29"/>
  <c r="BB863" i="29" s="1"/>
  <c r="BE864" i="29"/>
  <c r="BG864" i="29" s="1"/>
  <c r="BA864" i="29" s="1"/>
  <c r="BP864" i="29"/>
  <c r="BD865" i="29"/>
  <c r="BC864" i="29"/>
  <c r="BF864" i="29" s="1"/>
  <c r="AA862" i="29" l="1"/>
  <c r="W862" i="29"/>
  <c r="Y862" i="29" s="1"/>
  <c r="M862" i="29"/>
  <c r="CA863" i="29"/>
  <c r="BU863" i="29" s="1"/>
  <c r="U864" i="29"/>
  <c r="AC864" i="29" s="1"/>
  <c r="BR866" i="29"/>
  <c r="BY866" i="29"/>
  <c r="BN867" i="29"/>
  <c r="BO867" i="29"/>
  <c r="S865" i="29"/>
  <c r="T865" i="29"/>
  <c r="V864" i="29"/>
  <c r="AF864" i="29"/>
  <c r="AE864" i="29"/>
  <c r="R863" i="29"/>
  <c r="Q863" i="29"/>
  <c r="X862" i="29"/>
  <c r="L864" i="29"/>
  <c r="J865" i="29"/>
  <c r="K865" i="29"/>
  <c r="AC863" i="29"/>
  <c r="BZ805" i="29"/>
  <c r="BX806" i="29" s="1"/>
  <c r="BH864" i="29"/>
  <c r="BB864" i="29" s="1"/>
  <c r="AZ864" i="29"/>
  <c r="BE865" i="29"/>
  <c r="BG865" i="29" s="1"/>
  <c r="BA865" i="29" s="1"/>
  <c r="BC865" i="29"/>
  <c r="BF865" i="29" s="1"/>
  <c r="BP865" i="29"/>
  <c r="BD866" i="29"/>
  <c r="M863" i="29" l="1"/>
  <c r="CA864" i="29"/>
  <c r="BU864" i="29" s="1"/>
  <c r="AA863" i="29"/>
  <c r="W863" i="29"/>
  <c r="Y863" i="29" s="1"/>
  <c r="U865" i="29"/>
  <c r="AC865" i="29" s="1"/>
  <c r="T866" i="29"/>
  <c r="V865" i="29"/>
  <c r="S866" i="29"/>
  <c r="AF865" i="29"/>
  <c r="AE865" i="29"/>
  <c r="R864" i="29"/>
  <c r="Q864" i="29"/>
  <c r="X864" i="29" s="1"/>
  <c r="J866" i="29"/>
  <c r="K866" i="29"/>
  <c r="L865" i="29"/>
  <c r="X863" i="29"/>
  <c r="BN868" i="29"/>
  <c r="BY867" i="29"/>
  <c r="BO868" i="29"/>
  <c r="BR867" i="29"/>
  <c r="BQ868" i="29"/>
  <c r="AB864" i="29"/>
  <c r="BZ806" i="29"/>
  <c r="BX807" i="29" s="1"/>
  <c r="BP866" i="29"/>
  <c r="BE866" i="29"/>
  <c r="BG866" i="29" s="1"/>
  <c r="BA866" i="29" s="1"/>
  <c r="BC866" i="29"/>
  <c r="BF866" i="29" s="1"/>
  <c r="BD867" i="29"/>
  <c r="BH865" i="29"/>
  <c r="BB865" i="29" s="1"/>
  <c r="AZ865" i="29"/>
  <c r="AB865" i="29" l="1"/>
  <c r="BN869" i="29"/>
  <c r="BR868" i="29"/>
  <c r="BY868" i="29"/>
  <c r="BO869" i="29"/>
  <c r="R865" i="29"/>
  <c r="Q865" i="29"/>
  <c r="X865" i="29" s="1"/>
  <c r="W864" i="29"/>
  <c r="Y864" i="29" s="1"/>
  <c r="M864" i="29"/>
  <c r="CA865" i="29"/>
  <c r="BU865" i="29" s="1"/>
  <c r="AA864" i="29"/>
  <c r="U866" i="29"/>
  <c r="AB866" i="29" s="1"/>
  <c r="K867" i="29"/>
  <c r="L866" i="29"/>
  <c r="J867" i="29"/>
  <c r="BQ869" i="29"/>
  <c r="BQ870" i="29" s="1"/>
  <c r="S867" i="29"/>
  <c r="V866" i="29"/>
  <c r="T867" i="29"/>
  <c r="AF866" i="29"/>
  <c r="AE866" i="29"/>
  <c r="BZ807" i="29"/>
  <c r="BX808" i="29" s="1"/>
  <c r="BD868" i="29"/>
  <c r="BC867" i="29"/>
  <c r="BF867" i="29" s="1"/>
  <c r="BP867" i="29"/>
  <c r="BE867" i="29"/>
  <c r="BG867" i="29" s="1"/>
  <c r="BA867" i="29" s="1"/>
  <c r="AZ866" i="29"/>
  <c r="BH866" i="29"/>
  <c r="BB866" i="29" s="1"/>
  <c r="AC866" i="29" l="1"/>
  <c r="U867" i="29"/>
  <c r="AC867" i="29" s="1"/>
  <c r="W865" i="29"/>
  <c r="Y865" i="29" s="1"/>
  <c r="CA866" i="29"/>
  <c r="BU866" i="29" s="1"/>
  <c r="M865" i="29"/>
  <c r="AA865" i="29"/>
  <c r="K868" i="29"/>
  <c r="L867" i="29"/>
  <c r="J868" i="29"/>
  <c r="V867" i="29"/>
  <c r="S868" i="29"/>
  <c r="T868" i="29"/>
  <c r="AF867" i="29"/>
  <c r="AE867" i="29"/>
  <c r="R866" i="29"/>
  <c r="Q866" i="29"/>
  <c r="X866" i="29" s="1"/>
  <c r="BN870" i="29"/>
  <c r="BY869" i="29"/>
  <c r="BO870" i="29"/>
  <c r="BR869" i="29"/>
  <c r="BZ808" i="29"/>
  <c r="BX809" i="29" s="1"/>
  <c r="AZ867" i="29"/>
  <c r="BH867" i="29"/>
  <c r="BB867" i="29" s="1"/>
  <c r="BD869" i="29"/>
  <c r="BC868" i="29"/>
  <c r="BF868" i="29" s="1"/>
  <c r="BP868" i="29"/>
  <c r="BE868" i="29"/>
  <c r="BG868" i="29" s="1"/>
  <c r="BA868" i="29" s="1"/>
  <c r="BN871" i="29" l="1"/>
  <c r="BY870" i="29"/>
  <c r="BR870" i="29"/>
  <c r="BO871" i="29"/>
  <c r="M866" i="29"/>
  <c r="AA866" i="29"/>
  <c r="W866" i="29"/>
  <c r="Y866" i="29" s="1"/>
  <c r="CA867" i="29"/>
  <c r="BU867" i="29" s="1"/>
  <c r="J869" i="29"/>
  <c r="L868" i="29"/>
  <c r="K869" i="29"/>
  <c r="R867" i="29"/>
  <c r="Q867" i="29"/>
  <c r="X867" i="29" s="1"/>
  <c r="T869" i="29"/>
  <c r="S869" i="29"/>
  <c r="V868" i="29"/>
  <c r="AF868" i="29"/>
  <c r="AE868" i="29"/>
  <c r="AB867" i="29"/>
  <c r="BQ871" i="29"/>
  <c r="BQ872" i="29" s="1"/>
  <c r="U868" i="29"/>
  <c r="BZ809" i="29"/>
  <c r="BX810" i="29" s="1"/>
  <c r="BC869" i="29"/>
  <c r="BF869" i="29" s="1"/>
  <c r="BD870" i="29"/>
  <c r="BE869" i="29"/>
  <c r="BG869" i="29" s="1"/>
  <c r="BA869" i="29" s="1"/>
  <c r="BP869" i="29"/>
  <c r="BH868" i="29"/>
  <c r="BB868" i="29" s="1"/>
  <c r="AZ868" i="29"/>
  <c r="R868" i="29" l="1"/>
  <c r="Q868" i="29"/>
  <c r="AB868" i="29"/>
  <c r="U869" i="29"/>
  <c r="AC868" i="29"/>
  <c r="V869" i="29"/>
  <c r="T870" i="29"/>
  <c r="S870" i="29"/>
  <c r="AF869" i="29"/>
  <c r="AE869" i="29"/>
  <c r="J870" i="29"/>
  <c r="L869" i="29"/>
  <c r="K870" i="29"/>
  <c r="M867" i="29"/>
  <c r="W867" i="29"/>
  <c r="Y867" i="29" s="1"/>
  <c r="AA867" i="29"/>
  <c r="CA868" i="29"/>
  <c r="BU868" i="29" s="1"/>
  <c r="BR871" i="29"/>
  <c r="BO872" i="29"/>
  <c r="BN872" i="29"/>
  <c r="BY871" i="29"/>
  <c r="BZ810" i="29"/>
  <c r="BX811" i="29" s="1"/>
  <c r="BE870" i="29"/>
  <c r="BG870" i="29" s="1"/>
  <c r="BA870" i="29" s="1"/>
  <c r="BC870" i="29"/>
  <c r="BF870" i="29" s="1"/>
  <c r="BD871" i="29"/>
  <c r="BP870" i="29"/>
  <c r="BH869" i="29"/>
  <c r="BB869" i="29" s="1"/>
  <c r="AZ869" i="29"/>
  <c r="U870" i="29" l="1"/>
  <c r="AB870" i="29" s="1"/>
  <c r="BR872" i="29"/>
  <c r="BO873" i="29"/>
  <c r="BY872" i="29"/>
  <c r="BN873" i="29"/>
  <c r="BQ873" i="29"/>
  <c r="BQ874" i="29" s="1"/>
  <c r="S871" i="29"/>
  <c r="T871" i="29"/>
  <c r="V870" i="29"/>
  <c r="AF870" i="29"/>
  <c r="AE870" i="29"/>
  <c r="Q869" i="29"/>
  <c r="R869" i="29"/>
  <c r="X868" i="29"/>
  <c r="M868" i="29"/>
  <c r="AA868" i="29"/>
  <c r="CA869" i="29"/>
  <c r="BU869" i="29" s="1"/>
  <c r="W868" i="29"/>
  <c r="Y868" i="29" s="1"/>
  <c r="AC869" i="29"/>
  <c r="J871" i="29"/>
  <c r="K871" i="29"/>
  <c r="L870" i="29"/>
  <c r="AB869" i="29"/>
  <c r="BZ811" i="29"/>
  <c r="BX812" i="29" s="1"/>
  <c r="AZ870" i="29"/>
  <c r="BH870" i="29"/>
  <c r="BB870" i="29" s="1"/>
  <c r="BP871" i="29"/>
  <c r="BD872" i="29"/>
  <c r="BE871" i="29"/>
  <c r="BG871" i="29" s="1"/>
  <c r="BA871" i="29" s="1"/>
  <c r="BC871" i="29"/>
  <c r="BF871" i="29" s="1"/>
  <c r="AC870" i="29" l="1"/>
  <c r="AA869" i="29"/>
  <c r="M869" i="29"/>
  <c r="W869" i="29"/>
  <c r="Y869" i="29" s="1"/>
  <c r="CA870" i="29"/>
  <c r="BU870" i="29" s="1"/>
  <c r="V871" i="29"/>
  <c r="S872" i="29"/>
  <c r="T872" i="29"/>
  <c r="AE871" i="29"/>
  <c r="AF871" i="29"/>
  <c r="U871" i="29"/>
  <c r="AC871" i="29" s="1"/>
  <c r="BO874" i="29"/>
  <c r="BN874" i="29"/>
  <c r="BR873" i="29"/>
  <c r="X869" i="29"/>
  <c r="BQ875" i="29"/>
  <c r="L871" i="29"/>
  <c r="J872" i="29"/>
  <c r="K872" i="29"/>
  <c r="Q870" i="29"/>
  <c r="X870" i="29" s="1"/>
  <c r="R870" i="29"/>
  <c r="BH871" i="29"/>
  <c r="BB871" i="29" s="1"/>
  <c r="AZ871" i="29"/>
  <c r="BZ812" i="29"/>
  <c r="BY813" i="29" s="1"/>
  <c r="BE872" i="29"/>
  <c r="BG872" i="29" s="1"/>
  <c r="BA872" i="29" s="1"/>
  <c r="BC872" i="29"/>
  <c r="BF872" i="29" s="1"/>
  <c r="BP872" i="29"/>
  <c r="BD873" i="29"/>
  <c r="AB871" i="29" l="1"/>
  <c r="BY874" i="29"/>
  <c r="BR874" i="29"/>
  <c r="BO875" i="29"/>
  <c r="BQ876" i="29" s="1"/>
  <c r="BN875" i="29"/>
  <c r="K873" i="29"/>
  <c r="J873" i="29"/>
  <c r="L872" i="29"/>
  <c r="R871" i="29"/>
  <c r="Q871" i="29"/>
  <c r="X871" i="29" s="1"/>
  <c r="T873" i="29"/>
  <c r="S873" i="29"/>
  <c r="V872" i="29"/>
  <c r="AE872" i="29"/>
  <c r="AF872" i="29"/>
  <c r="AA870" i="29"/>
  <c r="W870" i="29"/>
  <c r="Y870" i="29" s="1"/>
  <c r="CA871" i="29"/>
  <c r="BU871" i="29" s="1"/>
  <c r="M870" i="29"/>
  <c r="U872" i="29"/>
  <c r="BW813" i="29"/>
  <c r="BX813" i="29"/>
  <c r="BH872" i="29"/>
  <c r="BB872" i="29" s="1"/>
  <c r="AZ872" i="29"/>
  <c r="BP873" i="29"/>
  <c r="BC873" i="29"/>
  <c r="BF873" i="29" s="1"/>
  <c r="BE873" i="29"/>
  <c r="BG873" i="29" s="1"/>
  <c r="BA873" i="29" s="1"/>
  <c r="BD874" i="29"/>
  <c r="BI873" i="29"/>
  <c r="U873" i="29" l="1"/>
  <c r="AC873" i="29" s="1"/>
  <c r="M871" i="29"/>
  <c r="AA871" i="29"/>
  <c r="CA872" i="29"/>
  <c r="BU872" i="29" s="1"/>
  <c r="W871" i="29"/>
  <c r="Y871" i="29" s="1"/>
  <c r="L873" i="29"/>
  <c r="K874" i="29"/>
  <c r="J874" i="29"/>
  <c r="Q872" i="29"/>
  <c r="R872" i="29"/>
  <c r="V873" i="29"/>
  <c r="S874" i="29"/>
  <c r="T874" i="29"/>
  <c r="AE873" i="29"/>
  <c r="AF873" i="29"/>
  <c r="BN876" i="29"/>
  <c r="BR875" i="29"/>
  <c r="BO876" i="29"/>
  <c r="BY875" i="29"/>
  <c r="BC874" i="29"/>
  <c r="BF874" i="29" s="1"/>
  <c r="BP874" i="29"/>
  <c r="BD875" i="29"/>
  <c r="BE874" i="29"/>
  <c r="BG874" i="29" s="1"/>
  <c r="BA874" i="29" s="1"/>
  <c r="BZ813" i="29"/>
  <c r="AZ873" i="29"/>
  <c r="BH873" i="29"/>
  <c r="BB873" i="29" s="1"/>
  <c r="BS813" i="29"/>
  <c r="BT813" i="29"/>
  <c r="M812" i="29" s="1"/>
  <c r="AB873" i="29" l="1"/>
  <c r="V874" i="29"/>
  <c r="S875" i="29"/>
  <c r="T875" i="29"/>
  <c r="AE874" i="29"/>
  <c r="AF874" i="29"/>
  <c r="CA873" i="29"/>
  <c r="BU873" i="29" s="1"/>
  <c r="AA872" i="29"/>
  <c r="W872" i="29"/>
  <c r="Y872" i="29" s="1"/>
  <c r="U874" i="29"/>
  <c r="AB874" i="29" s="1"/>
  <c r="BN877" i="29"/>
  <c r="BO877" i="29"/>
  <c r="BY876" i="29"/>
  <c r="BR876" i="29"/>
  <c r="J875" i="29"/>
  <c r="L874" i="29"/>
  <c r="K875" i="29"/>
  <c r="Q873" i="29"/>
  <c r="R873" i="29"/>
  <c r="BQ877" i="29"/>
  <c r="BQ878" i="29" s="1"/>
  <c r="BE875" i="29"/>
  <c r="BG875" i="29" s="1"/>
  <c r="BA875" i="29" s="1"/>
  <c r="BP875" i="29"/>
  <c r="BD876" i="29"/>
  <c r="BC875" i="29"/>
  <c r="BF875" i="29" s="1"/>
  <c r="H77" i="29"/>
  <c r="K70" i="40" s="1"/>
  <c r="X812" i="29"/>
  <c r="Y812" i="29" s="1"/>
  <c r="Z812" i="29" s="1"/>
  <c r="BH874" i="29"/>
  <c r="BB874" i="29" s="1"/>
  <c r="AZ874" i="29"/>
  <c r="G107" i="15" l="1"/>
  <c r="G106" i="15"/>
  <c r="G113" i="15"/>
  <c r="G117" i="15"/>
  <c r="G119" i="15"/>
  <c r="G121" i="15"/>
  <c r="G123" i="15"/>
  <c r="I114" i="39"/>
  <c r="I116" i="39"/>
  <c r="G129" i="15"/>
  <c r="G131" i="15"/>
  <c r="I122" i="39"/>
  <c r="I125" i="39"/>
  <c r="I129" i="39"/>
  <c r="I133" i="39"/>
  <c r="I137" i="39"/>
  <c r="G102" i="15"/>
  <c r="D236" i="15"/>
  <c r="D240" i="15"/>
  <c r="D244" i="15"/>
  <c r="D248" i="15"/>
  <c r="D252" i="15"/>
  <c r="D256" i="15"/>
  <c r="D260" i="15"/>
  <c r="D264" i="15"/>
  <c r="D268" i="15"/>
  <c r="G109" i="15"/>
  <c r="G105" i="15"/>
  <c r="G114" i="15"/>
  <c r="I107" i="39"/>
  <c r="I109" i="39"/>
  <c r="G122" i="15"/>
  <c r="G124" i="15"/>
  <c r="G126" i="15"/>
  <c r="I117" i="39"/>
  <c r="I119" i="39"/>
  <c r="G132" i="15"/>
  <c r="I123" i="39"/>
  <c r="I126" i="39"/>
  <c r="I130" i="39"/>
  <c r="I134" i="39"/>
  <c r="I136" i="39"/>
  <c r="I138" i="39"/>
  <c r="D237" i="15"/>
  <c r="D241" i="15"/>
  <c r="D245" i="15"/>
  <c r="D249" i="15"/>
  <c r="D253" i="15"/>
  <c r="D257" i="15"/>
  <c r="D261" i="15"/>
  <c r="D265" i="15"/>
  <c r="G110" i="15"/>
  <c r="G108" i="15"/>
  <c r="G112" i="15"/>
  <c r="G116" i="15"/>
  <c r="G118" i="15"/>
  <c r="G120" i="15"/>
  <c r="I111" i="39"/>
  <c r="I113" i="39"/>
  <c r="I115" i="39"/>
  <c r="G128" i="15"/>
  <c r="G130" i="15"/>
  <c r="I121" i="39"/>
  <c r="G134" i="15"/>
  <c r="I127" i="39"/>
  <c r="I131" i="39"/>
  <c r="D238" i="15"/>
  <c r="D242" i="15"/>
  <c r="D246" i="15"/>
  <c r="D250" i="15"/>
  <c r="D254" i="15"/>
  <c r="D258" i="15"/>
  <c r="D262" i="15"/>
  <c r="D266" i="15"/>
  <c r="G104" i="15"/>
  <c r="G111" i="15"/>
  <c r="G115" i="15"/>
  <c r="I106" i="39"/>
  <c r="I108" i="39"/>
  <c r="I110" i="39"/>
  <c r="I112" i="39"/>
  <c r="G125" i="15"/>
  <c r="G127" i="15"/>
  <c r="I118" i="39"/>
  <c r="I120" i="39"/>
  <c r="G133" i="15"/>
  <c r="I124" i="39"/>
  <c r="I128" i="39"/>
  <c r="I132" i="39"/>
  <c r="I135" i="39"/>
  <c r="G103" i="15"/>
  <c r="D239" i="15"/>
  <c r="D243" i="15"/>
  <c r="D247" i="15"/>
  <c r="D251" i="15"/>
  <c r="D255" i="15"/>
  <c r="D259" i="15"/>
  <c r="D263" i="15"/>
  <c r="D267" i="15"/>
  <c r="CB814" i="29"/>
  <c r="CB815" i="29"/>
  <c r="CB816" i="29"/>
  <c r="CB817" i="29"/>
  <c r="CB818" i="29"/>
  <c r="CB819" i="29"/>
  <c r="CB820" i="29"/>
  <c r="CB821" i="29"/>
  <c r="CB822" i="29"/>
  <c r="CB823" i="29"/>
  <c r="CB824" i="29"/>
  <c r="AB812" i="29"/>
  <c r="AC812" i="29"/>
  <c r="Z813" i="29"/>
  <c r="Z814" i="29" s="1"/>
  <c r="Z815" i="29" s="1"/>
  <c r="Z816" i="29" s="1"/>
  <c r="Z817" i="29" s="1"/>
  <c r="Z818" i="29" s="1"/>
  <c r="Z819" i="29" s="1"/>
  <c r="Z820" i="29" s="1"/>
  <c r="Z821" i="29" s="1"/>
  <c r="Z822" i="29" s="1"/>
  <c r="Z823" i="29" s="1"/>
  <c r="CB825" i="29"/>
  <c r="G77" i="29"/>
  <c r="L70" i="40" s="1"/>
  <c r="AC874" i="29"/>
  <c r="J876" i="29"/>
  <c r="L875" i="29"/>
  <c r="K876" i="29"/>
  <c r="AA873" i="29"/>
  <c r="CA874" i="29"/>
  <c r="BU874" i="29" s="1"/>
  <c r="W873" i="29"/>
  <c r="Y873" i="29" s="1"/>
  <c r="M873" i="29"/>
  <c r="X873" i="29"/>
  <c r="Q874" i="29"/>
  <c r="X874" i="29" s="1"/>
  <c r="R874" i="29"/>
  <c r="U875" i="29"/>
  <c r="AB875" i="29" s="1"/>
  <c r="BR877" i="29"/>
  <c r="BN878" i="29"/>
  <c r="BY877" i="29"/>
  <c r="BO878" i="29"/>
  <c r="BQ879" i="29" s="1"/>
  <c r="T876" i="29"/>
  <c r="S876" i="29"/>
  <c r="V875" i="29"/>
  <c r="AF875" i="29"/>
  <c r="AE875" i="29"/>
  <c r="D224" i="15"/>
  <c r="I94" i="39"/>
  <c r="G90" i="15"/>
  <c r="AZ875" i="29"/>
  <c r="BH875" i="29"/>
  <c r="BB875" i="29" s="1"/>
  <c r="BD877" i="29"/>
  <c r="BE876" i="29"/>
  <c r="BG876" i="29" s="1"/>
  <c r="BA876" i="29" s="1"/>
  <c r="BP876" i="29"/>
  <c r="BC876" i="29"/>
  <c r="BF876" i="29" s="1"/>
  <c r="L106" i="39" l="1"/>
  <c r="L110" i="39"/>
  <c r="L114" i="39"/>
  <c r="L118" i="39"/>
  <c r="L122" i="39"/>
  <c r="L126" i="39"/>
  <c r="L130" i="39"/>
  <c r="L136" i="39"/>
  <c r="L138" i="39"/>
  <c r="F237" i="15"/>
  <c r="F241" i="15"/>
  <c r="F245" i="15"/>
  <c r="F249" i="15"/>
  <c r="F253" i="15"/>
  <c r="F257" i="15"/>
  <c r="F261" i="15"/>
  <c r="F265" i="15"/>
  <c r="L108" i="39"/>
  <c r="L112" i="39"/>
  <c r="L120" i="39"/>
  <c r="L128" i="39"/>
  <c r="L132" i="39"/>
  <c r="F239" i="15"/>
  <c r="F251" i="15"/>
  <c r="F255" i="15"/>
  <c r="F267" i="15"/>
  <c r="L107" i="39"/>
  <c r="L111" i="39"/>
  <c r="L115" i="39"/>
  <c r="L119" i="39"/>
  <c r="L123" i="39"/>
  <c r="L127" i="39"/>
  <c r="L131" i="39"/>
  <c r="L134" i="39"/>
  <c r="F238" i="15"/>
  <c r="F242" i="15"/>
  <c r="F246" i="15"/>
  <c r="F250" i="15"/>
  <c r="F254" i="15"/>
  <c r="F258" i="15"/>
  <c r="F262" i="15"/>
  <c r="F266" i="15"/>
  <c r="L116" i="39"/>
  <c r="L124" i="39"/>
  <c r="F243" i="15"/>
  <c r="F259" i="15"/>
  <c r="L109" i="39"/>
  <c r="L113" i="39"/>
  <c r="L117" i="39"/>
  <c r="L121" i="39"/>
  <c r="L125" i="39"/>
  <c r="L129" i="39"/>
  <c r="L133" i="39"/>
  <c r="L135" i="39"/>
  <c r="F236" i="15"/>
  <c r="F240" i="15"/>
  <c r="F244" i="15"/>
  <c r="F248" i="15"/>
  <c r="F252" i="15"/>
  <c r="F256" i="15"/>
  <c r="F260" i="15"/>
  <c r="F264" i="15"/>
  <c r="F268" i="15"/>
  <c r="L137" i="39"/>
  <c r="F247" i="15"/>
  <c r="F263" i="15"/>
  <c r="BV820" i="29"/>
  <c r="CC820" i="29"/>
  <c r="BV821" i="29"/>
  <c r="CC821" i="29"/>
  <c r="BV817" i="29"/>
  <c r="CC817" i="29"/>
  <c r="BV823" i="29"/>
  <c r="CC823" i="29"/>
  <c r="BV819" i="29"/>
  <c r="CC819" i="29"/>
  <c r="BV815" i="29"/>
  <c r="CC815" i="29"/>
  <c r="BV824" i="29"/>
  <c r="CC824" i="29"/>
  <c r="BV816" i="29"/>
  <c r="CC816" i="29"/>
  <c r="BV822" i="29"/>
  <c r="CC822" i="29"/>
  <c r="BV818" i="29"/>
  <c r="CC818" i="29"/>
  <c r="BV814" i="29"/>
  <c r="CC814" i="29"/>
  <c r="BX814" i="29" s="1"/>
  <c r="BZ814" i="29" s="1"/>
  <c r="BV825" i="29"/>
  <c r="CC825" i="29"/>
  <c r="L94" i="39"/>
  <c r="F224" i="15"/>
  <c r="U876" i="29"/>
  <c r="AC876" i="29" s="1"/>
  <c r="M874" i="29"/>
  <c r="CA875" i="29"/>
  <c r="BU875" i="29" s="1"/>
  <c r="W874" i="29"/>
  <c r="Y874" i="29" s="1"/>
  <c r="AA874" i="29"/>
  <c r="S877" i="29"/>
  <c r="V876" i="29"/>
  <c r="T877" i="29"/>
  <c r="AE876" i="29"/>
  <c r="AF876" i="29"/>
  <c r="K877" i="29"/>
  <c r="L876" i="29"/>
  <c r="J877" i="29"/>
  <c r="BY878" i="29"/>
  <c r="BO879" i="29"/>
  <c r="BR878" i="29"/>
  <c r="BN879" i="29"/>
  <c r="Q875" i="29"/>
  <c r="R875" i="29"/>
  <c r="AC875" i="29"/>
  <c r="AZ876" i="29"/>
  <c r="BH876" i="29"/>
  <c r="BB876" i="29" s="1"/>
  <c r="BP877" i="29"/>
  <c r="BD878" i="29"/>
  <c r="BE877" i="29"/>
  <c r="BG877" i="29" s="1"/>
  <c r="BA877" i="29" s="1"/>
  <c r="BC877" i="29"/>
  <c r="BF877" i="29" s="1"/>
  <c r="BX815" i="29" l="1"/>
  <c r="BZ815" i="29" s="1"/>
  <c r="BX816" i="29" s="1"/>
  <c r="BZ816" i="29" s="1"/>
  <c r="BX817" i="29" s="1"/>
  <c r="BZ817" i="29" s="1"/>
  <c r="BX818" i="29" s="1"/>
  <c r="AB876" i="29"/>
  <c r="V877" i="29"/>
  <c r="S878" i="29"/>
  <c r="T878" i="29"/>
  <c r="AE877" i="29"/>
  <c r="AF877" i="29"/>
  <c r="CA876" i="29"/>
  <c r="BU876" i="29" s="1"/>
  <c r="M875" i="29"/>
  <c r="W875" i="29"/>
  <c r="Y875" i="29" s="1"/>
  <c r="AA875" i="29"/>
  <c r="BY879" i="29"/>
  <c r="BO880" i="29"/>
  <c r="BR879" i="29"/>
  <c r="BN880" i="29"/>
  <c r="K878" i="29"/>
  <c r="L877" i="29"/>
  <c r="J878" i="29"/>
  <c r="X875" i="29"/>
  <c r="U877" i="29"/>
  <c r="R876" i="29"/>
  <c r="Q876" i="29"/>
  <c r="X876" i="29" s="1"/>
  <c r="BQ880" i="29"/>
  <c r="BQ881" i="29" s="1"/>
  <c r="BH877" i="29"/>
  <c r="BB877" i="29" s="1"/>
  <c r="AZ877" i="29"/>
  <c r="BD879" i="29"/>
  <c r="BC878" i="29"/>
  <c r="BF878" i="29" s="1"/>
  <c r="BP878" i="29"/>
  <c r="BE878" i="29"/>
  <c r="BG878" i="29" s="1"/>
  <c r="BA878" i="29" s="1"/>
  <c r="R877" i="29" l="1"/>
  <c r="Q877" i="29"/>
  <c r="X877" i="29" s="1"/>
  <c r="AB877" i="29"/>
  <c r="BY880" i="29"/>
  <c r="BR880" i="29"/>
  <c r="BO881" i="29"/>
  <c r="BN881" i="29"/>
  <c r="U878" i="29"/>
  <c r="AC878" i="29" s="1"/>
  <c r="M876" i="29"/>
  <c r="W876" i="29"/>
  <c r="Y876" i="29" s="1"/>
  <c r="AA876" i="29"/>
  <c r="CA877" i="29"/>
  <c r="BU877" i="29" s="1"/>
  <c r="AC877" i="29"/>
  <c r="L878" i="29"/>
  <c r="J879" i="29"/>
  <c r="K879" i="29"/>
  <c r="V878" i="29"/>
  <c r="T879" i="29"/>
  <c r="S879" i="29"/>
  <c r="AE878" i="29"/>
  <c r="AF878" i="29"/>
  <c r="BZ818" i="29"/>
  <c r="BX819" i="29" s="1"/>
  <c r="BH878" i="29"/>
  <c r="BB878" i="29" s="1"/>
  <c r="AZ878" i="29"/>
  <c r="BP879" i="29"/>
  <c r="BD880" i="29"/>
  <c r="BC879" i="29"/>
  <c r="BF879" i="29" s="1"/>
  <c r="BE879" i="29"/>
  <c r="BG879" i="29" s="1"/>
  <c r="BA879" i="29" s="1"/>
  <c r="AB878" i="29" l="1"/>
  <c r="BR881" i="29"/>
  <c r="BO882" i="29"/>
  <c r="BN882" i="29"/>
  <c r="BY881" i="29"/>
  <c r="T880" i="29"/>
  <c r="V879" i="29"/>
  <c r="S880" i="29"/>
  <c r="AE879" i="29"/>
  <c r="AF879" i="29"/>
  <c r="J880" i="29"/>
  <c r="K880" i="29"/>
  <c r="L879" i="29"/>
  <c r="CA878" i="29"/>
  <c r="BU878" i="29" s="1"/>
  <c r="W877" i="29"/>
  <c r="Y877" i="29" s="1"/>
  <c r="M877" i="29"/>
  <c r="AA877" i="29"/>
  <c r="U879" i="29"/>
  <c r="AC879" i="29" s="1"/>
  <c r="BQ882" i="29"/>
  <c r="BQ883" i="29" s="1"/>
  <c r="R878" i="29"/>
  <c r="Q878" i="29"/>
  <c r="X878" i="29" s="1"/>
  <c r="BZ819" i="29"/>
  <c r="BX820" i="29" s="1"/>
  <c r="BH879" i="29"/>
  <c r="BB879" i="29" s="1"/>
  <c r="AZ879" i="29"/>
  <c r="BE880" i="29"/>
  <c r="BG880" i="29" s="1"/>
  <c r="BA880" i="29" s="1"/>
  <c r="BP880" i="29"/>
  <c r="BD881" i="29"/>
  <c r="BC880" i="29"/>
  <c r="BF880" i="29" s="1"/>
  <c r="L880" i="29" l="1"/>
  <c r="K881" i="29"/>
  <c r="J881" i="29"/>
  <c r="U880" i="29"/>
  <c r="CA879" i="29"/>
  <c r="BU879" i="29" s="1"/>
  <c r="W878" i="29"/>
  <c r="Y878" i="29" s="1"/>
  <c r="AA878" i="29"/>
  <c r="M878" i="29"/>
  <c r="Q879" i="29"/>
  <c r="X879" i="29" s="1"/>
  <c r="R879" i="29"/>
  <c r="T881" i="29"/>
  <c r="V880" i="29"/>
  <c r="S881" i="29"/>
  <c r="AE880" i="29"/>
  <c r="AF880" i="29"/>
  <c r="BQ884" i="29"/>
  <c r="BY882" i="29"/>
  <c r="BO883" i="29"/>
  <c r="BN883" i="29"/>
  <c r="BR882" i="29"/>
  <c r="AB879" i="29"/>
  <c r="BZ820" i="29"/>
  <c r="BX821" i="29" s="1"/>
  <c r="AZ880" i="29"/>
  <c r="BH880" i="29"/>
  <c r="BB880" i="29" s="1"/>
  <c r="BP881" i="29"/>
  <c r="BC881" i="29"/>
  <c r="BF881" i="29" s="1"/>
  <c r="BE881" i="29"/>
  <c r="BG881" i="29" s="1"/>
  <c r="BA881" i="29" s="1"/>
  <c r="BD882" i="29"/>
  <c r="U881" i="29" l="1"/>
  <c r="M879" i="29"/>
  <c r="W879" i="29"/>
  <c r="Y879" i="29" s="1"/>
  <c r="AA879" i="29"/>
  <c r="CA880" i="29"/>
  <c r="BU880" i="29" s="1"/>
  <c r="R880" i="29"/>
  <c r="Q880" i="29"/>
  <c r="X880" i="29" s="1"/>
  <c r="V881" i="29"/>
  <c r="S882" i="29"/>
  <c r="T882" i="29"/>
  <c r="AE881" i="29"/>
  <c r="AF881" i="29"/>
  <c r="AC880" i="29"/>
  <c r="J882" i="29"/>
  <c r="L881" i="29"/>
  <c r="K882" i="29"/>
  <c r="BY883" i="29"/>
  <c r="BN884" i="29"/>
  <c r="BO884" i="29"/>
  <c r="BR883" i="29"/>
  <c r="AB880" i="29"/>
  <c r="BZ821" i="29"/>
  <c r="BX822" i="29" s="1"/>
  <c r="BP882" i="29"/>
  <c r="BE882" i="29"/>
  <c r="BG882" i="29" s="1"/>
  <c r="BA882" i="29" s="1"/>
  <c r="BD883" i="29"/>
  <c r="BC882" i="29"/>
  <c r="BF882" i="29" s="1"/>
  <c r="AZ881" i="29"/>
  <c r="BH881" i="29"/>
  <c r="BB881" i="29" s="1"/>
  <c r="K883" i="29" l="1"/>
  <c r="J883" i="29"/>
  <c r="L882" i="29"/>
  <c r="U882" i="29"/>
  <c r="AC882" i="29" s="1"/>
  <c r="Q881" i="29"/>
  <c r="X881" i="29" s="1"/>
  <c r="R881" i="29"/>
  <c r="BN885" i="29"/>
  <c r="BR884" i="29"/>
  <c r="BO885" i="29"/>
  <c r="BY884" i="29"/>
  <c r="BQ885" i="29"/>
  <c r="BQ886" i="29" s="1"/>
  <c r="AB881" i="29"/>
  <c r="AC881" i="29"/>
  <c r="T883" i="29"/>
  <c r="S883" i="29"/>
  <c r="V882" i="29"/>
  <c r="AE882" i="29"/>
  <c r="AF882" i="29"/>
  <c r="W880" i="29"/>
  <c r="Y880" i="29" s="1"/>
  <c r="CA881" i="29"/>
  <c r="BU881" i="29" s="1"/>
  <c r="M880" i="29"/>
  <c r="AA880" i="29"/>
  <c r="BZ822" i="29"/>
  <c r="BX823" i="29" s="1"/>
  <c r="AZ882" i="29"/>
  <c r="BH882" i="29"/>
  <c r="BB882" i="29" s="1"/>
  <c r="BD884" i="29"/>
  <c r="BE883" i="29"/>
  <c r="BG883" i="29" s="1"/>
  <c r="BA883" i="29" s="1"/>
  <c r="BC883" i="29"/>
  <c r="BF883" i="29" s="1"/>
  <c r="BP883" i="29"/>
  <c r="S884" i="29" l="1"/>
  <c r="T884" i="29"/>
  <c r="V883" i="29"/>
  <c r="AF883" i="29"/>
  <c r="AE883" i="29"/>
  <c r="K884" i="29"/>
  <c r="J884" i="29"/>
  <c r="L883" i="29"/>
  <c r="Q882" i="29"/>
  <c r="X882" i="29" s="1"/>
  <c r="R882" i="29"/>
  <c r="U883" i="29"/>
  <c r="AB883" i="29" s="1"/>
  <c r="BO886" i="29"/>
  <c r="BR885" i="29"/>
  <c r="BN886" i="29"/>
  <c r="M881" i="29"/>
  <c r="W881" i="29"/>
  <c r="Y881" i="29" s="1"/>
  <c r="CA882" i="29"/>
  <c r="BU882" i="29" s="1"/>
  <c r="AA881" i="29"/>
  <c r="AB882" i="29"/>
  <c r="BZ823" i="29"/>
  <c r="BX824" i="29" s="1"/>
  <c r="BH883" i="29"/>
  <c r="BB883" i="29" s="1"/>
  <c r="AZ883" i="29"/>
  <c r="BD885" i="29"/>
  <c r="BP884" i="29"/>
  <c r="BE884" i="29"/>
  <c r="BG884" i="29" s="1"/>
  <c r="BA884" i="29" s="1"/>
  <c r="BC884" i="29"/>
  <c r="BF884" i="29" s="1"/>
  <c r="AC883" i="29" l="1"/>
  <c r="L884" i="29"/>
  <c r="K885" i="29"/>
  <c r="J885" i="29"/>
  <c r="S885" i="29"/>
  <c r="T885" i="29"/>
  <c r="V884" i="29"/>
  <c r="AE884" i="29"/>
  <c r="AF884" i="29"/>
  <c r="BR886" i="29"/>
  <c r="BY886" i="29"/>
  <c r="BN887" i="29"/>
  <c r="BO887" i="29"/>
  <c r="BQ887" i="29"/>
  <c r="BQ888" i="29" s="1"/>
  <c r="U884" i="29"/>
  <c r="R883" i="29"/>
  <c r="Q883" i="29"/>
  <c r="AA882" i="29"/>
  <c r="W882" i="29"/>
  <c r="Y882" i="29" s="1"/>
  <c r="CA883" i="29"/>
  <c r="BU883" i="29" s="1"/>
  <c r="M882" i="29"/>
  <c r="BZ824" i="29"/>
  <c r="BY825" i="29" s="1"/>
  <c r="BE885" i="29"/>
  <c r="BG885" i="29" s="1"/>
  <c r="BA885" i="29" s="1"/>
  <c r="BP885" i="29"/>
  <c r="BI885" i="29"/>
  <c r="BC885" i="29"/>
  <c r="BF885" i="29" s="1"/>
  <c r="BD886" i="29"/>
  <c r="BH884" i="29"/>
  <c r="BB884" i="29" s="1"/>
  <c r="AZ884" i="29"/>
  <c r="W883" i="29" l="1"/>
  <c r="Y883" i="29" s="1"/>
  <c r="CA884" i="29"/>
  <c r="BU884" i="29" s="1"/>
  <c r="AA883" i="29"/>
  <c r="M883" i="29"/>
  <c r="X883" i="29"/>
  <c r="K886" i="29"/>
  <c r="L885" i="29"/>
  <c r="J886" i="29"/>
  <c r="BR887" i="29"/>
  <c r="BN888" i="29"/>
  <c r="BY887" i="29"/>
  <c r="BO888" i="29"/>
  <c r="BQ889" i="29" s="1"/>
  <c r="S886" i="29"/>
  <c r="V885" i="29"/>
  <c r="T886" i="29"/>
  <c r="AF885" i="29"/>
  <c r="AE885" i="29"/>
  <c r="U885" i="29"/>
  <c r="AB885" i="29" s="1"/>
  <c r="Q884" i="29"/>
  <c r="R884" i="29"/>
  <c r="BW825" i="29"/>
  <c r="BX825" i="29"/>
  <c r="BH885" i="29"/>
  <c r="BB885" i="29" s="1"/>
  <c r="AZ885" i="29"/>
  <c r="BC886" i="29"/>
  <c r="BF886" i="29" s="1"/>
  <c r="BD887" i="29"/>
  <c r="BP886" i="29"/>
  <c r="BE886" i="29"/>
  <c r="BG886" i="29" s="1"/>
  <c r="BA886" i="29" s="1"/>
  <c r="AC885" i="29" l="1"/>
  <c r="W884" i="29"/>
  <c r="Y884" i="29" s="1"/>
  <c r="CA885" i="29"/>
  <c r="BU885" i="29" s="1"/>
  <c r="AA884" i="29"/>
  <c r="L886" i="29"/>
  <c r="J887" i="29"/>
  <c r="K887" i="29"/>
  <c r="Q885" i="29"/>
  <c r="R885" i="29"/>
  <c r="U886" i="29"/>
  <c r="AB886" i="29" s="1"/>
  <c r="BY888" i="29"/>
  <c r="BO889" i="29"/>
  <c r="BR888" i="29"/>
  <c r="BN889" i="29"/>
  <c r="T887" i="29"/>
  <c r="S887" i="29"/>
  <c r="V886" i="29"/>
  <c r="AE886" i="29"/>
  <c r="AF886" i="29"/>
  <c r="BH886" i="29"/>
  <c r="BB886" i="29" s="1"/>
  <c r="AZ886" i="29"/>
  <c r="BZ825" i="29"/>
  <c r="BC887" i="29"/>
  <c r="BF887" i="29" s="1"/>
  <c r="BD888" i="29"/>
  <c r="BE887" i="29"/>
  <c r="BG887" i="29" s="1"/>
  <c r="BA887" i="29" s="1"/>
  <c r="BP887" i="29"/>
  <c r="BT825" i="29"/>
  <c r="M824" i="29" s="1"/>
  <c r="BS825" i="29"/>
  <c r="M76" i="40" l="1"/>
  <c r="AI100" i="39"/>
  <c r="AC886" i="29"/>
  <c r="U887" i="29"/>
  <c r="AB887" i="29" s="1"/>
  <c r="BR889" i="29"/>
  <c r="BO890" i="29"/>
  <c r="BN890" i="29"/>
  <c r="BY889" i="29"/>
  <c r="T888" i="29"/>
  <c r="S888" i="29"/>
  <c r="V887" i="29"/>
  <c r="AE887" i="29"/>
  <c r="AF887" i="29"/>
  <c r="Q886" i="29"/>
  <c r="X886" i="29" s="1"/>
  <c r="R886" i="29"/>
  <c r="X885" i="29"/>
  <c r="W885" i="29"/>
  <c r="Y885" i="29" s="1"/>
  <c r="CA886" i="29"/>
  <c r="BU886" i="29" s="1"/>
  <c r="M885" i="29"/>
  <c r="AA885" i="29"/>
  <c r="L887" i="29"/>
  <c r="J888" i="29"/>
  <c r="K888" i="29"/>
  <c r="BQ890" i="29"/>
  <c r="BP888" i="29"/>
  <c r="BE888" i="29"/>
  <c r="BG888" i="29" s="1"/>
  <c r="BA888" i="29" s="1"/>
  <c r="BC888" i="29"/>
  <c r="BF888" i="29" s="1"/>
  <c r="BD889" i="29"/>
  <c r="H78" i="29"/>
  <c r="K71" i="40" s="1"/>
  <c r="X824" i="29"/>
  <c r="Y824" i="29" s="1"/>
  <c r="Z824" i="29" s="1"/>
  <c r="BH887" i="29"/>
  <c r="BB887" i="29" s="1"/>
  <c r="AZ887" i="29"/>
  <c r="CB826" i="29" l="1"/>
  <c r="CB827" i="29"/>
  <c r="CB828" i="29"/>
  <c r="CB829" i="29"/>
  <c r="CB830" i="29"/>
  <c r="CB831" i="29"/>
  <c r="CB832" i="29"/>
  <c r="CB833" i="29"/>
  <c r="CB834" i="29"/>
  <c r="CB835" i="29"/>
  <c r="CB836" i="29"/>
  <c r="AB824" i="29"/>
  <c r="AC824" i="29"/>
  <c r="Z825" i="29"/>
  <c r="Z826" i="29" s="1"/>
  <c r="Z827" i="29" s="1"/>
  <c r="Z828" i="29" s="1"/>
  <c r="Z829" i="29" s="1"/>
  <c r="Z830" i="29" s="1"/>
  <c r="Z831" i="29" s="1"/>
  <c r="Z832" i="29" s="1"/>
  <c r="Z833" i="29" s="1"/>
  <c r="Z834" i="29" s="1"/>
  <c r="Z835" i="29" s="1"/>
  <c r="CB837" i="29"/>
  <c r="G78" i="29"/>
  <c r="L71" i="40" s="1"/>
  <c r="U888" i="29"/>
  <c r="BY890" i="29"/>
  <c r="BN891" i="29"/>
  <c r="BO891" i="29"/>
  <c r="BR890" i="29"/>
  <c r="BQ891" i="29"/>
  <c r="BQ892" i="29" s="1"/>
  <c r="V888" i="29"/>
  <c r="T889" i="29"/>
  <c r="S889" i="29"/>
  <c r="AE888" i="29"/>
  <c r="AF888" i="29"/>
  <c r="R887" i="29"/>
  <c r="Q887" i="29"/>
  <c r="X887" i="29" s="1"/>
  <c r="K889" i="29"/>
  <c r="J889" i="29"/>
  <c r="L888" i="29"/>
  <c r="CA887" i="29"/>
  <c r="BU887" i="29" s="1"/>
  <c r="W886" i="29"/>
  <c r="Y886" i="29" s="1"/>
  <c r="M886" i="29"/>
  <c r="AA886" i="29"/>
  <c r="AC887" i="29"/>
  <c r="BC889" i="29"/>
  <c r="BF889" i="29" s="1"/>
  <c r="BP889" i="29"/>
  <c r="BD890" i="29"/>
  <c r="BE889" i="29"/>
  <c r="BG889" i="29" s="1"/>
  <c r="BA889" i="29" s="1"/>
  <c r="D225" i="15"/>
  <c r="I95" i="39"/>
  <c r="G91" i="15"/>
  <c r="BH888" i="29"/>
  <c r="BB888" i="29" s="1"/>
  <c r="AZ888" i="29"/>
  <c r="BV832" i="29" l="1"/>
  <c r="CC832" i="29"/>
  <c r="BV833" i="29"/>
  <c r="CC833" i="29"/>
  <c r="BV829" i="29"/>
  <c r="CC829" i="29"/>
  <c r="BV828" i="29"/>
  <c r="CC828" i="29"/>
  <c r="BV835" i="29"/>
  <c r="CC835" i="29"/>
  <c r="BV831" i="29"/>
  <c r="CC831" i="29"/>
  <c r="BV827" i="29"/>
  <c r="CC827" i="29"/>
  <c r="BV836" i="29"/>
  <c r="CC836" i="29"/>
  <c r="BV834" i="29"/>
  <c r="CC834" i="29"/>
  <c r="BV830" i="29"/>
  <c r="CC830" i="29"/>
  <c r="BV826" i="29"/>
  <c r="CC826" i="29"/>
  <c r="BX826" i="29" s="1"/>
  <c r="BZ826" i="29" s="1"/>
  <c r="BX827" i="29" s="1"/>
  <c r="BZ827" i="29" s="1"/>
  <c r="CC837" i="29"/>
  <c r="BV837" i="29"/>
  <c r="L95" i="39"/>
  <c r="F225" i="15"/>
  <c r="K890" i="29"/>
  <c r="L889" i="29"/>
  <c r="J890" i="29"/>
  <c r="U889" i="29"/>
  <c r="AC889" i="29" s="1"/>
  <c r="R888" i="29"/>
  <c r="Q888" i="29"/>
  <c r="CA888" i="29"/>
  <c r="BU888" i="29" s="1"/>
  <c r="M887" i="29"/>
  <c r="W887" i="29"/>
  <c r="Y887" i="29" s="1"/>
  <c r="AA887" i="29"/>
  <c r="S890" i="29"/>
  <c r="T890" i="29"/>
  <c r="V889" i="29"/>
  <c r="AF889" i="29"/>
  <c r="AE889" i="29"/>
  <c r="BY891" i="29"/>
  <c r="BO892" i="29"/>
  <c r="BQ893" i="29" s="1"/>
  <c r="BR891" i="29"/>
  <c r="BN892" i="29"/>
  <c r="AC888" i="29"/>
  <c r="AB888" i="29"/>
  <c r="BP890" i="29"/>
  <c r="BE890" i="29"/>
  <c r="BG890" i="29" s="1"/>
  <c r="BA890" i="29" s="1"/>
  <c r="BC890" i="29"/>
  <c r="BF890" i="29" s="1"/>
  <c r="BD891" i="29"/>
  <c r="BH889" i="29"/>
  <c r="BB889" i="29" s="1"/>
  <c r="AZ889" i="29"/>
  <c r="BX828" i="29" l="1"/>
  <c r="BZ828" i="29" s="1"/>
  <c r="BX829" i="29" s="1"/>
  <c r="BZ829" i="29" s="1"/>
  <c r="BX830" i="29" s="1"/>
  <c r="T891" i="29"/>
  <c r="S891" i="29"/>
  <c r="V890" i="29"/>
  <c r="AE890" i="29"/>
  <c r="AF890" i="29"/>
  <c r="U890" i="29"/>
  <c r="Q889" i="29"/>
  <c r="X889" i="29" s="1"/>
  <c r="R889" i="29"/>
  <c r="BR892" i="29"/>
  <c r="BO893" i="29"/>
  <c r="BY892" i="29"/>
  <c r="BN893" i="29"/>
  <c r="K891" i="29"/>
  <c r="J891" i="29"/>
  <c r="L890" i="29"/>
  <c r="X888" i="29"/>
  <c r="AA888" i="29"/>
  <c r="M888" i="29"/>
  <c r="CA889" i="29"/>
  <c r="BU889" i="29" s="1"/>
  <c r="W888" i="29"/>
  <c r="Y888" i="29" s="1"/>
  <c r="AB889" i="29"/>
  <c r="BD892" i="29"/>
  <c r="BC891" i="29"/>
  <c r="BF891" i="29" s="1"/>
  <c r="BE891" i="29"/>
  <c r="BG891" i="29" s="1"/>
  <c r="BA891" i="29" s="1"/>
  <c r="BP891" i="29"/>
  <c r="AZ890" i="29"/>
  <c r="BH890" i="29"/>
  <c r="BB890" i="29" s="1"/>
  <c r="R890" i="29" l="1"/>
  <c r="Q890" i="29"/>
  <c r="X890" i="29" s="1"/>
  <c r="T892" i="29"/>
  <c r="S892" i="29"/>
  <c r="V891" i="29"/>
  <c r="AF891" i="29"/>
  <c r="AE891" i="29"/>
  <c r="AB890" i="29"/>
  <c r="BR893" i="29"/>
  <c r="BN894" i="29"/>
  <c r="BY893" i="29"/>
  <c r="BO894" i="29"/>
  <c r="AA889" i="29"/>
  <c r="W889" i="29"/>
  <c r="Y889" i="29" s="1"/>
  <c r="M889" i="29"/>
  <c r="CA890" i="29"/>
  <c r="BU890" i="29" s="1"/>
  <c r="AC890" i="29"/>
  <c r="BQ894" i="29"/>
  <c r="BQ895" i="29" s="1"/>
  <c r="J892" i="29"/>
  <c r="L891" i="29"/>
  <c r="K892" i="29"/>
  <c r="U891" i="29"/>
  <c r="AB891" i="29" s="1"/>
  <c r="BZ830" i="29"/>
  <c r="BX831" i="29" s="1"/>
  <c r="AZ891" i="29"/>
  <c r="BH891" i="29"/>
  <c r="BB891" i="29" s="1"/>
  <c r="BE892" i="29"/>
  <c r="BG892" i="29" s="1"/>
  <c r="BA892" i="29" s="1"/>
  <c r="BP892" i="29"/>
  <c r="BD893" i="29"/>
  <c r="BC892" i="29"/>
  <c r="BF892" i="29" s="1"/>
  <c r="R891" i="29" l="1"/>
  <c r="Q891" i="29"/>
  <c r="BY894" i="29"/>
  <c r="BO895" i="29"/>
  <c r="BR894" i="29"/>
  <c r="BN895" i="29"/>
  <c r="AC891" i="29"/>
  <c r="U892" i="29"/>
  <c r="AB892" i="29" s="1"/>
  <c r="K893" i="29"/>
  <c r="J893" i="29"/>
  <c r="L892" i="29"/>
  <c r="BQ896" i="29"/>
  <c r="V892" i="29"/>
  <c r="T893" i="29"/>
  <c r="S893" i="29"/>
  <c r="AE892" i="29"/>
  <c r="AF892" i="29"/>
  <c r="CA891" i="29"/>
  <c r="BU891" i="29" s="1"/>
  <c r="AA890" i="29"/>
  <c r="M890" i="29"/>
  <c r="W890" i="29"/>
  <c r="Y890" i="29" s="1"/>
  <c r="BZ831" i="29"/>
  <c r="BX832" i="29" s="1"/>
  <c r="BP893" i="29"/>
  <c r="BD894" i="29"/>
  <c r="BC893" i="29"/>
  <c r="BF893" i="29" s="1"/>
  <c r="BE893" i="29"/>
  <c r="BG893" i="29" s="1"/>
  <c r="BA893" i="29" s="1"/>
  <c r="AZ892" i="29"/>
  <c r="BH892" i="29"/>
  <c r="BB892" i="29" s="1"/>
  <c r="J894" i="29" l="1"/>
  <c r="K894" i="29"/>
  <c r="L893" i="29"/>
  <c r="M891" i="29"/>
  <c r="AA891" i="29"/>
  <c r="CA892" i="29"/>
  <c r="BU892" i="29" s="1"/>
  <c r="W891" i="29"/>
  <c r="Y891" i="29" s="1"/>
  <c r="U893" i="29"/>
  <c r="BQ897" i="29"/>
  <c r="R892" i="29"/>
  <c r="Q892" i="29"/>
  <c r="BR895" i="29"/>
  <c r="BO896" i="29"/>
  <c r="BY895" i="29"/>
  <c r="BN896" i="29"/>
  <c r="X891" i="29"/>
  <c r="V893" i="29"/>
  <c r="S894" i="29"/>
  <c r="T894" i="29"/>
  <c r="AE893" i="29"/>
  <c r="AF893" i="29"/>
  <c r="AC892" i="29"/>
  <c r="BP894" i="29"/>
  <c r="BC894" i="29"/>
  <c r="BF894" i="29" s="1"/>
  <c r="BE894" i="29"/>
  <c r="BG894" i="29" s="1"/>
  <c r="BA894" i="29" s="1"/>
  <c r="BD895" i="29"/>
  <c r="BZ832" i="29"/>
  <c r="BX833" i="29" s="1"/>
  <c r="AZ893" i="29"/>
  <c r="BH893" i="29"/>
  <c r="BB893" i="29" s="1"/>
  <c r="V894" i="29" l="1"/>
  <c r="T895" i="29"/>
  <c r="S895" i="29"/>
  <c r="AF894" i="29"/>
  <c r="AE894" i="29"/>
  <c r="CA893" i="29"/>
  <c r="BU893" i="29" s="1"/>
  <c r="W892" i="29"/>
  <c r="Y892" i="29" s="1"/>
  <c r="AA892" i="29"/>
  <c r="M892" i="29"/>
  <c r="Q893" i="29"/>
  <c r="R893" i="29"/>
  <c r="U894" i="29"/>
  <c r="AB894" i="29" s="1"/>
  <c r="X892" i="29"/>
  <c r="AB893" i="29"/>
  <c r="BO897" i="29"/>
  <c r="BQ898" i="29" s="1"/>
  <c r="BY896" i="29"/>
  <c r="BN897" i="29"/>
  <c r="BR896" i="29"/>
  <c r="AC893" i="29"/>
  <c r="K895" i="29"/>
  <c r="L894" i="29"/>
  <c r="J895" i="29"/>
  <c r="BD896" i="29"/>
  <c r="BP895" i="29"/>
  <c r="BC895" i="29"/>
  <c r="BF895" i="29" s="1"/>
  <c r="BE895" i="29"/>
  <c r="BG895" i="29" s="1"/>
  <c r="BA895" i="29" s="1"/>
  <c r="BZ833" i="29"/>
  <c r="BX834" i="29" s="1"/>
  <c r="AZ894" i="29"/>
  <c r="BH894" i="29"/>
  <c r="BB894" i="29" s="1"/>
  <c r="AC894" i="29" l="1"/>
  <c r="T896" i="29"/>
  <c r="S896" i="29"/>
  <c r="V895" i="29"/>
  <c r="AE895" i="29"/>
  <c r="AF895" i="29"/>
  <c r="K896" i="29"/>
  <c r="J896" i="29"/>
  <c r="L895" i="29"/>
  <c r="Q894" i="29"/>
  <c r="X894" i="29" s="1"/>
  <c r="R894" i="29"/>
  <c r="X893" i="29"/>
  <c r="M893" i="29"/>
  <c r="AA893" i="29"/>
  <c r="CA894" i="29"/>
  <c r="BU894" i="29" s="1"/>
  <c r="W893" i="29"/>
  <c r="Y893" i="29" s="1"/>
  <c r="BN898" i="29"/>
  <c r="BR897" i="29"/>
  <c r="BO898" i="29"/>
  <c r="U895" i="29"/>
  <c r="AC895" i="29" s="1"/>
  <c r="BZ834" i="29"/>
  <c r="BX835" i="29" s="1"/>
  <c r="BH895" i="29"/>
  <c r="BB895" i="29" s="1"/>
  <c r="AZ895" i="29"/>
  <c r="BP896" i="29"/>
  <c r="BE896" i="29"/>
  <c r="BG896" i="29" s="1"/>
  <c r="BA896" i="29" s="1"/>
  <c r="BC896" i="29"/>
  <c r="BF896" i="29" s="1"/>
  <c r="BD897" i="29"/>
  <c r="AB895" i="29" l="1"/>
  <c r="T897" i="29"/>
  <c r="V896" i="29"/>
  <c r="S897" i="29"/>
  <c r="AF896" i="29"/>
  <c r="AE896" i="29"/>
  <c r="U896" i="29"/>
  <c r="BN899" i="29"/>
  <c r="BY898" i="29"/>
  <c r="BR898" i="29"/>
  <c r="BO899" i="29"/>
  <c r="BQ899" i="29"/>
  <c r="BQ900" i="29" s="1"/>
  <c r="AA894" i="29"/>
  <c r="M894" i="29"/>
  <c r="CA895" i="29"/>
  <c r="BU895" i="29" s="1"/>
  <c r="W894" i="29"/>
  <c r="Y894" i="29" s="1"/>
  <c r="K897" i="29"/>
  <c r="L896" i="29"/>
  <c r="J897" i="29"/>
  <c r="Q895" i="29"/>
  <c r="X895" i="29" s="1"/>
  <c r="R895" i="29"/>
  <c r="BD898" i="29"/>
  <c r="BI897" i="29"/>
  <c r="BP897" i="29"/>
  <c r="BE897" i="29"/>
  <c r="BG897" i="29" s="1"/>
  <c r="BA897" i="29" s="1"/>
  <c r="BC897" i="29"/>
  <c r="BF897" i="29" s="1"/>
  <c r="AZ896" i="29"/>
  <c r="BH896" i="29"/>
  <c r="BB896" i="29" s="1"/>
  <c r="BZ835" i="29"/>
  <c r="BX836" i="29" s="1"/>
  <c r="R896" i="29" l="1"/>
  <c r="Q896" i="29"/>
  <c r="T898" i="29"/>
  <c r="S898" i="29"/>
  <c r="V897" i="29"/>
  <c r="AF897" i="29"/>
  <c r="AE897" i="29"/>
  <c r="L897" i="29"/>
  <c r="J898" i="29"/>
  <c r="K898" i="29"/>
  <c r="BN900" i="29"/>
  <c r="BR899" i="29"/>
  <c r="BY899" i="29"/>
  <c r="BO900" i="29"/>
  <c r="BQ901" i="29" s="1"/>
  <c r="CA896" i="29"/>
  <c r="BU896" i="29" s="1"/>
  <c r="AA895" i="29"/>
  <c r="W895" i="29"/>
  <c r="Y895" i="29" s="1"/>
  <c r="M895" i="29"/>
  <c r="U897" i="29"/>
  <c r="BZ836" i="29"/>
  <c r="BY837" i="29" s="1"/>
  <c r="BW837" i="29" s="1"/>
  <c r="AZ897" i="29"/>
  <c r="BH897" i="29"/>
  <c r="BB897" i="29" s="1"/>
  <c r="BD899" i="29"/>
  <c r="BC898" i="29"/>
  <c r="BF898" i="29" s="1"/>
  <c r="BE898" i="29"/>
  <c r="BG898" i="29" s="1"/>
  <c r="BA898" i="29" s="1"/>
  <c r="BP898" i="29"/>
  <c r="R897" i="29" l="1"/>
  <c r="Q897" i="29"/>
  <c r="AB897" i="29"/>
  <c r="W896" i="29"/>
  <c r="AA896" i="29"/>
  <c r="CA897" i="29"/>
  <c r="BU897" i="29" s="1"/>
  <c r="U898" i="29"/>
  <c r="AC897" i="29"/>
  <c r="BY900" i="29"/>
  <c r="BO901" i="29"/>
  <c r="BN901" i="29"/>
  <c r="BR900" i="29"/>
  <c r="K899" i="29"/>
  <c r="J899" i="29"/>
  <c r="L898" i="29"/>
  <c r="V898" i="29"/>
  <c r="S899" i="29"/>
  <c r="T899" i="29"/>
  <c r="AE898" i="29"/>
  <c r="AF898" i="29"/>
  <c r="BH898" i="29"/>
  <c r="BB898" i="29" s="1"/>
  <c r="AZ898" i="29"/>
  <c r="BX837" i="29"/>
  <c r="BD900" i="29"/>
  <c r="BC899" i="29"/>
  <c r="BF899" i="29" s="1"/>
  <c r="BP899" i="29"/>
  <c r="BE899" i="29"/>
  <c r="BG899" i="29" s="1"/>
  <c r="BA899" i="29" s="1"/>
  <c r="BS837" i="29"/>
  <c r="BT837" i="29"/>
  <c r="M836" i="29" s="1"/>
  <c r="Y896" i="29" l="1"/>
  <c r="M897" i="29"/>
  <c r="AA897" i="29"/>
  <c r="W897" i="29"/>
  <c r="Y897" i="29" s="1"/>
  <c r="CA898" i="29"/>
  <c r="BU898" i="29" s="1"/>
  <c r="Q898" i="29"/>
  <c r="X898" i="29" s="1"/>
  <c r="R898" i="29"/>
  <c r="V899" i="29"/>
  <c r="S900" i="29"/>
  <c r="T900" i="29"/>
  <c r="AE899" i="29"/>
  <c r="AF899" i="29"/>
  <c r="BY901" i="29"/>
  <c r="BN902" i="29"/>
  <c r="BO902" i="29"/>
  <c r="BR901" i="29"/>
  <c r="AB898" i="29"/>
  <c r="U899" i="29"/>
  <c r="AB899" i="29" s="1"/>
  <c r="J900" i="29"/>
  <c r="K900" i="29"/>
  <c r="L899" i="29"/>
  <c r="AC898" i="29"/>
  <c r="X897" i="29"/>
  <c r="BQ902" i="29"/>
  <c r="BD901" i="29"/>
  <c r="BP900" i="29"/>
  <c r="BE900" i="29"/>
  <c r="BG900" i="29" s="1"/>
  <c r="BA900" i="29" s="1"/>
  <c r="BC900" i="29"/>
  <c r="BF900" i="29" s="1"/>
  <c r="BZ837" i="29"/>
  <c r="H79" i="29"/>
  <c r="K72" i="40" s="1"/>
  <c r="X836" i="29"/>
  <c r="Y836" i="29" s="1"/>
  <c r="Z836" i="29" s="1"/>
  <c r="BH899" i="29"/>
  <c r="BB899" i="29" s="1"/>
  <c r="AZ899" i="29"/>
  <c r="M77" i="40" l="1"/>
  <c r="AI101" i="39"/>
  <c r="CB838" i="29"/>
  <c r="CB839" i="29"/>
  <c r="CB840" i="29"/>
  <c r="CB841" i="29"/>
  <c r="CB842" i="29"/>
  <c r="CB843" i="29"/>
  <c r="CB844" i="29"/>
  <c r="CB845" i="29"/>
  <c r="CB846" i="29"/>
  <c r="CB847" i="29"/>
  <c r="CB848" i="29"/>
  <c r="AB836" i="29"/>
  <c r="AC836" i="29"/>
  <c r="Z837" i="29"/>
  <c r="Z838" i="29" s="1"/>
  <c r="Z839" i="29" s="1"/>
  <c r="Z840" i="29" s="1"/>
  <c r="Z841" i="29" s="1"/>
  <c r="Z842" i="29" s="1"/>
  <c r="Z843" i="29" s="1"/>
  <c r="Z844" i="29" s="1"/>
  <c r="Z845" i="29" s="1"/>
  <c r="Z846" i="29" s="1"/>
  <c r="Z847" i="29" s="1"/>
  <c r="CB849" i="29"/>
  <c r="G79" i="29"/>
  <c r="L72" i="40" s="1"/>
  <c r="AC899" i="29"/>
  <c r="U900" i="29"/>
  <c r="AC900" i="29" s="1"/>
  <c r="M898" i="29"/>
  <c r="AA898" i="29"/>
  <c r="W898" i="29"/>
  <c r="Y898" i="29" s="1"/>
  <c r="CA899" i="29"/>
  <c r="BU899" i="29" s="1"/>
  <c r="Q899" i="29"/>
  <c r="R899" i="29"/>
  <c r="BO903" i="29"/>
  <c r="BY902" i="29"/>
  <c r="BR902" i="29"/>
  <c r="BN903" i="29"/>
  <c r="BQ903" i="29"/>
  <c r="BQ904" i="29" s="1"/>
  <c r="J901" i="29"/>
  <c r="L900" i="29"/>
  <c r="K901" i="29"/>
  <c r="S901" i="29"/>
  <c r="V900" i="29"/>
  <c r="T901" i="29"/>
  <c r="AF900" i="29"/>
  <c r="AE900" i="29"/>
  <c r="D226" i="15"/>
  <c r="I96" i="39"/>
  <c r="G92" i="15"/>
  <c r="AZ900" i="29"/>
  <c r="BH900" i="29"/>
  <c r="BB900" i="29" s="1"/>
  <c r="BE901" i="29"/>
  <c r="BG901" i="29" s="1"/>
  <c r="BA901" i="29" s="1"/>
  <c r="BD902" i="29"/>
  <c r="BP901" i="29"/>
  <c r="BC901" i="29"/>
  <c r="BF901" i="29" s="1"/>
  <c r="BV845" i="29" l="1"/>
  <c r="CC845" i="29"/>
  <c r="BV841" i="29"/>
  <c r="CC841" i="29"/>
  <c r="BV848" i="29"/>
  <c r="CC848" i="29"/>
  <c r="BV844" i="29"/>
  <c r="CC844" i="29"/>
  <c r="BV840" i="29"/>
  <c r="CC840" i="29"/>
  <c r="BV847" i="29"/>
  <c r="CC847" i="29"/>
  <c r="BV843" i="29"/>
  <c r="CC843" i="29"/>
  <c r="BV839" i="29"/>
  <c r="CC839" i="29"/>
  <c r="BV846" i="29"/>
  <c r="CC846" i="29"/>
  <c r="BV842" i="29"/>
  <c r="CC842" i="29"/>
  <c r="BV838" i="29"/>
  <c r="CC838" i="29"/>
  <c r="BX838" i="29" s="1"/>
  <c r="BZ838" i="29" s="1"/>
  <c r="CC849" i="29"/>
  <c r="BV849" i="29"/>
  <c r="L96" i="39"/>
  <c r="F226" i="15"/>
  <c r="V901" i="29"/>
  <c r="T902" i="29"/>
  <c r="S902" i="29"/>
  <c r="AF901" i="29"/>
  <c r="AE901" i="29"/>
  <c r="K902" i="29"/>
  <c r="L901" i="29"/>
  <c r="J902" i="29"/>
  <c r="AA899" i="29"/>
  <c r="M899" i="29"/>
  <c r="W899" i="29"/>
  <c r="Y899" i="29" s="1"/>
  <c r="CA900" i="29"/>
  <c r="BU900" i="29" s="1"/>
  <c r="BO904" i="29"/>
  <c r="BN904" i="29"/>
  <c r="BY903" i="29"/>
  <c r="BR903" i="29"/>
  <c r="Q900" i="29"/>
  <c r="X900" i="29" s="1"/>
  <c r="R900" i="29"/>
  <c r="U901" i="29"/>
  <c r="AB901" i="29" s="1"/>
  <c r="X899" i="29"/>
  <c r="BQ905" i="29"/>
  <c r="AB900" i="29"/>
  <c r="AZ901" i="29"/>
  <c r="BH901" i="29"/>
  <c r="BB901" i="29" s="1"/>
  <c r="BD903" i="29"/>
  <c r="BP902" i="29"/>
  <c r="BE902" i="29"/>
  <c r="BG902" i="29" s="1"/>
  <c r="BA902" i="29" s="1"/>
  <c r="BC902" i="29"/>
  <c r="BF902" i="29" s="1"/>
  <c r="BX839" i="29" l="1"/>
  <c r="BZ839" i="29" s="1"/>
  <c r="BX840" i="29" s="1"/>
  <c r="BZ840" i="29" s="1"/>
  <c r="BX841" i="29" s="1"/>
  <c r="AC901" i="29"/>
  <c r="BN905" i="29"/>
  <c r="BY904" i="29"/>
  <c r="BO905" i="29"/>
  <c r="BR904" i="29"/>
  <c r="U902" i="29"/>
  <c r="AB902" i="29" s="1"/>
  <c r="L902" i="29"/>
  <c r="J903" i="29"/>
  <c r="K903" i="29"/>
  <c r="V902" i="29"/>
  <c r="S903" i="29"/>
  <c r="T903" i="29"/>
  <c r="AE902" i="29"/>
  <c r="AF902" i="29"/>
  <c r="BQ906" i="29"/>
  <c r="Q901" i="29"/>
  <c r="R901" i="29"/>
  <c r="W900" i="29"/>
  <c r="Y900" i="29" s="1"/>
  <c r="M900" i="29"/>
  <c r="CA901" i="29"/>
  <c r="BU901" i="29" s="1"/>
  <c r="AA900" i="29"/>
  <c r="AZ902" i="29"/>
  <c r="BH902" i="29"/>
  <c r="BB902" i="29" s="1"/>
  <c r="BC903" i="29"/>
  <c r="BF903" i="29" s="1"/>
  <c r="BD904" i="29"/>
  <c r="BE903" i="29"/>
  <c r="BG903" i="29" s="1"/>
  <c r="BA903" i="29" s="1"/>
  <c r="BP903" i="29"/>
  <c r="AC902" i="29" l="1"/>
  <c r="J904" i="29"/>
  <c r="K904" i="29"/>
  <c r="L903" i="29"/>
  <c r="Q902" i="29"/>
  <c r="X902" i="29" s="1"/>
  <c r="R902" i="29"/>
  <c r="BR905" i="29"/>
  <c r="BO906" i="29"/>
  <c r="BY905" i="29"/>
  <c r="BN906" i="29"/>
  <c r="X901" i="29"/>
  <c r="M901" i="29"/>
  <c r="W901" i="29"/>
  <c r="Y901" i="29" s="1"/>
  <c r="AA901" i="29"/>
  <c r="CA902" i="29"/>
  <c r="BU902" i="29" s="1"/>
  <c r="T904" i="29"/>
  <c r="V903" i="29"/>
  <c r="S904" i="29"/>
  <c r="AE903" i="29"/>
  <c r="AF903" i="29"/>
  <c r="BQ907" i="29"/>
  <c r="U903" i="29"/>
  <c r="BZ841" i="29"/>
  <c r="BX842" i="29" s="1"/>
  <c r="BC904" i="29"/>
  <c r="BF904" i="29" s="1"/>
  <c r="BP904" i="29"/>
  <c r="BD905" i="29"/>
  <c r="BE904" i="29"/>
  <c r="BG904" i="29" s="1"/>
  <c r="BA904" i="29" s="1"/>
  <c r="AZ903" i="29"/>
  <c r="BH903" i="29"/>
  <c r="BB903" i="29" s="1"/>
  <c r="Q903" i="29" l="1"/>
  <c r="X903" i="29" s="1"/>
  <c r="R903" i="29"/>
  <c r="AC903" i="29"/>
  <c r="T905" i="29"/>
  <c r="S905" i="29"/>
  <c r="V904" i="29"/>
  <c r="AE904" i="29"/>
  <c r="AF904" i="29"/>
  <c r="L904" i="29"/>
  <c r="K905" i="29"/>
  <c r="J905" i="29"/>
  <c r="AB903" i="29"/>
  <c r="U904" i="29"/>
  <c r="AC904" i="29" s="1"/>
  <c r="BY906" i="29"/>
  <c r="BN907" i="29"/>
  <c r="BR906" i="29"/>
  <c r="BO907" i="29"/>
  <c r="W902" i="29"/>
  <c r="Y902" i="29" s="1"/>
  <c r="CA903" i="29"/>
  <c r="BU903" i="29" s="1"/>
  <c r="M902" i="29"/>
  <c r="AA902" i="29"/>
  <c r="BZ842" i="29"/>
  <c r="BX843" i="29" s="1"/>
  <c r="AZ904" i="29"/>
  <c r="BH904" i="29"/>
  <c r="BB904" i="29" s="1"/>
  <c r="BD906" i="29"/>
  <c r="BC905" i="29"/>
  <c r="BF905" i="29" s="1"/>
  <c r="BE905" i="29"/>
  <c r="BG905" i="29" s="1"/>
  <c r="BA905" i="29" s="1"/>
  <c r="BP905" i="29"/>
  <c r="BO908" i="29" l="1"/>
  <c r="BN908" i="29"/>
  <c r="BR907" i="29"/>
  <c r="BY907" i="29"/>
  <c r="U905" i="29"/>
  <c r="AB905" i="29" s="1"/>
  <c r="R904" i="29"/>
  <c r="Q904" i="29"/>
  <c r="V905" i="29"/>
  <c r="T906" i="29"/>
  <c r="S906" i="29"/>
  <c r="AF905" i="29"/>
  <c r="AE905" i="29"/>
  <c r="M903" i="29"/>
  <c r="CA904" i="29"/>
  <c r="BU904" i="29" s="1"/>
  <c r="AA903" i="29"/>
  <c r="W903" i="29"/>
  <c r="Y903" i="29" s="1"/>
  <c r="BQ908" i="29"/>
  <c r="BQ909" i="29" s="1"/>
  <c r="AB904" i="29"/>
  <c r="K906" i="29"/>
  <c r="L905" i="29"/>
  <c r="J906" i="29"/>
  <c r="BZ843" i="29"/>
  <c r="BX844" i="29" s="1"/>
  <c r="BH905" i="29"/>
  <c r="BB905" i="29" s="1"/>
  <c r="AZ905" i="29"/>
  <c r="BE906" i="29"/>
  <c r="BG906" i="29" s="1"/>
  <c r="BA906" i="29" s="1"/>
  <c r="BP906" i="29"/>
  <c r="BD907" i="29"/>
  <c r="BC906" i="29"/>
  <c r="BF906" i="29" s="1"/>
  <c r="AC905" i="29" l="1"/>
  <c r="X904" i="29"/>
  <c r="M904" i="29"/>
  <c r="AA904" i="29"/>
  <c r="CA905" i="29"/>
  <c r="BU905" i="29" s="1"/>
  <c r="W904" i="29"/>
  <c r="Y904" i="29" s="1"/>
  <c r="BN909" i="29"/>
  <c r="BO909" i="29"/>
  <c r="BR908" i="29"/>
  <c r="BY908" i="29"/>
  <c r="T907" i="29"/>
  <c r="V906" i="29"/>
  <c r="S907" i="29"/>
  <c r="AF906" i="29"/>
  <c r="AE906" i="29"/>
  <c r="R905" i="29"/>
  <c r="Q905" i="29"/>
  <c r="BQ910" i="29"/>
  <c r="J907" i="29"/>
  <c r="K907" i="29"/>
  <c r="L906" i="29"/>
  <c r="U906" i="29"/>
  <c r="AC906" i="29" s="1"/>
  <c r="BZ844" i="29"/>
  <c r="BX845" i="29" s="1"/>
  <c r="BH906" i="29"/>
  <c r="BB906" i="29" s="1"/>
  <c r="AZ906" i="29"/>
  <c r="BE907" i="29"/>
  <c r="BG907" i="29" s="1"/>
  <c r="BA907" i="29" s="1"/>
  <c r="BD908" i="29"/>
  <c r="BC907" i="29"/>
  <c r="BF907" i="29" s="1"/>
  <c r="BP907" i="29"/>
  <c r="Q906" i="29" l="1"/>
  <c r="R906" i="29"/>
  <c r="K908" i="29"/>
  <c r="L907" i="29"/>
  <c r="J908" i="29"/>
  <c r="BN910" i="29"/>
  <c r="BO910" i="29"/>
  <c r="BR909" i="29"/>
  <c r="AB906" i="29"/>
  <c r="S908" i="29"/>
  <c r="T908" i="29"/>
  <c r="V907" i="29"/>
  <c r="AF907" i="29"/>
  <c r="AE907" i="29"/>
  <c r="X905" i="29"/>
  <c r="CA906" i="29"/>
  <c r="BU906" i="29" s="1"/>
  <c r="M905" i="29"/>
  <c r="W905" i="29"/>
  <c r="Y905" i="29" s="1"/>
  <c r="AA905" i="29"/>
  <c r="U907" i="29"/>
  <c r="AB907" i="29" s="1"/>
  <c r="BZ845" i="29"/>
  <c r="BX846" i="29" s="1"/>
  <c r="AZ907" i="29"/>
  <c r="BH907" i="29"/>
  <c r="BB907" i="29" s="1"/>
  <c r="BP908" i="29"/>
  <c r="BC908" i="29"/>
  <c r="BF908" i="29" s="1"/>
  <c r="BD909" i="29"/>
  <c r="BE908" i="29"/>
  <c r="BG908" i="29" s="1"/>
  <c r="BA908" i="29" s="1"/>
  <c r="AC907" i="29" l="1"/>
  <c r="U908" i="29"/>
  <c r="BO911" i="29"/>
  <c r="BR910" i="29"/>
  <c r="BN911" i="29"/>
  <c r="BY910" i="29"/>
  <c r="W906" i="29"/>
  <c r="Y906" i="29" s="1"/>
  <c r="CA907" i="29"/>
  <c r="BU907" i="29" s="1"/>
  <c r="AA906" i="29"/>
  <c r="M906" i="29"/>
  <c r="L908" i="29"/>
  <c r="J909" i="29"/>
  <c r="K909" i="29"/>
  <c r="BQ911" i="29"/>
  <c r="BQ912" i="29" s="1"/>
  <c r="Q907" i="29"/>
  <c r="R907" i="29"/>
  <c r="S909" i="29"/>
  <c r="T909" i="29"/>
  <c r="V908" i="29"/>
  <c r="AE908" i="29"/>
  <c r="AF908" i="29"/>
  <c r="X906" i="29"/>
  <c r="BZ846" i="29"/>
  <c r="BX847" i="29" s="1"/>
  <c r="AZ908" i="29"/>
  <c r="BH908" i="29"/>
  <c r="BB908" i="29" s="1"/>
  <c r="BP909" i="29"/>
  <c r="BE909" i="29"/>
  <c r="BG909" i="29" s="1"/>
  <c r="BA909" i="29" s="1"/>
  <c r="BC909" i="29"/>
  <c r="BF909" i="29" s="1"/>
  <c r="BI909" i="29"/>
  <c r="BD910" i="29"/>
  <c r="V909" i="29" l="1"/>
  <c r="S910" i="29"/>
  <c r="T910" i="29"/>
  <c r="AF909" i="29"/>
  <c r="AE909" i="29"/>
  <c r="M907" i="29"/>
  <c r="CA908" i="29"/>
  <c r="BU908" i="29" s="1"/>
  <c r="W907" i="29"/>
  <c r="Y907" i="29" s="1"/>
  <c r="AA907" i="29"/>
  <c r="U909" i="29"/>
  <c r="AC909" i="29" s="1"/>
  <c r="X907" i="29"/>
  <c r="Q908" i="29"/>
  <c r="R908" i="29"/>
  <c r="BO912" i="29"/>
  <c r="BY911" i="29"/>
  <c r="BN912" i="29"/>
  <c r="BR911" i="29"/>
  <c r="L909" i="29"/>
  <c r="K910" i="29"/>
  <c r="J910" i="29"/>
  <c r="BZ847" i="29"/>
  <c r="BX848" i="29" s="1"/>
  <c r="AZ909" i="29"/>
  <c r="BH909" i="29"/>
  <c r="BB909" i="29" s="1"/>
  <c r="BE910" i="29"/>
  <c r="BG910" i="29" s="1"/>
  <c r="BA910" i="29" s="1"/>
  <c r="BD911" i="29"/>
  <c r="BP910" i="29"/>
  <c r="BC910" i="29"/>
  <c r="BF910" i="29" s="1"/>
  <c r="AB909" i="29" l="1"/>
  <c r="W908" i="29"/>
  <c r="CA909" i="29"/>
  <c r="BU909" i="29" s="1"/>
  <c r="AA908" i="29"/>
  <c r="U910" i="29"/>
  <c r="AB910" i="29" s="1"/>
  <c r="BR912" i="29"/>
  <c r="BO913" i="29"/>
  <c r="BN913" i="29"/>
  <c r="BY912" i="29"/>
  <c r="L910" i="29"/>
  <c r="J911" i="29"/>
  <c r="K911" i="29"/>
  <c r="BQ913" i="29"/>
  <c r="R909" i="29"/>
  <c r="Q909" i="29"/>
  <c r="X909" i="29" s="1"/>
  <c r="T911" i="29"/>
  <c r="S911" i="29"/>
  <c r="V910" i="29"/>
  <c r="AF910" i="29"/>
  <c r="AE910" i="29"/>
  <c r="BH910" i="29"/>
  <c r="BB910" i="29" s="1"/>
  <c r="AZ910" i="29"/>
  <c r="BD912" i="29"/>
  <c r="BE911" i="29"/>
  <c r="BG911" i="29" s="1"/>
  <c r="BA911" i="29" s="1"/>
  <c r="BP911" i="29"/>
  <c r="BC911" i="29"/>
  <c r="BF911" i="29" s="1"/>
  <c r="BZ848" i="29"/>
  <c r="BY849" i="29" s="1"/>
  <c r="Y908" i="29" l="1"/>
  <c r="BN914" i="29"/>
  <c r="BY913" i="29"/>
  <c r="BR913" i="29"/>
  <c r="BO914" i="29"/>
  <c r="U911" i="29"/>
  <c r="AC911" i="29" s="1"/>
  <c r="S912" i="29"/>
  <c r="T912" i="29"/>
  <c r="V911" i="29"/>
  <c r="AF911" i="29"/>
  <c r="AE911" i="29"/>
  <c r="BQ914" i="29"/>
  <c r="R910" i="29"/>
  <c r="Q910" i="29"/>
  <c r="X910" i="29" s="1"/>
  <c r="W909" i="29"/>
  <c r="Y909" i="29" s="1"/>
  <c r="AA909" i="29"/>
  <c r="CA910" i="29"/>
  <c r="BU910" i="29" s="1"/>
  <c r="M909" i="29"/>
  <c r="J912" i="29"/>
  <c r="L911" i="29"/>
  <c r="K912" i="29"/>
  <c r="AC910" i="29"/>
  <c r="BW849" i="29"/>
  <c r="BX849" i="29"/>
  <c r="BH911" i="29"/>
  <c r="BB911" i="29" s="1"/>
  <c r="AZ911" i="29"/>
  <c r="BD913" i="29"/>
  <c r="BE912" i="29"/>
  <c r="BG912" i="29" s="1"/>
  <c r="BA912" i="29" s="1"/>
  <c r="BC912" i="29"/>
  <c r="BF912" i="29" s="1"/>
  <c r="BP912" i="29"/>
  <c r="M78" i="40" l="1"/>
  <c r="AI102" i="39"/>
  <c r="AB911" i="29"/>
  <c r="BQ915" i="29"/>
  <c r="V912" i="29"/>
  <c r="T913" i="29"/>
  <c r="S913" i="29"/>
  <c r="AF912" i="29"/>
  <c r="AE912" i="29"/>
  <c r="U912" i="29"/>
  <c r="AC912" i="29" s="1"/>
  <c r="J913" i="29"/>
  <c r="L912" i="29"/>
  <c r="K913" i="29"/>
  <c r="AA910" i="29"/>
  <c r="M910" i="29"/>
  <c r="CA911" i="29"/>
  <c r="BU911" i="29" s="1"/>
  <c r="W910" i="29"/>
  <c r="Y910" i="29" s="1"/>
  <c r="BO915" i="29"/>
  <c r="BY914" i="29"/>
  <c r="BR914" i="29"/>
  <c r="BN915" i="29"/>
  <c r="Q911" i="29"/>
  <c r="X911" i="29" s="1"/>
  <c r="R911" i="29"/>
  <c r="BZ849" i="29"/>
  <c r="BH912" i="29"/>
  <c r="BB912" i="29" s="1"/>
  <c r="AZ912" i="29"/>
  <c r="BD914" i="29"/>
  <c r="BP913" i="29"/>
  <c r="BC913" i="29"/>
  <c r="BF913" i="29" s="1"/>
  <c r="BE913" i="29"/>
  <c r="BG913" i="29" s="1"/>
  <c r="BA913" i="29" s="1"/>
  <c r="BT849" i="29"/>
  <c r="M848" i="29" s="1"/>
  <c r="BS849" i="29"/>
  <c r="AB912" i="29" l="1"/>
  <c r="BY915" i="29"/>
  <c r="BO916" i="29"/>
  <c r="BN916" i="29"/>
  <c r="BR915" i="29"/>
  <c r="U913" i="29"/>
  <c r="W911" i="29"/>
  <c r="Y911" i="29" s="1"/>
  <c r="AA911" i="29"/>
  <c r="M911" i="29"/>
  <c r="CA912" i="29"/>
  <c r="BU912" i="29" s="1"/>
  <c r="R912" i="29"/>
  <c r="Q912" i="29"/>
  <c r="X912" i="29" s="1"/>
  <c r="T914" i="29"/>
  <c r="V913" i="29"/>
  <c r="S914" i="29"/>
  <c r="AF913" i="29"/>
  <c r="AE913" i="29"/>
  <c r="L913" i="29"/>
  <c r="K914" i="29"/>
  <c r="J914" i="29"/>
  <c r="BQ916" i="29"/>
  <c r="BQ917" i="29" s="1"/>
  <c r="AZ913" i="29"/>
  <c r="BH913" i="29"/>
  <c r="BB913" i="29" s="1"/>
  <c r="H80" i="29"/>
  <c r="K73" i="40" s="1"/>
  <c r="X848" i="29"/>
  <c r="Y848" i="29" s="1"/>
  <c r="Z848" i="29" s="1"/>
  <c r="BD915" i="29"/>
  <c r="BC914" i="29"/>
  <c r="BF914" i="29" s="1"/>
  <c r="BE914" i="29"/>
  <c r="BG914" i="29" s="1"/>
  <c r="BA914" i="29" s="1"/>
  <c r="BP914" i="29"/>
  <c r="CB850" i="29" l="1"/>
  <c r="CB851" i="29"/>
  <c r="CB852" i="29"/>
  <c r="CB853" i="29"/>
  <c r="CB854" i="29"/>
  <c r="CB855" i="29"/>
  <c r="CB856" i="29"/>
  <c r="CB857" i="29"/>
  <c r="CB858" i="29"/>
  <c r="CB859" i="29"/>
  <c r="CB860" i="29"/>
  <c r="AB848" i="29"/>
  <c r="AC848" i="29"/>
  <c r="Z849" i="29"/>
  <c r="Z850" i="29" s="1"/>
  <c r="Z851" i="29" s="1"/>
  <c r="Z852" i="29" s="1"/>
  <c r="Z853" i="29" s="1"/>
  <c r="Z854" i="29" s="1"/>
  <c r="Z855" i="29" s="1"/>
  <c r="Z856" i="29" s="1"/>
  <c r="Z857" i="29" s="1"/>
  <c r="Z858" i="29" s="1"/>
  <c r="Z859" i="29" s="1"/>
  <c r="CB861" i="29"/>
  <c r="G80" i="29"/>
  <c r="L73" i="40" s="1"/>
  <c r="T915" i="29"/>
  <c r="S915" i="29"/>
  <c r="V914" i="29"/>
  <c r="AE914" i="29"/>
  <c r="AF914" i="29"/>
  <c r="R913" i="29"/>
  <c r="Q913" i="29"/>
  <c r="X913" i="29" s="1"/>
  <c r="J915" i="29"/>
  <c r="L914" i="29"/>
  <c r="K915" i="29"/>
  <c r="AC913" i="29"/>
  <c r="BO917" i="29"/>
  <c r="BR916" i="29"/>
  <c r="BY916" i="29"/>
  <c r="BN917" i="29"/>
  <c r="U914" i="29"/>
  <c r="AA912" i="29"/>
  <c r="M912" i="29"/>
  <c r="CA913" i="29"/>
  <c r="BU913" i="29" s="1"/>
  <c r="W912" i="29"/>
  <c r="Y912" i="29" s="1"/>
  <c r="AB913" i="29"/>
  <c r="BH914" i="29"/>
  <c r="BB914" i="29" s="1"/>
  <c r="AZ914" i="29"/>
  <c r="BD916" i="29"/>
  <c r="BP915" i="29"/>
  <c r="BC915" i="29"/>
  <c r="BF915" i="29" s="1"/>
  <c r="BE915" i="29"/>
  <c r="BG915" i="29" s="1"/>
  <c r="BA915" i="29" s="1"/>
  <c r="D227" i="15"/>
  <c r="I97" i="39"/>
  <c r="G93" i="15"/>
  <c r="BV856" i="29" l="1"/>
  <c r="CC856" i="29"/>
  <c r="BV857" i="29"/>
  <c r="CC857" i="29"/>
  <c r="BV853" i="29"/>
  <c r="CC853" i="29"/>
  <c r="BV852" i="29"/>
  <c r="CC852" i="29"/>
  <c r="BV859" i="29"/>
  <c r="CC859" i="29"/>
  <c r="BV855" i="29"/>
  <c r="CC855" i="29"/>
  <c r="BV851" i="29"/>
  <c r="CC851" i="29"/>
  <c r="BV860" i="29"/>
  <c r="CC860" i="29"/>
  <c r="BV858" i="29"/>
  <c r="CC858" i="29"/>
  <c r="BV854" i="29"/>
  <c r="CC854" i="29"/>
  <c r="BV850" i="29"/>
  <c r="CC850" i="29"/>
  <c r="BX850" i="29" s="1"/>
  <c r="BZ850" i="29" s="1"/>
  <c r="BX851" i="29" s="1"/>
  <c r="BZ851" i="29" s="1"/>
  <c r="BV861" i="29"/>
  <c r="CC861" i="29"/>
  <c r="F227" i="15"/>
  <c r="L97" i="39"/>
  <c r="V915" i="29"/>
  <c r="S916" i="29"/>
  <c r="T916" i="29"/>
  <c r="AE915" i="29"/>
  <c r="AF915" i="29"/>
  <c r="R914" i="29"/>
  <c r="Q914" i="29"/>
  <c r="X914" i="29" s="1"/>
  <c r="K916" i="29"/>
  <c r="J916" i="29"/>
  <c r="L915" i="29"/>
  <c r="AC914" i="29"/>
  <c r="W913" i="29"/>
  <c r="Y913" i="29" s="1"/>
  <c r="CA914" i="29"/>
  <c r="BU914" i="29" s="1"/>
  <c r="AA913" i="29"/>
  <c r="M913" i="29"/>
  <c r="AB914" i="29"/>
  <c r="BY917" i="29"/>
  <c r="BN918" i="29"/>
  <c r="BO918" i="29"/>
  <c r="BR917" i="29"/>
  <c r="U915" i="29"/>
  <c r="AC915" i="29" s="1"/>
  <c r="BQ918" i="29"/>
  <c r="BQ919" i="29" s="1"/>
  <c r="BH915" i="29"/>
  <c r="BB915" i="29" s="1"/>
  <c r="AZ915" i="29"/>
  <c r="BP916" i="29"/>
  <c r="BE916" i="29"/>
  <c r="BG916" i="29" s="1"/>
  <c r="BA916" i="29" s="1"/>
  <c r="BD917" i="29"/>
  <c r="BC916" i="29"/>
  <c r="BF916" i="29" s="1"/>
  <c r="BX852" i="29" l="1"/>
  <c r="BZ852" i="29" s="1"/>
  <c r="BX853" i="29" s="1"/>
  <c r="BZ853" i="29" s="1"/>
  <c r="BX854" i="29" s="1"/>
  <c r="AB915" i="29"/>
  <c r="S917" i="29"/>
  <c r="T917" i="29"/>
  <c r="V916" i="29"/>
  <c r="AF916" i="29"/>
  <c r="AE916" i="29"/>
  <c r="K917" i="29"/>
  <c r="J917" i="29"/>
  <c r="L916" i="29"/>
  <c r="U916" i="29"/>
  <c r="AB916" i="29" s="1"/>
  <c r="R915" i="29"/>
  <c r="Q915" i="29"/>
  <c r="BR918" i="29"/>
  <c r="BN919" i="29"/>
  <c r="BO919" i="29"/>
  <c r="BQ920" i="29" s="1"/>
  <c r="BY918" i="29"/>
  <c r="M914" i="29"/>
  <c r="W914" i="29"/>
  <c r="Y914" i="29" s="1"/>
  <c r="AA914" i="29"/>
  <c r="CA915" i="29"/>
  <c r="BU915" i="29" s="1"/>
  <c r="BH916" i="29"/>
  <c r="BB916" i="29" s="1"/>
  <c r="AZ916" i="29"/>
  <c r="BP917" i="29"/>
  <c r="BD918" i="29"/>
  <c r="BE917" i="29"/>
  <c r="BG917" i="29" s="1"/>
  <c r="BA917" i="29" s="1"/>
  <c r="BC917" i="29"/>
  <c r="BF917" i="29" s="1"/>
  <c r="AC916" i="29" l="1"/>
  <c r="L917" i="29"/>
  <c r="J918" i="29"/>
  <c r="K918" i="29"/>
  <c r="X915" i="29"/>
  <c r="W915" i="29"/>
  <c r="Y915" i="29" s="1"/>
  <c r="CA916" i="29"/>
  <c r="BU916" i="29" s="1"/>
  <c r="AA915" i="29"/>
  <c r="M915" i="29"/>
  <c r="T918" i="29"/>
  <c r="S918" i="29"/>
  <c r="V917" i="29"/>
  <c r="AF917" i="29"/>
  <c r="AE917" i="29"/>
  <c r="BR919" i="29"/>
  <c r="BO920" i="29"/>
  <c r="BY919" i="29"/>
  <c r="BN920" i="29"/>
  <c r="U917" i="29"/>
  <c r="AC917" i="29" s="1"/>
  <c r="Q916" i="29"/>
  <c r="X916" i="29" s="1"/>
  <c r="R916" i="29"/>
  <c r="BP918" i="29"/>
  <c r="BC918" i="29"/>
  <c r="BF918" i="29" s="1"/>
  <c r="BE918" i="29"/>
  <c r="BG918" i="29" s="1"/>
  <c r="BA918" i="29" s="1"/>
  <c r="BD919" i="29"/>
  <c r="BZ854" i="29"/>
  <c r="BX855" i="29" s="1"/>
  <c r="AZ917" i="29"/>
  <c r="BH917" i="29"/>
  <c r="BB917" i="29" s="1"/>
  <c r="AB917" i="29" l="1"/>
  <c r="U918" i="29"/>
  <c r="AB918" i="29" s="1"/>
  <c r="S919" i="29"/>
  <c r="T919" i="29"/>
  <c r="V918" i="29"/>
  <c r="AE918" i="29"/>
  <c r="AF918" i="29"/>
  <c r="Q917" i="29"/>
  <c r="X917" i="29" s="1"/>
  <c r="R917" i="29"/>
  <c r="AA916" i="29"/>
  <c r="M916" i="29"/>
  <c r="W916" i="29"/>
  <c r="Y916" i="29" s="1"/>
  <c r="CA917" i="29"/>
  <c r="BU917" i="29" s="1"/>
  <c r="BY920" i="29"/>
  <c r="BO921" i="29"/>
  <c r="BR920" i="29"/>
  <c r="BN921" i="29"/>
  <c r="K919" i="29"/>
  <c r="J919" i="29"/>
  <c r="L918" i="29"/>
  <c r="BQ921" i="29"/>
  <c r="BQ922" i="29" s="1"/>
  <c r="AZ918" i="29"/>
  <c r="BH918" i="29"/>
  <c r="BB918" i="29" s="1"/>
  <c r="BP919" i="29"/>
  <c r="BD920" i="29"/>
  <c r="BC919" i="29"/>
  <c r="BF919" i="29" s="1"/>
  <c r="BE919" i="29"/>
  <c r="BG919" i="29" s="1"/>
  <c r="BA919" i="29" s="1"/>
  <c r="BZ855" i="29"/>
  <c r="BX856" i="29" s="1"/>
  <c r="AC918" i="29" l="1"/>
  <c r="BR921" i="29"/>
  <c r="BN922" i="29"/>
  <c r="BO922" i="29"/>
  <c r="R918" i="29"/>
  <c r="Q918" i="29"/>
  <c r="U919" i="29"/>
  <c r="AC919" i="29" s="1"/>
  <c r="K920" i="29"/>
  <c r="L919" i="29"/>
  <c r="J920" i="29"/>
  <c r="W917" i="29"/>
  <c r="Y917" i="29" s="1"/>
  <c r="CA918" i="29"/>
  <c r="BU918" i="29" s="1"/>
  <c r="AA917" i="29"/>
  <c r="M917" i="29"/>
  <c r="V919" i="29"/>
  <c r="T920" i="29"/>
  <c r="S920" i="29"/>
  <c r="AF919" i="29"/>
  <c r="AE919" i="29"/>
  <c r="BZ856" i="29"/>
  <c r="BX857" i="29" s="1"/>
  <c r="BC920" i="29"/>
  <c r="BF920" i="29" s="1"/>
  <c r="BP920" i="29"/>
  <c r="BE920" i="29"/>
  <c r="BG920" i="29" s="1"/>
  <c r="BA920" i="29" s="1"/>
  <c r="BD921" i="29"/>
  <c r="BH919" i="29"/>
  <c r="BB919" i="29" s="1"/>
  <c r="AZ919" i="29"/>
  <c r="U920" i="29" l="1"/>
  <c r="L920" i="29"/>
  <c r="K921" i="29"/>
  <c r="J921" i="29"/>
  <c r="AA918" i="29"/>
  <c r="CA919" i="29"/>
  <c r="BU919" i="29" s="1"/>
  <c r="M918" i="29"/>
  <c r="W918" i="29"/>
  <c r="Y918" i="29" s="1"/>
  <c r="V920" i="29"/>
  <c r="T921" i="29"/>
  <c r="S921" i="29"/>
  <c r="AE920" i="29"/>
  <c r="AF920" i="29"/>
  <c r="BO923" i="29"/>
  <c r="BN923" i="29"/>
  <c r="BY922" i="29"/>
  <c r="BR922" i="29"/>
  <c r="BQ923" i="29"/>
  <c r="BQ924" i="29" s="1"/>
  <c r="R919" i="29"/>
  <c r="Q919" i="29"/>
  <c r="X919" i="29" s="1"/>
  <c r="AB919" i="29"/>
  <c r="X918" i="29"/>
  <c r="BZ857" i="29"/>
  <c r="BX858" i="29" s="1"/>
  <c r="AZ920" i="29"/>
  <c r="BH920" i="29"/>
  <c r="BB920" i="29" s="1"/>
  <c r="BD922" i="29"/>
  <c r="BI921" i="29"/>
  <c r="BP921" i="29"/>
  <c r="BE921" i="29"/>
  <c r="BG921" i="29" s="1"/>
  <c r="BA921" i="29" s="1"/>
  <c r="BC921" i="29"/>
  <c r="BF921" i="29" s="1"/>
  <c r="BN924" i="29" l="1"/>
  <c r="BO924" i="29"/>
  <c r="BY923" i="29"/>
  <c r="BR923" i="29"/>
  <c r="T922" i="29"/>
  <c r="S922" i="29"/>
  <c r="V921" i="29"/>
  <c r="AE921" i="29"/>
  <c r="AF921" i="29"/>
  <c r="M919" i="29"/>
  <c r="W919" i="29"/>
  <c r="Y919" i="29" s="1"/>
  <c r="AA919" i="29"/>
  <c r="CA920" i="29"/>
  <c r="BU920" i="29" s="1"/>
  <c r="K922" i="29"/>
  <c r="J922" i="29"/>
  <c r="L921" i="29"/>
  <c r="Q920" i="29"/>
  <c r="R920" i="29"/>
  <c r="BQ925" i="29"/>
  <c r="U921" i="29"/>
  <c r="AB921" i="29" s="1"/>
  <c r="BZ858" i="29"/>
  <c r="BX859" i="29" s="1"/>
  <c r="AZ921" i="29"/>
  <c r="BH921" i="29"/>
  <c r="BB921" i="29" s="1"/>
  <c r="BP922" i="29"/>
  <c r="BE922" i="29"/>
  <c r="BG922" i="29" s="1"/>
  <c r="BA922" i="29" s="1"/>
  <c r="BD923" i="29"/>
  <c r="BC922" i="29"/>
  <c r="BF922" i="29" s="1"/>
  <c r="AC921" i="29" l="1"/>
  <c r="L922" i="29"/>
  <c r="J923" i="29"/>
  <c r="K923" i="29"/>
  <c r="R921" i="29"/>
  <c r="Q921" i="29"/>
  <c r="X921" i="29" s="1"/>
  <c r="U922" i="29"/>
  <c r="AB922" i="29" s="1"/>
  <c r="BO925" i="29"/>
  <c r="BN925" i="29"/>
  <c r="BR924" i="29"/>
  <c r="BY924" i="29"/>
  <c r="T923" i="29"/>
  <c r="S923" i="29"/>
  <c r="V922" i="29"/>
  <c r="AE922" i="29"/>
  <c r="AF922" i="29"/>
  <c r="CA921" i="29"/>
  <c r="BU921" i="29" s="1"/>
  <c r="AA920" i="29"/>
  <c r="W920" i="29"/>
  <c r="BZ859" i="29"/>
  <c r="BX860" i="29" s="1"/>
  <c r="BH922" i="29"/>
  <c r="BB922" i="29" s="1"/>
  <c r="AZ922" i="29"/>
  <c r="BD924" i="29"/>
  <c r="BC923" i="29"/>
  <c r="BF923" i="29" s="1"/>
  <c r="BE923" i="29"/>
  <c r="BG923" i="29" s="1"/>
  <c r="BA923" i="29" s="1"/>
  <c r="BP923" i="29"/>
  <c r="R922" i="29" l="1"/>
  <c r="Q922" i="29"/>
  <c r="Y920" i="29"/>
  <c r="T924" i="29"/>
  <c r="V923" i="29"/>
  <c r="S924" i="29"/>
  <c r="AF923" i="29"/>
  <c r="AE923" i="29"/>
  <c r="BR925" i="29"/>
  <c r="BO926" i="29"/>
  <c r="BN926" i="29"/>
  <c r="BY925" i="29"/>
  <c r="BQ926" i="29"/>
  <c r="BQ927" i="29" s="1"/>
  <c r="J924" i="29"/>
  <c r="L923" i="29"/>
  <c r="K924" i="29"/>
  <c r="AA921" i="29"/>
  <c r="W921" i="29"/>
  <c r="Y921" i="29" s="1"/>
  <c r="M921" i="29"/>
  <c r="CA922" i="29"/>
  <c r="BU922" i="29" s="1"/>
  <c r="U923" i="29"/>
  <c r="AB923" i="29" s="1"/>
  <c r="AC922" i="29"/>
  <c r="BH923" i="29"/>
  <c r="BB923" i="29" s="1"/>
  <c r="AZ923" i="29"/>
  <c r="BZ860" i="29"/>
  <c r="BY861" i="29" s="1"/>
  <c r="BW861" i="29" s="1"/>
  <c r="BD925" i="29"/>
  <c r="BC924" i="29"/>
  <c r="BF924" i="29" s="1"/>
  <c r="BE924" i="29"/>
  <c r="BG924" i="29" s="1"/>
  <c r="BA924" i="29" s="1"/>
  <c r="BP924" i="29"/>
  <c r="M79" i="40" l="1"/>
  <c r="AI103" i="39"/>
  <c r="J925" i="29"/>
  <c r="L924" i="29"/>
  <c r="K925" i="29"/>
  <c r="V924" i="29"/>
  <c r="S925" i="29"/>
  <c r="T925" i="29"/>
  <c r="AE924" i="29"/>
  <c r="AF924" i="29"/>
  <c r="AA922" i="29"/>
  <c r="CA923" i="29"/>
  <c r="BU923" i="29" s="1"/>
  <c r="W922" i="29"/>
  <c r="Y922" i="29" s="1"/>
  <c r="M922" i="29"/>
  <c r="Q923" i="29"/>
  <c r="X923" i="29" s="1"/>
  <c r="R923" i="29"/>
  <c r="BR926" i="29"/>
  <c r="BN927" i="29"/>
  <c r="BO927" i="29"/>
  <c r="BY926" i="29"/>
  <c r="U924" i="29"/>
  <c r="AC923" i="29"/>
  <c r="X922" i="29"/>
  <c r="BT861" i="29"/>
  <c r="M860" i="29" s="1"/>
  <c r="BS861" i="29"/>
  <c r="BD926" i="29"/>
  <c r="BC925" i="29"/>
  <c r="BF925" i="29" s="1"/>
  <c r="BE925" i="29"/>
  <c r="BG925" i="29" s="1"/>
  <c r="BA925" i="29" s="1"/>
  <c r="BP925" i="29"/>
  <c r="AZ924" i="29"/>
  <c r="BH924" i="29"/>
  <c r="BB924" i="29" s="1"/>
  <c r="BX861" i="29"/>
  <c r="R924" i="29" l="1"/>
  <c r="Q924" i="29"/>
  <c r="BR927" i="29"/>
  <c r="BN928" i="29"/>
  <c r="BY927" i="29"/>
  <c r="BO928" i="29"/>
  <c r="K926" i="29"/>
  <c r="J926" i="29"/>
  <c r="L925" i="29"/>
  <c r="AC924" i="29"/>
  <c r="AA923" i="29"/>
  <c r="CA924" i="29"/>
  <c r="BU924" i="29" s="1"/>
  <c r="M923" i="29"/>
  <c r="W923" i="29"/>
  <c r="Y923" i="29" s="1"/>
  <c r="BQ928" i="29"/>
  <c r="BQ929" i="29" s="1"/>
  <c r="AB924" i="29"/>
  <c r="V925" i="29"/>
  <c r="S926" i="29"/>
  <c r="T926" i="29"/>
  <c r="AF925" i="29"/>
  <c r="AE925" i="29"/>
  <c r="U925" i="29"/>
  <c r="BD927" i="29"/>
  <c r="BC926" i="29"/>
  <c r="BF926" i="29" s="1"/>
  <c r="BE926" i="29"/>
  <c r="BG926" i="29" s="1"/>
  <c r="BA926" i="29" s="1"/>
  <c r="BP926" i="29"/>
  <c r="BZ861" i="29"/>
  <c r="AZ925" i="29"/>
  <c r="BH925" i="29"/>
  <c r="BB925" i="29" s="1"/>
  <c r="H81" i="29"/>
  <c r="K74" i="40" s="1"/>
  <c r="X860" i="29"/>
  <c r="Y860" i="29" s="1"/>
  <c r="Z860" i="29" s="1"/>
  <c r="CB862" i="29" l="1"/>
  <c r="CB863" i="29"/>
  <c r="CB864" i="29"/>
  <c r="CB865" i="29"/>
  <c r="CB866" i="29"/>
  <c r="CB867" i="29"/>
  <c r="CB868" i="29"/>
  <c r="CB869" i="29"/>
  <c r="CB870" i="29"/>
  <c r="CB871" i="29"/>
  <c r="CB872" i="29"/>
  <c r="AC860" i="29"/>
  <c r="AB860" i="29"/>
  <c r="Z861" i="29"/>
  <c r="Z862" i="29" s="1"/>
  <c r="Z863" i="29" s="1"/>
  <c r="Z864" i="29" s="1"/>
  <c r="Z865" i="29" s="1"/>
  <c r="Z866" i="29" s="1"/>
  <c r="Z867" i="29" s="1"/>
  <c r="Z868" i="29" s="1"/>
  <c r="Z869" i="29" s="1"/>
  <c r="Z870" i="29" s="1"/>
  <c r="Z871" i="29" s="1"/>
  <c r="Z872" i="29" s="1"/>
  <c r="CB873" i="29"/>
  <c r="G81" i="29"/>
  <c r="L74" i="40" s="1"/>
  <c r="R925" i="29"/>
  <c r="Q925" i="29"/>
  <c r="AB925" i="29"/>
  <c r="T927" i="29"/>
  <c r="S927" i="29"/>
  <c r="V926" i="29"/>
  <c r="AF926" i="29"/>
  <c r="AE926" i="29"/>
  <c r="K927" i="29"/>
  <c r="J927" i="29"/>
  <c r="L926" i="29"/>
  <c r="AC925" i="29"/>
  <c r="U926" i="29"/>
  <c r="AC926" i="29" s="1"/>
  <c r="BR928" i="29"/>
  <c r="BN929" i="29"/>
  <c r="BO929" i="29"/>
  <c r="BY928" i="29"/>
  <c r="X924" i="29"/>
  <c r="W924" i="29"/>
  <c r="Y924" i="29" s="1"/>
  <c r="AA924" i="29"/>
  <c r="M924" i="29"/>
  <c r="CA925" i="29"/>
  <c r="BU925" i="29" s="1"/>
  <c r="BH926" i="29"/>
  <c r="BB926" i="29" s="1"/>
  <c r="AZ926" i="29"/>
  <c r="D228" i="15"/>
  <c r="I98" i="39"/>
  <c r="G94" i="15"/>
  <c r="BP927" i="29"/>
  <c r="BC927" i="29"/>
  <c r="BF927" i="29" s="1"/>
  <c r="BD928" i="29"/>
  <c r="BE927" i="29"/>
  <c r="BG927" i="29" s="1"/>
  <c r="BA927" i="29" s="1"/>
  <c r="BV869" i="29" l="1"/>
  <c r="CC869" i="29"/>
  <c r="BV865" i="29"/>
  <c r="CC865" i="29"/>
  <c r="CB874" i="29"/>
  <c r="CB875" i="29"/>
  <c r="CB876" i="29"/>
  <c r="CB877" i="29"/>
  <c r="CB878" i="29"/>
  <c r="CB879" i="29"/>
  <c r="CB880" i="29"/>
  <c r="CB881" i="29"/>
  <c r="CB882" i="29"/>
  <c r="CB883" i="29"/>
  <c r="CB884" i="29"/>
  <c r="BV872" i="29"/>
  <c r="CC872" i="29"/>
  <c r="BV868" i="29"/>
  <c r="CC868" i="29"/>
  <c r="BV864" i="29"/>
  <c r="CC864" i="29"/>
  <c r="BV871" i="29"/>
  <c r="CC871" i="29"/>
  <c r="BV867" i="29"/>
  <c r="CC867" i="29"/>
  <c r="BV863" i="29"/>
  <c r="CC863" i="29"/>
  <c r="BV870" i="29"/>
  <c r="CC870" i="29"/>
  <c r="BV866" i="29"/>
  <c r="CC866" i="29"/>
  <c r="BV862" i="29"/>
  <c r="CC862" i="29"/>
  <c r="BX862" i="29" s="1"/>
  <c r="BZ862" i="29" s="1"/>
  <c r="BV873" i="29"/>
  <c r="CC873" i="29"/>
  <c r="Z873" i="29"/>
  <c r="Z874" i="29" s="1"/>
  <c r="Z875" i="29" s="1"/>
  <c r="Z876" i="29" s="1"/>
  <c r="Z877" i="29" s="1"/>
  <c r="Z878" i="29" s="1"/>
  <c r="Z879" i="29" s="1"/>
  <c r="Z880" i="29" s="1"/>
  <c r="Z881" i="29" s="1"/>
  <c r="Z882" i="29" s="1"/>
  <c r="Z883" i="29" s="1"/>
  <c r="Z884" i="29" s="1"/>
  <c r="N76" i="40" s="1"/>
  <c r="CB885" i="29"/>
  <c r="F228" i="15"/>
  <c r="L98" i="39"/>
  <c r="AB926" i="29"/>
  <c r="V927" i="29"/>
  <c r="S928" i="29"/>
  <c r="T928" i="29"/>
  <c r="AF927" i="29"/>
  <c r="AE927" i="29"/>
  <c r="BR929" i="29"/>
  <c r="BN930" i="29"/>
  <c r="BO930" i="29"/>
  <c r="BY929" i="29"/>
  <c r="R926" i="29"/>
  <c r="Q926" i="29"/>
  <c r="BQ930" i="29"/>
  <c r="U927" i="29"/>
  <c r="AB927" i="29" s="1"/>
  <c r="L927" i="29"/>
  <c r="K928" i="29"/>
  <c r="J928" i="29"/>
  <c r="X925" i="29"/>
  <c r="M925" i="29"/>
  <c r="W925" i="29"/>
  <c r="Y925" i="29" s="1"/>
  <c r="AA925" i="29"/>
  <c r="CA926" i="29"/>
  <c r="BU926" i="29" s="1"/>
  <c r="BD929" i="29"/>
  <c r="BE928" i="29"/>
  <c r="BG928" i="29" s="1"/>
  <c r="BA928" i="29" s="1"/>
  <c r="BP928" i="29"/>
  <c r="BC928" i="29"/>
  <c r="BF928" i="29" s="1"/>
  <c r="AZ927" i="29"/>
  <c r="BH927" i="29"/>
  <c r="BB927" i="29" s="1"/>
  <c r="BX863" i="29" l="1"/>
  <c r="BZ863" i="29" s="1"/>
  <c r="BX864" i="29" s="1"/>
  <c r="BV877" i="29"/>
  <c r="CC877" i="29"/>
  <c r="BV884" i="29"/>
  <c r="CC884" i="29"/>
  <c r="BV880" i="29"/>
  <c r="CC880" i="29"/>
  <c r="BV876" i="29"/>
  <c r="CC876" i="29"/>
  <c r="BV881" i="29"/>
  <c r="CC881" i="29"/>
  <c r="BV883" i="29"/>
  <c r="CC883" i="29"/>
  <c r="BV879" i="29"/>
  <c r="CC879" i="29"/>
  <c r="BV875" i="29"/>
  <c r="CC875" i="29"/>
  <c r="BV882" i="29"/>
  <c r="CC882" i="29"/>
  <c r="BV878" i="29"/>
  <c r="CC878" i="29"/>
  <c r="BV874" i="29"/>
  <c r="CC874" i="29"/>
  <c r="CC885" i="29"/>
  <c r="BV885" i="29"/>
  <c r="AC884" i="29"/>
  <c r="AB884" i="29"/>
  <c r="Z885" i="29"/>
  <c r="Z886" i="29" s="1"/>
  <c r="Z887" i="29" s="1"/>
  <c r="Z888" i="29" s="1"/>
  <c r="Z889" i="29" s="1"/>
  <c r="Z890" i="29" s="1"/>
  <c r="Z891" i="29" s="1"/>
  <c r="Z892" i="29" s="1"/>
  <c r="Z893" i="29" s="1"/>
  <c r="Z894" i="29" s="1"/>
  <c r="Z895" i="29" s="1"/>
  <c r="Z896" i="29" s="1"/>
  <c r="N77" i="40" s="1"/>
  <c r="CB894" i="29"/>
  <c r="CB891" i="29"/>
  <c r="CB892" i="29"/>
  <c r="CB895" i="29"/>
  <c r="CB897" i="29"/>
  <c r="CB893" i="29"/>
  <c r="CB896" i="29"/>
  <c r="S929" i="29"/>
  <c r="T929" i="29"/>
  <c r="V928" i="29"/>
  <c r="AF928" i="29"/>
  <c r="AE928" i="29"/>
  <c r="BQ931" i="29"/>
  <c r="U928" i="29"/>
  <c r="AC928" i="29" s="1"/>
  <c r="Q927" i="29"/>
  <c r="X927" i="29" s="1"/>
  <c r="R927" i="29"/>
  <c r="M926" i="29"/>
  <c r="W926" i="29"/>
  <c r="Y926" i="29" s="1"/>
  <c r="CA927" i="29"/>
  <c r="BU927" i="29" s="1"/>
  <c r="AA926" i="29"/>
  <c r="BY930" i="29"/>
  <c r="BR930" i="29"/>
  <c r="BN931" i="29"/>
  <c r="BO931" i="29"/>
  <c r="K929" i="29"/>
  <c r="L928" i="29"/>
  <c r="J929" i="29"/>
  <c r="AC927" i="29"/>
  <c r="X926" i="29"/>
  <c r="BZ864" i="29"/>
  <c r="BX865" i="29" s="1"/>
  <c r="BE929" i="29"/>
  <c r="BG929" i="29" s="1"/>
  <c r="BA929" i="29" s="1"/>
  <c r="BP929" i="29"/>
  <c r="BD930" i="29"/>
  <c r="BC929" i="29"/>
  <c r="BF929" i="29" s="1"/>
  <c r="AZ928" i="29"/>
  <c r="BH928" i="29"/>
  <c r="BB928" i="29" s="1"/>
  <c r="R76" i="40" l="1"/>
  <c r="AK100" i="39"/>
  <c r="Q76" i="40"/>
  <c r="AJ100" i="39"/>
  <c r="CC891" i="29"/>
  <c r="BV891" i="29"/>
  <c r="BV896" i="29"/>
  <c r="CC896" i="29"/>
  <c r="BV892" i="29"/>
  <c r="CC892" i="29"/>
  <c r="BV897" i="29"/>
  <c r="CC897" i="29"/>
  <c r="CC894" i="29"/>
  <c r="BV894" i="29"/>
  <c r="CC893" i="29"/>
  <c r="BV893" i="29"/>
  <c r="BV895" i="29"/>
  <c r="CC895" i="29"/>
  <c r="Z897" i="29"/>
  <c r="Z898" i="29" s="1"/>
  <c r="Z899" i="29" s="1"/>
  <c r="Z900" i="29" s="1"/>
  <c r="Z901" i="29" s="1"/>
  <c r="Z902" i="29" s="1"/>
  <c r="Z903" i="29" s="1"/>
  <c r="Z904" i="29" s="1"/>
  <c r="Z905" i="29" s="1"/>
  <c r="Z906" i="29" s="1"/>
  <c r="Z907" i="29" s="1"/>
  <c r="Z908" i="29" s="1"/>
  <c r="N78" i="40" s="1"/>
  <c r="AC896" i="29"/>
  <c r="AB896" i="29"/>
  <c r="CB905" i="29"/>
  <c r="CB907" i="29"/>
  <c r="CB909" i="29"/>
  <c r="CB906" i="29"/>
  <c r="CB908" i="29"/>
  <c r="AB928" i="29"/>
  <c r="BR931" i="29"/>
  <c r="BO932" i="29"/>
  <c r="BY931" i="29"/>
  <c r="BN932" i="29"/>
  <c r="CA928" i="29"/>
  <c r="BU928" i="29" s="1"/>
  <c r="M927" i="29"/>
  <c r="W927" i="29"/>
  <c r="Y927" i="29" s="1"/>
  <c r="AA927" i="29"/>
  <c r="BQ932" i="29"/>
  <c r="BQ933" i="29" s="1"/>
  <c r="Q928" i="29"/>
  <c r="X928" i="29" s="1"/>
  <c r="R928" i="29"/>
  <c r="T930" i="29"/>
  <c r="S930" i="29"/>
  <c r="V929" i="29"/>
  <c r="AE929" i="29"/>
  <c r="AF929" i="29"/>
  <c r="J930" i="29"/>
  <c r="K930" i="29"/>
  <c r="L929" i="29"/>
  <c r="U929" i="29"/>
  <c r="BZ865" i="29"/>
  <c r="BX866" i="29" s="1"/>
  <c r="AZ929" i="29"/>
  <c r="BH929" i="29"/>
  <c r="BB929" i="29" s="1"/>
  <c r="BP930" i="29"/>
  <c r="BD931" i="29"/>
  <c r="BE930" i="29"/>
  <c r="BG930" i="29" s="1"/>
  <c r="BA930" i="29" s="1"/>
  <c r="BC930" i="29"/>
  <c r="BF930" i="29" s="1"/>
  <c r="Q77" i="40" l="1"/>
  <c r="AJ101" i="39"/>
  <c r="Z76" i="40"/>
  <c r="R77" i="40"/>
  <c r="AK101" i="39"/>
  <c r="BV909" i="29"/>
  <c r="CC909" i="29"/>
  <c r="CC905" i="29"/>
  <c r="BV905" i="29"/>
  <c r="CC907" i="29"/>
  <c r="BV907" i="29"/>
  <c r="Z909" i="29"/>
  <c r="Z910" i="29" s="1"/>
  <c r="Z911" i="29" s="1"/>
  <c r="Z912" i="29" s="1"/>
  <c r="Z913" i="29" s="1"/>
  <c r="Z914" i="29" s="1"/>
  <c r="Z915" i="29" s="1"/>
  <c r="Z916" i="29" s="1"/>
  <c r="Z917" i="29" s="1"/>
  <c r="Z918" i="29" s="1"/>
  <c r="Z919" i="29" s="1"/>
  <c r="Z920" i="29" s="1"/>
  <c r="N79" i="40" s="1"/>
  <c r="AB908" i="29"/>
  <c r="AC908" i="29"/>
  <c r="CB915" i="29"/>
  <c r="CB920" i="29"/>
  <c r="CB921" i="29"/>
  <c r="CB917" i="29"/>
  <c r="CB918" i="29"/>
  <c r="CB919" i="29"/>
  <c r="CB913" i="29"/>
  <c r="CB916" i="29"/>
  <c r="BV908" i="29"/>
  <c r="CC908" i="29"/>
  <c r="BV906" i="29"/>
  <c r="CC906" i="29"/>
  <c r="BR932" i="29"/>
  <c r="BN933" i="29"/>
  <c r="BO933" i="29"/>
  <c r="BY932" i="29"/>
  <c r="Q929" i="29"/>
  <c r="R929" i="29"/>
  <c r="J931" i="29"/>
  <c r="L930" i="29"/>
  <c r="K931" i="29"/>
  <c r="AB929" i="29"/>
  <c r="U930" i="29"/>
  <c r="AC929" i="29"/>
  <c r="S931" i="29"/>
  <c r="V930" i="29"/>
  <c r="T931" i="29"/>
  <c r="AE930" i="29"/>
  <c r="AF930" i="29"/>
  <c r="M928" i="29"/>
  <c r="W928" i="29"/>
  <c r="Y928" i="29" s="1"/>
  <c r="CA929" i="29"/>
  <c r="BU929" i="29" s="1"/>
  <c r="AA928" i="29"/>
  <c r="BE931" i="29"/>
  <c r="BG931" i="29" s="1"/>
  <c r="BA931" i="29" s="1"/>
  <c r="BP931" i="29"/>
  <c r="BC931" i="29"/>
  <c r="BF931" i="29" s="1"/>
  <c r="BD932" i="29"/>
  <c r="AZ930" i="29"/>
  <c r="BH930" i="29"/>
  <c r="BB930" i="29" s="1"/>
  <c r="BZ866" i="29"/>
  <c r="BX867" i="29" s="1"/>
  <c r="Q78" i="40" l="1"/>
  <c r="AJ102" i="39"/>
  <c r="R78" i="40"/>
  <c r="AK102" i="39"/>
  <c r="Z77" i="40"/>
  <c r="BV919" i="29"/>
  <c r="CC919" i="29"/>
  <c r="AB920" i="29"/>
  <c r="AC920" i="29"/>
  <c r="Z921" i="29"/>
  <c r="Z922" i="29" s="1"/>
  <c r="Z923" i="29" s="1"/>
  <c r="Z924" i="29" s="1"/>
  <c r="Z925" i="29" s="1"/>
  <c r="Z926" i="29" s="1"/>
  <c r="Z927" i="29" s="1"/>
  <c r="Z928" i="29" s="1"/>
  <c r="BV913" i="29"/>
  <c r="CC913" i="29"/>
  <c r="CC921" i="29"/>
  <c r="BV921" i="29"/>
  <c r="BV920" i="29"/>
  <c r="CC920" i="29"/>
  <c r="BV918" i="29"/>
  <c r="CC918" i="29"/>
  <c r="CC915" i="29"/>
  <c r="BV915" i="29"/>
  <c r="BV916" i="29"/>
  <c r="CC916" i="29"/>
  <c r="CC917" i="29"/>
  <c r="BV917" i="29"/>
  <c r="T932" i="29"/>
  <c r="S932" i="29"/>
  <c r="V931" i="29"/>
  <c r="AE931" i="29"/>
  <c r="AF931" i="29"/>
  <c r="R930" i="29"/>
  <c r="Q930" i="29"/>
  <c r="X930" i="29" s="1"/>
  <c r="K932" i="29"/>
  <c r="J932" i="29"/>
  <c r="L931" i="29"/>
  <c r="X929" i="29"/>
  <c r="AA929" i="29"/>
  <c r="CA930" i="29"/>
  <c r="BU930" i="29" s="1"/>
  <c r="M929" i="29"/>
  <c r="W929" i="29"/>
  <c r="Y929" i="29" s="1"/>
  <c r="AB930" i="29"/>
  <c r="U931" i="29"/>
  <c r="AC930" i="29"/>
  <c r="BR933" i="29"/>
  <c r="BN934" i="29"/>
  <c r="BO934" i="29"/>
  <c r="BQ934" i="29"/>
  <c r="BQ935" i="29" s="1"/>
  <c r="BZ867" i="29"/>
  <c r="BX868" i="29" s="1"/>
  <c r="BE932" i="29"/>
  <c r="BG932" i="29" s="1"/>
  <c r="BA932" i="29" s="1"/>
  <c r="BD933" i="29"/>
  <c r="BC932" i="29"/>
  <c r="BF932" i="29" s="1"/>
  <c r="BP932" i="29"/>
  <c r="BH931" i="29"/>
  <c r="BB931" i="29" s="1"/>
  <c r="AZ931" i="29"/>
  <c r="R79" i="40" l="1"/>
  <c r="AK103" i="39"/>
  <c r="Q79" i="40"/>
  <c r="AJ103" i="39"/>
  <c r="Z78" i="40"/>
  <c r="Z929" i="29"/>
  <c r="R931" i="29"/>
  <c r="Q931" i="29"/>
  <c r="X931" i="29" s="1"/>
  <c r="U932" i="29"/>
  <c r="AB931" i="29"/>
  <c r="BO935" i="29"/>
  <c r="BR934" i="29"/>
  <c r="BN935" i="29"/>
  <c r="BY934" i="29"/>
  <c r="J933" i="29"/>
  <c r="L932" i="29"/>
  <c r="K933" i="29"/>
  <c r="V932" i="29"/>
  <c r="T933" i="29"/>
  <c r="S933" i="29"/>
  <c r="AF932" i="29"/>
  <c r="AE932" i="29"/>
  <c r="AC931" i="29"/>
  <c r="W930" i="29"/>
  <c r="Y930" i="29" s="1"/>
  <c r="Z930" i="29" s="1"/>
  <c r="CA931" i="29"/>
  <c r="BU931" i="29" s="1"/>
  <c r="AA930" i="29"/>
  <c r="M930" i="29"/>
  <c r="BZ868" i="29"/>
  <c r="BX869" i="29" s="1"/>
  <c r="BI933" i="29"/>
  <c r="BC933" i="29"/>
  <c r="BF933" i="29" s="1"/>
  <c r="BP933" i="29"/>
  <c r="BE933" i="29"/>
  <c r="BG933" i="29" s="1"/>
  <c r="BA933" i="29" s="1"/>
  <c r="BD934" i="29"/>
  <c r="BH932" i="29"/>
  <c r="BB932" i="29" s="1"/>
  <c r="AZ932" i="29"/>
  <c r="Z79" i="40" l="1"/>
  <c r="V933" i="29"/>
  <c r="T934" i="29"/>
  <c r="S934" i="29"/>
  <c r="AE933" i="29"/>
  <c r="AF933" i="29"/>
  <c r="BY935" i="29"/>
  <c r="BR935" i="29"/>
  <c r="BO936" i="29"/>
  <c r="BN936" i="29"/>
  <c r="AA931" i="29"/>
  <c r="CA932" i="29"/>
  <c r="BU932" i="29" s="1"/>
  <c r="W931" i="29"/>
  <c r="Y931" i="29" s="1"/>
  <c r="Z931" i="29" s="1"/>
  <c r="M931" i="29"/>
  <c r="J934" i="29"/>
  <c r="L933" i="29"/>
  <c r="K934" i="29"/>
  <c r="BQ936" i="29"/>
  <c r="BQ937" i="29" s="1"/>
  <c r="U933" i="29"/>
  <c r="AC933" i="29" s="1"/>
  <c r="Q932" i="29"/>
  <c r="R932" i="29"/>
  <c r="BD935" i="29"/>
  <c r="BC934" i="29"/>
  <c r="BF934" i="29" s="1"/>
  <c r="BE934" i="29"/>
  <c r="BG934" i="29" s="1"/>
  <c r="BA934" i="29" s="1"/>
  <c r="BP934" i="29"/>
  <c r="BH933" i="29"/>
  <c r="BB933" i="29" s="1"/>
  <c r="AZ933" i="29"/>
  <c r="BZ869" i="29"/>
  <c r="BX870" i="29" s="1"/>
  <c r="V934" i="29" l="1"/>
  <c r="T935" i="29"/>
  <c r="S935" i="29"/>
  <c r="AE934" i="29"/>
  <c r="AF934" i="29"/>
  <c r="AB933" i="29"/>
  <c r="W932" i="29"/>
  <c r="CB933" i="29" s="1"/>
  <c r="BV933" i="29" s="1"/>
  <c r="AA932" i="29"/>
  <c r="CA933" i="29"/>
  <c r="BU933" i="29" s="1"/>
  <c r="BR936" i="29"/>
  <c r="BN937" i="29"/>
  <c r="BY936" i="29"/>
  <c r="BO937" i="29"/>
  <c r="R933" i="29"/>
  <c r="Q933" i="29"/>
  <c r="X933" i="29" s="1"/>
  <c r="J935" i="29"/>
  <c r="K935" i="29"/>
  <c r="L934" i="29"/>
  <c r="BQ938" i="29"/>
  <c r="U934" i="29"/>
  <c r="AB934" i="29" s="1"/>
  <c r="BH934" i="29"/>
  <c r="BB934" i="29" s="1"/>
  <c r="AZ934" i="29"/>
  <c r="BZ870" i="29"/>
  <c r="BX871" i="29" s="1"/>
  <c r="BD936" i="29"/>
  <c r="BP935" i="29"/>
  <c r="BC935" i="29"/>
  <c r="BF935" i="29" s="1"/>
  <c r="BE935" i="29"/>
  <c r="BG935" i="29" s="1"/>
  <c r="BA935" i="29" s="1"/>
  <c r="AC934" i="29" l="1"/>
  <c r="U935" i="29"/>
  <c r="AB935" i="29" s="1"/>
  <c r="R934" i="29"/>
  <c r="Q934" i="29"/>
  <c r="X934" i="29" s="1"/>
  <c r="AA933" i="29"/>
  <c r="M933" i="29"/>
  <c r="W933" i="29"/>
  <c r="Y933" i="29" s="1"/>
  <c r="CA934" i="29"/>
  <c r="BU934" i="29" s="1"/>
  <c r="T936" i="29"/>
  <c r="V935" i="29"/>
  <c r="S936" i="29"/>
  <c r="AF935" i="29"/>
  <c r="AE935" i="29"/>
  <c r="J936" i="29"/>
  <c r="K936" i="29"/>
  <c r="L935" i="29"/>
  <c r="BR937" i="29"/>
  <c r="BO938" i="29"/>
  <c r="BQ939" i="29" s="1"/>
  <c r="BN938" i="29"/>
  <c r="BY937" i="29"/>
  <c r="CC933" i="29"/>
  <c r="Y932" i="29"/>
  <c r="CB929" i="29"/>
  <c r="CB931" i="29"/>
  <c r="CB928" i="29"/>
  <c r="CB932" i="29"/>
  <c r="CB930" i="29"/>
  <c r="BZ871" i="29"/>
  <c r="BX872" i="29" s="1"/>
  <c r="BH935" i="29"/>
  <c r="BB935" i="29" s="1"/>
  <c r="AZ935" i="29"/>
  <c r="BD937" i="29"/>
  <c r="BP936" i="29"/>
  <c r="BE936" i="29"/>
  <c r="BG936" i="29" s="1"/>
  <c r="BA936" i="29" s="1"/>
  <c r="BC936" i="29"/>
  <c r="BF936" i="29" s="1"/>
  <c r="Z932" i="29" l="1"/>
  <c r="N80" i="40" s="1"/>
  <c r="M80" i="40"/>
  <c r="AI104" i="39"/>
  <c r="AC935" i="29"/>
  <c r="BV930" i="29"/>
  <c r="CC930" i="29"/>
  <c r="BV928" i="29"/>
  <c r="CC928" i="29"/>
  <c r="Q935" i="29"/>
  <c r="X935" i="29" s="1"/>
  <c r="R935" i="29"/>
  <c r="BV932" i="29"/>
  <c r="CC932" i="29"/>
  <c r="Z933" i="29"/>
  <c r="AB932" i="29"/>
  <c r="AC932" i="29"/>
  <c r="BO939" i="29"/>
  <c r="BN939" i="29"/>
  <c r="BR938" i="29"/>
  <c r="BY938" i="29"/>
  <c r="U936" i="29"/>
  <c r="AC936" i="29" s="1"/>
  <c r="BV931" i="29"/>
  <c r="CC931" i="29"/>
  <c r="V936" i="29"/>
  <c r="S937" i="29"/>
  <c r="T937" i="29"/>
  <c r="AF936" i="29"/>
  <c r="AE936" i="29"/>
  <c r="BV929" i="29"/>
  <c r="CC929" i="29"/>
  <c r="J937" i="29"/>
  <c r="L936" i="29"/>
  <c r="K937" i="29"/>
  <c r="M934" i="29"/>
  <c r="W934" i="29"/>
  <c r="Y934" i="29" s="1"/>
  <c r="CA935" i="29"/>
  <c r="BU935" i="29" s="1"/>
  <c r="AA934" i="29"/>
  <c r="BZ872" i="29"/>
  <c r="BY873" i="29" s="1"/>
  <c r="AZ936" i="29"/>
  <c r="BH936" i="29"/>
  <c r="BB936" i="29" s="1"/>
  <c r="BP937" i="29"/>
  <c r="BC937" i="29"/>
  <c r="BF937" i="29" s="1"/>
  <c r="BE937" i="29"/>
  <c r="BG937" i="29" s="1"/>
  <c r="BA937" i="29" s="1"/>
  <c r="BD938" i="29"/>
  <c r="Q80" i="40" l="1"/>
  <c r="AJ104" i="39"/>
  <c r="R80" i="40"/>
  <c r="AK104" i="39"/>
  <c r="AB936" i="29"/>
  <c r="BO940" i="29"/>
  <c r="BY939" i="29"/>
  <c r="BN940" i="29"/>
  <c r="BR939" i="29"/>
  <c r="AA935" i="29"/>
  <c r="W935" i="29"/>
  <c r="Y935" i="29" s="1"/>
  <c r="M935" i="29"/>
  <c r="CA936" i="29"/>
  <c r="BU936" i="29" s="1"/>
  <c r="Z934" i="29"/>
  <c r="BQ940" i="29"/>
  <c r="K938" i="29"/>
  <c r="L937" i="29"/>
  <c r="J938" i="29"/>
  <c r="T938" i="29"/>
  <c r="V937" i="29"/>
  <c r="S938" i="29"/>
  <c r="AE937" i="29"/>
  <c r="AF937" i="29"/>
  <c r="U937" i="29"/>
  <c r="AC937" i="29" s="1"/>
  <c r="R936" i="29"/>
  <c r="Q936" i="29"/>
  <c r="BW873" i="29"/>
  <c r="BX873" i="29"/>
  <c r="BH937" i="29"/>
  <c r="BB937" i="29" s="1"/>
  <c r="AZ937" i="29"/>
  <c r="BC938" i="29"/>
  <c r="BF938" i="29" s="1"/>
  <c r="BP938" i="29"/>
  <c r="BE938" i="29"/>
  <c r="BG938" i="29" s="1"/>
  <c r="BA938" i="29" s="1"/>
  <c r="BD939" i="29"/>
  <c r="Z80" i="40" l="1"/>
  <c r="AB937" i="29"/>
  <c r="CA937" i="29"/>
  <c r="BU937" i="29" s="1"/>
  <c r="W936" i="29"/>
  <c r="Y936" i="29" s="1"/>
  <c r="M936" i="29"/>
  <c r="AA936" i="29"/>
  <c r="U938" i="29"/>
  <c r="AC938" i="29" s="1"/>
  <c r="L938" i="29"/>
  <c r="K939" i="29"/>
  <c r="J939" i="29"/>
  <c r="BN941" i="29"/>
  <c r="BO941" i="29"/>
  <c r="BY940" i="29"/>
  <c r="BR940" i="29"/>
  <c r="X936" i="29"/>
  <c r="T939" i="29"/>
  <c r="V938" i="29"/>
  <c r="S939" i="29"/>
  <c r="AE938" i="29"/>
  <c r="AF938" i="29"/>
  <c r="BQ941" i="29"/>
  <c r="R937" i="29"/>
  <c r="Q937" i="29"/>
  <c r="Z935" i="29"/>
  <c r="BE939" i="29"/>
  <c r="BG939" i="29" s="1"/>
  <c r="BA939" i="29" s="1"/>
  <c r="BP939" i="29"/>
  <c r="BD940" i="29"/>
  <c r="BC939" i="29"/>
  <c r="BF939" i="29" s="1"/>
  <c r="BZ873" i="29"/>
  <c r="BX874" i="29" s="1"/>
  <c r="AZ938" i="29"/>
  <c r="BH938" i="29"/>
  <c r="BB938" i="29" s="1"/>
  <c r="BT873" i="29"/>
  <c r="M872" i="29" s="1"/>
  <c r="BS873" i="29"/>
  <c r="AB938" i="29" l="1"/>
  <c r="Z936" i="29"/>
  <c r="AA937" i="29"/>
  <c r="W937" i="29"/>
  <c r="Y937" i="29" s="1"/>
  <c r="Z937" i="29" s="1"/>
  <c r="M937" i="29"/>
  <c r="CA938" i="29"/>
  <c r="BU938" i="29" s="1"/>
  <c r="V939" i="29"/>
  <c r="T940" i="29"/>
  <c r="S940" i="29"/>
  <c r="AE939" i="29"/>
  <c r="AF939" i="29"/>
  <c r="BN942" i="29"/>
  <c r="BO942" i="29"/>
  <c r="BY941" i="29"/>
  <c r="BR941" i="29"/>
  <c r="K940" i="29"/>
  <c r="J940" i="29"/>
  <c r="L939" i="29"/>
  <c r="X937" i="29"/>
  <c r="R938" i="29"/>
  <c r="Q938" i="29"/>
  <c r="X938" i="29" s="1"/>
  <c r="U939" i="29"/>
  <c r="AB939" i="29" s="1"/>
  <c r="BQ942" i="29"/>
  <c r="BQ943" i="29" s="1"/>
  <c r="BZ874" i="29"/>
  <c r="BX875" i="29" s="1"/>
  <c r="BH939" i="29"/>
  <c r="BB939" i="29" s="1"/>
  <c r="AZ939" i="29"/>
  <c r="BC940" i="29"/>
  <c r="BF940" i="29" s="1"/>
  <c r="BP940" i="29"/>
  <c r="BE940" i="29"/>
  <c r="BG940" i="29" s="1"/>
  <c r="BA940" i="29" s="1"/>
  <c r="BD941" i="29"/>
  <c r="H82" i="29"/>
  <c r="X872" i="29"/>
  <c r="K75" i="40" l="1"/>
  <c r="D229" i="15" s="1"/>
  <c r="AB872" i="29"/>
  <c r="AC872" i="29"/>
  <c r="G82" i="29"/>
  <c r="L75" i="40" s="1"/>
  <c r="W938" i="29"/>
  <c r="Y938" i="29" s="1"/>
  <c r="Z938" i="29" s="1"/>
  <c r="AA938" i="29"/>
  <c r="CA939" i="29"/>
  <c r="BU939" i="29" s="1"/>
  <c r="M938" i="29"/>
  <c r="Q939" i="29"/>
  <c r="X939" i="29" s="1"/>
  <c r="R939" i="29"/>
  <c r="AC939" i="29"/>
  <c r="BR942" i="29"/>
  <c r="BO943" i="29"/>
  <c r="BY942" i="29"/>
  <c r="BN943" i="29"/>
  <c r="U940" i="29"/>
  <c r="AC940" i="29" s="1"/>
  <c r="K941" i="29"/>
  <c r="J941" i="29"/>
  <c r="L940" i="29"/>
  <c r="V940" i="29"/>
  <c r="T941" i="29"/>
  <c r="S941" i="29"/>
  <c r="AF940" i="29"/>
  <c r="AE940" i="29"/>
  <c r="BZ875" i="29"/>
  <c r="BX876" i="29" s="1"/>
  <c r="BH940" i="29"/>
  <c r="BB940" i="29" s="1"/>
  <c r="AZ940" i="29"/>
  <c r="BD942" i="29"/>
  <c r="BE941" i="29"/>
  <c r="BG941" i="29" s="1"/>
  <c r="BA941" i="29" s="1"/>
  <c r="BP941" i="29"/>
  <c r="BC941" i="29"/>
  <c r="BF941" i="29" s="1"/>
  <c r="G95" i="15" l="1"/>
  <c r="I99" i="39"/>
  <c r="F229" i="15"/>
  <c r="L99" i="39"/>
  <c r="AB940" i="29"/>
  <c r="J942" i="29"/>
  <c r="L941" i="29"/>
  <c r="K942" i="29"/>
  <c r="BN944" i="29"/>
  <c r="BY943" i="29"/>
  <c r="BR943" i="29"/>
  <c r="BO944" i="29"/>
  <c r="U941" i="29"/>
  <c r="AB941" i="29" s="1"/>
  <c r="AA939" i="29"/>
  <c r="M939" i="29"/>
  <c r="W939" i="29"/>
  <c r="Y939" i="29" s="1"/>
  <c r="Z939" i="29" s="1"/>
  <c r="CA940" i="29"/>
  <c r="BU940" i="29" s="1"/>
  <c r="V941" i="29"/>
  <c r="T942" i="29"/>
  <c r="S942" i="29"/>
  <c r="AE941" i="29"/>
  <c r="AF941" i="29"/>
  <c r="Q940" i="29"/>
  <c r="X940" i="29" s="1"/>
  <c r="R940" i="29"/>
  <c r="BQ944" i="29"/>
  <c r="BQ945" i="29" s="1"/>
  <c r="BZ876" i="29"/>
  <c r="BX877" i="29" s="1"/>
  <c r="BH941" i="29"/>
  <c r="BB941" i="29" s="1"/>
  <c r="AZ941" i="29"/>
  <c r="BP942" i="29"/>
  <c r="BD943" i="29"/>
  <c r="BC942" i="29"/>
  <c r="BF942" i="29" s="1"/>
  <c r="BE942" i="29"/>
  <c r="BG942" i="29" s="1"/>
  <c r="BA942" i="29" s="1"/>
  <c r="Q941" i="29" l="1"/>
  <c r="X941" i="29" s="1"/>
  <c r="R941" i="29"/>
  <c r="AC941" i="29"/>
  <c r="U942" i="29"/>
  <c r="W940" i="29"/>
  <c r="Y940" i="29" s="1"/>
  <c r="Z940" i="29" s="1"/>
  <c r="AA940" i="29"/>
  <c r="CA941" i="29"/>
  <c r="BU941" i="29" s="1"/>
  <c r="M940" i="29"/>
  <c r="V942" i="29"/>
  <c r="S943" i="29"/>
  <c r="T943" i="29"/>
  <c r="AF942" i="29"/>
  <c r="AE942" i="29"/>
  <c r="BY944" i="29"/>
  <c r="BR944" i="29"/>
  <c r="BN945" i="29"/>
  <c r="BO945" i="29"/>
  <c r="K943" i="29"/>
  <c r="L942" i="29"/>
  <c r="J943" i="29"/>
  <c r="AZ942" i="29"/>
  <c r="BH942" i="29"/>
  <c r="BB942" i="29" s="1"/>
  <c r="BZ877" i="29"/>
  <c r="BX878" i="29" s="1"/>
  <c r="BE943" i="29"/>
  <c r="BG943" i="29" s="1"/>
  <c r="BA943" i="29" s="1"/>
  <c r="BD944" i="29"/>
  <c r="BC943" i="29"/>
  <c r="BF943" i="29" s="1"/>
  <c r="BP943" i="29"/>
  <c r="BR945" i="29" l="1"/>
  <c r="BN946" i="29"/>
  <c r="BO946" i="29"/>
  <c r="R942" i="29"/>
  <c r="Q942" i="29"/>
  <c r="X942" i="29" s="1"/>
  <c r="AB942" i="29"/>
  <c r="BQ946" i="29"/>
  <c r="BQ947" i="29" s="1"/>
  <c r="AC942" i="29"/>
  <c r="T944" i="29"/>
  <c r="V943" i="29"/>
  <c r="S944" i="29"/>
  <c r="AF943" i="29"/>
  <c r="AE943" i="29"/>
  <c r="L943" i="29"/>
  <c r="J944" i="29"/>
  <c r="K944" i="29"/>
  <c r="U943" i="29"/>
  <c r="AC943" i="29" s="1"/>
  <c r="W941" i="29"/>
  <c r="Y941" i="29" s="1"/>
  <c r="Z941" i="29" s="1"/>
  <c r="CA942" i="29"/>
  <c r="BU942" i="29" s="1"/>
  <c r="M941" i="29"/>
  <c r="AA941" i="29"/>
  <c r="BZ878" i="29"/>
  <c r="BX879" i="29" s="1"/>
  <c r="BC944" i="29"/>
  <c r="BF944" i="29" s="1"/>
  <c r="BP944" i="29"/>
  <c r="BD945" i="29"/>
  <c r="BE944" i="29"/>
  <c r="BG944" i="29" s="1"/>
  <c r="BA944" i="29" s="1"/>
  <c r="BH943" i="29"/>
  <c r="BB943" i="29" s="1"/>
  <c r="AZ943" i="29"/>
  <c r="K945" i="29" l="1"/>
  <c r="L944" i="29"/>
  <c r="J945" i="29"/>
  <c r="S945" i="29"/>
  <c r="T945" i="29"/>
  <c r="V944" i="29"/>
  <c r="AF944" i="29"/>
  <c r="AE944" i="29"/>
  <c r="BY946" i="29"/>
  <c r="BO947" i="29"/>
  <c r="BN947" i="29"/>
  <c r="BR946" i="29"/>
  <c r="Q943" i="29"/>
  <c r="R943" i="29"/>
  <c r="AB943" i="29"/>
  <c r="U944" i="29"/>
  <c r="BQ948" i="29"/>
  <c r="W942" i="29"/>
  <c r="Y942" i="29" s="1"/>
  <c r="Z942" i="29" s="1"/>
  <c r="AA942" i="29"/>
  <c r="M942" i="29"/>
  <c r="CA943" i="29"/>
  <c r="BU943" i="29" s="1"/>
  <c r="BH944" i="29"/>
  <c r="BB944" i="29" s="1"/>
  <c r="AZ944" i="29"/>
  <c r="BZ879" i="29"/>
  <c r="BX880" i="29" s="1"/>
  <c r="BC945" i="29"/>
  <c r="BF945" i="29" s="1"/>
  <c r="BP945" i="29"/>
  <c r="BE945" i="29"/>
  <c r="BG945" i="29" s="1"/>
  <c r="BA945" i="29" s="1"/>
  <c r="BI945" i="29"/>
  <c r="BD946" i="29"/>
  <c r="R944" i="29" l="1"/>
  <c r="Q944" i="29"/>
  <c r="AA943" i="29"/>
  <c r="M943" i="29"/>
  <c r="W943" i="29"/>
  <c r="Y943" i="29" s="1"/>
  <c r="Z943" i="29" s="1"/>
  <c r="CA944" i="29"/>
  <c r="BU944" i="29" s="1"/>
  <c r="BY947" i="29"/>
  <c r="BN948" i="29"/>
  <c r="BO948" i="29"/>
  <c r="BR947" i="29"/>
  <c r="X943" i="29"/>
  <c r="V945" i="29"/>
  <c r="T946" i="29"/>
  <c r="S946" i="29"/>
  <c r="AE945" i="29"/>
  <c r="AF945" i="29"/>
  <c r="L945" i="29"/>
  <c r="K946" i="29"/>
  <c r="J946" i="29"/>
  <c r="U945" i="29"/>
  <c r="AC945" i="29" s="1"/>
  <c r="BZ880" i="29"/>
  <c r="BX881" i="29" s="1"/>
  <c r="BP946" i="29"/>
  <c r="BD947" i="29"/>
  <c r="BC946" i="29"/>
  <c r="BF946" i="29" s="1"/>
  <c r="BE946" i="29"/>
  <c r="BG946" i="29" s="1"/>
  <c r="BA946" i="29" s="1"/>
  <c r="AZ945" i="29"/>
  <c r="BH945" i="29"/>
  <c r="BB945" i="29" s="1"/>
  <c r="AB945" i="29" l="1"/>
  <c r="V946" i="29"/>
  <c r="S947" i="29"/>
  <c r="T947" i="29"/>
  <c r="AE946" i="29"/>
  <c r="AF946" i="29"/>
  <c r="CA945" i="29"/>
  <c r="BU945" i="29" s="1"/>
  <c r="AA944" i="29"/>
  <c r="W944" i="29"/>
  <c r="CB945" i="29" s="1"/>
  <c r="BR948" i="29"/>
  <c r="BY948" i="29"/>
  <c r="BN949" i="29"/>
  <c r="BO949" i="29"/>
  <c r="R945" i="29"/>
  <c r="Q945" i="29"/>
  <c r="X945" i="29" s="1"/>
  <c r="L946" i="29"/>
  <c r="K947" i="29"/>
  <c r="J947" i="29"/>
  <c r="U946" i="29"/>
  <c r="BQ949" i="29"/>
  <c r="BQ950" i="29" s="1"/>
  <c r="BC947" i="29"/>
  <c r="BF947" i="29" s="1"/>
  <c r="BP947" i="29"/>
  <c r="BE947" i="29"/>
  <c r="BG947" i="29" s="1"/>
  <c r="BA947" i="29" s="1"/>
  <c r="BD948" i="29"/>
  <c r="BZ881" i="29"/>
  <c r="BX882" i="29" s="1"/>
  <c r="BH946" i="29"/>
  <c r="BB946" i="29" s="1"/>
  <c r="AZ946" i="29"/>
  <c r="BV945" i="29" l="1"/>
  <c r="CC945" i="29"/>
  <c r="R946" i="29"/>
  <c r="Q946" i="29"/>
  <c r="X946" i="29" s="1"/>
  <c r="K948" i="29"/>
  <c r="L947" i="29"/>
  <c r="J948" i="29"/>
  <c r="AC946" i="29"/>
  <c r="BR949" i="29"/>
  <c r="BN950" i="29"/>
  <c r="BY949" i="29"/>
  <c r="BO950" i="29"/>
  <c r="BQ951" i="29" s="1"/>
  <c r="S948" i="29"/>
  <c r="T948" i="29"/>
  <c r="V947" i="29"/>
  <c r="AF947" i="29"/>
  <c r="AE947" i="29"/>
  <c r="AB946" i="29"/>
  <c r="CA946" i="29"/>
  <c r="BU946" i="29" s="1"/>
  <c r="W945" i="29"/>
  <c r="Y945" i="29" s="1"/>
  <c r="AA945" i="29"/>
  <c r="M945" i="29"/>
  <c r="U947" i="29"/>
  <c r="AC947" i="29" s="1"/>
  <c r="Y944" i="29"/>
  <c r="CB943" i="29"/>
  <c r="CB939" i="29"/>
  <c r="CB944" i="29"/>
  <c r="CB941" i="29"/>
  <c r="CB940" i="29"/>
  <c r="CB942" i="29"/>
  <c r="BZ882" i="29"/>
  <c r="BX883" i="29" s="1"/>
  <c r="BC948" i="29"/>
  <c r="BF948" i="29" s="1"/>
  <c r="BP948" i="29"/>
  <c r="BE948" i="29"/>
  <c r="BG948" i="29" s="1"/>
  <c r="BA948" i="29" s="1"/>
  <c r="BD949" i="29"/>
  <c r="BH947" i="29"/>
  <c r="BB947" i="29" s="1"/>
  <c r="AZ947" i="29"/>
  <c r="Z944" i="29" l="1"/>
  <c r="N81" i="40" s="1"/>
  <c r="M81" i="40"/>
  <c r="AI105" i="39"/>
  <c r="BV940" i="29"/>
  <c r="CC940" i="29"/>
  <c r="BV941" i="29"/>
  <c r="CC941" i="29"/>
  <c r="Z945" i="29"/>
  <c r="AC944" i="29"/>
  <c r="AB944" i="29"/>
  <c r="U948" i="29"/>
  <c r="J949" i="29"/>
  <c r="L948" i="29"/>
  <c r="K949" i="29"/>
  <c r="BV944" i="29"/>
  <c r="CC944" i="29"/>
  <c r="R947" i="29"/>
  <c r="Q947" i="29"/>
  <c r="BO951" i="29"/>
  <c r="BY950" i="29"/>
  <c r="BR950" i="29"/>
  <c r="BN951" i="29"/>
  <c r="BV943" i="29"/>
  <c r="CC943" i="29"/>
  <c r="V948" i="29"/>
  <c r="T949" i="29"/>
  <c r="S949" i="29"/>
  <c r="AF948" i="29"/>
  <c r="AE948" i="29"/>
  <c r="BV942" i="29"/>
  <c r="CC942" i="29"/>
  <c r="BV939" i="29"/>
  <c r="CC939" i="29"/>
  <c r="AB947" i="29"/>
  <c r="CA947" i="29"/>
  <c r="BU947" i="29" s="1"/>
  <c r="W946" i="29"/>
  <c r="Y946" i="29" s="1"/>
  <c r="M946" i="29"/>
  <c r="AA946" i="29"/>
  <c r="BP949" i="29"/>
  <c r="BE949" i="29"/>
  <c r="BG949" i="29" s="1"/>
  <c r="BA949" i="29" s="1"/>
  <c r="BD950" i="29"/>
  <c r="BC949" i="29"/>
  <c r="BF949" i="29" s="1"/>
  <c r="BZ883" i="29"/>
  <c r="BX884" i="29" s="1"/>
  <c r="AZ948" i="29"/>
  <c r="BH948" i="29"/>
  <c r="BB948" i="29" s="1"/>
  <c r="Q81" i="40" l="1"/>
  <c r="AJ105" i="39"/>
  <c r="R81" i="40"/>
  <c r="AK105" i="39"/>
  <c r="U949" i="29"/>
  <c r="AB949" i="29" s="1"/>
  <c r="BN952" i="29"/>
  <c r="BO952" i="29"/>
  <c r="BY951" i="29"/>
  <c r="BR951" i="29"/>
  <c r="T950" i="29"/>
  <c r="S950" i="29"/>
  <c r="V949" i="29"/>
  <c r="AF949" i="29"/>
  <c r="AE949" i="29"/>
  <c r="W947" i="29"/>
  <c r="Y947" i="29" s="1"/>
  <c r="AA947" i="29"/>
  <c r="CA948" i="29"/>
  <c r="BU948" i="29" s="1"/>
  <c r="M947" i="29"/>
  <c r="R948" i="29"/>
  <c r="Q948" i="29"/>
  <c r="X947" i="29"/>
  <c r="J950" i="29"/>
  <c r="K950" i="29"/>
  <c r="L949" i="29"/>
  <c r="AC948" i="29"/>
  <c r="Z946" i="29"/>
  <c r="AB948" i="29"/>
  <c r="BQ952" i="29"/>
  <c r="BQ953" i="29" s="1"/>
  <c r="BE950" i="29"/>
  <c r="BG950" i="29" s="1"/>
  <c r="BA950" i="29" s="1"/>
  <c r="BP950" i="29"/>
  <c r="BC950" i="29"/>
  <c r="BF950" i="29" s="1"/>
  <c r="BD951" i="29"/>
  <c r="BH949" i="29"/>
  <c r="BB949" i="29" s="1"/>
  <c r="AZ949" i="29"/>
  <c r="BZ884" i="29"/>
  <c r="BY885" i="29" s="1"/>
  <c r="BW885" i="29" s="1"/>
  <c r="Z81" i="40" l="1"/>
  <c r="CA949" i="29"/>
  <c r="BU949" i="29" s="1"/>
  <c r="W948" i="29"/>
  <c r="Y948" i="29" s="1"/>
  <c r="M948" i="29"/>
  <c r="AA948" i="29"/>
  <c r="Z947" i="29"/>
  <c r="V950" i="29"/>
  <c r="T951" i="29"/>
  <c r="S951" i="29"/>
  <c r="AF950" i="29"/>
  <c r="AE950" i="29"/>
  <c r="BX885" i="29"/>
  <c r="BZ885" i="29" s="1"/>
  <c r="R949" i="29"/>
  <c r="Q949" i="29"/>
  <c r="X949" i="29" s="1"/>
  <c r="L950" i="29"/>
  <c r="K951" i="29"/>
  <c r="J951" i="29"/>
  <c r="X948" i="29"/>
  <c r="U950" i="29"/>
  <c r="BY952" i="29"/>
  <c r="BN953" i="29"/>
  <c r="BR952" i="29"/>
  <c r="BO953" i="29"/>
  <c r="AC949" i="29"/>
  <c r="BC951" i="29"/>
  <c r="BF951" i="29" s="1"/>
  <c r="BE951" i="29"/>
  <c r="BG951" i="29" s="1"/>
  <c r="BA951" i="29" s="1"/>
  <c r="BP951" i="29"/>
  <c r="BD952" i="29"/>
  <c r="AZ950" i="29"/>
  <c r="BH950" i="29"/>
  <c r="BB950" i="29" s="1"/>
  <c r="BS885" i="29"/>
  <c r="BT885" i="29"/>
  <c r="M884" i="29" s="1"/>
  <c r="Z948" i="29" l="1"/>
  <c r="BO954" i="29"/>
  <c r="BY953" i="29"/>
  <c r="BR953" i="29"/>
  <c r="BN954" i="29"/>
  <c r="Q950" i="29"/>
  <c r="X950" i="29" s="1"/>
  <c r="R950" i="29"/>
  <c r="AC950" i="29"/>
  <c r="K952" i="29"/>
  <c r="L951" i="29"/>
  <c r="J952" i="29"/>
  <c r="M949" i="29"/>
  <c r="AA949" i="29"/>
  <c r="CA950" i="29"/>
  <c r="BU950" i="29" s="1"/>
  <c r="W949" i="29"/>
  <c r="Y949" i="29" s="1"/>
  <c r="Z949" i="29" s="1"/>
  <c r="U951" i="29"/>
  <c r="AB951" i="29" s="1"/>
  <c r="AB950" i="29"/>
  <c r="V951" i="29"/>
  <c r="S952" i="29"/>
  <c r="T952" i="29"/>
  <c r="AE951" i="29"/>
  <c r="AF951" i="29"/>
  <c r="BQ954" i="29"/>
  <c r="BQ955" i="29" s="1"/>
  <c r="AZ951" i="29"/>
  <c r="BH951" i="29"/>
  <c r="BB951" i="29" s="1"/>
  <c r="BP952" i="29"/>
  <c r="BD953" i="29"/>
  <c r="BE952" i="29"/>
  <c r="BG952" i="29" s="1"/>
  <c r="BA952" i="29" s="1"/>
  <c r="BC952" i="29"/>
  <c r="BF952" i="29" s="1"/>
  <c r="H83" i="29"/>
  <c r="X884" i="29"/>
  <c r="G83" i="29" l="1"/>
  <c r="L76" i="40" s="1"/>
  <c r="K76" i="40"/>
  <c r="AC951" i="29"/>
  <c r="U952" i="29"/>
  <c r="AC952" i="29" s="1"/>
  <c r="L952" i="29"/>
  <c r="K953" i="29"/>
  <c r="J953" i="29"/>
  <c r="M950" i="29"/>
  <c r="W950" i="29"/>
  <c r="Y950" i="29" s="1"/>
  <c r="Z950" i="29" s="1"/>
  <c r="CA951" i="29"/>
  <c r="BU951" i="29" s="1"/>
  <c r="AA950" i="29"/>
  <c r="BR954" i="29"/>
  <c r="BY954" i="29"/>
  <c r="BN955" i="29"/>
  <c r="BO955" i="29"/>
  <c r="V952" i="29"/>
  <c r="T953" i="29"/>
  <c r="S953" i="29"/>
  <c r="AF952" i="29"/>
  <c r="AE952" i="29"/>
  <c r="R951" i="29"/>
  <c r="Q951" i="29"/>
  <c r="BP953" i="29"/>
  <c r="BD954" i="29"/>
  <c r="BC953" i="29"/>
  <c r="BF953" i="29" s="1"/>
  <c r="BE953" i="29"/>
  <c r="BG953" i="29" s="1"/>
  <c r="BA953" i="29" s="1"/>
  <c r="BH952" i="29"/>
  <c r="BB952" i="29" s="1"/>
  <c r="AZ952" i="29"/>
  <c r="U76" i="40" l="1"/>
  <c r="V76" i="40"/>
  <c r="G96" i="15"/>
  <c r="I100" i="39"/>
  <c r="D230" i="15"/>
  <c r="Y76" i="40"/>
  <c r="F230" i="15"/>
  <c r="L100" i="39"/>
  <c r="AB952" i="29"/>
  <c r="W951" i="29"/>
  <c r="Y951" i="29" s="1"/>
  <c r="Z951" i="29" s="1"/>
  <c r="AA951" i="29"/>
  <c r="CA952" i="29"/>
  <c r="BU952" i="29" s="1"/>
  <c r="M951" i="29"/>
  <c r="R952" i="29"/>
  <c r="Q952" i="29"/>
  <c r="X952" i="29" s="1"/>
  <c r="U953" i="29"/>
  <c r="AB953" i="29" s="1"/>
  <c r="BO956" i="29"/>
  <c r="BY955" i="29"/>
  <c r="BN956" i="29"/>
  <c r="BR955" i="29"/>
  <c r="X951" i="29"/>
  <c r="BQ956" i="29"/>
  <c r="BQ957" i="29" s="1"/>
  <c r="L953" i="29"/>
  <c r="J954" i="29"/>
  <c r="K954" i="29"/>
  <c r="T954" i="29"/>
  <c r="V953" i="29"/>
  <c r="S954" i="29"/>
  <c r="AE953" i="29"/>
  <c r="AF953" i="29"/>
  <c r="BD955" i="29"/>
  <c r="BP954" i="29"/>
  <c r="BE954" i="29"/>
  <c r="BG954" i="29" s="1"/>
  <c r="BA954" i="29" s="1"/>
  <c r="BC954" i="29"/>
  <c r="BF954" i="29" s="1"/>
  <c r="BH953" i="29"/>
  <c r="BB953" i="29" s="1"/>
  <c r="AZ953" i="29"/>
  <c r="AC953" i="29" l="1"/>
  <c r="V954" i="29"/>
  <c r="S955" i="29"/>
  <c r="T955" i="29"/>
  <c r="AF954" i="29"/>
  <c r="AE954" i="29"/>
  <c r="U954" i="29"/>
  <c r="AB954" i="29" s="1"/>
  <c r="BO957" i="29"/>
  <c r="BN957" i="29"/>
  <c r="BR956" i="29"/>
  <c r="BY956" i="29"/>
  <c r="J955" i="29"/>
  <c r="L954" i="29"/>
  <c r="K955" i="29"/>
  <c r="Q953" i="29"/>
  <c r="X953" i="29" s="1"/>
  <c r="R953" i="29"/>
  <c r="CA953" i="29"/>
  <c r="BU953" i="29" s="1"/>
  <c r="AA952" i="29"/>
  <c r="W952" i="29"/>
  <c r="Y952" i="29" s="1"/>
  <c r="Z952" i="29" s="1"/>
  <c r="M952" i="29"/>
  <c r="BH954" i="29"/>
  <c r="BB954" i="29" s="1"/>
  <c r="AZ954" i="29"/>
  <c r="BP955" i="29"/>
  <c r="BE955" i="29"/>
  <c r="BG955" i="29" s="1"/>
  <c r="BA955" i="29" s="1"/>
  <c r="BC955" i="29"/>
  <c r="BF955" i="29" s="1"/>
  <c r="BD956" i="29"/>
  <c r="Q954" i="29" l="1"/>
  <c r="R954" i="29"/>
  <c r="T956" i="29"/>
  <c r="V955" i="29"/>
  <c r="S956" i="29"/>
  <c r="AF955" i="29"/>
  <c r="AE955" i="29"/>
  <c r="K956" i="29"/>
  <c r="J956" i="29"/>
  <c r="L955" i="29"/>
  <c r="AC954" i="29"/>
  <c r="U955" i="29"/>
  <c r="AB955" i="29" s="1"/>
  <c r="CA954" i="29"/>
  <c r="BU954" i="29" s="1"/>
  <c r="W953" i="29"/>
  <c r="Y953" i="29" s="1"/>
  <c r="Z953" i="29" s="1"/>
  <c r="M953" i="29"/>
  <c r="AA953" i="29"/>
  <c r="BO958" i="29"/>
  <c r="BN958" i="29"/>
  <c r="BR957" i="29"/>
  <c r="BQ958" i="29"/>
  <c r="BP956" i="29"/>
  <c r="BD957" i="29"/>
  <c r="BE956" i="29"/>
  <c r="BG956" i="29" s="1"/>
  <c r="BA956" i="29" s="1"/>
  <c r="BC956" i="29"/>
  <c r="BF956" i="29" s="1"/>
  <c r="AZ955" i="29"/>
  <c r="BH955" i="29"/>
  <c r="BB955" i="29" s="1"/>
  <c r="BN959" i="29" l="1"/>
  <c r="BY958" i="29"/>
  <c r="BO959" i="29"/>
  <c r="BR958" i="29"/>
  <c r="T957" i="29"/>
  <c r="S957" i="29"/>
  <c r="V956" i="29"/>
  <c r="AE956" i="29"/>
  <c r="AF956" i="29"/>
  <c r="BQ959" i="29"/>
  <c r="BQ960" i="29" s="1"/>
  <c r="R955" i="29"/>
  <c r="Q955" i="29"/>
  <c r="U956" i="29"/>
  <c r="X954" i="29"/>
  <c r="CA955" i="29"/>
  <c r="BU955" i="29" s="1"/>
  <c r="W954" i="29"/>
  <c r="Y954" i="29" s="1"/>
  <c r="Z954" i="29" s="1"/>
  <c r="AA954" i="29"/>
  <c r="M954" i="29"/>
  <c r="AC955" i="29"/>
  <c r="K957" i="29"/>
  <c r="L956" i="29"/>
  <c r="J957" i="29"/>
  <c r="BH956" i="29"/>
  <c r="BB956" i="29" s="1"/>
  <c r="AZ956" i="29"/>
  <c r="BE957" i="29"/>
  <c r="BG957" i="29" s="1"/>
  <c r="BA957" i="29" s="1"/>
  <c r="BI957" i="29"/>
  <c r="BD958" i="29"/>
  <c r="BC957" i="29"/>
  <c r="BF957" i="29" s="1"/>
  <c r="BP957" i="29"/>
  <c r="BN960" i="29" l="1"/>
  <c r="BR959" i="29"/>
  <c r="BO960" i="29"/>
  <c r="BY959" i="29"/>
  <c r="U957" i="29"/>
  <c r="Q956" i="29"/>
  <c r="R956" i="29"/>
  <c r="T958" i="29"/>
  <c r="S958" i="29"/>
  <c r="V957" i="29"/>
  <c r="AE957" i="29"/>
  <c r="AF957" i="29"/>
  <c r="L957" i="29"/>
  <c r="J958" i="29"/>
  <c r="K958" i="29"/>
  <c r="X955" i="29"/>
  <c r="AA955" i="29"/>
  <c r="W955" i="29"/>
  <c r="Y955" i="29" s="1"/>
  <c r="Z955" i="29" s="1"/>
  <c r="CA956" i="29"/>
  <c r="BU956" i="29" s="1"/>
  <c r="M955" i="29"/>
  <c r="AZ957" i="29"/>
  <c r="BH957" i="29"/>
  <c r="BB957" i="29" s="1"/>
  <c r="BE958" i="29"/>
  <c r="BG958" i="29" s="1"/>
  <c r="BA958" i="29" s="1"/>
  <c r="BC958" i="29"/>
  <c r="BF958" i="29" s="1"/>
  <c r="BD959" i="29"/>
  <c r="BP958" i="29"/>
  <c r="U958" i="29" l="1"/>
  <c r="R957" i="29"/>
  <c r="Q957" i="29"/>
  <c r="J959" i="29"/>
  <c r="K959" i="29"/>
  <c r="L958" i="29"/>
  <c r="V958" i="29"/>
  <c r="S959" i="29"/>
  <c r="T959" i="29"/>
  <c r="AF958" i="29"/>
  <c r="AE958" i="29"/>
  <c r="AB957" i="29"/>
  <c r="BO961" i="29"/>
  <c r="BN961" i="29"/>
  <c r="BY960" i="29"/>
  <c r="BR960" i="29"/>
  <c r="AC957" i="29"/>
  <c r="AA956" i="29"/>
  <c r="W956" i="29"/>
  <c r="CB957" i="29" s="1"/>
  <c r="CA957" i="29"/>
  <c r="BU957" i="29" s="1"/>
  <c r="BQ961" i="29"/>
  <c r="BQ962" i="29" s="1"/>
  <c r="BD960" i="29"/>
  <c r="BE959" i="29"/>
  <c r="BG959" i="29" s="1"/>
  <c r="BA959" i="29" s="1"/>
  <c r="BP959" i="29"/>
  <c r="BC959" i="29"/>
  <c r="BF959" i="29" s="1"/>
  <c r="AZ958" i="29"/>
  <c r="BH958" i="29"/>
  <c r="BB958" i="29" s="1"/>
  <c r="BV957" i="29" l="1"/>
  <c r="CC957" i="29"/>
  <c r="BQ963" i="29"/>
  <c r="BR961" i="29"/>
  <c r="BO962" i="29"/>
  <c r="BN962" i="29"/>
  <c r="BY961" i="29"/>
  <c r="V959" i="29"/>
  <c r="S960" i="29"/>
  <c r="T960" i="29"/>
  <c r="AF959" i="29"/>
  <c r="AE959" i="29"/>
  <c r="J960" i="29"/>
  <c r="K960" i="29"/>
  <c r="L959" i="29"/>
  <c r="Q958" i="29"/>
  <c r="R958" i="29"/>
  <c r="U959" i="29"/>
  <c r="AB959" i="29" s="1"/>
  <c r="AC958" i="29"/>
  <c r="Y956" i="29"/>
  <c r="Z956" i="29" s="1"/>
  <c r="CB950" i="29"/>
  <c r="CB951" i="29"/>
  <c r="CB955" i="29"/>
  <c r="CB953" i="29"/>
  <c r="CB956" i="29"/>
  <c r="CB952" i="29"/>
  <c r="CB954" i="29"/>
  <c r="X957" i="29"/>
  <c r="CA958" i="29"/>
  <c r="BU958" i="29" s="1"/>
  <c r="M957" i="29"/>
  <c r="W957" i="29"/>
  <c r="Y957" i="29" s="1"/>
  <c r="AA957" i="29"/>
  <c r="AB958" i="29"/>
  <c r="BP960" i="29"/>
  <c r="BC960" i="29"/>
  <c r="BF960" i="29" s="1"/>
  <c r="BE960" i="29"/>
  <c r="BG960" i="29" s="1"/>
  <c r="BA960" i="29" s="1"/>
  <c r="BD961" i="29"/>
  <c r="BH959" i="29"/>
  <c r="BB959" i="29" s="1"/>
  <c r="AZ959" i="29"/>
  <c r="AC959" i="29" l="1"/>
  <c r="BV956" i="29"/>
  <c r="CC956" i="29"/>
  <c r="BV950" i="29"/>
  <c r="CC950" i="29"/>
  <c r="W958" i="29"/>
  <c r="Y958" i="29" s="1"/>
  <c r="AA958" i="29"/>
  <c r="CA959" i="29"/>
  <c r="BU959" i="29" s="1"/>
  <c r="M958" i="29"/>
  <c r="BV954" i="29"/>
  <c r="CC954" i="29"/>
  <c r="BV955" i="29"/>
  <c r="CC955" i="29"/>
  <c r="X958" i="29"/>
  <c r="J961" i="29"/>
  <c r="L960" i="29"/>
  <c r="K961" i="29"/>
  <c r="T961" i="29"/>
  <c r="S961" i="29"/>
  <c r="V960" i="29"/>
  <c r="AE960" i="29"/>
  <c r="AF960" i="29"/>
  <c r="BV953" i="29"/>
  <c r="CC953" i="29"/>
  <c r="Z957" i="29"/>
  <c r="AC956" i="29"/>
  <c r="AB956" i="29"/>
  <c r="BQ964" i="29"/>
  <c r="BV952" i="29"/>
  <c r="CC952" i="29"/>
  <c r="BV951" i="29"/>
  <c r="CC951" i="29"/>
  <c r="R959" i="29"/>
  <c r="Q959" i="29"/>
  <c r="X959" i="29" s="1"/>
  <c r="U960" i="29"/>
  <c r="BY962" i="29"/>
  <c r="BR962" i="29"/>
  <c r="BO963" i="29"/>
  <c r="BN963" i="29"/>
  <c r="BH960" i="29"/>
  <c r="BB960" i="29" s="1"/>
  <c r="AZ960" i="29"/>
  <c r="BD962" i="29"/>
  <c r="BP961" i="29"/>
  <c r="BE961" i="29"/>
  <c r="BG961" i="29" s="1"/>
  <c r="BA961" i="29" s="1"/>
  <c r="BC961" i="29"/>
  <c r="BF961" i="29" s="1"/>
  <c r="R960" i="29" l="1"/>
  <c r="Q960" i="29"/>
  <c r="X960" i="29" s="1"/>
  <c r="BN964" i="29"/>
  <c r="BO964" i="29"/>
  <c r="BY963" i="29"/>
  <c r="BR963" i="29"/>
  <c r="AB960" i="29"/>
  <c r="U961" i="29"/>
  <c r="AC961" i="29" s="1"/>
  <c r="AC960" i="29"/>
  <c r="Z958" i="29"/>
  <c r="V961" i="29"/>
  <c r="S962" i="29"/>
  <c r="T962" i="29"/>
  <c r="AF961" i="29"/>
  <c r="AE961" i="29"/>
  <c r="M959" i="29"/>
  <c r="CA960" i="29"/>
  <c r="BU960" i="29" s="1"/>
  <c r="AA959" i="29"/>
  <c r="W959" i="29"/>
  <c r="Y959" i="29" s="1"/>
  <c r="BQ965" i="29"/>
  <c r="K962" i="29"/>
  <c r="L961" i="29"/>
  <c r="J962" i="29"/>
  <c r="BH961" i="29"/>
  <c r="BB961" i="29" s="1"/>
  <c r="AZ961" i="29"/>
  <c r="BP962" i="29"/>
  <c r="BE962" i="29"/>
  <c r="BG962" i="29" s="1"/>
  <c r="BA962" i="29" s="1"/>
  <c r="BD963" i="29"/>
  <c r="BC962" i="29"/>
  <c r="BF962" i="29" s="1"/>
  <c r="V962" i="29" l="1"/>
  <c r="S963" i="29"/>
  <c r="T963" i="29"/>
  <c r="AE962" i="29"/>
  <c r="AF962" i="29"/>
  <c r="J963" i="29"/>
  <c r="K963" i="29"/>
  <c r="L962" i="29"/>
  <c r="U962" i="29"/>
  <c r="R961" i="29"/>
  <c r="Q961" i="29"/>
  <c r="X961" i="29" s="1"/>
  <c r="AA960" i="29"/>
  <c r="W960" i="29"/>
  <c r="Y960" i="29" s="1"/>
  <c r="M960" i="29"/>
  <c r="CA961" i="29"/>
  <c r="BU961" i="29" s="1"/>
  <c r="Z959" i="29"/>
  <c r="AB961" i="29"/>
  <c r="BO965" i="29"/>
  <c r="BQ966" i="29" s="1"/>
  <c r="BY964" i="29"/>
  <c r="BR964" i="29"/>
  <c r="BN965" i="29"/>
  <c r="BP963" i="29"/>
  <c r="BE963" i="29"/>
  <c r="BG963" i="29" s="1"/>
  <c r="BA963" i="29" s="1"/>
  <c r="BD964" i="29"/>
  <c r="BC963" i="29"/>
  <c r="BF963" i="29" s="1"/>
  <c r="AZ962" i="29"/>
  <c r="BH962" i="29"/>
  <c r="BB962" i="29" s="1"/>
  <c r="Z960" i="29" l="1"/>
  <c r="R962" i="29"/>
  <c r="Q962" i="29"/>
  <c r="J964" i="29"/>
  <c r="K964" i="29"/>
  <c r="L963" i="29"/>
  <c r="AB962" i="29"/>
  <c r="V963" i="29"/>
  <c r="S964" i="29"/>
  <c r="T964" i="29"/>
  <c r="AF963" i="29"/>
  <c r="AE963" i="29"/>
  <c r="CA962" i="29"/>
  <c r="BU962" i="29" s="1"/>
  <c r="W961" i="29"/>
  <c r="Y961" i="29" s="1"/>
  <c r="Z961" i="29" s="1"/>
  <c r="M961" i="29"/>
  <c r="AA961" i="29"/>
  <c r="AC962" i="29"/>
  <c r="U963" i="29"/>
  <c r="AC963" i="29" s="1"/>
  <c r="BR965" i="29"/>
  <c r="BY965" i="29"/>
  <c r="BO966" i="29"/>
  <c r="BN966" i="29"/>
  <c r="AZ963" i="29"/>
  <c r="BH963" i="29"/>
  <c r="BB963" i="29" s="1"/>
  <c r="BD965" i="29"/>
  <c r="BC964" i="29"/>
  <c r="BF964" i="29" s="1"/>
  <c r="BE964" i="29"/>
  <c r="BG964" i="29" s="1"/>
  <c r="BA964" i="29" s="1"/>
  <c r="BP964" i="29"/>
  <c r="L964" i="29" l="1"/>
  <c r="J965" i="29"/>
  <c r="K965" i="29"/>
  <c r="V964" i="29"/>
  <c r="T965" i="29"/>
  <c r="S965" i="29"/>
  <c r="AF964" i="29"/>
  <c r="AE964" i="29"/>
  <c r="W962" i="29"/>
  <c r="Y962" i="29" s="1"/>
  <c r="Z962" i="29" s="1"/>
  <c r="AA962" i="29"/>
  <c r="M962" i="29"/>
  <c r="CA963" i="29"/>
  <c r="BU963" i="29" s="1"/>
  <c r="Q963" i="29"/>
  <c r="R963" i="29"/>
  <c r="BR966" i="29"/>
  <c r="BN967" i="29"/>
  <c r="BO967" i="29"/>
  <c r="BY966" i="29"/>
  <c r="AB963" i="29"/>
  <c r="U964" i="29"/>
  <c r="AC964" i="29" s="1"/>
  <c r="X962" i="29"/>
  <c r="BQ967" i="29"/>
  <c r="AZ964" i="29"/>
  <c r="BH964" i="29"/>
  <c r="BB964" i="29" s="1"/>
  <c r="BP965" i="29"/>
  <c r="BD966" i="29"/>
  <c r="BC965" i="29"/>
  <c r="BF965" i="29" s="1"/>
  <c r="BE965" i="29"/>
  <c r="BG965" i="29" s="1"/>
  <c r="BA965" i="29" s="1"/>
  <c r="AB964" i="29" l="1"/>
  <c r="BQ968" i="29"/>
  <c r="U965" i="29"/>
  <c r="AB965" i="29" s="1"/>
  <c r="BR967" i="29"/>
  <c r="BO968" i="29"/>
  <c r="BN968" i="29"/>
  <c r="BY967" i="29"/>
  <c r="X963" i="29"/>
  <c r="W963" i="29"/>
  <c r="Y963" i="29" s="1"/>
  <c r="Z963" i="29" s="1"/>
  <c r="AA963" i="29"/>
  <c r="CA964" i="29"/>
  <c r="BU964" i="29" s="1"/>
  <c r="M963" i="29"/>
  <c r="T966" i="29"/>
  <c r="S966" i="29"/>
  <c r="V965" i="29"/>
  <c r="AF965" i="29"/>
  <c r="AE965" i="29"/>
  <c r="J966" i="29"/>
  <c r="L965" i="29"/>
  <c r="K966" i="29"/>
  <c r="Q964" i="29"/>
  <c r="X964" i="29" s="1"/>
  <c r="R964" i="29"/>
  <c r="BD967" i="29"/>
  <c r="BP966" i="29"/>
  <c r="BE966" i="29"/>
  <c r="BG966" i="29" s="1"/>
  <c r="BA966" i="29" s="1"/>
  <c r="BC966" i="29"/>
  <c r="BF966" i="29" s="1"/>
  <c r="BH965" i="29"/>
  <c r="BB965" i="29" s="1"/>
  <c r="AZ965" i="29"/>
  <c r="BY968" i="29" l="1"/>
  <c r="BR968" i="29"/>
  <c r="BN969" i="29"/>
  <c r="BO969" i="29"/>
  <c r="U966" i="29"/>
  <c r="M964" i="29"/>
  <c r="AA964" i="29"/>
  <c r="CA965" i="29"/>
  <c r="BU965" i="29" s="1"/>
  <c r="W964" i="29"/>
  <c r="Y964" i="29" s="1"/>
  <c r="Z964" i="29" s="1"/>
  <c r="T967" i="29"/>
  <c r="S967" i="29"/>
  <c r="V966" i="29"/>
  <c r="AF966" i="29"/>
  <c r="AE966" i="29"/>
  <c r="R965" i="29"/>
  <c r="Q965" i="29"/>
  <c r="X965" i="29" s="1"/>
  <c r="BQ969" i="29"/>
  <c r="BQ970" i="29" s="1"/>
  <c r="L966" i="29"/>
  <c r="J967" i="29"/>
  <c r="K967" i="29"/>
  <c r="AC965" i="29"/>
  <c r="BH966" i="29"/>
  <c r="BB966" i="29" s="1"/>
  <c r="AZ966" i="29"/>
  <c r="BD968" i="29"/>
  <c r="BE967" i="29"/>
  <c r="BG967" i="29" s="1"/>
  <c r="BA967" i="29" s="1"/>
  <c r="BP967" i="29"/>
  <c r="BC967" i="29"/>
  <c r="BF967" i="29" s="1"/>
  <c r="U967" i="29" l="1"/>
  <c r="AC967" i="29" s="1"/>
  <c r="Q966" i="29"/>
  <c r="X966" i="29" s="1"/>
  <c r="R966" i="29"/>
  <c r="T968" i="29"/>
  <c r="S968" i="29"/>
  <c r="V967" i="29"/>
  <c r="AF967" i="29"/>
  <c r="AE967" i="29"/>
  <c r="AC966" i="29"/>
  <c r="L967" i="29"/>
  <c r="K968" i="29"/>
  <c r="J968" i="29"/>
  <c r="AB966" i="29"/>
  <c r="AA965" i="29"/>
  <c r="M965" i="29"/>
  <c r="CA966" i="29"/>
  <c r="BU966" i="29" s="1"/>
  <c r="W965" i="29"/>
  <c r="Y965" i="29" s="1"/>
  <c r="Z965" i="29" s="1"/>
  <c r="BO970" i="29"/>
  <c r="BQ971" i="29" s="1"/>
  <c r="BR969" i="29"/>
  <c r="BN970" i="29"/>
  <c r="BP968" i="29"/>
  <c r="BD969" i="29"/>
  <c r="BE968" i="29"/>
  <c r="BG968" i="29" s="1"/>
  <c r="BA968" i="29" s="1"/>
  <c r="BC968" i="29"/>
  <c r="BF968" i="29" s="1"/>
  <c r="BH967" i="29"/>
  <c r="BB967" i="29" s="1"/>
  <c r="AZ967" i="29"/>
  <c r="AB967" i="29" l="1"/>
  <c r="BQ972" i="29"/>
  <c r="W966" i="29"/>
  <c r="Y966" i="29" s="1"/>
  <c r="Z966" i="29" s="1"/>
  <c r="M966" i="29"/>
  <c r="CA967" i="29"/>
  <c r="BU967" i="29" s="1"/>
  <c r="AA966" i="29"/>
  <c r="BO971" i="29"/>
  <c r="BY970" i="29"/>
  <c r="BN971" i="29"/>
  <c r="BR970" i="29"/>
  <c r="J969" i="29"/>
  <c r="K969" i="29"/>
  <c r="L968" i="29"/>
  <c r="S969" i="29"/>
  <c r="T969" i="29"/>
  <c r="V968" i="29"/>
  <c r="AE968" i="29"/>
  <c r="AF968" i="29"/>
  <c r="U968" i="29"/>
  <c r="Q967" i="29"/>
  <c r="X967" i="29" s="1"/>
  <c r="R967" i="29"/>
  <c r="BC969" i="29"/>
  <c r="BF969" i="29" s="1"/>
  <c r="BP969" i="29"/>
  <c r="BI969" i="29"/>
  <c r="BE969" i="29"/>
  <c r="BG969" i="29" s="1"/>
  <c r="BA969" i="29" s="1"/>
  <c r="BD970" i="29"/>
  <c r="BH968" i="29"/>
  <c r="BB968" i="29" s="1"/>
  <c r="AZ968" i="29"/>
  <c r="BQ973" i="29" l="1"/>
  <c r="M967" i="29"/>
  <c r="AA967" i="29"/>
  <c r="W967" i="29"/>
  <c r="Y967" i="29" s="1"/>
  <c r="Z967" i="29" s="1"/>
  <c r="CA968" i="29"/>
  <c r="BU968" i="29" s="1"/>
  <c r="S970" i="29"/>
  <c r="V969" i="29"/>
  <c r="T970" i="29"/>
  <c r="AF969" i="29"/>
  <c r="AE969" i="29"/>
  <c r="BY971" i="29"/>
  <c r="BN972" i="29"/>
  <c r="BO972" i="29"/>
  <c r="BR971" i="29"/>
  <c r="R968" i="29"/>
  <c r="Q968" i="29"/>
  <c r="J970" i="29"/>
  <c r="L969" i="29"/>
  <c r="K970" i="29"/>
  <c r="U969" i="29"/>
  <c r="AB969" i="29" s="1"/>
  <c r="BP970" i="29"/>
  <c r="BE970" i="29"/>
  <c r="BG970" i="29" s="1"/>
  <c r="BA970" i="29" s="1"/>
  <c r="BD971" i="29"/>
  <c r="BC970" i="29"/>
  <c r="BF970" i="29" s="1"/>
  <c r="AZ969" i="29"/>
  <c r="BH969" i="29"/>
  <c r="BB969" i="29" s="1"/>
  <c r="Q969" i="29" l="1"/>
  <c r="X969" i="29" s="1"/>
  <c r="R969" i="29"/>
  <c r="L970" i="29"/>
  <c r="J971" i="29"/>
  <c r="K971" i="29"/>
  <c r="CA969" i="29"/>
  <c r="BU969" i="29" s="1"/>
  <c r="AA968" i="29"/>
  <c r="W968" i="29"/>
  <c r="CB969" i="29" s="1"/>
  <c r="V970" i="29"/>
  <c r="S971" i="29"/>
  <c r="T971" i="29"/>
  <c r="AF970" i="29"/>
  <c r="AE970" i="29"/>
  <c r="U970" i="29"/>
  <c r="BQ974" i="29"/>
  <c r="AC969" i="29"/>
  <c r="BR972" i="29"/>
  <c r="BY972" i="29"/>
  <c r="BN973" i="29"/>
  <c r="BO973" i="29"/>
  <c r="BH970" i="29"/>
  <c r="BB970" i="29" s="1"/>
  <c r="AZ970" i="29"/>
  <c r="BD972" i="29"/>
  <c r="BP971" i="29"/>
  <c r="BC971" i="29"/>
  <c r="BF971" i="29" s="1"/>
  <c r="BE971" i="29"/>
  <c r="BG971" i="29" s="1"/>
  <c r="BA971" i="29" s="1"/>
  <c r="BV969" i="29" l="1"/>
  <c r="CC969" i="29"/>
  <c r="BQ975" i="29"/>
  <c r="Q970" i="29"/>
  <c r="X970" i="29" s="1"/>
  <c r="R970" i="29"/>
  <c r="AB970" i="29"/>
  <c r="V971" i="29"/>
  <c r="T972" i="29"/>
  <c r="S972" i="29"/>
  <c r="AF971" i="29"/>
  <c r="AE971" i="29"/>
  <c r="BO974" i="29"/>
  <c r="BN974" i="29"/>
  <c r="BY973" i="29"/>
  <c r="BR973" i="29"/>
  <c r="AC970" i="29"/>
  <c r="U971" i="29"/>
  <c r="AC971" i="29" s="1"/>
  <c r="J972" i="29"/>
  <c r="L971" i="29"/>
  <c r="K972" i="29"/>
  <c r="Y968" i="29"/>
  <c r="Z968" i="29" s="1"/>
  <c r="CB967" i="29"/>
  <c r="CB965" i="29"/>
  <c r="CB962" i="29"/>
  <c r="CB964" i="29"/>
  <c r="CB968" i="29"/>
  <c r="CB966" i="29"/>
  <c r="W969" i="29"/>
  <c r="Y969" i="29" s="1"/>
  <c r="AA969" i="29"/>
  <c r="CA970" i="29"/>
  <c r="BU970" i="29" s="1"/>
  <c r="M969" i="29"/>
  <c r="AZ971" i="29"/>
  <c r="BH971" i="29"/>
  <c r="BB971" i="29" s="1"/>
  <c r="BD973" i="29"/>
  <c r="BP972" i="29"/>
  <c r="BE972" i="29"/>
  <c r="BG972" i="29" s="1"/>
  <c r="BA972" i="29" s="1"/>
  <c r="BC972" i="29"/>
  <c r="BF972" i="29" s="1"/>
  <c r="AB971" i="29" l="1"/>
  <c r="BV962" i="29"/>
  <c r="CC962" i="29"/>
  <c r="L972" i="29"/>
  <c r="J973" i="29"/>
  <c r="K973" i="29"/>
  <c r="BQ976" i="29"/>
  <c r="BV966" i="29"/>
  <c r="CC966" i="29"/>
  <c r="BV965" i="29"/>
  <c r="CC965" i="29"/>
  <c r="U972" i="29"/>
  <c r="AC972" i="29" s="1"/>
  <c r="BV968" i="29"/>
  <c r="CC968" i="29"/>
  <c r="BV967" i="29"/>
  <c r="CC967" i="29"/>
  <c r="BN975" i="29"/>
  <c r="BR974" i="29"/>
  <c r="BO975" i="29"/>
  <c r="BY974" i="29"/>
  <c r="V972" i="29"/>
  <c r="S973" i="29"/>
  <c r="T973" i="29"/>
  <c r="AF972" i="29"/>
  <c r="AE972" i="29"/>
  <c r="BV964" i="29"/>
  <c r="CC964" i="29"/>
  <c r="Z969" i="29"/>
  <c r="AC968" i="29"/>
  <c r="AB968" i="29"/>
  <c r="Q971" i="29"/>
  <c r="X971" i="29" s="1"/>
  <c r="R971" i="29"/>
  <c r="CA971" i="29"/>
  <c r="BU971" i="29" s="1"/>
  <c r="AA970" i="29"/>
  <c r="W970" i="29"/>
  <c r="Y970" i="29" s="1"/>
  <c r="M970" i="29"/>
  <c r="AZ972" i="29"/>
  <c r="BH972" i="29"/>
  <c r="BB972" i="29" s="1"/>
  <c r="BP973" i="29"/>
  <c r="BE973" i="29"/>
  <c r="BG973" i="29" s="1"/>
  <c r="BA973" i="29" s="1"/>
  <c r="BC973" i="29"/>
  <c r="BF973" i="29" s="1"/>
  <c r="BD974" i="29"/>
  <c r="U973" i="29" l="1"/>
  <c r="Z970" i="29"/>
  <c r="Q972" i="29"/>
  <c r="R972" i="29"/>
  <c r="W971" i="29"/>
  <c r="Y971" i="29" s="1"/>
  <c r="M971" i="29"/>
  <c r="AA971" i="29"/>
  <c r="CA972" i="29"/>
  <c r="BU972" i="29" s="1"/>
  <c r="V973" i="29"/>
  <c r="S974" i="29"/>
  <c r="T974" i="29"/>
  <c r="AE973" i="29"/>
  <c r="AF973" i="29"/>
  <c r="BN976" i="29"/>
  <c r="BR975" i="29"/>
  <c r="BO976" i="29"/>
  <c r="BQ977" i="29" s="1"/>
  <c r="BY975" i="29"/>
  <c r="AB972" i="29"/>
  <c r="L973" i="29"/>
  <c r="K974" i="29"/>
  <c r="J974" i="29"/>
  <c r="BP974" i="29"/>
  <c r="BE974" i="29"/>
  <c r="BG974" i="29" s="1"/>
  <c r="BA974" i="29" s="1"/>
  <c r="BC974" i="29"/>
  <c r="BF974" i="29" s="1"/>
  <c r="BD975" i="29"/>
  <c r="AZ973" i="29"/>
  <c r="BH973" i="29"/>
  <c r="BB973" i="29" s="1"/>
  <c r="U974" i="29" l="1"/>
  <c r="AB974" i="29" s="1"/>
  <c r="M972" i="29"/>
  <c r="CA973" i="29"/>
  <c r="BU973" i="29" s="1"/>
  <c r="W972" i="29"/>
  <c r="Y972" i="29" s="1"/>
  <c r="AA972" i="29"/>
  <c r="R973" i="29"/>
  <c r="Q973" i="29"/>
  <c r="T975" i="29"/>
  <c r="V974" i="29"/>
  <c r="S975" i="29"/>
  <c r="AE974" i="29"/>
  <c r="AF974" i="29"/>
  <c r="Z971" i="29"/>
  <c r="AC973" i="29"/>
  <c r="J975" i="29"/>
  <c r="L974" i="29"/>
  <c r="K975" i="29"/>
  <c r="BY976" i="29"/>
  <c r="BN977" i="29"/>
  <c r="BO977" i="29"/>
  <c r="BR976" i="29"/>
  <c r="X972" i="29"/>
  <c r="AB973" i="29"/>
  <c r="BD976" i="29"/>
  <c r="BP975" i="29"/>
  <c r="BC975" i="29"/>
  <c r="BF975" i="29" s="1"/>
  <c r="BE975" i="29"/>
  <c r="BG975" i="29" s="1"/>
  <c r="BA975" i="29" s="1"/>
  <c r="BH974" i="29"/>
  <c r="BB974" i="29" s="1"/>
  <c r="AZ974" i="29"/>
  <c r="AC974" i="29" l="1"/>
  <c r="X973" i="29"/>
  <c r="M973" i="29"/>
  <c r="AA973" i="29"/>
  <c r="W973" i="29"/>
  <c r="Y973" i="29" s="1"/>
  <c r="CA974" i="29"/>
  <c r="BU974" i="29" s="1"/>
  <c r="L975" i="29"/>
  <c r="J976" i="29"/>
  <c r="K976" i="29"/>
  <c r="U975" i="29"/>
  <c r="AB975" i="29" s="1"/>
  <c r="BY977" i="29"/>
  <c r="BO978" i="29"/>
  <c r="BN978" i="29"/>
  <c r="BR977" i="29"/>
  <c r="Z972" i="29"/>
  <c r="T976" i="29"/>
  <c r="V975" i="29"/>
  <c r="S976" i="29"/>
  <c r="AE975" i="29"/>
  <c r="AF975" i="29"/>
  <c r="Q974" i="29"/>
  <c r="R974" i="29"/>
  <c r="BQ978" i="29"/>
  <c r="BD977" i="29"/>
  <c r="BC976" i="29"/>
  <c r="BF976" i="29" s="1"/>
  <c r="BE976" i="29"/>
  <c r="BG976" i="29" s="1"/>
  <c r="BA976" i="29" s="1"/>
  <c r="BP976" i="29"/>
  <c r="BH975" i="29"/>
  <c r="BB975" i="29" s="1"/>
  <c r="AZ975" i="29"/>
  <c r="AC975" i="29" l="1"/>
  <c r="U976" i="29"/>
  <c r="AB976" i="29" s="1"/>
  <c r="AA974" i="29"/>
  <c r="M974" i="29"/>
  <c r="W974" i="29"/>
  <c r="Y974" i="29" s="1"/>
  <c r="CA975" i="29"/>
  <c r="BU975" i="29" s="1"/>
  <c r="BY978" i="29"/>
  <c r="BO979" i="29"/>
  <c r="BN979" i="29"/>
  <c r="BR978" i="29"/>
  <c r="BQ979" i="29"/>
  <c r="T977" i="29"/>
  <c r="S977" i="29"/>
  <c r="V976" i="29"/>
  <c r="AF976" i="29"/>
  <c r="AE976" i="29"/>
  <c r="Z973" i="29"/>
  <c r="K977" i="29"/>
  <c r="J977" i="29"/>
  <c r="L976" i="29"/>
  <c r="X974" i="29"/>
  <c r="Q975" i="29"/>
  <c r="R975" i="29"/>
  <c r="AZ976" i="29"/>
  <c r="BH976" i="29"/>
  <c r="BB976" i="29" s="1"/>
  <c r="BE977" i="29"/>
  <c r="BG977" i="29" s="1"/>
  <c r="BA977" i="29" s="1"/>
  <c r="BC977" i="29"/>
  <c r="BF977" i="29" s="1"/>
  <c r="BP977" i="29"/>
  <c r="BD978" i="29"/>
  <c r="AC976" i="29" l="1"/>
  <c r="M975" i="29"/>
  <c r="AA975" i="29"/>
  <c r="CA976" i="29"/>
  <c r="BU976" i="29" s="1"/>
  <c r="W975" i="29"/>
  <c r="Y975" i="29" s="1"/>
  <c r="L977" i="29"/>
  <c r="K978" i="29"/>
  <c r="J978" i="29"/>
  <c r="Z974" i="29"/>
  <c r="U977" i="29"/>
  <c r="R976" i="29"/>
  <c r="Q976" i="29"/>
  <c r="T978" i="29"/>
  <c r="V977" i="29"/>
  <c r="S978" i="29"/>
  <c r="AF977" i="29"/>
  <c r="AE977" i="29"/>
  <c r="BR979" i="29"/>
  <c r="BN980" i="29"/>
  <c r="BO980" i="29"/>
  <c r="BY979" i="29"/>
  <c r="X975" i="29"/>
  <c r="BQ980" i="29"/>
  <c r="AZ977" i="29"/>
  <c r="BH977" i="29"/>
  <c r="BB977" i="29" s="1"/>
  <c r="BD979" i="29"/>
  <c r="BE978" i="29"/>
  <c r="BG978" i="29" s="1"/>
  <c r="BA978" i="29" s="1"/>
  <c r="BC978" i="29"/>
  <c r="BF978" i="29" s="1"/>
  <c r="BP978" i="29"/>
  <c r="BO981" i="29" l="1"/>
  <c r="BR980" i="29"/>
  <c r="BY980" i="29"/>
  <c r="BN981" i="29"/>
  <c r="X976" i="29"/>
  <c r="M976" i="29"/>
  <c r="CA977" i="29"/>
  <c r="BU977" i="29" s="1"/>
  <c r="W976" i="29"/>
  <c r="Y976" i="29" s="1"/>
  <c r="AA976" i="29"/>
  <c r="R977" i="29"/>
  <c r="Q977" i="29"/>
  <c r="X977" i="29" s="1"/>
  <c r="K979" i="29"/>
  <c r="L978" i="29"/>
  <c r="J979" i="29"/>
  <c r="BQ981" i="29"/>
  <c r="BQ982" i="29" s="1"/>
  <c r="U978" i="29"/>
  <c r="AB978" i="29" s="1"/>
  <c r="AB977" i="29"/>
  <c r="AC977" i="29"/>
  <c r="V978" i="29"/>
  <c r="S979" i="29"/>
  <c r="T979" i="29"/>
  <c r="AE978" i="29"/>
  <c r="AF978" i="29"/>
  <c r="Z975" i="29"/>
  <c r="BH978" i="29"/>
  <c r="BB978" i="29" s="1"/>
  <c r="AZ978" i="29"/>
  <c r="BP979" i="29"/>
  <c r="BC979" i="29"/>
  <c r="BF979" i="29" s="1"/>
  <c r="BD980" i="29"/>
  <c r="BE979" i="29"/>
  <c r="BG979" i="29" s="1"/>
  <c r="BA979" i="29" s="1"/>
  <c r="AC978" i="29" l="1"/>
  <c r="Z976" i="29"/>
  <c r="L979" i="29"/>
  <c r="J980" i="29"/>
  <c r="K980" i="29"/>
  <c r="V979" i="29"/>
  <c r="S980" i="29"/>
  <c r="T980" i="29"/>
  <c r="AE979" i="29"/>
  <c r="AF979" i="29"/>
  <c r="Q978" i="29"/>
  <c r="R978" i="29"/>
  <c r="U979" i="29"/>
  <c r="AB979" i="29" s="1"/>
  <c r="M977" i="29"/>
  <c r="W977" i="29"/>
  <c r="Y977" i="29" s="1"/>
  <c r="Z977" i="29" s="1"/>
  <c r="AA977" i="29"/>
  <c r="CA978" i="29"/>
  <c r="BU978" i="29" s="1"/>
  <c r="BR981" i="29"/>
  <c r="BN982" i="29"/>
  <c r="BO982" i="29"/>
  <c r="BQ983" i="29" s="1"/>
  <c r="BH979" i="29"/>
  <c r="BB979" i="29" s="1"/>
  <c r="AZ979" i="29"/>
  <c r="BC980" i="29"/>
  <c r="BF980" i="29" s="1"/>
  <c r="BP980" i="29"/>
  <c r="BE980" i="29"/>
  <c r="BG980" i="29" s="1"/>
  <c r="BA980" i="29" s="1"/>
  <c r="BD981" i="29"/>
  <c r="AC979" i="29" l="1"/>
  <c r="U980" i="29"/>
  <c r="M978" i="29"/>
  <c r="CA979" i="29"/>
  <c r="BU979" i="29" s="1"/>
  <c r="AA978" i="29"/>
  <c r="W978" i="29"/>
  <c r="Y978" i="29" s="1"/>
  <c r="Z978" i="29" s="1"/>
  <c r="V980" i="29"/>
  <c r="T981" i="29"/>
  <c r="S981" i="29"/>
  <c r="AF980" i="29"/>
  <c r="AE980" i="29"/>
  <c r="K981" i="29"/>
  <c r="L980" i="29"/>
  <c r="J981" i="29"/>
  <c r="X978" i="29"/>
  <c r="R979" i="29"/>
  <c r="Q979" i="29"/>
  <c r="X979" i="29" s="1"/>
  <c r="BN983" i="29"/>
  <c r="BY982" i="29"/>
  <c r="BO983" i="29"/>
  <c r="BR982" i="29"/>
  <c r="BP981" i="29"/>
  <c r="BD982" i="29"/>
  <c r="BI981" i="29"/>
  <c r="BC981" i="29"/>
  <c r="BF981" i="29" s="1"/>
  <c r="BE981" i="29"/>
  <c r="BG981" i="29" s="1"/>
  <c r="BA981" i="29" s="1"/>
  <c r="AZ980" i="29"/>
  <c r="BH980" i="29"/>
  <c r="BB980" i="29" s="1"/>
  <c r="R980" i="29" l="1"/>
  <c r="Q980" i="29"/>
  <c r="U981" i="29"/>
  <c r="AB981" i="29" s="1"/>
  <c r="BN984" i="29"/>
  <c r="BY983" i="29"/>
  <c r="BO984" i="29"/>
  <c r="BR983" i="29"/>
  <c r="W979" i="29"/>
  <c r="Y979" i="29" s="1"/>
  <c r="Z979" i="29" s="1"/>
  <c r="AA979" i="29"/>
  <c r="CA980" i="29"/>
  <c r="BU980" i="29" s="1"/>
  <c r="M979" i="29"/>
  <c r="J982" i="29"/>
  <c r="K982" i="29"/>
  <c r="L981" i="29"/>
  <c r="T982" i="29"/>
  <c r="S982" i="29"/>
  <c r="V981" i="29"/>
  <c r="AE981" i="29"/>
  <c r="AF981" i="29"/>
  <c r="BQ984" i="29"/>
  <c r="BQ985" i="29" s="1"/>
  <c r="AZ981" i="29"/>
  <c r="BH981" i="29"/>
  <c r="BB981" i="29" s="1"/>
  <c r="BP982" i="29"/>
  <c r="BD983" i="29"/>
  <c r="BC982" i="29"/>
  <c r="BF982" i="29" s="1"/>
  <c r="BE982" i="29"/>
  <c r="BG982" i="29" s="1"/>
  <c r="BA982" i="29" s="1"/>
  <c r="AC981" i="29" l="1"/>
  <c r="K983" i="29"/>
  <c r="J983" i="29"/>
  <c r="L982" i="29"/>
  <c r="AA980" i="29"/>
  <c r="W980" i="29"/>
  <c r="CB981" i="29" s="1"/>
  <c r="BV981" i="29" s="1"/>
  <c r="CA981" i="29"/>
  <c r="BU981" i="29" s="1"/>
  <c r="U982" i="29"/>
  <c r="AB982" i="29" s="1"/>
  <c r="BO985" i="29"/>
  <c r="BN985" i="29"/>
  <c r="BY984" i="29"/>
  <c r="BR984" i="29"/>
  <c r="R981" i="29"/>
  <c r="Q981" i="29"/>
  <c r="X981" i="29" s="1"/>
  <c r="T983" i="29"/>
  <c r="V982" i="29"/>
  <c r="S983" i="29"/>
  <c r="AE982" i="29"/>
  <c r="AF982" i="29"/>
  <c r="AZ982" i="29"/>
  <c r="BH982" i="29"/>
  <c r="BB982" i="29" s="1"/>
  <c r="BD984" i="29"/>
  <c r="BP983" i="29"/>
  <c r="BE983" i="29"/>
  <c r="BG983" i="29" s="1"/>
  <c r="BA983" i="29" s="1"/>
  <c r="BC983" i="29"/>
  <c r="BF983" i="29" s="1"/>
  <c r="AC982" i="29" l="1"/>
  <c r="Y980" i="29"/>
  <c r="Z980" i="29" s="1"/>
  <c r="CB975" i="29"/>
  <c r="CB979" i="29"/>
  <c r="CB976" i="29"/>
  <c r="CB978" i="29"/>
  <c r="CB977" i="29"/>
  <c r="CB980" i="29"/>
  <c r="L983" i="29"/>
  <c r="J984" i="29"/>
  <c r="K984" i="29"/>
  <c r="U983" i="29"/>
  <c r="AB983" i="29" s="1"/>
  <c r="W981" i="29"/>
  <c r="Y981" i="29" s="1"/>
  <c r="AA981" i="29"/>
  <c r="CA982" i="29"/>
  <c r="BU982" i="29" s="1"/>
  <c r="M981" i="29"/>
  <c r="BO986" i="29"/>
  <c r="BR985" i="29"/>
  <c r="BY985" i="29"/>
  <c r="BN986" i="29"/>
  <c r="BQ986" i="29"/>
  <c r="BQ987" i="29" s="1"/>
  <c r="V983" i="29"/>
  <c r="S984" i="29"/>
  <c r="T984" i="29"/>
  <c r="AE983" i="29"/>
  <c r="AF983" i="29"/>
  <c r="R982" i="29"/>
  <c r="Q982" i="29"/>
  <c r="CC981" i="29"/>
  <c r="AZ983" i="29"/>
  <c r="BH983" i="29"/>
  <c r="BB983" i="29" s="1"/>
  <c r="BP984" i="29"/>
  <c r="BE984" i="29"/>
  <c r="BG984" i="29" s="1"/>
  <c r="BA984" i="29" s="1"/>
  <c r="BD985" i="29"/>
  <c r="BC984" i="29"/>
  <c r="BF984" i="29" s="1"/>
  <c r="AC983" i="29" l="1"/>
  <c r="BV976" i="29"/>
  <c r="CC976" i="29"/>
  <c r="U984" i="29"/>
  <c r="AB984" i="29" s="1"/>
  <c r="BV980" i="29"/>
  <c r="CC980" i="29"/>
  <c r="BV979" i="29"/>
  <c r="CC979" i="29"/>
  <c r="BV977" i="29"/>
  <c r="CC977" i="29"/>
  <c r="BV975" i="29"/>
  <c r="CC975" i="29"/>
  <c r="AA982" i="29"/>
  <c r="M982" i="29"/>
  <c r="W982" i="29"/>
  <c r="Y982" i="29" s="1"/>
  <c r="CA983" i="29"/>
  <c r="BU983" i="29" s="1"/>
  <c r="T985" i="29"/>
  <c r="S985" i="29"/>
  <c r="V984" i="29"/>
  <c r="AE984" i="29"/>
  <c r="AF984" i="29"/>
  <c r="J985" i="29"/>
  <c r="L984" i="29"/>
  <c r="K985" i="29"/>
  <c r="X982" i="29"/>
  <c r="BO987" i="29"/>
  <c r="BR986" i="29"/>
  <c r="BY986" i="29"/>
  <c r="BN987" i="29"/>
  <c r="Q983" i="29"/>
  <c r="R983" i="29"/>
  <c r="BV978" i="29"/>
  <c r="CC978" i="29"/>
  <c r="Z981" i="29"/>
  <c r="AB980" i="29"/>
  <c r="AC980" i="29"/>
  <c r="BH984" i="29"/>
  <c r="BB984" i="29" s="1"/>
  <c r="AZ984" i="29"/>
  <c r="BP985" i="29"/>
  <c r="BD986" i="29"/>
  <c r="BC985" i="29"/>
  <c r="BF985" i="29" s="1"/>
  <c r="BE985" i="29"/>
  <c r="BG985" i="29" s="1"/>
  <c r="BA985" i="29" s="1"/>
  <c r="Z982" i="29" l="1"/>
  <c r="X983" i="29"/>
  <c r="AA983" i="29"/>
  <c r="W983" i="29"/>
  <c r="Y983" i="29" s="1"/>
  <c r="M983" i="29"/>
  <c r="CA984" i="29"/>
  <c r="BU984" i="29" s="1"/>
  <c r="BY987" i="29"/>
  <c r="BR987" i="29"/>
  <c r="BN988" i="29"/>
  <c r="BO988" i="29"/>
  <c r="BQ988" i="29"/>
  <c r="U985" i="29"/>
  <c r="AB985" i="29" s="1"/>
  <c r="R984" i="29"/>
  <c r="Q984" i="29"/>
  <c r="X984" i="29" s="1"/>
  <c r="V985" i="29"/>
  <c r="T986" i="29"/>
  <c r="S986" i="29"/>
  <c r="AE985" i="29"/>
  <c r="AF985" i="29"/>
  <c r="J986" i="29"/>
  <c r="K986" i="29"/>
  <c r="L985" i="29"/>
  <c r="AC984" i="29"/>
  <c r="BC986" i="29"/>
  <c r="BF986" i="29" s="1"/>
  <c r="BD987" i="29"/>
  <c r="BE986" i="29"/>
  <c r="BG986" i="29" s="1"/>
  <c r="BA986" i="29" s="1"/>
  <c r="BP986" i="29"/>
  <c r="BH985" i="29"/>
  <c r="BB985" i="29" s="1"/>
  <c r="AZ985" i="29"/>
  <c r="Z983" i="29" l="1"/>
  <c r="J987" i="29"/>
  <c r="L986" i="29"/>
  <c r="K987" i="29"/>
  <c r="U986" i="29"/>
  <c r="Q985" i="29"/>
  <c r="R985" i="29"/>
  <c r="V986" i="29"/>
  <c r="S987" i="29"/>
  <c r="T987" i="29"/>
  <c r="AE986" i="29"/>
  <c r="AF986" i="29"/>
  <c r="AA984" i="29"/>
  <c r="M984" i="29"/>
  <c r="CA985" i="29"/>
  <c r="BU985" i="29" s="1"/>
  <c r="W984" i="29"/>
  <c r="Y984" i="29" s="1"/>
  <c r="AC985" i="29"/>
  <c r="BY988" i="29"/>
  <c r="BN989" i="29"/>
  <c r="BR988" i="29"/>
  <c r="BO989" i="29"/>
  <c r="BQ989" i="29"/>
  <c r="BQ990" i="29" s="1"/>
  <c r="BD988" i="29"/>
  <c r="BP987" i="29"/>
  <c r="BC987" i="29"/>
  <c r="BF987" i="29" s="1"/>
  <c r="BE987" i="29"/>
  <c r="BG987" i="29" s="1"/>
  <c r="BA987" i="29" s="1"/>
  <c r="BH986" i="29"/>
  <c r="BB986" i="29" s="1"/>
  <c r="AZ986" i="29"/>
  <c r="Z984" i="29" l="1"/>
  <c r="U987" i="29"/>
  <c r="M985" i="29"/>
  <c r="W985" i="29"/>
  <c r="Y985" i="29" s="1"/>
  <c r="Z985" i="29" s="1"/>
  <c r="AA985" i="29"/>
  <c r="CA986" i="29"/>
  <c r="BU986" i="29" s="1"/>
  <c r="J988" i="29"/>
  <c r="L987" i="29"/>
  <c r="K988" i="29"/>
  <c r="Q986" i="29"/>
  <c r="R986" i="29"/>
  <c r="BN990" i="29"/>
  <c r="BY989" i="29"/>
  <c r="BR989" i="29"/>
  <c r="BO990" i="29"/>
  <c r="AC986" i="29"/>
  <c r="T988" i="29"/>
  <c r="V987" i="29"/>
  <c r="S988" i="29"/>
  <c r="AE987" i="29"/>
  <c r="AF987" i="29"/>
  <c r="X985" i="29"/>
  <c r="AB986" i="29"/>
  <c r="BE988" i="29"/>
  <c r="BG988" i="29" s="1"/>
  <c r="BA988" i="29" s="1"/>
  <c r="BP988" i="29"/>
  <c r="BD989" i="29"/>
  <c r="BC988" i="29"/>
  <c r="BF988" i="29" s="1"/>
  <c r="BH987" i="29"/>
  <c r="BB987" i="29" s="1"/>
  <c r="AZ987" i="29"/>
  <c r="T989" i="29" l="1"/>
  <c r="V988" i="29"/>
  <c r="S989" i="29"/>
  <c r="AE988" i="29"/>
  <c r="AF988" i="29"/>
  <c r="K989" i="29"/>
  <c r="L988" i="29"/>
  <c r="J989" i="29"/>
  <c r="Q987" i="29"/>
  <c r="X987" i="29" s="1"/>
  <c r="R987" i="29"/>
  <c r="U988" i="29"/>
  <c r="X986" i="29"/>
  <c r="CA987" i="29"/>
  <c r="BU987" i="29" s="1"/>
  <c r="M986" i="29"/>
  <c r="AA986" i="29"/>
  <c r="W986" i="29"/>
  <c r="Y986" i="29" s="1"/>
  <c r="Z986" i="29" s="1"/>
  <c r="AC987" i="29"/>
  <c r="AB987" i="29"/>
  <c r="BN991" i="29"/>
  <c r="BO991" i="29"/>
  <c r="BY990" i="29"/>
  <c r="BR990" i="29"/>
  <c r="BQ991" i="29"/>
  <c r="BH988" i="29"/>
  <c r="BB988" i="29" s="1"/>
  <c r="AZ988" i="29"/>
  <c r="BP989" i="29"/>
  <c r="BD990" i="29"/>
  <c r="BE989" i="29"/>
  <c r="BG989" i="29" s="1"/>
  <c r="BA989" i="29" s="1"/>
  <c r="BC989" i="29"/>
  <c r="BF989" i="29" s="1"/>
  <c r="U989" i="29" l="1"/>
  <c r="AC989" i="29" s="1"/>
  <c r="R988" i="29"/>
  <c r="Q988" i="29"/>
  <c r="K990" i="29"/>
  <c r="L989" i="29"/>
  <c r="J990" i="29"/>
  <c r="AB988" i="29"/>
  <c r="M987" i="29"/>
  <c r="W987" i="29"/>
  <c r="Y987" i="29" s="1"/>
  <c r="Z987" i="29" s="1"/>
  <c r="AA987" i="29"/>
  <c r="CA988" i="29"/>
  <c r="BU988" i="29" s="1"/>
  <c r="V989" i="29"/>
  <c r="S990" i="29"/>
  <c r="T990" i="29"/>
  <c r="AE989" i="29"/>
  <c r="AF989" i="29"/>
  <c r="BN992" i="29"/>
  <c r="BR991" i="29"/>
  <c r="BO992" i="29"/>
  <c r="BY991" i="29"/>
  <c r="BQ992" i="29"/>
  <c r="BQ993" i="29" s="1"/>
  <c r="AC988" i="29"/>
  <c r="AZ989" i="29"/>
  <c r="BH989" i="29"/>
  <c r="BB989" i="29" s="1"/>
  <c r="BC990" i="29"/>
  <c r="BF990" i="29" s="1"/>
  <c r="BP990" i="29"/>
  <c r="BD991" i="29"/>
  <c r="BE990" i="29"/>
  <c r="BG990" i="29" s="1"/>
  <c r="BA990" i="29" s="1"/>
  <c r="U990" i="29" l="1"/>
  <c r="AC990" i="29" s="1"/>
  <c r="CA989" i="29"/>
  <c r="BU989" i="29" s="1"/>
  <c r="W988" i="29"/>
  <c r="Y988" i="29" s="1"/>
  <c r="Z988" i="29" s="1"/>
  <c r="AA988" i="29"/>
  <c r="M988" i="29"/>
  <c r="J991" i="29"/>
  <c r="K991" i="29"/>
  <c r="L990" i="29"/>
  <c r="Q989" i="29"/>
  <c r="R989" i="29"/>
  <c r="BO993" i="29"/>
  <c r="BN993" i="29"/>
  <c r="BY992" i="29"/>
  <c r="BR992" i="29"/>
  <c r="X988" i="29"/>
  <c r="AB989" i="29"/>
  <c r="T991" i="29"/>
  <c r="S991" i="29"/>
  <c r="V990" i="29"/>
  <c r="AF990" i="29"/>
  <c r="AE990" i="29"/>
  <c r="BC991" i="29"/>
  <c r="BF991" i="29" s="1"/>
  <c r="BD992" i="29"/>
  <c r="BE991" i="29"/>
  <c r="BG991" i="29" s="1"/>
  <c r="BA991" i="29" s="1"/>
  <c r="BP991" i="29"/>
  <c r="BH990" i="29"/>
  <c r="BB990" i="29" s="1"/>
  <c r="AZ990" i="29"/>
  <c r="X989" i="29" l="1"/>
  <c r="CA990" i="29"/>
  <c r="BU990" i="29" s="1"/>
  <c r="AA989" i="29"/>
  <c r="W989" i="29"/>
  <c r="Y989" i="29" s="1"/>
  <c r="Z989" i="29" s="1"/>
  <c r="M989" i="29"/>
  <c r="U991" i="29"/>
  <c r="AB991" i="29" s="1"/>
  <c r="BO994" i="29"/>
  <c r="BN994" i="29"/>
  <c r="BR993" i="29"/>
  <c r="K992" i="29"/>
  <c r="L991" i="29"/>
  <c r="J992" i="29"/>
  <c r="R990" i="29"/>
  <c r="Q990" i="29"/>
  <c r="X990" i="29" s="1"/>
  <c r="BQ994" i="29"/>
  <c r="S992" i="29"/>
  <c r="V991" i="29"/>
  <c r="T992" i="29"/>
  <c r="AE991" i="29"/>
  <c r="AF991" i="29"/>
  <c r="AB990" i="29"/>
  <c r="BD993" i="29"/>
  <c r="BP992" i="29"/>
  <c r="BE992" i="29"/>
  <c r="BG992" i="29" s="1"/>
  <c r="BA992" i="29" s="1"/>
  <c r="BC992" i="29"/>
  <c r="BF992" i="29" s="1"/>
  <c r="AZ991" i="29"/>
  <c r="BH991" i="29"/>
  <c r="BB991" i="29" s="1"/>
  <c r="U992" i="29" l="1"/>
  <c r="T993" i="29"/>
  <c r="S993" i="29"/>
  <c r="V992" i="29"/>
  <c r="AE992" i="29"/>
  <c r="AF992" i="29"/>
  <c r="BY994" i="29"/>
  <c r="BO995" i="29"/>
  <c r="BN995" i="29"/>
  <c r="BR994" i="29"/>
  <c r="AA990" i="29"/>
  <c r="M990" i="29"/>
  <c r="CA991" i="29"/>
  <c r="BU991" i="29" s="1"/>
  <c r="W990" i="29"/>
  <c r="Y990" i="29" s="1"/>
  <c r="Z990" i="29" s="1"/>
  <c r="L992" i="29"/>
  <c r="J993" i="29"/>
  <c r="K993" i="29"/>
  <c r="Q991" i="29"/>
  <c r="X991" i="29" s="1"/>
  <c r="R991" i="29"/>
  <c r="BQ995" i="29"/>
  <c r="BQ996" i="29" s="1"/>
  <c r="AC991" i="29"/>
  <c r="AZ992" i="29"/>
  <c r="BH992" i="29"/>
  <c r="BB992" i="29" s="1"/>
  <c r="BP993" i="29"/>
  <c r="BD994" i="29"/>
  <c r="BE993" i="29"/>
  <c r="BG993" i="29" s="1"/>
  <c r="BA993" i="29" s="1"/>
  <c r="BC993" i="29"/>
  <c r="BF993" i="29" s="1"/>
  <c r="BI993" i="29"/>
  <c r="U993" i="29" l="1"/>
  <c r="Q992" i="29"/>
  <c r="R992" i="29"/>
  <c r="BR995" i="29"/>
  <c r="BN996" i="29"/>
  <c r="BY995" i="29"/>
  <c r="BO996" i="29"/>
  <c r="CA992" i="29"/>
  <c r="BU992" i="29" s="1"/>
  <c r="M991" i="29"/>
  <c r="W991" i="29"/>
  <c r="Y991" i="29" s="1"/>
  <c r="Z991" i="29" s="1"/>
  <c r="AA991" i="29"/>
  <c r="S994" i="29"/>
  <c r="T994" i="29"/>
  <c r="V993" i="29"/>
  <c r="AF993" i="29"/>
  <c r="AE993" i="29"/>
  <c r="BQ997" i="29"/>
  <c r="L993" i="29"/>
  <c r="K994" i="29"/>
  <c r="J994" i="29"/>
  <c r="BH993" i="29"/>
  <c r="BB993" i="29" s="1"/>
  <c r="AZ993" i="29"/>
  <c r="BP994" i="29"/>
  <c r="BE994" i="29"/>
  <c r="BG994" i="29" s="1"/>
  <c r="BA994" i="29" s="1"/>
  <c r="BD995" i="29"/>
  <c r="BC994" i="29"/>
  <c r="BF994" i="29" s="1"/>
  <c r="Q993" i="29" l="1"/>
  <c r="R993" i="29"/>
  <c r="K995" i="29"/>
  <c r="L994" i="29"/>
  <c r="J995" i="29"/>
  <c r="AC993" i="29"/>
  <c r="BY996" i="29"/>
  <c r="BO997" i="29"/>
  <c r="BR996" i="29"/>
  <c r="BN997" i="29"/>
  <c r="AB993" i="29"/>
  <c r="U994" i="29"/>
  <c r="AC994" i="29" s="1"/>
  <c r="BQ998" i="29"/>
  <c r="S995" i="29"/>
  <c r="V994" i="29"/>
  <c r="T995" i="29"/>
  <c r="AF994" i="29"/>
  <c r="AE994" i="29"/>
  <c r="CA993" i="29"/>
  <c r="BU993" i="29" s="1"/>
  <c r="AA992" i="29"/>
  <c r="W992" i="29"/>
  <c r="CB993" i="29" s="1"/>
  <c r="BV993" i="29" s="1"/>
  <c r="BC995" i="29"/>
  <c r="BF995" i="29" s="1"/>
  <c r="BD996" i="29"/>
  <c r="BE995" i="29"/>
  <c r="BG995" i="29" s="1"/>
  <c r="BA995" i="29" s="1"/>
  <c r="BP995" i="29"/>
  <c r="AZ994" i="29"/>
  <c r="BH994" i="29"/>
  <c r="BB994" i="29" s="1"/>
  <c r="U995" i="29" l="1"/>
  <c r="BN998" i="29"/>
  <c r="BY997" i="29"/>
  <c r="BO998" i="29"/>
  <c r="BR997" i="29"/>
  <c r="V995" i="29"/>
  <c r="S996" i="29"/>
  <c r="T996" i="29"/>
  <c r="AE995" i="29"/>
  <c r="AF995" i="29"/>
  <c r="R994" i="29"/>
  <c r="Q994" i="29"/>
  <c r="K996" i="29"/>
  <c r="J996" i="29"/>
  <c r="L995" i="29"/>
  <c r="Y992" i="29"/>
  <c r="Z992" i="29" s="1"/>
  <c r="CB990" i="29"/>
  <c r="CB985" i="29"/>
  <c r="CB991" i="29"/>
  <c r="CB988" i="29"/>
  <c r="CB992" i="29"/>
  <c r="CB987" i="29"/>
  <c r="CB989" i="29"/>
  <c r="BQ999" i="29"/>
  <c r="W993" i="29"/>
  <c r="Y993" i="29" s="1"/>
  <c r="M993" i="29"/>
  <c r="CA994" i="29"/>
  <c r="BU994" i="29" s="1"/>
  <c r="AA993" i="29"/>
  <c r="CC993" i="29"/>
  <c r="AB994" i="29"/>
  <c r="X993" i="29"/>
  <c r="BP996" i="29"/>
  <c r="BC996" i="29"/>
  <c r="BF996" i="29" s="1"/>
  <c r="BE996" i="29"/>
  <c r="BG996" i="29" s="1"/>
  <c r="BA996" i="29" s="1"/>
  <c r="BD997" i="29"/>
  <c r="BH995" i="29"/>
  <c r="BB995" i="29" s="1"/>
  <c r="AZ995" i="29"/>
  <c r="BV989" i="29" l="1"/>
  <c r="CC989" i="29"/>
  <c r="BV988" i="29"/>
  <c r="CC988" i="29"/>
  <c r="Z993" i="29"/>
  <c r="AC992" i="29"/>
  <c r="AB992" i="29"/>
  <c r="BV991" i="29"/>
  <c r="CC991" i="29"/>
  <c r="M994" i="29"/>
  <c r="W994" i="29"/>
  <c r="Y994" i="29" s="1"/>
  <c r="CA995" i="29"/>
  <c r="BU995" i="29" s="1"/>
  <c r="AA994" i="29"/>
  <c r="R995" i="29"/>
  <c r="Q995" i="29"/>
  <c r="X995" i="29" s="1"/>
  <c r="BV987" i="29"/>
  <c r="CC987" i="29"/>
  <c r="BV985" i="29"/>
  <c r="CC985" i="29"/>
  <c r="X994" i="29"/>
  <c r="T997" i="29"/>
  <c r="S997" i="29"/>
  <c r="V996" i="29"/>
  <c r="AE996" i="29"/>
  <c r="AF996" i="29"/>
  <c r="BR998" i="29"/>
  <c r="BN999" i="29"/>
  <c r="BO999" i="29"/>
  <c r="BQ1000" i="29" s="1"/>
  <c r="BY998" i="29"/>
  <c r="AC995" i="29"/>
  <c r="BV992" i="29"/>
  <c r="CC992" i="29"/>
  <c r="BV990" i="29"/>
  <c r="CC990" i="29"/>
  <c r="J997" i="29"/>
  <c r="L996" i="29"/>
  <c r="K997" i="29"/>
  <c r="U996" i="29"/>
  <c r="AC996" i="29" s="1"/>
  <c r="AB995" i="29"/>
  <c r="AZ996" i="29"/>
  <c r="BH996" i="29"/>
  <c r="BB996" i="29" s="1"/>
  <c r="BP997" i="29"/>
  <c r="BD998" i="29"/>
  <c r="BC997" i="29"/>
  <c r="BF997" i="29" s="1"/>
  <c r="BE997" i="29"/>
  <c r="BG997" i="29" s="1"/>
  <c r="BA997" i="29" s="1"/>
  <c r="AB996" i="29" l="1"/>
  <c r="U997" i="29"/>
  <c r="AC997" i="29" s="1"/>
  <c r="J998" i="29"/>
  <c r="L997" i="29"/>
  <c r="K998" i="29"/>
  <c r="S998" i="29"/>
  <c r="T998" i="29"/>
  <c r="V997" i="29"/>
  <c r="AE997" i="29"/>
  <c r="AF997" i="29"/>
  <c r="CA996" i="29"/>
  <c r="BU996" i="29" s="1"/>
  <c r="AA995" i="29"/>
  <c r="M995" i="29"/>
  <c r="W995" i="29"/>
  <c r="Y995" i="29" s="1"/>
  <c r="R996" i="29"/>
  <c r="Q996" i="29"/>
  <c r="X996" i="29" s="1"/>
  <c r="BY999" i="29"/>
  <c r="BO1000" i="29"/>
  <c r="BR999" i="29"/>
  <c r="BN1000" i="29"/>
  <c r="Z994" i="29"/>
  <c r="BH997" i="29"/>
  <c r="BB997" i="29" s="1"/>
  <c r="AZ997" i="29"/>
  <c r="BP998" i="29"/>
  <c r="BE998" i="29"/>
  <c r="BG998" i="29" s="1"/>
  <c r="BA998" i="29" s="1"/>
  <c r="BD999" i="29"/>
  <c r="BC998" i="29"/>
  <c r="BF998" i="29" s="1"/>
  <c r="Z995" i="29" l="1"/>
  <c r="AB997" i="29"/>
  <c r="BR1000" i="29"/>
  <c r="BN1001" i="29"/>
  <c r="BY1000" i="29"/>
  <c r="BO1001" i="29"/>
  <c r="L998" i="29"/>
  <c r="K999" i="29"/>
  <c r="J999" i="29"/>
  <c r="V998" i="29"/>
  <c r="S999" i="29"/>
  <c r="T999" i="29"/>
  <c r="AF998" i="29"/>
  <c r="AE998" i="29"/>
  <c r="CA997" i="29"/>
  <c r="BU997" i="29" s="1"/>
  <c r="W996" i="29"/>
  <c r="Y996" i="29" s="1"/>
  <c r="Z996" i="29" s="1"/>
  <c r="AA996" i="29"/>
  <c r="M996" i="29"/>
  <c r="U998" i="29"/>
  <c r="Q997" i="29"/>
  <c r="X997" i="29" s="1"/>
  <c r="R997" i="29"/>
  <c r="BQ1001" i="29"/>
  <c r="BQ1002" i="29" s="1"/>
  <c r="BH998" i="29"/>
  <c r="BB998" i="29" s="1"/>
  <c r="AZ998" i="29"/>
  <c r="BE999" i="29"/>
  <c r="BG999" i="29" s="1"/>
  <c r="BA999" i="29" s="1"/>
  <c r="BP999" i="29"/>
  <c r="BD1000" i="29"/>
  <c r="BC999" i="29"/>
  <c r="BF999" i="29" s="1"/>
  <c r="Q998" i="29" l="1"/>
  <c r="R998" i="29"/>
  <c r="BY1001" i="29"/>
  <c r="BN1002" i="29"/>
  <c r="BR1001" i="29"/>
  <c r="BO1002" i="29"/>
  <c r="BQ1003" i="29" s="1"/>
  <c r="L999" i="29"/>
  <c r="K1000" i="29"/>
  <c r="J1000" i="29"/>
  <c r="U999" i="29"/>
  <c r="AB999" i="29" s="1"/>
  <c r="AB998" i="29"/>
  <c r="AC998" i="29"/>
  <c r="M997" i="29"/>
  <c r="AA997" i="29"/>
  <c r="W997" i="29"/>
  <c r="Y997" i="29" s="1"/>
  <c r="Z997" i="29" s="1"/>
  <c r="CA998" i="29"/>
  <c r="BU998" i="29" s="1"/>
  <c r="V999" i="29"/>
  <c r="S1000" i="29"/>
  <c r="T1000" i="29"/>
  <c r="AF999" i="29"/>
  <c r="AE999" i="29"/>
  <c r="BD1001" i="29"/>
  <c r="BE1000" i="29"/>
  <c r="BG1000" i="29" s="1"/>
  <c r="BA1000" i="29" s="1"/>
  <c r="BP1000" i="29"/>
  <c r="BC1000" i="29"/>
  <c r="BF1000" i="29" s="1"/>
  <c r="AZ999" i="29"/>
  <c r="BH999" i="29"/>
  <c r="BB999" i="29" s="1"/>
  <c r="U1000" i="29" l="1"/>
  <c r="AB1000" i="29" s="1"/>
  <c r="R999" i="29"/>
  <c r="Q999" i="29"/>
  <c r="X999" i="29" s="1"/>
  <c r="AC999" i="29"/>
  <c r="J1001" i="29"/>
  <c r="L1000" i="29"/>
  <c r="K1001" i="29"/>
  <c r="CA999" i="29"/>
  <c r="BU999" i="29" s="1"/>
  <c r="AA998" i="29"/>
  <c r="W998" i="29"/>
  <c r="Y998" i="29" s="1"/>
  <c r="Z998" i="29" s="1"/>
  <c r="M998" i="29"/>
  <c r="V1000" i="29"/>
  <c r="S1001" i="29"/>
  <c r="T1001" i="29"/>
  <c r="AE1000" i="29"/>
  <c r="AF1000" i="29"/>
  <c r="BO1003" i="29"/>
  <c r="BR1002" i="29"/>
  <c r="BN1003" i="29"/>
  <c r="BY1002" i="29"/>
  <c r="X998" i="29"/>
  <c r="AZ1000" i="29"/>
  <c r="BH1000" i="29"/>
  <c r="BB1000" i="29" s="1"/>
  <c r="BD1002" i="29"/>
  <c r="BP1001" i="29"/>
  <c r="BE1001" i="29"/>
  <c r="BG1001" i="29" s="1"/>
  <c r="BA1001" i="29" s="1"/>
  <c r="BC1001" i="29"/>
  <c r="BF1001" i="29" s="1"/>
  <c r="AC1000" i="29" l="1"/>
  <c r="BN1004" i="29"/>
  <c r="BR1003" i="29"/>
  <c r="BY1003" i="29"/>
  <c r="BO1004" i="29"/>
  <c r="U1001" i="29"/>
  <c r="AB1001" i="29" s="1"/>
  <c r="K1002" i="29"/>
  <c r="J1002" i="29"/>
  <c r="L1001" i="29"/>
  <c r="BQ1004" i="29"/>
  <c r="BQ1005" i="29" s="1"/>
  <c r="S1002" i="29"/>
  <c r="V1001" i="29"/>
  <c r="T1002" i="29"/>
  <c r="AE1001" i="29"/>
  <c r="AF1001" i="29"/>
  <c r="CA1000" i="29"/>
  <c r="BU1000" i="29" s="1"/>
  <c r="W999" i="29"/>
  <c r="Y999" i="29" s="1"/>
  <c r="Z999" i="29" s="1"/>
  <c r="M999" i="29"/>
  <c r="AA999" i="29"/>
  <c r="Q1000" i="29"/>
  <c r="R1000" i="29"/>
  <c r="BP1002" i="29"/>
  <c r="BE1002" i="29"/>
  <c r="BG1002" i="29" s="1"/>
  <c r="BA1002" i="29" s="1"/>
  <c r="BC1002" i="29"/>
  <c r="BF1002" i="29" s="1"/>
  <c r="BD1003" i="29"/>
  <c r="BH1001" i="29"/>
  <c r="BB1001" i="29" s="1"/>
  <c r="AZ1001" i="29"/>
  <c r="AC1001" i="29" l="1"/>
  <c r="U1002" i="29"/>
  <c r="AB1002" i="29" s="1"/>
  <c r="L1002" i="29"/>
  <c r="K1003" i="29"/>
  <c r="J1003" i="29"/>
  <c r="BQ1006" i="29"/>
  <c r="BY1004" i="29"/>
  <c r="BN1005" i="29"/>
  <c r="BO1005" i="29"/>
  <c r="BR1004" i="29"/>
  <c r="X1000" i="29"/>
  <c r="W1000" i="29"/>
  <c r="Y1000" i="29" s="1"/>
  <c r="Z1000" i="29" s="1"/>
  <c r="CA1001" i="29"/>
  <c r="BU1001" i="29" s="1"/>
  <c r="M1000" i="29"/>
  <c r="AA1000" i="29"/>
  <c r="T1003" i="29"/>
  <c r="S1003" i="29"/>
  <c r="V1002" i="29"/>
  <c r="AF1002" i="29"/>
  <c r="AE1002" i="29"/>
  <c r="Q1001" i="29"/>
  <c r="X1001" i="29" s="1"/>
  <c r="R1001" i="29"/>
  <c r="BE1003" i="29"/>
  <c r="BG1003" i="29" s="1"/>
  <c r="BA1003" i="29" s="1"/>
  <c r="BP1003" i="29"/>
  <c r="BC1003" i="29"/>
  <c r="BF1003" i="29" s="1"/>
  <c r="BD1004" i="29"/>
  <c r="AZ1002" i="29"/>
  <c r="BH1002" i="29"/>
  <c r="BB1002" i="29" s="1"/>
  <c r="AC1002" i="29" l="1"/>
  <c r="J1004" i="29"/>
  <c r="K1004" i="29"/>
  <c r="L1003" i="29"/>
  <c r="M1001" i="29"/>
  <c r="AA1001" i="29"/>
  <c r="W1001" i="29"/>
  <c r="Y1001" i="29" s="1"/>
  <c r="Z1001" i="29" s="1"/>
  <c r="CA1002" i="29"/>
  <c r="BU1002" i="29" s="1"/>
  <c r="U1003" i="29"/>
  <c r="AC1003" i="29" s="1"/>
  <c r="T1004" i="29"/>
  <c r="V1003" i="29"/>
  <c r="S1004" i="29"/>
  <c r="AE1003" i="29"/>
  <c r="AF1003" i="29"/>
  <c r="BQ1007" i="29"/>
  <c r="BR1005" i="29"/>
  <c r="BO1006" i="29"/>
  <c r="BN1006" i="29"/>
  <c r="R1002" i="29"/>
  <c r="Q1002" i="29"/>
  <c r="X1002" i="29" s="1"/>
  <c r="AZ1003" i="29"/>
  <c r="BH1003" i="29"/>
  <c r="BB1003" i="29" s="1"/>
  <c r="BC1004" i="29"/>
  <c r="BF1004" i="29" s="1"/>
  <c r="BE1004" i="29"/>
  <c r="BG1004" i="29" s="1"/>
  <c r="BA1004" i="29" s="1"/>
  <c r="BD1005" i="29"/>
  <c r="BP1004" i="29"/>
  <c r="AB1003" i="29" l="1"/>
  <c r="L1004" i="29"/>
  <c r="J1005" i="29"/>
  <c r="K1005" i="29"/>
  <c r="W1002" i="29"/>
  <c r="Y1002" i="29" s="1"/>
  <c r="Z1002" i="29" s="1"/>
  <c r="M1002" i="29"/>
  <c r="CA1003" i="29"/>
  <c r="BU1003" i="29" s="1"/>
  <c r="AA1002" i="29"/>
  <c r="BY1006" i="29"/>
  <c r="BR1006" i="29"/>
  <c r="BN1007" i="29"/>
  <c r="BO1007" i="29"/>
  <c r="BQ1008" i="29" s="1"/>
  <c r="Q1003" i="29"/>
  <c r="X1003" i="29" s="1"/>
  <c r="R1003" i="29"/>
  <c r="S1005" i="29"/>
  <c r="V1004" i="29"/>
  <c r="T1005" i="29"/>
  <c r="AF1004" i="29"/>
  <c r="AE1004" i="29"/>
  <c r="U1004" i="29"/>
  <c r="BP1005" i="29"/>
  <c r="BD1006" i="29"/>
  <c r="BC1005" i="29"/>
  <c r="BF1005" i="29" s="1"/>
  <c r="BE1005" i="29"/>
  <c r="BG1005" i="29" s="1"/>
  <c r="BA1005" i="29" s="1"/>
  <c r="BI1005" i="29"/>
  <c r="BH1004" i="29"/>
  <c r="BB1004" i="29" s="1"/>
  <c r="AZ1004" i="29"/>
  <c r="U1005" i="29" l="1"/>
  <c r="K1006" i="29"/>
  <c r="J1006" i="29"/>
  <c r="L1005" i="29"/>
  <c r="AA1003" i="29"/>
  <c r="W1003" i="29"/>
  <c r="Y1003" i="29" s="1"/>
  <c r="Z1003" i="29" s="1"/>
  <c r="CA1004" i="29"/>
  <c r="BU1004" i="29" s="1"/>
  <c r="M1003" i="29"/>
  <c r="Q1004" i="29"/>
  <c r="R1004" i="29"/>
  <c r="V1005" i="29"/>
  <c r="S1006" i="29"/>
  <c r="T1006" i="29"/>
  <c r="AF1005" i="29"/>
  <c r="AE1005" i="29"/>
  <c r="BR1007" i="29"/>
  <c r="BO1008" i="29"/>
  <c r="BN1008" i="29"/>
  <c r="BY1007" i="29"/>
  <c r="AZ1005" i="29"/>
  <c r="BH1005" i="29"/>
  <c r="BB1005" i="29" s="1"/>
  <c r="BD1007" i="29"/>
  <c r="BP1006" i="29"/>
  <c r="BE1006" i="29"/>
  <c r="BG1006" i="29" s="1"/>
  <c r="BA1006" i="29" s="1"/>
  <c r="BC1006" i="29"/>
  <c r="BF1006" i="29" s="1"/>
  <c r="BN1009" i="29" l="1"/>
  <c r="BY1008" i="29"/>
  <c r="BO1009" i="29"/>
  <c r="BR1008" i="29"/>
  <c r="V1006" i="29"/>
  <c r="T1007" i="29"/>
  <c r="S1007" i="29"/>
  <c r="AE1006" i="29"/>
  <c r="AF1006" i="29"/>
  <c r="K1007" i="29"/>
  <c r="J1007" i="29"/>
  <c r="L1006" i="29"/>
  <c r="U1006" i="29"/>
  <c r="Q1005" i="29"/>
  <c r="X1005" i="29" s="1"/>
  <c r="R1005" i="29"/>
  <c r="AC1005" i="29"/>
  <c r="W1004" i="29"/>
  <c r="AA1004" i="29"/>
  <c r="CA1005" i="29"/>
  <c r="BU1005" i="29" s="1"/>
  <c r="AB1005" i="29"/>
  <c r="BQ1009" i="29"/>
  <c r="BQ1010" i="29" s="1"/>
  <c r="BH1006" i="29"/>
  <c r="BB1006" i="29" s="1"/>
  <c r="AZ1006" i="29"/>
  <c r="BP1007" i="29"/>
  <c r="BC1007" i="29"/>
  <c r="BF1007" i="29" s="1"/>
  <c r="BE1007" i="29"/>
  <c r="BG1007" i="29" s="1"/>
  <c r="BA1007" i="29" s="1"/>
  <c r="BD1008" i="29"/>
  <c r="R1006" i="29" l="1"/>
  <c r="Q1006" i="29"/>
  <c r="U1007" i="29"/>
  <c r="BN1010" i="29"/>
  <c r="BR1009" i="29"/>
  <c r="BO1010" i="29"/>
  <c r="BY1009" i="29"/>
  <c r="AB1006" i="29"/>
  <c r="K1008" i="29"/>
  <c r="L1007" i="29"/>
  <c r="J1008" i="29"/>
  <c r="S1008" i="29"/>
  <c r="V1007" i="29"/>
  <c r="T1008" i="29"/>
  <c r="AE1007" i="29"/>
  <c r="AF1007" i="29"/>
  <c r="Y1004" i="29"/>
  <c r="Z1004" i="29" s="1"/>
  <c r="CB1001" i="29"/>
  <c r="CB1003" i="29"/>
  <c r="CB1000" i="29"/>
  <c r="CB1002" i="29"/>
  <c r="CB1004" i="29"/>
  <c r="AC1006" i="29"/>
  <c r="CB1005" i="29"/>
  <c r="AA1005" i="29"/>
  <c r="M1005" i="29"/>
  <c r="W1005" i="29"/>
  <c r="Y1005" i="29" s="1"/>
  <c r="CA1006" i="29"/>
  <c r="BU1006" i="29" s="1"/>
  <c r="BC1008" i="29"/>
  <c r="BF1008" i="29" s="1"/>
  <c r="BE1008" i="29"/>
  <c r="BG1008" i="29" s="1"/>
  <c r="BA1008" i="29" s="1"/>
  <c r="BD1009" i="29"/>
  <c r="BP1008" i="29"/>
  <c r="BH1007" i="29"/>
  <c r="BB1007" i="29" s="1"/>
  <c r="AZ1007" i="29"/>
  <c r="BV1000" i="29" l="1"/>
  <c r="CC1000" i="29"/>
  <c r="U1008" i="29"/>
  <c r="AB1008" i="29" s="1"/>
  <c r="W1006" i="29"/>
  <c r="Y1006" i="29" s="1"/>
  <c r="AA1006" i="29"/>
  <c r="M1006" i="29"/>
  <c r="CA1007" i="29"/>
  <c r="BU1007" i="29" s="1"/>
  <c r="BV1003" i="29"/>
  <c r="CC1003" i="29"/>
  <c r="R1007" i="29"/>
  <c r="Q1007" i="29"/>
  <c r="X1007" i="29" s="1"/>
  <c r="BV1004" i="29"/>
  <c r="CC1004" i="29"/>
  <c r="BV1001" i="29"/>
  <c r="CC1001" i="29"/>
  <c r="T1009" i="29"/>
  <c r="V1008" i="29"/>
  <c r="S1009" i="29"/>
  <c r="AE1008" i="29"/>
  <c r="AF1008" i="29"/>
  <c r="BY1010" i="29"/>
  <c r="BN1011" i="29"/>
  <c r="BR1010" i="29"/>
  <c r="BO1011" i="29"/>
  <c r="AB1007" i="29"/>
  <c r="X1006" i="29"/>
  <c r="BV1005" i="29"/>
  <c r="CC1005" i="29"/>
  <c r="BV1002" i="29"/>
  <c r="CC1002" i="29"/>
  <c r="Z1005" i="29"/>
  <c r="AC1004" i="29"/>
  <c r="AB1004" i="29"/>
  <c r="K1009" i="29"/>
  <c r="L1008" i="29"/>
  <c r="J1009" i="29"/>
  <c r="AC1007" i="29"/>
  <c r="BQ1011" i="29"/>
  <c r="BC1009" i="29"/>
  <c r="BF1009" i="29" s="1"/>
  <c r="BD1010" i="29"/>
  <c r="BE1009" i="29"/>
  <c r="BG1009" i="29" s="1"/>
  <c r="BA1009" i="29" s="1"/>
  <c r="BP1009" i="29"/>
  <c r="AZ1008" i="29"/>
  <c r="BH1008" i="29"/>
  <c r="BB1008" i="29" s="1"/>
  <c r="AC1008" i="29" l="1"/>
  <c r="BO1012" i="29"/>
  <c r="BN1012" i="29"/>
  <c r="BY1011" i="29"/>
  <c r="BR1011" i="29"/>
  <c r="V1009" i="29"/>
  <c r="T1010" i="29"/>
  <c r="S1010" i="29"/>
  <c r="AF1009" i="29"/>
  <c r="AE1009" i="29"/>
  <c r="Z1006" i="29"/>
  <c r="BQ1012" i="29"/>
  <c r="BQ1013" i="29" s="1"/>
  <c r="J1010" i="29"/>
  <c r="K1010" i="29"/>
  <c r="L1009" i="29"/>
  <c r="U1009" i="29"/>
  <c r="AC1009" i="29" s="1"/>
  <c r="W1007" i="29"/>
  <c r="Y1007" i="29" s="1"/>
  <c r="CA1008" i="29"/>
  <c r="BU1008" i="29" s="1"/>
  <c r="AA1007" i="29"/>
  <c r="M1007" i="29"/>
  <c r="R1008" i="29"/>
  <c r="Q1008" i="29"/>
  <c r="X1008" i="29" s="1"/>
  <c r="BC1010" i="29"/>
  <c r="BF1010" i="29" s="1"/>
  <c r="BD1011" i="29"/>
  <c r="BP1010" i="29"/>
  <c r="BE1010" i="29"/>
  <c r="BG1010" i="29" s="1"/>
  <c r="BA1010" i="29" s="1"/>
  <c r="AZ1009" i="29"/>
  <c r="BH1009" i="29"/>
  <c r="BB1009" i="29" s="1"/>
  <c r="AB1009" i="29" l="1"/>
  <c r="U1010" i="29"/>
  <c r="AB1010" i="29" s="1"/>
  <c r="R1009" i="29"/>
  <c r="Q1009" i="29"/>
  <c r="Z1007" i="29"/>
  <c r="V1010" i="29"/>
  <c r="S1011" i="29"/>
  <c r="T1011" i="29"/>
  <c r="AF1010" i="29"/>
  <c r="AE1010" i="29"/>
  <c r="K1011" i="29"/>
  <c r="L1010" i="29"/>
  <c r="J1011" i="29"/>
  <c r="BY1012" i="29"/>
  <c r="BN1013" i="29"/>
  <c r="BO1013" i="29"/>
  <c r="BR1012" i="29"/>
  <c r="M1008" i="29"/>
  <c r="W1008" i="29"/>
  <c r="Y1008" i="29" s="1"/>
  <c r="AA1008" i="29"/>
  <c r="CA1009" i="29"/>
  <c r="BU1009" i="29" s="1"/>
  <c r="BP1011" i="29"/>
  <c r="BD1012" i="29"/>
  <c r="BC1011" i="29"/>
  <c r="BF1011" i="29" s="1"/>
  <c r="BE1011" i="29"/>
  <c r="BG1011" i="29" s="1"/>
  <c r="BA1011" i="29" s="1"/>
  <c r="AZ1010" i="29"/>
  <c r="BH1010" i="29"/>
  <c r="BB1010" i="29" s="1"/>
  <c r="Z1008" i="29" l="1"/>
  <c r="Q1010" i="29"/>
  <c r="R1010" i="29"/>
  <c r="U1011" i="29"/>
  <c r="AC1010" i="29"/>
  <c r="K1012" i="29"/>
  <c r="J1012" i="29"/>
  <c r="L1011" i="29"/>
  <c r="T1012" i="29"/>
  <c r="S1012" i="29"/>
  <c r="V1011" i="29"/>
  <c r="AE1011" i="29"/>
  <c r="AF1011" i="29"/>
  <c r="CA1010" i="29"/>
  <c r="BU1010" i="29" s="1"/>
  <c r="W1009" i="29"/>
  <c r="Y1009" i="29" s="1"/>
  <c r="AA1009" i="29"/>
  <c r="M1009" i="29"/>
  <c r="BO1014" i="29"/>
  <c r="BR1013" i="29"/>
  <c r="BN1014" i="29"/>
  <c r="BY1013" i="29"/>
  <c r="X1009" i="29"/>
  <c r="BQ1014" i="29"/>
  <c r="BD1013" i="29"/>
  <c r="BP1012" i="29"/>
  <c r="BE1012" i="29"/>
  <c r="BG1012" i="29" s="1"/>
  <c r="BA1012" i="29" s="1"/>
  <c r="BC1012" i="29"/>
  <c r="BF1012" i="29" s="1"/>
  <c r="BH1011" i="29"/>
  <c r="BB1011" i="29" s="1"/>
  <c r="AZ1011" i="29"/>
  <c r="R1011" i="29" l="1"/>
  <c r="Q1011" i="29"/>
  <c r="X1011" i="29" s="1"/>
  <c r="M1010" i="29"/>
  <c r="CA1011" i="29"/>
  <c r="BU1011" i="29" s="1"/>
  <c r="W1010" i="29"/>
  <c r="Y1010" i="29" s="1"/>
  <c r="AA1010" i="29"/>
  <c r="BQ1015" i="29"/>
  <c r="AB1011" i="29"/>
  <c r="X1010" i="29"/>
  <c r="BO1015" i="29"/>
  <c r="BN1015" i="29"/>
  <c r="BR1014" i="29"/>
  <c r="BY1014" i="29"/>
  <c r="U1012" i="29"/>
  <c r="AC1012" i="29" s="1"/>
  <c r="J1013" i="29"/>
  <c r="L1012" i="29"/>
  <c r="K1013" i="29"/>
  <c r="AC1011" i="29"/>
  <c r="Z1009" i="29"/>
  <c r="T1013" i="29"/>
  <c r="S1013" i="29"/>
  <c r="V1012" i="29"/>
  <c r="AF1012" i="29"/>
  <c r="AE1012" i="29"/>
  <c r="BH1012" i="29"/>
  <c r="BB1012" i="29" s="1"/>
  <c r="AZ1012" i="29"/>
  <c r="BE1013" i="29"/>
  <c r="BG1013" i="29" s="1"/>
  <c r="BA1013" i="29" s="1"/>
  <c r="BD1014" i="29"/>
  <c r="BC1013" i="29"/>
  <c r="BF1013" i="29" s="1"/>
  <c r="BP1013" i="29"/>
  <c r="Z1010" i="29" l="1"/>
  <c r="BY1015" i="29"/>
  <c r="BR1015" i="29"/>
  <c r="BN1016" i="29"/>
  <c r="BO1016" i="29"/>
  <c r="AA1011" i="29"/>
  <c r="CA1012" i="29"/>
  <c r="BU1012" i="29" s="1"/>
  <c r="M1011" i="29"/>
  <c r="W1011" i="29"/>
  <c r="Y1011" i="29" s="1"/>
  <c r="S1014" i="29"/>
  <c r="V1013" i="29"/>
  <c r="T1014" i="29"/>
  <c r="AF1013" i="29"/>
  <c r="AE1013" i="29"/>
  <c r="R1012" i="29"/>
  <c r="Q1012" i="29"/>
  <c r="BQ1016" i="29"/>
  <c r="BQ1017" i="29" s="1"/>
  <c r="U1013" i="29"/>
  <c r="K1014" i="29"/>
  <c r="J1014" i="29"/>
  <c r="L1013" i="29"/>
  <c r="AB1012" i="29"/>
  <c r="BP1014" i="29"/>
  <c r="BC1014" i="29"/>
  <c r="BF1014" i="29" s="1"/>
  <c r="BE1014" i="29"/>
  <c r="BG1014" i="29" s="1"/>
  <c r="BA1014" i="29" s="1"/>
  <c r="BD1015" i="29"/>
  <c r="AZ1013" i="29"/>
  <c r="BH1013" i="29"/>
  <c r="BB1013" i="29" s="1"/>
  <c r="R1013" i="29" l="1"/>
  <c r="Q1013" i="29"/>
  <c r="X1012" i="29"/>
  <c r="W1012" i="29"/>
  <c r="Y1012" i="29" s="1"/>
  <c r="M1012" i="29"/>
  <c r="CA1013" i="29"/>
  <c r="BU1013" i="29" s="1"/>
  <c r="AA1012" i="29"/>
  <c r="AC1013" i="29"/>
  <c r="U1014" i="29"/>
  <c r="AB1014" i="29" s="1"/>
  <c r="K1015" i="29"/>
  <c r="J1015" i="29"/>
  <c r="L1014" i="29"/>
  <c r="T1015" i="29"/>
  <c r="S1015" i="29"/>
  <c r="V1014" i="29"/>
  <c r="AE1014" i="29"/>
  <c r="AF1014" i="29"/>
  <c r="AB1013" i="29"/>
  <c r="BO1017" i="29"/>
  <c r="BQ1018" i="29" s="1"/>
  <c r="BN1017" i="29"/>
  <c r="BY1016" i="29"/>
  <c r="BR1016" i="29"/>
  <c r="Z1011" i="29"/>
  <c r="BP1015" i="29"/>
  <c r="BD1016" i="29"/>
  <c r="BC1015" i="29"/>
  <c r="BF1015" i="29" s="1"/>
  <c r="BE1015" i="29"/>
  <c r="BG1015" i="29" s="1"/>
  <c r="BA1015" i="29" s="1"/>
  <c r="AZ1014" i="29"/>
  <c r="BH1014" i="29"/>
  <c r="BB1014" i="29" s="1"/>
  <c r="AC1014" i="29" l="1"/>
  <c r="Z1012" i="29"/>
  <c r="W1013" i="29"/>
  <c r="Y1013" i="29" s="1"/>
  <c r="M1013" i="29"/>
  <c r="AA1013" i="29"/>
  <c r="CA1014" i="29"/>
  <c r="BU1014" i="29" s="1"/>
  <c r="Q1014" i="29"/>
  <c r="X1014" i="29" s="1"/>
  <c r="R1014" i="29"/>
  <c r="X1013" i="29"/>
  <c r="BN1018" i="29"/>
  <c r="BO1018" i="29"/>
  <c r="BR1017" i="29"/>
  <c r="U1015" i="29"/>
  <c r="AC1015" i="29" s="1"/>
  <c r="T1016" i="29"/>
  <c r="V1015" i="29"/>
  <c r="S1016" i="29"/>
  <c r="AE1015" i="29"/>
  <c r="AF1015" i="29"/>
  <c r="J1016" i="29"/>
  <c r="L1015" i="29"/>
  <c r="K1016" i="29"/>
  <c r="AZ1015" i="29"/>
  <c r="BH1015" i="29"/>
  <c r="BB1015" i="29" s="1"/>
  <c r="BD1017" i="29"/>
  <c r="BC1016" i="29"/>
  <c r="BF1016" i="29" s="1"/>
  <c r="BP1016" i="29"/>
  <c r="BE1016" i="29"/>
  <c r="BG1016" i="29" s="1"/>
  <c r="BA1016" i="29" s="1"/>
  <c r="Z1013" i="29" l="1"/>
  <c r="T1017" i="29"/>
  <c r="S1017" i="29"/>
  <c r="V1016" i="29"/>
  <c r="AE1016" i="29"/>
  <c r="AF1016" i="29"/>
  <c r="W1014" i="29"/>
  <c r="Y1014" i="29" s="1"/>
  <c r="AA1014" i="29"/>
  <c r="CA1015" i="29"/>
  <c r="BU1015" i="29" s="1"/>
  <c r="M1014" i="29"/>
  <c r="J1017" i="29"/>
  <c r="K1017" i="29"/>
  <c r="L1016" i="29"/>
  <c r="R1015" i="29"/>
  <c r="Q1015" i="29"/>
  <c r="BN1019" i="29"/>
  <c r="BO1019" i="29"/>
  <c r="BY1018" i="29"/>
  <c r="BR1018" i="29"/>
  <c r="U1016" i="29"/>
  <c r="AB1015" i="29"/>
  <c r="BQ1019" i="29"/>
  <c r="BC1017" i="29"/>
  <c r="BF1017" i="29" s="1"/>
  <c r="BD1018" i="29"/>
  <c r="BE1017" i="29"/>
  <c r="BG1017" i="29" s="1"/>
  <c r="BA1017" i="29" s="1"/>
  <c r="BP1017" i="29"/>
  <c r="BI1017" i="29"/>
  <c r="AZ1016" i="29"/>
  <c r="BH1016" i="29"/>
  <c r="BB1016" i="29" s="1"/>
  <c r="Z1014" i="29" l="1"/>
  <c r="BY1019" i="29"/>
  <c r="BR1019" i="29"/>
  <c r="BN1020" i="29"/>
  <c r="BO1020" i="29"/>
  <c r="R1016" i="29"/>
  <c r="Q1016" i="29"/>
  <c r="K1018" i="29"/>
  <c r="L1017" i="29"/>
  <c r="J1018" i="29"/>
  <c r="U1017" i="29"/>
  <c r="AB1017" i="29" s="1"/>
  <c r="X1015" i="29"/>
  <c r="W1015" i="29"/>
  <c r="Y1015" i="29" s="1"/>
  <c r="Z1015" i="29" s="1"/>
  <c r="AA1015" i="29"/>
  <c r="M1015" i="29"/>
  <c r="CA1016" i="29"/>
  <c r="BU1016" i="29" s="1"/>
  <c r="T1018" i="29"/>
  <c r="S1018" i="29"/>
  <c r="V1017" i="29"/>
  <c r="AE1017" i="29"/>
  <c r="AF1017" i="29"/>
  <c r="BQ1020" i="29"/>
  <c r="BQ1021" i="29" s="1"/>
  <c r="BH1017" i="29"/>
  <c r="BB1017" i="29" s="1"/>
  <c r="AZ1017" i="29"/>
  <c r="BP1018" i="29"/>
  <c r="BC1018" i="29"/>
  <c r="BF1018" i="29" s="1"/>
  <c r="BD1019" i="29"/>
  <c r="BE1018" i="29"/>
  <c r="BG1018" i="29" s="1"/>
  <c r="BA1018" i="29" s="1"/>
  <c r="AA1016" i="29" l="1"/>
  <c r="W1016" i="29"/>
  <c r="CB1017" i="29" s="1"/>
  <c r="BV1017" i="29" s="1"/>
  <c r="CA1017" i="29"/>
  <c r="BU1017" i="29" s="1"/>
  <c r="Q1017" i="29"/>
  <c r="X1017" i="29" s="1"/>
  <c r="R1017" i="29"/>
  <c r="V1018" i="29"/>
  <c r="S1019" i="29"/>
  <c r="T1019" i="29"/>
  <c r="AE1018" i="29"/>
  <c r="AF1018" i="29"/>
  <c r="L1018" i="29"/>
  <c r="J1019" i="29"/>
  <c r="K1019" i="29"/>
  <c r="BR1020" i="29"/>
  <c r="BO1021" i="29"/>
  <c r="BY1020" i="29"/>
  <c r="BN1021" i="29"/>
  <c r="U1018" i="29"/>
  <c r="AC1017" i="29"/>
  <c r="AZ1018" i="29"/>
  <c r="BH1018" i="29"/>
  <c r="BB1018" i="29" s="1"/>
  <c r="BE1019" i="29"/>
  <c r="BG1019" i="29" s="1"/>
  <c r="BA1019" i="29" s="1"/>
  <c r="BD1020" i="29"/>
  <c r="BC1019" i="29"/>
  <c r="BF1019" i="29" s="1"/>
  <c r="BP1019" i="29"/>
  <c r="J1020" i="29" l="1"/>
  <c r="L1019" i="29"/>
  <c r="K1020" i="29"/>
  <c r="CC1017" i="29"/>
  <c r="Q1018" i="29"/>
  <c r="R1018" i="29"/>
  <c r="T1020" i="29"/>
  <c r="V1019" i="29"/>
  <c r="S1020" i="29"/>
  <c r="AF1019" i="29"/>
  <c r="AE1019" i="29"/>
  <c r="AB1018" i="29"/>
  <c r="BN1022" i="29"/>
  <c r="BR1021" i="29"/>
  <c r="BY1021" i="29"/>
  <c r="BO1022" i="29"/>
  <c r="U1019" i="29"/>
  <c r="CA1018" i="29"/>
  <c r="BU1018" i="29" s="1"/>
  <c r="AA1017" i="29"/>
  <c r="M1017" i="29"/>
  <c r="W1017" i="29"/>
  <c r="Y1017" i="29" s="1"/>
  <c r="AC1018" i="29"/>
  <c r="BQ1022" i="29"/>
  <c r="BQ1023" i="29" s="1"/>
  <c r="Y1016" i="29"/>
  <c r="Z1016" i="29" s="1"/>
  <c r="CB1015" i="29"/>
  <c r="CB1009" i="29"/>
  <c r="CB1014" i="29"/>
  <c r="CB1012" i="29"/>
  <c r="CB1016" i="29"/>
  <c r="CB1013" i="29"/>
  <c r="BC1020" i="29"/>
  <c r="BF1020" i="29" s="1"/>
  <c r="BD1021" i="29"/>
  <c r="BP1020" i="29"/>
  <c r="BE1020" i="29"/>
  <c r="BG1020" i="29" s="1"/>
  <c r="BA1020" i="29" s="1"/>
  <c r="AZ1019" i="29"/>
  <c r="BH1019" i="29"/>
  <c r="BB1019" i="29" s="1"/>
  <c r="BV1014" i="29" l="1"/>
  <c r="CC1014" i="29"/>
  <c r="R1019" i="29"/>
  <c r="Q1019" i="29"/>
  <c r="X1019" i="29" s="1"/>
  <c r="V1020" i="29"/>
  <c r="S1021" i="29"/>
  <c r="T1021" i="29"/>
  <c r="AF1020" i="29"/>
  <c r="AE1020" i="29"/>
  <c r="K1021" i="29"/>
  <c r="J1021" i="29"/>
  <c r="L1020" i="29"/>
  <c r="BV1013" i="29"/>
  <c r="CC1013" i="29"/>
  <c r="BV1009" i="29"/>
  <c r="CC1009" i="29"/>
  <c r="AB1019" i="29"/>
  <c r="BV1015" i="29"/>
  <c r="CC1015" i="29"/>
  <c r="AC1019" i="29"/>
  <c r="U1020" i="29"/>
  <c r="AB1020" i="29" s="1"/>
  <c r="X1018" i="29"/>
  <c r="W1018" i="29"/>
  <c r="Y1018" i="29" s="1"/>
  <c r="CA1019" i="29"/>
  <c r="BU1019" i="29" s="1"/>
  <c r="AA1018" i="29"/>
  <c r="M1018" i="29"/>
  <c r="BV1016" i="29"/>
  <c r="CC1016" i="29"/>
  <c r="BV1012" i="29"/>
  <c r="CC1012" i="29"/>
  <c r="Z1017" i="29"/>
  <c r="AB1016" i="29"/>
  <c r="AC1016" i="29"/>
  <c r="BO1023" i="29"/>
  <c r="BQ1024" i="29" s="1"/>
  <c r="BY1022" i="29"/>
  <c r="BR1022" i="29"/>
  <c r="BN1023" i="29"/>
  <c r="BC1021" i="29"/>
  <c r="BF1021" i="29" s="1"/>
  <c r="BE1021" i="29"/>
  <c r="BG1021" i="29" s="1"/>
  <c r="BA1021" i="29" s="1"/>
  <c r="BP1021" i="29"/>
  <c r="BD1022" i="29"/>
  <c r="BH1020" i="29"/>
  <c r="BB1020" i="29" s="1"/>
  <c r="AZ1020" i="29"/>
  <c r="Z1018" i="29" l="1"/>
  <c r="J1022" i="29"/>
  <c r="K1022" i="29"/>
  <c r="L1021" i="29"/>
  <c r="U1021" i="29"/>
  <c r="BR1023" i="29"/>
  <c r="BY1023" i="29"/>
  <c r="BO1024" i="29"/>
  <c r="BN1024" i="29"/>
  <c r="R1020" i="29"/>
  <c r="Q1020" i="29"/>
  <c r="AC1020" i="29"/>
  <c r="T1022" i="29"/>
  <c r="S1022" i="29"/>
  <c r="V1021" i="29"/>
  <c r="AF1021" i="29"/>
  <c r="AE1021" i="29"/>
  <c r="W1019" i="29"/>
  <c r="Y1019" i="29" s="1"/>
  <c r="Z1019" i="29" s="1"/>
  <c r="M1019" i="29"/>
  <c r="AA1019" i="29"/>
  <c r="CA1020" i="29"/>
  <c r="BU1020" i="29" s="1"/>
  <c r="BC1022" i="29"/>
  <c r="BF1022" i="29" s="1"/>
  <c r="BP1022" i="29"/>
  <c r="BE1022" i="29"/>
  <c r="BG1022" i="29" s="1"/>
  <c r="BA1022" i="29" s="1"/>
  <c r="BD1023" i="29"/>
  <c r="BH1021" i="29"/>
  <c r="BB1021" i="29" s="1"/>
  <c r="AZ1021" i="29"/>
  <c r="U1022" i="29" l="1"/>
  <c r="CA1021" i="29"/>
  <c r="BU1021" i="29" s="1"/>
  <c r="AA1020" i="29"/>
  <c r="M1020" i="29"/>
  <c r="W1020" i="29"/>
  <c r="Y1020" i="29" s="1"/>
  <c r="Z1020" i="29" s="1"/>
  <c r="Q1021" i="29"/>
  <c r="X1021" i="29" s="1"/>
  <c r="R1021" i="29"/>
  <c r="L1022" i="29"/>
  <c r="K1023" i="29"/>
  <c r="J1023" i="29"/>
  <c r="V1022" i="29"/>
  <c r="T1023" i="29"/>
  <c r="S1023" i="29"/>
  <c r="AF1022" i="29"/>
  <c r="AE1022" i="29"/>
  <c r="BN1025" i="29"/>
  <c r="BR1024" i="29"/>
  <c r="BY1024" i="29"/>
  <c r="BO1025" i="29"/>
  <c r="AB1021" i="29"/>
  <c r="X1020" i="29"/>
  <c r="AC1021" i="29"/>
  <c r="BQ1025" i="29"/>
  <c r="BP1023" i="29"/>
  <c r="BD1024" i="29"/>
  <c r="BC1023" i="29"/>
  <c r="BF1023" i="29" s="1"/>
  <c r="BE1023" i="29"/>
  <c r="BG1023" i="29" s="1"/>
  <c r="BA1023" i="29" s="1"/>
  <c r="BH1022" i="29"/>
  <c r="BB1022" i="29" s="1"/>
  <c r="AZ1022" i="29"/>
  <c r="BR1025" i="29" l="1"/>
  <c r="BN1026" i="29"/>
  <c r="BY1025" i="29"/>
  <c r="BO1026" i="29"/>
  <c r="BQ1026" i="29"/>
  <c r="BQ1027" i="29" s="1"/>
  <c r="U1023" i="29"/>
  <c r="AB1023" i="29" s="1"/>
  <c r="K1024" i="29"/>
  <c r="J1024" i="29"/>
  <c r="L1023" i="29"/>
  <c r="M1021" i="29"/>
  <c r="AA1021" i="29"/>
  <c r="CA1022" i="29"/>
  <c r="BU1022" i="29" s="1"/>
  <c r="W1021" i="29"/>
  <c r="Y1021" i="29" s="1"/>
  <c r="Z1021" i="29" s="1"/>
  <c r="Q1022" i="29"/>
  <c r="X1022" i="29" s="1"/>
  <c r="R1022" i="29"/>
  <c r="V1023" i="29"/>
  <c r="S1024" i="29"/>
  <c r="T1024" i="29"/>
  <c r="AE1023" i="29"/>
  <c r="AF1023" i="29"/>
  <c r="AC1022" i="29"/>
  <c r="AB1022" i="29"/>
  <c r="AZ1023" i="29"/>
  <c r="BH1023" i="29"/>
  <c r="BB1023" i="29" s="1"/>
  <c r="BC1024" i="29"/>
  <c r="BF1024" i="29" s="1"/>
  <c r="BD1025" i="29"/>
  <c r="BE1024" i="29"/>
  <c r="BG1024" i="29" s="1"/>
  <c r="BA1024" i="29" s="1"/>
  <c r="BP1024" i="29"/>
  <c r="AC1023" i="29" l="1"/>
  <c r="CA1023" i="29"/>
  <c r="BU1023" i="29" s="1"/>
  <c r="W1022" i="29"/>
  <c r="Y1022" i="29" s="1"/>
  <c r="Z1022" i="29" s="1"/>
  <c r="AA1022" i="29"/>
  <c r="M1022" i="29"/>
  <c r="U1024" i="29"/>
  <c r="AC1024" i="29" s="1"/>
  <c r="L1024" i="29"/>
  <c r="K1025" i="29"/>
  <c r="J1025" i="29"/>
  <c r="S1025" i="29"/>
  <c r="T1025" i="29"/>
  <c r="V1024" i="29"/>
  <c r="AF1024" i="29"/>
  <c r="AE1024" i="29"/>
  <c r="R1023" i="29"/>
  <c r="Q1023" i="29"/>
  <c r="BY1026" i="29"/>
  <c r="BN1027" i="29"/>
  <c r="BR1026" i="29"/>
  <c r="BO1027" i="29"/>
  <c r="BD1026" i="29"/>
  <c r="BE1025" i="29"/>
  <c r="BG1025" i="29" s="1"/>
  <c r="BA1025" i="29" s="1"/>
  <c r="BP1025" i="29"/>
  <c r="BC1025" i="29"/>
  <c r="BF1025" i="29" s="1"/>
  <c r="AZ1024" i="29"/>
  <c r="BH1024" i="29"/>
  <c r="BB1024" i="29" s="1"/>
  <c r="AB1024" i="29" l="1"/>
  <c r="V1025" i="29"/>
  <c r="S1026" i="29"/>
  <c r="T1026" i="29"/>
  <c r="AE1025" i="29"/>
  <c r="AF1025" i="29"/>
  <c r="J1026" i="29"/>
  <c r="K1026" i="29"/>
  <c r="L1025" i="29"/>
  <c r="CA1024" i="29"/>
  <c r="BU1024" i="29" s="1"/>
  <c r="M1023" i="29"/>
  <c r="W1023" i="29"/>
  <c r="Y1023" i="29" s="1"/>
  <c r="Z1023" i="29" s="1"/>
  <c r="AA1023" i="29"/>
  <c r="U1025" i="29"/>
  <c r="BR1027" i="29"/>
  <c r="BY1027" i="29"/>
  <c r="BO1028" i="29"/>
  <c r="BN1028" i="29"/>
  <c r="X1023" i="29"/>
  <c r="BQ1028" i="29"/>
  <c r="Q1024" i="29"/>
  <c r="X1024" i="29" s="1"/>
  <c r="R1024" i="29"/>
  <c r="BD1027" i="29"/>
  <c r="BE1026" i="29"/>
  <c r="BG1026" i="29" s="1"/>
  <c r="BA1026" i="29" s="1"/>
  <c r="BP1026" i="29"/>
  <c r="BC1026" i="29"/>
  <c r="BF1026" i="29" s="1"/>
  <c r="AZ1025" i="29"/>
  <c r="BH1025" i="29"/>
  <c r="BB1025" i="29" s="1"/>
  <c r="BR1028" i="29" l="1"/>
  <c r="BY1028" i="29"/>
  <c r="BO1029" i="29"/>
  <c r="BN1029" i="29"/>
  <c r="Q1025" i="29"/>
  <c r="X1025" i="29" s="1"/>
  <c r="R1025" i="29"/>
  <c r="CA1025" i="29"/>
  <c r="BU1025" i="29" s="1"/>
  <c r="AA1024" i="29"/>
  <c r="W1024" i="29"/>
  <c r="Y1024" i="29" s="1"/>
  <c r="Z1024" i="29" s="1"/>
  <c r="M1024" i="29"/>
  <c r="AC1025" i="29"/>
  <c r="BQ1029" i="29"/>
  <c r="BQ1030" i="29" s="1"/>
  <c r="AB1025" i="29"/>
  <c r="L1026" i="29"/>
  <c r="K1027" i="29"/>
  <c r="J1027" i="29"/>
  <c r="S1027" i="29"/>
  <c r="V1026" i="29"/>
  <c r="T1027" i="29"/>
  <c r="AE1026" i="29"/>
  <c r="AF1026" i="29"/>
  <c r="U1026" i="29"/>
  <c r="AB1026" i="29" s="1"/>
  <c r="AZ1026" i="29"/>
  <c r="BH1026" i="29"/>
  <c r="BB1026" i="29" s="1"/>
  <c r="BC1027" i="29"/>
  <c r="BF1027" i="29" s="1"/>
  <c r="BP1027" i="29"/>
  <c r="BE1027" i="29"/>
  <c r="BG1027" i="29" s="1"/>
  <c r="BA1027" i="29" s="1"/>
  <c r="BD1028" i="29"/>
  <c r="T1028" i="29" l="1"/>
  <c r="S1028" i="29"/>
  <c r="V1027" i="29"/>
  <c r="AF1027" i="29"/>
  <c r="AE1027" i="29"/>
  <c r="J1028" i="29"/>
  <c r="K1028" i="29"/>
  <c r="L1027" i="29"/>
  <c r="R1026" i="29"/>
  <c r="Q1026" i="29"/>
  <c r="X1026" i="29" s="1"/>
  <c r="AC1026" i="29"/>
  <c r="U1027" i="29"/>
  <c r="AC1027" i="29" s="1"/>
  <c r="CA1026" i="29"/>
  <c r="BU1026" i="29" s="1"/>
  <c r="M1025" i="29"/>
  <c r="AA1025" i="29"/>
  <c r="W1025" i="29"/>
  <c r="Y1025" i="29" s="1"/>
  <c r="Z1025" i="29" s="1"/>
  <c r="BN1030" i="29"/>
  <c r="BO1030" i="29"/>
  <c r="BQ1031" i="29" s="1"/>
  <c r="BR1029" i="29"/>
  <c r="BE1028" i="29"/>
  <c r="BG1028" i="29" s="1"/>
  <c r="BA1028" i="29" s="1"/>
  <c r="BP1028" i="29"/>
  <c r="BC1028" i="29"/>
  <c r="BF1028" i="29" s="1"/>
  <c r="BD1029" i="29"/>
  <c r="BH1027" i="29"/>
  <c r="BB1027" i="29" s="1"/>
  <c r="AZ1027" i="29"/>
  <c r="R1027" i="29" l="1"/>
  <c r="Q1027" i="29"/>
  <c r="AA1026" i="29"/>
  <c r="M1026" i="29"/>
  <c r="W1026" i="29"/>
  <c r="Y1026" i="29" s="1"/>
  <c r="Z1026" i="29" s="1"/>
  <c r="CA1027" i="29"/>
  <c r="BU1027" i="29" s="1"/>
  <c r="T1029" i="29"/>
  <c r="S1029" i="29"/>
  <c r="V1028" i="29"/>
  <c r="AF1028" i="29"/>
  <c r="AE1028" i="29"/>
  <c r="AB1027" i="29"/>
  <c r="U1028" i="29"/>
  <c r="BR1030" i="29"/>
  <c r="BO1031" i="29"/>
  <c r="BY1030" i="29"/>
  <c r="BN1031" i="29"/>
  <c r="J1029" i="29"/>
  <c r="L1028" i="29"/>
  <c r="K1029" i="29"/>
  <c r="BP1029" i="29"/>
  <c r="BC1029" i="29"/>
  <c r="BF1029" i="29" s="1"/>
  <c r="BE1029" i="29"/>
  <c r="BG1029" i="29" s="1"/>
  <c r="BA1029" i="29" s="1"/>
  <c r="BI1029" i="29"/>
  <c r="BD1030" i="29"/>
  <c r="AZ1028" i="29"/>
  <c r="BH1028" i="29"/>
  <c r="BB1028" i="29" s="1"/>
  <c r="BN1032" i="29" l="1"/>
  <c r="BR1031" i="29"/>
  <c r="BY1031" i="29"/>
  <c r="BO1032" i="29"/>
  <c r="R1028" i="29"/>
  <c r="Q1028" i="29"/>
  <c r="T1030" i="29"/>
  <c r="S1030" i="29"/>
  <c r="V1029" i="29"/>
  <c r="AF1029" i="29"/>
  <c r="AE1029" i="29"/>
  <c r="AA1027" i="29"/>
  <c r="W1027" i="29"/>
  <c r="Y1027" i="29" s="1"/>
  <c r="Z1027" i="29" s="1"/>
  <c r="M1027" i="29"/>
  <c r="CA1028" i="29"/>
  <c r="BU1028" i="29" s="1"/>
  <c r="J1030" i="29"/>
  <c r="L1029" i="29"/>
  <c r="K1030" i="29"/>
  <c r="U1029" i="29"/>
  <c r="AC1029" i="29" s="1"/>
  <c r="X1027" i="29"/>
  <c r="BQ1032" i="29"/>
  <c r="BQ1033" i="29" s="1"/>
  <c r="BP1030" i="29"/>
  <c r="BC1030" i="29"/>
  <c r="BF1030" i="29" s="1"/>
  <c r="BE1030" i="29"/>
  <c r="BG1030" i="29" s="1"/>
  <c r="BA1030" i="29" s="1"/>
  <c r="BD1031" i="29"/>
  <c r="AZ1029" i="29"/>
  <c r="BH1029" i="29"/>
  <c r="BB1029" i="29" s="1"/>
  <c r="U1030" i="29" l="1"/>
  <c r="AB1030" i="29" s="1"/>
  <c r="CA1029" i="29"/>
  <c r="BU1029" i="29" s="1"/>
  <c r="AA1028" i="29"/>
  <c r="W1028" i="29"/>
  <c r="CB1029" i="29" s="1"/>
  <c r="BV1029" i="29" s="1"/>
  <c r="R1029" i="29"/>
  <c r="Q1029" i="29"/>
  <c r="X1029" i="29" s="1"/>
  <c r="AB1029" i="29"/>
  <c r="T1031" i="29"/>
  <c r="V1030" i="29"/>
  <c r="S1031" i="29"/>
  <c r="AE1030" i="29"/>
  <c r="AF1030" i="29"/>
  <c r="L1030" i="29"/>
  <c r="K1031" i="29"/>
  <c r="J1031" i="29"/>
  <c r="BN1033" i="29"/>
  <c r="BR1032" i="29"/>
  <c r="BO1033" i="29"/>
  <c r="BY1032" i="29"/>
  <c r="BH1030" i="29"/>
  <c r="BB1030" i="29" s="1"/>
  <c r="AZ1030" i="29"/>
  <c r="BP1031" i="29"/>
  <c r="BD1032" i="29"/>
  <c r="BE1031" i="29"/>
  <c r="BG1031" i="29" s="1"/>
  <c r="BA1031" i="29" s="1"/>
  <c r="BC1031" i="29"/>
  <c r="BF1031" i="29" s="1"/>
  <c r="Y1028" i="29" l="1"/>
  <c r="Z1028" i="29" s="1"/>
  <c r="CB1027" i="29"/>
  <c r="CB1024" i="29"/>
  <c r="CB1028" i="29"/>
  <c r="CB1026" i="29"/>
  <c r="CB1025" i="29"/>
  <c r="AC1030" i="29"/>
  <c r="R1030" i="29"/>
  <c r="Q1030" i="29"/>
  <c r="X1030" i="29" s="1"/>
  <c r="T1032" i="29"/>
  <c r="S1032" i="29"/>
  <c r="V1031" i="29"/>
  <c r="AF1031" i="29"/>
  <c r="AE1031" i="29"/>
  <c r="W1029" i="29"/>
  <c r="Y1029" i="29" s="1"/>
  <c r="M1029" i="29"/>
  <c r="CA1030" i="29"/>
  <c r="BU1030" i="29" s="1"/>
  <c r="AA1029" i="29"/>
  <c r="BO1034" i="29"/>
  <c r="BR1033" i="29"/>
  <c r="BN1034" i="29"/>
  <c r="BY1033" i="29"/>
  <c r="L1031" i="29"/>
  <c r="J1032" i="29"/>
  <c r="K1032" i="29"/>
  <c r="U1031" i="29"/>
  <c r="AB1031" i="29" s="1"/>
  <c r="BQ1034" i="29"/>
  <c r="BQ1035" i="29" s="1"/>
  <c r="CC1029" i="29"/>
  <c r="BC1032" i="29"/>
  <c r="BF1032" i="29" s="1"/>
  <c r="BP1032" i="29"/>
  <c r="BE1032" i="29"/>
  <c r="BG1032" i="29" s="1"/>
  <c r="BA1032" i="29" s="1"/>
  <c r="BD1033" i="29"/>
  <c r="AZ1031" i="29"/>
  <c r="BH1031" i="29"/>
  <c r="BB1031" i="29" s="1"/>
  <c r="BV1025" i="29" l="1"/>
  <c r="CC1025" i="29"/>
  <c r="BV1027" i="29"/>
  <c r="CC1027" i="29"/>
  <c r="BV1024" i="29"/>
  <c r="CC1024" i="29"/>
  <c r="AC1031" i="29"/>
  <c r="BN1035" i="29"/>
  <c r="BY1034" i="29"/>
  <c r="BO1035" i="29"/>
  <c r="BR1034" i="29"/>
  <c r="CA1031" i="29"/>
  <c r="BU1031" i="29" s="1"/>
  <c r="W1030" i="29"/>
  <c r="Y1030" i="29" s="1"/>
  <c r="M1030" i="29"/>
  <c r="AA1030" i="29"/>
  <c r="BV1026" i="29"/>
  <c r="CC1026" i="29"/>
  <c r="Z1029" i="29"/>
  <c r="AB1028" i="29"/>
  <c r="AC1028" i="29"/>
  <c r="Q1031" i="29"/>
  <c r="R1031" i="29"/>
  <c r="S1033" i="29"/>
  <c r="V1032" i="29"/>
  <c r="T1033" i="29"/>
  <c r="AF1032" i="29"/>
  <c r="AE1032" i="29"/>
  <c r="BQ1036" i="29"/>
  <c r="J1033" i="29"/>
  <c r="K1033" i="29"/>
  <c r="L1032" i="29"/>
  <c r="U1032" i="29"/>
  <c r="BV1028" i="29"/>
  <c r="CC1028" i="29"/>
  <c r="BE1033" i="29"/>
  <c r="BG1033" i="29" s="1"/>
  <c r="BA1033" i="29" s="1"/>
  <c r="BD1034" i="29"/>
  <c r="BC1033" i="29"/>
  <c r="BF1033" i="29" s="1"/>
  <c r="BP1033" i="29"/>
  <c r="BH1032" i="29"/>
  <c r="BB1032" i="29" s="1"/>
  <c r="AZ1032" i="29"/>
  <c r="CA1032" i="29" l="1"/>
  <c r="BU1032" i="29" s="1"/>
  <c r="AA1031" i="29"/>
  <c r="W1031" i="29"/>
  <c r="Y1031" i="29" s="1"/>
  <c r="M1031" i="29"/>
  <c r="BN1036" i="29"/>
  <c r="BR1035" i="29"/>
  <c r="BY1035" i="29"/>
  <c r="BO1036" i="29"/>
  <c r="R1032" i="29"/>
  <c r="Q1032" i="29"/>
  <c r="X1032" i="29" s="1"/>
  <c r="U1033" i="29"/>
  <c r="AC1032" i="29"/>
  <c r="L1033" i="29"/>
  <c r="J1034" i="29"/>
  <c r="K1034" i="29"/>
  <c r="X1031" i="29"/>
  <c r="AB1032" i="29"/>
  <c r="T1034" i="29"/>
  <c r="S1034" i="29"/>
  <c r="V1033" i="29"/>
  <c r="AE1033" i="29"/>
  <c r="AF1033" i="29"/>
  <c r="Z1030" i="29"/>
  <c r="BD1035" i="29"/>
  <c r="BC1034" i="29"/>
  <c r="BF1034" i="29" s="1"/>
  <c r="BE1034" i="29"/>
  <c r="BG1034" i="29" s="1"/>
  <c r="BA1034" i="29" s="1"/>
  <c r="BP1034" i="29"/>
  <c r="BH1033" i="29"/>
  <c r="BB1033" i="29" s="1"/>
  <c r="AZ1033" i="29"/>
  <c r="BY1036" i="29" l="1"/>
  <c r="BN1037" i="29"/>
  <c r="BO1037" i="29"/>
  <c r="BR1036" i="29"/>
  <c r="Z1031" i="29"/>
  <c r="U1034" i="29"/>
  <c r="AC1034" i="29" s="1"/>
  <c r="K1035" i="29"/>
  <c r="L1034" i="29"/>
  <c r="J1035" i="29"/>
  <c r="R1033" i="29"/>
  <c r="Q1033" i="29"/>
  <c r="X1033" i="29" s="1"/>
  <c r="W1032" i="29"/>
  <c r="Y1032" i="29" s="1"/>
  <c r="CA1033" i="29"/>
  <c r="BU1033" i="29" s="1"/>
  <c r="AA1032" i="29"/>
  <c r="M1032" i="29"/>
  <c r="T1035" i="29"/>
  <c r="V1034" i="29"/>
  <c r="S1035" i="29"/>
  <c r="AE1034" i="29"/>
  <c r="AF1034" i="29"/>
  <c r="AB1033" i="29"/>
  <c r="AC1033" i="29"/>
  <c r="BQ1037" i="29"/>
  <c r="BQ1038" i="29" s="1"/>
  <c r="BH1034" i="29"/>
  <c r="BB1034" i="29" s="1"/>
  <c r="AZ1034" i="29"/>
  <c r="BP1035" i="29"/>
  <c r="BE1035" i="29"/>
  <c r="BG1035" i="29" s="1"/>
  <c r="BA1035" i="29" s="1"/>
  <c r="BC1035" i="29"/>
  <c r="BF1035" i="29" s="1"/>
  <c r="BD1036" i="29"/>
  <c r="AB1034" i="29" l="1"/>
  <c r="BR1037" i="29"/>
  <c r="BO1038" i="29"/>
  <c r="BN1038" i="29"/>
  <c r="BY1037" i="29"/>
  <c r="U1035" i="29"/>
  <c r="K1036" i="29"/>
  <c r="J1036" i="29"/>
  <c r="L1035" i="29"/>
  <c r="Z1032" i="29"/>
  <c r="M1033" i="29"/>
  <c r="CA1034" i="29"/>
  <c r="BU1034" i="29" s="1"/>
  <c r="W1033" i="29"/>
  <c r="Y1033" i="29" s="1"/>
  <c r="AA1033" i="29"/>
  <c r="BQ1039" i="29"/>
  <c r="V1035" i="29"/>
  <c r="S1036" i="29"/>
  <c r="T1036" i="29"/>
  <c r="AE1035" i="29"/>
  <c r="AF1035" i="29"/>
  <c r="R1034" i="29"/>
  <c r="Q1034" i="29"/>
  <c r="BE1036" i="29"/>
  <c r="BG1036" i="29" s="1"/>
  <c r="BA1036" i="29" s="1"/>
  <c r="BP1036" i="29"/>
  <c r="BC1036" i="29"/>
  <c r="BF1036" i="29" s="1"/>
  <c r="BD1037" i="29"/>
  <c r="BH1035" i="29"/>
  <c r="BB1035" i="29" s="1"/>
  <c r="AZ1035" i="29"/>
  <c r="J1037" i="29" l="1"/>
  <c r="K1037" i="29"/>
  <c r="L1036" i="29"/>
  <c r="U1036" i="29"/>
  <c r="AC1036" i="29" s="1"/>
  <c r="Z1033" i="29"/>
  <c r="Q1035" i="29"/>
  <c r="R1035" i="29"/>
  <c r="AB1035" i="29"/>
  <c r="BO1039" i="29"/>
  <c r="BY1038" i="29"/>
  <c r="BR1038" i="29"/>
  <c r="BN1039" i="29"/>
  <c r="W1034" i="29"/>
  <c r="Y1034" i="29" s="1"/>
  <c r="CA1035" i="29"/>
  <c r="BU1035" i="29" s="1"/>
  <c r="M1034" i="29"/>
  <c r="AA1034" i="29"/>
  <c r="V1036" i="29"/>
  <c r="S1037" i="29"/>
  <c r="T1037" i="29"/>
  <c r="AE1036" i="29"/>
  <c r="AF1036" i="29"/>
  <c r="X1034" i="29"/>
  <c r="BQ1040" i="29"/>
  <c r="AC1035" i="29"/>
  <c r="BE1037" i="29"/>
  <c r="BG1037" i="29" s="1"/>
  <c r="BA1037" i="29" s="1"/>
  <c r="BC1037" i="29"/>
  <c r="BF1037" i="29" s="1"/>
  <c r="BD1038" i="29"/>
  <c r="BP1037" i="29"/>
  <c r="BH1036" i="29"/>
  <c r="BB1036" i="29" s="1"/>
  <c r="AZ1036" i="29"/>
  <c r="BY1039" i="29" l="1"/>
  <c r="BN1040" i="29"/>
  <c r="BO1040" i="29"/>
  <c r="BR1039" i="29"/>
  <c r="Z1034" i="29"/>
  <c r="M1035" i="29"/>
  <c r="CA1036" i="29"/>
  <c r="BU1036" i="29" s="1"/>
  <c r="AA1035" i="29"/>
  <c r="W1035" i="29"/>
  <c r="Y1035" i="29" s="1"/>
  <c r="U1037" i="29"/>
  <c r="AB1037" i="29" s="1"/>
  <c r="X1035" i="29"/>
  <c r="Q1036" i="29"/>
  <c r="X1036" i="29" s="1"/>
  <c r="R1036" i="29"/>
  <c r="L1037" i="29"/>
  <c r="J1038" i="29"/>
  <c r="K1038" i="29"/>
  <c r="BQ1041" i="29"/>
  <c r="S1038" i="29"/>
  <c r="T1038" i="29"/>
  <c r="V1037" i="29"/>
  <c r="AF1037" i="29"/>
  <c r="AE1037" i="29"/>
  <c r="AB1036" i="29"/>
  <c r="BC1038" i="29"/>
  <c r="BF1038" i="29" s="1"/>
  <c r="BP1038" i="29"/>
  <c r="BE1038" i="29"/>
  <c r="BG1038" i="29" s="1"/>
  <c r="BA1038" i="29" s="1"/>
  <c r="BD1039" i="29"/>
  <c r="BH1037" i="29"/>
  <c r="BB1037" i="29" s="1"/>
  <c r="AZ1037" i="29"/>
  <c r="AC1037" i="29" l="1"/>
  <c r="BO1041" i="29"/>
  <c r="BY1040" i="29"/>
  <c r="BR1040" i="29"/>
  <c r="BN1041" i="29"/>
  <c r="K1039" i="29"/>
  <c r="J1039" i="29"/>
  <c r="L1038" i="29"/>
  <c r="Q1037" i="29"/>
  <c r="X1037" i="29" s="1"/>
  <c r="R1037" i="29"/>
  <c r="V1038" i="29"/>
  <c r="S1039" i="29"/>
  <c r="T1039" i="29"/>
  <c r="AE1038" i="29"/>
  <c r="AF1038" i="29"/>
  <c r="M1036" i="29"/>
  <c r="CA1037" i="29"/>
  <c r="BU1037" i="29" s="1"/>
  <c r="AA1036" i="29"/>
  <c r="W1036" i="29"/>
  <c r="Y1036" i="29" s="1"/>
  <c r="Z1035" i="29"/>
  <c r="U1038" i="29"/>
  <c r="AC1038" i="29" s="1"/>
  <c r="BD1040" i="29"/>
  <c r="BC1039" i="29"/>
  <c r="BF1039" i="29" s="1"/>
  <c r="BP1039" i="29"/>
  <c r="BE1039" i="29"/>
  <c r="BG1039" i="29" s="1"/>
  <c r="BA1039" i="29" s="1"/>
  <c r="AZ1038" i="29"/>
  <c r="BH1038" i="29"/>
  <c r="BB1038" i="29" s="1"/>
  <c r="Z1036" i="29" l="1"/>
  <c r="AB1038" i="29"/>
  <c r="U1039" i="29"/>
  <c r="AB1039" i="29" s="1"/>
  <c r="BR1041" i="29"/>
  <c r="BN1042" i="29"/>
  <c r="BO1042" i="29"/>
  <c r="V1039" i="29"/>
  <c r="S1040" i="29"/>
  <c r="T1040" i="29"/>
  <c r="AF1039" i="29"/>
  <c r="AE1039" i="29"/>
  <c r="L1039" i="29"/>
  <c r="J1040" i="29"/>
  <c r="K1040" i="29"/>
  <c r="R1038" i="29"/>
  <c r="Q1038" i="29"/>
  <c r="W1037" i="29"/>
  <c r="Y1037" i="29" s="1"/>
  <c r="Z1037" i="29" s="1"/>
  <c r="M1037" i="29"/>
  <c r="CA1038" i="29"/>
  <c r="BU1038" i="29" s="1"/>
  <c r="AA1037" i="29"/>
  <c r="BQ1042" i="29"/>
  <c r="BQ1043" i="29" s="1"/>
  <c r="BD1041" i="29"/>
  <c r="BP1040" i="29"/>
  <c r="BE1040" i="29"/>
  <c r="BG1040" i="29" s="1"/>
  <c r="BA1040" i="29" s="1"/>
  <c r="BC1040" i="29"/>
  <c r="BF1040" i="29" s="1"/>
  <c r="AZ1039" i="29"/>
  <c r="BH1039" i="29"/>
  <c r="BB1039" i="29" s="1"/>
  <c r="BN1043" i="29" l="1"/>
  <c r="BY1042" i="29"/>
  <c r="BO1043" i="29"/>
  <c r="BR1042" i="29"/>
  <c r="AC1039" i="29"/>
  <c r="AA1038" i="29"/>
  <c r="CA1039" i="29"/>
  <c r="BU1039" i="29" s="1"/>
  <c r="M1038" i="29"/>
  <c r="W1038" i="29"/>
  <c r="Y1038" i="29" s="1"/>
  <c r="Z1038" i="29" s="1"/>
  <c r="L1040" i="29"/>
  <c r="J1041" i="29"/>
  <c r="K1041" i="29"/>
  <c r="X1038" i="29"/>
  <c r="T1041" i="29"/>
  <c r="S1041" i="29"/>
  <c r="V1040" i="29"/>
  <c r="AF1040" i="29"/>
  <c r="AE1040" i="29"/>
  <c r="Q1039" i="29"/>
  <c r="R1039" i="29"/>
  <c r="U1040" i="29"/>
  <c r="BH1040" i="29"/>
  <c r="BB1040" i="29" s="1"/>
  <c r="AZ1040" i="29"/>
  <c r="BE1041" i="29"/>
  <c r="BG1041" i="29" s="1"/>
  <c r="BA1041" i="29" s="1"/>
  <c r="BD1042" i="29"/>
  <c r="BP1041" i="29"/>
  <c r="BI1041" i="29"/>
  <c r="BC1041" i="29"/>
  <c r="BF1041" i="29" s="1"/>
  <c r="BR1043" i="29" l="1"/>
  <c r="BY1043" i="29"/>
  <c r="BN1044" i="29"/>
  <c r="BO1044" i="29"/>
  <c r="R1040" i="29"/>
  <c r="Q1040" i="29"/>
  <c r="AA1039" i="29"/>
  <c r="M1039" i="29"/>
  <c r="W1039" i="29"/>
  <c r="Y1039" i="29" s="1"/>
  <c r="Z1039" i="29" s="1"/>
  <c r="CA1040" i="29"/>
  <c r="BU1040" i="29" s="1"/>
  <c r="J1042" i="29"/>
  <c r="L1041" i="29"/>
  <c r="K1042" i="29"/>
  <c r="U1041" i="29"/>
  <c r="AC1041" i="29" s="1"/>
  <c r="BQ1044" i="29"/>
  <c r="BQ1045" i="29" s="1"/>
  <c r="X1039" i="29"/>
  <c r="S1042" i="29"/>
  <c r="T1042" i="29"/>
  <c r="V1041" i="29"/>
  <c r="AE1041" i="29"/>
  <c r="AF1041" i="29"/>
  <c r="BD1043" i="29"/>
  <c r="BP1042" i="29"/>
  <c r="BE1042" i="29"/>
  <c r="BG1042" i="29" s="1"/>
  <c r="BA1042" i="29" s="1"/>
  <c r="BC1042" i="29"/>
  <c r="BF1042" i="29" s="1"/>
  <c r="AZ1041" i="29"/>
  <c r="BH1041" i="29"/>
  <c r="BB1041" i="29" s="1"/>
  <c r="AB1041" i="29" l="1"/>
  <c r="S1043" i="29"/>
  <c r="V1042" i="29"/>
  <c r="T1043" i="29"/>
  <c r="AE1042" i="29"/>
  <c r="AF1042" i="29"/>
  <c r="U1042" i="29"/>
  <c r="AC1042" i="29" s="1"/>
  <c r="AA1040" i="29"/>
  <c r="CA1041" i="29"/>
  <c r="BU1041" i="29" s="1"/>
  <c r="W1040" i="29"/>
  <c r="CB1041" i="29" s="1"/>
  <c r="Q1041" i="29"/>
  <c r="R1041" i="29"/>
  <c r="J1043" i="29"/>
  <c r="K1043" i="29"/>
  <c r="L1042" i="29"/>
  <c r="BR1044" i="29"/>
  <c r="BN1045" i="29"/>
  <c r="BY1044" i="29"/>
  <c r="BO1045" i="29"/>
  <c r="BQ1046" i="29" s="1"/>
  <c r="BE1043" i="29"/>
  <c r="BG1043" i="29" s="1"/>
  <c r="BA1043" i="29" s="1"/>
  <c r="BD1044" i="29"/>
  <c r="BC1043" i="29"/>
  <c r="BF1043" i="29" s="1"/>
  <c r="BP1043" i="29"/>
  <c r="BH1042" i="29"/>
  <c r="BB1042" i="29" s="1"/>
  <c r="AZ1042" i="29"/>
  <c r="BV1041" i="29" l="1"/>
  <c r="CC1041" i="29"/>
  <c r="Y1040" i="29"/>
  <c r="Z1040" i="29" s="1"/>
  <c r="CB1036" i="29"/>
  <c r="CB1037" i="29"/>
  <c r="CB1038" i="29"/>
  <c r="CB1035" i="29"/>
  <c r="CB1039" i="29"/>
  <c r="CB1040" i="29"/>
  <c r="Q1042" i="29"/>
  <c r="X1042" i="29" s="1"/>
  <c r="R1042" i="29"/>
  <c r="U1043" i="29"/>
  <c r="T1044" i="29"/>
  <c r="S1044" i="29"/>
  <c r="V1043" i="29"/>
  <c r="AF1043" i="29"/>
  <c r="AE1043" i="29"/>
  <c r="BN1046" i="29"/>
  <c r="BY1045" i="29"/>
  <c r="BR1045" i="29"/>
  <c r="BO1046" i="29"/>
  <c r="CA1042" i="29"/>
  <c r="BU1042" i="29" s="1"/>
  <c r="W1041" i="29"/>
  <c r="Y1041" i="29" s="1"/>
  <c r="M1041" i="29"/>
  <c r="AA1041" i="29"/>
  <c r="K1044" i="29"/>
  <c r="J1044" i="29"/>
  <c r="L1043" i="29"/>
  <c r="X1041" i="29"/>
  <c r="AB1042" i="29"/>
  <c r="BE1044" i="29"/>
  <c r="BG1044" i="29" s="1"/>
  <c r="BA1044" i="29" s="1"/>
  <c r="BD1045" i="29"/>
  <c r="BC1044" i="29"/>
  <c r="BF1044" i="29" s="1"/>
  <c r="BP1044" i="29"/>
  <c r="BH1043" i="29"/>
  <c r="BB1043" i="29" s="1"/>
  <c r="AZ1043" i="29"/>
  <c r="J1045" i="29" l="1"/>
  <c r="L1044" i="29"/>
  <c r="K1045" i="29"/>
  <c r="R1043" i="29"/>
  <c r="Q1043" i="29"/>
  <c r="X1043" i="29" s="1"/>
  <c r="BV1035" i="29"/>
  <c r="CC1035" i="29"/>
  <c r="Z1041" i="29"/>
  <c r="AC1040" i="29"/>
  <c r="AB1040" i="29"/>
  <c r="AB1043" i="29"/>
  <c r="CA1043" i="29"/>
  <c r="BU1043" i="29" s="1"/>
  <c r="AA1042" i="29"/>
  <c r="W1042" i="29"/>
  <c r="Y1042" i="29" s="1"/>
  <c r="M1042" i="29"/>
  <c r="BV1038" i="29"/>
  <c r="CC1038" i="29"/>
  <c r="U1044" i="29"/>
  <c r="AB1044" i="29" s="1"/>
  <c r="AC1043" i="29"/>
  <c r="BV1040" i="29"/>
  <c r="CC1040" i="29"/>
  <c r="BV1037" i="29"/>
  <c r="CC1037" i="29"/>
  <c r="BO1047" i="29"/>
  <c r="BY1046" i="29"/>
  <c r="BR1046" i="29"/>
  <c r="BN1047" i="29"/>
  <c r="T1045" i="29"/>
  <c r="S1045" i="29"/>
  <c r="V1044" i="29"/>
  <c r="AF1044" i="29"/>
  <c r="AE1044" i="29"/>
  <c r="BV1039" i="29"/>
  <c r="CC1039" i="29"/>
  <c r="BV1036" i="29"/>
  <c r="CC1036" i="29"/>
  <c r="BQ1047" i="29"/>
  <c r="BQ1048" i="29" s="1"/>
  <c r="BP1045" i="29"/>
  <c r="BD1046" i="29"/>
  <c r="BE1045" i="29"/>
  <c r="BG1045" i="29" s="1"/>
  <c r="BA1045" i="29" s="1"/>
  <c r="BC1045" i="29"/>
  <c r="BF1045" i="29" s="1"/>
  <c r="BH1044" i="29"/>
  <c r="BB1044" i="29" s="1"/>
  <c r="AZ1044" i="29"/>
  <c r="AC1044" i="29" l="1"/>
  <c r="U1045" i="29"/>
  <c r="AB1045" i="29" s="1"/>
  <c r="T1046" i="29"/>
  <c r="S1046" i="29"/>
  <c r="V1045" i="29"/>
  <c r="AE1045" i="29"/>
  <c r="AF1045" i="29"/>
  <c r="BR1047" i="29"/>
  <c r="BO1048" i="29"/>
  <c r="BY1047" i="29"/>
  <c r="BN1048" i="29"/>
  <c r="J1046" i="29"/>
  <c r="L1045" i="29"/>
  <c r="K1046" i="29"/>
  <c r="M1043" i="29"/>
  <c r="AA1043" i="29"/>
  <c r="CA1044" i="29"/>
  <c r="BU1044" i="29" s="1"/>
  <c r="W1043" i="29"/>
  <c r="Y1043" i="29" s="1"/>
  <c r="Q1044" i="29"/>
  <c r="R1044" i="29"/>
  <c r="Z1042" i="29"/>
  <c r="BD1047" i="29"/>
  <c r="BP1046" i="29"/>
  <c r="BC1046" i="29"/>
  <c r="BF1046" i="29" s="1"/>
  <c r="BE1046" i="29"/>
  <c r="BG1046" i="29" s="1"/>
  <c r="BA1046" i="29" s="1"/>
  <c r="AZ1045" i="29"/>
  <c r="BH1045" i="29"/>
  <c r="BB1045" i="29" s="1"/>
  <c r="Z1043" i="29" l="1"/>
  <c r="BN1049" i="29"/>
  <c r="BR1048" i="29"/>
  <c r="BY1048" i="29"/>
  <c r="BO1049" i="29"/>
  <c r="R1045" i="29"/>
  <c r="Q1045" i="29"/>
  <c r="X1044" i="29"/>
  <c r="M1044" i="29"/>
  <c r="W1044" i="29"/>
  <c r="Y1044" i="29" s="1"/>
  <c r="Z1044" i="29" s="1"/>
  <c r="CA1045" i="29"/>
  <c r="BU1045" i="29" s="1"/>
  <c r="AA1044" i="29"/>
  <c r="U1046" i="29"/>
  <c r="AB1046" i="29" s="1"/>
  <c r="AC1045" i="29"/>
  <c r="J1047" i="29"/>
  <c r="K1047" i="29"/>
  <c r="L1046" i="29"/>
  <c r="V1046" i="29"/>
  <c r="S1047" i="29"/>
  <c r="T1047" i="29"/>
  <c r="AE1046" i="29"/>
  <c r="AF1046" i="29"/>
  <c r="BQ1049" i="29"/>
  <c r="BQ1050" i="29" s="1"/>
  <c r="BH1046" i="29"/>
  <c r="BB1046" i="29" s="1"/>
  <c r="AZ1046" i="29"/>
  <c r="BD1048" i="29"/>
  <c r="BP1047" i="29"/>
  <c r="BC1047" i="29"/>
  <c r="BF1047" i="29" s="1"/>
  <c r="BE1047" i="29"/>
  <c r="BG1047" i="29" s="1"/>
  <c r="BA1047" i="29" s="1"/>
  <c r="AA1045" i="29" l="1"/>
  <c r="W1045" i="29"/>
  <c r="Y1045" i="29" s="1"/>
  <c r="Z1045" i="29" s="1"/>
  <c r="CA1046" i="29"/>
  <c r="BU1046" i="29" s="1"/>
  <c r="M1045" i="29"/>
  <c r="V1047" i="29"/>
  <c r="T1048" i="29"/>
  <c r="S1048" i="29"/>
  <c r="AF1047" i="29"/>
  <c r="AE1047" i="29"/>
  <c r="R1046" i="29"/>
  <c r="Q1046" i="29"/>
  <c r="U1047" i="29"/>
  <c r="AC1047" i="29" s="1"/>
  <c r="L1047" i="29"/>
  <c r="J1048" i="29"/>
  <c r="K1048" i="29"/>
  <c r="AC1046" i="29"/>
  <c r="X1045" i="29"/>
  <c r="BR1049" i="29"/>
  <c r="BY1049" i="29"/>
  <c r="BN1050" i="29"/>
  <c r="BO1050" i="29"/>
  <c r="AZ1047" i="29"/>
  <c r="BH1047" i="29"/>
  <c r="BB1047" i="29" s="1"/>
  <c r="BD1049" i="29"/>
  <c r="BP1048" i="29"/>
  <c r="BE1048" i="29"/>
  <c r="BG1048" i="29" s="1"/>
  <c r="BA1048" i="29" s="1"/>
  <c r="BC1048" i="29"/>
  <c r="BF1048" i="29" s="1"/>
  <c r="BN1051" i="29" l="1"/>
  <c r="BO1051" i="29"/>
  <c r="BR1050" i="29"/>
  <c r="BY1050" i="29"/>
  <c r="BQ1051" i="29"/>
  <c r="Q1047" i="29"/>
  <c r="X1047" i="29" s="1"/>
  <c r="R1047" i="29"/>
  <c r="M1046" i="29"/>
  <c r="W1046" i="29"/>
  <c r="Y1046" i="29" s="1"/>
  <c r="Z1046" i="29" s="1"/>
  <c r="AA1046" i="29"/>
  <c r="CA1047" i="29"/>
  <c r="BU1047" i="29" s="1"/>
  <c r="AB1047" i="29"/>
  <c r="X1046" i="29"/>
  <c r="T1049" i="29"/>
  <c r="S1049" i="29"/>
  <c r="V1048" i="29"/>
  <c r="AF1048" i="29"/>
  <c r="AE1048" i="29"/>
  <c r="J1049" i="29"/>
  <c r="K1049" i="29"/>
  <c r="L1048" i="29"/>
  <c r="U1048" i="29"/>
  <c r="AB1048" i="29" s="1"/>
  <c r="AZ1048" i="29"/>
  <c r="BH1048" i="29"/>
  <c r="BB1048" i="29" s="1"/>
  <c r="BE1049" i="29"/>
  <c r="BG1049" i="29" s="1"/>
  <c r="BA1049" i="29" s="1"/>
  <c r="BP1049" i="29"/>
  <c r="BC1049" i="29"/>
  <c r="BF1049" i="29" s="1"/>
  <c r="BD1050" i="29"/>
  <c r="BN1052" i="29" l="1"/>
  <c r="BR1051" i="29"/>
  <c r="BO1052" i="29"/>
  <c r="BY1051" i="29"/>
  <c r="BQ1052" i="29"/>
  <c r="T1050" i="29"/>
  <c r="S1050" i="29"/>
  <c r="V1049" i="29"/>
  <c r="AF1049" i="29"/>
  <c r="AE1049" i="29"/>
  <c r="Q1048" i="29"/>
  <c r="X1048" i="29" s="1"/>
  <c r="R1048" i="29"/>
  <c r="L1049" i="29"/>
  <c r="J1050" i="29"/>
  <c r="K1050" i="29"/>
  <c r="AC1048" i="29"/>
  <c r="U1049" i="29"/>
  <c r="AA1047" i="29"/>
  <c r="W1047" i="29"/>
  <c r="Y1047" i="29" s="1"/>
  <c r="Z1047" i="29" s="1"/>
  <c r="M1047" i="29"/>
  <c r="CA1048" i="29"/>
  <c r="BU1048" i="29" s="1"/>
  <c r="BD1051" i="29"/>
  <c r="BP1050" i="29"/>
  <c r="BC1050" i="29"/>
  <c r="BF1050" i="29" s="1"/>
  <c r="BE1050" i="29"/>
  <c r="BG1050" i="29" s="1"/>
  <c r="BA1050" i="29" s="1"/>
  <c r="AZ1049" i="29"/>
  <c r="BH1049" i="29"/>
  <c r="BB1049" i="29" s="1"/>
  <c r="R1049" i="29" l="1"/>
  <c r="Q1049" i="29"/>
  <c r="X1049" i="29" s="1"/>
  <c r="AC1049" i="29"/>
  <c r="AB1049" i="29"/>
  <c r="L1050" i="29"/>
  <c r="J1051" i="29"/>
  <c r="K1051" i="29"/>
  <c r="BQ1053" i="29"/>
  <c r="AA1048" i="29"/>
  <c r="CA1049" i="29"/>
  <c r="BU1049" i="29" s="1"/>
  <c r="W1048" i="29"/>
  <c r="Y1048" i="29" s="1"/>
  <c r="Z1048" i="29" s="1"/>
  <c r="M1048" i="29"/>
  <c r="U1050" i="29"/>
  <c r="AC1050" i="29" s="1"/>
  <c r="V1050" i="29"/>
  <c r="T1051" i="29"/>
  <c r="S1051" i="29"/>
  <c r="AF1050" i="29"/>
  <c r="AE1050" i="29"/>
  <c r="BY1052" i="29"/>
  <c r="BR1052" i="29"/>
  <c r="BN1053" i="29"/>
  <c r="BO1053" i="29"/>
  <c r="BP1051" i="29"/>
  <c r="BD1052" i="29"/>
  <c r="BE1051" i="29"/>
  <c r="BG1051" i="29" s="1"/>
  <c r="BA1051" i="29" s="1"/>
  <c r="BC1051" i="29"/>
  <c r="BF1051" i="29" s="1"/>
  <c r="AZ1050" i="29"/>
  <c r="BH1050" i="29"/>
  <c r="BB1050" i="29" s="1"/>
  <c r="AB1050" i="29" l="1"/>
  <c r="U1051" i="29"/>
  <c r="AC1051" i="29" s="1"/>
  <c r="S1052" i="29"/>
  <c r="V1051" i="29"/>
  <c r="T1052" i="29"/>
  <c r="AF1051" i="29"/>
  <c r="AE1051" i="29"/>
  <c r="BQ1054" i="29"/>
  <c r="BQ1055" i="29" s="1"/>
  <c r="AA1049" i="29"/>
  <c r="M1049" i="29"/>
  <c r="CA1050" i="29"/>
  <c r="BU1050" i="29" s="1"/>
  <c r="W1049" i="29"/>
  <c r="Y1049" i="29" s="1"/>
  <c r="Z1049" i="29" s="1"/>
  <c r="BO1054" i="29"/>
  <c r="BR1053" i="29"/>
  <c r="BN1054" i="29"/>
  <c r="R1050" i="29"/>
  <c r="Q1050" i="29"/>
  <c r="X1050" i="29" s="1"/>
  <c r="L1051" i="29"/>
  <c r="J1052" i="29"/>
  <c r="K1052" i="29"/>
  <c r="BC1052" i="29"/>
  <c r="BF1052" i="29" s="1"/>
  <c r="BP1052" i="29"/>
  <c r="BE1052" i="29"/>
  <c r="BG1052" i="29" s="1"/>
  <c r="BA1052" i="29" s="1"/>
  <c r="BD1053" i="29"/>
  <c r="AZ1051" i="29"/>
  <c r="BH1051" i="29"/>
  <c r="BB1051" i="29" s="1"/>
  <c r="J1053" i="29" l="1"/>
  <c r="K1053" i="29"/>
  <c r="L1052" i="29"/>
  <c r="BO1055" i="29"/>
  <c r="BY1054" i="29"/>
  <c r="BN1055" i="29"/>
  <c r="BR1054" i="29"/>
  <c r="U1052" i="29"/>
  <c r="BQ1056" i="29"/>
  <c r="R1051" i="29"/>
  <c r="Q1051" i="29"/>
  <c r="X1051" i="29" s="1"/>
  <c r="CA1051" i="29"/>
  <c r="BU1051" i="29" s="1"/>
  <c r="AA1050" i="29"/>
  <c r="W1050" i="29"/>
  <c r="Y1050" i="29" s="1"/>
  <c r="Z1050" i="29" s="1"/>
  <c r="M1050" i="29"/>
  <c r="V1052" i="29"/>
  <c r="S1053" i="29"/>
  <c r="T1053" i="29"/>
  <c r="AF1052" i="29"/>
  <c r="AE1052" i="29"/>
  <c r="AB1051" i="29"/>
  <c r="BE1053" i="29"/>
  <c r="BG1053" i="29" s="1"/>
  <c r="BA1053" i="29" s="1"/>
  <c r="BD1054" i="29"/>
  <c r="BP1053" i="29"/>
  <c r="BI1053" i="29"/>
  <c r="BC1053" i="29"/>
  <c r="BF1053" i="29" s="1"/>
  <c r="AZ1052" i="29"/>
  <c r="BH1052" i="29"/>
  <c r="BB1052" i="29" s="1"/>
  <c r="L1053" i="29" l="1"/>
  <c r="J1054" i="29"/>
  <c r="K1054" i="29"/>
  <c r="Q1052" i="29"/>
  <c r="R1052" i="29"/>
  <c r="BY1055" i="29"/>
  <c r="BN1056" i="29"/>
  <c r="BR1055" i="29"/>
  <c r="BO1056" i="29"/>
  <c r="U1053" i="29"/>
  <c r="AB1053" i="29" s="1"/>
  <c r="M1051" i="29"/>
  <c r="AA1051" i="29"/>
  <c r="CA1052" i="29"/>
  <c r="BU1052" i="29" s="1"/>
  <c r="W1051" i="29"/>
  <c r="Y1051" i="29" s="1"/>
  <c r="Z1051" i="29" s="1"/>
  <c r="V1053" i="29"/>
  <c r="T1054" i="29"/>
  <c r="S1054" i="29"/>
  <c r="AE1053" i="29"/>
  <c r="AF1053" i="29"/>
  <c r="BC1054" i="29"/>
  <c r="BF1054" i="29" s="1"/>
  <c r="BP1054" i="29"/>
  <c r="BE1054" i="29"/>
  <c r="BG1054" i="29" s="1"/>
  <c r="BA1054" i="29" s="1"/>
  <c r="BD1055" i="29"/>
  <c r="BH1053" i="29"/>
  <c r="BB1053" i="29" s="1"/>
  <c r="AZ1053" i="29"/>
  <c r="BN1057" i="29" l="1"/>
  <c r="BY1056" i="29"/>
  <c r="BR1056" i="29"/>
  <c r="BO1057" i="29"/>
  <c r="K1055" i="29"/>
  <c r="J1055" i="29"/>
  <c r="L1054" i="29"/>
  <c r="R1053" i="29"/>
  <c r="Q1053" i="29"/>
  <c r="X1053" i="29" s="1"/>
  <c r="CA1053" i="29"/>
  <c r="BU1053" i="29" s="1"/>
  <c r="AA1052" i="29"/>
  <c r="W1052" i="29"/>
  <c r="CB1053" i="29" s="1"/>
  <c r="BV1053" i="29" s="1"/>
  <c r="U1054" i="29"/>
  <c r="AC1054" i="29" s="1"/>
  <c r="T1055" i="29"/>
  <c r="V1054" i="29"/>
  <c r="S1055" i="29"/>
  <c r="AF1054" i="29"/>
  <c r="AE1054" i="29"/>
  <c r="AC1053" i="29"/>
  <c r="BQ1057" i="29"/>
  <c r="BQ1058" i="29" s="1"/>
  <c r="BC1055" i="29"/>
  <c r="BF1055" i="29" s="1"/>
  <c r="BP1055" i="29"/>
  <c r="BE1055" i="29"/>
  <c r="BG1055" i="29" s="1"/>
  <c r="BA1055" i="29" s="1"/>
  <c r="BD1056" i="29"/>
  <c r="BH1054" i="29"/>
  <c r="BB1054" i="29" s="1"/>
  <c r="AZ1054" i="29"/>
  <c r="AB1054" i="29" l="1"/>
  <c r="CC1053" i="29"/>
  <c r="Q1054" i="29"/>
  <c r="R1054" i="29"/>
  <c r="M1053" i="29"/>
  <c r="CA1054" i="29"/>
  <c r="BU1054" i="29" s="1"/>
  <c r="W1053" i="29"/>
  <c r="Y1053" i="29" s="1"/>
  <c r="AA1053" i="29"/>
  <c r="U1055" i="29"/>
  <c r="AB1055" i="29" s="1"/>
  <c r="Y1052" i="29"/>
  <c r="Z1052" i="29" s="1"/>
  <c r="CB1049" i="29"/>
  <c r="CB1051" i="29"/>
  <c r="CB1050" i="29"/>
  <c r="CB1048" i="29"/>
  <c r="CB1046" i="29"/>
  <c r="CB1052" i="29"/>
  <c r="L1055" i="29"/>
  <c r="K1056" i="29"/>
  <c r="J1056" i="29"/>
  <c r="T1056" i="29"/>
  <c r="V1055" i="29"/>
  <c r="S1056" i="29"/>
  <c r="AF1055" i="29"/>
  <c r="AE1055" i="29"/>
  <c r="BR1057" i="29"/>
  <c r="BY1057" i="29"/>
  <c r="BN1058" i="29"/>
  <c r="BO1058" i="29"/>
  <c r="BH1055" i="29"/>
  <c r="BB1055" i="29" s="1"/>
  <c r="AZ1055" i="29"/>
  <c r="BE1056" i="29"/>
  <c r="BG1056" i="29" s="1"/>
  <c r="BA1056" i="29" s="1"/>
  <c r="BC1056" i="29"/>
  <c r="BF1056" i="29" s="1"/>
  <c r="BP1056" i="29"/>
  <c r="BD1057" i="29"/>
  <c r="AC1055" i="29" l="1"/>
  <c r="BV1046" i="29"/>
  <c r="CC1046" i="29"/>
  <c r="L1056" i="29"/>
  <c r="J1057" i="29"/>
  <c r="K1057" i="29"/>
  <c r="BV1048" i="29"/>
  <c r="CC1048" i="29"/>
  <c r="Z1053" i="29"/>
  <c r="AC1052" i="29"/>
  <c r="AB1052" i="29"/>
  <c r="CA1055" i="29"/>
  <c r="BU1055" i="29" s="1"/>
  <c r="AA1054" i="29"/>
  <c r="W1054" i="29"/>
  <c r="Y1054" i="29" s="1"/>
  <c r="M1054" i="29"/>
  <c r="BV1049" i="29"/>
  <c r="CC1049" i="29"/>
  <c r="BR1058" i="29"/>
  <c r="BY1058" i="29"/>
  <c r="BN1059" i="29"/>
  <c r="BO1059" i="29"/>
  <c r="T1057" i="29"/>
  <c r="V1056" i="29"/>
  <c r="S1057" i="29"/>
  <c r="AF1056" i="29"/>
  <c r="AE1056" i="29"/>
  <c r="BV1050" i="29"/>
  <c r="CC1050" i="29"/>
  <c r="R1055" i="29"/>
  <c r="Q1055" i="29"/>
  <c r="X1055" i="29" s="1"/>
  <c r="BQ1059" i="29"/>
  <c r="U1056" i="29"/>
  <c r="AB1056" i="29" s="1"/>
  <c r="BV1052" i="29"/>
  <c r="CC1052" i="29"/>
  <c r="BV1051" i="29"/>
  <c r="CC1051" i="29"/>
  <c r="X1054" i="29"/>
  <c r="BC1057" i="29"/>
  <c r="BF1057" i="29" s="1"/>
  <c r="BP1057" i="29"/>
  <c r="BD1058" i="29"/>
  <c r="BE1057" i="29"/>
  <c r="BG1057" i="29" s="1"/>
  <c r="BA1057" i="29" s="1"/>
  <c r="AZ1056" i="29"/>
  <c r="BH1056" i="29"/>
  <c r="BB1056" i="29" s="1"/>
  <c r="BQ1060" i="29" l="1"/>
  <c r="U1057" i="29"/>
  <c r="AB1057" i="29" s="1"/>
  <c r="Q1056" i="29"/>
  <c r="R1056" i="29"/>
  <c r="AC1056" i="29"/>
  <c r="CA1056" i="29"/>
  <c r="BU1056" i="29" s="1"/>
  <c r="W1055" i="29"/>
  <c r="Y1055" i="29" s="1"/>
  <c r="AA1055" i="29"/>
  <c r="M1055" i="29"/>
  <c r="T1058" i="29"/>
  <c r="V1057" i="29"/>
  <c r="S1058" i="29"/>
  <c r="AF1057" i="29"/>
  <c r="AE1057" i="29"/>
  <c r="BN1060" i="29"/>
  <c r="BR1059" i="29"/>
  <c r="BY1059" i="29"/>
  <c r="BO1060" i="29"/>
  <c r="J1058" i="29"/>
  <c r="K1058" i="29"/>
  <c r="L1057" i="29"/>
  <c r="Z1054" i="29"/>
  <c r="AZ1057" i="29"/>
  <c r="BH1057" i="29"/>
  <c r="BB1057" i="29" s="1"/>
  <c r="BD1059" i="29"/>
  <c r="BP1058" i="29"/>
  <c r="BC1058" i="29"/>
  <c r="BF1058" i="29" s="1"/>
  <c r="BE1058" i="29"/>
  <c r="BG1058" i="29" s="1"/>
  <c r="BA1058" i="29" s="1"/>
  <c r="AC1057" i="29" l="1"/>
  <c r="U1058" i="29"/>
  <c r="S1059" i="29"/>
  <c r="T1059" i="29"/>
  <c r="V1058" i="29"/>
  <c r="AE1058" i="29"/>
  <c r="AF1058" i="29"/>
  <c r="L1058" i="29"/>
  <c r="J1059" i="29"/>
  <c r="K1059" i="29"/>
  <c r="CA1057" i="29"/>
  <c r="BU1057" i="29" s="1"/>
  <c r="M1056" i="29"/>
  <c r="AA1056" i="29"/>
  <c r="W1056" i="29"/>
  <c r="Y1056" i="29" s="1"/>
  <c r="Z1055" i="29"/>
  <c r="BN1061" i="29"/>
  <c r="BO1061" i="29"/>
  <c r="BY1060" i="29"/>
  <c r="BR1060" i="29"/>
  <c r="BQ1061" i="29"/>
  <c r="BQ1062" i="29" s="1"/>
  <c r="X1056" i="29"/>
  <c r="Q1057" i="29"/>
  <c r="R1057" i="29"/>
  <c r="BH1058" i="29"/>
  <c r="BB1058" i="29" s="1"/>
  <c r="AZ1058" i="29"/>
  <c r="BD1060" i="29"/>
  <c r="BP1059" i="29"/>
  <c r="BC1059" i="29"/>
  <c r="BF1059" i="29" s="1"/>
  <c r="BE1059" i="29"/>
  <c r="BG1059" i="29" s="1"/>
  <c r="BA1059" i="29" s="1"/>
  <c r="Z1056" i="29" l="1"/>
  <c r="K1060" i="29"/>
  <c r="J1060" i="29"/>
  <c r="L1059" i="29"/>
  <c r="R1058" i="29"/>
  <c r="Q1058" i="29"/>
  <c r="X1058" i="29" s="1"/>
  <c r="X1057" i="29"/>
  <c r="CA1058" i="29"/>
  <c r="BU1058" i="29" s="1"/>
  <c r="M1057" i="29"/>
  <c r="AA1057" i="29"/>
  <c r="W1057" i="29"/>
  <c r="Y1057" i="29" s="1"/>
  <c r="AB1058" i="29"/>
  <c r="BO1062" i="29"/>
  <c r="BN1062" i="29"/>
  <c r="BR1061" i="29"/>
  <c r="BY1061" i="29"/>
  <c r="T1060" i="29"/>
  <c r="V1059" i="29"/>
  <c r="S1060" i="29"/>
  <c r="AF1059" i="29"/>
  <c r="AE1059" i="29"/>
  <c r="AC1058" i="29"/>
  <c r="U1059" i="29"/>
  <c r="AB1059" i="29" s="1"/>
  <c r="BH1059" i="29"/>
  <c r="BB1059" i="29" s="1"/>
  <c r="AZ1059" i="29"/>
  <c r="BC1060" i="29"/>
  <c r="BF1060" i="29" s="1"/>
  <c r="BD1061" i="29"/>
  <c r="BP1060" i="29"/>
  <c r="BE1060" i="29"/>
  <c r="BG1060" i="29" s="1"/>
  <c r="BA1060" i="29" s="1"/>
  <c r="Z1057" i="29" l="1"/>
  <c r="AC1059" i="29"/>
  <c r="S1061" i="29"/>
  <c r="T1061" i="29"/>
  <c r="V1060" i="29"/>
  <c r="AE1060" i="29"/>
  <c r="AF1060" i="29"/>
  <c r="BN1063" i="29"/>
  <c r="BY1062" i="29"/>
  <c r="BO1063" i="29"/>
  <c r="BR1062" i="29"/>
  <c r="Q1059" i="29"/>
  <c r="X1059" i="29" s="1"/>
  <c r="R1059" i="29"/>
  <c r="BQ1063" i="29"/>
  <c r="BQ1064" i="29" s="1"/>
  <c r="U1060" i="29"/>
  <c r="AC1060" i="29" s="1"/>
  <c r="CA1059" i="29"/>
  <c r="BU1059" i="29" s="1"/>
  <c r="M1058" i="29"/>
  <c r="AA1058" i="29"/>
  <c r="W1058" i="29"/>
  <c r="Y1058" i="29" s="1"/>
  <c r="Z1058" i="29" s="1"/>
  <c r="L1060" i="29"/>
  <c r="K1061" i="29"/>
  <c r="J1061" i="29"/>
  <c r="BC1061" i="29"/>
  <c r="BF1061" i="29" s="1"/>
  <c r="BD1062" i="29"/>
  <c r="BE1061" i="29"/>
  <c r="BG1061" i="29" s="1"/>
  <c r="BA1061" i="29" s="1"/>
  <c r="BP1061" i="29"/>
  <c r="BH1060" i="29"/>
  <c r="BB1060" i="29" s="1"/>
  <c r="AZ1060" i="29"/>
  <c r="L1061" i="29" l="1"/>
  <c r="K1062" i="29"/>
  <c r="J1062" i="29"/>
  <c r="T1062" i="29"/>
  <c r="S1062" i="29"/>
  <c r="V1061" i="29"/>
  <c r="AE1061" i="29"/>
  <c r="AF1061" i="29"/>
  <c r="R1060" i="29"/>
  <c r="Q1060" i="29"/>
  <c r="X1060" i="29" s="1"/>
  <c r="AB1060" i="29"/>
  <c r="M1059" i="29"/>
  <c r="CA1060" i="29"/>
  <c r="BU1060" i="29" s="1"/>
  <c r="W1059" i="29"/>
  <c r="Y1059" i="29" s="1"/>
  <c r="Z1059" i="29" s="1"/>
  <c r="AA1059" i="29"/>
  <c r="U1061" i="29"/>
  <c r="AB1061" i="29" s="1"/>
  <c r="BQ1065" i="29"/>
  <c r="BY1063" i="29"/>
  <c r="BO1064" i="29"/>
  <c r="BN1064" i="29"/>
  <c r="BR1063" i="29"/>
  <c r="BH1061" i="29"/>
  <c r="BB1061" i="29" s="1"/>
  <c r="AZ1061" i="29"/>
  <c r="BD1063" i="29"/>
  <c r="BE1062" i="29"/>
  <c r="BG1062" i="29" s="1"/>
  <c r="BA1062" i="29" s="1"/>
  <c r="BP1062" i="29"/>
  <c r="BC1062" i="29"/>
  <c r="BF1062" i="29" s="1"/>
  <c r="S1063" i="29" l="1"/>
  <c r="T1063" i="29"/>
  <c r="V1062" i="29"/>
  <c r="AE1062" i="29"/>
  <c r="AF1062" i="29"/>
  <c r="U1062" i="29"/>
  <c r="K1063" i="29"/>
  <c r="J1063" i="29"/>
  <c r="L1062" i="29"/>
  <c r="BR1064" i="29"/>
  <c r="BO1065" i="29"/>
  <c r="BQ1066" i="29" s="1"/>
  <c r="BN1065" i="29"/>
  <c r="BY1064" i="29"/>
  <c r="R1061" i="29"/>
  <c r="Q1061" i="29"/>
  <c r="AC1061" i="29"/>
  <c r="W1060" i="29"/>
  <c r="Y1060" i="29" s="1"/>
  <c r="Z1060" i="29" s="1"/>
  <c r="M1060" i="29"/>
  <c r="CA1061" i="29"/>
  <c r="BU1061" i="29" s="1"/>
  <c r="AA1060" i="29"/>
  <c r="BH1062" i="29"/>
  <c r="BB1062" i="29" s="1"/>
  <c r="AZ1062" i="29"/>
  <c r="BP1063" i="29"/>
  <c r="BD1064" i="29"/>
  <c r="BE1063" i="29"/>
  <c r="BG1063" i="29" s="1"/>
  <c r="BA1063" i="29" s="1"/>
  <c r="BC1063" i="29"/>
  <c r="BF1063" i="29" s="1"/>
  <c r="M1061" i="29" l="1"/>
  <c r="AA1061" i="29"/>
  <c r="W1061" i="29"/>
  <c r="Y1061" i="29" s="1"/>
  <c r="Z1061" i="29" s="1"/>
  <c r="CA1062" i="29"/>
  <c r="BU1062" i="29" s="1"/>
  <c r="J1064" i="29"/>
  <c r="K1064" i="29"/>
  <c r="L1063" i="29"/>
  <c r="Q1062" i="29"/>
  <c r="R1062" i="29"/>
  <c r="BO1066" i="29"/>
  <c r="BN1066" i="29"/>
  <c r="BR1065" i="29"/>
  <c r="U1063" i="29"/>
  <c r="AB1063" i="29" s="1"/>
  <c r="AC1062" i="29"/>
  <c r="X1061" i="29"/>
  <c r="AB1062" i="29"/>
  <c r="T1064" i="29"/>
  <c r="S1064" i="29"/>
  <c r="V1063" i="29"/>
  <c r="AF1063" i="29"/>
  <c r="AE1063" i="29"/>
  <c r="AZ1063" i="29"/>
  <c r="BH1063" i="29"/>
  <c r="BB1063" i="29" s="1"/>
  <c r="BP1064" i="29"/>
  <c r="BE1064" i="29"/>
  <c r="BG1064" i="29" s="1"/>
  <c r="BA1064" i="29" s="1"/>
  <c r="BD1065" i="29"/>
  <c r="BC1064" i="29"/>
  <c r="BF1064" i="29" s="1"/>
  <c r="M1062" i="29" l="1"/>
  <c r="W1062" i="29"/>
  <c r="Y1062" i="29" s="1"/>
  <c r="Z1062" i="29" s="1"/>
  <c r="CA1063" i="29"/>
  <c r="BU1063" i="29" s="1"/>
  <c r="AA1062" i="29"/>
  <c r="BO1067" i="29"/>
  <c r="BR1066" i="29"/>
  <c r="BN1067" i="29"/>
  <c r="BY1066" i="29"/>
  <c r="Q1063" i="29"/>
  <c r="X1063" i="29" s="1"/>
  <c r="R1063" i="29"/>
  <c r="U1064" i="29"/>
  <c r="AC1063" i="29"/>
  <c r="X1062" i="29"/>
  <c r="L1064" i="29"/>
  <c r="K1065" i="29"/>
  <c r="J1065" i="29"/>
  <c r="V1064" i="29"/>
  <c r="S1065" i="29"/>
  <c r="T1065" i="29"/>
  <c r="AF1064" i="29"/>
  <c r="AE1064" i="29"/>
  <c r="BQ1067" i="29"/>
  <c r="BQ1068" i="29" s="1"/>
  <c r="BH1064" i="29"/>
  <c r="BB1064" i="29" s="1"/>
  <c r="AZ1064" i="29"/>
  <c r="BD1066" i="29"/>
  <c r="BI1065" i="29"/>
  <c r="BE1065" i="29"/>
  <c r="BG1065" i="29" s="1"/>
  <c r="BA1065" i="29" s="1"/>
  <c r="BP1065" i="29"/>
  <c r="BC1065" i="29"/>
  <c r="BF1065" i="29" s="1"/>
  <c r="BQ1069" i="29" l="1"/>
  <c r="U1065" i="29"/>
  <c r="R1064" i="29"/>
  <c r="Q1064" i="29"/>
  <c r="T1066" i="29"/>
  <c r="S1066" i="29"/>
  <c r="V1065" i="29"/>
  <c r="AE1065" i="29"/>
  <c r="AF1065" i="29"/>
  <c r="L1065" i="29"/>
  <c r="K1066" i="29"/>
  <c r="J1066" i="29"/>
  <c r="M1063" i="29"/>
  <c r="AA1063" i="29"/>
  <c r="CA1064" i="29"/>
  <c r="BU1064" i="29" s="1"/>
  <c r="W1063" i="29"/>
  <c r="Y1063" i="29" s="1"/>
  <c r="Z1063" i="29" s="1"/>
  <c r="BO1068" i="29"/>
  <c r="BR1067" i="29"/>
  <c r="BY1067" i="29"/>
  <c r="BN1068" i="29"/>
  <c r="BC1066" i="29"/>
  <c r="BF1066" i="29" s="1"/>
  <c r="BD1067" i="29"/>
  <c r="BE1066" i="29"/>
  <c r="BG1066" i="29" s="1"/>
  <c r="BA1066" i="29" s="1"/>
  <c r="BP1066" i="29"/>
  <c r="BH1065" i="29"/>
  <c r="BB1065" i="29" s="1"/>
  <c r="AZ1065" i="29"/>
  <c r="T1067" i="29" l="1"/>
  <c r="V1066" i="29"/>
  <c r="S1067" i="29"/>
  <c r="AF1066" i="29"/>
  <c r="AE1066" i="29"/>
  <c r="R1065" i="29"/>
  <c r="Q1065" i="29"/>
  <c r="X1065" i="29" s="1"/>
  <c r="BY1068" i="29"/>
  <c r="BN1069" i="29"/>
  <c r="BO1069" i="29"/>
  <c r="BR1068" i="29"/>
  <c r="AB1065" i="29"/>
  <c r="U1066" i="29"/>
  <c r="AB1066" i="29" s="1"/>
  <c r="BQ1070" i="29"/>
  <c r="L1066" i="29"/>
  <c r="K1067" i="29"/>
  <c r="J1067" i="29"/>
  <c r="AA1064" i="29"/>
  <c r="CA1065" i="29"/>
  <c r="BU1065" i="29" s="1"/>
  <c r="W1064" i="29"/>
  <c r="CB1065" i="29" s="1"/>
  <c r="AC1065" i="29"/>
  <c r="BE1067" i="29"/>
  <c r="BG1067" i="29" s="1"/>
  <c r="BA1067" i="29" s="1"/>
  <c r="BD1068" i="29"/>
  <c r="BP1067" i="29"/>
  <c r="BC1067" i="29"/>
  <c r="BF1067" i="29" s="1"/>
  <c r="BH1066" i="29"/>
  <c r="BB1066" i="29" s="1"/>
  <c r="AZ1066" i="29"/>
  <c r="AC1066" i="29" l="1"/>
  <c r="BV1065" i="29"/>
  <c r="CC1065" i="29"/>
  <c r="BN1070" i="29"/>
  <c r="BO1070" i="29"/>
  <c r="BY1069" i="29"/>
  <c r="BR1069" i="29"/>
  <c r="W1065" i="29"/>
  <c r="Y1065" i="29" s="1"/>
  <c r="AA1065" i="29"/>
  <c r="M1065" i="29"/>
  <c r="CA1066" i="29"/>
  <c r="BU1066" i="29" s="1"/>
  <c r="U1067" i="29"/>
  <c r="BQ1071" i="29"/>
  <c r="T1068" i="29"/>
  <c r="S1068" i="29"/>
  <c r="V1067" i="29"/>
  <c r="AF1067" i="29"/>
  <c r="AE1067" i="29"/>
  <c r="Y1064" i="29"/>
  <c r="Z1064" i="29" s="1"/>
  <c r="CB1059" i="29"/>
  <c r="CB1064" i="29"/>
  <c r="CB1062" i="29"/>
  <c r="CB1061" i="29"/>
  <c r="CB1058" i="29"/>
  <c r="CB1060" i="29"/>
  <c r="CB1063" i="29"/>
  <c r="L1067" i="29"/>
  <c r="J1068" i="29"/>
  <c r="K1068" i="29"/>
  <c r="R1066" i="29"/>
  <c r="Q1066" i="29"/>
  <c r="BD1069" i="29"/>
  <c r="BP1068" i="29"/>
  <c r="BE1068" i="29"/>
  <c r="BG1068" i="29" s="1"/>
  <c r="BA1068" i="29" s="1"/>
  <c r="BC1068" i="29"/>
  <c r="BF1068" i="29" s="1"/>
  <c r="AZ1067" i="29"/>
  <c r="BH1067" i="29"/>
  <c r="BB1067" i="29" s="1"/>
  <c r="W1066" i="29" l="1"/>
  <c r="Y1066" i="29" s="1"/>
  <c r="M1066" i="29"/>
  <c r="CA1067" i="29"/>
  <c r="BU1067" i="29" s="1"/>
  <c r="AA1066" i="29"/>
  <c r="BV1059" i="29"/>
  <c r="CC1059" i="29"/>
  <c r="Q1067" i="29"/>
  <c r="X1067" i="29" s="1"/>
  <c r="R1067" i="29"/>
  <c r="BV1061" i="29"/>
  <c r="CC1061" i="29"/>
  <c r="Z1065" i="29"/>
  <c r="AC1064" i="29"/>
  <c r="AB1064" i="29"/>
  <c r="U1068" i="29"/>
  <c r="AC1068" i="29" s="1"/>
  <c r="AB1067" i="29"/>
  <c r="BV1058" i="29"/>
  <c r="CC1058" i="29"/>
  <c r="X1066" i="29"/>
  <c r="BV1063" i="29"/>
  <c r="CC1063" i="29"/>
  <c r="BV1062" i="29"/>
  <c r="CC1062" i="29"/>
  <c r="S1069" i="29"/>
  <c r="T1069" i="29"/>
  <c r="V1068" i="29"/>
  <c r="AE1068" i="29"/>
  <c r="AF1068" i="29"/>
  <c r="AC1067" i="29"/>
  <c r="J1069" i="29"/>
  <c r="K1069" i="29"/>
  <c r="L1068" i="29"/>
  <c r="BV1060" i="29"/>
  <c r="CC1060" i="29"/>
  <c r="BV1064" i="29"/>
  <c r="CC1064" i="29"/>
  <c r="BO1071" i="29"/>
  <c r="BY1070" i="29"/>
  <c r="BR1070" i="29"/>
  <c r="BN1071" i="29"/>
  <c r="BE1069" i="29"/>
  <c r="BG1069" i="29" s="1"/>
  <c r="BA1069" i="29" s="1"/>
  <c r="BC1069" i="29"/>
  <c r="BF1069" i="29" s="1"/>
  <c r="BD1070" i="29"/>
  <c r="BP1069" i="29"/>
  <c r="BH1068" i="29"/>
  <c r="BB1068" i="29" s="1"/>
  <c r="AZ1068" i="29"/>
  <c r="Z1066" i="29" l="1"/>
  <c r="U1069" i="29"/>
  <c r="AB1069" i="29" s="1"/>
  <c r="M1067" i="29"/>
  <c r="CA1068" i="29"/>
  <c r="BU1068" i="29" s="1"/>
  <c r="AA1067" i="29"/>
  <c r="W1067" i="29"/>
  <c r="Y1067" i="29" s="1"/>
  <c r="L1069" i="29"/>
  <c r="K1070" i="29"/>
  <c r="J1070" i="29"/>
  <c r="R1068" i="29"/>
  <c r="Q1068" i="29"/>
  <c r="BN1072" i="29"/>
  <c r="BR1071" i="29"/>
  <c r="BY1071" i="29"/>
  <c r="BO1072" i="29"/>
  <c r="BQ1072" i="29"/>
  <c r="V1069" i="29"/>
  <c r="S1070" i="29"/>
  <c r="T1070" i="29"/>
  <c r="AE1069" i="29"/>
  <c r="AF1069" i="29"/>
  <c r="AB1068" i="29"/>
  <c r="BD1071" i="29"/>
  <c r="BC1070" i="29"/>
  <c r="BF1070" i="29" s="1"/>
  <c r="BE1070" i="29"/>
  <c r="BG1070" i="29" s="1"/>
  <c r="BA1070" i="29" s="1"/>
  <c r="BP1070" i="29"/>
  <c r="BH1069" i="29"/>
  <c r="BB1069" i="29" s="1"/>
  <c r="AZ1069" i="29"/>
  <c r="AC1069" i="29" l="1"/>
  <c r="S1071" i="29"/>
  <c r="T1071" i="29"/>
  <c r="V1070" i="29"/>
  <c r="AF1070" i="29"/>
  <c r="AE1070" i="29"/>
  <c r="K1071" i="29"/>
  <c r="J1071" i="29"/>
  <c r="L1070" i="29"/>
  <c r="U1070" i="29"/>
  <c r="AC1070" i="29" s="1"/>
  <c r="BY1072" i="29"/>
  <c r="BR1072" i="29"/>
  <c r="BO1073" i="29"/>
  <c r="BN1073" i="29"/>
  <c r="X1068" i="29"/>
  <c r="M1068" i="29"/>
  <c r="W1068" i="29"/>
  <c r="Y1068" i="29" s="1"/>
  <c r="AA1068" i="29"/>
  <c r="CA1069" i="29"/>
  <c r="BU1069" i="29" s="1"/>
  <c r="BQ1073" i="29"/>
  <c r="BQ1074" i="29" s="1"/>
  <c r="Z1067" i="29"/>
  <c r="Q1069" i="29"/>
  <c r="R1069" i="29"/>
  <c r="AZ1070" i="29"/>
  <c r="BH1070" i="29"/>
  <c r="BB1070" i="29" s="1"/>
  <c r="BP1071" i="29"/>
  <c r="BC1071" i="29"/>
  <c r="BF1071" i="29" s="1"/>
  <c r="BE1071" i="29"/>
  <c r="BG1071" i="29" s="1"/>
  <c r="BA1071" i="29" s="1"/>
  <c r="BD1072" i="29"/>
  <c r="BR1073" i="29" l="1"/>
  <c r="BO1074" i="29"/>
  <c r="BN1074" i="29"/>
  <c r="BY1073" i="29"/>
  <c r="AB1070" i="29"/>
  <c r="L1071" i="29"/>
  <c r="K1072" i="29"/>
  <c r="J1072" i="29"/>
  <c r="T1072" i="29"/>
  <c r="V1071" i="29"/>
  <c r="S1072" i="29"/>
  <c r="AE1071" i="29"/>
  <c r="AF1071" i="29"/>
  <c r="R1070" i="29"/>
  <c r="Q1070" i="29"/>
  <c r="X1070" i="29" s="1"/>
  <c r="W1069" i="29"/>
  <c r="Y1069" i="29" s="1"/>
  <c r="M1069" i="29"/>
  <c r="AA1069" i="29"/>
  <c r="CA1070" i="29"/>
  <c r="BU1070" i="29" s="1"/>
  <c r="Z1068" i="29"/>
  <c r="X1069" i="29"/>
  <c r="BQ1075" i="29"/>
  <c r="U1071" i="29"/>
  <c r="AC1071" i="29" s="1"/>
  <c r="BC1072" i="29"/>
  <c r="BF1072" i="29" s="1"/>
  <c r="BE1072" i="29"/>
  <c r="BG1072" i="29" s="1"/>
  <c r="BA1072" i="29" s="1"/>
  <c r="BP1072" i="29"/>
  <c r="BD1073" i="29"/>
  <c r="BH1071" i="29"/>
  <c r="BB1071" i="29" s="1"/>
  <c r="AZ1071" i="29"/>
  <c r="AB1071" i="29" l="1"/>
  <c r="Q1071" i="29"/>
  <c r="X1071" i="29" s="1"/>
  <c r="R1071" i="29"/>
  <c r="S1073" i="29"/>
  <c r="T1073" i="29"/>
  <c r="V1072" i="29"/>
  <c r="AE1072" i="29"/>
  <c r="AF1072" i="29"/>
  <c r="K1073" i="29"/>
  <c r="J1073" i="29"/>
  <c r="L1072" i="29"/>
  <c r="M1070" i="29"/>
  <c r="W1070" i="29"/>
  <c r="Y1070" i="29" s="1"/>
  <c r="CA1071" i="29"/>
  <c r="BU1071" i="29" s="1"/>
  <c r="AA1070" i="29"/>
  <c r="BN1075" i="29"/>
  <c r="BY1074" i="29"/>
  <c r="BO1075" i="29"/>
  <c r="BR1074" i="29"/>
  <c r="Z1069" i="29"/>
  <c r="U1072" i="29"/>
  <c r="AC1072" i="29" s="1"/>
  <c r="BD1074" i="29"/>
  <c r="BP1073" i="29"/>
  <c r="BE1073" i="29"/>
  <c r="BG1073" i="29" s="1"/>
  <c r="BA1073" i="29" s="1"/>
  <c r="BC1073" i="29"/>
  <c r="BF1073" i="29" s="1"/>
  <c r="AZ1072" i="29"/>
  <c r="BH1072" i="29"/>
  <c r="BB1072" i="29" s="1"/>
  <c r="AB1072" i="29" l="1"/>
  <c r="Z1070" i="29"/>
  <c r="U1073" i="29"/>
  <c r="AC1073" i="29" s="1"/>
  <c r="L1073" i="29"/>
  <c r="J1074" i="29"/>
  <c r="K1074" i="29"/>
  <c r="V1073" i="29"/>
  <c r="T1074" i="29"/>
  <c r="S1074" i="29"/>
  <c r="AF1073" i="29"/>
  <c r="AE1073" i="29"/>
  <c r="BN1076" i="29"/>
  <c r="BY1075" i="29"/>
  <c r="BO1076" i="29"/>
  <c r="BR1075" i="29"/>
  <c r="CA1072" i="29"/>
  <c r="BU1072" i="29" s="1"/>
  <c r="W1071" i="29"/>
  <c r="Y1071" i="29" s="1"/>
  <c r="Z1071" i="29" s="1"/>
  <c r="AA1071" i="29"/>
  <c r="M1071" i="29"/>
  <c r="R1072" i="29"/>
  <c r="Q1072" i="29"/>
  <c r="X1072" i="29" s="1"/>
  <c r="BQ1076" i="29"/>
  <c r="BQ1077" i="29" s="1"/>
  <c r="AZ1073" i="29"/>
  <c r="BH1073" i="29"/>
  <c r="BB1073" i="29" s="1"/>
  <c r="BP1074" i="29"/>
  <c r="BC1074" i="29"/>
  <c r="BF1074" i="29" s="1"/>
  <c r="BE1074" i="29"/>
  <c r="BG1074" i="29" s="1"/>
  <c r="BA1074" i="29" s="1"/>
  <c r="BD1075" i="29"/>
  <c r="BY1076" i="29" l="1"/>
  <c r="BR1076" i="29"/>
  <c r="BO1077" i="29"/>
  <c r="BN1077" i="29"/>
  <c r="V1074" i="29"/>
  <c r="T1075" i="29"/>
  <c r="S1075" i="29"/>
  <c r="AF1074" i="29"/>
  <c r="AE1074" i="29"/>
  <c r="BQ1078" i="29"/>
  <c r="M1072" i="29"/>
  <c r="W1072" i="29"/>
  <c r="Y1072" i="29" s="1"/>
  <c r="Z1072" i="29" s="1"/>
  <c r="CA1073" i="29"/>
  <c r="BU1073" i="29" s="1"/>
  <c r="AA1072" i="29"/>
  <c r="J1075" i="29"/>
  <c r="K1075" i="29"/>
  <c r="L1074" i="29"/>
  <c r="R1073" i="29"/>
  <c r="Q1073" i="29"/>
  <c r="X1073" i="29" s="1"/>
  <c r="U1074" i="29"/>
  <c r="AB1073" i="29"/>
  <c r="BP1075" i="29"/>
  <c r="BE1075" i="29"/>
  <c r="BG1075" i="29" s="1"/>
  <c r="BA1075" i="29" s="1"/>
  <c r="BD1076" i="29"/>
  <c r="BC1075" i="29"/>
  <c r="BF1075" i="29" s="1"/>
  <c r="BH1074" i="29"/>
  <c r="BB1074" i="29" s="1"/>
  <c r="AZ1074" i="29"/>
  <c r="R1074" i="29" l="1"/>
  <c r="Q1074" i="29"/>
  <c r="BQ1079" i="29"/>
  <c r="V1075" i="29"/>
  <c r="T1076" i="29"/>
  <c r="S1076" i="29"/>
  <c r="AE1075" i="29"/>
  <c r="AF1075" i="29"/>
  <c r="AC1074" i="29"/>
  <c r="AA1073" i="29"/>
  <c r="W1073" i="29"/>
  <c r="Y1073" i="29" s="1"/>
  <c r="Z1073" i="29" s="1"/>
  <c r="CA1074" i="29"/>
  <c r="BU1074" i="29" s="1"/>
  <c r="M1073" i="29"/>
  <c r="AB1074" i="29"/>
  <c r="K1076" i="29"/>
  <c r="L1075" i="29"/>
  <c r="J1076" i="29"/>
  <c r="U1075" i="29"/>
  <c r="AB1075" i="29" s="1"/>
  <c r="BO1078" i="29"/>
  <c r="BN1078" i="29"/>
  <c r="BR1077" i="29"/>
  <c r="AZ1075" i="29"/>
  <c r="BH1075" i="29"/>
  <c r="BB1075" i="29" s="1"/>
  <c r="BD1077" i="29"/>
  <c r="BC1076" i="29"/>
  <c r="BF1076" i="29" s="1"/>
  <c r="BE1076" i="29"/>
  <c r="BG1076" i="29" s="1"/>
  <c r="BA1076" i="29" s="1"/>
  <c r="BP1076" i="29"/>
  <c r="AC1075" i="29" l="1"/>
  <c r="BY1078" i="29"/>
  <c r="BO1079" i="29"/>
  <c r="BR1078" i="29"/>
  <c r="BN1079" i="29"/>
  <c r="T1077" i="29"/>
  <c r="S1077" i="29"/>
  <c r="V1076" i="29"/>
  <c r="AF1076" i="29"/>
  <c r="AE1076" i="29"/>
  <c r="CA1075" i="29"/>
  <c r="BU1075" i="29" s="1"/>
  <c r="W1074" i="29"/>
  <c r="Y1074" i="29" s="1"/>
  <c r="Z1074" i="29" s="1"/>
  <c r="M1074" i="29"/>
  <c r="AA1074" i="29"/>
  <c r="R1075" i="29"/>
  <c r="Q1075" i="29"/>
  <c r="X1075" i="29" s="1"/>
  <c r="L1076" i="29"/>
  <c r="K1077" i="29"/>
  <c r="J1077" i="29"/>
  <c r="U1076" i="29"/>
  <c r="X1074" i="29"/>
  <c r="AZ1076" i="29"/>
  <c r="BH1076" i="29"/>
  <c r="BB1076" i="29" s="1"/>
  <c r="BC1077" i="29"/>
  <c r="BF1077" i="29" s="1"/>
  <c r="BI1077" i="29"/>
  <c r="BP1077" i="29"/>
  <c r="BD1078" i="29"/>
  <c r="BE1077" i="29"/>
  <c r="BG1077" i="29" s="1"/>
  <c r="BA1077" i="29" s="1"/>
  <c r="M1075" i="29" l="1"/>
  <c r="W1075" i="29"/>
  <c r="Y1075" i="29" s="1"/>
  <c r="Z1075" i="29" s="1"/>
  <c r="AA1075" i="29"/>
  <c r="CA1076" i="29"/>
  <c r="BU1076" i="29" s="1"/>
  <c r="T1078" i="29"/>
  <c r="V1077" i="29"/>
  <c r="S1078" i="29"/>
  <c r="AE1077" i="29"/>
  <c r="AF1077" i="29"/>
  <c r="J1078" i="29"/>
  <c r="K1078" i="29"/>
  <c r="L1077" i="29"/>
  <c r="U1077" i="29"/>
  <c r="AB1077" i="29" s="1"/>
  <c r="BO1080" i="29"/>
  <c r="BR1079" i="29"/>
  <c r="BN1080" i="29"/>
  <c r="BY1079" i="29"/>
  <c r="Q1076" i="29"/>
  <c r="R1076" i="29"/>
  <c r="BQ1080" i="29"/>
  <c r="BD1079" i="29"/>
  <c r="BP1078" i="29"/>
  <c r="BC1078" i="29"/>
  <c r="BF1078" i="29" s="1"/>
  <c r="BE1078" i="29"/>
  <c r="BG1078" i="29" s="1"/>
  <c r="BA1078" i="29" s="1"/>
  <c r="BH1077" i="29"/>
  <c r="BB1077" i="29" s="1"/>
  <c r="AZ1077" i="29"/>
  <c r="BO1081" i="29" l="1"/>
  <c r="BR1080" i="29"/>
  <c r="BY1080" i="29"/>
  <c r="BN1081" i="29"/>
  <c r="R1077" i="29"/>
  <c r="Q1077" i="29"/>
  <c r="X1077" i="29" s="1"/>
  <c r="J1079" i="29"/>
  <c r="L1078" i="29"/>
  <c r="K1079" i="29"/>
  <c r="U1078" i="29"/>
  <c r="AB1078" i="29" s="1"/>
  <c r="BQ1081" i="29"/>
  <c r="BQ1082" i="29" s="1"/>
  <c r="CA1077" i="29"/>
  <c r="BU1077" i="29" s="1"/>
  <c r="W1076" i="29"/>
  <c r="CB1077" i="29" s="1"/>
  <c r="BV1077" i="29" s="1"/>
  <c r="AA1076" i="29"/>
  <c r="AC1077" i="29"/>
  <c r="T1079" i="29"/>
  <c r="V1078" i="29"/>
  <c r="S1079" i="29"/>
  <c r="AE1078" i="29"/>
  <c r="AF1078" i="29"/>
  <c r="BE1079" i="29"/>
  <c r="BG1079" i="29" s="1"/>
  <c r="BA1079" i="29" s="1"/>
  <c r="BP1079" i="29"/>
  <c r="BC1079" i="29"/>
  <c r="BF1079" i="29" s="1"/>
  <c r="BD1080" i="29"/>
  <c r="BH1078" i="29"/>
  <c r="BB1078" i="29" s="1"/>
  <c r="AZ1078" i="29"/>
  <c r="AC1078" i="29" l="1"/>
  <c r="T1080" i="29"/>
  <c r="S1080" i="29"/>
  <c r="V1079" i="29"/>
  <c r="AE1079" i="29"/>
  <c r="AF1079" i="29"/>
  <c r="U1079" i="29"/>
  <c r="CC1077" i="29"/>
  <c r="J1080" i="29"/>
  <c r="L1079" i="29"/>
  <c r="K1080" i="29"/>
  <c r="CA1078" i="29"/>
  <c r="BU1078" i="29" s="1"/>
  <c r="M1077" i="29"/>
  <c r="W1077" i="29"/>
  <c r="Y1077" i="29" s="1"/>
  <c r="AA1077" i="29"/>
  <c r="Q1078" i="29"/>
  <c r="R1078" i="29"/>
  <c r="BO1082" i="29"/>
  <c r="BN1082" i="29"/>
  <c r="BR1081" i="29"/>
  <c r="BY1081" i="29"/>
  <c r="Y1076" i="29"/>
  <c r="Z1076" i="29" s="1"/>
  <c r="CB1073" i="29"/>
  <c r="CB1075" i="29"/>
  <c r="CB1071" i="29"/>
  <c r="CB1070" i="29"/>
  <c r="CB1069" i="29"/>
  <c r="CB1072" i="29"/>
  <c r="CB1074" i="29"/>
  <c r="CB1076" i="29"/>
  <c r="BD1081" i="29"/>
  <c r="BP1080" i="29"/>
  <c r="BC1080" i="29"/>
  <c r="BF1080" i="29" s="1"/>
  <c r="BE1080" i="29"/>
  <c r="BG1080" i="29" s="1"/>
  <c r="BA1080" i="29" s="1"/>
  <c r="BH1079" i="29"/>
  <c r="BB1079" i="29" s="1"/>
  <c r="AZ1079" i="29"/>
  <c r="BV1072" i="29" l="1"/>
  <c r="CC1072" i="29"/>
  <c r="BV1075" i="29"/>
  <c r="CC1075" i="29"/>
  <c r="X1078" i="29"/>
  <c r="M1078" i="29"/>
  <c r="AA1078" i="29"/>
  <c r="CA1079" i="29"/>
  <c r="BU1079" i="29" s="1"/>
  <c r="W1078" i="29"/>
  <c r="Y1078" i="29" s="1"/>
  <c r="Q1079" i="29"/>
  <c r="X1079" i="29" s="1"/>
  <c r="R1079" i="29"/>
  <c r="BV1069" i="29"/>
  <c r="CC1069" i="29"/>
  <c r="BV1073" i="29"/>
  <c r="CC1073" i="29"/>
  <c r="AB1079" i="29"/>
  <c r="BV1076" i="29"/>
  <c r="CC1076" i="29"/>
  <c r="BV1070" i="29"/>
  <c r="CC1070" i="29"/>
  <c r="Z1077" i="29"/>
  <c r="AB1076" i="29"/>
  <c r="AC1076" i="29"/>
  <c r="BR1082" i="29"/>
  <c r="BO1083" i="29"/>
  <c r="BY1082" i="29"/>
  <c r="BN1083" i="29"/>
  <c r="BQ1083" i="29"/>
  <c r="BQ1084" i="29" s="1"/>
  <c r="AC1079" i="29"/>
  <c r="U1080" i="29"/>
  <c r="AC1080" i="29" s="1"/>
  <c r="BV1074" i="29"/>
  <c r="CC1074" i="29"/>
  <c r="BV1071" i="29"/>
  <c r="CC1071" i="29"/>
  <c r="L1080" i="29"/>
  <c r="K1081" i="29"/>
  <c r="J1081" i="29"/>
  <c r="V1080" i="29"/>
  <c r="S1081" i="29"/>
  <c r="T1081" i="29"/>
  <c r="AF1080" i="29"/>
  <c r="AE1080" i="29"/>
  <c r="BP1081" i="29"/>
  <c r="BC1081" i="29"/>
  <c r="BF1081" i="29" s="1"/>
  <c r="BE1081" i="29"/>
  <c r="BG1081" i="29" s="1"/>
  <c r="BA1081" i="29" s="1"/>
  <c r="BD1082" i="29"/>
  <c r="BH1080" i="29"/>
  <c r="BB1080" i="29" s="1"/>
  <c r="AZ1080" i="29"/>
  <c r="AB1080" i="29" l="1"/>
  <c r="Z1078" i="29"/>
  <c r="CA1080" i="29"/>
  <c r="BU1080" i="29" s="1"/>
  <c r="M1079" i="29"/>
  <c r="AA1079" i="29"/>
  <c r="W1079" i="29"/>
  <c r="Y1079" i="29" s="1"/>
  <c r="Z1079" i="29" s="1"/>
  <c r="T1082" i="29"/>
  <c r="S1082" i="29"/>
  <c r="V1081" i="29"/>
  <c r="AE1081" i="29"/>
  <c r="AF1081" i="29"/>
  <c r="L1081" i="29"/>
  <c r="J1082" i="29"/>
  <c r="K1082" i="29"/>
  <c r="U1081" i="29"/>
  <c r="AB1081" i="29" s="1"/>
  <c r="R1080" i="29"/>
  <c r="Q1080" i="29"/>
  <c r="X1080" i="29" s="1"/>
  <c r="BY1083" i="29"/>
  <c r="BO1084" i="29"/>
  <c r="BR1083" i="29"/>
  <c r="BN1084" i="29"/>
  <c r="BP1082" i="29"/>
  <c r="BD1083" i="29"/>
  <c r="BC1082" i="29"/>
  <c r="BF1082" i="29" s="1"/>
  <c r="BE1082" i="29"/>
  <c r="BG1082" i="29" s="1"/>
  <c r="BA1082" i="29" s="1"/>
  <c r="AZ1081" i="29"/>
  <c r="BH1081" i="29"/>
  <c r="BB1081" i="29" s="1"/>
  <c r="AC1081" i="29" l="1"/>
  <c r="BN1085" i="29"/>
  <c r="BO1085" i="29"/>
  <c r="BR1084" i="29"/>
  <c r="BY1084" i="29"/>
  <c r="T1083" i="29"/>
  <c r="V1082" i="29"/>
  <c r="S1083" i="29"/>
  <c r="AE1082" i="29"/>
  <c r="AF1082" i="29"/>
  <c r="BQ1085" i="29"/>
  <c r="BQ1086" i="29" s="1"/>
  <c r="Q1081" i="29"/>
  <c r="X1081" i="29" s="1"/>
  <c r="R1081" i="29"/>
  <c r="K1083" i="29"/>
  <c r="J1083" i="29"/>
  <c r="L1082" i="29"/>
  <c r="W1080" i="29"/>
  <c r="Y1080" i="29" s="1"/>
  <c r="Z1080" i="29" s="1"/>
  <c r="M1080" i="29"/>
  <c r="CA1081" i="29"/>
  <c r="BU1081" i="29" s="1"/>
  <c r="AA1080" i="29"/>
  <c r="U1082" i="29"/>
  <c r="AZ1082" i="29"/>
  <c r="BH1082" i="29"/>
  <c r="BB1082" i="29" s="1"/>
  <c r="BP1083" i="29"/>
  <c r="BE1083" i="29"/>
  <c r="BG1083" i="29" s="1"/>
  <c r="BA1083" i="29" s="1"/>
  <c r="BD1084" i="29"/>
  <c r="BC1083" i="29"/>
  <c r="BF1083" i="29" s="1"/>
  <c r="R1082" i="29" l="1"/>
  <c r="Q1082" i="29"/>
  <c r="K1084" i="29"/>
  <c r="J1084" i="29"/>
  <c r="L1083" i="29"/>
  <c r="U1083" i="29"/>
  <c r="AB1082" i="29"/>
  <c r="AC1082" i="29"/>
  <c r="BN1086" i="29"/>
  <c r="BY1085" i="29"/>
  <c r="BR1085" i="29"/>
  <c r="BO1086" i="29"/>
  <c r="BQ1087" i="29" s="1"/>
  <c r="T1084" i="29"/>
  <c r="S1084" i="29"/>
  <c r="V1083" i="29"/>
  <c r="AF1083" i="29"/>
  <c r="AE1083" i="29"/>
  <c r="CA1082" i="29"/>
  <c r="BU1082" i="29" s="1"/>
  <c r="W1081" i="29"/>
  <c r="Y1081" i="29" s="1"/>
  <c r="Z1081" i="29" s="1"/>
  <c r="AA1081" i="29"/>
  <c r="M1081" i="29"/>
  <c r="BH1083" i="29"/>
  <c r="BB1083" i="29" s="1"/>
  <c r="AZ1083" i="29"/>
  <c r="BP1084" i="29"/>
  <c r="BD1085" i="29"/>
  <c r="BC1084" i="29"/>
  <c r="BF1084" i="29" s="1"/>
  <c r="BE1084" i="29"/>
  <c r="BG1084" i="29" s="1"/>
  <c r="BA1084" i="29" s="1"/>
  <c r="U1084" i="29" l="1"/>
  <c r="AC1084" i="29" s="1"/>
  <c r="W1082" i="29"/>
  <c r="Y1082" i="29" s="1"/>
  <c r="Z1082" i="29" s="1"/>
  <c r="M1082" i="29"/>
  <c r="CA1083" i="29"/>
  <c r="BU1083" i="29" s="1"/>
  <c r="AA1082" i="29"/>
  <c r="T1085" i="29"/>
  <c r="S1085" i="29"/>
  <c r="V1084" i="29"/>
  <c r="AF1084" i="29"/>
  <c r="AE1084" i="29"/>
  <c r="R1083" i="29"/>
  <c r="Q1083" i="29"/>
  <c r="X1083" i="29" s="1"/>
  <c r="X1082" i="29"/>
  <c r="BY1086" i="29"/>
  <c r="BR1086" i="29"/>
  <c r="BO1087" i="29"/>
  <c r="BN1087" i="29"/>
  <c r="AC1083" i="29"/>
  <c r="AB1083" i="29"/>
  <c r="K1085" i="29"/>
  <c r="J1085" i="29"/>
  <c r="L1084" i="29"/>
  <c r="BE1085" i="29"/>
  <c r="BG1085" i="29" s="1"/>
  <c r="BA1085" i="29" s="1"/>
  <c r="BD1086" i="29"/>
  <c r="BC1085" i="29"/>
  <c r="BF1085" i="29" s="1"/>
  <c r="BP1085" i="29"/>
  <c r="BH1084" i="29"/>
  <c r="BB1084" i="29" s="1"/>
  <c r="AZ1084" i="29"/>
  <c r="AB1084" i="29" l="1"/>
  <c r="L1085" i="29"/>
  <c r="J1086" i="29"/>
  <c r="K1086" i="29"/>
  <c r="BO1088" i="29"/>
  <c r="BR1087" i="29"/>
  <c r="BY1087" i="29"/>
  <c r="BN1088" i="29"/>
  <c r="S1086" i="29"/>
  <c r="T1086" i="29"/>
  <c r="V1085" i="29"/>
  <c r="AF1085" i="29"/>
  <c r="AE1085" i="29"/>
  <c r="AA1083" i="29"/>
  <c r="M1083" i="29"/>
  <c r="CA1084" i="29"/>
  <c r="BU1084" i="29" s="1"/>
  <c r="W1083" i="29"/>
  <c r="Y1083" i="29" s="1"/>
  <c r="Z1083" i="29" s="1"/>
  <c r="BQ1088" i="29"/>
  <c r="BQ1089" i="29" s="1"/>
  <c r="U1085" i="29"/>
  <c r="AB1085" i="29" s="1"/>
  <c r="Q1084" i="29"/>
  <c r="R1084" i="29"/>
  <c r="AZ1085" i="29"/>
  <c r="BH1085" i="29"/>
  <c r="BB1085" i="29" s="1"/>
  <c r="BD1087" i="29"/>
  <c r="BE1086" i="29"/>
  <c r="BG1086" i="29" s="1"/>
  <c r="BA1086" i="29" s="1"/>
  <c r="BC1086" i="29"/>
  <c r="BF1086" i="29" s="1"/>
  <c r="BP1086" i="29"/>
  <c r="R1085" i="29" l="1"/>
  <c r="Q1085" i="29"/>
  <c r="X1085" i="29" s="1"/>
  <c r="T1087" i="29"/>
  <c r="S1087" i="29"/>
  <c r="V1086" i="29"/>
  <c r="AF1086" i="29"/>
  <c r="AE1086" i="29"/>
  <c r="CA1085" i="29"/>
  <c r="BU1085" i="29" s="1"/>
  <c r="M1084" i="29"/>
  <c r="AA1084" i="29"/>
  <c r="W1084" i="29"/>
  <c r="Y1084" i="29" s="1"/>
  <c r="Z1084" i="29" s="1"/>
  <c r="X1084" i="29"/>
  <c r="AC1085" i="29"/>
  <c r="U1086" i="29"/>
  <c r="AB1086" i="29" s="1"/>
  <c r="BO1089" i="29"/>
  <c r="BN1089" i="29"/>
  <c r="BY1088" i="29"/>
  <c r="BR1088" i="29"/>
  <c r="K1087" i="29"/>
  <c r="J1087" i="29"/>
  <c r="L1086" i="29"/>
  <c r="AZ1086" i="29"/>
  <c r="BH1086" i="29"/>
  <c r="BB1086" i="29" s="1"/>
  <c r="BE1087" i="29"/>
  <c r="BG1087" i="29" s="1"/>
  <c r="BA1087" i="29" s="1"/>
  <c r="BP1087" i="29"/>
  <c r="BD1088" i="29"/>
  <c r="BC1087" i="29"/>
  <c r="BF1087" i="29" s="1"/>
  <c r="K1088" i="29" l="1"/>
  <c r="J1088" i="29"/>
  <c r="L1087" i="29"/>
  <c r="U1087" i="29"/>
  <c r="CA1086" i="29"/>
  <c r="BU1086" i="29" s="1"/>
  <c r="M1085" i="29"/>
  <c r="AA1085" i="29"/>
  <c r="W1085" i="29"/>
  <c r="Y1085" i="29" s="1"/>
  <c r="Z1085" i="29" s="1"/>
  <c r="V1087" i="29"/>
  <c r="S1088" i="29"/>
  <c r="T1088" i="29"/>
  <c r="AF1087" i="29"/>
  <c r="AE1087" i="29"/>
  <c r="BN1090" i="29"/>
  <c r="BR1089" i="29"/>
  <c r="BO1090" i="29"/>
  <c r="Q1086" i="29"/>
  <c r="X1086" i="29" s="1"/>
  <c r="R1086" i="29"/>
  <c r="AC1086" i="29"/>
  <c r="BQ1090" i="29"/>
  <c r="BQ1091" i="29" s="1"/>
  <c r="BE1088" i="29"/>
  <c r="BG1088" i="29" s="1"/>
  <c r="BA1088" i="29" s="1"/>
  <c r="BD1089" i="29"/>
  <c r="BC1088" i="29"/>
  <c r="BF1088" i="29" s="1"/>
  <c r="BP1088" i="29"/>
  <c r="AZ1087" i="29"/>
  <c r="BH1087" i="29"/>
  <c r="BB1087" i="29" s="1"/>
  <c r="R1087" i="29" l="1"/>
  <c r="Q1087" i="29"/>
  <c r="AC1087" i="29"/>
  <c r="J1089" i="29"/>
  <c r="L1088" i="29"/>
  <c r="K1089" i="29"/>
  <c r="T1089" i="29"/>
  <c r="S1089" i="29"/>
  <c r="V1088" i="29"/>
  <c r="AF1088" i="29"/>
  <c r="AE1088" i="29"/>
  <c r="U1088" i="29"/>
  <c r="M1086" i="29"/>
  <c r="CA1087" i="29"/>
  <c r="BU1087" i="29" s="1"/>
  <c r="W1086" i="29"/>
  <c r="Y1086" i="29" s="1"/>
  <c r="Z1086" i="29" s="1"/>
  <c r="AA1086" i="29"/>
  <c r="BY1090" i="29"/>
  <c r="BR1090" i="29"/>
  <c r="BO1091" i="29"/>
  <c r="BQ1092" i="29" s="1"/>
  <c r="BN1091" i="29"/>
  <c r="AB1087" i="29"/>
  <c r="AZ1088" i="29"/>
  <c r="BH1088" i="29"/>
  <c r="BB1088" i="29" s="1"/>
  <c r="BI1089" i="29"/>
  <c r="BE1089" i="29"/>
  <c r="BG1089" i="29" s="1"/>
  <c r="BA1089" i="29" s="1"/>
  <c r="BP1089" i="29"/>
  <c r="BD1090" i="29"/>
  <c r="BC1089" i="29"/>
  <c r="BF1089" i="29" s="1"/>
  <c r="U1089" i="29" l="1"/>
  <c r="AC1089" i="29" s="1"/>
  <c r="W1087" i="29"/>
  <c r="Y1087" i="29" s="1"/>
  <c r="Z1087" i="29" s="1"/>
  <c r="CA1088" i="29"/>
  <c r="BU1088" i="29" s="1"/>
  <c r="M1087" i="29"/>
  <c r="AA1087" i="29"/>
  <c r="BY1091" i="29"/>
  <c r="BO1092" i="29"/>
  <c r="BN1092" i="29"/>
  <c r="BR1091" i="29"/>
  <c r="V1089" i="29"/>
  <c r="S1090" i="29"/>
  <c r="T1090" i="29"/>
  <c r="AF1089" i="29"/>
  <c r="AE1089" i="29"/>
  <c r="Q1088" i="29"/>
  <c r="R1088" i="29"/>
  <c r="J1090" i="29"/>
  <c r="L1089" i="29"/>
  <c r="K1090" i="29"/>
  <c r="X1087" i="29"/>
  <c r="BC1090" i="29"/>
  <c r="BF1090" i="29" s="1"/>
  <c r="BP1090" i="29"/>
  <c r="BE1090" i="29"/>
  <c r="BG1090" i="29" s="1"/>
  <c r="BA1090" i="29" s="1"/>
  <c r="BD1091" i="29"/>
  <c r="AZ1089" i="29"/>
  <c r="BH1089" i="29"/>
  <c r="BB1089" i="29" s="1"/>
  <c r="AB1089" i="29" l="1"/>
  <c r="CA1089" i="29"/>
  <c r="BU1089" i="29" s="1"/>
  <c r="W1088" i="29"/>
  <c r="AA1088" i="29"/>
  <c r="U1090" i="29"/>
  <c r="BR1092" i="29"/>
  <c r="BO1093" i="29"/>
  <c r="BN1093" i="29"/>
  <c r="BY1092" i="29"/>
  <c r="L1090" i="29"/>
  <c r="K1091" i="29"/>
  <c r="J1091" i="29"/>
  <c r="BQ1093" i="29"/>
  <c r="BQ1094" i="29" s="1"/>
  <c r="S1091" i="29"/>
  <c r="T1091" i="29"/>
  <c r="V1090" i="29"/>
  <c r="AE1090" i="29"/>
  <c r="AF1090" i="29"/>
  <c r="R1089" i="29"/>
  <c r="Q1089" i="29"/>
  <c r="X1089" i="29" s="1"/>
  <c r="BC1091" i="29"/>
  <c r="BF1091" i="29" s="1"/>
  <c r="BP1091" i="29"/>
  <c r="BE1091" i="29"/>
  <c r="BG1091" i="29" s="1"/>
  <c r="BA1091" i="29" s="1"/>
  <c r="BD1092" i="29"/>
  <c r="BH1090" i="29"/>
  <c r="BB1090" i="29" s="1"/>
  <c r="AZ1090" i="29"/>
  <c r="Y1088" i="29" l="1"/>
  <c r="Z1088" i="29" s="1"/>
  <c r="CB1087" i="29"/>
  <c r="CB1083" i="29"/>
  <c r="CB1084" i="29"/>
  <c r="CB1085" i="29"/>
  <c r="CB1086" i="29"/>
  <c r="CB1088" i="29"/>
  <c r="Q1090" i="29"/>
  <c r="X1090" i="29" s="1"/>
  <c r="R1090" i="29"/>
  <c r="V1091" i="29"/>
  <c r="S1092" i="29"/>
  <c r="T1092" i="29"/>
  <c r="AE1091" i="29"/>
  <c r="AF1091" i="29"/>
  <c r="AB1090" i="29"/>
  <c r="U1091" i="29"/>
  <c r="AB1091" i="29" s="1"/>
  <c r="K1092" i="29"/>
  <c r="L1091" i="29"/>
  <c r="J1092" i="29"/>
  <c r="BO1094" i="29"/>
  <c r="BQ1095" i="29" s="1"/>
  <c r="BY1093" i="29"/>
  <c r="BN1094" i="29"/>
  <c r="BR1093" i="29"/>
  <c r="AC1090" i="29"/>
  <c r="M1089" i="29"/>
  <c r="W1089" i="29"/>
  <c r="Y1089" i="29" s="1"/>
  <c r="CA1090" i="29"/>
  <c r="BU1090" i="29" s="1"/>
  <c r="AA1089" i="29"/>
  <c r="CB1089" i="29"/>
  <c r="BC1092" i="29"/>
  <c r="BF1092" i="29" s="1"/>
  <c r="BP1092" i="29"/>
  <c r="BE1092" i="29"/>
  <c r="BG1092" i="29" s="1"/>
  <c r="BA1092" i="29" s="1"/>
  <c r="BD1093" i="29"/>
  <c r="BH1091" i="29"/>
  <c r="BB1091" i="29" s="1"/>
  <c r="AZ1091" i="29"/>
  <c r="AC1091" i="29" l="1"/>
  <c r="BV1089" i="29"/>
  <c r="CC1089" i="29"/>
  <c r="BV1084" i="29"/>
  <c r="CC1084" i="29"/>
  <c r="BV1088" i="29"/>
  <c r="CC1088" i="29"/>
  <c r="BV1083" i="29"/>
  <c r="CC1083" i="29"/>
  <c r="K1093" i="29"/>
  <c r="J1093" i="29"/>
  <c r="L1092" i="29"/>
  <c r="S1093" i="29"/>
  <c r="T1093" i="29"/>
  <c r="V1092" i="29"/>
  <c r="AE1092" i="29"/>
  <c r="AF1092" i="29"/>
  <c r="BV1086" i="29"/>
  <c r="CC1086" i="29"/>
  <c r="BV1087" i="29"/>
  <c r="CC1087" i="29"/>
  <c r="BN1095" i="29"/>
  <c r="BO1095" i="29"/>
  <c r="BR1094" i="29"/>
  <c r="BY1094" i="29"/>
  <c r="R1091" i="29"/>
  <c r="Q1091" i="29"/>
  <c r="U1092" i="29"/>
  <c r="M1090" i="29"/>
  <c r="AA1090" i="29"/>
  <c r="CA1091" i="29"/>
  <c r="BU1091" i="29" s="1"/>
  <c r="W1090" i="29"/>
  <c r="Y1090" i="29" s="1"/>
  <c r="BV1085" i="29"/>
  <c r="CC1085" i="29"/>
  <c r="Z1089" i="29"/>
  <c r="AB1088" i="29"/>
  <c r="AC1088" i="29"/>
  <c r="BP1093" i="29"/>
  <c r="BC1093" i="29"/>
  <c r="BF1093" i="29" s="1"/>
  <c r="BE1093" i="29"/>
  <c r="BG1093" i="29" s="1"/>
  <c r="BA1093" i="29" s="1"/>
  <c r="BD1094" i="29"/>
  <c r="AZ1092" i="29"/>
  <c r="BH1092" i="29"/>
  <c r="BB1092" i="29" s="1"/>
  <c r="Q1092" i="29" l="1"/>
  <c r="R1092" i="29"/>
  <c r="AA1091" i="29"/>
  <c r="W1091" i="29"/>
  <c r="Y1091" i="29" s="1"/>
  <c r="CA1092" i="29"/>
  <c r="BU1092" i="29" s="1"/>
  <c r="M1091" i="29"/>
  <c r="BO1096" i="29"/>
  <c r="BY1095" i="29"/>
  <c r="BR1095" i="29"/>
  <c r="BN1096" i="29"/>
  <c r="AC1092" i="29"/>
  <c r="T1094" i="29"/>
  <c r="V1093" i="29"/>
  <c r="S1094" i="29"/>
  <c r="AF1093" i="29"/>
  <c r="AE1093" i="29"/>
  <c r="K1094" i="29"/>
  <c r="J1094" i="29"/>
  <c r="L1093" i="29"/>
  <c r="AB1092" i="29"/>
  <c r="U1093" i="29"/>
  <c r="AC1093" i="29" s="1"/>
  <c r="Z1090" i="29"/>
  <c r="X1091" i="29"/>
  <c r="BQ1096" i="29"/>
  <c r="AZ1093" i="29"/>
  <c r="BH1093" i="29"/>
  <c r="BB1093" i="29" s="1"/>
  <c r="BD1095" i="29"/>
  <c r="BP1094" i="29"/>
  <c r="BC1094" i="29"/>
  <c r="BF1094" i="29" s="1"/>
  <c r="BE1094" i="29"/>
  <c r="BG1094" i="29" s="1"/>
  <c r="BA1094" i="29" s="1"/>
  <c r="Z1091" i="29" l="1"/>
  <c r="K1095" i="29"/>
  <c r="J1095" i="29"/>
  <c r="L1094" i="29"/>
  <c r="Q1093" i="29"/>
  <c r="X1093" i="29" s="1"/>
  <c r="R1093" i="29"/>
  <c r="BQ1097" i="29"/>
  <c r="AB1093" i="29"/>
  <c r="U1094" i="29"/>
  <c r="AB1094" i="29" s="1"/>
  <c r="BY1096" i="29"/>
  <c r="BO1097" i="29"/>
  <c r="BR1096" i="29"/>
  <c r="BN1097" i="29"/>
  <c r="AA1092" i="29"/>
  <c r="CA1093" i="29"/>
  <c r="BU1093" i="29" s="1"/>
  <c r="M1092" i="29"/>
  <c r="W1092" i="29"/>
  <c r="Y1092" i="29" s="1"/>
  <c r="Z1092" i="29" s="1"/>
  <c r="V1094" i="29"/>
  <c r="S1095" i="29"/>
  <c r="T1095" i="29"/>
  <c r="AF1094" i="29"/>
  <c r="AE1094" i="29"/>
  <c r="X1092" i="29"/>
  <c r="BH1094" i="29"/>
  <c r="BB1094" i="29" s="1"/>
  <c r="AZ1094" i="29"/>
  <c r="BE1095" i="29"/>
  <c r="BG1095" i="29" s="1"/>
  <c r="BA1095" i="29" s="1"/>
  <c r="BP1095" i="29"/>
  <c r="BC1095" i="29"/>
  <c r="BF1095" i="29" s="1"/>
  <c r="BD1096" i="29"/>
  <c r="BO1098" i="29" l="1"/>
  <c r="BY1097" i="29"/>
  <c r="BN1098" i="29"/>
  <c r="BR1097" i="29"/>
  <c r="R1094" i="29"/>
  <c r="Q1094" i="29"/>
  <c r="BQ1098" i="29"/>
  <c r="BQ1099" i="29" s="1"/>
  <c r="AC1094" i="29"/>
  <c r="V1095" i="29"/>
  <c r="T1096" i="29"/>
  <c r="S1096" i="29"/>
  <c r="AE1095" i="29"/>
  <c r="AF1095" i="29"/>
  <c r="U1095" i="29"/>
  <c r="AB1095" i="29" s="1"/>
  <c r="M1093" i="29"/>
  <c r="AA1093" i="29"/>
  <c r="CA1094" i="29"/>
  <c r="BU1094" i="29" s="1"/>
  <c r="W1093" i="29"/>
  <c r="Y1093" i="29" s="1"/>
  <c r="Z1093" i="29" s="1"/>
  <c r="L1095" i="29"/>
  <c r="K1096" i="29"/>
  <c r="J1096" i="29"/>
  <c r="BD1097" i="29"/>
  <c r="BP1096" i="29"/>
  <c r="BC1096" i="29"/>
  <c r="BF1096" i="29" s="1"/>
  <c r="BE1096" i="29"/>
  <c r="BG1096" i="29" s="1"/>
  <c r="BA1096" i="29" s="1"/>
  <c r="BH1095" i="29"/>
  <c r="BB1095" i="29" s="1"/>
  <c r="AZ1095" i="29"/>
  <c r="R1095" i="29" l="1"/>
  <c r="Q1095" i="29"/>
  <c r="CA1095" i="29"/>
  <c r="BU1095" i="29" s="1"/>
  <c r="W1094" i="29"/>
  <c r="Y1094" i="29" s="1"/>
  <c r="Z1094" i="29" s="1"/>
  <c r="M1094" i="29"/>
  <c r="AA1094" i="29"/>
  <c r="V1096" i="29"/>
  <c r="T1097" i="29"/>
  <c r="S1097" i="29"/>
  <c r="AE1096" i="29"/>
  <c r="AF1096" i="29"/>
  <c r="BQ1100" i="29"/>
  <c r="L1096" i="29"/>
  <c r="K1097" i="29"/>
  <c r="J1097" i="29"/>
  <c r="AC1095" i="29"/>
  <c r="U1096" i="29"/>
  <c r="AB1096" i="29" s="1"/>
  <c r="BR1098" i="29"/>
  <c r="BY1098" i="29"/>
  <c r="BN1099" i="29"/>
  <c r="BO1099" i="29"/>
  <c r="X1094" i="29"/>
  <c r="BD1098" i="29"/>
  <c r="BP1097" i="29"/>
  <c r="BC1097" i="29"/>
  <c r="BF1097" i="29" s="1"/>
  <c r="BE1097" i="29"/>
  <c r="BG1097" i="29" s="1"/>
  <c r="BA1097" i="29" s="1"/>
  <c r="AZ1096" i="29"/>
  <c r="BH1096" i="29"/>
  <c r="BB1096" i="29" s="1"/>
  <c r="AC1096" i="29" l="1"/>
  <c r="U1097" i="29"/>
  <c r="AB1097" i="29" s="1"/>
  <c r="X1095" i="29"/>
  <c r="CA1096" i="29"/>
  <c r="BU1096" i="29" s="1"/>
  <c r="W1095" i="29"/>
  <c r="Y1095" i="29" s="1"/>
  <c r="Z1095" i="29" s="1"/>
  <c r="M1095" i="29"/>
  <c r="AA1095" i="29"/>
  <c r="V1097" i="29"/>
  <c r="T1098" i="29"/>
  <c r="S1098" i="29"/>
  <c r="AF1097" i="29"/>
  <c r="AE1097" i="29"/>
  <c r="BN1100" i="29"/>
  <c r="BR1099" i="29"/>
  <c r="BO1100" i="29"/>
  <c r="BY1099" i="29"/>
  <c r="R1096" i="29"/>
  <c r="Q1096" i="29"/>
  <c r="X1096" i="29" s="1"/>
  <c r="J1098" i="29"/>
  <c r="L1097" i="29"/>
  <c r="K1098" i="29"/>
  <c r="AZ1097" i="29"/>
  <c r="BH1097" i="29"/>
  <c r="BB1097" i="29" s="1"/>
  <c r="BE1098" i="29"/>
  <c r="BG1098" i="29" s="1"/>
  <c r="BA1098" i="29" s="1"/>
  <c r="BC1098" i="29"/>
  <c r="BF1098" i="29" s="1"/>
  <c r="BD1099" i="29"/>
  <c r="BP1098" i="29"/>
  <c r="W1096" i="29" l="1"/>
  <c r="Y1096" i="29" s="1"/>
  <c r="Z1096" i="29" s="1"/>
  <c r="CA1097" i="29"/>
  <c r="BU1097" i="29" s="1"/>
  <c r="M1096" i="29"/>
  <c r="AA1096" i="29"/>
  <c r="BN1101" i="29"/>
  <c r="BY1100" i="29"/>
  <c r="BO1101" i="29"/>
  <c r="BR1100" i="29"/>
  <c r="BQ1101" i="29"/>
  <c r="R1097" i="29"/>
  <c r="Q1097" i="29"/>
  <c r="U1098" i="29"/>
  <c r="T1099" i="29"/>
  <c r="S1099" i="29"/>
  <c r="V1098" i="29"/>
  <c r="AE1098" i="29"/>
  <c r="AF1098" i="29"/>
  <c r="AC1097" i="29"/>
  <c r="L1098" i="29"/>
  <c r="K1099" i="29"/>
  <c r="J1099" i="29"/>
  <c r="BP1099" i="29"/>
  <c r="BC1099" i="29"/>
  <c r="BF1099" i="29" s="1"/>
  <c r="BE1099" i="29"/>
  <c r="BG1099" i="29" s="1"/>
  <c r="BA1099" i="29" s="1"/>
  <c r="BD1100" i="29"/>
  <c r="AZ1098" i="29"/>
  <c r="BH1098" i="29"/>
  <c r="BB1098" i="29" s="1"/>
  <c r="J1100" i="29" l="1"/>
  <c r="K1100" i="29"/>
  <c r="L1099" i="29"/>
  <c r="Q1098" i="29"/>
  <c r="R1098" i="29"/>
  <c r="U1099" i="29"/>
  <c r="AC1099" i="29" s="1"/>
  <c r="AC1098" i="29"/>
  <c r="BQ1102" i="29"/>
  <c r="X1097" i="29"/>
  <c r="CA1098" i="29"/>
  <c r="BU1098" i="29" s="1"/>
  <c r="W1097" i="29"/>
  <c r="Y1097" i="29" s="1"/>
  <c r="Z1097" i="29" s="1"/>
  <c r="AA1097" i="29"/>
  <c r="M1097" i="29"/>
  <c r="BR1101" i="29"/>
  <c r="BO1102" i="29"/>
  <c r="BN1102" i="29"/>
  <c r="V1099" i="29"/>
  <c r="T1100" i="29"/>
  <c r="S1100" i="29"/>
  <c r="AE1099" i="29"/>
  <c r="AF1099" i="29"/>
  <c r="AB1098" i="29"/>
  <c r="AZ1099" i="29"/>
  <c r="BH1099" i="29"/>
  <c r="BB1099" i="29" s="1"/>
  <c r="BC1100" i="29"/>
  <c r="BF1100" i="29" s="1"/>
  <c r="BD1101" i="29"/>
  <c r="BP1100" i="29"/>
  <c r="BE1100" i="29"/>
  <c r="BG1100" i="29" s="1"/>
  <c r="BA1100" i="29" s="1"/>
  <c r="V1100" i="29" l="1"/>
  <c r="T1101" i="29"/>
  <c r="S1101" i="29"/>
  <c r="AF1100" i="29"/>
  <c r="AE1100" i="29"/>
  <c r="AB1099" i="29"/>
  <c r="J1101" i="29"/>
  <c r="K1101" i="29"/>
  <c r="L1100" i="29"/>
  <c r="BQ1103" i="29"/>
  <c r="U1100" i="29"/>
  <c r="BR1102" i="29"/>
  <c r="BY1102" i="29"/>
  <c r="BN1103" i="29"/>
  <c r="BO1103" i="29"/>
  <c r="R1099" i="29"/>
  <c r="Q1099" i="29"/>
  <c r="X1099" i="29" s="1"/>
  <c r="X1098" i="29"/>
  <c r="AA1098" i="29"/>
  <c r="W1098" i="29"/>
  <c r="Y1098" i="29" s="1"/>
  <c r="Z1098" i="29" s="1"/>
  <c r="M1098" i="29"/>
  <c r="CA1099" i="29"/>
  <c r="BU1099" i="29" s="1"/>
  <c r="BI1101" i="29"/>
  <c r="BC1101" i="29"/>
  <c r="BF1101" i="29" s="1"/>
  <c r="BD1102" i="29"/>
  <c r="BE1101" i="29"/>
  <c r="BG1101" i="29" s="1"/>
  <c r="BA1101" i="29" s="1"/>
  <c r="BP1101" i="29"/>
  <c r="AZ1100" i="29"/>
  <c r="BH1100" i="29"/>
  <c r="BB1100" i="29" s="1"/>
  <c r="V1101" i="29" l="1"/>
  <c r="T1102" i="29"/>
  <c r="S1102" i="29"/>
  <c r="AF1101" i="29"/>
  <c r="AE1101" i="29"/>
  <c r="BN1104" i="29"/>
  <c r="BO1104" i="29"/>
  <c r="BR1103" i="29"/>
  <c r="BY1103" i="29"/>
  <c r="K1102" i="29"/>
  <c r="L1101" i="29"/>
  <c r="J1102" i="29"/>
  <c r="W1099" i="29"/>
  <c r="Y1099" i="29" s="1"/>
  <c r="Z1099" i="29" s="1"/>
  <c r="CA1100" i="29"/>
  <c r="BU1100" i="29" s="1"/>
  <c r="AA1099" i="29"/>
  <c r="M1099" i="29"/>
  <c r="R1100" i="29"/>
  <c r="Q1100" i="29"/>
  <c r="BQ1104" i="29"/>
  <c r="BQ1105" i="29" s="1"/>
  <c r="U1101" i="29"/>
  <c r="AC1101" i="29" s="1"/>
  <c r="BH1101" i="29"/>
  <c r="BB1101" i="29" s="1"/>
  <c r="AZ1101" i="29"/>
  <c r="BD1103" i="29"/>
  <c r="BC1102" i="29"/>
  <c r="BF1102" i="29" s="1"/>
  <c r="BE1102" i="29"/>
  <c r="BG1102" i="29" s="1"/>
  <c r="BA1102" i="29" s="1"/>
  <c r="BP1102" i="29"/>
  <c r="R1101" i="29" l="1"/>
  <c r="Q1101" i="29"/>
  <c r="CA1101" i="29"/>
  <c r="BU1101" i="29" s="1"/>
  <c r="AA1100" i="29"/>
  <c r="W1100" i="29"/>
  <c r="CB1101" i="29" s="1"/>
  <c r="BV1101" i="29" s="1"/>
  <c r="BY1104" i="29"/>
  <c r="BO1105" i="29"/>
  <c r="BR1104" i="29"/>
  <c r="BN1105" i="29"/>
  <c r="U1102" i="29"/>
  <c r="T1103" i="29"/>
  <c r="V1102" i="29"/>
  <c r="S1103" i="29"/>
  <c r="AF1102" i="29"/>
  <c r="AE1102" i="29"/>
  <c r="AB1101" i="29"/>
  <c r="J1103" i="29"/>
  <c r="K1103" i="29"/>
  <c r="L1102" i="29"/>
  <c r="BH1102" i="29"/>
  <c r="BB1102" i="29" s="1"/>
  <c r="AZ1102" i="29"/>
  <c r="BD1104" i="29"/>
  <c r="BC1103" i="29"/>
  <c r="BF1103" i="29" s="1"/>
  <c r="BE1103" i="29"/>
  <c r="BG1103" i="29" s="1"/>
  <c r="BA1103" i="29" s="1"/>
  <c r="BP1103" i="29"/>
  <c r="Y1100" i="29" l="1"/>
  <c r="Z1100" i="29" s="1"/>
  <c r="CB1099" i="29"/>
  <c r="CB1098" i="29"/>
  <c r="CB1097" i="29"/>
  <c r="CB1096" i="29"/>
  <c r="CB1100" i="29"/>
  <c r="CA1102" i="29"/>
  <c r="BU1102" i="29" s="1"/>
  <c r="AA1101" i="29"/>
  <c r="M1101" i="29"/>
  <c r="W1101" i="29"/>
  <c r="Y1101" i="29" s="1"/>
  <c r="U1103" i="29"/>
  <c r="R1102" i="29"/>
  <c r="Q1102" i="29"/>
  <c r="X1102" i="29" s="1"/>
  <c r="AC1102" i="29"/>
  <c r="BO1106" i="29"/>
  <c r="BR1105" i="29"/>
  <c r="BN1106" i="29"/>
  <c r="BY1105" i="29"/>
  <c r="T1104" i="29"/>
  <c r="V1103" i="29"/>
  <c r="S1104" i="29"/>
  <c r="AE1103" i="29"/>
  <c r="AF1103" i="29"/>
  <c r="AB1102" i="29"/>
  <c r="L1103" i="29"/>
  <c r="K1104" i="29"/>
  <c r="J1104" i="29"/>
  <c r="CC1101" i="29"/>
  <c r="BQ1106" i="29"/>
  <c r="BQ1107" i="29" s="1"/>
  <c r="X1101" i="29"/>
  <c r="AZ1103" i="29"/>
  <c r="BH1103" i="29"/>
  <c r="BB1103" i="29" s="1"/>
  <c r="BC1104" i="29"/>
  <c r="BF1104" i="29" s="1"/>
  <c r="BD1105" i="29"/>
  <c r="BE1104" i="29"/>
  <c r="BG1104" i="29" s="1"/>
  <c r="BA1104" i="29" s="1"/>
  <c r="BP1104" i="29"/>
  <c r="S1105" i="29" l="1"/>
  <c r="T1105" i="29"/>
  <c r="V1104" i="29"/>
  <c r="AF1104" i="29"/>
  <c r="AE1104" i="29"/>
  <c r="BO1107" i="29"/>
  <c r="BN1107" i="29"/>
  <c r="BR1106" i="29"/>
  <c r="BY1106" i="29"/>
  <c r="BV1097" i="29"/>
  <c r="CC1097" i="29"/>
  <c r="Q1103" i="29"/>
  <c r="R1103" i="29"/>
  <c r="BV1098" i="29"/>
  <c r="CC1098" i="29"/>
  <c r="BQ1108" i="29"/>
  <c r="J1105" i="29"/>
  <c r="K1105" i="29"/>
  <c r="L1104" i="29"/>
  <c r="U1104" i="29"/>
  <c r="AB1103" i="29"/>
  <c r="BV1100" i="29"/>
  <c r="CC1100" i="29"/>
  <c r="BV1099" i="29"/>
  <c r="CC1099" i="29"/>
  <c r="AA1102" i="29"/>
  <c r="CA1103" i="29"/>
  <c r="BU1103" i="29" s="1"/>
  <c r="M1102" i="29"/>
  <c r="W1102" i="29"/>
  <c r="Y1102" i="29" s="1"/>
  <c r="AC1103" i="29"/>
  <c r="BV1096" i="29"/>
  <c r="CC1096" i="29"/>
  <c r="Z1101" i="29"/>
  <c r="AC1100" i="29"/>
  <c r="AB1100" i="29"/>
  <c r="BP1105" i="29"/>
  <c r="BC1105" i="29"/>
  <c r="BF1105" i="29" s="1"/>
  <c r="BD1106" i="29"/>
  <c r="BE1105" i="29"/>
  <c r="BG1105" i="29" s="1"/>
  <c r="BA1105" i="29" s="1"/>
  <c r="BH1104" i="29"/>
  <c r="BB1104" i="29" s="1"/>
  <c r="AZ1104" i="29"/>
  <c r="Z1102" i="29" l="1"/>
  <c r="W1103" i="29"/>
  <c r="Y1103" i="29" s="1"/>
  <c r="Z1103" i="29" s="1"/>
  <c r="AA1103" i="29"/>
  <c r="CA1104" i="29"/>
  <c r="BU1104" i="29" s="1"/>
  <c r="M1103" i="29"/>
  <c r="Q1104" i="29"/>
  <c r="R1104" i="29"/>
  <c r="K1106" i="29"/>
  <c r="L1105" i="29"/>
  <c r="J1106" i="29"/>
  <c r="AB1104" i="29"/>
  <c r="X1103" i="29"/>
  <c r="BR1107" i="29"/>
  <c r="BO1108" i="29"/>
  <c r="BQ1109" i="29" s="1"/>
  <c r="BN1108" i="29"/>
  <c r="BY1107" i="29"/>
  <c r="V1105" i="29"/>
  <c r="S1106" i="29"/>
  <c r="T1106" i="29"/>
  <c r="AE1105" i="29"/>
  <c r="AF1105" i="29"/>
  <c r="AC1104" i="29"/>
  <c r="U1105" i="29"/>
  <c r="AC1105" i="29" s="1"/>
  <c r="BP1106" i="29"/>
  <c r="BC1106" i="29"/>
  <c r="BF1106" i="29" s="1"/>
  <c r="BE1106" i="29"/>
  <c r="BG1106" i="29" s="1"/>
  <c r="BA1106" i="29" s="1"/>
  <c r="BD1107" i="29"/>
  <c r="BH1105" i="29"/>
  <c r="BB1105" i="29" s="1"/>
  <c r="AZ1105" i="29"/>
  <c r="X1104" i="29" l="1"/>
  <c r="AA1104" i="29"/>
  <c r="CA1105" i="29"/>
  <c r="BU1105" i="29" s="1"/>
  <c r="W1104" i="29"/>
  <c r="Y1104" i="29" s="1"/>
  <c r="Z1104" i="29" s="1"/>
  <c r="M1104" i="29"/>
  <c r="T1107" i="29"/>
  <c r="S1107" i="29"/>
  <c r="V1106" i="29"/>
  <c r="AE1106" i="29"/>
  <c r="AF1106" i="29"/>
  <c r="J1107" i="29"/>
  <c r="L1106" i="29"/>
  <c r="K1107" i="29"/>
  <c r="R1105" i="29"/>
  <c r="Q1105" i="29"/>
  <c r="X1105" i="29" s="1"/>
  <c r="U1106" i="29"/>
  <c r="AC1106" i="29" s="1"/>
  <c r="BO1109" i="29"/>
  <c r="BN1109" i="29"/>
  <c r="BY1108" i="29"/>
  <c r="BR1108" i="29"/>
  <c r="AB1105" i="29"/>
  <c r="BP1107" i="29"/>
  <c r="BC1107" i="29"/>
  <c r="BF1107" i="29" s="1"/>
  <c r="BD1108" i="29"/>
  <c r="BE1107" i="29"/>
  <c r="BG1107" i="29" s="1"/>
  <c r="BA1107" i="29" s="1"/>
  <c r="BH1106" i="29"/>
  <c r="BB1106" i="29" s="1"/>
  <c r="AZ1106" i="29"/>
  <c r="AB1106" i="29" l="1"/>
  <c r="U1107" i="29"/>
  <c r="AB1107" i="29" s="1"/>
  <c r="L1107" i="29"/>
  <c r="K1108" i="29"/>
  <c r="J1108" i="29"/>
  <c r="T1108" i="29"/>
  <c r="S1108" i="29"/>
  <c r="V1107" i="29"/>
  <c r="AE1107" i="29"/>
  <c r="AF1107" i="29"/>
  <c r="BO1110" i="29"/>
  <c r="BY1109" i="29"/>
  <c r="BN1110" i="29"/>
  <c r="BR1109" i="29"/>
  <c r="W1105" i="29"/>
  <c r="Y1105" i="29" s="1"/>
  <c r="Z1105" i="29" s="1"/>
  <c r="AA1105" i="29"/>
  <c r="M1105" i="29"/>
  <c r="CA1106" i="29"/>
  <c r="BU1106" i="29" s="1"/>
  <c r="R1106" i="29"/>
  <c r="Q1106" i="29"/>
  <c r="X1106" i="29" s="1"/>
  <c r="BQ1110" i="29"/>
  <c r="BQ1111" i="29" s="1"/>
  <c r="AZ1107" i="29"/>
  <c r="BH1107" i="29"/>
  <c r="BB1107" i="29" s="1"/>
  <c r="BP1108" i="29"/>
  <c r="BC1108" i="29"/>
  <c r="BF1108" i="29" s="1"/>
  <c r="BE1108" i="29"/>
  <c r="BG1108" i="29" s="1"/>
  <c r="BA1108" i="29" s="1"/>
  <c r="BD1109" i="29"/>
  <c r="L1108" i="29" l="1"/>
  <c r="K1109" i="29"/>
  <c r="J1109" i="29"/>
  <c r="AC1107" i="29"/>
  <c r="BO1111" i="29"/>
  <c r="BN1111" i="29"/>
  <c r="BR1110" i="29"/>
  <c r="BY1110" i="29"/>
  <c r="U1108" i="29"/>
  <c r="AB1108" i="29" s="1"/>
  <c r="BQ1112" i="29"/>
  <c r="M1106" i="29"/>
  <c r="AA1106" i="29"/>
  <c r="W1106" i="29"/>
  <c r="Y1106" i="29" s="1"/>
  <c r="Z1106" i="29" s="1"/>
  <c r="CA1107" i="29"/>
  <c r="BU1107" i="29" s="1"/>
  <c r="V1108" i="29"/>
  <c r="T1109" i="29"/>
  <c r="S1109" i="29"/>
  <c r="AE1108" i="29"/>
  <c r="AF1108" i="29"/>
  <c r="R1107" i="29"/>
  <c r="Q1107" i="29"/>
  <c r="BP1109" i="29"/>
  <c r="BC1109" i="29"/>
  <c r="BF1109" i="29" s="1"/>
  <c r="BE1109" i="29"/>
  <c r="BG1109" i="29" s="1"/>
  <c r="BA1109" i="29" s="1"/>
  <c r="BD1110" i="29"/>
  <c r="BH1108" i="29"/>
  <c r="BB1108" i="29" s="1"/>
  <c r="AZ1108" i="29"/>
  <c r="AC1108" i="29" l="1"/>
  <c r="M1107" i="29"/>
  <c r="AA1107" i="29"/>
  <c r="W1107" i="29"/>
  <c r="Y1107" i="29" s="1"/>
  <c r="Z1107" i="29" s="1"/>
  <c r="CA1108" i="29"/>
  <c r="BU1108" i="29" s="1"/>
  <c r="K1110" i="29"/>
  <c r="L1109" i="29"/>
  <c r="J1110" i="29"/>
  <c r="U1109" i="29"/>
  <c r="AB1109" i="29" s="1"/>
  <c r="BO1112" i="29"/>
  <c r="BR1111" i="29"/>
  <c r="BN1112" i="29"/>
  <c r="BY1111" i="29"/>
  <c r="V1109" i="29"/>
  <c r="T1110" i="29"/>
  <c r="S1110" i="29"/>
  <c r="AE1109" i="29"/>
  <c r="AF1109" i="29"/>
  <c r="BQ1113" i="29"/>
  <c r="X1107" i="29"/>
  <c r="Q1108" i="29"/>
  <c r="R1108" i="29"/>
  <c r="BC1110" i="29"/>
  <c r="BF1110" i="29" s="1"/>
  <c r="BP1110" i="29"/>
  <c r="BD1111" i="29"/>
  <c r="BE1110" i="29"/>
  <c r="BG1110" i="29" s="1"/>
  <c r="BA1110" i="29" s="1"/>
  <c r="BH1109" i="29"/>
  <c r="BB1109" i="29" s="1"/>
  <c r="AZ1109" i="29"/>
  <c r="AC1109" i="29" l="1"/>
  <c r="Q1109" i="29"/>
  <c r="R1109" i="29"/>
  <c r="W1108" i="29"/>
  <c r="Y1108" i="29" s="1"/>
  <c r="Z1108" i="29" s="1"/>
  <c r="AA1108" i="29"/>
  <c r="M1108" i="29"/>
  <c r="CA1109" i="29"/>
  <c r="BU1109" i="29" s="1"/>
  <c r="X1108" i="29"/>
  <c r="U1110" i="29"/>
  <c r="AB1110" i="29" s="1"/>
  <c r="K1111" i="29"/>
  <c r="J1111" i="29"/>
  <c r="L1110" i="29"/>
  <c r="V1110" i="29"/>
  <c r="T1111" i="29"/>
  <c r="S1111" i="29"/>
  <c r="AF1110" i="29"/>
  <c r="AE1110" i="29"/>
  <c r="BR1112" i="29"/>
  <c r="BN1113" i="29"/>
  <c r="BY1112" i="29"/>
  <c r="BO1113" i="29"/>
  <c r="BQ1114" i="29" s="1"/>
  <c r="BE1111" i="29"/>
  <c r="BG1111" i="29" s="1"/>
  <c r="BA1111" i="29" s="1"/>
  <c r="BP1111" i="29"/>
  <c r="BC1111" i="29"/>
  <c r="BF1111" i="29" s="1"/>
  <c r="BD1112" i="29"/>
  <c r="BH1110" i="29"/>
  <c r="BB1110" i="29" s="1"/>
  <c r="AZ1110" i="29"/>
  <c r="L1111" i="29" l="1"/>
  <c r="K1112" i="29"/>
  <c r="J1112" i="29"/>
  <c r="U1111" i="29"/>
  <c r="R1110" i="29"/>
  <c r="Q1110" i="29"/>
  <c r="X1109" i="29"/>
  <c r="W1109" i="29"/>
  <c r="Y1109" i="29" s="1"/>
  <c r="Z1109" i="29" s="1"/>
  <c r="AA1109" i="29"/>
  <c r="CA1110" i="29"/>
  <c r="BU1110" i="29" s="1"/>
  <c r="M1109" i="29"/>
  <c r="BR1113" i="29"/>
  <c r="BN1114" i="29"/>
  <c r="BO1114" i="29"/>
  <c r="T1112" i="29"/>
  <c r="S1112" i="29"/>
  <c r="V1111" i="29"/>
  <c r="AF1111" i="29"/>
  <c r="AE1111" i="29"/>
  <c r="AC1110" i="29"/>
  <c r="BP1112" i="29"/>
  <c r="BD1113" i="29"/>
  <c r="BC1112" i="29"/>
  <c r="BF1112" i="29" s="1"/>
  <c r="BE1112" i="29"/>
  <c r="BG1112" i="29" s="1"/>
  <c r="BA1112" i="29" s="1"/>
  <c r="BH1111" i="29"/>
  <c r="BB1111" i="29" s="1"/>
  <c r="AZ1111" i="29"/>
  <c r="BO1115" i="29" l="1"/>
  <c r="BY1114" i="29"/>
  <c r="BR1114" i="29"/>
  <c r="BN1115" i="29"/>
  <c r="S1113" i="29"/>
  <c r="V1112" i="29"/>
  <c r="T1113" i="29"/>
  <c r="AF1112" i="29"/>
  <c r="AE1112" i="29"/>
  <c r="R1111" i="29"/>
  <c r="Q1111" i="29"/>
  <c r="X1111" i="29" s="1"/>
  <c r="AC1111" i="29"/>
  <c r="L1112" i="29"/>
  <c r="K1113" i="29"/>
  <c r="J1113" i="29"/>
  <c r="U1112" i="29"/>
  <c r="X1110" i="29"/>
  <c r="AA1110" i="29"/>
  <c r="CA1111" i="29"/>
  <c r="BU1111" i="29" s="1"/>
  <c r="M1110" i="29"/>
  <c r="W1110" i="29"/>
  <c r="Y1110" i="29" s="1"/>
  <c r="Z1110" i="29" s="1"/>
  <c r="AB1111" i="29"/>
  <c r="BQ1115" i="29"/>
  <c r="BQ1116" i="29" s="1"/>
  <c r="BP1113" i="29"/>
  <c r="BD1114" i="29"/>
  <c r="BE1113" i="29"/>
  <c r="BG1113" i="29" s="1"/>
  <c r="BA1113" i="29" s="1"/>
  <c r="BC1113" i="29"/>
  <c r="BF1113" i="29" s="1"/>
  <c r="BI1113" i="29"/>
  <c r="BH1112" i="29"/>
  <c r="BB1112" i="29" s="1"/>
  <c r="AZ1112" i="29"/>
  <c r="L1113" i="29" l="1"/>
  <c r="J1114" i="29"/>
  <c r="K1114" i="29"/>
  <c r="AA1111" i="29"/>
  <c r="W1111" i="29"/>
  <c r="Y1111" i="29" s="1"/>
  <c r="Z1111" i="29" s="1"/>
  <c r="M1111" i="29"/>
  <c r="CA1112" i="29"/>
  <c r="BU1112" i="29" s="1"/>
  <c r="V1113" i="29"/>
  <c r="T1114" i="29"/>
  <c r="S1114" i="29"/>
  <c r="AE1113" i="29"/>
  <c r="AF1113" i="29"/>
  <c r="Q1112" i="29"/>
  <c r="R1112" i="29"/>
  <c r="U1113" i="29"/>
  <c r="AB1113" i="29" s="1"/>
  <c r="BO1116" i="29"/>
  <c r="BY1115" i="29"/>
  <c r="BN1116" i="29"/>
  <c r="BR1115" i="29"/>
  <c r="BQ1117" i="29"/>
  <c r="AZ1113" i="29"/>
  <c r="BH1113" i="29"/>
  <c r="BB1113" i="29" s="1"/>
  <c r="BC1114" i="29"/>
  <c r="BF1114" i="29" s="1"/>
  <c r="BE1114" i="29"/>
  <c r="BG1114" i="29" s="1"/>
  <c r="BA1114" i="29" s="1"/>
  <c r="BP1114" i="29"/>
  <c r="BD1115" i="29"/>
  <c r="AC1113" i="29" l="1"/>
  <c r="U1114" i="29"/>
  <c r="BO1117" i="29"/>
  <c r="BN1117" i="29"/>
  <c r="BY1116" i="29"/>
  <c r="BR1116" i="29"/>
  <c r="V1114" i="29"/>
  <c r="T1115" i="29"/>
  <c r="S1115" i="29"/>
  <c r="AE1114" i="29"/>
  <c r="AF1114" i="29"/>
  <c r="L1114" i="29"/>
  <c r="K1115" i="29"/>
  <c r="J1115" i="29"/>
  <c r="Q1113" i="29"/>
  <c r="X1113" i="29" s="1"/>
  <c r="R1113" i="29"/>
  <c r="AA1112" i="29"/>
  <c r="W1112" i="29"/>
  <c r="CB1113" i="29" s="1"/>
  <c r="BV1113" i="29" s="1"/>
  <c r="CA1113" i="29"/>
  <c r="BU1113" i="29" s="1"/>
  <c r="AZ1114" i="29"/>
  <c r="BH1114" i="29"/>
  <c r="BB1114" i="29" s="1"/>
  <c r="BP1115" i="29"/>
  <c r="BD1116" i="29"/>
  <c r="BE1115" i="29"/>
  <c r="BG1115" i="29" s="1"/>
  <c r="BA1115" i="29" s="1"/>
  <c r="BC1115" i="29"/>
  <c r="BF1115" i="29" s="1"/>
  <c r="CC1113" i="29" l="1"/>
  <c r="T1116" i="29"/>
  <c r="V1115" i="29"/>
  <c r="S1116" i="29"/>
  <c r="AF1115" i="29"/>
  <c r="AE1115" i="29"/>
  <c r="R1114" i="29"/>
  <c r="Q1114" i="29"/>
  <c r="Y1112" i="29"/>
  <c r="Z1112" i="29" s="1"/>
  <c r="CB1111" i="29"/>
  <c r="CB1108" i="29"/>
  <c r="CB1107" i="29"/>
  <c r="CB1109" i="29"/>
  <c r="CB1110" i="29"/>
  <c r="CB1106" i="29"/>
  <c r="CB1112" i="29"/>
  <c r="CA1114" i="29"/>
  <c r="BU1114" i="29" s="1"/>
  <c r="AA1113" i="29"/>
  <c r="W1113" i="29"/>
  <c r="Y1113" i="29" s="1"/>
  <c r="M1113" i="29"/>
  <c r="AB1114" i="29"/>
  <c r="BN1118" i="29"/>
  <c r="BR1117" i="29"/>
  <c r="BY1117" i="29"/>
  <c r="BO1118" i="29"/>
  <c r="AC1114" i="29"/>
  <c r="L1115" i="29"/>
  <c r="J1116" i="29"/>
  <c r="K1116" i="29"/>
  <c r="U1115" i="29"/>
  <c r="AB1115" i="29" s="1"/>
  <c r="BQ1118" i="29"/>
  <c r="BQ1119" i="29" s="1"/>
  <c r="AZ1115" i="29"/>
  <c r="BH1115" i="29"/>
  <c r="BB1115" i="29" s="1"/>
  <c r="BE1116" i="29"/>
  <c r="BG1116" i="29" s="1"/>
  <c r="BA1116" i="29" s="1"/>
  <c r="BC1116" i="29"/>
  <c r="BF1116" i="29" s="1"/>
  <c r="BD1117" i="29"/>
  <c r="BP1116" i="29"/>
  <c r="BV1106" i="29" l="1"/>
  <c r="CC1106" i="29"/>
  <c r="BV1108" i="29"/>
  <c r="CC1108" i="29"/>
  <c r="AA1114" i="29"/>
  <c r="W1114" i="29"/>
  <c r="Y1114" i="29" s="1"/>
  <c r="M1114" i="29"/>
  <c r="CA1115" i="29"/>
  <c r="BU1115" i="29" s="1"/>
  <c r="U1116" i="29"/>
  <c r="AB1116" i="29" s="1"/>
  <c r="BV1110" i="29"/>
  <c r="CC1110" i="29"/>
  <c r="BV1111" i="29"/>
  <c r="CC1111" i="29"/>
  <c r="AC1115" i="29"/>
  <c r="BV1109" i="29"/>
  <c r="CC1109" i="29"/>
  <c r="Z1113" i="29"/>
  <c r="AC1112" i="29"/>
  <c r="AB1112" i="29"/>
  <c r="T1117" i="29"/>
  <c r="V1116" i="29"/>
  <c r="S1117" i="29"/>
  <c r="AE1116" i="29"/>
  <c r="AF1116" i="29"/>
  <c r="R1115" i="29"/>
  <c r="Q1115" i="29"/>
  <c r="K1117" i="29"/>
  <c r="L1116" i="29"/>
  <c r="J1117" i="29"/>
  <c r="BO1119" i="29"/>
  <c r="BN1119" i="29"/>
  <c r="BY1118" i="29"/>
  <c r="BR1118" i="29"/>
  <c r="BV1112" i="29"/>
  <c r="CC1112" i="29"/>
  <c r="BV1107" i="29"/>
  <c r="CC1107" i="29"/>
  <c r="X1114" i="29"/>
  <c r="BP1117" i="29"/>
  <c r="BE1117" i="29"/>
  <c r="BG1117" i="29" s="1"/>
  <c r="BA1117" i="29" s="1"/>
  <c r="BD1118" i="29"/>
  <c r="BC1117" i="29"/>
  <c r="BF1117" i="29" s="1"/>
  <c r="AZ1116" i="29"/>
  <c r="BH1116" i="29"/>
  <c r="BB1116" i="29" s="1"/>
  <c r="Z1114" i="29" l="1"/>
  <c r="BN1120" i="29"/>
  <c r="BY1119" i="29"/>
  <c r="BO1120" i="29"/>
  <c r="BR1119" i="29"/>
  <c r="BQ1120" i="29"/>
  <c r="BQ1121" i="29" s="1"/>
  <c r="AC1116" i="29"/>
  <c r="X1115" i="29"/>
  <c r="CA1116" i="29"/>
  <c r="BU1116" i="29" s="1"/>
  <c r="M1115" i="29"/>
  <c r="W1115" i="29"/>
  <c r="Y1115" i="29" s="1"/>
  <c r="AA1115" i="29"/>
  <c r="U1117" i="29"/>
  <c r="L1117" i="29"/>
  <c r="K1118" i="29"/>
  <c r="J1118" i="29"/>
  <c r="V1117" i="29"/>
  <c r="S1118" i="29"/>
  <c r="T1118" i="29"/>
  <c r="AE1117" i="29"/>
  <c r="AF1117" i="29"/>
  <c r="Q1116" i="29"/>
  <c r="R1116" i="29"/>
  <c r="BH1117" i="29"/>
  <c r="BB1117" i="29" s="1"/>
  <c r="AZ1117" i="29"/>
  <c r="BE1118" i="29"/>
  <c r="BG1118" i="29" s="1"/>
  <c r="BA1118" i="29" s="1"/>
  <c r="BP1118" i="29"/>
  <c r="BC1118" i="29"/>
  <c r="BF1118" i="29" s="1"/>
  <c r="BD1119" i="29"/>
  <c r="Z1115" i="29" l="1"/>
  <c r="M1116" i="29"/>
  <c r="W1116" i="29"/>
  <c r="Y1116" i="29" s="1"/>
  <c r="AA1116" i="29"/>
  <c r="CA1117" i="29"/>
  <c r="BU1117" i="29" s="1"/>
  <c r="U1118" i="29"/>
  <c r="AB1118" i="29" s="1"/>
  <c r="Q1117" i="29"/>
  <c r="R1117" i="29"/>
  <c r="AB1117" i="29"/>
  <c r="BY1120" i="29"/>
  <c r="BN1121" i="29"/>
  <c r="BR1120" i="29"/>
  <c r="BO1121" i="29"/>
  <c r="X1116" i="29"/>
  <c r="AC1117" i="29"/>
  <c r="V1118" i="29"/>
  <c r="T1119" i="29"/>
  <c r="S1119" i="29"/>
  <c r="AE1118" i="29"/>
  <c r="AF1118" i="29"/>
  <c r="J1119" i="29"/>
  <c r="K1119" i="29"/>
  <c r="L1118" i="29"/>
  <c r="BQ1122" i="29"/>
  <c r="BD1120" i="29"/>
  <c r="BP1119" i="29"/>
  <c r="BE1119" i="29"/>
  <c r="BG1119" i="29" s="1"/>
  <c r="BA1119" i="29" s="1"/>
  <c r="BC1119" i="29"/>
  <c r="BF1119" i="29" s="1"/>
  <c r="BH1118" i="29"/>
  <c r="BB1118" i="29" s="1"/>
  <c r="AZ1118" i="29"/>
  <c r="Z1116" i="29" l="1"/>
  <c r="R1118" i="29"/>
  <c r="Q1118" i="29"/>
  <c r="X1118" i="29" s="1"/>
  <c r="L1119" i="29"/>
  <c r="J1120" i="29"/>
  <c r="K1120" i="29"/>
  <c r="U1119" i="29"/>
  <c r="AB1119" i="29" s="1"/>
  <c r="AC1118" i="29"/>
  <c r="V1119" i="29"/>
  <c r="S1120" i="29"/>
  <c r="T1120" i="29"/>
  <c r="AE1119" i="29"/>
  <c r="AF1119" i="29"/>
  <c r="W1117" i="29"/>
  <c r="Y1117" i="29" s="1"/>
  <c r="Z1117" i="29" s="1"/>
  <c r="CA1118" i="29"/>
  <c r="BU1118" i="29" s="1"/>
  <c r="M1117" i="29"/>
  <c r="AA1117" i="29"/>
  <c r="BY1121" i="29"/>
  <c r="BN1122" i="29"/>
  <c r="BO1122" i="29"/>
  <c r="BR1121" i="29"/>
  <c r="X1117" i="29"/>
  <c r="BH1119" i="29"/>
  <c r="BB1119" i="29" s="1"/>
  <c r="AZ1119" i="29"/>
  <c r="BE1120" i="29"/>
  <c r="BG1120" i="29" s="1"/>
  <c r="BA1120" i="29" s="1"/>
  <c r="BP1120" i="29"/>
  <c r="BC1120" i="29"/>
  <c r="BF1120" i="29" s="1"/>
  <c r="BD1121" i="29"/>
  <c r="AC1119" i="29" l="1"/>
  <c r="T1121" i="29"/>
  <c r="S1121" i="29"/>
  <c r="V1120" i="29"/>
  <c r="AF1120" i="29"/>
  <c r="AE1120" i="29"/>
  <c r="U1120" i="29"/>
  <c r="AB1120" i="29" s="1"/>
  <c r="L1120" i="29"/>
  <c r="K1121" i="29"/>
  <c r="J1121" i="29"/>
  <c r="W1118" i="29"/>
  <c r="Y1118" i="29" s="1"/>
  <c r="Z1118" i="29" s="1"/>
  <c r="M1118" i="29"/>
  <c r="AA1118" i="29"/>
  <c r="CA1119" i="29"/>
  <c r="BU1119" i="29" s="1"/>
  <c r="R1119" i="29"/>
  <c r="Q1119" i="29"/>
  <c r="BN1123" i="29"/>
  <c r="BR1122" i="29"/>
  <c r="BY1122" i="29"/>
  <c r="BO1123" i="29"/>
  <c r="BQ1123" i="29"/>
  <c r="BQ1124" i="29" s="1"/>
  <c r="BD1122" i="29"/>
  <c r="BP1121" i="29"/>
  <c r="BC1121" i="29"/>
  <c r="BF1121" i="29" s="1"/>
  <c r="BE1121" i="29"/>
  <c r="BG1121" i="29" s="1"/>
  <c r="BA1121" i="29" s="1"/>
  <c r="AZ1120" i="29"/>
  <c r="BH1120" i="29"/>
  <c r="BB1120" i="29" s="1"/>
  <c r="L1121" i="29" l="1"/>
  <c r="J1122" i="29"/>
  <c r="K1122" i="29"/>
  <c r="U1121" i="29"/>
  <c r="AC1121" i="29" s="1"/>
  <c r="BO1124" i="29"/>
  <c r="BR1123" i="29"/>
  <c r="BY1123" i="29"/>
  <c r="BN1124" i="29"/>
  <c r="W1119" i="29"/>
  <c r="Y1119" i="29" s="1"/>
  <c r="Z1119" i="29" s="1"/>
  <c r="M1119" i="29"/>
  <c r="AA1119" i="29"/>
  <c r="CA1120" i="29"/>
  <c r="BU1120" i="29" s="1"/>
  <c r="T1122" i="29"/>
  <c r="S1122" i="29"/>
  <c r="V1121" i="29"/>
  <c r="AF1121" i="29"/>
  <c r="AE1121" i="29"/>
  <c r="R1120" i="29"/>
  <c r="Q1120" i="29"/>
  <c r="X1120" i="29" s="1"/>
  <c r="X1119" i="29"/>
  <c r="AC1120" i="29"/>
  <c r="AZ1121" i="29"/>
  <c r="BH1121" i="29"/>
  <c r="BB1121" i="29" s="1"/>
  <c r="BP1122" i="29"/>
  <c r="BD1123" i="29"/>
  <c r="BE1122" i="29"/>
  <c r="BG1122" i="29" s="1"/>
  <c r="BA1122" i="29" s="1"/>
  <c r="BC1122" i="29"/>
  <c r="BF1122" i="29" s="1"/>
  <c r="AB1121" i="29" l="1"/>
  <c r="AA1120" i="29"/>
  <c r="M1120" i="29"/>
  <c r="CA1121" i="29"/>
  <c r="BU1121" i="29" s="1"/>
  <c r="W1120" i="29"/>
  <c r="Y1120" i="29" s="1"/>
  <c r="Z1120" i="29" s="1"/>
  <c r="BR1124" i="29"/>
  <c r="BN1125" i="29"/>
  <c r="BO1125" i="29"/>
  <c r="BY1124" i="29"/>
  <c r="J1123" i="29"/>
  <c r="K1123" i="29"/>
  <c r="L1122" i="29"/>
  <c r="BQ1125" i="29"/>
  <c r="BQ1126" i="29" s="1"/>
  <c r="U1122" i="29"/>
  <c r="AB1122" i="29" s="1"/>
  <c r="S1123" i="29"/>
  <c r="V1122" i="29"/>
  <c r="T1123" i="29"/>
  <c r="AE1122" i="29"/>
  <c r="AF1122" i="29"/>
  <c r="R1121" i="29"/>
  <c r="Q1121" i="29"/>
  <c r="AZ1122" i="29"/>
  <c r="BH1122" i="29"/>
  <c r="BB1122" i="29" s="1"/>
  <c r="BP1123" i="29"/>
  <c r="BE1123" i="29"/>
  <c r="BG1123" i="29" s="1"/>
  <c r="BA1123" i="29" s="1"/>
  <c r="BD1124" i="29"/>
  <c r="BC1123" i="29"/>
  <c r="BF1123" i="29" s="1"/>
  <c r="CA1122" i="29" l="1"/>
  <c r="BU1122" i="29" s="1"/>
  <c r="AA1121" i="29"/>
  <c r="M1121" i="29"/>
  <c r="W1121" i="29"/>
  <c r="Y1121" i="29" s="1"/>
  <c r="Z1121" i="29" s="1"/>
  <c r="U1123" i="29"/>
  <c r="AB1123" i="29" s="1"/>
  <c r="R1122" i="29"/>
  <c r="Q1122" i="29"/>
  <c r="BN1126" i="29"/>
  <c r="BR1125" i="29"/>
  <c r="BO1126" i="29"/>
  <c r="BQ1127" i="29" s="1"/>
  <c r="X1121" i="29"/>
  <c r="V1123" i="29"/>
  <c r="S1124" i="29"/>
  <c r="T1124" i="29"/>
  <c r="AE1123" i="29"/>
  <c r="AF1123" i="29"/>
  <c r="AC1122" i="29"/>
  <c r="K1124" i="29"/>
  <c r="L1123" i="29"/>
  <c r="J1124" i="29"/>
  <c r="BD1125" i="29"/>
  <c r="BP1124" i="29"/>
  <c r="BC1124" i="29"/>
  <c r="BF1124" i="29" s="1"/>
  <c r="BE1124" i="29"/>
  <c r="BG1124" i="29" s="1"/>
  <c r="BA1124" i="29" s="1"/>
  <c r="AZ1123" i="29"/>
  <c r="BH1123" i="29"/>
  <c r="BB1123" i="29" s="1"/>
  <c r="M1122" i="29" l="1"/>
  <c r="AA1122" i="29"/>
  <c r="CA1123" i="29"/>
  <c r="BU1123" i="29" s="1"/>
  <c r="W1122" i="29"/>
  <c r="Y1122" i="29" s="1"/>
  <c r="Z1122" i="29" s="1"/>
  <c r="Q1123" i="29"/>
  <c r="R1123" i="29"/>
  <c r="K1125" i="29"/>
  <c r="L1124" i="29"/>
  <c r="J1125" i="29"/>
  <c r="V1124" i="29"/>
  <c r="T1125" i="29"/>
  <c r="S1125" i="29"/>
  <c r="AE1124" i="29"/>
  <c r="AF1124" i="29"/>
  <c r="BY1126" i="29"/>
  <c r="BN1127" i="29"/>
  <c r="BO1127" i="29"/>
  <c r="BR1126" i="29"/>
  <c r="U1124" i="29"/>
  <c r="X1122" i="29"/>
  <c r="AC1123" i="29"/>
  <c r="BH1124" i="29"/>
  <c r="BB1124" i="29" s="1"/>
  <c r="AZ1124" i="29"/>
  <c r="BP1125" i="29"/>
  <c r="BI1125" i="29"/>
  <c r="BD1126" i="29"/>
  <c r="BE1125" i="29"/>
  <c r="BG1125" i="29" s="1"/>
  <c r="BA1125" i="29" s="1"/>
  <c r="BC1125" i="29"/>
  <c r="BF1125" i="29" s="1"/>
  <c r="X1123" i="29" l="1"/>
  <c r="W1123" i="29"/>
  <c r="Y1123" i="29" s="1"/>
  <c r="Z1123" i="29" s="1"/>
  <c r="M1123" i="29"/>
  <c r="CA1124" i="29"/>
  <c r="BU1124" i="29" s="1"/>
  <c r="AA1123" i="29"/>
  <c r="BR1127" i="29"/>
  <c r="BN1128" i="29"/>
  <c r="BY1127" i="29"/>
  <c r="BO1128" i="29"/>
  <c r="U1125" i="29"/>
  <c r="AC1125" i="29" s="1"/>
  <c r="BQ1128" i="29"/>
  <c r="BQ1129" i="29" s="1"/>
  <c r="Q1124" i="29"/>
  <c r="R1124" i="29"/>
  <c r="T1126" i="29"/>
  <c r="S1126" i="29"/>
  <c r="V1125" i="29"/>
  <c r="AF1125" i="29"/>
  <c r="AE1125" i="29"/>
  <c r="J1126" i="29"/>
  <c r="L1125" i="29"/>
  <c r="K1126" i="29"/>
  <c r="BE1126" i="29"/>
  <c r="BG1126" i="29" s="1"/>
  <c r="BA1126" i="29" s="1"/>
  <c r="BD1127" i="29"/>
  <c r="BC1126" i="29"/>
  <c r="BF1126" i="29" s="1"/>
  <c r="BP1126" i="29"/>
  <c r="BH1125" i="29"/>
  <c r="BB1125" i="29" s="1"/>
  <c r="AZ1125" i="29"/>
  <c r="V1126" i="29" l="1"/>
  <c r="S1127" i="29"/>
  <c r="T1127" i="29"/>
  <c r="AE1126" i="29"/>
  <c r="AF1126" i="29"/>
  <c r="U1126" i="29"/>
  <c r="AB1126" i="29" s="1"/>
  <c r="L1126" i="29"/>
  <c r="K1127" i="29"/>
  <c r="J1127" i="29"/>
  <c r="R1125" i="29"/>
  <c r="Q1125" i="29"/>
  <c r="BR1128" i="29"/>
  <c r="BN1129" i="29"/>
  <c r="BY1128" i="29"/>
  <c r="BO1129" i="29"/>
  <c r="BQ1130" i="29" s="1"/>
  <c r="CA1125" i="29"/>
  <c r="BU1125" i="29" s="1"/>
  <c r="AA1124" i="29"/>
  <c r="W1124" i="29"/>
  <c r="CB1125" i="29" s="1"/>
  <c r="BV1125" i="29" s="1"/>
  <c r="AB1125" i="29"/>
  <c r="BH1126" i="29"/>
  <c r="BB1126" i="29" s="1"/>
  <c r="AZ1126" i="29"/>
  <c r="BC1127" i="29"/>
  <c r="BF1127" i="29" s="1"/>
  <c r="BP1127" i="29"/>
  <c r="BD1128" i="29"/>
  <c r="BE1127" i="29"/>
  <c r="BG1127" i="29" s="1"/>
  <c r="BA1127" i="29" s="1"/>
  <c r="Y1124" i="29" l="1"/>
  <c r="Z1124" i="29" s="1"/>
  <c r="CB1122" i="29"/>
  <c r="CB1124" i="29"/>
  <c r="CB1120" i="29"/>
  <c r="CB1121" i="29"/>
  <c r="CB1118" i="29"/>
  <c r="CB1123" i="29"/>
  <c r="AA1125" i="29"/>
  <c r="M1125" i="29"/>
  <c r="CA1126" i="29"/>
  <c r="BU1126" i="29" s="1"/>
  <c r="W1125" i="29"/>
  <c r="Y1125" i="29" s="1"/>
  <c r="AC1126" i="29"/>
  <c r="V1127" i="29"/>
  <c r="S1128" i="29"/>
  <c r="T1128" i="29"/>
  <c r="AE1127" i="29"/>
  <c r="AF1127" i="29"/>
  <c r="U1127" i="29"/>
  <c r="CC1125" i="29"/>
  <c r="BR1129" i="29"/>
  <c r="BN1130" i="29"/>
  <c r="BO1130" i="29"/>
  <c r="BY1129" i="29"/>
  <c r="X1125" i="29"/>
  <c r="K1128" i="29"/>
  <c r="L1127" i="29"/>
  <c r="J1128" i="29"/>
  <c r="R1126" i="29"/>
  <c r="Q1126" i="29"/>
  <c r="X1126" i="29" s="1"/>
  <c r="BD1129" i="29"/>
  <c r="BP1128" i="29"/>
  <c r="BE1128" i="29"/>
  <c r="BG1128" i="29" s="1"/>
  <c r="BA1128" i="29" s="1"/>
  <c r="BC1128" i="29"/>
  <c r="BF1128" i="29" s="1"/>
  <c r="AZ1127" i="29"/>
  <c r="BH1127" i="29"/>
  <c r="BB1127" i="29" s="1"/>
  <c r="Q1127" i="29" l="1"/>
  <c r="X1127" i="29" s="1"/>
  <c r="R1127" i="29"/>
  <c r="BV1123" i="29"/>
  <c r="CC1123" i="29"/>
  <c r="BV1124" i="29"/>
  <c r="CC1124" i="29"/>
  <c r="U1128" i="29"/>
  <c r="AC1128" i="29" s="1"/>
  <c r="BR1130" i="29"/>
  <c r="BY1130" i="29"/>
  <c r="BO1131" i="29"/>
  <c r="BN1131" i="29"/>
  <c r="BV1118" i="29"/>
  <c r="CC1118" i="29"/>
  <c r="BV1122" i="29"/>
  <c r="CC1122" i="29"/>
  <c r="M1126" i="29"/>
  <c r="W1126" i="29"/>
  <c r="Y1126" i="29" s="1"/>
  <c r="AA1126" i="29"/>
  <c r="CA1127" i="29"/>
  <c r="BU1127" i="29" s="1"/>
  <c r="L1128" i="29"/>
  <c r="K1129" i="29"/>
  <c r="J1129" i="29"/>
  <c r="AB1127" i="29"/>
  <c r="AC1127" i="29"/>
  <c r="V1128" i="29"/>
  <c r="T1129" i="29"/>
  <c r="S1129" i="29"/>
  <c r="AF1128" i="29"/>
  <c r="AE1128" i="29"/>
  <c r="BV1121" i="29"/>
  <c r="CC1121" i="29"/>
  <c r="Z1125" i="29"/>
  <c r="AB1124" i="29"/>
  <c r="AC1124" i="29"/>
  <c r="BV1120" i="29"/>
  <c r="CC1120" i="29"/>
  <c r="BQ1131" i="29"/>
  <c r="BQ1132" i="29" s="1"/>
  <c r="BH1128" i="29"/>
  <c r="BB1128" i="29" s="1"/>
  <c r="AZ1128" i="29"/>
  <c r="BD1130" i="29"/>
  <c r="BC1129" i="29"/>
  <c r="BF1129" i="29" s="1"/>
  <c r="BE1129" i="29"/>
  <c r="BG1129" i="29" s="1"/>
  <c r="BA1129" i="29" s="1"/>
  <c r="BP1129" i="29"/>
  <c r="AB1128" i="29" l="1"/>
  <c r="Z1126" i="29"/>
  <c r="S1130" i="29"/>
  <c r="V1129" i="29"/>
  <c r="T1130" i="29"/>
  <c r="AF1129" i="29"/>
  <c r="AE1129" i="29"/>
  <c r="K1130" i="29"/>
  <c r="J1130" i="29"/>
  <c r="L1129" i="29"/>
  <c r="Q1128" i="29"/>
  <c r="X1128" i="29" s="1"/>
  <c r="R1128" i="29"/>
  <c r="U1129" i="29"/>
  <c r="AB1129" i="29" s="1"/>
  <c r="BN1132" i="29"/>
  <c r="BY1131" i="29"/>
  <c r="BO1132" i="29"/>
  <c r="BR1131" i="29"/>
  <c r="CA1128" i="29"/>
  <c r="BU1128" i="29" s="1"/>
  <c r="W1127" i="29"/>
  <c r="Y1127" i="29" s="1"/>
  <c r="M1127" i="29"/>
  <c r="AA1127" i="29"/>
  <c r="AZ1129" i="29"/>
  <c r="BH1129" i="29"/>
  <c r="BB1129" i="29" s="1"/>
  <c r="BD1131" i="29"/>
  <c r="BE1130" i="29"/>
  <c r="BG1130" i="29" s="1"/>
  <c r="BA1130" i="29" s="1"/>
  <c r="BP1130" i="29"/>
  <c r="BC1130" i="29"/>
  <c r="BF1130" i="29" s="1"/>
  <c r="Z1127" i="29" l="1"/>
  <c r="AC1129" i="29"/>
  <c r="T1131" i="29"/>
  <c r="V1130" i="29"/>
  <c r="S1131" i="29"/>
  <c r="AE1130" i="29"/>
  <c r="AF1130" i="29"/>
  <c r="R1129" i="29"/>
  <c r="Q1129" i="29"/>
  <c r="X1129" i="29" s="1"/>
  <c r="U1130" i="29"/>
  <c r="AC1130" i="29" s="1"/>
  <c r="BR1132" i="29"/>
  <c r="BO1133" i="29"/>
  <c r="BN1133" i="29"/>
  <c r="BY1132" i="29"/>
  <c r="AA1128" i="29"/>
  <c r="M1128" i="29"/>
  <c r="CA1129" i="29"/>
  <c r="BU1129" i="29" s="1"/>
  <c r="W1128" i="29"/>
  <c r="Y1128" i="29" s="1"/>
  <c r="Z1128" i="29" s="1"/>
  <c r="L1130" i="29"/>
  <c r="J1131" i="29"/>
  <c r="K1131" i="29"/>
  <c r="BQ1133" i="29"/>
  <c r="BQ1134" i="29" s="1"/>
  <c r="BD1132" i="29"/>
  <c r="BE1131" i="29"/>
  <c r="BG1131" i="29" s="1"/>
  <c r="BA1131" i="29" s="1"/>
  <c r="BP1131" i="29"/>
  <c r="BC1131" i="29"/>
  <c r="BF1131" i="29" s="1"/>
  <c r="BH1130" i="29"/>
  <c r="BB1130" i="29" s="1"/>
  <c r="AZ1130" i="29"/>
  <c r="AB1130" i="29" l="1"/>
  <c r="BR1133" i="29"/>
  <c r="BO1134" i="29"/>
  <c r="BQ1135" i="29" s="1"/>
  <c r="BN1134" i="29"/>
  <c r="BY1133" i="29"/>
  <c r="U1131" i="29"/>
  <c r="AC1131" i="29" s="1"/>
  <c r="L1131" i="29"/>
  <c r="K1132" i="29"/>
  <c r="J1132" i="29"/>
  <c r="AA1129" i="29"/>
  <c r="CA1130" i="29"/>
  <c r="BU1130" i="29" s="1"/>
  <c r="W1129" i="29"/>
  <c r="Y1129" i="29" s="1"/>
  <c r="Z1129" i="29" s="1"/>
  <c r="M1129" i="29"/>
  <c r="S1132" i="29"/>
  <c r="T1132" i="29"/>
  <c r="V1131" i="29"/>
  <c r="AF1131" i="29"/>
  <c r="AE1131" i="29"/>
  <c r="Q1130" i="29"/>
  <c r="X1130" i="29" s="1"/>
  <c r="R1130" i="29"/>
  <c r="BD1133" i="29"/>
  <c r="BE1132" i="29"/>
  <c r="BG1132" i="29" s="1"/>
  <c r="BA1132" i="29" s="1"/>
  <c r="BC1132" i="29"/>
  <c r="BF1132" i="29" s="1"/>
  <c r="BP1132" i="29"/>
  <c r="BH1131" i="29"/>
  <c r="BB1131" i="29" s="1"/>
  <c r="AZ1131" i="29"/>
  <c r="K1133" i="29" l="1"/>
  <c r="L1132" i="29"/>
  <c r="J1133" i="29"/>
  <c r="V1132" i="29"/>
  <c r="T1133" i="29"/>
  <c r="S1133" i="29"/>
  <c r="AE1132" i="29"/>
  <c r="AF1132" i="29"/>
  <c r="U1132" i="29"/>
  <c r="AC1132" i="29" s="1"/>
  <c r="R1131" i="29"/>
  <c r="Q1131" i="29"/>
  <c r="X1131" i="29" s="1"/>
  <c r="M1130" i="29"/>
  <c r="CA1131" i="29"/>
  <c r="BU1131" i="29" s="1"/>
  <c r="W1130" i="29"/>
  <c r="Y1130" i="29" s="1"/>
  <c r="Z1130" i="29" s="1"/>
  <c r="AA1130" i="29"/>
  <c r="AB1131" i="29"/>
  <c r="BO1135" i="29"/>
  <c r="BQ1136" i="29" s="1"/>
  <c r="BR1134" i="29"/>
  <c r="BY1134" i="29"/>
  <c r="BN1135" i="29"/>
  <c r="AZ1132" i="29"/>
  <c r="BH1132" i="29"/>
  <c r="BB1132" i="29" s="1"/>
  <c r="BD1134" i="29"/>
  <c r="BP1133" i="29"/>
  <c r="BC1133" i="29"/>
  <c r="BF1133" i="29" s="1"/>
  <c r="BE1133" i="29"/>
  <c r="BG1133" i="29" s="1"/>
  <c r="BA1133" i="29" s="1"/>
  <c r="R1132" i="29" l="1"/>
  <c r="Q1132" i="29"/>
  <c r="S1134" i="29"/>
  <c r="V1133" i="29"/>
  <c r="T1134" i="29"/>
  <c r="AE1133" i="29"/>
  <c r="AF1133" i="29"/>
  <c r="K1134" i="29"/>
  <c r="L1133" i="29"/>
  <c r="J1134" i="29"/>
  <c r="CA1132" i="29"/>
  <c r="BU1132" i="29" s="1"/>
  <c r="W1131" i="29"/>
  <c r="Y1131" i="29" s="1"/>
  <c r="Z1131" i="29" s="1"/>
  <c r="AA1131" i="29"/>
  <c r="M1131" i="29"/>
  <c r="AB1132" i="29"/>
  <c r="BY1135" i="29"/>
  <c r="BN1136" i="29"/>
  <c r="BO1136" i="29"/>
  <c r="BR1135" i="29"/>
  <c r="U1133" i="29"/>
  <c r="AC1133" i="29" s="1"/>
  <c r="BH1133" i="29"/>
  <c r="BB1133" i="29" s="1"/>
  <c r="AZ1133" i="29"/>
  <c r="BC1134" i="29"/>
  <c r="BF1134" i="29" s="1"/>
  <c r="BD1135" i="29"/>
  <c r="BE1134" i="29"/>
  <c r="BG1134" i="29" s="1"/>
  <c r="BA1134" i="29" s="1"/>
  <c r="BP1134" i="29"/>
  <c r="X1132" i="29" l="1"/>
  <c r="AA1132" i="29"/>
  <c r="CA1133" i="29"/>
  <c r="BU1133" i="29" s="1"/>
  <c r="W1132" i="29"/>
  <c r="Y1132" i="29" s="1"/>
  <c r="Z1132" i="29" s="1"/>
  <c r="M1132" i="29"/>
  <c r="AB1133" i="29"/>
  <c r="V1134" i="29"/>
  <c r="S1135" i="29"/>
  <c r="T1135" i="29"/>
  <c r="AF1134" i="29"/>
  <c r="AE1134" i="29"/>
  <c r="L1134" i="29"/>
  <c r="K1135" i="29"/>
  <c r="J1135" i="29"/>
  <c r="Q1133" i="29"/>
  <c r="R1133" i="29"/>
  <c r="BO1137" i="29"/>
  <c r="BN1137" i="29"/>
  <c r="BR1136" i="29"/>
  <c r="BY1136" i="29"/>
  <c r="U1134" i="29"/>
  <c r="AB1134" i="29" s="1"/>
  <c r="BQ1137" i="29"/>
  <c r="BQ1138" i="29" s="1"/>
  <c r="BC1135" i="29"/>
  <c r="BF1135" i="29" s="1"/>
  <c r="BP1135" i="29"/>
  <c r="BD1136" i="29"/>
  <c r="BE1135" i="29"/>
  <c r="BG1135" i="29" s="1"/>
  <c r="BA1135" i="29" s="1"/>
  <c r="AZ1134" i="29"/>
  <c r="BH1134" i="29"/>
  <c r="BB1134" i="29" s="1"/>
  <c r="W1133" i="29" l="1"/>
  <c r="Y1133" i="29" s="1"/>
  <c r="Z1133" i="29" s="1"/>
  <c r="M1133" i="29"/>
  <c r="AA1133" i="29"/>
  <c r="CA1134" i="29"/>
  <c r="BU1134" i="29" s="1"/>
  <c r="BQ1139" i="29"/>
  <c r="X1133" i="29"/>
  <c r="Q1134" i="29"/>
  <c r="R1134" i="29"/>
  <c r="U1135" i="29"/>
  <c r="AC1135" i="29" s="1"/>
  <c r="AC1134" i="29"/>
  <c r="BO1138" i="29"/>
  <c r="BR1137" i="29"/>
  <c r="BN1138" i="29"/>
  <c r="J1136" i="29"/>
  <c r="K1136" i="29"/>
  <c r="L1135" i="29"/>
  <c r="V1135" i="29"/>
  <c r="S1136" i="29"/>
  <c r="T1136" i="29"/>
  <c r="AF1135" i="29"/>
  <c r="AE1135" i="29"/>
  <c r="BP1136" i="29"/>
  <c r="BD1137" i="29"/>
  <c r="BE1136" i="29"/>
  <c r="BG1136" i="29" s="1"/>
  <c r="BA1136" i="29" s="1"/>
  <c r="BC1136" i="29"/>
  <c r="BF1136" i="29" s="1"/>
  <c r="AZ1135" i="29"/>
  <c r="BH1135" i="29"/>
  <c r="BB1135" i="29" s="1"/>
  <c r="AB1135" i="29" l="1"/>
  <c r="M1134" i="29"/>
  <c r="W1134" i="29"/>
  <c r="Y1134" i="29" s="1"/>
  <c r="Z1134" i="29" s="1"/>
  <c r="CA1135" i="29"/>
  <c r="BU1135" i="29" s="1"/>
  <c r="AA1134" i="29"/>
  <c r="X1134" i="29"/>
  <c r="V1136" i="29"/>
  <c r="T1137" i="29"/>
  <c r="S1137" i="29"/>
  <c r="AE1136" i="29"/>
  <c r="AF1136" i="29"/>
  <c r="L1136" i="29"/>
  <c r="K1137" i="29"/>
  <c r="J1137" i="29"/>
  <c r="U1136" i="29"/>
  <c r="BN1139" i="29"/>
  <c r="BR1138" i="29"/>
  <c r="BO1139" i="29"/>
  <c r="BY1138" i="29"/>
  <c r="R1135" i="29"/>
  <c r="Q1135" i="29"/>
  <c r="X1135" i="29" s="1"/>
  <c r="BI1137" i="29"/>
  <c r="BC1137" i="29"/>
  <c r="BF1137" i="29" s="1"/>
  <c r="BE1137" i="29"/>
  <c r="BG1137" i="29" s="1"/>
  <c r="BA1137" i="29" s="1"/>
  <c r="BP1137" i="29"/>
  <c r="BD1138" i="29"/>
  <c r="BH1136" i="29"/>
  <c r="BB1136" i="29" s="1"/>
  <c r="AZ1136" i="29"/>
  <c r="L1137" i="29" l="1"/>
  <c r="K1138" i="29"/>
  <c r="J1138" i="29"/>
  <c r="U1137" i="29"/>
  <c r="AC1137" i="29" s="1"/>
  <c r="BO1140" i="29"/>
  <c r="BN1140" i="29"/>
  <c r="BY1139" i="29"/>
  <c r="BR1139" i="29"/>
  <c r="T1138" i="29"/>
  <c r="V1137" i="29"/>
  <c r="S1138" i="29"/>
  <c r="AF1137" i="29"/>
  <c r="AE1137" i="29"/>
  <c r="BQ1140" i="29"/>
  <c r="BQ1141" i="29" s="1"/>
  <c r="M1135" i="29"/>
  <c r="AA1135" i="29"/>
  <c r="CA1136" i="29"/>
  <c r="BU1136" i="29" s="1"/>
  <c r="W1135" i="29"/>
  <c r="Y1135" i="29" s="1"/>
  <c r="Z1135" i="29" s="1"/>
  <c r="R1136" i="29"/>
  <c r="Q1136" i="29"/>
  <c r="BH1137" i="29"/>
  <c r="BB1137" i="29" s="1"/>
  <c r="AZ1137" i="29"/>
  <c r="BD1139" i="29"/>
  <c r="BC1138" i="29"/>
  <c r="BF1138" i="29" s="1"/>
  <c r="BE1138" i="29"/>
  <c r="BG1138" i="29" s="1"/>
  <c r="BA1138" i="29" s="1"/>
  <c r="BP1138" i="29"/>
  <c r="Q1137" i="29" l="1"/>
  <c r="X1137" i="29" s="1"/>
  <c r="R1137" i="29"/>
  <c r="L1138" i="29"/>
  <c r="K1139" i="29"/>
  <c r="J1139" i="29"/>
  <c r="AA1136" i="29"/>
  <c r="CA1137" i="29"/>
  <c r="BU1137" i="29" s="1"/>
  <c r="W1136" i="29"/>
  <c r="CB1137" i="29" s="1"/>
  <c r="BV1137" i="29" s="1"/>
  <c r="U1138" i="29"/>
  <c r="AB1137" i="29"/>
  <c r="T1139" i="29"/>
  <c r="S1139" i="29"/>
  <c r="V1138" i="29"/>
  <c r="AF1138" i="29"/>
  <c r="AE1138" i="29"/>
  <c r="BO1141" i="29"/>
  <c r="BR1140" i="29"/>
  <c r="BN1141" i="29"/>
  <c r="BY1140" i="29"/>
  <c r="AZ1138" i="29"/>
  <c r="BH1138" i="29"/>
  <c r="BB1138" i="29" s="1"/>
  <c r="BP1139" i="29"/>
  <c r="BD1140" i="29"/>
  <c r="BE1139" i="29"/>
  <c r="BG1139" i="29" s="1"/>
  <c r="BA1139" i="29" s="1"/>
  <c r="BC1139" i="29"/>
  <c r="BF1139" i="29" s="1"/>
  <c r="Y1136" i="29" l="1"/>
  <c r="Z1136" i="29" s="1"/>
  <c r="CB1132" i="29"/>
  <c r="CB1133" i="29"/>
  <c r="CB1134" i="29"/>
  <c r="CB1135" i="29"/>
  <c r="CB1136" i="29"/>
  <c r="K1140" i="29"/>
  <c r="L1139" i="29"/>
  <c r="J1140" i="29"/>
  <c r="M1137" i="29"/>
  <c r="CA1138" i="29"/>
  <c r="BU1138" i="29" s="1"/>
  <c r="W1137" i="29"/>
  <c r="Y1137" i="29" s="1"/>
  <c r="AA1137" i="29"/>
  <c r="BO1142" i="29"/>
  <c r="BN1142" i="29"/>
  <c r="BR1141" i="29"/>
  <c r="BY1141" i="29"/>
  <c r="U1139" i="29"/>
  <c r="AB1139" i="29" s="1"/>
  <c r="BQ1142" i="29"/>
  <c r="CC1137" i="29"/>
  <c r="V1139" i="29"/>
  <c r="S1140" i="29"/>
  <c r="T1140" i="29"/>
  <c r="AE1139" i="29"/>
  <c r="AF1139" i="29"/>
  <c r="Q1138" i="29"/>
  <c r="X1138" i="29" s="1"/>
  <c r="R1138" i="29"/>
  <c r="AC1138" i="29"/>
  <c r="AB1138" i="29"/>
  <c r="BC1140" i="29"/>
  <c r="BF1140" i="29" s="1"/>
  <c r="BE1140" i="29"/>
  <c r="BG1140" i="29" s="1"/>
  <c r="BA1140" i="29" s="1"/>
  <c r="BP1140" i="29"/>
  <c r="BD1141" i="29"/>
  <c r="BH1139" i="29"/>
  <c r="BB1139" i="29" s="1"/>
  <c r="AZ1139" i="29"/>
  <c r="BV1134" i="29" l="1"/>
  <c r="CC1134" i="29"/>
  <c r="AC1139" i="29"/>
  <c r="BN1143" i="29"/>
  <c r="BR1142" i="29"/>
  <c r="BO1143" i="29"/>
  <c r="BY1142" i="29"/>
  <c r="CA1139" i="29"/>
  <c r="BU1139" i="29" s="1"/>
  <c r="AA1138" i="29"/>
  <c r="W1138" i="29"/>
  <c r="Y1138" i="29" s="1"/>
  <c r="M1138" i="29"/>
  <c r="T1141" i="29"/>
  <c r="V1140" i="29"/>
  <c r="S1141" i="29"/>
  <c r="AE1140" i="29"/>
  <c r="AF1140" i="29"/>
  <c r="BQ1143" i="29"/>
  <c r="BQ1144" i="29" s="1"/>
  <c r="K1141" i="29"/>
  <c r="L1140" i="29"/>
  <c r="J1141" i="29"/>
  <c r="BV1133" i="29"/>
  <c r="CC1133" i="29"/>
  <c r="U1140" i="29"/>
  <c r="BV1136" i="29"/>
  <c r="CC1136" i="29"/>
  <c r="BV1132" i="29"/>
  <c r="CC1132" i="29"/>
  <c r="R1139" i="29"/>
  <c r="Q1139" i="29"/>
  <c r="X1139" i="29" s="1"/>
  <c r="BV1135" i="29"/>
  <c r="CC1135" i="29"/>
  <c r="Z1137" i="29"/>
  <c r="AC1136" i="29"/>
  <c r="AB1136" i="29"/>
  <c r="BD1142" i="29"/>
  <c r="BE1141" i="29"/>
  <c r="BG1141" i="29" s="1"/>
  <c r="BA1141" i="29" s="1"/>
  <c r="BP1141" i="29"/>
  <c r="BC1141" i="29"/>
  <c r="BF1141" i="29" s="1"/>
  <c r="AZ1140" i="29"/>
  <c r="BH1140" i="29"/>
  <c r="BB1140" i="29" s="1"/>
  <c r="Z1138" i="29" l="1"/>
  <c r="Q1140" i="29"/>
  <c r="R1140" i="29"/>
  <c r="AC1140" i="29"/>
  <c r="S1142" i="29"/>
  <c r="T1142" i="29"/>
  <c r="V1141" i="29"/>
  <c r="AE1141" i="29"/>
  <c r="AF1141" i="29"/>
  <c r="BN1144" i="29"/>
  <c r="BR1143" i="29"/>
  <c r="BO1144" i="29"/>
  <c r="BQ1145" i="29" s="1"/>
  <c r="BY1143" i="29"/>
  <c r="M1139" i="29"/>
  <c r="W1139" i="29"/>
  <c r="Y1139" i="29" s="1"/>
  <c r="Z1139" i="29" s="1"/>
  <c r="AA1139" i="29"/>
  <c r="CA1140" i="29"/>
  <c r="BU1140" i="29" s="1"/>
  <c r="AB1140" i="29"/>
  <c r="J1142" i="29"/>
  <c r="L1141" i="29"/>
  <c r="K1142" i="29"/>
  <c r="U1141" i="29"/>
  <c r="AB1141" i="29" s="1"/>
  <c r="BH1141" i="29"/>
  <c r="BB1141" i="29" s="1"/>
  <c r="AZ1141" i="29"/>
  <c r="BP1142" i="29"/>
  <c r="BE1142" i="29"/>
  <c r="BG1142" i="29" s="1"/>
  <c r="BA1142" i="29" s="1"/>
  <c r="BD1143" i="29"/>
  <c r="BC1142" i="29"/>
  <c r="BF1142" i="29" s="1"/>
  <c r="T1143" i="29" l="1"/>
  <c r="S1143" i="29"/>
  <c r="V1142" i="29"/>
  <c r="AF1142" i="29"/>
  <c r="AE1142" i="29"/>
  <c r="R1141" i="29"/>
  <c r="Q1141" i="29"/>
  <c r="X1141" i="29" s="1"/>
  <c r="AC1141" i="29"/>
  <c r="U1142" i="29"/>
  <c r="AC1142" i="29" s="1"/>
  <c r="K1143" i="29"/>
  <c r="L1142" i="29"/>
  <c r="J1143" i="29"/>
  <c r="BR1144" i="29"/>
  <c r="BO1145" i="29"/>
  <c r="BN1145" i="29"/>
  <c r="BY1144" i="29"/>
  <c r="W1140" i="29"/>
  <c r="Y1140" i="29" s="1"/>
  <c r="Z1140" i="29" s="1"/>
  <c r="AA1140" i="29"/>
  <c r="M1140" i="29"/>
  <c r="CA1141" i="29"/>
  <c r="BU1141" i="29" s="1"/>
  <c r="X1140" i="29"/>
  <c r="BP1143" i="29"/>
  <c r="BC1143" i="29"/>
  <c r="BF1143" i="29" s="1"/>
  <c r="BE1143" i="29"/>
  <c r="BG1143" i="29" s="1"/>
  <c r="BA1143" i="29" s="1"/>
  <c r="BD1144" i="29"/>
  <c r="AZ1142" i="29"/>
  <c r="BH1142" i="29"/>
  <c r="BB1142" i="29" s="1"/>
  <c r="R1142" i="29" l="1"/>
  <c r="Q1142" i="29"/>
  <c r="X1142" i="29" s="1"/>
  <c r="AA1141" i="29"/>
  <c r="CA1142" i="29"/>
  <c r="BU1142" i="29" s="1"/>
  <c r="M1141" i="29"/>
  <c r="W1141" i="29"/>
  <c r="Y1141" i="29" s="1"/>
  <c r="Z1141" i="29" s="1"/>
  <c r="AB1142" i="29"/>
  <c r="U1143" i="29"/>
  <c r="AC1143" i="29" s="1"/>
  <c r="BY1145" i="29"/>
  <c r="BN1146" i="29"/>
  <c r="BR1145" i="29"/>
  <c r="BO1146" i="29"/>
  <c r="K1144" i="29"/>
  <c r="L1143" i="29"/>
  <c r="J1144" i="29"/>
  <c r="T1144" i="29"/>
  <c r="V1143" i="29"/>
  <c r="S1144" i="29"/>
  <c r="AE1143" i="29"/>
  <c r="AF1143" i="29"/>
  <c r="BQ1146" i="29"/>
  <c r="BP1144" i="29"/>
  <c r="BC1144" i="29"/>
  <c r="BF1144" i="29" s="1"/>
  <c r="BE1144" i="29"/>
  <c r="BG1144" i="29" s="1"/>
  <c r="BA1144" i="29" s="1"/>
  <c r="BD1145" i="29"/>
  <c r="AZ1143" i="29"/>
  <c r="BH1143" i="29"/>
  <c r="BB1143" i="29" s="1"/>
  <c r="BN1147" i="29" l="1"/>
  <c r="BO1147" i="29"/>
  <c r="BR1146" i="29"/>
  <c r="BY1146" i="29"/>
  <c r="S1145" i="29"/>
  <c r="V1144" i="29"/>
  <c r="T1145" i="29"/>
  <c r="AF1144" i="29"/>
  <c r="AE1144" i="29"/>
  <c r="Q1143" i="29"/>
  <c r="R1143" i="29"/>
  <c r="W1142" i="29"/>
  <c r="Y1142" i="29" s="1"/>
  <c r="Z1142" i="29" s="1"/>
  <c r="AA1142" i="29"/>
  <c r="M1142" i="29"/>
  <c r="CA1143" i="29"/>
  <c r="BU1143" i="29" s="1"/>
  <c r="U1144" i="29"/>
  <c r="AC1144" i="29" s="1"/>
  <c r="AB1143" i="29"/>
  <c r="BQ1147" i="29"/>
  <c r="BQ1148" i="29" s="1"/>
  <c r="J1145" i="29"/>
  <c r="K1145" i="29"/>
  <c r="L1144" i="29"/>
  <c r="AZ1144" i="29"/>
  <c r="BH1144" i="29"/>
  <c r="BB1144" i="29" s="1"/>
  <c r="BD1146" i="29"/>
  <c r="BP1145" i="29"/>
  <c r="BE1145" i="29"/>
  <c r="BG1145" i="29" s="1"/>
  <c r="BA1145" i="29" s="1"/>
  <c r="BC1145" i="29"/>
  <c r="BF1145" i="29" s="1"/>
  <c r="AA1143" i="29" l="1"/>
  <c r="CA1144" i="29"/>
  <c r="BU1144" i="29" s="1"/>
  <c r="W1143" i="29"/>
  <c r="Y1143" i="29" s="1"/>
  <c r="Z1143" i="29" s="1"/>
  <c r="M1143" i="29"/>
  <c r="T1146" i="29"/>
  <c r="S1146" i="29"/>
  <c r="V1145" i="29"/>
  <c r="AF1145" i="29"/>
  <c r="AE1145" i="29"/>
  <c r="X1143" i="29"/>
  <c r="BO1148" i="29"/>
  <c r="BR1147" i="29"/>
  <c r="BY1147" i="29"/>
  <c r="BN1148" i="29"/>
  <c r="U1145" i="29"/>
  <c r="AB1145" i="29" s="1"/>
  <c r="R1144" i="29"/>
  <c r="Q1144" i="29"/>
  <c r="J1146" i="29"/>
  <c r="K1146" i="29"/>
  <c r="L1145" i="29"/>
  <c r="BQ1149" i="29"/>
  <c r="AB1144" i="29"/>
  <c r="AZ1145" i="29"/>
  <c r="BH1145" i="29"/>
  <c r="BB1145" i="29" s="1"/>
  <c r="BD1147" i="29"/>
  <c r="BE1146" i="29"/>
  <c r="BG1146" i="29" s="1"/>
  <c r="BA1146" i="29" s="1"/>
  <c r="BP1146" i="29"/>
  <c r="BC1146" i="29"/>
  <c r="BF1146" i="29" s="1"/>
  <c r="T1147" i="29" l="1"/>
  <c r="S1147" i="29"/>
  <c r="V1146" i="29"/>
  <c r="AE1146" i="29"/>
  <c r="AF1146" i="29"/>
  <c r="AA1144" i="29"/>
  <c r="W1144" i="29"/>
  <c r="Y1144" i="29" s="1"/>
  <c r="Z1144" i="29" s="1"/>
  <c r="M1144" i="29"/>
  <c r="CA1145" i="29"/>
  <c r="BU1145" i="29" s="1"/>
  <c r="Q1145" i="29"/>
  <c r="R1145" i="29"/>
  <c r="L1146" i="29"/>
  <c r="J1147" i="29"/>
  <c r="K1147" i="29"/>
  <c r="X1144" i="29"/>
  <c r="AC1145" i="29"/>
  <c r="BN1149" i="29"/>
  <c r="BY1148" i="29"/>
  <c r="BR1148" i="29"/>
  <c r="BO1149" i="29"/>
  <c r="BQ1150" i="29" s="1"/>
  <c r="U1146" i="29"/>
  <c r="AC1146" i="29" s="1"/>
  <c r="AZ1146" i="29"/>
  <c r="BH1146" i="29"/>
  <c r="BB1146" i="29" s="1"/>
  <c r="BD1148" i="29"/>
  <c r="BP1147" i="29"/>
  <c r="BE1147" i="29"/>
  <c r="BG1147" i="29" s="1"/>
  <c r="BA1147" i="29" s="1"/>
  <c r="BC1147" i="29"/>
  <c r="BF1147" i="29" s="1"/>
  <c r="Q1146" i="29" l="1"/>
  <c r="R1146" i="29"/>
  <c r="M1145" i="29"/>
  <c r="CA1146" i="29"/>
  <c r="BU1146" i="29" s="1"/>
  <c r="AA1145" i="29"/>
  <c r="W1145" i="29"/>
  <c r="Y1145" i="29" s="1"/>
  <c r="Z1145" i="29" s="1"/>
  <c r="BN1150" i="29"/>
  <c r="BR1149" i="29"/>
  <c r="BO1150" i="29"/>
  <c r="AB1146" i="29"/>
  <c r="J1148" i="29"/>
  <c r="L1147" i="29"/>
  <c r="K1148" i="29"/>
  <c r="X1145" i="29"/>
  <c r="U1147" i="29"/>
  <c r="AC1147" i="29" s="1"/>
  <c r="V1147" i="29"/>
  <c r="S1148" i="29"/>
  <c r="T1148" i="29"/>
  <c r="AF1147" i="29"/>
  <c r="AE1147" i="29"/>
  <c r="AZ1147" i="29"/>
  <c r="BH1147" i="29"/>
  <c r="BB1147" i="29" s="1"/>
  <c r="BP1148" i="29"/>
  <c r="BD1149" i="29"/>
  <c r="BC1148" i="29"/>
  <c r="BF1148" i="29" s="1"/>
  <c r="BE1148" i="29"/>
  <c r="BG1148" i="29" s="1"/>
  <c r="BA1148" i="29" s="1"/>
  <c r="U1148" i="29" l="1"/>
  <c r="AA1146" i="29"/>
  <c r="W1146" i="29"/>
  <c r="Y1146" i="29" s="1"/>
  <c r="Z1146" i="29" s="1"/>
  <c r="M1146" i="29"/>
  <c r="CA1147" i="29"/>
  <c r="BU1147" i="29" s="1"/>
  <c r="Q1147" i="29"/>
  <c r="R1147" i="29"/>
  <c r="J1149" i="29"/>
  <c r="K1149" i="29"/>
  <c r="L1148" i="29"/>
  <c r="BY1150" i="29"/>
  <c r="BO1151" i="29"/>
  <c r="BR1150" i="29"/>
  <c r="BN1151" i="29"/>
  <c r="V1148" i="29"/>
  <c r="S1149" i="29"/>
  <c r="T1149" i="29"/>
  <c r="AE1148" i="29"/>
  <c r="AF1148" i="29"/>
  <c r="AB1147" i="29"/>
  <c r="X1146" i="29"/>
  <c r="BQ1151" i="29"/>
  <c r="BP1149" i="29"/>
  <c r="BD1150" i="29"/>
  <c r="BI1149" i="29"/>
  <c r="BE1149" i="29"/>
  <c r="BG1149" i="29" s="1"/>
  <c r="BA1149" i="29" s="1"/>
  <c r="BC1149" i="29"/>
  <c r="BF1149" i="29" s="1"/>
  <c r="BH1148" i="29"/>
  <c r="BB1148" i="29" s="1"/>
  <c r="AZ1148" i="29"/>
  <c r="M1147" i="29" l="1"/>
  <c r="W1147" i="29"/>
  <c r="Y1147" i="29" s="1"/>
  <c r="Z1147" i="29" s="1"/>
  <c r="AA1147" i="29"/>
  <c r="CA1148" i="29"/>
  <c r="BU1148" i="29" s="1"/>
  <c r="U1149" i="29"/>
  <c r="AB1149" i="29" s="1"/>
  <c r="Q1148" i="29"/>
  <c r="R1148" i="29"/>
  <c r="V1149" i="29"/>
  <c r="T1150" i="29"/>
  <c r="S1150" i="29"/>
  <c r="AF1149" i="29"/>
  <c r="AE1149" i="29"/>
  <c r="J1150" i="29"/>
  <c r="L1149" i="29"/>
  <c r="K1150" i="29"/>
  <c r="BN1152" i="29"/>
  <c r="BO1152" i="29"/>
  <c r="BY1151" i="29"/>
  <c r="BR1151" i="29"/>
  <c r="X1147" i="29"/>
  <c r="BQ1152" i="29"/>
  <c r="BQ1153" i="29" s="1"/>
  <c r="AZ1149" i="29"/>
  <c r="BH1149" i="29"/>
  <c r="BB1149" i="29" s="1"/>
  <c r="BD1151" i="29"/>
  <c r="BP1150" i="29"/>
  <c r="BE1150" i="29"/>
  <c r="BG1150" i="29" s="1"/>
  <c r="BA1150" i="29" s="1"/>
  <c r="BC1150" i="29"/>
  <c r="BF1150" i="29" s="1"/>
  <c r="J1151" i="29" l="1"/>
  <c r="K1151" i="29"/>
  <c r="L1150" i="29"/>
  <c r="U1150" i="29"/>
  <c r="CA1149" i="29"/>
  <c r="BU1149" i="29" s="1"/>
  <c r="W1148" i="29"/>
  <c r="CB1149" i="29" s="1"/>
  <c r="BV1149" i="29" s="1"/>
  <c r="AA1148" i="29"/>
  <c r="BO1153" i="29"/>
  <c r="BQ1154" i="29" s="1"/>
  <c r="BY1152" i="29"/>
  <c r="BN1153" i="29"/>
  <c r="BR1152" i="29"/>
  <c r="V1150" i="29"/>
  <c r="S1151" i="29"/>
  <c r="T1151" i="29"/>
  <c r="AF1150" i="29"/>
  <c r="AE1150" i="29"/>
  <c r="R1149" i="29"/>
  <c r="Q1149" i="29"/>
  <c r="AC1149" i="29"/>
  <c r="AZ1150" i="29"/>
  <c r="BH1150" i="29"/>
  <c r="BB1150" i="29" s="1"/>
  <c r="BD1152" i="29"/>
  <c r="BE1151" i="29"/>
  <c r="BG1151" i="29" s="1"/>
  <c r="BA1151" i="29" s="1"/>
  <c r="BP1151" i="29"/>
  <c r="BC1151" i="29"/>
  <c r="BF1151" i="29" s="1"/>
  <c r="R1150" i="29" l="1"/>
  <c r="Q1150" i="29"/>
  <c r="K1152" i="29"/>
  <c r="L1151" i="29"/>
  <c r="J1152" i="29"/>
  <c r="AC1150" i="29"/>
  <c r="Y1148" i="29"/>
  <c r="Z1148" i="29" s="1"/>
  <c r="CB1143" i="29"/>
  <c r="CB1141" i="29"/>
  <c r="CB1147" i="29"/>
  <c r="CB1142" i="29"/>
  <c r="CB1145" i="29"/>
  <c r="CB1148" i="29"/>
  <c r="CB1146" i="29"/>
  <c r="AB1150" i="29"/>
  <c r="X1149" i="29"/>
  <c r="M1149" i="29"/>
  <c r="AA1149" i="29"/>
  <c r="CA1150" i="29"/>
  <c r="BU1150" i="29" s="1"/>
  <c r="W1149" i="29"/>
  <c r="Y1149" i="29" s="1"/>
  <c r="V1151" i="29"/>
  <c r="S1152" i="29"/>
  <c r="T1152" i="29"/>
  <c r="AF1151" i="29"/>
  <c r="AE1151" i="29"/>
  <c r="U1151" i="29"/>
  <c r="AC1151" i="29" s="1"/>
  <c r="BY1153" i="29"/>
  <c r="BN1154" i="29"/>
  <c r="BO1154" i="29"/>
  <c r="BR1153" i="29"/>
  <c r="CC1149" i="29"/>
  <c r="BH1151" i="29"/>
  <c r="BB1151" i="29" s="1"/>
  <c r="AZ1151" i="29"/>
  <c r="BP1152" i="29"/>
  <c r="BD1153" i="29"/>
  <c r="BE1152" i="29"/>
  <c r="BG1152" i="29" s="1"/>
  <c r="BA1152" i="29" s="1"/>
  <c r="BC1152" i="29"/>
  <c r="BF1152" i="29" s="1"/>
  <c r="AB1151" i="29" l="1"/>
  <c r="BV1146" i="29"/>
  <c r="CC1146" i="29"/>
  <c r="BV1147" i="29"/>
  <c r="CC1147" i="29"/>
  <c r="W1150" i="29"/>
  <c r="Y1150" i="29" s="1"/>
  <c r="M1150" i="29"/>
  <c r="AA1150" i="29"/>
  <c r="CA1151" i="29"/>
  <c r="BU1151" i="29" s="1"/>
  <c r="BV1148" i="29"/>
  <c r="CC1148" i="29"/>
  <c r="BV1141" i="29"/>
  <c r="CC1141" i="29"/>
  <c r="T1153" i="29"/>
  <c r="S1153" i="29"/>
  <c r="V1152" i="29"/>
  <c r="AF1152" i="29"/>
  <c r="AE1152" i="29"/>
  <c r="U1152" i="29"/>
  <c r="AB1152" i="29" s="1"/>
  <c r="BV1145" i="29"/>
  <c r="CC1145" i="29"/>
  <c r="BV1143" i="29"/>
  <c r="CC1143" i="29"/>
  <c r="X1150" i="29"/>
  <c r="BY1154" i="29"/>
  <c r="BO1155" i="29"/>
  <c r="BN1155" i="29"/>
  <c r="BR1154" i="29"/>
  <c r="Q1151" i="29"/>
  <c r="X1151" i="29" s="1"/>
  <c r="R1151" i="29"/>
  <c r="BV1142" i="29"/>
  <c r="CC1142" i="29"/>
  <c r="Z1149" i="29"/>
  <c r="AC1148" i="29"/>
  <c r="AB1148" i="29"/>
  <c r="J1153" i="29"/>
  <c r="L1152" i="29"/>
  <c r="K1153" i="29"/>
  <c r="BQ1155" i="29"/>
  <c r="AZ1152" i="29"/>
  <c r="BH1152" i="29"/>
  <c r="BB1152" i="29" s="1"/>
  <c r="BD1154" i="29"/>
  <c r="BC1153" i="29"/>
  <c r="BF1153" i="29" s="1"/>
  <c r="BP1153" i="29"/>
  <c r="BE1153" i="29"/>
  <c r="BG1153" i="29" s="1"/>
  <c r="BA1153" i="29" s="1"/>
  <c r="Z1150" i="29" l="1"/>
  <c r="BQ1156" i="29"/>
  <c r="V1153" i="29"/>
  <c r="S1154" i="29"/>
  <c r="T1154" i="29"/>
  <c r="AE1153" i="29"/>
  <c r="AF1153" i="29"/>
  <c r="Q1152" i="29"/>
  <c r="X1152" i="29" s="1"/>
  <c r="R1152" i="29"/>
  <c r="K1154" i="29"/>
  <c r="J1154" i="29"/>
  <c r="L1153" i="29"/>
  <c r="BO1156" i="29"/>
  <c r="BR1155" i="29"/>
  <c r="BN1156" i="29"/>
  <c r="BY1155" i="29"/>
  <c r="CA1152" i="29"/>
  <c r="BU1152" i="29" s="1"/>
  <c r="M1151" i="29"/>
  <c r="W1151" i="29"/>
  <c r="Y1151" i="29" s="1"/>
  <c r="Z1151" i="29" s="1"/>
  <c r="AA1151" i="29"/>
  <c r="AC1152" i="29"/>
  <c r="U1153" i="29"/>
  <c r="AZ1153" i="29"/>
  <c r="BH1153" i="29"/>
  <c r="BB1153" i="29" s="1"/>
  <c r="BD1155" i="29"/>
  <c r="BP1154" i="29"/>
  <c r="BC1154" i="29"/>
  <c r="BF1154" i="29" s="1"/>
  <c r="BE1154" i="29"/>
  <c r="BG1154" i="29" s="1"/>
  <c r="BA1154" i="29" s="1"/>
  <c r="R1153" i="29" l="1"/>
  <c r="Q1153" i="29"/>
  <c r="X1153" i="29" s="1"/>
  <c r="AB1153" i="29"/>
  <c r="AC1153" i="29"/>
  <c r="CA1153" i="29"/>
  <c r="BU1153" i="29" s="1"/>
  <c r="M1152" i="29"/>
  <c r="AA1152" i="29"/>
  <c r="W1152" i="29"/>
  <c r="Y1152" i="29" s="1"/>
  <c r="Z1152" i="29" s="1"/>
  <c r="S1155" i="29"/>
  <c r="T1155" i="29"/>
  <c r="V1154" i="29"/>
  <c r="AE1154" i="29"/>
  <c r="AF1154" i="29"/>
  <c r="BY1156" i="29"/>
  <c r="BR1156" i="29"/>
  <c r="BO1157" i="29"/>
  <c r="BN1157" i="29"/>
  <c r="K1155" i="29"/>
  <c r="J1155" i="29"/>
  <c r="L1154" i="29"/>
  <c r="U1154" i="29"/>
  <c r="BQ1157" i="29"/>
  <c r="BQ1158" i="29" s="1"/>
  <c r="AZ1154" i="29"/>
  <c r="BH1154" i="29"/>
  <c r="BB1154" i="29" s="1"/>
  <c r="BP1155" i="29"/>
  <c r="BC1155" i="29"/>
  <c r="BF1155" i="29" s="1"/>
  <c r="BE1155" i="29"/>
  <c r="BG1155" i="29" s="1"/>
  <c r="BA1155" i="29" s="1"/>
  <c r="BD1156" i="29"/>
  <c r="BO1158" i="29" l="1"/>
  <c r="BY1157" i="29"/>
  <c r="BN1158" i="29"/>
  <c r="BR1157" i="29"/>
  <c r="W1153" i="29"/>
  <c r="Y1153" i="29" s="1"/>
  <c r="Z1153" i="29" s="1"/>
  <c r="M1153" i="29"/>
  <c r="CA1154" i="29"/>
  <c r="BU1154" i="29" s="1"/>
  <c r="AA1153" i="29"/>
  <c r="R1154" i="29"/>
  <c r="Q1154" i="29"/>
  <c r="X1154" i="29" s="1"/>
  <c r="BQ1159" i="29"/>
  <c r="AB1154" i="29"/>
  <c r="L1155" i="29"/>
  <c r="K1156" i="29"/>
  <c r="J1156" i="29"/>
  <c r="T1156" i="29"/>
  <c r="V1155" i="29"/>
  <c r="S1156" i="29"/>
  <c r="AE1155" i="29"/>
  <c r="AF1155" i="29"/>
  <c r="AC1154" i="29"/>
  <c r="U1155" i="29"/>
  <c r="AZ1155" i="29"/>
  <c r="BH1155" i="29"/>
  <c r="BB1155" i="29" s="1"/>
  <c r="BD1157" i="29"/>
  <c r="BP1156" i="29"/>
  <c r="BC1156" i="29"/>
  <c r="BF1156" i="29" s="1"/>
  <c r="BE1156" i="29"/>
  <c r="BG1156" i="29" s="1"/>
  <c r="BA1156" i="29" s="1"/>
  <c r="U1156" i="29" l="1"/>
  <c r="L1156" i="29"/>
  <c r="J1157" i="29"/>
  <c r="K1157" i="29"/>
  <c r="R1155" i="29"/>
  <c r="Q1155" i="29"/>
  <c r="X1155" i="29" s="1"/>
  <c r="AB1155" i="29"/>
  <c r="V1156" i="29"/>
  <c r="T1157" i="29"/>
  <c r="S1157" i="29"/>
  <c r="AE1156" i="29"/>
  <c r="AF1156" i="29"/>
  <c r="CA1155" i="29"/>
  <c r="BU1155" i="29" s="1"/>
  <c r="AA1154" i="29"/>
  <c r="M1154" i="29"/>
  <c r="W1154" i="29"/>
  <c r="Y1154" i="29" s="1"/>
  <c r="Z1154" i="29" s="1"/>
  <c r="AC1155" i="29"/>
  <c r="BN1159" i="29"/>
  <c r="BO1159" i="29"/>
  <c r="BR1158" i="29"/>
  <c r="BY1158" i="29"/>
  <c r="BH1156" i="29"/>
  <c r="BB1156" i="29" s="1"/>
  <c r="AZ1156" i="29"/>
  <c r="BP1157" i="29"/>
  <c r="BC1157" i="29"/>
  <c r="BF1157" i="29" s="1"/>
  <c r="BE1157" i="29"/>
  <c r="BG1157" i="29" s="1"/>
  <c r="BA1157" i="29" s="1"/>
  <c r="BD1158" i="29"/>
  <c r="Q1156" i="29" l="1"/>
  <c r="X1156" i="29" s="1"/>
  <c r="R1156" i="29"/>
  <c r="L1157" i="29"/>
  <c r="K1158" i="29"/>
  <c r="J1158" i="29"/>
  <c r="AB1156" i="29"/>
  <c r="BO1160" i="29"/>
  <c r="BN1160" i="29"/>
  <c r="BY1159" i="29"/>
  <c r="BR1159" i="29"/>
  <c r="U1157" i="29"/>
  <c r="AB1157" i="29" s="1"/>
  <c r="AC1156" i="29"/>
  <c r="V1157" i="29"/>
  <c r="T1158" i="29"/>
  <c r="S1158" i="29"/>
  <c r="AF1157" i="29"/>
  <c r="AE1157" i="29"/>
  <c r="W1155" i="29"/>
  <c r="Y1155" i="29" s="1"/>
  <c r="Z1155" i="29" s="1"/>
  <c r="CA1156" i="29"/>
  <c r="BU1156" i="29" s="1"/>
  <c r="AA1155" i="29"/>
  <c r="M1155" i="29"/>
  <c r="BQ1160" i="29"/>
  <c r="BQ1161" i="29" s="1"/>
  <c r="BD1159" i="29"/>
  <c r="BE1158" i="29"/>
  <c r="BG1158" i="29" s="1"/>
  <c r="BA1158" i="29" s="1"/>
  <c r="BP1158" i="29"/>
  <c r="BC1158" i="29"/>
  <c r="BF1158" i="29" s="1"/>
  <c r="AZ1157" i="29"/>
  <c r="BH1157" i="29"/>
  <c r="BB1157" i="29" s="1"/>
  <c r="BO1161" i="29" l="1"/>
  <c r="BN1161" i="29"/>
  <c r="BY1160" i="29"/>
  <c r="BR1160" i="29"/>
  <c r="BQ1162" i="29"/>
  <c r="U1158" i="29"/>
  <c r="AB1158" i="29" s="1"/>
  <c r="S1159" i="29"/>
  <c r="V1158" i="29"/>
  <c r="T1159" i="29"/>
  <c r="AE1158" i="29"/>
  <c r="AF1158" i="29"/>
  <c r="R1157" i="29"/>
  <c r="Q1157" i="29"/>
  <c r="AC1157" i="29"/>
  <c r="J1159" i="29"/>
  <c r="K1159" i="29"/>
  <c r="L1158" i="29"/>
  <c r="W1156" i="29"/>
  <c r="Y1156" i="29" s="1"/>
  <c r="Z1156" i="29" s="1"/>
  <c r="AA1156" i="29"/>
  <c r="CA1157" i="29"/>
  <c r="BU1157" i="29" s="1"/>
  <c r="M1156" i="29"/>
  <c r="AZ1158" i="29"/>
  <c r="BH1158" i="29"/>
  <c r="BB1158" i="29" s="1"/>
  <c r="BD1160" i="29"/>
  <c r="BP1159" i="29"/>
  <c r="BE1159" i="29"/>
  <c r="BG1159" i="29" s="1"/>
  <c r="BA1159" i="29" s="1"/>
  <c r="BC1159" i="29"/>
  <c r="BF1159" i="29" s="1"/>
  <c r="AC1158" i="29" l="1"/>
  <c r="CA1158" i="29"/>
  <c r="BU1158" i="29" s="1"/>
  <c r="AA1157" i="29"/>
  <c r="M1157" i="29"/>
  <c r="W1157" i="29"/>
  <c r="Y1157" i="29" s="1"/>
  <c r="Z1157" i="29" s="1"/>
  <c r="T1160" i="29"/>
  <c r="V1159" i="29"/>
  <c r="S1160" i="29"/>
  <c r="AE1159" i="29"/>
  <c r="AF1159" i="29"/>
  <c r="K1160" i="29"/>
  <c r="J1160" i="29"/>
  <c r="L1159" i="29"/>
  <c r="U1159" i="29"/>
  <c r="AC1159" i="29" s="1"/>
  <c r="BQ1163" i="29"/>
  <c r="BR1161" i="29"/>
  <c r="BN1162" i="29"/>
  <c r="BO1162" i="29"/>
  <c r="X1157" i="29"/>
  <c r="Q1158" i="29"/>
  <c r="X1158" i="29" s="1"/>
  <c r="R1158" i="29"/>
  <c r="BH1159" i="29"/>
  <c r="BB1159" i="29" s="1"/>
  <c r="AZ1159" i="29"/>
  <c r="BP1160" i="29"/>
  <c r="BE1160" i="29"/>
  <c r="BG1160" i="29" s="1"/>
  <c r="BA1160" i="29" s="1"/>
  <c r="BD1161" i="29"/>
  <c r="BC1160" i="29"/>
  <c r="BF1160" i="29" s="1"/>
  <c r="T1161" i="29" l="1"/>
  <c r="V1160" i="29"/>
  <c r="S1161" i="29"/>
  <c r="AF1160" i="29"/>
  <c r="AE1160" i="29"/>
  <c r="U1160" i="29"/>
  <c r="BY1162" i="29"/>
  <c r="BO1163" i="29"/>
  <c r="BQ1164" i="29" s="1"/>
  <c r="BN1163" i="29"/>
  <c r="BR1162" i="29"/>
  <c r="R1159" i="29"/>
  <c r="Q1159" i="29"/>
  <c r="X1159" i="29" s="1"/>
  <c r="CA1159" i="29"/>
  <c r="BU1159" i="29" s="1"/>
  <c r="W1158" i="29"/>
  <c r="Y1158" i="29" s="1"/>
  <c r="Z1158" i="29" s="1"/>
  <c r="AA1158" i="29"/>
  <c r="M1158" i="29"/>
  <c r="AB1159" i="29"/>
  <c r="K1161" i="29"/>
  <c r="J1161" i="29"/>
  <c r="L1160" i="29"/>
  <c r="AZ1160" i="29"/>
  <c r="BH1160" i="29"/>
  <c r="BB1160" i="29" s="1"/>
  <c r="BD1162" i="29"/>
  <c r="BP1161" i="29"/>
  <c r="BI1161" i="29"/>
  <c r="BE1161" i="29"/>
  <c r="BG1161" i="29" s="1"/>
  <c r="BA1161" i="29" s="1"/>
  <c r="BC1161" i="29"/>
  <c r="BF1161" i="29" s="1"/>
  <c r="J1162" i="29" l="1"/>
  <c r="L1161" i="29"/>
  <c r="K1162" i="29"/>
  <c r="T1162" i="29"/>
  <c r="S1162" i="29"/>
  <c r="V1161" i="29"/>
  <c r="AE1161" i="29"/>
  <c r="AF1161" i="29"/>
  <c r="CA1160" i="29"/>
  <c r="BU1160" i="29" s="1"/>
  <c r="W1159" i="29"/>
  <c r="Y1159" i="29" s="1"/>
  <c r="Z1159" i="29" s="1"/>
  <c r="AA1159" i="29"/>
  <c r="M1159" i="29"/>
  <c r="BR1163" i="29"/>
  <c r="BY1163" i="29"/>
  <c r="BN1164" i="29"/>
  <c r="BO1164" i="29"/>
  <c r="U1161" i="29"/>
  <c r="R1160" i="29"/>
  <c r="Q1160" i="29"/>
  <c r="BH1161" i="29"/>
  <c r="BB1161" i="29" s="1"/>
  <c r="AZ1161" i="29"/>
  <c r="BP1162" i="29"/>
  <c r="BD1163" i="29"/>
  <c r="BE1162" i="29"/>
  <c r="BG1162" i="29" s="1"/>
  <c r="BA1162" i="29" s="1"/>
  <c r="BC1162" i="29"/>
  <c r="BF1162" i="29" s="1"/>
  <c r="U1162" i="29" l="1"/>
  <c r="Q1161" i="29"/>
  <c r="X1161" i="29" s="1"/>
  <c r="R1161" i="29"/>
  <c r="AB1161" i="29"/>
  <c r="T1163" i="29"/>
  <c r="S1163" i="29"/>
  <c r="V1162" i="29"/>
  <c r="AF1162" i="29"/>
  <c r="AE1162" i="29"/>
  <c r="CA1161" i="29"/>
  <c r="BU1161" i="29" s="1"/>
  <c r="W1160" i="29"/>
  <c r="CB1161" i="29" s="1"/>
  <c r="BV1161" i="29" s="1"/>
  <c r="AA1160" i="29"/>
  <c r="AC1161" i="29"/>
  <c r="J1163" i="29"/>
  <c r="L1162" i="29"/>
  <c r="K1163" i="29"/>
  <c r="BO1165" i="29"/>
  <c r="BY1164" i="29"/>
  <c r="BN1165" i="29"/>
  <c r="BR1164" i="29"/>
  <c r="BQ1165" i="29"/>
  <c r="BQ1166" i="29" s="1"/>
  <c r="AZ1162" i="29"/>
  <c r="BH1162" i="29"/>
  <c r="BB1162" i="29" s="1"/>
  <c r="BP1163" i="29"/>
  <c r="BD1164" i="29"/>
  <c r="BE1163" i="29"/>
  <c r="BG1163" i="29" s="1"/>
  <c r="BA1163" i="29" s="1"/>
  <c r="BC1163" i="29"/>
  <c r="BF1163" i="29" s="1"/>
  <c r="Y1160" i="29" l="1"/>
  <c r="Z1160" i="29" s="1"/>
  <c r="CB1155" i="29"/>
  <c r="CB1157" i="29"/>
  <c r="CB1159" i="29"/>
  <c r="CB1156" i="29"/>
  <c r="CB1158" i="29"/>
  <c r="CB1160" i="29"/>
  <c r="CB1154" i="29"/>
  <c r="R1162" i="29"/>
  <c r="Q1162" i="29"/>
  <c r="BO1166" i="29"/>
  <c r="BN1166" i="29"/>
  <c r="BY1165" i="29"/>
  <c r="BR1165" i="29"/>
  <c r="L1163" i="29"/>
  <c r="J1164" i="29"/>
  <c r="K1164" i="29"/>
  <c r="CC1161" i="29"/>
  <c r="U1163" i="29"/>
  <c r="AC1163" i="29" s="1"/>
  <c r="AC1162" i="29"/>
  <c r="T1164" i="29"/>
  <c r="S1164" i="29"/>
  <c r="V1163" i="29"/>
  <c r="AF1163" i="29"/>
  <c r="AE1163" i="29"/>
  <c r="AB1162" i="29"/>
  <c r="M1161" i="29"/>
  <c r="AA1161" i="29"/>
  <c r="W1161" i="29"/>
  <c r="Y1161" i="29" s="1"/>
  <c r="CA1162" i="29"/>
  <c r="BU1162" i="29" s="1"/>
  <c r="BH1163" i="29"/>
  <c r="BB1163" i="29" s="1"/>
  <c r="AZ1163" i="29"/>
  <c r="BD1165" i="29"/>
  <c r="BP1164" i="29"/>
  <c r="BE1164" i="29"/>
  <c r="BG1164" i="29" s="1"/>
  <c r="BA1164" i="29" s="1"/>
  <c r="BC1164" i="29"/>
  <c r="BF1164" i="29" s="1"/>
  <c r="Q1163" i="29" l="1"/>
  <c r="R1163" i="29"/>
  <c r="J1165" i="29"/>
  <c r="L1164" i="29"/>
  <c r="K1165" i="29"/>
  <c r="BV1154" i="29"/>
  <c r="CC1154" i="29"/>
  <c r="BV1159" i="29"/>
  <c r="CC1159" i="29"/>
  <c r="U1164" i="29"/>
  <c r="AC1164" i="29" s="1"/>
  <c r="CA1163" i="29"/>
  <c r="BU1163" i="29" s="1"/>
  <c r="W1162" i="29"/>
  <c r="Y1162" i="29" s="1"/>
  <c r="M1162" i="29"/>
  <c r="AA1162" i="29"/>
  <c r="BV1160" i="29"/>
  <c r="CC1160" i="29"/>
  <c r="BV1157" i="29"/>
  <c r="CC1157" i="29"/>
  <c r="V1164" i="29"/>
  <c r="S1165" i="29"/>
  <c r="T1165" i="29"/>
  <c r="AE1164" i="29"/>
  <c r="AF1164" i="29"/>
  <c r="AB1163" i="29"/>
  <c r="BN1167" i="29"/>
  <c r="BO1167" i="29"/>
  <c r="BR1166" i="29"/>
  <c r="BY1166" i="29"/>
  <c r="X1162" i="29"/>
  <c r="BV1158" i="29"/>
  <c r="CC1158" i="29"/>
  <c r="BV1155" i="29"/>
  <c r="CC1155" i="29"/>
  <c r="BQ1167" i="29"/>
  <c r="BQ1168" i="29" s="1"/>
  <c r="BV1156" i="29"/>
  <c r="CC1156" i="29"/>
  <c r="Z1161" i="29"/>
  <c r="AB1160" i="29"/>
  <c r="AC1160" i="29"/>
  <c r="BH1164" i="29"/>
  <c r="BB1164" i="29" s="1"/>
  <c r="AZ1164" i="29"/>
  <c r="BP1165" i="29"/>
  <c r="BD1166" i="29"/>
  <c r="BE1165" i="29"/>
  <c r="BG1165" i="29" s="1"/>
  <c r="BA1165" i="29" s="1"/>
  <c r="BC1165" i="29"/>
  <c r="BF1165" i="29" s="1"/>
  <c r="AB1164" i="29" l="1"/>
  <c r="Z1162" i="29"/>
  <c r="BO1168" i="29"/>
  <c r="BN1168" i="29"/>
  <c r="BY1167" i="29"/>
  <c r="BR1167" i="29"/>
  <c r="S1166" i="29"/>
  <c r="T1166" i="29"/>
  <c r="V1165" i="29"/>
  <c r="AE1165" i="29"/>
  <c r="AF1165" i="29"/>
  <c r="U1165" i="29"/>
  <c r="AB1165" i="29" s="1"/>
  <c r="J1166" i="29"/>
  <c r="L1165" i="29"/>
  <c r="K1166" i="29"/>
  <c r="CA1164" i="29"/>
  <c r="BU1164" i="29" s="1"/>
  <c r="W1163" i="29"/>
  <c r="Y1163" i="29" s="1"/>
  <c r="M1163" i="29"/>
  <c r="AA1163" i="29"/>
  <c r="BQ1169" i="29"/>
  <c r="Q1164" i="29"/>
  <c r="R1164" i="29"/>
  <c r="X1163" i="29"/>
  <c r="BH1165" i="29"/>
  <c r="BB1165" i="29" s="1"/>
  <c r="AZ1165" i="29"/>
  <c r="BE1166" i="29"/>
  <c r="BG1166" i="29" s="1"/>
  <c r="BA1166" i="29" s="1"/>
  <c r="BP1166" i="29"/>
  <c r="BD1167" i="29"/>
  <c r="BC1166" i="29"/>
  <c r="BF1166" i="29" s="1"/>
  <c r="AC1165" i="29" l="1"/>
  <c r="AA1164" i="29"/>
  <c r="M1164" i="29"/>
  <c r="CA1165" i="29"/>
  <c r="BU1165" i="29" s="1"/>
  <c r="W1164" i="29"/>
  <c r="Y1164" i="29" s="1"/>
  <c r="X1164" i="29"/>
  <c r="U1166" i="29"/>
  <c r="AC1166" i="29" s="1"/>
  <c r="R1165" i="29"/>
  <c r="Q1165" i="29"/>
  <c r="X1165" i="29" s="1"/>
  <c r="BY1168" i="29"/>
  <c r="BO1169" i="29"/>
  <c r="BN1169" i="29"/>
  <c r="BR1168" i="29"/>
  <c r="L1166" i="29"/>
  <c r="K1167" i="29"/>
  <c r="J1167" i="29"/>
  <c r="Z1163" i="29"/>
  <c r="BQ1170" i="29"/>
  <c r="T1167" i="29"/>
  <c r="V1166" i="29"/>
  <c r="S1167" i="29"/>
  <c r="AF1166" i="29"/>
  <c r="AE1166" i="29"/>
  <c r="BH1166" i="29"/>
  <c r="BB1166" i="29" s="1"/>
  <c r="AZ1166" i="29"/>
  <c r="BE1167" i="29"/>
  <c r="BG1167" i="29" s="1"/>
  <c r="BA1167" i="29" s="1"/>
  <c r="BD1168" i="29"/>
  <c r="BC1167" i="29"/>
  <c r="BF1167" i="29" s="1"/>
  <c r="BP1167" i="29"/>
  <c r="AB1166" i="29" l="1"/>
  <c r="K1168" i="29"/>
  <c r="L1167" i="29"/>
  <c r="J1168" i="29"/>
  <c r="BY1169" i="29"/>
  <c r="BR1169" i="29"/>
  <c r="BO1170" i="29"/>
  <c r="BN1170" i="29"/>
  <c r="U1167" i="29"/>
  <c r="Z1164" i="29"/>
  <c r="AA1165" i="29"/>
  <c r="CA1166" i="29"/>
  <c r="BU1166" i="29" s="1"/>
  <c r="M1165" i="29"/>
  <c r="W1165" i="29"/>
  <c r="Y1165" i="29" s="1"/>
  <c r="R1166" i="29"/>
  <c r="Q1166" i="29"/>
  <c r="T1168" i="29"/>
  <c r="S1168" i="29"/>
  <c r="V1167" i="29"/>
  <c r="AE1167" i="29"/>
  <c r="AF1167" i="29"/>
  <c r="BH1167" i="29"/>
  <c r="BB1167" i="29" s="1"/>
  <c r="AZ1167" i="29"/>
  <c r="BD1169" i="29"/>
  <c r="BC1168" i="29"/>
  <c r="BF1168" i="29" s="1"/>
  <c r="BE1168" i="29"/>
  <c r="BG1168" i="29" s="1"/>
  <c r="BA1168" i="29" s="1"/>
  <c r="BP1168" i="29"/>
  <c r="V1168" i="29" l="1"/>
  <c r="S1169" i="29"/>
  <c r="T1169" i="29"/>
  <c r="AF1168" i="29"/>
  <c r="AE1168" i="29"/>
  <c r="W1166" i="29"/>
  <c r="Y1166" i="29" s="1"/>
  <c r="CA1167" i="29"/>
  <c r="BU1167" i="29" s="1"/>
  <c r="M1166" i="29"/>
  <c r="AA1166" i="29"/>
  <c r="Z1165" i="29"/>
  <c r="X1166" i="29"/>
  <c r="R1167" i="29"/>
  <c r="Q1167" i="29"/>
  <c r="X1167" i="29" s="1"/>
  <c r="BN1171" i="29"/>
  <c r="BY1170" i="29"/>
  <c r="BO1171" i="29"/>
  <c r="BR1170" i="29"/>
  <c r="U1168" i="29"/>
  <c r="AC1168" i="29" s="1"/>
  <c r="AB1167" i="29"/>
  <c r="K1169" i="29"/>
  <c r="L1168" i="29"/>
  <c r="J1169" i="29"/>
  <c r="AC1167" i="29"/>
  <c r="BQ1171" i="29"/>
  <c r="BQ1172" i="29" s="1"/>
  <c r="BH1168" i="29"/>
  <c r="BB1168" i="29" s="1"/>
  <c r="AZ1168" i="29"/>
  <c r="BP1169" i="29"/>
  <c r="BC1169" i="29"/>
  <c r="BF1169" i="29" s="1"/>
  <c r="BE1169" i="29"/>
  <c r="BG1169" i="29" s="1"/>
  <c r="BA1169" i="29" s="1"/>
  <c r="BD1170" i="29"/>
  <c r="AB1168" i="29" l="1"/>
  <c r="K1170" i="29"/>
  <c r="L1169" i="29"/>
  <c r="J1170" i="29"/>
  <c r="BN1172" i="29"/>
  <c r="BY1171" i="29"/>
  <c r="BO1172" i="29"/>
  <c r="BR1171" i="29"/>
  <c r="CA1168" i="29"/>
  <c r="BU1168" i="29" s="1"/>
  <c r="M1167" i="29"/>
  <c r="AA1167" i="29"/>
  <c r="W1167" i="29"/>
  <c r="Y1167" i="29" s="1"/>
  <c r="Z1166" i="29"/>
  <c r="T1170" i="29"/>
  <c r="S1170" i="29"/>
  <c r="V1169" i="29"/>
  <c r="AE1169" i="29"/>
  <c r="AF1169" i="29"/>
  <c r="Q1168" i="29"/>
  <c r="X1168" i="29" s="1"/>
  <c r="R1168" i="29"/>
  <c r="U1169" i="29"/>
  <c r="AC1169" i="29" s="1"/>
  <c r="BE1170" i="29"/>
  <c r="BG1170" i="29" s="1"/>
  <c r="BA1170" i="29" s="1"/>
  <c r="BD1171" i="29"/>
  <c r="BC1170" i="29"/>
  <c r="BF1170" i="29" s="1"/>
  <c r="BP1170" i="29"/>
  <c r="AZ1169" i="29"/>
  <c r="BH1169" i="29"/>
  <c r="BB1169" i="29" s="1"/>
  <c r="R1169" i="29" l="1"/>
  <c r="Q1169" i="29"/>
  <c r="Z1167" i="29"/>
  <c r="BR1172" i="29"/>
  <c r="BY1172" i="29"/>
  <c r="BN1173" i="29"/>
  <c r="BO1173" i="29"/>
  <c r="AB1169" i="29"/>
  <c r="L1170" i="29"/>
  <c r="J1171" i="29"/>
  <c r="K1171" i="29"/>
  <c r="CA1169" i="29"/>
  <c r="BU1169" i="29" s="1"/>
  <c r="AA1168" i="29"/>
  <c r="M1168" i="29"/>
  <c r="W1168" i="29"/>
  <c r="Y1168" i="29" s="1"/>
  <c r="U1170" i="29"/>
  <c r="AB1170" i="29" s="1"/>
  <c r="BQ1173" i="29"/>
  <c r="BQ1174" i="29" s="1"/>
  <c r="V1170" i="29"/>
  <c r="S1171" i="29"/>
  <c r="T1171" i="29"/>
  <c r="AE1170" i="29"/>
  <c r="AF1170" i="29"/>
  <c r="BD1172" i="29"/>
  <c r="BP1171" i="29"/>
  <c r="BE1171" i="29"/>
  <c r="BG1171" i="29" s="1"/>
  <c r="BA1171" i="29" s="1"/>
  <c r="BC1171" i="29"/>
  <c r="BF1171" i="29" s="1"/>
  <c r="AZ1170" i="29"/>
  <c r="BH1170" i="29"/>
  <c r="BB1170" i="29" s="1"/>
  <c r="AC1170" i="29" l="1"/>
  <c r="J1172" i="29"/>
  <c r="L1171" i="29"/>
  <c r="K1172" i="29"/>
  <c r="BR1173" i="29"/>
  <c r="BN1174" i="29"/>
  <c r="BO1174" i="29"/>
  <c r="Z1168" i="29"/>
  <c r="CA1170" i="29"/>
  <c r="BU1170" i="29" s="1"/>
  <c r="M1169" i="29"/>
  <c r="W1169" i="29"/>
  <c r="Y1169" i="29" s="1"/>
  <c r="AA1169" i="29"/>
  <c r="X1169" i="29"/>
  <c r="V1171" i="29"/>
  <c r="S1172" i="29"/>
  <c r="T1172" i="29"/>
  <c r="AE1171" i="29"/>
  <c r="AF1171" i="29"/>
  <c r="U1171" i="29"/>
  <c r="AC1171" i="29" s="1"/>
  <c r="Q1170" i="29"/>
  <c r="X1170" i="29" s="1"/>
  <c r="R1170" i="29"/>
  <c r="AZ1171" i="29"/>
  <c r="BH1171" i="29"/>
  <c r="BB1171" i="29" s="1"/>
  <c r="BD1173" i="29"/>
  <c r="BP1172" i="29"/>
  <c r="BC1172" i="29"/>
  <c r="BF1172" i="29" s="1"/>
  <c r="BE1172" i="29"/>
  <c r="BG1172" i="29" s="1"/>
  <c r="BA1172" i="29" s="1"/>
  <c r="Z1169" i="29" l="1"/>
  <c r="BY1174" i="29"/>
  <c r="BN1175" i="29"/>
  <c r="BR1174" i="29"/>
  <c r="BO1175" i="29"/>
  <c r="K1173" i="29"/>
  <c r="L1172" i="29"/>
  <c r="J1173" i="29"/>
  <c r="AB1171" i="29"/>
  <c r="V1172" i="29"/>
  <c r="T1173" i="29"/>
  <c r="S1173" i="29"/>
  <c r="AE1172" i="29"/>
  <c r="AF1172" i="29"/>
  <c r="U1172" i="29"/>
  <c r="AA1170" i="29"/>
  <c r="W1170" i="29"/>
  <c r="Y1170" i="29" s="1"/>
  <c r="Z1170" i="29" s="1"/>
  <c r="M1170" i="29"/>
  <c r="CA1171" i="29"/>
  <c r="BU1171" i="29" s="1"/>
  <c r="BQ1175" i="29"/>
  <c r="BQ1176" i="29" s="1"/>
  <c r="Q1171" i="29"/>
  <c r="X1171" i="29" s="1"/>
  <c r="R1171" i="29"/>
  <c r="AZ1172" i="29"/>
  <c r="BH1172" i="29"/>
  <c r="BB1172" i="29" s="1"/>
  <c r="BD1174" i="29"/>
  <c r="BI1173" i="29"/>
  <c r="BP1173" i="29"/>
  <c r="BC1173" i="29"/>
  <c r="BF1173" i="29" s="1"/>
  <c r="BE1173" i="29"/>
  <c r="BG1173" i="29" s="1"/>
  <c r="BA1173" i="29" s="1"/>
  <c r="Q1172" i="29" l="1"/>
  <c r="R1172" i="29"/>
  <c r="S1174" i="29"/>
  <c r="T1174" i="29"/>
  <c r="V1173" i="29"/>
  <c r="AF1173" i="29"/>
  <c r="AE1173" i="29"/>
  <c r="BR1175" i="29"/>
  <c r="BO1176" i="29"/>
  <c r="BN1176" i="29"/>
  <c r="BY1175" i="29"/>
  <c r="AA1171" i="29"/>
  <c r="CA1172" i="29"/>
  <c r="BU1172" i="29" s="1"/>
  <c r="W1171" i="29"/>
  <c r="Y1171" i="29" s="1"/>
  <c r="Z1171" i="29" s="1"/>
  <c r="M1171" i="29"/>
  <c r="BQ1177" i="29"/>
  <c r="U1173" i="29"/>
  <c r="AB1173" i="29" s="1"/>
  <c r="J1174" i="29"/>
  <c r="K1174" i="29"/>
  <c r="L1173" i="29"/>
  <c r="AZ1173" i="29"/>
  <c r="BH1173" i="29"/>
  <c r="BB1173" i="29" s="1"/>
  <c r="BC1174" i="29"/>
  <c r="BF1174" i="29" s="1"/>
  <c r="BP1174" i="29"/>
  <c r="BE1174" i="29"/>
  <c r="BG1174" i="29" s="1"/>
  <c r="BA1174" i="29" s="1"/>
  <c r="BD1175" i="29"/>
  <c r="L1174" i="29" l="1"/>
  <c r="K1175" i="29"/>
  <c r="J1175" i="29"/>
  <c r="U1174" i="29"/>
  <c r="Q1173" i="29"/>
  <c r="R1173" i="29"/>
  <c r="BR1176" i="29"/>
  <c r="BY1176" i="29"/>
  <c r="BN1177" i="29"/>
  <c r="BO1177" i="29"/>
  <c r="CA1173" i="29"/>
  <c r="BU1173" i="29" s="1"/>
  <c r="AA1172" i="29"/>
  <c r="W1172" i="29"/>
  <c r="CB1173" i="29" s="1"/>
  <c r="BV1173" i="29" s="1"/>
  <c r="AC1173" i="29"/>
  <c r="V1174" i="29"/>
  <c r="T1175" i="29"/>
  <c r="S1175" i="29"/>
  <c r="AE1174" i="29"/>
  <c r="AF1174" i="29"/>
  <c r="BC1175" i="29"/>
  <c r="BF1175" i="29" s="1"/>
  <c r="BE1175" i="29"/>
  <c r="BG1175" i="29" s="1"/>
  <c r="BA1175" i="29" s="1"/>
  <c r="BP1175" i="29"/>
  <c r="BD1176" i="29"/>
  <c r="BH1174" i="29"/>
  <c r="BB1174" i="29" s="1"/>
  <c r="AZ1174" i="29"/>
  <c r="BR1177" i="29" l="1"/>
  <c r="BN1178" i="29"/>
  <c r="BY1177" i="29"/>
  <c r="BO1178" i="29"/>
  <c r="BQ1178" i="29"/>
  <c r="BQ1179" i="29" s="1"/>
  <c r="Y1172" i="29"/>
  <c r="Z1172" i="29" s="1"/>
  <c r="CB1171" i="29"/>
  <c r="CB1167" i="29"/>
  <c r="CB1170" i="29"/>
  <c r="CB1169" i="29"/>
  <c r="CB1168" i="29"/>
  <c r="CB1172" i="29"/>
  <c r="CB1166" i="29"/>
  <c r="Q1174" i="29"/>
  <c r="R1174" i="29"/>
  <c r="K1176" i="29"/>
  <c r="J1176" i="29"/>
  <c r="L1175" i="29"/>
  <c r="CA1174" i="29"/>
  <c r="BU1174" i="29" s="1"/>
  <c r="M1173" i="29"/>
  <c r="W1173" i="29"/>
  <c r="Y1173" i="29" s="1"/>
  <c r="AA1173" i="29"/>
  <c r="AB1174" i="29"/>
  <c r="T1176" i="29"/>
  <c r="V1175" i="29"/>
  <c r="S1176" i="29"/>
  <c r="AF1175" i="29"/>
  <c r="AE1175" i="29"/>
  <c r="U1175" i="29"/>
  <c r="AB1175" i="29" s="1"/>
  <c r="CC1173" i="29"/>
  <c r="X1173" i="29"/>
  <c r="AC1174" i="29"/>
  <c r="AZ1175" i="29"/>
  <c r="BH1175" i="29"/>
  <c r="BB1175" i="29" s="1"/>
  <c r="BD1177" i="29"/>
  <c r="BC1176" i="29"/>
  <c r="BF1176" i="29" s="1"/>
  <c r="BE1176" i="29"/>
  <c r="BG1176" i="29" s="1"/>
  <c r="BA1176" i="29" s="1"/>
  <c r="BP1176" i="29"/>
  <c r="W1174" i="29" l="1"/>
  <c r="Y1174" i="29" s="1"/>
  <c r="AA1174" i="29"/>
  <c r="M1174" i="29"/>
  <c r="CA1175" i="29"/>
  <c r="BU1175" i="29" s="1"/>
  <c r="BV1172" i="29"/>
  <c r="CC1172" i="29"/>
  <c r="BV1167" i="29"/>
  <c r="CC1167" i="29"/>
  <c r="BY1178" i="29"/>
  <c r="BO1179" i="29"/>
  <c r="BN1179" i="29"/>
  <c r="BR1178" i="29"/>
  <c r="BV1168" i="29"/>
  <c r="CC1168" i="29"/>
  <c r="BV1171" i="29"/>
  <c r="CC1171" i="29"/>
  <c r="V1176" i="29"/>
  <c r="T1177" i="29"/>
  <c r="S1177" i="29"/>
  <c r="AF1176" i="29"/>
  <c r="AE1176" i="29"/>
  <c r="R1175" i="29"/>
  <c r="Q1175" i="29"/>
  <c r="X1174" i="29"/>
  <c r="AC1175" i="29"/>
  <c r="U1176" i="29"/>
  <c r="AB1176" i="29" s="1"/>
  <c r="K1177" i="29"/>
  <c r="J1177" i="29"/>
  <c r="L1176" i="29"/>
  <c r="BV1169" i="29"/>
  <c r="CC1169" i="29"/>
  <c r="Z1173" i="29"/>
  <c r="AB1172" i="29"/>
  <c r="AC1172" i="29"/>
  <c r="BV1166" i="29"/>
  <c r="CC1166" i="29"/>
  <c r="BV1170" i="29"/>
  <c r="CC1170" i="29"/>
  <c r="BQ1180" i="29"/>
  <c r="AZ1176" i="29"/>
  <c r="BH1176" i="29"/>
  <c r="BB1176" i="29" s="1"/>
  <c r="BE1177" i="29"/>
  <c r="BG1177" i="29" s="1"/>
  <c r="BA1177" i="29" s="1"/>
  <c r="BP1177" i="29"/>
  <c r="BC1177" i="29"/>
  <c r="BF1177" i="29" s="1"/>
  <c r="BD1178" i="29"/>
  <c r="AC1176" i="29" l="1"/>
  <c r="Z1174" i="29"/>
  <c r="AA1175" i="29"/>
  <c r="CA1176" i="29"/>
  <c r="BU1176" i="29" s="1"/>
  <c r="M1175" i="29"/>
  <c r="W1175" i="29"/>
  <c r="Y1175" i="29" s="1"/>
  <c r="Z1175" i="29" s="1"/>
  <c r="U1177" i="29"/>
  <c r="AC1177" i="29" s="1"/>
  <c r="T1178" i="29"/>
  <c r="S1178" i="29"/>
  <c r="V1177" i="29"/>
  <c r="AF1177" i="29"/>
  <c r="AE1177" i="29"/>
  <c r="BR1179" i="29"/>
  <c r="BN1180" i="29"/>
  <c r="BO1180" i="29"/>
  <c r="BQ1181" i="29" s="1"/>
  <c r="BY1179" i="29"/>
  <c r="J1178" i="29"/>
  <c r="K1178" i="29"/>
  <c r="L1177" i="29"/>
  <c r="R1176" i="29"/>
  <c r="Q1176" i="29"/>
  <c r="X1176" i="29" s="1"/>
  <c r="X1175" i="29"/>
  <c r="AZ1177" i="29"/>
  <c r="BH1177" i="29"/>
  <c r="BB1177" i="29" s="1"/>
  <c r="BP1178" i="29"/>
  <c r="BE1178" i="29"/>
  <c r="BG1178" i="29" s="1"/>
  <c r="BA1178" i="29" s="1"/>
  <c r="BC1178" i="29"/>
  <c r="BF1178" i="29" s="1"/>
  <c r="BD1179" i="29"/>
  <c r="K1179" i="29" l="1"/>
  <c r="L1178" i="29"/>
  <c r="J1179" i="29"/>
  <c r="AA1176" i="29"/>
  <c r="CA1177" i="29"/>
  <c r="BU1177" i="29" s="1"/>
  <c r="W1176" i="29"/>
  <c r="Y1176" i="29" s="1"/>
  <c r="Z1176" i="29" s="1"/>
  <c r="M1176" i="29"/>
  <c r="U1178" i="29"/>
  <c r="AC1178" i="29" s="1"/>
  <c r="AB1177" i="29"/>
  <c r="V1178" i="29"/>
  <c r="S1179" i="29"/>
  <c r="T1179" i="29"/>
  <c r="AF1178" i="29"/>
  <c r="AE1178" i="29"/>
  <c r="BY1180" i="29"/>
  <c r="BO1181" i="29"/>
  <c r="BQ1182" i="29" s="1"/>
  <c r="BN1181" i="29"/>
  <c r="BR1180" i="29"/>
  <c r="Q1177" i="29"/>
  <c r="X1177" i="29" s="1"/>
  <c r="R1177" i="29"/>
  <c r="BD1180" i="29"/>
  <c r="BC1179" i="29"/>
  <c r="BF1179" i="29" s="1"/>
  <c r="BE1179" i="29"/>
  <c r="BG1179" i="29" s="1"/>
  <c r="BA1179" i="29" s="1"/>
  <c r="BP1179" i="29"/>
  <c r="AZ1178" i="29"/>
  <c r="BH1178" i="29"/>
  <c r="BB1178" i="29" s="1"/>
  <c r="AB1178" i="29" l="1"/>
  <c r="M1177" i="29"/>
  <c r="W1177" i="29"/>
  <c r="Y1177" i="29" s="1"/>
  <c r="Z1177" i="29" s="1"/>
  <c r="AA1177" i="29"/>
  <c r="CA1178" i="29"/>
  <c r="BU1178" i="29" s="1"/>
  <c r="V1179" i="29"/>
  <c r="S1180" i="29"/>
  <c r="T1180" i="29"/>
  <c r="AE1179" i="29"/>
  <c r="AF1179" i="29"/>
  <c r="L1179" i="29"/>
  <c r="K1180" i="29"/>
  <c r="J1180" i="29"/>
  <c r="U1179" i="29"/>
  <c r="AB1179" i="29" s="1"/>
  <c r="BR1181" i="29"/>
  <c r="BY1181" i="29"/>
  <c r="BO1182" i="29"/>
  <c r="BN1182" i="29"/>
  <c r="Q1178" i="29"/>
  <c r="R1178" i="29"/>
  <c r="BD1181" i="29"/>
  <c r="BC1180" i="29"/>
  <c r="BF1180" i="29" s="1"/>
  <c r="BP1180" i="29"/>
  <c r="BE1180" i="29"/>
  <c r="BG1180" i="29" s="1"/>
  <c r="BA1180" i="29" s="1"/>
  <c r="BH1179" i="29"/>
  <c r="BB1179" i="29" s="1"/>
  <c r="AZ1179" i="29"/>
  <c r="BN1183" i="29" l="1"/>
  <c r="BY1182" i="29"/>
  <c r="BO1183" i="29"/>
  <c r="BR1182" i="29"/>
  <c r="U1180" i="29"/>
  <c r="BQ1183" i="29"/>
  <c r="AA1178" i="29"/>
  <c r="W1178" i="29"/>
  <c r="Y1178" i="29" s="1"/>
  <c r="Z1178" i="29" s="1"/>
  <c r="CA1179" i="29"/>
  <c r="BU1179" i="29" s="1"/>
  <c r="M1178" i="29"/>
  <c r="R1179" i="29"/>
  <c r="Q1179" i="29"/>
  <c r="X1179" i="29" s="1"/>
  <c r="J1181" i="29"/>
  <c r="K1181" i="29"/>
  <c r="L1180" i="29"/>
  <c r="V1180" i="29"/>
  <c r="S1181" i="29"/>
  <c r="T1181" i="29"/>
  <c r="AE1180" i="29"/>
  <c r="AF1180" i="29"/>
  <c r="X1178" i="29"/>
  <c r="AC1179" i="29"/>
  <c r="AZ1180" i="29"/>
  <c r="BH1180" i="29"/>
  <c r="BB1180" i="29" s="1"/>
  <c r="BP1181" i="29"/>
  <c r="BC1181" i="29"/>
  <c r="BF1181" i="29" s="1"/>
  <c r="BE1181" i="29"/>
  <c r="BG1181" i="29" s="1"/>
  <c r="BA1181" i="29" s="1"/>
  <c r="BD1182" i="29"/>
  <c r="CA1180" i="29" l="1"/>
  <c r="BU1180" i="29" s="1"/>
  <c r="M1179" i="29"/>
  <c r="AA1179" i="29"/>
  <c r="W1179" i="29"/>
  <c r="Y1179" i="29" s="1"/>
  <c r="Z1179" i="29" s="1"/>
  <c r="U1181" i="29"/>
  <c r="AC1181" i="29" s="1"/>
  <c r="R1180" i="29"/>
  <c r="Q1180" i="29"/>
  <c r="BR1183" i="29"/>
  <c r="BY1183" i="29"/>
  <c r="BN1184" i="29"/>
  <c r="BO1184" i="29"/>
  <c r="AC1180" i="29"/>
  <c r="AB1180" i="29"/>
  <c r="T1182" i="29"/>
  <c r="S1182" i="29"/>
  <c r="V1181" i="29"/>
  <c r="AF1181" i="29"/>
  <c r="AE1181" i="29"/>
  <c r="K1182" i="29"/>
  <c r="L1181" i="29"/>
  <c r="J1182" i="29"/>
  <c r="BQ1184" i="29"/>
  <c r="BQ1185" i="29" s="1"/>
  <c r="BH1181" i="29"/>
  <c r="BB1181" i="29" s="1"/>
  <c r="AZ1181" i="29"/>
  <c r="BE1182" i="29"/>
  <c r="BG1182" i="29" s="1"/>
  <c r="BA1182" i="29" s="1"/>
  <c r="BD1183" i="29"/>
  <c r="BC1182" i="29"/>
  <c r="BF1182" i="29" s="1"/>
  <c r="BP1182" i="29"/>
  <c r="W1180" i="29" l="1"/>
  <c r="Y1180" i="29" s="1"/>
  <c r="Z1180" i="29" s="1"/>
  <c r="AA1180" i="29"/>
  <c r="CA1181" i="29"/>
  <c r="BU1181" i="29" s="1"/>
  <c r="M1180" i="29"/>
  <c r="T1183" i="29"/>
  <c r="S1183" i="29"/>
  <c r="V1182" i="29"/>
  <c r="AE1182" i="29"/>
  <c r="AF1182" i="29"/>
  <c r="R1181" i="29"/>
  <c r="Q1181" i="29"/>
  <c r="X1181" i="29" s="1"/>
  <c r="J1183" i="29"/>
  <c r="L1182" i="29"/>
  <c r="K1183" i="29"/>
  <c r="U1182" i="29"/>
  <c r="AC1182" i="29" s="1"/>
  <c r="BY1184" i="29"/>
  <c r="BR1184" i="29"/>
  <c r="BO1185" i="29"/>
  <c r="BQ1186" i="29" s="1"/>
  <c r="BN1185" i="29"/>
  <c r="X1180" i="29"/>
  <c r="AB1181" i="29"/>
  <c r="BC1183" i="29"/>
  <c r="BF1183" i="29" s="1"/>
  <c r="BE1183" i="29"/>
  <c r="BG1183" i="29" s="1"/>
  <c r="BA1183" i="29" s="1"/>
  <c r="BP1183" i="29"/>
  <c r="BD1184" i="29"/>
  <c r="BH1182" i="29"/>
  <c r="BB1182" i="29" s="1"/>
  <c r="AZ1182" i="29"/>
  <c r="U1183" i="29" l="1"/>
  <c r="AC1183" i="29" s="1"/>
  <c r="T1184" i="29"/>
  <c r="S1184" i="29"/>
  <c r="V1183" i="29"/>
  <c r="AF1183" i="29"/>
  <c r="AE1183" i="29"/>
  <c r="Q1182" i="29"/>
  <c r="R1182" i="29"/>
  <c r="BR1185" i="29"/>
  <c r="BN1186" i="29"/>
  <c r="BO1186" i="29"/>
  <c r="AB1182" i="29"/>
  <c r="K1184" i="29"/>
  <c r="J1184" i="29"/>
  <c r="L1183" i="29"/>
  <c r="CA1182" i="29"/>
  <c r="BU1182" i="29" s="1"/>
  <c r="AA1181" i="29"/>
  <c r="M1181" i="29"/>
  <c r="W1181" i="29"/>
  <c r="Y1181" i="29" s="1"/>
  <c r="Z1181" i="29" s="1"/>
  <c r="BD1185" i="29"/>
  <c r="BP1184" i="29"/>
  <c r="BE1184" i="29"/>
  <c r="BG1184" i="29" s="1"/>
  <c r="BA1184" i="29" s="1"/>
  <c r="BC1184" i="29"/>
  <c r="BF1184" i="29" s="1"/>
  <c r="BH1183" i="29"/>
  <c r="BB1183" i="29" s="1"/>
  <c r="AZ1183" i="29"/>
  <c r="W1182" i="29" l="1"/>
  <c r="Y1182" i="29" s="1"/>
  <c r="Z1182" i="29" s="1"/>
  <c r="AA1182" i="29"/>
  <c r="M1182" i="29"/>
  <c r="CA1183" i="29"/>
  <c r="BU1183" i="29" s="1"/>
  <c r="AB1183" i="29"/>
  <c r="L1184" i="29"/>
  <c r="K1185" i="29"/>
  <c r="J1185" i="29"/>
  <c r="U1184" i="29"/>
  <c r="X1182" i="29"/>
  <c r="T1185" i="29"/>
  <c r="V1184" i="29"/>
  <c r="S1185" i="29"/>
  <c r="AF1184" i="29"/>
  <c r="AE1184" i="29"/>
  <c r="BN1187" i="29"/>
  <c r="BR1186" i="29"/>
  <c r="BO1187" i="29"/>
  <c r="BY1186" i="29"/>
  <c r="Q1183" i="29"/>
  <c r="X1183" i="29" s="1"/>
  <c r="R1183" i="29"/>
  <c r="BQ1187" i="29"/>
  <c r="AZ1184" i="29"/>
  <c r="BH1184" i="29"/>
  <c r="BB1184" i="29" s="1"/>
  <c r="BE1185" i="29"/>
  <c r="BG1185" i="29" s="1"/>
  <c r="BA1185" i="29" s="1"/>
  <c r="BD1186" i="29"/>
  <c r="BP1185" i="29"/>
  <c r="BC1185" i="29"/>
  <c r="BF1185" i="29" s="1"/>
  <c r="BI1185" i="29"/>
  <c r="BN1188" i="29" l="1"/>
  <c r="BO1188" i="29"/>
  <c r="BY1187" i="29"/>
  <c r="BR1187" i="29"/>
  <c r="U1185" i="29"/>
  <c r="AB1185" i="29" s="1"/>
  <c r="K1186" i="29"/>
  <c r="L1185" i="29"/>
  <c r="J1186" i="29"/>
  <c r="AA1183" i="29"/>
  <c r="CA1184" i="29"/>
  <c r="BU1184" i="29" s="1"/>
  <c r="M1183" i="29"/>
  <c r="W1183" i="29"/>
  <c r="Y1183" i="29" s="1"/>
  <c r="Z1183" i="29" s="1"/>
  <c r="BQ1188" i="29"/>
  <c r="BQ1189" i="29" s="1"/>
  <c r="V1185" i="29"/>
  <c r="T1186" i="29"/>
  <c r="S1186" i="29"/>
  <c r="AE1185" i="29"/>
  <c r="AF1185" i="29"/>
  <c r="R1184" i="29"/>
  <c r="Q1184" i="29"/>
  <c r="BP1186" i="29"/>
  <c r="BC1186" i="29"/>
  <c r="BF1186" i="29" s="1"/>
  <c r="BD1187" i="29"/>
  <c r="BE1186" i="29"/>
  <c r="BG1186" i="29" s="1"/>
  <c r="BA1186" i="29" s="1"/>
  <c r="AZ1185" i="29"/>
  <c r="BH1185" i="29"/>
  <c r="BB1185" i="29" s="1"/>
  <c r="AC1185" i="29" l="1"/>
  <c r="BO1189" i="29"/>
  <c r="BY1188" i="29"/>
  <c r="BR1188" i="29"/>
  <c r="BN1189" i="29"/>
  <c r="BQ1190" i="29"/>
  <c r="CA1185" i="29"/>
  <c r="BU1185" i="29" s="1"/>
  <c r="AA1184" i="29"/>
  <c r="W1184" i="29"/>
  <c r="CB1185" i="29" s="1"/>
  <c r="BV1185" i="29" s="1"/>
  <c r="U1186" i="29"/>
  <c r="K1187" i="29"/>
  <c r="J1187" i="29"/>
  <c r="L1186" i="29"/>
  <c r="V1186" i="29"/>
  <c r="S1187" i="29"/>
  <c r="T1187" i="29"/>
  <c r="AF1186" i="29"/>
  <c r="AE1186" i="29"/>
  <c r="R1185" i="29"/>
  <c r="Q1185" i="29"/>
  <c r="X1185" i="29" s="1"/>
  <c r="BD1188" i="29"/>
  <c r="BE1187" i="29"/>
  <c r="BG1187" i="29" s="1"/>
  <c r="BA1187" i="29" s="1"/>
  <c r="BP1187" i="29"/>
  <c r="BC1187" i="29"/>
  <c r="BF1187" i="29" s="1"/>
  <c r="AZ1186" i="29"/>
  <c r="BH1186" i="29"/>
  <c r="BB1186" i="29" s="1"/>
  <c r="Y1184" i="29" l="1"/>
  <c r="Z1184" i="29" s="1"/>
  <c r="CB1181" i="29"/>
  <c r="CB1183" i="29"/>
  <c r="CB1179" i="29"/>
  <c r="CB1178" i="29"/>
  <c r="CB1182" i="29"/>
  <c r="CB1184" i="29"/>
  <c r="BN1190" i="29"/>
  <c r="BO1190" i="29"/>
  <c r="BQ1191" i="29" s="1"/>
  <c r="BY1189" i="29"/>
  <c r="BR1189" i="29"/>
  <c r="R1186" i="29"/>
  <c r="Q1186" i="29"/>
  <c r="X1186" i="29" s="1"/>
  <c r="AB1186" i="29"/>
  <c r="M1185" i="29"/>
  <c r="AA1185" i="29"/>
  <c r="W1185" i="29"/>
  <c r="Y1185" i="29" s="1"/>
  <c r="CA1186" i="29"/>
  <c r="BU1186" i="29" s="1"/>
  <c r="T1188" i="29"/>
  <c r="V1187" i="29"/>
  <c r="S1188" i="29"/>
  <c r="AE1187" i="29"/>
  <c r="AF1187" i="29"/>
  <c r="AC1186" i="29"/>
  <c r="U1187" i="29"/>
  <c r="AC1187" i="29" s="1"/>
  <c r="J1188" i="29"/>
  <c r="K1188" i="29"/>
  <c r="L1187" i="29"/>
  <c r="CC1185" i="29"/>
  <c r="AZ1187" i="29"/>
  <c r="BH1187" i="29"/>
  <c r="BB1187" i="29" s="1"/>
  <c r="BP1188" i="29"/>
  <c r="BD1189" i="29"/>
  <c r="BE1188" i="29"/>
  <c r="BG1188" i="29" s="1"/>
  <c r="BA1188" i="29" s="1"/>
  <c r="BC1188" i="29"/>
  <c r="BF1188" i="29" s="1"/>
  <c r="R1187" i="29" l="1"/>
  <c r="Q1187" i="29"/>
  <c r="T1189" i="29"/>
  <c r="V1188" i="29"/>
  <c r="S1189" i="29"/>
  <c r="AE1188" i="29"/>
  <c r="AF1188" i="29"/>
  <c r="CA1187" i="29"/>
  <c r="BU1187" i="29" s="1"/>
  <c r="W1186" i="29"/>
  <c r="Y1186" i="29" s="1"/>
  <c r="AA1186" i="29"/>
  <c r="M1186" i="29"/>
  <c r="BV1179" i="29"/>
  <c r="CC1179" i="29"/>
  <c r="BV1184" i="29"/>
  <c r="CC1184" i="29"/>
  <c r="BV1183" i="29"/>
  <c r="CC1183" i="29"/>
  <c r="K1189" i="29"/>
  <c r="J1189" i="29"/>
  <c r="L1188" i="29"/>
  <c r="AB1187" i="29"/>
  <c r="U1188" i="29"/>
  <c r="AB1188" i="29" s="1"/>
  <c r="BV1182" i="29"/>
  <c r="CC1182" i="29"/>
  <c r="BV1181" i="29"/>
  <c r="CC1181" i="29"/>
  <c r="BR1190" i="29"/>
  <c r="BO1191" i="29"/>
  <c r="BN1191" i="29"/>
  <c r="BY1190" i="29"/>
  <c r="BV1178" i="29"/>
  <c r="CC1178" i="29"/>
  <c r="Z1185" i="29"/>
  <c r="AC1184" i="29"/>
  <c r="AB1184" i="29"/>
  <c r="BH1188" i="29"/>
  <c r="BB1188" i="29" s="1"/>
  <c r="AZ1188" i="29"/>
  <c r="BC1189" i="29"/>
  <c r="BF1189" i="29" s="1"/>
  <c r="BE1189" i="29"/>
  <c r="BG1189" i="29" s="1"/>
  <c r="BA1189" i="29" s="1"/>
  <c r="BD1190" i="29"/>
  <c r="BP1189" i="29"/>
  <c r="Z1186" i="29" l="1"/>
  <c r="Q1188" i="29"/>
  <c r="X1188" i="29" s="1"/>
  <c r="R1188" i="29"/>
  <c r="AA1187" i="29"/>
  <c r="M1187" i="29"/>
  <c r="W1187" i="29"/>
  <c r="Y1187" i="29" s="1"/>
  <c r="Z1187" i="29" s="1"/>
  <c r="CA1188" i="29"/>
  <c r="BU1188" i="29" s="1"/>
  <c r="U1189" i="29"/>
  <c r="AC1189" i="29" s="1"/>
  <c r="BO1192" i="29"/>
  <c r="BN1192" i="29"/>
  <c r="BR1191" i="29"/>
  <c r="BY1191" i="29"/>
  <c r="AC1188" i="29"/>
  <c r="J1190" i="29"/>
  <c r="K1190" i="29"/>
  <c r="L1189" i="29"/>
  <c r="X1187" i="29"/>
  <c r="V1189" i="29"/>
  <c r="S1190" i="29"/>
  <c r="T1190" i="29"/>
  <c r="AE1189" i="29"/>
  <c r="AF1189" i="29"/>
  <c r="BQ1192" i="29"/>
  <c r="BQ1193" i="29" s="1"/>
  <c r="AZ1189" i="29"/>
  <c r="BH1189" i="29"/>
  <c r="BB1189" i="29" s="1"/>
  <c r="BD1191" i="29"/>
  <c r="BE1190" i="29"/>
  <c r="BG1190" i="29" s="1"/>
  <c r="BA1190" i="29" s="1"/>
  <c r="BC1190" i="29"/>
  <c r="BF1190" i="29" s="1"/>
  <c r="BP1190" i="29"/>
  <c r="BR1192" i="29" l="1"/>
  <c r="BN1193" i="29"/>
  <c r="BY1192" i="29"/>
  <c r="BO1193" i="29"/>
  <c r="T1191" i="29"/>
  <c r="S1191" i="29"/>
  <c r="V1190" i="29"/>
  <c r="AE1190" i="29"/>
  <c r="AF1190" i="29"/>
  <c r="BQ1194" i="29"/>
  <c r="U1190" i="29"/>
  <c r="Q1189" i="29"/>
  <c r="R1189" i="29"/>
  <c r="K1191" i="29"/>
  <c r="L1190" i="29"/>
  <c r="J1191" i="29"/>
  <c r="AB1189" i="29"/>
  <c r="AA1188" i="29"/>
  <c r="M1188" i="29"/>
  <c r="W1188" i="29"/>
  <c r="Y1188" i="29" s="1"/>
  <c r="Z1188" i="29" s="1"/>
  <c r="CA1189" i="29"/>
  <c r="BU1189" i="29" s="1"/>
  <c r="BC1191" i="29"/>
  <c r="BF1191" i="29" s="1"/>
  <c r="BP1191" i="29"/>
  <c r="BE1191" i="29"/>
  <c r="BG1191" i="29" s="1"/>
  <c r="BA1191" i="29" s="1"/>
  <c r="BD1192" i="29"/>
  <c r="BH1190" i="29"/>
  <c r="BB1190" i="29" s="1"/>
  <c r="AZ1190" i="29"/>
  <c r="K1192" i="29" l="1"/>
  <c r="L1191" i="29"/>
  <c r="J1192" i="29"/>
  <c r="CA1190" i="29"/>
  <c r="BU1190" i="29" s="1"/>
  <c r="M1189" i="29"/>
  <c r="W1189" i="29"/>
  <c r="Y1189" i="29" s="1"/>
  <c r="Z1189" i="29" s="1"/>
  <c r="AA1189" i="29"/>
  <c r="BQ1195" i="29"/>
  <c r="U1191" i="29"/>
  <c r="AB1191" i="29" s="1"/>
  <c r="Q1190" i="29"/>
  <c r="X1190" i="29" s="1"/>
  <c r="R1190" i="29"/>
  <c r="T1192" i="29"/>
  <c r="S1192" i="29"/>
  <c r="V1191" i="29"/>
  <c r="AE1191" i="29"/>
  <c r="AF1191" i="29"/>
  <c r="X1189" i="29"/>
  <c r="AB1190" i="29"/>
  <c r="AC1190" i="29"/>
  <c r="BO1194" i="29"/>
  <c r="BN1194" i="29"/>
  <c r="BR1193" i="29"/>
  <c r="BY1193" i="29"/>
  <c r="BH1191" i="29"/>
  <c r="BB1191" i="29" s="1"/>
  <c r="AZ1191" i="29"/>
  <c r="BP1192" i="29"/>
  <c r="BD1193" i="29"/>
  <c r="BC1192" i="29"/>
  <c r="BF1192" i="29" s="1"/>
  <c r="BE1192" i="29"/>
  <c r="BG1192" i="29" s="1"/>
  <c r="BA1192" i="29" s="1"/>
  <c r="AC1191" i="29" l="1"/>
  <c r="U1192" i="29"/>
  <c r="AA1190" i="29"/>
  <c r="W1190" i="29"/>
  <c r="Y1190" i="29" s="1"/>
  <c r="Z1190" i="29" s="1"/>
  <c r="CA1191" i="29"/>
  <c r="BU1191" i="29" s="1"/>
  <c r="M1190" i="29"/>
  <c r="BQ1196" i="29"/>
  <c r="BY1194" i="29"/>
  <c r="BR1194" i="29"/>
  <c r="BO1195" i="29"/>
  <c r="BN1195" i="29"/>
  <c r="T1193" i="29"/>
  <c r="S1193" i="29"/>
  <c r="V1192" i="29"/>
  <c r="AF1192" i="29"/>
  <c r="AE1192" i="29"/>
  <c r="Q1191" i="29"/>
  <c r="R1191" i="29"/>
  <c r="J1193" i="29"/>
  <c r="L1192" i="29"/>
  <c r="K1193" i="29"/>
  <c r="BD1194" i="29"/>
  <c r="BP1193" i="29"/>
  <c r="BE1193" i="29"/>
  <c r="BG1193" i="29" s="1"/>
  <c r="BA1193" i="29" s="1"/>
  <c r="BC1193" i="29"/>
  <c r="BF1193" i="29" s="1"/>
  <c r="AZ1192" i="29"/>
  <c r="BH1192" i="29"/>
  <c r="BB1192" i="29" s="1"/>
  <c r="V1193" i="29" l="1"/>
  <c r="T1194" i="29"/>
  <c r="S1194" i="29"/>
  <c r="AE1193" i="29"/>
  <c r="AF1193" i="29"/>
  <c r="Q1192" i="29"/>
  <c r="R1192" i="29"/>
  <c r="CA1192" i="29"/>
  <c r="BU1192" i="29" s="1"/>
  <c r="W1191" i="29"/>
  <c r="Y1191" i="29" s="1"/>
  <c r="Z1191" i="29" s="1"/>
  <c r="M1191" i="29"/>
  <c r="AA1191" i="29"/>
  <c r="J1194" i="29"/>
  <c r="K1194" i="29"/>
  <c r="L1193" i="29"/>
  <c r="AB1192" i="29"/>
  <c r="U1193" i="29"/>
  <c r="AB1193" i="29" s="1"/>
  <c r="X1191" i="29"/>
  <c r="BY1195" i="29"/>
  <c r="BN1196" i="29"/>
  <c r="BR1195" i="29"/>
  <c r="BO1196" i="29"/>
  <c r="AC1192" i="29"/>
  <c r="BP1194" i="29"/>
  <c r="BE1194" i="29"/>
  <c r="BG1194" i="29" s="1"/>
  <c r="BA1194" i="29" s="1"/>
  <c r="BC1194" i="29"/>
  <c r="BF1194" i="29" s="1"/>
  <c r="BD1195" i="29"/>
  <c r="AZ1193" i="29"/>
  <c r="BH1193" i="29"/>
  <c r="BB1193" i="29" s="1"/>
  <c r="BN1197" i="29" l="1"/>
  <c r="BR1196" i="29"/>
  <c r="BY1196" i="29"/>
  <c r="BO1197" i="29"/>
  <c r="BQ1197" i="29"/>
  <c r="BQ1198" i="29" s="1"/>
  <c r="U1194" i="29"/>
  <c r="AB1194" i="29" s="1"/>
  <c r="Q1193" i="29"/>
  <c r="X1193" i="29" s="1"/>
  <c r="R1193" i="29"/>
  <c r="W1192" i="29"/>
  <c r="Y1192" i="29" s="1"/>
  <c r="Z1192" i="29" s="1"/>
  <c r="M1192" i="29"/>
  <c r="AA1192" i="29"/>
  <c r="CA1193" i="29"/>
  <c r="BU1193" i="29" s="1"/>
  <c r="V1194" i="29"/>
  <c r="S1195" i="29"/>
  <c r="T1195" i="29"/>
  <c r="AE1194" i="29"/>
  <c r="AF1194" i="29"/>
  <c r="AC1193" i="29"/>
  <c r="K1195" i="29"/>
  <c r="J1195" i="29"/>
  <c r="L1194" i="29"/>
  <c r="X1192" i="29"/>
  <c r="BD1196" i="29"/>
  <c r="BP1195" i="29"/>
  <c r="BE1195" i="29"/>
  <c r="BG1195" i="29" s="1"/>
  <c r="BA1195" i="29" s="1"/>
  <c r="BC1195" i="29"/>
  <c r="BF1195" i="29" s="1"/>
  <c r="BH1194" i="29"/>
  <c r="BB1194" i="29" s="1"/>
  <c r="AZ1194" i="29"/>
  <c r="AC1194" i="29" l="1"/>
  <c r="U1195" i="29"/>
  <c r="J1196" i="29"/>
  <c r="L1195" i="29"/>
  <c r="K1196" i="29"/>
  <c r="CA1194" i="29"/>
  <c r="BU1194" i="29" s="1"/>
  <c r="AA1193" i="29"/>
  <c r="M1193" i="29"/>
  <c r="W1193" i="29"/>
  <c r="Y1193" i="29" s="1"/>
  <c r="Z1193" i="29" s="1"/>
  <c r="T1196" i="29"/>
  <c r="V1195" i="29"/>
  <c r="S1196" i="29"/>
  <c r="AE1195" i="29"/>
  <c r="AF1195" i="29"/>
  <c r="Q1194" i="29"/>
  <c r="R1194" i="29"/>
  <c r="BR1197" i="29"/>
  <c r="BN1198" i="29"/>
  <c r="BO1198" i="29"/>
  <c r="BH1195" i="29"/>
  <c r="BB1195" i="29" s="1"/>
  <c r="AZ1195" i="29"/>
  <c r="BP1196" i="29"/>
  <c r="BD1197" i="29"/>
  <c r="BC1196" i="29"/>
  <c r="BF1196" i="29" s="1"/>
  <c r="BE1196" i="29"/>
  <c r="BG1196" i="29" s="1"/>
  <c r="BA1196" i="29" s="1"/>
  <c r="V1196" i="29" l="1"/>
  <c r="S1197" i="29"/>
  <c r="T1197" i="29"/>
  <c r="AE1196" i="29"/>
  <c r="AF1196" i="29"/>
  <c r="M1194" i="29"/>
  <c r="AA1194" i="29"/>
  <c r="CA1195" i="29"/>
  <c r="BU1195" i="29" s="1"/>
  <c r="W1194" i="29"/>
  <c r="Y1194" i="29" s="1"/>
  <c r="Z1194" i="29" s="1"/>
  <c r="X1194" i="29"/>
  <c r="Q1195" i="29"/>
  <c r="R1195" i="29"/>
  <c r="AC1195" i="29"/>
  <c r="K1197" i="29"/>
  <c r="L1196" i="29"/>
  <c r="J1197" i="29"/>
  <c r="AB1195" i="29"/>
  <c r="BR1198" i="29"/>
  <c r="BN1199" i="29"/>
  <c r="BY1198" i="29"/>
  <c r="BO1199" i="29"/>
  <c r="U1196" i="29"/>
  <c r="BQ1199" i="29"/>
  <c r="BQ1200" i="29" s="1"/>
  <c r="BH1196" i="29"/>
  <c r="BB1196" i="29" s="1"/>
  <c r="AZ1196" i="29"/>
  <c r="BE1197" i="29"/>
  <c r="BG1197" i="29" s="1"/>
  <c r="BA1197" i="29" s="1"/>
  <c r="BD1198" i="29"/>
  <c r="BI1197" i="29"/>
  <c r="BC1197" i="29"/>
  <c r="BF1197" i="29" s="1"/>
  <c r="BP1197" i="29"/>
  <c r="T1198" i="29" l="1"/>
  <c r="V1197" i="29"/>
  <c r="S1198" i="29"/>
  <c r="AE1197" i="29"/>
  <c r="AF1197" i="29"/>
  <c r="U1197" i="29"/>
  <c r="AB1197" i="29" s="1"/>
  <c r="M1195" i="29"/>
  <c r="W1195" i="29"/>
  <c r="Y1195" i="29" s="1"/>
  <c r="Z1195" i="29" s="1"/>
  <c r="AA1195" i="29"/>
  <c r="CA1196" i="29"/>
  <c r="BU1196" i="29" s="1"/>
  <c r="BN1200" i="29"/>
  <c r="BO1200" i="29"/>
  <c r="BQ1201" i="29" s="1"/>
  <c r="BY1199" i="29"/>
  <c r="BR1199" i="29"/>
  <c r="Q1196" i="29"/>
  <c r="R1196" i="29"/>
  <c r="L1197" i="29"/>
  <c r="J1198" i="29"/>
  <c r="K1198" i="29"/>
  <c r="X1195" i="29"/>
  <c r="AZ1197" i="29"/>
  <c r="BH1197" i="29"/>
  <c r="BB1197" i="29" s="1"/>
  <c r="BD1199" i="29"/>
  <c r="BC1198" i="29"/>
  <c r="BF1198" i="29" s="1"/>
  <c r="BP1198" i="29"/>
  <c r="BE1198" i="29"/>
  <c r="BG1198" i="29" s="1"/>
  <c r="BA1198" i="29" s="1"/>
  <c r="AC1197" i="29" l="1"/>
  <c r="U1198" i="29"/>
  <c r="AB1198" i="29" s="1"/>
  <c r="BY1200" i="29"/>
  <c r="BO1201" i="29"/>
  <c r="BR1200" i="29"/>
  <c r="BN1201" i="29"/>
  <c r="T1199" i="29"/>
  <c r="S1199" i="29"/>
  <c r="V1198" i="29"/>
  <c r="AE1198" i="29"/>
  <c r="AF1198" i="29"/>
  <c r="J1199" i="29"/>
  <c r="K1199" i="29"/>
  <c r="L1198" i="29"/>
  <c r="W1196" i="29"/>
  <c r="AA1196" i="29"/>
  <c r="CA1197" i="29"/>
  <c r="BU1197" i="29" s="1"/>
  <c r="Q1197" i="29"/>
  <c r="R1197" i="29"/>
  <c r="X1197" i="29"/>
  <c r="BH1198" i="29"/>
  <c r="BB1198" i="29" s="1"/>
  <c r="AZ1198" i="29"/>
  <c r="BP1199" i="29"/>
  <c r="BD1200" i="29"/>
  <c r="BC1199" i="29"/>
  <c r="BF1199" i="29" s="1"/>
  <c r="BE1199" i="29"/>
  <c r="BG1199" i="29" s="1"/>
  <c r="BA1199" i="29" s="1"/>
  <c r="U1199" i="29" l="1"/>
  <c r="BO1202" i="29"/>
  <c r="BR1201" i="29"/>
  <c r="BY1201" i="29"/>
  <c r="BN1202" i="29"/>
  <c r="Y1196" i="29"/>
  <c r="Z1196" i="29" s="1"/>
  <c r="CB1193" i="29"/>
  <c r="CB1195" i="29"/>
  <c r="CB1189" i="29"/>
  <c r="CB1191" i="29"/>
  <c r="CB1190" i="29"/>
  <c r="CB1196" i="29"/>
  <c r="CB1192" i="29"/>
  <c r="CB1194" i="29"/>
  <c r="V1199" i="29"/>
  <c r="T1200" i="29"/>
  <c r="S1200" i="29"/>
  <c r="AE1199" i="29"/>
  <c r="AF1199" i="29"/>
  <c r="CB1197" i="29"/>
  <c r="R1198" i="29"/>
  <c r="Q1198" i="29"/>
  <c r="X1198" i="29" s="1"/>
  <c r="AA1197" i="29"/>
  <c r="M1197" i="29"/>
  <c r="CA1198" i="29"/>
  <c r="BU1198" i="29" s="1"/>
  <c r="W1197" i="29"/>
  <c r="Y1197" i="29" s="1"/>
  <c r="J1200" i="29"/>
  <c r="K1200" i="29"/>
  <c r="L1199" i="29"/>
  <c r="AC1198" i="29"/>
  <c r="BQ1202" i="29"/>
  <c r="BQ1203" i="29" s="1"/>
  <c r="BH1199" i="29"/>
  <c r="BB1199" i="29" s="1"/>
  <c r="AZ1199" i="29"/>
  <c r="BP1200" i="29"/>
  <c r="BE1200" i="29"/>
  <c r="BG1200" i="29" s="1"/>
  <c r="BA1200" i="29" s="1"/>
  <c r="BC1200" i="29"/>
  <c r="BF1200" i="29" s="1"/>
  <c r="BD1201" i="29"/>
  <c r="J1201" i="29" l="1"/>
  <c r="L1200" i="29"/>
  <c r="K1201" i="29"/>
  <c r="BV1194" i="29"/>
  <c r="CC1194" i="29"/>
  <c r="BV1191" i="29"/>
  <c r="CC1191" i="29"/>
  <c r="Z1197" i="29"/>
  <c r="AB1196" i="29"/>
  <c r="AC1196" i="29"/>
  <c r="BO1203" i="29"/>
  <c r="BN1203" i="29"/>
  <c r="BY1202" i="29"/>
  <c r="BR1202" i="29"/>
  <c r="U1200" i="29"/>
  <c r="AB1200" i="29" s="1"/>
  <c r="BV1192" i="29"/>
  <c r="CC1192" i="29"/>
  <c r="BV1189" i="29"/>
  <c r="CC1189" i="29"/>
  <c r="R1199" i="29"/>
  <c r="Q1199" i="29"/>
  <c r="X1199" i="29" s="1"/>
  <c r="BV1197" i="29"/>
  <c r="CC1197" i="29"/>
  <c r="T1201" i="29"/>
  <c r="V1200" i="29"/>
  <c r="S1201" i="29"/>
  <c r="AE1200" i="29"/>
  <c r="AF1200" i="29"/>
  <c r="BV1196" i="29"/>
  <c r="CC1196" i="29"/>
  <c r="BV1195" i="29"/>
  <c r="CC1195" i="29"/>
  <c r="AC1199" i="29"/>
  <c r="BQ1204" i="29"/>
  <c r="W1198" i="29"/>
  <c r="Y1198" i="29" s="1"/>
  <c r="M1198" i="29"/>
  <c r="CA1199" i="29"/>
  <c r="BU1199" i="29" s="1"/>
  <c r="AA1198" i="29"/>
  <c r="BV1190" i="29"/>
  <c r="CC1190" i="29"/>
  <c r="BV1193" i="29"/>
  <c r="CC1193" i="29"/>
  <c r="AB1199" i="29"/>
  <c r="BP1201" i="29"/>
  <c r="BD1202" i="29"/>
  <c r="BE1201" i="29"/>
  <c r="BG1201" i="29" s="1"/>
  <c r="BA1201" i="29" s="1"/>
  <c r="BC1201" i="29"/>
  <c r="BF1201" i="29" s="1"/>
  <c r="AZ1200" i="29"/>
  <c r="BH1200" i="29"/>
  <c r="BB1200" i="29" s="1"/>
  <c r="BY1203" i="29" l="1"/>
  <c r="BN1204" i="29"/>
  <c r="BR1203" i="29"/>
  <c r="BO1204" i="29"/>
  <c r="L1201" i="29"/>
  <c r="J1202" i="29"/>
  <c r="K1202" i="29"/>
  <c r="Q1200" i="29"/>
  <c r="X1200" i="29" s="1"/>
  <c r="R1200" i="29"/>
  <c r="BQ1205" i="29"/>
  <c r="U1201" i="29"/>
  <c r="AB1201" i="29" s="1"/>
  <c r="V1201" i="29"/>
  <c r="S1202" i="29"/>
  <c r="T1202" i="29"/>
  <c r="AF1201" i="29"/>
  <c r="AE1201" i="29"/>
  <c r="M1199" i="29"/>
  <c r="CA1200" i="29"/>
  <c r="BU1200" i="29" s="1"/>
  <c r="W1199" i="29"/>
  <c r="Y1199" i="29" s="1"/>
  <c r="AA1199" i="29"/>
  <c r="AC1200" i="29"/>
  <c r="Z1198" i="29"/>
  <c r="BP1202" i="29"/>
  <c r="BD1203" i="29"/>
  <c r="BC1202" i="29"/>
  <c r="BF1202" i="29" s="1"/>
  <c r="BE1202" i="29"/>
  <c r="BG1202" i="29" s="1"/>
  <c r="BA1202" i="29" s="1"/>
  <c r="BH1201" i="29"/>
  <c r="BB1201" i="29" s="1"/>
  <c r="AZ1201" i="29"/>
  <c r="BO1205" i="29" l="1"/>
  <c r="BR1204" i="29"/>
  <c r="BY1204" i="29"/>
  <c r="BN1205" i="29"/>
  <c r="BQ1206" i="29"/>
  <c r="V1202" i="29"/>
  <c r="T1203" i="29"/>
  <c r="S1203" i="29"/>
  <c r="AE1202" i="29"/>
  <c r="AF1202" i="29"/>
  <c r="Q1201" i="29"/>
  <c r="R1201" i="29"/>
  <c r="J1203" i="29"/>
  <c r="K1203" i="29"/>
  <c r="L1202" i="29"/>
  <c r="Z1199" i="29"/>
  <c r="U1202" i="29"/>
  <c r="AC1201" i="29"/>
  <c r="CA1201" i="29"/>
  <c r="BU1201" i="29" s="1"/>
  <c r="W1200" i="29"/>
  <c r="Y1200" i="29" s="1"/>
  <c r="AA1200" i="29"/>
  <c r="M1200" i="29"/>
  <c r="AZ1202" i="29"/>
  <c r="BH1202" i="29"/>
  <c r="BB1202" i="29" s="1"/>
  <c r="BE1203" i="29"/>
  <c r="BG1203" i="29" s="1"/>
  <c r="BA1203" i="29" s="1"/>
  <c r="BC1203" i="29"/>
  <c r="BF1203" i="29" s="1"/>
  <c r="BP1203" i="29"/>
  <c r="BD1204" i="29"/>
  <c r="R1202" i="29" l="1"/>
  <c r="Q1202" i="29"/>
  <c r="X1202" i="29" s="1"/>
  <c r="U1203" i="29"/>
  <c r="AB1203" i="29" s="1"/>
  <c r="AB1202" i="29"/>
  <c r="K1204" i="29"/>
  <c r="J1204" i="29"/>
  <c r="L1203" i="29"/>
  <c r="W1201" i="29"/>
  <c r="Y1201" i="29" s="1"/>
  <c r="AA1201" i="29"/>
  <c r="CA1202" i="29"/>
  <c r="BU1202" i="29" s="1"/>
  <c r="M1201" i="29"/>
  <c r="V1203" i="29"/>
  <c r="S1204" i="29"/>
  <c r="T1204" i="29"/>
  <c r="AF1203" i="29"/>
  <c r="AE1203" i="29"/>
  <c r="AC1202" i="29"/>
  <c r="Z1200" i="29"/>
  <c r="X1201" i="29"/>
  <c r="BO1206" i="29"/>
  <c r="BN1206" i="29"/>
  <c r="BY1205" i="29"/>
  <c r="BR1205" i="29"/>
  <c r="BP1204" i="29"/>
  <c r="BC1204" i="29"/>
  <c r="BF1204" i="29" s="1"/>
  <c r="BE1204" i="29"/>
  <c r="BG1204" i="29" s="1"/>
  <c r="BA1204" i="29" s="1"/>
  <c r="BD1205" i="29"/>
  <c r="AZ1203" i="29"/>
  <c r="BH1203" i="29"/>
  <c r="BB1203" i="29" s="1"/>
  <c r="BN1207" i="29" l="1"/>
  <c r="BO1207" i="29"/>
  <c r="BR1206" i="29"/>
  <c r="BY1206" i="29"/>
  <c r="BQ1207" i="29"/>
  <c r="BQ1208" i="29" s="1"/>
  <c r="U1204" i="29"/>
  <c r="AB1204" i="29" s="1"/>
  <c r="V1204" i="29"/>
  <c r="S1205" i="29"/>
  <c r="T1205" i="29"/>
  <c r="AE1204" i="29"/>
  <c r="AF1204" i="29"/>
  <c r="Z1201" i="29"/>
  <c r="Q1203" i="29"/>
  <c r="X1203" i="29" s="1"/>
  <c r="R1203" i="29"/>
  <c r="AA1202" i="29"/>
  <c r="M1202" i="29"/>
  <c r="W1202" i="29"/>
  <c r="Y1202" i="29" s="1"/>
  <c r="CA1203" i="29"/>
  <c r="BU1203" i="29" s="1"/>
  <c r="J1205" i="29"/>
  <c r="L1204" i="29"/>
  <c r="K1205" i="29"/>
  <c r="AC1203" i="29"/>
  <c r="BH1204" i="29"/>
  <c r="BB1204" i="29" s="1"/>
  <c r="AZ1204" i="29"/>
  <c r="BP1205" i="29"/>
  <c r="BD1206" i="29"/>
  <c r="BE1205" i="29"/>
  <c r="BG1205" i="29" s="1"/>
  <c r="BA1205" i="29" s="1"/>
  <c r="BC1205" i="29"/>
  <c r="BF1205" i="29" s="1"/>
  <c r="R1204" i="29" l="1"/>
  <c r="Q1204" i="29"/>
  <c r="Z1202" i="29"/>
  <c r="T1206" i="29"/>
  <c r="V1205" i="29"/>
  <c r="S1206" i="29"/>
  <c r="AF1205" i="29"/>
  <c r="AE1205" i="29"/>
  <c r="M1203" i="29"/>
  <c r="AA1203" i="29"/>
  <c r="CA1204" i="29"/>
  <c r="BU1204" i="29" s="1"/>
  <c r="W1203" i="29"/>
  <c r="Y1203" i="29" s="1"/>
  <c r="U1205" i="29"/>
  <c r="AC1204" i="29"/>
  <c r="BR1207" i="29"/>
  <c r="BY1207" i="29"/>
  <c r="BO1208" i="29"/>
  <c r="BN1208" i="29"/>
  <c r="K1206" i="29"/>
  <c r="J1206" i="29"/>
  <c r="L1205" i="29"/>
  <c r="BQ1209" i="29"/>
  <c r="AZ1205" i="29"/>
  <c r="BH1205" i="29"/>
  <c r="BB1205" i="29" s="1"/>
  <c r="BC1206" i="29"/>
  <c r="BF1206" i="29" s="1"/>
  <c r="BD1207" i="29"/>
  <c r="BE1206" i="29"/>
  <c r="BG1206" i="29" s="1"/>
  <c r="BA1206" i="29" s="1"/>
  <c r="BP1206" i="29"/>
  <c r="Z1203" i="29" l="1"/>
  <c r="BO1209" i="29"/>
  <c r="BR1208" i="29"/>
  <c r="BY1208" i="29"/>
  <c r="BN1209" i="29"/>
  <c r="R1205" i="29"/>
  <c r="Q1205" i="29"/>
  <c r="X1205" i="29" s="1"/>
  <c r="U1206" i="29"/>
  <c r="AC1206" i="29" s="1"/>
  <c r="W1204" i="29"/>
  <c r="Y1204" i="29" s="1"/>
  <c r="CA1205" i="29"/>
  <c r="BU1205" i="29" s="1"/>
  <c r="M1204" i="29"/>
  <c r="AA1204" i="29"/>
  <c r="AB1205" i="29"/>
  <c r="L1206" i="29"/>
  <c r="J1207" i="29"/>
  <c r="K1207" i="29"/>
  <c r="AC1205" i="29"/>
  <c r="T1207" i="29"/>
  <c r="V1206" i="29"/>
  <c r="S1207" i="29"/>
  <c r="AE1206" i="29"/>
  <c r="AF1206" i="29"/>
  <c r="X1204" i="29"/>
  <c r="BC1207" i="29"/>
  <c r="BF1207" i="29" s="1"/>
  <c r="BP1207" i="29"/>
  <c r="BE1207" i="29"/>
  <c r="BG1207" i="29" s="1"/>
  <c r="BA1207" i="29" s="1"/>
  <c r="BD1208" i="29"/>
  <c r="BH1206" i="29"/>
  <c r="BB1206" i="29" s="1"/>
  <c r="AZ1206" i="29"/>
  <c r="T1208" i="29" l="1"/>
  <c r="S1208" i="29"/>
  <c r="V1207" i="29"/>
  <c r="AF1207" i="29"/>
  <c r="AE1207" i="29"/>
  <c r="AB1206" i="29"/>
  <c r="BR1209" i="29"/>
  <c r="BN1210" i="29"/>
  <c r="BO1210" i="29"/>
  <c r="U1207" i="29"/>
  <c r="K1208" i="29"/>
  <c r="L1207" i="29"/>
  <c r="J1208" i="29"/>
  <c r="BQ1210" i="29"/>
  <c r="BQ1211" i="29" s="1"/>
  <c r="Z1204" i="29"/>
  <c r="Q1206" i="29"/>
  <c r="X1206" i="29" s="1"/>
  <c r="R1206" i="29"/>
  <c r="AA1205" i="29"/>
  <c r="W1205" i="29"/>
  <c r="Y1205" i="29" s="1"/>
  <c r="M1205" i="29"/>
  <c r="CA1206" i="29"/>
  <c r="BU1206" i="29" s="1"/>
  <c r="BE1208" i="29"/>
  <c r="BG1208" i="29" s="1"/>
  <c r="BA1208" i="29" s="1"/>
  <c r="BD1209" i="29"/>
  <c r="BP1208" i="29"/>
  <c r="BC1208" i="29"/>
  <c r="BF1208" i="29" s="1"/>
  <c r="AZ1207" i="29"/>
  <c r="BH1207" i="29"/>
  <c r="BB1207" i="29" s="1"/>
  <c r="R1207" i="29" l="1"/>
  <c r="Q1207" i="29"/>
  <c r="X1207" i="29" s="1"/>
  <c r="AB1207" i="29"/>
  <c r="CA1207" i="29"/>
  <c r="BU1207" i="29" s="1"/>
  <c r="W1206" i="29"/>
  <c r="Y1206" i="29" s="1"/>
  <c r="M1206" i="29"/>
  <c r="AA1206" i="29"/>
  <c r="Z1205" i="29"/>
  <c r="AC1207" i="29"/>
  <c r="U1208" i="29"/>
  <c r="J1209" i="29"/>
  <c r="K1209" i="29"/>
  <c r="L1208" i="29"/>
  <c r="BN1211" i="29"/>
  <c r="BY1210" i="29"/>
  <c r="BR1210" i="29"/>
  <c r="BO1211" i="29"/>
  <c r="S1209" i="29"/>
  <c r="V1208" i="29"/>
  <c r="T1209" i="29"/>
  <c r="AE1208" i="29"/>
  <c r="AF1208" i="29"/>
  <c r="BP1209" i="29"/>
  <c r="BC1209" i="29"/>
  <c r="BF1209" i="29" s="1"/>
  <c r="BI1209" i="29"/>
  <c r="BE1209" i="29"/>
  <c r="BG1209" i="29" s="1"/>
  <c r="BA1209" i="29" s="1"/>
  <c r="BD1210" i="29"/>
  <c r="AZ1208" i="29"/>
  <c r="BH1208" i="29"/>
  <c r="BB1208" i="29" s="1"/>
  <c r="S1210" i="29" l="1"/>
  <c r="T1210" i="29"/>
  <c r="V1209" i="29"/>
  <c r="AE1209" i="29"/>
  <c r="AF1209" i="29"/>
  <c r="J1210" i="29"/>
  <c r="L1209" i="29"/>
  <c r="K1210" i="29"/>
  <c r="BY1211" i="29"/>
  <c r="BO1212" i="29"/>
  <c r="BN1212" i="29"/>
  <c r="BR1211" i="29"/>
  <c r="Z1206" i="29"/>
  <c r="R1208" i="29"/>
  <c r="Q1208" i="29"/>
  <c r="AA1207" i="29"/>
  <c r="M1207" i="29"/>
  <c r="W1207" i="29"/>
  <c r="Y1207" i="29" s="1"/>
  <c r="CA1208" i="29"/>
  <c r="BU1208" i="29" s="1"/>
  <c r="U1209" i="29"/>
  <c r="BQ1212" i="29"/>
  <c r="BQ1213" i="29" s="1"/>
  <c r="BH1209" i="29"/>
  <c r="BB1209" i="29" s="1"/>
  <c r="AZ1209" i="29"/>
  <c r="BD1211" i="29"/>
  <c r="BP1210" i="29"/>
  <c r="BE1210" i="29"/>
  <c r="BG1210" i="29" s="1"/>
  <c r="BA1210" i="29" s="1"/>
  <c r="BC1210" i="29"/>
  <c r="BF1210" i="29" s="1"/>
  <c r="Q1209" i="29" l="1"/>
  <c r="X1209" i="29" s="1"/>
  <c r="R1209" i="29"/>
  <c r="W1208" i="29"/>
  <c r="CA1209" i="29"/>
  <c r="BU1209" i="29" s="1"/>
  <c r="AA1208" i="29"/>
  <c r="AC1209" i="29"/>
  <c r="BR1212" i="29"/>
  <c r="BY1212" i="29"/>
  <c r="BO1213" i="29"/>
  <c r="BN1213" i="29"/>
  <c r="T1211" i="29"/>
  <c r="S1211" i="29"/>
  <c r="V1210" i="29"/>
  <c r="AF1210" i="29"/>
  <c r="AE1210" i="29"/>
  <c r="Z1207" i="29"/>
  <c r="U1210" i="29"/>
  <c r="AC1210" i="29" s="1"/>
  <c r="AB1209" i="29"/>
  <c r="K1211" i="29"/>
  <c r="J1211" i="29"/>
  <c r="L1210" i="29"/>
  <c r="BD1212" i="29"/>
  <c r="BP1211" i="29"/>
  <c r="BC1211" i="29"/>
  <c r="BF1211" i="29" s="1"/>
  <c r="BE1211" i="29"/>
  <c r="BG1211" i="29" s="1"/>
  <c r="BA1211" i="29" s="1"/>
  <c r="BH1210" i="29"/>
  <c r="BB1210" i="29" s="1"/>
  <c r="AZ1210" i="29"/>
  <c r="AB1210" i="29" l="1"/>
  <c r="Y1208" i="29"/>
  <c r="Z1208" i="29" s="1"/>
  <c r="CB1207" i="29"/>
  <c r="CB1201" i="29"/>
  <c r="CB1205" i="29"/>
  <c r="CB1202" i="29"/>
  <c r="CB1208" i="29"/>
  <c r="CB1204" i="29"/>
  <c r="CB1203" i="29"/>
  <c r="CB1206" i="29"/>
  <c r="CB1209" i="29"/>
  <c r="K1212" i="29"/>
  <c r="L1211" i="29"/>
  <c r="J1212" i="29"/>
  <c r="BY1213" i="29"/>
  <c r="BO1214" i="29"/>
  <c r="BR1213" i="29"/>
  <c r="BN1214" i="29"/>
  <c r="U1211" i="29"/>
  <c r="BQ1214" i="29"/>
  <c r="BQ1215" i="29" s="1"/>
  <c r="R1210" i="29"/>
  <c r="Q1210" i="29"/>
  <c r="T1212" i="29"/>
  <c r="S1212" i="29"/>
  <c r="V1211" i="29"/>
  <c r="AF1211" i="29"/>
  <c r="AE1211" i="29"/>
  <c r="W1209" i="29"/>
  <c r="Y1209" i="29" s="1"/>
  <c r="CA1210" i="29"/>
  <c r="BU1210" i="29" s="1"/>
  <c r="AA1209" i="29"/>
  <c r="M1209" i="29"/>
  <c r="AZ1211" i="29"/>
  <c r="BH1211" i="29"/>
  <c r="BB1211" i="29" s="1"/>
  <c r="BP1212" i="29"/>
  <c r="BE1212" i="29"/>
  <c r="BG1212" i="29" s="1"/>
  <c r="BA1212" i="29" s="1"/>
  <c r="BD1213" i="29"/>
  <c r="BC1212" i="29"/>
  <c r="BF1212" i="29" s="1"/>
  <c r="S1213" i="29" l="1"/>
  <c r="V1212" i="29"/>
  <c r="T1213" i="29"/>
  <c r="AE1212" i="29"/>
  <c r="AF1212" i="29"/>
  <c r="Q1211" i="29"/>
  <c r="X1211" i="29" s="1"/>
  <c r="R1211" i="29"/>
  <c r="AC1211" i="29"/>
  <c r="BR1214" i="29"/>
  <c r="BO1215" i="29"/>
  <c r="BY1214" i="29"/>
  <c r="BN1215" i="29"/>
  <c r="J1213" i="29"/>
  <c r="L1212" i="29"/>
  <c r="K1213" i="29"/>
  <c r="BV1203" i="29"/>
  <c r="CC1203" i="29"/>
  <c r="BV1205" i="29"/>
  <c r="CC1205" i="29"/>
  <c r="U1212" i="29"/>
  <c r="AB1212" i="29" s="1"/>
  <c r="BQ1216" i="29"/>
  <c r="Z1209" i="29"/>
  <c r="AC1208" i="29"/>
  <c r="AB1208" i="29"/>
  <c r="BV1204" i="29"/>
  <c r="CC1204" i="29"/>
  <c r="BV1201" i="29"/>
  <c r="CC1201" i="29"/>
  <c r="BV1209" i="29"/>
  <c r="CC1209" i="29"/>
  <c r="BV1208" i="29"/>
  <c r="CC1208" i="29"/>
  <c r="BV1207" i="29"/>
  <c r="CC1207" i="29"/>
  <c r="X1210" i="29"/>
  <c r="AA1210" i="29"/>
  <c r="M1210" i="29"/>
  <c r="W1210" i="29"/>
  <c r="Y1210" i="29" s="1"/>
  <c r="CA1211" i="29"/>
  <c r="BU1211" i="29" s="1"/>
  <c r="AB1211" i="29"/>
  <c r="BV1206" i="29"/>
  <c r="CC1206" i="29"/>
  <c r="BV1202" i="29"/>
  <c r="CC1202" i="29"/>
  <c r="BC1213" i="29"/>
  <c r="BF1213" i="29" s="1"/>
  <c r="BD1214" i="29"/>
  <c r="BP1213" i="29"/>
  <c r="BE1213" i="29"/>
  <c r="BG1213" i="29" s="1"/>
  <c r="BA1213" i="29" s="1"/>
  <c r="AZ1212" i="29"/>
  <c r="BH1212" i="29"/>
  <c r="BB1212" i="29" s="1"/>
  <c r="AC1212" i="29" l="1"/>
  <c r="Q1212" i="29"/>
  <c r="X1212" i="29" s="1"/>
  <c r="R1212" i="29"/>
  <c r="BY1215" i="29"/>
  <c r="BN1216" i="29"/>
  <c r="BR1215" i="29"/>
  <c r="BO1216" i="29"/>
  <c r="V1213" i="29"/>
  <c r="T1214" i="29"/>
  <c r="S1214" i="29"/>
  <c r="AE1213" i="29"/>
  <c r="AF1213" i="29"/>
  <c r="Z1210" i="29"/>
  <c r="AA1211" i="29"/>
  <c r="CA1212" i="29"/>
  <c r="BU1212" i="29" s="1"/>
  <c r="W1211" i="29"/>
  <c r="Y1211" i="29" s="1"/>
  <c r="M1211" i="29"/>
  <c r="BQ1217" i="29"/>
  <c r="K1214" i="29"/>
  <c r="L1213" i="29"/>
  <c r="J1214" i="29"/>
  <c r="U1213" i="29"/>
  <c r="AB1213" i="29" s="1"/>
  <c r="BP1214" i="29"/>
  <c r="BE1214" i="29"/>
  <c r="BG1214" i="29" s="1"/>
  <c r="BA1214" i="29" s="1"/>
  <c r="BD1215" i="29"/>
  <c r="BC1214" i="29"/>
  <c r="BF1214" i="29" s="1"/>
  <c r="BH1213" i="29"/>
  <c r="BB1213" i="29" s="1"/>
  <c r="AZ1213" i="29"/>
  <c r="J1215" i="29" l="1"/>
  <c r="L1214" i="29"/>
  <c r="K1215" i="29"/>
  <c r="Q1213" i="29"/>
  <c r="X1213" i="29" s="1"/>
  <c r="R1213" i="29"/>
  <c r="AC1213" i="29"/>
  <c r="BQ1218" i="29"/>
  <c r="BO1217" i="29"/>
  <c r="BN1217" i="29"/>
  <c r="BY1216" i="29"/>
  <c r="BR1216" i="29"/>
  <c r="Z1211" i="29"/>
  <c r="U1214" i="29"/>
  <c r="AB1214" i="29" s="1"/>
  <c r="T1215" i="29"/>
  <c r="V1214" i="29"/>
  <c r="S1215" i="29"/>
  <c r="AE1214" i="29"/>
  <c r="AF1214" i="29"/>
  <c r="M1212" i="29"/>
  <c r="AA1212" i="29"/>
  <c r="W1212" i="29"/>
  <c r="Y1212" i="29" s="1"/>
  <c r="CA1213" i="29"/>
  <c r="BU1213" i="29" s="1"/>
  <c r="AZ1214" i="29"/>
  <c r="BH1214" i="29"/>
  <c r="BB1214" i="29" s="1"/>
  <c r="BP1215" i="29"/>
  <c r="BC1215" i="29"/>
  <c r="BF1215" i="29" s="1"/>
  <c r="BD1216" i="29"/>
  <c r="BE1215" i="29"/>
  <c r="BG1215" i="29" s="1"/>
  <c r="BA1215" i="29" s="1"/>
  <c r="AC1214" i="29" l="1"/>
  <c r="U1215" i="29"/>
  <c r="L1215" i="29"/>
  <c r="K1216" i="29"/>
  <c r="J1216" i="29"/>
  <c r="V1215" i="29"/>
  <c r="S1216" i="29"/>
  <c r="T1216" i="29"/>
  <c r="AE1215" i="29"/>
  <c r="AF1215" i="29"/>
  <c r="Z1212" i="29"/>
  <c r="BR1217" i="29"/>
  <c r="BN1218" i="29"/>
  <c r="BY1217" i="29"/>
  <c r="BO1218" i="29"/>
  <c r="Q1214" i="29"/>
  <c r="X1214" i="29" s="1"/>
  <c r="R1214" i="29"/>
  <c r="BQ1219" i="29"/>
  <c r="CA1214" i="29"/>
  <c r="BU1214" i="29" s="1"/>
  <c r="AA1213" i="29"/>
  <c r="W1213" i="29"/>
  <c r="Y1213" i="29" s="1"/>
  <c r="M1213" i="29"/>
  <c r="BH1215" i="29"/>
  <c r="BB1215" i="29" s="1"/>
  <c r="AZ1215" i="29"/>
  <c r="BE1216" i="29"/>
  <c r="BG1216" i="29" s="1"/>
  <c r="BA1216" i="29" s="1"/>
  <c r="BP1216" i="29"/>
  <c r="BC1216" i="29"/>
  <c r="BF1216" i="29" s="1"/>
  <c r="BD1217" i="29"/>
  <c r="W1214" i="29" l="1"/>
  <c r="Y1214" i="29" s="1"/>
  <c r="CA1215" i="29"/>
  <c r="BU1215" i="29" s="1"/>
  <c r="M1214" i="29"/>
  <c r="AA1214" i="29"/>
  <c r="T1217" i="29"/>
  <c r="V1216" i="29"/>
  <c r="S1217" i="29"/>
  <c r="AF1216" i="29"/>
  <c r="AE1216" i="29"/>
  <c r="J1217" i="29"/>
  <c r="K1217" i="29"/>
  <c r="L1216" i="29"/>
  <c r="BY1218" i="29"/>
  <c r="BR1218" i="29"/>
  <c r="BO1219" i="29"/>
  <c r="BQ1220" i="29" s="1"/>
  <c r="BN1219" i="29"/>
  <c r="Z1213" i="29"/>
  <c r="U1216" i="29"/>
  <c r="AC1216" i="29" s="1"/>
  <c r="Q1215" i="29"/>
  <c r="R1215" i="29"/>
  <c r="AB1215" i="29"/>
  <c r="AC1215" i="29"/>
  <c r="BP1217" i="29"/>
  <c r="BC1217" i="29"/>
  <c r="BF1217" i="29" s="1"/>
  <c r="BE1217" i="29"/>
  <c r="BG1217" i="29" s="1"/>
  <c r="BA1217" i="29" s="1"/>
  <c r="BD1218" i="29"/>
  <c r="AZ1216" i="29"/>
  <c r="BH1216" i="29"/>
  <c r="BB1216" i="29" s="1"/>
  <c r="AB1216" i="29" l="1"/>
  <c r="CA1216" i="29"/>
  <c r="BU1216" i="29" s="1"/>
  <c r="M1215" i="29"/>
  <c r="AA1215" i="29"/>
  <c r="W1215" i="29"/>
  <c r="Y1215" i="29" s="1"/>
  <c r="K1218" i="29"/>
  <c r="L1217" i="29"/>
  <c r="J1218" i="29"/>
  <c r="U1217" i="29"/>
  <c r="AB1217" i="29" s="1"/>
  <c r="Q1216" i="29"/>
  <c r="X1216" i="29" s="1"/>
  <c r="R1216" i="29"/>
  <c r="T1218" i="29"/>
  <c r="S1218" i="29"/>
  <c r="V1217" i="29"/>
  <c r="AE1217" i="29"/>
  <c r="AF1217" i="29"/>
  <c r="X1215" i="29"/>
  <c r="Z1214" i="29"/>
  <c r="BR1219" i="29"/>
  <c r="BN1220" i="29"/>
  <c r="BO1220" i="29"/>
  <c r="BY1219" i="29"/>
  <c r="BP1218" i="29"/>
  <c r="BE1218" i="29"/>
  <c r="BG1218" i="29" s="1"/>
  <c r="BA1218" i="29" s="1"/>
  <c r="BC1218" i="29"/>
  <c r="BF1218" i="29" s="1"/>
  <c r="BD1219" i="29"/>
  <c r="AZ1217" i="29"/>
  <c r="BH1217" i="29"/>
  <c r="BB1217" i="29" s="1"/>
  <c r="Z1215" i="29" l="1"/>
  <c r="V1218" i="29"/>
  <c r="T1219" i="29"/>
  <c r="S1219" i="29"/>
  <c r="AE1218" i="29"/>
  <c r="AF1218" i="29"/>
  <c r="AC1217" i="29"/>
  <c r="L1218" i="29"/>
  <c r="J1219" i="29"/>
  <c r="K1219" i="29"/>
  <c r="U1218" i="29"/>
  <c r="AC1218" i="29" s="1"/>
  <c r="CA1217" i="29"/>
  <c r="BU1217" i="29" s="1"/>
  <c r="M1216" i="29"/>
  <c r="W1216" i="29"/>
  <c r="Y1216" i="29" s="1"/>
  <c r="AA1216" i="29"/>
  <c r="BN1221" i="29"/>
  <c r="BR1220" i="29"/>
  <c r="BO1221" i="29"/>
  <c r="BY1220" i="29"/>
  <c r="Q1217" i="29"/>
  <c r="R1217" i="29"/>
  <c r="BQ1221" i="29"/>
  <c r="BQ1222" i="29" s="1"/>
  <c r="BD1220" i="29"/>
  <c r="BC1219" i="29"/>
  <c r="BF1219" i="29" s="1"/>
  <c r="BE1219" i="29"/>
  <c r="BG1219" i="29" s="1"/>
  <c r="BA1219" i="29" s="1"/>
  <c r="BP1219" i="29"/>
  <c r="AZ1218" i="29"/>
  <c r="BH1218" i="29"/>
  <c r="BB1218" i="29" s="1"/>
  <c r="Z1216" i="29" l="1"/>
  <c r="W1217" i="29"/>
  <c r="Y1217" i="29" s="1"/>
  <c r="CA1218" i="29"/>
  <c r="BU1218" i="29" s="1"/>
  <c r="AA1217" i="29"/>
  <c r="M1217" i="29"/>
  <c r="AB1218" i="29"/>
  <c r="X1217" i="29"/>
  <c r="BO1222" i="29"/>
  <c r="BR1221" i="29"/>
  <c r="BN1222" i="29"/>
  <c r="U1219" i="29"/>
  <c r="AC1219" i="29" s="1"/>
  <c r="K1220" i="29"/>
  <c r="J1220" i="29"/>
  <c r="L1219" i="29"/>
  <c r="T1220" i="29"/>
  <c r="S1220" i="29"/>
  <c r="V1219" i="29"/>
  <c r="AE1219" i="29"/>
  <c r="AF1219" i="29"/>
  <c r="Q1218" i="29"/>
  <c r="R1218" i="29"/>
  <c r="BH1219" i="29"/>
  <c r="BB1219" i="29" s="1"/>
  <c r="AZ1219" i="29"/>
  <c r="BC1220" i="29"/>
  <c r="BF1220" i="29" s="1"/>
  <c r="BP1220" i="29"/>
  <c r="BE1220" i="29"/>
  <c r="BG1220" i="29" s="1"/>
  <c r="BA1220" i="29" s="1"/>
  <c r="BD1221" i="29"/>
  <c r="Z1217" i="29" l="1"/>
  <c r="W1218" i="29"/>
  <c r="Y1218" i="29" s="1"/>
  <c r="Z1218" i="29" s="1"/>
  <c r="CA1219" i="29"/>
  <c r="BU1219" i="29" s="1"/>
  <c r="AA1218" i="29"/>
  <c r="M1218" i="29"/>
  <c r="BR1222" i="29"/>
  <c r="BO1223" i="29"/>
  <c r="BN1223" i="29"/>
  <c r="BY1222" i="29"/>
  <c r="X1218" i="29"/>
  <c r="U1220" i="29"/>
  <c r="K1221" i="29"/>
  <c r="J1221" i="29"/>
  <c r="L1220" i="29"/>
  <c r="V1220" i="29"/>
  <c r="T1221" i="29"/>
  <c r="S1221" i="29"/>
  <c r="AF1220" i="29"/>
  <c r="AE1220" i="29"/>
  <c r="R1219" i="29"/>
  <c r="Q1219" i="29"/>
  <c r="X1219" i="29" s="1"/>
  <c r="AB1219" i="29"/>
  <c r="BQ1223" i="29"/>
  <c r="BQ1224" i="29" s="1"/>
  <c r="BE1221" i="29"/>
  <c r="BG1221" i="29" s="1"/>
  <c r="BA1221" i="29" s="1"/>
  <c r="BI1221" i="29"/>
  <c r="BP1221" i="29"/>
  <c r="BC1221" i="29"/>
  <c r="BF1221" i="29" s="1"/>
  <c r="BD1222" i="29"/>
  <c r="AZ1220" i="29"/>
  <c r="BH1220" i="29"/>
  <c r="BB1220" i="29" s="1"/>
  <c r="W1219" i="29" l="1"/>
  <c r="Y1219" i="29" s="1"/>
  <c r="Z1219" i="29" s="1"/>
  <c r="M1219" i="29"/>
  <c r="CA1220" i="29"/>
  <c r="BU1220" i="29" s="1"/>
  <c r="AA1219" i="29"/>
  <c r="U1221" i="29"/>
  <c r="R1220" i="29"/>
  <c r="Q1220" i="29"/>
  <c r="BO1224" i="29"/>
  <c r="BR1223" i="29"/>
  <c r="BN1224" i="29"/>
  <c r="BY1223" i="29"/>
  <c r="S1222" i="29"/>
  <c r="T1222" i="29"/>
  <c r="V1221" i="29"/>
  <c r="AE1221" i="29"/>
  <c r="AF1221" i="29"/>
  <c r="J1222" i="29"/>
  <c r="K1222" i="29"/>
  <c r="L1221" i="29"/>
  <c r="BE1222" i="29"/>
  <c r="BG1222" i="29" s="1"/>
  <c r="BA1222" i="29" s="1"/>
  <c r="BP1222" i="29"/>
  <c r="BC1222" i="29"/>
  <c r="BF1222" i="29" s="1"/>
  <c r="BD1223" i="29"/>
  <c r="AZ1221" i="29"/>
  <c r="BH1221" i="29"/>
  <c r="BB1221" i="29" s="1"/>
  <c r="V1222" i="29" l="1"/>
  <c r="T1223" i="29"/>
  <c r="S1223" i="29"/>
  <c r="AF1222" i="29"/>
  <c r="AE1222" i="29"/>
  <c r="Q1221" i="29"/>
  <c r="R1221" i="29"/>
  <c r="U1222" i="29"/>
  <c r="AC1222" i="29" s="1"/>
  <c r="BN1225" i="29"/>
  <c r="BO1225" i="29"/>
  <c r="BR1224" i="29"/>
  <c r="BY1224" i="29"/>
  <c r="AC1221" i="29"/>
  <c r="BQ1225" i="29"/>
  <c r="BQ1226" i="29" s="1"/>
  <c r="J1223" i="29"/>
  <c r="L1222" i="29"/>
  <c r="K1223" i="29"/>
  <c r="CA1221" i="29"/>
  <c r="BU1221" i="29" s="1"/>
  <c r="W1220" i="29"/>
  <c r="CB1221" i="29" s="1"/>
  <c r="BV1221" i="29" s="1"/>
  <c r="AA1220" i="29"/>
  <c r="AB1221" i="29"/>
  <c r="AZ1222" i="29"/>
  <c r="BH1222" i="29"/>
  <c r="BB1222" i="29" s="1"/>
  <c r="BP1223" i="29"/>
  <c r="BC1223" i="29"/>
  <c r="BF1223" i="29" s="1"/>
  <c r="BE1223" i="29"/>
  <c r="BG1223" i="29" s="1"/>
  <c r="BA1223" i="29" s="1"/>
  <c r="BD1224" i="29"/>
  <c r="CC1221" i="29" l="1"/>
  <c r="BR1225" i="29"/>
  <c r="BY1225" i="29"/>
  <c r="BO1226" i="29"/>
  <c r="BQ1227" i="29" s="1"/>
  <c r="BN1226" i="29"/>
  <c r="U1223" i="29"/>
  <c r="AC1223" i="29" s="1"/>
  <c r="L1223" i="29"/>
  <c r="J1224" i="29"/>
  <c r="K1224" i="29"/>
  <c r="V1223" i="29"/>
  <c r="S1224" i="29"/>
  <c r="T1224" i="29"/>
  <c r="AF1223" i="29"/>
  <c r="AE1223" i="29"/>
  <c r="R1222" i="29"/>
  <c r="Q1222" i="29"/>
  <c r="M1221" i="29"/>
  <c r="W1221" i="29"/>
  <c r="Y1221" i="29" s="1"/>
  <c r="CA1222" i="29"/>
  <c r="BU1222" i="29" s="1"/>
  <c r="AA1221" i="29"/>
  <c r="Y1220" i="29"/>
  <c r="Z1220" i="29" s="1"/>
  <c r="CB1215" i="29"/>
  <c r="CB1219" i="29"/>
  <c r="CB1214" i="29"/>
  <c r="CB1218" i="29"/>
  <c r="CB1220" i="29"/>
  <c r="CB1216" i="29"/>
  <c r="CB1217" i="29"/>
  <c r="AB1222" i="29"/>
  <c r="X1221" i="29"/>
  <c r="BE1224" i="29"/>
  <c r="BG1224" i="29" s="1"/>
  <c r="BA1224" i="29" s="1"/>
  <c r="BD1225" i="29"/>
  <c r="BC1224" i="29"/>
  <c r="BF1224" i="29" s="1"/>
  <c r="BP1224" i="29"/>
  <c r="BH1223" i="29"/>
  <c r="BB1223" i="29" s="1"/>
  <c r="AZ1223" i="29"/>
  <c r="BV1220" i="29" l="1"/>
  <c r="CC1220" i="29"/>
  <c r="BV1218" i="29"/>
  <c r="CC1218" i="29"/>
  <c r="Z1221" i="29"/>
  <c r="AB1220" i="29"/>
  <c r="AC1220" i="29"/>
  <c r="W1222" i="29"/>
  <c r="Y1222" i="29" s="1"/>
  <c r="CA1223" i="29"/>
  <c r="BU1223" i="29" s="1"/>
  <c r="M1222" i="29"/>
  <c r="AA1222" i="29"/>
  <c r="T1225" i="29"/>
  <c r="V1224" i="29"/>
  <c r="S1225" i="29"/>
  <c r="AF1224" i="29"/>
  <c r="AE1224" i="29"/>
  <c r="K1225" i="29"/>
  <c r="L1224" i="29"/>
  <c r="J1225" i="29"/>
  <c r="AB1223" i="29"/>
  <c r="BV1217" i="29"/>
  <c r="CC1217" i="29"/>
  <c r="BV1214" i="29"/>
  <c r="CC1214" i="29"/>
  <c r="U1224" i="29"/>
  <c r="AB1224" i="29" s="1"/>
  <c r="BV1216" i="29"/>
  <c r="CC1216" i="29"/>
  <c r="BV1219" i="29"/>
  <c r="CC1219" i="29"/>
  <c r="BV1215" i="29"/>
  <c r="CC1215" i="29"/>
  <c r="X1222" i="29"/>
  <c r="Q1223" i="29"/>
  <c r="X1223" i="29" s="1"/>
  <c r="R1223" i="29"/>
  <c r="BY1226" i="29"/>
  <c r="BR1226" i="29"/>
  <c r="BO1227" i="29"/>
  <c r="BN1227" i="29"/>
  <c r="BD1226" i="29"/>
  <c r="BC1225" i="29"/>
  <c r="BF1225" i="29" s="1"/>
  <c r="BP1225" i="29"/>
  <c r="BE1225" i="29"/>
  <c r="BG1225" i="29" s="1"/>
  <c r="BA1225" i="29" s="1"/>
  <c r="BH1224" i="29"/>
  <c r="BB1224" i="29" s="1"/>
  <c r="AZ1224" i="29"/>
  <c r="AC1224" i="29" l="1"/>
  <c r="U1225" i="29"/>
  <c r="BN1228" i="29"/>
  <c r="BR1227" i="29"/>
  <c r="BY1227" i="29"/>
  <c r="BO1228" i="29"/>
  <c r="J1226" i="29"/>
  <c r="L1225" i="29"/>
  <c r="K1226" i="29"/>
  <c r="CA1224" i="29"/>
  <c r="BU1224" i="29" s="1"/>
  <c r="W1223" i="29"/>
  <c r="Y1223" i="29" s="1"/>
  <c r="M1223" i="29"/>
  <c r="AA1223" i="29"/>
  <c r="V1225" i="29"/>
  <c r="S1226" i="29"/>
  <c r="T1226" i="29"/>
  <c r="AE1225" i="29"/>
  <c r="AF1225" i="29"/>
  <c r="Q1224" i="29"/>
  <c r="R1224" i="29"/>
  <c r="Z1222" i="29"/>
  <c r="BQ1228" i="29"/>
  <c r="BQ1229" i="29" s="1"/>
  <c r="AZ1225" i="29"/>
  <c r="BH1225" i="29"/>
  <c r="BB1225" i="29" s="1"/>
  <c r="BP1226" i="29"/>
  <c r="BC1226" i="29"/>
  <c r="BF1226" i="29" s="1"/>
  <c r="BD1227" i="29"/>
  <c r="BE1226" i="29"/>
  <c r="BG1226" i="29" s="1"/>
  <c r="BA1226" i="29" s="1"/>
  <c r="Z1223" i="29" l="1"/>
  <c r="M1224" i="29"/>
  <c r="W1224" i="29"/>
  <c r="Y1224" i="29" s="1"/>
  <c r="Z1224" i="29" s="1"/>
  <c r="CA1225" i="29"/>
  <c r="BU1225" i="29" s="1"/>
  <c r="AA1224" i="29"/>
  <c r="T1227" i="29"/>
  <c r="S1227" i="29"/>
  <c r="V1226" i="29"/>
  <c r="AF1226" i="29"/>
  <c r="AE1226" i="29"/>
  <c r="BO1229" i="29"/>
  <c r="BR1228" i="29"/>
  <c r="BN1229" i="29"/>
  <c r="BY1228" i="29"/>
  <c r="R1225" i="29"/>
  <c r="Q1225" i="29"/>
  <c r="X1225" i="29" s="1"/>
  <c r="U1226" i="29"/>
  <c r="AB1226" i="29" s="1"/>
  <c r="J1227" i="29"/>
  <c r="L1226" i="29"/>
  <c r="K1227" i="29"/>
  <c r="AB1225" i="29"/>
  <c r="X1224" i="29"/>
  <c r="AC1225" i="29"/>
  <c r="BH1226" i="29"/>
  <c r="BB1226" i="29" s="1"/>
  <c r="AZ1226" i="29"/>
  <c r="BC1227" i="29"/>
  <c r="BF1227" i="29" s="1"/>
  <c r="BP1227" i="29"/>
  <c r="BE1227" i="29"/>
  <c r="BG1227" i="29" s="1"/>
  <c r="BA1227" i="29" s="1"/>
  <c r="BD1228" i="29"/>
  <c r="AC1226" i="29" l="1"/>
  <c r="U1227" i="29"/>
  <c r="J1228" i="29"/>
  <c r="L1227" i="29"/>
  <c r="K1228" i="29"/>
  <c r="R1226" i="29"/>
  <c r="Q1226" i="29"/>
  <c r="X1226" i="29" s="1"/>
  <c r="W1225" i="29"/>
  <c r="Y1225" i="29" s="1"/>
  <c r="Z1225" i="29" s="1"/>
  <c r="AA1225" i="29"/>
  <c r="M1225" i="29"/>
  <c r="CA1226" i="29"/>
  <c r="BU1226" i="29" s="1"/>
  <c r="T1228" i="29"/>
  <c r="S1228" i="29"/>
  <c r="V1227" i="29"/>
  <c r="AF1227" i="29"/>
  <c r="AE1227" i="29"/>
  <c r="BR1229" i="29"/>
  <c r="BO1230" i="29"/>
  <c r="BN1230" i="29"/>
  <c r="BY1229" i="29"/>
  <c r="BQ1230" i="29"/>
  <c r="BE1228" i="29"/>
  <c r="BG1228" i="29" s="1"/>
  <c r="BA1228" i="29" s="1"/>
  <c r="BD1229" i="29"/>
  <c r="BC1228" i="29"/>
  <c r="BF1228" i="29" s="1"/>
  <c r="BP1228" i="29"/>
  <c r="BH1227" i="29"/>
  <c r="BB1227" i="29" s="1"/>
  <c r="AZ1227" i="29"/>
  <c r="BR1230" i="29" l="1"/>
  <c r="BN1231" i="29"/>
  <c r="BO1231" i="29"/>
  <c r="BY1230" i="29"/>
  <c r="Q1227" i="29"/>
  <c r="X1227" i="29" s="1"/>
  <c r="R1227" i="29"/>
  <c r="L1228" i="29"/>
  <c r="J1229" i="29"/>
  <c r="K1229" i="29"/>
  <c r="AB1227" i="29"/>
  <c r="V1228" i="29"/>
  <c r="T1229" i="29"/>
  <c r="S1229" i="29"/>
  <c r="AE1228" i="29"/>
  <c r="AF1228" i="29"/>
  <c r="AC1227" i="29"/>
  <c r="U1228" i="29"/>
  <c r="AC1228" i="29" s="1"/>
  <c r="BQ1231" i="29"/>
  <c r="BQ1232" i="29" s="1"/>
  <c r="M1226" i="29"/>
  <c r="W1226" i="29"/>
  <c r="Y1226" i="29" s="1"/>
  <c r="Z1226" i="29" s="1"/>
  <c r="CA1227" i="29"/>
  <c r="BU1227" i="29" s="1"/>
  <c r="AA1226" i="29"/>
  <c r="BE1229" i="29"/>
  <c r="BG1229" i="29" s="1"/>
  <c r="BA1229" i="29" s="1"/>
  <c r="BC1229" i="29"/>
  <c r="BF1229" i="29" s="1"/>
  <c r="BP1229" i="29"/>
  <c r="BD1230" i="29"/>
  <c r="BH1228" i="29"/>
  <c r="BB1228" i="29" s="1"/>
  <c r="AZ1228" i="29"/>
  <c r="S1230" i="29" l="1"/>
  <c r="V1229" i="29"/>
  <c r="T1230" i="29"/>
  <c r="AE1229" i="29"/>
  <c r="AF1229" i="29"/>
  <c r="W1227" i="29"/>
  <c r="Y1227" i="29" s="1"/>
  <c r="Z1227" i="29" s="1"/>
  <c r="M1227" i="29"/>
  <c r="CA1228" i="29"/>
  <c r="BU1228" i="29" s="1"/>
  <c r="AA1227" i="29"/>
  <c r="BO1232" i="29"/>
  <c r="BR1231" i="29"/>
  <c r="BY1231" i="29"/>
  <c r="BN1232" i="29"/>
  <c r="Q1228" i="29"/>
  <c r="X1228" i="29" s="1"/>
  <c r="R1228" i="29"/>
  <c r="AB1228" i="29"/>
  <c r="U1229" i="29"/>
  <c r="AB1229" i="29" s="1"/>
  <c r="J1230" i="29"/>
  <c r="K1230" i="29"/>
  <c r="L1229" i="29"/>
  <c r="BH1229" i="29"/>
  <c r="BB1229" i="29" s="1"/>
  <c r="AZ1229" i="29"/>
  <c r="BD1231" i="29"/>
  <c r="BC1230" i="29"/>
  <c r="BF1230" i="29" s="1"/>
  <c r="BE1230" i="29"/>
  <c r="BG1230" i="29" s="1"/>
  <c r="BA1230" i="29" s="1"/>
  <c r="BP1230" i="29"/>
  <c r="U1230" i="29" l="1"/>
  <c r="R1229" i="29"/>
  <c r="Q1229" i="29"/>
  <c r="X1229" i="29" s="1"/>
  <c r="J1231" i="29"/>
  <c r="L1230" i="29"/>
  <c r="K1231" i="29"/>
  <c r="AC1229" i="29"/>
  <c r="AA1228" i="29"/>
  <c r="W1228" i="29"/>
  <c r="Y1228" i="29" s="1"/>
  <c r="Z1228" i="29" s="1"/>
  <c r="M1228" i="29"/>
  <c r="CA1229" i="29"/>
  <c r="BU1229" i="29" s="1"/>
  <c r="BY1232" i="29"/>
  <c r="BO1233" i="29"/>
  <c r="BN1233" i="29"/>
  <c r="BR1232" i="29"/>
  <c r="BQ1233" i="29"/>
  <c r="V1230" i="29"/>
  <c r="S1231" i="29"/>
  <c r="T1231" i="29"/>
  <c r="AF1230" i="29"/>
  <c r="AE1230" i="29"/>
  <c r="AZ1230" i="29"/>
  <c r="BH1230" i="29"/>
  <c r="BB1230" i="29" s="1"/>
  <c r="BP1231" i="29"/>
  <c r="BD1232" i="29"/>
  <c r="BE1231" i="29"/>
  <c r="BG1231" i="29" s="1"/>
  <c r="BA1231" i="29" s="1"/>
  <c r="BC1231" i="29"/>
  <c r="BF1231" i="29" s="1"/>
  <c r="Q1230" i="29" l="1"/>
  <c r="X1230" i="29" s="1"/>
  <c r="R1230" i="29"/>
  <c r="T1232" i="29"/>
  <c r="S1232" i="29"/>
  <c r="V1231" i="29"/>
  <c r="AE1231" i="29"/>
  <c r="AF1231" i="29"/>
  <c r="BN1234" i="29"/>
  <c r="BO1234" i="29"/>
  <c r="BR1233" i="29"/>
  <c r="AC1230" i="29"/>
  <c r="U1231" i="29"/>
  <c r="AB1231" i="29" s="1"/>
  <c r="BQ1234" i="29"/>
  <c r="K1232" i="29"/>
  <c r="L1231" i="29"/>
  <c r="J1232" i="29"/>
  <c r="AA1229" i="29"/>
  <c r="M1229" i="29"/>
  <c r="W1229" i="29"/>
  <c r="Y1229" i="29" s="1"/>
  <c r="Z1229" i="29" s="1"/>
  <c r="CA1230" i="29"/>
  <c r="BU1230" i="29" s="1"/>
  <c r="AB1230" i="29"/>
  <c r="BH1231" i="29"/>
  <c r="BB1231" i="29" s="1"/>
  <c r="AZ1231" i="29"/>
  <c r="BD1233" i="29"/>
  <c r="BC1232" i="29"/>
  <c r="BF1232" i="29" s="1"/>
  <c r="BE1232" i="29"/>
  <c r="BG1232" i="29" s="1"/>
  <c r="BA1232" i="29" s="1"/>
  <c r="BP1232" i="29"/>
  <c r="AC1231" i="29" l="1"/>
  <c r="L1232" i="29"/>
  <c r="J1233" i="29"/>
  <c r="K1233" i="29"/>
  <c r="U1232" i="29"/>
  <c r="W1230" i="29"/>
  <c r="Y1230" i="29" s="1"/>
  <c r="Z1230" i="29" s="1"/>
  <c r="AA1230" i="29"/>
  <c r="M1230" i="29"/>
  <c r="CA1231" i="29"/>
  <c r="BU1231" i="29" s="1"/>
  <c r="BO1235" i="29"/>
  <c r="BY1234" i="29"/>
  <c r="BR1234" i="29"/>
  <c r="BN1235" i="29"/>
  <c r="BQ1235" i="29"/>
  <c r="BQ1236" i="29" s="1"/>
  <c r="S1233" i="29"/>
  <c r="T1233" i="29"/>
  <c r="V1232" i="29"/>
  <c r="AF1232" i="29"/>
  <c r="AE1232" i="29"/>
  <c r="Q1231" i="29"/>
  <c r="X1231" i="29" s="1"/>
  <c r="R1231" i="29"/>
  <c r="BH1232" i="29"/>
  <c r="BB1232" i="29" s="1"/>
  <c r="AZ1232" i="29"/>
  <c r="BP1233" i="29"/>
  <c r="BC1233" i="29"/>
  <c r="BF1233" i="29" s="1"/>
  <c r="BI1233" i="29"/>
  <c r="BE1233" i="29"/>
  <c r="BG1233" i="29" s="1"/>
  <c r="BA1233" i="29" s="1"/>
  <c r="BD1234" i="29"/>
  <c r="T1234" i="29" l="1"/>
  <c r="S1234" i="29"/>
  <c r="V1233" i="29"/>
  <c r="AF1233" i="29"/>
  <c r="AE1233" i="29"/>
  <c r="R1232" i="29"/>
  <c r="Q1232" i="29"/>
  <c r="U1233" i="29"/>
  <c r="M1231" i="29"/>
  <c r="CA1232" i="29"/>
  <c r="BU1232" i="29" s="1"/>
  <c r="W1231" i="29"/>
  <c r="Y1231" i="29" s="1"/>
  <c r="Z1231" i="29" s="1"/>
  <c r="AA1231" i="29"/>
  <c r="BY1235" i="29"/>
  <c r="BO1236" i="29"/>
  <c r="BN1236" i="29"/>
  <c r="BR1235" i="29"/>
  <c r="J1234" i="29"/>
  <c r="L1233" i="29"/>
  <c r="K1234" i="29"/>
  <c r="AZ1233" i="29"/>
  <c r="BH1233" i="29"/>
  <c r="BB1233" i="29" s="1"/>
  <c r="BP1234" i="29"/>
  <c r="BD1235" i="29"/>
  <c r="BE1234" i="29"/>
  <c r="BG1234" i="29" s="1"/>
  <c r="BA1234" i="29" s="1"/>
  <c r="BC1234" i="29"/>
  <c r="BF1234" i="29" s="1"/>
  <c r="R1233" i="29" l="1"/>
  <c r="Q1233" i="29"/>
  <c r="CA1233" i="29"/>
  <c r="BU1233" i="29" s="1"/>
  <c r="W1232" i="29"/>
  <c r="CB1233" i="29" s="1"/>
  <c r="AA1232" i="29"/>
  <c r="BN1237" i="29"/>
  <c r="BR1236" i="29"/>
  <c r="BY1236" i="29"/>
  <c r="BO1237" i="29"/>
  <c r="J1235" i="29"/>
  <c r="K1235" i="29"/>
  <c r="L1234" i="29"/>
  <c r="BQ1237" i="29"/>
  <c r="BQ1238" i="29" s="1"/>
  <c r="AB1233" i="29"/>
  <c r="U1234" i="29"/>
  <c r="AB1234" i="29" s="1"/>
  <c r="AC1233" i="29"/>
  <c r="V1234" i="29"/>
  <c r="T1235" i="29"/>
  <c r="S1235" i="29"/>
  <c r="AF1234" i="29"/>
  <c r="AE1234" i="29"/>
  <c r="BC1235" i="29"/>
  <c r="BF1235" i="29" s="1"/>
  <c r="BE1235" i="29"/>
  <c r="BG1235" i="29" s="1"/>
  <c r="BA1235" i="29" s="1"/>
  <c r="BD1236" i="29"/>
  <c r="BP1235" i="29"/>
  <c r="AZ1234" i="29"/>
  <c r="BH1234" i="29"/>
  <c r="BB1234" i="29" s="1"/>
  <c r="AC1234" i="29" l="1"/>
  <c r="BV1233" i="29"/>
  <c r="CC1233" i="29"/>
  <c r="L1235" i="29"/>
  <c r="J1236" i="29"/>
  <c r="K1236" i="29"/>
  <c r="U1235" i="29"/>
  <c r="AB1235" i="29" s="1"/>
  <c r="V1235" i="29"/>
  <c r="S1236" i="29"/>
  <c r="T1236" i="29"/>
  <c r="AF1235" i="29"/>
  <c r="AE1235" i="29"/>
  <c r="R1234" i="29"/>
  <c r="Q1234" i="29"/>
  <c r="BO1238" i="29"/>
  <c r="BY1237" i="29"/>
  <c r="BR1237" i="29"/>
  <c r="BN1238" i="29"/>
  <c r="X1233" i="29"/>
  <c r="M1233" i="29"/>
  <c r="AA1233" i="29"/>
  <c r="W1233" i="29"/>
  <c r="Y1233" i="29" s="1"/>
  <c r="CA1234" i="29"/>
  <c r="BU1234" i="29" s="1"/>
  <c r="Y1232" i="29"/>
  <c r="Z1232" i="29" s="1"/>
  <c r="CB1231" i="29"/>
  <c r="CB1226" i="29"/>
  <c r="CB1229" i="29"/>
  <c r="CB1232" i="29"/>
  <c r="CB1228" i="29"/>
  <c r="CB1230" i="29"/>
  <c r="AZ1235" i="29"/>
  <c r="BH1235" i="29"/>
  <c r="BB1235" i="29" s="1"/>
  <c r="BC1236" i="29"/>
  <c r="BF1236" i="29" s="1"/>
  <c r="BP1236" i="29"/>
  <c r="BE1236" i="29"/>
  <c r="BG1236" i="29" s="1"/>
  <c r="BA1236" i="29" s="1"/>
  <c r="BD1237" i="29"/>
  <c r="BV1229" i="29" l="1"/>
  <c r="CC1229" i="29"/>
  <c r="X1234" i="29"/>
  <c r="W1234" i="29"/>
  <c r="Y1234" i="29" s="1"/>
  <c r="M1234" i="29"/>
  <c r="CA1235" i="29"/>
  <c r="BU1235" i="29" s="1"/>
  <c r="AA1234" i="29"/>
  <c r="V1236" i="29"/>
  <c r="T1237" i="29"/>
  <c r="S1237" i="29"/>
  <c r="AE1236" i="29"/>
  <c r="AF1236" i="29"/>
  <c r="Q1235" i="29"/>
  <c r="R1235" i="29"/>
  <c r="BV1230" i="29"/>
  <c r="CC1230" i="29"/>
  <c r="BV1226" i="29"/>
  <c r="CC1226" i="29"/>
  <c r="U1236" i="29"/>
  <c r="AC1235" i="29"/>
  <c r="BV1228" i="29"/>
  <c r="CC1228" i="29"/>
  <c r="BV1231" i="29"/>
  <c r="CC1231" i="29"/>
  <c r="BO1239" i="29"/>
  <c r="BR1238" i="29"/>
  <c r="BY1238" i="29"/>
  <c r="BN1239" i="29"/>
  <c r="BV1232" i="29"/>
  <c r="CC1232" i="29"/>
  <c r="Z1233" i="29"/>
  <c r="AB1232" i="29"/>
  <c r="AC1232" i="29"/>
  <c r="BQ1239" i="29"/>
  <c r="BQ1240" i="29" s="1"/>
  <c r="K1237" i="29"/>
  <c r="J1237" i="29"/>
  <c r="L1236" i="29"/>
  <c r="BP1237" i="29"/>
  <c r="BD1238" i="29"/>
  <c r="BC1237" i="29"/>
  <c r="BF1237" i="29" s="1"/>
  <c r="BE1237" i="29"/>
  <c r="BG1237" i="29" s="1"/>
  <c r="BA1237" i="29" s="1"/>
  <c r="AZ1236" i="29"/>
  <c r="BH1236" i="29"/>
  <c r="BB1236" i="29" s="1"/>
  <c r="Z1234" i="29" l="1"/>
  <c r="Q1236" i="29"/>
  <c r="R1236" i="29"/>
  <c r="U1237" i="29"/>
  <c r="AB1237" i="29" s="1"/>
  <c r="BY1239" i="29"/>
  <c r="BR1239" i="29"/>
  <c r="BO1240" i="29"/>
  <c r="BN1240" i="29"/>
  <c r="AB1236" i="29"/>
  <c r="AC1236" i="29"/>
  <c r="M1235" i="29"/>
  <c r="CA1236" i="29"/>
  <c r="BU1236" i="29" s="1"/>
  <c r="AA1235" i="29"/>
  <c r="W1235" i="29"/>
  <c r="Y1235" i="29" s="1"/>
  <c r="T1238" i="29"/>
  <c r="V1237" i="29"/>
  <c r="S1238" i="29"/>
  <c r="AF1237" i="29"/>
  <c r="AE1237" i="29"/>
  <c r="L1237" i="29"/>
  <c r="J1238" i="29"/>
  <c r="K1238" i="29"/>
  <c r="X1235" i="29"/>
  <c r="AZ1237" i="29"/>
  <c r="BH1237" i="29"/>
  <c r="BB1237" i="29" s="1"/>
  <c r="BD1239" i="29"/>
  <c r="BE1238" i="29"/>
  <c r="BG1238" i="29" s="1"/>
  <c r="BA1238" i="29" s="1"/>
  <c r="BP1238" i="29"/>
  <c r="BC1238" i="29"/>
  <c r="BF1238" i="29" s="1"/>
  <c r="U1238" i="29" l="1"/>
  <c r="T1239" i="29"/>
  <c r="S1239" i="29"/>
  <c r="V1238" i="29"/>
  <c r="AE1238" i="29"/>
  <c r="AF1238" i="29"/>
  <c r="J1239" i="29"/>
  <c r="L1238" i="29"/>
  <c r="K1239" i="29"/>
  <c r="R1237" i="29"/>
  <c r="Q1237" i="29"/>
  <c r="BN1241" i="29"/>
  <c r="BR1240" i="29"/>
  <c r="BO1241" i="29"/>
  <c r="BY1240" i="29"/>
  <c r="CA1237" i="29"/>
  <c r="BU1237" i="29" s="1"/>
  <c r="M1236" i="29"/>
  <c r="AA1236" i="29"/>
  <c r="W1236" i="29"/>
  <c r="Y1236" i="29" s="1"/>
  <c r="AC1237" i="29"/>
  <c r="Z1235" i="29"/>
  <c r="X1236" i="29"/>
  <c r="BQ1241" i="29"/>
  <c r="BE1239" i="29"/>
  <c r="BG1239" i="29" s="1"/>
  <c r="BA1239" i="29" s="1"/>
  <c r="BD1240" i="29"/>
  <c r="BC1239" i="29"/>
  <c r="BF1239" i="29" s="1"/>
  <c r="BP1239" i="29"/>
  <c r="BH1238" i="29"/>
  <c r="BB1238" i="29" s="1"/>
  <c r="AZ1238" i="29"/>
  <c r="BR1241" i="29" l="1"/>
  <c r="BN1242" i="29"/>
  <c r="BY1241" i="29"/>
  <c r="BO1242" i="29"/>
  <c r="Z1236" i="29"/>
  <c r="AA1237" i="29"/>
  <c r="W1237" i="29"/>
  <c r="Y1237" i="29" s="1"/>
  <c r="M1237" i="29"/>
  <c r="CA1238" i="29"/>
  <c r="BU1238" i="29" s="1"/>
  <c r="BQ1242" i="29"/>
  <c r="BQ1243" i="29" s="1"/>
  <c r="U1239" i="29"/>
  <c r="AC1239" i="29" s="1"/>
  <c r="R1238" i="29"/>
  <c r="Q1238" i="29"/>
  <c r="X1238" i="29" s="1"/>
  <c r="T1240" i="29"/>
  <c r="S1240" i="29"/>
  <c r="V1239" i="29"/>
  <c r="AE1239" i="29"/>
  <c r="AF1239" i="29"/>
  <c r="AC1238" i="29"/>
  <c r="X1237" i="29"/>
  <c r="L1239" i="29"/>
  <c r="J1240" i="29"/>
  <c r="K1240" i="29"/>
  <c r="AB1238" i="29"/>
  <c r="BH1239" i="29"/>
  <c r="BB1239" i="29" s="1"/>
  <c r="AZ1239" i="29"/>
  <c r="BC1240" i="29"/>
  <c r="BF1240" i="29" s="1"/>
  <c r="BP1240" i="29"/>
  <c r="BE1240" i="29"/>
  <c r="BG1240" i="29" s="1"/>
  <c r="BA1240" i="29" s="1"/>
  <c r="BD1241" i="29"/>
  <c r="AB1239" i="29" l="1"/>
  <c r="BR1242" i="29"/>
  <c r="BY1242" i="29"/>
  <c r="BO1243" i="29"/>
  <c r="BN1243" i="29"/>
  <c r="L1240" i="29"/>
  <c r="K1241" i="29"/>
  <c r="J1241" i="29"/>
  <c r="AA1238" i="29"/>
  <c r="W1238" i="29"/>
  <c r="Y1238" i="29" s="1"/>
  <c r="M1238" i="29"/>
  <c r="CA1239" i="29"/>
  <c r="BU1239" i="29" s="1"/>
  <c r="U1240" i="29"/>
  <c r="T1241" i="29"/>
  <c r="S1241" i="29"/>
  <c r="V1240" i="29"/>
  <c r="AE1240" i="29"/>
  <c r="AF1240" i="29"/>
  <c r="R1239" i="29"/>
  <c r="Q1239" i="29"/>
  <c r="X1239" i="29" s="1"/>
  <c r="BQ1244" i="29"/>
  <c r="Z1237" i="29"/>
  <c r="BE1241" i="29"/>
  <c r="BG1241" i="29" s="1"/>
  <c r="BA1241" i="29" s="1"/>
  <c r="BP1241" i="29"/>
  <c r="BC1241" i="29"/>
  <c r="BF1241" i="29" s="1"/>
  <c r="BD1242" i="29"/>
  <c r="BH1240" i="29"/>
  <c r="BB1240" i="29" s="1"/>
  <c r="AZ1240" i="29"/>
  <c r="Z1238" i="29" l="1"/>
  <c r="CA1240" i="29"/>
  <c r="BU1240" i="29" s="1"/>
  <c r="W1239" i="29"/>
  <c r="Y1239" i="29" s="1"/>
  <c r="Z1239" i="29" s="1"/>
  <c r="M1239" i="29"/>
  <c r="AA1239" i="29"/>
  <c r="R1240" i="29"/>
  <c r="Q1240" i="29"/>
  <c r="X1240" i="29" s="1"/>
  <c r="BY1243" i="29"/>
  <c r="BR1243" i="29"/>
  <c r="BO1244" i="29"/>
  <c r="BN1244" i="29"/>
  <c r="AC1240" i="29"/>
  <c r="J1242" i="29"/>
  <c r="K1242" i="29"/>
  <c r="L1241" i="29"/>
  <c r="U1241" i="29"/>
  <c r="AC1241" i="29" s="1"/>
  <c r="AB1240" i="29"/>
  <c r="T1242" i="29"/>
  <c r="V1241" i="29"/>
  <c r="S1242" i="29"/>
  <c r="AF1241" i="29"/>
  <c r="AE1241" i="29"/>
  <c r="BD1243" i="29"/>
  <c r="BP1242" i="29"/>
  <c r="BE1242" i="29"/>
  <c r="BG1242" i="29" s="1"/>
  <c r="BA1242" i="29" s="1"/>
  <c r="BC1242" i="29"/>
  <c r="BF1242" i="29" s="1"/>
  <c r="BH1241" i="29"/>
  <c r="BB1241" i="29" s="1"/>
  <c r="AZ1241" i="29"/>
  <c r="BY1244" i="29" l="1"/>
  <c r="BO1245" i="29"/>
  <c r="BR1244" i="29"/>
  <c r="BN1245" i="29"/>
  <c r="U1242" i="29"/>
  <c r="R1241" i="29"/>
  <c r="Q1241" i="29"/>
  <c r="X1241" i="29" s="1"/>
  <c r="V1242" i="29"/>
  <c r="T1243" i="29"/>
  <c r="S1243" i="29"/>
  <c r="AF1242" i="29"/>
  <c r="AE1242" i="29"/>
  <c r="AB1241" i="29"/>
  <c r="K1243" i="29"/>
  <c r="J1243" i="29"/>
  <c r="L1242" i="29"/>
  <c r="BQ1245" i="29"/>
  <c r="BQ1246" i="29" s="1"/>
  <c r="M1240" i="29"/>
  <c r="W1240" i="29"/>
  <c r="Y1240" i="29" s="1"/>
  <c r="Z1240" i="29" s="1"/>
  <c r="CA1241" i="29"/>
  <c r="BU1241" i="29" s="1"/>
  <c r="AA1240" i="29"/>
  <c r="BH1242" i="29"/>
  <c r="BB1242" i="29" s="1"/>
  <c r="AZ1242" i="29"/>
  <c r="BE1243" i="29"/>
  <c r="BG1243" i="29" s="1"/>
  <c r="BA1243" i="29" s="1"/>
  <c r="BD1244" i="29"/>
  <c r="BP1243" i="29"/>
  <c r="BC1243" i="29"/>
  <c r="BF1243" i="29" s="1"/>
  <c r="Q1242" i="29" l="1"/>
  <c r="R1242" i="29"/>
  <c r="J1244" i="29"/>
  <c r="L1243" i="29"/>
  <c r="K1244" i="29"/>
  <c r="U1243" i="29"/>
  <c r="AC1242" i="29"/>
  <c r="S1244" i="29"/>
  <c r="V1243" i="29"/>
  <c r="T1244" i="29"/>
  <c r="AF1243" i="29"/>
  <c r="AE1243" i="29"/>
  <c r="M1241" i="29"/>
  <c r="W1241" i="29"/>
  <c r="Y1241" i="29" s="1"/>
  <c r="Z1241" i="29" s="1"/>
  <c r="AA1241" i="29"/>
  <c r="CA1242" i="29"/>
  <c r="BU1242" i="29" s="1"/>
  <c r="AB1242" i="29"/>
  <c r="BR1245" i="29"/>
  <c r="BN1246" i="29"/>
  <c r="BO1246" i="29"/>
  <c r="BE1244" i="29"/>
  <c r="BG1244" i="29" s="1"/>
  <c r="BA1244" i="29" s="1"/>
  <c r="BC1244" i="29"/>
  <c r="BF1244" i="29" s="1"/>
  <c r="BP1244" i="29"/>
  <c r="BD1245" i="29"/>
  <c r="AZ1243" i="29"/>
  <c r="BH1243" i="29"/>
  <c r="BB1243" i="29" s="1"/>
  <c r="T1245" i="29" l="1"/>
  <c r="V1244" i="29"/>
  <c r="S1245" i="29"/>
  <c r="AF1244" i="29"/>
  <c r="AE1244" i="29"/>
  <c r="L1244" i="29"/>
  <c r="K1245" i="29"/>
  <c r="J1245" i="29"/>
  <c r="Q1243" i="29"/>
  <c r="X1243" i="29" s="1"/>
  <c r="R1243" i="29"/>
  <c r="CA1243" i="29"/>
  <c r="BU1243" i="29" s="1"/>
  <c r="W1242" i="29"/>
  <c r="Y1242" i="29" s="1"/>
  <c r="Z1242" i="29" s="1"/>
  <c r="M1242" i="29"/>
  <c r="AA1242" i="29"/>
  <c r="BR1246" i="29"/>
  <c r="BN1247" i="29"/>
  <c r="BY1246" i="29"/>
  <c r="BO1247" i="29"/>
  <c r="U1244" i="29"/>
  <c r="AC1243" i="29"/>
  <c r="X1242" i="29"/>
  <c r="BQ1247" i="29"/>
  <c r="BQ1248" i="29" s="1"/>
  <c r="AB1243" i="29"/>
  <c r="BD1246" i="29"/>
  <c r="BI1245" i="29"/>
  <c r="BP1245" i="29"/>
  <c r="BE1245" i="29"/>
  <c r="BG1245" i="29" s="1"/>
  <c r="BA1245" i="29" s="1"/>
  <c r="BC1245" i="29"/>
  <c r="BF1245" i="29" s="1"/>
  <c r="AZ1244" i="29"/>
  <c r="BH1244" i="29"/>
  <c r="BB1244" i="29" s="1"/>
  <c r="J1246" i="29" l="1"/>
  <c r="L1245" i="29"/>
  <c r="K1246" i="29"/>
  <c r="U1245" i="29"/>
  <c r="V1245" i="29"/>
  <c r="S1246" i="29"/>
  <c r="T1246" i="29"/>
  <c r="AE1245" i="29"/>
  <c r="AF1245" i="29"/>
  <c r="Q1244" i="29"/>
  <c r="R1244" i="29"/>
  <c r="BY1247" i="29"/>
  <c r="BN1248" i="29"/>
  <c r="BO1248" i="29"/>
  <c r="BR1247" i="29"/>
  <c r="AA1243" i="29"/>
  <c r="CA1244" i="29"/>
  <c r="BU1244" i="29" s="1"/>
  <c r="M1243" i="29"/>
  <c r="W1243" i="29"/>
  <c r="Y1243" i="29" s="1"/>
  <c r="Z1243" i="29" s="1"/>
  <c r="AZ1245" i="29"/>
  <c r="BH1245" i="29"/>
  <c r="BB1245" i="29" s="1"/>
  <c r="BP1246" i="29"/>
  <c r="BD1247" i="29"/>
  <c r="BC1246" i="29"/>
  <c r="BF1246" i="29" s="1"/>
  <c r="BE1246" i="29"/>
  <c r="BG1246" i="29" s="1"/>
  <c r="BA1246" i="29" s="1"/>
  <c r="T1247" i="29" l="1"/>
  <c r="S1247" i="29"/>
  <c r="V1246" i="29"/>
  <c r="AF1246" i="29"/>
  <c r="AE1246" i="29"/>
  <c r="K1247" i="29"/>
  <c r="L1246" i="29"/>
  <c r="J1247" i="29"/>
  <c r="CA1245" i="29"/>
  <c r="BU1245" i="29" s="1"/>
  <c r="W1244" i="29"/>
  <c r="CB1245" i="29" s="1"/>
  <c r="AA1244" i="29"/>
  <c r="U1246" i="29"/>
  <c r="R1245" i="29"/>
  <c r="Q1245" i="29"/>
  <c r="X1245" i="29" s="1"/>
  <c r="AC1245" i="29"/>
  <c r="BR1248" i="29"/>
  <c r="BY1248" i="29"/>
  <c r="BO1249" i="29"/>
  <c r="BN1249" i="29"/>
  <c r="BQ1249" i="29"/>
  <c r="AB1245" i="29"/>
  <c r="AZ1246" i="29"/>
  <c r="BH1246" i="29"/>
  <c r="BB1246" i="29" s="1"/>
  <c r="BE1247" i="29"/>
  <c r="BG1247" i="29" s="1"/>
  <c r="BA1247" i="29" s="1"/>
  <c r="BC1247" i="29"/>
  <c r="BF1247" i="29" s="1"/>
  <c r="BP1247" i="29"/>
  <c r="BD1248" i="29"/>
  <c r="BV1245" i="29" l="1"/>
  <c r="CC1245" i="29"/>
  <c r="Q1246" i="29"/>
  <c r="R1246" i="29"/>
  <c r="BY1249" i="29"/>
  <c r="BO1250" i="29"/>
  <c r="BR1249" i="29"/>
  <c r="BN1250" i="29"/>
  <c r="AB1246" i="29"/>
  <c r="W1245" i="29"/>
  <c r="Y1245" i="29" s="1"/>
  <c r="M1245" i="29"/>
  <c r="AA1245" i="29"/>
  <c r="CA1246" i="29"/>
  <c r="BU1246" i="29" s="1"/>
  <c r="AC1246" i="29"/>
  <c r="BQ1250" i="29"/>
  <c r="BQ1251" i="29" s="1"/>
  <c r="L1247" i="29"/>
  <c r="J1248" i="29"/>
  <c r="K1248" i="29"/>
  <c r="U1247" i="29"/>
  <c r="AB1247" i="29" s="1"/>
  <c r="V1247" i="29"/>
  <c r="S1248" i="29"/>
  <c r="T1248" i="29"/>
  <c r="AE1247" i="29"/>
  <c r="AF1247" i="29"/>
  <c r="Y1244" i="29"/>
  <c r="Z1244" i="29" s="1"/>
  <c r="CB1240" i="29"/>
  <c r="CB1239" i="29"/>
  <c r="CB1241" i="29"/>
  <c r="CB1243" i="29"/>
  <c r="CB1242" i="29"/>
  <c r="CB1244" i="29"/>
  <c r="BP1248" i="29"/>
  <c r="BE1248" i="29"/>
  <c r="BG1248" i="29" s="1"/>
  <c r="BA1248" i="29" s="1"/>
  <c r="BD1249" i="29"/>
  <c r="BC1248" i="29"/>
  <c r="BF1248" i="29" s="1"/>
  <c r="BH1247" i="29"/>
  <c r="BB1247" i="29" s="1"/>
  <c r="AZ1247" i="29"/>
  <c r="AC1247" i="29" l="1"/>
  <c r="BV1244" i="29"/>
  <c r="CC1244" i="29"/>
  <c r="BV1239" i="29"/>
  <c r="CC1239" i="29"/>
  <c r="R1247" i="29"/>
  <c r="Q1247" i="29"/>
  <c r="X1247" i="29" s="1"/>
  <c r="X1246" i="29"/>
  <c r="CA1247" i="29"/>
  <c r="BU1247" i="29" s="1"/>
  <c r="W1246" i="29"/>
  <c r="Y1246" i="29" s="1"/>
  <c r="AA1246" i="29"/>
  <c r="M1246" i="29"/>
  <c r="BV1242" i="29"/>
  <c r="CC1242" i="29"/>
  <c r="BO1251" i="29"/>
  <c r="BY1250" i="29"/>
  <c r="BR1250" i="29"/>
  <c r="BN1251" i="29"/>
  <c r="BV1240" i="29"/>
  <c r="CC1240" i="29"/>
  <c r="V1248" i="29"/>
  <c r="S1249" i="29"/>
  <c r="T1249" i="29"/>
  <c r="AF1248" i="29"/>
  <c r="AE1248" i="29"/>
  <c r="BV1243" i="29"/>
  <c r="CC1243" i="29"/>
  <c r="Z1245" i="29"/>
  <c r="AB1244" i="29"/>
  <c r="AC1244" i="29"/>
  <c r="U1248" i="29"/>
  <c r="AB1248" i="29" s="1"/>
  <c r="BV1241" i="29"/>
  <c r="CC1241" i="29"/>
  <c r="L1248" i="29"/>
  <c r="K1249" i="29"/>
  <c r="J1249" i="29"/>
  <c r="BH1248" i="29"/>
  <c r="BB1248" i="29" s="1"/>
  <c r="AZ1248" i="29"/>
  <c r="BP1249" i="29"/>
  <c r="BC1249" i="29"/>
  <c r="BF1249" i="29" s="1"/>
  <c r="BE1249" i="29"/>
  <c r="BG1249" i="29" s="1"/>
  <c r="BA1249" i="29" s="1"/>
  <c r="BD1250" i="29"/>
  <c r="Z1246" i="29" l="1"/>
  <c r="T1250" i="29"/>
  <c r="S1250" i="29"/>
  <c r="V1249" i="29"/>
  <c r="AE1249" i="29"/>
  <c r="AF1249" i="29"/>
  <c r="BO1252" i="29"/>
  <c r="BY1251" i="29"/>
  <c r="BN1252" i="29"/>
  <c r="BR1251" i="29"/>
  <c r="W1247" i="29"/>
  <c r="Y1247" i="29" s="1"/>
  <c r="Z1247" i="29" s="1"/>
  <c r="CA1248" i="29"/>
  <c r="BU1248" i="29" s="1"/>
  <c r="AA1247" i="29"/>
  <c r="M1247" i="29"/>
  <c r="R1248" i="29"/>
  <c r="Q1248" i="29"/>
  <c r="X1248" i="29" s="1"/>
  <c r="AC1248" i="29"/>
  <c r="J1250" i="29"/>
  <c r="L1249" i="29"/>
  <c r="K1250" i="29"/>
  <c r="BQ1252" i="29"/>
  <c r="BQ1253" i="29" s="1"/>
  <c r="U1249" i="29"/>
  <c r="AZ1249" i="29"/>
  <c r="BH1249" i="29"/>
  <c r="BB1249" i="29" s="1"/>
  <c r="BE1250" i="29"/>
  <c r="BG1250" i="29" s="1"/>
  <c r="BA1250" i="29" s="1"/>
  <c r="BD1251" i="29"/>
  <c r="BC1250" i="29"/>
  <c r="BF1250" i="29" s="1"/>
  <c r="BP1250" i="29"/>
  <c r="Q1249" i="29" l="1"/>
  <c r="X1249" i="29" s="1"/>
  <c r="R1249" i="29"/>
  <c r="K1251" i="29"/>
  <c r="L1250" i="29"/>
  <c r="J1251" i="29"/>
  <c r="BN1253" i="29"/>
  <c r="BY1252" i="29"/>
  <c r="BR1252" i="29"/>
  <c r="BO1253" i="29"/>
  <c r="U1250" i="29"/>
  <c r="AC1250" i="29" s="1"/>
  <c r="AC1249" i="29"/>
  <c r="CA1249" i="29"/>
  <c r="BU1249" i="29" s="1"/>
  <c r="AA1248" i="29"/>
  <c r="M1248" i="29"/>
  <c r="W1248" i="29"/>
  <c r="Y1248" i="29" s="1"/>
  <c r="Z1248" i="29" s="1"/>
  <c r="T1251" i="29"/>
  <c r="S1251" i="29"/>
  <c r="V1250" i="29"/>
  <c r="AE1250" i="29"/>
  <c r="AF1250" i="29"/>
  <c r="BQ1254" i="29"/>
  <c r="AB1249" i="29"/>
  <c r="BC1251" i="29"/>
  <c r="BF1251" i="29" s="1"/>
  <c r="BD1252" i="29"/>
  <c r="BE1251" i="29"/>
  <c r="BG1251" i="29" s="1"/>
  <c r="BA1251" i="29" s="1"/>
  <c r="BP1251" i="29"/>
  <c r="AZ1250" i="29"/>
  <c r="BH1250" i="29"/>
  <c r="BB1250" i="29" s="1"/>
  <c r="BY1253" i="29" l="1"/>
  <c r="BO1254" i="29"/>
  <c r="BN1254" i="29"/>
  <c r="BR1253" i="29"/>
  <c r="U1251" i="29"/>
  <c r="AB1251" i="29" s="1"/>
  <c r="S1252" i="29"/>
  <c r="V1251" i="29"/>
  <c r="T1252" i="29"/>
  <c r="AE1251" i="29"/>
  <c r="AF1251" i="29"/>
  <c r="R1250" i="29"/>
  <c r="Q1250" i="29"/>
  <c r="X1250" i="29" s="1"/>
  <c r="M1249" i="29"/>
  <c r="W1249" i="29"/>
  <c r="Y1249" i="29" s="1"/>
  <c r="Z1249" i="29" s="1"/>
  <c r="CA1250" i="29"/>
  <c r="BU1250" i="29" s="1"/>
  <c r="AA1249" i="29"/>
  <c r="AB1250" i="29"/>
  <c r="L1251" i="29"/>
  <c r="J1252" i="29"/>
  <c r="K1252" i="29"/>
  <c r="BD1253" i="29"/>
  <c r="BE1252" i="29"/>
  <c r="BG1252" i="29" s="1"/>
  <c r="BA1252" i="29" s="1"/>
  <c r="BC1252" i="29"/>
  <c r="BF1252" i="29" s="1"/>
  <c r="BP1252" i="29"/>
  <c r="AZ1251" i="29"/>
  <c r="BH1251" i="29"/>
  <c r="BB1251" i="29" s="1"/>
  <c r="L1252" i="29" l="1"/>
  <c r="K1253" i="29"/>
  <c r="J1253" i="29"/>
  <c r="BN1255" i="29"/>
  <c r="BR1254" i="29"/>
  <c r="BY1254" i="29"/>
  <c r="BO1255" i="29"/>
  <c r="U1252" i="29"/>
  <c r="BQ1255" i="29"/>
  <c r="BQ1256" i="29" s="1"/>
  <c r="R1251" i="29"/>
  <c r="Q1251" i="29"/>
  <c r="X1251" i="29" s="1"/>
  <c r="W1250" i="29"/>
  <c r="Y1250" i="29" s="1"/>
  <c r="Z1250" i="29" s="1"/>
  <c r="M1250" i="29"/>
  <c r="CA1251" i="29"/>
  <c r="BU1251" i="29" s="1"/>
  <c r="AA1250" i="29"/>
  <c r="V1252" i="29"/>
  <c r="S1253" i="29"/>
  <c r="T1253" i="29"/>
  <c r="AF1252" i="29"/>
  <c r="AE1252" i="29"/>
  <c r="AC1251" i="29"/>
  <c r="BH1252" i="29"/>
  <c r="BB1252" i="29" s="1"/>
  <c r="AZ1252" i="29"/>
  <c r="BP1253" i="29"/>
  <c r="BE1253" i="29"/>
  <c r="BG1253" i="29" s="1"/>
  <c r="BA1253" i="29" s="1"/>
  <c r="BD1254" i="29"/>
  <c r="BC1253" i="29"/>
  <c r="BF1253" i="29" s="1"/>
  <c r="R1252" i="29" l="1"/>
  <c r="Q1252" i="29"/>
  <c r="X1252" i="29" s="1"/>
  <c r="CA1252" i="29"/>
  <c r="BU1252" i="29" s="1"/>
  <c r="W1251" i="29"/>
  <c r="Y1251" i="29" s="1"/>
  <c r="Z1251" i="29" s="1"/>
  <c r="M1251" i="29"/>
  <c r="AA1251" i="29"/>
  <c r="AC1252" i="29"/>
  <c r="AB1252" i="29"/>
  <c r="BO1256" i="29"/>
  <c r="BN1256" i="29"/>
  <c r="BR1255" i="29"/>
  <c r="BY1255" i="29"/>
  <c r="L1253" i="29"/>
  <c r="K1254" i="29"/>
  <c r="J1254" i="29"/>
  <c r="V1253" i="29"/>
  <c r="T1254" i="29"/>
  <c r="S1254" i="29"/>
  <c r="AF1253" i="29"/>
  <c r="AE1253" i="29"/>
  <c r="U1253" i="29"/>
  <c r="AB1253" i="29" s="1"/>
  <c r="AZ1253" i="29"/>
  <c r="BH1253" i="29"/>
  <c r="BB1253" i="29" s="1"/>
  <c r="BE1254" i="29"/>
  <c r="BG1254" i="29" s="1"/>
  <c r="BA1254" i="29" s="1"/>
  <c r="BD1255" i="29"/>
  <c r="BC1254" i="29"/>
  <c r="BF1254" i="29" s="1"/>
  <c r="BP1254" i="29"/>
  <c r="AC1253" i="29" l="1"/>
  <c r="U1254" i="29"/>
  <c r="J1255" i="29"/>
  <c r="K1255" i="29"/>
  <c r="L1254" i="29"/>
  <c r="T1255" i="29"/>
  <c r="V1254" i="29"/>
  <c r="S1255" i="29"/>
  <c r="AF1254" i="29"/>
  <c r="AE1254" i="29"/>
  <c r="BO1257" i="29"/>
  <c r="BR1256" i="29"/>
  <c r="BY1256" i="29"/>
  <c r="BN1257" i="29"/>
  <c r="BQ1257" i="29"/>
  <c r="R1253" i="29"/>
  <c r="Q1253" i="29"/>
  <c r="X1253" i="29" s="1"/>
  <c r="AA1252" i="29"/>
  <c r="W1252" i="29"/>
  <c r="Y1252" i="29" s="1"/>
  <c r="Z1252" i="29" s="1"/>
  <c r="CA1253" i="29"/>
  <c r="BU1253" i="29" s="1"/>
  <c r="M1252" i="29"/>
  <c r="BE1255" i="29"/>
  <c r="BG1255" i="29" s="1"/>
  <c r="BA1255" i="29" s="1"/>
  <c r="BC1255" i="29"/>
  <c r="BF1255" i="29" s="1"/>
  <c r="BP1255" i="29"/>
  <c r="BD1256" i="29"/>
  <c r="AZ1254" i="29"/>
  <c r="BH1254" i="29"/>
  <c r="BB1254" i="29" s="1"/>
  <c r="R1254" i="29" l="1"/>
  <c r="Q1254" i="29"/>
  <c r="M1253" i="29"/>
  <c r="AA1253" i="29"/>
  <c r="CA1254" i="29"/>
  <c r="BU1254" i="29" s="1"/>
  <c r="W1253" i="29"/>
  <c r="Y1253" i="29" s="1"/>
  <c r="Z1253" i="29" s="1"/>
  <c r="U1255" i="29"/>
  <c r="AC1254" i="29"/>
  <c r="BR1257" i="29"/>
  <c r="BN1258" i="29"/>
  <c r="BO1258" i="29"/>
  <c r="L1255" i="29"/>
  <c r="J1256" i="29"/>
  <c r="K1256" i="29"/>
  <c r="AB1254" i="29"/>
  <c r="BQ1258" i="29"/>
  <c r="T1256" i="29"/>
  <c r="S1256" i="29"/>
  <c r="V1255" i="29"/>
  <c r="AF1255" i="29"/>
  <c r="AE1255" i="29"/>
  <c r="BP1256" i="29"/>
  <c r="BC1256" i="29"/>
  <c r="BF1256" i="29" s="1"/>
  <c r="BE1256" i="29"/>
  <c r="BG1256" i="29" s="1"/>
  <c r="BA1256" i="29" s="1"/>
  <c r="BD1257" i="29"/>
  <c r="BH1255" i="29"/>
  <c r="BB1255" i="29" s="1"/>
  <c r="AZ1255" i="29"/>
  <c r="X1254" i="29" l="1"/>
  <c r="M1254" i="29"/>
  <c r="CA1255" i="29"/>
  <c r="BU1255" i="29" s="1"/>
  <c r="W1254" i="29"/>
  <c r="Y1254" i="29" s="1"/>
  <c r="Z1254" i="29" s="1"/>
  <c r="AA1254" i="29"/>
  <c r="V1256" i="29"/>
  <c r="S1257" i="29"/>
  <c r="T1257" i="29"/>
  <c r="AF1256" i="29"/>
  <c r="AE1256" i="29"/>
  <c r="K1257" i="29"/>
  <c r="J1257" i="29"/>
  <c r="L1256" i="29"/>
  <c r="BR1258" i="29"/>
  <c r="BY1258" i="29"/>
  <c r="BO1259" i="29"/>
  <c r="BN1259" i="29"/>
  <c r="R1255" i="29"/>
  <c r="Q1255" i="29"/>
  <c r="X1255" i="29" s="1"/>
  <c r="AC1255" i="29"/>
  <c r="BQ1259" i="29"/>
  <c r="BQ1260" i="29" s="1"/>
  <c r="AB1255" i="29"/>
  <c r="U1256" i="29"/>
  <c r="BH1256" i="29"/>
  <c r="BB1256" i="29" s="1"/>
  <c r="AZ1256" i="29"/>
  <c r="BP1257" i="29"/>
  <c r="BD1258" i="29"/>
  <c r="BI1257" i="29"/>
  <c r="BC1257" i="29"/>
  <c r="BF1257" i="29" s="1"/>
  <c r="BE1257" i="29"/>
  <c r="BG1257" i="29" s="1"/>
  <c r="BA1257" i="29" s="1"/>
  <c r="Q1256" i="29" l="1"/>
  <c r="R1256" i="29"/>
  <c r="BY1259" i="29"/>
  <c r="BR1259" i="29"/>
  <c r="BO1260" i="29"/>
  <c r="BN1260" i="29"/>
  <c r="V1257" i="29"/>
  <c r="T1258" i="29"/>
  <c r="S1258" i="29"/>
  <c r="AF1257" i="29"/>
  <c r="AE1257" i="29"/>
  <c r="BQ1261" i="29"/>
  <c r="M1255" i="29"/>
  <c r="AA1255" i="29"/>
  <c r="CA1256" i="29"/>
  <c r="BU1256" i="29" s="1"/>
  <c r="W1255" i="29"/>
  <c r="Y1255" i="29" s="1"/>
  <c r="Z1255" i="29" s="1"/>
  <c r="J1258" i="29"/>
  <c r="K1258" i="29"/>
  <c r="L1257" i="29"/>
  <c r="U1257" i="29"/>
  <c r="AC1257" i="29" s="1"/>
  <c r="BD1259" i="29"/>
  <c r="BC1258" i="29"/>
  <c r="BF1258" i="29" s="1"/>
  <c r="BP1258" i="29"/>
  <c r="BE1258" i="29"/>
  <c r="BG1258" i="29" s="1"/>
  <c r="BA1258" i="29" s="1"/>
  <c r="AZ1257" i="29"/>
  <c r="BH1257" i="29"/>
  <c r="BB1257" i="29" s="1"/>
  <c r="U1258" i="29" l="1"/>
  <c r="AC1258" i="29" s="1"/>
  <c r="BN1261" i="29"/>
  <c r="BY1260" i="29"/>
  <c r="BO1261" i="29"/>
  <c r="BR1260" i="29"/>
  <c r="BQ1262" i="29"/>
  <c r="T1259" i="29"/>
  <c r="S1259" i="29"/>
  <c r="V1258" i="29"/>
  <c r="AF1258" i="29"/>
  <c r="AE1258" i="29"/>
  <c r="W1256" i="29"/>
  <c r="CB1257" i="29" s="1"/>
  <c r="BV1257" i="29" s="1"/>
  <c r="AA1256" i="29"/>
  <c r="CA1257" i="29"/>
  <c r="BU1257" i="29" s="1"/>
  <c r="Q1257" i="29"/>
  <c r="R1257" i="29"/>
  <c r="J1259" i="29"/>
  <c r="L1258" i="29"/>
  <c r="K1259" i="29"/>
  <c r="AB1257" i="29"/>
  <c r="BC1259" i="29"/>
  <c r="BF1259" i="29" s="1"/>
  <c r="BE1259" i="29"/>
  <c r="BG1259" i="29" s="1"/>
  <c r="BA1259" i="29" s="1"/>
  <c r="BD1260" i="29"/>
  <c r="BP1259" i="29"/>
  <c r="AZ1258" i="29"/>
  <c r="BH1258" i="29"/>
  <c r="BB1258" i="29" s="1"/>
  <c r="Y1256" i="29" l="1"/>
  <c r="Z1256" i="29" s="1"/>
  <c r="CB1249" i="29"/>
  <c r="CB1253" i="29"/>
  <c r="CB1255" i="29"/>
  <c r="CB1251" i="29"/>
  <c r="CB1250" i="29"/>
  <c r="CB1252" i="29"/>
  <c r="CB1256" i="29"/>
  <c r="CB1254" i="29"/>
  <c r="U1259" i="29"/>
  <c r="BO1262" i="29"/>
  <c r="BR1261" i="29"/>
  <c r="BY1261" i="29"/>
  <c r="BN1262" i="29"/>
  <c r="AB1258" i="29"/>
  <c r="V1259" i="29"/>
  <c r="S1260" i="29"/>
  <c r="T1260" i="29"/>
  <c r="AF1259" i="29"/>
  <c r="AE1259" i="29"/>
  <c r="AA1257" i="29"/>
  <c r="CA1258" i="29"/>
  <c r="BU1258" i="29" s="1"/>
  <c r="M1257" i="29"/>
  <c r="W1257" i="29"/>
  <c r="Y1257" i="29" s="1"/>
  <c r="CC1257" i="29"/>
  <c r="X1257" i="29"/>
  <c r="K1260" i="29"/>
  <c r="J1260" i="29"/>
  <c r="L1259" i="29"/>
  <c r="BQ1263" i="29"/>
  <c r="Q1258" i="29"/>
  <c r="X1258" i="29" s="1"/>
  <c r="R1258" i="29"/>
  <c r="AZ1259" i="29"/>
  <c r="BH1259" i="29"/>
  <c r="BB1259" i="29" s="1"/>
  <c r="BD1261" i="29"/>
  <c r="BC1260" i="29"/>
  <c r="BF1260" i="29" s="1"/>
  <c r="BP1260" i="29"/>
  <c r="BE1260" i="29"/>
  <c r="BG1260" i="29" s="1"/>
  <c r="BA1260" i="29" s="1"/>
  <c r="V1260" i="29" l="1"/>
  <c r="S1261" i="29"/>
  <c r="T1261" i="29"/>
  <c r="AF1260" i="29"/>
  <c r="AE1260" i="29"/>
  <c r="R1259" i="29"/>
  <c r="Q1259" i="29"/>
  <c r="X1259" i="29" s="1"/>
  <c r="BV1256" i="29"/>
  <c r="CC1256" i="29"/>
  <c r="BV1255" i="29"/>
  <c r="CC1255" i="29"/>
  <c r="U1260" i="29"/>
  <c r="AC1259" i="29"/>
  <c r="BV1252" i="29"/>
  <c r="CC1252" i="29"/>
  <c r="BV1253" i="29"/>
  <c r="CC1253" i="29"/>
  <c r="AB1259" i="29"/>
  <c r="BV1250" i="29"/>
  <c r="CC1250" i="29"/>
  <c r="BV1249" i="29"/>
  <c r="CC1249" i="29"/>
  <c r="L1260" i="29"/>
  <c r="J1261" i="29"/>
  <c r="K1261" i="29"/>
  <c r="AA1258" i="29"/>
  <c r="W1258" i="29"/>
  <c r="Y1258" i="29" s="1"/>
  <c r="M1258" i="29"/>
  <c r="CA1259" i="29"/>
  <c r="BU1259" i="29" s="1"/>
  <c r="BR1262" i="29"/>
  <c r="BY1262" i="29"/>
  <c r="BN1263" i="29"/>
  <c r="BO1263" i="29"/>
  <c r="BV1254" i="29"/>
  <c r="CC1254" i="29"/>
  <c r="BV1251" i="29"/>
  <c r="CC1251" i="29"/>
  <c r="Z1257" i="29"/>
  <c r="AB1256" i="29"/>
  <c r="AC1256" i="29"/>
  <c r="BH1260" i="29"/>
  <c r="BB1260" i="29" s="1"/>
  <c r="AZ1260" i="29"/>
  <c r="BE1261" i="29"/>
  <c r="BG1261" i="29" s="1"/>
  <c r="BA1261" i="29" s="1"/>
  <c r="BP1261" i="29"/>
  <c r="BD1262" i="29"/>
  <c r="BC1261" i="29"/>
  <c r="BF1261" i="29" s="1"/>
  <c r="Z1258" i="29" l="1"/>
  <c r="BO1264" i="29"/>
  <c r="BN1264" i="29"/>
  <c r="BR1263" i="29"/>
  <c r="BY1263" i="29"/>
  <c r="R1260" i="29"/>
  <c r="Q1260" i="29"/>
  <c r="X1260" i="29" s="1"/>
  <c r="W1259" i="29"/>
  <c r="Y1259" i="29" s="1"/>
  <c r="Z1259" i="29" s="1"/>
  <c r="M1259" i="29"/>
  <c r="AA1259" i="29"/>
  <c r="CA1260" i="29"/>
  <c r="BU1260" i="29" s="1"/>
  <c r="AC1260" i="29"/>
  <c r="T1262" i="29"/>
  <c r="V1261" i="29"/>
  <c r="S1262" i="29"/>
  <c r="AE1261" i="29"/>
  <c r="AF1261" i="29"/>
  <c r="BQ1264" i="29"/>
  <c r="BQ1265" i="29" s="1"/>
  <c r="AB1260" i="29"/>
  <c r="U1261" i="29"/>
  <c r="AC1261" i="29" s="1"/>
  <c r="K1262" i="29"/>
  <c r="J1262" i="29"/>
  <c r="L1261" i="29"/>
  <c r="BP1262" i="29"/>
  <c r="BD1263" i="29"/>
  <c r="BC1262" i="29"/>
  <c r="BF1262" i="29" s="1"/>
  <c r="BE1262" i="29"/>
  <c r="BG1262" i="29" s="1"/>
  <c r="BA1262" i="29" s="1"/>
  <c r="AZ1261" i="29"/>
  <c r="BH1261" i="29"/>
  <c r="BB1261" i="29" s="1"/>
  <c r="V1262" i="29" l="1"/>
  <c r="S1263" i="29"/>
  <c r="T1263" i="29"/>
  <c r="AF1262" i="29"/>
  <c r="AE1262" i="29"/>
  <c r="Q1261" i="29"/>
  <c r="X1261" i="29" s="1"/>
  <c r="R1261" i="29"/>
  <c r="L1262" i="29"/>
  <c r="J1263" i="29"/>
  <c r="K1263" i="29"/>
  <c r="AB1261" i="29"/>
  <c r="U1262" i="29"/>
  <c r="M1260" i="29"/>
  <c r="AA1260" i="29"/>
  <c r="CA1261" i="29"/>
  <c r="BU1261" i="29" s="1"/>
  <c r="W1260" i="29"/>
  <c r="Y1260" i="29" s="1"/>
  <c r="Z1260" i="29" s="1"/>
  <c r="BQ1266" i="29"/>
  <c r="BO1265" i="29"/>
  <c r="BN1265" i="29"/>
  <c r="BR1264" i="29"/>
  <c r="BY1264" i="29"/>
  <c r="BD1264" i="29"/>
  <c r="BC1263" i="29"/>
  <c r="BF1263" i="29" s="1"/>
  <c r="BE1263" i="29"/>
  <c r="BG1263" i="29" s="1"/>
  <c r="BA1263" i="29" s="1"/>
  <c r="BP1263" i="29"/>
  <c r="AZ1262" i="29"/>
  <c r="BH1262" i="29"/>
  <c r="BB1262" i="29" s="1"/>
  <c r="Q1262" i="29" l="1"/>
  <c r="X1262" i="29" s="1"/>
  <c r="R1262" i="29"/>
  <c r="BR1265" i="29"/>
  <c r="BN1266" i="29"/>
  <c r="BY1265" i="29"/>
  <c r="BO1266" i="29"/>
  <c r="AB1262" i="29"/>
  <c r="L1263" i="29"/>
  <c r="J1264" i="29"/>
  <c r="K1264" i="29"/>
  <c r="V1263" i="29"/>
  <c r="S1264" i="29"/>
  <c r="T1264" i="29"/>
  <c r="AE1263" i="29"/>
  <c r="AF1263" i="29"/>
  <c r="AC1262" i="29"/>
  <c r="AA1261" i="29"/>
  <c r="M1261" i="29"/>
  <c r="CA1262" i="29"/>
  <c r="BU1262" i="29" s="1"/>
  <c r="W1261" i="29"/>
  <c r="Y1261" i="29" s="1"/>
  <c r="Z1261" i="29" s="1"/>
  <c r="U1263" i="29"/>
  <c r="BH1263" i="29"/>
  <c r="BB1263" i="29" s="1"/>
  <c r="AZ1263" i="29"/>
  <c r="BD1265" i="29"/>
  <c r="BC1264" i="29"/>
  <c r="BF1264" i="29" s="1"/>
  <c r="BE1264" i="29"/>
  <c r="BG1264" i="29" s="1"/>
  <c r="BA1264" i="29" s="1"/>
  <c r="BP1264" i="29"/>
  <c r="R1263" i="29" l="1"/>
  <c r="Q1263" i="29"/>
  <c r="X1263" i="29" s="1"/>
  <c r="AC1263" i="29"/>
  <c r="U1264" i="29"/>
  <c r="AC1264" i="29" s="1"/>
  <c r="AB1263" i="29"/>
  <c r="L1264" i="29"/>
  <c r="K1265" i="29"/>
  <c r="J1265" i="29"/>
  <c r="BY1266" i="29"/>
  <c r="BN1267" i="29"/>
  <c r="BR1266" i="29"/>
  <c r="BO1267" i="29"/>
  <c r="BQ1267" i="29"/>
  <c r="AA1262" i="29"/>
  <c r="M1262" i="29"/>
  <c r="CA1263" i="29"/>
  <c r="BU1263" i="29" s="1"/>
  <c r="W1262" i="29"/>
  <c r="Y1262" i="29" s="1"/>
  <c r="Z1262" i="29" s="1"/>
  <c r="S1265" i="29"/>
  <c r="T1265" i="29"/>
  <c r="V1264" i="29"/>
  <c r="AE1264" i="29"/>
  <c r="AF1264" i="29"/>
  <c r="BH1264" i="29"/>
  <c r="BB1264" i="29" s="1"/>
  <c r="AZ1264" i="29"/>
  <c r="BC1265" i="29"/>
  <c r="BF1265" i="29" s="1"/>
  <c r="BD1266" i="29"/>
  <c r="BP1265" i="29"/>
  <c r="BE1265" i="29"/>
  <c r="BG1265" i="29" s="1"/>
  <c r="BA1265" i="29" s="1"/>
  <c r="BY1267" i="29" l="1"/>
  <c r="BN1268" i="29"/>
  <c r="BR1267" i="29"/>
  <c r="BO1268" i="29"/>
  <c r="R1264" i="29"/>
  <c r="Q1264" i="29"/>
  <c r="X1264" i="29" s="1"/>
  <c r="J1266" i="29"/>
  <c r="K1266" i="29"/>
  <c r="L1265" i="29"/>
  <c r="AA1263" i="29"/>
  <c r="M1263" i="29"/>
  <c r="CA1264" i="29"/>
  <c r="BU1264" i="29" s="1"/>
  <c r="W1263" i="29"/>
  <c r="Y1263" i="29" s="1"/>
  <c r="Z1263" i="29" s="1"/>
  <c r="AB1264" i="29"/>
  <c r="U1265" i="29"/>
  <c r="AB1265" i="29" s="1"/>
  <c r="V1265" i="29"/>
  <c r="T1266" i="29"/>
  <c r="S1266" i="29"/>
  <c r="AE1265" i="29"/>
  <c r="AF1265" i="29"/>
  <c r="BQ1268" i="29"/>
  <c r="BQ1269" i="29" s="1"/>
  <c r="BC1266" i="29"/>
  <c r="BF1266" i="29" s="1"/>
  <c r="BP1266" i="29"/>
  <c r="BD1267" i="29"/>
  <c r="BE1266" i="29"/>
  <c r="BG1266" i="29" s="1"/>
  <c r="BA1266" i="29" s="1"/>
  <c r="AZ1265" i="29"/>
  <c r="BH1265" i="29"/>
  <c r="BB1265" i="29" s="1"/>
  <c r="AC1265" i="29" l="1"/>
  <c r="U1266" i="29"/>
  <c r="AC1266" i="29" s="1"/>
  <c r="BO1269" i="29"/>
  <c r="BR1268" i="29"/>
  <c r="BN1269" i="29"/>
  <c r="BY1268" i="29"/>
  <c r="BQ1270" i="29"/>
  <c r="V1266" i="29"/>
  <c r="S1267" i="29"/>
  <c r="T1267" i="29"/>
  <c r="AE1266" i="29"/>
  <c r="AF1266" i="29"/>
  <c r="Q1265" i="29"/>
  <c r="X1265" i="29" s="1"/>
  <c r="R1265" i="29"/>
  <c r="K1267" i="29"/>
  <c r="L1266" i="29"/>
  <c r="J1267" i="29"/>
  <c r="CA1265" i="29"/>
  <c r="BU1265" i="29" s="1"/>
  <c r="M1264" i="29"/>
  <c r="AA1264" i="29"/>
  <c r="W1264" i="29"/>
  <c r="Y1264" i="29" s="1"/>
  <c r="Z1264" i="29" s="1"/>
  <c r="AZ1266" i="29"/>
  <c r="BH1266" i="29"/>
  <c r="BB1266" i="29" s="1"/>
  <c r="BC1267" i="29"/>
  <c r="BF1267" i="29" s="1"/>
  <c r="BP1267" i="29"/>
  <c r="BD1268" i="29"/>
  <c r="BE1267" i="29"/>
  <c r="BG1267" i="29" s="1"/>
  <c r="BA1267" i="29" s="1"/>
  <c r="L1267" i="29" l="1"/>
  <c r="K1268" i="29"/>
  <c r="J1268" i="29"/>
  <c r="BN1270" i="29"/>
  <c r="BO1270" i="29"/>
  <c r="BR1269" i="29"/>
  <c r="AA1265" i="29"/>
  <c r="CA1266" i="29"/>
  <c r="BU1266" i="29" s="1"/>
  <c r="W1265" i="29"/>
  <c r="Y1265" i="29" s="1"/>
  <c r="Z1265" i="29" s="1"/>
  <c r="M1265" i="29"/>
  <c r="V1267" i="29"/>
  <c r="S1268" i="29"/>
  <c r="T1268" i="29"/>
  <c r="AE1267" i="29"/>
  <c r="AF1267" i="29"/>
  <c r="Q1266" i="29"/>
  <c r="X1266" i="29" s="1"/>
  <c r="R1266" i="29"/>
  <c r="U1267" i="29"/>
  <c r="AC1267" i="29" s="1"/>
  <c r="AB1266" i="29"/>
  <c r="BP1268" i="29"/>
  <c r="BD1269" i="29"/>
  <c r="BE1268" i="29"/>
  <c r="BG1268" i="29" s="1"/>
  <c r="BA1268" i="29" s="1"/>
  <c r="BC1268" i="29"/>
  <c r="BF1268" i="29" s="1"/>
  <c r="BH1267" i="29"/>
  <c r="BB1267" i="29" s="1"/>
  <c r="AZ1267" i="29"/>
  <c r="U1268" i="29" l="1"/>
  <c r="BN1271" i="29"/>
  <c r="BR1270" i="29"/>
  <c r="BY1270" i="29"/>
  <c r="BO1271" i="29"/>
  <c r="K1269" i="29"/>
  <c r="L1268" i="29"/>
  <c r="J1269" i="29"/>
  <c r="Q1267" i="29"/>
  <c r="X1267" i="29" s="1"/>
  <c r="R1267" i="29"/>
  <c r="M1266" i="29"/>
  <c r="W1266" i="29"/>
  <c r="Y1266" i="29" s="1"/>
  <c r="Z1266" i="29" s="1"/>
  <c r="CA1267" i="29"/>
  <c r="BU1267" i="29" s="1"/>
  <c r="AA1266" i="29"/>
  <c r="T1269" i="29"/>
  <c r="S1269" i="29"/>
  <c r="V1268" i="29"/>
  <c r="AE1268" i="29"/>
  <c r="AF1268" i="29"/>
  <c r="AB1267" i="29"/>
  <c r="BQ1271" i="29"/>
  <c r="BC1269" i="29"/>
  <c r="BF1269" i="29" s="1"/>
  <c r="BP1269" i="29"/>
  <c r="BD1270" i="29"/>
  <c r="BI1269" i="29"/>
  <c r="BE1269" i="29"/>
  <c r="BG1269" i="29" s="1"/>
  <c r="BA1269" i="29" s="1"/>
  <c r="BH1268" i="29"/>
  <c r="BB1268" i="29" s="1"/>
  <c r="AZ1268" i="29"/>
  <c r="Q1268" i="29" l="1"/>
  <c r="R1268" i="29"/>
  <c r="BY1271" i="29"/>
  <c r="BN1272" i="29"/>
  <c r="BO1272" i="29"/>
  <c r="BR1271" i="29"/>
  <c r="BQ1272" i="29"/>
  <c r="U1269" i="29"/>
  <c r="AC1269" i="29" s="1"/>
  <c r="V1269" i="29"/>
  <c r="S1270" i="29"/>
  <c r="T1270" i="29"/>
  <c r="AE1269" i="29"/>
  <c r="AF1269" i="29"/>
  <c r="CA1268" i="29"/>
  <c r="BU1268" i="29" s="1"/>
  <c r="W1267" i="29"/>
  <c r="Y1267" i="29" s="1"/>
  <c r="Z1267" i="29" s="1"/>
  <c r="M1267" i="29"/>
  <c r="AA1267" i="29"/>
  <c r="L1269" i="29"/>
  <c r="J1270" i="29"/>
  <c r="K1270" i="29"/>
  <c r="BH1269" i="29"/>
  <c r="BB1269" i="29" s="1"/>
  <c r="AZ1269" i="29"/>
  <c r="BE1270" i="29"/>
  <c r="BG1270" i="29" s="1"/>
  <c r="BA1270" i="29" s="1"/>
  <c r="BP1270" i="29"/>
  <c r="BD1271" i="29"/>
  <c r="BC1270" i="29"/>
  <c r="BF1270" i="29" s="1"/>
  <c r="AB1269" i="29" l="1"/>
  <c r="T1271" i="29"/>
  <c r="S1271" i="29"/>
  <c r="V1270" i="29"/>
  <c r="AF1270" i="29"/>
  <c r="AE1270" i="29"/>
  <c r="BY1272" i="29"/>
  <c r="BR1272" i="29"/>
  <c r="BO1273" i="29"/>
  <c r="BN1273" i="29"/>
  <c r="CA1269" i="29"/>
  <c r="BU1269" i="29" s="1"/>
  <c r="AA1268" i="29"/>
  <c r="W1268" i="29"/>
  <c r="CB1269" i="29" s="1"/>
  <c r="BV1269" i="29" s="1"/>
  <c r="K1271" i="29"/>
  <c r="J1271" i="29"/>
  <c r="L1270" i="29"/>
  <c r="BQ1273" i="29"/>
  <c r="BQ1274" i="29" s="1"/>
  <c r="U1270" i="29"/>
  <c r="Q1269" i="29"/>
  <c r="X1269" i="29" s="1"/>
  <c r="R1269" i="29"/>
  <c r="AZ1270" i="29"/>
  <c r="BH1270" i="29"/>
  <c r="BB1270" i="29" s="1"/>
  <c r="BD1272" i="29"/>
  <c r="BC1271" i="29"/>
  <c r="BF1271" i="29" s="1"/>
  <c r="BE1271" i="29"/>
  <c r="BG1271" i="29" s="1"/>
  <c r="BA1271" i="29" s="1"/>
  <c r="BP1271" i="29"/>
  <c r="Q1270" i="29" l="1"/>
  <c r="X1270" i="29" s="1"/>
  <c r="R1270" i="29"/>
  <c r="AB1270" i="29"/>
  <c r="M1269" i="29"/>
  <c r="CA1270" i="29"/>
  <c r="BU1270" i="29" s="1"/>
  <c r="AA1269" i="29"/>
  <c r="W1269" i="29"/>
  <c r="Y1269" i="29" s="1"/>
  <c r="AC1270" i="29"/>
  <c r="K1272" i="29"/>
  <c r="J1272" i="29"/>
  <c r="L1271" i="29"/>
  <c r="CC1269" i="29"/>
  <c r="U1271" i="29"/>
  <c r="AB1271" i="29" s="1"/>
  <c r="V1271" i="29"/>
  <c r="S1272" i="29"/>
  <c r="T1272" i="29"/>
  <c r="AE1271" i="29"/>
  <c r="AF1271" i="29"/>
  <c r="Y1268" i="29"/>
  <c r="Z1268" i="29" s="1"/>
  <c r="CB1265" i="29"/>
  <c r="CB1264" i="29"/>
  <c r="CB1262" i="29"/>
  <c r="CB1267" i="29"/>
  <c r="CB1263" i="29"/>
  <c r="CB1268" i="29"/>
  <c r="CB1266" i="29"/>
  <c r="BY1273" i="29"/>
  <c r="BN1274" i="29"/>
  <c r="BR1273" i="29"/>
  <c r="BO1274" i="29"/>
  <c r="BQ1275" i="29" s="1"/>
  <c r="BH1271" i="29"/>
  <c r="BB1271" i="29" s="1"/>
  <c r="AZ1271" i="29"/>
  <c r="BE1272" i="29"/>
  <c r="BG1272" i="29" s="1"/>
  <c r="BA1272" i="29" s="1"/>
  <c r="BC1272" i="29"/>
  <c r="BF1272" i="29" s="1"/>
  <c r="BP1272" i="29"/>
  <c r="BD1273" i="29"/>
  <c r="BV1268" i="29" l="1"/>
  <c r="CC1268" i="29"/>
  <c r="BV1264" i="29"/>
  <c r="CC1264" i="29"/>
  <c r="K1273" i="29"/>
  <c r="L1272" i="29"/>
  <c r="J1273" i="29"/>
  <c r="BV1266" i="29"/>
  <c r="CC1266" i="29"/>
  <c r="BV1265" i="29"/>
  <c r="CC1265" i="29"/>
  <c r="S1273" i="29"/>
  <c r="T1273" i="29"/>
  <c r="V1272" i="29"/>
  <c r="AF1272" i="29"/>
  <c r="AE1272" i="29"/>
  <c r="Q1271" i="29"/>
  <c r="X1271" i="29" s="1"/>
  <c r="R1271" i="29"/>
  <c r="BV1263" i="29"/>
  <c r="CC1263" i="29"/>
  <c r="BV1267" i="29"/>
  <c r="CC1267" i="29"/>
  <c r="Z1269" i="29"/>
  <c r="AC1268" i="29"/>
  <c r="AB1268" i="29"/>
  <c r="U1272" i="29"/>
  <c r="AC1271" i="29"/>
  <c r="BO1275" i="29"/>
  <c r="BR1274" i="29"/>
  <c r="BY1274" i="29"/>
  <c r="BN1275" i="29"/>
  <c r="BV1262" i="29"/>
  <c r="CC1262" i="29"/>
  <c r="CA1271" i="29"/>
  <c r="BU1271" i="29" s="1"/>
  <c r="M1270" i="29"/>
  <c r="AA1270" i="29"/>
  <c r="W1270" i="29"/>
  <c r="Y1270" i="29" s="1"/>
  <c r="BD1274" i="29"/>
  <c r="BC1273" i="29"/>
  <c r="BF1273" i="29" s="1"/>
  <c r="BE1273" i="29"/>
  <c r="BG1273" i="29" s="1"/>
  <c r="BA1273" i="29" s="1"/>
  <c r="BP1273" i="29"/>
  <c r="BH1272" i="29"/>
  <c r="BB1272" i="29" s="1"/>
  <c r="AZ1272" i="29"/>
  <c r="R1272" i="29" l="1"/>
  <c r="Q1272" i="29"/>
  <c r="M1271" i="29"/>
  <c r="AA1271" i="29"/>
  <c r="CA1272" i="29"/>
  <c r="BU1272" i="29" s="1"/>
  <c r="W1271" i="29"/>
  <c r="Y1271" i="29" s="1"/>
  <c r="T1274" i="29"/>
  <c r="V1273" i="29"/>
  <c r="S1274" i="29"/>
  <c r="AF1273" i="29"/>
  <c r="AE1273" i="29"/>
  <c r="AC1272" i="29"/>
  <c r="Z1270" i="29"/>
  <c r="U1273" i="29"/>
  <c r="AC1273" i="29" s="1"/>
  <c r="J1274" i="29"/>
  <c r="K1274" i="29"/>
  <c r="L1273" i="29"/>
  <c r="BY1275" i="29"/>
  <c r="BO1276" i="29"/>
  <c r="BR1275" i="29"/>
  <c r="BN1276" i="29"/>
  <c r="AB1272" i="29"/>
  <c r="BQ1276" i="29"/>
  <c r="AZ1273" i="29"/>
  <c r="BH1273" i="29"/>
  <c r="BB1273" i="29" s="1"/>
  <c r="BP1274" i="29"/>
  <c r="BE1274" i="29"/>
  <c r="BG1274" i="29" s="1"/>
  <c r="BA1274" i="29" s="1"/>
  <c r="BD1275" i="29"/>
  <c r="BC1274" i="29"/>
  <c r="BF1274" i="29" s="1"/>
  <c r="CA1273" i="29" l="1"/>
  <c r="BU1273" i="29" s="1"/>
  <c r="W1272" i="29"/>
  <c r="Y1272" i="29" s="1"/>
  <c r="M1272" i="29"/>
  <c r="AA1272" i="29"/>
  <c r="L1274" i="29"/>
  <c r="J1275" i="29"/>
  <c r="K1275" i="29"/>
  <c r="BO1277" i="29"/>
  <c r="BN1277" i="29"/>
  <c r="BY1276" i="29"/>
  <c r="BR1276" i="29"/>
  <c r="Z1271" i="29"/>
  <c r="U1274" i="29"/>
  <c r="R1273" i="29"/>
  <c r="Q1273" i="29"/>
  <c r="X1273" i="29" s="1"/>
  <c r="BQ1277" i="29"/>
  <c r="AB1273" i="29"/>
  <c r="T1275" i="29"/>
  <c r="V1274" i="29"/>
  <c r="S1275" i="29"/>
  <c r="AE1274" i="29"/>
  <c r="AF1274" i="29"/>
  <c r="X1272" i="29"/>
  <c r="BH1274" i="29"/>
  <c r="BB1274" i="29" s="1"/>
  <c r="AZ1274" i="29"/>
  <c r="BE1275" i="29"/>
  <c r="BG1275" i="29" s="1"/>
  <c r="BA1275" i="29" s="1"/>
  <c r="BD1276" i="29"/>
  <c r="BP1275" i="29"/>
  <c r="BC1275" i="29"/>
  <c r="BF1275" i="29" s="1"/>
  <c r="Z1272" i="29" l="1"/>
  <c r="Q1274" i="29"/>
  <c r="X1274" i="29" s="1"/>
  <c r="R1274" i="29"/>
  <c r="J1276" i="29"/>
  <c r="L1275" i="29"/>
  <c r="K1276" i="29"/>
  <c r="U1275" i="29"/>
  <c r="AC1275" i="29" s="1"/>
  <c r="AC1274" i="29"/>
  <c r="BQ1278" i="29"/>
  <c r="W1273" i="29"/>
  <c r="Y1273" i="29" s="1"/>
  <c r="Z1273" i="29" s="1"/>
  <c r="AA1273" i="29"/>
  <c r="CA1274" i="29"/>
  <c r="BU1274" i="29" s="1"/>
  <c r="M1273" i="29"/>
  <c r="AB1274" i="29"/>
  <c r="BO1278" i="29"/>
  <c r="BY1277" i="29"/>
  <c r="BN1278" i="29"/>
  <c r="BR1277" i="29"/>
  <c r="S1276" i="29"/>
  <c r="T1276" i="29"/>
  <c r="V1275" i="29"/>
  <c r="AF1275" i="29"/>
  <c r="AE1275" i="29"/>
  <c r="BH1275" i="29"/>
  <c r="BB1275" i="29" s="1"/>
  <c r="AZ1275" i="29"/>
  <c r="BE1276" i="29"/>
  <c r="BG1276" i="29" s="1"/>
  <c r="BA1276" i="29" s="1"/>
  <c r="BD1277" i="29"/>
  <c r="BP1276" i="29"/>
  <c r="BC1276" i="29"/>
  <c r="BF1276" i="29" s="1"/>
  <c r="BQ1279" i="29" l="1"/>
  <c r="AB1275" i="29"/>
  <c r="T1277" i="29"/>
  <c r="S1277" i="29"/>
  <c r="V1276" i="29"/>
  <c r="AF1276" i="29"/>
  <c r="AE1276" i="29"/>
  <c r="U1276" i="29"/>
  <c r="AB1276" i="29" s="1"/>
  <c r="BR1278" i="29"/>
  <c r="BN1279" i="29"/>
  <c r="BO1279" i="29"/>
  <c r="BY1278" i="29"/>
  <c r="J1277" i="29"/>
  <c r="K1277" i="29"/>
  <c r="L1276" i="29"/>
  <c r="R1275" i="29"/>
  <c r="Q1275" i="29"/>
  <c r="CA1275" i="29"/>
  <c r="BU1275" i="29" s="1"/>
  <c r="M1274" i="29"/>
  <c r="AA1274" i="29"/>
  <c r="W1274" i="29"/>
  <c r="Y1274" i="29" s="1"/>
  <c r="Z1274" i="29" s="1"/>
  <c r="BH1276" i="29"/>
  <c r="BB1276" i="29" s="1"/>
  <c r="AZ1276" i="29"/>
  <c r="BC1277" i="29"/>
  <c r="BF1277" i="29" s="1"/>
  <c r="BE1277" i="29"/>
  <c r="BG1277" i="29" s="1"/>
  <c r="BA1277" i="29" s="1"/>
  <c r="BD1278" i="29"/>
  <c r="BP1277" i="29"/>
  <c r="CA1276" i="29" l="1"/>
  <c r="BU1276" i="29" s="1"/>
  <c r="W1275" i="29"/>
  <c r="Y1275" i="29" s="1"/>
  <c r="Z1275" i="29" s="1"/>
  <c r="AA1275" i="29"/>
  <c r="M1275" i="29"/>
  <c r="L1277" i="29"/>
  <c r="J1278" i="29"/>
  <c r="K1278" i="29"/>
  <c r="BR1279" i="29"/>
  <c r="BY1279" i="29"/>
  <c r="BO1280" i="29"/>
  <c r="BN1280" i="29"/>
  <c r="AC1276" i="29"/>
  <c r="BQ1280" i="29"/>
  <c r="BQ1281" i="29" s="1"/>
  <c r="X1275" i="29"/>
  <c r="U1277" i="29"/>
  <c r="AC1277" i="29" s="1"/>
  <c r="V1277" i="29"/>
  <c r="T1278" i="29"/>
  <c r="S1278" i="29"/>
  <c r="AE1277" i="29"/>
  <c r="AF1277" i="29"/>
  <c r="R1276" i="29"/>
  <c r="Q1276" i="29"/>
  <c r="X1276" i="29" s="1"/>
  <c r="AZ1277" i="29"/>
  <c r="BH1277" i="29"/>
  <c r="BB1277" i="29" s="1"/>
  <c r="BD1279" i="29"/>
  <c r="BC1278" i="29"/>
  <c r="BF1278" i="29" s="1"/>
  <c r="BE1278" i="29"/>
  <c r="BG1278" i="29" s="1"/>
  <c r="BA1278" i="29" s="1"/>
  <c r="BP1278" i="29"/>
  <c r="Q1277" i="29" l="1"/>
  <c r="X1277" i="29" s="1"/>
  <c r="R1277" i="29"/>
  <c r="AA1276" i="29"/>
  <c r="W1276" i="29"/>
  <c r="Y1276" i="29" s="1"/>
  <c r="Z1276" i="29" s="1"/>
  <c r="CA1277" i="29"/>
  <c r="BU1277" i="29" s="1"/>
  <c r="M1276" i="29"/>
  <c r="U1278" i="29"/>
  <c r="AB1277" i="29"/>
  <c r="K1279" i="29"/>
  <c r="L1278" i="29"/>
  <c r="J1279" i="29"/>
  <c r="T1279" i="29"/>
  <c r="S1279" i="29"/>
  <c r="V1278" i="29"/>
  <c r="AF1278" i="29"/>
  <c r="AE1278" i="29"/>
  <c r="BY1280" i="29"/>
  <c r="BN1281" i="29"/>
  <c r="BO1281" i="29"/>
  <c r="BR1280" i="29"/>
  <c r="BH1278" i="29"/>
  <c r="BB1278" i="29" s="1"/>
  <c r="AZ1278" i="29"/>
  <c r="BD1280" i="29"/>
  <c r="BC1279" i="29"/>
  <c r="BF1279" i="29" s="1"/>
  <c r="BE1279" i="29"/>
  <c r="BG1279" i="29" s="1"/>
  <c r="BA1279" i="29" s="1"/>
  <c r="BP1279" i="29"/>
  <c r="U1279" i="29" l="1"/>
  <c r="K1280" i="29"/>
  <c r="J1280" i="29"/>
  <c r="L1279" i="29"/>
  <c r="Q1278" i="29"/>
  <c r="R1278" i="29"/>
  <c r="S1280" i="29"/>
  <c r="V1279" i="29"/>
  <c r="T1280" i="29"/>
  <c r="AE1279" i="29"/>
  <c r="AF1279" i="29"/>
  <c r="AC1278" i="29"/>
  <c r="BO1282" i="29"/>
  <c r="BN1282" i="29"/>
  <c r="BR1281" i="29"/>
  <c r="BQ1282" i="29"/>
  <c r="AB1278" i="29"/>
  <c r="W1277" i="29"/>
  <c r="Y1277" i="29" s="1"/>
  <c r="Z1277" i="29" s="1"/>
  <c r="M1277" i="29"/>
  <c r="AA1277" i="29"/>
  <c r="CA1278" i="29"/>
  <c r="BU1278" i="29" s="1"/>
  <c r="BH1279" i="29"/>
  <c r="BB1279" i="29" s="1"/>
  <c r="AZ1279" i="29"/>
  <c r="BD1281" i="29"/>
  <c r="BP1280" i="29"/>
  <c r="BC1280" i="29"/>
  <c r="BF1280" i="29" s="1"/>
  <c r="BE1280" i="29"/>
  <c r="BG1280" i="29" s="1"/>
  <c r="BA1280" i="29" s="1"/>
  <c r="AA1278" i="29" l="1"/>
  <c r="M1278" i="29"/>
  <c r="W1278" i="29"/>
  <c r="Y1278" i="29" s="1"/>
  <c r="Z1278" i="29" s="1"/>
  <c r="CA1279" i="29"/>
  <c r="BU1279" i="29" s="1"/>
  <c r="R1279" i="29"/>
  <c r="Q1279" i="29"/>
  <c r="X1279" i="29" s="1"/>
  <c r="U1280" i="29"/>
  <c r="AC1279" i="29"/>
  <c r="BR1282" i="29"/>
  <c r="BY1282" i="29"/>
  <c r="BO1283" i="29"/>
  <c r="BN1283" i="29"/>
  <c r="X1278" i="29"/>
  <c r="AB1279" i="29"/>
  <c r="BQ1283" i="29"/>
  <c r="BQ1284" i="29" s="1"/>
  <c r="T1281" i="29"/>
  <c r="S1281" i="29"/>
  <c r="V1280" i="29"/>
  <c r="AF1280" i="29"/>
  <c r="AE1280" i="29"/>
  <c r="L1280" i="29"/>
  <c r="K1281" i="29"/>
  <c r="J1281" i="29"/>
  <c r="AZ1280" i="29"/>
  <c r="BH1280" i="29"/>
  <c r="BB1280" i="29" s="1"/>
  <c r="BP1281" i="29"/>
  <c r="BI1281" i="29"/>
  <c r="BE1281" i="29"/>
  <c r="BG1281" i="29" s="1"/>
  <c r="BA1281" i="29" s="1"/>
  <c r="BD1282" i="29"/>
  <c r="BC1281" i="29"/>
  <c r="BF1281" i="29" s="1"/>
  <c r="W1279" i="29" l="1"/>
  <c r="Y1279" i="29" s="1"/>
  <c r="Z1279" i="29" s="1"/>
  <c r="AA1279" i="29"/>
  <c r="M1279" i="29"/>
  <c r="CA1280" i="29"/>
  <c r="BU1280" i="29" s="1"/>
  <c r="T1282" i="29"/>
  <c r="S1282" i="29"/>
  <c r="V1281" i="29"/>
  <c r="AE1281" i="29"/>
  <c r="AF1281" i="29"/>
  <c r="Q1280" i="29"/>
  <c r="R1280" i="29"/>
  <c r="BR1283" i="29"/>
  <c r="BN1284" i="29"/>
  <c r="BO1284" i="29"/>
  <c r="BY1283" i="29"/>
  <c r="K1282" i="29"/>
  <c r="J1282" i="29"/>
  <c r="L1281" i="29"/>
  <c r="U1281" i="29"/>
  <c r="AB1281" i="29" s="1"/>
  <c r="BE1282" i="29"/>
  <c r="BG1282" i="29" s="1"/>
  <c r="BA1282" i="29" s="1"/>
  <c r="BC1282" i="29"/>
  <c r="BF1282" i="29" s="1"/>
  <c r="BP1282" i="29"/>
  <c r="BD1283" i="29"/>
  <c r="AZ1281" i="29"/>
  <c r="BH1281" i="29"/>
  <c r="BB1281" i="29" s="1"/>
  <c r="AC1281" i="29" l="1"/>
  <c r="R1281" i="29"/>
  <c r="Q1281" i="29"/>
  <c r="BR1284" i="29"/>
  <c r="BO1285" i="29"/>
  <c r="BN1285" i="29"/>
  <c r="BY1284" i="29"/>
  <c r="L1282" i="29"/>
  <c r="K1283" i="29"/>
  <c r="J1283" i="29"/>
  <c r="CA1281" i="29"/>
  <c r="BU1281" i="29" s="1"/>
  <c r="AA1280" i="29"/>
  <c r="W1280" i="29"/>
  <c r="CB1281" i="29" s="1"/>
  <c r="BV1281" i="29" s="1"/>
  <c r="U1282" i="29"/>
  <c r="BQ1285" i="29"/>
  <c r="BQ1286" i="29" s="1"/>
  <c r="V1282" i="29"/>
  <c r="T1283" i="29"/>
  <c r="S1283" i="29"/>
  <c r="AE1282" i="29"/>
  <c r="AF1282" i="29"/>
  <c r="BE1283" i="29"/>
  <c r="BG1283" i="29" s="1"/>
  <c r="BA1283" i="29" s="1"/>
  <c r="BD1284" i="29"/>
  <c r="BC1283" i="29"/>
  <c r="BF1283" i="29" s="1"/>
  <c r="BP1283" i="29"/>
  <c r="AZ1282" i="29"/>
  <c r="BH1282" i="29"/>
  <c r="BB1282" i="29" s="1"/>
  <c r="Y1280" i="29" l="1"/>
  <c r="Z1280" i="29" s="1"/>
  <c r="CB1279" i="29"/>
  <c r="CB1277" i="29"/>
  <c r="CB1278" i="29"/>
  <c r="CB1280" i="29"/>
  <c r="CB1276" i="29"/>
  <c r="CA1282" i="29"/>
  <c r="BU1282" i="29" s="1"/>
  <c r="M1281" i="29"/>
  <c r="W1281" i="29"/>
  <c r="Y1281" i="29" s="1"/>
  <c r="AA1281" i="29"/>
  <c r="K1284" i="29"/>
  <c r="L1283" i="29"/>
  <c r="J1284" i="29"/>
  <c r="X1281" i="29"/>
  <c r="U1283" i="29"/>
  <c r="AC1283" i="29" s="1"/>
  <c r="Q1282" i="29"/>
  <c r="X1282" i="29" s="1"/>
  <c r="R1282" i="29"/>
  <c r="T1284" i="29"/>
  <c r="S1284" i="29"/>
  <c r="V1283" i="29"/>
  <c r="AF1283" i="29"/>
  <c r="AE1283" i="29"/>
  <c r="AC1282" i="29"/>
  <c r="AB1282" i="29"/>
  <c r="BQ1287" i="29"/>
  <c r="CC1281" i="29"/>
  <c r="BN1286" i="29"/>
  <c r="BO1286" i="29"/>
  <c r="BY1285" i="29"/>
  <c r="BR1285" i="29"/>
  <c r="BD1285" i="29"/>
  <c r="BC1284" i="29"/>
  <c r="BF1284" i="29" s="1"/>
  <c r="BP1284" i="29"/>
  <c r="BE1284" i="29"/>
  <c r="BG1284" i="29" s="1"/>
  <c r="BA1284" i="29" s="1"/>
  <c r="BH1283" i="29"/>
  <c r="BB1283" i="29" s="1"/>
  <c r="AZ1283" i="29"/>
  <c r="AB1283" i="29" l="1"/>
  <c r="U1284" i="29"/>
  <c r="K1285" i="29"/>
  <c r="L1284" i="29"/>
  <c r="J1285" i="29"/>
  <c r="T1285" i="29"/>
  <c r="S1285" i="29"/>
  <c r="V1284" i="29"/>
  <c r="AF1284" i="29"/>
  <c r="AE1284" i="29"/>
  <c r="R1283" i="29"/>
  <c r="Q1283" i="29"/>
  <c r="BV1278" i="29"/>
  <c r="CC1278" i="29"/>
  <c r="BV1277" i="29"/>
  <c r="CC1277" i="29"/>
  <c r="BV1276" i="29"/>
  <c r="CC1276" i="29"/>
  <c r="BV1279" i="29"/>
  <c r="CC1279" i="29"/>
  <c r="BO1287" i="29"/>
  <c r="BQ1288" i="29" s="1"/>
  <c r="BY1286" i="29"/>
  <c r="BN1287" i="29"/>
  <c r="BR1286" i="29"/>
  <c r="CA1283" i="29"/>
  <c r="BU1283" i="29" s="1"/>
  <c r="AA1282" i="29"/>
  <c r="M1282" i="29"/>
  <c r="W1282" i="29"/>
  <c r="Y1282" i="29" s="1"/>
  <c r="BV1280" i="29"/>
  <c r="CC1280" i="29"/>
  <c r="Z1281" i="29"/>
  <c r="AB1280" i="29"/>
  <c r="AC1280" i="29"/>
  <c r="AZ1284" i="29"/>
  <c r="BH1284" i="29"/>
  <c r="BB1284" i="29" s="1"/>
  <c r="BD1286" i="29"/>
  <c r="BC1285" i="29"/>
  <c r="BF1285" i="29" s="1"/>
  <c r="BE1285" i="29"/>
  <c r="BG1285" i="29" s="1"/>
  <c r="BA1285" i="29" s="1"/>
  <c r="BP1285" i="29"/>
  <c r="Z1282" i="29" l="1"/>
  <c r="S1286" i="29"/>
  <c r="V1285" i="29"/>
  <c r="T1286" i="29"/>
  <c r="AE1285" i="29"/>
  <c r="AF1285" i="29"/>
  <c r="R1284" i="29"/>
  <c r="Q1284" i="29"/>
  <c r="X1284" i="29" s="1"/>
  <c r="CA1284" i="29"/>
  <c r="BU1284" i="29" s="1"/>
  <c r="AA1283" i="29"/>
  <c r="W1283" i="29"/>
  <c r="Y1283" i="29" s="1"/>
  <c r="Z1283" i="29" s="1"/>
  <c r="M1283" i="29"/>
  <c r="AC1284" i="29"/>
  <c r="AB1284" i="29"/>
  <c r="BO1288" i="29"/>
  <c r="BN1288" i="29"/>
  <c r="BR1287" i="29"/>
  <c r="BY1287" i="29"/>
  <c r="X1283" i="29"/>
  <c r="U1285" i="29"/>
  <c r="L1285" i="29"/>
  <c r="J1286" i="29"/>
  <c r="K1286" i="29"/>
  <c r="BH1285" i="29"/>
  <c r="BB1285" i="29" s="1"/>
  <c r="AZ1285" i="29"/>
  <c r="BP1286" i="29"/>
  <c r="BE1286" i="29"/>
  <c r="BG1286" i="29" s="1"/>
  <c r="BA1286" i="29" s="1"/>
  <c r="BD1287" i="29"/>
  <c r="BC1286" i="29"/>
  <c r="BF1286" i="29" s="1"/>
  <c r="R1285" i="29" l="1"/>
  <c r="Q1285" i="29"/>
  <c r="X1285" i="29" s="1"/>
  <c r="U1286" i="29"/>
  <c r="J1287" i="29"/>
  <c r="K1287" i="29"/>
  <c r="L1286" i="29"/>
  <c r="AB1285" i="29"/>
  <c r="AC1285" i="29"/>
  <c r="BN1289" i="29"/>
  <c r="BR1288" i="29"/>
  <c r="BO1289" i="29"/>
  <c r="BY1288" i="29"/>
  <c r="CA1285" i="29"/>
  <c r="BU1285" i="29" s="1"/>
  <c r="W1284" i="29"/>
  <c r="Y1284" i="29" s="1"/>
  <c r="Z1284" i="29" s="1"/>
  <c r="M1284" i="29"/>
  <c r="AA1284" i="29"/>
  <c r="V1286" i="29"/>
  <c r="T1287" i="29"/>
  <c r="S1287" i="29"/>
  <c r="AF1286" i="29"/>
  <c r="AE1286" i="29"/>
  <c r="BQ1289" i="29"/>
  <c r="BQ1290" i="29" s="1"/>
  <c r="BC1287" i="29"/>
  <c r="BF1287" i="29" s="1"/>
  <c r="BD1288" i="29"/>
  <c r="BE1287" i="29"/>
  <c r="BG1287" i="29" s="1"/>
  <c r="BA1287" i="29" s="1"/>
  <c r="BP1287" i="29"/>
  <c r="AZ1286" i="29"/>
  <c r="BH1286" i="29"/>
  <c r="BB1286" i="29" s="1"/>
  <c r="BY1289" i="29" l="1"/>
  <c r="BN1290" i="29"/>
  <c r="BR1289" i="29"/>
  <c r="BO1290" i="29"/>
  <c r="Q1286" i="29"/>
  <c r="R1286" i="29"/>
  <c r="AA1285" i="29"/>
  <c r="M1285" i="29"/>
  <c r="CA1286" i="29"/>
  <c r="BU1286" i="29" s="1"/>
  <c r="W1285" i="29"/>
  <c r="Y1285" i="29" s="1"/>
  <c r="Z1285" i="29" s="1"/>
  <c r="U1287" i="29"/>
  <c r="AB1287" i="29" s="1"/>
  <c r="AB1286" i="29"/>
  <c r="S1288" i="29"/>
  <c r="V1287" i="29"/>
  <c r="T1288" i="29"/>
  <c r="AE1287" i="29"/>
  <c r="AF1287" i="29"/>
  <c r="L1287" i="29"/>
  <c r="J1288" i="29"/>
  <c r="K1288" i="29"/>
  <c r="AC1286" i="29"/>
  <c r="BD1289" i="29"/>
  <c r="BE1288" i="29"/>
  <c r="BG1288" i="29" s="1"/>
  <c r="BA1288" i="29" s="1"/>
  <c r="BP1288" i="29"/>
  <c r="BC1288" i="29"/>
  <c r="BF1288" i="29" s="1"/>
  <c r="AZ1287" i="29"/>
  <c r="BH1287" i="29"/>
  <c r="BB1287" i="29" s="1"/>
  <c r="U1288" i="29" l="1"/>
  <c r="AC1287" i="29"/>
  <c r="T1289" i="29"/>
  <c r="S1289" i="29"/>
  <c r="V1288" i="29"/>
  <c r="AE1288" i="29"/>
  <c r="AF1288" i="29"/>
  <c r="M1286" i="29"/>
  <c r="CA1287" i="29"/>
  <c r="BU1287" i="29" s="1"/>
  <c r="W1286" i="29"/>
  <c r="Y1286" i="29" s="1"/>
  <c r="Z1286" i="29" s="1"/>
  <c r="AA1286" i="29"/>
  <c r="R1287" i="29"/>
  <c r="Q1287" i="29"/>
  <c r="X1287" i="29" s="1"/>
  <c r="BY1290" i="29"/>
  <c r="BR1290" i="29"/>
  <c r="BO1291" i="29"/>
  <c r="BN1291" i="29"/>
  <c r="BQ1291" i="29"/>
  <c r="BQ1292" i="29" s="1"/>
  <c r="J1289" i="29"/>
  <c r="K1289" i="29"/>
  <c r="L1288" i="29"/>
  <c r="X1286" i="29"/>
  <c r="AZ1288" i="29"/>
  <c r="BH1288" i="29"/>
  <c r="BB1288" i="29" s="1"/>
  <c r="BD1290" i="29"/>
  <c r="BP1289" i="29"/>
  <c r="BC1289" i="29"/>
  <c r="BF1289" i="29" s="1"/>
  <c r="BE1289" i="29"/>
  <c r="BG1289" i="29" s="1"/>
  <c r="BA1289" i="29" s="1"/>
  <c r="U1289" i="29" l="1"/>
  <c r="AC1289" i="29" s="1"/>
  <c r="R1288" i="29"/>
  <c r="Q1288" i="29"/>
  <c r="X1288" i="29" s="1"/>
  <c r="V1289" i="29"/>
  <c r="S1290" i="29"/>
  <c r="T1290" i="29"/>
  <c r="AF1289" i="29"/>
  <c r="AE1289" i="29"/>
  <c r="AB1288" i="29"/>
  <c r="AC1288" i="29"/>
  <c r="K1290" i="29"/>
  <c r="J1290" i="29"/>
  <c r="L1289" i="29"/>
  <c r="BY1291" i="29"/>
  <c r="BR1291" i="29"/>
  <c r="BN1292" i="29"/>
  <c r="BO1292" i="29"/>
  <c r="CA1288" i="29"/>
  <c r="BU1288" i="29" s="1"/>
  <c r="W1287" i="29"/>
  <c r="Y1287" i="29" s="1"/>
  <c r="Z1287" i="29" s="1"/>
  <c r="M1287" i="29"/>
  <c r="AA1287" i="29"/>
  <c r="BH1289" i="29"/>
  <c r="BB1289" i="29" s="1"/>
  <c r="AZ1289" i="29"/>
  <c r="BE1290" i="29"/>
  <c r="BG1290" i="29" s="1"/>
  <c r="BA1290" i="29" s="1"/>
  <c r="BP1290" i="29"/>
  <c r="BC1290" i="29"/>
  <c r="BF1290" i="29" s="1"/>
  <c r="BD1291" i="29"/>
  <c r="Q1289" i="29" l="1"/>
  <c r="X1289" i="29" s="1"/>
  <c r="R1289" i="29"/>
  <c r="BO1293" i="29"/>
  <c r="BR1292" i="29"/>
  <c r="BY1292" i="29"/>
  <c r="BN1293" i="29"/>
  <c r="BQ1293" i="29"/>
  <c r="T1291" i="29"/>
  <c r="S1291" i="29"/>
  <c r="V1290" i="29"/>
  <c r="AE1290" i="29"/>
  <c r="AF1290" i="29"/>
  <c r="AA1288" i="29"/>
  <c r="CA1289" i="29"/>
  <c r="BU1289" i="29" s="1"/>
  <c r="W1288" i="29"/>
  <c r="Y1288" i="29" s="1"/>
  <c r="Z1288" i="29" s="1"/>
  <c r="M1288" i="29"/>
  <c r="AB1289" i="29"/>
  <c r="J1291" i="29"/>
  <c r="L1290" i="29"/>
  <c r="K1291" i="29"/>
  <c r="U1290" i="29"/>
  <c r="AC1290" i="29" s="1"/>
  <c r="BH1290" i="29"/>
  <c r="BB1290" i="29" s="1"/>
  <c r="AZ1290" i="29"/>
  <c r="BD1292" i="29"/>
  <c r="BC1291" i="29"/>
  <c r="BF1291" i="29" s="1"/>
  <c r="BP1291" i="29"/>
  <c r="BE1291" i="29"/>
  <c r="BG1291" i="29" s="1"/>
  <c r="BA1291" i="29" s="1"/>
  <c r="L1291" i="29" l="1"/>
  <c r="K1292" i="29"/>
  <c r="J1292" i="29"/>
  <c r="BN1294" i="29"/>
  <c r="BO1294" i="29"/>
  <c r="BR1293" i="29"/>
  <c r="U1291" i="29"/>
  <c r="AC1291" i="29" s="1"/>
  <c r="S1292" i="29"/>
  <c r="T1292" i="29"/>
  <c r="V1291" i="29"/>
  <c r="AE1291" i="29"/>
  <c r="AF1291" i="29"/>
  <c r="Q1290" i="29"/>
  <c r="X1290" i="29" s="1"/>
  <c r="R1290" i="29"/>
  <c r="AB1290" i="29"/>
  <c r="BQ1294" i="29"/>
  <c r="BQ1295" i="29" s="1"/>
  <c r="W1289" i="29"/>
  <c r="Y1289" i="29" s="1"/>
  <c r="Z1289" i="29" s="1"/>
  <c r="CA1290" i="29"/>
  <c r="BU1290" i="29" s="1"/>
  <c r="AA1289" i="29"/>
  <c r="M1289" i="29"/>
  <c r="BD1293" i="29"/>
  <c r="BC1292" i="29"/>
  <c r="BF1292" i="29" s="1"/>
  <c r="BE1292" i="29"/>
  <c r="BG1292" i="29" s="1"/>
  <c r="BA1292" i="29" s="1"/>
  <c r="BP1292" i="29"/>
  <c r="BH1291" i="29"/>
  <c r="BB1291" i="29" s="1"/>
  <c r="AZ1291" i="29"/>
  <c r="K1293" i="29" l="1"/>
  <c r="L1292" i="29"/>
  <c r="J1293" i="29"/>
  <c r="CA1291" i="29"/>
  <c r="BU1291" i="29" s="1"/>
  <c r="AA1290" i="29"/>
  <c r="W1290" i="29"/>
  <c r="Y1290" i="29" s="1"/>
  <c r="Z1290" i="29" s="1"/>
  <c r="M1290" i="29"/>
  <c r="S1293" i="29"/>
  <c r="V1292" i="29"/>
  <c r="T1293" i="29"/>
  <c r="AE1292" i="29"/>
  <c r="AF1292" i="29"/>
  <c r="Q1291" i="29"/>
  <c r="X1291" i="29" s="1"/>
  <c r="R1291" i="29"/>
  <c r="U1292" i="29"/>
  <c r="AB1291" i="29"/>
  <c r="BN1295" i="29"/>
  <c r="BO1295" i="29"/>
  <c r="BY1294" i="29"/>
  <c r="BR1294" i="29"/>
  <c r="BH1292" i="29"/>
  <c r="BB1292" i="29" s="1"/>
  <c r="AZ1292" i="29"/>
  <c r="BC1293" i="29"/>
  <c r="BF1293" i="29" s="1"/>
  <c r="BD1294" i="29"/>
  <c r="BI1293" i="29"/>
  <c r="BE1293" i="29"/>
  <c r="BG1293" i="29" s="1"/>
  <c r="BA1293" i="29" s="1"/>
  <c r="BP1293" i="29"/>
  <c r="U1293" i="29" l="1"/>
  <c r="AC1293" i="29" s="1"/>
  <c r="BY1295" i="29"/>
  <c r="BN1296" i="29"/>
  <c r="BR1295" i="29"/>
  <c r="BO1296" i="29"/>
  <c r="T1294" i="29"/>
  <c r="V1293" i="29"/>
  <c r="S1294" i="29"/>
  <c r="AF1293" i="29"/>
  <c r="AE1293" i="29"/>
  <c r="Q1292" i="29"/>
  <c r="R1292" i="29"/>
  <c r="AA1291" i="29"/>
  <c r="M1291" i="29"/>
  <c r="CA1292" i="29"/>
  <c r="BU1292" i="29" s="1"/>
  <c r="W1291" i="29"/>
  <c r="Y1291" i="29" s="1"/>
  <c r="Z1291" i="29" s="1"/>
  <c r="BQ1296" i="29"/>
  <c r="BQ1297" i="29" s="1"/>
  <c r="L1293" i="29"/>
  <c r="K1294" i="29"/>
  <c r="J1294" i="29"/>
  <c r="BE1294" i="29"/>
  <c r="BG1294" i="29" s="1"/>
  <c r="BA1294" i="29" s="1"/>
  <c r="BD1295" i="29"/>
  <c r="BC1294" i="29"/>
  <c r="BF1294" i="29" s="1"/>
  <c r="BP1294" i="29"/>
  <c r="BH1293" i="29"/>
  <c r="BB1293" i="29" s="1"/>
  <c r="AZ1293" i="29"/>
  <c r="BO1297" i="29" l="1"/>
  <c r="BR1296" i="29"/>
  <c r="BN1297" i="29"/>
  <c r="BY1296" i="29"/>
  <c r="R1293" i="29"/>
  <c r="Q1293" i="29"/>
  <c r="CA1293" i="29"/>
  <c r="BU1293" i="29" s="1"/>
  <c r="W1292" i="29"/>
  <c r="CB1293" i="29" s="1"/>
  <c r="BV1293" i="29" s="1"/>
  <c r="AA1292" i="29"/>
  <c r="U1294" i="29"/>
  <c r="L1294" i="29"/>
  <c r="J1295" i="29"/>
  <c r="K1295" i="29"/>
  <c r="AB1293" i="29"/>
  <c r="V1294" i="29"/>
  <c r="T1295" i="29"/>
  <c r="S1295" i="29"/>
  <c r="AF1294" i="29"/>
  <c r="AE1294" i="29"/>
  <c r="BC1295" i="29"/>
  <c r="BF1295" i="29" s="1"/>
  <c r="BP1295" i="29"/>
  <c r="BD1296" i="29"/>
  <c r="BE1295" i="29"/>
  <c r="BG1295" i="29" s="1"/>
  <c r="BA1295" i="29" s="1"/>
  <c r="AZ1294" i="29"/>
  <c r="BH1294" i="29"/>
  <c r="BB1294" i="29" s="1"/>
  <c r="M1293" i="29" l="1"/>
  <c r="CA1294" i="29"/>
  <c r="BU1294" i="29" s="1"/>
  <c r="W1293" i="29"/>
  <c r="Y1293" i="29" s="1"/>
  <c r="AA1293" i="29"/>
  <c r="Y1292" i="29"/>
  <c r="Z1292" i="29" s="1"/>
  <c r="CB1291" i="29"/>
  <c r="CB1289" i="29"/>
  <c r="CB1288" i="29"/>
  <c r="CB1292" i="29"/>
  <c r="CB1287" i="29"/>
  <c r="CB1290" i="29"/>
  <c r="BR1297" i="29"/>
  <c r="BY1297" i="29"/>
  <c r="BN1298" i="29"/>
  <c r="BO1298" i="29"/>
  <c r="V1295" i="29"/>
  <c r="T1296" i="29"/>
  <c r="S1296" i="29"/>
  <c r="AE1295" i="29"/>
  <c r="AF1295" i="29"/>
  <c r="Q1294" i="29"/>
  <c r="R1294" i="29"/>
  <c r="X1294" i="29"/>
  <c r="L1295" i="29"/>
  <c r="J1296" i="29"/>
  <c r="K1296" i="29"/>
  <c r="AB1294" i="29"/>
  <c r="AC1294" i="29"/>
  <c r="U1295" i="29"/>
  <c r="CC1293" i="29"/>
  <c r="BQ1298" i="29"/>
  <c r="X1293" i="29"/>
  <c r="AZ1295" i="29"/>
  <c r="BH1295" i="29"/>
  <c r="BB1295" i="29" s="1"/>
  <c r="BC1296" i="29"/>
  <c r="BF1296" i="29" s="1"/>
  <c r="BP1296" i="29"/>
  <c r="BE1296" i="29"/>
  <c r="BG1296" i="29" s="1"/>
  <c r="BA1296" i="29" s="1"/>
  <c r="BD1297" i="29"/>
  <c r="R1295" i="29" l="1"/>
  <c r="Q1295" i="29"/>
  <c r="BN1299" i="29"/>
  <c r="BY1298" i="29"/>
  <c r="BO1299" i="29"/>
  <c r="BR1298" i="29"/>
  <c r="K1297" i="29"/>
  <c r="J1297" i="29"/>
  <c r="L1296" i="29"/>
  <c r="BV1291" i="29"/>
  <c r="CC1291" i="29"/>
  <c r="AB1295" i="29"/>
  <c r="U1296" i="29"/>
  <c r="AC1296" i="29" s="1"/>
  <c r="BV1292" i="29"/>
  <c r="CC1292" i="29"/>
  <c r="Z1293" i="29"/>
  <c r="AC1292" i="29"/>
  <c r="AB1292" i="29"/>
  <c r="BV1287" i="29"/>
  <c r="CC1287" i="29"/>
  <c r="BQ1299" i="29"/>
  <c r="BQ1300" i="29" s="1"/>
  <c r="AC1295" i="29"/>
  <c r="CA1295" i="29"/>
  <c r="BU1295" i="29" s="1"/>
  <c r="W1294" i="29"/>
  <c r="Y1294" i="29" s="1"/>
  <c r="AA1294" i="29"/>
  <c r="M1294" i="29"/>
  <c r="T1297" i="29"/>
  <c r="S1297" i="29"/>
  <c r="V1296" i="29"/>
  <c r="AF1296" i="29"/>
  <c r="AE1296" i="29"/>
  <c r="BV1288" i="29"/>
  <c r="CC1288" i="29"/>
  <c r="BV1290" i="29"/>
  <c r="CC1290" i="29"/>
  <c r="BV1289" i="29"/>
  <c r="CC1289" i="29"/>
  <c r="BE1297" i="29"/>
  <c r="BG1297" i="29" s="1"/>
  <c r="BA1297" i="29" s="1"/>
  <c r="BC1297" i="29"/>
  <c r="BF1297" i="29" s="1"/>
  <c r="BP1297" i="29"/>
  <c r="BD1298" i="29"/>
  <c r="AZ1296" i="29"/>
  <c r="BH1296" i="29"/>
  <c r="BB1296" i="29" s="1"/>
  <c r="Q1296" i="29" l="1"/>
  <c r="X1296" i="29" s="1"/>
  <c r="R1296" i="29"/>
  <c r="V1297" i="29"/>
  <c r="T1298" i="29"/>
  <c r="S1298" i="29"/>
  <c r="AF1297" i="29"/>
  <c r="AE1297" i="29"/>
  <c r="Z1294" i="29"/>
  <c r="AB1296" i="29"/>
  <c r="J1298" i="29"/>
  <c r="L1297" i="29"/>
  <c r="K1298" i="29"/>
  <c r="X1295" i="29"/>
  <c r="W1295" i="29"/>
  <c r="Y1295" i="29" s="1"/>
  <c r="CA1296" i="29"/>
  <c r="BU1296" i="29" s="1"/>
  <c r="M1295" i="29"/>
  <c r="AA1295" i="29"/>
  <c r="U1297" i="29"/>
  <c r="AC1297" i="29" s="1"/>
  <c r="BR1299" i="29"/>
  <c r="BN1300" i="29"/>
  <c r="BO1300" i="29"/>
  <c r="BY1299" i="29"/>
  <c r="BD1299" i="29"/>
  <c r="BP1298" i="29"/>
  <c r="BE1298" i="29"/>
  <c r="BG1298" i="29" s="1"/>
  <c r="BA1298" i="29" s="1"/>
  <c r="BC1298" i="29"/>
  <c r="BF1298" i="29" s="1"/>
  <c r="BH1297" i="29"/>
  <c r="BB1297" i="29" s="1"/>
  <c r="AZ1297" i="29"/>
  <c r="BY1300" i="29" l="1"/>
  <c r="BR1300" i="29"/>
  <c r="BN1301" i="29"/>
  <c r="BO1301" i="29"/>
  <c r="AB1297" i="29"/>
  <c r="U1298" i="29"/>
  <c r="AB1298" i="29" s="1"/>
  <c r="R1297" i="29"/>
  <c r="Q1297" i="29"/>
  <c r="J1299" i="29"/>
  <c r="L1298" i="29"/>
  <c r="K1299" i="29"/>
  <c r="Z1295" i="29"/>
  <c r="S1299" i="29"/>
  <c r="V1298" i="29"/>
  <c r="T1299" i="29"/>
  <c r="AE1298" i="29"/>
  <c r="AF1298" i="29"/>
  <c r="M1296" i="29"/>
  <c r="CA1297" i="29"/>
  <c r="BU1297" i="29" s="1"/>
  <c r="W1296" i="29"/>
  <c r="Y1296" i="29" s="1"/>
  <c r="AA1296" i="29"/>
  <c r="BQ1301" i="29"/>
  <c r="BQ1302" i="29" s="1"/>
  <c r="BD1300" i="29"/>
  <c r="BE1299" i="29"/>
  <c r="BG1299" i="29" s="1"/>
  <c r="BA1299" i="29" s="1"/>
  <c r="BP1299" i="29"/>
  <c r="BC1299" i="29"/>
  <c r="BF1299" i="29" s="1"/>
  <c r="BH1298" i="29"/>
  <c r="BB1298" i="29" s="1"/>
  <c r="AZ1298" i="29"/>
  <c r="Z1296" i="29" l="1"/>
  <c r="CA1298" i="29"/>
  <c r="BU1298" i="29" s="1"/>
  <c r="AA1297" i="29"/>
  <c r="W1297" i="29"/>
  <c r="Y1297" i="29" s="1"/>
  <c r="M1297" i="29"/>
  <c r="AC1298" i="29"/>
  <c r="BN1302" i="29"/>
  <c r="BR1301" i="29"/>
  <c r="BO1302" i="29"/>
  <c r="BY1301" i="29"/>
  <c r="V1299" i="29"/>
  <c r="S1300" i="29"/>
  <c r="T1300" i="29"/>
  <c r="AF1299" i="29"/>
  <c r="AE1299" i="29"/>
  <c r="J1300" i="29"/>
  <c r="K1300" i="29"/>
  <c r="L1299" i="29"/>
  <c r="X1297" i="29"/>
  <c r="U1299" i="29"/>
  <c r="R1298" i="29"/>
  <c r="Q1298" i="29"/>
  <c r="X1298" i="29" s="1"/>
  <c r="BH1299" i="29"/>
  <c r="BB1299" i="29" s="1"/>
  <c r="AZ1299" i="29"/>
  <c r="BP1300" i="29"/>
  <c r="BD1301" i="29"/>
  <c r="BC1300" i="29"/>
  <c r="BF1300" i="29" s="1"/>
  <c r="BE1300" i="29"/>
  <c r="BG1300" i="29" s="1"/>
  <c r="BA1300" i="29" s="1"/>
  <c r="R1299" i="29" l="1"/>
  <c r="Q1299" i="29"/>
  <c r="X1299" i="29" s="1"/>
  <c r="L1300" i="29"/>
  <c r="K1301" i="29"/>
  <c r="J1301" i="29"/>
  <c r="S1301" i="29"/>
  <c r="V1300" i="29"/>
  <c r="T1301" i="29"/>
  <c r="AE1300" i="29"/>
  <c r="AF1300" i="29"/>
  <c r="BY1302" i="29"/>
  <c r="BO1303" i="29"/>
  <c r="BN1303" i="29"/>
  <c r="BR1302" i="29"/>
  <c r="AC1299" i="29"/>
  <c r="BQ1303" i="29"/>
  <c r="BQ1304" i="29" s="1"/>
  <c r="U1300" i="29"/>
  <c r="AC1300" i="29" s="1"/>
  <c r="W1298" i="29"/>
  <c r="Y1298" i="29" s="1"/>
  <c r="CA1299" i="29"/>
  <c r="BU1299" i="29" s="1"/>
  <c r="AA1298" i="29"/>
  <c r="M1298" i="29"/>
  <c r="AB1299" i="29"/>
  <c r="Z1297" i="29"/>
  <c r="AZ1300" i="29"/>
  <c r="BH1300" i="29"/>
  <c r="BB1300" i="29" s="1"/>
  <c r="BC1301" i="29"/>
  <c r="BF1301" i="29" s="1"/>
  <c r="BD1302" i="29"/>
  <c r="BP1301" i="29"/>
  <c r="BE1301" i="29"/>
  <c r="BG1301" i="29" s="1"/>
  <c r="BA1301" i="29" s="1"/>
  <c r="AB1300" i="29" l="1"/>
  <c r="Z1298" i="29"/>
  <c r="R1300" i="29"/>
  <c r="Q1300" i="29"/>
  <c r="X1300" i="29" s="1"/>
  <c r="U1301" i="29"/>
  <c r="AA1299" i="29"/>
  <c r="CA1300" i="29"/>
  <c r="BU1300" i="29" s="1"/>
  <c r="W1299" i="29"/>
  <c r="Y1299" i="29" s="1"/>
  <c r="Z1299" i="29" s="1"/>
  <c r="M1299" i="29"/>
  <c r="BQ1305" i="29"/>
  <c r="BN1304" i="29"/>
  <c r="BY1303" i="29"/>
  <c r="BO1304" i="29"/>
  <c r="BR1303" i="29"/>
  <c r="T1302" i="29"/>
  <c r="S1302" i="29"/>
  <c r="V1301" i="29"/>
  <c r="AF1301" i="29"/>
  <c r="AE1301" i="29"/>
  <c r="K1302" i="29"/>
  <c r="L1301" i="29"/>
  <c r="J1302" i="29"/>
  <c r="BE1302" i="29"/>
  <c r="BG1302" i="29" s="1"/>
  <c r="BA1302" i="29" s="1"/>
  <c r="BC1302" i="29"/>
  <c r="BF1302" i="29" s="1"/>
  <c r="BD1303" i="29"/>
  <c r="BP1302" i="29"/>
  <c r="AZ1301" i="29"/>
  <c r="BH1301" i="29"/>
  <c r="BB1301" i="29" s="1"/>
  <c r="R1301" i="29" l="1"/>
  <c r="Q1301" i="29"/>
  <c r="BR1304" i="29"/>
  <c r="BO1305" i="29"/>
  <c r="BY1304" i="29"/>
  <c r="BN1305" i="29"/>
  <c r="AB1301" i="29"/>
  <c r="L1302" i="29"/>
  <c r="J1303" i="29"/>
  <c r="K1303" i="29"/>
  <c r="U1302" i="29"/>
  <c r="AC1301" i="29"/>
  <c r="S1303" i="29"/>
  <c r="T1303" i="29"/>
  <c r="V1302" i="29"/>
  <c r="AE1302" i="29"/>
  <c r="AF1302" i="29"/>
  <c r="M1300" i="29"/>
  <c r="AA1300" i="29"/>
  <c r="W1300" i="29"/>
  <c r="Y1300" i="29" s="1"/>
  <c r="Z1300" i="29" s="1"/>
  <c r="CA1301" i="29"/>
  <c r="BU1301" i="29" s="1"/>
  <c r="BQ1306" i="29"/>
  <c r="BD1304" i="29"/>
  <c r="BP1303" i="29"/>
  <c r="BC1303" i="29"/>
  <c r="BF1303" i="29" s="1"/>
  <c r="BE1303" i="29"/>
  <c r="BG1303" i="29" s="1"/>
  <c r="BA1303" i="29" s="1"/>
  <c r="BH1302" i="29"/>
  <c r="BB1302" i="29" s="1"/>
  <c r="AZ1302" i="29"/>
  <c r="Q1302" i="29" l="1"/>
  <c r="X1302" i="29" s="1"/>
  <c r="R1302" i="29"/>
  <c r="W1301" i="29"/>
  <c r="Y1301" i="29" s="1"/>
  <c r="Z1301" i="29" s="1"/>
  <c r="M1301" i="29"/>
  <c r="CA1302" i="29"/>
  <c r="BU1302" i="29" s="1"/>
  <c r="AA1301" i="29"/>
  <c r="J1304" i="29"/>
  <c r="K1304" i="29"/>
  <c r="L1303" i="29"/>
  <c r="V1303" i="29"/>
  <c r="S1304" i="29"/>
  <c r="T1304" i="29"/>
  <c r="AE1303" i="29"/>
  <c r="AF1303" i="29"/>
  <c r="AB1302" i="29"/>
  <c r="BQ1307" i="29"/>
  <c r="U1303" i="29"/>
  <c r="AB1303" i="29" s="1"/>
  <c r="AC1302" i="29"/>
  <c r="BR1305" i="29"/>
  <c r="BN1306" i="29"/>
  <c r="BO1306" i="29"/>
  <c r="X1301" i="29"/>
  <c r="BP1304" i="29"/>
  <c r="BE1304" i="29"/>
  <c r="BG1304" i="29" s="1"/>
  <c r="BA1304" i="29" s="1"/>
  <c r="BD1305" i="29"/>
  <c r="BC1304" i="29"/>
  <c r="BF1304" i="29" s="1"/>
  <c r="AZ1303" i="29"/>
  <c r="BH1303" i="29"/>
  <c r="BB1303" i="29" s="1"/>
  <c r="AC1303" i="29" l="1"/>
  <c r="M1302" i="29"/>
  <c r="AA1302" i="29"/>
  <c r="W1302" i="29"/>
  <c r="Y1302" i="29" s="1"/>
  <c r="Z1302" i="29" s="1"/>
  <c r="CA1303" i="29"/>
  <c r="BU1303" i="29" s="1"/>
  <c r="T1305" i="29"/>
  <c r="S1305" i="29"/>
  <c r="V1304" i="29"/>
  <c r="AE1304" i="29"/>
  <c r="AF1304" i="29"/>
  <c r="L1304" i="29"/>
  <c r="J1305" i="29"/>
  <c r="K1305" i="29"/>
  <c r="BO1307" i="29"/>
  <c r="BN1307" i="29"/>
  <c r="BR1306" i="29"/>
  <c r="BY1306" i="29"/>
  <c r="Q1303" i="29"/>
  <c r="R1303" i="29"/>
  <c r="U1304" i="29"/>
  <c r="AZ1304" i="29"/>
  <c r="BH1304" i="29"/>
  <c r="BB1304" i="29" s="1"/>
  <c r="BD1306" i="29"/>
  <c r="BI1305" i="29"/>
  <c r="BE1305" i="29"/>
  <c r="BG1305" i="29" s="1"/>
  <c r="BA1305" i="29" s="1"/>
  <c r="BP1305" i="29"/>
  <c r="BC1305" i="29"/>
  <c r="BF1305" i="29" s="1"/>
  <c r="R1304" i="29" l="1"/>
  <c r="Q1304" i="29"/>
  <c r="U1305" i="29"/>
  <c r="AB1305" i="29" s="1"/>
  <c r="X1303" i="29"/>
  <c r="CA1304" i="29"/>
  <c r="BU1304" i="29" s="1"/>
  <c r="M1303" i="29"/>
  <c r="W1303" i="29"/>
  <c r="Y1303" i="29" s="1"/>
  <c r="Z1303" i="29" s="1"/>
  <c r="AA1303" i="29"/>
  <c r="BO1308" i="29"/>
  <c r="BY1307" i="29"/>
  <c r="BR1307" i="29"/>
  <c r="BN1308" i="29"/>
  <c r="V1305" i="29"/>
  <c r="T1306" i="29"/>
  <c r="S1306" i="29"/>
  <c r="AF1305" i="29"/>
  <c r="AE1305" i="29"/>
  <c r="J1306" i="29"/>
  <c r="L1305" i="29"/>
  <c r="K1306" i="29"/>
  <c r="BQ1308" i="29"/>
  <c r="BQ1309" i="29" s="1"/>
  <c r="BH1305" i="29"/>
  <c r="BB1305" i="29" s="1"/>
  <c r="AZ1305" i="29"/>
  <c r="BE1306" i="29"/>
  <c r="BG1306" i="29" s="1"/>
  <c r="BA1306" i="29" s="1"/>
  <c r="BD1307" i="29"/>
  <c r="BP1306" i="29"/>
  <c r="BC1306" i="29"/>
  <c r="BF1306" i="29" s="1"/>
  <c r="AC1305" i="29" l="1"/>
  <c r="T1307" i="29"/>
  <c r="S1307" i="29"/>
  <c r="V1306" i="29"/>
  <c r="AE1306" i="29"/>
  <c r="AF1306" i="29"/>
  <c r="BQ1310" i="29"/>
  <c r="BO1309" i="29"/>
  <c r="BR1308" i="29"/>
  <c r="BY1308" i="29"/>
  <c r="BN1309" i="29"/>
  <c r="Q1305" i="29"/>
  <c r="R1305" i="29"/>
  <c r="CA1305" i="29"/>
  <c r="BU1305" i="29" s="1"/>
  <c r="AA1304" i="29"/>
  <c r="W1304" i="29"/>
  <c r="CB1305" i="29" s="1"/>
  <c r="BV1305" i="29" s="1"/>
  <c r="J1307" i="29"/>
  <c r="L1306" i="29"/>
  <c r="K1307" i="29"/>
  <c r="U1306" i="29"/>
  <c r="AC1306" i="29" s="1"/>
  <c r="BD1308" i="29"/>
  <c r="BP1307" i="29"/>
  <c r="BE1307" i="29"/>
  <c r="BG1307" i="29" s="1"/>
  <c r="BA1307" i="29" s="1"/>
  <c r="BC1307" i="29"/>
  <c r="BF1307" i="29" s="1"/>
  <c r="AZ1306" i="29"/>
  <c r="BH1306" i="29"/>
  <c r="BB1306" i="29" s="1"/>
  <c r="AB1306" i="29" l="1"/>
  <c r="AA1305" i="29"/>
  <c r="M1305" i="29"/>
  <c r="CA1306" i="29"/>
  <c r="BU1306" i="29" s="1"/>
  <c r="W1305" i="29"/>
  <c r="Y1305" i="29" s="1"/>
  <c r="BR1309" i="29"/>
  <c r="BO1310" i="29"/>
  <c r="BN1310" i="29"/>
  <c r="BY1309" i="29"/>
  <c r="L1307" i="29"/>
  <c r="J1308" i="29"/>
  <c r="K1308" i="29"/>
  <c r="R1306" i="29"/>
  <c r="Q1306" i="29"/>
  <c r="CC1305" i="29"/>
  <c r="U1307" i="29"/>
  <c r="AC1307" i="29" s="1"/>
  <c r="X1305" i="29"/>
  <c r="V1307" i="29"/>
  <c r="T1308" i="29"/>
  <c r="S1308" i="29"/>
  <c r="AE1307" i="29"/>
  <c r="AF1307" i="29"/>
  <c r="Y1304" i="29"/>
  <c r="Z1304" i="29" s="1"/>
  <c r="CB1300" i="29"/>
  <c r="CB1303" i="29"/>
  <c r="CB1301" i="29"/>
  <c r="CB1298" i="29"/>
  <c r="CB1299" i="29"/>
  <c r="CB1304" i="29"/>
  <c r="CB1302" i="29"/>
  <c r="BH1307" i="29"/>
  <c r="BB1307" i="29" s="1"/>
  <c r="AZ1307" i="29"/>
  <c r="BC1308" i="29"/>
  <c r="BF1308" i="29" s="1"/>
  <c r="BP1308" i="29"/>
  <c r="BD1309" i="29"/>
  <c r="BE1308" i="29"/>
  <c r="BG1308" i="29" s="1"/>
  <c r="BA1308" i="29" s="1"/>
  <c r="AB1307" i="29" l="1"/>
  <c r="BV1302" i="29"/>
  <c r="CC1302" i="29"/>
  <c r="BV1301" i="29"/>
  <c r="CC1301" i="29"/>
  <c r="M1306" i="29"/>
  <c r="W1306" i="29"/>
  <c r="Y1306" i="29" s="1"/>
  <c r="AA1306" i="29"/>
  <c r="CA1307" i="29"/>
  <c r="BU1307" i="29" s="1"/>
  <c r="BR1310" i="29"/>
  <c r="BN1311" i="29"/>
  <c r="BO1311" i="29"/>
  <c r="BY1310" i="29"/>
  <c r="BV1304" i="29"/>
  <c r="CC1304" i="29"/>
  <c r="BV1303" i="29"/>
  <c r="CC1303" i="29"/>
  <c r="BQ1311" i="29"/>
  <c r="BQ1312" i="29" s="1"/>
  <c r="BV1299" i="29"/>
  <c r="CC1299" i="29"/>
  <c r="BV1300" i="29"/>
  <c r="CC1300" i="29"/>
  <c r="U1308" i="29"/>
  <c r="AC1308" i="29" s="1"/>
  <c r="Q1307" i="29"/>
  <c r="R1307" i="29"/>
  <c r="X1306" i="29"/>
  <c r="BV1298" i="29"/>
  <c r="CC1298" i="29"/>
  <c r="Z1305" i="29"/>
  <c r="AC1304" i="29"/>
  <c r="AB1304" i="29"/>
  <c r="V1308" i="29"/>
  <c r="S1309" i="29"/>
  <c r="T1309" i="29"/>
  <c r="AF1308" i="29"/>
  <c r="AE1308" i="29"/>
  <c r="K1309" i="29"/>
  <c r="J1309" i="29"/>
  <c r="L1308" i="29"/>
  <c r="BE1309" i="29"/>
  <c r="BG1309" i="29" s="1"/>
  <c r="BA1309" i="29" s="1"/>
  <c r="BP1309" i="29"/>
  <c r="BC1309" i="29"/>
  <c r="BF1309" i="29" s="1"/>
  <c r="BD1310" i="29"/>
  <c r="BH1308" i="29"/>
  <c r="BB1308" i="29" s="1"/>
  <c r="AZ1308" i="29"/>
  <c r="L1309" i="29" l="1"/>
  <c r="J1310" i="29"/>
  <c r="K1310" i="29"/>
  <c r="U1309" i="29"/>
  <c r="AB1309" i="29" s="1"/>
  <c r="Z1306" i="29"/>
  <c r="AB1308" i="29"/>
  <c r="BO1312" i="29"/>
  <c r="BR1311" i="29"/>
  <c r="BN1312" i="29"/>
  <c r="BY1311" i="29"/>
  <c r="V1309" i="29"/>
  <c r="T1310" i="29"/>
  <c r="S1310" i="29"/>
  <c r="AE1309" i="29"/>
  <c r="AF1309" i="29"/>
  <c r="X1307" i="29"/>
  <c r="W1307" i="29"/>
  <c r="Y1307" i="29" s="1"/>
  <c r="M1307" i="29"/>
  <c r="CA1308" i="29"/>
  <c r="BU1308" i="29" s="1"/>
  <c r="AA1307" i="29"/>
  <c r="BQ1313" i="29"/>
  <c r="R1308" i="29"/>
  <c r="Q1308" i="29"/>
  <c r="BP1310" i="29"/>
  <c r="BD1311" i="29"/>
  <c r="BC1310" i="29"/>
  <c r="BF1310" i="29" s="1"/>
  <c r="BE1310" i="29"/>
  <c r="BG1310" i="29" s="1"/>
  <c r="BA1310" i="29" s="1"/>
  <c r="BH1309" i="29"/>
  <c r="BB1309" i="29" s="1"/>
  <c r="AZ1309" i="29"/>
  <c r="U1310" i="29" l="1"/>
  <c r="V1310" i="29"/>
  <c r="S1311" i="29"/>
  <c r="T1311" i="29"/>
  <c r="AF1310" i="29"/>
  <c r="AE1310" i="29"/>
  <c r="Z1307" i="29"/>
  <c r="J1311" i="29"/>
  <c r="L1310" i="29"/>
  <c r="K1311" i="29"/>
  <c r="Q1309" i="29"/>
  <c r="X1309" i="29" s="1"/>
  <c r="R1309" i="29"/>
  <c r="X1308" i="29"/>
  <c r="CA1309" i="29"/>
  <c r="BU1309" i="29" s="1"/>
  <c r="M1308" i="29"/>
  <c r="AA1308" i="29"/>
  <c r="W1308" i="29"/>
  <c r="Y1308" i="29" s="1"/>
  <c r="BR1312" i="29"/>
  <c r="BY1312" i="29"/>
  <c r="BN1313" i="29"/>
  <c r="BO1313" i="29"/>
  <c r="AC1309" i="29"/>
  <c r="BH1310" i="29"/>
  <c r="BB1310" i="29" s="1"/>
  <c r="AZ1310" i="29"/>
  <c r="BC1311" i="29"/>
  <c r="BF1311" i="29" s="1"/>
  <c r="BP1311" i="29"/>
  <c r="BD1312" i="29"/>
  <c r="BE1311" i="29"/>
  <c r="BG1311" i="29" s="1"/>
  <c r="BA1311" i="29" s="1"/>
  <c r="R1310" i="29" l="1"/>
  <c r="Q1310" i="29"/>
  <c r="X1310" i="29" s="1"/>
  <c r="BN1314" i="29"/>
  <c r="BO1314" i="29"/>
  <c r="BR1313" i="29"/>
  <c r="BY1313" i="29"/>
  <c r="BQ1314" i="29"/>
  <c r="BQ1315" i="29" s="1"/>
  <c r="Z1308" i="29"/>
  <c r="V1311" i="29"/>
  <c r="S1312" i="29"/>
  <c r="T1312" i="29"/>
  <c r="AE1311" i="29"/>
  <c r="AF1311" i="29"/>
  <c r="AC1310" i="29"/>
  <c r="CA1310" i="29"/>
  <c r="BU1310" i="29" s="1"/>
  <c r="AA1309" i="29"/>
  <c r="M1309" i="29"/>
  <c r="W1309" i="29"/>
  <c r="Y1309" i="29" s="1"/>
  <c r="L1311" i="29"/>
  <c r="K1312" i="29"/>
  <c r="J1312" i="29"/>
  <c r="U1311" i="29"/>
  <c r="AB1311" i="29" s="1"/>
  <c r="AB1310" i="29"/>
  <c r="BD1313" i="29"/>
  <c r="BE1312" i="29"/>
  <c r="BG1312" i="29" s="1"/>
  <c r="BA1312" i="29" s="1"/>
  <c r="BC1312" i="29"/>
  <c r="BF1312" i="29" s="1"/>
  <c r="BP1312" i="29"/>
  <c r="AZ1311" i="29"/>
  <c r="BH1311" i="29"/>
  <c r="BB1311" i="29" s="1"/>
  <c r="AC1311" i="29" l="1"/>
  <c r="Z1309" i="29"/>
  <c r="S1313" i="29"/>
  <c r="V1312" i="29"/>
  <c r="T1313" i="29"/>
  <c r="AF1312" i="29"/>
  <c r="AE1312" i="29"/>
  <c r="M1310" i="29"/>
  <c r="AA1310" i="29"/>
  <c r="W1310" i="29"/>
  <c r="Y1310" i="29" s="1"/>
  <c r="CA1311" i="29"/>
  <c r="BU1311" i="29" s="1"/>
  <c r="Q1311" i="29"/>
  <c r="R1311" i="29"/>
  <c r="K1313" i="29"/>
  <c r="L1312" i="29"/>
  <c r="J1313" i="29"/>
  <c r="U1312" i="29"/>
  <c r="AC1312" i="29" s="1"/>
  <c r="BY1314" i="29"/>
  <c r="BO1315" i="29"/>
  <c r="BN1315" i="29"/>
  <c r="BR1314" i="29"/>
  <c r="BH1312" i="29"/>
  <c r="BB1312" i="29" s="1"/>
  <c r="AZ1312" i="29"/>
  <c r="BP1313" i="29"/>
  <c r="BD1314" i="29"/>
  <c r="BC1313" i="29"/>
  <c r="BF1313" i="29" s="1"/>
  <c r="BE1313" i="29"/>
  <c r="BG1313" i="29" s="1"/>
  <c r="BA1313" i="29" s="1"/>
  <c r="AB1312" i="29" l="1"/>
  <c r="L1313" i="29"/>
  <c r="K1314" i="29"/>
  <c r="J1314" i="29"/>
  <c r="V1313" i="29"/>
  <c r="S1314" i="29"/>
  <c r="T1314" i="29"/>
  <c r="AF1313" i="29"/>
  <c r="AE1313" i="29"/>
  <c r="BR1315" i="29"/>
  <c r="BO1316" i="29"/>
  <c r="BN1316" i="29"/>
  <c r="BY1315" i="29"/>
  <c r="BQ1316" i="29"/>
  <c r="BQ1317" i="29" s="1"/>
  <c r="X1311" i="29"/>
  <c r="AA1311" i="29"/>
  <c r="W1311" i="29"/>
  <c r="Y1311" i="29" s="1"/>
  <c r="CA1312" i="29"/>
  <c r="BU1312" i="29" s="1"/>
  <c r="M1311" i="29"/>
  <c r="U1313" i="29"/>
  <c r="AC1313" i="29" s="1"/>
  <c r="R1312" i="29"/>
  <c r="Q1312" i="29"/>
  <c r="X1312" i="29" s="1"/>
  <c r="Z1310" i="29"/>
  <c r="AZ1313" i="29"/>
  <c r="BH1313" i="29"/>
  <c r="BB1313" i="29" s="1"/>
  <c r="BP1314" i="29"/>
  <c r="BD1315" i="29"/>
  <c r="BC1314" i="29"/>
  <c r="BF1314" i="29" s="1"/>
  <c r="BE1314" i="29"/>
  <c r="BG1314" i="29" s="1"/>
  <c r="BA1314" i="29" s="1"/>
  <c r="Z1311" i="29" l="1"/>
  <c r="AB1313" i="29"/>
  <c r="M1312" i="29"/>
  <c r="W1312" i="29"/>
  <c r="Y1312" i="29" s="1"/>
  <c r="Z1312" i="29" s="1"/>
  <c r="AA1312" i="29"/>
  <c r="CA1313" i="29"/>
  <c r="BU1313" i="29" s="1"/>
  <c r="BN1317" i="29"/>
  <c r="BY1316" i="29"/>
  <c r="BO1317" i="29"/>
  <c r="BR1316" i="29"/>
  <c r="S1315" i="29"/>
  <c r="T1315" i="29"/>
  <c r="V1314" i="29"/>
  <c r="AE1314" i="29"/>
  <c r="AF1314" i="29"/>
  <c r="L1314" i="29"/>
  <c r="K1315" i="29"/>
  <c r="J1315" i="29"/>
  <c r="BQ1318" i="29"/>
  <c r="U1314" i="29"/>
  <c r="AC1314" i="29" s="1"/>
  <c r="Q1313" i="29"/>
  <c r="X1313" i="29" s="1"/>
  <c r="R1313" i="29"/>
  <c r="BC1315" i="29"/>
  <c r="BF1315" i="29" s="1"/>
  <c r="BE1315" i="29"/>
  <c r="BG1315" i="29" s="1"/>
  <c r="BA1315" i="29" s="1"/>
  <c r="BP1315" i="29"/>
  <c r="BD1316" i="29"/>
  <c r="BH1314" i="29"/>
  <c r="BB1314" i="29" s="1"/>
  <c r="AZ1314" i="29"/>
  <c r="AB1314" i="29" l="1"/>
  <c r="U1315" i="29"/>
  <c r="M1313" i="29"/>
  <c r="AA1313" i="29"/>
  <c r="CA1314" i="29"/>
  <c r="BU1314" i="29" s="1"/>
  <c r="W1313" i="29"/>
  <c r="Y1313" i="29" s="1"/>
  <c r="Z1313" i="29" s="1"/>
  <c r="L1315" i="29"/>
  <c r="J1316" i="29"/>
  <c r="K1316" i="29"/>
  <c r="BO1318" i="29"/>
  <c r="BQ1319" i="29" s="1"/>
  <c r="BR1317" i="29"/>
  <c r="BN1318" i="29"/>
  <c r="R1314" i="29"/>
  <c r="Q1314" i="29"/>
  <c r="X1314" i="29" s="1"/>
  <c r="V1315" i="29"/>
  <c r="S1316" i="29"/>
  <c r="T1316" i="29"/>
  <c r="AE1315" i="29"/>
  <c r="AF1315" i="29"/>
  <c r="AZ1315" i="29"/>
  <c r="BH1315" i="29"/>
  <c r="BB1315" i="29" s="1"/>
  <c r="BE1316" i="29"/>
  <c r="BG1316" i="29" s="1"/>
  <c r="BA1316" i="29" s="1"/>
  <c r="BC1316" i="29"/>
  <c r="BF1316" i="29" s="1"/>
  <c r="BD1317" i="29"/>
  <c r="BP1316" i="29"/>
  <c r="Q1315" i="29" l="1"/>
  <c r="X1315" i="29" s="1"/>
  <c r="R1315" i="29"/>
  <c r="T1317" i="29"/>
  <c r="S1317" i="29"/>
  <c r="V1316" i="29"/>
  <c r="AF1316" i="29"/>
  <c r="AE1316" i="29"/>
  <c r="M1314" i="29"/>
  <c r="CA1315" i="29"/>
  <c r="BU1315" i="29" s="1"/>
  <c r="W1314" i="29"/>
  <c r="Y1314" i="29" s="1"/>
  <c r="Z1314" i="29" s="1"/>
  <c r="AA1314" i="29"/>
  <c r="L1316" i="29"/>
  <c r="J1317" i="29"/>
  <c r="K1317" i="29"/>
  <c r="AC1315" i="29"/>
  <c r="U1316" i="29"/>
  <c r="BN1319" i="29"/>
  <c r="BR1318" i="29"/>
  <c r="BY1318" i="29"/>
  <c r="BO1319" i="29"/>
  <c r="AB1315" i="29"/>
  <c r="BP1317" i="29"/>
  <c r="BE1317" i="29"/>
  <c r="BG1317" i="29" s="1"/>
  <c r="BA1317" i="29" s="1"/>
  <c r="BC1317" i="29"/>
  <c r="BF1317" i="29" s="1"/>
  <c r="BD1318" i="29"/>
  <c r="BI1317" i="29"/>
  <c r="AZ1316" i="29"/>
  <c r="BH1316" i="29"/>
  <c r="BB1316" i="29" s="1"/>
  <c r="U1317" i="29" l="1"/>
  <c r="AC1317" i="29" s="1"/>
  <c r="L1317" i="29"/>
  <c r="J1318" i="29"/>
  <c r="K1318" i="29"/>
  <c r="T1318" i="29"/>
  <c r="S1318" i="29"/>
  <c r="V1317" i="29"/>
  <c r="AE1317" i="29"/>
  <c r="AF1317" i="29"/>
  <c r="W1315" i="29"/>
  <c r="Y1315" i="29" s="1"/>
  <c r="Z1315" i="29" s="1"/>
  <c r="M1315" i="29"/>
  <c r="CA1316" i="29"/>
  <c r="BU1316" i="29" s="1"/>
  <c r="AA1315" i="29"/>
  <c r="BO1320" i="29"/>
  <c r="BR1319" i="29"/>
  <c r="BY1319" i="29"/>
  <c r="BN1320" i="29"/>
  <c r="R1316" i="29"/>
  <c r="Q1316" i="29"/>
  <c r="BQ1320" i="29"/>
  <c r="BQ1321" i="29" s="1"/>
  <c r="BP1318" i="29"/>
  <c r="BE1318" i="29"/>
  <c r="BG1318" i="29" s="1"/>
  <c r="BA1318" i="29" s="1"/>
  <c r="BC1318" i="29"/>
  <c r="BF1318" i="29" s="1"/>
  <c r="BD1319" i="29"/>
  <c r="AZ1317" i="29"/>
  <c r="BH1317" i="29"/>
  <c r="BB1317" i="29" s="1"/>
  <c r="U1318" i="29" l="1"/>
  <c r="AB1318" i="29" s="1"/>
  <c r="V1318" i="29"/>
  <c r="T1319" i="29"/>
  <c r="S1319" i="29"/>
  <c r="AF1318" i="29"/>
  <c r="AE1318" i="29"/>
  <c r="Q1317" i="29"/>
  <c r="X1317" i="29" s="1"/>
  <c r="R1317" i="29"/>
  <c r="CA1317" i="29"/>
  <c r="BU1317" i="29" s="1"/>
  <c r="AA1316" i="29"/>
  <c r="W1316" i="29"/>
  <c r="CB1317" i="29" s="1"/>
  <c r="BV1317" i="29" s="1"/>
  <c r="BO1321" i="29"/>
  <c r="BR1320" i="29"/>
  <c r="BN1321" i="29"/>
  <c r="BY1320" i="29"/>
  <c r="L1318" i="29"/>
  <c r="J1319" i="29"/>
  <c r="K1319" i="29"/>
  <c r="AB1317" i="29"/>
  <c r="BC1319" i="29"/>
  <c r="BF1319" i="29" s="1"/>
  <c r="BP1319" i="29"/>
  <c r="BD1320" i="29"/>
  <c r="BE1319" i="29"/>
  <c r="BG1319" i="29" s="1"/>
  <c r="BA1319" i="29" s="1"/>
  <c r="AZ1318" i="29"/>
  <c r="BH1318" i="29"/>
  <c r="BB1318" i="29" s="1"/>
  <c r="K1320" i="29" l="1"/>
  <c r="J1320" i="29"/>
  <c r="L1319" i="29"/>
  <c r="BO1322" i="29"/>
  <c r="BY1321" i="29"/>
  <c r="BR1321" i="29"/>
  <c r="BN1322" i="29"/>
  <c r="CC1317" i="29"/>
  <c r="V1319" i="29"/>
  <c r="T1320" i="29"/>
  <c r="S1320" i="29"/>
  <c r="AE1319" i="29"/>
  <c r="AF1319" i="29"/>
  <c r="BQ1322" i="29"/>
  <c r="BQ1323" i="29" s="1"/>
  <c r="Y1316" i="29"/>
  <c r="Z1316" i="29" s="1"/>
  <c r="CB1314" i="29"/>
  <c r="CB1315" i="29"/>
  <c r="CB1313" i="29"/>
  <c r="CB1316" i="29"/>
  <c r="CB1312" i="29"/>
  <c r="CB1311" i="29"/>
  <c r="R1318" i="29"/>
  <c r="Q1318" i="29"/>
  <c r="X1318" i="29" s="1"/>
  <c r="M1317" i="29"/>
  <c r="CA1318" i="29"/>
  <c r="BU1318" i="29" s="1"/>
  <c r="W1317" i="29"/>
  <c r="Y1317" i="29" s="1"/>
  <c r="AA1317" i="29"/>
  <c r="U1319" i="29"/>
  <c r="AB1319" i="29" s="1"/>
  <c r="AC1318" i="29"/>
  <c r="BC1320" i="29"/>
  <c r="BF1320" i="29" s="1"/>
  <c r="BP1320" i="29"/>
  <c r="BD1321" i="29"/>
  <c r="BE1320" i="29"/>
  <c r="BG1320" i="29" s="1"/>
  <c r="BA1320" i="29" s="1"/>
  <c r="BH1319" i="29"/>
  <c r="BB1319" i="29" s="1"/>
  <c r="AZ1319" i="29"/>
  <c r="AC1319" i="29" l="1"/>
  <c r="BV1316" i="29"/>
  <c r="CC1316" i="29"/>
  <c r="Z1317" i="29"/>
  <c r="AC1316" i="29"/>
  <c r="AB1316" i="29"/>
  <c r="U1320" i="29"/>
  <c r="AA1318" i="29"/>
  <c r="CA1319" i="29"/>
  <c r="BU1319" i="29" s="1"/>
  <c r="W1318" i="29"/>
  <c r="Y1318" i="29" s="1"/>
  <c r="M1318" i="29"/>
  <c r="BV1313" i="29"/>
  <c r="CC1313" i="29"/>
  <c r="BQ1324" i="29"/>
  <c r="T1321" i="29"/>
  <c r="V1320" i="29"/>
  <c r="S1321" i="29"/>
  <c r="AE1320" i="29"/>
  <c r="AF1320" i="29"/>
  <c r="R1319" i="29"/>
  <c r="Q1319" i="29"/>
  <c r="BV1311" i="29"/>
  <c r="CC1311" i="29"/>
  <c r="BV1315" i="29"/>
  <c r="CC1315" i="29"/>
  <c r="BV1312" i="29"/>
  <c r="CC1312" i="29"/>
  <c r="BV1314" i="29"/>
  <c r="CC1314" i="29"/>
  <c r="BN1323" i="29"/>
  <c r="BY1322" i="29"/>
  <c r="BO1323" i="29"/>
  <c r="BR1322" i="29"/>
  <c r="K1321" i="29"/>
  <c r="L1320" i="29"/>
  <c r="J1321" i="29"/>
  <c r="BE1321" i="29"/>
  <c r="BG1321" i="29" s="1"/>
  <c r="BA1321" i="29" s="1"/>
  <c r="BC1321" i="29"/>
  <c r="BF1321" i="29" s="1"/>
  <c r="BD1322" i="29"/>
  <c r="BP1321" i="29"/>
  <c r="AZ1320" i="29"/>
  <c r="BH1320" i="29"/>
  <c r="BB1320" i="29" s="1"/>
  <c r="R1320" i="29" l="1"/>
  <c r="Q1320" i="29"/>
  <c r="L1321" i="29"/>
  <c r="K1322" i="29"/>
  <c r="J1322" i="29"/>
  <c r="V1321" i="29"/>
  <c r="S1322" i="29"/>
  <c r="T1322" i="29"/>
  <c r="AE1321" i="29"/>
  <c r="AF1321" i="29"/>
  <c r="AC1320" i="29"/>
  <c r="Z1318" i="29"/>
  <c r="CA1320" i="29"/>
  <c r="BU1320" i="29" s="1"/>
  <c r="AA1319" i="29"/>
  <c r="M1319" i="29"/>
  <c r="W1319" i="29"/>
  <c r="Y1319" i="29" s="1"/>
  <c r="AB1320" i="29"/>
  <c r="BN1324" i="29"/>
  <c r="BO1324" i="29"/>
  <c r="BY1323" i="29"/>
  <c r="BR1323" i="29"/>
  <c r="X1319" i="29"/>
  <c r="U1321" i="29"/>
  <c r="AC1321" i="29" s="1"/>
  <c r="AZ1321" i="29"/>
  <c r="BH1321" i="29"/>
  <c r="BB1321" i="29" s="1"/>
  <c r="BD1323" i="29"/>
  <c r="BP1322" i="29"/>
  <c r="BE1322" i="29"/>
  <c r="BG1322" i="29" s="1"/>
  <c r="BA1322" i="29" s="1"/>
  <c r="BC1322" i="29"/>
  <c r="BF1322" i="29" s="1"/>
  <c r="BO1325" i="29" l="1"/>
  <c r="BY1324" i="29"/>
  <c r="BN1325" i="29"/>
  <c r="BR1324" i="29"/>
  <c r="AA1320" i="29"/>
  <c r="M1320" i="29"/>
  <c r="W1320" i="29"/>
  <c r="Y1320" i="29" s="1"/>
  <c r="CA1321" i="29"/>
  <c r="BU1321" i="29" s="1"/>
  <c r="Z1319" i="29"/>
  <c r="T1323" i="29"/>
  <c r="V1322" i="29"/>
  <c r="S1323" i="29"/>
  <c r="AE1322" i="29"/>
  <c r="AF1322" i="29"/>
  <c r="X1320" i="29"/>
  <c r="R1321" i="29"/>
  <c r="Q1321" i="29"/>
  <c r="X1321" i="29" s="1"/>
  <c r="AB1321" i="29"/>
  <c r="BQ1325" i="29"/>
  <c r="BQ1326" i="29" s="1"/>
  <c r="U1322" i="29"/>
  <c r="AC1322" i="29" s="1"/>
  <c r="L1322" i="29"/>
  <c r="K1323" i="29"/>
  <c r="J1323" i="29"/>
  <c r="BH1322" i="29"/>
  <c r="BB1322" i="29" s="1"/>
  <c r="AZ1322" i="29"/>
  <c r="BP1323" i="29"/>
  <c r="BD1324" i="29"/>
  <c r="BE1323" i="29"/>
  <c r="BG1323" i="29" s="1"/>
  <c r="BA1323" i="29" s="1"/>
  <c r="BC1323" i="29"/>
  <c r="BF1323" i="29" s="1"/>
  <c r="AB1322" i="29" l="1"/>
  <c r="K1324" i="29"/>
  <c r="J1324" i="29"/>
  <c r="L1323" i="29"/>
  <c r="CA1322" i="29"/>
  <c r="BU1322" i="29" s="1"/>
  <c r="W1321" i="29"/>
  <c r="Y1321" i="29" s="1"/>
  <c r="AA1321" i="29"/>
  <c r="M1321" i="29"/>
  <c r="S1324" i="29"/>
  <c r="V1323" i="29"/>
  <c r="T1324" i="29"/>
  <c r="AF1323" i="29"/>
  <c r="AE1323" i="29"/>
  <c r="Z1320" i="29"/>
  <c r="R1322" i="29"/>
  <c r="Q1322" i="29"/>
  <c r="X1322" i="29" s="1"/>
  <c r="U1323" i="29"/>
  <c r="AB1323" i="29" s="1"/>
  <c r="BR1325" i="29"/>
  <c r="BY1325" i="29"/>
  <c r="BO1326" i="29"/>
  <c r="BQ1327" i="29" s="1"/>
  <c r="BN1326" i="29"/>
  <c r="BP1324" i="29"/>
  <c r="BE1324" i="29"/>
  <c r="BG1324" i="29" s="1"/>
  <c r="BA1324" i="29" s="1"/>
  <c r="BD1325" i="29"/>
  <c r="BC1324" i="29"/>
  <c r="BF1324" i="29" s="1"/>
  <c r="BH1323" i="29"/>
  <c r="BB1323" i="29" s="1"/>
  <c r="AZ1323" i="29"/>
  <c r="AC1323" i="29" l="1"/>
  <c r="Z1321" i="29"/>
  <c r="T1325" i="29"/>
  <c r="V1324" i="29"/>
  <c r="S1325" i="29"/>
  <c r="AE1324" i="29"/>
  <c r="AF1324" i="29"/>
  <c r="W1322" i="29"/>
  <c r="Y1322" i="29" s="1"/>
  <c r="CA1323" i="29"/>
  <c r="BU1323" i="29" s="1"/>
  <c r="AA1322" i="29"/>
  <c r="M1322" i="29"/>
  <c r="BY1326" i="29"/>
  <c r="BN1327" i="29"/>
  <c r="BR1326" i="29"/>
  <c r="BO1327" i="29"/>
  <c r="Q1323" i="29"/>
  <c r="X1323" i="29" s="1"/>
  <c r="R1323" i="29"/>
  <c r="U1324" i="29"/>
  <c r="AC1324" i="29" s="1"/>
  <c r="K1325" i="29"/>
  <c r="L1324" i="29"/>
  <c r="J1325" i="29"/>
  <c r="AZ1324" i="29"/>
  <c r="BH1324" i="29"/>
  <c r="BB1324" i="29" s="1"/>
  <c r="BC1325" i="29"/>
  <c r="BF1325" i="29" s="1"/>
  <c r="BD1326" i="29"/>
  <c r="BE1325" i="29"/>
  <c r="BG1325" i="29" s="1"/>
  <c r="BA1325" i="29" s="1"/>
  <c r="BP1325" i="29"/>
  <c r="T1326" i="29" l="1"/>
  <c r="S1326" i="29"/>
  <c r="V1325" i="29"/>
  <c r="AF1325" i="29"/>
  <c r="AE1325" i="29"/>
  <c r="BO1328" i="29"/>
  <c r="BR1327" i="29"/>
  <c r="BN1328" i="29"/>
  <c r="BY1327" i="29"/>
  <c r="L1325" i="29"/>
  <c r="J1326" i="29"/>
  <c r="K1326" i="29"/>
  <c r="Q1324" i="29"/>
  <c r="X1324" i="29" s="1"/>
  <c r="R1324" i="29"/>
  <c r="Z1322" i="29"/>
  <c r="AB1324" i="29"/>
  <c r="W1323" i="29"/>
  <c r="Y1323" i="29" s="1"/>
  <c r="M1323" i="29"/>
  <c r="CA1324" i="29"/>
  <c r="BU1324" i="29" s="1"/>
  <c r="AA1323" i="29"/>
  <c r="U1325" i="29"/>
  <c r="BQ1328" i="29"/>
  <c r="BQ1329" i="29" s="1"/>
  <c r="BD1327" i="29"/>
  <c r="BC1326" i="29"/>
  <c r="BF1326" i="29" s="1"/>
  <c r="BP1326" i="29"/>
  <c r="BE1326" i="29"/>
  <c r="BG1326" i="29" s="1"/>
  <c r="BA1326" i="29" s="1"/>
  <c r="BH1325" i="29"/>
  <c r="BB1325" i="29" s="1"/>
  <c r="AZ1325" i="29"/>
  <c r="R1325" i="29" l="1"/>
  <c r="Q1325" i="29"/>
  <c r="BR1328" i="29"/>
  <c r="BN1329" i="29"/>
  <c r="BO1329" i="29"/>
  <c r="BY1328" i="29"/>
  <c r="U1326" i="29"/>
  <c r="AC1326" i="29" s="1"/>
  <c r="AC1325" i="29"/>
  <c r="Z1323" i="29"/>
  <c r="AA1324" i="29"/>
  <c r="CA1325" i="29"/>
  <c r="BU1325" i="29" s="1"/>
  <c r="M1324" i="29"/>
  <c r="W1324" i="29"/>
  <c r="Y1324" i="29" s="1"/>
  <c r="T1327" i="29"/>
  <c r="S1327" i="29"/>
  <c r="V1326" i="29"/>
  <c r="AF1326" i="29"/>
  <c r="AE1326" i="29"/>
  <c r="BQ1330" i="29"/>
  <c r="K1327" i="29"/>
  <c r="L1326" i="29"/>
  <c r="J1327" i="29"/>
  <c r="AB1325" i="29"/>
  <c r="BH1326" i="29"/>
  <c r="BB1326" i="29" s="1"/>
  <c r="AZ1326" i="29"/>
  <c r="BC1327" i="29"/>
  <c r="BF1327" i="29" s="1"/>
  <c r="BD1328" i="29"/>
  <c r="BE1327" i="29"/>
  <c r="BG1327" i="29" s="1"/>
  <c r="BA1327" i="29" s="1"/>
  <c r="BP1327" i="29"/>
  <c r="AB1326" i="29" l="1"/>
  <c r="U1327" i="29"/>
  <c r="Z1324" i="29"/>
  <c r="K1328" i="29"/>
  <c r="J1328" i="29"/>
  <c r="L1327" i="29"/>
  <c r="V1327" i="29"/>
  <c r="S1328" i="29"/>
  <c r="T1328" i="29"/>
  <c r="AF1327" i="29"/>
  <c r="AE1327" i="29"/>
  <c r="W1325" i="29"/>
  <c r="Y1325" i="29" s="1"/>
  <c r="AA1325" i="29"/>
  <c r="CA1326" i="29"/>
  <c r="BU1326" i="29" s="1"/>
  <c r="M1325" i="29"/>
  <c r="Q1326" i="29"/>
  <c r="X1326" i="29" s="1"/>
  <c r="R1326" i="29"/>
  <c r="BN1330" i="29"/>
  <c r="BR1329" i="29"/>
  <c r="BO1330" i="29"/>
  <c r="X1325" i="29"/>
  <c r="BE1328" i="29"/>
  <c r="BG1328" i="29" s="1"/>
  <c r="BA1328" i="29" s="1"/>
  <c r="BC1328" i="29"/>
  <c r="BF1328" i="29" s="1"/>
  <c r="BD1329" i="29"/>
  <c r="BP1328" i="29"/>
  <c r="AZ1327" i="29"/>
  <c r="BH1327" i="29"/>
  <c r="BB1327" i="29" s="1"/>
  <c r="U1328" i="29" l="1"/>
  <c r="CA1327" i="29"/>
  <c r="BU1327" i="29" s="1"/>
  <c r="AA1326" i="29"/>
  <c r="W1326" i="29"/>
  <c r="Y1326" i="29" s="1"/>
  <c r="M1326" i="29"/>
  <c r="R1327" i="29"/>
  <c r="Q1327" i="29"/>
  <c r="AB1327" i="29"/>
  <c r="S1329" i="29"/>
  <c r="T1329" i="29"/>
  <c r="V1328" i="29"/>
  <c r="AE1328" i="29"/>
  <c r="AF1328" i="29"/>
  <c r="L1328" i="29"/>
  <c r="J1329" i="29"/>
  <c r="K1329" i="29"/>
  <c r="AC1327" i="29"/>
  <c r="BY1330" i="29"/>
  <c r="BO1331" i="29"/>
  <c r="BR1330" i="29"/>
  <c r="BN1331" i="29"/>
  <c r="Z1325" i="29"/>
  <c r="BQ1331" i="29"/>
  <c r="BQ1332" i="29" s="1"/>
  <c r="BH1328" i="29"/>
  <c r="BB1328" i="29" s="1"/>
  <c r="AZ1328" i="29"/>
  <c r="BP1329" i="29"/>
  <c r="BC1329" i="29"/>
  <c r="BF1329" i="29" s="1"/>
  <c r="BE1329" i="29"/>
  <c r="BG1329" i="29" s="1"/>
  <c r="BA1329" i="29" s="1"/>
  <c r="BI1329" i="29"/>
  <c r="BD1330" i="29"/>
  <c r="Z1326" i="29" l="1"/>
  <c r="V1329" i="29"/>
  <c r="S1330" i="29"/>
  <c r="T1330" i="29"/>
  <c r="AE1329" i="29"/>
  <c r="AF1329" i="29"/>
  <c r="U1329" i="29"/>
  <c r="AB1329" i="29" s="1"/>
  <c r="BQ1333" i="29"/>
  <c r="BO1332" i="29"/>
  <c r="BN1332" i="29"/>
  <c r="BR1331" i="29"/>
  <c r="BY1331" i="29"/>
  <c r="K1330" i="29"/>
  <c r="J1330" i="29"/>
  <c r="L1329" i="29"/>
  <c r="X1327" i="29"/>
  <c r="W1327" i="29"/>
  <c r="Y1327" i="29" s="1"/>
  <c r="Z1327" i="29" s="1"/>
  <c r="CA1328" i="29"/>
  <c r="BU1328" i="29" s="1"/>
  <c r="AA1327" i="29"/>
  <c r="M1327" i="29"/>
  <c r="Q1328" i="29"/>
  <c r="R1328" i="29"/>
  <c r="AZ1329" i="29"/>
  <c r="BH1329" i="29"/>
  <c r="BB1329" i="29" s="1"/>
  <c r="BD1331" i="29"/>
  <c r="BC1330" i="29"/>
  <c r="BF1330" i="29" s="1"/>
  <c r="BE1330" i="29"/>
  <c r="BG1330" i="29" s="1"/>
  <c r="BA1330" i="29" s="1"/>
  <c r="BP1330" i="29"/>
  <c r="AC1329" i="29" l="1"/>
  <c r="CA1329" i="29"/>
  <c r="BU1329" i="29" s="1"/>
  <c r="W1328" i="29"/>
  <c r="CB1329" i="29" s="1"/>
  <c r="BV1329" i="29" s="1"/>
  <c r="AA1328" i="29"/>
  <c r="J1331" i="29"/>
  <c r="L1330" i="29"/>
  <c r="K1331" i="29"/>
  <c r="BN1333" i="29"/>
  <c r="BO1333" i="29"/>
  <c r="BR1332" i="29"/>
  <c r="BY1332" i="29"/>
  <c r="U1330" i="29"/>
  <c r="BQ1334" i="29"/>
  <c r="Q1329" i="29"/>
  <c r="X1329" i="29" s="1"/>
  <c r="R1329" i="29"/>
  <c r="V1330" i="29"/>
  <c r="S1331" i="29"/>
  <c r="T1331" i="29"/>
  <c r="AF1330" i="29"/>
  <c r="AE1330" i="29"/>
  <c r="AZ1330" i="29"/>
  <c r="BH1330" i="29"/>
  <c r="BB1330" i="29" s="1"/>
  <c r="BC1331" i="29"/>
  <c r="BF1331" i="29" s="1"/>
  <c r="BP1331" i="29"/>
  <c r="BD1332" i="29"/>
  <c r="BE1331" i="29"/>
  <c r="BG1331" i="29" s="1"/>
  <c r="BA1331" i="29" s="1"/>
  <c r="Y1328" i="29" l="1"/>
  <c r="Z1328" i="29" s="1"/>
  <c r="CB1325" i="29"/>
  <c r="CB1327" i="29"/>
  <c r="CB1324" i="29"/>
  <c r="CB1323" i="29"/>
  <c r="CB1328" i="29"/>
  <c r="CB1322" i="29"/>
  <c r="CB1326" i="29"/>
  <c r="L1331" i="29"/>
  <c r="K1332" i="29"/>
  <c r="J1332" i="29"/>
  <c r="T1332" i="29"/>
  <c r="S1332" i="29"/>
  <c r="V1331" i="29"/>
  <c r="AE1331" i="29"/>
  <c r="AF1331" i="29"/>
  <c r="Q1330" i="29"/>
  <c r="X1330" i="29" s="1"/>
  <c r="R1330" i="29"/>
  <c r="U1331" i="29"/>
  <c r="AC1330" i="29"/>
  <c r="BN1334" i="29"/>
  <c r="BY1333" i="29"/>
  <c r="BO1334" i="29"/>
  <c r="BR1333" i="29"/>
  <c r="CA1330" i="29"/>
  <c r="BU1330" i="29" s="1"/>
  <c r="W1329" i="29"/>
  <c r="Y1329" i="29" s="1"/>
  <c r="M1329" i="29"/>
  <c r="AA1329" i="29"/>
  <c r="AB1330" i="29"/>
  <c r="CC1329" i="29"/>
  <c r="BP1332" i="29"/>
  <c r="BD1333" i="29"/>
  <c r="BC1332" i="29"/>
  <c r="BF1332" i="29" s="1"/>
  <c r="BE1332" i="29"/>
  <c r="BG1332" i="29" s="1"/>
  <c r="BA1332" i="29" s="1"/>
  <c r="AZ1331" i="29"/>
  <c r="BH1331" i="29"/>
  <c r="BB1331" i="29" s="1"/>
  <c r="BV1326" i="29" l="1"/>
  <c r="CC1326" i="29"/>
  <c r="BV1324" i="29"/>
  <c r="CC1324" i="29"/>
  <c r="BN1335" i="29"/>
  <c r="BR1334" i="29"/>
  <c r="BY1334" i="29"/>
  <c r="BO1335" i="29"/>
  <c r="R1331" i="29"/>
  <c r="Q1331" i="29"/>
  <c r="L1332" i="29"/>
  <c r="J1333" i="29"/>
  <c r="K1333" i="29"/>
  <c r="BV1322" i="29"/>
  <c r="CC1322" i="29"/>
  <c r="BV1327" i="29"/>
  <c r="CC1327" i="29"/>
  <c r="AB1331" i="29"/>
  <c r="AA1330" i="29"/>
  <c r="CA1331" i="29"/>
  <c r="BU1331" i="29" s="1"/>
  <c r="M1330" i="29"/>
  <c r="W1330" i="29"/>
  <c r="Y1330" i="29" s="1"/>
  <c r="U1332" i="29"/>
  <c r="BV1328" i="29"/>
  <c r="CC1328" i="29"/>
  <c r="BV1325" i="29"/>
  <c r="CC1325" i="29"/>
  <c r="AC1331" i="29"/>
  <c r="T1333" i="29"/>
  <c r="V1332" i="29"/>
  <c r="S1333" i="29"/>
  <c r="AF1332" i="29"/>
  <c r="AE1332" i="29"/>
  <c r="BQ1335" i="29"/>
  <c r="BQ1336" i="29" s="1"/>
  <c r="BV1323" i="29"/>
  <c r="CC1323" i="29"/>
  <c r="Z1329" i="29"/>
  <c r="AB1328" i="29"/>
  <c r="AC1328" i="29"/>
  <c r="BH1332" i="29"/>
  <c r="BB1332" i="29" s="1"/>
  <c r="AZ1332" i="29"/>
  <c r="BD1334" i="29"/>
  <c r="BC1333" i="29"/>
  <c r="BF1333" i="29" s="1"/>
  <c r="BE1333" i="29"/>
  <c r="BG1333" i="29" s="1"/>
  <c r="BA1333" i="29" s="1"/>
  <c r="BP1333" i="29"/>
  <c r="R1332" i="29" l="1"/>
  <c r="Q1332" i="29"/>
  <c r="X1332" i="29" s="1"/>
  <c r="AA1331" i="29"/>
  <c r="W1331" i="29"/>
  <c r="Y1331" i="29" s="1"/>
  <c r="CA1332" i="29"/>
  <c r="BU1332" i="29" s="1"/>
  <c r="M1331" i="29"/>
  <c r="BY1335" i="29"/>
  <c r="BO1336" i="29"/>
  <c r="BN1336" i="29"/>
  <c r="BR1335" i="29"/>
  <c r="Z1330" i="29"/>
  <c r="V1333" i="29"/>
  <c r="T1334" i="29"/>
  <c r="S1334" i="29"/>
  <c r="AF1333" i="29"/>
  <c r="AE1333" i="29"/>
  <c r="AC1332" i="29"/>
  <c r="AB1332" i="29"/>
  <c r="J1334" i="29"/>
  <c r="K1334" i="29"/>
  <c r="L1333" i="29"/>
  <c r="U1333" i="29"/>
  <c r="AC1333" i="29" s="1"/>
  <c r="X1331" i="29"/>
  <c r="BH1333" i="29"/>
  <c r="BB1333" i="29" s="1"/>
  <c r="AZ1333" i="29"/>
  <c r="BC1334" i="29"/>
  <c r="BF1334" i="29" s="1"/>
  <c r="BE1334" i="29"/>
  <c r="BG1334" i="29" s="1"/>
  <c r="BA1334" i="29" s="1"/>
  <c r="BP1334" i="29"/>
  <c r="BD1335" i="29"/>
  <c r="BY1336" i="29" l="1"/>
  <c r="BO1337" i="29"/>
  <c r="BN1337" i="29"/>
  <c r="BR1336" i="29"/>
  <c r="Z1331" i="29"/>
  <c r="M1332" i="29"/>
  <c r="CA1333" i="29"/>
  <c r="BU1333" i="29" s="1"/>
  <c r="W1332" i="29"/>
  <c r="Y1332" i="29" s="1"/>
  <c r="AA1332" i="29"/>
  <c r="V1334" i="29"/>
  <c r="S1335" i="29"/>
  <c r="T1335" i="29"/>
  <c r="AE1334" i="29"/>
  <c r="AF1334" i="29"/>
  <c r="R1333" i="29"/>
  <c r="Q1333" i="29"/>
  <c r="X1333" i="29" s="1"/>
  <c r="L1334" i="29"/>
  <c r="J1335" i="29"/>
  <c r="K1335" i="29"/>
  <c r="AB1333" i="29"/>
  <c r="U1334" i="29"/>
  <c r="AC1334" i="29" s="1"/>
  <c r="BQ1337" i="29"/>
  <c r="BQ1338" i="29" s="1"/>
  <c r="BH1334" i="29"/>
  <c r="BB1334" i="29" s="1"/>
  <c r="AZ1334" i="29"/>
  <c r="BE1335" i="29"/>
  <c r="BG1335" i="29" s="1"/>
  <c r="BA1335" i="29" s="1"/>
  <c r="BD1336" i="29"/>
  <c r="BC1335" i="29"/>
  <c r="BF1335" i="29" s="1"/>
  <c r="BP1335" i="29"/>
  <c r="AB1334" i="29" l="1"/>
  <c r="Q1334" i="29"/>
  <c r="X1334" i="29" s="1"/>
  <c r="R1334" i="29"/>
  <c r="J1336" i="29"/>
  <c r="L1335" i="29"/>
  <c r="K1336" i="29"/>
  <c r="M1333" i="29"/>
  <c r="CA1334" i="29"/>
  <c r="BU1334" i="29" s="1"/>
  <c r="W1333" i="29"/>
  <c r="Y1333" i="29" s="1"/>
  <c r="AA1333" i="29"/>
  <c r="BN1338" i="29"/>
  <c r="BY1337" i="29"/>
  <c r="BO1338" i="29"/>
  <c r="BR1337" i="29"/>
  <c r="V1335" i="29"/>
  <c r="T1336" i="29"/>
  <c r="S1336" i="29"/>
  <c r="AE1335" i="29"/>
  <c r="AF1335" i="29"/>
  <c r="U1335" i="29"/>
  <c r="AC1335" i="29" s="1"/>
  <c r="Z1332" i="29"/>
  <c r="BH1335" i="29"/>
  <c r="BB1335" i="29" s="1"/>
  <c r="AZ1335" i="29"/>
  <c r="BE1336" i="29"/>
  <c r="BG1336" i="29" s="1"/>
  <c r="BA1336" i="29" s="1"/>
  <c r="BC1336" i="29"/>
  <c r="BF1336" i="29" s="1"/>
  <c r="BD1337" i="29"/>
  <c r="BP1336" i="29"/>
  <c r="Z1333" i="29" l="1"/>
  <c r="K1337" i="29"/>
  <c r="L1336" i="29"/>
  <c r="J1337" i="29"/>
  <c r="T1337" i="29"/>
  <c r="V1336" i="29"/>
  <c r="S1337" i="29"/>
  <c r="AE1336" i="29"/>
  <c r="AF1336" i="29"/>
  <c r="R1335" i="29"/>
  <c r="Q1335" i="29"/>
  <c r="CA1335" i="29"/>
  <c r="BU1335" i="29" s="1"/>
  <c r="AA1334" i="29"/>
  <c r="M1334" i="29"/>
  <c r="W1334" i="29"/>
  <c r="Y1334" i="29" s="1"/>
  <c r="AB1335" i="29"/>
  <c r="U1336" i="29"/>
  <c r="AB1336" i="29" s="1"/>
  <c r="BR1338" i="29"/>
  <c r="BO1339" i="29"/>
  <c r="BY1338" i="29"/>
  <c r="BN1339" i="29"/>
  <c r="BQ1339" i="29"/>
  <c r="BQ1340" i="29" s="1"/>
  <c r="BH1336" i="29"/>
  <c r="BB1336" i="29" s="1"/>
  <c r="AZ1336" i="29"/>
  <c r="BC1337" i="29"/>
  <c r="BF1337" i="29" s="1"/>
  <c r="BP1337" i="29"/>
  <c r="BD1338" i="29"/>
  <c r="BE1337" i="29"/>
  <c r="BG1337" i="29" s="1"/>
  <c r="BA1337" i="29" s="1"/>
  <c r="Z1334" i="29" l="1"/>
  <c r="AC1336" i="29"/>
  <c r="AA1335" i="29"/>
  <c r="M1335" i="29"/>
  <c r="W1335" i="29"/>
  <c r="Y1335" i="29" s="1"/>
  <c r="Z1335" i="29" s="1"/>
  <c r="CA1336" i="29"/>
  <c r="BU1336" i="29" s="1"/>
  <c r="R1336" i="29"/>
  <c r="Q1336" i="29"/>
  <c r="X1336" i="29" s="1"/>
  <c r="U1337" i="29"/>
  <c r="AC1337" i="29" s="1"/>
  <c r="L1337" i="29"/>
  <c r="K1338" i="29"/>
  <c r="J1338" i="29"/>
  <c r="BO1340" i="29"/>
  <c r="BR1339" i="29"/>
  <c r="BY1339" i="29"/>
  <c r="BN1340" i="29"/>
  <c r="X1335" i="29"/>
  <c r="T1338" i="29"/>
  <c r="V1337" i="29"/>
  <c r="S1338" i="29"/>
  <c r="AF1337" i="29"/>
  <c r="AE1337" i="29"/>
  <c r="BP1338" i="29"/>
  <c r="BC1338" i="29"/>
  <c r="BF1338" i="29" s="1"/>
  <c r="BE1338" i="29"/>
  <c r="BG1338" i="29" s="1"/>
  <c r="BA1338" i="29" s="1"/>
  <c r="BD1339" i="29"/>
  <c r="BH1337" i="29"/>
  <c r="BB1337" i="29" s="1"/>
  <c r="AZ1337" i="29"/>
  <c r="K1339" i="29" l="1"/>
  <c r="J1339" i="29"/>
  <c r="L1338" i="29"/>
  <c r="U1338" i="29"/>
  <c r="AC1338" i="29" s="1"/>
  <c r="T1339" i="29"/>
  <c r="S1339" i="29"/>
  <c r="V1338" i="29"/>
  <c r="AE1338" i="29"/>
  <c r="AF1338" i="29"/>
  <c r="Q1337" i="29"/>
  <c r="X1337" i="29" s="1"/>
  <c r="R1337" i="29"/>
  <c r="AA1336" i="29"/>
  <c r="CA1337" i="29"/>
  <c r="BU1337" i="29" s="1"/>
  <c r="W1336" i="29"/>
  <c r="Y1336" i="29" s="1"/>
  <c r="Z1336" i="29" s="1"/>
  <c r="M1336" i="29"/>
  <c r="BY1340" i="29"/>
  <c r="BO1341" i="29"/>
  <c r="BN1341" i="29"/>
  <c r="BR1340" i="29"/>
  <c r="AB1337" i="29"/>
  <c r="BE1339" i="29"/>
  <c r="BG1339" i="29" s="1"/>
  <c r="BA1339" i="29" s="1"/>
  <c r="BP1339" i="29"/>
  <c r="BD1340" i="29"/>
  <c r="BC1339" i="29"/>
  <c r="BF1339" i="29" s="1"/>
  <c r="BH1338" i="29"/>
  <c r="BB1338" i="29" s="1"/>
  <c r="AZ1338" i="29"/>
  <c r="T1340" i="29" l="1"/>
  <c r="S1340" i="29"/>
  <c r="V1339" i="29"/>
  <c r="AE1339" i="29"/>
  <c r="AF1339" i="29"/>
  <c r="K1340" i="29"/>
  <c r="L1339" i="29"/>
  <c r="J1340" i="29"/>
  <c r="BR1341" i="29"/>
  <c r="R1338" i="29"/>
  <c r="Q1338" i="29"/>
  <c r="X1338" i="29" s="1"/>
  <c r="AA1337" i="29"/>
  <c r="CA1338" i="29"/>
  <c r="BU1338" i="29" s="1"/>
  <c r="M1337" i="29"/>
  <c r="W1337" i="29"/>
  <c r="Y1337" i="29" s="1"/>
  <c r="Z1337" i="29" s="1"/>
  <c r="U1339" i="29"/>
  <c r="AB1338" i="29"/>
  <c r="AZ1339" i="29"/>
  <c r="BH1339" i="29"/>
  <c r="BB1339" i="29" s="1"/>
  <c r="BE1340" i="29"/>
  <c r="BG1340" i="29" s="1"/>
  <c r="BA1340" i="29" s="1"/>
  <c r="BD1341" i="29"/>
  <c r="BP1340" i="29"/>
  <c r="BC1340" i="29"/>
  <c r="BF1340" i="29" s="1"/>
  <c r="R1339" i="29" l="1"/>
  <c r="Q1339" i="29"/>
  <c r="AC1339" i="29"/>
  <c r="W1338" i="29"/>
  <c r="Y1338" i="29" s="1"/>
  <c r="Z1338" i="29" s="1"/>
  <c r="CA1339" i="29"/>
  <c r="BU1339" i="29" s="1"/>
  <c r="M1338" i="29"/>
  <c r="AA1338" i="29"/>
  <c r="L1340" i="29"/>
  <c r="U1340" i="29"/>
  <c r="AB1339" i="29"/>
  <c r="V1340" i="29"/>
  <c r="AE1340" i="29"/>
  <c r="AF1340" i="29"/>
  <c r="AZ1340" i="29"/>
  <c r="BH1340" i="29"/>
  <c r="BB1340" i="29" s="1"/>
  <c r="BC1341" i="29"/>
  <c r="BF1341" i="29" s="1"/>
  <c r="BE1341" i="29"/>
  <c r="BP1341" i="29"/>
  <c r="BI1341" i="29"/>
  <c r="R1340" i="29" l="1"/>
  <c r="Q1340" i="29"/>
  <c r="CA1340" i="29"/>
  <c r="BU1340" i="29" s="1"/>
  <c r="W1339" i="29"/>
  <c r="Y1339" i="29" s="1"/>
  <c r="Z1339" i="29" s="1"/>
  <c r="M1339" i="29"/>
  <c r="AA1339" i="29"/>
  <c r="O13" i="40"/>
  <c r="S13" i="40" s="1"/>
  <c r="F130" i="40" s="1"/>
  <c r="O18" i="40"/>
  <c r="S18" i="40" s="1"/>
  <c r="O14" i="40"/>
  <c r="S14" i="40" s="1"/>
  <c r="O12" i="40"/>
  <c r="O10" i="40"/>
  <c r="S10" i="40" s="1"/>
  <c r="F127" i="40" s="1"/>
  <c r="O15" i="40"/>
  <c r="S15" i="40" s="1"/>
  <c r="O16" i="40"/>
  <c r="S16" i="40" s="1"/>
  <c r="O11" i="40"/>
  <c r="S11" i="40" s="1"/>
  <c r="F128" i="40" s="1"/>
  <c r="O19" i="40"/>
  <c r="S19" i="40" s="1"/>
  <c r="O21" i="40"/>
  <c r="S21" i="40" s="1"/>
  <c r="O9" i="40"/>
  <c r="S9" i="40" s="1"/>
  <c r="F126" i="40" s="1"/>
  <c r="O8" i="40"/>
  <c r="S8" i="40" s="1"/>
  <c r="F125" i="40" s="1"/>
  <c r="O17" i="40"/>
  <c r="S17" i="40" s="1"/>
  <c r="O22" i="40"/>
  <c r="S22" i="40" s="1"/>
  <c r="O20" i="40"/>
  <c r="S20" i="40" s="1"/>
  <c r="O6" i="40"/>
  <c r="S6" i="40" s="1"/>
  <c r="F123" i="40" s="1"/>
  <c r="O4" i="40"/>
  <c r="O7" i="40"/>
  <c r="O23" i="40"/>
  <c r="S23" i="40" s="1"/>
  <c r="F131" i="40" s="1"/>
  <c r="M10" i="40"/>
  <c r="H157" i="15" s="1"/>
  <c r="M11" i="40"/>
  <c r="H158" i="15" s="1"/>
  <c r="M14" i="40"/>
  <c r="H161" i="15" s="1"/>
  <c r="M13" i="40"/>
  <c r="H160" i="15" s="1"/>
  <c r="AI29" i="39"/>
  <c r="M17" i="40"/>
  <c r="H164" i="15" s="1"/>
  <c r="AI26" i="39"/>
  <c r="M12" i="40"/>
  <c r="H159" i="15" s="1"/>
  <c r="M15" i="40"/>
  <c r="H162" i="15" s="1"/>
  <c r="M16" i="40"/>
  <c r="H163" i="15" s="1"/>
  <c r="AI27" i="39"/>
  <c r="AI32" i="39"/>
  <c r="AI28" i="39"/>
  <c r="AI30" i="39"/>
  <c r="AI31" i="39"/>
  <c r="M18" i="40"/>
  <c r="H165" i="15" s="1"/>
  <c r="M19" i="40"/>
  <c r="H166" i="15" s="1"/>
  <c r="AI33" i="39"/>
  <c r="M21" i="40"/>
  <c r="H168" i="15" s="1"/>
  <c r="M20" i="40"/>
  <c r="H167" i="15" s="1"/>
  <c r="AI35" i="39"/>
  <c r="M22" i="40"/>
  <c r="H169" i="15" s="1"/>
  <c r="AI34" i="39"/>
  <c r="AI36" i="39"/>
  <c r="M23" i="40"/>
  <c r="H170" i="15" s="1"/>
  <c r="AI38" i="39"/>
  <c r="AI37" i="39"/>
  <c r="O25" i="40"/>
  <c r="M24" i="40"/>
  <c r="H171" i="15" s="1"/>
  <c r="AI39" i="39"/>
  <c r="AI40" i="39"/>
  <c r="O24" i="40"/>
  <c r="M25" i="40"/>
  <c r="H172" i="15" s="1"/>
  <c r="M26" i="40"/>
  <c r="H173" i="15" s="1"/>
  <c r="AI41" i="39"/>
  <c r="O26" i="40"/>
  <c r="M27" i="40"/>
  <c r="H174" i="15" s="1"/>
  <c r="AI42" i="39"/>
  <c r="AI43" i="39"/>
  <c r="O27" i="40"/>
  <c r="M29" i="40"/>
  <c r="H176" i="15" s="1"/>
  <c r="O28" i="40"/>
  <c r="O29" i="40"/>
  <c r="M28" i="40"/>
  <c r="M30" i="40"/>
  <c r="H177" i="15" s="1"/>
  <c r="AI45" i="39"/>
  <c r="O30" i="40"/>
  <c r="AI44" i="39"/>
  <c r="O32" i="40"/>
  <c r="M32" i="40"/>
  <c r="H179" i="15" s="1"/>
  <c r="M34" i="40"/>
  <c r="M31" i="40"/>
  <c r="O31" i="40"/>
  <c r="AI46" i="39"/>
  <c r="M33" i="40"/>
  <c r="AI49" i="39"/>
  <c r="AI48" i="39"/>
  <c r="O33" i="40"/>
  <c r="O34" i="40"/>
  <c r="O36" i="40"/>
  <c r="AI47" i="39"/>
  <c r="M36" i="40"/>
  <c r="H183" i="15" s="1"/>
  <c r="M38" i="40"/>
  <c r="M35" i="40"/>
  <c r="O35" i="40"/>
  <c r="O37" i="40"/>
  <c r="AI50" i="39"/>
  <c r="M37" i="40"/>
  <c r="AI51" i="39"/>
  <c r="AI52" i="39"/>
  <c r="O38" i="40"/>
  <c r="AI56" i="39"/>
  <c r="AI54" i="39"/>
  <c r="M39" i="40"/>
  <c r="H186" i="15" s="1"/>
  <c r="O40" i="40"/>
  <c r="M40" i="40"/>
  <c r="O39" i="40"/>
  <c r="AI53" i="39"/>
  <c r="AI55" i="39"/>
  <c r="O41" i="40"/>
  <c r="O42" i="40"/>
  <c r="M41" i="40"/>
  <c r="H188" i="15" s="1"/>
  <c r="M43" i="40"/>
  <c r="M42" i="40"/>
  <c r="H189" i="15" s="1"/>
  <c r="O43" i="40"/>
  <c r="AI57" i="39"/>
  <c r="AI58" i="39"/>
  <c r="M44" i="40"/>
  <c r="H191" i="15" s="1"/>
  <c r="AI59" i="39"/>
  <c r="AI60" i="39"/>
  <c r="O44" i="40"/>
  <c r="AI61" i="39"/>
  <c r="AI62" i="39"/>
  <c r="AI63" i="39"/>
  <c r="O45" i="40"/>
  <c r="M45" i="40"/>
  <c r="H192" i="15" s="1"/>
  <c r="O46" i="40"/>
  <c r="M46" i="40"/>
  <c r="H193" i="15" s="1"/>
  <c r="AI65" i="39"/>
  <c r="O47" i="40"/>
  <c r="M47" i="40"/>
  <c r="H194" i="15" s="1"/>
  <c r="AI64" i="39"/>
  <c r="M50" i="40"/>
  <c r="M48" i="40"/>
  <c r="H195" i="15" s="1"/>
  <c r="O50" i="40"/>
  <c r="M49" i="40"/>
  <c r="H196" i="15" s="1"/>
  <c r="O48" i="40"/>
  <c r="AI66" i="39"/>
  <c r="AI68" i="39"/>
  <c r="O49" i="40"/>
  <c r="M51" i="40"/>
  <c r="O51" i="40"/>
  <c r="AI67" i="39"/>
  <c r="M52" i="40"/>
  <c r="H199" i="15" s="1"/>
  <c r="O52" i="40"/>
  <c r="M55" i="40"/>
  <c r="H202" i="15" s="1"/>
  <c r="M53" i="40"/>
  <c r="H200" i="15" s="1"/>
  <c r="AI69" i="39"/>
  <c r="O55" i="40"/>
  <c r="M54" i="40"/>
  <c r="H201" i="15" s="1"/>
  <c r="M56" i="40"/>
  <c r="H203" i="15" s="1"/>
  <c r="O53" i="40"/>
  <c r="O54" i="40"/>
  <c r="O57" i="40"/>
  <c r="AI70" i="39"/>
  <c r="AI71" i="39"/>
  <c r="M58" i="40"/>
  <c r="H205" i="15" s="1"/>
  <c r="O56" i="40"/>
  <c r="AI72" i="39"/>
  <c r="M57" i="40"/>
  <c r="H204" i="15" s="1"/>
  <c r="AI74" i="39"/>
  <c r="M59" i="40"/>
  <c r="H206" i="15" s="1"/>
  <c r="O58" i="40"/>
  <c r="O61" i="40"/>
  <c r="AI73" i="39"/>
  <c r="O60" i="40"/>
  <c r="O59" i="40"/>
  <c r="M60" i="40"/>
  <c r="H207" i="15" s="1"/>
  <c r="AI76" i="39"/>
  <c r="O62" i="40"/>
  <c r="M62" i="40"/>
  <c r="H209" i="15" s="1"/>
  <c r="AI75" i="39"/>
  <c r="M61" i="40"/>
  <c r="H208" i="15" s="1"/>
  <c r="O65" i="40"/>
  <c r="AI85" i="39"/>
  <c r="AI86" i="39"/>
  <c r="M65" i="40"/>
  <c r="H219" i="15" s="1"/>
  <c r="O63" i="40"/>
  <c r="M63" i="40"/>
  <c r="H210" i="15" s="1"/>
  <c r="M64" i="40"/>
  <c r="H218" i="15" s="1"/>
  <c r="O64" i="40"/>
  <c r="AI87" i="39"/>
  <c r="M67" i="40"/>
  <c r="H221" i="15" s="1"/>
  <c r="AI88" i="39"/>
  <c r="AI89" i="39"/>
  <c r="O68" i="40"/>
  <c r="M66" i="40"/>
  <c r="H220" i="15" s="1"/>
  <c r="O67" i="40"/>
  <c r="O66" i="40"/>
  <c r="M68" i="40"/>
  <c r="H222" i="15" s="1"/>
  <c r="M69" i="40"/>
  <c r="M72" i="40"/>
  <c r="M71" i="40"/>
  <c r="O69" i="40"/>
  <c r="AI91" i="39"/>
  <c r="AI90" i="39"/>
  <c r="M70" i="40"/>
  <c r="H224" i="15" s="1"/>
  <c r="AI93" i="39"/>
  <c r="AJ27" i="39"/>
  <c r="O71" i="40"/>
  <c r="O70" i="40"/>
  <c r="AJ28" i="39"/>
  <c r="N12" i="40"/>
  <c r="AI92" i="39"/>
  <c r="O72" i="40"/>
  <c r="N13" i="40"/>
  <c r="AK27" i="39"/>
  <c r="Q11" i="40"/>
  <c r="AJ30" i="39"/>
  <c r="R12" i="40"/>
  <c r="N11" i="40"/>
  <c r="AI94" i="39"/>
  <c r="M73" i="40"/>
  <c r="H227" i="15" s="1"/>
  <c r="AK30" i="39"/>
  <c r="R13" i="40"/>
  <c r="R14" i="40"/>
  <c r="Q14" i="40"/>
  <c r="AK29" i="39"/>
  <c r="Q13" i="40"/>
  <c r="AI96" i="39"/>
  <c r="N15" i="40"/>
  <c r="Q12" i="40"/>
  <c r="R11" i="40"/>
  <c r="N14" i="40"/>
  <c r="AK31" i="39"/>
  <c r="O74" i="40"/>
  <c r="M75" i="40"/>
  <c r="AJ29" i="39"/>
  <c r="AK28" i="39"/>
  <c r="O75" i="40"/>
  <c r="AJ31" i="39"/>
  <c r="N16" i="40"/>
  <c r="AI95" i="39"/>
  <c r="O73" i="40"/>
  <c r="R15" i="40"/>
  <c r="M74" i="40"/>
  <c r="AI98" i="39"/>
  <c r="AI97" i="39"/>
  <c r="Q16" i="40"/>
  <c r="AJ33" i="39"/>
  <c r="AI99" i="39"/>
  <c r="Q15" i="40"/>
  <c r="N17" i="40"/>
  <c r="AJ32" i="39"/>
  <c r="R16" i="40"/>
  <c r="AK32" i="39"/>
  <c r="R18" i="40"/>
  <c r="R17" i="40"/>
  <c r="AJ34" i="39"/>
  <c r="N18" i="40"/>
  <c r="Q17" i="40"/>
  <c r="AK34" i="39"/>
  <c r="AK33" i="39"/>
  <c r="Q18" i="40"/>
  <c r="AK36" i="39"/>
  <c r="AJ35" i="39"/>
  <c r="Q20" i="40"/>
  <c r="N21" i="40"/>
  <c r="Q19" i="40"/>
  <c r="N19" i="40"/>
  <c r="AJ36" i="39"/>
  <c r="R19" i="40"/>
  <c r="AK35" i="39"/>
  <c r="N20" i="40"/>
  <c r="AJ37" i="39"/>
  <c r="R20" i="40"/>
  <c r="R21" i="40"/>
  <c r="N22" i="40"/>
  <c r="AJ38" i="39"/>
  <c r="Q21" i="40"/>
  <c r="Q22" i="40"/>
  <c r="AK37" i="39"/>
  <c r="R22" i="40"/>
  <c r="AK39" i="39"/>
  <c r="N23" i="40"/>
  <c r="AJ39" i="39"/>
  <c r="AJ40" i="39"/>
  <c r="AK40" i="39"/>
  <c r="AK38" i="39"/>
  <c r="AK41" i="39"/>
  <c r="N25" i="40"/>
  <c r="R24" i="40"/>
  <c r="Q23" i="40"/>
  <c r="N24" i="40"/>
  <c r="Q24" i="40"/>
  <c r="R23" i="40"/>
  <c r="Q25" i="40"/>
  <c r="N26" i="40"/>
  <c r="AJ42" i="39"/>
  <c r="AJ41" i="39"/>
  <c r="R25" i="40"/>
  <c r="R27" i="40"/>
  <c r="Q27" i="40"/>
  <c r="N28" i="40"/>
  <c r="Q26" i="40"/>
  <c r="AJ43" i="39"/>
  <c r="R26" i="40"/>
  <c r="N27" i="40"/>
  <c r="AK42" i="39"/>
  <c r="R30" i="40"/>
  <c r="AK44" i="39"/>
  <c r="AK43" i="39"/>
  <c r="N29" i="40"/>
  <c r="AJ45" i="39"/>
  <c r="N30" i="40"/>
  <c r="R28" i="40"/>
  <c r="Q28" i="40"/>
  <c r="AJ44" i="39"/>
  <c r="R31" i="40"/>
  <c r="AJ46" i="39"/>
  <c r="Q30" i="40"/>
  <c r="AK45" i="39"/>
  <c r="AK46" i="39"/>
  <c r="R29" i="40"/>
  <c r="Q29" i="40"/>
  <c r="N31" i="40"/>
  <c r="Q32" i="40"/>
  <c r="AJ47" i="39"/>
  <c r="N34" i="40"/>
  <c r="Q31" i="40"/>
  <c r="AK47" i="39"/>
  <c r="R32" i="40"/>
  <c r="AJ48" i="39"/>
  <c r="AJ49" i="39"/>
  <c r="N33" i="40"/>
  <c r="N32" i="40"/>
  <c r="AK48" i="39"/>
  <c r="AK49" i="39"/>
  <c r="Q33" i="40"/>
  <c r="R34" i="40"/>
  <c r="AJ51" i="39"/>
  <c r="R33" i="40"/>
  <c r="AJ52" i="39"/>
  <c r="Q34" i="40"/>
  <c r="N35" i="40"/>
  <c r="AK50" i="39"/>
  <c r="AJ50" i="39"/>
  <c r="N36" i="40"/>
  <c r="AK51" i="39"/>
  <c r="N39" i="40"/>
  <c r="Q35" i="40"/>
  <c r="R36" i="40"/>
  <c r="R35" i="40"/>
  <c r="Q36" i="40"/>
  <c r="AK52" i="39"/>
  <c r="N38" i="40"/>
  <c r="AK53" i="39"/>
  <c r="N37" i="40"/>
  <c r="Q37" i="40"/>
  <c r="R39" i="40"/>
  <c r="AJ53" i="39"/>
  <c r="Q38" i="40"/>
  <c r="R38" i="40"/>
  <c r="AK54" i="39"/>
  <c r="AJ56" i="39"/>
  <c r="R37" i="40"/>
  <c r="Q39" i="40"/>
  <c r="R41" i="40"/>
  <c r="AJ54" i="39"/>
  <c r="AK56" i="39"/>
  <c r="N40" i="40"/>
  <c r="AK55" i="39"/>
  <c r="AJ55" i="39"/>
  <c r="N42" i="40"/>
  <c r="AJ57" i="39"/>
  <c r="Q40" i="40"/>
  <c r="R40" i="40"/>
  <c r="R43" i="40"/>
  <c r="N41" i="40"/>
  <c r="AK57" i="39"/>
  <c r="N46" i="40"/>
  <c r="Q42" i="40"/>
  <c r="Q41" i="40"/>
  <c r="AK58" i="39"/>
  <c r="AJ58" i="39"/>
  <c r="N43" i="40"/>
  <c r="Q43" i="40"/>
  <c r="AJ59" i="39"/>
  <c r="R42" i="40"/>
  <c r="AK61" i="39"/>
  <c r="N44" i="40"/>
  <c r="AK60" i="39"/>
  <c r="AK59" i="39"/>
  <c r="R45" i="40"/>
  <c r="Q45" i="40"/>
  <c r="R44" i="40"/>
  <c r="Q44" i="40"/>
  <c r="N45" i="40"/>
  <c r="AJ60" i="39"/>
  <c r="N47" i="40"/>
  <c r="AJ61" i="39"/>
  <c r="Q46" i="40"/>
  <c r="AK64" i="39"/>
  <c r="AJ62" i="39"/>
  <c r="R46" i="40"/>
  <c r="N48" i="40"/>
  <c r="R47" i="40"/>
  <c r="AK62" i="39"/>
  <c r="AJ63" i="39"/>
  <c r="AJ64" i="39"/>
  <c r="Q47" i="40"/>
  <c r="N49" i="40"/>
  <c r="Q48" i="40"/>
  <c r="AK65" i="39"/>
  <c r="R48" i="40"/>
  <c r="R49" i="40"/>
  <c r="AK63" i="39"/>
  <c r="AJ65" i="39"/>
  <c r="N51" i="40"/>
  <c r="N50" i="40"/>
  <c r="Q49" i="40"/>
  <c r="AK66" i="39"/>
  <c r="AK67" i="39"/>
  <c r="R50" i="40"/>
  <c r="AJ67" i="39"/>
  <c r="AJ66" i="39"/>
  <c r="Q50" i="40"/>
  <c r="R51" i="40"/>
  <c r="N52" i="40"/>
  <c r="Q54" i="40"/>
  <c r="N54" i="40"/>
  <c r="AK68" i="39"/>
  <c r="N53" i="40"/>
  <c r="AJ68" i="39"/>
  <c r="Q51" i="40"/>
  <c r="Q52" i="40"/>
  <c r="R54" i="40"/>
  <c r="R53" i="40"/>
  <c r="AJ69" i="39"/>
  <c r="AJ70" i="39"/>
  <c r="Q53" i="40"/>
  <c r="N55" i="40"/>
  <c r="Q55" i="40"/>
  <c r="AK69" i="39"/>
  <c r="AK70" i="39"/>
  <c r="R52" i="40"/>
  <c r="N57" i="40"/>
  <c r="R55" i="40"/>
  <c r="AJ71" i="39"/>
  <c r="AK72" i="39"/>
  <c r="R56" i="40"/>
  <c r="N59" i="40"/>
  <c r="N56" i="40"/>
  <c r="AJ72" i="39"/>
  <c r="Q58" i="40"/>
  <c r="R57" i="40"/>
  <c r="Q56" i="40"/>
  <c r="AK71" i="39"/>
  <c r="N58" i="40"/>
  <c r="AK73" i="39"/>
  <c r="Q57" i="40"/>
  <c r="AJ73" i="39"/>
  <c r="AK75" i="39"/>
  <c r="AJ75" i="39"/>
  <c r="N60" i="40"/>
  <c r="R58" i="40"/>
  <c r="Q59" i="40"/>
  <c r="N62" i="40"/>
  <c r="AJ74" i="39"/>
  <c r="AK74" i="39"/>
  <c r="AK76" i="39"/>
  <c r="AJ85" i="39"/>
  <c r="R59" i="40"/>
  <c r="AJ76" i="39"/>
  <c r="N61" i="40"/>
  <c r="R61" i="40"/>
  <c r="Q60" i="40"/>
  <c r="R60" i="40"/>
  <c r="Q61" i="40"/>
  <c r="AK85" i="39"/>
  <c r="N63" i="40"/>
  <c r="AK86" i="39"/>
  <c r="AJ87" i="39"/>
  <c r="Q63" i="40"/>
  <c r="R62" i="40"/>
  <c r="R63" i="40"/>
  <c r="N64" i="40"/>
  <c r="AJ86" i="39"/>
  <c r="Q64" i="40"/>
  <c r="AJ90" i="39"/>
  <c r="AK87" i="39"/>
  <c r="N65" i="40"/>
  <c r="Q62" i="40"/>
  <c r="AK89" i="39"/>
  <c r="AK88" i="39"/>
  <c r="Q65" i="40"/>
  <c r="AJ88" i="39"/>
  <c r="R64" i="40"/>
  <c r="N66" i="40"/>
  <c r="R66" i="40"/>
  <c r="R65" i="40"/>
  <c r="N67" i="40"/>
  <c r="AK91" i="39"/>
  <c r="AK90" i="39"/>
  <c r="N68" i="40"/>
  <c r="Q68" i="40"/>
  <c r="Q66" i="40"/>
  <c r="AJ91" i="39"/>
  <c r="AJ89" i="39"/>
  <c r="R71" i="40"/>
  <c r="N70" i="40"/>
  <c r="AK92" i="39"/>
  <c r="AK93" i="39"/>
  <c r="AJ92" i="39"/>
  <c r="R67" i="40"/>
  <c r="Q67" i="40"/>
  <c r="AJ93" i="39"/>
  <c r="R68" i="40"/>
  <c r="Q69" i="40"/>
  <c r="R69" i="40"/>
  <c r="AK94" i="39"/>
  <c r="N69" i="40"/>
  <c r="Q70" i="40"/>
  <c r="R70" i="40"/>
  <c r="AJ95" i="39"/>
  <c r="N71" i="40"/>
  <c r="AJ94" i="39"/>
  <c r="N72" i="40"/>
  <c r="AK95" i="39"/>
  <c r="N73" i="40"/>
  <c r="Q72" i="40"/>
  <c r="AJ96" i="39"/>
  <c r="Q71" i="40"/>
  <c r="R72" i="40"/>
  <c r="R74" i="40"/>
  <c r="Q73" i="40"/>
  <c r="AK96" i="39"/>
  <c r="AK99" i="39"/>
  <c r="AK97" i="39"/>
  <c r="R73" i="40"/>
  <c r="N74" i="40"/>
  <c r="Q74" i="40"/>
  <c r="AJ99" i="39"/>
  <c r="AJ98" i="39"/>
  <c r="AK98" i="39"/>
  <c r="AJ97" i="39"/>
  <c r="N75" i="40"/>
  <c r="R75" i="40"/>
  <c r="Q75" i="40"/>
  <c r="CB886" i="29"/>
  <c r="CB887" i="29"/>
  <c r="CB888" i="29"/>
  <c r="CB889" i="29"/>
  <c r="CB890" i="29"/>
  <c r="CB898" i="29"/>
  <c r="CB899" i="29"/>
  <c r="CB900" i="29"/>
  <c r="CB902" i="29"/>
  <c r="CB901" i="29"/>
  <c r="CB903" i="29"/>
  <c r="CB904" i="29"/>
  <c r="CB910" i="29"/>
  <c r="CB914" i="29"/>
  <c r="CB912" i="29"/>
  <c r="CB911" i="29"/>
  <c r="CB922" i="29"/>
  <c r="CB923" i="29"/>
  <c r="CB926" i="29"/>
  <c r="CB924" i="29"/>
  <c r="CB927" i="29"/>
  <c r="CB925" i="29"/>
  <c r="CB934" i="29"/>
  <c r="CB935" i="29"/>
  <c r="CB936" i="29"/>
  <c r="CB937" i="29"/>
  <c r="CB938" i="29"/>
  <c r="CB948" i="29"/>
  <c r="CB946" i="29"/>
  <c r="CB949" i="29"/>
  <c r="CB947" i="29"/>
  <c r="CB958" i="29"/>
  <c r="CB959" i="29"/>
  <c r="CB960" i="29"/>
  <c r="CB963" i="29"/>
  <c r="CB961" i="29"/>
  <c r="CB971" i="29"/>
  <c r="CB970" i="29"/>
  <c r="CB974" i="29"/>
  <c r="CB972" i="29"/>
  <c r="CB973" i="29"/>
  <c r="CB982" i="29"/>
  <c r="CB984" i="29"/>
  <c r="CB983" i="29"/>
  <c r="CB986" i="29"/>
  <c r="CB995" i="29"/>
  <c r="CB994" i="29"/>
  <c r="CB997" i="29"/>
  <c r="CB996" i="29"/>
  <c r="CB999" i="29"/>
  <c r="CB998" i="29"/>
  <c r="CB1006" i="29"/>
  <c r="CB1007" i="29"/>
  <c r="CB1010" i="29"/>
  <c r="CB1008" i="29"/>
  <c r="CB1011" i="29"/>
  <c r="CB1019" i="29"/>
  <c r="CB1018" i="29"/>
  <c r="CB1023" i="29"/>
  <c r="CB1020" i="29"/>
  <c r="CB1022" i="29"/>
  <c r="CB1021" i="29"/>
  <c r="CB1032" i="29"/>
  <c r="CB1030" i="29"/>
  <c r="CB1031" i="29"/>
  <c r="CB1034" i="29"/>
  <c r="CB1033" i="29"/>
  <c r="CB1043" i="29"/>
  <c r="CB1042" i="29"/>
  <c r="CB1045" i="29"/>
  <c r="CB1047" i="29"/>
  <c r="CB1044" i="29"/>
  <c r="CB1054" i="29"/>
  <c r="CB1057" i="29"/>
  <c r="CB1055" i="29"/>
  <c r="CB1056" i="29"/>
  <c r="CB1066" i="29"/>
  <c r="CB1067" i="29"/>
  <c r="CB1068" i="29"/>
  <c r="CB1079" i="29"/>
  <c r="CB1078" i="29"/>
  <c r="CB1080" i="29"/>
  <c r="CB1082" i="29"/>
  <c r="CB1081" i="29"/>
  <c r="CB1090" i="29"/>
  <c r="CB1091" i="29"/>
  <c r="CB1092" i="29"/>
  <c r="CB1094" i="29"/>
  <c r="CB1095" i="29"/>
  <c r="CB1093" i="29"/>
  <c r="CB1103" i="29"/>
  <c r="CB1105" i="29"/>
  <c r="CB1102" i="29"/>
  <c r="CB1104" i="29"/>
  <c r="CB1115" i="29"/>
  <c r="CB1114" i="29"/>
  <c r="CB1119" i="29"/>
  <c r="CB1117" i="29"/>
  <c r="CB1116" i="29"/>
  <c r="CB1126" i="29"/>
  <c r="CB1127" i="29"/>
  <c r="CB1131" i="29"/>
  <c r="CB1128" i="29"/>
  <c r="CB1129" i="29"/>
  <c r="CB1130" i="29"/>
  <c r="CB1138" i="29"/>
  <c r="CB1139" i="29"/>
  <c r="CB1144" i="29"/>
  <c r="CB1140" i="29"/>
  <c r="CB1153" i="29"/>
  <c r="CB1151" i="29"/>
  <c r="CB1150" i="29"/>
  <c r="CB1152" i="29"/>
  <c r="CB1162" i="29"/>
  <c r="CB1163" i="29"/>
  <c r="CB1165" i="29"/>
  <c r="CB1164" i="29"/>
  <c r="CB1174" i="29"/>
  <c r="CB1175" i="29"/>
  <c r="CB1180" i="29"/>
  <c r="CB1177" i="29"/>
  <c r="CB1176" i="29"/>
  <c r="CB1186" i="29"/>
  <c r="CB1187" i="29"/>
  <c r="CB1188" i="29"/>
  <c r="CB1198" i="29"/>
  <c r="CB1199" i="29"/>
  <c r="CB1200" i="29"/>
  <c r="CB1210" i="29"/>
  <c r="CB1211" i="29"/>
  <c r="CB1213" i="29"/>
  <c r="CB1212" i="29"/>
  <c r="CB1222" i="29"/>
  <c r="CB1223" i="29"/>
  <c r="CB1227" i="29"/>
  <c r="CB1224" i="29"/>
  <c r="CB1225" i="29"/>
  <c r="CB1236" i="29"/>
  <c r="CB1234" i="29"/>
  <c r="CB1237" i="29"/>
  <c r="CB1235" i="29"/>
  <c r="CB1238" i="29"/>
  <c r="CB1246" i="29"/>
  <c r="CB1247" i="29"/>
  <c r="CB1248" i="29"/>
  <c r="CB1259" i="29"/>
  <c r="CB1258" i="29"/>
  <c r="CB1261" i="29"/>
  <c r="CB1260" i="29"/>
  <c r="CB1270" i="29"/>
  <c r="CB1272" i="29"/>
  <c r="CB1271" i="29"/>
  <c r="CB1274" i="29"/>
  <c r="CB1275" i="29"/>
  <c r="CB1273" i="29"/>
  <c r="CB1282" i="29"/>
  <c r="CB1283" i="29"/>
  <c r="CB1284" i="29"/>
  <c r="CB1286" i="29"/>
  <c r="CB1285" i="29"/>
  <c r="CB1296" i="29"/>
  <c r="CB1294" i="29"/>
  <c r="CB1295" i="29"/>
  <c r="CB1297" i="29"/>
  <c r="CB1308" i="29"/>
  <c r="CB1306" i="29"/>
  <c r="CB1310" i="29"/>
  <c r="CB1307" i="29"/>
  <c r="CB1309" i="29"/>
  <c r="CB1318" i="29"/>
  <c r="CB1319" i="29"/>
  <c r="CB1320" i="29"/>
  <c r="CB1321" i="29"/>
  <c r="X1339" i="29"/>
  <c r="BH1341" i="29"/>
  <c r="BB1341" i="29" s="1"/>
  <c r="AZ1341" i="29"/>
  <c r="H198" i="15" l="1"/>
  <c r="H197" i="15"/>
  <c r="H190" i="15"/>
  <c r="H185" i="15"/>
  <c r="H180" i="15"/>
  <c r="H181" i="15"/>
  <c r="H187" i="15"/>
  <c r="H184" i="15"/>
  <c r="H182" i="15"/>
  <c r="H178" i="15"/>
  <c r="H175" i="15"/>
  <c r="H225" i="15"/>
  <c r="H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O100" i="39"/>
  <c r="O101" i="39"/>
  <c r="O102" i="39"/>
  <c r="O103" i="39"/>
  <c r="O104" i="39"/>
  <c r="O105" i="39"/>
  <c r="O106" i="39"/>
  <c r="O107" i="39"/>
  <c r="O108" i="39"/>
  <c r="O109" i="39"/>
  <c r="O110" i="39"/>
  <c r="O111" i="39"/>
  <c r="O112" i="39"/>
  <c r="O113" i="39"/>
  <c r="O114" i="39"/>
  <c r="O115" i="39"/>
  <c r="O116" i="39"/>
  <c r="O117" i="39"/>
  <c r="O118" i="39"/>
  <c r="O119" i="39"/>
  <c r="O120" i="39"/>
  <c r="O121" i="39"/>
  <c r="O122" i="39"/>
  <c r="O123" i="39"/>
  <c r="O124" i="39"/>
  <c r="O125" i="39"/>
  <c r="O126" i="39"/>
  <c r="O127" i="39"/>
  <c r="O128" i="39"/>
  <c r="O129" i="39"/>
  <c r="O130" i="39"/>
  <c r="O131" i="39"/>
  <c r="O132" i="39"/>
  <c r="O133" i="39"/>
  <c r="J230" i="15"/>
  <c r="O134" i="39"/>
  <c r="O135" i="39"/>
  <c r="J231" i="15"/>
  <c r="J232" i="15"/>
  <c r="O136" i="39"/>
  <c r="O137" i="39"/>
  <c r="J233" i="15"/>
  <c r="J234" i="15"/>
  <c r="O138" i="39"/>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H228" i="15"/>
  <c r="H226" i="15"/>
  <c r="H223" i="15"/>
  <c r="H230" i="15"/>
  <c r="H231" i="15"/>
  <c r="H232" i="15"/>
  <c r="H233" i="15"/>
  <c r="H234" i="15"/>
  <c r="H235" i="15"/>
  <c r="H236" i="15"/>
  <c r="H237" i="15"/>
  <c r="H238" i="15"/>
  <c r="H239" i="15"/>
  <c r="H240" i="15"/>
  <c r="H241" i="15"/>
  <c r="H242" i="15"/>
  <c r="H243" i="15"/>
  <c r="H244" i="15"/>
  <c r="H245" i="15"/>
  <c r="H246" i="15"/>
  <c r="H247" i="15"/>
  <c r="H248" i="15"/>
  <c r="H249" i="15"/>
  <c r="H250" i="15"/>
  <c r="H251" i="15"/>
  <c r="H252" i="15"/>
  <c r="H253" i="15"/>
  <c r="H254" i="15"/>
  <c r="H255" i="15"/>
  <c r="H256" i="15"/>
  <c r="H257" i="15"/>
  <c r="H258" i="15"/>
  <c r="H259" i="15"/>
  <c r="H260" i="15"/>
  <c r="H261" i="15"/>
  <c r="H262" i="15"/>
  <c r="H263" i="15"/>
  <c r="H264" i="15"/>
  <c r="H265" i="15"/>
  <c r="H266" i="15"/>
  <c r="H267" i="15"/>
  <c r="H268"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BV1319" i="29"/>
  <c r="CC1319" i="29"/>
  <c r="BV1318" i="29"/>
  <c r="CC1318" i="29"/>
  <c r="BV1284" i="29"/>
  <c r="CC1284" i="29"/>
  <c r="BV1259" i="29"/>
  <c r="CC1259" i="29"/>
  <c r="BV1320" i="29"/>
  <c r="CC1320" i="29"/>
  <c r="BV1307" i="29"/>
  <c r="CC1307" i="29"/>
  <c r="BV1297" i="29"/>
  <c r="CC1297" i="29"/>
  <c r="BV1285" i="29"/>
  <c r="CC1285" i="29"/>
  <c r="BV1282" i="29"/>
  <c r="CC1282" i="29"/>
  <c r="BV1271" i="29"/>
  <c r="CC1271" i="29"/>
  <c r="BV1261" i="29"/>
  <c r="CC1261" i="29"/>
  <c r="BV1247" i="29"/>
  <c r="CC1247" i="29"/>
  <c r="BV1237" i="29"/>
  <c r="CC1237" i="29"/>
  <c r="BV1224" i="29"/>
  <c r="CC1224" i="29"/>
  <c r="BV1212" i="29"/>
  <c r="CC1212" i="29"/>
  <c r="BV1200" i="29"/>
  <c r="CC1200" i="29"/>
  <c r="BV1187" i="29"/>
  <c r="CC1187" i="29"/>
  <c r="BV1180" i="29"/>
  <c r="CC1180" i="29"/>
  <c r="BV1165" i="29"/>
  <c r="CC1165" i="29"/>
  <c r="BV1150" i="29"/>
  <c r="CC1150" i="29"/>
  <c r="BV1144" i="29"/>
  <c r="CC1144" i="29"/>
  <c r="BV1129" i="29"/>
  <c r="CC1129" i="29"/>
  <c r="BV1126" i="29"/>
  <c r="CC1126" i="29"/>
  <c r="BV1114" i="29"/>
  <c r="CC1114" i="29"/>
  <c r="BV1105" i="29"/>
  <c r="CC1105" i="29"/>
  <c r="BV1094" i="29"/>
  <c r="CC1094" i="29"/>
  <c r="BV1081" i="29"/>
  <c r="CC1081" i="29"/>
  <c r="BV1079" i="29"/>
  <c r="CC1079" i="29"/>
  <c r="BV1056" i="29"/>
  <c r="CC1056" i="29"/>
  <c r="BV1044" i="29"/>
  <c r="CC1044" i="29"/>
  <c r="BV1043" i="29"/>
  <c r="CC1043" i="29"/>
  <c r="BV1030" i="29"/>
  <c r="CC1030" i="29"/>
  <c r="BV1020" i="29"/>
  <c r="CC1020" i="29"/>
  <c r="BV1011" i="29"/>
  <c r="CC1011" i="29"/>
  <c r="BV1006" i="29"/>
  <c r="CC1006" i="29"/>
  <c r="BV997" i="29"/>
  <c r="CC997" i="29"/>
  <c r="BV983" i="29"/>
  <c r="CC983" i="29"/>
  <c r="BV972" i="29"/>
  <c r="CC972" i="29"/>
  <c r="BV961" i="29"/>
  <c r="CC961" i="29"/>
  <c r="BV958" i="29"/>
  <c r="CC958" i="29"/>
  <c r="BV948" i="29"/>
  <c r="CC948" i="29"/>
  <c r="BV935" i="29"/>
  <c r="CC935" i="29"/>
  <c r="BV924" i="29"/>
  <c r="CC924" i="29"/>
  <c r="BV911" i="29"/>
  <c r="CC911" i="29"/>
  <c r="BV904" i="29"/>
  <c r="CC904" i="29"/>
  <c r="BV900" i="29"/>
  <c r="CC900" i="29"/>
  <c r="BV889" i="29"/>
  <c r="CC889" i="29"/>
  <c r="H137" i="40"/>
  <c r="Z75" i="40"/>
  <c r="Y75" i="40" s="1"/>
  <c r="L229" i="15"/>
  <c r="U75" i="40"/>
  <c r="O98" i="39"/>
  <c r="J228" i="15"/>
  <c r="L225" i="15"/>
  <c r="Z71" i="40"/>
  <c r="Y71" i="40" s="1"/>
  <c r="U71" i="40"/>
  <c r="J222" i="15"/>
  <c r="O92" i="39"/>
  <c r="N219" i="15"/>
  <c r="V65" i="40"/>
  <c r="L209" i="15"/>
  <c r="Z62" i="40"/>
  <c r="Y62" i="40" s="1"/>
  <c r="U62" i="40"/>
  <c r="L218" i="15"/>
  <c r="Z64" i="40"/>
  <c r="Y64" i="40" s="1"/>
  <c r="U64" i="40"/>
  <c r="N209" i="15"/>
  <c r="V62" i="40"/>
  <c r="J210" i="15"/>
  <c r="O87" i="39"/>
  <c r="G135" i="40"/>
  <c r="Z60" i="40"/>
  <c r="Y60" i="40" s="1"/>
  <c r="L207" i="15"/>
  <c r="U60" i="40"/>
  <c r="N206" i="15"/>
  <c r="V59" i="40"/>
  <c r="J207" i="15"/>
  <c r="O76" i="39"/>
  <c r="L204" i="15"/>
  <c r="Z57" i="40"/>
  <c r="Y57" i="40" s="1"/>
  <c r="U57" i="40"/>
  <c r="L203" i="15"/>
  <c r="Z56" i="40"/>
  <c r="Y56" i="40" s="1"/>
  <c r="U56" i="40"/>
  <c r="O72" i="39"/>
  <c r="J203" i="15"/>
  <c r="L200" i="15"/>
  <c r="Z53" i="40"/>
  <c r="H134" i="40"/>
  <c r="U53" i="40"/>
  <c r="N201" i="15"/>
  <c r="V54" i="40"/>
  <c r="O69" i="39"/>
  <c r="J200" i="15"/>
  <c r="G134" i="40"/>
  <c r="O68" i="39"/>
  <c r="J199" i="15"/>
  <c r="Z49" i="40"/>
  <c r="Y49" i="40" s="1"/>
  <c r="L196" i="15"/>
  <c r="U49" i="40"/>
  <c r="Z48" i="40"/>
  <c r="Y48" i="40" s="1"/>
  <c r="L195" i="15"/>
  <c r="U48" i="40"/>
  <c r="N193" i="15"/>
  <c r="V46" i="40"/>
  <c r="L191" i="15"/>
  <c r="Z44" i="40"/>
  <c r="Y44" i="40" s="1"/>
  <c r="U44" i="40"/>
  <c r="N189" i="15"/>
  <c r="V42" i="40"/>
  <c r="O62" i="39"/>
  <c r="J193" i="15"/>
  <c r="N187" i="15"/>
  <c r="V40" i="40"/>
  <c r="N182" i="15"/>
  <c r="V35" i="40"/>
  <c r="J182" i="15"/>
  <c r="O51" i="39"/>
  <c r="O50" i="39"/>
  <c r="J181" i="15"/>
  <c r="Z29" i="40"/>
  <c r="L176" i="15"/>
  <c r="U29" i="40"/>
  <c r="Z30" i="40"/>
  <c r="Y30" i="40" s="1"/>
  <c r="L177" i="15"/>
  <c r="U30" i="40"/>
  <c r="Z28" i="40"/>
  <c r="Y28" i="40" s="1"/>
  <c r="L175" i="15"/>
  <c r="U28" i="40"/>
  <c r="J176" i="15"/>
  <c r="O45" i="39"/>
  <c r="L173" i="15"/>
  <c r="Z26" i="40"/>
  <c r="Y26" i="40" s="1"/>
  <c r="U26" i="40"/>
  <c r="N172" i="15"/>
  <c r="V25" i="40"/>
  <c r="Z25" i="40"/>
  <c r="Y25" i="40" s="1"/>
  <c r="L172" i="15"/>
  <c r="U25" i="40"/>
  <c r="Z23" i="40"/>
  <c r="Y23" i="40" s="1"/>
  <c r="H131" i="40"/>
  <c r="L170" i="15"/>
  <c r="U23" i="40"/>
  <c r="G131" i="40"/>
  <c r="O39" i="39"/>
  <c r="J170" i="15"/>
  <c r="Z22" i="40"/>
  <c r="L169" i="15"/>
  <c r="U22" i="40"/>
  <c r="N168" i="15"/>
  <c r="V21" i="40"/>
  <c r="L166" i="15"/>
  <c r="Z19" i="40"/>
  <c r="U19" i="40"/>
  <c r="Z17" i="40"/>
  <c r="Y17" i="40" s="1"/>
  <c r="L164" i="15"/>
  <c r="U17" i="40"/>
  <c r="N165" i="15"/>
  <c r="V18" i="40"/>
  <c r="J164" i="15"/>
  <c r="O33" i="39"/>
  <c r="Z16" i="40"/>
  <c r="Y16" i="40" s="1"/>
  <c r="L163" i="15"/>
  <c r="U16" i="40"/>
  <c r="N162" i="15"/>
  <c r="V15" i="40"/>
  <c r="N158" i="15"/>
  <c r="I128" i="40"/>
  <c r="V11" i="40"/>
  <c r="L160" i="15"/>
  <c r="H130" i="40"/>
  <c r="Z13" i="40"/>
  <c r="Y13" i="40" s="1"/>
  <c r="U13" i="40"/>
  <c r="N160" i="15"/>
  <c r="I130" i="40"/>
  <c r="V13" i="40"/>
  <c r="G128" i="40"/>
  <c r="O27" i="39"/>
  <c r="J158" i="15"/>
  <c r="G129" i="40"/>
  <c r="J159" i="15"/>
  <c r="O28" i="39"/>
  <c r="S59" i="40"/>
  <c r="S58" i="40"/>
  <c r="S50" i="40"/>
  <c r="S46" i="40"/>
  <c r="S43" i="40"/>
  <c r="S42" i="40"/>
  <c r="S39" i="40"/>
  <c r="S35" i="40"/>
  <c r="S31" i="40"/>
  <c r="S32" i="40"/>
  <c r="S12" i="40"/>
  <c r="F129" i="40" s="1"/>
  <c r="BV1310" i="29"/>
  <c r="CC1310" i="29"/>
  <c r="BV1286" i="29"/>
  <c r="CC1286" i="29"/>
  <c r="BV1273" i="29"/>
  <c r="CC1273" i="29"/>
  <c r="BV1272" i="29"/>
  <c r="CC1272" i="29"/>
  <c r="BV1258" i="29"/>
  <c r="CC1258" i="29"/>
  <c r="BV1246" i="29"/>
  <c r="CC1246" i="29"/>
  <c r="BV1234" i="29"/>
  <c r="CC1234" i="29"/>
  <c r="BV1227" i="29"/>
  <c r="CC1227" i="29"/>
  <c r="BV1213" i="29"/>
  <c r="CC1213" i="29"/>
  <c r="BV1199" i="29"/>
  <c r="CC1199" i="29"/>
  <c r="BV1186" i="29"/>
  <c r="CC1186" i="29"/>
  <c r="BV1175" i="29"/>
  <c r="CC1175" i="29"/>
  <c r="BV1163" i="29"/>
  <c r="CC1163" i="29"/>
  <c r="BV1151" i="29"/>
  <c r="CC1151" i="29"/>
  <c r="BV1139" i="29"/>
  <c r="CC1139" i="29"/>
  <c r="BV1128" i="29"/>
  <c r="CC1128" i="29"/>
  <c r="BV1116" i="29"/>
  <c r="CC1116" i="29"/>
  <c r="BV1115" i="29"/>
  <c r="CC1115" i="29"/>
  <c r="BV1103" i="29"/>
  <c r="CC1103" i="29"/>
  <c r="BV1092" i="29"/>
  <c r="CC1092" i="29"/>
  <c r="BV1082" i="29"/>
  <c r="CC1082" i="29"/>
  <c r="BV1068" i="29"/>
  <c r="CC1068" i="29"/>
  <c r="BV1055" i="29"/>
  <c r="CC1055" i="29"/>
  <c r="BV1047" i="29"/>
  <c r="CC1047" i="29"/>
  <c r="BV1033" i="29"/>
  <c r="CC1033" i="29"/>
  <c r="BV1032" i="29"/>
  <c r="CC1032" i="29"/>
  <c r="BV1023" i="29"/>
  <c r="CC1023" i="29"/>
  <c r="BV1008" i="29"/>
  <c r="CC1008" i="29"/>
  <c r="BV998" i="29"/>
  <c r="CC998" i="29"/>
  <c r="BV994" i="29"/>
  <c r="CC994" i="29"/>
  <c r="BV984" i="29"/>
  <c r="CC984" i="29"/>
  <c r="BV974" i="29"/>
  <c r="CC974" i="29"/>
  <c r="BV963" i="29"/>
  <c r="CC963" i="29"/>
  <c r="BV947" i="29"/>
  <c r="CC947" i="29"/>
  <c r="BV938" i="29"/>
  <c r="CC938" i="29"/>
  <c r="BV934" i="29"/>
  <c r="CC934" i="29"/>
  <c r="BV926" i="29"/>
  <c r="CC926" i="29"/>
  <c r="BV912" i="29"/>
  <c r="CC912" i="29"/>
  <c r="BV903" i="29"/>
  <c r="CC903" i="29"/>
  <c r="BV899" i="29"/>
  <c r="CC899" i="29"/>
  <c r="BV888" i="29"/>
  <c r="CC888" i="29"/>
  <c r="N229" i="15"/>
  <c r="I137" i="40"/>
  <c r="V75" i="40"/>
  <c r="N227" i="15"/>
  <c r="I136" i="40"/>
  <c r="V73" i="40"/>
  <c r="H136" i="40"/>
  <c r="Z73" i="40"/>
  <c r="Y73" i="40" s="1"/>
  <c r="L227" i="15"/>
  <c r="U73" i="40"/>
  <c r="O96" i="39"/>
  <c r="J226" i="15"/>
  <c r="N224" i="15"/>
  <c r="V70" i="40"/>
  <c r="N223" i="15"/>
  <c r="V69" i="40"/>
  <c r="Z67" i="40"/>
  <c r="Y67" i="40" s="1"/>
  <c r="L221" i="15"/>
  <c r="U67" i="40"/>
  <c r="N220" i="15"/>
  <c r="V66" i="40"/>
  <c r="L219" i="15"/>
  <c r="Z65" i="40"/>
  <c r="U65" i="40"/>
  <c r="O89" i="39"/>
  <c r="J219" i="15"/>
  <c r="L210" i="15"/>
  <c r="Z63" i="40"/>
  <c r="Y63" i="40" s="1"/>
  <c r="H135" i="40"/>
  <c r="U63" i="40"/>
  <c r="N208" i="15"/>
  <c r="V61" i="40"/>
  <c r="O86" i="39"/>
  <c r="J209" i="15"/>
  <c r="N204" i="15"/>
  <c r="V57" i="40"/>
  <c r="O75" i="39"/>
  <c r="J206" i="15"/>
  <c r="N202" i="15"/>
  <c r="V55" i="40"/>
  <c r="L199" i="15"/>
  <c r="Z52" i="40"/>
  <c r="U52" i="40"/>
  <c r="N198" i="15"/>
  <c r="V51" i="40"/>
  <c r="N197" i="15"/>
  <c r="V50" i="40"/>
  <c r="J197" i="15"/>
  <c r="O66" i="39"/>
  <c r="N196" i="15"/>
  <c r="V49" i="40"/>
  <c r="O65" i="39"/>
  <c r="J196" i="15"/>
  <c r="O63" i="39"/>
  <c r="J194" i="15"/>
  <c r="N191" i="15"/>
  <c r="V44" i="40"/>
  <c r="L187" i="15"/>
  <c r="Z40" i="40"/>
  <c r="Y40" i="40" s="1"/>
  <c r="U40" i="40"/>
  <c r="N188" i="15"/>
  <c r="V41" i="40"/>
  <c r="N186" i="15"/>
  <c r="V39" i="40"/>
  <c r="J185" i="15"/>
  <c r="O54" i="39"/>
  <c r="N183" i="15"/>
  <c r="V36" i="40"/>
  <c r="O52" i="39"/>
  <c r="J183" i="15"/>
  <c r="L181" i="15"/>
  <c r="Z34" i="40"/>
  <c r="U34" i="40"/>
  <c r="N181" i="15"/>
  <c r="V34" i="40"/>
  <c r="J179" i="15"/>
  <c r="O48" i="39"/>
  <c r="N179" i="15"/>
  <c r="V32" i="40"/>
  <c r="N176" i="15"/>
  <c r="V29" i="40"/>
  <c r="N175" i="15"/>
  <c r="V28" i="40"/>
  <c r="O43" i="39"/>
  <c r="J174" i="15"/>
  <c r="J175" i="15"/>
  <c r="O44" i="39"/>
  <c r="I131" i="40"/>
  <c r="N170" i="15"/>
  <c r="V23" i="40"/>
  <c r="N171" i="15"/>
  <c r="V24" i="40"/>
  <c r="Z21" i="40"/>
  <c r="Y21" i="40" s="1"/>
  <c r="L168" i="15"/>
  <c r="U21" i="40"/>
  <c r="N167" i="15"/>
  <c r="V20" i="40"/>
  <c r="N166" i="15"/>
  <c r="V19" i="40"/>
  <c r="J168" i="15"/>
  <c r="O37" i="39"/>
  <c r="L165" i="15"/>
  <c r="Z18" i="40"/>
  <c r="Y18" i="40" s="1"/>
  <c r="U18" i="40"/>
  <c r="J165" i="15"/>
  <c r="O34" i="39"/>
  <c r="Z15" i="40"/>
  <c r="Y15" i="40" s="1"/>
  <c r="L162" i="15"/>
  <c r="U15" i="40"/>
  <c r="S73" i="40"/>
  <c r="F136" i="40" s="1"/>
  <c r="S75" i="40"/>
  <c r="S74" i="40"/>
  <c r="Z12" i="40"/>
  <c r="Y12" i="40" s="1"/>
  <c r="H129" i="40"/>
  <c r="L159" i="15"/>
  <c r="U12" i="40"/>
  <c r="N159" i="15"/>
  <c r="I129" i="40"/>
  <c r="V12" i="40"/>
  <c r="J160" i="15"/>
  <c r="O29" i="39"/>
  <c r="G130" i="40"/>
  <c r="S69" i="40"/>
  <c r="S68" i="40"/>
  <c r="S63" i="40"/>
  <c r="S65" i="40"/>
  <c r="S62" i="40"/>
  <c r="S60" i="40"/>
  <c r="S56" i="40"/>
  <c r="S57" i="40"/>
  <c r="S51" i="40"/>
  <c r="S47" i="40"/>
  <c r="S41" i="40"/>
  <c r="S36" i="40"/>
  <c r="S27" i="40"/>
  <c r="S26" i="40"/>
  <c r="S24" i="40"/>
  <c r="S25" i="40"/>
  <c r="BV1295" i="29"/>
  <c r="CC1295" i="29"/>
  <c r="BV1306" i="29"/>
  <c r="CC1306" i="29"/>
  <c r="BV1275" i="29"/>
  <c r="CC1275" i="29"/>
  <c r="BV1238" i="29"/>
  <c r="CC1238" i="29"/>
  <c r="BV1223" i="29"/>
  <c r="CC1223" i="29"/>
  <c r="BV1211" i="29"/>
  <c r="CC1211" i="29"/>
  <c r="BV1198" i="29"/>
  <c r="CC1198" i="29"/>
  <c r="BV1176" i="29"/>
  <c r="CC1176" i="29"/>
  <c r="BV1174" i="29"/>
  <c r="CC1174" i="29"/>
  <c r="BV1162" i="29"/>
  <c r="CC1162" i="29"/>
  <c r="BV1153" i="29"/>
  <c r="CC1153" i="29"/>
  <c r="BV1138" i="29"/>
  <c r="CC1138" i="29"/>
  <c r="BV1131" i="29"/>
  <c r="CC1131" i="29"/>
  <c r="BV1117" i="29"/>
  <c r="CC1117" i="29"/>
  <c r="BV1104" i="29"/>
  <c r="CC1104" i="29"/>
  <c r="BV1093" i="29"/>
  <c r="CC1093" i="29"/>
  <c r="BV1091" i="29"/>
  <c r="CC1091" i="29"/>
  <c r="BV1080" i="29"/>
  <c r="CC1080" i="29"/>
  <c r="BV1067" i="29"/>
  <c r="CC1067" i="29"/>
  <c r="BV1057" i="29"/>
  <c r="CC1057" i="29"/>
  <c r="BV1045" i="29"/>
  <c r="CC1045" i="29"/>
  <c r="BV1034" i="29"/>
  <c r="CC1034" i="29"/>
  <c r="BV1021" i="29"/>
  <c r="CC1021" i="29"/>
  <c r="BV1018" i="29"/>
  <c r="CC1018" i="29"/>
  <c r="BV1010" i="29"/>
  <c r="CC1010" i="29"/>
  <c r="BV999" i="29"/>
  <c r="CC999" i="29"/>
  <c r="BV995" i="29"/>
  <c r="CC995" i="29"/>
  <c r="BV982" i="29"/>
  <c r="CC982" i="29"/>
  <c r="BV970" i="29"/>
  <c r="CC970" i="29"/>
  <c r="BV960" i="29"/>
  <c r="CC960" i="29"/>
  <c r="BV949" i="29"/>
  <c r="CC949" i="29"/>
  <c r="BV937" i="29"/>
  <c r="CC937" i="29"/>
  <c r="BV925" i="29"/>
  <c r="CC925" i="29"/>
  <c r="BV923" i="29"/>
  <c r="CC923" i="29"/>
  <c r="BV914" i="29"/>
  <c r="CC914" i="29"/>
  <c r="BV901" i="29"/>
  <c r="CC901" i="29"/>
  <c r="BV898" i="29"/>
  <c r="CC898" i="29"/>
  <c r="BV887" i="29"/>
  <c r="CC887" i="29"/>
  <c r="J229" i="15"/>
  <c r="G137" i="40"/>
  <c r="O99" i="39"/>
  <c r="N228" i="15"/>
  <c r="V74" i="40"/>
  <c r="Z72" i="40"/>
  <c r="L226" i="15"/>
  <c r="U72" i="40"/>
  <c r="L224" i="15"/>
  <c r="Z70" i="40"/>
  <c r="U70" i="40"/>
  <c r="Z69" i="40"/>
  <c r="L223" i="15"/>
  <c r="U69" i="40"/>
  <c r="N221" i="15"/>
  <c r="V67" i="40"/>
  <c r="J224" i="15"/>
  <c r="O94" i="39"/>
  <c r="L220" i="15"/>
  <c r="Z66" i="40"/>
  <c r="U66" i="40"/>
  <c r="J220" i="15"/>
  <c r="O90" i="39"/>
  <c r="O88" i="39"/>
  <c r="J218" i="15"/>
  <c r="Z61" i="40"/>
  <c r="L208" i="15"/>
  <c r="U61" i="40"/>
  <c r="O85" i="39"/>
  <c r="J208" i="15"/>
  <c r="L206" i="15"/>
  <c r="Z59" i="40"/>
  <c r="Y59" i="40" s="1"/>
  <c r="U59" i="40"/>
  <c r="O74" i="39"/>
  <c r="J205" i="15"/>
  <c r="Z58" i="40"/>
  <c r="L205" i="15"/>
  <c r="U58" i="40"/>
  <c r="N203" i="15"/>
  <c r="V56" i="40"/>
  <c r="O73" i="39"/>
  <c r="J204" i="15"/>
  <c r="L202" i="15"/>
  <c r="Z55" i="40"/>
  <c r="U55" i="40"/>
  <c r="L198" i="15"/>
  <c r="Z51" i="40"/>
  <c r="U51" i="40"/>
  <c r="J201" i="15"/>
  <c r="O70" i="39"/>
  <c r="L197" i="15"/>
  <c r="Z50" i="40"/>
  <c r="Y50" i="40" s="1"/>
  <c r="U50" i="40"/>
  <c r="J198" i="15"/>
  <c r="O67" i="39"/>
  <c r="N195" i="15"/>
  <c r="V48" i="40"/>
  <c r="L194" i="15"/>
  <c r="Z47" i="40"/>
  <c r="Y47" i="40" s="1"/>
  <c r="U47" i="40"/>
  <c r="N194" i="15"/>
  <c r="V47" i="40"/>
  <c r="Z45" i="40"/>
  <c r="L192" i="15"/>
  <c r="U45" i="40"/>
  <c r="O60" i="39"/>
  <c r="J191" i="15"/>
  <c r="L190" i="15"/>
  <c r="Z43" i="40"/>
  <c r="Y43" i="40" s="1"/>
  <c r="H133" i="40"/>
  <c r="U43" i="40"/>
  <c r="L188" i="15"/>
  <c r="Z41" i="40"/>
  <c r="Y41" i="40" s="1"/>
  <c r="U41" i="40"/>
  <c r="J188" i="15"/>
  <c r="O57" i="39"/>
  <c r="O56" i="39"/>
  <c r="J187" i="15"/>
  <c r="Z39" i="40"/>
  <c r="Y39" i="40" s="1"/>
  <c r="L186" i="15"/>
  <c r="U39" i="40"/>
  <c r="N185" i="15"/>
  <c r="V38" i="40"/>
  <c r="Z37" i="40"/>
  <c r="Y37" i="40" s="1"/>
  <c r="L184" i="15"/>
  <c r="U37" i="40"/>
  <c r="L182" i="15"/>
  <c r="Z35" i="40"/>
  <c r="Y35" i="40" s="1"/>
  <c r="U35" i="40"/>
  <c r="L180" i="15"/>
  <c r="Z33" i="40"/>
  <c r="Y33" i="40" s="1"/>
  <c r="H132" i="40"/>
  <c r="U33" i="40"/>
  <c r="J180" i="15"/>
  <c r="O49" i="39"/>
  <c r="G132" i="40"/>
  <c r="L179" i="15"/>
  <c r="Z32" i="40"/>
  <c r="Y32" i="40" s="1"/>
  <c r="U32" i="40"/>
  <c r="N178" i="15"/>
  <c r="V31" i="40"/>
  <c r="O46" i="39"/>
  <c r="J177" i="15"/>
  <c r="N173" i="15"/>
  <c r="V26" i="40"/>
  <c r="L174" i="15"/>
  <c r="Z27" i="40"/>
  <c r="Y27" i="40" s="1"/>
  <c r="U27" i="40"/>
  <c r="L171" i="15"/>
  <c r="Z24" i="40"/>
  <c r="U24" i="40"/>
  <c r="O41" i="39"/>
  <c r="J172" i="15"/>
  <c r="N169" i="15"/>
  <c r="V22" i="40"/>
  <c r="Z20" i="40"/>
  <c r="Y20" i="40" s="1"/>
  <c r="L167" i="15"/>
  <c r="U20" i="40"/>
  <c r="N163" i="15"/>
  <c r="V16" i="40"/>
  <c r="O31" i="39"/>
  <c r="J162" i="15"/>
  <c r="Z14" i="40"/>
  <c r="Y14" i="40" s="1"/>
  <c r="L161" i="15"/>
  <c r="U14" i="40"/>
  <c r="S72" i="40"/>
  <c r="S70" i="40"/>
  <c r="S66" i="40"/>
  <c r="S64" i="40"/>
  <c r="S54" i="40"/>
  <c r="S55" i="40"/>
  <c r="S52" i="40"/>
  <c r="S48" i="40"/>
  <c r="S45" i="40"/>
  <c r="S44" i="40"/>
  <c r="S40" i="40"/>
  <c r="S38" i="40"/>
  <c r="S34" i="40"/>
  <c r="S30" i="40"/>
  <c r="S29" i="40"/>
  <c r="S7" i="40"/>
  <c r="F124" i="40" s="1"/>
  <c r="BV1294" i="29"/>
  <c r="CC1294" i="29"/>
  <c r="BV1270" i="29"/>
  <c r="CC1270" i="29"/>
  <c r="BV1236" i="29"/>
  <c r="CC1236" i="29"/>
  <c r="BV1321" i="29"/>
  <c r="CC1321" i="29"/>
  <c r="BV1309" i="29"/>
  <c r="CC1309" i="29"/>
  <c r="BV1308" i="29"/>
  <c r="CC1308" i="29"/>
  <c r="BV1296" i="29"/>
  <c r="CC1296" i="29"/>
  <c r="BV1283" i="29"/>
  <c r="CC1283" i="29"/>
  <c r="BV1274" i="29"/>
  <c r="CC1274" i="29"/>
  <c r="BV1260" i="29"/>
  <c r="CC1260" i="29"/>
  <c r="BV1248" i="29"/>
  <c r="CC1248" i="29"/>
  <c r="BV1235" i="29"/>
  <c r="CC1235" i="29"/>
  <c r="BV1225" i="29"/>
  <c r="CC1225" i="29"/>
  <c r="BV1222" i="29"/>
  <c r="CC1222" i="29"/>
  <c r="BV1210" i="29"/>
  <c r="CC1210" i="29"/>
  <c r="BV1188" i="29"/>
  <c r="CC1188" i="29"/>
  <c r="BV1177" i="29"/>
  <c r="CC1177" i="29"/>
  <c r="BV1164" i="29"/>
  <c r="CC1164" i="29"/>
  <c r="BV1152" i="29"/>
  <c r="CC1152" i="29"/>
  <c r="BV1140" i="29"/>
  <c r="CC1140" i="29"/>
  <c r="BV1130" i="29"/>
  <c r="CC1130" i="29"/>
  <c r="BV1127" i="29"/>
  <c r="CC1127" i="29"/>
  <c r="BV1119" i="29"/>
  <c r="CC1119" i="29"/>
  <c r="BV1102" i="29"/>
  <c r="CC1102" i="29"/>
  <c r="BV1095" i="29"/>
  <c r="CC1095" i="29"/>
  <c r="BV1090" i="29"/>
  <c r="CC1090" i="29"/>
  <c r="BV1078" i="29"/>
  <c r="CC1078" i="29"/>
  <c r="BV1066" i="29"/>
  <c r="CC1066" i="29"/>
  <c r="BV1054" i="29"/>
  <c r="CC1054" i="29"/>
  <c r="BV1042" i="29"/>
  <c r="CC1042" i="29"/>
  <c r="BV1031" i="29"/>
  <c r="CC1031" i="29"/>
  <c r="BV1022" i="29"/>
  <c r="CC1022" i="29"/>
  <c r="BV1019" i="29"/>
  <c r="CC1019" i="29"/>
  <c r="BV1007" i="29"/>
  <c r="CC1007" i="29"/>
  <c r="BV996" i="29"/>
  <c r="CC996" i="29"/>
  <c r="BV986" i="29"/>
  <c r="CC986" i="29"/>
  <c r="BV973" i="29"/>
  <c r="CC973" i="29"/>
  <c r="BV971" i="29"/>
  <c r="CC971" i="29"/>
  <c r="BV959" i="29"/>
  <c r="CC959" i="29"/>
  <c r="BV946" i="29"/>
  <c r="CC946" i="29"/>
  <c r="BV936" i="29"/>
  <c r="CC936" i="29"/>
  <c r="BV927" i="29"/>
  <c r="CC927" i="29"/>
  <c r="BV922" i="29"/>
  <c r="CC922" i="29"/>
  <c r="BV910" i="29"/>
  <c r="CC910" i="29"/>
  <c r="BV902" i="29"/>
  <c r="CC902" i="29"/>
  <c r="BV890" i="29"/>
  <c r="CC890" i="29"/>
  <c r="BV886" i="29"/>
  <c r="CC886" i="29"/>
  <c r="BX886" i="29" s="1"/>
  <c r="BZ886" i="29" s="1"/>
  <c r="L228" i="15"/>
  <c r="Z74" i="40"/>
  <c r="U74" i="40"/>
  <c r="N226" i="15"/>
  <c r="V72" i="40"/>
  <c r="J227" i="15"/>
  <c r="O97" i="39"/>
  <c r="G136" i="40"/>
  <c r="J225" i="15"/>
  <c r="O95" i="39"/>
  <c r="J223" i="15"/>
  <c r="O93" i="39"/>
  <c r="N222" i="15"/>
  <c r="V68" i="40"/>
  <c r="N225" i="15"/>
  <c r="V71" i="40"/>
  <c r="Z68" i="40"/>
  <c r="L222" i="15"/>
  <c r="U68" i="40"/>
  <c r="J221" i="15"/>
  <c r="O91" i="39"/>
  <c r="N218" i="15"/>
  <c r="V64" i="40"/>
  <c r="N210" i="15"/>
  <c r="I135" i="40"/>
  <c r="V63" i="40"/>
  <c r="N207" i="15"/>
  <c r="V60" i="40"/>
  <c r="N205" i="15"/>
  <c r="V58" i="40"/>
  <c r="N199" i="15"/>
  <c r="V52" i="40"/>
  <c r="O71" i="39"/>
  <c r="J202" i="15"/>
  <c r="N200" i="15"/>
  <c r="I134" i="40"/>
  <c r="V53" i="40"/>
  <c r="L201" i="15"/>
  <c r="Z54" i="40"/>
  <c r="U54" i="40"/>
  <c r="O64" i="39"/>
  <c r="J195" i="15"/>
  <c r="L193" i="15"/>
  <c r="Z46" i="40"/>
  <c r="Y46" i="40" s="1"/>
  <c r="U46" i="40"/>
  <c r="J192" i="15"/>
  <c r="O61" i="39"/>
  <c r="N192" i="15"/>
  <c r="V45" i="40"/>
  <c r="J190" i="15"/>
  <c r="O59" i="39"/>
  <c r="G133" i="40"/>
  <c r="L189" i="15"/>
  <c r="Z42" i="40"/>
  <c r="U42" i="40"/>
  <c r="N190" i="15"/>
  <c r="I133" i="40"/>
  <c r="V43" i="40"/>
  <c r="J189" i="15"/>
  <c r="O58" i="39"/>
  <c r="N184" i="15"/>
  <c r="V37" i="40"/>
  <c r="Z38" i="40"/>
  <c r="Y38" i="40" s="1"/>
  <c r="L185" i="15"/>
  <c r="U38" i="40"/>
  <c r="J184" i="15"/>
  <c r="O53" i="39"/>
  <c r="L183" i="15"/>
  <c r="Z36" i="40"/>
  <c r="Y36" i="40" s="1"/>
  <c r="U36" i="40"/>
  <c r="J186" i="15"/>
  <c r="O55" i="39"/>
  <c r="N180" i="15"/>
  <c r="I132" i="40"/>
  <c r="V33" i="40"/>
  <c r="Z31" i="40"/>
  <c r="Y31" i="40" s="1"/>
  <c r="L178" i="15"/>
  <c r="U31" i="40"/>
  <c r="J178" i="15"/>
  <c r="O47" i="39"/>
  <c r="N177" i="15"/>
  <c r="V30" i="40"/>
  <c r="N174" i="15"/>
  <c r="V27" i="40"/>
  <c r="O42" i="39"/>
  <c r="J173" i="15"/>
  <c r="O40" i="39"/>
  <c r="J171" i="15"/>
  <c r="O38" i="39"/>
  <c r="J169" i="15"/>
  <c r="J167" i="15"/>
  <c r="O36" i="39"/>
  <c r="J166" i="15"/>
  <c r="O35" i="39"/>
  <c r="N164" i="15"/>
  <c r="V17" i="40"/>
  <c r="J163" i="15"/>
  <c r="O32" i="39"/>
  <c r="J161" i="15"/>
  <c r="O30" i="39"/>
  <c r="N161" i="15"/>
  <c r="V14" i="40"/>
  <c r="H128" i="40"/>
  <c r="Z11" i="40"/>
  <c r="Y11" i="40" s="1"/>
  <c r="L158" i="15"/>
  <c r="U11" i="40"/>
  <c r="S71" i="40"/>
  <c r="S67" i="40"/>
  <c r="S61" i="40"/>
  <c r="S53" i="40"/>
  <c r="S49" i="40"/>
  <c r="S37" i="40"/>
  <c r="S33" i="40"/>
  <c r="S28" i="40"/>
  <c r="P4" i="40"/>
  <c r="P5" i="40" s="1"/>
  <c r="P6" i="40" s="1"/>
  <c r="P7" i="40" s="1"/>
  <c r="P8" i="40" s="1"/>
  <c r="P9" i="40" s="1"/>
  <c r="P10" i="40" s="1"/>
  <c r="P11" i="40" s="1"/>
  <c r="P12" i="40" s="1"/>
  <c r="P13" i="40" s="1"/>
  <c r="P14" i="40" s="1"/>
  <c r="P15" i="40" s="1"/>
  <c r="P16" i="40" s="1"/>
  <c r="P17" i="40" s="1"/>
  <c r="P18" i="40" s="1"/>
  <c r="P19" i="40" s="1"/>
  <c r="P20" i="40" s="1"/>
  <c r="P21" i="40" s="1"/>
  <c r="P22" i="40" s="1"/>
  <c r="P23" i="40" s="1"/>
  <c r="P24" i="40" s="1"/>
  <c r="P25" i="40" s="1"/>
  <c r="P26" i="40" s="1"/>
  <c r="P27" i="40" s="1"/>
  <c r="P28" i="40" s="1"/>
  <c r="P29" i="40" s="1"/>
  <c r="P30" i="40" s="1"/>
  <c r="P31" i="40" s="1"/>
  <c r="P32" i="40" s="1"/>
  <c r="P33" i="40" s="1"/>
  <c r="P34" i="40" s="1"/>
  <c r="P35" i="40" s="1"/>
  <c r="P36" i="40" s="1"/>
  <c r="P37" i="40" s="1"/>
  <c r="P38" i="40" s="1"/>
  <c r="P39" i="40" s="1"/>
  <c r="P40" i="40" s="1"/>
  <c r="P41" i="40" s="1"/>
  <c r="P42" i="40" s="1"/>
  <c r="P43" i="40" s="1"/>
  <c r="P44" i="40" s="1"/>
  <c r="P45" i="40" s="1"/>
  <c r="P46" i="40" s="1"/>
  <c r="P47" i="40" s="1"/>
  <c r="P48" i="40" s="1"/>
  <c r="P49" i="40" s="1"/>
  <c r="P50" i="40" s="1"/>
  <c r="P51" i="40" s="1"/>
  <c r="P52" i="40" s="1"/>
  <c r="P53" i="40" s="1"/>
  <c r="P54" i="40" s="1"/>
  <c r="P55" i="40" s="1"/>
  <c r="P56" i="40" s="1"/>
  <c r="P57" i="40" s="1"/>
  <c r="P58" i="40" s="1"/>
  <c r="P59" i="40" s="1"/>
  <c r="P60" i="40" s="1"/>
  <c r="P61" i="40" s="1"/>
  <c r="P62" i="40" s="1"/>
  <c r="P63" i="40" s="1"/>
  <c r="P64" i="40" s="1"/>
  <c r="P65" i="40" s="1"/>
  <c r="P66" i="40" s="1"/>
  <c r="P67" i="40" s="1"/>
  <c r="P68" i="40" s="1"/>
  <c r="P69" i="40" s="1"/>
  <c r="P70" i="40" s="1"/>
  <c r="P71" i="40" s="1"/>
  <c r="P72" i="40" s="1"/>
  <c r="P73" i="40" s="1"/>
  <c r="P74" i="40" s="1"/>
  <c r="P75" i="40" s="1"/>
  <c r="P76" i="40" s="1"/>
  <c r="P77" i="40" s="1"/>
  <c r="P78" i="40" s="1"/>
  <c r="P79" i="40" s="1"/>
  <c r="P80" i="40" s="1"/>
  <c r="P81" i="40" s="1"/>
  <c r="S4" i="40"/>
  <c r="CA1341" i="29"/>
  <c r="BU1341" i="29" s="1"/>
  <c r="AA1340" i="29"/>
  <c r="W1340" i="29"/>
  <c r="CB1341" i="29" s="1"/>
  <c r="BV1341" i="29" s="1"/>
  <c r="Y24" i="40" l="1"/>
  <c r="I164" i="39"/>
  <c r="H291" i="15"/>
  <c r="H292" i="15"/>
  <c r="I165" i="39"/>
  <c r="H293" i="15"/>
  <c r="I166" i="39"/>
  <c r="I167" i="39"/>
  <c r="H294" i="15"/>
  <c r="H295" i="15"/>
  <c r="I168" i="39"/>
  <c r="H296" i="15"/>
  <c r="I169" i="39"/>
  <c r="U100" i="39"/>
  <c r="U106" i="39"/>
  <c r="U107" i="39"/>
  <c r="U108" i="39"/>
  <c r="U109" i="39"/>
  <c r="U110" i="39"/>
  <c r="U111" i="39"/>
  <c r="U112" i="39"/>
  <c r="U113" i="39"/>
  <c r="U114" i="39"/>
  <c r="U115" i="39"/>
  <c r="U116" i="39"/>
  <c r="U117" i="39"/>
  <c r="U118" i="39"/>
  <c r="U119" i="39"/>
  <c r="U120" i="39"/>
  <c r="U121" i="39"/>
  <c r="U122" i="39"/>
  <c r="U123" i="39"/>
  <c r="U124" i="39"/>
  <c r="U125" i="39"/>
  <c r="U126" i="39"/>
  <c r="U127" i="39"/>
  <c r="U128" i="39"/>
  <c r="U129" i="39"/>
  <c r="U130" i="39"/>
  <c r="U131" i="39"/>
  <c r="U132" i="39"/>
  <c r="U133" i="39"/>
  <c r="S230" i="15"/>
  <c r="U134" i="39"/>
  <c r="U135" i="39"/>
  <c r="U136" i="39"/>
  <c r="U137" i="39"/>
  <c r="U138" i="39"/>
  <c r="S236" i="15"/>
  <c r="S237" i="15"/>
  <c r="S238" i="15"/>
  <c r="S239" i="15"/>
  <c r="S240" i="15"/>
  <c r="S241" i="15"/>
  <c r="S242" i="15"/>
  <c r="S243" i="15"/>
  <c r="S244" i="15"/>
  <c r="S245" i="15"/>
  <c r="S246" i="15"/>
  <c r="S247" i="15"/>
  <c r="S248" i="15"/>
  <c r="S249" i="15"/>
  <c r="S250" i="15"/>
  <c r="S251" i="15"/>
  <c r="S252" i="15"/>
  <c r="S253" i="15"/>
  <c r="S254" i="15"/>
  <c r="S255" i="15"/>
  <c r="S256" i="15"/>
  <c r="S257" i="15"/>
  <c r="S258" i="15"/>
  <c r="S259" i="15"/>
  <c r="S260" i="15"/>
  <c r="S261" i="15"/>
  <c r="S262" i="15"/>
  <c r="S263" i="15"/>
  <c r="S264" i="15"/>
  <c r="S265" i="15"/>
  <c r="S266" i="15"/>
  <c r="S267" i="15"/>
  <c r="S268" i="15"/>
  <c r="R100" i="39"/>
  <c r="R106" i="39"/>
  <c r="R107" i="39"/>
  <c r="R108" i="39"/>
  <c r="R109" i="39"/>
  <c r="R110" i="39"/>
  <c r="R111" i="39"/>
  <c r="R112" i="39"/>
  <c r="R113" i="39"/>
  <c r="R114" i="39"/>
  <c r="R115" i="39"/>
  <c r="R116" i="39"/>
  <c r="R117" i="39"/>
  <c r="R118" i="39"/>
  <c r="R119" i="39"/>
  <c r="R120" i="39"/>
  <c r="R121" i="39"/>
  <c r="R122" i="39"/>
  <c r="R123" i="39"/>
  <c r="R124" i="39"/>
  <c r="R125" i="39"/>
  <c r="R126" i="39"/>
  <c r="R127" i="39"/>
  <c r="R128" i="39"/>
  <c r="R129" i="39"/>
  <c r="R130" i="39"/>
  <c r="R131" i="39"/>
  <c r="R132" i="39"/>
  <c r="R133" i="39"/>
  <c r="P230" i="15"/>
  <c r="R134" i="39"/>
  <c r="R135" i="39"/>
  <c r="R136" i="39"/>
  <c r="R137" i="39"/>
  <c r="R138" i="39"/>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R306" i="15"/>
  <c r="R307" i="15"/>
  <c r="R308" i="15"/>
  <c r="T179" i="39"/>
  <c r="T180" i="39"/>
  <c r="R309" i="15"/>
  <c r="R310" i="15"/>
  <c r="T181" i="39"/>
  <c r="T182" i="39"/>
  <c r="R311" i="15"/>
  <c r="R312" i="15"/>
  <c r="T183" i="39"/>
  <c r="T184" i="39"/>
  <c r="R313" i="15"/>
  <c r="T185" i="39"/>
  <c r="R314" i="15"/>
  <c r="T186" i="39"/>
  <c r="R315" i="15"/>
  <c r="T187" i="39"/>
  <c r="R316" i="15"/>
  <c r="R317" i="15"/>
  <c r="T188" i="39"/>
  <c r="R318" i="15"/>
  <c r="T189" i="39"/>
  <c r="R319" i="15"/>
  <c r="T190" i="39"/>
  <c r="R320" i="15"/>
  <c r="T191" i="39"/>
  <c r="T192" i="39"/>
  <c r="R321" i="15"/>
  <c r="T193" i="39"/>
  <c r="R322" i="15"/>
  <c r="T194" i="39"/>
  <c r="R323" i="15"/>
  <c r="T195" i="39"/>
  <c r="R324" i="15"/>
  <c r="T196" i="39"/>
  <c r="R325" i="15"/>
  <c r="T197" i="39"/>
  <c r="R326" i="15"/>
  <c r="R327" i="15"/>
  <c r="T198" i="39"/>
  <c r="T199" i="39"/>
  <c r="R328" i="15"/>
  <c r="T200" i="39"/>
  <c r="R329" i="15"/>
  <c r="T201" i="39"/>
  <c r="R330" i="15"/>
  <c r="R331" i="15"/>
  <c r="T202" i="39"/>
  <c r="T203" i="39"/>
  <c r="R332" i="15"/>
  <c r="T204" i="39"/>
  <c r="R333" i="15"/>
  <c r="R334" i="15"/>
  <c r="T205" i="39"/>
  <c r="R335" i="15"/>
  <c r="T206" i="39"/>
  <c r="R336" i="15"/>
  <c r="T207" i="39"/>
  <c r="T208" i="39"/>
  <c r="R337" i="15"/>
  <c r="T209" i="39"/>
  <c r="R338" i="15"/>
  <c r="R339" i="15"/>
  <c r="T210" i="39"/>
  <c r="T211" i="39"/>
  <c r="R340" i="15"/>
  <c r="T212" i="39"/>
  <c r="R341" i="15"/>
  <c r="R342" i="15"/>
  <c r="T213" i="39"/>
  <c r="R343" i="15"/>
  <c r="T214" i="39"/>
  <c r="T215" i="39"/>
  <c r="R344" i="15"/>
  <c r="T216" i="39"/>
  <c r="T217" i="39"/>
  <c r="BX887" i="29"/>
  <c r="BZ887" i="29" s="1"/>
  <c r="BX888" i="29" s="1"/>
  <c r="BZ888" i="29" s="1"/>
  <c r="BX889" i="29" s="1"/>
  <c r="D313" i="15"/>
  <c r="D186" i="39"/>
  <c r="D304" i="15"/>
  <c r="D177" i="39"/>
  <c r="D310" i="15"/>
  <c r="D183" i="39"/>
  <c r="D194" i="39"/>
  <c r="D321" i="15"/>
  <c r="D343" i="15"/>
  <c r="D216" i="39"/>
  <c r="D200" i="39"/>
  <c r="D327" i="15"/>
  <c r="D185" i="39"/>
  <c r="D312" i="15"/>
  <c r="D299" i="15"/>
  <c r="D172" i="39"/>
  <c r="F132" i="40"/>
  <c r="CC1341" i="29"/>
  <c r="R27" i="39"/>
  <c r="P158" i="15"/>
  <c r="S161" i="15"/>
  <c r="U30" i="39"/>
  <c r="I14" i="44" s="1"/>
  <c r="E14" i="45" s="1"/>
  <c r="S177" i="15"/>
  <c r="U46" i="39"/>
  <c r="I30" i="44" s="1"/>
  <c r="E30" i="45" s="1"/>
  <c r="D317" i="15"/>
  <c r="D190" i="39"/>
  <c r="U49" i="39"/>
  <c r="I33" i="44" s="1"/>
  <c r="E33" i="45" s="1"/>
  <c r="S180" i="15"/>
  <c r="R54" i="39"/>
  <c r="P185" i="15"/>
  <c r="H328" i="15"/>
  <c r="I201" i="39"/>
  <c r="P201" i="15"/>
  <c r="R70" i="39"/>
  <c r="S199" i="15"/>
  <c r="U68" i="39"/>
  <c r="I52" i="44" s="1"/>
  <c r="E52" i="45" s="1"/>
  <c r="U76" i="39"/>
  <c r="I60" i="44" s="1"/>
  <c r="E60" i="45" s="1"/>
  <c r="S207" i="15"/>
  <c r="T171" i="39"/>
  <c r="R298" i="15"/>
  <c r="S226" i="15"/>
  <c r="U96" i="39"/>
  <c r="R304" i="15"/>
  <c r="T177" i="39"/>
  <c r="P161" i="15"/>
  <c r="R30" i="39"/>
  <c r="R36" i="39"/>
  <c r="P167" i="15"/>
  <c r="P180" i="15"/>
  <c r="R49" i="39"/>
  <c r="I196" i="39"/>
  <c r="H323" i="15"/>
  <c r="P186" i="15"/>
  <c r="R55" i="39"/>
  <c r="D329" i="15"/>
  <c r="D202" i="39"/>
  <c r="P194" i="15"/>
  <c r="R63" i="39"/>
  <c r="S195" i="15"/>
  <c r="U64" i="39"/>
  <c r="I48" i="44" s="1"/>
  <c r="E48" i="45" s="1"/>
  <c r="D336" i="15"/>
  <c r="D209" i="39"/>
  <c r="I210" i="39"/>
  <c r="H337" i="15"/>
  <c r="I214" i="39"/>
  <c r="H341" i="15"/>
  <c r="S203" i="15"/>
  <c r="U72" i="39"/>
  <c r="I56" i="44" s="1"/>
  <c r="E56" i="45" s="1"/>
  <c r="D345" i="15"/>
  <c r="D218" i="39"/>
  <c r="R296" i="15"/>
  <c r="T169" i="39"/>
  <c r="U91" i="39"/>
  <c r="S221" i="15"/>
  <c r="R300" i="15"/>
  <c r="T173" i="39"/>
  <c r="F135" i="40"/>
  <c r="D298" i="15"/>
  <c r="D171" i="39"/>
  <c r="I171" i="39"/>
  <c r="H298" i="15"/>
  <c r="P162" i="15"/>
  <c r="R31" i="39"/>
  <c r="D307" i="15"/>
  <c r="D180" i="39"/>
  <c r="U44" i="39"/>
  <c r="I28" i="44" s="1"/>
  <c r="E28" i="45" s="1"/>
  <c r="S175" i="15"/>
  <c r="U48" i="39"/>
  <c r="I32" i="44" s="1"/>
  <c r="E32" i="45" s="1"/>
  <c r="S179" i="15"/>
  <c r="U50" i="39"/>
  <c r="I34" i="44" s="1"/>
  <c r="E34" i="45" s="1"/>
  <c r="S181" i="15"/>
  <c r="I193" i="39"/>
  <c r="H320" i="15"/>
  <c r="S183" i="15"/>
  <c r="U52" i="39"/>
  <c r="I36" i="44" s="1"/>
  <c r="E36" i="45" s="1"/>
  <c r="U55" i="39"/>
  <c r="I39" i="44" s="1"/>
  <c r="E39" i="45" s="1"/>
  <c r="S186" i="15"/>
  <c r="D326" i="15"/>
  <c r="D199" i="39"/>
  <c r="U60" i="39"/>
  <c r="I44" i="44" s="1"/>
  <c r="E44" i="45" s="1"/>
  <c r="S191" i="15"/>
  <c r="S198" i="15"/>
  <c r="U67" i="39"/>
  <c r="I51" i="44" s="1"/>
  <c r="E51" i="45" s="1"/>
  <c r="I211" i="39"/>
  <c r="H338" i="15"/>
  <c r="P210" i="15"/>
  <c r="R87" i="39"/>
  <c r="R89" i="39"/>
  <c r="P219" i="15"/>
  <c r="T170" i="39"/>
  <c r="R297" i="15"/>
  <c r="S227" i="15"/>
  <c r="U97" i="39"/>
  <c r="P163" i="15"/>
  <c r="R32" i="39"/>
  <c r="P164" i="15"/>
  <c r="R33" i="39"/>
  <c r="R35" i="39"/>
  <c r="P166" i="15"/>
  <c r="I181" i="39"/>
  <c r="H308" i="15"/>
  <c r="R39" i="39"/>
  <c r="P170" i="15"/>
  <c r="I182" i="39"/>
  <c r="H309" i="15"/>
  <c r="H311" i="15"/>
  <c r="I184" i="39"/>
  <c r="H314" i="15"/>
  <c r="I187" i="39"/>
  <c r="I189" i="39"/>
  <c r="H316" i="15"/>
  <c r="I188" i="39"/>
  <c r="H315" i="15"/>
  <c r="D334" i="15"/>
  <c r="D207" i="39"/>
  <c r="R65" i="39"/>
  <c r="P196" i="15"/>
  <c r="U70" i="39"/>
  <c r="I54" i="44" s="1"/>
  <c r="E54" i="45" s="1"/>
  <c r="S201" i="15"/>
  <c r="T163" i="39"/>
  <c r="R290" i="15"/>
  <c r="U86" i="39"/>
  <c r="I62" i="44" s="1"/>
  <c r="E62" i="45" s="1"/>
  <c r="S209" i="15"/>
  <c r="T167" i="39"/>
  <c r="R294" i="15"/>
  <c r="R292" i="15"/>
  <c r="T165" i="39"/>
  <c r="R301" i="15"/>
  <c r="T174" i="39"/>
  <c r="F121" i="40"/>
  <c r="T4" i="40"/>
  <c r="T5" i="40" s="1"/>
  <c r="T6" i="40" s="1"/>
  <c r="T7" i="40" s="1"/>
  <c r="T8" i="40" s="1"/>
  <c r="T9" i="40" s="1"/>
  <c r="T10" i="40" s="1"/>
  <c r="T11" i="40" s="1"/>
  <c r="T12" i="40" s="1"/>
  <c r="T13" i="40" s="1"/>
  <c r="T14" i="40" s="1"/>
  <c r="T15" i="40" s="1"/>
  <c r="T16" i="40" s="1"/>
  <c r="T17" i="40" s="1"/>
  <c r="T18" i="40" s="1"/>
  <c r="T19" i="40" s="1"/>
  <c r="T20" i="40" s="1"/>
  <c r="T21" i="40" s="1"/>
  <c r="T22" i="40" s="1"/>
  <c r="T23" i="40" s="1"/>
  <c r="T24" i="40" s="1"/>
  <c r="T25" i="40" s="1"/>
  <c r="T26" i="40" s="1"/>
  <c r="T27" i="40" s="1"/>
  <c r="T28" i="40" s="1"/>
  <c r="T29" i="40" s="1"/>
  <c r="T30" i="40" s="1"/>
  <c r="T31" i="40" s="1"/>
  <c r="T32" i="40" s="1"/>
  <c r="T33" i="40" s="1"/>
  <c r="T34" i="40" s="1"/>
  <c r="T35" i="40" s="1"/>
  <c r="T36" i="40" s="1"/>
  <c r="T37" i="40" s="1"/>
  <c r="T38" i="40" s="1"/>
  <c r="T39" i="40" s="1"/>
  <c r="T40" i="40" s="1"/>
  <c r="T41" i="40" s="1"/>
  <c r="T42" i="40" s="1"/>
  <c r="T43" i="40" s="1"/>
  <c r="T44" i="40" s="1"/>
  <c r="T45" i="40" s="1"/>
  <c r="T46" i="40" s="1"/>
  <c r="T47" i="40" s="1"/>
  <c r="T48" i="40" s="1"/>
  <c r="T49" i="40" s="1"/>
  <c r="T50" i="40" s="1"/>
  <c r="T51" i="40" s="1"/>
  <c r="T52" i="40" s="1"/>
  <c r="T53" i="40" s="1"/>
  <c r="T54" i="40" s="1"/>
  <c r="T55" i="40" s="1"/>
  <c r="T56" i="40" s="1"/>
  <c r="T57" i="40" s="1"/>
  <c r="T58" i="40" s="1"/>
  <c r="T59" i="40" s="1"/>
  <c r="T60" i="40" s="1"/>
  <c r="T61" i="40" s="1"/>
  <c r="T62" i="40" s="1"/>
  <c r="T63" i="40" s="1"/>
  <c r="T64" i="40" s="1"/>
  <c r="T65" i="40" s="1"/>
  <c r="T66" i="40" s="1"/>
  <c r="T67" i="40" s="1"/>
  <c r="T68" i="40" s="1"/>
  <c r="T69" i="40" s="1"/>
  <c r="T70" i="40" s="1"/>
  <c r="T71" i="40" s="1"/>
  <c r="T72" i="40" s="1"/>
  <c r="T73" i="40" s="1"/>
  <c r="T74" i="40" s="1"/>
  <c r="T75" i="40" s="1"/>
  <c r="T76" i="40" s="1"/>
  <c r="T77" i="40" s="1"/>
  <c r="T78" i="40" s="1"/>
  <c r="T79" i="40" s="1"/>
  <c r="T80" i="40" s="1"/>
  <c r="T81" i="40" s="1"/>
  <c r="P178" i="15"/>
  <c r="R47" i="39"/>
  <c r="D195" i="39"/>
  <c r="D322" i="15"/>
  <c r="U61" i="39"/>
  <c r="I45" i="44" s="1"/>
  <c r="E45" i="45" s="1"/>
  <c r="S192" i="15"/>
  <c r="D332" i="15"/>
  <c r="D205" i="39"/>
  <c r="I213" i="39"/>
  <c r="H340" i="15"/>
  <c r="S218" i="15"/>
  <c r="U88" i="39"/>
  <c r="P222" i="15"/>
  <c r="R92" i="39"/>
  <c r="S225" i="15"/>
  <c r="U95" i="39"/>
  <c r="U32" i="39"/>
  <c r="I16" i="44" s="1"/>
  <c r="E16" i="45" s="1"/>
  <c r="S163" i="15"/>
  <c r="I183" i="39"/>
  <c r="H310" i="15"/>
  <c r="I186" i="39"/>
  <c r="H313" i="15"/>
  <c r="D191" i="39"/>
  <c r="D318" i="15"/>
  <c r="D192" i="39"/>
  <c r="D319" i="15"/>
  <c r="P182" i="15"/>
  <c r="R51" i="39"/>
  <c r="D323" i="15"/>
  <c r="D196" i="39"/>
  <c r="S185" i="15"/>
  <c r="U54" i="39"/>
  <c r="I38" i="44" s="1"/>
  <c r="E38" i="45" s="1"/>
  <c r="H327" i="15"/>
  <c r="I200" i="39"/>
  <c r="H331" i="15"/>
  <c r="I204" i="39"/>
  <c r="D206" i="39"/>
  <c r="D333" i="15"/>
  <c r="R66" i="39"/>
  <c r="P197" i="15"/>
  <c r="I217" i="39"/>
  <c r="H344" i="15"/>
  <c r="P206" i="15"/>
  <c r="R75" i="39"/>
  <c r="R291" i="15"/>
  <c r="T164" i="39"/>
  <c r="R299" i="15"/>
  <c r="T172" i="39"/>
  <c r="T175" i="39"/>
  <c r="R302" i="15"/>
  <c r="U28" i="39"/>
  <c r="I12" i="44" s="1"/>
  <c r="E12" i="45" s="1"/>
  <c r="S159" i="15"/>
  <c r="P159" i="15"/>
  <c r="R28" i="39"/>
  <c r="P165" i="15"/>
  <c r="R34" i="39"/>
  <c r="S167" i="15"/>
  <c r="U36" i="39"/>
  <c r="I20" i="44" s="1"/>
  <c r="E20" i="45" s="1"/>
  <c r="U39" i="39"/>
  <c r="I23" i="44" s="1"/>
  <c r="E23" i="45" s="1"/>
  <c r="S170" i="15"/>
  <c r="P187" i="15"/>
  <c r="R56" i="39"/>
  <c r="N293" i="15"/>
  <c r="O166" i="39"/>
  <c r="R295" i="15"/>
  <c r="T168" i="39"/>
  <c r="N297" i="15"/>
  <c r="O170" i="39"/>
  <c r="S223" i="15"/>
  <c r="U93" i="39"/>
  <c r="R29" i="39"/>
  <c r="P160" i="15"/>
  <c r="S162" i="15"/>
  <c r="U31" i="39"/>
  <c r="I15" i="44" s="1"/>
  <c r="E15" i="45" s="1"/>
  <c r="U34" i="39"/>
  <c r="I18" i="44" s="1"/>
  <c r="E18" i="45" s="1"/>
  <c r="S165" i="15"/>
  <c r="I178" i="39"/>
  <c r="H305" i="15"/>
  <c r="P169" i="15"/>
  <c r="R38" i="39"/>
  <c r="D182" i="39"/>
  <c r="D309" i="15"/>
  <c r="D184" i="39"/>
  <c r="D311" i="15"/>
  <c r="S172" i="15"/>
  <c r="U41" i="39"/>
  <c r="I25" i="44" s="1"/>
  <c r="E25" i="45" s="1"/>
  <c r="H312" i="15"/>
  <c r="I185" i="39"/>
  <c r="D187" i="39"/>
  <c r="D314" i="15"/>
  <c r="D189" i="39"/>
  <c r="D316" i="15"/>
  <c r="R45" i="39"/>
  <c r="P176" i="15"/>
  <c r="S182" i="15"/>
  <c r="U51" i="39"/>
  <c r="I35" i="44" s="1"/>
  <c r="E35" i="45" s="1"/>
  <c r="D203" i="39"/>
  <c r="D330" i="15"/>
  <c r="S193" i="15"/>
  <c r="U62" i="39"/>
  <c r="I46" i="44" s="1"/>
  <c r="E46" i="45" s="1"/>
  <c r="I212" i="39"/>
  <c r="H339" i="15"/>
  <c r="D215" i="39"/>
  <c r="D342" i="15"/>
  <c r="R73" i="39"/>
  <c r="P204" i="15"/>
  <c r="N290" i="15"/>
  <c r="O163" i="39"/>
  <c r="R99" i="39"/>
  <c r="P229" i="15"/>
  <c r="Y1340" i="29"/>
  <c r="Z1340" i="29" s="1"/>
  <c r="CB1339" i="29"/>
  <c r="CB1330" i="29"/>
  <c r="CB1331" i="29"/>
  <c r="CB1338" i="29"/>
  <c r="CB1337" i="29"/>
  <c r="CB1336" i="29"/>
  <c r="CB1340" i="29"/>
  <c r="CB1332" i="29"/>
  <c r="CB1333" i="29"/>
  <c r="CB1335" i="29"/>
  <c r="H297" i="15"/>
  <c r="I170" i="39"/>
  <c r="S164" i="15"/>
  <c r="U33" i="39"/>
  <c r="I17" i="44" s="1"/>
  <c r="E17" i="45" s="1"/>
  <c r="S174" i="15"/>
  <c r="U43" i="39"/>
  <c r="I27" i="44" s="1"/>
  <c r="E27" i="45" s="1"/>
  <c r="P183" i="15"/>
  <c r="R52" i="39"/>
  <c r="I197" i="39"/>
  <c r="H324" i="15"/>
  <c r="Y42" i="40"/>
  <c r="P193" i="15"/>
  <c r="R62" i="39"/>
  <c r="U74" i="39"/>
  <c r="I58" i="44" s="1"/>
  <c r="E58" i="45" s="1"/>
  <c r="S205" i="15"/>
  <c r="U87" i="39"/>
  <c r="I63" i="44" s="1"/>
  <c r="E63" i="45" s="1"/>
  <c r="S210" i="15"/>
  <c r="Y68" i="40"/>
  <c r="P228" i="15"/>
  <c r="R98" i="39"/>
  <c r="I173" i="39"/>
  <c r="H300" i="15"/>
  <c r="I179" i="39"/>
  <c r="H306" i="15"/>
  <c r="R48" i="39"/>
  <c r="P179" i="15"/>
  <c r="P184" i="15"/>
  <c r="R53" i="39"/>
  <c r="I198" i="39"/>
  <c r="H325" i="15"/>
  <c r="H329" i="15"/>
  <c r="I202" i="39"/>
  <c r="Y45" i="40"/>
  <c r="S194" i="15"/>
  <c r="U63" i="39"/>
  <c r="I47" i="44" s="1"/>
  <c r="E47" i="45" s="1"/>
  <c r="H333" i="15"/>
  <c r="I206" i="39"/>
  <c r="H336" i="15"/>
  <c r="I209" i="39"/>
  <c r="Y51" i="40"/>
  <c r="Y55" i="40"/>
  <c r="P205" i="15"/>
  <c r="R74" i="39"/>
  <c r="I218" i="39"/>
  <c r="H345" i="15"/>
  <c r="Y61" i="40"/>
  <c r="Y66" i="40"/>
  <c r="Y69" i="40"/>
  <c r="P224" i="15"/>
  <c r="R94" i="39"/>
  <c r="P226" i="15"/>
  <c r="R96" i="39"/>
  <c r="U98" i="39"/>
  <c r="S228" i="15"/>
  <c r="I174" i="39"/>
  <c r="H301" i="15"/>
  <c r="I180" i="39"/>
  <c r="H307" i="15"/>
  <c r="S176" i="15"/>
  <c r="U45" i="39"/>
  <c r="I29" i="44" s="1"/>
  <c r="E29" i="45" s="1"/>
  <c r="P181" i="15"/>
  <c r="R50" i="39"/>
  <c r="U57" i="39"/>
  <c r="I41" i="44" s="1"/>
  <c r="E41" i="45" s="1"/>
  <c r="S188" i="15"/>
  <c r="H326" i="15"/>
  <c r="I199" i="39"/>
  <c r="U65" i="39"/>
  <c r="I49" i="44" s="1"/>
  <c r="E49" i="45" s="1"/>
  <c r="S196" i="15"/>
  <c r="S197" i="15"/>
  <c r="U66" i="39"/>
  <c r="I50" i="44" s="1"/>
  <c r="E50" i="45" s="1"/>
  <c r="R68" i="39"/>
  <c r="P199" i="15"/>
  <c r="U71" i="39"/>
  <c r="I55" i="44" s="1"/>
  <c r="E55" i="45" s="1"/>
  <c r="S202" i="15"/>
  <c r="S204" i="15"/>
  <c r="U73" i="39"/>
  <c r="I57" i="44" s="1"/>
  <c r="E57" i="45" s="1"/>
  <c r="S208" i="15"/>
  <c r="U85" i="39"/>
  <c r="I61" i="44" s="1"/>
  <c r="E61" i="45" s="1"/>
  <c r="R91" i="39"/>
  <c r="P221" i="15"/>
  <c r="R303" i="15"/>
  <c r="T176" i="39"/>
  <c r="F133" i="40"/>
  <c r="S160" i="15"/>
  <c r="U29" i="39"/>
  <c r="I13" i="44" s="1"/>
  <c r="E13" i="45" s="1"/>
  <c r="U27" i="39"/>
  <c r="I11" i="44" s="1"/>
  <c r="E11" i="45" s="1"/>
  <c r="S158" i="15"/>
  <c r="I175" i="39"/>
  <c r="H302" i="15"/>
  <c r="I176" i="39"/>
  <c r="H303" i="15"/>
  <c r="Y22" i="40"/>
  <c r="R41" i="39"/>
  <c r="P172" i="15"/>
  <c r="P175" i="15"/>
  <c r="R44" i="39"/>
  <c r="R46" i="39"/>
  <c r="P177" i="15"/>
  <c r="Y29" i="40"/>
  <c r="P191" i="15"/>
  <c r="R60" i="39"/>
  <c r="I207" i="39"/>
  <c r="H334" i="15"/>
  <c r="H335" i="15"/>
  <c r="I208" i="39"/>
  <c r="P200" i="15"/>
  <c r="R69" i="39"/>
  <c r="P203" i="15"/>
  <c r="R72" i="39"/>
  <c r="R76" i="39"/>
  <c r="P207" i="15"/>
  <c r="R88" i="39"/>
  <c r="P218" i="15"/>
  <c r="B211" i="15" s="1"/>
  <c r="B269" i="15" s="1"/>
  <c r="N292" i="15"/>
  <c r="O165" i="39"/>
  <c r="S219" i="15"/>
  <c r="U89" i="39"/>
  <c r="F134" i="40"/>
  <c r="D297" i="15"/>
  <c r="D170" i="39"/>
  <c r="I190" i="39"/>
  <c r="H317" i="15"/>
  <c r="H322" i="15"/>
  <c r="I195" i="39"/>
  <c r="D197" i="39"/>
  <c r="D324" i="15"/>
  <c r="S184" i="15"/>
  <c r="U53" i="39"/>
  <c r="I37" i="44" s="1"/>
  <c r="E37" i="45" s="1"/>
  <c r="S190" i="15"/>
  <c r="U59" i="39"/>
  <c r="I43" i="44" s="1"/>
  <c r="E43" i="45" s="1"/>
  <c r="R58" i="39"/>
  <c r="P189" i="15"/>
  <c r="H332" i="15"/>
  <c r="I205" i="39"/>
  <c r="Y54" i="40"/>
  <c r="U69" i="39"/>
  <c r="I53" i="44" s="1"/>
  <c r="E53" i="45" s="1"/>
  <c r="S200" i="15"/>
  <c r="S222" i="15"/>
  <c r="U92" i="39"/>
  <c r="Y74" i="40"/>
  <c r="D173" i="39"/>
  <c r="D300" i="15"/>
  <c r="D306" i="15"/>
  <c r="D179" i="39"/>
  <c r="U38" i="39"/>
  <c r="I22" i="44" s="1"/>
  <c r="E22" i="45" s="1"/>
  <c r="S169" i="15"/>
  <c r="R40" i="39"/>
  <c r="P171" i="15"/>
  <c r="R43" i="39"/>
  <c r="P174" i="15"/>
  <c r="U42" i="39"/>
  <c r="I26" i="44" s="1"/>
  <c r="E26" i="45" s="1"/>
  <c r="S173" i="15"/>
  <c r="S178" i="15"/>
  <c r="U47" i="39"/>
  <c r="I31" i="44" s="1"/>
  <c r="E31" i="45" s="1"/>
  <c r="H318" i="15"/>
  <c r="I191" i="39"/>
  <c r="I192" i="39"/>
  <c r="H319" i="15"/>
  <c r="H321" i="15"/>
  <c r="I194" i="39"/>
  <c r="D325" i="15"/>
  <c r="D198" i="39"/>
  <c r="R57" i="39"/>
  <c r="P188" i="15"/>
  <c r="R59" i="39"/>
  <c r="P190" i="15"/>
  <c r="P192" i="15"/>
  <c r="R61" i="39"/>
  <c r="P198" i="15"/>
  <c r="R67" i="39"/>
  <c r="P202" i="15"/>
  <c r="R71" i="39"/>
  <c r="Y58" i="40"/>
  <c r="R85" i="39"/>
  <c r="P208" i="15"/>
  <c r="R90" i="39"/>
  <c r="P220" i="15"/>
  <c r="P223" i="15"/>
  <c r="R93" i="39"/>
  <c r="Y70" i="40"/>
  <c r="O174" i="39" s="1"/>
  <c r="Y72" i="40"/>
  <c r="F137" i="40"/>
  <c r="D174" i="39"/>
  <c r="D301" i="15"/>
  <c r="I177" i="39"/>
  <c r="H304" i="15"/>
  <c r="S166" i="15"/>
  <c r="U35" i="39"/>
  <c r="I19" i="44" s="1"/>
  <c r="E19" i="45" s="1"/>
  <c r="P168" i="15"/>
  <c r="R37" i="39"/>
  <c r="U40" i="39"/>
  <c r="I24" i="44" s="1"/>
  <c r="E24" i="45" s="1"/>
  <c r="S171" i="15"/>
  <c r="Y34" i="40"/>
  <c r="Y52" i="40"/>
  <c r="R293" i="15"/>
  <c r="T166" i="39"/>
  <c r="Y65" i="40"/>
  <c r="U90" i="39"/>
  <c r="S220" i="15"/>
  <c r="U94" i="39"/>
  <c r="S224" i="15"/>
  <c r="R97" i="39"/>
  <c r="P227" i="15"/>
  <c r="S229" i="15"/>
  <c r="U99" i="39"/>
  <c r="I172" i="39"/>
  <c r="H299" i="15"/>
  <c r="D175" i="39"/>
  <c r="D302" i="15"/>
  <c r="D303" i="15"/>
  <c r="D176" i="39"/>
  <c r="Y19" i="40"/>
  <c r="U37" i="39"/>
  <c r="I21" i="44" s="1"/>
  <c r="E21" i="45" s="1"/>
  <c r="S168" i="15"/>
  <c r="R42" i="39"/>
  <c r="P173" i="15"/>
  <c r="S187" i="15"/>
  <c r="U56" i="39"/>
  <c r="I40" i="44" s="1"/>
  <c r="E40" i="45" s="1"/>
  <c r="S189" i="15"/>
  <c r="U58" i="39"/>
  <c r="I42" i="44" s="1"/>
  <c r="E42" i="45" s="1"/>
  <c r="I203" i="39"/>
  <c r="H330" i="15"/>
  <c r="R64" i="39"/>
  <c r="P195" i="15"/>
  <c r="D208" i="39"/>
  <c r="D335" i="15"/>
  <c r="Y53" i="40"/>
  <c r="I215" i="39"/>
  <c r="H342" i="15"/>
  <c r="H343" i="15"/>
  <c r="I216" i="39"/>
  <c r="U75" i="39"/>
  <c r="I59" i="44" s="1"/>
  <c r="E59" i="45" s="1"/>
  <c r="S206" i="15"/>
  <c r="O167" i="39"/>
  <c r="N294" i="15"/>
  <c r="R86" i="39"/>
  <c r="P209" i="15"/>
  <c r="R95" i="39"/>
  <c r="P225" i="15"/>
  <c r="T178" i="39"/>
  <c r="R305" i="15"/>
  <c r="D164" i="39" l="1"/>
  <c r="D291" i="15"/>
  <c r="D165" i="39"/>
  <c r="D292" i="15"/>
  <c r="D166" i="39"/>
  <c r="D293" i="15"/>
  <c r="D167" i="39"/>
  <c r="D294" i="15"/>
  <c r="D168" i="39"/>
  <c r="D295" i="15"/>
  <c r="D169" i="39"/>
  <c r="D296" i="15"/>
  <c r="N301" i="15"/>
  <c r="N305" i="15"/>
  <c r="N306" i="15"/>
  <c r="O179" i="39"/>
  <c r="N312" i="15"/>
  <c r="N313" i="15"/>
  <c r="O185" i="39"/>
  <c r="N314" i="15"/>
  <c r="O186" i="39"/>
  <c r="N315" i="15"/>
  <c r="O187" i="39"/>
  <c r="N316" i="15"/>
  <c r="O188" i="39"/>
  <c r="N317" i="15"/>
  <c r="O189" i="39"/>
  <c r="N318" i="15"/>
  <c r="O190" i="39"/>
  <c r="N319" i="15"/>
  <c r="O191" i="39"/>
  <c r="N320" i="15"/>
  <c r="O192" i="39"/>
  <c r="N321" i="15"/>
  <c r="N322" i="15"/>
  <c r="O193" i="39"/>
  <c r="O194" i="39"/>
  <c r="N323" i="15"/>
  <c r="N324" i="15"/>
  <c r="O195" i="39"/>
  <c r="O196" i="39"/>
  <c r="N325" i="15"/>
  <c r="N326" i="15"/>
  <c r="O197" i="39"/>
  <c r="O198" i="39"/>
  <c r="N327" i="15"/>
  <c r="O199" i="39"/>
  <c r="N328" i="15"/>
  <c r="O200" i="39"/>
  <c r="N329" i="15"/>
  <c r="O201" i="39"/>
  <c r="N330" i="15"/>
  <c r="O202" i="39"/>
  <c r="N331" i="15"/>
  <c r="N332" i="15"/>
  <c r="O203" i="39"/>
  <c r="N333" i="15"/>
  <c r="O204" i="39"/>
  <c r="N334" i="15"/>
  <c r="O205" i="39"/>
  <c r="N335" i="15"/>
  <c r="O206" i="39"/>
  <c r="O207" i="39"/>
  <c r="N336" i="15"/>
  <c r="N337" i="15"/>
  <c r="O208" i="39"/>
  <c r="N338" i="15"/>
  <c r="O209" i="39"/>
  <c r="O210" i="39"/>
  <c r="N339" i="15"/>
  <c r="O211" i="39"/>
  <c r="N340" i="15"/>
  <c r="O212" i="39"/>
  <c r="N341" i="15"/>
  <c r="N342" i="15"/>
  <c r="O213" i="39"/>
  <c r="O214" i="39"/>
  <c r="N343" i="15"/>
  <c r="O215" i="39"/>
  <c r="N344" i="15"/>
  <c r="O216" i="39"/>
  <c r="O217" i="39"/>
  <c r="O176" i="39"/>
  <c r="N303" i="15"/>
  <c r="O178" i="39"/>
  <c r="N90" i="44"/>
  <c r="AB90" i="44" s="1"/>
  <c r="AB133" i="44" s="1"/>
  <c r="M90" i="44" s="1"/>
  <c r="K21" i="44" s="1"/>
  <c r="G21" i="45" s="1"/>
  <c r="J21" i="44"/>
  <c r="F21" i="45" s="1"/>
  <c r="N91" i="44"/>
  <c r="AC91" i="44" s="1"/>
  <c r="AC133" i="44" s="1"/>
  <c r="M91" i="44" s="1"/>
  <c r="K22" i="44" s="1"/>
  <c r="G22" i="45" s="1"/>
  <c r="J22" i="44"/>
  <c r="F22" i="45" s="1"/>
  <c r="N129" i="44"/>
  <c r="BO129" i="44" s="1"/>
  <c r="BO133" i="44" s="1"/>
  <c r="M129" i="44" s="1"/>
  <c r="K60" i="44" s="1"/>
  <c r="G60" i="45" s="1"/>
  <c r="J60" i="44"/>
  <c r="F60" i="45" s="1"/>
  <c r="N128" i="44"/>
  <c r="BN128" i="44" s="1"/>
  <c r="BN133" i="44" s="1"/>
  <c r="M128" i="44" s="1"/>
  <c r="K59" i="44" s="1"/>
  <c r="G59" i="45" s="1"/>
  <c r="J59" i="44"/>
  <c r="F59" i="45" s="1"/>
  <c r="N111" i="44"/>
  <c r="AW111" i="44" s="1"/>
  <c r="AW133" i="44" s="1"/>
  <c r="M111" i="44" s="1"/>
  <c r="K42" i="44" s="1"/>
  <c r="G42" i="45" s="1"/>
  <c r="J42" i="44"/>
  <c r="F42" i="45" s="1"/>
  <c r="N88" i="44"/>
  <c r="Z88" i="44" s="1"/>
  <c r="Z133" i="44" s="1"/>
  <c r="M88" i="44" s="1"/>
  <c r="K19" i="44" s="1"/>
  <c r="G19" i="45" s="1"/>
  <c r="J19" i="44"/>
  <c r="F19" i="45" s="1"/>
  <c r="N122" i="44"/>
  <c r="BH122" i="44" s="1"/>
  <c r="BH133" i="44" s="1"/>
  <c r="M122" i="44" s="1"/>
  <c r="K53" i="44" s="1"/>
  <c r="G53" i="45" s="1"/>
  <c r="J53" i="44"/>
  <c r="F53" i="45" s="1"/>
  <c r="N106" i="44"/>
  <c r="AR106" i="44" s="1"/>
  <c r="AR133" i="44" s="1"/>
  <c r="M106" i="44" s="1"/>
  <c r="K37" i="44" s="1"/>
  <c r="G37" i="45" s="1"/>
  <c r="J37" i="44"/>
  <c r="F37" i="45" s="1"/>
  <c r="N80" i="44"/>
  <c r="R80" i="44" s="1"/>
  <c r="R133" i="44" s="1"/>
  <c r="M80" i="44" s="1"/>
  <c r="K11" i="44" s="1"/>
  <c r="G11" i="45" s="1"/>
  <c r="J11" i="44"/>
  <c r="F11" i="45" s="1"/>
  <c r="N130" i="44"/>
  <c r="J61" i="44"/>
  <c r="F61" i="45" s="1"/>
  <c r="N119" i="44"/>
  <c r="BE119" i="44" s="1"/>
  <c r="BE133" i="44" s="1"/>
  <c r="M119" i="44" s="1"/>
  <c r="K50" i="44" s="1"/>
  <c r="G50" i="45" s="1"/>
  <c r="J50" i="44"/>
  <c r="F50" i="45" s="1"/>
  <c r="N127" i="44"/>
  <c r="BM127" i="44" s="1"/>
  <c r="BM133" i="44" s="1"/>
  <c r="M127" i="44" s="1"/>
  <c r="K58" i="44" s="1"/>
  <c r="G58" i="45" s="1"/>
  <c r="J58" i="44"/>
  <c r="F58" i="45" s="1"/>
  <c r="N96" i="44"/>
  <c r="AH96" i="44" s="1"/>
  <c r="AH133" i="44" s="1"/>
  <c r="M96" i="44" s="1"/>
  <c r="K27" i="44" s="1"/>
  <c r="G27" i="45" s="1"/>
  <c r="J27" i="44"/>
  <c r="F27" i="45" s="1"/>
  <c r="N87" i="44"/>
  <c r="Y87" i="44" s="1"/>
  <c r="Y133" i="44" s="1"/>
  <c r="M87" i="44" s="1"/>
  <c r="K18" i="44" s="1"/>
  <c r="G18" i="45" s="1"/>
  <c r="J18" i="44"/>
  <c r="F18" i="45" s="1"/>
  <c r="N92" i="44"/>
  <c r="AD92" i="44" s="1"/>
  <c r="AD133" i="44" s="1"/>
  <c r="M92" i="44" s="1"/>
  <c r="K23" i="44" s="1"/>
  <c r="G23" i="45" s="1"/>
  <c r="J23" i="44"/>
  <c r="F23" i="45" s="1"/>
  <c r="N81" i="44"/>
  <c r="S81" i="44" s="1"/>
  <c r="S133" i="44" s="1"/>
  <c r="M81" i="44" s="1"/>
  <c r="K12" i="44" s="1"/>
  <c r="G12" i="45" s="1"/>
  <c r="J12" i="44"/>
  <c r="F12" i="45" s="1"/>
  <c r="N131" i="44"/>
  <c r="BQ131" i="44" s="1"/>
  <c r="J62" i="44"/>
  <c r="F62" i="45" s="1"/>
  <c r="N123" i="44"/>
  <c r="BI123" i="44" s="1"/>
  <c r="BI133" i="44" s="1"/>
  <c r="M123" i="44" s="1"/>
  <c r="K54" i="44" s="1"/>
  <c r="G54" i="45" s="1"/>
  <c r="J54" i="44"/>
  <c r="F54" i="45" s="1"/>
  <c r="N113" i="44"/>
  <c r="AY113" i="44" s="1"/>
  <c r="AY133" i="44" s="1"/>
  <c r="M113" i="44" s="1"/>
  <c r="K44" i="44" s="1"/>
  <c r="G44" i="45" s="1"/>
  <c r="J44" i="44"/>
  <c r="F44" i="45" s="1"/>
  <c r="N108" i="44"/>
  <c r="AT108" i="44" s="1"/>
  <c r="AT133" i="44" s="1"/>
  <c r="M108" i="44" s="1"/>
  <c r="K39" i="44" s="1"/>
  <c r="G39" i="45" s="1"/>
  <c r="J39" i="44"/>
  <c r="F39" i="45" s="1"/>
  <c r="N101" i="44"/>
  <c r="AM101" i="44" s="1"/>
  <c r="AM133" i="44" s="1"/>
  <c r="M101" i="44" s="1"/>
  <c r="K32" i="44" s="1"/>
  <c r="G32" i="45" s="1"/>
  <c r="J32" i="44"/>
  <c r="F32" i="45" s="1"/>
  <c r="N125" i="44"/>
  <c r="BK125" i="44" s="1"/>
  <c r="BK133" i="44" s="1"/>
  <c r="M125" i="44" s="1"/>
  <c r="K56" i="44" s="1"/>
  <c r="G56" i="45" s="1"/>
  <c r="J56" i="44"/>
  <c r="F56" i="45" s="1"/>
  <c r="N117" i="44"/>
  <c r="BC117" i="44" s="1"/>
  <c r="BC133" i="44" s="1"/>
  <c r="M117" i="44" s="1"/>
  <c r="K48" i="44" s="1"/>
  <c r="G48" i="45" s="1"/>
  <c r="J48" i="44"/>
  <c r="F48" i="45" s="1"/>
  <c r="N121" i="44"/>
  <c r="BG121" i="44" s="1"/>
  <c r="BG133" i="44" s="1"/>
  <c r="M121" i="44" s="1"/>
  <c r="K52" i="44" s="1"/>
  <c r="G52" i="45" s="1"/>
  <c r="J52" i="44"/>
  <c r="F52" i="45" s="1"/>
  <c r="N99" i="44"/>
  <c r="AK99" i="44" s="1"/>
  <c r="AK133" i="44" s="1"/>
  <c r="M99" i="44" s="1"/>
  <c r="K30" i="44" s="1"/>
  <c r="G30" i="45" s="1"/>
  <c r="J30" i="44"/>
  <c r="F30" i="45" s="1"/>
  <c r="N118" i="44"/>
  <c r="BD118" i="44" s="1"/>
  <c r="BD133" i="44" s="1"/>
  <c r="M118" i="44" s="1"/>
  <c r="K49" i="44" s="1"/>
  <c r="G49" i="45" s="1"/>
  <c r="J49" i="44"/>
  <c r="F49" i="45" s="1"/>
  <c r="N116" i="44"/>
  <c r="BB116" i="44" s="1"/>
  <c r="BB133" i="44" s="1"/>
  <c r="M116" i="44" s="1"/>
  <c r="K47" i="44" s="1"/>
  <c r="G47" i="45" s="1"/>
  <c r="J47" i="44"/>
  <c r="F47" i="45" s="1"/>
  <c r="N115" i="44"/>
  <c r="BA115" i="44" s="1"/>
  <c r="BA133" i="44" s="1"/>
  <c r="M115" i="44" s="1"/>
  <c r="K46" i="44" s="1"/>
  <c r="G46" i="45" s="1"/>
  <c r="J46" i="44"/>
  <c r="F46" i="45" s="1"/>
  <c r="N93" i="44"/>
  <c r="AE93" i="44" s="1"/>
  <c r="AE133" i="44" s="1"/>
  <c r="M93" i="44" s="1"/>
  <c r="K24" i="44" s="1"/>
  <c r="G24" i="45" s="1"/>
  <c r="J24" i="44"/>
  <c r="F24" i="45" s="1"/>
  <c r="N95" i="44"/>
  <c r="AG95" i="44" s="1"/>
  <c r="AG133" i="44" s="1"/>
  <c r="M95" i="44" s="1"/>
  <c r="K26" i="44" s="1"/>
  <c r="G26" i="45" s="1"/>
  <c r="J26" i="44"/>
  <c r="F26" i="45" s="1"/>
  <c r="N82" i="44"/>
  <c r="T82" i="44" s="1"/>
  <c r="T133" i="44" s="1"/>
  <c r="M82" i="44" s="1"/>
  <c r="K13" i="44" s="1"/>
  <c r="G13" i="45" s="1"/>
  <c r="J13" i="44"/>
  <c r="F13" i="45" s="1"/>
  <c r="N124" i="44"/>
  <c r="BJ124" i="44" s="1"/>
  <c r="BJ133" i="44" s="1"/>
  <c r="M124" i="44" s="1"/>
  <c r="K55" i="44" s="1"/>
  <c r="G55" i="45" s="1"/>
  <c r="J55" i="44"/>
  <c r="F55" i="45" s="1"/>
  <c r="N94" i="44"/>
  <c r="AF94" i="44" s="1"/>
  <c r="AF133" i="44" s="1"/>
  <c r="M94" i="44" s="1"/>
  <c r="K25" i="44" s="1"/>
  <c r="G25" i="45" s="1"/>
  <c r="J25" i="44"/>
  <c r="F25" i="45" s="1"/>
  <c r="N84" i="44"/>
  <c r="V84" i="44" s="1"/>
  <c r="V133" i="44" s="1"/>
  <c r="M84" i="44" s="1"/>
  <c r="K15" i="44" s="1"/>
  <c r="G15" i="45" s="1"/>
  <c r="J15" i="44"/>
  <c r="F15" i="45" s="1"/>
  <c r="N89" i="44"/>
  <c r="AA89" i="44" s="1"/>
  <c r="AA133" i="44" s="1"/>
  <c r="M89" i="44" s="1"/>
  <c r="K20" i="44" s="1"/>
  <c r="G20" i="45" s="1"/>
  <c r="J20" i="44"/>
  <c r="F20" i="45" s="1"/>
  <c r="N120" i="44"/>
  <c r="BF120" i="44" s="1"/>
  <c r="BF133" i="44" s="1"/>
  <c r="M120" i="44" s="1"/>
  <c r="K51" i="44" s="1"/>
  <c r="G51" i="45" s="1"/>
  <c r="J51" i="44"/>
  <c r="F51" i="45" s="1"/>
  <c r="N105" i="44"/>
  <c r="AQ105" i="44" s="1"/>
  <c r="AQ133" i="44" s="1"/>
  <c r="M105" i="44" s="1"/>
  <c r="K36" i="44" s="1"/>
  <c r="G36" i="45" s="1"/>
  <c r="J36" i="44"/>
  <c r="F36" i="45" s="1"/>
  <c r="N102" i="44"/>
  <c r="AN102" i="44" s="1"/>
  <c r="AN133" i="44" s="1"/>
  <c r="M102" i="44" s="1"/>
  <c r="K33" i="44" s="1"/>
  <c r="G33" i="45" s="1"/>
  <c r="J33" i="44"/>
  <c r="F33" i="45" s="1"/>
  <c r="N110" i="44"/>
  <c r="AV110" i="44" s="1"/>
  <c r="AV133" i="44" s="1"/>
  <c r="M110" i="44" s="1"/>
  <c r="K41" i="44" s="1"/>
  <c r="G41" i="45" s="1"/>
  <c r="J41" i="44"/>
  <c r="F41" i="45" s="1"/>
  <c r="N104" i="44"/>
  <c r="AP104" i="44" s="1"/>
  <c r="AP133" i="44" s="1"/>
  <c r="M104" i="44" s="1"/>
  <c r="K35" i="44" s="1"/>
  <c r="G35" i="45" s="1"/>
  <c r="J35" i="44"/>
  <c r="F35" i="45" s="1"/>
  <c r="N107" i="44"/>
  <c r="AS107" i="44" s="1"/>
  <c r="AS133" i="44" s="1"/>
  <c r="M107" i="44" s="1"/>
  <c r="K38" i="44" s="1"/>
  <c r="G38" i="45" s="1"/>
  <c r="J38" i="44"/>
  <c r="F38" i="45" s="1"/>
  <c r="N109" i="44"/>
  <c r="AU109" i="44" s="1"/>
  <c r="AU133" i="44" s="1"/>
  <c r="M109" i="44" s="1"/>
  <c r="K40" i="44" s="1"/>
  <c r="G40" i="45" s="1"/>
  <c r="J40" i="44"/>
  <c r="F40" i="45" s="1"/>
  <c r="N100" i="44"/>
  <c r="AL100" i="44" s="1"/>
  <c r="AL133" i="44" s="1"/>
  <c r="M100" i="44" s="1"/>
  <c r="K31" i="44" s="1"/>
  <c r="G31" i="45" s="1"/>
  <c r="J31" i="44"/>
  <c r="F31" i="45" s="1"/>
  <c r="N112" i="44"/>
  <c r="AX112" i="44" s="1"/>
  <c r="AX133" i="44" s="1"/>
  <c r="M112" i="44" s="1"/>
  <c r="K43" i="44" s="1"/>
  <c r="G43" i="45" s="1"/>
  <c r="J43" i="44"/>
  <c r="F43" i="45" s="1"/>
  <c r="N126" i="44"/>
  <c r="BL126" i="44" s="1"/>
  <c r="BL133" i="44" s="1"/>
  <c r="M126" i="44" s="1"/>
  <c r="K57" i="44" s="1"/>
  <c r="G57" i="45" s="1"/>
  <c r="J57" i="44"/>
  <c r="F57" i="45" s="1"/>
  <c r="N98" i="44"/>
  <c r="AJ98" i="44" s="1"/>
  <c r="AJ133" i="44" s="1"/>
  <c r="M98" i="44" s="1"/>
  <c r="K29" i="44" s="1"/>
  <c r="G29" i="45" s="1"/>
  <c r="J29" i="44"/>
  <c r="F29" i="45" s="1"/>
  <c r="N132" i="44"/>
  <c r="BR132" i="44" s="1"/>
  <c r="J63" i="44"/>
  <c r="F63" i="45" s="1"/>
  <c r="N86" i="44"/>
  <c r="X86" i="44" s="1"/>
  <c r="X133" i="44" s="1"/>
  <c r="M86" i="44" s="1"/>
  <c r="K17" i="44" s="1"/>
  <c r="G17" i="45" s="1"/>
  <c r="J17" i="44"/>
  <c r="F17" i="45" s="1"/>
  <c r="N85" i="44"/>
  <c r="W85" i="44" s="1"/>
  <c r="W133" i="44" s="1"/>
  <c r="M85" i="44" s="1"/>
  <c r="K16" i="44" s="1"/>
  <c r="G16" i="45" s="1"/>
  <c r="J16" i="44"/>
  <c r="F16" i="45" s="1"/>
  <c r="N114" i="44"/>
  <c r="AZ114" i="44" s="1"/>
  <c r="AZ133" i="44" s="1"/>
  <c r="M114" i="44" s="1"/>
  <c r="K45" i="44" s="1"/>
  <c r="G45" i="45" s="1"/>
  <c r="J45" i="44"/>
  <c r="F45" i="45" s="1"/>
  <c r="N103" i="44"/>
  <c r="AO103" i="44" s="1"/>
  <c r="AO133" i="44" s="1"/>
  <c r="M103" i="44" s="1"/>
  <c r="K34" i="44" s="1"/>
  <c r="G34" i="45" s="1"/>
  <c r="J34" i="44"/>
  <c r="F34" i="45" s="1"/>
  <c r="N97" i="44"/>
  <c r="AI97" i="44" s="1"/>
  <c r="AI133" i="44" s="1"/>
  <c r="M97" i="44" s="1"/>
  <c r="K28" i="44" s="1"/>
  <c r="G28" i="45" s="1"/>
  <c r="J28" i="44"/>
  <c r="F28" i="45" s="1"/>
  <c r="N83" i="44"/>
  <c r="U83" i="44" s="1"/>
  <c r="U133" i="44" s="1"/>
  <c r="M83" i="44" s="1"/>
  <c r="K14" i="44" s="1"/>
  <c r="G14" i="45" s="1"/>
  <c r="J14" i="44"/>
  <c r="F14" i="45" s="1"/>
  <c r="N302" i="15"/>
  <c r="O175" i="39"/>
  <c r="D344" i="15"/>
  <c r="D217" i="39"/>
  <c r="N291" i="15"/>
  <c r="O164" i="39"/>
  <c r="N298" i="15"/>
  <c r="O171" i="39"/>
  <c r="BV1335" i="29"/>
  <c r="CC1335" i="29"/>
  <c r="BV1336" i="29"/>
  <c r="CC1336" i="29"/>
  <c r="BV1330" i="29"/>
  <c r="CC1330" i="29"/>
  <c r="D211" i="39"/>
  <c r="D338" i="15"/>
  <c r="D214" i="39"/>
  <c r="D341" i="15"/>
  <c r="D331" i="15"/>
  <c r="D204" i="39"/>
  <c r="BV1333" i="29"/>
  <c r="CC1333" i="29"/>
  <c r="BV1337" i="29"/>
  <c r="CC1337" i="29"/>
  <c r="BV1339" i="29"/>
  <c r="CC1339" i="29"/>
  <c r="BZ889" i="29"/>
  <c r="BX890" i="29" s="1"/>
  <c r="BZ890" i="29" s="1"/>
  <c r="BX891" i="29" s="1"/>
  <c r="N300" i="15"/>
  <c r="O173" i="39"/>
  <c r="D178" i="39"/>
  <c r="D305" i="15"/>
  <c r="N295" i="15"/>
  <c r="O168" i="39"/>
  <c r="D193" i="39"/>
  <c r="D320" i="15"/>
  <c r="N304" i="15"/>
  <c r="O177" i="39"/>
  <c r="D181" i="39"/>
  <c r="D308" i="15"/>
  <c r="N299" i="15"/>
  <c r="O172" i="39"/>
  <c r="D337" i="15"/>
  <c r="D210" i="39"/>
  <c r="BV1332" i="29"/>
  <c r="CC1332" i="29"/>
  <c r="BV1338" i="29"/>
  <c r="CC1338" i="29"/>
  <c r="AB1340" i="29"/>
  <c r="AC1340" i="29"/>
  <c r="CB1334" i="29" s="1"/>
  <c r="D339" i="15"/>
  <c r="D212" i="39"/>
  <c r="B77" i="39"/>
  <c r="B139" i="39" s="1"/>
  <c r="I77" i="39"/>
  <c r="D213" i="39"/>
  <c r="D340" i="15"/>
  <c r="D188" i="39"/>
  <c r="D315" i="15"/>
  <c r="O169" i="39"/>
  <c r="N296" i="15"/>
  <c r="D201" i="39"/>
  <c r="D328" i="15"/>
  <c r="BV1340" i="29"/>
  <c r="CC1340" i="29"/>
  <c r="BV1331" i="29"/>
  <c r="CC1331" i="29"/>
  <c r="I139" i="39" l="1"/>
  <c r="BZ891" i="29"/>
  <c r="BX892" i="29" s="1"/>
  <c r="BZ892" i="29" s="1"/>
  <c r="BX893" i="29" s="1"/>
  <c r="BZ893" i="29" s="1"/>
  <c r="BX894" i="29" s="1"/>
  <c r="BZ894" i="29" s="1"/>
  <c r="BX895" i="29" s="1"/>
  <c r="BV1334" i="29"/>
  <c r="CC1334" i="29"/>
  <c r="BR130" i="44" l="1"/>
  <c r="BR133" i="44" s="1"/>
  <c r="M132" i="44" s="1"/>
  <c r="K63" i="44" s="1"/>
  <c r="G63" i="45" s="1"/>
  <c r="BQ130" i="44"/>
  <c r="BQ133" i="44" s="1"/>
  <c r="M131" i="44" s="1"/>
  <c r="K62" i="44" s="1"/>
  <c r="G62" i="45" s="1"/>
  <c r="BP130" i="44"/>
  <c r="BP133" i="44" s="1"/>
  <c r="M130" i="44" s="1"/>
  <c r="K61" i="44" s="1"/>
  <c r="G61" i="45" s="1"/>
  <c r="BZ895" i="29"/>
  <c r="BX896" i="29" s="1"/>
  <c r="BZ896" i="29" l="1"/>
  <c r="BY897" i="29" s="1"/>
  <c r="BW897" i="29" s="1"/>
  <c r="BX897" i="29" l="1"/>
  <c r="BS897" i="29"/>
  <c r="BT897" i="29"/>
  <c r="M896" i="29" s="1"/>
  <c r="H84" i="29" l="1"/>
  <c r="X896" i="29"/>
  <c r="BZ897" i="29"/>
  <c r="BX898" i="29" s="1"/>
  <c r="G84" i="29" l="1"/>
  <c r="L77" i="40" s="1"/>
  <c r="K77" i="40"/>
  <c r="BZ898" i="29"/>
  <c r="BX899" i="29" s="1"/>
  <c r="U77" i="40" l="1"/>
  <c r="V77" i="40"/>
  <c r="I101" i="39"/>
  <c r="D231" i="15"/>
  <c r="G97" i="15"/>
  <c r="Y77" i="40"/>
  <c r="F231" i="15"/>
  <c r="L101" i="39"/>
  <c r="BZ899" i="29"/>
  <c r="BX900" i="29" s="1"/>
  <c r="O180" i="39" l="1"/>
  <c r="N307" i="15"/>
  <c r="S231" i="15"/>
  <c r="U101" i="39"/>
  <c r="R101" i="39"/>
  <c r="P231" i="15"/>
  <c r="BZ900" i="29"/>
  <c r="BX901" i="29" s="1"/>
  <c r="BZ901" i="29" l="1"/>
  <c r="BX902" i="29" s="1"/>
  <c r="BZ902" i="29" l="1"/>
  <c r="BX903" i="29" s="1"/>
  <c r="BZ903" i="29" s="1"/>
  <c r="BX904" i="29" s="1"/>
  <c r="BZ904" i="29" s="1"/>
  <c r="BX905" i="29" s="1"/>
  <c r="BZ905" i="29" l="1"/>
  <c r="BX906" i="29" s="1"/>
  <c r="BZ906" i="29" s="1"/>
  <c r="BX907" i="29" s="1"/>
  <c r="BZ907" i="29" l="1"/>
  <c r="BX908" i="29" s="1"/>
  <c r="BZ908" i="29" l="1"/>
  <c r="BY909" i="29" s="1"/>
  <c r="BW909" i="29" l="1"/>
  <c r="BX909" i="29"/>
  <c r="BZ909" i="29" l="1"/>
  <c r="BX910" i="29" s="1"/>
  <c r="BZ910" i="29" s="1"/>
  <c r="BX911" i="29" s="1"/>
  <c r="BZ911" i="29" s="1"/>
  <c r="BX912" i="29" s="1"/>
  <c r="BS909" i="29"/>
  <c r="BT909" i="29"/>
  <c r="M908" i="29" s="1"/>
  <c r="H85" i="29" l="1"/>
  <c r="X908" i="29"/>
  <c r="BZ912" i="29"/>
  <c r="BX913" i="29" s="1"/>
  <c r="G85" i="29" l="1"/>
  <c r="L78" i="40" s="1"/>
  <c r="K78" i="40"/>
  <c r="BZ913" i="29"/>
  <c r="BX914" i="29" s="1"/>
  <c r="BZ914" i="29" s="1"/>
  <c r="BX915" i="29" s="1"/>
  <c r="BZ915" i="29" s="1"/>
  <c r="BX916" i="29" s="1"/>
  <c r="U78" i="40" l="1"/>
  <c r="V78" i="40"/>
  <c r="D232" i="15"/>
  <c r="I102" i="39"/>
  <c r="G98" i="15"/>
  <c r="Y78" i="40"/>
  <c r="L102" i="39"/>
  <c r="F232" i="15"/>
  <c r="BZ916" i="29"/>
  <c r="BX917" i="29" s="1"/>
  <c r="N308" i="15" l="1"/>
  <c r="O181" i="39"/>
  <c r="S232" i="15"/>
  <c r="U102" i="39"/>
  <c r="R102" i="39"/>
  <c r="P232" i="15"/>
  <c r="BZ917" i="29"/>
  <c r="BX918" i="29" s="1"/>
  <c r="BZ918" i="29" l="1"/>
  <c r="BX919" i="29" s="1"/>
  <c r="BZ919" i="29" l="1"/>
  <c r="BX920" i="29" s="1"/>
  <c r="BZ920" i="29" l="1"/>
  <c r="BY921" i="29" s="1"/>
  <c r="BW921" i="29" l="1"/>
  <c r="BX921" i="29"/>
  <c r="BZ921" i="29" l="1"/>
  <c r="BX922" i="29" s="1"/>
  <c r="BS921" i="29"/>
  <c r="BT921" i="29"/>
  <c r="M920" i="29" s="1"/>
  <c r="H86" i="29" l="1"/>
  <c r="X920" i="29"/>
  <c r="BZ922" i="29"/>
  <c r="BX923" i="29" s="1"/>
  <c r="G86" i="29" l="1"/>
  <c r="L79" i="40" s="1"/>
  <c r="K79" i="40"/>
  <c r="BZ923" i="29"/>
  <c r="BX924" i="29" s="1"/>
  <c r="BZ924" i="29" s="1"/>
  <c r="BX925" i="29" s="1"/>
  <c r="D233" i="15" l="1"/>
  <c r="G99" i="15"/>
  <c r="I103" i="39"/>
  <c r="V79" i="40"/>
  <c r="U79" i="40"/>
  <c r="L103" i="39"/>
  <c r="F233" i="15"/>
  <c r="Y79" i="40"/>
  <c r="BZ925" i="29"/>
  <c r="BX926" i="29" s="1"/>
  <c r="BZ926" i="29" s="1"/>
  <c r="BX927" i="29" s="1"/>
  <c r="BZ927" i="29" s="1"/>
  <c r="BX928" i="29" s="1"/>
  <c r="N309" i="15" l="1"/>
  <c r="O182" i="39"/>
  <c r="U103" i="39"/>
  <c r="S233" i="15"/>
  <c r="R103" i="39"/>
  <c r="P233" i="15"/>
  <c r="BZ928" i="29"/>
  <c r="BX929" i="29" s="1"/>
  <c r="BZ929" i="29" l="1"/>
  <c r="BX930" i="29" s="1"/>
  <c r="BZ930" i="29" l="1"/>
  <c r="BX931" i="29" s="1"/>
  <c r="BZ931" i="29" l="1"/>
  <c r="BX932" i="29" s="1"/>
  <c r="BZ932" i="29" l="1"/>
  <c r="BY933" i="29" s="1"/>
  <c r="BW933" i="29" s="1"/>
  <c r="BX933" i="29" l="1"/>
  <c r="BZ933" i="29" s="1"/>
  <c r="BX934" i="29" s="1"/>
  <c r="BS933" i="29"/>
  <c r="BT933" i="29"/>
  <c r="M932" i="29" s="1"/>
  <c r="H87" i="29" l="1"/>
  <c r="X932" i="29"/>
  <c r="BZ934" i="29"/>
  <c r="BX935" i="29" s="1"/>
  <c r="G87" i="29" l="1"/>
  <c r="L80" i="40" s="1"/>
  <c r="K80" i="40"/>
  <c r="BZ935" i="29"/>
  <c r="BX936" i="29" s="1"/>
  <c r="BZ936" i="29" s="1"/>
  <c r="BX937" i="29" s="1"/>
  <c r="G100" i="15" l="1"/>
  <c r="I104" i="39"/>
  <c r="D234" i="15"/>
  <c r="V80" i="40"/>
  <c r="U80" i="40"/>
  <c r="F234" i="15"/>
  <c r="L104" i="39"/>
  <c r="Y80" i="40"/>
  <c r="BZ937" i="29"/>
  <c r="BX938" i="29" s="1"/>
  <c r="BZ938" i="29" s="1"/>
  <c r="BX939" i="29" s="1"/>
  <c r="O183" i="39" l="1"/>
  <c r="N310" i="15"/>
  <c r="S234" i="15"/>
  <c r="U104" i="39"/>
  <c r="R104" i="39"/>
  <c r="P234" i="15"/>
  <c r="BZ939" i="29"/>
  <c r="BX940" i="29" s="1"/>
  <c r="BZ940" i="29" s="1"/>
  <c r="BX941" i="29" s="1"/>
  <c r="BZ941" i="29" l="1"/>
  <c r="BX942" i="29" s="1"/>
  <c r="BZ942" i="29" s="1"/>
  <c r="BX943" i="29" s="1"/>
  <c r="BZ943" i="29" l="1"/>
  <c r="BX944" i="29" s="1"/>
  <c r="BZ944" i="29" l="1"/>
  <c r="BY945" i="29" s="1"/>
  <c r="BW945" i="29" l="1"/>
  <c r="BX945" i="29"/>
  <c r="BZ945" i="29" l="1"/>
  <c r="BX946" i="29" s="1"/>
  <c r="BS945" i="29"/>
  <c r="BT945" i="29"/>
  <c r="M944" i="29" s="1"/>
  <c r="H88" i="29" l="1"/>
  <c r="X944" i="29"/>
  <c r="BZ946" i="29"/>
  <c r="BX947" i="29" s="1"/>
  <c r="BZ947" i="29" s="1"/>
  <c r="BX948" i="29" s="1"/>
  <c r="BZ948" i="29" s="1"/>
  <c r="BX949" i="29" s="1"/>
  <c r="G88" i="29" l="1"/>
  <c r="L81" i="40" s="1"/>
  <c r="K81" i="40"/>
  <c r="BZ949" i="29"/>
  <c r="BX950" i="29" s="1"/>
  <c r="G101" i="15" l="1"/>
  <c r="I105" i="39"/>
  <c r="D235" i="15"/>
  <c r="U81" i="40"/>
  <c r="V81" i="40"/>
  <c r="F235" i="15"/>
  <c r="L105" i="39"/>
  <c r="Y81" i="40"/>
  <c r="BZ950" i="29"/>
  <c r="BX951" i="29" s="1"/>
  <c r="N311" i="15" l="1"/>
  <c r="O184" i="39"/>
  <c r="R105" i="39"/>
  <c r="P235" i="15"/>
  <c r="U105" i="39"/>
  <c r="S235" i="15"/>
  <c r="BZ951" i="29"/>
  <c r="BX952" i="29" s="1"/>
  <c r="BZ952" i="29" l="1"/>
  <c r="BX953" i="29" s="1"/>
  <c r="BZ953" i="29" l="1"/>
  <c r="BX954" i="29" s="1"/>
  <c r="BZ954" i="29" l="1"/>
  <c r="BX955" i="29" s="1"/>
  <c r="BZ955" i="29" l="1"/>
  <c r="BX956" i="29" s="1"/>
  <c r="BZ956" i="29" l="1"/>
  <c r="BY957" i="29" s="1"/>
  <c r="BW957" i="29" s="1"/>
  <c r="BX957" i="29" l="1"/>
  <c r="BZ957" i="29" s="1"/>
  <c r="BX958" i="29" s="1"/>
  <c r="BZ958" i="29" s="1"/>
  <c r="BX959" i="29" s="1"/>
  <c r="BT957" i="29"/>
  <c r="M956" i="29" s="1"/>
  <c r="BS957" i="29"/>
  <c r="H89" i="29" l="1"/>
  <c r="G89" i="29" s="1"/>
  <c r="X956" i="29"/>
  <c r="BZ959" i="29"/>
  <c r="BX960" i="29" s="1"/>
  <c r="BZ960" i="29" l="1"/>
  <c r="BX961" i="29" s="1"/>
  <c r="BZ961" i="29" s="1"/>
  <c r="BX962" i="29" s="1"/>
  <c r="BZ962" i="29" l="1"/>
  <c r="BX963" i="29" s="1"/>
  <c r="BZ963" i="29" l="1"/>
  <c r="BX964" i="29" s="1"/>
  <c r="BZ964" i="29" s="1"/>
  <c r="BX965" i="29" s="1"/>
  <c r="BZ965" i="29" l="1"/>
  <c r="BX966" i="29" s="1"/>
  <c r="BZ966" i="29" l="1"/>
  <c r="BX967" i="29" s="1"/>
  <c r="BZ967" i="29" l="1"/>
  <c r="BX968" i="29" s="1"/>
  <c r="BZ968" i="29" l="1"/>
  <c r="BY969" i="29" s="1"/>
  <c r="BW969" i="29" s="1"/>
  <c r="BX969" i="29" l="1"/>
  <c r="BZ969" i="29" s="1"/>
  <c r="BX970" i="29" s="1"/>
  <c r="BT969" i="29"/>
  <c r="M968" i="29" s="1"/>
  <c r="BS969" i="29"/>
  <c r="X968" i="29" l="1"/>
  <c r="H90" i="29"/>
  <c r="G90" i="29" s="1"/>
  <c r="BZ970" i="29"/>
  <c r="BX971" i="29" s="1"/>
  <c r="BZ971" i="29" s="1"/>
  <c r="BX972" i="29" s="1"/>
  <c r="BZ972" i="29" s="1"/>
  <c r="BX973" i="29" s="1"/>
  <c r="BZ973" i="29" l="1"/>
  <c r="BX974" i="29" s="1"/>
  <c r="BZ974" i="29" l="1"/>
  <c r="BX975" i="29" s="1"/>
  <c r="BZ975" i="29" l="1"/>
  <c r="BX976" i="29" s="1"/>
  <c r="BZ976" i="29" l="1"/>
  <c r="BX977" i="29" s="1"/>
  <c r="BZ977" i="29" s="1"/>
  <c r="BX978" i="29" s="1"/>
  <c r="BZ978" i="29" s="1"/>
  <c r="BX979" i="29" s="1"/>
  <c r="BZ979" i="29" l="1"/>
  <c r="BX980" i="29" s="1"/>
  <c r="BZ980" i="29" l="1"/>
  <c r="BY981" i="29" s="1"/>
  <c r="BW981" i="29" l="1"/>
  <c r="BX981" i="29"/>
  <c r="BZ981" i="29" s="1"/>
  <c r="BX982" i="29" s="1"/>
  <c r="BZ982" i="29" s="1"/>
  <c r="BX983" i="29" s="1"/>
  <c r="BZ983" i="29" s="1"/>
  <c r="BX984" i="29" s="1"/>
  <c r="BZ984" i="29" s="1"/>
  <c r="BX985" i="29" s="1"/>
  <c r="BZ985" i="29" s="1"/>
  <c r="BX986" i="29" s="1"/>
  <c r="BZ986" i="29" s="1"/>
  <c r="BX987" i="29" s="1"/>
  <c r="BZ987" i="29" s="1"/>
  <c r="BX988" i="29" s="1"/>
  <c r="BZ988" i="29" l="1"/>
  <c r="BX989" i="29" s="1"/>
  <c r="BS981" i="29"/>
  <c r="BT981" i="29"/>
  <c r="M980" i="29" s="1"/>
  <c r="H91" i="29" l="1"/>
  <c r="G91" i="29" s="1"/>
  <c r="X980" i="29"/>
  <c r="BZ989" i="29"/>
  <c r="BX990" i="29" s="1"/>
  <c r="BZ990" i="29" s="1"/>
  <c r="BX991" i="29" s="1"/>
  <c r="BZ991" i="29" s="1"/>
  <c r="BX992" i="29" s="1"/>
  <c r="BZ992" i="29" l="1"/>
  <c r="BY993" i="29" s="1"/>
  <c r="BW993" i="29" s="1"/>
  <c r="BX993" i="29" l="1"/>
  <c r="BZ993" i="29" s="1"/>
  <c r="BX994" i="29" s="1"/>
  <c r="BS993" i="29"/>
  <c r="BT993" i="29"/>
  <c r="M992" i="29" s="1"/>
  <c r="H92" i="29" l="1"/>
  <c r="G92" i="29" s="1"/>
  <c r="X992" i="29"/>
  <c r="BZ994" i="29"/>
  <c r="BX995" i="29" s="1"/>
  <c r="BZ995" i="29" l="1"/>
  <c r="BX996" i="29" s="1"/>
  <c r="BZ996" i="29" l="1"/>
  <c r="BX997" i="29" s="1"/>
  <c r="BZ997" i="29" l="1"/>
  <c r="BX998" i="29" s="1"/>
  <c r="BZ998" i="29" l="1"/>
  <c r="BX999" i="29" s="1"/>
  <c r="BZ999" i="29" s="1"/>
  <c r="BX1000" i="29" s="1"/>
  <c r="BZ1000" i="29" s="1"/>
  <c r="BX1001" i="29" s="1"/>
  <c r="BZ1001" i="29" l="1"/>
  <c r="BX1002" i="29" s="1"/>
  <c r="BZ1002" i="29" l="1"/>
  <c r="BX1003" i="29" s="1"/>
  <c r="BZ1003" i="29" s="1"/>
  <c r="BX1004" i="29" s="1"/>
  <c r="BZ1004" i="29" l="1"/>
  <c r="BY1005" i="29" s="1"/>
  <c r="BW1005" i="29" s="1"/>
  <c r="BX1005" i="29" l="1"/>
  <c r="BS1005" i="29"/>
  <c r="BT1005" i="29"/>
  <c r="M1004" i="29" s="1"/>
  <c r="X1004" i="29" l="1"/>
  <c r="H93" i="29"/>
  <c r="G93" i="29" s="1"/>
  <c r="BZ1005" i="29"/>
  <c r="BX1006" i="29" s="1"/>
  <c r="BZ1006" i="29" l="1"/>
  <c r="BX1007" i="29" s="1"/>
  <c r="BZ1007" i="29" l="1"/>
  <c r="BX1008" i="29" s="1"/>
  <c r="BZ1008" i="29" l="1"/>
  <c r="BX1009" i="29" s="1"/>
  <c r="BZ1009" i="29" l="1"/>
  <c r="BX1010" i="29" s="1"/>
  <c r="BZ1010" i="29" s="1"/>
  <c r="BX1011" i="29" s="1"/>
  <c r="BZ1011" i="29" l="1"/>
  <c r="BX1012" i="29" s="1"/>
  <c r="BZ1012" i="29" l="1"/>
  <c r="BX1013" i="29" s="1"/>
  <c r="BZ1013" i="29" s="1"/>
  <c r="BX1014" i="29" s="1"/>
  <c r="BZ1014" i="29" l="1"/>
  <c r="BX1015" i="29" s="1"/>
  <c r="BZ1015" i="29" s="1"/>
  <c r="BX1016" i="29" s="1"/>
  <c r="BZ1016" i="29" l="1"/>
  <c r="BY1017" i="29" s="1"/>
  <c r="BW1017" i="29" l="1"/>
  <c r="BX1017" i="29"/>
  <c r="BZ1017" i="29" l="1"/>
  <c r="BX1018" i="29" s="1"/>
  <c r="BS1017" i="29"/>
  <c r="BT1017" i="29"/>
  <c r="M1016" i="29" s="1"/>
  <c r="X1016" i="29" l="1"/>
  <c r="H94" i="29"/>
  <c r="G94" i="29" s="1"/>
  <c r="BZ1018" i="29"/>
  <c r="BX1019" i="29" s="1"/>
  <c r="BZ1019" i="29" l="1"/>
  <c r="BX1020" i="29" s="1"/>
  <c r="BZ1020" i="29" l="1"/>
  <c r="BX1021" i="29" s="1"/>
  <c r="BZ1021" i="29" s="1"/>
  <c r="BX1022" i="29" s="1"/>
  <c r="BZ1022" i="29" l="1"/>
  <c r="BX1023" i="29" s="1"/>
  <c r="BZ1023" i="29" l="1"/>
  <c r="BX1024" i="29" s="1"/>
  <c r="BZ1024" i="29" l="1"/>
  <c r="BX1025" i="29" s="1"/>
  <c r="BZ1025" i="29" l="1"/>
  <c r="BX1026" i="29" s="1"/>
  <c r="BZ1026" i="29" l="1"/>
  <c r="BX1027" i="29" s="1"/>
  <c r="BZ1027" i="29" s="1"/>
  <c r="BX1028" i="29" s="1"/>
  <c r="BZ1028" i="29" l="1"/>
  <c r="BY1029" i="29" s="1"/>
  <c r="BW1029" i="29" l="1"/>
  <c r="BX1029" i="29"/>
  <c r="BZ1029" i="29" s="1"/>
  <c r="BX1030" i="29" s="1"/>
  <c r="BZ1030" i="29" l="1"/>
  <c r="BX1031" i="29" s="1"/>
  <c r="BS1029" i="29"/>
  <c r="BT1029" i="29"/>
  <c r="M1028" i="29" s="1"/>
  <c r="H95" i="29" l="1"/>
  <c r="G95" i="29" s="1"/>
  <c r="X1028" i="29"/>
  <c r="BZ1031" i="29"/>
  <c r="BX1032" i="29" s="1"/>
  <c r="BZ1032" i="29" l="1"/>
  <c r="BX1033" i="29" s="1"/>
  <c r="BZ1033" i="29" l="1"/>
  <c r="BX1034" i="29" s="1"/>
  <c r="BZ1034" i="29" s="1"/>
  <c r="BX1035" i="29" s="1"/>
  <c r="BZ1035" i="29" l="1"/>
  <c r="BX1036" i="29" s="1"/>
  <c r="BZ1036" i="29" l="1"/>
  <c r="BX1037" i="29" s="1"/>
  <c r="BZ1037" i="29" l="1"/>
  <c r="BX1038" i="29" s="1"/>
  <c r="BZ1038" i="29" l="1"/>
  <c r="BX1039" i="29" s="1"/>
  <c r="BZ1039" i="29" l="1"/>
  <c r="BX1040" i="29" s="1"/>
  <c r="BZ1040" i="29" l="1"/>
  <c r="BY1041" i="29" s="1"/>
  <c r="BW1041" i="29" l="1"/>
  <c r="BX1041" i="29"/>
  <c r="BZ1041" i="29" l="1"/>
  <c r="BX1042" i="29" s="1"/>
  <c r="BT1041" i="29"/>
  <c r="M1040" i="29" s="1"/>
  <c r="BS1041" i="29"/>
  <c r="H96" i="29" l="1"/>
  <c r="G96" i="29" s="1"/>
  <c r="X1040" i="29"/>
  <c r="BZ1042" i="29"/>
  <c r="BX1043" i="29" s="1"/>
  <c r="BZ1043" i="29" l="1"/>
  <c r="BX1044" i="29" s="1"/>
  <c r="BZ1044" i="29" l="1"/>
  <c r="BX1045" i="29" s="1"/>
  <c r="BZ1045" i="29" s="1"/>
  <c r="BX1046" i="29" s="1"/>
  <c r="BZ1046" i="29" l="1"/>
  <c r="BX1047" i="29" s="1"/>
  <c r="BZ1047" i="29" l="1"/>
  <c r="BX1048" i="29" s="1"/>
  <c r="BZ1048" i="29" l="1"/>
  <c r="BX1049" i="29" s="1"/>
  <c r="BZ1049" i="29" s="1"/>
  <c r="BX1050" i="29" s="1"/>
  <c r="BZ1050" i="29" l="1"/>
  <c r="BX1051" i="29" s="1"/>
  <c r="BZ1051" i="29" s="1"/>
  <c r="BX1052" i="29" s="1"/>
  <c r="BZ1052" i="29" l="1"/>
  <c r="BY1053" i="29" s="1"/>
  <c r="BW1053" i="29" l="1"/>
  <c r="BX1053" i="29"/>
  <c r="BZ1053" i="29" l="1"/>
  <c r="BX1054" i="29" s="1"/>
  <c r="BS1053" i="29"/>
  <c r="BT1053" i="29"/>
  <c r="M1052" i="29" s="1"/>
  <c r="H97" i="29" l="1"/>
  <c r="G97" i="29" s="1"/>
  <c r="X1052" i="29"/>
  <c r="BZ1054" i="29"/>
  <c r="BX1055" i="29" s="1"/>
  <c r="BZ1055" i="29" l="1"/>
  <c r="BX1056" i="29" s="1"/>
  <c r="BZ1056" i="29" l="1"/>
  <c r="BX1057" i="29" s="1"/>
  <c r="BZ1057" i="29" s="1"/>
  <c r="BX1058" i="29" s="1"/>
  <c r="BZ1058" i="29" l="1"/>
  <c r="BX1059" i="29" s="1"/>
  <c r="BZ1059" i="29" s="1"/>
  <c r="BX1060" i="29" s="1"/>
  <c r="BZ1060" i="29" l="1"/>
  <c r="BX1061" i="29" s="1"/>
  <c r="BZ1061" i="29" l="1"/>
  <c r="BX1062" i="29" s="1"/>
  <c r="BZ1062" i="29" l="1"/>
  <c r="BX1063" i="29" s="1"/>
  <c r="BZ1063" i="29" l="1"/>
  <c r="BX1064" i="29" s="1"/>
  <c r="BZ1064" i="29" l="1"/>
  <c r="BY1065" i="29" s="1"/>
  <c r="BW1065" i="29" l="1"/>
  <c r="BX1065" i="29"/>
  <c r="BZ1065" i="29" l="1"/>
  <c r="BX1066" i="29" s="1"/>
  <c r="BS1065" i="29"/>
  <c r="BT1065" i="29"/>
  <c r="M1064" i="29" s="1"/>
  <c r="H98" i="29" l="1"/>
  <c r="G98" i="29" s="1"/>
  <c r="X1064" i="29"/>
  <c r="BZ1066" i="29"/>
  <c r="BX1067" i="29" s="1"/>
  <c r="BZ1067" i="29" s="1"/>
  <c r="BX1068" i="29" s="1"/>
  <c r="BZ1068" i="29" l="1"/>
  <c r="BX1069" i="29" s="1"/>
  <c r="BZ1069" i="29" s="1"/>
  <c r="BX1070" i="29" s="1"/>
  <c r="BZ1070" i="29" s="1"/>
  <c r="BX1071" i="29" s="1"/>
  <c r="BZ1071" i="29" s="1"/>
  <c r="BX1072" i="29" s="1"/>
  <c r="BZ1072" i="29" s="1"/>
  <c r="BX1073" i="29" s="1"/>
  <c r="BZ1073" i="29" s="1"/>
  <c r="BX1074" i="29" s="1"/>
  <c r="BZ1074" i="29" s="1"/>
  <c r="BX1075" i="29" s="1"/>
  <c r="BZ1075" i="29" l="1"/>
  <c r="BX1076" i="29" s="1"/>
  <c r="BZ1076" i="29" l="1"/>
  <c r="BY1077" i="29" s="1"/>
  <c r="BW1077" i="29" l="1"/>
  <c r="BX1077" i="29"/>
  <c r="BZ1077" i="29" l="1"/>
  <c r="BX1078" i="29" s="1"/>
  <c r="BZ1078" i="29" s="1"/>
  <c r="BX1079" i="29" s="1"/>
  <c r="BT1077" i="29"/>
  <c r="M1076" i="29" s="1"/>
  <c r="BS1077" i="29"/>
  <c r="H99" i="29" l="1"/>
  <c r="G99" i="29" s="1"/>
  <c r="X1076" i="29"/>
  <c r="BZ1079" i="29"/>
  <c r="BX1080" i="29" s="1"/>
  <c r="BZ1080" i="29" s="1"/>
  <c r="BX1081" i="29" s="1"/>
  <c r="BZ1081" i="29" s="1"/>
  <c r="BX1082" i="29" s="1"/>
  <c r="BZ1082" i="29" l="1"/>
  <c r="BX1083" i="29" s="1"/>
  <c r="BZ1083" i="29" s="1"/>
  <c r="BX1084" i="29" s="1"/>
  <c r="BZ1084" i="29" s="1"/>
  <c r="BX1085" i="29" s="1"/>
  <c r="BZ1085" i="29" s="1"/>
  <c r="BX1086" i="29" s="1"/>
  <c r="BZ1086" i="29" s="1"/>
  <c r="BX1087" i="29" s="1"/>
  <c r="BZ1087" i="29" l="1"/>
  <c r="BX1088" i="29" s="1"/>
  <c r="BZ1088" i="29" l="1"/>
  <c r="BY1089" i="29" s="1"/>
  <c r="BW1089" i="29" s="1"/>
  <c r="BX1089" i="29" l="1"/>
  <c r="BT1089" i="29"/>
  <c r="M1088" i="29" s="1"/>
  <c r="BS1089" i="29"/>
  <c r="X1088" i="29" l="1"/>
  <c r="H100" i="29"/>
  <c r="G100" i="29" s="1"/>
  <c r="BZ1089" i="29"/>
  <c r="BX1090" i="29" s="1"/>
  <c r="BZ1090" i="29" l="1"/>
  <c r="BX1091" i="29" s="1"/>
  <c r="BZ1091" i="29" s="1"/>
  <c r="BX1092" i="29" s="1"/>
  <c r="BZ1092" i="29" l="1"/>
  <c r="BX1093" i="29" s="1"/>
  <c r="BZ1093" i="29" l="1"/>
  <c r="BX1094" i="29" s="1"/>
  <c r="BZ1094" i="29" l="1"/>
  <c r="BX1095" i="29" s="1"/>
  <c r="BZ1095" i="29" l="1"/>
  <c r="BX1096" i="29" s="1"/>
  <c r="BZ1096" i="29" l="1"/>
  <c r="BX1097" i="29" s="1"/>
  <c r="BZ1097" i="29" l="1"/>
  <c r="BX1098" i="29" s="1"/>
  <c r="BZ1098" i="29" l="1"/>
  <c r="BX1099" i="29" s="1"/>
  <c r="BZ1099" i="29" l="1"/>
  <c r="BX1100" i="29" s="1"/>
  <c r="BZ1100" i="29" l="1"/>
  <c r="BY1101" i="29" s="1"/>
  <c r="BW1101" i="29" l="1"/>
  <c r="BX1101" i="29"/>
  <c r="BZ1101" i="29" l="1"/>
  <c r="BX1102" i="29" s="1"/>
  <c r="BT1101" i="29"/>
  <c r="M1100" i="29" s="1"/>
  <c r="BS1101" i="29"/>
  <c r="H101" i="29" l="1"/>
  <c r="G101" i="29" s="1"/>
  <c r="X1100" i="29"/>
  <c r="BZ1102" i="29"/>
  <c r="BX1103" i="29" s="1"/>
  <c r="BZ1103" i="29" s="1"/>
  <c r="BX1104" i="29" s="1"/>
  <c r="BZ1104" i="29" l="1"/>
  <c r="BX1105" i="29" s="1"/>
  <c r="BZ1105" i="29" l="1"/>
  <c r="BX1106" i="29" s="1"/>
  <c r="BZ1106" i="29" s="1"/>
  <c r="BX1107" i="29" s="1"/>
  <c r="BZ1107" i="29" l="1"/>
  <c r="BX1108" i="29" s="1"/>
  <c r="BZ1108" i="29" s="1"/>
  <c r="BX1109" i="29" s="1"/>
  <c r="BZ1109" i="29" s="1"/>
  <c r="BX1110" i="29" s="1"/>
  <c r="BZ1110" i="29" l="1"/>
  <c r="BX1111" i="29" s="1"/>
  <c r="BZ1111" i="29" l="1"/>
  <c r="BX1112" i="29" s="1"/>
  <c r="BZ1112" i="29" l="1"/>
  <c r="BY1113" i="29" s="1"/>
  <c r="BW1113" i="29" l="1"/>
  <c r="BX1113" i="29"/>
  <c r="BZ1113" i="29" s="1"/>
  <c r="BX1114" i="29" s="1"/>
  <c r="BZ1114" i="29" l="1"/>
  <c r="BX1115" i="29" s="1"/>
  <c r="BS1113" i="29"/>
  <c r="BT1113" i="29"/>
  <c r="M1112" i="29" s="1"/>
  <c r="X1112" i="29" l="1"/>
  <c r="H102" i="29"/>
  <c r="G102" i="29" s="1"/>
  <c r="BZ1115" i="29"/>
  <c r="BX1116" i="29" s="1"/>
  <c r="BZ1116" i="29" l="1"/>
  <c r="BX1117" i="29" s="1"/>
  <c r="BZ1117" i="29" l="1"/>
  <c r="BX1118" i="29" s="1"/>
  <c r="BZ1118" i="29" l="1"/>
  <c r="BX1119" i="29" s="1"/>
  <c r="BZ1119" i="29" l="1"/>
  <c r="BX1120" i="29" s="1"/>
  <c r="BZ1120" i="29" l="1"/>
  <c r="BX1121" i="29" s="1"/>
  <c r="BZ1121" i="29" l="1"/>
  <c r="BX1122" i="29" s="1"/>
  <c r="BZ1122" i="29" l="1"/>
  <c r="BX1123" i="29" s="1"/>
  <c r="BZ1123" i="29" l="1"/>
  <c r="BX1124" i="29" s="1"/>
  <c r="BZ1124" i="29" l="1"/>
  <c r="BY1125" i="29" s="1"/>
  <c r="BW1125" i="29" l="1"/>
  <c r="BX1125" i="29"/>
  <c r="BZ1125" i="29" l="1"/>
  <c r="BX1126" i="29" s="1"/>
  <c r="BT1125" i="29"/>
  <c r="M1124" i="29" s="1"/>
  <c r="BS1125" i="29"/>
  <c r="X1124" i="29" l="1"/>
  <c r="H103" i="29"/>
  <c r="G103" i="29" s="1"/>
  <c r="BZ1126" i="29"/>
  <c r="BX1127" i="29" s="1"/>
  <c r="BZ1127" i="29" l="1"/>
  <c r="BX1128" i="29" s="1"/>
  <c r="BZ1128" i="29" s="1"/>
  <c r="BX1129" i="29" s="1"/>
  <c r="BZ1129" i="29" l="1"/>
  <c r="BX1130" i="29" s="1"/>
  <c r="BZ1130" i="29" l="1"/>
  <c r="BX1131" i="29" s="1"/>
  <c r="BZ1131" i="29" l="1"/>
  <c r="BX1132" i="29" s="1"/>
  <c r="BZ1132" i="29" l="1"/>
  <c r="BX1133" i="29" s="1"/>
  <c r="BZ1133" i="29" l="1"/>
  <c r="BX1134" i="29" s="1"/>
  <c r="BZ1134" i="29" l="1"/>
  <c r="BX1135" i="29" s="1"/>
  <c r="BZ1135" i="29" l="1"/>
  <c r="BX1136" i="29" s="1"/>
  <c r="BZ1136" i="29" l="1"/>
  <c r="BY1137" i="29" s="1"/>
  <c r="BW1137" i="29" s="1"/>
  <c r="BX1137" i="29" l="1"/>
  <c r="BS1137" i="29"/>
  <c r="BT1137" i="29"/>
  <c r="M1136" i="29" s="1"/>
  <c r="H104" i="29" l="1"/>
  <c r="G104" i="29" s="1"/>
  <c r="X1136" i="29"/>
  <c r="BZ1137" i="29"/>
  <c r="BX1138" i="29" s="1"/>
  <c r="BZ1138" i="29" l="1"/>
  <c r="BX1139" i="29" s="1"/>
  <c r="BZ1139" i="29" l="1"/>
  <c r="BX1140" i="29" s="1"/>
  <c r="BZ1140" i="29" l="1"/>
  <c r="BX1141" i="29" s="1"/>
  <c r="BZ1141" i="29" l="1"/>
  <c r="BX1142" i="29" s="1"/>
  <c r="BZ1142" i="29" l="1"/>
  <c r="BX1143" i="29" s="1"/>
  <c r="BZ1143" i="29" l="1"/>
  <c r="BX1144" i="29" s="1"/>
  <c r="BZ1144" i="29" l="1"/>
  <c r="BX1145" i="29" s="1"/>
  <c r="BZ1145" i="29" l="1"/>
  <c r="BX1146" i="29" s="1"/>
  <c r="BZ1146" i="29" l="1"/>
  <c r="BX1147" i="29" s="1"/>
  <c r="BZ1147" i="29" l="1"/>
  <c r="BX1148" i="29" s="1"/>
  <c r="BZ1148" i="29" l="1"/>
  <c r="BY1149" i="29" s="1"/>
  <c r="BW1149" i="29" l="1"/>
  <c r="BX1149" i="29"/>
  <c r="BZ1149" i="29" s="1"/>
  <c r="BX1150" i="29" s="1"/>
  <c r="BZ1150" i="29" l="1"/>
  <c r="BX1151" i="29" s="1"/>
  <c r="BT1149" i="29"/>
  <c r="M1148" i="29" s="1"/>
  <c r="BS1149" i="29"/>
  <c r="BZ1151" i="29" l="1"/>
  <c r="BX1152" i="29" s="1"/>
  <c r="H105" i="29"/>
  <c r="G105" i="29" s="1"/>
  <c r="X1148" i="29"/>
  <c r="BZ1152" i="29" l="1"/>
  <c r="BX1153" i="29" s="1"/>
  <c r="BZ1153" i="29" l="1"/>
  <c r="BX1154" i="29" s="1"/>
  <c r="BZ1154" i="29" s="1"/>
  <c r="BX1155" i="29" s="1"/>
  <c r="BZ1155" i="29" l="1"/>
  <c r="BX1156" i="29" s="1"/>
  <c r="BZ1156" i="29" l="1"/>
  <c r="BX1157" i="29" s="1"/>
  <c r="BZ1157" i="29" s="1"/>
  <c r="BX1158" i="29" s="1"/>
  <c r="BZ1158" i="29" l="1"/>
  <c r="BX1159" i="29" s="1"/>
  <c r="BZ1159" i="29" l="1"/>
  <c r="BX1160" i="29" s="1"/>
  <c r="BZ1160" i="29" l="1"/>
  <c r="BY1161" i="29" s="1"/>
  <c r="BW1161" i="29" s="1"/>
  <c r="BX1161" i="29" l="1"/>
  <c r="BS1161" i="29"/>
  <c r="BT1161" i="29"/>
  <c r="M1160" i="29" s="1"/>
  <c r="H106" i="29" l="1"/>
  <c r="G106" i="29" s="1"/>
  <c r="X1160" i="29"/>
  <c r="BZ1161" i="29"/>
  <c r="BX1162" i="29" s="1"/>
  <c r="BZ1162" i="29" l="1"/>
  <c r="BX1163" i="29" s="1"/>
  <c r="BZ1163" i="29" l="1"/>
  <c r="BX1164" i="29" s="1"/>
  <c r="BZ1164" i="29" l="1"/>
  <c r="BX1165" i="29" s="1"/>
  <c r="BZ1165" i="29" l="1"/>
  <c r="BX1166" i="29" s="1"/>
  <c r="BZ1166" i="29" l="1"/>
  <c r="BX1167" i="29" s="1"/>
  <c r="BZ1167" i="29" l="1"/>
  <c r="BX1168" i="29" s="1"/>
  <c r="BZ1168" i="29" l="1"/>
  <c r="BX1169" i="29" s="1"/>
  <c r="BZ1169" i="29" l="1"/>
  <c r="BX1170" i="29" s="1"/>
  <c r="BZ1170" i="29" l="1"/>
  <c r="BX1171" i="29" s="1"/>
  <c r="BZ1171" i="29" s="1"/>
  <c r="BX1172" i="29" s="1"/>
  <c r="BZ1172" i="29" l="1"/>
  <c r="BY1173" i="29" s="1"/>
  <c r="BW1173" i="29" s="1"/>
  <c r="BX1173" i="29" l="1"/>
  <c r="BS1173" i="29"/>
  <c r="BT1173" i="29"/>
  <c r="M1172" i="29" s="1"/>
  <c r="X1172" i="29" l="1"/>
  <c r="H107" i="29"/>
  <c r="G107" i="29" s="1"/>
  <c r="BZ1173" i="29"/>
  <c r="BX1174" i="29" s="1"/>
  <c r="BZ1174" i="29" l="1"/>
  <c r="BX1175" i="29" s="1"/>
  <c r="BZ1175" i="29" l="1"/>
  <c r="BX1176" i="29" s="1"/>
  <c r="BZ1176" i="29" s="1"/>
  <c r="BX1177" i="29" s="1"/>
  <c r="BZ1177" i="29" l="1"/>
  <c r="BX1178" i="29" s="1"/>
  <c r="BZ1178" i="29" s="1"/>
  <c r="BX1179" i="29" s="1"/>
  <c r="BZ1179" i="29" s="1"/>
  <c r="BX1180" i="29" s="1"/>
  <c r="BZ1180" i="29" s="1"/>
  <c r="BX1181" i="29" s="1"/>
  <c r="BZ1181" i="29" s="1"/>
  <c r="BX1182" i="29" s="1"/>
  <c r="BZ1182" i="29" l="1"/>
  <c r="BX1183" i="29" s="1"/>
  <c r="BZ1183" i="29" l="1"/>
  <c r="BX1184" i="29" s="1"/>
  <c r="BZ1184" i="29" l="1"/>
  <c r="BY1185" i="29" s="1"/>
  <c r="BW1185" i="29" s="1"/>
  <c r="BX1185" i="29" l="1"/>
  <c r="BZ1185" i="29" s="1"/>
  <c r="BX1186" i="29" s="1"/>
  <c r="BS1185" i="29"/>
  <c r="BT1185" i="29"/>
  <c r="M1184" i="29" s="1"/>
  <c r="X1184" i="29" l="1"/>
  <c r="H108" i="29"/>
  <c r="G108" i="29" s="1"/>
  <c r="BZ1186" i="29"/>
  <c r="BX1187" i="29" s="1"/>
  <c r="BZ1187" i="29" s="1"/>
  <c r="BX1188" i="29" s="1"/>
  <c r="BZ1188" i="29" l="1"/>
  <c r="BX1189" i="29" s="1"/>
  <c r="BZ1189" i="29" l="1"/>
  <c r="BX1190" i="29" s="1"/>
  <c r="BZ1190" i="29" l="1"/>
  <c r="BX1191" i="29" s="1"/>
  <c r="BZ1191" i="29" l="1"/>
  <c r="BX1192" i="29" s="1"/>
  <c r="BZ1192" i="29" s="1"/>
  <c r="BX1193" i="29" s="1"/>
  <c r="BZ1193" i="29" l="1"/>
  <c r="BX1194" i="29" s="1"/>
  <c r="BZ1194" i="29" s="1"/>
  <c r="BX1195" i="29" s="1"/>
  <c r="BZ1195" i="29" l="1"/>
  <c r="BX1196" i="29" s="1"/>
  <c r="BZ1196" i="29" l="1"/>
  <c r="BY1197" i="29" s="1"/>
  <c r="BW1197" i="29" s="1"/>
  <c r="BX1197" i="29" l="1"/>
  <c r="BZ1197" i="29" s="1"/>
  <c r="BX1198" i="29" s="1"/>
  <c r="BZ1198" i="29" s="1"/>
  <c r="BX1199" i="29" s="1"/>
  <c r="BZ1199" i="29" s="1"/>
  <c r="BX1200" i="29" s="1"/>
  <c r="BZ1200" i="29" s="1"/>
  <c r="BX1201" i="29" s="1"/>
  <c r="BS1197" i="29"/>
  <c r="BT1197" i="29"/>
  <c r="M1196" i="29" s="1"/>
  <c r="H109" i="29" l="1"/>
  <c r="G109" i="29" s="1"/>
  <c r="X1196" i="29"/>
  <c r="BZ1201" i="29"/>
  <c r="BX1202" i="29" s="1"/>
  <c r="BZ1202" i="29" l="1"/>
  <c r="BX1203" i="29" s="1"/>
  <c r="BZ1203" i="29" s="1"/>
  <c r="BX1204" i="29" s="1"/>
  <c r="BZ1204" i="29" s="1"/>
  <c r="BX1205" i="29" s="1"/>
  <c r="BZ1205" i="29" s="1"/>
  <c r="BX1206" i="29" s="1"/>
  <c r="BZ1206" i="29" s="1"/>
  <c r="BX1207" i="29" s="1"/>
  <c r="BZ1207" i="29" l="1"/>
  <c r="BX1208" i="29" s="1"/>
  <c r="BZ1208" i="29" l="1"/>
  <c r="BY1209" i="29" s="1"/>
  <c r="BW1209" i="29" s="1"/>
  <c r="BX1209" i="29" l="1"/>
  <c r="BS1209" i="29"/>
  <c r="BT1209" i="29"/>
  <c r="M1208" i="29" s="1"/>
  <c r="H110" i="29" l="1"/>
  <c r="G110" i="29" s="1"/>
  <c r="X1208" i="29"/>
  <c r="BZ1209" i="29"/>
  <c r="BX1210" i="29" s="1"/>
  <c r="BZ1210" i="29" l="1"/>
  <c r="BX1211" i="29" s="1"/>
  <c r="BZ1211" i="29" l="1"/>
  <c r="BX1212" i="29" s="1"/>
  <c r="BZ1212" i="29" s="1"/>
  <c r="BX1213" i="29" s="1"/>
  <c r="BZ1213" i="29" s="1"/>
  <c r="BX1214" i="29" s="1"/>
  <c r="BZ1214" i="29" l="1"/>
  <c r="BX1215" i="29" s="1"/>
  <c r="BZ1215" i="29" l="1"/>
  <c r="BX1216" i="29" s="1"/>
  <c r="BZ1216" i="29" l="1"/>
  <c r="BX1217" i="29" s="1"/>
  <c r="BZ1217" i="29" l="1"/>
  <c r="BX1218" i="29" s="1"/>
  <c r="BZ1218" i="29" l="1"/>
  <c r="BX1219" i="29" s="1"/>
  <c r="BZ1219" i="29" s="1"/>
  <c r="BX1220" i="29" s="1"/>
  <c r="BZ1220" i="29" l="1"/>
  <c r="BY1221" i="29" s="1"/>
  <c r="BW1221" i="29" l="1"/>
  <c r="BX1221" i="29"/>
  <c r="BZ1221" i="29" l="1"/>
  <c r="BX1222" i="29" s="1"/>
  <c r="BT1221" i="29"/>
  <c r="M1220" i="29" s="1"/>
  <c r="BS1221" i="29"/>
  <c r="X1220" i="29" l="1"/>
  <c r="H111" i="29"/>
  <c r="G111" i="29" s="1"/>
  <c r="BZ1222" i="29"/>
  <c r="BX1223" i="29" s="1"/>
  <c r="BZ1223" i="29" l="1"/>
  <c r="BX1224" i="29" s="1"/>
  <c r="BZ1224" i="29" l="1"/>
  <c r="BX1225" i="29" s="1"/>
  <c r="BZ1225" i="29" l="1"/>
  <c r="BX1226" i="29" s="1"/>
  <c r="BZ1226" i="29" l="1"/>
  <c r="BX1227" i="29" s="1"/>
  <c r="BZ1227" i="29" l="1"/>
  <c r="BX1228" i="29" s="1"/>
  <c r="BZ1228" i="29" l="1"/>
  <c r="BX1229" i="29" s="1"/>
  <c r="BZ1229" i="29" s="1"/>
  <c r="BX1230" i="29" s="1"/>
  <c r="BZ1230" i="29" l="1"/>
  <c r="BX1231" i="29" s="1"/>
  <c r="BZ1231" i="29" l="1"/>
  <c r="BX1232" i="29" s="1"/>
  <c r="BZ1232" i="29" l="1"/>
  <c r="BY1233" i="29" s="1"/>
  <c r="BW1233" i="29" l="1"/>
  <c r="BX1233" i="29"/>
  <c r="BZ1233" i="29" l="1"/>
  <c r="BX1234" i="29" s="1"/>
  <c r="BS1233" i="29"/>
  <c r="BT1233" i="29"/>
  <c r="M1232" i="29" s="1"/>
  <c r="BZ1234" i="29" l="1"/>
  <c r="BX1235" i="29" s="1"/>
  <c r="X1232" i="29"/>
  <c r="H112" i="29"/>
  <c r="G112" i="29" s="1"/>
  <c r="BZ1235" i="29" l="1"/>
  <c r="BX1236" i="29" s="1"/>
  <c r="BZ1236" i="29" l="1"/>
  <c r="BX1237" i="29" s="1"/>
  <c r="BZ1237" i="29" l="1"/>
  <c r="BX1238" i="29" s="1"/>
  <c r="BZ1238" i="29" s="1"/>
  <c r="BX1239" i="29" s="1"/>
  <c r="BZ1239" i="29" l="1"/>
  <c r="BX1240" i="29" s="1"/>
  <c r="BZ1240" i="29" l="1"/>
  <c r="BX1241" i="29" s="1"/>
  <c r="BZ1241" i="29" l="1"/>
  <c r="BX1242" i="29" s="1"/>
  <c r="BZ1242" i="29" l="1"/>
  <c r="BX1243" i="29" s="1"/>
  <c r="BZ1243" i="29" l="1"/>
  <c r="BX1244" i="29" s="1"/>
  <c r="BZ1244" i="29" l="1"/>
  <c r="BY1245" i="29" s="1"/>
  <c r="BW1245" i="29" l="1"/>
  <c r="BX1245" i="29"/>
  <c r="BZ1245" i="29" s="1"/>
  <c r="BX1246" i="29" s="1"/>
  <c r="BZ1246" i="29" l="1"/>
  <c r="BX1247" i="29" s="1"/>
  <c r="BT1245" i="29"/>
  <c r="M1244" i="29" s="1"/>
  <c r="BS1245" i="29"/>
  <c r="BZ1247" i="29" l="1"/>
  <c r="BX1248" i="29" s="1"/>
  <c r="X1244" i="29"/>
  <c r="H113" i="29"/>
  <c r="G113" i="29" s="1"/>
  <c r="BZ1248" i="29" l="1"/>
  <c r="BX1249" i="29" s="1"/>
  <c r="BZ1249" i="29" s="1"/>
  <c r="BX1250" i="29" s="1"/>
  <c r="BZ1250" i="29" l="1"/>
  <c r="BX1251" i="29" s="1"/>
  <c r="BZ1251" i="29" l="1"/>
  <c r="BX1252" i="29" s="1"/>
  <c r="BZ1252" i="29" l="1"/>
  <c r="BX1253" i="29" s="1"/>
  <c r="BZ1253" i="29" l="1"/>
  <c r="BX1254" i="29" s="1"/>
  <c r="BZ1254" i="29" l="1"/>
  <c r="BX1255" i="29" s="1"/>
  <c r="BZ1255" i="29" l="1"/>
  <c r="BX1256" i="29" s="1"/>
  <c r="BZ1256" i="29" l="1"/>
  <c r="BY1257" i="29" s="1"/>
  <c r="BW1257" i="29" l="1"/>
  <c r="BX1257" i="29"/>
  <c r="BZ1257" i="29" l="1"/>
  <c r="BX1258" i="29" s="1"/>
  <c r="BT1257" i="29"/>
  <c r="M1256" i="29" s="1"/>
  <c r="BS1257" i="29"/>
  <c r="H114" i="29" l="1"/>
  <c r="G114" i="29" s="1"/>
  <c r="X1256" i="29"/>
  <c r="BZ1258" i="29"/>
  <c r="BX1259" i="29" s="1"/>
  <c r="BZ1259" i="29" l="1"/>
  <c r="BX1260" i="29" s="1"/>
  <c r="BZ1260" i="29" l="1"/>
  <c r="BX1261" i="29" s="1"/>
  <c r="BZ1261" i="29" l="1"/>
  <c r="BX1262" i="29" s="1"/>
  <c r="BZ1262" i="29" l="1"/>
  <c r="BX1263" i="29" s="1"/>
  <c r="BZ1263" i="29" l="1"/>
  <c r="BX1264" i="29" s="1"/>
  <c r="BZ1264" i="29" l="1"/>
  <c r="BX1265" i="29" s="1"/>
  <c r="BZ1265" i="29" l="1"/>
  <c r="BX1266" i="29" s="1"/>
  <c r="BZ1266" i="29" l="1"/>
  <c r="BX1267" i="29" s="1"/>
  <c r="BZ1267" i="29" l="1"/>
  <c r="BX1268" i="29" s="1"/>
  <c r="BZ1268" i="29" l="1"/>
  <c r="BY1269" i="29" s="1"/>
  <c r="BW1269" i="29" l="1"/>
  <c r="BX1269" i="29"/>
  <c r="BZ1269" i="29" l="1"/>
  <c r="BX1270" i="29" s="1"/>
  <c r="BS1269" i="29"/>
  <c r="BT1269" i="29"/>
  <c r="M1268" i="29" s="1"/>
  <c r="H115" i="29" l="1"/>
  <c r="G115" i="29" s="1"/>
  <c r="X1268" i="29"/>
  <c r="BZ1270" i="29"/>
  <c r="BX1271" i="29" s="1"/>
  <c r="BZ1271" i="29" l="1"/>
  <c r="BX1272" i="29" s="1"/>
  <c r="BZ1272" i="29" l="1"/>
  <c r="BX1273" i="29" s="1"/>
  <c r="BZ1273" i="29" l="1"/>
  <c r="BX1274" i="29" s="1"/>
  <c r="BZ1274" i="29" l="1"/>
  <c r="BX1275" i="29" s="1"/>
  <c r="BZ1275" i="29" l="1"/>
  <c r="BX1276" i="29" s="1"/>
  <c r="BZ1276" i="29" l="1"/>
  <c r="BX1277" i="29" s="1"/>
  <c r="BZ1277" i="29" l="1"/>
  <c r="BX1278" i="29" s="1"/>
  <c r="BZ1278" i="29" l="1"/>
  <c r="BX1279" i="29" s="1"/>
  <c r="BZ1279" i="29" l="1"/>
  <c r="BX1280" i="29" s="1"/>
  <c r="BZ1280" i="29" l="1"/>
  <c r="BY1281" i="29" s="1"/>
  <c r="BW1281" i="29" l="1"/>
  <c r="BX1281" i="29"/>
  <c r="BZ1281" i="29" l="1"/>
  <c r="BX1282" i="29" s="1"/>
  <c r="BT1281" i="29"/>
  <c r="M1280" i="29" s="1"/>
  <c r="BS1281" i="29"/>
  <c r="X1280" i="29" l="1"/>
  <c r="H116" i="29"/>
  <c r="G116" i="29" s="1"/>
  <c r="BZ1282" i="29"/>
  <c r="BX1283" i="29" s="1"/>
  <c r="BZ1283" i="29" l="1"/>
  <c r="BX1284" i="29" s="1"/>
  <c r="BZ1284" i="29" l="1"/>
  <c r="BX1285" i="29" s="1"/>
  <c r="BZ1285" i="29" l="1"/>
  <c r="BX1286" i="29" s="1"/>
  <c r="BZ1286" i="29" l="1"/>
  <c r="BX1287" i="29" s="1"/>
  <c r="BZ1287" i="29" l="1"/>
  <c r="BX1288" i="29" s="1"/>
  <c r="BZ1288" i="29" l="1"/>
  <c r="BX1289" i="29" s="1"/>
  <c r="BZ1289" i="29" l="1"/>
  <c r="BX1290" i="29" s="1"/>
  <c r="BZ1290" i="29" l="1"/>
  <c r="BX1291" i="29" s="1"/>
  <c r="BZ1291" i="29" l="1"/>
  <c r="BX1292" i="29" s="1"/>
  <c r="BZ1292" i="29" l="1"/>
  <c r="BY1293" i="29" s="1"/>
  <c r="BW1293" i="29" l="1"/>
  <c r="BX1293" i="29"/>
  <c r="BZ1293" i="29" l="1"/>
  <c r="BX1294" i="29" s="1"/>
  <c r="BT1293" i="29"/>
  <c r="M1292" i="29" s="1"/>
  <c r="BS1293" i="29"/>
  <c r="H117" i="29" l="1"/>
  <c r="G117" i="29" s="1"/>
  <c r="X1292" i="29"/>
  <c r="BZ1294" i="29"/>
  <c r="BX1295" i="29" s="1"/>
  <c r="BZ1295" i="29" l="1"/>
  <c r="BX1296" i="29" s="1"/>
  <c r="BZ1296" i="29" l="1"/>
  <c r="BX1297" i="29" s="1"/>
  <c r="BZ1297" i="29" l="1"/>
  <c r="BX1298" i="29" s="1"/>
  <c r="BZ1298" i="29" l="1"/>
  <c r="BX1299" i="29" s="1"/>
  <c r="BZ1299" i="29" l="1"/>
  <c r="BX1300" i="29" s="1"/>
  <c r="BZ1300" i="29" l="1"/>
  <c r="BX1301" i="29" s="1"/>
  <c r="BZ1301" i="29" l="1"/>
  <c r="BX1302" i="29" s="1"/>
  <c r="BZ1302" i="29" l="1"/>
  <c r="BX1303" i="29" s="1"/>
  <c r="BZ1303" i="29" l="1"/>
  <c r="BX1304" i="29" s="1"/>
  <c r="BZ1304" i="29" l="1"/>
  <c r="BY1305" i="29" s="1"/>
  <c r="BW1305" i="29" l="1"/>
  <c r="BX1305" i="29"/>
  <c r="BZ1305" i="29" l="1"/>
  <c r="BX1306" i="29" s="1"/>
  <c r="BT1305" i="29"/>
  <c r="M1304" i="29" s="1"/>
  <c r="BS1305" i="29"/>
  <c r="H118" i="29" l="1"/>
  <c r="G118" i="29" s="1"/>
  <c r="X1304" i="29"/>
  <c r="BZ1306" i="29"/>
  <c r="BX1307" i="29" s="1"/>
  <c r="BZ1307" i="29" l="1"/>
  <c r="BX1308" i="29" s="1"/>
  <c r="BZ1308" i="29" l="1"/>
  <c r="BX1309" i="29" s="1"/>
  <c r="BZ1309" i="29" l="1"/>
  <c r="BX1310" i="29" s="1"/>
  <c r="BZ1310" i="29" l="1"/>
  <c r="BX1311" i="29" s="1"/>
  <c r="BZ1311" i="29" l="1"/>
  <c r="BX1312" i="29" s="1"/>
  <c r="BZ1312" i="29" l="1"/>
  <c r="BX1313" i="29" s="1"/>
  <c r="BZ1313" i="29" l="1"/>
  <c r="BX1314" i="29" s="1"/>
  <c r="BZ1314" i="29" l="1"/>
  <c r="BX1315" i="29" s="1"/>
  <c r="BZ1315" i="29" l="1"/>
  <c r="BX1316" i="29" s="1"/>
  <c r="BZ1316" i="29" l="1"/>
  <c r="BY1317" i="29" s="1"/>
  <c r="BW1317" i="29" l="1"/>
  <c r="BX1317" i="29"/>
  <c r="BZ1317" i="29" l="1"/>
  <c r="BX1318" i="29" s="1"/>
  <c r="BS1317" i="29"/>
  <c r="BT1317" i="29"/>
  <c r="M1316" i="29" s="1"/>
  <c r="BZ1318" i="29" l="1"/>
  <c r="BX1319" i="29" s="1"/>
  <c r="X1316" i="29"/>
  <c r="H119" i="29"/>
  <c r="G119" i="29" s="1"/>
  <c r="BZ1319" i="29" l="1"/>
  <c r="BX1320" i="29" s="1"/>
  <c r="BZ1320" i="29" l="1"/>
  <c r="BX1321" i="29" s="1"/>
  <c r="BZ1321" i="29" l="1"/>
  <c r="BX1322" i="29" s="1"/>
  <c r="BZ1322" i="29" l="1"/>
  <c r="BX1323" i="29" s="1"/>
  <c r="BZ1323" i="29" l="1"/>
  <c r="BX1324" i="29" s="1"/>
  <c r="BZ1324" i="29" l="1"/>
  <c r="BX1325" i="29" s="1"/>
  <c r="BZ1325" i="29" l="1"/>
  <c r="BX1326" i="29" s="1"/>
  <c r="BZ1326" i="29" l="1"/>
  <c r="BX1327" i="29" s="1"/>
  <c r="BZ1327" i="29" l="1"/>
  <c r="BX1328" i="29" s="1"/>
  <c r="BZ1328" i="29" l="1"/>
  <c r="BY1329" i="29" s="1"/>
  <c r="BW1329" i="29" l="1"/>
  <c r="BX1329" i="29"/>
  <c r="BZ1329" i="29" l="1"/>
  <c r="BX1330" i="29" s="1"/>
  <c r="BS1329" i="29"/>
  <c r="BT1329" i="29"/>
  <c r="M1328" i="29" s="1"/>
  <c r="BZ1330" i="29" l="1"/>
  <c r="BX1331" i="29" s="1"/>
  <c r="H120" i="29"/>
  <c r="G120" i="29" s="1"/>
  <c r="X1328" i="29"/>
  <c r="BZ1331" i="29" l="1"/>
  <c r="BX1332" i="29" s="1"/>
  <c r="BZ1332" i="29" l="1"/>
  <c r="BX1333" i="29" s="1"/>
  <c r="BZ1333" i="29" l="1"/>
  <c r="BX1334" i="29" s="1"/>
  <c r="BZ1334" i="29" l="1"/>
  <c r="BX1335" i="29" s="1"/>
  <c r="BZ1335" i="29" l="1"/>
  <c r="BX1336" i="29" s="1"/>
  <c r="BZ1336" i="29" l="1"/>
  <c r="BX1337" i="29" s="1"/>
  <c r="BZ1337" i="29" l="1"/>
  <c r="BX1338" i="29" s="1"/>
  <c r="BZ1338" i="29" l="1"/>
  <c r="BX1339" i="29" s="1"/>
  <c r="BZ1339" i="29" l="1"/>
  <c r="BX1340" i="29" s="1"/>
  <c r="BZ1340" i="29" l="1"/>
  <c r="BY1341" i="29" s="1"/>
  <c r="BW1341" i="29" l="1"/>
  <c r="BX1341" i="29"/>
  <c r="BZ1341" i="29" s="1"/>
  <c r="BS1341" i="29" l="1"/>
  <c r="BT1341" i="29"/>
  <c r="M1340" i="29" s="1"/>
  <c r="H121" i="29" l="1"/>
  <c r="G121" i="29" s="1"/>
  <c r="X1340" i="29"/>
</calcChain>
</file>

<file path=xl/comments1.xml><?xml version="1.0" encoding="utf-8"?>
<comments xmlns="http://schemas.openxmlformats.org/spreadsheetml/2006/main">
  <authors>
    <author>User</author>
  </authors>
  <commentList>
    <comment ref="E3" authorId="0">
      <text>
        <r>
          <rPr>
            <b/>
            <sz val="10"/>
            <color indexed="81"/>
            <rFont val="細明體"/>
            <family val="3"/>
            <charset val="136"/>
          </rPr>
          <t>本解約金包含
現金給付金額</t>
        </r>
      </text>
    </comment>
  </commentList>
</comments>
</file>

<file path=xl/sharedStrings.xml><?xml version="1.0" encoding="utf-8"?>
<sst xmlns="http://schemas.openxmlformats.org/spreadsheetml/2006/main" count="6020" uniqueCount="1425">
  <si>
    <t>年繳</t>
    <phoneticPr fontId="4" type="noConversion"/>
  </si>
  <si>
    <t>最高承保</t>
    <phoneticPr fontId="4" type="noConversion"/>
  </si>
  <si>
    <t>保險</t>
    <phoneticPr fontId="4" type="noConversion"/>
  </si>
  <si>
    <t>半年繳</t>
    <phoneticPr fontId="4" type="noConversion"/>
  </si>
  <si>
    <t>足歲</t>
    <phoneticPr fontId="4" type="noConversion"/>
  </si>
  <si>
    <t>季繳</t>
    <phoneticPr fontId="4" type="noConversion"/>
  </si>
  <si>
    <t>月繳</t>
    <phoneticPr fontId="4" type="noConversion"/>
  </si>
  <si>
    <t>輸入格式選項</t>
    <phoneticPr fontId="4" type="noConversion"/>
  </si>
  <si>
    <t>檢核欄位</t>
    <phoneticPr fontId="4" type="noConversion"/>
  </si>
  <si>
    <t>1.輸入格式1-6或7位數字輸入</t>
    <phoneticPr fontId="4" type="noConversion"/>
  </si>
  <si>
    <t>2.輸入格式2-年月日</t>
    <phoneticPr fontId="4" type="noConversion"/>
  </si>
  <si>
    <t>生日檢核</t>
    <phoneticPr fontId="4" type="noConversion"/>
  </si>
  <si>
    <t>最高承保(保險年齡)</t>
    <phoneticPr fontId="4" type="noConversion"/>
  </si>
  <si>
    <t>年齡檢核</t>
    <phoneticPr fontId="4" type="noConversion"/>
  </si>
  <si>
    <t>性別 (1.男 2.女)</t>
    <phoneticPr fontId="4" type="noConversion"/>
  </si>
  <si>
    <t>性別檢核</t>
    <phoneticPr fontId="4" type="noConversion"/>
  </si>
  <si>
    <t>基本資料欄位檢核結果</t>
    <phoneticPr fontId="4" type="noConversion"/>
  </si>
  <si>
    <t>計價幣別(1.台幣 2.外幣)</t>
    <phoneticPr fontId="4" type="noConversion"/>
  </si>
  <si>
    <t>險種代號</t>
    <phoneticPr fontId="4" type="noConversion"/>
  </si>
  <si>
    <t>商品中文名稱</t>
    <phoneticPr fontId="4" type="noConversion"/>
  </si>
  <si>
    <t>年期</t>
    <phoneticPr fontId="4" type="noConversion"/>
  </si>
  <si>
    <t>年期檢核</t>
    <phoneticPr fontId="4" type="noConversion"/>
  </si>
  <si>
    <t>最低保額</t>
    <phoneticPr fontId="4" type="noConversion"/>
  </si>
  <si>
    <t>最高保額</t>
    <phoneticPr fontId="4" type="noConversion"/>
  </si>
  <si>
    <t>保額檢核</t>
    <phoneticPr fontId="4" type="noConversion"/>
  </si>
  <si>
    <t>繳別</t>
    <phoneticPr fontId="4" type="noConversion"/>
  </si>
  <si>
    <t>折扣率</t>
    <phoneticPr fontId="4" type="noConversion"/>
  </si>
  <si>
    <t>原始應繳保費</t>
    <phoneticPr fontId="4" type="noConversion"/>
  </si>
  <si>
    <t>↓首期</t>
    <phoneticPr fontId="4" type="noConversion"/>
  </si>
  <si>
    <t>續期↓</t>
    <phoneticPr fontId="4" type="noConversion"/>
  </si>
  <si>
    <t>換算格式1.傳統 2.直接除</t>
    <phoneticPr fontId="4" type="noConversion"/>
  </si>
  <si>
    <t>繳別換算率</t>
    <phoneticPr fontId="4" type="noConversion"/>
  </si>
  <si>
    <t>↑首期</t>
    <phoneticPr fontId="4" type="noConversion"/>
  </si>
  <si>
    <t>應繳保費</t>
    <phoneticPr fontId="4" type="noConversion"/>
  </si>
  <si>
    <t>高保費折扣</t>
    <phoneticPr fontId="4" type="noConversion"/>
  </si>
  <si>
    <t>低&lt;=保費&lt;高</t>
    <phoneticPr fontId="4" type="noConversion"/>
  </si>
  <si>
    <t>續期↑</t>
    <phoneticPr fontId="4" type="noConversion"/>
  </si>
  <si>
    <t>高保額折扣</t>
    <phoneticPr fontId="4" type="noConversion"/>
  </si>
  <si>
    <t>險種</t>
    <phoneticPr fontId="4" type="noConversion"/>
  </si>
  <si>
    <t>首期繳別</t>
    <phoneticPr fontId="4" type="noConversion"/>
  </si>
  <si>
    <t>自繳折扣-首期</t>
    <phoneticPr fontId="4" type="noConversion"/>
  </si>
  <si>
    <t>續期繳別</t>
    <phoneticPr fontId="4" type="noConversion"/>
  </si>
  <si>
    <t>自繳折扣-續期</t>
    <phoneticPr fontId="4" type="noConversion"/>
  </si>
  <si>
    <t>折扣率上限</t>
    <phoneticPr fontId="4" type="noConversion"/>
  </si>
  <si>
    <t>首期總折扣率</t>
    <phoneticPr fontId="4" type="noConversion"/>
  </si>
  <si>
    <t>續期總折扣率</t>
    <phoneticPr fontId="4" type="noConversion"/>
  </si>
  <si>
    <t>首期實繳保費</t>
    <phoneticPr fontId="4" type="noConversion"/>
  </si>
  <si>
    <t>續期實繳保費</t>
    <phoneticPr fontId="4" type="noConversion"/>
  </si>
  <si>
    <t>繳別回乘倍數</t>
    <phoneticPr fontId="4" type="noConversion"/>
  </si>
  <si>
    <t>←首期保費規則</t>
    <phoneticPr fontId="4" type="noConversion"/>
  </si>
  <si>
    <t>最低年齡</t>
    <phoneticPr fontId="4" type="noConversion"/>
  </si>
  <si>
    <t>最高年齡</t>
    <phoneticPr fontId="4" type="noConversion"/>
  </si>
  <si>
    <t>首年實繳保費</t>
    <phoneticPr fontId="4" type="noConversion"/>
  </si>
  <si>
    <t>續年實繳保費</t>
    <phoneticPr fontId="4" type="noConversion"/>
  </si>
  <si>
    <t>主約1欄位檢核結果</t>
    <phoneticPr fontId="4" type="noConversion"/>
  </si>
  <si>
    <t>版次</t>
    <phoneticPr fontId="4" type="noConversion"/>
  </si>
  <si>
    <t>A險種+年期(2位)+性別(1位)+年齡(2位)</t>
    <phoneticPr fontId="4" type="noConversion"/>
  </si>
  <si>
    <t>SUMKEY</t>
    <phoneticPr fontId="4" type="noConversion"/>
  </si>
  <si>
    <t>F險種+年期(2位)+年齡(2位)</t>
    <phoneticPr fontId="4" type="noConversion"/>
  </si>
  <si>
    <t>COMDKEY</t>
    <phoneticPr fontId="4" type="noConversion"/>
  </si>
  <si>
    <t>姓名：</t>
    <phoneticPr fontId="4" type="noConversion"/>
  </si>
  <si>
    <t>性別：</t>
    <phoneticPr fontId="4" type="noConversion"/>
  </si>
  <si>
    <t>保險年齡：</t>
    <phoneticPr fontId="4" type="noConversion"/>
  </si>
  <si>
    <t>實際年齡：</t>
    <phoneticPr fontId="4" type="noConversion"/>
  </si>
  <si>
    <t>是被保險人的：</t>
    <phoneticPr fontId="4" type="noConversion"/>
  </si>
  <si>
    <t xml:space="preserve"> </t>
    <phoneticPr fontId="4" type="noConversion"/>
  </si>
  <si>
    <t>體重：</t>
    <phoneticPr fontId="4" type="noConversion"/>
  </si>
  <si>
    <t>身高：</t>
    <phoneticPr fontId="4" type="noConversion"/>
  </si>
  <si>
    <r>
      <t>BMI</t>
    </r>
    <r>
      <rPr>
        <b/>
        <sz val="12"/>
        <rFont val="細明體"/>
        <family val="3"/>
        <charset val="136"/>
      </rPr>
      <t>指數：</t>
    </r>
    <phoneticPr fontId="4" type="noConversion"/>
  </si>
  <si>
    <t>‧稅法相關規定或解釋之改變可能會影響本險之稅賦優惠。</t>
  </si>
  <si>
    <t>本人</t>
  </si>
  <si>
    <t>生日(民國)：</t>
    <phoneticPr fontId="4" type="noConversion"/>
  </si>
  <si>
    <t>年</t>
    <phoneticPr fontId="4" type="noConversion"/>
  </si>
  <si>
    <t>月</t>
    <phoneticPr fontId="4" type="noConversion"/>
  </si>
  <si>
    <t>日</t>
    <phoneticPr fontId="4" type="noConversion"/>
  </si>
  <si>
    <t>揭露各保單年度末之解約金、生存保險金及預估紅利總和與加計利息之應繳保險費累積值之差異情形。</t>
  </si>
  <si>
    <t>保額</t>
    <phoneticPr fontId="4" type="noConversion"/>
  </si>
  <si>
    <t>每萬保費</t>
    <phoneticPr fontId="4" type="noConversion"/>
  </si>
  <si>
    <t>專案投保年齡區間：</t>
    <phoneticPr fontId="4" type="noConversion"/>
  </si>
  <si>
    <t>年度</t>
    <phoneticPr fontId="4" type="noConversion"/>
  </si>
  <si>
    <t>依92.03.31台財保字第0920012416號令補充訂定分紅人壽與不分紅人壽保險單資訊揭露相關規範，</t>
  </si>
  <si>
    <t>富邦信用卡</t>
    <phoneticPr fontId="4" type="noConversion"/>
  </si>
  <si>
    <t>金融機構轉帳</t>
    <phoneticPr fontId="4" type="noConversion"/>
  </si>
  <si>
    <t>一般信用卡</t>
    <phoneticPr fontId="4" type="noConversion"/>
  </si>
  <si>
    <t>自行繳費</t>
    <phoneticPr fontId="4" type="noConversion"/>
  </si>
  <si>
    <t>KEY</t>
    <phoneticPr fontId="4" type="noConversion"/>
  </si>
  <si>
    <t>‧本公司資訊公開說明文件放置網址http://www.fubon.com，歡迎上網查詢。</t>
  </si>
  <si>
    <t>繳別：</t>
    <phoneticPr fontId="4" type="noConversion"/>
  </si>
  <si>
    <t>繳費方式：</t>
    <phoneticPr fontId="4" type="noConversion"/>
  </si>
  <si>
    <t>要保人</t>
    <phoneticPr fontId="4" type="noConversion"/>
  </si>
  <si>
    <t>蜜雪兒</t>
    <phoneticPr fontId="4" type="noConversion"/>
  </si>
  <si>
    <t>版次</t>
  </si>
  <si>
    <t>商品代號</t>
  </si>
  <si>
    <t>性別</t>
  </si>
  <si>
    <t>年齡</t>
  </si>
  <si>
    <t>費率</t>
  </si>
  <si>
    <t>1</t>
  </si>
  <si>
    <t>2</t>
  </si>
  <si>
    <t>第1年身故保險金</t>
  </si>
  <si>
    <t>第2年身故保險金</t>
  </si>
  <si>
    <t>第3年身故保險金</t>
  </si>
  <si>
    <t>第4年身故保險金</t>
  </si>
  <si>
    <t>第5年身故保險金</t>
  </si>
  <si>
    <t>第6年身故保險金</t>
  </si>
  <si>
    <t>第7年身故保險金</t>
  </si>
  <si>
    <t>第8年身故保險金</t>
  </si>
  <si>
    <t>第9年身故保險金</t>
  </si>
  <si>
    <t>第10年身故保險金</t>
  </si>
  <si>
    <t>第11年身故保險金</t>
  </si>
  <si>
    <t>第12年身故保險金</t>
  </si>
  <si>
    <t>第13年身故保險金</t>
  </si>
  <si>
    <t>第14年身故保險金</t>
  </si>
  <si>
    <t>第15年身故保險金</t>
  </si>
  <si>
    <t>第16年身故保險金</t>
  </si>
  <si>
    <t>第17年身故保險金</t>
  </si>
  <si>
    <t>第18年身故保險金</t>
  </si>
  <si>
    <t>第19年身故保險金</t>
  </si>
  <si>
    <t>第20年身故保險金</t>
  </si>
  <si>
    <t>第21年身故保險金</t>
  </si>
  <si>
    <t>第22年身故保險金</t>
  </si>
  <si>
    <t>第23年身故保險金</t>
  </si>
  <si>
    <t>第24年身故保險金</t>
  </si>
  <si>
    <t>第25年身故保險金</t>
  </si>
  <si>
    <t>第26年身故保險金</t>
  </si>
  <si>
    <t>第27年身故保險金</t>
  </si>
  <si>
    <t>第28年身故保險金</t>
  </si>
  <si>
    <t>第29年身故保險金</t>
  </si>
  <si>
    <t>第30年身故保險金</t>
  </si>
  <si>
    <t>第31年身故保險金</t>
  </si>
  <si>
    <t>第32年身故保險金</t>
  </si>
  <si>
    <t>第33年身故保險金</t>
  </si>
  <si>
    <t>第34年身故保險金</t>
  </si>
  <si>
    <t>第35年身故保險金</t>
  </si>
  <si>
    <t>第36年身故保險金</t>
  </si>
  <si>
    <t>第37年身故保險金</t>
  </si>
  <si>
    <t>第38年身故保險金</t>
  </si>
  <si>
    <t>第39年身故保險金</t>
  </si>
  <si>
    <t>第40年身故保險金</t>
  </si>
  <si>
    <t>第41年身故保險金</t>
  </si>
  <si>
    <t>第42年身故保險金</t>
  </si>
  <si>
    <t>第43年身故保險金</t>
  </si>
  <si>
    <t>第44年身故保險金</t>
  </si>
  <si>
    <t>第45年身故保險金</t>
  </si>
  <si>
    <t>第46年身故保險金</t>
  </si>
  <si>
    <t>第47年身故保險金</t>
  </si>
  <si>
    <t>第48年身故保險金</t>
  </si>
  <si>
    <t>第49年身故保險金</t>
  </si>
  <si>
    <t>第50年身故保險金</t>
  </si>
  <si>
    <t>第51年身故保險金</t>
  </si>
  <si>
    <t>第52年身故保險金</t>
  </si>
  <si>
    <t>第53年身故保險金</t>
  </si>
  <si>
    <t>第54年身故保險金</t>
  </si>
  <si>
    <t>第55年身故保險金</t>
  </si>
  <si>
    <t>第56年身故保險金</t>
  </si>
  <si>
    <t>第57年身故保險金</t>
  </si>
  <si>
    <t>第58年身故保險金</t>
  </si>
  <si>
    <t>第59年身故保險金</t>
  </si>
  <si>
    <t>第60年身故保險金</t>
  </si>
  <si>
    <t>第61年身故保險金</t>
  </si>
  <si>
    <t>第62年身故保險金</t>
  </si>
  <si>
    <t>第63年身故保險金</t>
  </si>
  <si>
    <t>第64年身故保險金</t>
  </si>
  <si>
    <t>第65年身故保險金</t>
  </si>
  <si>
    <t>第66年身故保險金</t>
  </si>
  <si>
    <t>第67年身故保險金</t>
  </si>
  <si>
    <t>第68年身故保險金</t>
  </si>
  <si>
    <t>第69年身故保險金</t>
  </si>
  <si>
    <t>第70年身故保險金</t>
  </si>
  <si>
    <t>第71年身故保險金</t>
  </si>
  <si>
    <t>第72年身故保險金</t>
  </si>
  <si>
    <t>第73年身故保險金</t>
  </si>
  <si>
    <t>第74年身故保險金額</t>
  </si>
  <si>
    <t>第75年身故保險金</t>
  </si>
  <si>
    <t>第76年身故保險金</t>
  </si>
  <si>
    <t>第77年身故保險金</t>
  </si>
  <si>
    <t>第78年身故保險金</t>
  </si>
  <si>
    <t>第79年身故保險金</t>
  </si>
  <si>
    <t>第80年身故保險金</t>
  </si>
  <si>
    <t>第81年身故保險金</t>
  </si>
  <si>
    <t>第82年身故保險金</t>
  </si>
  <si>
    <t>第83年身故保險金</t>
  </si>
  <si>
    <t>第84年身故保險金</t>
  </si>
  <si>
    <t>第85年身故保險金</t>
  </si>
  <si>
    <t>第86年身故保險金</t>
  </si>
  <si>
    <t>第87年身故保險金</t>
  </si>
  <si>
    <t>第88年身故保險金</t>
  </si>
  <si>
    <t>第89年身故保險金</t>
  </si>
  <si>
    <t>第90年身故保險金</t>
  </si>
  <si>
    <t>第91年身故保險金</t>
  </si>
  <si>
    <t>第92年身故保險金</t>
  </si>
  <si>
    <t>第93年身故保險金</t>
  </si>
  <si>
    <t>第94年身故保險金</t>
  </si>
  <si>
    <t>第95年身故保險金</t>
  </si>
  <si>
    <t>第96年身故保險金</t>
  </si>
  <si>
    <t>第97年身故保險金</t>
  </si>
  <si>
    <t>第98年身故保險金</t>
  </si>
  <si>
    <t>第99年身故保險金</t>
  </si>
  <si>
    <t>第100年身故保險金</t>
  </si>
  <si>
    <t>第101年身故保險金</t>
  </si>
  <si>
    <t>第102年身故保險金</t>
  </si>
  <si>
    <t>第103年身故保險金</t>
  </si>
  <si>
    <t>第104年身故保險金</t>
  </si>
  <si>
    <t>第105年身故保險金</t>
  </si>
  <si>
    <t>第106年身故保險金</t>
  </si>
  <si>
    <t>第107年身故保險金</t>
  </si>
  <si>
    <t>第108年身故保險金</t>
  </si>
  <si>
    <t>第109年身故保險金</t>
  </si>
  <si>
    <t>第110年身故保險金</t>
  </si>
  <si>
    <t>第111年身故保險金</t>
  </si>
  <si>
    <t>第1年解約金</t>
  </si>
  <si>
    <t>第2年解約金</t>
  </si>
  <si>
    <t>第3年解約金</t>
  </si>
  <si>
    <t>第4年解約金</t>
  </si>
  <si>
    <t>第5年解約金</t>
  </si>
  <si>
    <t>第6年解約金</t>
  </si>
  <si>
    <t>第7年解約金</t>
  </si>
  <si>
    <t>第8年解約金</t>
  </si>
  <si>
    <t>第9年解約金</t>
  </si>
  <si>
    <t>第10年解約金</t>
  </si>
  <si>
    <t>第11年解約金</t>
  </si>
  <si>
    <t>第12年解約金</t>
  </si>
  <si>
    <t>第13年解約金</t>
  </si>
  <si>
    <t>第14年解約金</t>
  </si>
  <si>
    <t>第15年解約金</t>
  </si>
  <si>
    <t>第16年解約金</t>
  </si>
  <si>
    <t>第17年解約金</t>
  </si>
  <si>
    <t>第18年解約金</t>
  </si>
  <si>
    <t>第19年解約金</t>
  </si>
  <si>
    <t>第20年解約金</t>
  </si>
  <si>
    <t>第21年解約金</t>
  </si>
  <si>
    <t>第22年解約金</t>
  </si>
  <si>
    <t>第23年解約金</t>
  </si>
  <si>
    <t>第24年解約金</t>
  </si>
  <si>
    <t>第25年解約金</t>
  </si>
  <si>
    <t>第26年解約金</t>
  </si>
  <si>
    <t>第27年解約金</t>
  </si>
  <si>
    <t>第28年解約金</t>
  </si>
  <si>
    <t>第29年解約金</t>
  </si>
  <si>
    <t>第30年解約金</t>
  </si>
  <si>
    <t>第31年解約金</t>
  </si>
  <si>
    <t>第32年解約金</t>
  </si>
  <si>
    <t>第33年解約金</t>
  </si>
  <si>
    <t>第34年解約金</t>
  </si>
  <si>
    <t>第35年解約金</t>
  </si>
  <si>
    <t>第36年解約金</t>
  </si>
  <si>
    <t>第37年解約金</t>
  </si>
  <si>
    <t>第38年解約金</t>
  </si>
  <si>
    <t>第39年解約金</t>
  </si>
  <si>
    <t>第40年解約金</t>
  </si>
  <si>
    <t>第41年解約金</t>
  </si>
  <si>
    <t>第42年解約金</t>
  </si>
  <si>
    <t>第43年解約金</t>
  </si>
  <si>
    <t>第44年解約金</t>
  </si>
  <si>
    <t>第45年解約金</t>
  </si>
  <si>
    <t>第46年解約金</t>
  </si>
  <si>
    <t>第47年解約金</t>
  </si>
  <si>
    <t>第48年解約金</t>
  </si>
  <si>
    <t>第49年解約金</t>
  </si>
  <si>
    <t>第50年解約金</t>
  </si>
  <si>
    <t>第51年解約金</t>
  </si>
  <si>
    <t>第52年解約金</t>
  </si>
  <si>
    <t>第53年解約金</t>
  </si>
  <si>
    <t>第54年解約金</t>
  </si>
  <si>
    <t>第55年解約金</t>
  </si>
  <si>
    <t>第56年解約金</t>
  </si>
  <si>
    <t>第57年解約金</t>
  </si>
  <si>
    <t>第58年解約金</t>
  </si>
  <si>
    <t>第59年解約金</t>
  </si>
  <si>
    <t>第60年解約金</t>
  </si>
  <si>
    <t>第61年解約金</t>
  </si>
  <si>
    <t>第62年解約金</t>
  </si>
  <si>
    <t>第63年解約金</t>
  </si>
  <si>
    <t>第64年解約金</t>
  </si>
  <si>
    <t>第65年解約金</t>
  </si>
  <si>
    <t>第66年解約金</t>
  </si>
  <si>
    <t>第67年解約金</t>
  </si>
  <si>
    <t>第68年解約金</t>
  </si>
  <si>
    <t>第69年解約金</t>
  </si>
  <si>
    <t>第70年解約金</t>
  </si>
  <si>
    <t>第71年解約金</t>
  </si>
  <si>
    <t>第72年解約金</t>
  </si>
  <si>
    <t>第73年解約金</t>
  </si>
  <si>
    <t>第74年解約金</t>
  </si>
  <si>
    <t>第75年解約金</t>
  </si>
  <si>
    <t>第76年解約金</t>
  </si>
  <si>
    <t>第77年解約金</t>
  </si>
  <si>
    <t>第78年解約金</t>
  </si>
  <si>
    <t>第79年解約金</t>
  </si>
  <si>
    <t>第80年解約金</t>
  </si>
  <si>
    <t>第81年解約金</t>
  </si>
  <si>
    <t>第82年解約金</t>
  </si>
  <si>
    <t>第83年解約金</t>
  </si>
  <si>
    <t>第84年解約金</t>
  </si>
  <si>
    <t>第85年解約金</t>
  </si>
  <si>
    <t>第86年解約金</t>
  </si>
  <si>
    <t>第87年解約金</t>
  </si>
  <si>
    <t>第88年解約金</t>
  </si>
  <si>
    <t>第89年解約金</t>
  </si>
  <si>
    <t>第90年解約金</t>
  </si>
  <si>
    <t>第91年解約金</t>
  </si>
  <si>
    <t>第92年解約金</t>
  </si>
  <si>
    <t>第93年解約金</t>
  </si>
  <si>
    <t>第94年解約金</t>
  </si>
  <si>
    <t>第95年解約金</t>
  </si>
  <si>
    <t>第96年解約金</t>
  </si>
  <si>
    <t>第97年解約金</t>
  </si>
  <si>
    <t>第98年解約金</t>
  </si>
  <si>
    <t>第99年解約金</t>
  </si>
  <si>
    <t>第100年解約金</t>
  </si>
  <si>
    <t>第101年解約金</t>
  </si>
  <si>
    <t>第102年解約金</t>
  </si>
  <si>
    <t>第103年解約金</t>
  </si>
  <si>
    <t>第104年解約金</t>
  </si>
  <si>
    <t>第105年解約金</t>
  </si>
  <si>
    <t>第106年解約金</t>
  </si>
  <si>
    <t>第107年解約金</t>
  </si>
  <si>
    <t>第108年解約金</t>
  </si>
  <si>
    <t>第109年解約金</t>
  </si>
  <si>
    <t>第110年解約金</t>
  </si>
  <si>
    <t>第111年解約金</t>
  </si>
  <si>
    <t>險種大類</t>
  </si>
  <si>
    <t>年期險種</t>
  </si>
  <si>
    <t>fubon</t>
    <phoneticPr fontId="4" type="noConversion"/>
  </si>
  <si>
    <t>試算日</t>
    <phoneticPr fontId="4" type="noConversion"/>
  </si>
  <si>
    <t>生日</t>
    <phoneticPr fontId="4" type="noConversion"/>
  </si>
  <si>
    <t>驗證</t>
    <phoneticPr fontId="4" type="noConversion"/>
  </si>
  <si>
    <t>彈性繳</t>
    <phoneticPr fontId="4" type="noConversion"/>
  </si>
  <si>
    <t>躉繳</t>
    <phoneticPr fontId="4" type="noConversion"/>
  </si>
  <si>
    <t>保險
年齡</t>
    <phoneticPr fontId="4" type="noConversion"/>
  </si>
  <si>
    <t>MAX-Y</t>
    <phoneticPr fontId="4" type="noConversion"/>
  </si>
  <si>
    <t>‧本保險為不分紅保單，不參加紅利分配，並無紅利給付項目。</t>
  </si>
  <si>
    <t>被保險人基本資料：</t>
    <phoneticPr fontId="4" type="noConversion"/>
  </si>
  <si>
    <t>1MAX</t>
    <phoneticPr fontId="4" type="noConversion"/>
  </si>
  <si>
    <t>1MIN</t>
    <phoneticPr fontId="4" type="noConversion"/>
  </si>
  <si>
    <t>SRV</t>
    <phoneticPr fontId="4" type="noConversion"/>
  </si>
  <si>
    <t>匯款</t>
    <phoneticPr fontId="4" type="noConversion"/>
  </si>
  <si>
    <t>‧本商品各項保險金給付詳細內容及其限制請詳閱保單條款內容說明。</t>
  </si>
  <si>
    <t>‧有關本險所繳保險費加計利息的退還之利息計算方式，可至本公司網站參考本險商品內容說明。</t>
  </si>
  <si>
    <t>‧富邦人壽保險股份有限公司 / 地址：台北市敦化南路一段108號14樓 / 電話：(02)8771-6699</t>
  </si>
  <si>
    <t>支票</t>
    <phoneticPr fontId="4" type="noConversion"/>
  </si>
  <si>
    <t>首</t>
    <phoneticPr fontId="4" type="noConversion"/>
  </si>
  <si>
    <t>續</t>
    <phoneticPr fontId="4" type="noConversion"/>
  </si>
  <si>
    <t>EXP</t>
    <phoneticPr fontId="4" type="noConversion"/>
  </si>
  <si>
    <t>DIE</t>
    <phoneticPr fontId="4" type="noConversion"/>
  </si>
  <si>
    <t>保單年度</t>
  </si>
  <si>
    <t>當年度保險金額係數</t>
  </si>
  <si>
    <t>GP</t>
    <phoneticPr fontId="4" type="noConversion"/>
  </si>
  <si>
    <t>PA</t>
    <phoneticPr fontId="4" type="noConversion"/>
  </si>
  <si>
    <t>適用通路：</t>
    <phoneticPr fontId="4" type="noConversion"/>
  </si>
  <si>
    <t>現金給付</t>
    <phoneticPr fontId="4" type="noConversion"/>
  </si>
  <si>
    <t>儲存生息</t>
    <phoneticPr fontId="4" type="noConversion"/>
  </si>
  <si>
    <t>保價金</t>
    <phoneticPr fontId="4" type="noConversion"/>
  </si>
  <si>
    <t>←保價設定</t>
    <phoneticPr fontId="4" type="noConversion"/>
  </si>
  <si>
    <t>回饋</t>
    <phoneticPr fontId="4" type="noConversion"/>
  </si>
  <si>
    <t>年度初保價</t>
    <phoneticPr fontId="4" type="noConversion"/>
  </si>
  <si>
    <t>宣告利率b</t>
    <phoneticPr fontId="4" type="noConversion"/>
  </si>
  <si>
    <t>利率差c</t>
    <phoneticPr fontId="4" type="noConversion"/>
  </si>
  <si>
    <t>累積</t>
    <phoneticPr fontId="4" type="noConversion"/>
  </si>
  <si>
    <t>本金</t>
    <phoneticPr fontId="4" type="noConversion"/>
  </si>
  <si>
    <t>年次</t>
    <phoneticPr fontId="4" type="noConversion"/>
  </si>
  <si>
    <t>月次</t>
    <phoneticPr fontId="4" type="noConversion"/>
  </si>
  <si>
    <r>
      <t>K</t>
    </r>
    <r>
      <rPr>
        <sz val="10"/>
        <rFont val="新細明體"/>
        <family val="1"/>
        <charset val="136"/>
      </rPr>
      <t>EY</t>
    </r>
    <phoneticPr fontId="4" type="noConversion"/>
  </si>
  <si>
    <t>利息</t>
    <phoneticPr fontId="4" type="noConversion"/>
  </si>
  <si>
    <t>領回金額</t>
    <phoneticPr fontId="4" type="noConversion"/>
  </si>
  <si>
    <t>富邦人壽利率變動型壽險宣告利率</t>
  </si>
  <si>
    <t>宣告利</t>
  </si>
  <si>
    <t>險種</t>
  </si>
  <si>
    <t>宣告</t>
  </si>
  <si>
    <t>率年月</t>
  </si>
  <si>
    <t xml:space="preserve">名稱 </t>
  </si>
  <si>
    <t>代號</t>
  </si>
  <si>
    <t>利率</t>
  </si>
  <si>
    <t>富邦人壽愛美利外幣利率變動型養老保險</t>
  </si>
  <si>
    <t>FISB</t>
  </si>
  <si>
    <t>富邦人壽澳利雙收外幣利率變動型養老保險</t>
  </si>
  <si>
    <t>富邦人壽多美利外幣利率變動型養老保險</t>
  </si>
  <si>
    <t>富邦人壽澳利雙享外幣利率變動型養老保險</t>
  </si>
  <si>
    <t>FSLA</t>
  </si>
  <si>
    <t>富邦人壽愛沛利利率變動型養老保險</t>
  </si>
  <si>
    <t>ISB</t>
  </si>
  <si>
    <t>富邦人壽豐沛利率變動型養老保險</t>
  </si>
  <si>
    <t>XSEA</t>
  </si>
  <si>
    <t>富邦人壽豐薪利率變動型養老保險</t>
  </si>
  <si>
    <t>XSF</t>
  </si>
  <si>
    <t>富邦人壽多沛利利率變動型養老保險</t>
  </si>
  <si>
    <t>XSG</t>
  </si>
  <si>
    <t>富邦人壽新豐華利率變動型養老保險</t>
  </si>
  <si>
    <t>XSH</t>
  </si>
  <si>
    <t>富邦人壽金豐沛利率變動型養老保險</t>
  </si>
  <si>
    <t>XSK</t>
  </si>
  <si>
    <t>預定利率</t>
    <phoneticPr fontId="4" type="noConversion"/>
  </si>
  <si>
    <t>宣告利率</t>
    <phoneticPr fontId="4" type="noConversion"/>
  </si>
  <si>
    <t>第1年保單價金額</t>
  </si>
  <si>
    <t>第2年保單價金額</t>
  </si>
  <si>
    <t>第3年保單價金額</t>
  </si>
  <si>
    <t>第4年保單價金額</t>
  </si>
  <si>
    <t>第5年保單價金額</t>
  </si>
  <si>
    <t>第6年保單價金額</t>
  </si>
  <si>
    <t>第7年保單價金額</t>
  </si>
  <si>
    <t>第8年保單價金額</t>
  </si>
  <si>
    <t>第9年保單價金額</t>
  </si>
  <si>
    <t>第10年保單價金額</t>
  </si>
  <si>
    <t>第11年保單價金額</t>
  </si>
  <si>
    <t>第12年保單價金額</t>
  </si>
  <si>
    <t>第13年保單價金額</t>
  </si>
  <si>
    <t>第14年保單價金額</t>
  </si>
  <si>
    <t>第15年保單價金額</t>
  </si>
  <si>
    <t>第16年保單價金額</t>
  </si>
  <si>
    <t>第17年保單價金額</t>
  </si>
  <si>
    <t>第18年保單價金額</t>
  </si>
  <si>
    <t>第19年保單價金額</t>
  </si>
  <si>
    <t>第20年保單價金額</t>
  </si>
  <si>
    <t>第21年保單價金額</t>
  </si>
  <si>
    <t>第22年保單價金額</t>
  </si>
  <si>
    <t>第23年保單價金額</t>
  </si>
  <si>
    <t>第24年保單價金額</t>
  </si>
  <si>
    <t>第25年保單價金額</t>
  </si>
  <si>
    <t>第26年保單價金額</t>
  </si>
  <si>
    <t>第27年保單價金額</t>
  </si>
  <si>
    <t>第28年保單價金額</t>
  </si>
  <si>
    <t>第29年保單價金額</t>
  </si>
  <si>
    <t>第30年保單價金額</t>
  </si>
  <si>
    <t>第31年保單價金額</t>
  </si>
  <si>
    <t>第32年保單價金額</t>
  </si>
  <si>
    <t>第33年保單價金額</t>
  </si>
  <si>
    <t>第34年保單價金額</t>
  </si>
  <si>
    <t>第35年保單價金額</t>
  </si>
  <si>
    <t>第36年保單價金額</t>
  </si>
  <si>
    <t>第37年保單價金額</t>
  </si>
  <si>
    <t>第38年保單價金額</t>
  </si>
  <si>
    <t>第39年保單價金額</t>
  </si>
  <si>
    <t>第40年保單價金額</t>
  </si>
  <si>
    <t>第41年保單價金額</t>
  </si>
  <si>
    <t>第42年保單價金額</t>
  </si>
  <si>
    <t>第43年保單價金額</t>
  </si>
  <si>
    <t>第44年保單價金額</t>
  </si>
  <si>
    <t>第45年保單價金額</t>
  </si>
  <si>
    <t>第46年保單價金額</t>
  </si>
  <si>
    <t>第47年保單價金額</t>
  </si>
  <si>
    <t>第48年保單價金額</t>
  </si>
  <si>
    <t>第49年保單價金額</t>
  </si>
  <si>
    <t>第50年保單價金額</t>
  </si>
  <si>
    <t>第51年保單價金額</t>
  </si>
  <si>
    <t>第52年保單價金額</t>
  </si>
  <si>
    <t>第53年保單價金額</t>
  </si>
  <si>
    <t>第54年保單價金額</t>
  </si>
  <si>
    <t>第55年保單價金額</t>
  </si>
  <si>
    <t>第56年保單價金額</t>
  </si>
  <si>
    <t>第57年保單價金額</t>
  </si>
  <si>
    <t>第58年保單價金額</t>
  </si>
  <si>
    <t>第59年保單價金額</t>
  </si>
  <si>
    <t>第60年保單價金額</t>
  </si>
  <si>
    <t>第61年保單價金額</t>
  </si>
  <si>
    <t>第62年保單價金額</t>
  </si>
  <si>
    <t>第63年保單價金額</t>
  </si>
  <si>
    <t>第64年保單價金額</t>
  </si>
  <si>
    <t>第65年保單價金額</t>
  </si>
  <si>
    <t>第66年保單價金額</t>
  </si>
  <si>
    <t>第67年保單價金額</t>
  </si>
  <si>
    <t>第68年保單價金額</t>
  </si>
  <si>
    <t>第69年保單價金額</t>
  </si>
  <si>
    <t>第70年保單價金額</t>
  </si>
  <si>
    <t>第71年保單價金額</t>
  </si>
  <si>
    <t>第72年保單價金額</t>
  </si>
  <si>
    <t>第73年保單價金額</t>
  </si>
  <si>
    <t>第74年保單價金額</t>
  </si>
  <si>
    <t>第75年保單價金額</t>
  </si>
  <si>
    <t>第76年保單價金額</t>
  </si>
  <si>
    <t>第77年保單價金額</t>
  </si>
  <si>
    <t>第78年保單價金額</t>
  </si>
  <si>
    <t>第79年保單價金額</t>
  </si>
  <si>
    <t>第80年保單價金額</t>
  </si>
  <si>
    <t>第81年保單價金額</t>
  </si>
  <si>
    <t>第82年保單價金額</t>
  </si>
  <si>
    <t>第83年保單價金額</t>
  </si>
  <si>
    <t>第84年保單價金額</t>
  </si>
  <si>
    <t>第85年保單價金額</t>
  </si>
  <si>
    <t>第86年保單價金額</t>
  </si>
  <si>
    <t>第87年保單價金額</t>
  </si>
  <si>
    <t>第88年保單價金額</t>
  </si>
  <si>
    <t>第89年保單價金額</t>
  </si>
  <si>
    <t>第90年保單價金額</t>
  </si>
  <si>
    <t>第91年保單價金額</t>
  </si>
  <si>
    <t>第92年保單價金額</t>
  </si>
  <si>
    <t>第93年保單價金額</t>
  </si>
  <si>
    <t>第94年保單價金額</t>
  </si>
  <si>
    <t>第95年保單價金額</t>
  </si>
  <si>
    <t>第96年保單價金額</t>
  </si>
  <si>
    <t>第97年保單價金額</t>
  </si>
  <si>
    <t>第98年保單價金額</t>
  </si>
  <si>
    <t>第99年保單價金額</t>
  </si>
  <si>
    <t>第100年保單價金額</t>
  </si>
  <si>
    <t>第101年保單價金額</t>
  </si>
  <si>
    <t>第102年保單價金額</t>
  </si>
  <si>
    <t>第103年保單價金額</t>
  </si>
  <si>
    <t>第104年保單價金額</t>
  </si>
  <si>
    <t>第105年保單價金額</t>
  </si>
  <si>
    <t>第106年保單價金額</t>
  </si>
  <si>
    <t>第107年保單價金額</t>
  </si>
  <si>
    <t>第108年保單價金額</t>
  </si>
  <si>
    <t>第109年保單價金額</t>
  </si>
  <si>
    <t>第110年保單價金額</t>
  </si>
  <si>
    <t>第111年保單價金額</t>
  </si>
  <si>
    <t>給付方式</t>
    <phoneticPr fontId="4" type="noConversion"/>
  </si>
  <si>
    <t>累積方式</t>
    <phoneticPr fontId="4" type="noConversion"/>
  </si>
  <si>
    <t>計算至小數點後10位</t>
    <phoneticPr fontId="4" type="noConversion"/>
  </si>
  <si>
    <t>期初保單價值準備金</t>
    <phoneticPr fontId="4" type="noConversion"/>
  </si>
  <si>
    <t>期中保單價值準備金</t>
    <phoneticPr fontId="4" type="noConversion"/>
  </si>
  <si>
    <t>期末保單價值準備金</t>
    <phoneticPr fontId="4" type="noConversion"/>
  </si>
  <si>
    <t>IWD</t>
  </si>
  <si>
    <t>CV</t>
    <phoneticPr fontId="4" type="noConversion"/>
  </si>
  <si>
    <t>PV0</t>
    <phoneticPr fontId="4" type="noConversion"/>
  </si>
  <si>
    <t>第0年保單價金額</t>
  </si>
  <si>
    <t>續期</t>
    <phoneticPr fontId="4" type="noConversion"/>
  </si>
  <si>
    <t>首期</t>
    <phoneticPr fontId="4" type="noConversion"/>
  </si>
  <si>
    <t>支票</t>
    <phoneticPr fontId="4" type="noConversion"/>
  </si>
  <si>
    <t xml:space="preserve">  若有加計利息，則實際理賠金額依條款約定辦理。</t>
  </si>
  <si>
    <t>集彙折扣-首期</t>
    <phoneticPr fontId="4" type="noConversion"/>
  </si>
  <si>
    <t>集彙折扣-續期</t>
    <phoneticPr fontId="4" type="noConversion"/>
  </si>
  <si>
    <t>員工折扣</t>
    <phoneticPr fontId="4" type="noConversion"/>
  </si>
  <si>
    <t>折扣選項</t>
    <phoneticPr fontId="4" type="noConversion"/>
  </si>
  <si>
    <t>無</t>
    <phoneticPr fontId="4" type="noConversion"/>
  </si>
  <si>
    <t>專案集彙件</t>
    <phoneticPr fontId="4" type="noConversion"/>
  </si>
  <si>
    <t>第一頁說明↓</t>
    <phoneticPr fontId="4" type="noConversion"/>
  </si>
  <si>
    <t>102警語↓</t>
    <phoneticPr fontId="4" type="noConversion"/>
  </si>
  <si>
    <t>折扣使用</t>
    <phoneticPr fontId="4" type="noConversion"/>
  </si>
  <si>
    <t>首期</t>
    <phoneticPr fontId="4" type="noConversion"/>
  </si>
  <si>
    <t>續期</t>
    <phoneticPr fontId="4" type="noConversion"/>
  </si>
  <si>
    <t>繳費方式</t>
    <phoneticPr fontId="4" type="noConversion"/>
  </si>
  <si>
    <t>高保額</t>
    <phoneticPr fontId="4" type="noConversion"/>
  </si>
  <si>
    <t>繳費方式、高保額及集體彙繳件折扣</t>
  </si>
  <si>
    <t>FSA</t>
  </si>
  <si>
    <t>FSA1</t>
  </si>
  <si>
    <t>FSB</t>
  </si>
  <si>
    <t>保費折扣：</t>
    <phoneticPr fontId="4" type="noConversion"/>
  </si>
  <si>
    <t>員工轉帳件</t>
    <phoneticPr fontId="4" type="noConversion"/>
  </si>
  <si>
    <t>‧上表所列各項保險給付項目皆為保單年度末之數值，實際給付金額以保單條款規定為準。</t>
    <phoneticPr fontId="4" type="noConversion"/>
  </si>
  <si>
    <t xml:space="preserve">   </t>
    <phoneticPr fontId="4" type="noConversion"/>
  </si>
  <si>
    <t>富邦人壽月月有利利率變動型增額終身壽險</t>
  </si>
  <si>
    <t>本試算表僅供參考，詳細商品內容及其變更，應以投保當時保單條款內容及本公司核保、保全作業規定為準。</t>
    <phoneticPr fontId="4" type="noConversion"/>
  </si>
  <si>
    <t>揭露事項：</t>
    <phoneticPr fontId="4" type="noConversion"/>
  </si>
  <si>
    <t>注意事項：</t>
    <phoneticPr fontId="4" type="noConversion"/>
  </si>
  <si>
    <t>被保人：</t>
    <phoneticPr fontId="4" type="noConversion"/>
  </si>
  <si>
    <t>保險年齡：</t>
    <phoneticPr fontId="4" type="noConversion"/>
  </si>
  <si>
    <t>性別：</t>
    <phoneticPr fontId="4" type="noConversion"/>
  </si>
  <si>
    <t>被保險人</t>
    <phoneticPr fontId="4" type="noConversion"/>
  </si>
  <si>
    <t>保險種類</t>
    <phoneticPr fontId="4" type="noConversion"/>
  </si>
  <si>
    <t>險種代碼</t>
    <phoneticPr fontId="4" type="noConversion"/>
  </si>
  <si>
    <t>保額</t>
    <phoneticPr fontId="4" type="noConversion"/>
  </si>
  <si>
    <t>單位：元</t>
    <phoneticPr fontId="4" type="noConversion"/>
  </si>
  <si>
    <t>年度</t>
    <phoneticPr fontId="4" type="noConversion"/>
  </si>
  <si>
    <t>保險
年齡</t>
    <phoneticPr fontId="4" type="noConversion"/>
  </si>
  <si>
    <t>無</t>
  </si>
  <si>
    <t>利     益     彙     總     表</t>
    <phoneticPr fontId="4" type="noConversion"/>
  </si>
  <si>
    <t>本試算表僅供參考，詳細商品內容及其變更，應以投保當時保單條款內容及本公司核保、保全作業規定為準。</t>
    <phoneticPr fontId="4" type="noConversion"/>
  </si>
  <si>
    <t>‧宣告利率並非固定利率，會隨本公司定期宣告而改變，宣告利率之下限亦可能因市場利率偏低，而導致無最低保證。</t>
    <phoneticPr fontId="4" type="noConversion"/>
  </si>
  <si>
    <t>金融機構轉帳</t>
    <phoneticPr fontId="4" type="noConversion"/>
  </si>
  <si>
    <t>使用紀錄</t>
    <phoneticPr fontId="4" type="noConversion"/>
  </si>
  <si>
    <t>巨級啟用</t>
    <phoneticPr fontId="4" type="noConversion"/>
  </si>
  <si>
    <t>日期</t>
    <phoneticPr fontId="4" type="noConversion"/>
  </si>
  <si>
    <t>時間</t>
    <phoneticPr fontId="4" type="noConversion"/>
  </si>
  <si>
    <t>key</t>
    <phoneticPr fontId="4" type="noConversion"/>
  </si>
  <si>
    <t>宣告利率</t>
    <phoneticPr fontId="4" type="noConversion"/>
  </si>
  <si>
    <t>富邦人壽美利發外幣利率變動型終身保險</t>
  </si>
  <si>
    <t>FSD</t>
  </si>
  <si>
    <t>富邦人壽豐利沛利率變動型養老保險</t>
  </si>
  <si>
    <t>XS20</t>
  </si>
  <si>
    <t>富邦人壽月月豐沛利率變動型養老保險</t>
  </si>
  <si>
    <t>XSL</t>
  </si>
  <si>
    <t>富邦人壽金豐利利率變動型養老保險</t>
  </si>
  <si>
    <t>XSM</t>
  </si>
  <si>
    <t>頁</t>
  </si>
  <si>
    <t>MAX</t>
    <phoneticPr fontId="4" type="noConversion"/>
  </si>
  <si>
    <t>富邦人壽金多利利率變動型增額終身壽險</t>
  </si>
  <si>
    <r>
      <rPr>
        <b/>
        <sz val="12"/>
        <rFont val="細明體"/>
        <family val="3"/>
        <charset val="136"/>
      </rPr>
      <t>主約資料</t>
    </r>
    <phoneticPr fontId="4" type="noConversion"/>
  </si>
  <si>
    <r>
      <rPr>
        <sz val="12"/>
        <color indexed="10"/>
        <rFont val="細明體"/>
        <family val="3"/>
        <charset val="136"/>
      </rPr>
      <t>保額限制：</t>
    </r>
    <phoneticPr fontId="4" type="noConversion"/>
  </si>
  <si>
    <r>
      <rPr>
        <sz val="12"/>
        <rFont val="細明體"/>
        <family val="3"/>
        <charset val="136"/>
      </rPr>
      <t>保額</t>
    </r>
    <r>
      <rPr>
        <sz val="12"/>
        <rFont val="Arial"/>
        <family val="2"/>
      </rPr>
      <t>(</t>
    </r>
    <r>
      <rPr>
        <sz val="12"/>
        <rFont val="細明體"/>
        <family val="3"/>
        <charset val="136"/>
      </rPr>
      <t>以萬為單位</t>
    </r>
    <r>
      <rPr>
        <sz val="12"/>
        <rFont val="Arial"/>
        <family val="2"/>
      </rPr>
      <t>)</t>
    </r>
    <phoneticPr fontId="4" type="noConversion"/>
  </si>
  <si>
    <r>
      <rPr>
        <b/>
        <sz val="12"/>
        <color indexed="8"/>
        <rFont val="細明體"/>
        <family val="3"/>
        <charset val="136"/>
      </rPr>
      <t>保額</t>
    </r>
    <r>
      <rPr>
        <b/>
        <sz val="12"/>
        <color indexed="8"/>
        <rFont val="Arial"/>
        <family val="2"/>
      </rPr>
      <t>(</t>
    </r>
    <r>
      <rPr>
        <b/>
        <sz val="12"/>
        <color indexed="8"/>
        <rFont val="細明體"/>
        <family val="3"/>
        <charset val="136"/>
      </rPr>
      <t>萬</t>
    </r>
    <r>
      <rPr>
        <b/>
        <sz val="12"/>
        <color indexed="8"/>
        <rFont val="Arial"/>
        <family val="2"/>
      </rPr>
      <t>)</t>
    </r>
    <r>
      <rPr>
        <b/>
        <sz val="12"/>
        <color indexed="8"/>
        <rFont val="細明體"/>
        <family val="3"/>
        <charset val="136"/>
      </rPr>
      <t>：</t>
    </r>
    <r>
      <rPr>
        <b/>
        <sz val="12"/>
        <color indexed="8"/>
        <rFont val="Arial"/>
        <family val="2"/>
      </rPr>
      <t/>
    </r>
    <phoneticPr fontId="4" type="noConversion"/>
  </si>
  <si>
    <t>二至六級殘廢
豁免保險費</t>
    <phoneticPr fontId="4" type="noConversion"/>
  </si>
  <si>
    <t>被保險人於本契約有效且繳費期間內，致成保單條款附表所列二至六級殘廢程度之一者，經醫院醫師
診斷殘廢確定，本公司豁免殘廢診斷確定日後本契約續期應繳之各期保險費，本契約繼續有效。被保
險人本次事故如合併以前（不含本契約訂立前）的殘廢，符合保單條款附表所列二至六級殘廢程度之
一者，亦同。</t>
    <phoneticPr fontId="4" type="noConversion"/>
  </si>
  <si>
    <t>‧本商品為利率變動型商品；宣告利率將隨經濟環境波動，除契約另有規定外，本公司不負最低宣告利率保證之責。</t>
    <phoneticPr fontId="4" type="noConversion"/>
  </si>
  <si>
    <t>‧人壽保險之死亡給付及年金保險之確定年金給付於被保險人死亡後給付於指定受益人者，依保險法第一百十二條規定不</t>
    <phoneticPr fontId="4" type="noConversion"/>
  </si>
  <si>
    <t xml:space="preserve">  一所定實質課稅原則辦理。相關實務案例請至富邦人壽官網詳閱。</t>
    <phoneticPr fontId="4" type="noConversion"/>
  </si>
  <si>
    <t xml:space="preserve">  得作為被保險人之遺產，惟如涉有規避遺產稅等稅捐情事者，稽徵機關仍得依據有關稅法規定或稅捐稽徵法第十二條之</t>
    <phoneticPr fontId="4" type="noConversion"/>
  </si>
  <si>
    <t>‧宣告利率並非固定利率，會隨本公司定期宣告而改變，宣告利率之下限亦可能因市場利率偏低，而導致無最低保證。</t>
    <phoneticPr fontId="4" type="noConversion"/>
  </si>
  <si>
    <t>‧本商品經富邦人壽合格簽署人員檢視其內容業已符合一般精算原則及保險法令，惟為確保權益，基於保險公司與消費者</t>
    <phoneticPr fontId="4" type="noConversion"/>
  </si>
  <si>
    <t xml:space="preserve">  由富邦人壽及負責人依法負責。</t>
    <phoneticPr fontId="4" type="noConversion"/>
  </si>
  <si>
    <t xml:space="preserve">  衡平對等原則，消費者仍應詳加閱讀保險單條款與相關文件，審慎選擇保險商品。本商品如有虛偽不實或違法情事，應</t>
    <phoneticPr fontId="4" type="noConversion"/>
  </si>
  <si>
    <t xml:space="preserve">  十日內﹞。</t>
    <phoneticPr fontId="4" type="noConversion"/>
  </si>
  <si>
    <t>‧保險契約各項權利義務皆詳列於保單條款，消費者務必詳加閱讀了解，並把握保單契約撤銷之時效﹝收到保單翌日起算</t>
    <phoneticPr fontId="4" type="noConversion"/>
  </si>
  <si>
    <t>‧本商品保險保障部份受「財團法人保險安定基金」之「人身保險安定基金專戶」保障，並非存款，不受存款保險之保</t>
    <phoneticPr fontId="4" type="noConversion"/>
  </si>
  <si>
    <t xml:space="preserve">  障。</t>
    <phoneticPr fontId="4" type="noConversion"/>
  </si>
  <si>
    <t xml:space="preserve">  規範。</t>
    <phoneticPr fontId="4" type="noConversion"/>
  </si>
  <si>
    <t>‧本商品之保險契約由富邦人壽承保發單，招攬人員若為保險經紀人﹝或代理人﹞所屬業務員仍應受保險業務員管理規則</t>
    <phoneticPr fontId="4" type="noConversion"/>
  </si>
  <si>
    <t>第1年減額繳清保額</t>
  </si>
  <si>
    <t>第2年減額繳清保額</t>
  </si>
  <si>
    <t>第3年減額繳清保額</t>
  </si>
  <si>
    <t>第4年減額繳清保額</t>
  </si>
  <si>
    <t>第5年減額繳清保額</t>
  </si>
  <si>
    <t>第6年減額繳清保額</t>
  </si>
  <si>
    <t>第7年減額繳清保額</t>
  </si>
  <si>
    <t>第8年減額繳清保額</t>
  </si>
  <si>
    <t>第9年減額繳清保額</t>
  </si>
  <si>
    <t>第10年減額繳清保額</t>
  </si>
  <si>
    <t>第11年減額繳清保額</t>
  </si>
  <si>
    <t>第12年減額繳清保額</t>
  </si>
  <si>
    <t>第13年減額繳清保額</t>
  </si>
  <si>
    <t>第14年減額繳清保額</t>
  </si>
  <si>
    <t>第15年減額繳清保額</t>
  </si>
  <si>
    <t>第16年減額繳清保額</t>
  </si>
  <si>
    <t>第17年減額繳清保額</t>
  </si>
  <si>
    <t>第18年減額繳清保額</t>
  </si>
  <si>
    <t>第19年減額繳清保額B</t>
  </si>
  <si>
    <t>第20年減額繳清保額</t>
  </si>
  <si>
    <t>第21年減額繳清保額B</t>
  </si>
  <si>
    <t>第22年減額繳清保額</t>
  </si>
  <si>
    <t>第23年減額繳清保額</t>
  </si>
  <si>
    <t>第24年減額繳清保額</t>
  </si>
  <si>
    <t>第25年減額繳清保額</t>
  </si>
  <si>
    <t>第26年減額繳清保額B</t>
  </si>
  <si>
    <t>第27年減額繳清保額</t>
  </si>
  <si>
    <t>第28年減額繳清保額B</t>
  </si>
  <si>
    <t>第29年減額繳清保額</t>
  </si>
  <si>
    <t>第30年減額繳清保額B</t>
  </si>
  <si>
    <t>第31年減額繳清保額</t>
  </si>
  <si>
    <t>第32年減額繳清保額</t>
  </si>
  <si>
    <t>第33年減額繳清保額</t>
  </si>
  <si>
    <t>第34年減額繳清保額</t>
  </si>
  <si>
    <t>第35年減額繳清保額</t>
  </si>
  <si>
    <t>第36年減額繳清保額</t>
  </si>
  <si>
    <t>第37年減額繳清保額</t>
  </si>
  <si>
    <t>第38年減額繳清保額</t>
  </si>
  <si>
    <t>第39年減額繳清保額</t>
  </si>
  <si>
    <t>第40年減額繳清保額</t>
  </si>
  <si>
    <t>第41年減額繳清保額</t>
  </si>
  <si>
    <t>第42年減額繳清保額</t>
  </si>
  <si>
    <t>第43年減額繳清保額</t>
  </si>
  <si>
    <t>第44年減額繳清保額</t>
  </si>
  <si>
    <t>第45年減額繳清保額</t>
  </si>
  <si>
    <t>第46年減額繳清保額</t>
  </si>
  <si>
    <t>第47年減額繳清保額</t>
  </si>
  <si>
    <t>第48年減額繳清保額</t>
  </si>
  <si>
    <t>第49年減額繳清保額</t>
  </si>
  <si>
    <t>第50年減額繳清保額</t>
  </si>
  <si>
    <t>第51年減額繳清保額</t>
  </si>
  <si>
    <t>第52年減額繳清保額</t>
  </si>
  <si>
    <t>第53年減額繳清保額</t>
  </si>
  <si>
    <t>第54年減額繳清保額</t>
  </si>
  <si>
    <t>第55年減額繳清保額</t>
  </si>
  <si>
    <t>第56年減額繳清保額</t>
  </si>
  <si>
    <t>第57年減額繳清保額</t>
  </si>
  <si>
    <t>第58年減額繳清保額</t>
  </si>
  <si>
    <t>第59年減額繳清保額</t>
  </si>
  <si>
    <t>第60年減額繳清保額</t>
  </si>
  <si>
    <t>第61年減額繳清保額</t>
  </si>
  <si>
    <t>第62年減額繳清保額</t>
  </si>
  <si>
    <t>第63年減額繳清保額</t>
  </si>
  <si>
    <t>第64年減額繳清保額</t>
  </si>
  <si>
    <t>第65年減額繳清保額</t>
  </si>
  <si>
    <t>第66年減額繳清保額</t>
  </si>
  <si>
    <t>第67年減額繳清保額</t>
  </si>
  <si>
    <t>第68年減額繳清保額</t>
  </si>
  <si>
    <t>第69年減額繳清保額</t>
  </si>
  <si>
    <t>第70年減額繳清保額</t>
  </si>
  <si>
    <t>第71年減額繳清保額</t>
  </si>
  <si>
    <t>第72年減額繳清保額</t>
  </si>
  <si>
    <t>第73年減額繳清保額</t>
  </si>
  <si>
    <t>第74年減額繳清保額</t>
  </si>
  <si>
    <t>第75年減額繳清保額</t>
  </si>
  <si>
    <t>第76年減額繳清保額</t>
  </si>
  <si>
    <t>第77年減額繳清保額</t>
  </si>
  <si>
    <t>第78年減額繳清保額</t>
  </si>
  <si>
    <t>第79年減額繳清保額</t>
  </si>
  <si>
    <t>第80年減額繳清保額</t>
  </si>
  <si>
    <t>第81年減額繳清保額</t>
  </si>
  <si>
    <t>第82年契遾B繳清保額</t>
  </si>
  <si>
    <t>第83年減額繳清保額</t>
  </si>
  <si>
    <t>第84年減額繳清保額</t>
  </si>
  <si>
    <t>第85年減額繳清保額</t>
  </si>
  <si>
    <t>第86年減額繳清保額</t>
  </si>
  <si>
    <t>第87年減額繳清保額</t>
  </si>
  <si>
    <t>第88年減額繳清保額</t>
  </si>
  <si>
    <t>第89年減額繳清保額</t>
  </si>
  <si>
    <t>第90年減額繳清保額</t>
  </si>
  <si>
    <t>第91年減額繳清保額</t>
  </si>
  <si>
    <t>第92年減額繳清保額</t>
  </si>
  <si>
    <t>第93年減額繳清保額</t>
  </si>
  <si>
    <t>第94年減額繳清保額</t>
  </si>
  <si>
    <t>第95年減額繳清保額</t>
  </si>
  <si>
    <t>第96年減額繳清保額</t>
  </si>
  <si>
    <t>第97年減額繳清保額</t>
  </si>
  <si>
    <t>第98年減額繳清保額</t>
  </si>
  <si>
    <t>第99年減額繳清保額</t>
  </si>
  <si>
    <t>第100年減額繳清保額</t>
  </si>
  <si>
    <t>第101年減額繳清保額</t>
  </si>
  <si>
    <t>第102年減額繳清保額</t>
  </si>
  <si>
    <t>第103年減額繳清保額</t>
  </si>
  <si>
    <t>第104年減額繳清保額</t>
  </si>
  <si>
    <t>第105年減額繳清保額</t>
  </si>
  <si>
    <t>第106年減額繳清保額</t>
  </si>
  <si>
    <t>第107年減額繳清保額</t>
  </si>
  <si>
    <t>第108年減額繳清保額</t>
  </si>
  <si>
    <t>第109年減額繳清保額</t>
  </si>
  <si>
    <t>第110年減額繳清保額</t>
  </si>
  <si>
    <t>第111年減額繳清保額</t>
  </si>
  <si>
    <t>IWE</t>
  </si>
  <si>
    <t>FSA2</t>
  </si>
  <si>
    <t>←不更新版=1網路自動版=2</t>
    <phoneticPr fontId="4" type="noConversion"/>
  </si>
  <si>
    <t>富邦人壽金美利外幣利率變動型增額終身壽險</t>
  </si>
  <si>
    <t>FSE</t>
  </si>
  <si>
    <t>富邦人壽金澳利外幣利率變動型增額終身壽險</t>
  </si>
  <si>
    <t>FSF</t>
  </si>
  <si>
    <t>SXS</t>
  </si>
  <si>
    <t xml:space="preserve">103 / 4 </t>
  </si>
  <si>
    <t>富邦人壽民利豐收外幣利率變動型保險</t>
  </si>
  <si>
    <t>FSC</t>
  </si>
  <si>
    <t>富邦人壽永美利外幣利率變動型增額終身壽險</t>
  </si>
  <si>
    <t>FSG</t>
  </si>
  <si>
    <t>富邦人壽澳利滿載外幣利率變動型養老保險</t>
  </si>
  <si>
    <t>FSH</t>
  </si>
  <si>
    <t>第一頁 上一頁 下一頁 最後一頁  目前在：第2頁 / 總共：38頁 跳：至第</t>
  </si>
  <si>
    <t xml:space="preserve">103 / 3 </t>
  </si>
  <si>
    <t>第一頁 上一頁 下一頁 最後一頁  目前在：第3頁 / 總共：38頁 跳：至第</t>
  </si>
  <si>
    <t>第一頁 上一頁 下一頁 最後一頁  目前在：第4頁 / 總共：38頁 跳：至第</t>
  </si>
  <si>
    <t>富邦人壽保險股份有限公司履行個人資料保護法告知說明書</t>
  </si>
  <si>
    <t xml:space="preserve"> </t>
  </si>
  <si>
    <t>富邦人壽保險股份有限公司（下稱本公司）依據個人資料保護法（以下稱個資法）</t>
  </si>
  <si>
    <t>規定，向 台端告知下列事項，請 台端詳閱：</t>
  </si>
  <si>
    <t>一、蒐集之目的：</t>
  </si>
  <si>
    <t>（一）人身保險（００一）</t>
  </si>
  <si>
    <t>（二）其他經營合於營業登記項目或組織章程所定之業務（一八一）</t>
  </si>
  <si>
    <t>二、蒐集之個人資料類別：</t>
  </si>
  <si>
    <t>（一）姓名。</t>
  </si>
  <si>
    <t>（二）身分證統一編號。</t>
  </si>
  <si>
    <t>（三）地址。</t>
  </si>
  <si>
    <t>三、個人資料利用之期間、地區、對象、方式：</t>
  </si>
  <si>
    <t>（一）期間：因執行業務所必須及依法令規定要求之期間。</t>
  </si>
  <si>
    <t>（三）地區：上述對象所在之地區。</t>
  </si>
  <si>
    <t>（四）方式：合於法令規定之利用方式。</t>
  </si>
  <si>
    <t>（一）得向本公司行使之權利：</t>
  </si>
  <si>
    <t xml:space="preserve">      1.向本公司查詢、請求閱覽或請求製給複製本。</t>
  </si>
  <si>
    <t xml:space="preserve">      2.向本公司請求補充或更正。</t>
  </si>
  <si>
    <t xml:space="preserve">      3.向本公司請求停止蒐集、處理或利用及請求刪除。</t>
  </si>
  <si>
    <t>（二）行使權利之方式：</t>
  </si>
  <si>
    <t>五、台端不提供個人資料所致權益之影響：</t>
  </si>
  <si>
    <t>保經代</t>
  </si>
  <si>
    <t>（二）對象：本公司、本公司的委外服務或委外業務之廠商、中華民國人壽保險</t>
  </si>
  <si>
    <t xml:space="preserve">      商業同業公會、財團法人保險事業發展中心、財團法人金融消費評議中心、</t>
  </si>
  <si>
    <t xml:space="preserve">      與本公司有再保業務往來之公司、本公司所屬金控公司、本公司之共同行</t>
  </si>
  <si>
    <t xml:space="preserve">      銷對象、依法有調查權機關或金融監理機關。</t>
  </si>
  <si>
    <t>四、依據個資法第三條規定，台端就本公司保有 台端之個人資料得行使之權利及</t>
  </si>
  <si>
    <t xml:space="preserve">    方式：</t>
  </si>
  <si>
    <t xml:space="preserve">      您可以透過書面（包含電子郵件、傳真、電子文件）或致電本公司客戶服</t>
  </si>
  <si>
    <t xml:space="preserve">      務專線（電話：0809-000-550）之方式行使權利。</t>
  </si>
  <si>
    <t xml:space="preserve">    台端若未能提供相關個人資料時，本公司將可能延後或無法進行必要之審核</t>
  </si>
  <si>
    <t xml:space="preserve">    及處理作業，因此可能婉謝承保、遲延或無法承保。</t>
  </si>
  <si>
    <t xml:space="preserve">      與本公司有再保業務往來之公司、依法有調查權機關或金融監理機關。</t>
  </si>
  <si>
    <t>業務、服展、北富銀</t>
    <phoneticPr fontId="4" type="noConversion"/>
  </si>
  <si>
    <t>業務、服展</t>
    <phoneticPr fontId="4" type="noConversion"/>
  </si>
  <si>
    <t>北富銀</t>
    <phoneticPr fontId="4" type="noConversion"/>
  </si>
  <si>
    <t>整銷</t>
    <phoneticPr fontId="4" type="noConversion"/>
  </si>
  <si>
    <t>多元</t>
    <phoneticPr fontId="4" type="noConversion"/>
  </si>
  <si>
    <t>‧本險為利率變動型商品，宣告利率將隨經濟環境波動，除契約另有規定外，本公司不負最低宣告利率保證之責。</t>
    <phoneticPr fontId="4" type="noConversion"/>
  </si>
  <si>
    <t>‧上表保險年齡15歲以下(含15歲)之身故/完全殘廢保障數值，為按年繳計算之所繳保險費總和，不含加計利息的部分，</t>
    <phoneticPr fontId="4" type="noConversion"/>
  </si>
  <si>
    <t>年</t>
  </si>
  <si>
    <t>‧投保後解約或不繼續繳費可能不利消費者，請慎選符合需求之保險商品。</t>
    <phoneticPr fontId="4" type="noConversion"/>
  </si>
  <si>
    <t>第一頁 上一頁 下一頁 最後一頁  目前在：第5頁 / 總共：41頁 跳：至第</t>
  </si>
  <si>
    <t>第一頁 上一頁 下一頁 最後一頁  目前在：第6頁 / 總共：41頁 跳：至第</t>
  </si>
  <si>
    <t xml:space="preserve">103 / 5 </t>
  </si>
  <si>
    <t>下一頁 最後一頁  目前在：第1頁 / 總共：41頁 跳：至第</t>
  </si>
  <si>
    <t>宣告利率網頁</t>
    <phoneticPr fontId="4" type="noConversion"/>
  </si>
  <si>
    <t>XSH</t>
    <phoneticPr fontId="4" type="noConversion"/>
  </si>
  <si>
    <t>PVFB</t>
    <phoneticPr fontId="4" type="noConversion"/>
  </si>
  <si>
    <t>第0年繳清保價</t>
  </si>
  <si>
    <t>第1年繳清保價</t>
  </si>
  <si>
    <t>第2年繳清保價</t>
  </si>
  <si>
    <t>第3年繳清保價</t>
  </si>
  <si>
    <t>第4年繳清保價</t>
  </si>
  <si>
    <t>第5年繳清保價</t>
  </si>
  <si>
    <t>第6年繳清保價</t>
  </si>
  <si>
    <t>第7年繳清保價</t>
  </si>
  <si>
    <t>第8年繳清保價</t>
  </si>
  <si>
    <t>第9年繳清保價</t>
  </si>
  <si>
    <t>第10年繳清保價</t>
  </si>
  <si>
    <t>第11年繳清保價</t>
  </si>
  <si>
    <t>第12年繳清保價</t>
  </si>
  <si>
    <t>第13年繳清保價</t>
  </si>
  <si>
    <t>第14年繳清保價</t>
  </si>
  <si>
    <t>第15年繳清保價</t>
  </si>
  <si>
    <t>第16年繳清保價</t>
  </si>
  <si>
    <t>第17年繳清保價</t>
  </si>
  <si>
    <t>第18年繳清保價</t>
  </si>
  <si>
    <t>第19年繳清保價</t>
  </si>
  <si>
    <t>第20年繳清保價</t>
  </si>
  <si>
    <t>第21年繳清保價</t>
  </si>
  <si>
    <t>第22年繳清保價</t>
  </si>
  <si>
    <t>第23年繳清保價</t>
  </si>
  <si>
    <t>第24年繳清保價</t>
  </si>
  <si>
    <t>第25年繳清保價</t>
  </si>
  <si>
    <t>第26年繳清保價</t>
  </si>
  <si>
    <t>第27年繳清保價</t>
  </si>
  <si>
    <t>第28年繳清保價</t>
  </si>
  <si>
    <t>第29年繳清保價</t>
  </si>
  <si>
    <t>第30年繳清保價</t>
  </si>
  <si>
    <t>第31年繳清保價</t>
  </si>
  <si>
    <t>第32年繳清保價</t>
  </si>
  <si>
    <t>第33年繳清保價</t>
  </si>
  <si>
    <t>第34年繳清保價</t>
  </si>
  <si>
    <t>第35年繳清保價</t>
  </si>
  <si>
    <t>第36年繳清保價</t>
  </si>
  <si>
    <t>第37年繳清保價</t>
  </si>
  <si>
    <t>第38年繳清保價</t>
  </si>
  <si>
    <t>第39年繳清保價</t>
  </si>
  <si>
    <t>第40年繳清保價</t>
  </si>
  <si>
    <t>第41年繳清保價</t>
  </si>
  <si>
    <t>第42年繳清保價</t>
  </si>
  <si>
    <t>第43年繳清保價</t>
  </si>
  <si>
    <t>第44年繳清保價</t>
  </si>
  <si>
    <t>第45年繳清保價</t>
  </si>
  <si>
    <t>第46年繳清保價</t>
  </si>
  <si>
    <t>第47年繳清保價</t>
  </si>
  <si>
    <t>第48年繳清保價</t>
  </si>
  <si>
    <t>第49年繳清保價</t>
  </si>
  <si>
    <t>第50年繳清保價</t>
  </si>
  <si>
    <t>第51年繳清保價</t>
  </si>
  <si>
    <t>第52年繳清保價</t>
  </si>
  <si>
    <t>第53年繳清保價</t>
  </si>
  <si>
    <t>第54年繳清保價</t>
  </si>
  <si>
    <t>第55年繳清保價</t>
  </si>
  <si>
    <t>第56年繳清保價</t>
  </si>
  <si>
    <t>第57年繳清保價</t>
  </si>
  <si>
    <t>第58年繳清保價</t>
  </si>
  <si>
    <t>第59年繳清保價</t>
  </si>
  <si>
    <t>第60年繳清保價</t>
  </si>
  <si>
    <t>第61年繳清保價</t>
  </si>
  <si>
    <t>第62年繳清保價</t>
  </si>
  <si>
    <t>第63年繳清保價</t>
  </si>
  <si>
    <t>第64年繳清保價</t>
  </si>
  <si>
    <t>第65年繳清保價</t>
  </si>
  <si>
    <t>第66年繳清保價</t>
  </si>
  <si>
    <t>第67年繳清保價</t>
  </si>
  <si>
    <t>第68年繳清保價</t>
  </si>
  <si>
    <t>第69年繳清保價</t>
  </si>
  <si>
    <t>第70年繳清保價</t>
  </si>
  <si>
    <t>第71年繳清保價</t>
  </si>
  <si>
    <t>第72年繳清保價</t>
  </si>
  <si>
    <t>第73年繳清保價</t>
  </si>
  <si>
    <t>第74年繳清保價</t>
  </si>
  <si>
    <t>第75年繳清保價</t>
  </si>
  <si>
    <t>第76年繳清保價</t>
  </si>
  <si>
    <t>第77年繳清保價</t>
  </si>
  <si>
    <t>第78年繳清保價</t>
  </si>
  <si>
    <t>第79年繳清保價</t>
  </si>
  <si>
    <t>第80年繳清保價</t>
  </si>
  <si>
    <t>第81年繳清保價</t>
  </si>
  <si>
    <t>第82年繳清保價</t>
  </si>
  <si>
    <t>第83年繳清保價</t>
  </si>
  <si>
    <t>第84年繳清保價</t>
  </si>
  <si>
    <t>第85年繳清保價</t>
  </si>
  <si>
    <t>第86年繳清保價</t>
  </si>
  <si>
    <t>第87年繳清保價</t>
  </si>
  <si>
    <t>第88年繳清保價</t>
  </si>
  <si>
    <t>第89年繳清保價</t>
  </si>
  <si>
    <t>第90年繳清保價</t>
  </si>
  <si>
    <t>第91年繳清保價</t>
  </si>
  <si>
    <t>第92年繳清保價</t>
  </si>
  <si>
    <t>第93年繳清保價</t>
  </si>
  <si>
    <t>第94年繳清保價</t>
  </si>
  <si>
    <t>第95年繳清保價</t>
  </si>
  <si>
    <t>第96年繳清保價</t>
  </si>
  <si>
    <t>第97年繳清保價</t>
  </si>
  <si>
    <t>第98年繳清保價</t>
  </si>
  <si>
    <t>第99年繳清保價</t>
  </si>
  <si>
    <t>第100年繳清保價</t>
  </si>
  <si>
    <t>第101年繳清保價</t>
  </si>
  <si>
    <t>第102年繳清保價</t>
  </si>
  <si>
    <t>第103年繳清保價</t>
  </si>
  <si>
    <t>第104年繳清保價</t>
  </si>
  <si>
    <t>第105年繳清保價</t>
  </si>
  <si>
    <t>第106年繳清保價</t>
  </si>
  <si>
    <t>第107年繳清保價</t>
  </si>
  <si>
    <t>第108年繳清保價</t>
  </si>
  <si>
    <t>第109年繳清保價</t>
  </si>
  <si>
    <t>第110年繳清保價</t>
  </si>
  <si>
    <t>第111年繳清保價</t>
  </si>
  <si>
    <t>低額限制：</t>
    <phoneticPr fontId="4" type="noConversion"/>
  </si>
  <si>
    <t>可變更年度：</t>
    <phoneticPr fontId="4" type="noConversion"/>
  </si>
  <si>
    <t>強制10年結束全數領回→</t>
    <phoneticPr fontId="4" type="noConversion"/>
  </si>
  <si>
    <t>強制變更年度重新計算</t>
    <phoneticPr fontId="4" type="noConversion"/>
  </si>
  <si>
    <t>購買增額繳清保險</t>
    <phoneticPr fontId="4" type="noConversion"/>
  </si>
  <si>
    <t>DIE2</t>
    <phoneticPr fontId="4" type="noConversion"/>
  </si>
  <si>
    <t>回饋分享金</t>
    <phoneticPr fontId="4" type="noConversion"/>
  </si>
  <si>
    <t>8/28原16歲加計回饋金
更新為全年齡加計解約金計算
8/29-16改回加回饋金
8/29-16down不加</t>
    <phoneticPr fontId="4" type="noConversion"/>
  </si>
  <si>
    <t>顯示四捨五入到元</t>
    <phoneticPr fontId="4" type="noConversion"/>
  </si>
  <si>
    <t>年度末
解約金
( B )</t>
    <phoneticPr fontId="4" type="noConversion"/>
  </si>
  <si>
    <t>年度</t>
    <phoneticPr fontId="79" type="noConversion"/>
  </si>
  <si>
    <t>保險
年齡</t>
    <phoneticPr fontId="79" type="noConversion"/>
  </si>
  <si>
    <t>計算至小數點後10位</t>
    <phoneticPr fontId="4" type="noConversion"/>
  </si>
  <si>
    <t>PVFB</t>
    <phoneticPr fontId="4" type="noConversion"/>
  </si>
  <si>
    <t>die2</t>
    <phoneticPr fontId="4" type="noConversion"/>
  </si>
  <si>
    <t>16前抵繳下期保費</t>
    <phoneticPr fontId="4" type="noConversion"/>
  </si>
  <si>
    <t xml:space="preserve">   </t>
    <phoneticPr fontId="4" type="noConversion"/>
  </si>
  <si>
    <t>本金</t>
    <phoneticPr fontId="4" type="noConversion"/>
  </si>
  <si>
    <t>購買躉繳保險</t>
    <phoneticPr fontId="4" type="noConversion"/>
  </si>
  <si>
    <t>領前保價</t>
    <phoneticPr fontId="4" type="noConversion"/>
  </si>
  <si>
    <t>領後保價</t>
    <phoneticPr fontId="4" type="noConversion"/>
  </si>
  <si>
    <t>16歲前顯示累積回饋金
16歲後(保額/10000)*DIE</t>
    <phoneticPr fontId="4" type="noConversion"/>
  </si>
  <si>
    <t>累計回饋金</t>
    <phoneticPr fontId="4" type="noConversion"/>
  </si>
  <si>
    <t>累計回饋金儲存升息</t>
    <phoneticPr fontId="4" type="noConversion"/>
  </si>
  <si>
    <t>計算16歲前身故使用</t>
    <phoneticPr fontId="4" type="noConversion"/>
  </si>
  <si>
    <t>年次</t>
    <phoneticPr fontId="4" type="noConversion"/>
  </si>
  <si>
    <t>月次</t>
    <phoneticPr fontId="4" type="noConversion"/>
  </si>
  <si>
    <t>利息</t>
    <phoneticPr fontId="4" type="noConversion"/>
  </si>
  <si>
    <t>領回金額</t>
    <phoneticPr fontId="4" type="noConversion"/>
  </si>
  <si>
    <t>保險年齡</t>
    <phoneticPr fontId="4" type="noConversion"/>
  </si>
  <si>
    <t>KEY</t>
    <phoneticPr fontId="4" type="noConversion"/>
  </si>
  <si>
    <t>期末保價(萬)領前</t>
    <phoneticPr fontId="4" type="noConversion"/>
  </si>
  <si>
    <t>保額</t>
    <phoneticPr fontId="4" type="noConversion"/>
  </si>
  <si>
    <t>累積保額</t>
    <phoneticPr fontId="4" type="noConversion"/>
  </si>
  <si>
    <t>期末保價(萬)領後</t>
    <phoneticPr fontId="4" type="noConversion"/>
  </si>
  <si>
    <t>身故給付</t>
    <phoneticPr fontId="4" type="noConversion"/>
  </si>
  <si>
    <t>生存保險金給付</t>
    <phoneticPr fontId="4" type="noConversion"/>
  </si>
  <si>
    <t>16歲前計算身故</t>
    <phoneticPr fontId="4" type="noConversion"/>
  </si>
  <si>
    <t>16歲前計算回饋保價</t>
    <phoneticPr fontId="4" type="noConversion"/>
  </si>
  <si>
    <t>回饋</t>
    <phoneticPr fontId="4" type="noConversion"/>
  </si>
  <si>
    <t>年齡</t>
    <phoneticPr fontId="4" type="noConversion"/>
  </si>
  <si>
    <t>保費繳費</t>
    <phoneticPr fontId="4" type="noConversion"/>
  </si>
  <si>
    <t>實繳保費</t>
    <phoneticPr fontId="4" type="noConversion"/>
  </si>
  <si>
    <t>年度</t>
    <phoneticPr fontId="4" type="noConversion"/>
  </si>
  <si>
    <t>現金累積</t>
    <phoneticPr fontId="4" type="noConversion"/>
  </si>
  <si>
    <t>儲存升息</t>
    <phoneticPr fontId="4" type="noConversion"/>
  </si>
  <si>
    <t>9/9更正15歲起取解約金不取儲存升息金額</t>
    <phoneticPr fontId="81" type="noConversion"/>
  </si>
  <si>
    <t xml:space="preserve">  要保人。</t>
  </si>
  <si>
    <t xml:space="preserve">  不含加計利息部分。</t>
    <phoneticPr fontId="4" type="noConversion"/>
  </si>
  <si>
    <t>‧上表年度末增額繳清保險金額、年度末累積增額繳清保險金額、(D)欄、(E)欄，係已包含次一保單週年日始生效之增額</t>
  </si>
  <si>
    <t xml:space="preserve">  繳清保險金額，各項實際給付金額須以計算當時之實際累積增額繳清保險金額為準。</t>
  </si>
  <si>
    <t>‧上表年度末各項數值皆為假設數值，本表試算結果與實際系統計算結果可能有四捨五入之誤差，實際金額以給付當時系</t>
  </si>
  <si>
    <t xml:space="preserve">  統計算為主。</t>
  </si>
  <si>
    <t>主約代號：</t>
    <phoneticPr fontId="4" type="noConversion"/>
  </si>
  <si>
    <t>繳費年期：</t>
    <phoneticPr fontId="4" type="noConversion"/>
  </si>
  <si>
    <t>103 / 12 IWI</t>
    <phoneticPr fontId="4" type="noConversion"/>
  </si>
  <si>
    <t>預定利率</t>
    <phoneticPr fontId="4" type="noConversion"/>
  </si>
  <si>
    <t>－</t>
  </si>
  <si>
    <t>繳費年期主約代號</t>
    <phoneticPr fontId="4" type="noConversion"/>
  </si>
  <si>
    <t>年繳</t>
  </si>
  <si>
    <t>第1-6保單年度限購買增額繳清保險</t>
    <phoneticPr fontId="4" type="noConversion"/>
  </si>
  <si>
    <t>年度末
身故/完全殘廢
保障
( A )</t>
    <phoneticPr fontId="4" type="noConversion"/>
  </si>
  <si>
    <t>年度末
減額繳清保額</t>
    <phoneticPr fontId="4" type="noConversion"/>
  </si>
  <si>
    <t>1後2前</t>
    <phoneticPr fontId="4" type="noConversion"/>
  </si>
  <si>
    <t>被保險人：</t>
    <phoneticPr fontId="86" type="noConversion"/>
  </si>
  <si>
    <t>職業：</t>
    <phoneticPr fontId="86" type="noConversion"/>
  </si>
  <si>
    <t>要保人：</t>
    <phoneticPr fontId="86" type="noConversion"/>
  </si>
  <si>
    <t>風險屬性：</t>
    <phoneticPr fontId="86" type="noConversion"/>
  </si>
  <si>
    <t>單位名稱/代收區號：</t>
    <phoneticPr fontId="86" type="noConversion"/>
  </si>
  <si>
    <t>登錄證字號：</t>
    <phoneticPr fontId="86" type="noConversion"/>
  </si>
  <si>
    <t>保險公司名稱及概況</t>
    <phoneticPr fontId="4" type="noConversion"/>
  </si>
  <si>
    <t>保險商品/險種名稱</t>
    <phoneticPr fontId="4" type="noConversion"/>
  </si>
  <si>
    <t>保障範圍</t>
    <phoneticPr fontId="4" type="noConversion"/>
  </si>
  <si>
    <t>保險費及繳費年期</t>
    <phoneticPr fontId="4" type="noConversion"/>
  </si>
  <si>
    <t>與被保險人不同</t>
  </si>
  <si>
    <t>增值回饋分享金、所繳保險費加計利息的退還、身故保險金或喪葬費用保險金、完全殘廢保險金、祝壽保險金</t>
    <phoneticPr fontId="4" type="noConversion"/>
  </si>
  <si>
    <t>書面分析報告資料：</t>
    <phoneticPr fontId="4" type="noConversion"/>
  </si>
  <si>
    <t>1040407新增↓</t>
    <phoneticPr fontId="92" type="noConversion"/>
  </si>
  <si>
    <t>購買增額繳清保險</t>
    <phoneticPr fontId="92" type="noConversion"/>
  </si>
  <si>
    <t>設定條件</t>
    <phoneticPr fontId="92" type="noConversion"/>
  </si>
  <si>
    <t>no</t>
    <phoneticPr fontId="92" type="noConversion"/>
  </si>
  <si>
    <t>設定變動年齡</t>
    <phoneticPr fontId="92" type="noConversion"/>
  </si>
  <si>
    <t>變動年齡</t>
    <phoneticPr fontId="92" type="noConversion"/>
  </si>
  <si>
    <t>月</t>
  </si>
  <si>
    <t>年齡</t>
    <phoneticPr fontId="92" type="noConversion"/>
  </si>
  <si>
    <t>給付次數</t>
    <phoneticPr fontId="92" type="noConversion"/>
  </si>
  <si>
    <t>給付時間</t>
    <phoneticPr fontId="92" type="noConversion"/>
  </si>
  <si>
    <t>天數利率-1</t>
    <phoneticPr fontId="92" type="noConversion"/>
  </si>
  <si>
    <t>天數利率-2</t>
  </si>
  <si>
    <t>全月天數利率</t>
    <phoneticPr fontId="92" type="noConversion"/>
  </si>
  <si>
    <t>月開始日</t>
    <phoneticPr fontId="92" type="noConversion"/>
  </si>
  <si>
    <t>周月日</t>
    <phoneticPr fontId="92" type="noConversion"/>
  </si>
  <si>
    <t>月結束日</t>
    <phoneticPr fontId="92" type="noConversion"/>
  </si>
  <si>
    <t>第一段計息天數</t>
    <phoneticPr fontId="92" type="noConversion"/>
  </si>
  <si>
    <t>第二段計息天數</t>
    <phoneticPr fontId="92" type="noConversion"/>
  </si>
  <si>
    <t>總計息天數</t>
    <phoneticPr fontId="92" type="noConversion"/>
  </si>
  <si>
    <t>取位數</t>
    <phoneticPr fontId="92" type="noConversion"/>
  </si>
  <si>
    <t>年</t>
    <phoneticPr fontId="92" type="noConversion"/>
  </si>
  <si>
    <t>月</t>
    <phoneticPr fontId="92" type="noConversion"/>
  </si>
  <si>
    <t>一般</t>
    <phoneticPr fontId="92" type="noConversion"/>
  </si>
  <si>
    <t>key</t>
    <phoneticPr fontId="92" type="noConversion"/>
  </si>
  <si>
    <t>現金</t>
    <phoneticPr fontId="92" type="noConversion"/>
  </si>
  <si>
    <t>儲存</t>
    <phoneticPr fontId="92" type="noConversion"/>
  </si>
  <si>
    <t>回饋金-基</t>
    <phoneticPr fontId="92" type="noConversion"/>
  </si>
  <si>
    <t>回饋金-增</t>
    <phoneticPr fontId="92" type="noConversion"/>
  </si>
  <si>
    <t>利</t>
    <phoneticPr fontId="92" type="noConversion"/>
  </si>
  <si>
    <t>回饋分享金-累積</t>
    <phoneticPr fontId="92" type="noConversion"/>
  </si>
  <si>
    <t>計息-前</t>
    <phoneticPr fontId="92" type="noConversion"/>
  </si>
  <si>
    <t>計息-後</t>
    <phoneticPr fontId="92" type="noConversion"/>
  </si>
  <si>
    <t>回饋分享金-基</t>
    <phoneticPr fontId="92" type="noConversion"/>
  </si>
  <si>
    <t>領回金額</t>
    <phoneticPr fontId="92" type="noConversion"/>
  </si>
  <si>
    <t>16歲</t>
    <phoneticPr fontId="92" type="noConversion"/>
  </si>
  <si>
    <t>age</t>
    <phoneticPr fontId="92" type="noConversion"/>
  </si>
  <si>
    <t>年回饋金</t>
    <phoneticPr fontId="92" type="noConversion"/>
  </si>
  <si>
    <r>
      <t xml:space="preserve">(累積保額/10000)*領後保價
</t>
    </r>
    <r>
      <rPr>
        <sz val="12"/>
        <rFont val="新細明體"/>
        <family val="1"/>
        <charset val="136"/>
      </rPr>
      <t>1040908取小數3位</t>
    </r>
    <phoneticPr fontId="92" type="noConversion"/>
  </si>
  <si>
    <t>解約金</t>
    <phoneticPr fontId="92" type="noConversion"/>
  </si>
  <si>
    <t>期初=領後.期末=領前</t>
    <phoneticPr fontId="4" type="noConversion"/>
  </si>
  <si>
    <t>領前2.領後6</t>
    <phoneticPr fontId="4" type="noConversion"/>
  </si>
  <si>
    <t>計算回饋分享金保價取3位</t>
    <phoneticPr fontId="4" type="noConversion"/>
  </si>
  <si>
    <t>回饋分享金-增</t>
    <phoneticPr fontId="4" type="noConversion"/>
  </si>
  <si>
    <t>1019新算式=年度回饋分享金以每月實際天數計算滾存，期間如有回饋分享金加計當月破月利息後滾入計本息
顯示數值=上月末本息計算月初到周月日利息+新增回饋分享金</t>
    <phoneticPr fontId="4" type="noConversion"/>
  </si>
  <si>
    <t>前利息(顯示用數值)</t>
    <phoneticPr fontId="4" type="noConversion"/>
  </si>
  <si>
    <t>後利息(當月新增本息)</t>
    <phoneticPr fontId="4" type="noConversion"/>
  </si>
  <si>
    <t>全月利息</t>
    <phoneticPr fontId="4" type="noConversion"/>
  </si>
  <si>
    <t>1041019更新取位</t>
    <phoneticPr fontId="4" type="noConversion"/>
  </si>
  <si>
    <t>此欄位直接取用CV欄位數值</t>
    <phoneticPr fontId="4" type="noConversion"/>
  </si>
  <si>
    <t>不用</t>
    <phoneticPr fontId="4" type="noConversion"/>
  </si>
  <si>
    <t>此欄位直接取用CV欄位數值
此欄位X欄取値用</t>
    <phoneticPr fontId="4" type="noConversion"/>
  </si>
  <si>
    <t>取位</t>
    <phoneticPr fontId="4" type="noConversion"/>
  </si>
  <si>
    <t>key</t>
    <phoneticPr fontId="4" type="noConversion"/>
  </si>
  <si>
    <t>現金</t>
    <phoneticPr fontId="4" type="noConversion"/>
  </si>
  <si>
    <t>儲存</t>
    <phoneticPr fontId="4" type="noConversion"/>
  </si>
  <si>
    <t>回饋金-基</t>
    <phoneticPr fontId="4" type="noConversion"/>
  </si>
  <si>
    <t>回饋金-增</t>
    <phoneticPr fontId="4" type="noConversion"/>
  </si>
  <si>
    <t>利</t>
    <phoneticPr fontId="4" type="noConversion"/>
  </si>
  <si>
    <t>回饋分享金-累積</t>
    <phoneticPr fontId="4" type="noConversion"/>
  </si>
  <si>
    <t>回饋分享金</t>
    <phoneticPr fontId="4" type="noConversion"/>
  </si>
  <si>
    <t>16-一次轉出儲存數字
1040908轉換保額使用未處理數字
1016改使用處理後數字-無影響</t>
    <phoneticPr fontId="4" type="noConversion"/>
  </si>
  <si>
    <t>取位數→</t>
    <phoneticPr fontId="4" type="noConversion"/>
  </si>
  <si>
    <t>台幣9位，外幣10位</t>
    <phoneticPr fontId="4" type="noConversion"/>
  </si>
  <si>
    <t>商品別：</t>
    <phoneticPr fontId="4" type="noConversion"/>
  </si>
  <si>
    <t>保險年齡：</t>
    <phoneticPr fontId="4" type="noConversion"/>
  </si>
  <si>
    <t>保費：</t>
    <phoneticPr fontId="4" type="noConversion"/>
  </si>
  <si>
    <t>換算匯率：</t>
    <phoneticPr fontId="4" type="noConversion"/>
  </si>
  <si>
    <t>繳別：</t>
    <phoneticPr fontId="4" type="noConversion"/>
  </si>
  <si>
    <t>發單後是否需要電訪：</t>
    <phoneticPr fontId="4" type="noConversion"/>
  </si>
  <si>
    <t>電訪原因：</t>
    <phoneticPr fontId="4" type="noConversion"/>
  </si>
  <si>
    <t>※請注意！上述的電訪提醒僅針對本試算表所輸入的資料進行初步判斷，實際發單後是否須要電訪本公司將會另行通知。</t>
    <phoneticPr fontId="4" type="noConversion"/>
  </si>
  <si>
    <t>被保險人達70歲(含)以上且年繳保險費達10萬元(含)以上</t>
    <phoneticPr fontId="4" type="noConversion"/>
  </si>
  <si>
    <t>被保險人達70歲(含)以上且躉繳保險費達100萬(含)以上</t>
    <phoneticPr fontId="4" type="noConversion"/>
  </si>
  <si>
    <t>被保險人年齡達70歲(含)以上</t>
    <phoneticPr fontId="4" type="noConversion"/>
  </si>
  <si>
    <t>年繳保險費達新台幣30萬(含)以上</t>
    <phoneticPr fontId="4" type="noConversion"/>
  </si>
  <si>
    <t>躉繳保險費達新台幣100萬(含)以上</t>
    <phoneticPr fontId="4" type="noConversion"/>
  </si>
  <si>
    <t>姓名遮蔽用：中/英/數混合：前6碼"*"，中文：倒數第2碼"○"</t>
    <phoneticPr fontId="4" type="noConversion"/>
  </si>
  <si>
    <t>姓名：</t>
    <phoneticPr fontId="4" type="noConversion"/>
  </si>
  <si>
    <t>←輸入頁資料</t>
    <phoneticPr fontId="4" type="noConversion"/>
  </si>
  <si>
    <t>帶入資料</t>
    <phoneticPr fontId="4" type="noConversion"/>
  </si>
  <si>
    <t>判別不顯示(不判別)</t>
    <phoneticPr fontId="4" type="noConversion"/>
  </si>
  <si>
    <t>ID-11碼數字</t>
    <phoneticPr fontId="4" type="noConversion"/>
  </si>
  <si>
    <t>*</t>
  </si>
  <si>
    <t>ID-10碼</t>
    <phoneticPr fontId="4" type="noConversion"/>
  </si>
  <si>
    <t>**</t>
  </si>
  <si>
    <t>護照-9碼</t>
    <phoneticPr fontId="4" type="noConversion"/>
  </si>
  <si>
    <t>***</t>
  </si>
  <si>
    <t>****</t>
  </si>
  <si>
    <t>*****</t>
  </si>
  <si>
    <t>******</t>
  </si>
  <si>
    <t>空格位置</t>
    <phoneticPr fontId="4" type="noConversion"/>
  </si>
  <si>
    <t>簡寫</t>
    <phoneticPr fontId="4" type="noConversion"/>
  </si>
  <si>
    <t>1-中文-0-混合</t>
    <phoneticPr fontId="4" type="noConversion"/>
  </si>
  <si>
    <t>‧本險為利率變動型商品；宣告利率將隨經濟環境波動，除契約另有規定外，本公司不負最低宣告利率保證之責。上表</t>
  </si>
  <si>
    <t>上銀用</t>
    <phoneticPr fontId="4" type="noConversion"/>
  </si>
  <si>
    <t>5</t>
  </si>
  <si>
    <t>35</t>
  </si>
  <si>
    <t>65</t>
  </si>
  <si>
    <t>60</t>
  </si>
  <si>
    <t>試算日：</t>
  </si>
  <si>
    <t>錠嵂保經</t>
  </si>
  <si>
    <t>‧本人已將本試算表內容及注意事項向要保人親自告知</t>
    <phoneticPr fontId="4" type="noConversion"/>
  </si>
  <si>
    <t>‧本人已詳閱本試算表內容並同意提醒注意事項</t>
    <phoneticPr fontId="4" type="noConversion"/>
  </si>
  <si>
    <r>
      <t>業務員簽名：</t>
    </r>
    <r>
      <rPr>
        <b/>
        <u/>
        <sz val="10"/>
        <rFont val="新細明體"/>
        <family val="1"/>
        <charset val="136"/>
      </rPr>
      <t xml:space="preserve">                                                   .</t>
    </r>
    <phoneticPr fontId="4" type="noConversion"/>
  </si>
  <si>
    <r>
      <t>要保人簽名：</t>
    </r>
    <r>
      <rPr>
        <b/>
        <u/>
        <sz val="10"/>
        <rFont val="新細明體"/>
        <family val="1"/>
        <charset val="136"/>
      </rPr>
      <t xml:space="preserve">                                                   .</t>
    </r>
    <phoneticPr fontId="4" type="noConversion"/>
  </si>
  <si>
    <t>被保人：</t>
    <phoneticPr fontId="4" type="noConversion"/>
  </si>
  <si>
    <t>保險年齡：</t>
    <phoneticPr fontId="4" type="noConversion"/>
  </si>
  <si>
    <t>性別：</t>
    <phoneticPr fontId="4" type="noConversion"/>
  </si>
  <si>
    <t>被保險人</t>
    <phoneticPr fontId="4" type="noConversion"/>
  </si>
  <si>
    <t>保險種類</t>
    <phoneticPr fontId="4" type="noConversion"/>
  </si>
  <si>
    <t>險種代碼</t>
    <phoneticPr fontId="4" type="noConversion"/>
  </si>
  <si>
    <t>保額</t>
    <phoneticPr fontId="4" type="noConversion"/>
  </si>
  <si>
    <t>利     益     彙     總     表</t>
    <phoneticPr fontId="4" type="noConversion"/>
  </si>
  <si>
    <t>二至六級殘廢
豁免保險費</t>
    <phoneticPr fontId="4" type="noConversion"/>
  </si>
  <si>
    <t>被保險人於本契約有效且繳費期間內，致成保單條款附表所列二至六級殘廢程度之一者，經醫院醫師
診斷殘廢確定，本公司豁免殘廢診斷確定日後本契約續期應繳之各期保險費，本契約繼續有效。被保
險人本次事故如合併以前（不含本契約訂立前）的殘廢，符合保單條款附表所列二至六級殘廢程度之
一者，亦同。</t>
    <phoneticPr fontId="4" type="noConversion"/>
  </si>
  <si>
    <t>單位：元</t>
    <phoneticPr fontId="4" type="noConversion"/>
  </si>
  <si>
    <t>年度</t>
    <phoneticPr fontId="4" type="noConversion"/>
  </si>
  <si>
    <t>保險
年齡</t>
    <phoneticPr fontId="4" type="noConversion"/>
  </si>
  <si>
    <t>年度末減額
繳清保額</t>
    <phoneticPr fontId="4" type="noConversion"/>
  </si>
  <si>
    <t>年度末身故
/完全殘廢
保障
( A )</t>
    <phoneticPr fontId="4" type="noConversion"/>
  </si>
  <si>
    <t>年度末
解約金
( B )</t>
    <phoneticPr fontId="4" type="noConversion"/>
  </si>
  <si>
    <t>本試算表僅供參考，詳細商品內容及其變更，應以投保當時保單條款內容及本公司核保、保全作業規定為準。</t>
    <phoneticPr fontId="4" type="noConversion"/>
  </si>
  <si>
    <t>單位：元</t>
    <phoneticPr fontId="4" type="noConversion"/>
  </si>
  <si>
    <t>年度</t>
    <phoneticPr fontId="4" type="noConversion"/>
  </si>
  <si>
    <t>保險
年齡</t>
    <phoneticPr fontId="4" type="noConversion"/>
  </si>
  <si>
    <t>‧宣告利率並非固定利率，會隨本公司定期宣告而改變，宣告利率之下限亦可能因市場利率偏低，而導致無最低保證。</t>
    <phoneticPr fontId="4" type="noConversion"/>
  </si>
  <si>
    <t xml:space="preserve">  存生息之金額退還予要保人。</t>
  </si>
  <si>
    <t>‧上表年度末身故/完全殘廢時可領總金額欄位保險年齡15歲以下(含15歲)之保障數值，為按年繳計算之所繳保險費總和加</t>
  </si>
  <si>
    <t>‧上表年度末累積增額繳清保險金額、年度末身故/完全殘廢可領總金額、年度末解約可領總金額，係已包含次一保單週年</t>
  </si>
  <si>
    <t xml:space="preserve">  日始生效之增額繳清保險金額，各項實際給付金額須以計算當時之實際累積增額繳清保險金額為準。</t>
  </si>
  <si>
    <t>本試算表僅供參考，詳細商品內容及其變更，應以投保當時保單條款內容及本公司核保、保全作業規定為準。</t>
    <phoneticPr fontId="4" type="noConversion"/>
  </si>
  <si>
    <t>揭露事項：</t>
    <phoneticPr fontId="4" type="noConversion"/>
  </si>
  <si>
    <t>注意事項：</t>
    <phoneticPr fontId="4" type="noConversion"/>
  </si>
  <si>
    <t>‧人壽保險之死亡給付及年金保險之確定年金給付於被保險人死亡後給付於指定受益人者，依保險法第一百十二條規定不</t>
    <phoneticPr fontId="4" type="noConversion"/>
  </si>
  <si>
    <t xml:space="preserve">  得作為被保險人之遺產，惟如涉有規避遺產稅等稅捐情事者，稽徵機關仍得依據有關稅法規定或稅捐稽徵法第十二條之</t>
    <phoneticPr fontId="4" type="noConversion"/>
  </si>
  <si>
    <t xml:space="preserve">  一所定實質課稅原則辦理。相關實務案例請至富邦人壽官網詳閱。</t>
    <phoneticPr fontId="4" type="noConversion"/>
  </si>
  <si>
    <t>‧本商品為利率變動型商品；宣告利率將隨經濟環境波動，除契約另有規定外，本公司不負最低宣告利率保證之責。</t>
    <phoneticPr fontId="4" type="noConversion"/>
  </si>
  <si>
    <t>‧宣告利率並非固定利率，會隨本公司定期宣告而改變，宣告利率之下限亦可能因市場利率偏低，而導致無最低保證。</t>
    <phoneticPr fontId="4" type="noConversion"/>
  </si>
  <si>
    <t>‧本商品經富邦人壽合格簽署人員檢視其內容業已符合一般精算原則及保險法令，惟為確保權益，基於保險公司與消費者</t>
    <phoneticPr fontId="4" type="noConversion"/>
  </si>
  <si>
    <t xml:space="preserve">  衡平對等原則，消費者仍應詳加閱讀保險單條款與相關文件，審慎選擇保險商品。本商品如有虛偽不實或違法情事，應</t>
    <phoneticPr fontId="4" type="noConversion"/>
  </si>
  <si>
    <t xml:space="preserve">  由富邦人壽及負責人依法負責。</t>
    <phoneticPr fontId="4" type="noConversion"/>
  </si>
  <si>
    <t>‧投保後解約或不繼續繳費可能不利消費者，請慎選符合需求之保險商品。</t>
    <phoneticPr fontId="4" type="noConversion"/>
  </si>
  <si>
    <t>‧保險契約各項權利義務皆詳列於保單條款，消費者務必詳加閱讀了解，並把握保單契約撤銷之時效﹝收到保單翌日起算</t>
    <phoneticPr fontId="4" type="noConversion"/>
  </si>
  <si>
    <t xml:space="preserve">  十日內﹞。</t>
    <phoneticPr fontId="4" type="noConversion"/>
  </si>
  <si>
    <t>‧本商品保險保障部份受「財團法人保險安定基金」之「人身保險安定基金專戶」保障，並非存款，不受存款保險之保</t>
    <phoneticPr fontId="4" type="noConversion"/>
  </si>
  <si>
    <t xml:space="preserve">  障。</t>
    <phoneticPr fontId="4" type="noConversion"/>
  </si>
  <si>
    <t>‧本商品之保險契約由富邦人壽承保發單，招攬人員若為保險經紀人﹝或代理人﹞所屬業務員仍應受保險業務員管理規則</t>
    <phoneticPr fontId="4" type="noConversion"/>
  </si>
  <si>
    <t xml:space="preserve">  規範。</t>
    <phoneticPr fontId="4" type="noConversion"/>
  </si>
  <si>
    <t>本試算表僅供參考，詳細商品內容及其變更，應以投保當時保單條款內容及本公司核保、保全作業規定為準。</t>
    <phoneticPr fontId="4" type="noConversion"/>
  </si>
  <si>
    <t>基本保額</t>
    <phoneticPr fontId="4" type="noConversion"/>
  </si>
  <si>
    <t>累積增額繳清保險金額</t>
    <phoneticPr fontId="4" type="noConversion"/>
  </si>
  <si>
    <t>生存保險金</t>
    <phoneticPr fontId="4" type="noConversion"/>
  </si>
  <si>
    <t>累積已領生存保險金</t>
    <phoneticPr fontId="4" type="noConversion"/>
  </si>
  <si>
    <t>保險
年齡</t>
    <phoneticPr fontId="4" type="noConversion"/>
  </si>
  <si>
    <t>年度實繳保費</t>
    <phoneticPr fontId="4" type="noConversion"/>
  </si>
  <si>
    <t>累積實繳保費</t>
    <phoneticPr fontId="4" type="noConversion"/>
  </si>
  <si>
    <t>年度末
身故/完全殘廢保障
( A )</t>
    <phoneticPr fontId="4" type="noConversion"/>
  </si>
  <si>
    <t>年度末
繳清保額</t>
    <phoneticPr fontId="4" type="noConversion"/>
  </si>
  <si>
    <t>（四）病歷、醫療、健康檢查 。</t>
  </si>
  <si>
    <t>（五）要保書、要保文件等其他基於保險契約所提供之個人資料。</t>
  </si>
  <si>
    <t>←帶OP</t>
    <phoneticPr fontId="97" type="noConversion"/>
  </si>
  <si>
    <t>以下3欄要注意最下方要和右側揭露拉齊</t>
    <phoneticPr fontId="97" type="noConversion"/>
  </si>
  <si>
    <t>以下COPY-DB</t>
    <phoneticPr fontId="97" type="noConversion"/>
  </si>
  <si>
    <t>代表年齡第?小→</t>
    <phoneticPr fontId="97" type="noConversion"/>
  </si>
  <si>
    <t>年齡代號轉換</t>
    <phoneticPr fontId="97" type="noConversion"/>
  </si>
  <si>
    <t>KEY</t>
    <phoneticPr fontId="97" type="noConversion"/>
  </si>
  <si>
    <t>年齡</t>
    <phoneticPr fontId="97" type="noConversion"/>
  </si>
  <si>
    <t>年度</t>
    <phoneticPr fontId="97" type="noConversion"/>
  </si>
  <si>
    <t>繳費方式</t>
  </si>
  <si>
    <t>宣告利率</t>
  </si>
  <si>
    <t>繳費金額</t>
  </si>
  <si>
    <t>揭露利率</t>
  </si>
  <si>
    <t>性別男=1，女=2→</t>
    <phoneticPr fontId="97" type="noConversion"/>
  </si>
  <si>
    <t>取第?欄→</t>
    <phoneticPr fontId="97" type="noConversion"/>
  </si>
  <si>
    <t>第?小↓</t>
    <phoneticPr fontId="97" type="noConversion"/>
  </si>
  <si>
    <t>保單年度</t>
    <phoneticPr fontId="97" type="noConversion"/>
  </si>
  <si>
    <t>以上區域為帶入列印頁範圍</t>
    <phoneticPr fontId="97" type="noConversion"/>
  </si>
  <si>
    <t>轉換金額</t>
    <phoneticPr fontId="97" type="noConversion"/>
  </si>
  <si>
    <t>分期</t>
    <phoneticPr fontId="97" type="noConversion"/>
  </si>
  <si>
    <t>ㄧ次</t>
    <phoneticPr fontId="97" type="noConversion"/>
  </si>
  <si>
    <t>比例</t>
    <phoneticPr fontId="97" type="noConversion"/>
  </si>
  <si>
    <t>年</t>
    <phoneticPr fontId="97" type="noConversion"/>
  </si>
  <si>
    <t>分期最低金額</t>
    <phoneticPr fontId="97" type="noConversion"/>
  </si>
  <si>
    <t>半年</t>
    <phoneticPr fontId="97" type="noConversion"/>
  </si>
  <si>
    <t>年期</t>
    <phoneticPr fontId="97" type="noConversion"/>
  </si>
  <si>
    <t>季</t>
    <phoneticPr fontId="97" type="noConversion"/>
  </si>
  <si>
    <t>利率</t>
    <phoneticPr fontId="97" type="noConversion"/>
  </si>
  <si>
    <t>月</t>
    <phoneticPr fontId="97" type="noConversion"/>
  </si>
  <si>
    <t>期別</t>
    <phoneticPr fontId="97" type="noConversion"/>
  </si>
  <si>
    <t>精算公式→</t>
    <phoneticPr fontId="97" type="noConversion"/>
  </si>
  <si>
    <t>←精算換算比例(每萬元)</t>
    <phoneticPr fontId="97" type="noConversion"/>
  </si>
  <si>
    <t>←帶入換算比例(每元)</t>
    <phoneticPr fontId="97" type="noConversion"/>
  </si>
  <si>
    <t>定期定額-本利攤還</t>
    <phoneticPr fontId="97" type="noConversion"/>
  </si>
  <si>
    <t>給付金額/每期</t>
    <phoneticPr fontId="97" type="noConversion"/>
  </si>
  <si>
    <t>給付總額</t>
    <phoneticPr fontId="97" type="noConversion"/>
  </si>
  <si>
    <t>給付比例</t>
    <phoneticPr fontId="97" type="noConversion"/>
  </si>
  <si>
    <t>←自行計算換算比例</t>
    <phoneticPr fontId="97" type="noConversion"/>
  </si>
  <si>
    <t>定額不定期</t>
    <phoneticPr fontId="97" type="noConversion"/>
  </si>
  <si>
    <t>←帶入期付金額</t>
    <phoneticPr fontId="97" type="noConversion"/>
  </si>
  <si>
    <t>給付次數</t>
    <phoneticPr fontId="97" type="noConversion"/>
  </si>
  <si>
    <t>剩餘金額</t>
    <phoneticPr fontId="97" type="noConversion"/>
  </si>
  <si>
    <t>給付年次</t>
    <phoneticPr fontId="97" type="noConversion"/>
  </si>
  <si>
    <t>←自行計算給付年月數</t>
    <phoneticPr fontId="97" type="noConversion"/>
  </si>
  <si>
    <t>主約身故保障給付設定：</t>
    <phoneticPr fontId="97" type="noConversion"/>
  </si>
  <si>
    <t>指定保險金：</t>
    <phoneticPr fontId="97" type="noConversion"/>
  </si>
  <si>
    <t>職業等級</t>
  </si>
  <si>
    <t>年期</t>
  </si>
  <si>
    <t>保額代碼</t>
  </si>
  <si>
    <t>投保金額</t>
  </si>
  <si>
    <t/>
  </si>
  <si>
    <t>第1年祝壽保險金</t>
  </si>
  <si>
    <t>第2年祝壽保險金</t>
  </si>
  <si>
    <t>第3年祝壽保險金</t>
  </si>
  <si>
    <t>第4年祝壽保險金</t>
  </si>
  <si>
    <t>第5年祝壽保險金</t>
  </si>
  <si>
    <t>第6年祝壽保險金</t>
  </si>
  <si>
    <t>第7年祝壽保險金</t>
  </si>
  <si>
    <t>第8年祝壽保險金</t>
  </si>
  <si>
    <t>第9年祝壽保險金</t>
  </si>
  <si>
    <t>第10年祝壽保險金</t>
  </si>
  <si>
    <t>第11年祝壽保險金</t>
  </si>
  <si>
    <t>第12年祝壽保險金</t>
  </si>
  <si>
    <t>第13年祝壽保險金</t>
  </si>
  <si>
    <t>第14年祝壽保險金</t>
  </si>
  <si>
    <t>第15年祝壽保險金</t>
  </si>
  <si>
    <t>第16年祝壽保險金</t>
  </si>
  <si>
    <t>第17年祝壽保險金</t>
  </si>
  <si>
    <t>第18年祝壽保險金</t>
  </si>
  <si>
    <t>第19年祝壽保險金</t>
  </si>
  <si>
    <t>第20年祝壽保險金</t>
  </si>
  <si>
    <t>第21年祝壽保險金</t>
  </si>
  <si>
    <t>第22年祝壽保險金</t>
  </si>
  <si>
    <t>第23年祝壽保險金</t>
  </si>
  <si>
    <t>第24年祝壽保險金</t>
  </si>
  <si>
    <t>第25年祝壽保險金</t>
  </si>
  <si>
    <t>第26年祝壽保險金</t>
  </si>
  <si>
    <t>第27年祝壽保險金</t>
  </si>
  <si>
    <t>第28年祝壽保險金</t>
  </si>
  <si>
    <t>第29年祝壽保險金</t>
  </si>
  <si>
    <t>第30年祝壽保險金</t>
  </si>
  <si>
    <t>第31年祝壽保險金</t>
  </si>
  <si>
    <t>第32年祝壽保險金</t>
  </si>
  <si>
    <t>第33年祝壽保險金</t>
  </si>
  <si>
    <t>第34年祝壽保險金</t>
  </si>
  <si>
    <t>第35年祝壽保險金</t>
  </si>
  <si>
    <t>第36年祝壽保險金</t>
  </si>
  <si>
    <t>第37年祝壽保險金</t>
  </si>
  <si>
    <t>第38年祝壽保險金</t>
  </si>
  <si>
    <t>第39年祝壽保險金</t>
  </si>
  <si>
    <t>第40年祝壽保險金</t>
  </si>
  <si>
    <t>第41年祝壽保險金</t>
  </si>
  <si>
    <t>第42年祝壽保險金</t>
  </si>
  <si>
    <t>第43年祝壽保險金</t>
  </si>
  <si>
    <t>第44年祝壽保險金</t>
  </si>
  <si>
    <t>第45年祝壽保險金</t>
  </si>
  <si>
    <t>第46年祝壽保險金</t>
  </si>
  <si>
    <t>第47年祝壽保險金</t>
  </si>
  <si>
    <t>第48年祝壽保險金</t>
  </si>
  <si>
    <t>第49年祝壽保險金</t>
  </si>
  <si>
    <t>第50年祝壽保險金</t>
  </si>
  <si>
    <t>第51年祝壽保險金</t>
  </si>
  <si>
    <t>第52年祝壽保險金</t>
  </si>
  <si>
    <t>第53年祝壽保險金</t>
  </si>
  <si>
    <t>第54年祝壽保險金</t>
  </si>
  <si>
    <t>第55年祝壽保險金</t>
  </si>
  <si>
    <t>第56年祝壽保險金</t>
  </si>
  <si>
    <t>第57年祝壽保險金</t>
  </si>
  <si>
    <t>第58年祝壽保險金</t>
  </si>
  <si>
    <t>第59年祝壽保險金</t>
  </si>
  <si>
    <t>第60年祝壽保險金</t>
  </si>
  <si>
    <t>第61年祝壽保險金</t>
  </si>
  <si>
    <t>第62年祝壽保險金</t>
  </si>
  <si>
    <t>第63年祝壽保險金</t>
  </si>
  <si>
    <t>第64年祝壽保險金</t>
  </si>
  <si>
    <t>第65年祝壽保險金</t>
  </si>
  <si>
    <t>第66年祝壽保險金</t>
  </si>
  <si>
    <t>第67年祝壽保險金</t>
  </si>
  <si>
    <t>第68年祝壽保險金</t>
  </si>
  <si>
    <t>第69年祝壽保險金</t>
  </si>
  <si>
    <t>第70年祝壽保險金</t>
  </si>
  <si>
    <t>第71年祝壽保險金</t>
  </si>
  <si>
    <t>第72年祝壽保險金</t>
  </si>
  <si>
    <t>第73年祝壽保險金</t>
  </si>
  <si>
    <t>第74年祝壽保險金</t>
  </si>
  <si>
    <t>第75年祝壽保險金</t>
  </si>
  <si>
    <t>第76年祝壽保險金</t>
  </si>
  <si>
    <t>第77年祝壽保險金</t>
  </si>
  <si>
    <t>第78年祝壽保險金</t>
  </si>
  <si>
    <t>第79年祝壽保險金</t>
  </si>
  <si>
    <t>第80年祝壽保險金</t>
  </si>
  <si>
    <t>第81年祝壽保險金</t>
  </si>
  <si>
    <t>第82年祝壽保險金</t>
  </si>
  <si>
    <t>第83年祝壽保險金</t>
  </si>
  <si>
    <t>第84年祝壽保險金</t>
  </si>
  <si>
    <t>第85年祝壽保險金</t>
  </si>
  <si>
    <t>第86年祝壽保險金</t>
  </si>
  <si>
    <t>第87年祝壽保險金</t>
  </si>
  <si>
    <t>第88年祝壽保險金</t>
  </si>
  <si>
    <t>第89年祝壽保險金</t>
  </si>
  <si>
    <t>第90年祝壽保險金</t>
  </si>
  <si>
    <t>第91年祝壽保險金</t>
  </si>
  <si>
    <t>第92年祝壽保險金</t>
  </si>
  <si>
    <t>第93年祝壽保險金</t>
  </si>
  <si>
    <t>第94年祝壽保險金</t>
  </si>
  <si>
    <t>第95年祝壽保險金</t>
  </si>
  <si>
    <t>第96年祝壽保險金</t>
  </si>
  <si>
    <t>第97年祝壽保險金</t>
  </si>
  <si>
    <t>第98年祝壽保險金</t>
  </si>
  <si>
    <t>第99年祝壽保險金</t>
  </si>
  <si>
    <t>第100年祝壽保險金</t>
  </si>
  <si>
    <t>第101年祝壽保險金</t>
  </si>
  <si>
    <t>第102年祝壽保險金</t>
  </si>
  <si>
    <t>第103年祝壽保險金</t>
  </si>
  <si>
    <t>第104年祝壽保險金</t>
  </si>
  <si>
    <t>第105年祝壽保險金</t>
  </si>
  <si>
    <t>第106年祝壽保險金</t>
  </si>
  <si>
    <t>第107年祝壽保險金</t>
  </si>
  <si>
    <t>第108年祝壽保險金</t>
  </si>
  <si>
    <t>第109年祝壽保險金</t>
  </si>
  <si>
    <t>第110年祝壽保險金</t>
  </si>
  <si>
    <t>第111年祝壽保險金</t>
  </si>
  <si>
    <t>97.49%</t>
  </si>
  <si>
    <t xml:space="preserve">
身故保障=基本保額+增購保額-最後一年回饋金(增購保額)
ㄧ次給付身故=身故保障*比例PYO+回饋金+最後一年回饋金(增購保額)
分期給付=身故保障*比例PYY</t>
    <phoneticPr fontId="97" type="noConversion"/>
  </si>
  <si>
    <t>單位：元</t>
    <phoneticPr fontId="97" type="noConversion"/>
  </si>
  <si>
    <t>年度末身故/完全殘廢時可領金額</t>
    <phoneticPr fontId="97" type="noConversion"/>
  </si>
  <si>
    <t>‧上表保險年齡15歲以下(含15歲)之年度末身故/完全殘廢時可領金額數值，為按年繳計算之所繳保險費總和加計增值回</t>
  </si>
  <si>
    <t xml:space="preserve">  饋分享金扣除抵繳保費後之總和，不含加計利息的部分，若有加計利息，則實際理賠金額依條款約定辦理。</t>
  </si>
  <si>
    <t>本試算表僅供參考，詳細商品內容及其變更，應以投保當時保單條款內容及本公司核保、保全作業規定為準。</t>
    <phoneticPr fontId="97" type="noConversion"/>
  </si>
  <si>
    <t>單位：元</t>
    <phoneticPr fontId="97" type="noConversion"/>
  </si>
  <si>
    <t>年度末身故/完全殘廢時可領金額</t>
    <phoneticPr fontId="97" type="noConversion"/>
  </si>
  <si>
    <t>本試算表僅供參考，詳細商品內容及其變更，應以投保當時保單條款內容及本公司核保、保全作業規定為準。</t>
    <phoneticPr fontId="97" type="noConversion"/>
  </si>
  <si>
    <t>免費申訴電話:0809-000550</t>
  </si>
  <si>
    <t>‧期末總保單價值準備金：係指本契約有效期間內，按每一保單年度屆滿當時之保險金額及累計增加保險金額計算該保</t>
  </si>
  <si>
    <t xml:space="preserve">  單年度的期末總保單價值準備金之值。</t>
  </si>
  <si>
    <t xml:space="preserve">  一銀行及合作金庫等三銀行上月月初(第一個營業日)牌告之二年期定期儲蓄存款最高固定年利率之平均值及本公司運</t>
  </si>
  <si>
    <t xml:space="preserve">  用此類商品所累積資產的實際狀況而訂定。本契約宣告利率公告於本公司網站（http://www.fubon.com）。</t>
  </si>
  <si>
    <t xml:space="preserve">  本公司於本契約有效期間內之每一保單年度屆滿時，按各該保單年度始日當月之宣告利率減去本契約預定利率（2％）</t>
  </si>
  <si>
    <t xml:space="preserve">  之差值（宣告利率若低於本契約之預定利率，則以本契約之預定利率為準），乘以同年度期末總保單價值準備金後所得</t>
  </si>
  <si>
    <t xml:space="preserve">  方式辦理；倘因繳費期間已屆滿而無法抵繳保險費者，則改依第二款第一目之約定，以儲存生息之方式至被保險人保險</t>
  </si>
  <si>
    <t xml:space="preserve">  年齡到達十六歲止，並就累計儲存生息之金額一次購買增額繳清保險金額，其後保單年度仍依本款約定辦理。保險期間</t>
  </si>
  <si>
    <t xml:space="preserve">  給付：</t>
  </si>
  <si>
    <t xml:space="preserve">  齡到達五十五歲者，要保人得以書面向本公司申請，改以每一保單週月日當時總保險金額對應之期末總保單價值準備金，</t>
  </si>
  <si>
    <t>‧分期定期保險金：要保人選擇本契約身故保險金或完全殘廢保險金為分期定期給付者，本公司於分期定期給付開始日及</t>
  </si>
  <si>
    <t>‧保險給付的限制：本公司依保單條款約定給付所繳保險費加計利息的退還、身故保險金或喪葬費用保險金、完全殘廢</t>
  </si>
  <si>
    <t xml:space="preserve">  保險金、祝壽保險金其中一項保險金者，不再負各項保險金給付之責。</t>
  </si>
  <si>
    <t xml:space="preserve">  相關資訊，請洽本公司業務員、服務中心(免費服務及申訴電話：0809-000-550)或網站(www.fubon.com)，以保障您</t>
    <phoneticPr fontId="4" type="noConversion"/>
  </si>
  <si>
    <t xml:space="preserve">  的權益。</t>
    <phoneticPr fontId="4" type="noConversion"/>
  </si>
  <si>
    <t>ㄧ次給付
(預估值)</t>
    <phoneticPr fontId="4" type="noConversion"/>
  </si>
  <si>
    <t>增值回饋分享金給付方式：</t>
    <phoneticPr fontId="4" type="noConversion"/>
  </si>
  <si>
    <t>客戶計畫繳交保費(元)：</t>
    <phoneticPr fontId="4" type="noConversion"/>
  </si>
  <si>
    <t>換算可購買保額(萬)：</t>
    <phoneticPr fontId="4" type="noConversion"/>
  </si>
  <si>
    <t>計畫繳交保費換算保額未考慮保費折扣條件</t>
    <phoneticPr fontId="4" type="noConversion"/>
  </si>
  <si>
    <t>台幣=1，外幣=2</t>
    <phoneticPr fontId="4" type="noConversion"/>
  </si>
  <si>
    <t>新臺幣</t>
  </si>
  <si>
    <t>←設定幣別</t>
    <phoneticPr fontId="4" type="noConversion"/>
  </si>
  <si>
    <t>台幣</t>
    <phoneticPr fontId="4" type="noConversion"/>
  </si>
  <si>
    <t>外幣</t>
    <phoneticPr fontId="4" type="noConversion"/>
  </si>
  <si>
    <t>分期低額</t>
    <phoneticPr fontId="4" type="noConversion"/>
  </si>
  <si>
    <t>每期</t>
    <phoneticPr fontId="4" type="noConversion"/>
  </si>
  <si>
    <t>指定</t>
    <phoneticPr fontId="4" type="noConversion"/>
  </si>
  <si>
    <t>新臺幣</t>
    <phoneticPr fontId="4" type="noConversion"/>
  </si>
  <si>
    <t>美元</t>
  </si>
  <si>
    <t>澳幣</t>
  </si>
  <si>
    <t>人民幣</t>
  </si>
  <si>
    <t>保費</t>
    <phoneticPr fontId="4" type="noConversion"/>
  </si>
  <si>
    <t>換算1</t>
    <phoneticPr fontId="4" type="noConversion"/>
  </si>
  <si>
    <t>換算2加計折扣</t>
    <phoneticPr fontId="4" type="noConversion"/>
  </si>
  <si>
    <t>增額繳清保險金額年度末保單價值準備金
(每萬元保額)</t>
  </si>
  <si>
    <t>累積增額繳清保險金額</t>
  </si>
  <si>
    <t>‧上表ㄧ次給付欄位數值包含保險金額及增額繳清保額之身故/完全殘廢保障乘上(1-指定保險金比例)及依約定給付之增</t>
    <phoneticPr fontId="4" type="noConversion"/>
  </si>
  <si>
    <t xml:space="preserve">  分期定期給付開始日之每一週年日，依分期定期保險金給付期間及保單條款定義之分期定期保險金預定利率將指定保險</t>
  </si>
  <si>
    <t xml:space="preserve">  金換算成每年初應給付之金額，按約定將每期分期定期保險金給付予受益人。分期定期保險金給付期間屆滿時，本契約</t>
  </si>
  <si>
    <t xml:space="preserve">  即行終止。</t>
  </si>
  <si>
    <t>‧分期定期保險金給付約定之變更、終止及其限制：本契約有效期間內，要保人得於保險事故發生前變更或終止約定分期</t>
  </si>
  <si>
    <t xml:space="preserve">  定期保險金給付。</t>
    <phoneticPr fontId="4" type="noConversion"/>
  </si>
  <si>
    <t xml:space="preserve">  一次給付指定保險金予本契約受益人，分期定期給付之約定即行終止。</t>
    <phoneticPr fontId="4" type="noConversion"/>
  </si>
  <si>
    <t xml:space="preserve">  本契約於分期定期保險金給付期間，要保人不得變更或終止本契約，且不得以保險契約為質，向本公司借款。</t>
    <phoneticPr fontId="4" type="noConversion"/>
  </si>
  <si>
    <t xml:space="preserve">  值增值回饋分享金，分期給付欄位包含保險金額及增額繳清保額之身故/完全殘廢保障乘上指定保險金比例。</t>
  </si>
  <si>
    <t xml:space="preserve">  率依本公司公告為主。增值回饋分享金為預估數值，實際數值會因宣告利率不同而更高或更低。</t>
  </si>
  <si>
    <t>‧增值回饋分享金採購買增額繳清保險金額時，於保險期間屆滿當年度末之增值回饋分享金將於保險期間屆滿時給付，</t>
  </si>
  <si>
    <t>‧身故保險金若被保險人未滿十五足歲前身故者，將以「所繳保險費加計利息」及增值回饋分享金儲存生息之金額退還予</t>
  </si>
  <si>
    <t xml:space="preserve">  上表之ㄧ次給付(預估值)欄位已包含該年度末之增值回饋分享金。</t>
  </si>
  <si>
    <t>給付項目：增值回饋分享金、所繳保險費加計利息的退還、身故保險金或喪葬費用保險金、完全殘廢保險金、祝壽保險金</t>
  </si>
  <si>
    <t>‧增值回饋分享金的給付</t>
  </si>
  <si>
    <t xml:space="preserve">  之數值為增值回饋分享金，並依下列約定辦理：</t>
  </si>
  <si>
    <t xml:space="preserve">  一、購買增額繳清保險金額：本公司於每一保單週年日將前一保單年度之增值回饋分享金作為躉繳純保險費，計算自該</t>
  </si>
  <si>
    <t xml:space="preserve">  保單週年日當日起生效之增額繳清保險金額。但被保險人保險年齡到達十六歲前之增值回饋分享金，應採抵繳保險費之</t>
  </si>
  <si>
    <t xml:space="preserve">  屆滿當年之增值回饋分享金將於保險期間屆滿時給付。</t>
  </si>
  <si>
    <t xml:space="preserve">  二、要保人得以書面方式申請，將第七保單年度起且被保險人保險年齡到達十六歲者之增值回饋分享金，改以下列方式</t>
  </si>
  <si>
    <t xml:space="preserve">  (一)儲存生息：各保單年度之增值回饋分享金，將按每月之宣告利率，逐月以日單利月複利方式儲存生息至要保人請求</t>
  </si>
  <si>
    <t xml:space="preserve">  (二)現金給付：本公司於每一保單週年日依本契約約定給付前一保單年度之增值回饋分享金予要保人。被保險人保險年</t>
  </si>
  <si>
    <t xml:space="preserve">  按前述計算增值回饋分享金之方式所得之金額，再除以十二後所得之數值，每月給付前一個月之增值回饋分享金予要保</t>
  </si>
  <si>
    <t xml:space="preserve">  人。但若該保單週月日與保單週年日為相同之日者，該保單週月日之增值回饋分享金，則以前一年度期末總保單價值準</t>
  </si>
  <si>
    <t xml:space="preserve">  本公司依條款約定解除本契約時，不負給付增值回饋分享金之責任。</t>
  </si>
  <si>
    <t>‧身故/完全殘廢保險金若被保險人未滿十五足歲前身故/完全殘廢者，將以「所繳保險費加計利息」及增值回饋分享金儲</t>
  </si>
  <si>
    <t xml:space="preserve">  上增值回饋分享金扣除抵繳保費後之總和，不含加計利息的部分，若有加計利息，則實際理賠金額依條款約定辦理。</t>
  </si>
  <si>
    <t>‧增值回饋分享金採購買增額繳清保險金額時，於保險期間屆滿當年度末之增值回饋分享金將於保險期間屆滿時給付，上</t>
  </si>
  <si>
    <t xml:space="preserve">  表之增額繳清保險金額祝壽保險金已含該年度末之增值回饋分享金。</t>
  </si>
  <si>
    <t>‧上表(D)欄數值，於保險年齡15歲以下(含15歲）之身故/完全殘廢保障數值，為增值回饋分享金扣除抵繳保費後之總和，</t>
  </si>
  <si>
    <t xml:space="preserve">  上表之(D)欄、(E)欄及增額繳清保險金額祝壽保險金已含該年度末之增值回饋分享金。</t>
  </si>
  <si>
    <t>保險金分期定期給付說明(預估值)</t>
  </si>
  <si>
    <t>增值增值回饋分享金利益彙總表(預估值)</t>
  </si>
  <si>
    <t xml:space="preserve">  時給付，或至本契約終止或應給付各項保險金時一併給付。但被保險人保險年齡到達十六歲前要保人不得請求給付。被</t>
  </si>
  <si>
    <t xml:space="preserve">  保險人保險年齡到達五十五歲者，要保人得以書面向本公司申請，改以每一保單週月日當時總保險金額對應之期末總保</t>
  </si>
  <si>
    <t xml:space="preserve">  單價值準備金，按前述計算增值回饋分享金之方式所得之金額，再除以十二後所得之數值，逐月以日單利月複利方式儲</t>
  </si>
  <si>
    <t xml:space="preserve">  存生息至要保人請求時給付，或至本契約終止或應給付各項保險金時一併給付。但若該保單週月日與保單週年日為相同</t>
  </si>
  <si>
    <t xml:space="preserve">  之日者，該保單週月日之增值回饋分享金，則以前一年度期末總保單價值準備金之值計算。</t>
  </si>
  <si>
    <t xml:space="preserve">  備金之值計算。保險期間屆滿當次之增值回饋分享金將於保險期間屆滿之翌日給付。</t>
    <phoneticPr fontId="4" type="noConversion"/>
  </si>
  <si>
    <t>IWT</t>
    <phoneticPr fontId="4" type="noConversion"/>
  </si>
  <si>
    <t>IWT</t>
    <phoneticPr fontId="4" type="noConversion"/>
  </si>
  <si>
    <t>富邦人壽好吉利利率變動型增額終身壽險</t>
    <phoneticPr fontId="4" type="noConversion"/>
  </si>
  <si>
    <t>V1.0-1060217</t>
    <phoneticPr fontId="4" type="noConversion"/>
  </si>
  <si>
    <t>富邦人壽好吉利利率變動型增額終身壽險(IWT)</t>
    <phoneticPr fontId="4" type="noConversion"/>
  </si>
  <si>
    <t>富邦人壽好吉利利率變動型增額終身壽險(IWT)</t>
    <phoneticPr fontId="4" type="noConversion"/>
  </si>
  <si>
    <t>‧宣告利率：係指本公司於每月第一個營業日宣告用以計算及累積增值回饋分享金之利率。該利率係參考臺灣銀行、第</t>
    <phoneticPr fontId="4" type="noConversion"/>
  </si>
  <si>
    <t>‧保單週月日：係指本契約被保險人保險年齡到達五十五歲之保單週年日起每隔一月的相當日期，如該月無相當日期，則</t>
    <phoneticPr fontId="4" type="noConversion"/>
  </si>
  <si>
    <t xml:space="preserve">  以該月最後一日為保單週月日。</t>
    <phoneticPr fontId="4" type="noConversion"/>
  </si>
  <si>
    <t>商品文號：106.02.17富壽商精字第1060000278號函備查</t>
    <phoneticPr fontId="4" type="noConversion"/>
  </si>
  <si>
    <t>保額輸入檢核</t>
    <phoneticPr fontId="123" type="noConversion"/>
  </si>
  <si>
    <t>‧消費者於購買前，應詳閱各種銷售文件內容，本商品之預定附加費用率，最高9.13%，最低7.05%；如要詳細了解其他</t>
    <phoneticPr fontId="4" type="noConversion"/>
  </si>
  <si>
    <t>IWT06</t>
  </si>
  <si>
    <t>IWT</t>
  </si>
  <si>
    <t>6IWT</t>
  </si>
  <si>
    <t>89.23%</t>
  </si>
  <si>
    <t>98.84%</t>
  </si>
  <si>
    <t>103.02%</t>
  </si>
  <si>
    <t>107.36%</t>
  </si>
  <si>
    <t>89.30%</t>
  </si>
  <si>
    <t>98.92%</t>
  </si>
  <si>
    <t>103.10%</t>
  </si>
  <si>
    <t>107.45%</t>
  </si>
  <si>
    <t>88.20%</t>
  </si>
  <si>
    <t>101.61%</t>
  </si>
  <si>
    <t>105.90%</t>
  </si>
  <si>
    <t>89.27%</t>
  </si>
  <si>
    <t>98.89%</t>
  </si>
  <si>
    <t>103.07%</t>
  </si>
  <si>
    <t>107.41%</t>
  </si>
  <si>
    <t>89.29%</t>
  </si>
  <si>
    <t>88.60%</t>
  </si>
  <si>
    <t>98.08%</t>
  </si>
  <si>
    <t>102.22%</t>
  </si>
  <si>
    <t>106.53%</t>
  </si>
  <si>
    <r>
      <rPr>
        <sz val="8"/>
        <rFont val="新細明體"/>
        <family val="1"/>
        <charset val="136"/>
      </rPr>
      <t>年度</t>
    </r>
    <phoneticPr fontId="97" type="noConversion"/>
  </si>
  <si>
    <r>
      <rPr>
        <sz val="8"/>
        <rFont val="新細明體"/>
        <family val="1"/>
        <charset val="136"/>
      </rPr>
      <t>保險
年齡</t>
    </r>
    <phoneticPr fontId="97" type="noConversion"/>
  </si>
  <si>
    <t>業務、服展、北富銀</t>
  </si>
  <si>
    <t>生存金</t>
    <phoneticPr fontId="4" type="noConversion"/>
  </si>
  <si>
    <t>解約金</t>
    <phoneticPr fontId="4" type="noConversion"/>
  </si>
  <si>
    <t>獲利效益</t>
    <phoneticPr fontId="4" type="noConversion"/>
  </si>
  <si>
    <t>IRR</t>
    <phoneticPr fontId="4" type="noConversion"/>
  </si>
  <si>
    <t>解約金</t>
    <phoneticPr fontId="4" type="noConversion"/>
  </si>
  <si>
    <t>獲利效益</t>
    <phoneticPr fontId="4" type="noConversion"/>
  </si>
  <si>
    <t>IRR</t>
    <phoneticPr fontId="4" type="noConversion"/>
  </si>
  <si>
    <t>利率</t>
    <phoneticPr fontId="4" type="noConversion"/>
  </si>
  <si>
    <t>本利和</t>
    <phoneticPr fontId="4" type="noConversion"/>
  </si>
  <si>
    <t>領出</t>
    <phoneticPr fontId="4" type="noConversion"/>
  </si>
  <si>
    <t>餘額</t>
    <phoneticPr fontId="4" type="noConversion"/>
  </si>
  <si>
    <t>富邦信用卡</t>
  </si>
  <si>
    <t>銀    行</t>
    <phoneticPr fontId="4" type="noConversion"/>
  </si>
  <si>
    <t>現金給付</t>
    <phoneticPr fontId="4" type="noConversion"/>
  </si>
  <si>
    <t>儲存生息</t>
  </si>
  <si>
    <t>陳孔祥</t>
    <phoneticPr fontId="4" type="noConversion"/>
  </si>
  <si>
    <t>男</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</si>
</sst>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1" formatCode="_-* #,##0_-;\-* #,##0_-;_-* &quot;-&quot;_-;_-@_-"/>
    <numFmt numFmtId="43" formatCode="_-* #,##0.00_-;\-* #,##0.00_-;_-* &quot;-&quot;??_-;_-@_-"/>
    <numFmt numFmtId="176" formatCode="0.0%"/>
    <numFmt numFmtId="177" formatCode="#,##0_ "/>
    <numFmt numFmtId="178" formatCode="#,##0_);[Red]\(#,##0\)"/>
    <numFmt numFmtId="179" formatCode="0_);[Red]\(0\)"/>
    <numFmt numFmtId="180" formatCode="0_ "/>
    <numFmt numFmtId="181" formatCode="#,##0\ &quot;歲&quot;"/>
    <numFmt numFmtId="182" formatCode="#,##0_ &quot;元&quot;"/>
    <numFmt numFmtId="183" formatCode="0\ &quot;歲&quot;"/>
    <numFmt numFmtId="184" formatCode="\(\1\)&quot;安&quot;&quot;泰&quot;&quot;人&quot;&quot;壽&quot;&quot;富&quot;&quot;貴&quot;&quot;保&quot;&quot;本&quot;&quot;終&quot;&quot;身&quot;&quot;壽&quot;&quot;險&quot;\ \(&quot;繳&quot;&quot;費&quot;\ 0\ &quot;年&quot;\)"/>
    <numFmt numFmtId="185" formatCode="0\ &quot;XRLD&quot;"/>
    <numFmt numFmtId="186" formatCode="#,##0\ &quot;歲&quot;;[Red]\ \-#,##0\ &quot;歲&quot;"/>
    <numFmt numFmtId="187" formatCode="m&quot;月&quot;d&quot;日&quot;"/>
    <numFmt numFmtId="188" formatCode="0.00_ "/>
    <numFmt numFmtId="189" formatCode="0\ &quot;公&quot;&quot;分&quot;\ "/>
    <numFmt numFmtId="190" formatCode="0.0\ &quot;公&quot;&quot;斤&quot;"/>
    <numFmt numFmtId="191" formatCode="0.00_);[Red]\(0.00\)"/>
    <numFmt numFmtId="192" formatCode="_-* #,##0_-;\-* #,##0_-;_-* &quot;&quot;??_-;_-@_-"/>
    <numFmt numFmtId="193" formatCode="#,##0\ &quot;萬&quot;"/>
    <numFmt numFmtId="194" formatCode="#,##0.00_ "/>
    <numFmt numFmtId="195" formatCode="0.00000%"/>
    <numFmt numFmtId="196" formatCode="#,##0&quot;萬&quot;"/>
    <numFmt numFmtId="197" formatCode="0\ &quot;宣&quot;&quot;告&quot;&quot;利&quot;&quot;率&quot;"/>
    <numFmt numFmtId="198" formatCode="#,##0.00000000000_);[Red]\(#,##0.00000000000\)"/>
    <numFmt numFmtId="199" formatCode="#,##0.00000000000_ "/>
    <numFmt numFmtId="200" formatCode="0.00000000000_ "/>
    <numFmt numFmtId="201" formatCode="0.00000000000_);[Red]\(0.00000000000\)"/>
    <numFmt numFmtId="202" formatCode="0.00000_ "/>
    <numFmt numFmtId="203" formatCode="#,##0.0_ "/>
    <numFmt numFmtId="204" formatCode="_-* #,##0_-;\-* #,##0_-;_-* &quot;&quot;_-;_-@_-"/>
    <numFmt numFmtId="205" formatCode="#,##0.00_);[Red]\(#,##0.00\)"/>
    <numFmt numFmtId="206" formatCode="#,##0.000_);[Red]\(#,##0.000\)"/>
    <numFmt numFmtId="207" formatCode="#,##0.0000000000_);[Red]\(#,##0.0000000000\)"/>
    <numFmt numFmtId="208" formatCode="#,##0.0000000000_ "/>
    <numFmt numFmtId="209" formatCode="#,##0.0000_ "/>
    <numFmt numFmtId="210" formatCode="_-* #,##0_-;\-* #,##0_-;_-* &quot;-&quot;??_-;_-@_-"/>
    <numFmt numFmtId="211" formatCode="##.##"/>
    <numFmt numFmtId="212" formatCode="#,##0_ ;[Red]\-#,##0\ "/>
    <numFmt numFmtId="213" formatCode="0.0000000000_ "/>
    <numFmt numFmtId="214" formatCode="0\ &quot;年&quot;"/>
    <numFmt numFmtId="215" formatCode="[DBNum1][$-404]General"/>
    <numFmt numFmtId="216" formatCode="0.000%"/>
    <numFmt numFmtId="217" formatCode="0.0000%"/>
    <numFmt numFmtId="218" formatCode="#,##0.000_ "/>
  </numFmts>
  <fonts count="169">
    <font>
      <sz val="10"/>
      <name val="新細明體"/>
      <family val="1"/>
      <charset val="136"/>
    </font>
    <font>
      <b/>
      <sz val="10"/>
      <name val="新細明體"/>
      <family val="1"/>
      <charset val="136"/>
    </font>
    <font>
      <sz val="10"/>
      <name val="新細明體"/>
      <family val="1"/>
      <charset val="136"/>
    </font>
    <font>
      <u/>
      <sz val="10"/>
      <color indexed="12"/>
      <name val="新細明體"/>
      <family val="1"/>
      <charset val="136"/>
    </font>
    <font>
      <sz val="9"/>
      <name val="新細明體"/>
      <family val="1"/>
      <charset val="136"/>
    </font>
    <font>
      <sz val="10"/>
      <name val="Arial"/>
      <family val="2"/>
    </font>
    <font>
      <sz val="12"/>
      <name val="Arial"/>
      <family val="2"/>
    </font>
    <font>
      <sz val="12"/>
      <name val="細明體"/>
      <family val="3"/>
      <charset val="136"/>
    </font>
    <font>
      <sz val="12"/>
      <name val="新細明體"/>
      <family val="1"/>
      <charset val="136"/>
    </font>
    <font>
      <sz val="12"/>
      <color indexed="9"/>
      <name val="新細明體"/>
      <family val="1"/>
      <charset val="136"/>
    </font>
    <font>
      <sz val="10"/>
      <color indexed="9"/>
      <name val="新細明體"/>
      <family val="1"/>
      <charset val="136"/>
    </font>
    <font>
      <b/>
      <sz val="9"/>
      <name val="新細明體"/>
      <family val="1"/>
      <charset val="136"/>
    </font>
    <font>
      <b/>
      <sz val="10"/>
      <color indexed="10"/>
      <name val="新細明體"/>
      <family val="1"/>
      <charset val="136"/>
    </font>
    <font>
      <sz val="12"/>
      <color indexed="8"/>
      <name val="新細明體"/>
      <family val="1"/>
      <charset val="136"/>
    </font>
    <font>
      <sz val="12"/>
      <color indexed="10"/>
      <name val="新細明體"/>
      <family val="1"/>
      <charset val="136"/>
    </font>
    <font>
      <b/>
      <sz val="16"/>
      <color indexed="9"/>
      <name val="Arial"/>
      <family val="2"/>
    </font>
    <font>
      <b/>
      <sz val="12"/>
      <name val="Arial"/>
      <family val="2"/>
    </font>
    <font>
      <b/>
      <sz val="12"/>
      <color indexed="9"/>
      <name val="Arial"/>
      <family val="2"/>
    </font>
    <font>
      <b/>
      <sz val="12"/>
      <color indexed="12"/>
      <name val="Arial"/>
      <family val="2"/>
    </font>
    <font>
      <b/>
      <sz val="12"/>
      <color indexed="10"/>
      <name val="Arial"/>
      <family val="2"/>
    </font>
    <font>
      <b/>
      <sz val="10"/>
      <color indexed="10"/>
      <name val="Arial"/>
      <family val="2"/>
    </font>
    <font>
      <sz val="12"/>
      <color indexed="12"/>
      <name val="Arial"/>
      <family val="2"/>
    </font>
    <font>
      <sz val="12"/>
      <color indexed="8"/>
      <name val="Arial"/>
      <family val="2"/>
    </font>
    <font>
      <b/>
      <sz val="12"/>
      <color indexed="53"/>
      <name val="Arial"/>
      <family val="2"/>
    </font>
    <font>
      <b/>
      <sz val="12"/>
      <color indexed="8"/>
      <name val="Arial"/>
      <family val="2"/>
    </font>
    <font>
      <sz val="12"/>
      <color indexed="9"/>
      <name val="Arial"/>
      <family val="2"/>
    </font>
    <font>
      <b/>
      <sz val="14"/>
      <color indexed="12"/>
      <name val="Arial"/>
      <family val="2"/>
    </font>
    <font>
      <b/>
      <sz val="14"/>
      <color indexed="10"/>
      <name val="Arial"/>
      <family val="2"/>
    </font>
    <font>
      <b/>
      <sz val="12"/>
      <name val="新細明體"/>
      <family val="1"/>
      <charset val="136"/>
    </font>
    <font>
      <b/>
      <sz val="12"/>
      <name val="細明體"/>
      <family val="3"/>
      <charset val="136"/>
    </font>
    <font>
      <b/>
      <sz val="16"/>
      <name val="新細明體"/>
      <family val="1"/>
      <charset val="136"/>
    </font>
    <font>
      <b/>
      <sz val="16"/>
      <name val="Arial"/>
      <family val="2"/>
    </font>
    <font>
      <b/>
      <sz val="10"/>
      <name val="Arial"/>
      <family val="2"/>
    </font>
    <font>
      <sz val="9"/>
      <name val="Arial"/>
      <family val="2"/>
    </font>
    <font>
      <sz val="12"/>
      <color indexed="10"/>
      <name val="Arial"/>
      <family val="2"/>
    </font>
    <font>
      <b/>
      <sz val="10"/>
      <color indexed="9"/>
      <name val="新細明體"/>
      <family val="1"/>
      <charset val="136"/>
    </font>
    <font>
      <b/>
      <sz val="12"/>
      <color indexed="8"/>
      <name val="細明體"/>
      <family val="3"/>
      <charset val="136"/>
    </font>
    <font>
      <b/>
      <sz val="12"/>
      <color indexed="10"/>
      <name val="細明體"/>
      <family val="3"/>
      <charset val="136"/>
    </font>
    <font>
      <b/>
      <sz val="12"/>
      <color indexed="12"/>
      <name val="新細明體"/>
      <family val="1"/>
      <charset val="136"/>
    </font>
    <font>
      <sz val="9"/>
      <name val="細明體"/>
      <family val="3"/>
      <charset val="136"/>
    </font>
    <font>
      <sz val="10"/>
      <name val="細明體"/>
      <family val="3"/>
      <charset val="136"/>
    </font>
    <font>
      <sz val="9"/>
      <color indexed="9"/>
      <name val="新細明體"/>
      <family val="1"/>
      <charset val="136"/>
    </font>
    <font>
      <sz val="12"/>
      <color indexed="10"/>
      <name val="細明體"/>
      <family val="3"/>
      <charset val="136"/>
    </font>
    <font>
      <b/>
      <sz val="8"/>
      <name val="新細明體"/>
      <family val="1"/>
      <charset val="136"/>
    </font>
    <font>
      <sz val="8"/>
      <name val="Arial"/>
      <family val="2"/>
    </font>
    <font>
      <sz val="10"/>
      <name val="新細明體"/>
      <family val="1"/>
      <charset val="136"/>
    </font>
    <font>
      <sz val="10"/>
      <name val="新細明體"/>
      <family val="1"/>
      <charset val="136"/>
    </font>
    <font>
      <b/>
      <sz val="12"/>
      <color indexed="21"/>
      <name val="細明體"/>
      <family val="3"/>
      <charset val="136"/>
    </font>
    <font>
      <sz val="12"/>
      <color indexed="18"/>
      <name val="Arial"/>
      <family val="2"/>
    </font>
    <font>
      <b/>
      <sz val="12"/>
      <color indexed="12"/>
      <name val="細明體"/>
      <family val="3"/>
      <charset val="136"/>
    </font>
    <font>
      <b/>
      <sz val="24"/>
      <color indexed="8"/>
      <name val="標楷體"/>
      <family val="4"/>
      <charset val="136"/>
    </font>
    <font>
      <b/>
      <sz val="24"/>
      <color indexed="8"/>
      <name val="Arial"/>
      <family val="2"/>
    </font>
    <font>
      <b/>
      <sz val="12"/>
      <color indexed="10"/>
      <name val="新細明體"/>
      <family val="1"/>
      <charset val="136"/>
    </font>
    <font>
      <b/>
      <sz val="14"/>
      <name val="標楷體"/>
      <family val="4"/>
      <charset val="136"/>
    </font>
    <font>
      <b/>
      <sz val="9"/>
      <name val="Arial"/>
      <family val="2"/>
    </font>
    <font>
      <b/>
      <sz val="9"/>
      <name val="細明體"/>
      <family val="3"/>
      <charset val="136"/>
    </font>
    <font>
      <b/>
      <sz val="9"/>
      <color indexed="8"/>
      <name val="細明體"/>
      <family val="3"/>
      <charset val="136"/>
    </font>
    <font>
      <b/>
      <sz val="9"/>
      <color indexed="10"/>
      <name val="細明體"/>
      <family val="3"/>
      <charset val="136"/>
    </font>
    <font>
      <b/>
      <sz val="9"/>
      <color indexed="10"/>
      <name val="Arial"/>
      <family val="2"/>
    </font>
    <font>
      <b/>
      <sz val="9"/>
      <color indexed="12"/>
      <name val="細明體"/>
      <family val="3"/>
      <charset val="136"/>
    </font>
    <font>
      <sz val="9"/>
      <color indexed="8"/>
      <name val="新細明體"/>
      <family val="1"/>
      <charset val="136"/>
    </font>
    <font>
      <sz val="9"/>
      <color indexed="8"/>
      <name val="Arial"/>
      <family val="2"/>
    </font>
    <font>
      <b/>
      <sz val="10"/>
      <color indexed="10"/>
      <name val="細明體"/>
      <family val="3"/>
      <charset val="136"/>
    </font>
    <font>
      <sz val="9"/>
      <color indexed="10"/>
      <name val="新細明體"/>
      <family val="1"/>
      <charset val="136"/>
    </font>
    <font>
      <sz val="9"/>
      <color indexed="12"/>
      <name val="新細明體"/>
      <family val="1"/>
      <charset val="136"/>
    </font>
    <font>
      <b/>
      <sz val="9"/>
      <color indexed="9"/>
      <name val="Arial"/>
      <family val="2"/>
    </font>
    <font>
      <b/>
      <sz val="12"/>
      <color indexed="18"/>
      <name val="新細明體"/>
      <family val="1"/>
      <charset val="136"/>
    </font>
    <font>
      <b/>
      <sz val="9"/>
      <color indexed="12"/>
      <name val="新細明體"/>
      <family val="1"/>
      <charset val="136"/>
    </font>
    <font>
      <b/>
      <sz val="9"/>
      <color indexed="12"/>
      <name val="Arial"/>
      <family val="2"/>
    </font>
    <font>
      <b/>
      <u/>
      <sz val="9"/>
      <color indexed="10"/>
      <name val="細明體"/>
      <family val="3"/>
      <charset val="136"/>
    </font>
    <font>
      <b/>
      <sz val="9"/>
      <name val="標楷體"/>
      <family val="4"/>
      <charset val="136"/>
    </font>
    <font>
      <b/>
      <sz val="9"/>
      <color indexed="10"/>
      <name val="新細明體"/>
      <family val="1"/>
      <charset val="136"/>
    </font>
    <font>
      <b/>
      <sz val="9"/>
      <color indexed="8"/>
      <name val="Arial"/>
      <family val="2"/>
    </font>
    <font>
      <b/>
      <sz val="12"/>
      <name val="標楷體"/>
      <family val="4"/>
      <charset val="136"/>
    </font>
    <font>
      <b/>
      <sz val="18"/>
      <name val="標楷體"/>
      <family val="4"/>
      <charset val="136"/>
    </font>
    <font>
      <b/>
      <sz val="8"/>
      <name val="Arial"/>
      <family val="2"/>
    </font>
    <font>
      <sz val="12"/>
      <color indexed="8"/>
      <name val="新細明體"/>
      <family val="1"/>
      <charset val="136"/>
    </font>
    <font>
      <sz val="9"/>
      <color indexed="8"/>
      <name val="新細明體"/>
      <family val="1"/>
      <charset val="136"/>
    </font>
    <font>
      <b/>
      <sz val="11"/>
      <color indexed="10"/>
      <name val="細明體"/>
      <family val="3"/>
      <charset val="136"/>
    </font>
    <font>
      <sz val="9"/>
      <name val="新細明體"/>
      <family val="1"/>
      <charset val="136"/>
    </font>
    <font>
      <sz val="12"/>
      <name val="新細明體"/>
      <family val="1"/>
      <charset val="136"/>
    </font>
    <font>
      <sz val="9"/>
      <name val="新細明體"/>
      <family val="1"/>
      <charset val="136"/>
    </font>
    <font>
      <sz val="7"/>
      <name val="細明體"/>
      <family val="3"/>
      <charset val="136"/>
    </font>
    <font>
      <sz val="8"/>
      <name val="新細明體"/>
      <family val="1"/>
      <charset val="136"/>
    </font>
    <font>
      <sz val="7"/>
      <name val="新細明體"/>
      <family val="1"/>
      <charset val="136"/>
    </font>
    <font>
      <sz val="12"/>
      <name val="新細明體"/>
      <family val="1"/>
      <charset val="136"/>
    </font>
    <font>
      <sz val="9"/>
      <name val="新細明體"/>
      <family val="1"/>
      <charset val="136"/>
    </font>
    <font>
      <sz val="14"/>
      <name val="新細明體"/>
      <family val="1"/>
      <charset val="136"/>
    </font>
    <font>
      <sz val="12"/>
      <name val="標楷體"/>
      <family val="4"/>
      <charset val="136"/>
    </font>
    <font>
      <sz val="14"/>
      <name val="細明體"/>
      <family val="3"/>
      <charset val="136"/>
    </font>
    <font>
      <b/>
      <sz val="14"/>
      <name val="新細明體"/>
      <family val="1"/>
      <charset val="136"/>
    </font>
    <font>
      <sz val="12"/>
      <name val="新細明體"/>
      <family val="1"/>
      <charset val="136"/>
    </font>
    <font>
      <sz val="9"/>
      <name val="新細明體"/>
      <family val="1"/>
      <charset val="136"/>
    </font>
    <font>
      <b/>
      <u/>
      <sz val="10"/>
      <name val="新細明體"/>
      <family val="1"/>
      <charset val="136"/>
    </font>
    <font>
      <sz val="8"/>
      <name val="細明體"/>
      <family val="3"/>
      <charset val="136"/>
    </font>
    <font>
      <sz val="10"/>
      <color indexed="8"/>
      <name val="Arial"/>
      <family val="2"/>
    </font>
    <font>
      <sz val="12"/>
      <name val="新細明體"/>
      <family val="1"/>
      <charset val="136"/>
    </font>
    <font>
      <sz val="9"/>
      <name val="新細明體"/>
      <family val="1"/>
      <charset val="136"/>
    </font>
    <font>
      <sz val="10"/>
      <name val="新細明體"/>
      <family val="1"/>
      <charset val="136"/>
    </font>
    <font>
      <sz val="12"/>
      <color indexed="8"/>
      <name val="新細明體"/>
      <family val="1"/>
      <charset val="136"/>
    </font>
    <font>
      <sz val="9"/>
      <color indexed="8"/>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7"/>
      <name val="Arial"/>
      <family val="2"/>
    </font>
    <font>
      <b/>
      <sz val="18"/>
      <color indexed="56"/>
      <name val="新細明體"/>
      <family val="1"/>
      <charset val="136"/>
    </font>
    <font>
      <b/>
      <sz val="11"/>
      <color indexed="8"/>
      <name val="新細明體"/>
      <family val="1"/>
      <charset val="136"/>
    </font>
    <font>
      <sz val="11"/>
      <color indexed="10"/>
      <name val="新細明體"/>
      <family val="1"/>
      <charset val="136"/>
    </font>
    <font>
      <u/>
      <sz val="10"/>
      <color indexed="12"/>
      <name val="新細明體"/>
      <family val="1"/>
      <charset val="136"/>
    </font>
    <font>
      <b/>
      <sz val="9"/>
      <name val="新細明體"/>
      <family val="1"/>
      <charset val="136"/>
    </font>
    <font>
      <b/>
      <sz val="9"/>
      <color indexed="12"/>
      <name val="新細明體"/>
      <family val="1"/>
      <charset val="136"/>
    </font>
    <font>
      <sz val="10"/>
      <name val="新細明體"/>
      <family val="1"/>
      <charset val="136"/>
    </font>
    <font>
      <sz val="9"/>
      <name val="新細明體"/>
      <family val="1"/>
      <charset val="136"/>
    </font>
    <font>
      <sz val="12"/>
      <color indexed="8"/>
      <name val="新細明體"/>
      <family val="1"/>
      <charset val="136"/>
    </font>
    <font>
      <sz val="9"/>
      <color indexed="8"/>
      <name val="新細明體"/>
      <family val="1"/>
      <charset val="136"/>
    </font>
    <font>
      <sz val="12"/>
      <color indexed="8"/>
      <name val="新細明體"/>
      <family val="1"/>
      <charset val="136"/>
    </font>
    <font>
      <sz val="9"/>
      <color indexed="8"/>
      <name val="新細明體"/>
      <family val="1"/>
      <charset val="136"/>
    </font>
    <font>
      <sz val="12"/>
      <color indexed="8"/>
      <name val="新細明體"/>
      <family val="1"/>
      <charset val="136"/>
    </font>
    <font>
      <sz val="9"/>
      <color indexed="8"/>
      <name val="新細明體"/>
      <family val="1"/>
      <charset val="136"/>
    </font>
    <font>
      <sz val="12"/>
      <color theme="1"/>
      <name val="新細明體"/>
      <family val="1"/>
      <charset val="136"/>
      <scheme val="minor"/>
    </font>
    <font>
      <b/>
      <sz val="12"/>
      <color theme="0"/>
      <name val="Arial"/>
      <family val="2"/>
    </font>
    <font>
      <b/>
      <sz val="12"/>
      <color theme="0"/>
      <name val="新細明體"/>
      <family val="1"/>
      <charset val="136"/>
    </font>
    <font>
      <b/>
      <sz val="9"/>
      <color rgb="FF0000FF"/>
      <name val="細明體"/>
      <family val="3"/>
      <charset val="136"/>
    </font>
    <font>
      <b/>
      <sz val="9"/>
      <color rgb="FFFF0000"/>
      <name val="細明體"/>
      <family val="3"/>
      <charset val="136"/>
    </font>
    <font>
      <sz val="12"/>
      <color theme="5"/>
      <name val="新細明體"/>
      <family val="1"/>
      <charset val="136"/>
    </font>
    <font>
      <b/>
      <sz val="12"/>
      <color theme="4" tint="-0.249977111117893"/>
      <name val="Arial"/>
      <family val="2"/>
    </font>
    <font>
      <sz val="9"/>
      <color theme="2" tint="-0.499984740745262"/>
      <name val="新細明體"/>
      <family val="1"/>
      <charset val="136"/>
    </font>
    <font>
      <sz val="10"/>
      <color theme="5" tint="-0.249977111117893"/>
      <name val="新細明體"/>
      <family val="1"/>
      <charset val="136"/>
    </font>
    <font>
      <sz val="9"/>
      <color theme="5" tint="-0.249977111117893"/>
      <name val="新細明體"/>
      <family val="1"/>
      <charset val="136"/>
    </font>
    <font>
      <sz val="10"/>
      <color theme="0"/>
      <name val="新細明體"/>
      <family val="1"/>
      <charset val="136"/>
    </font>
    <font>
      <b/>
      <sz val="12"/>
      <color rgb="FFFF0000"/>
      <name val="Arial"/>
      <family val="2"/>
    </font>
    <font>
      <b/>
      <sz val="12"/>
      <color rgb="FFFF0000"/>
      <name val="細明體"/>
      <family val="3"/>
      <charset val="136"/>
    </font>
    <font>
      <b/>
      <sz val="12"/>
      <color rgb="FF0000FF"/>
      <name val="新細明體"/>
      <family val="1"/>
      <charset val="136"/>
    </font>
    <font>
      <b/>
      <sz val="14"/>
      <color rgb="FF0000FF"/>
      <name val="新細明體"/>
      <family val="1"/>
      <charset val="136"/>
    </font>
    <font>
      <b/>
      <u/>
      <sz val="12"/>
      <color rgb="FF0000FF"/>
      <name val="Arial"/>
      <family val="2"/>
    </font>
    <font>
      <b/>
      <sz val="12"/>
      <color rgb="FF0000FF"/>
      <name val="細明體"/>
      <family val="3"/>
      <charset val="136"/>
    </font>
    <font>
      <b/>
      <sz val="12"/>
      <color rgb="FF0000FF"/>
      <name val="Arial"/>
      <family val="2"/>
    </font>
    <font>
      <sz val="8"/>
      <color theme="1"/>
      <name val="細明體"/>
      <family val="3"/>
      <charset val="136"/>
    </font>
    <font>
      <b/>
      <sz val="16"/>
      <name val="微軟正黑體"/>
      <family val="2"/>
      <charset val="136"/>
    </font>
    <font>
      <sz val="14"/>
      <name val="微軟正黑體"/>
      <family val="2"/>
      <charset val="136"/>
    </font>
    <font>
      <sz val="12"/>
      <color indexed="12"/>
      <name val="新細明體"/>
      <family val="1"/>
      <charset val="136"/>
    </font>
    <font>
      <sz val="12"/>
      <name val="微軟正黑體"/>
      <family val="2"/>
      <charset val="136"/>
    </font>
    <font>
      <b/>
      <sz val="12"/>
      <color indexed="12"/>
      <name val="Times New Roman"/>
      <family val="1"/>
    </font>
    <font>
      <sz val="12"/>
      <color indexed="10"/>
      <name val="Times New Roman"/>
      <family val="1"/>
    </font>
    <font>
      <b/>
      <sz val="12"/>
      <color indexed="23"/>
      <name val="Times New Roman"/>
      <family val="1"/>
    </font>
    <font>
      <b/>
      <sz val="12"/>
      <color indexed="10"/>
      <name val="Times New Roman"/>
      <family val="1"/>
    </font>
    <font>
      <sz val="12"/>
      <name val="Times New Roman"/>
      <family val="1"/>
    </font>
    <font>
      <b/>
      <sz val="14"/>
      <name val="微軟正黑體"/>
      <family val="2"/>
      <charset val="136"/>
    </font>
    <font>
      <sz val="12"/>
      <color indexed="12"/>
      <name val="Times New Roman"/>
      <family val="1"/>
    </font>
    <font>
      <b/>
      <sz val="12"/>
      <name val="Times New Roman"/>
      <family val="1"/>
    </font>
    <font>
      <b/>
      <sz val="20"/>
      <name val="微軟正黑體"/>
      <family val="2"/>
      <charset val="136"/>
    </font>
    <font>
      <b/>
      <sz val="12"/>
      <name val="微軟正黑體"/>
      <family val="2"/>
      <charset val="136"/>
    </font>
    <font>
      <b/>
      <sz val="14"/>
      <name val="Times New Roman"/>
      <family val="1"/>
    </font>
    <font>
      <b/>
      <sz val="13"/>
      <color indexed="10"/>
      <name val="Times New Roman"/>
      <family val="1"/>
    </font>
    <font>
      <b/>
      <sz val="13"/>
      <color theme="0"/>
      <name val="Times New Roman"/>
      <family val="1"/>
    </font>
    <font>
      <b/>
      <sz val="12"/>
      <color rgb="FF0000FF"/>
      <name val="Times New Roman"/>
      <family val="1"/>
    </font>
    <font>
      <b/>
      <sz val="10"/>
      <color indexed="81"/>
      <name val="細明體"/>
      <family val="3"/>
      <charset val="136"/>
    </font>
    <font>
      <b/>
      <sz val="12"/>
      <color rgb="FFFFFF00"/>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53"/>
        <bgColor indexed="64"/>
      </patternFill>
    </fill>
    <fill>
      <patternFill patternType="solid">
        <fgColor indexed="10"/>
        <bgColor indexed="64"/>
      </patternFill>
    </fill>
    <fill>
      <patternFill patternType="solid">
        <fgColor indexed="52"/>
        <bgColor indexed="64"/>
      </patternFill>
    </fill>
    <fill>
      <patternFill patternType="solid">
        <fgColor indexed="22"/>
        <bgColor indexed="0"/>
      </patternFill>
    </fill>
    <fill>
      <patternFill patternType="solid">
        <fgColor indexed="42"/>
        <bgColor indexed="64"/>
      </patternFill>
    </fill>
    <fill>
      <patternFill patternType="solid">
        <fgColor theme="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2"/>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FFCC"/>
        <bgColor indexed="64"/>
      </patternFill>
    </fill>
    <fill>
      <patternFill patternType="solid">
        <fgColor rgb="FF7030A0"/>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ck">
        <color indexed="9"/>
      </top>
      <bottom/>
      <diagonal/>
    </border>
    <border>
      <left/>
      <right style="thin">
        <color indexed="9"/>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double">
        <color indexed="10"/>
      </left>
      <right style="double">
        <color indexed="10"/>
      </right>
      <top style="double">
        <color indexed="10"/>
      </top>
      <bottom style="thin">
        <color indexed="10"/>
      </bottom>
      <diagonal/>
    </border>
    <border>
      <left/>
      <right style="thin">
        <color indexed="64"/>
      </right>
      <top style="thin">
        <color indexed="64"/>
      </top>
      <bottom style="thin">
        <color indexed="64"/>
      </bottom>
      <diagonal/>
    </border>
    <border>
      <left style="double">
        <color indexed="53"/>
      </left>
      <right style="double">
        <color indexed="53"/>
      </right>
      <top style="thin">
        <color indexed="10"/>
      </top>
      <bottom style="thin">
        <color indexed="53"/>
      </bottom>
      <diagonal/>
    </border>
    <border>
      <left style="double">
        <color indexed="53"/>
      </left>
      <right style="double">
        <color indexed="53"/>
      </right>
      <top style="thin">
        <color indexed="53"/>
      </top>
      <bottom style="thin">
        <color indexed="53"/>
      </bottom>
      <diagonal/>
    </border>
    <border>
      <left/>
      <right/>
      <top style="thin">
        <color indexed="64"/>
      </top>
      <bottom/>
      <diagonal/>
    </border>
    <border>
      <left style="double">
        <color indexed="53"/>
      </left>
      <right style="double">
        <color indexed="53"/>
      </right>
      <top style="thin">
        <color indexed="53"/>
      </top>
      <bottom style="thin">
        <color indexed="48"/>
      </bottom>
      <diagonal/>
    </border>
    <border>
      <left style="double">
        <color indexed="48"/>
      </left>
      <right style="double">
        <color indexed="48"/>
      </right>
      <top style="thin">
        <color indexed="48"/>
      </top>
      <bottom style="thin">
        <color indexed="48"/>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48"/>
      </left>
      <right style="double">
        <color indexed="48"/>
      </right>
      <top style="thin">
        <color indexed="48"/>
      </top>
      <bottom style="double">
        <color indexed="48"/>
      </bottom>
      <diagonal/>
    </border>
    <border>
      <left style="medium">
        <color indexed="57"/>
      </left>
      <right style="medium">
        <color indexed="57"/>
      </right>
      <top style="medium">
        <color indexed="57"/>
      </top>
      <bottom/>
      <diagonal/>
    </border>
    <border>
      <left style="medium">
        <color indexed="57"/>
      </left>
      <right style="medium">
        <color indexed="57"/>
      </right>
      <top style="medium">
        <color indexed="57"/>
      </top>
      <bottom style="medium">
        <color indexed="57"/>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22"/>
      </left>
      <right style="thin">
        <color indexed="22"/>
      </right>
      <top style="thin">
        <color indexed="22"/>
      </top>
      <bottom/>
      <diagonal/>
    </border>
    <border>
      <left style="medium">
        <color indexed="53"/>
      </left>
      <right/>
      <top style="medium">
        <color indexed="53"/>
      </top>
      <bottom style="medium">
        <color indexed="53"/>
      </bottom>
      <diagonal/>
    </border>
    <border>
      <left/>
      <right/>
      <top style="medium">
        <color indexed="53"/>
      </top>
      <bottom style="medium">
        <color indexed="53"/>
      </bottom>
      <diagonal/>
    </border>
    <border>
      <left/>
      <right style="medium">
        <color indexed="53"/>
      </right>
      <top style="medium">
        <color indexed="53"/>
      </top>
      <bottom style="medium">
        <color indexed="53"/>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style="medium">
        <color indexed="21"/>
      </right>
      <top style="medium">
        <color indexed="21"/>
      </top>
      <bottom style="medium">
        <color indexed="21"/>
      </bottom>
      <diagonal/>
    </border>
    <border>
      <left style="medium">
        <color indexed="57"/>
      </left>
      <right/>
      <top style="medium">
        <color indexed="57"/>
      </top>
      <bottom/>
      <diagonal/>
    </border>
    <border>
      <left/>
      <right style="medium">
        <color indexed="57"/>
      </right>
      <top style="medium">
        <color indexed="57"/>
      </top>
      <bottom/>
      <diagonal/>
    </border>
    <border>
      <left style="thin">
        <color indexed="9"/>
      </left>
      <right/>
      <top/>
      <bottom/>
      <diagonal/>
    </border>
    <border>
      <left style="thick">
        <color theme="3"/>
      </left>
      <right/>
      <top/>
      <bottom/>
      <diagonal/>
    </border>
    <border>
      <left/>
      <right style="thick">
        <color theme="3"/>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bottom style="dashed">
        <color indexed="64"/>
      </bottom>
      <diagonal/>
    </border>
    <border>
      <left/>
      <right style="thin">
        <color indexed="64"/>
      </right>
      <top/>
      <bottom style="dashed">
        <color indexed="64"/>
      </bottom>
      <diagonal/>
    </border>
    <border>
      <left style="medium">
        <color indexed="64"/>
      </left>
      <right/>
      <top/>
      <bottom style="dashed">
        <color indexed="64"/>
      </bottom>
      <diagonal/>
    </border>
    <border>
      <left style="medium">
        <color indexed="64"/>
      </left>
      <right style="thin">
        <color indexed="64"/>
      </right>
      <top style="dashed">
        <color indexed="64"/>
      </top>
      <bottom style="medium">
        <color indexed="64"/>
      </bottom>
      <diagonal/>
    </border>
    <border>
      <left style="medium">
        <color indexed="64"/>
      </left>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medium">
        <color indexed="64"/>
      </right>
      <top style="dashed">
        <color indexed="64"/>
      </top>
      <bottom style="dotted">
        <color indexed="64"/>
      </bottom>
      <diagonal/>
    </border>
    <border>
      <left style="medium">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s>
  <cellStyleXfs count="89">
    <xf numFmtId="0" fontId="0" fillId="0" borderId="0"/>
    <xf numFmtId="0" fontId="2" fillId="0" borderId="0"/>
    <xf numFmtId="0" fontId="2" fillId="0" borderId="0"/>
    <xf numFmtId="0" fontId="98" fillId="0" borderId="0"/>
    <xf numFmtId="0" fontId="2" fillId="0" borderId="0"/>
    <xf numFmtId="0" fontId="122" fillId="0" borderId="0"/>
    <xf numFmtId="0" fontId="122" fillId="0" borderId="0"/>
    <xf numFmtId="0" fontId="5" fillId="0" borderId="0"/>
    <xf numFmtId="0" fontId="101" fillId="2" borderId="0" applyNumberFormat="0" applyBorder="0" applyAlignment="0" applyProtection="0">
      <alignment vertical="center"/>
    </xf>
    <xf numFmtId="0" fontId="101" fillId="3" borderId="0" applyNumberFormat="0" applyBorder="0" applyAlignment="0" applyProtection="0">
      <alignment vertical="center"/>
    </xf>
    <xf numFmtId="0" fontId="101" fillId="4" borderId="0" applyNumberFormat="0" applyBorder="0" applyAlignment="0" applyProtection="0">
      <alignment vertical="center"/>
    </xf>
    <xf numFmtId="0" fontId="101" fillId="5" borderId="0" applyNumberFormat="0" applyBorder="0" applyAlignment="0" applyProtection="0">
      <alignment vertical="center"/>
    </xf>
    <xf numFmtId="0" fontId="101" fillId="6" borderId="0" applyNumberFormat="0" applyBorder="0" applyAlignment="0" applyProtection="0">
      <alignment vertical="center"/>
    </xf>
    <xf numFmtId="0" fontId="101" fillId="7" borderId="0" applyNumberFormat="0" applyBorder="0" applyAlignment="0" applyProtection="0">
      <alignment vertical="center"/>
    </xf>
    <xf numFmtId="0" fontId="101" fillId="8" borderId="0" applyNumberFormat="0" applyBorder="0" applyAlignment="0" applyProtection="0">
      <alignment vertical="center"/>
    </xf>
    <xf numFmtId="0" fontId="101" fillId="9" borderId="0" applyNumberFormat="0" applyBorder="0" applyAlignment="0" applyProtection="0">
      <alignment vertical="center"/>
    </xf>
    <xf numFmtId="0" fontId="101" fillId="10" borderId="0" applyNumberFormat="0" applyBorder="0" applyAlignment="0" applyProtection="0">
      <alignment vertical="center"/>
    </xf>
    <xf numFmtId="0" fontId="101" fillId="5" borderId="0" applyNumberFormat="0" applyBorder="0" applyAlignment="0" applyProtection="0">
      <alignment vertical="center"/>
    </xf>
    <xf numFmtId="0" fontId="101" fillId="8" borderId="0" applyNumberFormat="0" applyBorder="0" applyAlignment="0" applyProtection="0">
      <alignment vertical="center"/>
    </xf>
    <xf numFmtId="0" fontId="101" fillId="11" borderId="0" applyNumberFormat="0" applyBorder="0" applyAlignment="0" applyProtection="0">
      <alignment vertical="center"/>
    </xf>
    <xf numFmtId="0" fontId="102" fillId="12" borderId="0" applyNumberFormat="0" applyBorder="0" applyAlignment="0" applyProtection="0">
      <alignment vertical="center"/>
    </xf>
    <xf numFmtId="0" fontId="102" fillId="9" borderId="0" applyNumberFormat="0" applyBorder="0" applyAlignment="0" applyProtection="0">
      <alignment vertical="center"/>
    </xf>
    <xf numFmtId="0" fontId="102" fillId="10" borderId="0" applyNumberFormat="0" applyBorder="0" applyAlignment="0" applyProtection="0">
      <alignment vertical="center"/>
    </xf>
    <xf numFmtId="0" fontId="102" fillId="13" borderId="0" applyNumberFormat="0" applyBorder="0" applyAlignment="0" applyProtection="0">
      <alignment vertical="center"/>
    </xf>
    <xf numFmtId="0" fontId="102" fillId="14" borderId="0" applyNumberFormat="0" applyBorder="0" applyAlignment="0" applyProtection="0">
      <alignment vertical="center"/>
    </xf>
    <xf numFmtId="0" fontId="102" fillId="15" borderId="0" applyNumberFormat="0" applyBorder="0" applyAlignment="0" applyProtection="0">
      <alignment vertical="center"/>
    </xf>
    <xf numFmtId="0" fontId="102" fillId="16" borderId="0" applyNumberFormat="0" applyBorder="0" applyAlignment="0" applyProtection="0">
      <alignment vertical="center"/>
    </xf>
    <xf numFmtId="0" fontId="102" fillId="17" borderId="0" applyNumberFormat="0" applyBorder="0" applyAlignment="0" applyProtection="0">
      <alignment vertical="center"/>
    </xf>
    <xf numFmtId="0" fontId="102" fillId="18" borderId="0" applyNumberFormat="0" applyBorder="0" applyAlignment="0" applyProtection="0">
      <alignment vertical="center"/>
    </xf>
    <xf numFmtId="0" fontId="102" fillId="13" borderId="0" applyNumberFormat="0" applyBorder="0" applyAlignment="0" applyProtection="0">
      <alignment vertical="center"/>
    </xf>
    <xf numFmtId="0" fontId="102" fillId="14" borderId="0" applyNumberFormat="0" applyBorder="0" applyAlignment="0" applyProtection="0">
      <alignment vertical="center"/>
    </xf>
    <xf numFmtId="0" fontId="102" fillId="19" borderId="0" applyNumberFormat="0" applyBorder="0" applyAlignment="0" applyProtection="0">
      <alignment vertical="center"/>
    </xf>
    <xf numFmtId="0" fontId="103" fillId="3" borderId="0" applyNumberFormat="0" applyBorder="0" applyAlignment="0" applyProtection="0">
      <alignment vertical="center"/>
    </xf>
    <xf numFmtId="0" fontId="104" fillId="20" borderId="1" applyNumberFormat="0" applyAlignment="0" applyProtection="0">
      <alignment vertical="center"/>
    </xf>
    <xf numFmtId="0" fontId="105" fillId="21" borderId="2" applyNumberFormat="0" applyAlignment="0" applyProtection="0">
      <alignment vertical="center"/>
    </xf>
    <xf numFmtId="0" fontId="106" fillId="0" borderId="0" applyNumberFormat="0" applyFill="0" applyBorder="0" applyAlignment="0" applyProtection="0">
      <alignment vertical="center"/>
    </xf>
    <xf numFmtId="0" fontId="107" fillId="4" borderId="0" applyNumberFormat="0" applyBorder="0" applyAlignment="0" applyProtection="0">
      <alignment vertical="center"/>
    </xf>
    <xf numFmtId="0" fontId="108" fillId="0" borderId="3" applyNumberFormat="0" applyFill="0" applyAlignment="0" applyProtection="0">
      <alignment vertical="center"/>
    </xf>
    <xf numFmtId="0" fontId="109" fillId="0" borderId="4" applyNumberFormat="0" applyFill="0" applyAlignment="0" applyProtection="0">
      <alignment vertical="center"/>
    </xf>
    <xf numFmtId="0" fontId="110" fillId="0" borderId="5" applyNumberFormat="0" applyFill="0" applyAlignment="0" applyProtection="0">
      <alignment vertical="center"/>
    </xf>
    <xf numFmtId="0" fontId="110" fillId="0" borderId="0" applyNumberFormat="0" applyFill="0" applyBorder="0" applyAlignment="0" applyProtection="0">
      <alignment vertical="center"/>
    </xf>
    <xf numFmtId="0" fontId="111" fillId="7" borderId="1" applyNumberFormat="0" applyAlignment="0" applyProtection="0">
      <alignment vertical="center"/>
    </xf>
    <xf numFmtId="0" fontId="112" fillId="0" borderId="6" applyNumberFormat="0" applyFill="0" applyAlignment="0" applyProtection="0">
      <alignment vertical="center"/>
    </xf>
    <xf numFmtId="0" fontId="113" fillId="22" borderId="0" applyNumberFormat="0" applyBorder="0" applyAlignment="0" applyProtection="0">
      <alignment vertical="center"/>
    </xf>
    <xf numFmtId="0" fontId="5" fillId="23" borderId="7" applyNumberFormat="0" applyFont="0" applyAlignment="0" applyProtection="0">
      <alignment vertical="center"/>
    </xf>
    <xf numFmtId="0" fontId="114" fillId="20" borderId="8" applyNumberFormat="0" applyAlignment="0" applyProtection="0">
      <alignment vertical="center"/>
    </xf>
    <xf numFmtId="0" fontId="115" fillId="24" borderId="0">
      <alignment vertical="center"/>
      <protection hidden="1"/>
    </xf>
    <xf numFmtId="0" fontId="116" fillId="0" borderId="0" applyNumberFormat="0" applyFill="0" applyBorder="0" applyAlignment="0" applyProtection="0">
      <alignment vertical="center"/>
    </xf>
    <xf numFmtId="0" fontId="117" fillId="0" borderId="9" applyNumberFormat="0" applyFill="0" applyAlignment="0" applyProtection="0">
      <alignment vertical="center"/>
    </xf>
    <xf numFmtId="0" fontId="118" fillId="0" borderId="0" applyNumberFormat="0" applyFill="0" applyBorder="0" applyAlignment="0" applyProtection="0">
      <alignment vertical="center"/>
    </xf>
    <xf numFmtId="0" fontId="8" fillId="0" borderId="0"/>
    <xf numFmtId="0" fontId="130" fillId="0" borderId="0">
      <alignment vertical="center"/>
    </xf>
    <xf numFmtId="0" fontId="2" fillId="0" borderId="0"/>
    <xf numFmtId="0" fontId="85" fillId="0" borderId="0">
      <alignment vertical="center"/>
    </xf>
    <xf numFmtId="0" fontId="96" fillId="0" borderId="0">
      <alignment vertical="center"/>
    </xf>
    <xf numFmtId="0" fontId="8" fillId="0" borderId="0">
      <alignment vertical="center"/>
    </xf>
    <xf numFmtId="0" fontId="2" fillId="0" borderId="0"/>
    <xf numFmtId="0" fontId="122" fillId="0" borderId="0"/>
    <xf numFmtId="0" fontId="13" fillId="0" borderId="0"/>
    <xf numFmtId="0" fontId="13" fillId="0" borderId="0"/>
    <xf numFmtId="0" fontId="99" fillId="0" borderId="0"/>
    <xf numFmtId="0" fontId="76" fillId="0" borderId="0"/>
    <xf numFmtId="0" fontId="13" fillId="0" borderId="0"/>
    <xf numFmtId="0" fontId="99" fillId="0" borderId="0"/>
    <xf numFmtId="0" fontId="124" fillId="0" borderId="0"/>
    <xf numFmtId="0" fontId="126" fillId="0" borderId="0"/>
    <xf numFmtId="0" fontId="128" fillId="0" borderId="0"/>
    <xf numFmtId="0" fontId="8" fillId="0" borderId="0"/>
    <xf numFmtId="0" fontId="8" fillId="0" borderId="0"/>
    <xf numFmtId="0" fontId="13" fillId="0" borderId="0"/>
    <xf numFmtId="0" fontId="13" fillId="0" borderId="0"/>
    <xf numFmtId="0" fontId="8" fillId="0" borderId="0">
      <alignment vertical="center"/>
    </xf>
    <xf numFmtId="0" fontId="96" fillId="0" borderId="0">
      <alignment vertical="center"/>
    </xf>
    <xf numFmtId="0" fontId="8" fillId="0" borderId="0">
      <alignment vertical="center"/>
    </xf>
    <xf numFmtId="0" fontId="5" fillId="0" borderId="0"/>
    <xf numFmtId="0" fontId="99" fillId="0" borderId="0"/>
    <xf numFmtId="0" fontId="126" fillId="0" borderId="0"/>
    <xf numFmtId="0" fontId="99" fillId="0" borderId="0"/>
    <xf numFmtId="43" fontId="2" fillId="0" borderId="0" applyFont="0" applyFill="0" applyBorder="0" applyAlignment="0" applyProtection="0"/>
    <xf numFmtId="43" fontId="2" fillId="0" borderId="0" applyFont="0" applyFill="0" applyBorder="0" applyAlignment="0" applyProtection="0"/>
    <xf numFmtId="43" fontId="12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122" fillId="0" borderId="0" applyFont="0" applyFill="0" applyBorder="0" applyAlignment="0" applyProtection="0"/>
    <xf numFmtId="0" fontId="107" fillId="4" borderId="0" applyNumberFormat="0" applyBorder="0" applyAlignment="0" applyProtection="0">
      <alignment vertical="center"/>
    </xf>
    <xf numFmtId="0" fontId="3" fillId="0" borderId="0" applyNumberFormat="0" applyFill="0" applyBorder="0" applyAlignment="0" applyProtection="0"/>
    <xf numFmtId="0" fontId="119" fillId="0" borderId="0" applyNumberFormat="0" applyFill="0" applyBorder="0" applyAlignment="0" applyProtection="0"/>
    <xf numFmtId="0" fontId="96" fillId="0" borderId="0"/>
    <xf numFmtId="0" fontId="103" fillId="3" borderId="0" applyNumberFormat="0" applyBorder="0" applyAlignment="0" applyProtection="0">
      <alignment vertical="center"/>
    </xf>
  </cellStyleXfs>
  <cellXfs count="1255">
    <xf numFmtId="0" fontId="0" fillId="0" borderId="0" xfId="0"/>
    <xf numFmtId="0" fontId="6" fillId="0" borderId="0" xfId="1" applyFont="1"/>
    <xf numFmtId="0" fontId="8" fillId="25" borderId="0" xfId="74" applyFont="1" applyFill="1" applyBorder="1" applyAlignment="1" applyProtection="1">
      <alignment vertical="center"/>
      <protection hidden="1"/>
    </xf>
    <xf numFmtId="0" fontId="8" fillId="0" borderId="0" xfId="74" applyFont="1" applyAlignment="1" applyProtection="1">
      <alignment vertical="center"/>
      <protection hidden="1"/>
    </xf>
    <xf numFmtId="0" fontId="9" fillId="25" borderId="0" xfId="74" applyFont="1" applyFill="1" applyBorder="1" applyAlignment="1" applyProtection="1">
      <alignment vertical="center"/>
      <protection hidden="1"/>
    </xf>
    <xf numFmtId="0" fontId="9" fillId="25" borderId="0" xfId="74" applyFont="1" applyFill="1" applyAlignment="1" applyProtection="1">
      <alignment vertical="center"/>
      <protection hidden="1"/>
    </xf>
    <xf numFmtId="0" fontId="0" fillId="0" borderId="0" xfId="1" applyFont="1" applyProtection="1">
      <protection hidden="1"/>
    </xf>
    <xf numFmtId="57" fontId="0" fillId="0" borderId="0" xfId="1" applyNumberFormat="1" applyFont="1" applyAlignment="1" applyProtection="1">
      <protection hidden="1"/>
    </xf>
    <xf numFmtId="0" fontId="10" fillId="0" borderId="0" xfId="1" applyFont="1" applyProtection="1">
      <protection hidden="1"/>
    </xf>
    <xf numFmtId="0" fontId="10" fillId="0" borderId="0" xfId="1" applyFont="1" applyAlignment="1" applyProtection="1">
      <alignment horizontal="right"/>
      <protection hidden="1"/>
    </xf>
    <xf numFmtId="0" fontId="4" fillId="0" borderId="0" xfId="1" applyFont="1" applyProtection="1">
      <protection hidden="1"/>
    </xf>
    <xf numFmtId="0" fontId="5" fillId="0" borderId="0" xfId="1" applyFont="1" applyAlignment="1" applyProtection="1">
      <alignment horizontal="center"/>
      <protection hidden="1"/>
    </xf>
    <xf numFmtId="0" fontId="5" fillId="0" borderId="0" xfId="1" applyFont="1" applyProtection="1">
      <protection hidden="1"/>
    </xf>
    <xf numFmtId="0" fontId="17" fillId="0" borderId="0" xfId="74" applyFont="1" applyFill="1" applyBorder="1" applyAlignment="1" applyProtection="1">
      <alignment horizontal="center" vertical="center"/>
      <protection hidden="1"/>
    </xf>
    <xf numFmtId="0" fontId="32" fillId="0" borderId="0" xfId="1" applyFont="1" applyProtection="1">
      <protection hidden="1"/>
    </xf>
    <xf numFmtId="0" fontId="1" fillId="0" borderId="0" xfId="1" applyFont="1" applyAlignment="1" applyProtection="1">
      <alignment horizontal="right"/>
      <protection hidden="1"/>
    </xf>
    <xf numFmtId="0" fontId="32" fillId="0" borderId="0" xfId="1" applyFont="1" applyAlignment="1" applyProtection="1">
      <alignment horizontal="center"/>
      <protection hidden="1"/>
    </xf>
    <xf numFmtId="0" fontId="0" fillId="0" borderId="0" xfId="1" applyFont="1" applyAlignment="1" applyProtection="1">
      <alignment horizontal="center" vertical="center"/>
      <protection hidden="1"/>
    </xf>
    <xf numFmtId="57" fontId="0" fillId="0" borderId="0" xfId="1" applyNumberFormat="1" applyFont="1" applyAlignment="1" applyProtection="1">
      <alignment horizontal="center" vertical="center"/>
      <protection hidden="1"/>
    </xf>
    <xf numFmtId="0" fontId="41" fillId="0" borderId="0" xfId="1" applyFont="1" applyProtection="1">
      <protection hidden="1"/>
    </xf>
    <xf numFmtId="0" fontId="32" fillId="0" borderId="0" xfId="1" applyFont="1" applyAlignment="1" applyProtection="1">
      <alignment horizontal="left"/>
      <protection hidden="1"/>
    </xf>
    <xf numFmtId="177" fontId="44" fillId="0" borderId="0" xfId="1" applyNumberFormat="1" applyFont="1" applyBorder="1" applyAlignment="1" applyProtection="1">
      <alignment horizontal="center" vertical="center" shrinkToFit="1"/>
      <protection hidden="1"/>
    </xf>
    <xf numFmtId="0" fontId="1" fillId="0" borderId="0" xfId="1" applyFont="1" applyAlignment="1" applyProtection="1">
      <alignment vertical="center"/>
      <protection hidden="1"/>
    </xf>
    <xf numFmtId="57" fontId="1" fillId="0" borderId="0" xfId="1" applyNumberFormat="1" applyFont="1" applyAlignment="1" applyProtection="1">
      <alignment vertical="center"/>
      <protection hidden="1"/>
    </xf>
    <xf numFmtId="177" fontId="6" fillId="0" borderId="0" xfId="1" applyNumberFormat="1" applyFont="1" applyFill="1" applyBorder="1" applyAlignment="1" applyProtection="1">
      <alignment horizontal="center" vertical="center"/>
      <protection hidden="1"/>
    </xf>
    <xf numFmtId="177" fontId="6" fillId="0" borderId="0" xfId="1" applyNumberFormat="1" applyFont="1" applyBorder="1" applyAlignment="1" applyProtection="1">
      <alignment horizontal="center" vertical="center"/>
      <protection hidden="1"/>
    </xf>
    <xf numFmtId="177" fontId="6" fillId="0" borderId="0" xfId="1" applyNumberFormat="1" applyFont="1" applyBorder="1" applyAlignment="1" applyProtection="1">
      <alignment vertical="center" shrinkToFit="1"/>
      <protection hidden="1"/>
    </xf>
    <xf numFmtId="57" fontId="45" fillId="0" borderId="0" xfId="1" applyNumberFormat="1" applyFont="1" applyAlignment="1" applyProtection="1">
      <alignment vertical="center"/>
      <protection hidden="1"/>
    </xf>
    <xf numFmtId="0" fontId="45" fillId="0" borderId="0" xfId="1" applyFont="1" applyAlignment="1" applyProtection="1">
      <alignment vertical="center"/>
      <protection hidden="1"/>
    </xf>
    <xf numFmtId="0" fontId="45" fillId="0" borderId="0" xfId="1" applyFont="1" applyProtection="1">
      <protection hidden="1"/>
    </xf>
    <xf numFmtId="0" fontId="1" fillId="0" borderId="0" xfId="1" applyFont="1" applyFill="1" applyAlignment="1" applyProtection="1">
      <alignment vertical="center"/>
      <protection hidden="1"/>
    </xf>
    <xf numFmtId="57" fontId="1" fillId="0" borderId="0" xfId="1" applyNumberFormat="1" applyFont="1" applyFill="1" applyAlignment="1" applyProtection="1">
      <alignment vertical="center"/>
      <protection hidden="1"/>
    </xf>
    <xf numFmtId="0" fontId="46" fillId="0" borderId="0" xfId="1" applyFont="1" applyAlignment="1" applyProtection="1">
      <alignment horizontal="left"/>
      <protection hidden="1"/>
    </xf>
    <xf numFmtId="0" fontId="40" fillId="0" borderId="0" xfId="1" applyFont="1"/>
    <xf numFmtId="0" fontId="41" fillId="0" borderId="0" xfId="1" applyFont="1" applyBorder="1" applyProtection="1">
      <protection hidden="1"/>
    </xf>
    <xf numFmtId="0" fontId="39" fillId="0" borderId="0" xfId="1" applyFont="1" applyBorder="1" applyProtection="1">
      <protection hidden="1"/>
    </xf>
    <xf numFmtId="57" fontId="32" fillId="0" borderId="0" xfId="1" applyNumberFormat="1" applyFont="1" applyAlignment="1" applyProtection="1">
      <alignment horizontal="center" shrinkToFit="1"/>
      <protection hidden="1"/>
    </xf>
    <xf numFmtId="0" fontId="19" fillId="0" borderId="0" xfId="74" applyFont="1" applyFill="1" applyBorder="1" applyAlignment="1" applyProtection="1">
      <alignment horizontal="center" vertical="center"/>
      <protection hidden="1"/>
    </xf>
    <xf numFmtId="0" fontId="28" fillId="0" borderId="0" xfId="74" applyFont="1" applyFill="1" applyBorder="1" applyAlignment="1" applyProtection="1">
      <alignment horizontal="center" vertical="center"/>
      <protection hidden="1"/>
    </xf>
    <xf numFmtId="0" fontId="16" fillId="0" borderId="0" xfId="74" applyFont="1" applyFill="1" applyBorder="1" applyAlignment="1" applyProtection="1">
      <alignment horizontal="center" vertical="center"/>
      <protection hidden="1"/>
    </xf>
    <xf numFmtId="181" fontId="18" fillId="0" borderId="0" xfId="74" applyNumberFormat="1" applyFont="1" applyFill="1" applyBorder="1" applyAlignment="1" applyProtection="1">
      <alignment horizontal="center" vertical="center"/>
      <protection hidden="1"/>
    </xf>
    <xf numFmtId="0" fontId="22" fillId="0" borderId="0" xfId="74" applyFont="1" applyFill="1" applyBorder="1" applyAlignment="1" applyProtection="1">
      <alignment horizontal="center" vertical="center" wrapText="1"/>
      <protection hidden="1"/>
    </xf>
    <xf numFmtId="182" fontId="24" fillId="0" borderId="0" xfId="74" applyNumberFormat="1" applyFont="1" applyFill="1" applyBorder="1" applyAlignment="1" applyProtection="1">
      <alignment horizontal="center" vertical="center"/>
      <protection hidden="1"/>
    </xf>
    <xf numFmtId="191" fontId="24" fillId="0" borderId="0" xfId="74" applyNumberFormat="1" applyFont="1" applyFill="1" applyBorder="1" applyAlignment="1" applyProtection="1">
      <alignment horizontal="center" vertical="center"/>
      <protection hidden="1"/>
    </xf>
    <xf numFmtId="182" fontId="27" fillId="0" borderId="0" xfId="74" applyNumberFormat="1" applyFont="1" applyFill="1" applyBorder="1" applyAlignment="1" applyProtection="1">
      <alignment horizontal="center" vertical="center"/>
      <protection hidden="1"/>
    </xf>
    <xf numFmtId="182" fontId="26" fillId="0" borderId="0" xfId="74" applyNumberFormat="1" applyFont="1" applyFill="1" applyBorder="1" applyAlignment="1" applyProtection="1">
      <alignment horizontal="center" vertical="center" shrinkToFit="1"/>
      <protection hidden="1"/>
    </xf>
    <xf numFmtId="0" fontId="10" fillId="0" borderId="0" xfId="1" applyFont="1" applyAlignment="1" applyProtection="1">
      <alignment vertical="center"/>
      <protection hidden="1"/>
    </xf>
    <xf numFmtId="0" fontId="6" fillId="0" borderId="0" xfId="74" applyFont="1" applyFill="1" applyBorder="1" applyAlignment="1" applyProtection="1">
      <alignment horizontal="center" vertical="center"/>
      <protection hidden="1"/>
    </xf>
    <xf numFmtId="0" fontId="18" fillId="0" borderId="0" xfId="74" applyFont="1" applyFill="1" applyBorder="1" applyAlignment="1" applyProtection="1">
      <alignment horizontal="center" vertical="center"/>
      <protection hidden="1"/>
    </xf>
    <xf numFmtId="0" fontId="29" fillId="0" borderId="0" xfId="74" applyFont="1" applyFill="1" applyBorder="1" applyAlignment="1" applyProtection="1">
      <alignment horizontal="center" vertical="center"/>
      <protection hidden="1"/>
    </xf>
    <xf numFmtId="0" fontId="34" fillId="0" borderId="0" xfId="74" applyFont="1" applyFill="1" applyBorder="1" applyAlignment="1" applyProtection="1">
      <alignment horizontal="center" vertical="center" shrinkToFit="1"/>
      <protection hidden="1"/>
    </xf>
    <xf numFmtId="0" fontId="36" fillId="0" borderId="0" xfId="74" applyFont="1" applyFill="1" applyBorder="1" applyAlignment="1" applyProtection="1">
      <alignment horizontal="center" vertical="center" wrapText="1"/>
      <protection hidden="1"/>
    </xf>
    <xf numFmtId="0" fontId="23" fillId="0" borderId="0" xfId="74" applyFont="1" applyFill="1" applyBorder="1" applyAlignment="1" applyProtection="1">
      <alignment horizontal="center" vertical="center"/>
      <protection hidden="1"/>
    </xf>
    <xf numFmtId="0" fontId="22" fillId="0" borderId="0" xfId="74" applyFont="1" applyFill="1" applyBorder="1" applyAlignment="1" applyProtection="1">
      <alignment horizontal="center" vertical="center"/>
      <protection hidden="1"/>
    </xf>
    <xf numFmtId="0" fontId="25" fillId="0" borderId="0" xfId="74" applyFont="1" applyFill="1" applyBorder="1" applyAlignment="1" applyProtection="1">
      <alignment horizontal="center" vertical="center"/>
      <protection hidden="1"/>
    </xf>
    <xf numFmtId="189" fontId="17" fillId="0" borderId="0" xfId="74" applyNumberFormat="1" applyFont="1" applyFill="1" applyBorder="1" applyAlignment="1" applyProtection="1">
      <alignment horizontal="center" vertical="center"/>
      <protection hidden="1"/>
    </xf>
    <xf numFmtId="190" fontId="17" fillId="0" borderId="10" xfId="74" applyNumberFormat="1" applyFont="1" applyFill="1" applyBorder="1" applyAlignment="1" applyProtection="1">
      <alignment horizontal="center" vertical="center" shrinkToFit="1"/>
      <protection hidden="1"/>
    </xf>
    <xf numFmtId="0" fontId="16" fillId="0" borderId="0" xfId="74" applyFont="1" applyFill="1" applyBorder="1" applyAlignment="1" applyProtection="1">
      <alignment horizontal="center" vertical="center" shrinkToFit="1"/>
      <protection hidden="1"/>
    </xf>
    <xf numFmtId="0" fontId="29" fillId="0" borderId="0" xfId="74" applyFont="1" applyFill="1" applyBorder="1" applyAlignment="1" applyProtection="1">
      <alignment horizontal="right" vertical="center"/>
      <protection hidden="1"/>
    </xf>
    <xf numFmtId="0" fontId="6" fillId="0" borderId="0" xfId="74" applyFont="1" applyFill="1" applyBorder="1" applyAlignment="1" applyProtection="1">
      <alignment horizontal="right" vertical="center"/>
      <protection hidden="1"/>
    </xf>
    <xf numFmtId="0" fontId="35" fillId="0" borderId="0" xfId="1" applyFont="1" applyFill="1" applyAlignment="1" applyProtection="1">
      <alignment vertical="center"/>
      <protection hidden="1"/>
    </xf>
    <xf numFmtId="0" fontId="16" fillId="0" borderId="0" xfId="74" applyFont="1" applyFill="1" applyBorder="1" applyAlignment="1" applyProtection="1">
      <alignment horizontal="right" vertical="center"/>
      <protection hidden="1"/>
    </xf>
    <xf numFmtId="0" fontId="8" fillId="0" borderId="0" xfId="74" applyFont="1" applyFill="1" applyBorder="1" applyAlignment="1" applyProtection="1">
      <alignment horizontal="center" vertical="center"/>
      <protection hidden="1"/>
    </xf>
    <xf numFmtId="0" fontId="45" fillId="0" borderId="0" xfId="1" applyFont="1" applyBorder="1" applyAlignment="1" applyProtection="1">
      <alignment vertical="center"/>
      <protection hidden="1"/>
    </xf>
    <xf numFmtId="0" fontId="19" fillId="0" borderId="0" xfId="74" applyNumberFormat="1" applyFont="1" applyFill="1" applyBorder="1" applyAlignment="1" applyProtection="1">
      <alignment horizontal="center" vertical="center" shrinkToFit="1"/>
      <protection hidden="1"/>
    </xf>
    <xf numFmtId="0" fontId="38" fillId="0" borderId="0" xfId="74" applyFont="1" applyFill="1" applyBorder="1" applyAlignment="1" applyProtection="1">
      <alignment horizontal="center" vertical="center" shrinkToFit="1"/>
      <protection hidden="1"/>
    </xf>
    <xf numFmtId="183" fontId="19" fillId="0" borderId="11" xfId="74" applyNumberFormat="1" applyFont="1" applyFill="1" applyBorder="1" applyAlignment="1" applyProtection="1">
      <alignment horizontal="left" vertical="center"/>
      <protection hidden="1"/>
    </xf>
    <xf numFmtId="0" fontId="4" fillId="0" borderId="0" xfId="1" applyFont="1" applyBorder="1" applyProtection="1">
      <protection hidden="1"/>
    </xf>
    <xf numFmtId="186" fontId="16" fillId="0" borderId="0" xfId="74" applyNumberFormat="1" applyFont="1" applyFill="1" applyBorder="1" applyAlignment="1" applyProtection="1">
      <alignment horizontal="center" vertical="center" shrinkToFit="1"/>
      <protection hidden="1"/>
    </xf>
    <xf numFmtId="0" fontId="31" fillId="0" borderId="0" xfId="74" applyFont="1" applyFill="1" applyBorder="1" applyAlignment="1" applyProtection="1">
      <alignment vertical="center"/>
      <protection hidden="1"/>
    </xf>
    <xf numFmtId="0" fontId="10" fillId="0" borderId="0" xfId="1" applyFont="1" applyFill="1" applyProtection="1">
      <protection hidden="1"/>
    </xf>
    <xf numFmtId="0" fontId="0" fillId="0" borderId="0" xfId="1" applyFont="1" applyFill="1" applyProtection="1">
      <protection hidden="1"/>
    </xf>
    <xf numFmtId="0" fontId="8" fillId="0" borderId="12" xfId="71" applyBorder="1" applyAlignment="1">
      <alignment horizontal="center" vertical="center"/>
    </xf>
    <xf numFmtId="14" fontId="8" fillId="26" borderId="12" xfId="71" applyNumberFormat="1" applyFill="1" applyBorder="1" applyAlignment="1">
      <alignment horizontal="center" vertical="center"/>
    </xf>
    <xf numFmtId="179" fontId="8" fillId="0" borderId="12" xfId="71" applyNumberFormat="1" applyBorder="1" applyAlignment="1">
      <alignment horizontal="center" vertical="center"/>
    </xf>
    <xf numFmtId="179" fontId="8" fillId="0" borderId="12" xfId="71" applyNumberFormat="1" applyFill="1" applyBorder="1" applyAlignment="1">
      <alignment horizontal="center" vertical="center"/>
    </xf>
    <xf numFmtId="14" fontId="8" fillId="0" borderId="12" xfId="71" applyNumberFormat="1" applyBorder="1" applyAlignment="1">
      <alignment horizontal="center" vertical="center"/>
    </xf>
    <xf numFmtId="0" fontId="8" fillId="27" borderId="12" xfId="71" applyFill="1" applyBorder="1" applyAlignment="1">
      <alignment horizontal="center" vertical="center"/>
    </xf>
    <xf numFmtId="0" fontId="8" fillId="28" borderId="12" xfId="71" applyFill="1" applyBorder="1" applyAlignment="1">
      <alignment horizontal="center" vertical="center"/>
    </xf>
    <xf numFmtId="0" fontId="8" fillId="0" borderId="0" xfId="71" applyAlignment="1">
      <alignment horizontal="center" vertical="center"/>
    </xf>
    <xf numFmtId="0" fontId="8" fillId="0" borderId="0" xfId="71">
      <alignment vertical="center"/>
    </xf>
    <xf numFmtId="0" fontId="8" fillId="0" borderId="0" xfId="71" applyFill="1" applyBorder="1">
      <alignment vertical="center"/>
    </xf>
    <xf numFmtId="181" fontId="16" fillId="0" borderId="0" xfId="74" applyNumberFormat="1" applyFont="1" applyFill="1" applyBorder="1" applyAlignment="1" applyProtection="1">
      <alignment horizontal="center" vertical="center" shrinkToFit="1"/>
      <protection hidden="1"/>
    </xf>
    <xf numFmtId="0" fontId="28" fillId="0" borderId="11" xfId="74" applyFont="1" applyFill="1" applyBorder="1" applyAlignment="1" applyProtection="1">
      <alignment horizontal="right" vertical="center"/>
      <protection hidden="1"/>
    </xf>
    <xf numFmtId="0" fontId="28" fillId="0" borderId="0" xfId="74" applyFont="1" applyFill="1" applyBorder="1" applyAlignment="1" applyProtection="1">
      <alignment horizontal="right" vertical="center"/>
      <protection hidden="1"/>
    </xf>
    <xf numFmtId="0" fontId="8" fillId="0" borderId="0" xfId="71" applyFont="1">
      <alignment vertical="center"/>
    </xf>
    <xf numFmtId="0" fontId="8" fillId="0" borderId="12" xfId="71" applyBorder="1">
      <alignment vertical="center"/>
    </xf>
    <xf numFmtId="0" fontId="8" fillId="29" borderId="12" xfId="71" applyFill="1" applyBorder="1" applyAlignment="1">
      <alignment horizontal="center" vertical="center"/>
    </xf>
    <xf numFmtId="0" fontId="8" fillId="0" borderId="12" xfId="71" applyFill="1" applyBorder="1" applyAlignment="1">
      <alignment horizontal="center" vertical="center"/>
    </xf>
    <xf numFmtId="0" fontId="8" fillId="28" borderId="12" xfId="71" applyFill="1" applyBorder="1">
      <alignment vertical="center"/>
    </xf>
    <xf numFmtId="0" fontId="8" fillId="0" borderId="12" xfId="71" applyFont="1" applyBorder="1" applyAlignment="1">
      <alignment horizontal="center" vertical="center"/>
    </xf>
    <xf numFmtId="177" fontId="8" fillId="0" borderId="12" xfId="71" applyNumberFormat="1" applyBorder="1" applyAlignment="1">
      <alignment horizontal="center" vertical="center"/>
    </xf>
    <xf numFmtId="176" fontId="8" fillId="0" borderId="12" xfId="71" applyNumberFormat="1" applyBorder="1" applyAlignment="1">
      <alignment horizontal="center" vertical="center"/>
    </xf>
    <xf numFmtId="0" fontId="8" fillId="27" borderId="13" xfId="71" applyFill="1" applyBorder="1" applyAlignment="1">
      <alignment horizontal="center" vertical="center"/>
    </xf>
    <xf numFmtId="0" fontId="8" fillId="28" borderId="13" xfId="71" applyFill="1" applyBorder="1">
      <alignment vertical="center"/>
    </xf>
    <xf numFmtId="0" fontId="8" fillId="30" borderId="12" xfId="71" applyFill="1" applyBorder="1" applyAlignment="1">
      <alignment horizontal="center" vertical="center"/>
    </xf>
    <xf numFmtId="0" fontId="8" fillId="30" borderId="12" xfId="71" applyFill="1" applyBorder="1">
      <alignment vertical="center"/>
    </xf>
    <xf numFmtId="0" fontId="8" fillId="0" borderId="14" xfId="71" applyFont="1" applyFill="1" applyBorder="1" applyAlignment="1">
      <alignment horizontal="center" vertical="center"/>
    </xf>
    <xf numFmtId="0" fontId="8" fillId="0" borderId="15" xfId="71" applyFont="1" applyFill="1" applyBorder="1" applyAlignment="1">
      <alignment horizontal="center" vertical="center"/>
    </xf>
    <xf numFmtId="0" fontId="8" fillId="30" borderId="12" xfId="71" applyFont="1" applyFill="1" applyBorder="1" applyAlignment="1">
      <alignment horizontal="center" vertical="center"/>
    </xf>
    <xf numFmtId="0" fontId="8" fillId="27" borderId="16" xfId="71" applyFill="1" applyBorder="1" applyAlignment="1">
      <alignment horizontal="center" vertical="center"/>
    </xf>
    <xf numFmtId="0" fontId="8" fillId="28" borderId="16" xfId="71" applyFill="1" applyBorder="1">
      <alignment vertical="center"/>
    </xf>
    <xf numFmtId="0" fontId="8" fillId="30" borderId="0" xfId="71" applyFill="1" applyAlignment="1">
      <alignment horizontal="center" vertical="center"/>
    </xf>
    <xf numFmtId="0" fontId="8" fillId="30" borderId="0" xfId="71" applyFill="1" applyBorder="1">
      <alignment vertical="center"/>
    </xf>
    <xf numFmtId="0" fontId="8" fillId="29" borderId="12" xfId="71" applyFont="1" applyFill="1" applyBorder="1" applyAlignment="1">
      <alignment horizontal="center" vertical="center"/>
    </xf>
    <xf numFmtId="0" fontId="8" fillId="0" borderId="0" xfId="71" applyBorder="1">
      <alignment vertical="center"/>
    </xf>
    <xf numFmtId="0" fontId="8" fillId="0" borderId="0" xfId="71" applyFont="1" applyAlignment="1">
      <alignment horizontal="center" vertical="center"/>
    </xf>
    <xf numFmtId="0" fontId="8" fillId="30" borderId="17" xfId="71" applyFill="1" applyBorder="1" applyAlignment="1">
      <alignment horizontal="center" vertical="center"/>
    </xf>
    <xf numFmtId="0" fontId="8" fillId="0" borderId="0" xfId="71" applyFill="1" applyAlignment="1">
      <alignment horizontal="center" vertical="center"/>
    </xf>
    <xf numFmtId="0" fontId="8" fillId="0" borderId="18" xfId="71" applyFill="1" applyBorder="1">
      <alignment vertical="center"/>
    </xf>
    <xf numFmtId="0" fontId="8" fillId="0" borderId="19" xfId="71" applyFill="1" applyBorder="1">
      <alignment vertical="center"/>
    </xf>
    <xf numFmtId="194" fontId="8" fillId="27" borderId="12" xfId="71" applyNumberFormat="1" applyFill="1" applyBorder="1" applyAlignment="1">
      <alignment horizontal="center" vertical="center"/>
    </xf>
    <xf numFmtId="0" fontId="8" fillId="30" borderId="0" xfId="71" applyFill="1" applyBorder="1" applyAlignment="1">
      <alignment horizontal="center" vertical="center"/>
    </xf>
    <xf numFmtId="177" fontId="8" fillId="0" borderId="0" xfId="71" applyNumberFormat="1" applyAlignment="1">
      <alignment horizontal="center" vertical="center"/>
    </xf>
    <xf numFmtId="0" fontId="8" fillId="0" borderId="13" xfId="71" applyBorder="1">
      <alignment vertical="center"/>
    </xf>
    <xf numFmtId="194" fontId="8" fillId="0" borderId="0" xfId="71" applyNumberFormat="1" applyAlignment="1">
      <alignment horizontal="center" vertical="center"/>
    </xf>
    <xf numFmtId="0" fontId="8" fillId="0" borderId="20" xfId="71" applyFill="1" applyBorder="1">
      <alignment vertical="center"/>
    </xf>
    <xf numFmtId="0" fontId="8" fillId="0" borderId="21" xfId="71" applyFont="1" applyBorder="1">
      <alignment vertical="center"/>
    </xf>
    <xf numFmtId="176" fontId="8" fillId="0" borderId="22" xfId="71" applyNumberFormat="1" applyBorder="1" applyAlignment="1">
      <alignment horizontal="center" vertical="center"/>
    </xf>
    <xf numFmtId="0" fontId="8" fillId="0" borderId="23" xfId="71" applyFont="1" applyBorder="1">
      <alignment vertical="center"/>
    </xf>
    <xf numFmtId="0" fontId="8" fillId="0" borderId="0" xfId="71" applyFont="1" applyAlignment="1">
      <alignment horizontal="right" vertical="center"/>
    </xf>
    <xf numFmtId="0" fontId="8" fillId="0" borderId="24" xfId="71" applyBorder="1">
      <alignment vertical="center"/>
    </xf>
    <xf numFmtId="0" fontId="8" fillId="0" borderId="25" xfId="71" applyFill="1" applyBorder="1">
      <alignment vertical="center"/>
    </xf>
    <xf numFmtId="0" fontId="8" fillId="0" borderId="26" xfId="71" applyBorder="1">
      <alignment vertical="center"/>
    </xf>
    <xf numFmtId="0" fontId="8" fillId="0" borderId="27" xfId="71" applyBorder="1">
      <alignment vertical="center"/>
    </xf>
    <xf numFmtId="0" fontId="8" fillId="0" borderId="0" xfId="71" applyBorder="1" applyAlignment="1">
      <alignment horizontal="center" vertical="center"/>
    </xf>
    <xf numFmtId="10" fontId="8" fillId="0" borderId="0" xfId="71" applyNumberFormat="1" applyBorder="1" applyAlignment="1">
      <alignment horizontal="center" vertical="center"/>
    </xf>
    <xf numFmtId="180" fontId="8" fillId="0" borderId="12" xfId="71" applyNumberFormat="1" applyFill="1" applyBorder="1" applyAlignment="1">
      <alignment horizontal="center" vertical="center"/>
    </xf>
    <xf numFmtId="0" fontId="8" fillId="0" borderId="28" xfId="71" applyBorder="1" applyAlignment="1">
      <alignment horizontal="center" vertical="center"/>
    </xf>
    <xf numFmtId="10" fontId="8" fillId="0" borderId="0" xfId="71" applyNumberFormat="1" applyAlignment="1">
      <alignment horizontal="center" vertical="center"/>
    </xf>
    <xf numFmtId="0" fontId="8" fillId="0" borderId="17" xfId="71" applyFill="1" applyBorder="1">
      <alignment vertical="center"/>
    </xf>
    <xf numFmtId="0" fontId="8" fillId="0" borderId="12" xfId="71" applyFont="1" applyBorder="1">
      <alignment vertical="center"/>
    </xf>
    <xf numFmtId="10" fontId="8" fillId="31" borderId="12" xfId="71" applyNumberFormat="1" applyFill="1" applyBorder="1" applyAlignment="1">
      <alignment horizontal="center" vertical="center"/>
    </xf>
    <xf numFmtId="176" fontId="8" fillId="0" borderId="0" xfId="71" applyNumberFormat="1" applyAlignment="1">
      <alignment horizontal="center" vertical="center"/>
    </xf>
    <xf numFmtId="0" fontId="52" fillId="0" borderId="0" xfId="71" applyFont="1">
      <alignment vertical="center"/>
    </xf>
    <xf numFmtId="0" fontId="8" fillId="30" borderId="0" xfId="71" applyFont="1" applyFill="1" applyAlignment="1">
      <alignment horizontal="center" vertical="center"/>
    </xf>
    <xf numFmtId="49" fontId="8" fillId="0" borderId="0" xfId="71" applyNumberFormat="1" applyFont="1" applyAlignment="1">
      <alignment horizontal="center" vertical="center"/>
    </xf>
    <xf numFmtId="0" fontId="8" fillId="0" borderId="0" xfId="71" applyFont="1" applyFill="1" applyBorder="1">
      <alignment vertical="center"/>
    </xf>
    <xf numFmtId="0" fontId="52" fillId="0" borderId="0" xfId="71" applyFont="1" applyFill="1" applyBorder="1">
      <alignment vertical="center"/>
    </xf>
    <xf numFmtId="0" fontId="8" fillId="32" borderId="12" xfId="71" applyFill="1" applyBorder="1">
      <alignment vertical="center"/>
    </xf>
    <xf numFmtId="0" fontId="8" fillId="27" borderId="12" xfId="71" applyFill="1" applyBorder="1">
      <alignment vertical="center"/>
    </xf>
    <xf numFmtId="49" fontId="32" fillId="0" borderId="0" xfId="1" applyNumberFormat="1" applyFont="1" applyAlignment="1" applyProtection="1">
      <alignment horizontal="left"/>
      <protection hidden="1"/>
    </xf>
    <xf numFmtId="0" fontId="11" fillId="0" borderId="0" xfId="1" applyFont="1" applyProtection="1">
      <protection hidden="1"/>
    </xf>
    <xf numFmtId="0" fontId="4" fillId="0" borderId="0" xfId="1" applyFont="1" applyAlignment="1" applyProtection="1">
      <alignment horizontal="right"/>
      <protection hidden="1"/>
    </xf>
    <xf numFmtId="0" fontId="41" fillId="25" borderId="0" xfId="1" applyFont="1" applyFill="1" applyAlignment="1" applyProtection="1">
      <alignment horizontal="right"/>
      <protection hidden="1"/>
    </xf>
    <xf numFmtId="57" fontId="4" fillId="0" borderId="0" xfId="1" applyNumberFormat="1" applyFont="1" applyAlignment="1" applyProtection="1">
      <alignment horizontal="center"/>
      <protection hidden="1"/>
    </xf>
    <xf numFmtId="57" fontId="11" fillId="0" borderId="0" xfId="1" applyNumberFormat="1" applyFont="1" applyAlignment="1" applyProtection="1">
      <alignment horizontal="right"/>
      <protection hidden="1"/>
    </xf>
    <xf numFmtId="187" fontId="8" fillId="0" borderId="0" xfId="71" applyNumberFormat="1" applyFont="1">
      <alignment vertical="center"/>
    </xf>
    <xf numFmtId="0" fontId="16" fillId="0" borderId="0" xfId="74" applyFont="1" applyFill="1" applyBorder="1" applyAlignment="1" applyProtection="1">
      <alignment vertical="center"/>
      <protection hidden="1"/>
    </xf>
    <xf numFmtId="0" fontId="18" fillId="0" borderId="0" xfId="74" applyFont="1" applyFill="1" applyBorder="1" applyAlignment="1" applyProtection="1">
      <alignment vertical="center"/>
      <protection hidden="1"/>
    </xf>
    <xf numFmtId="14" fontId="8" fillId="27" borderId="12" xfId="71" applyNumberFormat="1" applyFill="1" applyBorder="1">
      <alignment vertical="center"/>
    </xf>
    <xf numFmtId="0" fontId="56" fillId="0" borderId="0" xfId="1" applyFont="1" applyFill="1" applyBorder="1" applyAlignment="1" applyProtection="1">
      <alignment horizontal="left" vertical="center"/>
      <protection hidden="1"/>
    </xf>
    <xf numFmtId="0" fontId="40" fillId="0" borderId="0" xfId="71" applyFont="1">
      <alignment vertical="center"/>
    </xf>
    <xf numFmtId="179" fontId="8" fillId="0" borderId="12" xfId="71" applyNumberFormat="1" applyBorder="1">
      <alignment vertical="center"/>
    </xf>
    <xf numFmtId="0" fontId="19" fillId="0" borderId="0" xfId="74" applyFont="1" applyFill="1" applyBorder="1" applyAlignment="1" applyProtection="1">
      <alignment vertical="center"/>
      <protection hidden="1"/>
    </xf>
    <xf numFmtId="0" fontId="8" fillId="0" borderId="0" xfId="74" applyFont="1" applyFill="1" applyBorder="1" applyAlignment="1" applyProtection="1">
      <alignment vertical="center"/>
      <protection hidden="1"/>
    </xf>
    <xf numFmtId="0" fontId="60" fillId="0" borderId="7" xfId="58" applyFont="1" applyFill="1" applyBorder="1" applyAlignment="1">
      <alignment horizontal="right" wrapText="1"/>
    </xf>
    <xf numFmtId="0" fontId="55" fillId="0" borderId="0" xfId="1" applyFont="1" applyFill="1" applyBorder="1" applyAlignment="1" applyProtection="1">
      <alignment horizontal="left" vertical="center"/>
      <protection hidden="1"/>
    </xf>
    <xf numFmtId="0" fontId="8" fillId="0" borderId="0" xfId="74" applyFont="1" applyBorder="1" applyAlignment="1" applyProtection="1">
      <alignment vertical="center"/>
      <protection hidden="1"/>
    </xf>
    <xf numFmtId="0" fontId="12" fillId="0" borderId="0" xfId="74" applyFont="1" applyBorder="1" applyAlignment="1" applyProtection="1">
      <alignment vertical="center"/>
      <protection hidden="1"/>
    </xf>
    <xf numFmtId="0" fontId="25" fillId="25" borderId="0" xfId="74" applyFont="1" applyFill="1" applyBorder="1" applyAlignment="1" applyProtection="1">
      <alignment horizontal="center" vertical="center"/>
      <protection hidden="1"/>
    </xf>
    <xf numFmtId="0" fontId="21" fillId="0" borderId="0" xfId="74" applyFont="1" applyFill="1" applyBorder="1" applyAlignment="1" applyProtection="1">
      <alignment horizontal="center" vertical="center"/>
      <protection hidden="1"/>
    </xf>
    <xf numFmtId="0" fontId="54" fillId="0" borderId="0" xfId="1" applyFont="1" applyBorder="1" applyAlignment="1" applyProtection="1">
      <alignment horizontal="left" vertical="center"/>
      <protection hidden="1"/>
    </xf>
    <xf numFmtId="0" fontId="55" fillId="0" borderId="0" xfId="1" applyNumberFormat="1" applyFont="1" applyBorder="1" applyAlignment="1" applyProtection="1">
      <alignment horizontal="right" vertical="center"/>
      <protection hidden="1"/>
    </xf>
    <xf numFmtId="0" fontId="8" fillId="0" borderId="12" xfId="1" applyFont="1" applyBorder="1" applyAlignment="1">
      <alignment vertical="center"/>
    </xf>
    <xf numFmtId="0" fontId="59" fillId="0" borderId="0" xfId="1" applyFont="1" applyAlignment="1" applyProtection="1">
      <alignment vertical="center"/>
      <protection hidden="1"/>
    </xf>
    <xf numFmtId="0" fontId="57" fillId="0" borderId="0" xfId="1" applyFont="1" applyAlignment="1" applyProtection="1">
      <alignment vertical="center"/>
      <protection hidden="1"/>
    </xf>
    <xf numFmtId="0" fontId="11" fillId="0" borderId="0" xfId="1" applyFont="1" applyBorder="1" applyAlignment="1" applyProtection="1">
      <alignment vertical="center"/>
      <protection hidden="1"/>
    </xf>
    <xf numFmtId="0" fontId="41" fillId="0" borderId="0" xfId="1" applyFont="1" applyBorder="1" applyAlignment="1" applyProtection="1">
      <alignment vertical="center"/>
      <protection hidden="1"/>
    </xf>
    <xf numFmtId="0" fontId="4" fillId="0" borderId="0" xfId="1" applyFont="1" applyAlignment="1" applyProtection="1">
      <alignment vertical="center"/>
      <protection hidden="1"/>
    </xf>
    <xf numFmtId="0" fontId="4" fillId="0" borderId="0" xfId="1" applyFont="1" applyBorder="1" applyAlignment="1" applyProtection="1">
      <alignment vertical="center"/>
      <protection hidden="1"/>
    </xf>
    <xf numFmtId="0" fontId="8" fillId="0" borderId="0" xfId="1" applyFont="1" applyAlignment="1">
      <alignment vertical="center"/>
    </xf>
    <xf numFmtId="0" fontId="63" fillId="33" borderId="29" xfId="69" applyFont="1" applyFill="1" applyBorder="1" applyAlignment="1">
      <alignment horizontal="center"/>
    </xf>
    <xf numFmtId="0" fontId="63" fillId="0" borderId="7" xfId="69" applyFont="1" applyFill="1" applyBorder="1" applyAlignment="1">
      <alignment wrapText="1"/>
    </xf>
    <xf numFmtId="0" fontId="63" fillId="0" borderId="7" xfId="69" applyFont="1" applyFill="1" applyBorder="1" applyAlignment="1">
      <alignment horizontal="right" wrapText="1"/>
    </xf>
    <xf numFmtId="0" fontId="63" fillId="0" borderId="7" xfId="58" applyFont="1" applyFill="1" applyBorder="1" applyAlignment="1">
      <alignment horizontal="right" wrapText="1"/>
    </xf>
    <xf numFmtId="0" fontId="14" fillId="0" borderId="0" xfId="69" applyFont="1"/>
    <xf numFmtId="0" fontId="8" fillId="34" borderId="12" xfId="71" applyFill="1" applyBorder="1">
      <alignment vertical="center"/>
    </xf>
    <xf numFmtId="0" fontId="8" fillId="27" borderId="12" xfId="71" applyFill="1" applyBorder="1" applyAlignment="1">
      <alignment horizontal="left" vertical="center"/>
    </xf>
    <xf numFmtId="0" fontId="64" fillId="0" borderId="0" xfId="59" applyFont="1" applyFill="1" applyBorder="1" applyAlignment="1">
      <alignment horizontal="center"/>
    </xf>
    <xf numFmtId="0" fontId="64" fillId="0" borderId="0" xfId="59" applyFont="1" applyFill="1" applyBorder="1" applyAlignment="1">
      <alignment wrapText="1"/>
    </xf>
    <xf numFmtId="0" fontId="19" fillId="0" borderId="0" xfId="74" applyFont="1" applyFill="1" applyBorder="1" applyAlignment="1" applyProtection="1">
      <alignment horizontal="center" vertical="center" shrinkToFit="1"/>
      <protection hidden="1"/>
    </xf>
    <xf numFmtId="0" fontId="65" fillId="0" borderId="0" xfId="1" applyFont="1" applyBorder="1" applyProtection="1">
      <protection hidden="1"/>
    </xf>
    <xf numFmtId="0" fontId="54" fillId="0" borderId="0" xfId="1" applyFont="1" applyBorder="1" applyAlignment="1" applyProtection="1">
      <alignment horizontal="right"/>
      <protection hidden="1"/>
    </xf>
    <xf numFmtId="0" fontId="8" fillId="0" borderId="0" xfId="71" applyFill="1">
      <alignment vertical="center"/>
    </xf>
    <xf numFmtId="0" fontId="8" fillId="0" borderId="0" xfId="71" applyFont="1" applyFill="1">
      <alignment vertical="center"/>
    </xf>
    <xf numFmtId="0" fontId="8" fillId="0" borderId="0" xfId="68" applyFont="1"/>
    <xf numFmtId="0" fontId="8" fillId="0" borderId="0" xfId="68"/>
    <xf numFmtId="0" fontId="8" fillId="27" borderId="12" xfId="68" applyFill="1" applyBorder="1" applyAlignment="1">
      <alignment horizontal="center"/>
    </xf>
    <xf numFmtId="194" fontId="8" fillId="27" borderId="12" xfId="68" applyNumberFormat="1" applyFill="1" applyBorder="1"/>
    <xf numFmtId="0" fontId="8" fillId="27" borderId="12" xfId="68" applyFill="1" applyBorder="1"/>
    <xf numFmtId="0" fontId="8" fillId="0" borderId="12" xfId="68" applyFont="1" applyBorder="1"/>
    <xf numFmtId="0" fontId="8" fillId="0" borderId="12" xfId="68" applyBorder="1"/>
    <xf numFmtId="10" fontId="8" fillId="0" borderId="12" xfId="71" applyNumberFormat="1" applyBorder="1">
      <alignment vertical="center"/>
    </xf>
    <xf numFmtId="0" fontId="8" fillId="0" borderId="0" xfId="68" applyFill="1" applyBorder="1"/>
    <xf numFmtId="0" fontId="19" fillId="0" borderId="0" xfId="74" applyFont="1" applyFill="1" applyBorder="1" applyAlignment="1" applyProtection="1">
      <alignment horizontal="right" vertical="center" wrapText="1"/>
      <protection hidden="1"/>
    </xf>
    <xf numFmtId="197" fontId="16" fillId="0" borderId="0" xfId="1" applyNumberFormat="1" applyFont="1" applyFill="1" applyBorder="1" applyAlignment="1" applyProtection="1">
      <alignment horizontal="right" vertical="center"/>
      <protection hidden="1"/>
    </xf>
    <xf numFmtId="0" fontId="60" fillId="33" borderId="29" xfId="69" applyFont="1" applyFill="1" applyBorder="1" applyAlignment="1">
      <alignment horizontal="center"/>
    </xf>
    <xf numFmtId="0" fontId="60" fillId="0" borderId="7" xfId="69" applyFont="1" applyFill="1" applyBorder="1" applyAlignment="1">
      <alignment horizontal="right" wrapText="1"/>
    </xf>
    <xf numFmtId="0" fontId="13" fillId="0" borderId="0" xfId="69"/>
    <xf numFmtId="10" fontId="8" fillId="0" borderId="12" xfId="1" applyNumberFormat="1" applyFont="1" applyBorder="1" applyAlignment="1">
      <alignment vertical="center"/>
    </xf>
    <xf numFmtId="0" fontId="8" fillId="0" borderId="12" xfId="1" applyFont="1" applyBorder="1" applyAlignment="1">
      <alignment horizontal="center" vertical="center"/>
    </xf>
    <xf numFmtId="0" fontId="8" fillId="27" borderId="12" xfId="1" applyFont="1" applyFill="1" applyBorder="1" applyAlignment="1">
      <alignment horizontal="center" vertical="center"/>
    </xf>
    <xf numFmtId="0" fontId="66" fillId="0" borderId="0" xfId="68" applyFont="1"/>
    <xf numFmtId="0" fontId="49" fillId="0" borderId="0" xfId="74" applyFont="1" applyFill="1" applyBorder="1" applyAlignment="1" applyProtection="1">
      <alignment horizontal="left" vertical="center"/>
      <protection hidden="1"/>
    </xf>
    <xf numFmtId="177" fontId="17" fillId="25" borderId="0" xfId="74" applyNumberFormat="1" applyFont="1" applyFill="1" applyBorder="1" applyAlignment="1" applyProtection="1">
      <alignment horizontal="center" vertical="center"/>
      <protection hidden="1"/>
    </xf>
    <xf numFmtId="0" fontId="25" fillId="25" borderId="0" xfId="74" applyFont="1" applyFill="1" applyBorder="1" applyAlignment="1" applyProtection="1">
      <alignment horizontal="center" vertical="center" wrapText="1"/>
      <protection hidden="1"/>
    </xf>
    <xf numFmtId="0" fontId="8" fillId="0" borderId="30" xfId="71" applyFont="1" applyBorder="1">
      <alignment vertical="center"/>
    </xf>
    <xf numFmtId="0" fontId="8" fillId="0" borderId="0" xfId="71" applyFont="1" applyBorder="1" applyAlignment="1">
      <alignment horizontal="center" vertical="center"/>
    </xf>
    <xf numFmtId="0" fontId="8" fillId="0" borderId="12" xfId="71" applyFill="1" applyBorder="1">
      <alignment vertical="center"/>
    </xf>
    <xf numFmtId="0" fontId="8" fillId="0" borderId="22" xfId="71" applyFont="1" applyBorder="1">
      <alignment vertical="center"/>
    </xf>
    <xf numFmtId="0" fontId="19" fillId="0" borderId="0" xfId="74" applyNumberFormat="1" applyFont="1" applyFill="1" applyBorder="1" applyAlignment="1" applyProtection="1">
      <alignment horizontal="left" vertical="center"/>
      <protection hidden="1"/>
    </xf>
    <xf numFmtId="0" fontId="19" fillId="0" borderId="0" xfId="74" applyFont="1" applyFill="1" applyBorder="1" applyAlignment="1" applyProtection="1">
      <alignment vertical="center" wrapText="1"/>
      <protection hidden="1"/>
    </xf>
    <xf numFmtId="200" fontId="8" fillId="0" borderId="0" xfId="71" applyNumberFormat="1">
      <alignment vertical="center"/>
    </xf>
    <xf numFmtId="199" fontId="8" fillId="0" borderId="0" xfId="71" applyNumberFormat="1">
      <alignment vertical="center"/>
    </xf>
    <xf numFmtId="198" fontId="8" fillId="0" borderId="0" xfId="71" applyNumberFormat="1">
      <alignment vertical="center"/>
    </xf>
    <xf numFmtId="201" fontId="8" fillId="0" borderId="12" xfId="68" applyNumberFormat="1" applyBorder="1"/>
    <xf numFmtId="0" fontId="52" fillId="0" borderId="12" xfId="68" applyFont="1" applyBorder="1"/>
    <xf numFmtId="0" fontId="8" fillId="0" borderId="12" xfId="68" applyFont="1" applyBorder="1" applyAlignment="1">
      <alignment horizontal="center"/>
    </xf>
    <xf numFmtId="194" fontId="8" fillId="0" borderId="12" xfId="68" applyNumberFormat="1" applyBorder="1"/>
    <xf numFmtId="0" fontId="8" fillId="0" borderId="12" xfId="67" applyBorder="1"/>
    <xf numFmtId="195" fontId="8" fillId="0" borderId="12" xfId="68" applyNumberFormat="1" applyBorder="1"/>
    <xf numFmtId="10" fontId="8" fillId="0" borderId="12" xfId="68" applyNumberFormat="1" applyBorder="1"/>
    <xf numFmtId="199" fontId="8" fillId="0" borderId="12" xfId="68" applyNumberFormat="1" applyBorder="1"/>
    <xf numFmtId="199" fontId="8" fillId="0" borderId="12" xfId="67" applyNumberFormat="1" applyBorder="1"/>
    <xf numFmtId="0" fontId="64" fillId="0" borderId="7" xfId="58" applyFont="1" applyFill="1" applyBorder="1" applyAlignment="1">
      <alignment horizontal="right" wrapText="1"/>
    </xf>
    <xf numFmtId="0" fontId="11" fillId="25" borderId="0" xfId="1" applyFont="1" applyFill="1" applyBorder="1" applyAlignment="1" applyProtection="1">
      <protection hidden="1"/>
    </xf>
    <xf numFmtId="0" fontId="11" fillId="0" borderId="0" xfId="1" applyFont="1" applyBorder="1" applyAlignment="1" applyProtection="1">
      <protection hidden="1"/>
    </xf>
    <xf numFmtId="0" fontId="11" fillId="0" borderId="0" xfId="1" applyFont="1" applyBorder="1" applyAlignment="1" applyProtection="1">
      <alignment shrinkToFit="1"/>
      <protection hidden="1"/>
    </xf>
    <xf numFmtId="183" fontId="11" fillId="0" borderId="0" xfId="1" applyNumberFormat="1" applyFont="1" applyBorder="1" applyAlignment="1" applyProtection="1">
      <protection hidden="1"/>
    </xf>
    <xf numFmtId="0" fontId="18" fillId="0" borderId="31" xfId="74" applyFont="1" applyFill="1" applyBorder="1" applyAlignment="1" applyProtection="1">
      <alignment horizontal="center" vertical="center"/>
      <protection hidden="1"/>
    </xf>
    <xf numFmtId="0" fontId="18" fillId="0" borderId="32" xfId="74" applyFont="1" applyFill="1" applyBorder="1" applyAlignment="1" applyProtection="1">
      <alignment horizontal="center" vertical="center"/>
      <protection hidden="1"/>
    </xf>
    <xf numFmtId="0" fontId="28" fillId="0" borderId="33" xfId="1" applyFont="1" applyBorder="1" applyAlignment="1" applyProtection="1">
      <alignment horizontal="right" vertical="center"/>
      <protection hidden="1"/>
    </xf>
    <xf numFmtId="10" fontId="8" fillId="0" borderId="12" xfId="71" applyNumberFormat="1" applyBorder="1" applyAlignment="1">
      <alignment horizontal="right" vertical="center"/>
    </xf>
    <xf numFmtId="49" fontId="32" fillId="0" borderId="0" xfId="1" applyNumberFormat="1" applyFont="1" applyAlignment="1" applyProtection="1">
      <alignment horizontal="left" vertical="center"/>
      <protection hidden="1"/>
    </xf>
    <xf numFmtId="0" fontId="32" fillId="0" borderId="0" xfId="1" applyFont="1" applyAlignment="1" applyProtection="1">
      <alignment horizontal="center" vertical="center"/>
      <protection hidden="1"/>
    </xf>
    <xf numFmtId="0" fontId="57" fillId="0" borderId="0" xfId="1" applyFont="1" applyBorder="1" applyAlignment="1" applyProtection="1">
      <alignment vertical="center"/>
      <protection hidden="1"/>
    </xf>
    <xf numFmtId="0" fontId="69" fillId="0" borderId="0" xfId="1" applyFont="1" applyAlignment="1" applyProtection="1">
      <alignment vertical="center"/>
      <protection hidden="1"/>
    </xf>
    <xf numFmtId="0" fontId="69" fillId="0" borderId="0" xfId="1" applyFont="1" applyAlignment="1">
      <alignment vertical="center"/>
    </xf>
    <xf numFmtId="0" fontId="57" fillId="0" borderId="0" xfId="1" applyFont="1" applyAlignment="1">
      <alignment vertical="center"/>
    </xf>
    <xf numFmtId="0" fontId="55" fillId="0" borderId="0" xfId="1" applyFont="1" applyAlignment="1" applyProtection="1">
      <alignment vertical="center"/>
      <protection hidden="1"/>
    </xf>
    <xf numFmtId="0" fontId="54" fillId="0" borderId="0" xfId="1" applyFont="1" applyProtection="1">
      <protection hidden="1"/>
    </xf>
    <xf numFmtId="0" fontId="70" fillId="0" borderId="0" xfId="74" applyFont="1" applyFill="1" applyBorder="1" applyAlignment="1" applyProtection="1">
      <alignment horizontal="center" vertical="center" shrinkToFit="1"/>
      <protection hidden="1"/>
    </xf>
    <xf numFmtId="0" fontId="33" fillId="0" borderId="0" xfId="1" applyFont="1" applyProtection="1">
      <protection hidden="1"/>
    </xf>
    <xf numFmtId="0" fontId="33" fillId="0" borderId="0" xfId="1" applyFont="1" applyBorder="1" applyProtection="1">
      <protection hidden="1"/>
    </xf>
    <xf numFmtId="0" fontId="33" fillId="0" borderId="0" xfId="1" applyFont="1" applyBorder="1" applyAlignment="1" applyProtection="1">
      <protection hidden="1"/>
    </xf>
    <xf numFmtId="0" fontId="33" fillId="0" borderId="0" xfId="1" applyFont="1" applyBorder="1" applyAlignment="1">
      <alignment wrapText="1"/>
    </xf>
    <xf numFmtId="10" fontId="61" fillId="0" borderId="0" xfId="1" applyNumberFormat="1" applyFont="1" applyBorder="1" applyAlignment="1">
      <alignment wrapText="1"/>
    </xf>
    <xf numFmtId="0" fontId="54" fillId="0" borderId="0" xfId="1" applyFont="1" applyBorder="1" applyAlignment="1" applyProtection="1">
      <alignment horizontal="center" vertical="center" shrinkToFit="1"/>
      <protection hidden="1"/>
    </xf>
    <xf numFmtId="184" fontId="54" fillId="0" borderId="0" xfId="1" applyNumberFormat="1" applyFont="1" applyBorder="1" applyAlignment="1" applyProtection="1">
      <alignment horizontal="left" vertical="center"/>
      <protection hidden="1"/>
    </xf>
    <xf numFmtId="185" fontId="54" fillId="0" borderId="0" xfId="1" applyNumberFormat="1" applyFont="1" applyBorder="1" applyAlignment="1" applyProtection="1">
      <alignment horizontal="center" vertical="center"/>
      <protection hidden="1"/>
    </xf>
    <xf numFmtId="178" fontId="54" fillId="0" borderId="0" xfId="1" applyNumberFormat="1" applyFont="1" applyBorder="1" applyAlignment="1" applyProtection="1">
      <alignment horizontal="center" vertical="center" shrinkToFit="1"/>
      <protection hidden="1"/>
    </xf>
    <xf numFmtId="41" fontId="54" fillId="0" borderId="0" xfId="81" applyFont="1" applyBorder="1" applyAlignment="1" applyProtection="1">
      <alignment horizontal="center" vertical="center" shrinkToFit="1"/>
      <protection hidden="1"/>
    </xf>
    <xf numFmtId="41" fontId="54" fillId="0" borderId="0" xfId="81" applyFont="1" applyBorder="1" applyAlignment="1" applyProtection="1">
      <alignment horizontal="right" vertical="center"/>
      <protection hidden="1"/>
    </xf>
    <xf numFmtId="0" fontId="54" fillId="0" borderId="0" xfId="1" applyNumberFormat="1" applyFont="1" applyBorder="1" applyAlignment="1" applyProtection="1">
      <alignment vertical="center"/>
      <protection hidden="1"/>
    </xf>
    <xf numFmtId="0" fontId="55" fillId="0" borderId="0" xfId="1" applyNumberFormat="1" applyFont="1" applyBorder="1" applyAlignment="1" applyProtection="1">
      <alignment horizontal="left" vertical="center"/>
      <protection hidden="1"/>
    </xf>
    <xf numFmtId="184" fontId="55" fillId="0" borderId="0" xfId="1" applyNumberFormat="1" applyFont="1" applyBorder="1" applyAlignment="1" applyProtection="1">
      <alignment horizontal="left" vertical="center"/>
      <protection hidden="1"/>
    </xf>
    <xf numFmtId="0" fontId="57" fillId="0" borderId="0" xfId="1" applyFont="1" applyAlignment="1" applyProtection="1">
      <alignment horizontal="left"/>
      <protection hidden="1"/>
    </xf>
    <xf numFmtId="177" fontId="33" fillId="0" borderId="0" xfId="1" applyNumberFormat="1" applyFont="1" applyFill="1" applyBorder="1" applyAlignment="1" applyProtection="1">
      <alignment horizontal="center" vertical="center"/>
      <protection hidden="1"/>
    </xf>
    <xf numFmtId="177" fontId="33" fillId="0" borderId="0" xfId="1" applyNumberFormat="1" applyFont="1" applyBorder="1" applyAlignment="1" applyProtection="1">
      <alignment horizontal="center" vertical="center"/>
      <protection hidden="1"/>
    </xf>
    <xf numFmtId="177" fontId="33" fillId="0" borderId="0" xfId="1" applyNumberFormat="1" applyFont="1" applyBorder="1" applyAlignment="1" applyProtection="1">
      <alignment vertical="center" shrinkToFit="1"/>
      <protection hidden="1"/>
    </xf>
    <xf numFmtId="177" fontId="33" fillId="0" borderId="0" xfId="1" applyNumberFormat="1" applyFont="1" applyBorder="1" applyAlignment="1" applyProtection="1">
      <alignment horizontal="center" vertical="center" shrinkToFit="1"/>
      <protection hidden="1"/>
    </xf>
    <xf numFmtId="0" fontId="8" fillId="28" borderId="0" xfId="73" applyFont="1" applyFill="1">
      <alignment vertical="center"/>
    </xf>
    <xf numFmtId="0" fontId="8" fillId="27" borderId="0" xfId="73" applyFill="1">
      <alignment vertical="center"/>
    </xf>
    <xf numFmtId="0" fontId="8" fillId="0" borderId="0" xfId="73" applyFont="1">
      <alignment vertical="center"/>
    </xf>
    <xf numFmtId="0" fontId="8" fillId="0" borderId="0" xfId="73">
      <alignment vertical="center"/>
    </xf>
    <xf numFmtId="0" fontId="8" fillId="0" borderId="12" xfId="73" applyBorder="1">
      <alignment vertical="center"/>
    </xf>
    <xf numFmtId="0" fontId="8" fillId="0" borderId="0" xfId="50" applyFont="1"/>
    <xf numFmtId="10" fontId="8" fillId="0" borderId="12" xfId="73" applyNumberFormat="1" applyBorder="1">
      <alignment vertical="center"/>
    </xf>
    <xf numFmtId="0" fontId="8" fillId="0" borderId="0" xfId="73" applyFill="1">
      <alignment vertical="center"/>
    </xf>
    <xf numFmtId="14" fontId="8" fillId="0" borderId="0" xfId="73" applyNumberFormat="1" applyFill="1">
      <alignment vertical="center"/>
    </xf>
    <xf numFmtId="19" fontId="8" fillId="0" borderId="0" xfId="73" applyNumberFormat="1" applyFill="1">
      <alignment vertical="center"/>
    </xf>
    <xf numFmtId="14" fontId="8" fillId="0" borderId="0" xfId="73" applyNumberFormat="1">
      <alignment vertical="center"/>
    </xf>
    <xf numFmtId="19" fontId="8" fillId="0" borderId="0" xfId="73" applyNumberFormat="1">
      <alignment vertical="center"/>
    </xf>
    <xf numFmtId="10" fontId="8" fillId="0" borderId="0" xfId="73" applyNumberFormat="1" applyFill="1">
      <alignment vertical="center"/>
    </xf>
    <xf numFmtId="0" fontId="8" fillId="0" borderId="0" xfId="50" applyAlignment="1">
      <alignment vertical="center"/>
    </xf>
    <xf numFmtId="0" fontId="8" fillId="0" borderId="0" xfId="73" applyAlignment="1">
      <alignment horizontal="center" vertical="center"/>
    </xf>
    <xf numFmtId="10" fontId="8" fillId="0" borderId="0" xfId="73" applyNumberFormat="1">
      <alignment vertical="center"/>
    </xf>
    <xf numFmtId="0" fontId="19" fillId="0" borderId="0" xfId="74" applyFont="1" applyFill="1" applyBorder="1" applyAlignment="1" applyProtection="1">
      <alignment vertical="center" shrinkToFit="1"/>
      <protection hidden="1"/>
    </xf>
    <xf numFmtId="10" fontId="131" fillId="35" borderId="0" xfId="74" applyNumberFormat="1" applyFont="1" applyFill="1" applyBorder="1" applyAlignment="1" applyProtection="1">
      <alignment vertical="center" shrinkToFit="1"/>
      <protection hidden="1"/>
    </xf>
    <xf numFmtId="0" fontId="31" fillId="0" borderId="46" xfId="74" applyFont="1" applyFill="1" applyBorder="1" applyAlignment="1" applyProtection="1">
      <alignment vertical="center"/>
      <protection hidden="1"/>
    </xf>
    <xf numFmtId="0" fontId="6" fillId="0" borderId="47" xfId="74" applyFont="1" applyFill="1" applyBorder="1" applyAlignment="1" applyProtection="1">
      <alignment horizontal="center" vertical="center"/>
      <protection hidden="1"/>
    </xf>
    <xf numFmtId="0" fontId="28" fillId="0" borderId="0" xfId="74" applyFont="1" applyBorder="1" applyAlignment="1" applyProtection="1">
      <alignment horizontal="center" vertical="center"/>
      <protection hidden="1"/>
    </xf>
    <xf numFmtId="0" fontId="8" fillId="0" borderId="46" xfId="74" applyFont="1" applyBorder="1" applyAlignment="1" applyProtection="1">
      <alignment vertical="center"/>
      <protection hidden="1"/>
    </xf>
    <xf numFmtId="0" fontId="20" fillId="0" borderId="47" xfId="74" applyFont="1" applyFill="1" applyBorder="1" applyAlignment="1" applyProtection="1">
      <alignment horizontal="right" vertical="center"/>
      <protection hidden="1"/>
    </xf>
    <xf numFmtId="0" fontId="16" fillId="0" borderId="46" xfId="74" applyFont="1" applyFill="1" applyBorder="1" applyAlignment="1" applyProtection="1">
      <alignment horizontal="center" vertical="center"/>
      <protection hidden="1"/>
    </xf>
    <xf numFmtId="0" fontId="20" fillId="0" borderId="0" xfId="1" applyFont="1" applyBorder="1" applyAlignment="1" applyProtection="1">
      <alignment shrinkToFit="1"/>
      <protection hidden="1"/>
    </xf>
    <xf numFmtId="0" fontId="0" fillId="0" borderId="0" xfId="1" applyFont="1" applyBorder="1" applyProtection="1">
      <protection hidden="1"/>
    </xf>
    <xf numFmtId="0" fontId="25" fillId="0" borderId="47" xfId="74" applyFont="1" applyFill="1" applyBorder="1" applyAlignment="1" applyProtection="1">
      <alignment horizontal="center" vertical="center"/>
      <protection hidden="1"/>
    </xf>
    <xf numFmtId="0" fontId="6" fillId="0" borderId="0" xfId="74" applyFont="1" applyFill="1" applyBorder="1" applyAlignment="1" applyProtection="1">
      <alignment horizontal="center" vertical="center" wrapText="1"/>
      <protection hidden="1"/>
    </xf>
    <xf numFmtId="0" fontId="17" fillId="25" borderId="0" xfId="74" applyFont="1" applyFill="1" applyBorder="1" applyAlignment="1" applyProtection="1">
      <alignment horizontal="center" vertical="center"/>
      <protection hidden="1"/>
    </xf>
    <xf numFmtId="0" fontId="16" fillId="25" borderId="0" xfId="74" applyFont="1" applyFill="1" applyBorder="1" applyAlignment="1" applyProtection="1">
      <alignment horizontal="right" vertical="center"/>
      <protection hidden="1"/>
    </xf>
    <xf numFmtId="0" fontId="57" fillId="0" borderId="0" xfId="1" applyFont="1" applyFill="1" applyAlignment="1" applyProtection="1">
      <alignment horizontal="left"/>
      <protection hidden="1"/>
    </xf>
    <xf numFmtId="0" fontId="11" fillId="0" borderId="0" xfId="1" applyFont="1" applyFill="1" applyBorder="1" applyAlignment="1" applyProtection="1">
      <protection hidden="1"/>
    </xf>
    <xf numFmtId="0" fontId="11" fillId="0" borderId="0" xfId="1" applyFont="1" applyFill="1" applyBorder="1" applyAlignment="1" applyProtection="1">
      <alignment shrinkToFit="1"/>
      <protection hidden="1"/>
    </xf>
    <xf numFmtId="0" fontId="4" fillId="0" borderId="0" xfId="1" applyFont="1" applyFill="1" applyProtection="1">
      <protection hidden="1"/>
    </xf>
    <xf numFmtId="183" fontId="11" fillId="0" borderId="0" xfId="1" applyNumberFormat="1" applyFont="1" applyFill="1" applyBorder="1" applyAlignment="1" applyProtection="1">
      <protection hidden="1"/>
    </xf>
    <xf numFmtId="0" fontId="11" fillId="0" borderId="0" xfId="1" applyFont="1" applyFill="1" applyProtection="1">
      <protection hidden="1"/>
    </xf>
    <xf numFmtId="0" fontId="4" fillId="0" borderId="0" xfId="1" applyFont="1" applyFill="1" applyAlignment="1" applyProtection="1">
      <alignment horizontal="right"/>
      <protection hidden="1"/>
    </xf>
    <xf numFmtId="0" fontId="41" fillId="0" borderId="0" xfId="1" applyFont="1" applyFill="1" applyAlignment="1" applyProtection="1">
      <alignment horizontal="right"/>
      <protection hidden="1"/>
    </xf>
    <xf numFmtId="57" fontId="4" fillId="0" borderId="0" xfId="1" applyNumberFormat="1" applyFont="1" applyFill="1" applyAlignment="1" applyProtection="1">
      <alignment horizontal="center"/>
      <protection hidden="1"/>
    </xf>
    <xf numFmtId="0" fontId="68" fillId="25" borderId="0" xfId="1" applyFont="1" applyFill="1" applyBorder="1" applyAlignment="1" applyProtection="1">
      <alignment horizontal="left" vertical="center"/>
      <protection hidden="1"/>
    </xf>
    <xf numFmtId="0" fontId="11" fillId="0" borderId="0" xfId="1" applyFont="1" applyAlignment="1" applyProtection="1">
      <alignment horizontal="right" vertical="center"/>
      <protection hidden="1"/>
    </xf>
    <xf numFmtId="0" fontId="11" fillId="0" borderId="0" xfId="1" applyFont="1" applyAlignment="1" applyProtection="1">
      <alignment horizontal="left" vertical="center"/>
      <protection hidden="1"/>
    </xf>
    <xf numFmtId="0" fontId="11" fillId="0" borderId="0" xfId="1" applyFont="1" applyAlignment="1" applyProtection="1">
      <alignment horizontal="right" vertical="center" shrinkToFit="1"/>
      <protection hidden="1"/>
    </xf>
    <xf numFmtId="183" fontId="11" fillId="0" borderId="0" xfId="1" applyNumberFormat="1" applyFont="1" applyAlignment="1" applyProtection="1">
      <alignment horizontal="left" vertical="center"/>
      <protection hidden="1"/>
    </xf>
    <xf numFmtId="0" fontId="11" fillId="0" borderId="0" xfId="1" applyFont="1" applyBorder="1" applyAlignment="1" applyProtection="1">
      <alignment horizontal="right" vertical="center"/>
      <protection hidden="1"/>
    </xf>
    <xf numFmtId="0" fontId="11" fillId="0" borderId="0" xfId="1" applyFont="1" applyAlignment="1" applyProtection="1">
      <alignment vertical="center"/>
      <protection hidden="1"/>
    </xf>
    <xf numFmtId="0" fontId="4" fillId="0" borderId="0" xfId="1" applyFont="1" applyAlignment="1" applyProtection="1">
      <alignment horizontal="right" vertical="center"/>
      <protection hidden="1"/>
    </xf>
    <xf numFmtId="57" fontId="4" fillId="0" borderId="0" xfId="1" applyNumberFormat="1" applyFont="1" applyAlignment="1" applyProtection="1">
      <alignment horizontal="center" vertical="center"/>
      <protection hidden="1"/>
    </xf>
    <xf numFmtId="57" fontId="11" fillId="0" borderId="0" xfId="1" applyNumberFormat="1" applyFont="1" applyAlignment="1" applyProtection="1">
      <alignment horizontal="right" vertical="center"/>
      <protection hidden="1"/>
    </xf>
    <xf numFmtId="0" fontId="67" fillId="25" borderId="0" xfId="1" applyFont="1" applyFill="1" applyBorder="1" applyAlignment="1" applyProtection="1">
      <alignment horizontal="right" vertical="center"/>
      <protection hidden="1"/>
    </xf>
    <xf numFmtId="177" fontId="8" fillId="0" borderId="12" xfId="71" applyNumberFormat="1" applyBorder="1">
      <alignment vertical="center"/>
    </xf>
    <xf numFmtId="0" fontId="132" fillId="36" borderId="0" xfId="73" applyFont="1" applyFill="1">
      <alignment vertical="center"/>
    </xf>
    <xf numFmtId="0" fontId="8" fillId="0" borderId="0" xfId="73" applyFont="1" applyAlignment="1">
      <alignment horizontal="center" vertical="center"/>
    </xf>
    <xf numFmtId="0" fontId="8" fillId="0" borderId="0" xfId="73" applyNumberFormat="1" applyFont="1" applyAlignment="1">
      <alignment horizontal="center" vertical="center"/>
    </xf>
    <xf numFmtId="0" fontId="8" fillId="0" borderId="0" xfId="73" applyNumberFormat="1" applyFill="1">
      <alignment vertical="center"/>
    </xf>
    <xf numFmtId="0" fontId="8" fillId="0" borderId="0" xfId="73" applyNumberFormat="1">
      <alignment vertical="center"/>
    </xf>
    <xf numFmtId="0" fontId="54" fillId="0" borderId="0" xfId="1" applyFont="1" applyAlignment="1" applyProtection="1">
      <alignment vertical="center"/>
      <protection hidden="1"/>
    </xf>
    <xf numFmtId="0" fontId="0" fillId="0" borderId="0" xfId="1" applyFont="1" applyAlignment="1" applyProtection="1">
      <alignment vertical="center"/>
      <protection hidden="1"/>
    </xf>
    <xf numFmtId="0" fontId="19" fillId="0" borderId="0" xfId="74" applyFont="1" applyFill="1" applyBorder="1" applyAlignment="1" applyProtection="1">
      <alignment horizontal="right" vertical="center"/>
      <protection hidden="1"/>
    </xf>
    <xf numFmtId="0" fontId="133" fillId="0" borderId="0" xfId="1" applyFont="1" applyAlignment="1" applyProtection="1">
      <alignment vertical="center"/>
      <protection hidden="1"/>
    </xf>
    <xf numFmtId="0" fontId="134" fillId="0" borderId="0" xfId="1" applyFont="1" applyAlignment="1" applyProtection="1">
      <alignment vertical="center"/>
      <protection hidden="1"/>
    </xf>
    <xf numFmtId="0" fontId="11" fillId="0" borderId="0" xfId="1" applyFont="1" applyAlignment="1" applyProtection="1">
      <protection hidden="1"/>
    </xf>
    <xf numFmtId="0" fontId="8" fillId="37" borderId="12" xfId="71" applyFill="1" applyBorder="1">
      <alignment vertical="center"/>
    </xf>
    <xf numFmtId="0" fontId="8" fillId="38" borderId="12" xfId="71" applyFill="1" applyBorder="1">
      <alignment vertical="center"/>
    </xf>
    <xf numFmtId="0" fontId="73" fillId="0" borderId="0" xfId="1" applyFont="1" applyAlignment="1" applyProtection="1">
      <alignment vertical="center"/>
      <protection hidden="1"/>
    </xf>
    <xf numFmtId="0" fontId="8" fillId="39" borderId="0" xfId="71" applyFill="1">
      <alignment vertical="center"/>
    </xf>
    <xf numFmtId="0" fontId="32" fillId="0" borderId="0" xfId="1" applyFont="1" applyAlignment="1" applyProtection="1">
      <alignment vertical="center" shrinkToFit="1"/>
      <protection hidden="1"/>
    </xf>
    <xf numFmtId="0" fontId="75" fillId="0" borderId="0" xfId="1" applyFont="1" applyAlignment="1" applyProtection="1">
      <alignment horizontal="right" vertical="center"/>
      <protection hidden="1"/>
    </xf>
    <xf numFmtId="0" fontId="43" fillId="0" borderId="0" xfId="1" applyFont="1" applyAlignment="1" applyProtection="1">
      <alignment horizontal="right"/>
      <protection hidden="1"/>
    </xf>
    <xf numFmtId="0" fontId="28" fillId="35" borderId="0" xfId="74" applyFont="1" applyFill="1" applyBorder="1" applyAlignment="1" applyProtection="1">
      <alignment horizontal="center" vertical="center"/>
      <protection hidden="1"/>
    </xf>
    <xf numFmtId="0" fontId="29" fillId="35" borderId="0" xfId="74" applyFont="1" applyFill="1" applyBorder="1" applyAlignment="1" applyProtection="1">
      <alignment horizontal="center" vertical="center" wrapText="1"/>
      <protection hidden="1"/>
    </xf>
    <xf numFmtId="0" fontId="16" fillId="35" borderId="0" xfId="74" applyFont="1" applyFill="1" applyBorder="1" applyAlignment="1" applyProtection="1">
      <alignment horizontal="right" vertical="center"/>
      <protection hidden="1"/>
    </xf>
    <xf numFmtId="0" fontId="8" fillId="0" borderId="12" xfId="0" applyFont="1" applyBorder="1" applyAlignment="1">
      <alignment vertical="center"/>
    </xf>
    <xf numFmtId="188" fontId="8" fillId="0" borderId="12" xfId="0" applyNumberFormat="1" applyFont="1" applyBorder="1" applyAlignment="1">
      <alignment vertical="center"/>
    </xf>
    <xf numFmtId="0" fontId="0" fillId="0" borderId="0" xfId="1" applyFont="1" applyAlignment="1" applyProtection="1">
      <protection hidden="1"/>
    </xf>
    <xf numFmtId="0" fontId="57" fillId="0" borderId="0" xfId="1" applyFont="1" applyAlignment="1" applyProtection="1">
      <alignment horizontal="center" vertical="center" shrinkToFit="1"/>
      <protection hidden="1"/>
    </xf>
    <xf numFmtId="0" fontId="58" fillId="0" borderId="0" xfId="1" applyFont="1" applyAlignment="1" applyProtection="1">
      <alignment horizontal="center" vertical="center" shrinkToFit="1"/>
      <protection hidden="1"/>
    </xf>
    <xf numFmtId="200" fontId="8" fillId="0" borderId="0" xfId="71" applyNumberFormat="1" applyFont="1" applyAlignment="1">
      <alignment horizontal="right" vertical="center"/>
    </xf>
    <xf numFmtId="0" fontId="8" fillId="0" borderId="0" xfId="0" applyFont="1"/>
    <xf numFmtId="191" fontId="8" fillId="0" borderId="0" xfId="0" applyNumberFormat="1" applyFont="1"/>
    <xf numFmtId="0" fontId="8" fillId="40" borderId="0" xfId="0" applyFont="1" applyFill="1"/>
    <xf numFmtId="191" fontId="8" fillId="40" borderId="12" xfId="0" applyNumberFormat="1" applyFont="1" applyFill="1" applyBorder="1"/>
    <xf numFmtId="0" fontId="8" fillId="40" borderId="12" xfId="0" applyFont="1" applyFill="1" applyBorder="1" applyAlignment="1">
      <alignment wrapText="1"/>
    </xf>
    <xf numFmtId="0" fontId="8" fillId="40" borderId="12" xfId="0" applyFont="1" applyFill="1" applyBorder="1"/>
    <xf numFmtId="0" fontId="8" fillId="27" borderId="12" xfId="68" applyFont="1" applyFill="1" applyBorder="1"/>
    <xf numFmtId="0" fontId="8" fillId="0" borderId="12" xfId="0" applyFont="1" applyBorder="1"/>
    <xf numFmtId="191" fontId="8" fillId="0" borderId="12" xfId="0" applyNumberFormat="1" applyFont="1" applyBorder="1"/>
    <xf numFmtId="0" fontId="8" fillId="0" borderId="12" xfId="0" applyFont="1" applyFill="1" applyBorder="1"/>
    <xf numFmtId="194" fontId="8" fillId="0" borderId="12" xfId="0" applyNumberFormat="1" applyFont="1" applyBorder="1"/>
    <xf numFmtId="199" fontId="8" fillId="0" borderId="12" xfId="0" applyNumberFormat="1" applyFont="1" applyBorder="1"/>
    <xf numFmtId="201" fontId="8" fillId="0" borderId="12" xfId="68" applyNumberFormat="1" applyFont="1" applyBorder="1"/>
    <xf numFmtId="177" fontId="8" fillId="0" borderId="12" xfId="68" applyNumberFormat="1" applyFont="1" applyBorder="1"/>
    <xf numFmtId="199" fontId="8" fillId="0" borderId="12" xfId="68" applyNumberFormat="1" applyFont="1" applyBorder="1"/>
    <xf numFmtId="0" fontId="8" fillId="40" borderId="12" xfId="68" applyFont="1" applyFill="1" applyBorder="1"/>
    <xf numFmtId="0" fontId="8" fillId="40" borderId="12" xfId="68" applyFont="1" applyFill="1" applyBorder="1" applyAlignment="1">
      <alignment wrapText="1"/>
    </xf>
    <xf numFmtId="0" fontId="43" fillId="0" borderId="0" xfId="1" applyFont="1" applyBorder="1" applyAlignment="1" applyProtection="1">
      <alignment horizontal="center" vertical="center"/>
      <protection hidden="1"/>
    </xf>
    <xf numFmtId="0" fontId="43" fillId="0" borderId="0" xfId="1" applyFont="1" applyBorder="1" applyAlignment="1" applyProtection="1">
      <alignment horizontal="center" vertical="center" wrapText="1"/>
      <protection hidden="1"/>
    </xf>
    <xf numFmtId="0" fontId="32" fillId="0" borderId="0" xfId="1" applyFont="1" applyBorder="1" applyAlignment="1" applyProtection="1">
      <alignment horizontal="center" vertical="center"/>
      <protection hidden="1"/>
    </xf>
    <xf numFmtId="177" fontId="32" fillId="0" borderId="0" xfId="1" applyNumberFormat="1" applyFont="1" applyBorder="1" applyAlignment="1" applyProtection="1">
      <alignment vertical="center"/>
      <protection hidden="1"/>
    </xf>
    <xf numFmtId="0" fontId="135" fillId="0" borderId="0" xfId="71" applyFont="1">
      <alignment vertical="center"/>
    </xf>
    <xf numFmtId="0" fontId="78" fillId="0" borderId="0" xfId="1" applyFont="1" applyBorder="1" applyAlignment="1" applyProtection="1">
      <alignment vertical="center"/>
      <protection hidden="1"/>
    </xf>
    <xf numFmtId="0" fontId="15" fillId="0" borderId="18" xfId="74" applyFont="1" applyFill="1" applyBorder="1" applyAlignment="1" applyProtection="1">
      <protection hidden="1"/>
    </xf>
    <xf numFmtId="0" fontId="29" fillId="0" borderId="25" xfId="74" applyFont="1" applyFill="1" applyBorder="1" applyAlignment="1" applyProtection="1">
      <protection hidden="1"/>
    </xf>
    <xf numFmtId="0" fontId="15" fillId="0" borderId="25" xfId="74" applyFont="1" applyFill="1" applyBorder="1" applyAlignment="1" applyProtection="1">
      <protection hidden="1"/>
    </xf>
    <xf numFmtId="0" fontId="37" fillId="0" borderId="25" xfId="1" applyFont="1" applyBorder="1" applyAlignment="1" applyProtection="1">
      <alignment horizontal="right"/>
      <protection hidden="1"/>
    </xf>
    <xf numFmtId="0" fontId="15" fillId="0" borderId="14" xfId="74" applyFont="1" applyFill="1" applyBorder="1" applyAlignment="1" applyProtection="1">
      <protection hidden="1"/>
    </xf>
    <xf numFmtId="0" fontId="30" fillId="0" borderId="33" xfId="74" applyFont="1" applyFill="1" applyBorder="1" applyAlignment="1" applyProtection="1">
      <alignment vertical="center"/>
      <protection hidden="1"/>
    </xf>
    <xf numFmtId="0" fontId="25" fillId="25" borderId="34" xfId="74" applyFont="1" applyFill="1" applyBorder="1" applyAlignment="1" applyProtection="1">
      <alignment horizontal="center" vertical="center"/>
      <protection hidden="1"/>
    </xf>
    <xf numFmtId="0" fontId="31" fillId="0" borderId="33" xfId="74" applyFont="1" applyFill="1" applyBorder="1" applyAlignment="1" applyProtection="1">
      <alignment vertical="center"/>
      <protection hidden="1"/>
    </xf>
    <xf numFmtId="0" fontId="6" fillId="0" borderId="34" xfId="74" applyFont="1" applyFill="1" applyBorder="1" applyAlignment="1" applyProtection="1">
      <alignment horizontal="center" vertical="center"/>
      <protection hidden="1"/>
    </xf>
    <xf numFmtId="0" fontId="31" fillId="0" borderId="19" xfId="74" applyFont="1" applyFill="1" applyBorder="1" applyAlignment="1" applyProtection="1">
      <alignment horizontal="center" vertical="center"/>
      <protection hidden="1"/>
    </xf>
    <xf numFmtId="0" fontId="31" fillId="0" borderId="20" xfId="74" applyFont="1" applyFill="1" applyBorder="1" applyAlignment="1" applyProtection="1">
      <alignment horizontal="center" vertical="center"/>
      <protection hidden="1"/>
    </xf>
    <xf numFmtId="0" fontId="28" fillId="0" borderId="20" xfId="74" applyFont="1" applyFill="1" applyBorder="1" applyAlignment="1" applyProtection="1">
      <alignment horizontal="center" vertical="center"/>
      <protection hidden="1"/>
    </xf>
    <xf numFmtId="0" fontId="19" fillId="0" borderId="20" xfId="74" applyFont="1" applyFill="1" applyBorder="1" applyAlignment="1" applyProtection="1">
      <alignment horizontal="center" vertical="center"/>
      <protection hidden="1"/>
    </xf>
    <xf numFmtId="181" fontId="18" fillId="0" borderId="20" xfId="74" applyNumberFormat="1" applyFont="1" applyFill="1" applyBorder="1" applyAlignment="1" applyProtection="1">
      <alignment horizontal="center" vertical="center"/>
      <protection hidden="1"/>
    </xf>
    <xf numFmtId="186" fontId="18" fillId="0" borderId="20" xfId="74" applyNumberFormat="1" applyFont="1" applyFill="1" applyBorder="1" applyAlignment="1" applyProtection="1">
      <alignment horizontal="center" vertical="center"/>
      <protection hidden="1"/>
    </xf>
    <xf numFmtId="0" fontId="6" fillId="0" borderId="15" xfId="74" applyFont="1" applyFill="1" applyBorder="1" applyAlignment="1" applyProtection="1">
      <alignment horizontal="center" vertical="center"/>
      <protection hidden="1"/>
    </xf>
    <xf numFmtId="0" fontId="16" fillId="0" borderId="18" xfId="74" applyFont="1" applyFill="1" applyBorder="1" applyAlignment="1" applyProtection="1">
      <alignment horizontal="center" vertical="center"/>
      <protection hidden="1"/>
    </xf>
    <xf numFmtId="0" fontId="6" fillId="0" borderId="25" xfId="74" applyFont="1" applyFill="1" applyBorder="1" applyAlignment="1" applyProtection="1">
      <alignment horizontal="center" vertical="center"/>
      <protection hidden="1"/>
    </xf>
    <xf numFmtId="0" fontId="48" fillId="0" borderId="25" xfId="74" applyFont="1" applyFill="1" applyBorder="1" applyAlignment="1" applyProtection="1">
      <alignment horizontal="center" vertical="center"/>
      <protection hidden="1"/>
    </xf>
    <xf numFmtId="0" fontId="6" fillId="0" borderId="14" xfId="74" applyFont="1" applyFill="1" applyBorder="1" applyAlignment="1" applyProtection="1">
      <alignment horizontal="center" vertical="center"/>
      <protection hidden="1"/>
    </xf>
    <xf numFmtId="0" fontId="22" fillId="0" borderId="34" xfId="74" applyFont="1" applyFill="1" applyBorder="1" applyAlignment="1" applyProtection="1">
      <alignment horizontal="center" vertical="center" wrapText="1"/>
      <protection hidden="1"/>
    </xf>
    <xf numFmtId="0" fontId="28" fillId="0" borderId="33" xfId="74" applyFont="1" applyFill="1" applyBorder="1" applyAlignment="1" applyProtection="1">
      <alignment horizontal="center" vertical="center"/>
      <protection hidden="1"/>
    </xf>
    <xf numFmtId="0" fontId="28" fillId="0" borderId="33" xfId="74" applyFont="1" applyFill="1" applyBorder="1" applyAlignment="1" applyProtection="1">
      <alignment vertical="center"/>
      <protection hidden="1"/>
    </xf>
    <xf numFmtId="0" fontId="16" fillId="0" borderId="33" xfId="74" applyFont="1" applyFill="1" applyBorder="1" applyAlignment="1" applyProtection="1">
      <alignment horizontal="center" vertical="center"/>
      <protection hidden="1"/>
    </xf>
    <xf numFmtId="0" fontId="8" fillId="0" borderId="34" xfId="74" applyFont="1" applyBorder="1" applyAlignment="1" applyProtection="1">
      <alignment vertical="center"/>
      <protection hidden="1"/>
    </xf>
    <xf numFmtId="0" fontId="19" fillId="0" borderId="34" xfId="74" applyFont="1" applyFill="1" applyBorder="1" applyAlignment="1" applyProtection="1">
      <alignment vertical="center" wrapText="1"/>
      <protection hidden="1"/>
    </xf>
    <xf numFmtId="0" fontId="19" fillId="0" borderId="34" xfId="74" applyFont="1" applyFill="1" applyBorder="1" applyAlignment="1" applyProtection="1">
      <alignment horizontal="right" vertical="center" wrapText="1"/>
      <protection hidden="1"/>
    </xf>
    <xf numFmtId="0" fontId="16" fillId="0" borderId="19" xfId="74" applyFont="1" applyFill="1" applyBorder="1" applyAlignment="1" applyProtection="1">
      <alignment horizontal="center" vertical="center"/>
      <protection hidden="1"/>
    </xf>
    <xf numFmtId="0" fontId="6" fillId="0" borderId="20" xfId="74" applyFont="1" applyFill="1" applyBorder="1" applyAlignment="1" applyProtection="1">
      <alignment horizontal="center" vertical="center"/>
      <protection hidden="1"/>
    </xf>
    <xf numFmtId="0" fontId="23" fillId="0" borderId="20" xfId="74" applyFont="1" applyFill="1" applyBorder="1" applyAlignment="1" applyProtection="1">
      <alignment horizontal="center" vertical="center"/>
      <protection hidden="1"/>
    </xf>
    <xf numFmtId="0" fontId="22" fillId="0" borderId="20" xfId="74" applyFont="1" applyFill="1" applyBorder="1" applyAlignment="1" applyProtection="1">
      <alignment horizontal="center" vertical="center" wrapText="1"/>
      <protection hidden="1"/>
    </xf>
    <xf numFmtId="0" fontId="25" fillId="0" borderId="15" xfId="74" applyFont="1" applyFill="1" applyBorder="1" applyAlignment="1" applyProtection="1">
      <alignment horizontal="center" vertical="center"/>
      <protection hidden="1"/>
    </xf>
    <xf numFmtId="0" fontId="16" fillId="0" borderId="18" xfId="74" applyFont="1" applyFill="1" applyBorder="1" applyAlignment="1" applyProtection="1">
      <alignment horizontal="right" vertical="center"/>
      <protection hidden="1"/>
    </xf>
    <xf numFmtId="0" fontId="16" fillId="0" borderId="25" xfId="74" applyFont="1" applyFill="1" applyBorder="1" applyAlignment="1" applyProtection="1">
      <alignment horizontal="right" vertical="center"/>
      <protection hidden="1"/>
    </xf>
    <xf numFmtId="0" fontId="34" fillId="0" borderId="25" xfId="74" applyFont="1" applyFill="1" applyBorder="1" applyAlignment="1" applyProtection="1">
      <alignment horizontal="center" vertical="center"/>
      <protection hidden="1"/>
    </xf>
    <xf numFmtId="0" fontId="2" fillId="0" borderId="25" xfId="1" applyFont="1" applyBorder="1" applyProtection="1">
      <protection hidden="1"/>
    </xf>
    <xf numFmtId="0" fontId="24" fillId="0" borderId="25" xfId="74" applyFont="1" applyFill="1" applyBorder="1" applyAlignment="1" applyProtection="1">
      <alignment horizontal="right" vertical="center"/>
      <protection hidden="1"/>
    </xf>
    <xf numFmtId="0" fontId="16" fillId="0" borderId="33" xfId="74" applyFont="1" applyFill="1" applyBorder="1" applyAlignment="1" applyProtection="1">
      <alignment horizontal="right" vertical="center"/>
      <protection hidden="1"/>
    </xf>
    <xf numFmtId="0" fontId="19" fillId="0" borderId="20" xfId="74" applyFont="1" applyFill="1" applyBorder="1" applyAlignment="1" applyProtection="1">
      <alignment vertical="center" wrapText="1"/>
      <protection hidden="1"/>
    </xf>
    <xf numFmtId="0" fontId="16" fillId="0" borderId="20" xfId="74" applyFont="1" applyFill="1" applyBorder="1" applyAlignment="1" applyProtection="1">
      <alignment horizontal="center" vertical="center"/>
      <protection hidden="1"/>
    </xf>
    <xf numFmtId="177" fontId="18" fillId="0" borderId="20" xfId="74" applyNumberFormat="1" applyFont="1" applyFill="1" applyBorder="1" applyAlignment="1" applyProtection="1">
      <alignment horizontal="center" vertical="center" wrapText="1"/>
      <protection hidden="1"/>
    </xf>
    <xf numFmtId="49" fontId="16" fillId="0" borderId="28" xfId="74" applyNumberFormat="1" applyFont="1" applyFill="1" applyBorder="1" applyAlignment="1" applyProtection="1">
      <alignment horizontal="left" vertical="center"/>
      <protection hidden="1"/>
    </xf>
    <xf numFmtId="0" fontId="6" fillId="0" borderId="17" xfId="74" applyFont="1" applyFill="1" applyBorder="1" applyAlignment="1" applyProtection="1">
      <alignment horizontal="center" vertical="center"/>
      <protection hidden="1"/>
    </xf>
    <xf numFmtId="0" fontId="8" fillId="0" borderId="17" xfId="74" applyFont="1" applyBorder="1" applyAlignment="1" applyProtection="1">
      <alignment vertical="center"/>
      <protection hidden="1"/>
    </xf>
    <xf numFmtId="0" fontId="37" fillId="0" borderId="17" xfId="74" applyFont="1" applyFill="1" applyBorder="1" applyAlignment="1" applyProtection="1">
      <alignment horizontal="left" vertical="center"/>
      <protection hidden="1"/>
    </xf>
    <xf numFmtId="0" fontId="19" fillId="0" borderId="17" xfId="74" applyFont="1" applyFill="1" applyBorder="1" applyAlignment="1" applyProtection="1">
      <alignment horizontal="center" vertical="center" shrinkToFit="1"/>
      <protection hidden="1"/>
    </xf>
    <xf numFmtId="0" fontId="47" fillId="0" borderId="17" xfId="74" applyFont="1" applyFill="1" applyBorder="1" applyAlignment="1" applyProtection="1">
      <alignment vertical="center"/>
      <protection hidden="1"/>
    </xf>
    <xf numFmtId="0" fontId="136" fillId="0" borderId="17" xfId="74" applyFont="1" applyFill="1" applyBorder="1" applyAlignment="1" applyProtection="1">
      <alignment horizontal="right" vertical="center"/>
      <protection hidden="1"/>
    </xf>
    <xf numFmtId="0" fontId="37" fillId="0" borderId="17" xfId="74" applyFont="1" applyFill="1" applyBorder="1" applyAlignment="1" applyProtection="1">
      <alignment horizontal="center" vertical="center"/>
      <protection hidden="1"/>
    </xf>
    <xf numFmtId="0" fontId="25" fillId="0" borderId="22" xfId="74" applyFont="1" applyFill="1" applyBorder="1" applyAlignment="1" applyProtection="1">
      <alignment horizontal="center" vertical="center"/>
      <protection hidden="1"/>
    </xf>
    <xf numFmtId="0" fontId="66" fillId="40" borderId="0" xfId="68" applyFont="1" applyFill="1"/>
    <xf numFmtId="0" fontId="137" fillId="0" borderId="7" xfId="58" applyFont="1" applyFill="1" applyBorder="1" applyAlignment="1">
      <alignment horizontal="right" wrapText="1"/>
    </xf>
    <xf numFmtId="187" fontId="8" fillId="41" borderId="0" xfId="0" applyNumberFormat="1" applyFont="1" applyFill="1"/>
    <xf numFmtId="0" fontId="8" fillId="41" borderId="0" xfId="0" applyFont="1" applyFill="1"/>
    <xf numFmtId="0" fontId="8" fillId="0" borderId="12" xfId="0" applyFont="1" applyBorder="1" applyAlignment="1">
      <alignment horizontal="center"/>
    </xf>
    <xf numFmtId="0" fontId="8" fillId="41" borderId="19" xfId="68" applyFont="1" applyFill="1" applyBorder="1" applyAlignment="1">
      <alignment horizontal="center"/>
    </xf>
    <xf numFmtId="0" fontId="8" fillId="41" borderId="12" xfId="68" applyFont="1" applyFill="1" applyBorder="1"/>
    <xf numFmtId="0" fontId="8" fillId="41" borderId="0" xfId="68" applyFont="1" applyFill="1" applyBorder="1"/>
    <xf numFmtId="0" fontId="8" fillId="0" borderId="12" xfId="68" applyFont="1" applyFill="1" applyBorder="1"/>
    <xf numFmtId="0" fontId="0" fillId="0" borderId="12" xfId="0" applyBorder="1"/>
    <xf numFmtId="177" fontId="8" fillId="0" borderId="12" xfId="0" applyNumberFormat="1" applyFont="1" applyBorder="1"/>
    <xf numFmtId="199" fontId="8" fillId="35" borderId="12" xfId="68" applyNumberFormat="1" applyFont="1" applyFill="1" applyBorder="1"/>
    <xf numFmtId="0" fontId="80" fillId="36" borderId="0" xfId="0" applyFont="1" applyFill="1"/>
    <xf numFmtId="0" fontId="80" fillId="0" borderId="0" xfId="0" applyFont="1"/>
    <xf numFmtId="191" fontId="8" fillId="42" borderId="12" xfId="68" applyNumberFormat="1" applyFont="1" applyFill="1" applyBorder="1"/>
    <xf numFmtId="0" fontId="8" fillId="42" borderId="12" xfId="0" applyFont="1" applyFill="1" applyBorder="1"/>
    <xf numFmtId="0" fontId="137" fillId="0" borderId="0" xfId="62" applyFont="1" applyFill="1" applyBorder="1" applyAlignment="1">
      <alignment wrapText="1"/>
    </xf>
    <xf numFmtId="0" fontId="137" fillId="0" borderId="0" xfId="62" applyFont="1" applyFill="1" applyBorder="1" applyAlignment="1">
      <alignment horizontal="right" wrapText="1"/>
    </xf>
    <xf numFmtId="0" fontId="137" fillId="0" borderId="0" xfId="58" applyFont="1" applyFill="1" applyBorder="1" applyAlignment="1">
      <alignment horizontal="right" wrapText="1"/>
    </xf>
    <xf numFmtId="10" fontId="8" fillId="0" borderId="12" xfId="71" applyNumberFormat="1" applyBorder="1" applyAlignment="1">
      <alignment horizontal="center" vertical="center"/>
    </xf>
    <xf numFmtId="10" fontId="8" fillId="38" borderId="12" xfId="71" applyNumberFormat="1" applyFill="1" applyBorder="1" applyAlignment="1">
      <alignment horizontal="center" vertical="center"/>
    </xf>
    <xf numFmtId="0" fontId="8" fillId="0" borderId="0" xfId="71" applyFont="1" applyBorder="1">
      <alignment vertical="center"/>
    </xf>
    <xf numFmtId="177" fontId="8" fillId="0" borderId="22" xfId="71" applyNumberFormat="1" applyBorder="1">
      <alignment vertical="center"/>
    </xf>
    <xf numFmtId="201" fontId="8" fillId="43" borderId="12" xfId="68" applyNumberFormat="1" applyFont="1" applyFill="1" applyBorder="1"/>
    <xf numFmtId="0" fontId="138" fillId="0" borderId="0" xfId="1" applyFont="1"/>
    <xf numFmtId="0" fontId="139" fillId="0" borderId="7" xfId="58" applyFont="1" applyFill="1" applyBorder="1" applyAlignment="1">
      <alignment horizontal="right" wrapText="1"/>
    </xf>
    <xf numFmtId="0" fontId="138" fillId="0" borderId="0" xfId="0" applyFont="1"/>
    <xf numFmtId="0" fontId="8" fillId="36" borderId="12" xfId="71" applyFont="1" applyFill="1" applyBorder="1">
      <alignment vertical="center"/>
    </xf>
    <xf numFmtId="0" fontId="8" fillId="35" borderId="0" xfId="0" applyFont="1" applyFill="1" applyAlignment="1">
      <alignment horizontal="center" vertical="center"/>
    </xf>
    <xf numFmtId="14" fontId="8" fillId="35" borderId="0" xfId="0" applyNumberFormat="1" applyFont="1" applyFill="1" applyAlignment="1">
      <alignment horizontal="center" vertical="center"/>
    </xf>
    <xf numFmtId="0" fontId="87" fillId="0" borderId="0" xfId="53" applyFont="1" applyAlignment="1" applyProtection="1">
      <alignment horizontal="right" vertical="center"/>
      <protection hidden="1"/>
    </xf>
    <xf numFmtId="0" fontId="88" fillId="0" borderId="0" xfId="55" applyFont="1" applyFill="1" applyBorder="1" applyAlignment="1">
      <alignment vertical="center"/>
    </xf>
    <xf numFmtId="0" fontId="89" fillId="0" borderId="0" xfId="55" applyFont="1" applyFill="1" applyBorder="1" applyAlignment="1">
      <alignment horizontal="right" vertical="center"/>
    </xf>
    <xf numFmtId="0" fontId="140" fillId="35" borderId="0" xfId="0" applyFont="1" applyFill="1"/>
    <xf numFmtId="0" fontId="87" fillId="0" borderId="0" xfId="0" applyFont="1"/>
    <xf numFmtId="0" fontId="90" fillId="0" borderId="0" xfId="53" applyFont="1" applyAlignment="1" applyProtection="1">
      <alignment horizontal="right" vertical="center"/>
      <protection hidden="1"/>
    </xf>
    <xf numFmtId="0" fontId="1" fillId="0" borderId="0" xfId="0" applyFont="1"/>
    <xf numFmtId="0" fontId="8" fillId="44" borderId="12" xfId="71" applyFill="1" applyBorder="1">
      <alignment vertical="center"/>
    </xf>
    <xf numFmtId="0" fontId="91" fillId="44" borderId="12" xfId="0" applyFont="1" applyFill="1" applyBorder="1" applyAlignment="1">
      <alignment horizontal="right"/>
    </xf>
    <xf numFmtId="0" fontId="91" fillId="44" borderId="12" xfId="1" applyFont="1" applyFill="1" applyBorder="1" applyAlignment="1">
      <alignment horizontal="right" vertical="center"/>
    </xf>
    <xf numFmtId="0" fontId="8" fillId="44" borderId="12" xfId="71" applyFill="1" applyBorder="1" applyAlignment="1">
      <alignment horizontal="right" vertical="center"/>
    </xf>
    <xf numFmtId="0" fontId="8" fillId="44" borderId="12" xfId="71" applyFill="1" applyBorder="1" applyAlignment="1">
      <alignment horizontal="center" vertical="center"/>
    </xf>
    <xf numFmtId="0" fontId="0" fillId="44" borderId="12" xfId="0" applyFill="1" applyBorder="1"/>
    <xf numFmtId="177" fontId="8" fillId="44" borderId="12" xfId="68" applyNumberFormat="1" applyFill="1" applyBorder="1"/>
    <xf numFmtId="0" fontId="91" fillId="44" borderId="12" xfId="68" applyFont="1" applyFill="1" applyBorder="1"/>
    <xf numFmtId="0" fontId="91" fillId="37" borderId="12" xfId="0" applyFont="1" applyFill="1" applyBorder="1" applyAlignment="1">
      <alignment horizontal="center"/>
    </xf>
    <xf numFmtId="0" fontId="91" fillId="44" borderId="12" xfId="0" applyFont="1" applyFill="1" applyBorder="1"/>
    <xf numFmtId="0" fontId="91" fillId="44" borderId="12" xfId="0" applyFont="1" applyFill="1" applyBorder="1" applyAlignment="1">
      <alignment horizontal="center"/>
    </xf>
    <xf numFmtId="14" fontId="91" fillId="44" borderId="12" xfId="0" applyNumberFormat="1" applyFont="1" applyFill="1" applyBorder="1"/>
    <xf numFmtId="0" fontId="91" fillId="38" borderId="12" xfId="0" applyFont="1" applyFill="1" applyBorder="1" applyAlignment="1">
      <alignment horizontal="center"/>
    </xf>
    <xf numFmtId="0" fontId="91" fillId="38" borderId="12" xfId="0" applyFont="1" applyFill="1" applyBorder="1"/>
    <xf numFmtId="199" fontId="91" fillId="0" borderId="28" xfId="0" applyNumberFormat="1" applyFont="1" applyBorder="1"/>
    <xf numFmtId="200" fontId="91" fillId="0" borderId="28" xfId="0" applyNumberFormat="1" applyFont="1" applyBorder="1"/>
    <xf numFmtId="14" fontId="91" fillId="0" borderId="28" xfId="0" applyNumberFormat="1" applyFont="1" applyBorder="1"/>
    <xf numFmtId="14" fontId="91" fillId="0" borderId="12" xfId="0" applyNumberFormat="1" applyFont="1" applyBorder="1"/>
    <xf numFmtId="0" fontId="91" fillId="0" borderId="12" xfId="0" applyFont="1" applyBorder="1"/>
    <xf numFmtId="0" fontId="91" fillId="0" borderId="12" xfId="0" applyNumberFormat="1" applyFont="1" applyBorder="1"/>
    <xf numFmtId="0" fontId="91" fillId="0" borderId="12" xfId="0" applyFont="1" applyBorder="1" applyAlignment="1">
      <alignment horizontal="center"/>
    </xf>
    <xf numFmtId="205" fontId="91" fillId="0" borderId="12" xfId="0" applyNumberFormat="1" applyFont="1" applyBorder="1"/>
    <xf numFmtId="206" fontId="91" fillId="0" borderId="12" xfId="0" applyNumberFormat="1" applyFont="1" applyBorder="1"/>
    <xf numFmtId="199" fontId="91" fillId="0" borderId="12" xfId="0" applyNumberFormat="1" applyFont="1" applyBorder="1"/>
    <xf numFmtId="207" fontId="0" fillId="0" borderId="12" xfId="0" applyNumberFormat="1" applyBorder="1"/>
    <xf numFmtId="179" fontId="91" fillId="0" borderId="12" xfId="0" applyNumberFormat="1" applyFont="1" applyBorder="1"/>
    <xf numFmtId="208" fontId="91" fillId="0" borderId="12" xfId="0" applyNumberFormat="1" applyFont="1" applyBorder="1"/>
    <xf numFmtId="177" fontId="0" fillId="0" borderId="0" xfId="0" applyNumberFormat="1"/>
    <xf numFmtId="206" fontId="91" fillId="38" borderId="12" xfId="0" applyNumberFormat="1" applyFont="1" applyFill="1" applyBorder="1"/>
    <xf numFmtId="14" fontId="91" fillId="0" borderId="28" xfId="0" applyNumberFormat="1" applyFont="1" applyFill="1" applyBorder="1"/>
    <xf numFmtId="14" fontId="91" fillId="0" borderId="12" xfId="0" applyNumberFormat="1" applyFont="1" applyFill="1" applyBorder="1"/>
    <xf numFmtId="0" fontId="91" fillId="0" borderId="12" xfId="0" applyFont="1" applyFill="1" applyBorder="1"/>
    <xf numFmtId="0" fontId="91" fillId="0" borderId="12" xfId="0" applyNumberFormat="1" applyFont="1" applyFill="1" applyBorder="1"/>
    <xf numFmtId="0" fontId="0" fillId="0" borderId="0" xfId="0" applyFill="1"/>
    <xf numFmtId="179" fontId="91" fillId="0" borderId="12" xfId="0" applyNumberFormat="1" applyFont="1" applyFill="1" applyBorder="1"/>
    <xf numFmtId="206" fontId="91" fillId="0" borderId="12" xfId="0" applyNumberFormat="1" applyFont="1" applyFill="1" applyBorder="1"/>
    <xf numFmtId="0" fontId="91" fillId="37" borderId="12" xfId="0" applyFont="1" applyFill="1" applyBorder="1"/>
    <xf numFmtId="0" fontId="91" fillId="37" borderId="12" xfId="0" applyFont="1" applyFill="1" applyBorder="1" applyAlignment="1">
      <alignment wrapText="1"/>
    </xf>
    <xf numFmtId="209" fontId="8" fillId="0" borderId="12" xfId="0" applyNumberFormat="1" applyFont="1" applyBorder="1"/>
    <xf numFmtId="0" fontId="8" fillId="37" borderId="12" xfId="1" applyFont="1" applyFill="1" applyBorder="1" applyAlignment="1">
      <alignment vertical="center"/>
    </xf>
    <xf numFmtId="0" fontId="8" fillId="37" borderId="12" xfId="68" applyFont="1" applyFill="1" applyBorder="1"/>
    <xf numFmtId="0" fontId="72" fillId="25" borderId="0" xfId="1" applyFont="1" applyFill="1" applyBorder="1" applyAlignment="1" applyProtection="1">
      <alignment horizontal="left" vertical="center" shrinkToFit="1"/>
      <protection hidden="1"/>
    </xf>
    <xf numFmtId="0" fontId="8" fillId="45" borderId="12" xfId="68" applyFont="1" applyFill="1" applyBorder="1"/>
    <xf numFmtId="14" fontId="8" fillId="0" borderId="12" xfId="71" applyNumberFormat="1" applyBorder="1">
      <alignment vertical="center"/>
    </xf>
    <xf numFmtId="207" fontId="8" fillId="0" borderId="12" xfId="0" applyNumberFormat="1" applyFont="1" applyBorder="1"/>
    <xf numFmtId="0" fontId="8" fillId="46" borderId="12" xfId="67" applyFont="1" applyFill="1" applyBorder="1"/>
    <xf numFmtId="14" fontId="91" fillId="46" borderId="12" xfId="0" applyNumberFormat="1" applyFont="1" applyFill="1" applyBorder="1"/>
    <xf numFmtId="0" fontId="0" fillId="46" borderId="12" xfId="0" applyFill="1" applyBorder="1" applyAlignment="1">
      <alignment vertical="center"/>
    </xf>
    <xf numFmtId="0" fontId="8" fillId="46" borderId="12" xfId="0" applyFont="1" applyFill="1" applyBorder="1" applyAlignment="1"/>
    <xf numFmtId="188" fontId="8" fillId="46" borderId="0" xfId="0" applyNumberFormat="1" applyFont="1" applyFill="1" applyAlignment="1">
      <alignment wrapText="1"/>
    </xf>
    <xf numFmtId="205" fontId="91" fillId="47" borderId="12" xfId="0" applyNumberFormat="1" applyFont="1" applyFill="1" applyBorder="1"/>
    <xf numFmtId="199" fontId="91" fillId="47" borderId="12" xfId="0" applyNumberFormat="1" applyFont="1" applyFill="1" applyBorder="1"/>
    <xf numFmtId="208" fontId="91" fillId="47" borderId="12" xfId="0" applyNumberFormat="1" applyFont="1" applyFill="1" applyBorder="1"/>
    <xf numFmtId="200" fontId="8" fillId="0" borderId="12" xfId="0" applyNumberFormat="1" applyFont="1" applyBorder="1"/>
    <xf numFmtId="0" fontId="91" fillId="36" borderId="12" xfId="0" applyFont="1" applyFill="1" applyBorder="1"/>
    <xf numFmtId="0" fontId="8" fillId="36" borderId="12" xfId="0" applyFont="1" applyFill="1" applyBorder="1" applyAlignment="1"/>
    <xf numFmtId="0" fontId="8" fillId="0" borderId="0" xfId="0" applyFont="1" applyAlignment="1">
      <alignment wrapText="1"/>
    </xf>
    <xf numFmtId="0" fontId="8" fillId="37" borderId="12" xfId="0" applyFont="1" applyFill="1" applyBorder="1"/>
    <xf numFmtId="14" fontId="8" fillId="38" borderId="12" xfId="0" applyNumberFormat="1" applyFont="1" applyFill="1" applyBorder="1"/>
    <xf numFmtId="14" fontId="8" fillId="48" borderId="12" xfId="0" applyNumberFormat="1" applyFont="1" applyFill="1" applyBorder="1"/>
    <xf numFmtId="0" fontId="8" fillId="36" borderId="12" xfId="0" applyFont="1" applyFill="1" applyBorder="1"/>
    <xf numFmtId="201" fontId="8" fillId="0" borderId="12" xfId="0" applyNumberFormat="1" applyFont="1" applyBorder="1"/>
    <xf numFmtId="198" fontId="8" fillId="0" borderId="12" xfId="0" applyNumberFormat="1" applyFont="1" applyBorder="1"/>
    <xf numFmtId="179" fontId="8" fillId="0" borderId="12" xfId="0" applyNumberFormat="1" applyFont="1" applyBorder="1"/>
    <xf numFmtId="0" fontId="91" fillId="36" borderId="12" xfId="0" applyFont="1" applyFill="1" applyBorder="1" applyAlignment="1">
      <alignment horizontal="center"/>
    </xf>
    <xf numFmtId="0" fontId="8" fillId="36" borderId="12" xfId="68" applyFont="1" applyFill="1" applyBorder="1"/>
    <xf numFmtId="0" fontId="8" fillId="49" borderId="0" xfId="0" applyFont="1" applyFill="1" applyAlignment="1">
      <alignment wrapText="1"/>
    </xf>
    <xf numFmtId="0" fontId="8" fillId="50" borderId="12" xfId="0" applyFont="1" applyFill="1" applyBorder="1" applyAlignment="1">
      <alignment horizontal="right" vertical="center"/>
    </xf>
    <xf numFmtId="0" fontId="8" fillId="50" borderId="12" xfId="0" applyFont="1" applyFill="1" applyBorder="1" applyAlignment="1">
      <alignment vertical="center"/>
    </xf>
    <xf numFmtId="0" fontId="0" fillId="50" borderId="0" xfId="0" applyFill="1" applyAlignment="1">
      <alignment horizontal="right" vertical="center"/>
    </xf>
    <xf numFmtId="0" fontId="8" fillId="50" borderId="12" xfId="0" applyFont="1" applyFill="1" applyBorder="1"/>
    <xf numFmtId="0" fontId="77" fillId="0" borderId="0" xfId="61" applyFont="1" applyFill="1" applyBorder="1" applyAlignment="1">
      <alignment wrapText="1"/>
    </xf>
    <xf numFmtId="0" fontId="77" fillId="0" borderId="0" xfId="61" applyFont="1" applyFill="1" applyBorder="1" applyAlignment="1">
      <alignment horizontal="right" wrapText="1"/>
    </xf>
    <xf numFmtId="0" fontId="77" fillId="0" borderId="0" xfId="61" applyFont="1" applyFill="1" applyBorder="1" applyAlignment="1">
      <alignment horizontal="center"/>
    </xf>
    <xf numFmtId="0" fontId="8" fillId="0" borderId="0" xfId="0" applyFont="1" applyBorder="1" applyAlignment="1">
      <alignment vertical="center"/>
    </xf>
    <xf numFmtId="0" fontId="8" fillId="0" borderId="0" xfId="0" applyFont="1" applyAlignment="1">
      <alignment vertical="center"/>
    </xf>
    <xf numFmtId="177" fontId="8" fillId="0" borderId="12" xfId="0" applyNumberFormat="1" applyFont="1" applyBorder="1" applyAlignment="1">
      <alignment vertical="center"/>
    </xf>
    <xf numFmtId="0" fontId="8" fillId="49" borderId="12" xfId="0" applyFont="1" applyFill="1" applyBorder="1" applyAlignment="1">
      <alignment vertical="center"/>
    </xf>
    <xf numFmtId="0" fontId="8" fillId="49" borderId="0" xfId="0" applyFont="1" applyFill="1" applyAlignment="1">
      <alignment vertical="center"/>
    </xf>
    <xf numFmtId="0" fontId="0" fillId="0" borderId="0" xfId="0" applyAlignment="1">
      <alignment vertical="center"/>
    </xf>
    <xf numFmtId="0" fontId="0" fillId="0" borderId="12" xfId="2" applyFont="1" applyBorder="1" applyAlignment="1" applyProtection="1">
      <alignment shrinkToFit="1"/>
      <protection hidden="1"/>
    </xf>
    <xf numFmtId="0" fontId="0" fillId="49" borderId="12" xfId="0" applyFill="1" applyBorder="1" applyAlignment="1">
      <alignment vertical="center"/>
    </xf>
    <xf numFmtId="0" fontId="8" fillId="38" borderId="12" xfId="2" applyFont="1" applyFill="1" applyBorder="1" applyAlignment="1" applyProtection="1">
      <alignment shrinkToFit="1"/>
      <protection hidden="1"/>
    </xf>
    <xf numFmtId="0" fontId="0" fillId="0" borderId="12" xfId="0" applyBorder="1" applyAlignment="1">
      <alignment vertical="center"/>
    </xf>
    <xf numFmtId="0" fontId="0" fillId="0" borderId="12" xfId="0" applyFill="1" applyBorder="1" applyAlignment="1">
      <alignment vertical="center"/>
    </xf>
    <xf numFmtId="0" fontId="0" fillId="44" borderId="12" xfId="0" applyFill="1" applyBorder="1" applyAlignment="1">
      <alignment vertical="center"/>
    </xf>
    <xf numFmtId="0" fontId="0" fillId="51" borderId="12" xfId="0" applyFill="1" applyBorder="1" applyAlignment="1">
      <alignment horizontal="center" vertical="center"/>
    </xf>
    <xf numFmtId="0" fontId="0" fillId="51" borderId="12" xfId="0" applyFill="1" applyBorder="1" applyAlignment="1">
      <alignment vertical="center"/>
    </xf>
    <xf numFmtId="0" fontId="0" fillId="47" borderId="12" xfId="0" applyFill="1" applyBorder="1" applyAlignment="1">
      <alignment vertical="center"/>
    </xf>
    <xf numFmtId="0" fontId="0" fillId="0" borderId="12" xfId="0" applyBorder="1" applyAlignment="1">
      <alignment horizontal="center" vertical="center"/>
    </xf>
    <xf numFmtId="0" fontId="8" fillId="0" borderId="12" xfId="2" applyFont="1" applyBorder="1" applyAlignment="1" applyProtection="1">
      <alignment horizontal="center" shrinkToFit="1"/>
      <protection hidden="1"/>
    </xf>
    <xf numFmtId="0" fontId="134" fillId="0" borderId="0" xfId="1" applyFont="1" applyFill="1" applyBorder="1" applyAlignment="1" applyProtection="1">
      <alignment horizontal="left" vertical="center"/>
      <protection hidden="1"/>
    </xf>
    <xf numFmtId="14" fontId="8" fillId="0" borderId="12" xfId="73" applyNumberFormat="1" applyBorder="1">
      <alignment vertical="center"/>
    </xf>
    <xf numFmtId="10" fontId="8" fillId="38" borderId="12" xfId="73" applyNumberFormat="1" applyFill="1" applyBorder="1">
      <alignment vertical="center"/>
    </xf>
    <xf numFmtId="0" fontId="0" fillId="0" borderId="18" xfId="1" applyFont="1" applyBorder="1" applyProtection="1">
      <protection hidden="1"/>
    </xf>
    <xf numFmtId="0" fontId="0" fillId="0" borderId="25" xfId="1" applyFont="1" applyBorder="1" applyProtection="1">
      <protection hidden="1"/>
    </xf>
    <xf numFmtId="0" fontId="0" fillId="0" borderId="14" xfId="1" applyFont="1" applyBorder="1" applyProtection="1">
      <protection hidden="1"/>
    </xf>
    <xf numFmtId="0" fontId="1" fillId="0" borderId="33" xfId="1" applyFont="1" applyBorder="1" applyProtection="1">
      <protection hidden="1"/>
    </xf>
    <xf numFmtId="0" fontId="1" fillId="0" borderId="0" xfId="1" applyFont="1" applyBorder="1" applyProtection="1">
      <protection hidden="1"/>
    </xf>
    <xf numFmtId="0" fontId="1" fillId="0" borderId="34" xfId="1" applyFont="1" applyBorder="1" applyProtection="1">
      <protection hidden="1"/>
    </xf>
    <xf numFmtId="0" fontId="1" fillId="0" borderId="0" xfId="1" applyFont="1" applyProtection="1">
      <protection hidden="1"/>
    </xf>
    <xf numFmtId="0" fontId="1" fillId="0" borderId="0" xfId="1" applyFont="1" applyBorder="1" applyAlignment="1" applyProtection="1">
      <alignment horizontal="left"/>
      <protection hidden="1"/>
    </xf>
    <xf numFmtId="0" fontId="1" fillId="0" borderId="19" xfId="1" applyFont="1" applyBorder="1" applyProtection="1">
      <protection hidden="1"/>
    </xf>
    <xf numFmtId="0" fontId="1" fillId="0" borderId="20" xfId="1" applyFont="1" applyBorder="1" applyProtection="1">
      <protection hidden="1"/>
    </xf>
    <xf numFmtId="0" fontId="1" fillId="0" borderId="15" xfId="1" applyFont="1" applyBorder="1" applyProtection="1">
      <protection hidden="1"/>
    </xf>
    <xf numFmtId="0" fontId="0" fillId="0" borderId="0" xfId="4" applyFont="1" applyProtection="1">
      <protection hidden="1"/>
    </xf>
    <xf numFmtId="0" fontId="10" fillId="0" borderId="0" xfId="4" applyFont="1" applyAlignment="1" applyProtection="1">
      <alignment horizontal="right"/>
      <protection hidden="1"/>
    </xf>
    <xf numFmtId="0" fontId="0" fillId="0" borderId="0" xfId="4" applyFont="1" applyAlignment="1" applyProtection="1">
      <protection hidden="1"/>
    </xf>
    <xf numFmtId="0" fontId="10" fillId="0" borderId="0" xfId="4" applyFont="1" applyProtection="1">
      <protection hidden="1"/>
    </xf>
    <xf numFmtId="0" fontId="11" fillId="0" borderId="0" xfId="4" applyFont="1" applyAlignment="1" applyProtection="1">
      <protection hidden="1"/>
    </xf>
    <xf numFmtId="0" fontId="10" fillId="0" borderId="0" xfId="4" applyFont="1" applyAlignment="1" applyProtection="1">
      <alignment vertical="center"/>
      <protection hidden="1"/>
    </xf>
    <xf numFmtId="0" fontId="54" fillId="0" borderId="0" xfId="4" applyFont="1" applyAlignment="1" applyProtection="1">
      <alignment vertical="center"/>
      <protection hidden="1"/>
    </xf>
    <xf numFmtId="0" fontId="54" fillId="0" borderId="0" xfId="4" applyFont="1" applyBorder="1" applyAlignment="1" applyProtection="1">
      <alignment horizontal="center" vertical="center" shrinkToFit="1"/>
      <protection hidden="1"/>
    </xf>
    <xf numFmtId="184" fontId="54" fillId="0" borderId="0" xfId="4" applyNumberFormat="1" applyFont="1" applyBorder="1" applyAlignment="1" applyProtection="1">
      <alignment horizontal="left" vertical="center"/>
      <protection hidden="1"/>
    </xf>
    <xf numFmtId="185" fontId="54" fillId="0" borderId="0" xfId="4" applyNumberFormat="1" applyFont="1" applyBorder="1" applyAlignment="1" applyProtection="1">
      <alignment horizontal="center" vertical="center"/>
      <protection hidden="1"/>
    </xf>
    <xf numFmtId="178" fontId="54" fillId="0" borderId="0" xfId="4" applyNumberFormat="1" applyFont="1" applyBorder="1" applyAlignment="1" applyProtection="1">
      <alignment horizontal="center" vertical="center" shrinkToFit="1"/>
      <protection hidden="1"/>
    </xf>
    <xf numFmtId="41" fontId="54" fillId="0" borderId="0" xfId="82" applyFont="1" applyBorder="1" applyAlignment="1" applyProtection="1">
      <alignment horizontal="center" vertical="center" shrinkToFit="1"/>
      <protection hidden="1"/>
    </xf>
    <xf numFmtId="41" fontId="54" fillId="0" borderId="0" xfId="82" applyFont="1" applyBorder="1" applyAlignment="1" applyProtection="1">
      <alignment horizontal="right" vertical="center"/>
      <protection hidden="1"/>
    </xf>
    <xf numFmtId="0" fontId="0" fillId="0" borderId="0" xfId="4" applyFont="1" applyAlignment="1" applyProtection="1">
      <alignment vertical="center"/>
      <protection hidden="1"/>
    </xf>
    <xf numFmtId="0" fontId="54" fillId="0" borderId="0" xfId="4" applyFont="1" applyBorder="1" applyAlignment="1" applyProtection="1">
      <alignment horizontal="left" vertical="center"/>
      <protection hidden="1"/>
    </xf>
    <xf numFmtId="0" fontId="55" fillId="0" borderId="0" xfId="4" applyNumberFormat="1" applyFont="1" applyBorder="1" applyAlignment="1" applyProtection="1">
      <alignment horizontal="right" vertical="center"/>
      <protection hidden="1"/>
    </xf>
    <xf numFmtId="0" fontId="4" fillId="0" borderId="0" xfId="4" applyFont="1" applyProtection="1">
      <protection hidden="1"/>
    </xf>
    <xf numFmtId="0" fontId="54" fillId="0" borderId="0" xfId="4" applyNumberFormat="1" applyFont="1" applyBorder="1" applyAlignment="1" applyProtection="1">
      <alignment vertical="center"/>
      <protection hidden="1"/>
    </xf>
    <xf numFmtId="0" fontId="55" fillId="0" borderId="0" xfId="4" applyNumberFormat="1" applyFont="1" applyBorder="1" applyAlignment="1" applyProtection="1">
      <alignment horizontal="left" vertical="center"/>
      <protection hidden="1"/>
    </xf>
    <xf numFmtId="184" fontId="55" fillId="0" borderId="0" xfId="4" applyNumberFormat="1" applyFont="1" applyBorder="1" applyAlignment="1" applyProtection="1">
      <alignment horizontal="left" vertical="center"/>
      <protection hidden="1"/>
    </xf>
    <xf numFmtId="57" fontId="0" fillId="0" borderId="0" xfId="4" applyNumberFormat="1" applyFont="1" applyAlignment="1" applyProtection="1">
      <protection hidden="1"/>
    </xf>
    <xf numFmtId="0" fontId="57" fillId="0" borderId="0" xfId="4" applyFont="1" applyAlignment="1" applyProtection="1">
      <alignment horizontal="left"/>
      <protection hidden="1"/>
    </xf>
    <xf numFmtId="0" fontId="11" fillId="25" borderId="0" xfId="4" applyFont="1" applyFill="1" applyBorder="1" applyAlignment="1" applyProtection="1">
      <protection hidden="1"/>
    </xf>
    <xf numFmtId="0" fontId="11" fillId="0" borderId="0" xfId="4" applyFont="1" applyBorder="1" applyAlignment="1" applyProtection="1">
      <protection hidden="1"/>
    </xf>
    <xf numFmtId="0" fontId="11" fillId="0" borderId="0" xfId="4" applyFont="1" applyBorder="1" applyAlignment="1" applyProtection="1">
      <alignment shrinkToFit="1"/>
      <protection hidden="1"/>
    </xf>
    <xf numFmtId="183" fontId="11" fillId="0" borderId="0" xfId="4" applyNumberFormat="1" applyFont="1" applyBorder="1" applyAlignment="1" applyProtection="1">
      <protection hidden="1"/>
    </xf>
    <xf numFmtId="0" fontId="11" fillId="0" borderId="0" xfId="4" applyFont="1" applyProtection="1">
      <protection hidden="1"/>
    </xf>
    <xf numFmtId="0" fontId="4" fillId="0" borderId="0" xfId="4" applyFont="1" applyAlignment="1" applyProtection="1">
      <alignment horizontal="right"/>
      <protection hidden="1"/>
    </xf>
    <xf numFmtId="0" fontId="41" fillId="25" borderId="0" xfId="4" applyFont="1" applyFill="1" applyAlignment="1" applyProtection="1">
      <alignment horizontal="right"/>
      <protection hidden="1"/>
    </xf>
    <xf numFmtId="57" fontId="4" fillId="0" borderId="0" xfId="4" applyNumberFormat="1" applyFont="1" applyAlignment="1" applyProtection="1">
      <alignment horizontal="center"/>
      <protection hidden="1"/>
    </xf>
    <xf numFmtId="0" fontId="57" fillId="0" borderId="0" xfId="4" applyFont="1" applyFill="1" applyAlignment="1" applyProtection="1">
      <alignment horizontal="left"/>
      <protection hidden="1"/>
    </xf>
    <xf numFmtId="0" fontId="11" fillId="0" borderId="0" xfId="4" applyFont="1" applyFill="1" applyBorder="1" applyAlignment="1" applyProtection="1">
      <protection hidden="1"/>
    </xf>
    <xf numFmtId="0" fontId="11" fillId="0" borderId="0" xfId="4" applyFont="1" applyFill="1" applyBorder="1" applyAlignment="1" applyProtection="1">
      <alignment shrinkToFit="1"/>
      <protection hidden="1"/>
    </xf>
    <xf numFmtId="0" fontId="4" fillId="0" borderId="0" xfId="4" applyFont="1" applyFill="1" applyProtection="1">
      <protection hidden="1"/>
    </xf>
    <xf numFmtId="183" fontId="11" fillId="0" borderId="0" xfId="4" applyNumberFormat="1" applyFont="1" applyFill="1" applyBorder="1" applyAlignment="1" applyProtection="1">
      <protection hidden="1"/>
    </xf>
    <xf numFmtId="0" fontId="11" fillId="0" borderId="0" xfId="4" applyFont="1" applyFill="1" applyProtection="1">
      <protection hidden="1"/>
    </xf>
    <xf numFmtId="0" fontId="4" fillId="0" borderId="0" xfId="4" applyFont="1" applyFill="1" applyAlignment="1" applyProtection="1">
      <alignment horizontal="right"/>
      <protection hidden="1"/>
    </xf>
    <xf numFmtId="0" fontId="41" fillId="0" borderId="0" xfId="4" applyFont="1" applyFill="1" applyAlignment="1" applyProtection="1">
      <alignment horizontal="right"/>
      <protection hidden="1"/>
    </xf>
    <xf numFmtId="57" fontId="4" fillId="0" borderId="0" xfId="4" applyNumberFormat="1" applyFont="1" applyFill="1" applyAlignment="1" applyProtection="1">
      <alignment horizontal="center"/>
      <protection hidden="1"/>
    </xf>
    <xf numFmtId="0" fontId="68" fillId="25" borderId="0" xfId="4" applyFont="1" applyFill="1" applyBorder="1" applyAlignment="1" applyProtection="1">
      <alignment horizontal="left" vertical="center"/>
      <protection hidden="1"/>
    </xf>
    <xf numFmtId="0" fontId="11" fillId="0" borderId="0" xfId="4" applyFont="1" applyAlignment="1" applyProtection="1">
      <alignment horizontal="right" vertical="center"/>
      <protection hidden="1"/>
    </xf>
    <xf numFmtId="0" fontId="11" fillId="0" borderId="0" xfId="4" applyFont="1" applyAlignment="1" applyProtection="1">
      <alignment horizontal="left" vertical="center"/>
      <protection hidden="1"/>
    </xf>
    <xf numFmtId="0" fontId="11" fillId="0" borderId="0" xfId="4" applyFont="1" applyAlignment="1" applyProtection="1">
      <alignment horizontal="right" vertical="center" shrinkToFit="1"/>
      <protection hidden="1"/>
    </xf>
    <xf numFmtId="183" fontId="11" fillId="0" borderId="0" xfId="4" applyNumberFormat="1" applyFont="1" applyAlignment="1" applyProtection="1">
      <alignment horizontal="left" vertical="center"/>
      <protection hidden="1"/>
    </xf>
    <xf numFmtId="0" fontId="11" fillId="0" borderId="0" xfId="4" applyFont="1" applyBorder="1" applyAlignment="1" applyProtection="1">
      <alignment horizontal="right" vertical="center"/>
      <protection hidden="1"/>
    </xf>
    <xf numFmtId="0" fontId="11" fillId="0" borderId="0" xfId="4" applyFont="1" applyAlignment="1" applyProtection="1">
      <alignment vertical="center"/>
      <protection hidden="1"/>
    </xf>
    <xf numFmtId="0" fontId="4" fillId="0" borderId="0" xfId="4" applyFont="1" applyAlignment="1" applyProtection="1">
      <alignment vertical="center"/>
      <protection hidden="1"/>
    </xf>
    <xf numFmtId="0" fontId="4" fillId="0" borderId="0" xfId="4" applyFont="1" applyAlignment="1" applyProtection="1">
      <alignment horizontal="right" vertical="center"/>
      <protection hidden="1"/>
    </xf>
    <xf numFmtId="0" fontId="67" fillId="25" borderId="0" xfId="4" applyFont="1" applyFill="1" applyBorder="1" applyAlignment="1" applyProtection="1">
      <alignment horizontal="right" vertical="center"/>
      <protection hidden="1"/>
    </xf>
    <xf numFmtId="57" fontId="4" fillId="0" borderId="0" xfId="4" applyNumberFormat="1" applyFont="1" applyAlignment="1" applyProtection="1">
      <alignment horizontal="center" vertical="center"/>
      <protection hidden="1"/>
    </xf>
    <xf numFmtId="57" fontId="11" fillId="0" borderId="0" xfId="4" applyNumberFormat="1" applyFont="1" applyAlignment="1" applyProtection="1">
      <alignment horizontal="right" vertical="center"/>
      <protection hidden="1"/>
    </xf>
    <xf numFmtId="57" fontId="0" fillId="0" borderId="0" xfId="4" applyNumberFormat="1" applyFont="1" applyFill="1" applyAlignment="1" applyProtection="1">
      <protection hidden="1"/>
    </xf>
    <xf numFmtId="0" fontId="82" fillId="0" borderId="0" xfId="56" applyFont="1" applyFill="1" applyBorder="1" applyAlignment="1" applyProtection="1">
      <alignment vertical="center" wrapText="1"/>
      <protection hidden="1"/>
    </xf>
    <xf numFmtId="0" fontId="83" fillId="0" borderId="0" xfId="4" applyFont="1" applyAlignment="1" applyProtection="1">
      <alignment wrapText="1"/>
      <protection hidden="1"/>
    </xf>
    <xf numFmtId="0" fontId="83" fillId="0" borderId="12" xfId="4" applyFont="1" applyBorder="1" applyAlignment="1" applyProtection="1">
      <alignment horizontal="center" vertical="center"/>
      <protection hidden="1"/>
    </xf>
    <xf numFmtId="0" fontId="83" fillId="0" borderId="12" xfId="4" applyFont="1" applyBorder="1" applyAlignment="1" applyProtection="1">
      <alignment horizontal="center" vertical="center" wrapText="1"/>
      <protection hidden="1"/>
    </xf>
    <xf numFmtId="0" fontId="43" fillId="0" borderId="0" xfId="4" applyFont="1" applyBorder="1" applyAlignment="1" applyProtection="1">
      <alignment horizontal="center" vertical="center" wrapText="1"/>
      <protection hidden="1"/>
    </xf>
    <xf numFmtId="0" fontId="84" fillId="48" borderId="12" xfId="4" applyFont="1" applyFill="1" applyBorder="1" applyAlignment="1" applyProtection="1">
      <alignment horizontal="center" vertical="center" wrapText="1"/>
      <protection hidden="1"/>
    </xf>
    <xf numFmtId="0" fontId="84" fillId="48" borderId="35" xfId="4" applyFont="1" applyFill="1" applyBorder="1" applyAlignment="1" applyProtection="1">
      <alignment horizontal="center" vertical="center" wrapText="1"/>
      <protection hidden="1"/>
    </xf>
    <xf numFmtId="57" fontId="2" fillId="0" borderId="0" xfId="4" applyNumberFormat="1" applyFont="1" applyAlignment="1" applyProtection="1">
      <alignment vertical="center"/>
      <protection hidden="1"/>
    </xf>
    <xf numFmtId="192" fontId="33" fillId="0" borderId="0" xfId="79" applyNumberFormat="1" applyFont="1" applyFill="1" applyBorder="1" applyAlignment="1" applyProtection="1">
      <alignment vertical="center" shrinkToFit="1"/>
      <protection hidden="1"/>
    </xf>
    <xf numFmtId="0" fontId="5" fillId="0" borderId="12" xfId="4" applyFont="1" applyBorder="1" applyAlignment="1" applyProtection="1">
      <alignment horizontal="center" vertical="center"/>
      <protection hidden="1"/>
    </xf>
    <xf numFmtId="177" fontId="5" fillId="0" borderId="12" xfId="4" applyNumberFormat="1" applyFont="1" applyBorder="1" applyAlignment="1" applyProtection="1">
      <alignment vertical="center"/>
      <protection hidden="1"/>
    </xf>
    <xf numFmtId="203" fontId="5" fillId="0" borderId="12" xfId="4" applyNumberFormat="1" applyFont="1" applyBorder="1" applyAlignment="1" applyProtection="1">
      <alignment vertical="center"/>
      <protection hidden="1"/>
    </xf>
    <xf numFmtId="0" fontId="2" fillId="0" borderId="0" xfId="4" applyFont="1" applyAlignment="1" applyProtection="1">
      <alignment vertical="center"/>
      <protection hidden="1"/>
    </xf>
    <xf numFmtId="192" fontId="33" fillId="0" borderId="12" xfId="79" applyNumberFormat="1" applyFont="1" applyFill="1" applyBorder="1" applyAlignment="1" applyProtection="1">
      <alignment vertical="center" shrinkToFit="1"/>
      <protection hidden="1"/>
    </xf>
    <xf numFmtId="177" fontId="33" fillId="0" borderId="12" xfId="4" applyNumberFormat="1" applyFont="1" applyFill="1" applyBorder="1" applyAlignment="1" applyProtection="1">
      <alignment vertical="center"/>
      <protection hidden="1"/>
    </xf>
    <xf numFmtId="0" fontId="1" fillId="0" borderId="0" xfId="4" applyFont="1" applyAlignment="1" applyProtection="1">
      <alignment vertical="center"/>
      <protection hidden="1"/>
    </xf>
    <xf numFmtId="57" fontId="1" fillId="0" borderId="0" xfId="4" applyNumberFormat="1" applyFont="1" applyAlignment="1" applyProtection="1">
      <alignment vertical="center"/>
      <protection hidden="1"/>
    </xf>
    <xf numFmtId="0" fontId="32" fillId="0" borderId="0" xfId="4" applyFont="1" applyBorder="1" applyAlignment="1" applyProtection="1">
      <alignment horizontal="center" vertical="center"/>
      <protection hidden="1"/>
    </xf>
    <xf numFmtId="0" fontId="35" fillId="0" borderId="0" xfId="4" applyFont="1" applyFill="1" applyAlignment="1" applyProtection="1">
      <alignment vertical="center"/>
      <protection hidden="1"/>
    </xf>
    <xf numFmtId="57" fontId="2" fillId="0" borderId="0" xfId="4" applyNumberFormat="1" applyFont="1" applyFill="1" applyAlignment="1" applyProtection="1">
      <alignment vertical="center"/>
      <protection hidden="1"/>
    </xf>
    <xf numFmtId="0" fontId="2" fillId="0" borderId="0" xfId="4" applyFont="1" applyFill="1" applyBorder="1" applyAlignment="1" applyProtection="1">
      <alignment vertical="center"/>
      <protection hidden="1"/>
    </xf>
    <xf numFmtId="0" fontId="5" fillId="0" borderId="0" xfId="4" applyFont="1" applyBorder="1" applyAlignment="1" applyProtection="1">
      <alignment horizontal="center" vertical="center"/>
      <protection hidden="1"/>
    </xf>
    <xf numFmtId="177" fontId="5" fillId="0" borderId="0" xfId="4" applyNumberFormat="1" applyFont="1" applyBorder="1" applyAlignment="1" applyProtection="1">
      <alignment vertical="center"/>
      <protection hidden="1"/>
    </xf>
    <xf numFmtId="203" fontId="5" fillId="0" borderId="0" xfId="4" applyNumberFormat="1" applyFont="1" applyBorder="1" applyAlignment="1" applyProtection="1">
      <alignment vertical="center"/>
      <protection hidden="1"/>
    </xf>
    <xf numFmtId="0" fontId="2" fillId="0" borderId="0" xfId="4" applyFont="1" applyFill="1" applyAlignment="1" applyProtection="1">
      <alignment vertical="center"/>
      <protection hidden="1"/>
    </xf>
    <xf numFmtId="0" fontId="1" fillId="0" borderId="0" xfId="4" applyFont="1" applyFill="1" applyAlignment="1" applyProtection="1">
      <alignment vertical="center"/>
      <protection hidden="1"/>
    </xf>
    <xf numFmtId="0" fontId="62" fillId="0" borderId="0" xfId="4" applyFont="1" applyAlignment="1" applyProtection="1">
      <alignment horizontal="center" vertical="center"/>
      <protection hidden="1"/>
    </xf>
    <xf numFmtId="0" fontId="2" fillId="0" borderId="0" xfId="4" applyFont="1" applyProtection="1">
      <protection hidden="1"/>
    </xf>
    <xf numFmtId="49" fontId="32" fillId="0" borderId="0" xfId="4" applyNumberFormat="1" applyFont="1" applyAlignment="1" applyProtection="1">
      <alignment horizontal="left" vertical="center"/>
      <protection hidden="1"/>
    </xf>
    <xf numFmtId="0" fontId="32" fillId="0" borderId="0" xfId="4" applyFont="1" applyAlignment="1" applyProtection="1">
      <alignment horizontal="center" vertical="center"/>
      <protection hidden="1"/>
    </xf>
    <xf numFmtId="0" fontId="57" fillId="0" borderId="0" xfId="4" applyFont="1" applyAlignment="1" applyProtection="1">
      <alignment horizontal="center" vertical="center" shrinkToFit="1"/>
      <protection hidden="1"/>
    </xf>
    <xf numFmtId="0" fontId="58" fillId="0" borderId="0" xfId="4" applyFont="1" applyAlignment="1" applyProtection="1">
      <alignment horizontal="center" vertical="center" shrinkToFit="1"/>
      <protection hidden="1"/>
    </xf>
    <xf numFmtId="0" fontId="32" fillId="0" borderId="0" xfId="4" applyFont="1" applyAlignment="1" applyProtection="1">
      <alignment vertical="center" shrinkToFit="1"/>
      <protection hidden="1"/>
    </xf>
    <xf numFmtId="0" fontId="75" fillId="0" borderId="0" xfId="4" applyFont="1" applyAlignment="1" applyProtection="1">
      <alignment horizontal="right" vertical="center"/>
      <protection hidden="1"/>
    </xf>
    <xf numFmtId="0" fontId="32" fillId="0" borderId="0" xfId="4" applyFont="1" applyAlignment="1" applyProtection="1">
      <alignment horizontal="left"/>
      <protection hidden="1"/>
    </xf>
    <xf numFmtId="0" fontId="32" fillId="0" borderId="0" xfId="4" applyFont="1" applyAlignment="1" applyProtection="1">
      <alignment horizontal="center"/>
      <protection hidden="1"/>
    </xf>
    <xf numFmtId="0" fontId="32" fillId="0" borderId="0" xfId="4" applyFont="1" applyProtection="1">
      <protection hidden="1"/>
    </xf>
    <xf numFmtId="0" fontId="1" fillId="0" borderId="0" xfId="4" applyFont="1" applyAlignment="1" applyProtection="1">
      <alignment horizontal="right"/>
      <protection hidden="1"/>
    </xf>
    <xf numFmtId="57" fontId="32" fillId="0" borderId="0" xfId="4" applyNumberFormat="1" applyFont="1" applyAlignment="1" applyProtection="1">
      <alignment horizontal="center" shrinkToFit="1"/>
      <protection hidden="1"/>
    </xf>
    <xf numFmtId="57" fontId="11" fillId="0" borderId="0" xfId="4" applyNumberFormat="1" applyFont="1" applyAlignment="1" applyProtection="1">
      <alignment horizontal="right"/>
      <protection hidden="1"/>
    </xf>
    <xf numFmtId="0" fontId="0" fillId="0" borderId="0" xfId="4" applyFont="1" applyAlignment="1" applyProtection="1">
      <alignment horizontal="center" vertical="center"/>
      <protection hidden="1"/>
    </xf>
    <xf numFmtId="57" fontId="1" fillId="0" borderId="0" xfId="4" applyNumberFormat="1" applyFont="1" applyFill="1" applyAlignment="1" applyProtection="1">
      <alignment vertical="center"/>
      <protection hidden="1"/>
    </xf>
    <xf numFmtId="0" fontId="95" fillId="25" borderId="0" xfId="4" applyFont="1" applyFill="1" applyBorder="1" applyAlignment="1" applyProtection="1">
      <alignment horizontal="left" vertical="center" shrinkToFit="1"/>
      <protection hidden="1"/>
    </xf>
    <xf numFmtId="0" fontId="56" fillId="0" borderId="0" xfId="4" applyFont="1" applyFill="1" applyBorder="1" applyAlignment="1" applyProtection="1">
      <alignment horizontal="left" vertical="center"/>
      <protection hidden="1"/>
    </xf>
    <xf numFmtId="0" fontId="2" fillId="0" borderId="0" xfId="4" applyFont="1" applyBorder="1" applyAlignment="1" applyProtection="1">
      <alignment vertical="center"/>
      <protection hidden="1"/>
    </xf>
    <xf numFmtId="177" fontId="6" fillId="0" borderId="0" xfId="4" applyNumberFormat="1" applyFont="1" applyFill="1" applyBorder="1" applyAlignment="1" applyProtection="1">
      <alignment horizontal="center" vertical="center"/>
      <protection hidden="1"/>
    </xf>
    <xf numFmtId="177" fontId="6" fillId="0" borderId="0" xfId="4" applyNumberFormat="1" applyFont="1" applyBorder="1" applyAlignment="1" applyProtection="1">
      <alignment horizontal="center" vertical="center"/>
      <protection hidden="1"/>
    </xf>
    <xf numFmtId="177" fontId="6" fillId="0" borderId="0" xfId="4" applyNumberFormat="1" applyFont="1" applyBorder="1" applyAlignment="1" applyProtection="1">
      <alignment vertical="center" shrinkToFit="1"/>
      <protection hidden="1"/>
    </xf>
    <xf numFmtId="177" fontId="44" fillId="0" borderId="0" xfId="4" applyNumberFormat="1" applyFont="1" applyBorder="1" applyAlignment="1" applyProtection="1">
      <alignment horizontal="center" vertical="center" shrinkToFit="1"/>
      <protection hidden="1"/>
    </xf>
    <xf numFmtId="0" fontId="55" fillId="0" borderId="0" xfId="4" applyFont="1" applyFill="1" applyBorder="1" applyAlignment="1" applyProtection="1">
      <alignment horizontal="left" vertical="center"/>
      <protection hidden="1"/>
    </xf>
    <xf numFmtId="0" fontId="10" fillId="0" borderId="0" xfId="4" applyFont="1" applyFill="1" applyProtection="1">
      <protection hidden="1"/>
    </xf>
    <xf numFmtId="0" fontId="0" fillId="0" borderId="0" xfId="4" applyFont="1" applyFill="1" applyProtection="1">
      <protection hidden="1"/>
    </xf>
    <xf numFmtId="0" fontId="41" fillId="0" borderId="0" xfId="4" applyFont="1" applyProtection="1">
      <protection hidden="1"/>
    </xf>
    <xf numFmtId="0" fontId="33" fillId="0" borderId="0" xfId="4" applyFont="1" applyProtection="1">
      <protection hidden="1"/>
    </xf>
    <xf numFmtId="0" fontId="11" fillId="0" borderId="0" xfId="4" applyFont="1" applyBorder="1" applyAlignment="1" applyProtection="1">
      <alignment vertical="center"/>
      <protection hidden="1"/>
    </xf>
    <xf numFmtId="0" fontId="55" fillId="0" borderId="0" xfId="4" applyFont="1" applyAlignment="1" applyProtection="1">
      <alignment vertical="center"/>
      <protection hidden="1"/>
    </xf>
    <xf numFmtId="0" fontId="65" fillId="0" borderId="0" xfId="4" applyFont="1" applyBorder="1" applyProtection="1">
      <protection hidden="1"/>
    </xf>
    <xf numFmtId="0" fontId="54" fillId="0" borderId="0" xfId="4" applyFont="1" applyBorder="1" applyAlignment="1" applyProtection="1">
      <alignment horizontal="right"/>
      <protection hidden="1"/>
    </xf>
    <xf numFmtId="0" fontId="41" fillId="0" borderId="0" xfId="4" applyFont="1" applyBorder="1" applyAlignment="1" applyProtection="1">
      <alignment vertical="center"/>
      <protection hidden="1"/>
    </xf>
    <xf numFmtId="0" fontId="59" fillId="0" borderId="0" xfId="4" applyFont="1" applyAlignment="1" applyProtection="1">
      <alignment vertical="center"/>
      <protection hidden="1"/>
    </xf>
    <xf numFmtId="0" fontId="33" fillId="0" borderId="0" xfId="4" applyFont="1" applyBorder="1" applyProtection="1">
      <protection hidden="1"/>
    </xf>
    <xf numFmtId="0" fontId="41" fillId="0" borderId="0" xfId="4" applyFont="1" applyAlignment="1" applyProtection="1">
      <alignment vertical="center"/>
      <protection hidden="1"/>
    </xf>
    <xf numFmtId="0" fontId="33" fillId="0" borderId="0" xfId="4" applyFont="1" applyBorder="1" applyAlignment="1" applyProtection="1">
      <alignment vertical="center"/>
      <protection hidden="1"/>
    </xf>
    <xf numFmtId="0" fontId="41" fillId="0" borderId="0" xfId="4" applyFont="1" applyBorder="1" applyProtection="1">
      <protection hidden="1"/>
    </xf>
    <xf numFmtId="0" fontId="4" fillId="0" borderId="0" xfId="4" applyFont="1" applyBorder="1" applyAlignment="1" applyProtection="1">
      <alignment vertical="center"/>
      <protection hidden="1"/>
    </xf>
    <xf numFmtId="0" fontId="57" fillId="0" borderId="0" xfId="4" applyFont="1" applyBorder="1" applyAlignment="1" applyProtection="1">
      <alignment vertical="center"/>
      <protection hidden="1"/>
    </xf>
    <xf numFmtId="0" fontId="4" fillId="0" borderId="0" xfId="4" applyFont="1" applyBorder="1" applyProtection="1">
      <protection hidden="1"/>
    </xf>
    <xf numFmtId="0" fontId="33" fillId="0" borderId="0" xfId="4" applyFont="1" applyBorder="1" applyAlignment="1" applyProtection="1">
      <alignment wrapText="1"/>
      <protection hidden="1"/>
    </xf>
    <xf numFmtId="10" fontId="61" fillId="0" borderId="0" xfId="4" applyNumberFormat="1" applyFont="1" applyBorder="1" applyAlignment="1" applyProtection="1">
      <alignment wrapText="1"/>
      <protection hidden="1"/>
    </xf>
    <xf numFmtId="0" fontId="33" fillId="0" borderId="0" xfId="4" applyFont="1" applyBorder="1" applyAlignment="1" applyProtection="1">
      <protection hidden="1"/>
    </xf>
    <xf numFmtId="0" fontId="39" fillId="0" borderId="0" xfId="4" applyFont="1" applyBorder="1" applyProtection="1">
      <protection hidden="1"/>
    </xf>
    <xf numFmtId="0" fontId="69" fillId="0" borderId="0" xfId="4" applyFont="1" applyAlignment="1" applyProtection="1">
      <alignment vertical="center"/>
      <protection hidden="1"/>
    </xf>
    <xf numFmtId="0" fontId="57" fillId="0" borderId="0" xfId="4" applyFont="1" applyAlignment="1" applyProtection="1">
      <alignment vertical="center"/>
      <protection hidden="1"/>
    </xf>
    <xf numFmtId="0" fontId="54" fillId="0" borderId="0" xfId="4" applyFont="1" applyProtection="1">
      <protection hidden="1"/>
    </xf>
    <xf numFmtId="0" fontId="5" fillId="0" borderId="0" xfId="4" applyFont="1" applyProtection="1">
      <protection hidden="1"/>
    </xf>
    <xf numFmtId="49" fontId="32" fillId="0" borderId="0" xfId="4" applyNumberFormat="1" applyFont="1" applyAlignment="1" applyProtection="1">
      <alignment horizontal="left"/>
      <protection hidden="1"/>
    </xf>
    <xf numFmtId="0" fontId="5" fillId="0" borderId="0" xfId="4" applyFont="1" applyAlignment="1" applyProtection="1">
      <alignment horizontal="center"/>
      <protection hidden="1"/>
    </xf>
    <xf numFmtId="0" fontId="73" fillId="0" borderId="0" xfId="4" applyFont="1" applyAlignment="1" applyProtection="1">
      <alignment vertical="center"/>
      <protection hidden="1"/>
    </xf>
    <xf numFmtId="0" fontId="43" fillId="0" borderId="0" xfId="4" applyFont="1" applyAlignment="1" applyProtection="1">
      <alignment horizontal="right"/>
      <protection hidden="1"/>
    </xf>
    <xf numFmtId="0" fontId="4" fillId="48" borderId="12" xfId="1" applyFont="1" applyFill="1" applyBorder="1" applyAlignment="1" applyProtection="1">
      <alignment horizontal="center" vertical="center" wrapText="1"/>
      <protection hidden="1"/>
    </xf>
    <xf numFmtId="0" fontId="4" fillId="48" borderId="12" xfId="1" applyFont="1" applyFill="1" applyBorder="1" applyAlignment="1" applyProtection="1">
      <alignment vertical="center" wrapText="1"/>
      <protection hidden="1"/>
    </xf>
    <xf numFmtId="0" fontId="4" fillId="47" borderId="12" xfId="1" applyFont="1" applyFill="1" applyBorder="1" applyAlignment="1" applyProtection="1">
      <alignment vertical="center" wrapText="1"/>
      <protection hidden="1"/>
    </xf>
    <xf numFmtId="0" fontId="33" fillId="0" borderId="12" xfId="1" applyFont="1" applyFill="1" applyBorder="1" applyAlignment="1" applyProtection="1">
      <alignment horizontal="center" vertical="center" shrinkToFit="1"/>
      <protection hidden="1"/>
    </xf>
    <xf numFmtId="192" fontId="33" fillId="0" borderId="12" xfId="78" applyNumberFormat="1" applyFont="1" applyFill="1" applyBorder="1" applyAlignment="1" applyProtection="1">
      <alignment vertical="center" shrinkToFit="1"/>
      <protection hidden="1"/>
    </xf>
    <xf numFmtId="192" fontId="33" fillId="0" borderId="12" xfId="78" applyNumberFormat="1" applyFont="1" applyFill="1" applyBorder="1" applyAlignment="1">
      <alignment vertical="center" shrinkToFit="1"/>
    </xf>
    <xf numFmtId="177" fontId="33" fillId="0" borderId="12" xfId="1" applyNumberFormat="1" applyFont="1" applyFill="1" applyBorder="1" applyAlignment="1" applyProtection="1">
      <alignment vertical="center" shrinkToFit="1"/>
      <protection hidden="1"/>
    </xf>
    <xf numFmtId="0" fontId="61" fillId="0" borderId="12" xfId="1" applyFont="1" applyFill="1" applyBorder="1" applyAlignment="1" applyProtection="1">
      <alignment horizontal="center" vertical="center" shrinkToFit="1"/>
      <protection hidden="1"/>
    </xf>
    <xf numFmtId="0" fontId="61" fillId="0" borderId="0" xfId="1" applyFont="1" applyFill="1" applyBorder="1" applyAlignment="1" applyProtection="1">
      <alignment horizontal="center" vertical="center" shrinkToFit="1"/>
      <protection hidden="1"/>
    </xf>
    <xf numFmtId="0" fontId="33" fillId="0" borderId="0" xfId="1" applyFont="1" applyFill="1" applyBorder="1" applyAlignment="1" applyProtection="1">
      <alignment horizontal="center" vertical="center" shrinkToFit="1"/>
      <protection hidden="1"/>
    </xf>
    <xf numFmtId="192" fontId="33" fillId="0" borderId="0" xfId="78" applyNumberFormat="1" applyFont="1" applyFill="1" applyBorder="1" applyAlignment="1" applyProtection="1">
      <alignment vertical="center" shrinkToFit="1"/>
      <protection hidden="1"/>
    </xf>
    <xf numFmtId="192" fontId="33" fillId="0" borderId="0" xfId="78" applyNumberFormat="1" applyFont="1" applyFill="1" applyBorder="1" applyAlignment="1">
      <alignment vertical="center" shrinkToFit="1"/>
    </xf>
    <xf numFmtId="0" fontId="5" fillId="47" borderId="12" xfId="78" applyNumberFormat="1" applyFont="1" applyFill="1" applyBorder="1" applyAlignment="1" applyProtection="1">
      <alignment horizontal="center" vertical="center" shrinkToFit="1"/>
      <protection hidden="1"/>
    </xf>
    <xf numFmtId="0" fontId="5" fillId="47" borderId="12" xfId="1" applyNumberFormat="1" applyFont="1" applyFill="1" applyBorder="1" applyAlignment="1" applyProtection="1">
      <alignment horizontal="center" vertical="center" shrinkToFit="1"/>
      <protection hidden="1"/>
    </xf>
    <xf numFmtId="0" fontId="0" fillId="0" borderId="12" xfId="0" applyBorder="1" applyAlignment="1">
      <alignment wrapText="1"/>
    </xf>
    <xf numFmtId="210" fontId="2" fillId="47" borderId="12" xfId="78" applyNumberFormat="1" applyFont="1" applyFill="1" applyBorder="1" applyAlignment="1">
      <alignment horizontal="center" vertical="center"/>
    </xf>
    <xf numFmtId="177" fontId="0" fillId="0" borderId="12" xfId="0" applyNumberFormat="1" applyBorder="1" applyAlignment="1">
      <alignment wrapText="1"/>
    </xf>
    <xf numFmtId="0" fontId="2" fillId="0" borderId="0" xfId="1" applyFont="1" applyProtection="1">
      <protection hidden="1"/>
    </xf>
    <xf numFmtId="57" fontId="2" fillId="0" borderId="0" xfId="1" applyNumberFormat="1" applyFont="1" applyAlignment="1" applyProtection="1">
      <alignment vertical="center"/>
      <protection hidden="1"/>
    </xf>
    <xf numFmtId="0" fontId="96" fillId="0" borderId="0" xfId="72" applyFill="1" applyBorder="1">
      <alignment vertical="center"/>
    </xf>
    <xf numFmtId="0" fontId="96" fillId="38" borderId="12" xfId="72" applyFill="1" applyBorder="1">
      <alignment vertical="center"/>
    </xf>
    <xf numFmtId="0" fontId="0" fillId="0" borderId="0" xfId="72" applyFont="1">
      <alignment vertical="center"/>
    </xf>
    <xf numFmtId="0" fontId="96" fillId="0" borderId="0" xfId="72">
      <alignment vertical="center"/>
    </xf>
    <xf numFmtId="0" fontId="6" fillId="0" borderId="0" xfId="3" applyFont="1"/>
    <xf numFmtId="0" fontId="96" fillId="0" borderId="0" xfId="54">
      <alignment vertical="center"/>
    </xf>
    <xf numFmtId="0" fontId="0" fillId="0" borderId="0" xfId="72" applyFont="1" applyFill="1">
      <alignment vertical="center"/>
    </xf>
    <xf numFmtId="0" fontId="7" fillId="0" borderId="12" xfId="3" applyFont="1" applyBorder="1" applyAlignment="1">
      <alignment horizontal="right"/>
    </xf>
    <xf numFmtId="0" fontId="6" fillId="48" borderId="12" xfId="3" applyFont="1" applyFill="1" applyBorder="1"/>
    <xf numFmtId="0" fontId="0" fillId="0" borderId="12" xfId="72" applyFont="1" applyBorder="1">
      <alignment vertical="center"/>
    </xf>
    <xf numFmtId="0" fontId="0" fillId="0" borderId="12" xfId="72" applyFont="1" applyBorder="1" applyAlignment="1">
      <alignment horizontal="center" vertical="center"/>
    </xf>
    <xf numFmtId="0" fontId="0" fillId="0" borderId="12" xfId="72" applyFont="1" applyBorder="1" applyAlignment="1">
      <alignment horizontal="right" vertical="center"/>
    </xf>
    <xf numFmtId="0" fontId="96" fillId="48" borderId="12" xfId="72" applyFill="1" applyBorder="1">
      <alignment vertical="center"/>
    </xf>
    <xf numFmtId="0" fontId="99" fillId="38" borderId="12" xfId="77" applyFont="1" applyFill="1" applyBorder="1" applyAlignment="1">
      <alignment wrapText="1"/>
    </xf>
    <xf numFmtId="0" fontId="96" fillId="0" borderId="12" xfId="72" applyFill="1" applyBorder="1">
      <alignment vertical="center"/>
    </xf>
    <xf numFmtId="0" fontId="96" fillId="0" borderId="16" xfId="72" applyFill="1" applyBorder="1">
      <alignment vertical="center"/>
    </xf>
    <xf numFmtId="0" fontId="7" fillId="0" borderId="0" xfId="3" applyFont="1" applyAlignment="1">
      <alignment horizontal="right"/>
    </xf>
    <xf numFmtId="0" fontId="6" fillId="36" borderId="12" xfId="3" applyFont="1" applyFill="1" applyBorder="1"/>
    <xf numFmtId="0" fontId="96" fillId="0" borderId="12" xfId="72" applyBorder="1">
      <alignment vertical="center"/>
    </xf>
    <xf numFmtId="0" fontId="7" fillId="0" borderId="0" xfId="3" applyFont="1" applyAlignment="1">
      <alignment horizontal="center"/>
    </xf>
    <xf numFmtId="0" fontId="7" fillId="37" borderId="12" xfId="3" applyFont="1" applyFill="1" applyBorder="1" applyAlignment="1">
      <alignment horizontal="center" vertical="center"/>
    </xf>
    <xf numFmtId="0" fontId="6" fillId="37" borderId="12" xfId="3" applyFont="1" applyFill="1" applyBorder="1" applyAlignment="1">
      <alignment horizontal="center" vertical="center"/>
    </xf>
    <xf numFmtId="10" fontId="6" fillId="37" borderId="12" xfId="3" applyNumberFormat="1" applyFont="1" applyFill="1" applyBorder="1" applyAlignment="1" applyProtection="1">
      <alignment horizontal="center" vertical="center"/>
    </xf>
    <xf numFmtId="0" fontId="100" fillId="0" borderId="0" xfId="3" applyFont="1" applyFill="1" applyBorder="1" applyAlignment="1">
      <alignment horizontal="center"/>
    </xf>
    <xf numFmtId="0" fontId="100" fillId="0" borderId="0" xfId="60" applyFont="1" applyFill="1" applyBorder="1" applyAlignment="1">
      <alignment horizontal="center"/>
    </xf>
    <xf numFmtId="0" fontId="100" fillId="0" borderId="0" xfId="60" applyFont="1" applyFill="1" applyBorder="1" applyAlignment="1">
      <alignment horizontal="right" wrapText="1"/>
    </xf>
    <xf numFmtId="0" fontId="0" fillId="0" borderId="0" xfId="72" applyFont="1" applyFill="1" applyBorder="1">
      <alignment vertical="center"/>
    </xf>
    <xf numFmtId="0" fontId="100" fillId="0" borderId="0" xfId="3" applyFont="1" applyFill="1" applyBorder="1" applyAlignment="1">
      <alignment wrapText="1"/>
    </xf>
    <xf numFmtId="0" fontId="100" fillId="0" borderId="7" xfId="75" applyFont="1" applyFill="1" applyBorder="1" applyAlignment="1">
      <alignment wrapText="1"/>
    </xf>
    <xf numFmtId="0" fontId="100" fillId="0" borderId="7" xfId="75" applyFont="1" applyFill="1" applyBorder="1" applyAlignment="1">
      <alignment horizontal="right" wrapText="1"/>
    </xf>
    <xf numFmtId="211" fontId="100" fillId="0" borderId="7" xfId="75" applyNumberFormat="1" applyFont="1" applyFill="1" applyBorder="1" applyAlignment="1">
      <alignment horizontal="right" wrapText="1"/>
    </xf>
    <xf numFmtId="0" fontId="130" fillId="0" borderId="12" xfId="51" applyBorder="1">
      <alignment vertical="center"/>
    </xf>
    <xf numFmtId="177" fontId="130" fillId="0" borderId="13" xfId="51" applyNumberFormat="1" applyBorder="1">
      <alignment vertical="center"/>
    </xf>
    <xf numFmtId="0" fontId="130" fillId="0" borderId="0" xfId="51">
      <alignment vertical="center"/>
    </xf>
    <xf numFmtId="0" fontId="130" fillId="0" borderId="12" xfId="51" applyBorder="1" applyAlignment="1">
      <alignment horizontal="center" vertical="center"/>
    </xf>
    <xf numFmtId="10" fontId="130" fillId="40" borderId="16" xfId="51" applyNumberFormat="1" applyFill="1" applyBorder="1" applyAlignment="1">
      <alignment horizontal="right" vertical="center"/>
    </xf>
    <xf numFmtId="10" fontId="130" fillId="0" borderId="12" xfId="51" applyNumberFormat="1" applyBorder="1">
      <alignment vertical="center"/>
    </xf>
    <xf numFmtId="177" fontId="130" fillId="0" borderId="12" xfId="51" applyNumberFormat="1" applyFill="1" applyBorder="1" applyAlignment="1">
      <alignment horizontal="right" vertical="center"/>
    </xf>
    <xf numFmtId="177" fontId="130" fillId="0" borderId="12" xfId="51" applyNumberFormat="1" applyFill="1" applyBorder="1">
      <alignment vertical="center"/>
    </xf>
    <xf numFmtId="0" fontId="130" fillId="40" borderId="16" xfId="51" applyFill="1" applyBorder="1" applyAlignment="1">
      <alignment horizontal="right" vertical="center"/>
    </xf>
    <xf numFmtId="10" fontId="130" fillId="40" borderId="12" xfId="51" applyNumberFormat="1" applyFill="1" applyBorder="1" applyAlignment="1">
      <alignment horizontal="right" vertical="center"/>
    </xf>
    <xf numFmtId="0" fontId="130" fillId="40" borderId="12" xfId="51" applyFill="1" applyBorder="1" applyAlignment="1">
      <alignment horizontal="center" vertical="center"/>
    </xf>
    <xf numFmtId="0" fontId="130" fillId="0" borderId="0" xfId="51" applyFill="1" applyBorder="1">
      <alignment vertical="center"/>
    </xf>
    <xf numFmtId="0" fontId="130" fillId="0" borderId="0" xfId="51" applyFill="1" applyBorder="1" applyAlignment="1">
      <alignment horizontal="center" vertical="center"/>
    </xf>
    <xf numFmtId="200" fontId="130" fillId="0" borderId="12" xfId="51" applyNumberFormat="1" applyFill="1" applyBorder="1">
      <alignment vertical="center"/>
    </xf>
    <xf numFmtId="0" fontId="130" fillId="38" borderId="12" xfId="51" applyFill="1" applyBorder="1">
      <alignment vertical="center"/>
    </xf>
    <xf numFmtId="200" fontId="130" fillId="52" borderId="12" xfId="51" applyNumberFormat="1" applyFill="1" applyBorder="1" applyAlignment="1">
      <alignment horizontal="center" vertical="center"/>
    </xf>
    <xf numFmtId="212" fontId="130" fillId="40" borderId="12" xfId="51" applyNumberFormat="1" applyFill="1" applyBorder="1">
      <alignment vertical="center"/>
    </xf>
    <xf numFmtId="177" fontId="130" fillId="0" borderId="12" xfId="51" applyNumberFormat="1" applyBorder="1">
      <alignment vertical="center"/>
    </xf>
    <xf numFmtId="200" fontId="130" fillId="52" borderId="12" xfId="51" applyNumberFormat="1" applyFill="1" applyBorder="1">
      <alignment vertical="center"/>
    </xf>
    <xf numFmtId="177" fontId="130" fillId="40" borderId="12" xfId="51" applyNumberFormat="1" applyFill="1" applyBorder="1">
      <alignment vertical="center"/>
    </xf>
    <xf numFmtId="213" fontId="130" fillId="0" borderId="12" xfId="51" applyNumberFormat="1" applyBorder="1">
      <alignment vertical="center"/>
    </xf>
    <xf numFmtId="0" fontId="130" fillId="0" borderId="12" xfId="51" applyFill="1" applyBorder="1">
      <alignment vertical="center"/>
    </xf>
    <xf numFmtId="208" fontId="130" fillId="0" borderId="12" xfId="51" applyNumberFormat="1" applyBorder="1">
      <alignment vertical="center"/>
    </xf>
    <xf numFmtId="203" fontId="130" fillId="0" borderId="12" xfId="51" applyNumberFormat="1" applyBorder="1">
      <alignment vertical="center"/>
    </xf>
    <xf numFmtId="10" fontId="130" fillId="38" borderId="12" xfId="51" applyNumberFormat="1" applyFill="1" applyBorder="1" applyAlignment="1">
      <alignment horizontal="center" vertical="center"/>
    </xf>
    <xf numFmtId="10" fontId="130" fillId="0" borderId="12" xfId="51" applyNumberFormat="1" applyBorder="1" applyAlignment="1">
      <alignment horizontal="center" vertical="center"/>
    </xf>
    <xf numFmtId="194" fontId="130" fillId="38" borderId="12" xfId="51" applyNumberFormat="1" applyFill="1" applyBorder="1">
      <alignment vertical="center"/>
    </xf>
    <xf numFmtId="194" fontId="130" fillId="0" borderId="12" xfId="51" applyNumberFormat="1" applyBorder="1">
      <alignment vertical="center"/>
    </xf>
    <xf numFmtId="0" fontId="0" fillId="0" borderId="0" xfId="3" applyFont="1" applyProtection="1">
      <protection hidden="1"/>
    </xf>
    <xf numFmtId="0" fontId="25" fillId="0" borderId="34" xfId="74" applyFont="1" applyFill="1" applyBorder="1" applyAlignment="1" applyProtection="1">
      <alignment horizontal="center" vertical="center"/>
      <protection hidden="1"/>
    </xf>
    <xf numFmtId="0" fontId="141" fillId="0" borderId="0" xfId="74" applyFont="1" applyFill="1" applyBorder="1" applyAlignment="1" applyProtection="1">
      <alignment horizontal="left" vertical="center"/>
      <protection hidden="1"/>
    </xf>
    <xf numFmtId="0" fontId="16" fillId="0" borderId="0" xfId="74" applyFont="1" applyFill="1" applyBorder="1" applyAlignment="1" applyProtection="1">
      <alignment horizontal="left" vertical="center"/>
      <protection hidden="1"/>
    </xf>
    <xf numFmtId="0" fontId="16" fillId="0" borderId="25" xfId="74" applyFont="1" applyFill="1" applyBorder="1" applyAlignment="1" applyProtection="1">
      <alignment horizontal="center" vertical="center"/>
      <protection hidden="1"/>
    </xf>
    <xf numFmtId="0" fontId="8" fillId="0" borderId="25" xfId="74" applyFont="1" applyBorder="1" applyAlignment="1" applyProtection="1">
      <alignment vertical="center"/>
      <protection hidden="1"/>
    </xf>
    <xf numFmtId="0" fontId="19" fillId="0" borderId="25" xfId="74" applyFont="1" applyFill="1" applyBorder="1" applyAlignment="1" applyProtection="1">
      <alignment horizontal="center" vertical="center" shrinkToFit="1"/>
      <protection hidden="1"/>
    </xf>
    <xf numFmtId="0" fontId="19" fillId="0" borderId="25" xfId="74" applyFont="1" applyFill="1" applyBorder="1" applyAlignment="1" applyProtection="1">
      <alignment horizontal="right" vertical="center" wrapText="1"/>
      <protection hidden="1"/>
    </xf>
    <xf numFmtId="0" fontId="19" fillId="0" borderId="14" xfId="74" applyFont="1" applyFill="1" applyBorder="1" applyAlignment="1" applyProtection="1">
      <alignment horizontal="right" vertical="center" wrapText="1"/>
      <protection hidden="1"/>
    </xf>
    <xf numFmtId="0" fontId="0" fillId="0" borderId="0" xfId="3" applyFont="1" applyBorder="1" applyProtection="1">
      <protection hidden="1"/>
    </xf>
    <xf numFmtId="0" fontId="8" fillId="0" borderId="20" xfId="74" applyFont="1" applyBorder="1" applyAlignment="1" applyProtection="1">
      <alignment vertical="center"/>
      <protection hidden="1"/>
    </xf>
    <xf numFmtId="0" fontId="19" fillId="0" borderId="20" xfId="74" applyFont="1" applyFill="1" applyBorder="1" applyAlignment="1" applyProtection="1">
      <alignment horizontal="center" vertical="center" shrinkToFit="1"/>
      <protection hidden="1"/>
    </xf>
    <xf numFmtId="0" fontId="19" fillId="0" borderId="20" xfId="74" applyFont="1" applyFill="1" applyBorder="1" applyAlignment="1" applyProtection="1">
      <alignment horizontal="right" vertical="center" wrapText="1"/>
      <protection hidden="1"/>
    </xf>
    <xf numFmtId="0" fontId="19" fillId="0" borderId="15" xfId="74" applyFont="1" applyFill="1" applyBorder="1" applyAlignment="1" applyProtection="1">
      <alignment horizontal="right" vertical="center" wrapText="1"/>
      <protection hidden="1"/>
    </xf>
    <xf numFmtId="0" fontId="100" fillId="0" borderId="7" xfId="63" applyFont="1" applyFill="1" applyBorder="1" applyAlignment="1">
      <alignment wrapText="1"/>
    </xf>
    <xf numFmtId="0" fontId="100" fillId="0" borderId="7" xfId="63" applyFont="1" applyFill="1" applyBorder="1" applyAlignment="1">
      <alignment horizontal="right" wrapText="1"/>
    </xf>
    <xf numFmtId="0" fontId="4" fillId="0" borderId="7" xfId="58" applyFont="1" applyFill="1" applyBorder="1" applyAlignment="1">
      <alignment horizontal="right" wrapText="1"/>
    </xf>
    <xf numFmtId="0" fontId="0" fillId="0" borderId="0" xfId="0" applyFont="1"/>
    <xf numFmtId="0" fontId="99" fillId="0" borderId="0" xfId="75"/>
    <xf numFmtId="0" fontId="0" fillId="36" borderId="12" xfId="0" applyFill="1" applyBorder="1"/>
    <xf numFmtId="0" fontId="39" fillId="36" borderId="12" xfId="0" applyFont="1" applyFill="1" applyBorder="1" applyAlignment="1">
      <alignment horizontal="center" vertical="center" wrapText="1"/>
    </xf>
    <xf numFmtId="0" fontId="0" fillId="36" borderId="12" xfId="0" applyFill="1" applyBorder="1" applyAlignment="1">
      <alignment wrapText="1"/>
    </xf>
    <xf numFmtId="178" fontId="33" fillId="0" borderId="12" xfId="0" applyNumberFormat="1" applyFont="1" applyBorder="1"/>
    <xf numFmtId="49" fontId="32" fillId="0" borderId="0" xfId="3" applyNumberFormat="1" applyFont="1" applyAlignment="1" applyProtection="1">
      <alignment horizontal="left" vertical="center"/>
      <protection hidden="1"/>
    </xf>
    <xf numFmtId="0" fontId="32" fillId="0" borderId="0" xfId="3" applyFont="1" applyAlignment="1" applyProtection="1">
      <alignment horizontal="center" vertical="center"/>
      <protection hidden="1"/>
    </xf>
    <xf numFmtId="0" fontId="57" fillId="0" borderId="0" xfId="3" applyFont="1" applyAlignment="1" applyProtection="1">
      <alignment horizontal="center" vertical="center" shrinkToFit="1"/>
      <protection hidden="1"/>
    </xf>
    <xf numFmtId="0" fontId="58" fillId="0" borderId="0" xfId="3" applyFont="1" applyAlignment="1" applyProtection="1">
      <alignment horizontal="center" vertical="center" shrinkToFit="1"/>
      <protection hidden="1"/>
    </xf>
    <xf numFmtId="0" fontId="32" fillId="0" borderId="0" xfId="3" applyFont="1" applyAlignment="1" applyProtection="1">
      <alignment vertical="center" shrinkToFit="1"/>
      <protection hidden="1"/>
    </xf>
    <xf numFmtId="0" fontId="75" fillId="0" borderId="0" xfId="3" applyFont="1" applyAlignment="1" applyProtection="1">
      <alignment horizontal="right" vertical="center"/>
      <protection hidden="1"/>
    </xf>
    <xf numFmtId="0" fontId="68" fillId="25" borderId="0" xfId="3" applyFont="1" applyFill="1" applyBorder="1" applyAlignment="1" applyProtection="1">
      <alignment horizontal="left" vertical="center"/>
      <protection hidden="1"/>
    </xf>
    <xf numFmtId="0" fontId="73" fillId="0" borderId="0" xfId="3" applyFont="1" applyFill="1" applyBorder="1" applyAlignment="1" applyProtection="1">
      <alignment horizontal="center" vertical="center"/>
      <protection hidden="1"/>
    </xf>
    <xf numFmtId="0" fontId="120" fillId="0" borderId="0" xfId="3" applyFont="1" applyAlignment="1" applyProtection="1">
      <alignment horizontal="right"/>
      <protection hidden="1"/>
    </xf>
    <xf numFmtId="0" fontId="120" fillId="0" borderId="0" xfId="3" applyFont="1" applyAlignment="1" applyProtection="1">
      <alignment horizontal="left"/>
      <protection hidden="1"/>
    </xf>
    <xf numFmtId="0" fontId="120" fillId="0" borderId="0" xfId="3" applyFont="1" applyAlignment="1" applyProtection="1">
      <alignment horizontal="right" shrinkToFit="1"/>
      <protection hidden="1"/>
    </xf>
    <xf numFmtId="183" fontId="120" fillId="0" borderId="0" xfId="3" applyNumberFormat="1" applyFont="1" applyAlignment="1" applyProtection="1">
      <alignment horizontal="left"/>
      <protection hidden="1"/>
    </xf>
    <xf numFmtId="0" fontId="120" fillId="0" borderId="0" xfId="3" applyFont="1" applyBorder="1" applyAlignment="1" applyProtection="1">
      <alignment horizontal="right"/>
      <protection hidden="1"/>
    </xf>
    <xf numFmtId="0" fontId="120" fillId="0" borderId="0" xfId="3" applyFont="1" applyProtection="1">
      <protection hidden="1"/>
    </xf>
    <xf numFmtId="0" fontId="97" fillId="0" borderId="0" xfId="3" applyFont="1" applyProtection="1">
      <protection hidden="1"/>
    </xf>
    <xf numFmtId="0" fontId="97" fillId="0" borderId="0" xfId="3" applyFont="1" applyAlignment="1" applyProtection="1">
      <alignment horizontal="right"/>
      <protection hidden="1"/>
    </xf>
    <xf numFmtId="0" fontId="121" fillId="25" borderId="0" xfId="3" applyFont="1" applyFill="1" applyBorder="1" applyAlignment="1" applyProtection="1">
      <alignment horizontal="right"/>
      <protection hidden="1"/>
    </xf>
    <xf numFmtId="57" fontId="97" fillId="0" borderId="0" xfId="3" applyNumberFormat="1" applyFont="1" applyAlignment="1" applyProtection="1">
      <alignment horizontal="center"/>
      <protection hidden="1"/>
    </xf>
    <xf numFmtId="57" fontId="120" fillId="0" borderId="0" xfId="3" applyNumberFormat="1" applyFont="1" applyAlignment="1" applyProtection="1">
      <alignment horizontal="right"/>
      <protection hidden="1"/>
    </xf>
    <xf numFmtId="0" fontId="55" fillId="0" borderId="0" xfId="3" applyFont="1" applyFill="1" applyBorder="1" applyAlignment="1" applyProtection="1">
      <alignment horizontal="left" vertical="center"/>
      <protection hidden="1"/>
    </xf>
    <xf numFmtId="0" fontId="33" fillId="0" borderId="0" xfId="3" applyFont="1" applyFill="1" applyBorder="1" applyAlignment="1" applyProtection="1">
      <alignment horizontal="center" vertical="center" shrinkToFit="1"/>
      <protection hidden="1"/>
    </xf>
    <xf numFmtId="192" fontId="33" fillId="0" borderId="0" xfId="78" applyNumberFormat="1" applyFont="1" applyFill="1" applyBorder="1" applyAlignment="1" applyProtection="1">
      <alignment horizontal="center" vertical="center" shrinkToFit="1"/>
      <protection hidden="1"/>
    </xf>
    <xf numFmtId="0" fontId="0" fillId="0" borderId="0" xfId="3" applyFont="1" applyBorder="1" applyAlignment="1" applyProtection="1">
      <alignment horizontal="center"/>
      <protection hidden="1"/>
    </xf>
    <xf numFmtId="49" fontId="32" fillId="0" borderId="0" xfId="3" applyNumberFormat="1" applyFont="1" applyAlignment="1" applyProtection="1">
      <alignment horizontal="left"/>
      <protection hidden="1"/>
    </xf>
    <xf numFmtId="0" fontId="5" fillId="0" borderId="0" xfId="3" applyFont="1" applyAlignment="1" applyProtection="1">
      <alignment horizontal="center"/>
      <protection hidden="1"/>
    </xf>
    <xf numFmtId="0" fontId="32" fillId="0" borderId="0" xfId="3" applyFont="1" applyAlignment="1" applyProtection="1">
      <alignment horizontal="center" vertical="center" shrinkToFit="1"/>
      <protection hidden="1"/>
    </xf>
    <xf numFmtId="49" fontId="16" fillId="0" borderId="0" xfId="74" applyNumberFormat="1" applyFont="1" applyFill="1" applyBorder="1" applyAlignment="1" applyProtection="1">
      <alignment horizontal="left" vertical="center"/>
      <protection hidden="1"/>
    </xf>
    <xf numFmtId="0" fontId="142" fillId="0" borderId="0" xfId="74" applyFont="1" applyFill="1" applyBorder="1" applyAlignment="1" applyProtection="1">
      <alignment horizontal="right" vertical="center"/>
      <protection hidden="1"/>
    </xf>
    <xf numFmtId="0" fontId="143" fillId="0" borderId="0" xfId="85" applyFont="1" applyFill="1" applyBorder="1" applyAlignment="1" applyProtection="1">
      <alignment horizontal="center" vertical="center"/>
      <protection hidden="1"/>
    </xf>
    <xf numFmtId="0" fontId="144" fillId="0" borderId="0" xfId="85" applyFont="1" applyFill="1" applyBorder="1" applyAlignment="1" applyProtection="1">
      <alignment horizontal="center" vertical="center"/>
      <protection hidden="1"/>
    </xf>
    <xf numFmtId="0" fontId="143" fillId="0" borderId="0" xfId="85" applyFont="1" applyFill="1" applyBorder="1" applyAlignment="1" applyProtection="1">
      <alignment horizontal="right" vertical="center"/>
      <protection hidden="1"/>
    </xf>
    <xf numFmtId="177" fontId="145" fillId="0" borderId="0" xfId="74" applyNumberFormat="1" applyFont="1" applyFill="1" applyBorder="1" applyAlignment="1" applyProtection="1">
      <alignment horizontal="center" vertical="center"/>
      <protection hidden="1"/>
    </xf>
    <xf numFmtId="0" fontId="146" fillId="0" borderId="0" xfId="74" applyFont="1" applyFill="1" applyBorder="1" applyAlignment="1" applyProtection="1">
      <alignment vertical="center"/>
      <protection hidden="1"/>
    </xf>
    <xf numFmtId="0" fontId="37" fillId="0" borderId="0" xfId="74" applyFont="1" applyFill="1" applyBorder="1" applyAlignment="1" applyProtection="1">
      <alignment horizontal="center" vertical="center"/>
      <protection hidden="1"/>
    </xf>
    <xf numFmtId="57" fontId="19" fillId="0" borderId="0" xfId="74" applyNumberFormat="1" applyFont="1" applyFill="1" applyBorder="1" applyAlignment="1" applyProtection="1">
      <alignment horizontal="center" vertical="center"/>
      <protection hidden="1"/>
    </xf>
    <xf numFmtId="0" fontId="130" fillId="38" borderId="12" xfId="51" applyFill="1" applyBorder="1" applyAlignment="1">
      <alignment horizontal="center" vertical="center"/>
    </xf>
    <xf numFmtId="215" fontId="130" fillId="0" borderId="0" xfId="51" applyNumberFormat="1">
      <alignment vertical="center"/>
    </xf>
    <xf numFmtId="0" fontId="130" fillId="50" borderId="12" xfId="51" applyFill="1" applyBorder="1">
      <alignment vertical="center"/>
    </xf>
    <xf numFmtId="0" fontId="55" fillId="0" borderId="0" xfId="2" applyFont="1" applyFill="1" applyBorder="1" applyAlignment="1" applyProtection="1">
      <alignment horizontal="left" vertical="center"/>
      <protection hidden="1"/>
    </xf>
    <xf numFmtId="0" fontId="134" fillId="0" borderId="0" xfId="2" applyFont="1" applyFill="1" applyBorder="1" applyAlignment="1" applyProtection="1">
      <alignment horizontal="left" vertical="center"/>
      <protection hidden="1"/>
    </xf>
    <xf numFmtId="0" fontId="133" fillId="0" borderId="0" xfId="0" applyFont="1" applyAlignment="1">
      <alignment vertical="center"/>
    </xf>
    <xf numFmtId="0" fontId="133" fillId="0" borderId="0" xfId="1" applyFont="1" applyAlignment="1">
      <alignment vertical="center"/>
    </xf>
    <xf numFmtId="0" fontId="60" fillId="0" borderId="36" xfId="59" applyFont="1" applyFill="1" applyBorder="1" applyAlignment="1">
      <alignment horizontal="right" wrapText="1"/>
    </xf>
    <xf numFmtId="0" fontId="6" fillId="0" borderId="0" xfId="1" applyFont="1" applyFill="1" applyBorder="1"/>
    <xf numFmtId="0" fontId="7" fillId="0" borderId="0" xfId="1" applyFont="1" applyFill="1" applyBorder="1"/>
    <xf numFmtId="10" fontId="6" fillId="0" borderId="0" xfId="1" applyNumberFormat="1" applyFont="1" applyFill="1" applyBorder="1" applyProtection="1"/>
    <xf numFmtId="0" fontId="4" fillId="0" borderId="0" xfId="70" applyFont="1" applyFill="1" applyBorder="1" applyAlignment="1">
      <alignment horizontal="center"/>
    </xf>
    <xf numFmtId="0" fontId="4" fillId="0" borderId="0" xfId="59" applyFont="1" applyFill="1" applyBorder="1" applyAlignment="1">
      <alignment horizontal="right" wrapText="1"/>
    </xf>
    <xf numFmtId="0" fontId="4" fillId="0" borderId="0" xfId="70" applyFont="1" applyFill="1" applyBorder="1" applyAlignment="1">
      <alignment wrapText="1"/>
    </xf>
    <xf numFmtId="0" fontId="4" fillId="0" borderId="0" xfId="59" applyFont="1" applyFill="1" applyBorder="1" applyAlignment="1">
      <alignment wrapText="1"/>
    </xf>
    <xf numFmtId="0" fontId="4" fillId="0" borderId="0" xfId="59" applyFont="1" applyFill="1" applyBorder="1" applyAlignment="1">
      <alignment horizontal="center"/>
    </xf>
    <xf numFmtId="0" fontId="8" fillId="36" borderId="12" xfId="71" applyFill="1" applyBorder="1" applyAlignment="1">
      <alignment horizontal="center" vertical="center"/>
    </xf>
    <xf numFmtId="202" fontId="8" fillId="36" borderId="12" xfId="71" applyNumberFormat="1" applyFill="1" applyBorder="1" applyAlignment="1">
      <alignment horizontal="center" vertical="center"/>
    </xf>
    <xf numFmtId="0" fontId="8" fillId="36" borderId="12" xfId="71" applyFill="1" applyBorder="1">
      <alignment vertical="center"/>
    </xf>
    <xf numFmtId="0" fontId="84" fillId="48" borderId="12" xfId="1" applyFont="1" applyFill="1" applyBorder="1" applyAlignment="1" applyProtection="1">
      <alignment horizontal="center" vertical="center" wrapText="1"/>
      <protection hidden="1"/>
    </xf>
    <xf numFmtId="0" fontId="125" fillId="33" borderId="29" xfId="64" applyFont="1" applyFill="1" applyBorder="1" applyAlignment="1">
      <alignment horizontal="center"/>
    </xf>
    <xf numFmtId="0" fontId="125" fillId="0" borderId="7" xfId="64" applyFont="1" applyFill="1" applyBorder="1" applyAlignment="1">
      <alignment wrapText="1"/>
    </xf>
    <xf numFmtId="0" fontId="125" fillId="0" borderId="7" xfId="64" applyFont="1" applyFill="1" applyBorder="1" applyAlignment="1">
      <alignment horizontal="right" wrapText="1"/>
    </xf>
    <xf numFmtId="0" fontId="127" fillId="33" borderId="29" xfId="65" applyFont="1" applyFill="1" applyBorder="1" applyAlignment="1">
      <alignment horizontal="center"/>
    </xf>
    <xf numFmtId="0" fontId="127" fillId="0" borderId="7" xfId="65" applyFont="1" applyFill="1" applyBorder="1" applyAlignment="1">
      <alignment wrapText="1"/>
    </xf>
    <xf numFmtId="0" fontId="127" fillId="0" borderId="7" xfId="65" applyFont="1" applyFill="1" applyBorder="1" applyAlignment="1">
      <alignment horizontal="right" wrapText="1"/>
    </xf>
    <xf numFmtId="0" fontId="127" fillId="33" borderId="29" xfId="76" applyFont="1" applyFill="1" applyBorder="1" applyAlignment="1">
      <alignment horizontal="center"/>
    </xf>
    <xf numFmtId="0" fontId="127" fillId="0" borderId="7" xfId="76" applyFont="1" applyFill="1" applyBorder="1" applyAlignment="1">
      <alignment wrapText="1"/>
    </xf>
    <xf numFmtId="0" fontId="127" fillId="0" borderId="7" xfId="76" applyFont="1" applyFill="1" applyBorder="1" applyAlignment="1">
      <alignment horizontal="right" wrapText="1"/>
    </xf>
    <xf numFmtId="0" fontId="126" fillId="0" borderId="0" xfId="65"/>
    <xf numFmtId="57" fontId="2" fillId="0" borderId="0" xfId="1" applyNumberFormat="1" applyFont="1" applyAlignment="1" applyProtection="1">
      <protection hidden="1"/>
    </xf>
    <xf numFmtId="57" fontId="2" fillId="0" borderId="0" xfId="1" applyNumberFormat="1" applyFont="1" applyAlignment="1" applyProtection="1">
      <alignment horizontal="center" vertical="center"/>
      <protection hidden="1"/>
    </xf>
    <xf numFmtId="0" fontId="83" fillId="0" borderId="12" xfId="1" applyFont="1" applyBorder="1" applyAlignment="1" applyProtection="1">
      <alignment horizontal="center" vertical="center"/>
      <protection hidden="1"/>
    </xf>
    <xf numFmtId="0" fontId="83" fillId="0" borderId="12" xfId="1" applyFont="1" applyBorder="1" applyAlignment="1" applyProtection="1">
      <alignment horizontal="center" vertical="center" wrapText="1"/>
      <protection hidden="1"/>
    </xf>
    <xf numFmtId="57" fontId="2" fillId="0" borderId="0" xfId="1" applyNumberFormat="1" applyFont="1" applyFill="1" applyAlignment="1" applyProtection="1">
      <alignment vertical="center"/>
      <protection hidden="1"/>
    </xf>
    <xf numFmtId="0" fontId="2" fillId="0" borderId="0" xfId="1" applyFont="1" applyFill="1" applyAlignment="1" applyProtection="1">
      <alignment vertical="center"/>
      <protection hidden="1"/>
    </xf>
    <xf numFmtId="0" fontId="95" fillId="0" borderId="12" xfId="1" applyFont="1" applyFill="1" applyBorder="1" applyAlignment="1" applyProtection="1">
      <alignment horizontal="center" vertical="center" shrinkToFit="1"/>
      <protection hidden="1"/>
    </xf>
    <xf numFmtId="0" fontId="5" fillId="0" borderId="12" xfId="1" applyFont="1" applyBorder="1" applyAlignment="1" applyProtection="1">
      <alignment horizontal="center" vertical="center"/>
      <protection hidden="1"/>
    </xf>
    <xf numFmtId="177" fontId="5" fillId="0" borderId="12" xfId="1" applyNumberFormat="1" applyFont="1" applyBorder="1" applyAlignment="1" applyProtection="1">
      <alignment vertical="center"/>
      <protection hidden="1"/>
    </xf>
    <xf numFmtId="203" fontId="5" fillId="0" borderId="12" xfId="1" applyNumberFormat="1" applyFont="1" applyBorder="1" applyAlignment="1" applyProtection="1">
      <alignment vertical="center"/>
      <protection hidden="1"/>
    </xf>
    <xf numFmtId="0" fontId="33" fillId="0" borderId="12" xfId="3" applyFont="1" applyFill="1" applyBorder="1" applyAlignment="1" applyProtection="1">
      <alignment horizontal="center" vertical="center" shrinkToFit="1"/>
      <protection hidden="1"/>
    </xf>
    <xf numFmtId="0" fontId="61" fillId="0" borderId="12" xfId="3" applyFont="1" applyFill="1" applyBorder="1" applyAlignment="1" applyProtection="1">
      <alignment horizontal="center" vertical="center" shrinkToFit="1"/>
      <protection hidden="1"/>
    </xf>
    <xf numFmtId="0" fontId="33" fillId="0" borderId="12" xfId="4" applyFont="1" applyFill="1" applyBorder="1" applyAlignment="1" applyProtection="1">
      <alignment horizontal="center" vertical="center" shrinkToFit="1"/>
      <protection hidden="1"/>
    </xf>
    <xf numFmtId="0" fontId="61" fillId="0" borderId="12" xfId="4" applyFont="1" applyFill="1" applyBorder="1" applyAlignment="1" applyProtection="1">
      <alignment horizontal="center" vertical="center" shrinkToFit="1"/>
      <protection hidden="1"/>
    </xf>
    <xf numFmtId="0" fontId="95" fillId="0" borderId="12" xfId="4" applyFont="1" applyFill="1" applyBorder="1" applyAlignment="1" applyProtection="1">
      <alignment horizontal="center" vertical="center" shrinkToFit="1"/>
      <protection hidden="1"/>
    </xf>
    <xf numFmtId="0" fontId="33" fillId="0" borderId="16" xfId="3" applyFont="1" applyFill="1" applyBorder="1" applyAlignment="1" applyProtection="1">
      <alignment horizontal="center" vertical="center" shrinkToFit="1"/>
      <protection hidden="1"/>
    </xf>
    <xf numFmtId="0" fontId="61" fillId="0" borderId="16" xfId="3" applyFont="1" applyFill="1" applyBorder="1" applyAlignment="1" applyProtection="1">
      <alignment horizontal="center" vertical="center" shrinkToFit="1"/>
      <protection hidden="1"/>
    </xf>
    <xf numFmtId="0" fontId="129" fillId="33" borderId="29" xfId="66" applyFont="1" applyFill="1" applyBorder="1" applyAlignment="1">
      <alignment horizontal="center"/>
    </xf>
    <xf numFmtId="0" fontId="129" fillId="0" borderId="7" xfId="66" applyFont="1" applyFill="1" applyBorder="1" applyAlignment="1">
      <alignment wrapText="1"/>
    </xf>
    <xf numFmtId="0" fontId="129" fillId="0" borderId="7" xfId="66" applyFont="1" applyFill="1" applyBorder="1" applyAlignment="1">
      <alignment horizontal="right" wrapText="1"/>
    </xf>
    <xf numFmtId="178" fontId="150" fillId="0" borderId="0" xfId="50" applyNumberFormat="1" applyFont="1" applyAlignment="1" applyProtection="1">
      <alignment horizontal="center" vertical="center"/>
      <protection hidden="1"/>
    </xf>
    <xf numFmtId="0" fontId="151" fillId="0" borderId="0" xfId="50" applyFont="1" applyAlignment="1" applyProtection="1">
      <alignment vertical="center"/>
      <protection hidden="1"/>
    </xf>
    <xf numFmtId="0" fontId="8" fillId="0" borderId="0" xfId="50" applyAlignment="1" applyProtection="1">
      <alignment vertical="center"/>
      <protection hidden="1"/>
    </xf>
    <xf numFmtId="0" fontId="152" fillId="0" borderId="48" xfId="50" applyFont="1" applyBorder="1" applyAlignment="1" applyProtection="1">
      <alignment horizontal="center" vertical="center" shrinkToFit="1"/>
      <protection hidden="1"/>
    </xf>
    <xf numFmtId="0" fontId="152" fillId="0" borderId="49" xfId="50" applyFont="1" applyBorder="1" applyAlignment="1" applyProtection="1">
      <alignment horizontal="center" vertical="center" shrinkToFit="1"/>
      <protection hidden="1"/>
    </xf>
    <xf numFmtId="0" fontId="152" fillId="0" borderId="50" xfId="50" applyFont="1" applyBorder="1" applyAlignment="1" applyProtection="1">
      <alignment horizontal="center" vertical="center" shrinkToFit="1"/>
      <protection hidden="1"/>
    </xf>
    <xf numFmtId="0" fontId="152" fillId="0" borderId="51" xfId="50" applyFont="1" applyBorder="1" applyAlignment="1" applyProtection="1">
      <alignment horizontal="center" vertical="center" shrinkToFit="1"/>
      <protection hidden="1"/>
    </xf>
    <xf numFmtId="178" fontId="152" fillId="0" borderId="0" xfId="50" applyNumberFormat="1" applyFont="1" applyAlignment="1" applyProtection="1">
      <alignment horizontal="center" vertical="center"/>
      <protection hidden="1"/>
    </xf>
    <xf numFmtId="10" fontId="153" fillId="0" borderId="53" xfId="50" applyNumberFormat="1" applyFont="1" applyBorder="1" applyAlignment="1" applyProtection="1">
      <alignment vertical="center" shrinkToFit="1"/>
      <protection hidden="1"/>
    </xf>
    <xf numFmtId="216" fontId="153" fillId="0" borderId="54" xfId="50" applyNumberFormat="1" applyFont="1" applyBorder="1" applyAlignment="1" applyProtection="1">
      <alignment vertical="center" shrinkToFit="1"/>
      <protection hidden="1"/>
    </xf>
    <xf numFmtId="178" fontId="154" fillId="0" borderId="0" xfId="50" applyNumberFormat="1" applyFont="1" applyAlignment="1" applyProtection="1">
      <alignment vertical="center"/>
      <protection hidden="1"/>
    </xf>
    <xf numFmtId="177" fontId="14" fillId="0" borderId="0" xfId="50" applyNumberFormat="1" applyFont="1" applyAlignment="1" applyProtection="1">
      <alignment vertical="center" shrinkToFit="1"/>
      <protection hidden="1"/>
    </xf>
    <xf numFmtId="0" fontId="153" fillId="0" borderId="56" xfId="50" applyFont="1" applyBorder="1" applyAlignment="1" applyProtection="1">
      <alignment horizontal="center" vertical="center" shrinkToFit="1"/>
      <protection hidden="1"/>
    </xf>
    <xf numFmtId="10" fontId="153" fillId="0" borderId="57" xfId="50" applyNumberFormat="1" applyFont="1" applyBorder="1" applyAlignment="1" applyProtection="1">
      <alignment vertical="center" shrinkToFit="1"/>
      <protection hidden="1"/>
    </xf>
    <xf numFmtId="216" fontId="153" fillId="0" borderId="58" xfId="50" applyNumberFormat="1" applyFont="1" applyBorder="1" applyAlignment="1" applyProtection="1">
      <alignment vertical="center" shrinkToFit="1"/>
      <protection hidden="1"/>
    </xf>
    <xf numFmtId="0" fontId="153" fillId="27" borderId="56" xfId="50" applyFont="1" applyFill="1" applyBorder="1" applyAlignment="1" applyProtection="1">
      <alignment horizontal="center" vertical="center" shrinkToFit="1"/>
      <protection hidden="1"/>
    </xf>
    <xf numFmtId="10" fontId="153" fillId="27" borderId="57" xfId="50" applyNumberFormat="1" applyFont="1" applyFill="1" applyBorder="1" applyAlignment="1" applyProtection="1">
      <alignment vertical="center" shrinkToFit="1"/>
      <protection hidden="1"/>
    </xf>
    <xf numFmtId="216" fontId="153" fillId="27" borderId="58" xfId="50" applyNumberFormat="1" applyFont="1" applyFill="1" applyBorder="1" applyAlignment="1" applyProtection="1">
      <alignment vertical="center" shrinkToFit="1"/>
      <protection hidden="1"/>
    </xf>
    <xf numFmtId="217" fontId="8" fillId="0" borderId="0" xfId="50" applyNumberFormat="1" applyFont="1" applyAlignment="1" applyProtection="1">
      <alignment vertical="center"/>
      <protection hidden="1"/>
    </xf>
    <xf numFmtId="177" fontId="156" fillId="0" borderId="56" xfId="50" applyNumberFormat="1" applyFont="1" applyBorder="1" applyAlignment="1" applyProtection="1">
      <alignment vertical="center" shrinkToFit="1"/>
      <protection hidden="1"/>
    </xf>
    <xf numFmtId="177" fontId="155" fillId="0" borderId="56" xfId="50" applyNumberFormat="1" applyFont="1" applyBorder="1" applyAlignment="1" applyProtection="1">
      <alignment vertical="center" shrinkToFit="1"/>
      <protection hidden="1"/>
    </xf>
    <xf numFmtId="0" fontId="156" fillId="27" borderId="56" xfId="50" applyFont="1" applyFill="1" applyBorder="1" applyAlignment="1" applyProtection="1">
      <alignment horizontal="center" vertical="center" shrinkToFit="1"/>
      <protection hidden="1"/>
    </xf>
    <xf numFmtId="10" fontId="156" fillId="27" borderId="57" xfId="50" applyNumberFormat="1" applyFont="1" applyFill="1" applyBorder="1" applyAlignment="1" applyProtection="1">
      <alignment vertical="center" shrinkToFit="1"/>
      <protection hidden="1"/>
    </xf>
    <xf numFmtId="216" fontId="156" fillId="27" borderId="58" xfId="50" applyNumberFormat="1" applyFont="1" applyFill="1" applyBorder="1" applyAlignment="1" applyProtection="1">
      <alignment vertical="center" shrinkToFit="1"/>
      <protection hidden="1"/>
    </xf>
    <xf numFmtId="0" fontId="157" fillId="0" borderId="56" xfId="50" applyFont="1" applyBorder="1" applyAlignment="1" applyProtection="1">
      <alignment vertical="center" shrinkToFit="1"/>
      <protection hidden="1"/>
    </xf>
    <xf numFmtId="217" fontId="8" fillId="0" borderId="0" xfId="50" applyNumberFormat="1" applyAlignment="1" applyProtection="1">
      <alignment vertical="center" shrinkToFit="1"/>
      <protection hidden="1"/>
    </xf>
    <xf numFmtId="0" fontId="154" fillId="27" borderId="56" xfId="50" applyFont="1" applyFill="1" applyBorder="1" applyAlignment="1" applyProtection="1">
      <alignment vertical="center" shrinkToFit="1"/>
      <protection hidden="1"/>
    </xf>
    <xf numFmtId="178" fontId="14" fillId="0" borderId="0" xfId="50" applyNumberFormat="1" applyFont="1" applyAlignment="1" applyProtection="1">
      <alignment vertical="center"/>
      <protection hidden="1"/>
    </xf>
    <xf numFmtId="10" fontId="149" fillId="0" borderId="0" xfId="50" applyNumberFormat="1" applyFont="1" applyAlignment="1" applyProtection="1">
      <alignment vertical="center"/>
      <protection hidden="1"/>
    </xf>
    <xf numFmtId="178" fontId="8" fillId="0" borderId="0" xfId="50" applyNumberFormat="1" applyAlignment="1" applyProtection="1">
      <alignment vertical="center"/>
      <protection hidden="1"/>
    </xf>
    <xf numFmtId="0" fontId="8" fillId="0" borderId="0" xfId="50" applyAlignment="1" applyProtection="1">
      <alignment vertical="center" shrinkToFit="1"/>
      <protection hidden="1"/>
    </xf>
    <xf numFmtId="177" fontId="8" fillId="0" borderId="0" xfId="50" applyNumberFormat="1" applyAlignment="1" applyProtection="1">
      <alignment vertical="center" shrinkToFit="1"/>
      <protection hidden="1"/>
    </xf>
    <xf numFmtId="0" fontId="152" fillId="0" borderId="66" xfId="50" applyFont="1" applyBorder="1" applyAlignment="1" applyProtection="1">
      <alignment horizontal="center" vertical="center" shrinkToFit="1"/>
      <protection hidden="1"/>
    </xf>
    <xf numFmtId="0" fontId="153" fillId="0" borderId="67" xfId="50" applyFont="1" applyBorder="1" applyAlignment="1" applyProtection="1">
      <alignment horizontal="center" vertical="center" shrinkToFit="1"/>
      <protection hidden="1"/>
    </xf>
    <xf numFmtId="0" fontId="153" fillId="0" borderId="68" xfId="50" applyFont="1" applyBorder="1" applyAlignment="1" applyProtection="1">
      <alignment horizontal="center" vertical="center" shrinkToFit="1"/>
      <protection hidden="1"/>
    </xf>
    <xf numFmtId="0" fontId="153" fillId="27" borderId="68" xfId="50" applyFont="1" applyFill="1" applyBorder="1" applyAlignment="1" applyProtection="1">
      <alignment horizontal="center" vertical="center" shrinkToFit="1"/>
      <protection hidden="1"/>
    </xf>
    <xf numFmtId="0" fontId="156" fillId="27" borderId="68" xfId="50" applyFont="1" applyFill="1" applyBorder="1" applyAlignment="1" applyProtection="1">
      <alignment horizontal="center" vertical="center" shrinkToFit="1"/>
      <protection hidden="1"/>
    </xf>
    <xf numFmtId="0" fontId="156" fillId="27" borderId="69" xfId="50" applyFont="1" applyFill="1" applyBorder="1" applyAlignment="1" applyProtection="1">
      <alignment horizontal="center" vertical="center" shrinkToFit="1"/>
      <protection hidden="1"/>
    </xf>
    <xf numFmtId="0" fontId="156" fillId="27" borderId="70" xfId="50" applyFont="1" applyFill="1" applyBorder="1" applyAlignment="1" applyProtection="1">
      <alignment horizontal="center" vertical="center" shrinkToFit="1"/>
      <protection hidden="1"/>
    </xf>
    <xf numFmtId="0" fontId="154" fillId="27" borderId="70" xfId="50" applyFont="1" applyFill="1" applyBorder="1" applyAlignment="1" applyProtection="1">
      <alignment vertical="center" shrinkToFit="1"/>
      <protection hidden="1"/>
    </xf>
    <xf numFmtId="10" fontId="156" fillId="27" borderId="71" xfId="50" applyNumberFormat="1" applyFont="1" applyFill="1" applyBorder="1" applyAlignment="1" applyProtection="1">
      <alignment vertical="center" shrinkToFit="1"/>
      <protection hidden="1"/>
    </xf>
    <xf numFmtId="216" fontId="156" fillId="27" borderId="72" xfId="50" applyNumberFormat="1" applyFont="1" applyFill="1" applyBorder="1" applyAlignment="1" applyProtection="1">
      <alignment vertical="center" shrinkToFit="1"/>
      <protection hidden="1"/>
    </xf>
    <xf numFmtId="0" fontId="159" fillId="0" borderId="68" xfId="50" applyFont="1" applyBorder="1" applyAlignment="1" applyProtection="1">
      <alignment horizontal="center" vertical="center" shrinkToFit="1"/>
      <protection hidden="1"/>
    </xf>
    <xf numFmtId="0" fontId="159" fillId="0" borderId="56" xfId="50" applyFont="1" applyBorder="1" applyAlignment="1" applyProtection="1">
      <alignment horizontal="center" vertical="center" shrinkToFit="1"/>
      <protection hidden="1"/>
    </xf>
    <xf numFmtId="10" fontId="159" fillId="0" borderId="57" xfId="50" applyNumberFormat="1" applyFont="1" applyBorder="1" applyAlignment="1" applyProtection="1">
      <alignment vertical="center" shrinkToFit="1"/>
      <protection hidden="1"/>
    </xf>
    <xf numFmtId="216" fontId="159" fillId="0" borderId="58" xfId="50" applyNumberFormat="1" applyFont="1" applyBorder="1" applyAlignment="1" applyProtection="1">
      <alignment vertical="center" shrinkToFit="1"/>
      <protection hidden="1"/>
    </xf>
    <xf numFmtId="0" fontId="160" fillId="0" borderId="68" xfId="50" applyFont="1" applyBorder="1" applyAlignment="1" applyProtection="1">
      <alignment horizontal="center" vertical="center" shrinkToFit="1"/>
      <protection hidden="1"/>
    </xf>
    <xf numFmtId="0" fontId="160" fillId="0" borderId="56" xfId="50" applyFont="1" applyBorder="1" applyAlignment="1" applyProtection="1">
      <alignment horizontal="center" vertical="center" shrinkToFit="1"/>
      <protection hidden="1"/>
    </xf>
    <xf numFmtId="10" fontId="160" fillId="0" borderId="57" xfId="50" applyNumberFormat="1" applyFont="1" applyBorder="1" applyAlignment="1" applyProtection="1">
      <alignment vertical="center" shrinkToFit="1"/>
      <protection hidden="1"/>
    </xf>
    <xf numFmtId="216" fontId="160" fillId="0" borderId="58" xfId="50" applyNumberFormat="1" applyFont="1" applyBorder="1" applyAlignment="1" applyProtection="1">
      <alignment vertical="center" shrinkToFit="1"/>
      <protection hidden="1"/>
    </xf>
    <xf numFmtId="0" fontId="0" fillId="0" borderId="0" xfId="0" applyProtection="1">
      <protection hidden="1"/>
    </xf>
    <xf numFmtId="0" fontId="153" fillId="0" borderId="52" xfId="50" applyFont="1" applyBorder="1" applyAlignment="1" applyProtection="1">
      <alignment horizontal="center" vertical="center" shrinkToFit="1"/>
      <protection hidden="1"/>
    </xf>
    <xf numFmtId="177" fontId="153" fillId="0" borderId="52" xfId="50" applyNumberFormat="1" applyFont="1" applyBorder="1" applyAlignment="1" applyProtection="1">
      <alignment vertical="center" shrinkToFit="1"/>
      <protection hidden="1"/>
    </xf>
    <xf numFmtId="177" fontId="153" fillId="0" borderId="55" xfId="50" applyNumberFormat="1" applyFont="1" applyBorder="1" applyAlignment="1" applyProtection="1">
      <alignment vertical="center" shrinkToFit="1"/>
      <protection hidden="1"/>
    </xf>
    <xf numFmtId="177" fontId="153" fillId="0" borderId="56" xfId="50" applyNumberFormat="1" applyFont="1" applyBorder="1" applyAlignment="1" applyProtection="1">
      <alignment vertical="center" shrinkToFit="1"/>
      <protection hidden="1"/>
    </xf>
    <xf numFmtId="177" fontId="153" fillId="0" borderId="59" xfId="50" applyNumberFormat="1" applyFont="1" applyBorder="1" applyAlignment="1" applyProtection="1">
      <alignment vertical="center" shrinkToFit="1"/>
      <protection hidden="1"/>
    </xf>
    <xf numFmtId="177" fontId="153" fillId="27" borderId="56" xfId="50" applyNumberFormat="1" applyFont="1" applyFill="1" applyBorder="1" applyAlignment="1" applyProtection="1">
      <alignment vertical="center" shrinkToFit="1"/>
      <protection hidden="1"/>
    </xf>
    <xf numFmtId="177" fontId="153" fillId="27" borderId="59" xfId="50" applyNumberFormat="1" applyFont="1" applyFill="1" applyBorder="1" applyAlignment="1" applyProtection="1">
      <alignment vertical="center" shrinkToFit="1"/>
      <protection hidden="1"/>
    </xf>
    <xf numFmtId="177" fontId="159" fillId="0" borderId="56" xfId="50" applyNumberFormat="1" applyFont="1" applyBorder="1" applyAlignment="1" applyProtection="1">
      <alignment vertical="center" shrinkToFit="1"/>
      <protection hidden="1"/>
    </xf>
    <xf numFmtId="177" fontId="159" fillId="0" borderId="59" xfId="50" applyNumberFormat="1" applyFont="1" applyBorder="1" applyAlignment="1" applyProtection="1">
      <alignment vertical="center" shrinkToFit="1"/>
      <protection hidden="1"/>
    </xf>
    <xf numFmtId="177" fontId="156" fillId="27" borderId="56" xfId="50" applyNumberFormat="1" applyFont="1" applyFill="1" applyBorder="1" applyAlignment="1" applyProtection="1">
      <alignment vertical="center" shrinkToFit="1"/>
      <protection hidden="1"/>
    </xf>
    <xf numFmtId="177" fontId="156" fillId="27" borderId="59" xfId="50" applyNumberFormat="1" applyFont="1" applyFill="1" applyBorder="1" applyAlignment="1" applyProtection="1">
      <alignment vertical="center" shrinkToFit="1"/>
      <protection hidden="1"/>
    </xf>
    <xf numFmtId="177" fontId="160" fillId="0" borderId="56" xfId="50" applyNumberFormat="1" applyFont="1" applyBorder="1" applyAlignment="1" applyProtection="1">
      <alignment vertical="center" shrinkToFit="1"/>
      <protection hidden="1"/>
    </xf>
    <xf numFmtId="177" fontId="160" fillId="0" borderId="59" xfId="50" applyNumberFormat="1" applyFont="1" applyBorder="1" applyAlignment="1" applyProtection="1">
      <alignment vertical="center" shrinkToFit="1"/>
      <protection hidden="1"/>
    </xf>
    <xf numFmtId="177" fontId="156" fillId="27" borderId="70" xfId="50" applyNumberFormat="1" applyFont="1" applyFill="1" applyBorder="1" applyAlignment="1" applyProtection="1">
      <alignment vertical="center" shrinkToFit="1"/>
      <protection hidden="1"/>
    </xf>
    <xf numFmtId="177" fontId="156" fillId="27" borderId="73" xfId="50" applyNumberFormat="1" applyFont="1" applyFill="1" applyBorder="1" applyAlignment="1" applyProtection="1">
      <alignment vertical="center" shrinkToFit="1"/>
      <protection hidden="1"/>
    </xf>
    <xf numFmtId="0" fontId="152" fillId="0" borderId="48" xfId="0" applyFont="1" applyBorder="1" applyAlignment="1" applyProtection="1">
      <alignment horizontal="center" vertical="center" shrinkToFit="1"/>
      <protection hidden="1"/>
    </xf>
    <xf numFmtId="0" fontId="152" fillId="0" borderId="49" xfId="0" applyFont="1" applyBorder="1" applyAlignment="1" applyProtection="1">
      <alignment horizontal="center" vertical="center" shrinkToFit="1"/>
      <protection hidden="1"/>
    </xf>
    <xf numFmtId="0" fontId="152" fillId="0" borderId="50" xfId="0" applyFont="1" applyBorder="1" applyAlignment="1" applyProtection="1">
      <alignment horizontal="center" vertical="center" shrinkToFit="1"/>
      <protection hidden="1"/>
    </xf>
    <xf numFmtId="0" fontId="152" fillId="0" borderId="74" xfId="0" applyFont="1" applyFill="1" applyBorder="1" applyAlignment="1" applyProtection="1">
      <alignment horizontal="center" vertical="center" shrinkToFit="1"/>
      <protection hidden="1"/>
    </xf>
    <xf numFmtId="0" fontId="152" fillId="0" borderId="48" xfId="0" applyFont="1" applyFill="1" applyBorder="1" applyAlignment="1" applyProtection="1">
      <alignment horizontal="center" vertical="center" shrinkToFit="1"/>
      <protection hidden="1"/>
    </xf>
    <xf numFmtId="0" fontId="152" fillId="0" borderId="0" xfId="0" applyFont="1" applyFill="1" applyBorder="1" applyAlignment="1" applyProtection="1">
      <alignment horizontal="center" vertical="center" shrinkToFit="1"/>
      <protection hidden="1"/>
    </xf>
    <xf numFmtId="0" fontId="153" fillId="0" borderId="56" xfId="0" applyFont="1" applyBorder="1" applyAlignment="1" applyProtection="1">
      <alignment horizontal="center" vertical="center" shrinkToFit="1"/>
      <protection hidden="1"/>
    </xf>
    <xf numFmtId="216" fontId="153" fillId="0" borderId="76" xfId="0" applyNumberFormat="1" applyFont="1" applyBorder="1" applyAlignment="1" applyProtection="1">
      <alignment vertical="center" shrinkToFit="1"/>
      <protection hidden="1"/>
    </xf>
    <xf numFmtId="0" fontId="153" fillId="27" borderId="56" xfId="0" applyFont="1" applyFill="1" applyBorder="1" applyAlignment="1" applyProtection="1">
      <alignment horizontal="center" vertical="center" shrinkToFit="1"/>
      <protection hidden="1"/>
    </xf>
    <xf numFmtId="216" fontId="153" fillId="27" borderId="76" xfId="0" applyNumberFormat="1" applyFont="1" applyFill="1" applyBorder="1" applyAlignment="1" applyProtection="1">
      <alignment vertical="center" shrinkToFit="1"/>
      <protection hidden="1"/>
    </xf>
    <xf numFmtId="177" fontId="155" fillId="0" borderId="56" xfId="0" applyNumberFormat="1" applyFont="1" applyBorder="1" applyAlignment="1" applyProtection="1">
      <alignment vertical="center" shrinkToFit="1"/>
      <protection hidden="1"/>
    </xf>
    <xf numFmtId="0" fontId="156" fillId="27" borderId="56" xfId="0" applyFont="1" applyFill="1" applyBorder="1" applyAlignment="1" applyProtection="1">
      <alignment horizontal="center" vertical="center" shrinkToFit="1"/>
      <protection hidden="1"/>
    </xf>
    <xf numFmtId="177" fontId="156" fillId="27" borderId="56" xfId="0" applyNumberFormat="1" applyFont="1" applyFill="1" applyBorder="1" applyAlignment="1" applyProtection="1">
      <alignment vertical="center" shrinkToFit="1"/>
      <protection hidden="1"/>
    </xf>
    <xf numFmtId="216" fontId="156" fillId="27" borderId="76" xfId="0" applyNumberFormat="1" applyFont="1" applyFill="1" applyBorder="1" applyAlignment="1" applyProtection="1">
      <alignment vertical="center" shrinkToFit="1"/>
      <protection hidden="1"/>
    </xf>
    <xf numFmtId="0" fontId="153" fillId="0" borderId="77" xfId="0" applyFont="1" applyBorder="1" applyAlignment="1" applyProtection="1">
      <alignment horizontal="center" vertical="center" shrinkToFit="1"/>
      <protection hidden="1"/>
    </xf>
    <xf numFmtId="216" fontId="153" fillId="0" borderId="80" xfId="0" applyNumberFormat="1" applyFont="1" applyBorder="1" applyAlignment="1" applyProtection="1">
      <alignment vertical="center" shrinkToFit="1"/>
      <protection hidden="1"/>
    </xf>
    <xf numFmtId="177" fontId="164" fillId="0" borderId="56" xfId="0" applyNumberFormat="1" applyFont="1" applyBorder="1" applyAlignment="1" applyProtection="1">
      <alignment vertical="center" shrinkToFit="1"/>
      <protection hidden="1"/>
    </xf>
    <xf numFmtId="0" fontId="152" fillId="0" borderId="66" xfId="0" applyFont="1" applyBorder="1" applyAlignment="1" applyProtection="1">
      <alignment horizontal="center" vertical="center" shrinkToFit="1"/>
      <protection hidden="1"/>
    </xf>
    <xf numFmtId="0" fontId="152" fillId="0" borderId="50" xfId="0" applyFont="1" applyFill="1" applyBorder="1" applyAlignment="1" applyProtection="1">
      <alignment horizontal="center" vertical="center" shrinkToFit="1"/>
      <protection hidden="1"/>
    </xf>
    <xf numFmtId="0" fontId="153" fillId="0" borderId="67" xfId="0" applyFont="1" applyBorder="1" applyAlignment="1" applyProtection="1">
      <alignment horizontal="center" vertical="center" shrinkToFit="1"/>
      <protection hidden="1"/>
    </xf>
    <xf numFmtId="0" fontId="153" fillId="0" borderId="68" xfId="0" applyFont="1" applyBorder="1" applyAlignment="1" applyProtection="1">
      <alignment horizontal="center" vertical="center" shrinkToFit="1"/>
      <protection hidden="1"/>
    </xf>
    <xf numFmtId="0" fontId="153" fillId="27" borderId="68" xfId="0" applyFont="1" applyFill="1" applyBorder="1" applyAlignment="1" applyProtection="1">
      <alignment horizontal="center" vertical="center" shrinkToFit="1"/>
      <protection hidden="1"/>
    </xf>
    <xf numFmtId="0" fontId="156" fillId="27" borderId="68" xfId="0" applyFont="1" applyFill="1" applyBorder="1" applyAlignment="1" applyProtection="1">
      <alignment horizontal="center" vertical="center" shrinkToFit="1"/>
      <protection hidden="1"/>
    </xf>
    <xf numFmtId="0" fontId="153" fillId="0" borderId="82" xfId="0" applyFont="1" applyBorder="1" applyAlignment="1" applyProtection="1">
      <alignment horizontal="center" vertical="center" shrinkToFit="1"/>
      <protection hidden="1"/>
    </xf>
    <xf numFmtId="0" fontId="156" fillId="27" borderId="69" xfId="0" applyFont="1" applyFill="1" applyBorder="1" applyAlignment="1" applyProtection="1">
      <alignment horizontal="center" vertical="center" shrinkToFit="1"/>
      <protection hidden="1"/>
    </xf>
    <xf numFmtId="0" fontId="156" fillId="27" borderId="70" xfId="0" applyFont="1" applyFill="1" applyBorder="1" applyAlignment="1" applyProtection="1">
      <alignment horizontal="center" vertical="center" shrinkToFit="1"/>
      <protection hidden="1"/>
    </xf>
    <xf numFmtId="10" fontId="163" fillId="27" borderId="70" xfId="0" applyNumberFormat="1" applyFont="1" applyFill="1" applyBorder="1" applyAlignment="1" applyProtection="1">
      <alignment vertical="center" shrinkToFit="1"/>
      <protection hidden="1"/>
    </xf>
    <xf numFmtId="216" fontId="156" fillId="27" borderId="83" xfId="0" applyNumberFormat="1" applyFont="1" applyFill="1" applyBorder="1" applyAlignment="1" applyProtection="1">
      <alignment vertical="center" shrinkToFit="1"/>
      <protection hidden="1"/>
    </xf>
    <xf numFmtId="0" fontId="160" fillId="0" borderId="68" xfId="0" applyFont="1" applyBorder="1" applyAlignment="1" applyProtection="1">
      <alignment horizontal="center" vertical="center" shrinkToFit="1"/>
      <protection hidden="1"/>
    </xf>
    <xf numFmtId="0" fontId="160" fillId="0" borderId="56" xfId="0" applyFont="1" applyBorder="1" applyAlignment="1" applyProtection="1">
      <alignment horizontal="center" vertical="center" shrinkToFit="1"/>
      <protection hidden="1"/>
    </xf>
    <xf numFmtId="216" fontId="160" fillId="0" borderId="76" xfId="0" applyNumberFormat="1" applyFont="1" applyBorder="1" applyAlignment="1" applyProtection="1">
      <alignment vertical="center" shrinkToFit="1"/>
      <protection hidden="1"/>
    </xf>
    <xf numFmtId="0" fontId="156" fillId="27" borderId="84" xfId="0" applyFont="1" applyFill="1" applyBorder="1" applyAlignment="1" applyProtection="1">
      <alignment horizontal="center" vertical="center" shrinkToFit="1"/>
      <protection hidden="1"/>
    </xf>
    <xf numFmtId="0" fontId="156" fillId="27" borderId="85" xfId="0" applyFont="1" applyFill="1" applyBorder="1" applyAlignment="1" applyProtection="1">
      <alignment horizontal="center" vertical="center" shrinkToFit="1"/>
      <protection hidden="1"/>
    </xf>
    <xf numFmtId="177" fontId="156" fillId="27" borderId="85" xfId="0" applyNumberFormat="1" applyFont="1" applyFill="1" applyBorder="1" applyAlignment="1" applyProtection="1">
      <alignment vertical="center" shrinkToFit="1"/>
      <protection hidden="1"/>
    </xf>
    <xf numFmtId="10" fontId="156" fillId="27" borderId="86" xfId="50" applyNumberFormat="1" applyFont="1" applyFill="1" applyBorder="1" applyAlignment="1" applyProtection="1">
      <alignment vertical="center" shrinkToFit="1"/>
      <protection hidden="1"/>
    </xf>
    <xf numFmtId="216" fontId="156" fillId="27" borderId="87" xfId="50" applyNumberFormat="1" applyFont="1" applyFill="1" applyBorder="1" applyAlignment="1" applyProtection="1">
      <alignment vertical="center" shrinkToFit="1"/>
      <protection hidden="1"/>
    </xf>
    <xf numFmtId="216" fontId="156" fillId="27" borderId="88" xfId="0" applyNumberFormat="1" applyFont="1" applyFill="1" applyBorder="1" applyAlignment="1" applyProtection="1">
      <alignment vertical="center" shrinkToFit="1"/>
      <protection hidden="1"/>
    </xf>
    <xf numFmtId="0" fontId="0" fillId="0" borderId="0" xfId="0" applyAlignment="1" applyProtection="1">
      <alignment vertical="center" shrinkToFit="1"/>
      <protection hidden="1"/>
    </xf>
    <xf numFmtId="0" fontId="0" fillId="0" borderId="0" xfId="0" applyAlignment="1" applyProtection="1">
      <alignment shrinkToFit="1"/>
      <protection hidden="1"/>
    </xf>
    <xf numFmtId="0" fontId="153" fillId="0" borderId="52" xfId="0" applyFont="1" applyBorder="1" applyAlignment="1" applyProtection="1">
      <alignment horizontal="center" vertical="center" shrinkToFit="1"/>
      <protection hidden="1"/>
    </xf>
    <xf numFmtId="210" fontId="153" fillId="0" borderId="52" xfId="0" applyNumberFormat="1" applyFont="1" applyBorder="1" applyAlignment="1" applyProtection="1">
      <alignment vertical="center" shrinkToFit="1"/>
      <protection hidden="1"/>
    </xf>
    <xf numFmtId="177" fontId="153" fillId="0" borderId="52" xfId="0" applyNumberFormat="1" applyFont="1" applyBorder="1" applyAlignment="1" applyProtection="1">
      <alignment vertical="center" shrinkToFit="1"/>
      <protection hidden="1"/>
    </xf>
    <xf numFmtId="177" fontId="165" fillId="56" borderId="55" xfId="0" applyNumberFormat="1" applyFont="1" applyFill="1" applyBorder="1" applyAlignment="1" applyProtection="1">
      <alignment vertical="center" shrinkToFit="1"/>
      <protection hidden="1"/>
    </xf>
    <xf numFmtId="177" fontId="153" fillId="0" borderId="54" xfId="0" applyNumberFormat="1" applyFont="1" applyBorder="1" applyAlignment="1" applyProtection="1">
      <alignment vertical="center" shrinkToFit="1"/>
      <protection hidden="1"/>
    </xf>
    <xf numFmtId="218" fontId="0" fillId="0" borderId="0" xfId="0" applyNumberFormat="1" applyAlignment="1" applyProtection="1">
      <alignment vertical="center" shrinkToFit="1"/>
      <protection hidden="1"/>
    </xf>
    <xf numFmtId="177" fontId="153" fillId="0" borderId="56" xfId="0" applyNumberFormat="1" applyFont="1" applyBorder="1" applyAlignment="1" applyProtection="1">
      <alignment vertical="center" shrinkToFit="1"/>
      <protection hidden="1"/>
    </xf>
    <xf numFmtId="210" fontId="153" fillId="0" borderId="56" xfId="0" applyNumberFormat="1" applyFont="1" applyBorder="1" applyAlignment="1" applyProtection="1">
      <alignment vertical="center" shrinkToFit="1"/>
      <protection hidden="1"/>
    </xf>
    <xf numFmtId="177" fontId="153" fillId="0" borderId="59" xfId="0" applyNumberFormat="1" applyFont="1" applyBorder="1" applyAlignment="1" applyProtection="1">
      <alignment vertical="center" shrinkToFit="1"/>
      <protection hidden="1"/>
    </xf>
    <xf numFmtId="177" fontId="153" fillId="0" borderId="58" xfId="0" applyNumberFormat="1" applyFont="1" applyBorder="1" applyAlignment="1" applyProtection="1">
      <alignment vertical="center" shrinkToFit="1"/>
      <protection hidden="1"/>
    </xf>
    <xf numFmtId="177" fontId="153" fillId="27" borderId="56" xfId="0" applyNumberFormat="1" applyFont="1" applyFill="1" applyBorder="1" applyAlignment="1" applyProtection="1">
      <alignment vertical="center" shrinkToFit="1"/>
      <protection hidden="1"/>
    </xf>
    <xf numFmtId="210" fontId="153" fillId="27" borderId="56" xfId="0" applyNumberFormat="1" applyFont="1" applyFill="1" applyBorder="1" applyAlignment="1" applyProtection="1">
      <alignment vertical="center" shrinkToFit="1"/>
      <protection hidden="1"/>
    </xf>
    <xf numFmtId="177" fontId="153" fillId="27" borderId="59" xfId="0" applyNumberFormat="1" applyFont="1" applyFill="1" applyBorder="1" applyAlignment="1" applyProtection="1">
      <alignment vertical="center" shrinkToFit="1"/>
      <protection hidden="1"/>
    </xf>
    <xf numFmtId="177" fontId="153" fillId="27" borderId="58" xfId="0" applyNumberFormat="1" applyFont="1" applyFill="1" applyBorder="1" applyAlignment="1" applyProtection="1">
      <alignment vertical="center" shrinkToFit="1"/>
      <protection hidden="1"/>
    </xf>
    <xf numFmtId="177" fontId="162" fillId="0" borderId="0" xfId="0" applyNumberFormat="1" applyFont="1" applyAlignment="1" applyProtection="1">
      <alignment vertical="center" shrinkToFit="1"/>
      <protection hidden="1"/>
    </xf>
    <xf numFmtId="177" fontId="155" fillId="0" borderId="59" xfId="0" applyNumberFormat="1" applyFont="1" applyBorder="1" applyAlignment="1" applyProtection="1">
      <alignment vertical="center" shrinkToFit="1"/>
      <protection hidden="1"/>
    </xf>
    <xf numFmtId="0" fontId="0" fillId="0" borderId="0" xfId="0" quotePrefix="1" applyAlignment="1" applyProtection="1">
      <alignment vertical="center" shrinkToFit="1"/>
      <protection hidden="1"/>
    </xf>
    <xf numFmtId="210" fontId="156" fillId="27" borderId="56" xfId="0" applyNumberFormat="1" applyFont="1" applyFill="1" applyBorder="1" applyAlignment="1" applyProtection="1">
      <alignment vertical="center" shrinkToFit="1"/>
      <protection hidden="1"/>
    </xf>
    <xf numFmtId="177" fontId="156" fillId="27" borderId="59" xfId="0" applyNumberFormat="1" applyFont="1" applyFill="1" applyBorder="1" applyAlignment="1" applyProtection="1">
      <alignment vertical="center" shrinkToFit="1"/>
      <protection hidden="1"/>
    </xf>
    <xf numFmtId="177" fontId="156" fillId="27" borderId="58" xfId="0" applyNumberFormat="1" applyFont="1" applyFill="1" applyBorder="1" applyAlignment="1" applyProtection="1">
      <alignment vertical="center" shrinkToFit="1"/>
      <protection hidden="1"/>
    </xf>
    <xf numFmtId="210" fontId="153" fillId="0" borderId="77" xfId="0" applyNumberFormat="1" applyFont="1" applyBorder="1" applyAlignment="1" applyProtection="1">
      <alignment vertical="center" shrinkToFit="1"/>
      <protection hidden="1"/>
    </xf>
    <xf numFmtId="177" fontId="153" fillId="0" borderId="77" xfId="0" applyNumberFormat="1" applyFont="1" applyBorder="1" applyAlignment="1" applyProtection="1">
      <alignment vertical="center" shrinkToFit="1"/>
      <protection hidden="1"/>
    </xf>
    <xf numFmtId="177" fontId="153" fillId="0" borderId="81" xfId="0" applyNumberFormat="1" applyFont="1" applyBorder="1" applyAlignment="1" applyProtection="1">
      <alignment vertical="center" shrinkToFit="1"/>
      <protection hidden="1"/>
    </xf>
    <xf numFmtId="177" fontId="153" fillId="0" borderId="79" xfId="0" applyNumberFormat="1" applyFont="1" applyBorder="1" applyAlignment="1" applyProtection="1">
      <alignment vertical="center" shrinkToFit="1"/>
      <protection hidden="1"/>
    </xf>
    <xf numFmtId="210" fontId="160" fillId="0" borderId="56" xfId="0" applyNumberFormat="1" applyFont="1" applyBorder="1" applyAlignment="1" applyProtection="1">
      <alignment vertical="center" shrinkToFit="1"/>
      <protection hidden="1"/>
    </xf>
    <xf numFmtId="177" fontId="160" fillId="0" borderId="56" xfId="0" applyNumberFormat="1" applyFont="1" applyBorder="1" applyAlignment="1" applyProtection="1">
      <alignment vertical="center" shrinkToFit="1"/>
      <protection hidden="1"/>
    </xf>
    <xf numFmtId="177" fontId="160" fillId="0" borderId="59" xfId="0" applyNumberFormat="1" applyFont="1" applyBorder="1" applyAlignment="1" applyProtection="1">
      <alignment vertical="center" shrinkToFit="1"/>
      <protection hidden="1"/>
    </xf>
    <xf numFmtId="177" fontId="160" fillId="0" borderId="58" xfId="0" applyNumberFormat="1" applyFont="1" applyBorder="1" applyAlignment="1" applyProtection="1">
      <alignment vertical="center" shrinkToFit="1"/>
      <protection hidden="1"/>
    </xf>
    <xf numFmtId="210" fontId="156" fillId="27" borderId="85" xfId="0" applyNumberFormat="1" applyFont="1" applyFill="1" applyBorder="1" applyAlignment="1" applyProtection="1">
      <alignment vertical="center" shrinkToFit="1"/>
      <protection hidden="1"/>
    </xf>
    <xf numFmtId="177" fontId="156" fillId="27" borderId="89" xfId="0" applyNumberFormat="1" applyFont="1" applyFill="1" applyBorder="1" applyAlignment="1" applyProtection="1">
      <alignment vertical="center" shrinkToFit="1"/>
      <protection hidden="1"/>
    </xf>
    <xf numFmtId="177" fontId="156" fillId="27" borderId="87" xfId="0" applyNumberFormat="1" applyFont="1" applyFill="1" applyBorder="1" applyAlignment="1" applyProtection="1">
      <alignment vertical="center" shrinkToFit="1"/>
      <protection hidden="1"/>
    </xf>
    <xf numFmtId="210" fontId="156" fillId="27" borderId="70" xfId="0" applyNumberFormat="1" applyFont="1" applyFill="1" applyBorder="1" applyAlignment="1" applyProtection="1">
      <alignment vertical="center" shrinkToFit="1"/>
      <protection hidden="1"/>
    </xf>
    <xf numFmtId="177" fontId="156" fillId="27" borderId="70" xfId="0" applyNumberFormat="1" applyFont="1" applyFill="1" applyBorder="1" applyAlignment="1" applyProtection="1">
      <alignment vertical="center" shrinkToFit="1"/>
      <protection hidden="1"/>
    </xf>
    <xf numFmtId="177" fontId="156" fillId="27" borderId="73" xfId="0" applyNumberFormat="1" applyFont="1" applyFill="1" applyBorder="1" applyAlignment="1" applyProtection="1">
      <alignment vertical="center" shrinkToFit="1"/>
      <protection hidden="1"/>
    </xf>
    <xf numFmtId="177" fontId="156" fillId="27" borderId="72" xfId="0" applyNumberFormat="1" applyFont="1" applyFill="1" applyBorder="1" applyAlignment="1" applyProtection="1">
      <alignment vertical="center" shrinkToFit="1"/>
      <protection hidden="1"/>
    </xf>
    <xf numFmtId="177" fontId="165" fillId="56" borderId="52" xfId="0" applyNumberFormat="1" applyFont="1" applyFill="1" applyBorder="1" applyAlignment="1" applyProtection="1">
      <alignment vertical="center" shrinkToFit="1"/>
      <protection hidden="1"/>
    </xf>
    <xf numFmtId="0" fontId="160" fillId="0" borderId="77" xfId="0" applyFont="1" applyBorder="1" applyAlignment="1" applyProtection="1">
      <alignment vertical="center" shrinkToFit="1"/>
      <protection hidden="1"/>
    </xf>
    <xf numFmtId="0" fontId="160" fillId="0" borderId="56" xfId="0" applyFont="1" applyBorder="1" applyAlignment="1" applyProtection="1">
      <alignment vertical="center" shrinkToFit="1"/>
      <protection hidden="1"/>
    </xf>
    <xf numFmtId="10" fontId="153" fillId="0" borderId="78" xfId="50" applyNumberFormat="1" applyFont="1" applyBorder="1" applyAlignment="1" applyProtection="1">
      <alignment vertical="center" shrinkToFit="1"/>
      <protection hidden="1"/>
    </xf>
    <xf numFmtId="216" fontId="153" fillId="0" borderId="79" xfId="50" applyNumberFormat="1" applyFont="1" applyBorder="1" applyAlignment="1" applyProtection="1">
      <alignment vertical="center" shrinkToFit="1"/>
      <protection hidden="1"/>
    </xf>
    <xf numFmtId="0" fontId="156" fillId="27" borderId="56" xfId="0" applyFont="1" applyFill="1" applyBorder="1" applyAlignment="1" applyProtection="1">
      <alignment vertical="center" shrinkToFit="1"/>
      <protection hidden="1"/>
    </xf>
    <xf numFmtId="177" fontId="166" fillId="35" borderId="56" xfId="0" applyNumberFormat="1" applyFont="1" applyFill="1" applyBorder="1" applyAlignment="1" applyProtection="1">
      <alignment vertical="center" shrinkToFit="1"/>
      <protection hidden="1"/>
    </xf>
    <xf numFmtId="177" fontId="166" fillId="35" borderId="58" xfId="0" applyNumberFormat="1" applyFont="1" applyFill="1" applyBorder="1" applyAlignment="1" applyProtection="1">
      <alignment vertical="center" shrinkToFit="1"/>
      <protection hidden="1"/>
    </xf>
    <xf numFmtId="216" fontId="168" fillId="56" borderId="75" xfId="0" applyNumberFormat="1" applyFont="1" applyFill="1" applyBorder="1" applyAlignment="1" applyProtection="1">
      <alignment vertical="center" shrinkToFit="1"/>
      <protection locked="0"/>
    </xf>
    <xf numFmtId="0" fontId="8" fillId="36" borderId="12" xfId="0" applyFont="1" applyFill="1" applyBorder="1" applyAlignment="1">
      <alignment horizontal="left" wrapText="1"/>
    </xf>
    <xf numFmtId="0" fontId="39" fillId="48" borderId="12" xfId="0" applyFont="1" applyFill="1" applyBorder="1" applyAlignment="1">
      <alignment horizontal="center" vertical="center" wrapText="1"/>
    </xf>
    <xf numFmtId="0" fontId="0" fillId="0" borderId="12" xfId="0" applyBorder="1" applyAlignment="1">
      <alignment horizontal="center"/>
    </xf>
    <xf numFmtId="0" fontId="4" fillId="53" borderId="12" xfId="1" applyFont="1" applyFill="1" applyBorder="1" applyAlignment="1" applyProtection="1">
      <alignment horizontal="center" vertical="center" wrapText="1"/>
      <protection hidden="1"/>
    </xf>
    <xf numFmtId="0" fontId="4" fillId="48" borderId="12" xfId="1" applyFont="1" applyFill="1" applyBorder="1" applyAlignment="1" applyProtection="1">
      <alignment horizontal="center" vertical="center" wrapText="1"/>
      <protection hidden="1"/>
    </xf>
    <xf numFmtId="0" fontId="4" fillId="0" borderId="12" xfId="1" applyFont="1" applyBorder="1" applyAlignment="1" applyProtection="1">
      <alignment horizontal="center" vertical="center" shrinkToFit="1"/>
      <protection hidden="1"/>
    </xf>
    <xf numFmtId="0" fontId="96" fillId="36" borderId="20" xfId="54" applyFill="1" applyBorder="1" applyAlignment="1">
      <alignment horizontal="center" vertical="center"/>
    </xf>
    <xf numFmtId="0" fontId="7" fillId="0" borderId="28" xfId="55" applyFont="1" applyFill="1" applyBorder="1" applyAlignment="1">
      <alignment horizontal="left" vertical="center"/>
    </xf>
    <xf numFmtId="0" fontId="7" fillId="0" borderId="17" xfId="55" applyFont="1" applyFill="1" applyBorder="1" applyAlignment="1">
      <alignment horizontal="left" vertical="center"/>
    </xf>
    <xf numFmtId="0" fontId="7" fillId="0" borderId="22" xfId="55" applyFont="1" applyFill="1" applyBorder="1" applyAlignment="1">
      <alignment horizontal="left" vertical="center"/>
    </xf>
    <xf numFmtId="0" fontId="7" fillId="0" borderId="28" xfId="55" applyFont="1" applyFill="1" applyBorder="1" applyAlignment="1">
      <alignment horizontal="center" vertical="center"/>
    </xf>
    <xf numFmtId="0" fontId="7" fillId="0" borderId="17" xfId="55" applyFont="1" applyFill="1" applyBorder="1" applyAlignment="1">
      <alignment horizontal="center" vertical="center"/>
    </xf>
    <xf numFmtId="0" fontId="7" fillId="0" borderId="22" xfId="55" applyFont="1" applyFill="1" applyBorder="1" applyAlignment="1">
      <alignment horizontal="center" vertical="center"/>
    </xf>
    <xf numFmtId="0" fontId="88" fillId="0" borderId="0" xfId="55" applyFont="1" applyFill="1" applyBorder="1" applyAlignment="1">
      <alignment horizontal="center" vertical="center"/>
    </xf>
    <xf numFmtId="0" fontId="28" fillId="49" borderId="28" xfId="53" applyFont="1" applyFill="1" applyBorder="1" applyAlignment="1" applyProtection="1">
      <alignment horizontal="left" vertical="center"/>
      <protection locked="0" hidden="1"/>
    </xf>
    <xf numFmtId="0" fontId="28" fillId="49" borderId="17" xfId="53" applyFont="1" applyFill="1" applyBorder="1" applyAlignment="1" applyProtection="1">
      <alignment horizontal="left" vertical="center"/>
      <protection locked="0" hidden="1"/>
    </xf>
    <xf numFmtId="0" fontId="28" fillId="49" borderId="22" xfId="53" applyFont="1" applyFill="1" applyBorder="1" applyAlignment="1" applyProtection="1">
      <alignment horizontal="left" vertical="center"/>
      <protection locked="0" hidden="1"/>
    </xf>
    <xf numFmtId="0" fontId="28" fillId="49" borderId="18" xfId="53" applyFont="1" applyFill="1" applyBorder="1" applyAlignment="1" applyProtection="1">
      <alignment horizontal="left" vertical="center"/>
      <protection locked="0" hidden="1"/>
    </xf>
    <xf numFmtId="0" fontId="28" fillId="49" borderId="25" xfId="53" applyFont="1" applyFill="1" applyBorder="1" applyAlignment="1" applyProtection="1">
      <alignment horizontal="left" vertical="center"/>
      <protection locked="0" hidden="1"/>
    </xf>
    <xf numFmtId="0" fontId="28" fillId="49" borderId="14" xfId="53" applyFont="1" applyFill="1" applyBorder="1" applyAlignment="1" applyProtection="1">
      <alignment horizontal="left" vertical="center"/>
      <protection locked="0" hidden="1"/>
    </xf>
    <xf numFmtId="49" fontId="28" fillId="49" borderId="28" xfId="53" applyNumberFormat="1" applyFont="1" applyFill="1" applyBorder="1" applyAlignment="1" applyProtection="1">
      <alignment horizontal="left" vertical="center"/>
      <protection locked="0" hidden="1"/>
    </xf>
    <xf numFmtId="49" fontId="28" fillId="49" borderId="17" xfId="53" applyNumberFormat="1" applyFont="1" applyFill="1" applyBorder="1" applyAlignment="1" applyProtection="1">
      <alignment horizontal="left" vertical="center"/>
      <protection locked="0" hidden="1"/>
    </xf>
    <xf numFmtId="49" fontId="28" fillId="49" borderId="22" xfId="53" applyNumberFormat="1" applyFont="1" applyFill="1" applyBorder="1" applyAlignment="1" applyProtection="1">
      <alignment horizontal="left" vertical="center"/>
      <protection locked="0" hidden="1"/>
    </xf>
    <xf numFmtId="0" fontId="90" fillId="49" borderId="28" xfId="53" applyFont="1" applyFill="1" applyBorder="1" applyAlignment="1" applyProtection="1">
      <alignment horizontal="center" vertical="center"/>
      <protection locked="0" hidden="1"/>
    </xf>
    <xf numFmtId="0" fontId="90" fillId="49" borderId="17" xfId="53" applyFont="1" applyFill="1" applyBorder="1" applyAlignment="1" applyProtection="1">
      <alignment horizontal="center" vertical="center"/>
      <protection locked="0" hidden="1"/>
    </xf>
    <xf numFmtId="0" fontId="90" fillId="49" borderId="22" xfId="53" applyFont="1" applyFill="1" applyBorder="1" applyAlignment="1" applyProtection="1">
      <alignment horizontal="center" vertical="center"/>
      <protection locked="0" hidden="1"/>
    </xf>
    <xf numFmtId="0" fontId="28" fillId="49" borderId="18" xfId="53" applyFont="1" applyFill="1" applyBorder="1" applyAlignment="1" applyProtection="1">
      <alignment horizontal="center" vertical="center"/>
      <protection locked="0" hidden="1"/>
    </xf>
    <xf numFmtId="0" fontId="28" fillId="49" borderId="25" xfId="53" applyFont="1" applyFill="1" applyBorder="1" applyAlignment="1" applyProtection="1">
      <alignment horizontal="center" vertical="center"/>
      <protection locked="0" hidden="1"/>
    </xf>
    <xf numFmtId="0" fontId="28" fillId="49" borderId="14" xfId="53" applyFont="1" applyFill="1" applyBorder="1" applyAlignment="1" applyProtection="1">
      <alignment horizontal="center" vertical="center"/>
      <protection locked="0" hidden="1"/>
    </xf>
    <xf numFmtId="177" fontId="16" fillId="35" borderId="0" xfId="74" applyNumberFormat="1" applyFont="1" applyFill="1" applyBorder="1" applyAlignment="1" applyProtection="1">
      <alignment horizontal="right" vertical="center" shrinkToFit="1"/>
      <protection hidden="1"/>
    </xf>
    <xf numFmtId="0" fontId="52" fillId="25" borderId="0" xfId="74" applyFont="1" applyFill="1" applyBorder="1" applyAlignment="1" applyProtection="1">
      <alignment vertical="center" wrapText="1"/>
      <protection hidden="1"/>
    </xf>
    <xf numFmtId="0" fontId="12" fillId="0" borderId="0" xfId="1" applyFont="1" applyBorder="1" applyAlignment="1" applyProtection="1">
      <alignment vertical="center" wrapText="1"/>
      <protection hidden="1"/>
    </xf>
    <xf numFmtId="188" fontId="16" fillId="0" borderId="0" xfId="74" applyNumberFormat="1" applyFont="1" applyFill="1" applyBorder="1" applyAlignment="1" applyProtection="1">
      <alignment horizontal="center" vertical="center"/>
      <protection hidden="1"/>
    </xf>
    <xf numFmtId="177" fontId="141" fillId="48" borderId="28" xfId="74" applyNumberFormat="1" applyFont="1" applyFill="1" applyBorder="1" applyAlignment="1" applyProtection="1">
      <alignment horizontal="right" vertical="center"/>
      <protection locked="0" hidden="1"/>
    </xf>
    <xf numFmtId="177" fontId="141" fillId="48" borderId="17" xfId="74" applyNumberFormat="1" applyFont="1" applyFill="1" applyBorder="1" applyAlignment="1" applyProtection="1">
      <alignment horizontal="right" vertical="center"/>
      <protection locked="0" hidden="1"/>
    </xf>
    <xf numFmtId="177" fontId="141" fillId="48" borderId="22" xfId="74" applyNumberFormat="1" applyFont="1" applyFill="1" applyBorder="1" applyAlignment="1" applyProtection="1">
      <alignment horizontal="right" vertical="center"/>
      <protection locked="0" hidden="1"/>
    </xf>
    <xf numFmtId="188" fontId="3" fillId="48" borderId="28" xfId="85" applyNumberFormat="1" applyFill="1" applyBorder="1" applyAlignment="1" applyProtection="1">
      <alignment horizontal="center" vertical="center"/>
      <protection locked="0" hidden="1"/>
    </xf>
    <xf numFmtId="188" fontId="3" fillId="48" borderId="17" xfId="85" applyNumberFormat="1" applyFill="1" applyBorder="1" applyAlignment="1" applyProtection="1">
      <alignment horizontal="center" vertical="center"/>
      <protection locked="0" hidden="1"/>
    </xf>
    <xf numFmtId="188" fontId="3" fillId="48" borderId="22" xfId="85" applyNumberFormat="1" applyFill="1" applyBorder="1" applyAlignment="1" applyProtection="1">
      <alignment horizontal="center" vertical="center"/>
      <protection locked="0" hidden="1"/>
    </xf>
    <xf numFmtId="57" fontId="19" fillId="0" borderId="17" xfId="74" applyNumberFormat="1" applyFont="1" applyFill="1" applyBorder="1" applyAlignment="1" applyProtection="1">
      <alignment horizontal="center" vertical="center"/>
      <protection hidden="1"/>
    </xf>
    <xf numFmtId="0" fontId="16" fillId="0" borderId="0" xfId="74" applyNumberFormat="1" applyFont="1" applyFill="1" applyBorder="1" applyAlignment="1" applyProtection="1">
      <alignment horizontal="center" vertical="center" shrinkToFit="1"/>
      <protection hidden="1"/>
    </xf>
    <xf numFmtId="188" fontId="18" fillId="0" borderId="37" xfId="74" applyNumberFormat="1" applyFont="1" applyFill="1" applyBorder="1" applyAlignment="1" applyProtection="1">
      <alignment horizontal="center" vertical="center" shrinkToFit="1"/>
      <protection hidden="1"/>
    </xf>
    <xf numFmtId="188" fontId="18" fillId="0" borderId="38" xfId="74" applyNumberFormat="1" applyFont="1" applyFill="1" applyBorder="1" applyAlignment="1" applyProtection="1">
      <alignment horizontal="center" vertical="center" shrinkToFit="1"/>
      <protection hidden="1"/>
    </xf>
    <xf numFmtId="188" fontId="18" fillId="0" borderId="39" xfId="74" applyNumberFormat="1" applyFont="1" applyFill="1" applyBorder="1" applyAlignment="1" applyProtection="1">
      <alignment horizontal="center" vertical="center" shrinkToFit="1"/>
      <protection hidden="1"/>
    </xf>
    <xf numFmtId="9" fontId="147" fillId="48" borderId="12" xfId="74" applyNumberFormat="1" applyFont="1" applyFill="1" applyBorder="1" applyAlignment="1" applyProtection="1">
      <alignment horizontal="center" vertical="center"/>
      <protection locked="0" hidden="1"/>
    </xf>
    <xf numFmtId="10" fontId="16" fillId="0" borderId="0" xfId="74" applyNumberFormat="1" applyFont="1" applyFill="1" applyBorder="1" applyAlignment="1" applyProtection="1">
      <alignment horizontal="center" vertical="center"/>
      <protection hidden="1"/>
    </xf>
    <xf numFmtId="214" fontId="147" fillId="48" borderId="12" xfId="74" applyNumberFormat="1" applyFont="1" applyFill="1" applyBorder="1" applyAlignment="1" applyProtection="1">
      <alignment horizontal="center" vertical="center"/>
      <protection locked="0" hidden="1"/>
    </xf>
    <xf numFmtId="0" fontId="19" fillId="0" borderId="0" xfId="74" applyFont="1" applyFill="1" applyBorder="1" applyAlignment="1" applyProtection="1">
      <alignment horizontal="left" vertical="center" wrapText="1"/>
      <protection hidden="1"/>
    </xf>
    <xf numFmtId="0" fontId="19" fillId="0" borderId="20" xfId="74" applyFont="1" applyFill="1" applyBorder="1" applyAlignment="1" applyProtection="1">
      <alignment horizontal="left" vertical="center" wrapText="1"/>
      <protection hidden="1"/>
    </xf>
    <xf numFmtId="0" fontId="49" fillId="0" borderId="40" xfId="74" applyFont="1" applyFill="1" applyBorder="1" applyAlignment="1" applyProtection="1">
      <alignment horizontal="center" vertical="center" shrinkToFit="1"/>
      <protection locked="0" hidden="1"/>
    </xf>
    <xf numFmtId="0" fontId="49" fillId="0" borderId="41" xfId="74" applyFont="1" applyFill="1" applyBorder="1" applyAlignment="1" applyProtection="1">
      <alignment horizontal="center" vertical="center" shrinkToFit="1"/>
      <protection locked="0" hidden="1"/>
    </xf>
    <xf numFmtId="0" fontId="49" fillId="0" borderId="42" xfId="74" applyFont="1" applyFill="1" applyBorder="1" applyAlignment="1" applyProtection="1">
      <alignment horizontal="center" vertical="center" shrinkToFit="1"/>
      <protection locked="0" hidden="1"/>
    </xf>
    <xf numFmtId="0" fontId="7" fillId="0" borderId="25" xfId="74" applyFont="1" applyFill="1" applyBorder="1" applyAlignment="1" applyProtection="1">
      <alignment horizontal="center" vertical="center"/>
      <protection hidden="1"/>
    </xf>
    <xf numFmtId="0" fontId="6" fillId="0" borderId="25" xfId="74" applyFont="1" applyFill="1" applyBorder="1" applyAlignment="1" applyProtection="1">
      <alignment horizontal="center" vertical="center"/>
      <protection hidden="1"/>
    </xf>
    <xf numFmtId="0" fontId="29" fillId="0" borderId="33" xfId="74" applyFont="1" applyFill="1" applyBorder="1" applyAlignment="1" applyProtection="1">
      <alignment horizontal="right" vertical="center"/>
      <protection hidden="1"/>
    </xf>
    <xf numFmtId="0" fontId="16" fillId="0" borderId="0" xfId="74" applyFont="1" applyFill="1" applyBorder="1" applyAlignment="1" applyProtection="1">
      <alignment horizontal="right" vertical="center"/>
      <protection hidden="1"/>
    </xf>
    <xf numFmtId="0" fontId="24" fillId="0" borderId="0" xfId="74" applyFont="1" applyFill="1" applyBorder="1" applyAlignment="1" applyProtection="1">
      <alignment horizontal="right" vertical="center" wrapText="1"/>
      <protection hidden="1"/>
    </xf>
    <xf numFmtId="0" fontId="19" fillId="0" borderId="0" xfId="74" applyFont="1" applyFill="1" applyBorder="1" applyAlignment="1" applyProtection="1">
      <alignment horizontal="left" vertical="center" shrinkToFit="1"/>
      <protection hidden="1"/>
    </xf>
    <xf numFmtId="0" fontId="16" fillId="0" borderId="0" xfId="74" applyFont="1" applyFill="1" applyBorder="1" applyAlignment="1" applyProtection="1">
      <alignment horizontal="center" vertical="center"/>
      <protection hidden="1"/>
    </xf>
    <xf numFmtId="0" fontId="17" fillId="0" borderId="0" xfId="74" applyFont="1" applyFill="1" applyBorder="1" applyAlignment="1" applyProtection="1">
      <alignment horizontal="center" vertical="center"/>
      <protection hidden="1"/>
    </xf>
    <xf numFmtId="0" fontId="19" fillId="0" borderId="0" xfId="74" applyFont="1" applyFill="1" applyBorder="1" applyAlignment="1" applyProtection="1">
      <alignment horizontal="center" vertical="center" shrinkToFit="1"/>
      <protection hidden="1"/>
    </xf>
    <xf numFmtId="0" fontId="143" fillId="48" borderId="28" xfId="74" applyFont="1" applyFill="1" applyBorder="1" applyAlignment="1" applyProtection="1">
      <alignment horizontal="center" vertical="center" shrinkToFit="1"/>
      <protection locked="0" hidden="1"/>
    </xf>
    <xf numFmtId="0" fontId="143" fillId="48" borderId="22" xfId="74" applyFont="1" applyFill="1" applyBorder="1" applyAlignment="1" applyProtection="1">
      <alignment horizontal="center" vertical="center" shrinkToFit="1"/>
      <protection locked="0" hidden="1"/>
    </xf>
    <xf numFmtId="196" fontId="18" fillId="48" borderId="28" xfId="1" applyNumberFormat="1" applyFont="1" applyFill="1" applyBorder="1" applyAlignment="1" applyProtection="1">
      <alignment horizontal="center" vertical="center" shrinkToFit="1"/>
      <protection locked="0" hidden="1"/>
    </xf>
    <xf numFmtId="196" fontId="18" fillId="48" borderId="17" xfId="1" applyNumberFormat="1" applyFont="1" applyFill="1" applyBorder="1" applyAlignment="1" applyProtection="1">
      <alignment horizontal="center" vertical="center" shrinkToFit="1"/>
      <protection locked="0" hidden="1"/>
    </xf>
    <xf numFmtId="196" fontId="18" fillId="48" borderId="22" xfId="1" applyNumberFormat="1" applyFont="1" applyFill="1" applyBorder="1" applyAlignment="1" applyProtection="1">
      <alignment horizontal="center" vertical="center" shrinkToFit="1"/>
      <protection locked="0" hidden="1"/>
    </xf>
    <xf numFmtId="0" fontId="28" fillId="0" borderId="33" xfId="74" applyFont="1" applyFill="1" applyBorder="1" applyAlignment="1" applyProtection="1">
      <alignment horizontal="right" vertical="center"/>
      <protection hidden="1"/>
    </xf>
    <xf numFmtId="0" fontId="143" fillId="48" borderId="28" xfId="74" applyFont="1" applyFill="1" applyBorder="1" applyAlignment="1" applyProtection="1">
      <alignment horizontal="center" vertical="center"/>
      <protection locked="0" hidden="1"/>
    </xf>
    <xf numFmtId="0" fontId="143" fillId="48" borderId="17" xfId="74" applyFont="1" applyFill="1" applyBorder="1" applyAlignment="1" applyProtection="1">
      <alignment horizontal="center" vertical="center"/>
      <protection locked="0" hidden="1"/>
    </xf>
    <xf numFmtId="0" fontId="143" fillId="48" borderId="22" xfId="74" applyFont="1" applyFill="1" applyBorder="1" applyAlignment="1" applyProtection="1">
      <alignment horizontal="center" vertical="center"/>
      <protection locked="0" hidden="1"/>
    </xf>
    <xf numFmtId="0" fontId="38" fillId="48" borderId="28" xfId="74" applyFont="1" applyFill="1" applyBorder="1" applyAlignment="1" applyProtection="1">
      <alignment horizontal="center" vertical="center" shrinkToFit="1"/>
      <protection locked="0" hidden="1"/>
    </xf>
    <xf numFmtId="0" fontId="38" fillId="48" borderId="22" xfId="74" applyFont="1" applyFill="1" applyBorder="1" applyAlignment="1" applyProtection="1">
      <alignment horizontal="center" vertical="center" shrinkToFit="1"/>
      <protection locked="0" hidden="1"/>
    </xf>
    <xf numFmtId="10" fontId="16" fillId="0" borderId="0" xfId="1" applyNumberFormat="1" applyFont="1" applyFill="1" applyBorder="1" applyAlignment="1" applyProtection="1">
      <alignment horizontal="center" vertical="center" shrinkToFit="1"/>
      <protection hidden="1"/>
    </xf>
    <xf numFmtId="177" fontId="18" fillId="48" borderId="28" xfId="74" applyNumberFormat="1" applyFont="1" applyFill="1" applyBorder="1" applyAlignment="1" applyProtection="1">
      <alignment horizontal="center" vertical="center" shrinkToFit="1"/>
      <protection locked="0" hidden="1"/>
    </xf>
    <xf numFmtId="177" fontId="18" fillId="48" borderId="17" xfId="74" applyNumberFormat="1" applyFont="1" applyFill="1" applyBorder="1" applyAlignment="1" applyProtection="1">
      <alignment horizontal="center" vertical="center" shrinkToFit="1"/>
      <protection locked="0" hidden="1"/>
    </xf>
    <xf numFmtId="177" fontId="18" fillId="48" borderId="22" xfId="74" applyNumberFormat="1" applyFont="1" applyFill="1" applyBorder="1" applyAlignment="1" applyProtection="1">
      <alignment horizontal="center" vertical="center" shrinkToFit="1"/>
      <protection locked="0" hidden="1"/>
    </xf>
    <xf numFmtId="0" fontId="6" fillId="0" borderId="25" xfId="74" applyFont="1" applyFill="1" applyBorder="1" applyAlignment="1" applyProtection="1">
      <alignment horizontal="right" vertical="center"/>
      <protection hidden="1"/>
    </xf>
    <xf numFmtId="177" fontId="16" fillId="0" borderId="25" xfId="74" applyNumberFormat="1" applyFont="1" applyFill="1" applyBorder="1" applyAlignment="1" applyProtection="1">
      <alignment horizontal="right" vertical="center" shrinkToFit="1"/>
      <protection hidden="1"/>
    </xf>
    <xf numFmtId="0" fontId="19" fillId="0" borderId="0" xfId="74" applyFont="1" applyFill="1" applyBorder="1" applyAlignment="1" applyProtection="1">
      <alignment horizontal="left" vertical="center"/>
      <protection hidden="1"/>
    </xf>
    <xf numFmtId="0" fontId="19" fillId="0" borderId="34" xfId="74" applyFont="1" applyFill="1" applyBorder="1" applyAlignment="1" applyProtection="1">
      <alignment horizontal="left" vertical="center"/>
      <protection hidden="1"/>
    </xf>
    <xf numFmtId="0" fontId="50" fillId="45" borderId="12" xfId="74" applyFont="1" applyFill="1" applyBorder="1" applyAlignment="1" applyProtection="1">
      <alignment horizontal="center" vertical="center" shrinkToFit="1"/>
      <protection hidden="1"/>
    </xf>
    <xf numFmtId="0" fontId="51" fillId="45" borderId="12" xfId="74" applyFont="1" applyFill="1" applyBorder="1" applyAlignment="1" applyProtection="1">
      <alignment horizontal="center" vertical="center" shrinkToFit="1"/>
      <protection hidden="1"/>
    </xf>
    <xf numFmtId="0" fontId="18" fillId="48" borderId="17" xfId="74" applyFont="1" applyFill="1" applyBorder="1" applyAlignment="1" applyProtection="1">
      <alignment horizontal="center" vertical="center" shrinkToFit="1"/>
      <protection locked="0" hidden="1"/>
    </xf>
    <xf numFmtId="0" fontId="18" fillId="48" borderId="22" xfId="74" applyFont="1" applyFill="1" applyBorder="1" applyAlignment="1" applyProtection="1">
      <alignment horizontal="center" vertical="center" shrinkToFit="1"/>
      <protection locked="0" hidden="1"/>
    </xf>
    <xf numFmtId="183" fontId="16" fillId="0" borderId="45" xfId="74" applyNumberFormat="1" applyFont="1" applyFill="1" applyBorder="1" applyAlignment="1" applyProtection="1">
      <alignment horizontal="center" vertical="center"/>
      <protection hidden="1"/>
    </xf>
    <xf numFmtId="183" fontId="16" fillId="0" borderId="0" xfId="74" applyNumberFormat="1" applyFont="1" applyFill="1" applyBorder="1" applyAlignment="1" applyProtection="1">
      <alignment horizontal="center" vertical="center"/>
      <protection hidden="1"/>
    </xf>
    <xf numFmtId="0" fontId="38" fillId="0" borderId="0" xfId="74" applyFont="1" applyFill="1" applyBorder="1" applyAlignment="1" applyProtection="1">
      <alignment horizontal="center" vertical="center"/>
      <protection hidden="1"/>
    </xf>
    <xf numFmtId="0" fontId="18" fillId="0" borderId="0" xfId="74" applyFont="1" applyFill="1" applyBorder="1" applyAlignment="1" applyProtection="1">
      <alignment horizontal="center" vertical="center"/>
      <protection hidden="1"/>
    </xf>
    <xf numFmtId="0" fontId="49" fillId="0" borderId="40" xfId="74" applyFont="1" applyFill="1" applyBorder="1" applyAlignment="1" applyProtection="1">
      <alignment horizontal="center" vertical="center"/>
      <protection hidden="1"/>
    </xf>
    <xf numFmtId="0" fontId="18" fillId="0" borderId="42" xfId="74" applyFont="1" applyFill="1" applyBorder="1" applyAlignment="1" applyProtection="1">
      <alignment horizontal="center" vertical="center"/>
      <protection hidden="1"/>
    </xf>
    <xf numFmtId="0" fontId="18" fillId="0" borderId="43" xfId="74" applyFont="1" applyFill="1" applyBorder="1" applyAlignment="1" applyProtection="1">
      <alignment horizontal="center" vertical="center"/>
      <protection hidden="1"/>
    </xf>
    <xf numFmtId="0" fontId="18" fillId="0" borderId="44" xfId="74" applyFont="1" applyFill="1" applyBorder="1" applyAlignment="1" applyProtection="1">
      <alignment horizontal="center" vertical="center"/>
      <protection hidden="1"/>
    </xf>
    <xf numFmtId="0" fontId="18" fillId="48" borderId="28" xfId="74" applyFont="1" applyFill="1" applyBorder="1" applyAlignment="1" applyProtection="1">
      <alignment horizontal="center" vertical="center" shrinkToFit="1"/>
      <protection locked="0" hidden="1"/>
    </xf>
    <xf numFmtId="0" fontId="19" fillId="0" borderId="20" xfId="74" applyFont="1" applyFill="1" applyBorder="1" applyAlignment="1" applyProtection="1">
      <alignment horizontal="center" vertical="center"/>
      <protection hidden="1"/>
    </xf>
    <xf numFmtId="0" fontId="30" fillId="0" borderId="46" xfId="74" applyFont="1" applyFill="1" applyBorder="1" applyAlignment="1" applyProtection="1">
      <alignment horizontal="right" vertical="center"/>
      <protection hidden="1"/>
    </xf>
    <xf numFmtId="0" fontId="30" fillId="0" borderId="0" xfId="74" applyFont="1" applyFill="1" applyBorder="1" applyAlignment="1" applyProtection="1">
      <alignment horizontal="right" vertical="center"/>
      <protection hidden="1"/>
    </xf>
    <xf numFmtId="0" fontId="38" fillId="0" borderId="40" xfId="74" applyFont="1" applyFill="1" applyBorder="1" applyAlignment="1" applyProtection="1">
      <alignment horizontal="center" vertical="center"/>
      <protection hidden="1"/>
    </xf>
    <xf numFmtId="0" fontId="18" fillId="0" borderId="41" xfId="74" applyFont="1" applyFill="1" applyBorder="1" applyAlignment="1" applyProtection="1">
      <alignment horizontal="center" vertical="center"/>
      <protection hidden="1"/>
    </xf>
    <xf numFmtId="192" fontId="33" fillId="0" borderId="12" xfId="78" applyNumberFormat="1" applyFont="1" applyFill="1" applyBorder="1" applyAlignment="1" applyProtection="1">
      <alignment horizontal="right" vertical="center" shrinkToFit="1"/>
      <protection hidden="1"/>
    </xf>
    <xf numFmtId="0" fontId="83" fillId="48" borderId="12" xfId="1" applyFont="1" applyFill="1" applyBorder="1" applyAlignment="1" applyProtection="1">
      <alignment horizontal="center" vertical="center" wrapText="1"/>
      <protection hidden="1"/>
    </xf>
    <xf numFmtId="0" fontId="84" fillId="48" borderId="12" xfId="1" applyFont="1" applyFill="1" applyBorder="1" applyAlignment="1" applyProtection="1">
      <alignment horizontal="center" vertical="center" wrapText="1"/>
      <protection hidden="1"/>
    </xf>
    <xf numFmtId="0" fontId="82" fillId="48" borderId="12" xfId="0" applyFont="1" applyFill="1" applyBorder="1" applyAlignment="1">
      <alignment horizontal="center" vertical="center" wrapText="1"/>
    </xf>
    <xf numFmtId="0" fontId="61" fillId="25" borderId="28" xfId="1" applyFont="1" applyFill="1" applyBorder="1" applyAlignment="1" applyProtection="1">
      <alignment horizontal="left" vertical="center" shrinkToFit="1"/>
      <protection hidden="1"/>
    </xf>
    <xf numFmtId="0" fontId="61" fillId="25" borderId="17" xfId="1" applyFont="1" applyFill="1" applyBorder="1" applyAlignment="1" applyProtection="1">
      <alignment horizontal="left" vertical="center" shrinkToFit="1"/>
      <protection hidden="1"/>
    </xf>
    <xf numFmtId="0" fontId="61" fillId="25" borderId="22" xfId="1" applyFont="1" applyFill="1" applyBorder="1" applyAlignment="1" applyProtection="1">
      <alignment horizontal="left" vertical="center" shrinkToFit="1"/>
      <protection hidden="1"/>
    </xf>
    <xf numFmtId="0" fontId="62" fillId="0" borderId="0" xfId="1" applyFont="1" applyAlignment="1" applyProtection="1">
      <alignment horizontal="center" vertical="center"/>
      <protection hidden="1"/>
    </xf>
    <xf numFmtId="0" fontId="57" fillId="0" borderId="0" xfId="1" applyFont="1" applyAlignment="1" applyProtection="1">
      <alignment horizontal="center" vertical="center" shrinkToFit="1"/>
      <protection hidden="1"/>
    </xf>
    <xf numFmtId="0" fontId="58" fillId="0" borderId="0" xfId="1" applyFont="1" applyAlignment="1" applyProtection="1">
      <alignment horizontal="center" vertical="center" shrinkToFit="1"/>
      <protection hidden="1"/>
    </xf>
    <xf numFmtId="0" fontId="84" fillId="47" borderId="12" xfId="1" applyFont="1" applyFill="1" applyBorder="1" applyAlignment="1" applyProtection="1">
      <alignment horizontal="center" vertical="center" wrapText="1"/>
      <protection hidden="1"/>
    </xf>
    <xf numFmtId="0" fontId="4" fillId="0" borderId="28" xfId="1" applyFont="1" applyBorder="1" applyAlignment="1" applyProtection="1">
      <alignment horizontal="center" vertical="center" shrinkToFit="1"/>
      <protection hidden="1"/>
    </xf>
    <xf numFmtId="0" fontId="4" fillId="0" borderId="17" xfId="1" applyFont="1" applyBorder="1" applyAlignment="1" applyProtection="1">
      <alignment horizontal="center" vertical="center" shrinkToFit="1"/>
      <protection hidden="1"/>
    </xf>
    <xf numFmtId="0" fontId="4" fillId="0" borderId="22" xfId="1" applyFont="1" applyBorder="1" applyAlignment="1" applyProtection="1">
      <alignment horizontal="center" vertical="center" shrinkToFit="1"/>
      <protection hidden="1"/>
    </xf>
    <xf numFmtId="0" fontId="95" fillId="25" borderId="28" xfId="1" applyFont="1" applyFill="1" applyBorder="1" applyAlignment="1" applyProtection="1">
      <alignment horizontal="left" vertical="center" shrinkToFit="1"/>
      <protection hidden="1"/>
    </xf>
    <xf numFmtId="0" fontId="95" fillId="25" borderId="17" xfId="1" applyFont="1" applyFill="1" applyBorder="1" applyAlignment="1" applyProtection="1">
      <alignment horizontal="left" vertical="center" shrinkToFit="1"/>
      <protection hidden="1"/>
    </xf>
    <xf numFmtId="0" fontId="95" fillId="25" borderId="22" xfId="1" applyFont="1" applyFill="1" applyBorder="1" applyAlignment="1" applyProtection="1">
      <alignment horizontal="left" vertical="center" shrinkToFit="1"/>
      <protection hidden="1"/>
    </xf>
    <xf numFmtId="0" fontId="95" fillId="25" borderId="12" xfId="1" applyFont="1" applyFill="1" applyBorder="1" applyAlignment="1" applyProtection="1">
      <alignment horizontal="left" vertical="center" shrinkToFit="1"/>
      <protection hidden="1"/>
    </xf>
    <xf numFmtId="0" fontId="74" fillId="0" borderId="0" xfId="1" applyFont="1" applyAlignment="1" applyProtection="1">
      <alignment horizontal="center" vertical="center"/>
      <protection hidden="1"/>
    </xf>
    <xf numFmtId="10" fontId="61" fillId="0" borderId="12" xfId="1" applyNumberFormat="1" applyFont="1" applyBorder="1" applyAlignment="1">
      <alignment horizontal="center" vertical="center" wrapText="1"/>
    </xf>
    <xf numFmtId="192" fontId="33" fillId="0" borderId="28" xfId="78" applyNumberFormat="1" applyFont="1" applyFill="1" applyBorder="1" applyAlignment="1" applyProtection="1">
      <alignment horizontal="center" vertical="center" shrinkToFit="1"/>
      <protection hidden="1"/>
    </xf>
    <xf numFmtId="192" fontId="33" fillId="0" borderId="17" xfId="78" applyNumberFormat="1" applyFont="1" applyFill="1" applyBorder="1" applyAlignment="1" applyProtection="1">
      <alignment horizontal="center" vertical="center" shrinkToFit="1"/>
      <protection hidden="1"/>
    </xf>
    <xf numFmtId="192" fontId="33" fillId="0" borderId="22" xfId="78" applyNumberFormat="1" applyFont="1" applyFill="1" applyBorder="1" applyAlignment="1" applyProtection="1">
      <alignment horizontal="center" vertical="center" shrinkToFit="1"/>
      <protection hidden="1"/>
    </xf>
    <xf numFmtId="0" fontId="57" fillId="0" borderId="0" xfId="1" applyFont="1" applyAlignment="1" applyProtection="1">
      <alignment horizontal="center" shrinkToFit="1"/>
      <protection hidden="1"/>
    </xf>
    <xf numFmtId="0" fontId="58" fillId="0" borderId="0" xfId="1" applyFont="1" applyAlignment="1" applyProtection="1">
      <alignment horizontal="center" shrinkToFit="1"/>
      <protection hidden="1"/>
    </xf>
    <xf numFmtId="0" fontId="33" fillId="0" borderId="12" xfId="1" applyFont="1" applyBorder="1" applyAlignment="1">
      <alignment horizontal="center" vertical="center" wrapText="1"/>
    </xf>
    <xf numFmtId="0" fontId="55" fillId="49" borderId="12" xfId="1" applyFont="1" applyFill="1" applyBorder="1" applyAlignment="1" applyProtection="1">
      <alignment horizontal="center" vertical="center" wrapText="1"/>
      <protection hidden="1"/>
    </xf>
    <xf numFmtId="0" fontId="55" fillId="49" borderId="12" xfId="1" applyFont="1" applyFill="1" applyBorder="1" applyAlignment="1" applyProtection="1">
      <alignment horizontal="center" vertical="center"/>
      <protection hidden="1"/>
    </xf>
    <xf numFmtId="0" fontId="11" fillId="0" borderId="28" xfId="1" applyFont="1" applyFill="1" applyBorder="1" applyAlignment="1" applyProtection="1">
      <alignment horizontal="left" vertical="center" wrapText="1"/>
      <protection hidden="1"/>
    </xf>
    <xf numFmtId="0" fontId="11" fillId="0" borderId="17" xfId="1" applyFont="1" applyFill="1" applyBorder="1" applyAlignment="1" applyProtection="1">
      <alignment horizontal="left" vertical="center" wrapText="1"/>
      <protection hidden="1"/>
    </xf>
    <xf numFmtId="0" fontId="11" fillId="0" borderId="22" xfId="1" applyFont="1" applyFill="1" applyBorder="1" applyAlignment="1" applyProtection="1">
      <alignment horizontal="left" vertical="center" wrapText="1"/>
      <protection hidden="1"/>
    </xf>
    <xf numFmtId="0" fontId="11" fillId="48" borderId="12" xfId="1" applyFont="1" applyFill="1" applyBorder="1" applyAlignment="1" applyProtection="1">
      <alignment horizontal="center" vertical="center" wrapText="1"/>
      <protection hidden="1"/>
    </xf>
    <xf numFmtId="193" fontId="54" fillId="0" borderId="12" xfId="1" applyNumberFormat="1" applyFont="1" applyBorder="1" applyAlignment="1" applyProtection="1">
      <alignment horizontal="center" vertical="center" shrinkToFit="1"/>
      <protection hidden="1"/>
    </xf>
    <xf numFmtId="185" fontId="54" fillId="0" borderId="12" xfId="1" applyNumberFormat="1" applyFont="1" applyBorder="1" applyAlignment="1" applyProtection="1">
      <alignment horizontal="center" vertical="center"/>
      <protection hidden="1"/>
    </xf>
    <xf numFmtId="0" fontId="53" fillId="45" borderId="28" xfId="74" applyFont="1" applyFill="1" applyBorder="1" applyAlignment="1" applyProtection="1">
      <alignment horizontal="center" vertical="center" shrinkToFit="1"/>
      <protection hidden="1"/>
    </xf>
    <xf numFmtId="0" fontId="53" fillId="45" borderId="17" xfId="74" applyFont="1" applyFill="1" applyBorder="1" applyAlignment="1" applyProtection="1">
      <alignment horizontal="center" vertical="center" shrinkToFit="1"/>
      <protection hidden="1"/>
    </xf>
    <xf numFmtId="0" fontId="53" fillId="45" borderId="22" xfId="74" applyFont="1" applyFill="1" applyBorder="1" applyAlignment="1" applyProtection="1">
      <alignment horizontal="center" vertical="center" shrinkToFit="1"/>
      <protection hidden="1"/>
    </xf>
    <xf numFmtId="0" fontId="53" fillId="45" borderId="12" xfId="74" applyFont="1" applyFill="1" applyBorder="1" applyAlignment="1" applyProtection="1">
      <alignment horizontal="center" shrinkToFit="1"/>
      <protection hidden="1"/>
    </xf>
    <xf numFmtId="0" fontId="11" fillId="25" borderId="0" xfId="1" applyFont="1" applyFill="1" applyAlignment="1" applyProtection="1">
      <alignment horizontal="right"/>
      <protection hidden="1"/>
    </xf>
    <xf numFmtId="0" fontId="11" fillId="0" borderId="0" xfId="1" applyFont="1" applyAlignment="1" applyProtection="1">
      <alignment horizontal="left"/>
      <protection hidden="1"/>
    </xf>
    <xf numFmtId="0" fontId="11" fillId="0" borderId="0" xfId="1" applyFont="1" applyAlignment="1" applyProtection="1">
      <alignment horizontal="right" shrinkToFit="1"/>
      <protection hidden="1"/>
    </xf>
    <xf numFmtId="183" fontId="11" fillId="0" borderId="0" xfId="1" applyNumberFormat="1" applyFont="1" applyAlignment="1" applyProtection="1">
      <alignment horizontal="left"/>
      <protection hidden="1"/>
    </xf>
    <xf numFmtId="0" fontId="11" fillId="0" borderId="0" xfId="1" applyFont="1" applyBorder="1" applyAlignment="1" applyProtection="1">
      <alignment horizontal="right"/>
      <protection hidden="1"/>
    </xf>
    <xf numFmtId="0" fontId="71" fillId="0" borderId="0" xfId="1" applyFont="1" applyBorder="1" applyAlignment="1" applyProtection="1">
      <alignment horizontal="center" shrinkToFit="1"/>
      <protection hidden="1"/>
    </xf>
    <xf numFmtId="0" fontId="11" fillId="0" borderId="20" xfId="1" applyFont="1" applyBorder="1" applyAlignment="1" applyProtection="1">
      <alignment horizontal="left" shrinkToFit="1"/>
      <protection hidden="1"/>
    </xf>
    <xf numFmtId="0" fontId="73" fillId="45" borderId="12" xfId="1" applyFont="1" applyFill="1" applyBorder="1" applyAlignment="1" applyProtection="1">
      <alignment horizontal="center" vertical="center"/>
      <protection hidden="1"/>
    </xf>
    <xf numFmtId="184" fontId="55" fillId="0" borderId="28" xfId="1" applyNumberFormat="1" applyFont="1" applyBorder="1" applyAlignment="1" applyProtection="1">
      <alignment horizontal="left" vertical="center" shrinkToFit="1"/>
      <protection hidden="1"/>
    </xf>
    <xf numFmtId="184" fontId="55" fillId="0" borderId="17" xfId="1" applyNumberFormat="1" applyFont="1" applyBorder="1" applyAlignment="1" applyProtection="1">
      <alignment horizontal="left" vertical="center" shrinkToFit="1"/>
      <protection hidden="1"/>
    </xf>
    <xf numFmtId="184" fontId="55" fillId="0" borderId="22" xfId="1" applyNumberFormat="1" applyFont="1" applyBorder="1" applyAlignment="1" applyProtection="1">
      <alignment horizontal="left" vertical="center" shrinkToFit="1"/>
      <protection hidden="1"/>
    </xf>
    <xf numFmtId="0" fontId="71" fillId="0" borderId="0" xfId="1" applyNumberFormat="1" applyFont="1" applyBorder="1" applyAlignment="1" applyProtection="1">
      <alignment horizontal="left" vertical="center"/>
      <protection hidden="1"/>
    </xf>
    <xf numFmtId="41" fontId="54" fillId="0" borderId="12" xfId="81" applyFont="1" applyBorder="1" applyAlignment="1" applyProtection="1">
      <alignment horizontal="center" vertical="center" shrinkToFit="1"/>
      <protection hidden="1"/>
    </xf>
    <xf numFmtId="0" fontId="11" fillId="0" borderId="12" xfId="1" applyFont="1" applyBorder="1" applyAlignment="1" applyProtection="1">
      <alignment horizontal="center" vertical="center" shrinkToFit="1"/>
      <protection hidden="1"/>
    </xf>
    <xf numFmtId="0" fontId="54" fillId="0" borderId="12" xfId="1" applyFont="1" applyBorder="1" applyAlignment="1" applyProtection="1">
      <alignment horizontal="center" vertical="center" shrinkToFit="1"/>
      <protection hidden="1"/>
    </xf>
    <xf numFmtId="0" fontId="57" fillId="0" borderId="0" xfId="1" applyFont="1" applyFill="1" applyAlignment="1" applyProtection="1">
      <alignment horizontal="left" vertical="center" shrinkToFit="1"/>
      <protection hidden="1"/>
    </xf>
    <xf numFmtId="0" fontId="84" fillId="48" borderId="28" xfId="1" applyFont="1" applyFill="1" applyBorder="1" applyAlignment="1" applyProtection="1">
      <alignment horizontal="center" vertical="center" wrapText="1"/>
      <protection hidden="1"/>
    </xf>
    <xf numFmtId="0" fontId="84" fillId="48" borderId="17" xfId="1" applyFont="1" applyFill="1" applyBorder="1" applyAlignment="1" applyProtection="1">
      <alignment horizontal="center" vertical="center" wrapText="1"/>
      <protection hidden="1"/>
    </xf>
    <xf numFmtId="0" fontId="84" fillId="48" borderId="22" xfId="1" applyFont="1" applyFill="1" applyBorder="1" applyAlignment="1" applyProtection="1">
      <alignment horizontal="center" vertical="center" wrapText="1"/>
      <protection hidden="1"/>
    </xf>
    <xf numFmtId="0" fontId="61" fillId="25" borderId="12" xfId="1" applyFont="1" applyFill="1" applyBorder="1" applyAlignment="1" applyProtection="1">
      <alignment horizontal="left" vertical="center" shrinkToFit="1"/>
      <protection hidden="1"/>
    </xf>
    <xf numFmtId="0" fontId="73" fillId="45" borderId="12" xfId="3" applyFont="1" applyFill="1" applyBorder="1" applyAlignment="1" applyProtection="1">
      <alignment horizontal="center" vertical="center"/>
      <protection hidden="1"/>
    </xf>
    <xf numFmtId="0" fontId="44" fillId="48" borderId="12" xfId="3" applyFont="1" applyFill="1" applyBorder="1" applyAlignment="1" applyProtection="1">
      <alignment horizontal="center" vertical="center" wrapText="1"/>
      <protection hidden="1"/>
    </xf>
    <xf numFmtId="0" fontId="83" fillId="48" borderId="12" xfId="3" applyFont="1" applyFill="1" applyBorder="1" applyAlignment="1" applyProtection="1">
      <alignment horizontal="center" vertical="center" wrapText="1"/>
      <protection hidden="1"/>
    </xf>
    <xf numFmtId="0" fontId="44" fillId="47" borderId="12" xfId="3" applyFont="1" applyFill="1" applyBorder="1" applyAlignment="1" applyProtection="1">
      <alignment horizontal="center" vertical="center" wrapText="1"/>
      <protection hidden="1"/>
    </xf>
    <xf numFmtId="0" fontId="83" fillId="47" borderId="12" xfId="3" applyFont="1" applyFill="1" applyBorder="1" applyAlignment="1" applyProtection="1">
      <alignment horizontal="center" vertical="center" wrapText="1"/>
      <protection hidden="1"/>
    </xf>
    <xf numFmtId="0" fontId="61" fillId="25" borderId="28" xfId="1" applyFont="1" applyFill="1" applyBorder="1" applyAlignment="1" applyProtection="1">
      <alignment horizontal="left" vertical="center"/>
      <protection hidden="1"/>
    </xf>
    <xf numFmtId="0" fontId="61" fillId="25" borderId="17" xfId="1" applyFont="1" applyFill="1" applyBorder="1" applyAlignment="1" applyProtection="1">
      <alignment horizontal="left" vertical="center"/>
      <protection hidden="1"/>
    </xf>
    <xf numFmtId="0" fontId="61" fillId="25" borderId="22" xfId="1" applyFont="1" applyFill="1" applyBorder="1" applyAlignment="1" applyProtection="1">
      <alignment horizontal="left" vertical="center"/>
      <protection hidden="1"/>
    </xf>
    <xf numFmtId="0" fontId="2" fillId="0" borderId="12" xfId="3" applyFont="1" applyBorder="1" applyAlignment="1" applyProtection="1">
      <alignment horizontal="center"/>
      <protection hidden="1"/>
    </xf>
    <xf numFmtId="0" fontId="62" fillId="0" borderId="0" xfId="3" applyFont="1" applyAlignment="1" applyProtection="1">
      <alignment horizontal="center" vertical="center"/>
      <protection hidden="1"/>
    </xf>
    <xf numFmtId="0" fontId="57" fillId="0" borderId="0" xfId="3" applyFont="1" applyAlignment="1" applyProtection="1">
      <alignment horizontal="center" shrinkToFit="1"/>
      <protection hidden="1"/>
    </xf>
    <xf numFmtId="0" fontId="58" fillId="0" borderId="0" xfId="3" applyFont="1" applyAlignment="1" applyProtection="1">
      <alignment horizontal="center" shrinkToFit="1"/>
      <protection hidden="1"/>
    </xf>
    <xf numFmtId="0" fontId="32" fillId="0" borderId="0" xfId="3" applyFont="1" applyAlignment="1" applyProtection="1">
      <alignment horizontal="center" vertical="center" shrinkToFit="1"/>
      <protection hidden="1"/>
    </xf>
    <xf numFmtId="0" fontId="11" fillId="25" borderId="0" xfId="4" applyFont="1" applyFill="1" applyAlignment="1" applyProtection="1">
      <alignment horizontal="right"/>
      <protection hidden="1"/>
    </xf>
    <xf numFmtId="0" fontId="11" fillId="0" borderId="0" xfId="4" applyFont="1" applyAlignment="1" applyProtection="1">
      <alignment horizontal="left"/>
      <protection hidden="1"/>
    </xf>
    <xf numFmtId="0" fontId="11" fillId="0" borderId="0" xfId="4" applyFont="1" applyAlignment="1" applyProtection="1">
      <alignment horizontal="right"/>
      <protection hidden="1"/>
    </xf>
    <xf numFmtId="0" fontId="11" fillId="0" borderId="0" xfId="4" applyFont="1" applyAlignment="1" applyProtection="1">
      <alignment horizontal="right" shrinkToFit="1"/>
      <protection hidden="1"/>
    </xf>
    <xf numFmtId="183" fontId="11" fillId="0" borderId="0" xfId="4" applyNumberFormat="1" applyFont="1" applyAlignment="1" applyProtection="1">
      <alignment horizontal="left"/>
      <protection hidden="1"/>
    </xf>
    <xf numFmtId="0" fontId="11" fillId="0" borderId="0" xfId="4" applyFont="1" applyBorder="1" applyAlignment="1" applyProtection="1">
      <alignment horizontal="right"/>
      <protection hidden="1"/>
    </xf>
    <xf numFmtId="0" fontId="71" fillId="0" borderId="0" xfId="4" applyFont="1" applyBorder="1" applyAlignment="1" applyProtection="1">
      <alignment horizontal="center" shrinkToFit="1"/>
      <protection hidden="1"/>
    </xf>
    <xf numFmtId="0" fontId="11" fillId="48" borderId="12" xfId="4" applyFont="1" applyFill="1" applyBorder="1" applyAlignment="1" applyProtection="1">
      <alignment horizontal="center" vertical="center" wrapText="1"/>
      <protection hidden="1"/>
    </xf>
    <xf numFmtId="0" fontId="11" fillId="0" borderId="12" xfId="4" applyFont="1" applyBorder="1" applyAlignment="1" applyProtection="1">
      <alignment horizontal="center" vertical="center" shrinkToFit="1"/>
      <protection hidden="1"/>
    </xf>
    <xf numFmtId="0" fontId="54" fillId="0" borderId="12" xfId="4" applyFont="1" applyBorder="1" applyAlignment="1" applyProtection="1">
      <alignment horizontal="center" vertical="center" shrinkToFit="1"/>
      <protection hidden="1"/>
    </xf>
    <xf numFmtId="184" fontId="55" fillId="0" borderId="28" xfId="4" applyNumberFormat="1" applyFont="1" applyBorder="1" applyAlignment="1" applyProtection="1">
      <alignment horizontal="left" vertical="center" shrinkToFit="1"/>
      <protection hidden="1"/>
    </xf>
    <xf numFmtId="184" fontId="55" fillId="0" borderId="17" xfId="4" applyNumberFormat="1" applyFont="1" applyBorder="1" applyAlignment="1" applyProtection="1">
      <alignment horizontal="left" vertical="center" shrinkToFit="1"/>
      <protection hidden="1"/>
    </xf>
    <xf numFmtId="184" fontId="55" fillId="0" borderId="22" xfId="4" applyNumberFormat="1" applyFont="1" applyBorder="1" applyAlignment="1" applyProtection="1">
      <alignment horizontal="left" vertical="center" shrinkToFit="1"/>
      <protection hidden="1"/>
    </xf>
    <xf numFmtId="185" fontId="54" fillId="0" borderId="12" xfId="4" applyNumberFormat="1" applyFont="1" applyBorder="1" applyAlignment="1" applyProtection="1">
      <alignment horizontal="center" vertical="center"/>
      <protection hidden="1"/>
    </xf>
    <xf numFmtId="193" fontId="54" fillId="0" borderId="12" xfId="4" applyNumberFormat="1" applyFont="1" applyBorder="1" applyAlignment="1" applyProtection="1">
      <alignment horizontal="center" vertical="center" shrinkToFit="1"/>
      <protection hidden="1"/>
    </xf>
    <xf numFmtId="41" fontId="54" fillId="0" borderId="12" xfId="82" applyFont="1" applyBorder="1" applyAlignment="1" applyProtection="1">
      <alignment horizontal="center" vertical="center" shrinkToFit="1"/>
      <protection hidden="1"/>
    </xf>
    <xf numFmtId="0" fontId="71" fillId="0" borderId="0" xfId="4" applyNumberFormat="1" applyFont="1" applyBorder="1" applyAlignment="1" applyProtection="1">
      <alignment horizontal="left" vertical="center"/>
      <protection hidden="1"/>
    </xf>
    <xf numFmtId="0" fontId="73" fillId="45" borderId="12" xfId="4" applyFont="1" applyFill="1" applyBorder="1" applyAlignment="1" applyProtection="1">
      <alignment horizontal="center" vertical="center"/>
      <protection hidden="1"/>
    </xf>
    <xf numFmtId="0" fontId="55" fillId="49" borderId="12" xfId="4" applyFont="1" applyFill="1" applyBorder="1" applyAlignment="1" applyProtection="1">
      <alignment horizontal="center" vertical="center" wrapText="1"/>
      <protection hidden="1"/>
    </xf>
    <xf numFmtId="0" fontId="55" fillId="49" borderId="12" xfId="4" applyFont="1" applyFill="1" applyBorder="1" applyAlignment="1" applyProtection="1">
      <alignment horizontal="center" vertical="center"/>
      <protection hidden="1"/>
    </xf>
    <xf numFmtId="0" fontId="11" fillId="0" borderId="28" xfId="4" applyFont="1" applyFill="1" applyBorder="1" applyAlignment="1" applyProtection="1">
      <alignment horizontal="left" vertical="center" wrapText="1"/>
      <protection hidden="1"/>
    </xf>
    <xf numFmtId="0" fontId="11" fillId="0" borderId="17" xfId="4" applyFont="1" applyFill="1" applyBorder="1" applyAlignment="1" applyProtection="1">
      <alignment horizontal="left" vertical="center" wrapText="1"/>
      <protection hidden="1"/>
    </xf>
    <xf numFmtId="0" fontId="11" fillId="0" borderId="22" xfId="4" applyFont="1" applyFill="1" applyBorder="1" applyAlignment="1" applyProtection="1">
      <alignment horizontal="left" vertical="center" wrapText="1"/>
      <protection hidden="1"/>
    </xf>
    <xf numFmtId="0" fontId="57" fillId="0" borderId="0" xfId="4" applyFont="1" applyFill="1" applyAlignment="1" applyProtection="1">
      <alignment horizontal="left" vertical="center" shrinkToFit="1"/>
      <protection hidden="1"/>
    </xf>
    <xf numFmtId="0" fontId="94" fillId="49" borderId="12" xfId="4" applyFont="1" applyFill="1" applyBorder="1" applyAlignment="1" applyProtection="1">
      <alignment horizontal="center" vertical="center"/>
      <protection hidden="1"/>
    </xf>
    <xf numFmtId="0" fontId="94" fillId="49" borderId="12" xfId="4" applyFont="1" applyFill="1" applyBorder="1" applyAlignment="1" applyProtection="1">
      <alignment horizontal="center" vertical="center" wrapText="1"/>
      <protection hidden="1"/>
    </xf>
    <xf numFmtId="0" fontId="82" fillId="49" borderId="12" xfId="4" applyFont="1" applyFill="1" applyBorder="1" applyAlignment="1" applyProtection="1">
      <alignment horizontal="center" vertical="center" wrapText="1"/>
      <protection hidden="1"/>
    </xf>
    <xf numFmtId="0" fontId="148" fillId="48" borderId="12" xfId="56" applyFont="1" applyFill="1" applyBorder="1" applyAlignment="1" applyProtection="1">
      <alignment horizontal="center" vertical="center" wrapText="1"/>
      <protection hidden="1"/>
    </xf>
    <xf numFmtId="0" fontId="82" fillId="54" borderId="12" xfId="56" applyFont="1" applyFill="1" applyBorder="1" applyAlignment="1" applyProtection="1">
      <alignment horizontal="center" vertical="center" wrapText="1"/>
      <protection hidden="1"/>
    </xf>
    <xf numFmtId="0" fontId="82" fillId="48" borderId="12" xfId="4" applyFont="1" applyFill="1" applyBorder="1" applyAlignment="1" applyProtection="1">
      <alignment horizontal="center" vertical="center" wrapText="1"/>
      <protection hidden="1"/>
    </xf>
    <xf numFmtId="204" fontId="33" fillId="0" borderId="12" xfId="79" applyNumberFormat="1" applyFont="1" applyFill="1" applyBorder="1" applyAlignment="1" applyProtection="1">
      <alignment horizontal="center" vertical="center" shrinkToFit="1"/>
      <protection hidden="1"/>
    </xf>
    <xf numFmtId="0" fontId="61" fillId="25" borderId="12" xfId="4" applyFont="1" applyFill="1" applyBorder="1" applyAlignment="1" applyProtection="1">
      <alignment horizontal="left" vertical="center" shrinkToFit="1"/>
      <protection hidden="1"/>
    </xf>
    <xf numFmtId="0" fontId="61" fillId="25" borderId="28" xfId="4" applyFont="1" applyFill="1" applyBorder="1" applyAlignment="1" applyProtection="1">
      <alignment horizontal="left" vertical="center" shrinkToFit="1"/>
      <protection hidden="1"/>
    </xf>
    <xf numFmtId="0" fontId="62" fillId="0" borderId="0" xfId="4" applyFont="1" applyAlignment="1" applyProtection="1">
      <alignment horizontal="center" vertical="center"/>
      <protection hidden="1"/>
    </xf>
    <xf numFmtId="0" fontId="57" fillId="0" borderId="0" xfId="4" applyFont="1" applyAlignment="1" applyProtection="1">
      <alignment horizontal="center" vertical="center" shrinkToFit="1"/>
      <protection hidden="1"/>
    </xf>
    <xf numFmtId="0" fontId="58" fillId="0" borderId="0" xfId="4" applyFont="1" applyAlignment="1" applyProtection="1">
      <alignment horizontal="center" vertical="center" shrinkToFit="1"/>
      <protection hidden="1"/>
    </xf>
    <xf numFmtId="0" fontId="95" fillId="25" borderId="28" xfId="4" applyFont="1" applyFill="1" applyBorder="1" applyAlignment="1" applyProtection="1">
      <alignment horizontal="left" vertical="center" shrinkToFit="1"/>
      <protection hidden="1"/>
    </xf>
    <xf numFmtId="0" fontId="95" fillId="25" borderId="17" xfId="4" applyFont="1" applyFill="1" applyBorder="1" applyAlignment="1" applyProtection="1">
      <alignment horizontal="left" vertical="center" shrinkToFit="1"/>
      <protection hidden="1"/>
    </xf>
    <xf numFmtId="0" fontId="95" fillId="25" borderId="12" xfId="4" applyFont="1" applyFill="1" applyBorder="1" applyAlignment="1" applyProtection="1">
      <alignment horizontal="left" vertical="center" shrinkToFit="1"/>
      <protection hidden="1"/>
    </xf>
    <xf numFmtId="192" fontId="33" fillId="0" borderId="12" xfId="78" applyNumberFormat="1" applyFont="1" applyFill="1" applyBorder="1" applyAlignment="1" applyProtection="1">
      <alignment horizontal="center" vertical="center" shrinkToFit="1"/>
      <protection hidden="1"/>
    </xf>
    <xf numFmtId="0" fontId="57" fillId="0" borderId="0" xfId="4" applyFont="1" applyAlignment="1" applyProtection="1">
      <alignment horizontal="center" shrinkToFit="1"/>
      <protection hidden="1"/>
    </xf>
    <xf numFmtId="0" fontId="58" fillId="0" borderId="0" xfId="4" applyFont="1" applyAlignment="1" applyProtection="1">
      <alignment horizontal="center" shrinkToFit="1"/>
      <protection hidden="1"/>
    </xf>
    <xf numFmtId="0" fontId="74" fillId="0" borderId="0" xfId="4" applyFont="1" applyAlignment="1" applyProtection="1">
      <alignment horizontal="center" vertical="center"/>
      <protection hidden="1"/>
    </xf>
    <xf numFmtId="0" fontId="158" fillId="55" borderId="65" xfId="50" applyFont="1" applyFill="1" applyBorder="1" applyAlignment="1" applyProtection="1">
      <alignment horizontal="center" vertical="center" wrapText="1"/>
      <protection hidden="1"/>
    </xf>
    <xf numFmtId="0" fontId="158" fillId="55" borderId="60" xfId="50" applyFont="1" applyFill="1" applyBorder="1" applyAlignment="1" applyProtection="1">
      <alignment horizontal="center" vertical="center" wrapText="1"/>
      <protection hidden="1"/>
    </xf>
    <xf numFmtId="0" fontId="158" fillId="55" borderId="60" xfId="50" applyFont="1" applyFill="1" applyBorder="1" applyAlignment="1" applyProtection="1">
      <alignment horizontal="center" vertical="center"/>
      <protection hidden="1"/>
    </xf>
    <xf numFmtId="0" fontId="158" fillId="55" borderId="61" xfId="50" applyFont="1" applyFill="1" applyBorder="1" applyAlignment="1" applyProtection="1">
      <alignment horizontal="center" vertical="center"/>
      <protection hidden="1"/>
    </xf>
    <xf numFmtId="0" fontId="87" fillId="55" borderId="60" xfId="50" applyFont="1" applyFill="1" applyBorder="1" applyAlignment="1" applyProtection="1">
      <alignment horizontal="center" vertical="center" wrapText="1"/>
      <protection hidden="1"/>
    </xf>
    <xf numFmtId="0" fontId="87" fillId="55" borderId="61" xfId="50" applyFont="1" applyFill="1" applyBorder="1" applyAlignment="1" applyProtection="1">
      <alignment horizontal="center" vertical="center" wrapText="1"/>
      <protection hidden="1"/>
    </xf>
    <xf numFmtId="0" fontId="158" fillId="55" borderId="62" xfId="50" applyFont="1" applyFill="1" applyBorder="1" applyAlignment="1" applyProtection="1">
      <alignment horizontal="center" vertical="center" wrapText="1"/>
      <protection hidden="1"/>
    </xf>
    <xf numFmtId="0" fontId="158" fillId="55" borderId="63" xfId="50" applyFont="1" applyFill="1" applyBorder="1" applyAlignment="1" applyProtection="1">
      <alignment horizontal="center" vertical="center" wrapText="1"/>
      <protection hidden="1"/>
    </xf>
    <xf numFmtId="0" fontId="158" fillId="55" borderId="63" xfId="50" applyFont="1" applyFill="1" applyBorder="1" applyAlignment="1" applyProtection="1">
      <alignment horizontal="center" vertical="center"/>
      <protection hidden="1"/>
    </xf>
    <xf numFmtId="0" fontId="158" fillId="55" borderId="64" xfId="50" applyFont="1" applyFill="1" applyBorder="1" applyAlignment="1" applyProtection="1">
      <alignment horizontal="center" vertical="center"/>
      <protection hidden="1"/>
    </xf>
    <xf numFmtId="0" fontId="87" fillId="55" borderId="63" xfId="50" applyFont="1" applyFill="1" applyBorder="1" applyAlignment="1" applyProtection="1">
      <alignment horizontal="center" vertical="center" wrapText="1"/>
      <protection hidden="1"/>
    </xf>
    <xf numFmtId="0" fontId="87" fillId="55" borderId="64" xfId="50" applyFont="1" applyFill="1" applyBorder="1" applyAlignment="1" applyProtection="1">
      <alignment horizontal="center" vertical="center" wrapText="1"/>
      <protection hidden="1"/>
    </xf>
    <xf numFmtId="0" fontId="149" fillId="35" borderId="65" xfId="0" applyFont="1" applyFill="1" applyBorder="1" applyAlignment="1" applyProtection="1">
      <alignment horizontal="center" vertical="center" shrinkToFit="1"/>
      <protection hidden="1"/>
    </xf>
    <xf numFmtId="0" fontId="149" fillId="35" borderId="60" xfId="0" applyFont="1" applyFill="1" applyBorder="1" applyAlignment="1" applyProtection="1">
      <alignment horizontal="center" vertical="center" shrinkToFit="1"/>
      <protection hidden="1"/>
    </xf>
    <xf numFmtId="0" fontId="149" fillId="35" borderId="61" xfId="0" applyFont="1" applyFill="1" applyBorder="1" applyAlignment="1" applyProtection="1">
      <alignment horizontal="center" vertical="center" shrinkToFit="1"/>
      <protection hidden="1"/>
    </xf>
    <xf numFmtId="0" fontId="161" fillId="35" borderId="63" xfId="0" applyFont="1" applyFill="1" applyBorder="1" applyAlignment="1" applyProtection="1">
      <alignment horizontal="center" vertical="center" shrinkToFit="1"/>
      <protection hidden="1"/>
    </xf>
    <xf numFmtId="0" fontId="161" fillId="35" borderId="64" xfId="0" applyFont="1" applyFill="1" applyBorder="1" applyAlignment="1" applyProtection="1">
      <alignment horizontal="center" vertical="center" shrinkToFit="1"/>
      <protection hidden="1"/>
    </xf>
    <xf numFmtId="0" fontId="161" fillId="35" borderId="60" xfId="0" applyFont="1" applyFill="1" applyBorder="1" applyAlignment="1" applyProtection="1">
      <alignment horizontal="center" vertical="center" shrinkToFit="1"/>
      <protection hidden="1"/>
    </xf>
    <xf numFmtId="0" fontId="161" fillId="35" borderId="61" xfId="0" applyFont="1" applyFill="1" applyBorder="1" applyAlignment="1" applyProtection="1">
      <alignment horizontal="center" vertical="center" shrinkToFit="1"/>
      <protection hidden="1"/>
    </xf>
    <xf numFmtId="0" fontId="149" fillId="35" borderId="62" xfId="0" applyFont="1" applyFill="1" applyBorder="1" applyAlignment="1" applyProtection="1">
      <alignment horizontal="center" vertical="center" shrinkToFit="1"/>
      <protection hidden="1"/>
    </xf>
    <xf numFmtId="0" fontId="149" fillId="35" borderId="63" xfId="0" applyFont="1" applyFill="1" applyBorder="1" applyAlignment="1" applyProtection="1">
      <alignment horizontal="center" vertical="center" shrinkToFit="1"/>
      <protection hidden="1"/>
    </xf>
    <xf numFmtId="0" fontId="149" fillId="35" borderId="64" xfId="0" applyFont="1" applyFill="1" applyBorder="1" applyAlignment="1" applyProtection="1">
      <alignment horizontal="center" vertical="center" shrinkToFit="1"/>
      <protection hidden="1"/>
    </xf>
  </cellXfs>
  <cellStyles count="89">
    <cellStyle name="_x000e__x0008__x000a_" xfId="1"/>
    <cellStyle name="_x000e__x0008__x000a_ 2" xfId="2"/>
    <cellStyle name="_x000e__x0008__x000a_ 2 2" xfId="3"/>
    <cellStyle name="_x000e__x0008__x000a_ 3" xfId="4"/>
    <cellStyle name="_x000e__x0008__x000a_ 3 2" xfId="5"/>
    <cellStyle name="_x000e__x0008__x000a_ 4" xfId="6"/>
    <cellStyle name="_x000a_386grabber=v" xfId="7"/>
    <cellStyle name="20% - Accent1" xfId="8"/>
    <cellStyle name="20% - Accent2" xfId="9"/>
    <cellStyle name="20% - Accent3" xfId="10"/>
    <cellStyle name="20% - Accent4" xfId="11"/>
    <cellStyle name="20% - Accent5" xfId="12"/>
    <cellStyle name="20% - Accent6" xfId="13"/>
    <cellStyle name="40% - Accent1" xfId="14"/>
    <cellStyle name="40% - Accent2" xfId="15"/>
    <cellStyle name="40% - Accent3" xfId="16"/>
    <cellStyle name="40% - Accent4" xfId="17"/>
    <cellStyle name="40% - Accent5" xfId="18"/>
    <cellStyle name="40% - Accent6" xfId="19"/>
    <cellStyle name="60% - Accent1" xfId="20"/>
    <cellStyle name="60% - Accent2" xfId="21"/>
    <cellStyle name="60% - Accent3" xfId="22"/>
    <cellStyle name="60% - Accent4" xfId="23"/>
    <cellStyle name="60% - Accent5" xfId="24"/>
    <cellStyle name="60% - Accent6" xfId="25"/>
    <cellStyle name="Accent1" xfId="26"/>
    <cellStyle name="Accent2" xfId="27"/>
    <cellStyle name="Accent3" xfId="28"/>
    <cellStyle name="Accent4" xfId="29"/>
    <cellStyle name="Accent5" xfId="30"/>
    <cellStyle name="Accent6" xfId="31"/>
    <cellStyle name="Bad" xfId="32"/>
    <cellStyle name="Calculation" xfId="33"/>
    <cellStyle name="Check Cell" xfId="34"/>
    <cellStyle name="Explanatory Text" xfId="35"/>
    <cellStyle name="Good" xfId="36"/>
    <cellStyle name="Heading 1" xfId="37"/>
    <cellStyle name="Heading 2" xfId="38"/>
    <cellStyle name="Heading 3" xfId="39"/>
    <cellStyle name="Heading 4" xfId="40"/>
    <cellStyle name="Input" xfId="41"/>
    <cellStyle name="Linked Cell" xfId="42"/>
    <cellStyle name="Neutral" xfId="43"/>
    <cellStyle name="Note" xfId="44"/>
    <cellStyle name="Output" xfId="45"/>
    <cellStyle name="SPMDE" xfId="46"/>
    <cellStyle name="Title" xfId="47"/>
    <cellStyle name="Total" xfId="48"/>
    <cellStyle name="Warning Text" xfId="49"/>
    <cellStyle name="一般" xfId="0" builtinId="0"/>
    <cellStyle name="一般 2" xfId="50"/>
    <cellStyle name="一般 2 2" xfId="51"/>
    <cellStyle name="一般 3" xfId="52"/>
    <cellStyle name="一般 4" xfId="53"/>
    <cellStyle name="一般 4 2" xfId="54"/>
    <cellStyle name="一般 5" xfId="55"/>
    <cellStyle name="一般 6" xfId="56"/>
    <cellStyle name="一般 7" xfId="57"/>
    <cellStyle name="一般_FXWGD" xfId="58"/>
    <cellStyle name="一般_OP" xfId="59"/>
    <cellStyle name="一般_OP 2" xfId="60"/>
    <cellStyle name="一般_OP_2" xfId="61"/>
    <cellStyle name="一般_PDATA" xfId="62"/>
    <cellStyle name="一般_PDATA_1" xfId="63"/>
    <cellStyle name="一般_PDATA_2" xfId="64"/>
    <cellStyle name="一般_PDATA_3" xfId="65"/>
    <cellStyle name="一般_PDATA_4" xfId="66"/>
    <cellStyle name="一般_Proposal data to FB_FISB" xfId="67"/>
    <cellStyle name="一般_Proposal data to FB_FSLA" xfId="68"/>
    <cellStyle name="一般_XWX817" xfId="69"/>
    <cellStyle name="一般_工作表1" xfId="70"/>
    <cellStyle name="一般_我用的-年齡計算函數e" xfId="71"/>
    <cellStyle name="一般_我用的-年齡計算函數e 2" xfId="72"/>
    <cellStyle name="一般_宣告利率更新" xfId="73"/>
    <cellStyle name="一般_頁面" xfId="74"/>
    <cellStyle name="一般_揭露" xfId="75"/>
    <cellStyle name="一般_揭露_1" xfId="76"/>
    <cellStyle name="一般_揭露_2" xfId="77"/>
    <cellStyle name="千分位" xfId="78" builtinId="3"/>
    <cellStyle name="千分位 2" xfId="79"/>
    <cellStyle name="千分位 3" xfId="80"/>
    <cellStyle name="千分位[0]" xfId="81" builtinId="6"/>
    <cellStyle name="千分位[0] 2" xfId="82"/>
    <cellStyle name="千分位[0] 3" xfId="83"/>
    <cellStyle name="好_ANZIB 書面分析報告_20150519_壽險_Edit" xfId="84"/>
    <cellStyle name="超連結" xfId="85" builtinId="8"/>
    <cellStyle name="超連結 2" xfId="86"/>
    <cellStyle name="樣式 1" xfId="87"/>
    <cellStyle name="壞_ANZIB 書面分析報告_20150519_壽險_Edit" xfId="88"/>
  </cellStyles>
  <dxfs count="64">
    <dxf>
      <font>
        <condense val="0"/>
        <extend val="0"/>
        <color indexed="9"/>
      </font>
      <fill>
        <patternFill patternType="none">
          <bgColor indexed="65"/>
        </patternFill>
      </fill>
    </dxf>
    <dxf>
      <font>
        <condense val="0"/>
        <extend val="0"/>
        <color indexed="9"/>
      </font>
      <fill>
        <patternFill patternType="none">
          <bgColor indexed="65"/>
        </patternFill>
      </fill>
    </dxf>
    <dxf>
      <font>
        <strike val="0"/>
        <condense val="0"/>
        <extend val="0"/>
        <color indexed="9"/>
      </font>
      <border>
        <left/>
        <right/>
        <top/>
        <bottom/>
      </border>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strike val="0"/>
        <condense val="0"/>
        <extend val="0"/>
        <color indexed="9"/>
      </font>
      <border>
        <left/>
        <right/>
        <top/>
        <bottom/>
      </border>
    </dxf>
    <dxf>
      <font>
        <strike val="0"/>
        <condense val="0"/>
        <extend val="0"/>
        <color indexed="9"/>
      </font>
      <border>
        <left/>
        <right/>
        <top/>
        <bottom/>
      </border>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lor theme="0"/>
      </font>
      <fill>
        <patternFill>
          <bgColor theme="0"/>
        </patternFill>
      </fill>
      <border>
        <left/>
        <right/>
        <top/>
        <bottom/>
      </border>
    </dxf>
    <dxf>
      <font>
        <strike val="0"/>
        <condense val="0"/>
        <extend val="0"/>
        <color indexed="9"/>
      </font>
      <border>
        <left/>
        <right/>
        <top/>
        <bottom/>
      </border>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strike val="0"/>
        <condense val="0"/>
        <extend val="0"/>
        <color indexed="9"/>
      </font>
      <border>
        <left/>
        <right/>
        <top/>
        <bottom/>
      </border>
    </dxf>
    <dxf>
      <font>
        <strike val="0"/>
        <condense val="0"/>
        <extend val="0"/>
        <color indexed="9"/>
      </font>
      <border>
        <left/>
        <right/>
        <top/>
        <bottom/>
      </border>
    </dxf>
    <dxf>
      <font>
        <color theme="0"/>
      </font>
      <fill>
        <patternFill patternType="none">
          <bgColor indexed="65"/>
        </patternFill>
      </fill>
      <border>
        <left/>
        <right/>
        <top/>
        <bottom/>
      </border>
    </dxf>
    <dxf>
      <font>
        <color theme="0"/>
      </font>
      <fill>
        <patternFill>
          <bgColor theme="0"/>
        </patternFill>
      </fill>
      <border>
        <left/>
        <right/>
        <top/>
      </border>
    </dxf>
    <dxf>
      <font>
        <color theme="0"/>
      </font>
      <fill>
        <patternFill>
          <bgColor theme="0"/>
        </patternFill>
      </fill>
      <border>
        <left/>
        <right/>
        <top/>
        <bottom/>
      </border>
    </dxf>
    <dxf>
      <font>
        <color theme="0"/>
      </font>
      <fill>
        <patternFill>
          <bgColor theme="0"/>
        </patternFill>
      </fill>
      <border>
        <left/>
        <right/>
        <bottom/>
      </border>
    </dxf>
    <dxf>
      <font>
        <color theme="0"/>
      </font>
      <fill>
        <patternFill>
          <bgColor theme="0"/>
        </patternFill>
      </fill>
      <border>
        <left/>
        <right/>
        <top/>
        <bottom/>
      </border>
    </dxf>
    <dxf>
      <fill>
        <patternFill>
          <bgColor indexed="10"/>
        </patternFill>
      </fill>
    </dxf>
    <dxf>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ont>
        <b/>
        <i val="0"/>
        <strike/>
        <condense val="0"/>
        <extend val="0"/>
        <color indexed="9"/>
      </font>
      <fill>
        <patternFill>
          <bgColor indexed="10"/>
        </patternFill>
      </fill>
    </dxf>
    <dxf>
      <font>
        <condense val="0"/>
        <extend val="0"/>
        <color indexed="12"/>
      </font>
    </dxf>
    <dxf>
      <font>
        <condense val="0"/>
        <extend val="0"/>
        <color indexed="9"/>
      </font>
      <fill>
        <patternFill>
          <bgColor indexed="9"/>
        </patternFill>
      </fill>
      <border>
        <left/>
        <right/>
        <top/>
        <bottom/>
      </border>
    </dxf>
    <dxf>
      <fill>
        <patternFill>
          <bgColor indexed="10"/>
        </patternFill>
      </fill>
    </dxf>
    <dxf>
      <font>
        <b/>
        <i val="0"/>
        <strike/>
        <condense val="0"/>
        <extend val="0"/>
        <color indexed="9"/>
      </font>
      <fill>
        <patternFill>
          <bgColor indexed="10"/>
        </patternFill>
      </fill>
    </dxf>
    <dxf>
      <fill>
        <patternFill>
          <bgColor indexed="10"/>
        </patternFill>
      </fill>
    </dxf>
    <dxf>
      <font>
        <b/>
        <i val="0"/>
        <strike/>
        <condense val="0"/>
        <extend val="0"/>
        <color indexed="9"/>
      </font>
      <fill>
        <patternFill>
          <bgColor indexed="10"/>
        </patternFill>
      </fill>
    </dxf>
    <dxf>
      <fill>
        <patternFill>
          <bgColor indexed="10"/>
        </patternFill>
      </fill>
    </dxf>
    <dxf>
      <font>
        <b/>
        <i val="0"/>
        <condense val="0"/>
        <extend val="0"/>
        <color indexed="9"/>
      </font>
      <fill>
        <patternFill>
          <bgColor indexed="10"/>
        </patternFill>
      </fill>
    </dxf>
    <dxf>
      <fill>
        <patternFill>
          <bgColor indexed="10"/>
        </patternFill>
      </fill>
    </dxf>
    <dxf>
      <font>
        <b/>
        <i val="0"/>
        <strike/>
        <condense val="0"/>
        <extend val="0"/>
        <color indexed="9"/>
      </font>
      <fill>
        <patternFill>
          <bgColor indexed="10"/>
        </patternFill>
      </fill>
    </dxf>
    <dxf>
      <font>
        <strike/>
        <condense val="0"/>
        <extend val="0"/>
        <color indexed="9"/>
      </font>
      <fill>
        <patternFill>
          <bgColor indexed="10"/>
        </patternFill>
      </fill>
    </dxf>
    <dxf>
      <font>
        <condense val="0"/>
        <extend val="0"/>
        <color indexed="9"/>
      </font>
      <fill>
        <patternFill>
          <bgColor indexed="9"/>
        </patternFill>
      </fill>
    </dxf>
    <dxf>
      <font>
        <b/>
        <i val="0"/>
        <condense val="0"/>
        <extend val="0"/>
        <color indexed="9"/>
      </font>
      <fill>
        <patternFill>
          <bgColor indexed="53"/>
        </patternFill>
      </fill>
      <border>
        <left style="thin">
          <color indexed="9"/>
        </left>
        <bottom style="thin">
          <color indexed="64"/>
        </bottom>
      </border>
    </dxf>
    <dxf>
      <font>
        <b/>
        <i val="0"/>
        <condense val="0"/>
        <extend val="0"/>
        <color indexed="12"/>
      </font>
    </dxf>
    <dxf>
      <fill>
        <patternFill>
          <bgColor indexed="10"/>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fubon.com/Fubon_Portal/life/fbliferate/SensitiveRate_v2.jsp?selItem=IW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K787"/>
  <sheetViews>
    <sheetView topLeftCell="XFD1048576" workbookViewId="0"/>
  </sheetViews>
  <sheetFormatPr defaultColWidth="0" defaultRowHeight="14.25" zeroHeight="1"/>
  <cols>
    <col min="1" max="8" width="9.33203125" hidden="1" customWidth="1"/>
    <col min="9" max="9" width="12.1640625" hidden="1" customWidth="1"/>
    <col min="10" max="15" width="9.33203125" hidden="1" customWidth="1"/>
    <col min="16" max="16" width="16" hidden="1" customWidth="1"/>
    <col min="17" max="17" width="11.1640625" hidden="1" customWidth="1"/>
    <col min="18" max="132" width="9.33203125" hidden="1" customWidth="1"/>
    <col min="133" max="133" width="12.83203125" hidden="1" customWidth="1"/>
    <col min="134" max="135" width="18" hidden="1" customWidth="1"/>
  </cols>
  <sheetData>
    <row r="1" spans="1:244" s="439" customFormat="1" hidden="1">
      <c r="A1" s="437" t="s">
        <v>346</v>
      </c>
      <c r="B1" s="437">
        <v>1031223</v>
      </c>
      <c r="C1" s="437"/>
      <c r="D1" s="437"/>
      <c r="E1" s="437"/>
      <c r="F1" s="437"/>
      <c r="G1" s="437"/>
      <c r="H1" s="437"/>
      <c r="I1" s="780" t="str">
        <f>B1&amp;TEXT(F1,"00")&amp;TEXT(H1,"00")</f>
        <v>10312230000</v>
      </c>
      <c r="J1" s="437"/>
      <c r="L1" s="437" t="s">
        <v>347</v>
      </c>
      <c r="M1" s="437"/>
      <c r="N1" s="437"/>
      <c r="O1" s="437"/>
      <c r="P1" s="780" t="str">
        <f>M1&amp;TEXT(N1,"00")&amp;TEXT(O1,"00")</f>
        <v>0000</v>
      </c>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c r="DS1" s="437"/>
      <c r="DT1" s="437"/>
      <c r="DU1" s="437"/>
      <c r="DV1" s="437"/>
      <c r="DW1" s="437"/>
      <c r="DY1" s="439" t="s">
        <v>334</v>
      </c>
      <c r="EC1" s="438" t="str">
        <f>DZ1&amp;TEXT(EA1,"00")&amp;TEXT(EB1,"00")</f>
        <v>0000</v>
      </c>
    </row>
    <row r="2" spans="1:244" ht="24" hidden="1">
      <c r="A2" s="845" t="s">
        <v>91</v>
      </c>
      <c r="B2" s="845" t="s">
        <v>92</v>
      </c>
      <c r="C2" s="845" t="s">
        <v>1167</v>
      </c>
      <c r="D2" s="845" t="s">
        <v>1168</v>
      </c>
      <c r="E2" s="845" t="s">
        <v>1169</v>
      </c>
      <c r="F2" s="845" t="s">
        <v>93</v>
      </c>
      <c r="G2" s="845" t="s">
        <v>1170</v>
      </c>
      <c r="H2" s="845" t="s">
        <v>94</v>
      </c>
      <c r="I2" s="780" t="str">
        <f t="shared" ref="I2:I65" si="0">B2&amp;TEXT(F2,"00")&amp;TEXT(H2,"00")</f>
        <v>商品代號性別年齡</v>
      </c>
      <c r="J2" s="845" t="s">
        <v>95</v>
      </c>
      <c r="L2" s="845" t="s">
        <v>91</v>
      </c>
      <c r="M2" s="845" t="s">
        <v>92</v>
      </c>
      <c r="N2" s="845" t="s">
        <v>93</v>
      </c>
      <c r="O2" s="845" t="s">
        <v>94</v>
      </c>
      <c r="P2" s="780" t="str">
        <f t="shared" ref="P2:P65" si="1">M2&amp;TEXT(N2,"00")&amp;TEXT(O2,"00")</f>
        <v>商品代號性別年齡</v>
      </c>
      <c r="Q2" s="845" t="s">
        <v>594</v>
      </c>
      <c r="R2" s="845" t="s">
        <v>595</v>
      </c>
      <c r="S2" s="845" t="s">
        <v>596</v>
      </c>
      <c r="T2" s="845" t="s">
        <v>597</v>
      </c>
      <c r="U2" s="845" t="s">
        <v>598</v>
      </c>
      <c r="V2" s="845" t="s">
        <v>599</v>
      </c>
      <c r="W2" s="845" t="s">
        <v>600</v>
      </c>
      <c r="X2" s="845" t="s">
        <v>601</v>
      </c>
      <c r="Y2" s="845" t="s">
        <v>602</v>
      </c>
      <c r="Z2" s="845" t="s">
        <v>603</v>
      </c>
      <c r="AA2" s="845" t="s">
        <v>604</v>
      </c>
      <c r="AB2" s="845" t="s">
        <v>605</v>
      </c>
      <c r="AC2" s="845" t="s">
        <v>606</v>
      </c>
      <c r="AD2" s="845" t="s">
        <v>607</v>
      </c>
      <c r="AE2" s="845" t="s">
        <v>608</v>
      </c>
      <c r="AF2" s="845" t="s">
        <v>609</v>
      </c>
      <c r="AG2" s="845" t="s">
        <v>610</v>
      </c>
      <c r="AH2" s="845" t="s">
        <v>611</v>
      </c>
      <c r="AI2" s="845" t="s">
        <v>612</v>
      </c>
      <c r="AJ2" s="845" t="s">
        <v>613</v>
      </c>
      <c r="AK2" s="845" t="s">
        <v>614</v>
      </c>
      <c r="AL2" s="845" t="s">
        <v>615</v>
      </c>
      <c r="AM2" s="845" t="s">
        <v>616</v>
      </c>
      <c r="AN2" s="845" t="s">
        <v>617</v>
      </c>
      <c r="AO2" s="845" t="s">
        <v>618</v>
      </c>
      <c r="AP2" s="845" t="s">
        <v>619</v>
      </c>
      <c r="AQ2" s="845" t="s">
        <v>620</v>
      </c>
      <c r="AR2" s="845" t="s">
        <v>621</v>
      </c>
      <c r="AS2" s="845" t="s">
        <v>622</v>
      </c>
      <c r="AT2" s="845" t="s">
        <v>623</v>
      </c>
      <c r="AU2" s="845" t="s">
        <v>624</v>
      </c>
      <c r="AV2" s="845" t="s">
        <v>625</v>
      </c>
      <c r="AW2" s="845" t="s">
        <v>626</v>
      </c>
      <c r="AX2" s="845" t="s">
        <v>627</v>
      </c>
      <c r="AY2" s="845" t="s">
        <v>628</v>
      </c>
      <c r="AZ2" s="845" t="s">
        <v>629</v>
      </c>
      <c r="BA2" s="845" t="s">
        <v>630</v>
      </c>
      <c r="BB2" s="845" t="s">
        <v>631</v>
      </c>
      <c r="BC2" s="845" t="s">
        <v>632</v>
      </c>
      <c r="BD2" s="845" t="s">
        <v>633</v>
      </c>
      <c r="BE2" s="845" t="s">
        <v>634</v>
      </c>
      <c r="BF2" s="845" t="s">
        <v>635</v>
      </c>
      <c r="BG2" s="845" t="s">
        <v>636</v>
      </c>
      <c r="BH2" s="845" t="s">
        <v>637</v>
      </c>
      <c r="BI2" s="845" t="s">
        <v>638</v>
      </c>
      <c r="BJ2" s="845" t="s">
        <v>639</v>
      </c>
      <c r="BK2" s="845" t="s">
        <v>640</v>
      </c>
      <c r="BL2" s="845" t="s">
        <v>641</v>
      </c>
      <c r="BM2" s="845" t="s">
        <v>642</v>
      </c>
      <c r="BN2" s="845" t="s">
        <v>643</v>
      </c>
      <c r="BO2" s="845" t="s">
        <v>644</v>
      </c>
      <c r="BP2" s="845" t="s">
        <v>645</v>
      </c>
      <c r="BQ2" s="845" t="s">
        <v>646</v>
      </c>
      <c r="BR2" s="845" t="s">
        <v>647</v>
      </c>
      <c r="BS2" s="845" t="s">
        <v>648</v>
      </c>
      <c r="BT2" s="845" t="s">
        <v>649</v>
      </c>
      <c r="BU2" s="845" t="s">
        <v>650</v>
      </c>
      <c r="BV2" s="845" t="s">
        <v>651</v>
      </c>
      <c r="BW2" s="845" t="s">
        <v>652</v>
      </c>
      <c r="BX2" s="845" t="s">
        <v>653</v>
      </c>
      <c r="BY2" s="845" t="s">
        <v>654</v>
      </c>
      <c r="BZ2" s="845" t="s">
        <v>655</v>
      </c>
      <c r="CA2" s="845" t="s">
        <v>656</v>
      </c>
      <c r="CB2" s="845" t="s">
        <v>657</v>
      </c>
      <c r="CC2" s="845" t="s">
        <v>658</v>
      </c>
      <c r="CD2" s="845" t="s">
        <v>659</v>
      </c>
      <c r="CE2" s="845" t="s">
        <v>660</v>
      </c>
      <c r="CF2" s="845" t="s">
        <v>661</v>
      </c>
      <c r="CG2" s="845" t="s">
        <v>662</v>
      </c>
      <c r="CH2" s="845" t="s">
        <v>663</v>
      </c>
      <c r="CI2" s="845" t="s">
        <v>664</v>
      </c>
      <c r="CJ2" s="845" t="s">
        <v>665</v>
      </c>
      <c r="CK2" s="845" t="s">
        <v>666</v>
      </c>
      <c r="CL2" s="845" t="s">
        <v>667</v>
      </c>
      <c r="CM2" s="845" t="s">
        <v>668</v>
      </c>
      <c r="CN2" s="845" t="s">
        <v>669</v>
      </c>
      <c r="CO2" s="845" t="s">
        <v>670</v>
      </c>
      <c r="CP2" s="845" t="s">
        <v>671</v>
      </c>
      <c r="CQ2" s="845" t="s">
        <v>672</v>
      </c>
      <c r="CR2" s="845" t="s">
        <v>673</v>
      </c>
      <c r="CS2" s="845" t="s">
        <v>674</v>
      </c>
      <c r="CT2" s="845" t="s">
        <v>675</v>
      </c>
      <c r="CU2" s="845" t="s">
        <v>676</v>
      </c>
      <c r="CV2" s="845" t="s">
        <v>677</v>
      </c>
      <c r="CW2" s="845" t="s">
        <v>678</v>
      </c>
      <c r="CX2" s="845" t="s">
        <v>679</v>
      </c>
      <c r="CY2" s="845" t="s">
        <v>680</v>
      </c>
      <c r="CZ2" s="845" t="s">
        <v>681</v>
      </c>
      <c r="DA2" s="845" t="s">
        <v>682</v>
      </c>
      <c r="DB2" s="845" t="s">
        <v>683</v>
      </c>
      <c r="DC2" s="845" t="s">
        <v>684</v>
      </c>
      <c r="DD2" s="845" t="s">
        <v>685</v>
      </c>
      <c r="DE2" s="845" t="s">
        <v>686</v>
      </c>
      <c r="DF2" s="845" t="s">
        <v>687</v>
      </c>
      <c r="DG2" s="845" t="s">
        <v>688</v>
      </c>
      <c r="DH2" s="845" t="s">
        <v>689</v>
      </c>
      <c r="DI2" s="845" t="s">
        <v>690</v>
      </c>
      <c r="DJ2" s="845" t="s">
        <v>691</v>
      </c>
      <c r="DK2" s="845" t="s">
        <v>692</v>
      </c>
      <c r="DL2" s="845" t="s">
        <v>693</v>
      </c>
      <c r="DM2" s="845" t="s">
        <v>694</v>
      </c>
      <c r="DN2" s="845" t="s">
        <v>695</v>
      </c>
      <c r="DO2" s="845" t="s">
        <v>696</v>
      </c>
      <c r="DP2" s="845" t="s">
        <v>697</v>
      </c>
      <c r="DQ2" s="845" t="s">
        <v>698</v>
      </c>
      <c r="DR2" s="845" t="s">
        <v>699</v>
      </c>
      <c r="DS2" s="845" t="s">
        <v>700</v>
      </c>
      <c r="DT2" s="845" t="s">
        <v>701</v>
      </c>
      <c r="DU2" s="845" t="s">
        <v>702</v>
      </c>
      <c r="DV2" s="845" t="s">
        <v>703</v>
      </c>
      <c r="DW2" s="845" t="s">
        <v>704</v>
      </c>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172"/>
      <c r="FS2" s="172"/>
      <c r="FT2" s="172"/>
      <c r="FU2" s="172"/>
      <c r="FV2" s="172"/>
      <c r="FW2" s="172"/>
      <c r="FX2" s="172"/>
      <c r="FY2" s="172"/>
      <c r="FZ2" s="172"/>
      <c r="GA2" s="172"/>
      <c r="GB2" s="172"/>
      <c r="GC2" s="172"/>
      <c r="GD2" s="172"/>
      <c r="GE2" s="172"/>
      <c r="GF2" s="172"/>
      <c r="GG2" s="172"/>
      <c r="GH2" s="172"/>
      <c r="GI2" s="172"/>
      <c r="GJ2" s="172"/>
      <c r="GK2" s="172"/>
      <c r="GL2" s="172"/>
      <c r="GM2" s="172"/>
      <c r="GN2" s="172"/>
      <c r="GO2" s="172"/>
      <c r="GP2" s="172"/>
      <c r="GQ2" s="172"/>
      <c r="GR2" s="172"/>
      <c r="GS2" s="172"/>
      <c r="GT2" s="172"/>
      <c r="GU2" s="172"/>
      <c r="GV2" s="172"/>
      <c r="GW2" s="172"/>
      <c r="GX2" s="172"/>
      <c r="GY2" s="172"/>
      <c r="GZ2" s="172"/>
      <c r="HA2" s="172"/>
      <c r="HB2" s="172"/>
      <c r="HC2" s="172"/>
      <c r="HD2" s="172"/>
      <c r="HE2" s="172"/>
      <c r="HF2" s="172"/>
      <c r="HG2" s="172"/>
      <c r="HH2" s="172"/>
      <c r="HI2" s="172"/>
      <c r="HJ2" s="172"/>
      <c r="HK2" s="172"/>
      <c r="HL2" s="172"/>
      <c r="HM2" s="172"/>
      <c r="HN2" s="172"/>
      <c r="HO2" s="172"/>
      <c r="HP2" s="172"/>
      <c r="HQ2" s="172"/>
      <c r="HR2" s="172"/>
      <c r="HS2" s="172"/>
      <c r="HT2" s="172"/>
      <c r="HU2" s="172"/>
      <c r="HV2" s="172"/>
      <c r="HW2" s="172"/>
      <c r="HX2" s="172"/>
      <c r="HY2" s="172"/>
      <c r="HZ2" s="172"/>
      <c r="IA2" s="172"/>
      <c r="IB2" s="172"/>
      <c r="IC2" s="172"/>
      <c r="ID2" s="172"/>
      <c r="IE2" s="172"/>
      <c r="IF2" s="172"/>
      <c r="IG2" s="172"/>
      <c r="IH2" s="172"/>
      <c r="II2" s="172"/>
      <c r="IJ2" s="172"/>
    </row>
    <row r="3" spans="1:244" ht="16.5" hidden="1">
      <c r="A3" s="846" t="s">
        <v>1060</v>
      </c>
      <c r="B3" s="846" t="s">
        <v>1382</v>
      </c>
      <c r="C3" s="846" t="s">
        <v>1171</v>
      </c>
      <c r="D3" s="847">
        <v>6</v>
      </c>
      <c r="E3" s="846" t="s">
        <v>1171</v>
      </c>
      <c r="F3" s="846" t="s">
        <v>96</v>
      </c>
      <c r="G3" s="851"/>
      <c r="H3" s="847">
        <v>0</v>
      </c>
      <c r="I3" s="780" t="str">
        <f t="shared" si="0"/>
        <v>IWT060100</v>
      </c>
      <c r="J3" s="847">
        <v>4420</v>
      </c>
      <c r="L3" s="846" t="s">
        <v>1060</v>
      </c>
      <c r="M3" s="846" t="s">
        <v>1382</v>
      </c>
      <c r="N3" s="846" t="s">
        <v>96</v>
      </c>
      <c r="O3" s="847">
        <v>0</v>
      </c>
      <c r="P3" s="780" t="str">
        <f t="shared" si="1"/>
        <v>IWT060100</v>
      </c>
      <c r="Q3" s="847">
        <v>1109</v>
      </c>
      <c r="R3" s="847">
        <v>2950</v>
      </c>
      <c r="S3" s="847">
        <v>4756</v>
      </c>
      <c r="T3" s="847">
        <v>6526</v>
      </c>
      <c r="U3" s="847">
        <v>8262</v>
      </c>
      <c r="V3" s="847">
        <v>0</v>
      </c>
      <c r="W3" s="847">
        <v>0</v>
      </c>
      <c r="X3" s="847">
        <v>0</v>
      </c>
      <c r="Y3" s="847">
        <v>0</v>
      </c>
      <c r="Z3" s="847">
        <v>0</v>
      </c>
      <c r="AA3" s="847">
        <v>0</v>
      </c>
      <c r="AB3" s="847">
        <v>0</v>
      </c>
      <c r="AC3" s="847">
        <v>0</v>
      </c>
      <c r="AD3" s="847">
        <v>0</v>
      </c>
      <c r="AE3" s="847">
        <v>0</v>
      </c>
      <c r="AF3" s="847">
        <v>0</v>
      </c>
      <c r="AG3" s="847">
        <v>0</v>
      </c>
      <c r="AH3" s="847">
        <v>0</v>
      </c>
      <c r="AI3" s="847">
        <v>0</v>
      </c>
      <c r="AJ3" s="847">
        <v>0</v>
      </c>
      <c r="AK3" s="847">
        <v>0</v>
      </c>
      <c r="AL3" s="847">
        <v>0</v>
      </c>
      <c r="AM3" s="847">
        <v>0</v>
      </c>
      <c r="AN3" s="847">
        <v>0</v>
      </c>
      <c r="AO3" s="847">
        <v>0</v>
      </c>
      <c r="AP3" s="847">
        <v>0</v>
      </c>
      <c r="AQ3" s="847">
        <v>0</v>
      </c>
      <c r="AR3" s="847">
        <v>0</v>
      </c>
      <c r="AS3" s="847">
        <v>0</v>
      </c>
      <c r="AT3" s="847">
        <v>0</v>
      </c>
      <c r="AU3" s="847">
        <v>0</v>
      </c>
      <c r="AV3" s="847">
        <v>0</v>
      </c>
      <c r="AW3" s="847">
        <v>0</v>
      </c>
      <c r="AX3" s="847">
        <v>0</v>
      </c>
      <c r="AY3" s="847">
        <v>0</v>
      </c>
      <c r="AZ3" s="847">
        <v>0</v>
      </c>
      <c r="BA3" s="847">
        <v>0</v>
      </c>
      <c r="BB3" s="847">
        <v>0</v>
      </c>
      <c r="BC3" s="847">
        <v>0</v>
      </c>
      <c r="BD3" s="847">
        <v>0</v>
      </c>
      <c r="BE3" s="847">
        <v>0</v>
      </c>
      <c r="BF3" s="847">
        <v>0</v>
      </c>
      <c r="BG3" s="847">
        <v>0</v>
      </c>
      <c r="BH3" s="847">
        <v>0</v>
      </c>
      <c r="BI3" s="847">
        <v>0</v>
      </c>
      <c r="BJ3" s="847">
        <v>0</v>
      </c>
      <c r="BK3" s="847">
        <v>0</v>
      </c>
      <c r="BL3" s="847">
        <v>0</v>
      </c>
      <c r="BM3" s="847">
        <v>0</v>
      </c>
      <c r="BN3" s="847">
        <v>0</v>
      </c>
      <c r="BO3" s="847">
        <v>0</v>
      </c>
      <c r="BP3" s="847">
        <v>0</v>
      </c>
      <c r="BQ3" s="847">
        <v>0</v>
      </c>
      <c r="BR3" s="847">
        <v>0</v>
      </c>
      <c r="BS3" s="847">
        <v>0</v>
      </c>
      <c r="BT3" s="847">
        <v>0</v>
      </c>
      <c r="BU3" s="847">
        <v>0</v>
      </c>
      <c r="BV3" s="847">
        <v>0</v>
      </c>
      <c r="BW3" s="847">
        <v>0</v>
      </c>
      <c r="BX3" s="847">
        <v>0</v>
      </c>
      <c r="BY3" s="847">
        <v>0</v>
      </c>
      <c r="BZ3" s="847">
        <v>0</v>
      </c>
      <c r="CA3" s="847">
        <v>0</v>
      </c>
      <c r="CB3" s="847">
        <v>0</v>
      </c>
      <c r="CC3" s="847">
        <v>0</v>
      </c>
      <c r="CD3" s="847">
        <v>0</v>
      </c>
      <c r="CE3" s="847">
        <v>0</v>
      </c>
      <c r="CF3" s="847">
        <v>0</v>
      </c>
      <c r="CG3" s="847">
        <v>0</v>
      </c>
      <c r="CH3" s="847">
        <v>0</v>
      </c>
      <c r="CI3" s="847">
        <v>0</v>
      </c>
      <c r="CJ3" s="847">
        <v>0</v>
      </c>
      <c r="CK3" s="847">
        <v>0</v>
      </c>
      <c r="CL3" s="847">
        <v>0</v>
      </c>
      <c r="CM3" s="847">
        <v>0</v>
      </c>
      <c r="CN3" s="847">
        <v>0</v>
      </c>
      <c r="CO3" s="847">
        <v>0</v>
      </c>
      <c r="CP3" s="847">
        <v>0</v>
      </c>
      <c r="CQ3" s="847">
        <v>0</v>
      </c>
      <c r="CR3" s="847">
        <v>0</v>
      </c>
      <c r="CS3" s="847">
        <v>0</v>
      </c>
      <c r="CT3" s="847">
        <v>0</v>
      </c>
      <c r="CU3" s="847">
        <v>0</v>
      </c>
      <c r="CV3" s="847">
        <v>0</v>
      </c>
      <c r="CW3" s="847">
        <v>0</v>
      </c>
      <c r="CX3" s="847">
        <v>0</v>
      </c>
      <c r="CY3" s="847">
        <v>0</v>
      </c>
      <c r="CZ3" s="847">
        <v>0</v>
      </c>
      <c r="DA3" s="847">
        <v>0</v>
      </c>
      <c r="DB3" s="847">
        <v>0</v>
      </c>
      <c r="DC3" s="847">
        <v>0</v>
      </c>
      <c r="DD3" s="847">
        <v>0</v>
      </c>
      <c r="DE3" s="847">
        <v>0</v>
      </c>
      <c r="DF3" s="847">
        <v>0</v>
      </c>
      <c r="DG3" s="847">
        <v>0</v>
      </c>
      <c r="DH3" s="847">
        <v>0</v>
      </c>
      <c r="DI3" s="847">
        <v>0</v>
      </c>
      <c r="DJ3" s="847">
        <v>0</v>
      </c>
      <c r="DK3" s="847">
        <v>0</v>
      </c>
      <c r="DL3" s="847">
        <v>0</v>
      </c>
      <c r="DM3" s="847">
        <v>0</v>
      </c>
      <c r="DN3" s="847">
        <v>0</v>
      </c>
      <c r="DO3" s="847">
        <v>0</v>
      </c>
      <c r="DP3" s="847">
        <v>0</v>
      </c>
      <c r="DQ3" s="847">
        <v>0</v>
      </c>
      <c r="DR3" s="847">
        <v>0</v>
      </c>
      <c r="DS3" s="847">
        <v>0</v>
      </c>
      <c r="DT3" s="847">
        <v>0</v>
      </c>
      <c r="DU3" s="847">
        <v>0</v>
      </c>
      <c r="DV3" s="847">
        <v>0</v>
      </c>
      <c r="DW3" s="847">
        <v>0</v>
      </c>
      <c r="DY3" s="173"/>
      <c r="DZ3" s="173"/>
      <c r="EA3" s="173"/>
      <c r="EB3" s="174"/>
      <c r="EC3" s="175"/>
      <c r="ED3" s="174"/>
      <c r="EE3" s="174"/>
      <c r="EF3" s="174"/>
      <c r="EG3" s="174"/>
      <c r="EH3" s="174"/>
      <c r="EI3" s="174"/>
      <c r="EJ3" s="174"/>
      <c r="EK3" s="174"/>
      <c r="EL3" s="174"/>
      <c r="EM3" s="174"/>
      <c r="EN3" s="174"/>
      <c r="EO3" s="174"/>
      <c r="EP3" s="174"/>
      <c r="EQ3" s="174"/>
      <c r="ER3" s="174"/>
      <c r="ES3" s="174"/>
      <c r="ET3" s="174"/>
      <c r="EU3" s="174"/>
      <c r="EV3" s="174"/>
      <c r="EW3" s="174"/>
      <c r="EX3" s="174"/>
      <c r="EY3" s="174"/>
      <c r="EZ3" s="174"/>
      <c r="FA3" s="174"/>
      <c r="FB3" s="174"/>
      <c r="FC3" s="174"/>
      <c r="FD3" s="174"/>
      <c r="FE3" s="174"/>
      <c r="FF3" s="174"/>
      <c r="FG3" s="174"/>
      <c r="FH3" s="174"/>
      <c r="FI3" s="174"/>
      <c r="FJ3" s="174"/>
      <c r="FK3" s="174"/>
      <c r="FL3" s="174"/>
      <c r="FM3" s="174"/>
      <c r="FN3" s="174"/>
      <c r="FO3" s="174"/>
      <c r="FP3" s="174"/>
      <c r="FQ3" s="174"/>
      <c r="FR3" s="174"/>
      <c r="FS3" s="174"/>
      <c r="FT3" s="174"/>
      <c r="FU3" s="174"/>
      <c r="FV3" s="174"/>
      <c r="FW3" s="174"/>
      <c r="FX3" s="174"/>
      <c r="FY3" s="174"/>
      <c r="FZ3" s="174"/>
      <c r="GA3" s="174"/>
      <c r="GB3" s="174"/>
      <c r="GC3" s="174"/>
      <c r="GD3" s="174"/>
      <c r="GE3" s="174"/>
      <c r="GF3" s="174"/>
      <c r="GG3" s="174"/>
      <c r="GH3" s="174"/>
      <c r="GI3" s="174"/>
      <c r="GJ3" s="174"/>
      <c r="GK3" s="174"/>
      <c r="GL3" s="174"/>
      <c r="GM3" s="174"/>
      <c r="GN3" s="174"/>
      <c r="GO3" s="174"/>
      <c r="GP3" s="174"/>
      <c r="GQ3" s="174"/>
      <c r="GR3" s="174"/>
      <c r="GS3" s="174"/>
      <c r="GT3" s="174"/>
      <c r="GU3" s="174"/>
      <c r="GV3" s="174"/>
      <c r="GW3" s="174"/>
      <c r="GX3" s="174"/>
      <c r="GY3" s="174"/>
      <c r="GZ3" s="174"/>
      <c r="HA3" s="174"/>
      <c r="HB3" s="174"/>
      <c r="HC3" s="174"/>
      <c r="HD3" s="174"/>
      <c r="HE3" s="174"/>
      <c r="HF3" s="174"/>
      <c r="HG3" s="174"/>
      <c r="HH3" s="174"/>
      <c r="HI3" s="174"/>
      <c r="HJ3" s="174"/>
      <c r="HK3" s="174"/>
      <c r="HL3" s="174"/>
      <c r="HM3" s="174"/>
      <c r="HN3" s="174"/>
      <c r="HO3" s="174"/>
      <c r="HP3" s="174"/>
      <c r="HQ3" s="174"/>
      <c r="HR3" s="174"/>
      <c r="HS3" s="174"/>
      <c r="HT3" s="174"/>
      <c r="HU3" s="174"/>
      <c r="HV3" s="174"/>
      <c r="HW3" s="174"/>
      <c r="HX3" s="174"/>
      <c r="HY3" s="174"/>
      <c r="HZ3" s="174"/>
      <c r="IA3" s="174"/>
      <c r="IB3" s="174"/>
      <c r="IC3" s="174"/>
      <c r="ID3" s="174"/>
      <c r="IE3" s="174"/>
      <c r="IF3" s="174"/>
      <c r="IG3" s="174"/>
      <c r="IH3" s="174"/>
      <c r="II3" s="174"/>
      <c r="IJ3" s="174"/>
    </row>
    <row r="4" spans="1:244" ht="16.5" hidden="1">
      <c r="A4" s="846" t="s">
        <v>1060</v>
      </c>
      <c r="B4" s="846" t="s">
        <v>1382</v>
      </c>
      <c r="C4" s="846" t="s">
        <v>1171</v>
      </c>
      <c r="D4" s="847">
        <v>6</v>
      </c>
      <c r="E4" s="846" t="s">
        <v>1171</v>
      </c>
      <c r="F4" s="846" t="s">
        <v>96</v>
      </c>
      <c r="G4" s="851"/>
      <c r="H4" s="847">
        <v>1</v>
      </c>
      <c r="I4" s="780" t="str">
        <f t="shared" si="0"/>
        <v>IWT060101</v>
      </c>
      <c r="J4" s="847">
        <v>4448</v>
      </c>
      <c r="L4" s="846" t="s">
        <v>1060</v>
      </c>
      <c r="M4" s="846" t="s">
        <v>1382</v>
      </c>
      <c r="N4" s="846" t="s">
        <v>96</v>
      </c>
      <c r="O4" s="847">
        <v>1</v>
      </c>
      <c r="P4" s="780" t="str">
        <f t="shared" si="1"/>
        <v>IWT060101</v>
      </c>
      <c r="Q4" s="847">
        <v>1109</v>
      </c>
      <c r="R4" s="847">
        <v>2951</v>
      </c>
      <c r="S4" s="847">
        <v>4757</v>
      </c>
      <c r="T4" s="847">
        <v>6526</v>
      </c>
      <c r="U4" s="847">
        <v>8262</v>
      </c>
      <c r="V4" s="847">
        <v>0</v>
      </c>
      <c r="W4" s="847">
        <v>0</v>
      </c>
      <c r="X4" s="847">
        <v>0</v>
      </c>
      <c r="Y4" s="847">
        <v>0</v>
      </c>
      <c r="Z4" s="847">
        <v>0</v>
      </c>
      <c r="AA4" s="847">
        <v>0</v>
      </c>
      <c r="AB4" s="847">
        <v>0</v>
      </c>
      <c r="AC4" s="847">
        <v>0</v>
      </c>
      <c r="AD4" s="847">
        <v>0</v>
      </c>
      <c r="AE4" s="847">
        <v>0</v>
      </c>
      <c r="AF4" s="847">
        <v>0</v>
      </c>
      <c r="AG4" s="847">
        <v>0</v>
      </c>
      <c r="AH4" s="847">
        <v>0</v>
      </c>
      <c r="AI4" s="847">
        <v>0</v>
      </c>
      <c r="AJ4" s="847">
        <v>0</v>
      </c>
      <c r="AK4" s="847">
        <v>0</v>
      </c>
      <c r="AL4" s="847">
        <v>0</v>
      </c>
      <c r="AM4" s="847">
        <v>0</v>
      </c>
      <c r="AN4" s="847">
        <v>0</v>
      </c>
      <c r="AO4" s="847">
        <v>0</v>
      </c>
      <c r="AP4" s="847">
        <v>0</v>
      </c>
      <c r="AQ4" s="847">
        <v>0</v>
      </c>
      <c r="AR4" s="847">
        <v>0</v>
      </c>
      <c r="AS4" s="847">
        <v>0</v>
      </c>
      <c r="AT4" s="847">
        <v>0</v>
      </c>
      <c r="AU4" s="847">
        <v>0</v>
      </c>
      <c r="AV4" s="847">
        <v>0</v>
      </c>
      <c r="AW4" s="847">
        <v>0</v>
      </c>
      <c r="AX4" s="847">
        <v>0</v>
      </c>
      <c r="AY4" s="847">
        <v>0</v>
      </c>
      <c r="AZ4" s="847">
        <v>0</v>
      </c>
      <c r="BA4" s="847">
        <v>0</v>
      </c>
      <c r="BB4" s="847">
        <v>0</v>
      </c>
      <c r="BC4" s="847">
        <v>0</v>
      </c>
      <c r="BD4" s="847">
        <v>0</v>
      </c>
      <c r="BE4" s="847">
        <v>0</v>
      </c>
      <c r="BF4" s="847">
        <v>0</v>
      </c>
      <c r="BG4" s="847">
        <v>0</v>
      </c>
      <c r="BH4" s="847">
        <v>0</v>
      </c>
      <c r="BI4" s="847">
        <v>0</v>
      </c>
      <c r="BJ4" s="847">
        <v>0</v>
      </c>
      <c r="BK4" s="847">
        <v>0</v>
      </c>
      <c r="BL4" s="847">
        <v>0</v>
      </c>
      <c r="BM4" s="847">
        <v>0</v>
      </c>
      <c r="BN4" s="847">
        <v>0</v>
      </c>
      <c r="BO4" s="847">
        <v>0</v>
      </c>
      <c r="BP4" s="847">
        <v>0</v>
      </c>
      <c r="BQ4" s="847">
        <v>0</v>
      </c>
      <c r="BR4" s="847">
        <v>0</v>
      </c>
      <c r="BS4" s="847">
        <v>0</v>
      </c>
      <c r="BT4" s="847">
        <v>0</v>
      </c>
      <c r="BU4" s="847">
        <v>0</v>
      </c>
      <c r="BV4" s="847">
        <v>0</v>
      </c>
      <c r="BW4" s="847">
        <v>0</v>
      </c>
      <c r="BX4" s="847">
        <v>0</v>
      </c>
      <c r="BY4" s="847">
        <v>0</v>
      </c>
      <c r="BZ4" s="847">
        <v>0</v>
      </c>
      <c r="CA4" s="847">
        <v>0</v>
      </c>
      <c r="CB4" s="847">
        <v>0</v>
      </c>
      <c r="CC4" s="847">
        <v>0</v>
      </c>
      <c r="CD4" s="847">
        <v>0</v>
      </c>
      <c r="CE4" s="847">
        <v>0</v>
      </c>
      <c r="CF4" s="847">
        <v>0</v>
      </c>
      <c r="CG4" s="847">
        <v>0</v>
      </c>
      <c r="CH4" s="847">
        <v>0</v>
      </c>
      <c r="CI4" s="847">
        <v>0</v>
      </c>
      <c r="CJ4" s="847">
        <v>0</v>
      </c>
      <c r="CK4" s="847">
        <v>0</v>
      </c>
      <c r="CL4" s="847">
        <v>0</v>
      </c>
      <c r="CM4" s="847">
        <v>0</v>
      </c>
      <c r="CN4" s="847">
        <v>0</v>
      </c>
      <c r="CO4" s="847">
        <v>0</v>
      </c>
      <c r="CP4" s="847">
        <v>0</v>
      </c>
      <c r="CQ4" s="847">
        <v>0</v>
      </c>
      <c r="CR4" s="847">
        <v>0</v>
      </c>
      <c r="CS4" s="847">
        <v>0</v>
      </c>
      <c r="CT4" s="847">
        <v>0</v>
      </c>
      <c r="CU4" s="847">
        <v>0</v>
      </c>
      <c r="CV4" s="847">
        <v>0</v>
      </c>
      <c r="CW4" s="847">
        <v>0</v>
      </c>
      <c r="CX4" s="847">
        <v>0</v>
      </c>
      <c r="CY4" s="847">
        <v>0</v>
      </c>
      <c r="CZ4" s="847">
        <v>0</v>
      </c>
      <c r="DA4" s="847">
        <v>0</v>
      </c>
      <c r="DB4" s="847">
        <v>0</v>
      </c>
      <c r="DC4" s="847">
        <v>0</v>
      </c>
      <c r="DD4" s="847">
        <v>0</v>
      </c>
      <c r="DE4" s="847">
        <v>0</v>
      </c>
      <c r="DF4" s="847">
        <v>0</v>
      </c>
      <c r="DG4" s="847">
        <v>0</v>
      </c>
      <c r="DH4" s="847">
        <v>0</v>
      </c>
      <c r="DI4" s="847">
        <v>0</v>
      </c>
      <c r="DJ4" s="847">
        <v>0</v>
      </c>
      <c r="DK4" s="847">
        <v>0</v>
      </c>
      <c r="DL4" s="847">
        <v>0</v>
      </c>
      <c r="DM4" s="847">
        <v>0</v>
      </c>
      <c r="DN4" s="847">
        <v>0</v>
      </c>
      <c r="DO4" s="847">
        <v>0</v>
      </c>
      <c r="DP4" s="847">
        <v>0</v>
      </c>
      <c r="DQ4" s="847">
        <v>0</v>
      </c>
      <c r="DR4" s="847">
        <v>0</v>
      </c>
      <c r="DS4" s="847">
        <v>0</v>
      </c>
      <c r="DT4" s="847">
        <v>0</v>
      </c>
      <c r="DU4" s="847">
        <v>0</v>
      </c>
      <c r="DV4" s="847">
        <v>0</v>
      </c>
      <c r="DW4" s="847">
        <v>0</v>
      </c>
      <c r="DY4" s="173"/>
      <c r="DZ4" s="173"/>
      <c r="EA4" s="173"/>
      <c r="EB4" s="174"/>
      <c r="EC4" s="175"/>
      <c r="ED4" s="174"/>
      <c r="EE4" s="174"/>
      <c r="EF4" s="174"/>
      <c r="EG4" s="174"/>
      <c r="EH4" s="174"/>
      <c r="EI4" s="174"/>
      <c r="EJ4" s="174"/>
      <c r="EK4" s="174"/>
      <c r="EL4" s="174"/>
      <c r="EM4" s="174"/>
      <c r="EN4" s="174"/>
      <c r="EO4" s="174"/>
      <c r="EP4" s="174"/>
      <c r="EQ4" s="174"/>
      <c r="ER4" s="174"/>
      <c r="ES4" s="174"/>
      <c r="ET4" s="174"/>
      <c r="EU4" s="174"/>
      <c r="EV4" s="174"/>
      <c r="EW4" s="174"/>
      <c r="EX4" s="174"/>
      <c r="EY4" s="174"/>
      <c r="EZ4" s="174"/>
      <c r="FA4" s="174"/>
      <c r="FB4" s="174"/>
      <c r="FC4" s="174"/>
      <c r="FD4" s="174"/>
      <c r="FE4" s="174"/>
      <c r="FF4" s="174"/>
      <c r="FG4" s="174"/>
      <c r="FH4" s="174"/>
      <c r="FI4" s="174"/>
      <c r="FJ4" s="174"/>
      <c r="FK4" s="174"/>
      <c r="FL4" s="174"/>
      <c r="FM4" s="174"/>
      <c r="FN4" s="174"/>
      <c r="FO4" s="174"/>
      <c r="FP4" s="174"/>
      <c r="FQ4" s="174"/>
      <c r="FR4" s="174"/>
      <c r="FS4" s="174"/>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6"/>
    </row>
    <row r="5" spans="1:244" ht="16.5" hidden="1">
      <c r="A5" s="846" t="s">
        <v>1060</v>
      </c>
      <c r="B5" s="846" t="s">
        <v>1382</v>
      </c>
      <c r="C5" s="846" t="s">
        <v>1171</v>
      </c>
      <c r="D5" s="847">
        <v>6</v>
      </c>
      <c r="E5" s="846" t="s">
        <v>1171</v>
      </c>
      <c r="F5" s="846" t="s">
        <v>96</v>
      </c>
      <c r="G5" s="851"/>
      <c r="H5" s="847">
        <v>2</v>
      </c>
      <c r="I5" s="780" t="str">
        <f t="shared" si="0"/>
        <v>IWT060102</v>
      </c>
      <c r="J5" s="847">
        <v>4475</v>
      </c>
      <c r="L5" s="846" t="s">
        <v>1060</v>
      </c>
      <c r="M5" s="846" t="s">
        <v>1382</v>
      </c>
      <c r="N5" s="846" t="s">
        <v>96</v>
      </c>
      <c r="O5" s="847">
        <v>2</v>
      </c>
      <c r="P5" s="780" t="str">
        <f t="shared" si="1"/>
        <v>IWT060102</v>
      </c>
      <c r="Q5" s="847">
        <v>1109</v>
      </c>
      <c r="R5" s="847">
        <v>2951</v>
      </c>
      <c r="S5" s="847">
        <v>4756</v>
      </c>
      <c r="T5" s="847">
        <v>6527</v>
      </c>
      <c r="U5" s="847">
        <v>8262</v>
      </c>
      <c r="V5" s="847">
        <v>0</v>
      </c>
      <c r="W5" s="847">
        <v>0</v>
      </c>
      <c r="X5" s="847">
        <v>0</v>
      </c>
      <c r="Y5" s="847">
        <v>0</v>
      </c>
      <c r="Z5" s="847">
        <v>0</v>
      </c>
      <c r="AA5" s="847">
        <v>0</v>
      </c>
      <c r="AB5" s="847">
        <v>0</v>
      </c>
      <c r="AC5" s="847">
        <v>0</v>
      </c>
      <c r="AD5" s="847">
        <v>0</v>
      </c>
      <c r="AE5" s="847">
        <v>0</v>
      </c>
      <c r="AF5" s="847">
        <v>0</v>
      </c>
      <c r="AG5" s="847">
        <v>0</v>
      </c>
      <c r="AH5" s="847">
        <v>0</v>
      </c>
      <c r="AI5" s="847">
        <v>0</v>
      </c>
      <c r="AJ5" s="847">
        <v>0</v>
      </c>
      <c r="AK5" s="847">
        <v>0</v>
      </c>
      <c r="AL5" s="847">
        <v>0</v>
      </c>
      <c r="AM5" s="847">
        <v>0</v>
      </c>
      <c r="AN5" s="847">
        <v>0</v>
      </c>
      <c r="AO5" s="847">
        <v>0</v>
      </c>
      <c r="AP5" s="847">
        <v>0</v>
      </c>
      <c r="AQ5" s="847">
        <v>0</v>
      </c>
      <c r="AR5" s="847">
        <v>0</v>
      </c>
      <c r="AS5" s="847">
        <v>0</v>
      </c>
      <c r="AT5" s="847">
        <v>0</v>
      </c>
      <c r="AU5" s="847">
        <v>0</v>
      </c>
      <c r="AV5" s="847">
        <v>0</v>
      </c>
      <c r="AW5" s="847">
        <v>0</v>
      </c>
      <c r="AX5" s="847">
        <v>0</v>
      </c>
      <c r="AY5" s="847">
        <v>0</v>
      </c>
      <c r="AZ5" s="847">
        <v>0</v>
      </c>
      <c r="BA5" s="847">
        <v>0</v>
      </c>
      <c r="BB5" s="847">
        <v>0</v>
      </c>
      <c r="BC5" s="847">
        <v>0</v>
      </c>
      <c r="BD5" s="847">
        <v>0</v>
      </c>
      <c r="BE5" s="847">
        <v>0</v>
      </c>
      <c r="BF5" s="847">
        <v>0</v>
      </c>
      <c r="BG5" s="847">
        <v>0</v>
      </c>
      <c r="BH5" s="847">
        <v>0</v>
      </c>
      <c r="BI5" s="847">
        <v>0</v>
      </c>
      <c r="BJ5" s="847">
        <v>0</v>
      </c>
      <c r="BK5" s="847">
        <v>0</v>
      </c>
      <c r="BL5" s="847">
        <v>0</v>
      </c>
      <c r="BM5" s="847">
        <v>0</v>
      </c>
      <c r="BN5" s="847">
        <v>0</v>
      </c>
      <c r="BO5" s="847">
        <v>0</v>
      </c>
      <c r="BP5" s="847">
        <v>0</v>
      </c>
      <c r="BQ5" s="847">
        <v>0</v>
      </c>
      <c r="BR5" s="847">
        <v>0</v>
      </c>
      <c r="BS5" s="847">
        <v>0</v>
      </c>
      <c r="BT5" s="847">
        <v>0</v>
      </c>
      <c r="BU5" s="847">
        <v>0</v>
      </c>
      <c r="BV5" s="847">
        <v>0</v>
      </c>
      <c r="BW5" s="847">
        <v>0</v>
      </c>
      <c r="BX5" s="847">
        <v>0</v>
      </c>
      <c r="BY5" s="847">
        <v>0</v>
      </c>
      <c r="BZ5" s="847">
        <v>0</v>
      </c>
      <c r="CA5" s="847">
        <v>0</v>
      </c>
      <c r="CB5" s="847">
        <v>0</v>
      </c>
      <c r="CC5" s="847">
        <v>0</v>
      </c>
      <c r="CD5" s="847">
        <v>0</v>
      </c>
      <c r="CE5" s="847">
        <v>0</v>
      </c>
      <c r="CF5" s="847">
        <v>0</v>
      </c>
      <c r="CG5" s="847">
        <v>0</v>
      </c>
      <c r="CH5" s="847">
        <v>0</v>
      </c>
      <c r="CI5" s="847">
        <v>0</v>
      </c>
      <c r="CJ5" s="847">
        <v>0</v>
      </c>
      <c r="CK5" s="847">
        <v>0</v>
      </c>
      <c r="CL5" s="847">
        <v>0</v>
      </c>
      <c r="CM5" s="847">
        <v>0</v>
      </c>
      <c r="CN5" s="847">
        <v>0</v>
      </c>
      <c r="CO5" s="847">
        <v>0</v>
      </c>
      <c r="CP5" s="847">
        <v>0</v>
      </c>
      <c r="CQ5" s="847">
        <v>0</v>
      </c>
      <c r="CR5" s="847">
        <v>0</v>
      </c>
      <c r="CS5" s="847">
        <v>0</v>
      </c>
      <c r="CT5" s="847">
        <v>0</v>
      </c>
      <c r="CU5" s="847">
        <v>0</v>
      </c>
      <c r="CV5" s="847">
        <v>0</v>
      </c>
      <c r="CW5" s="847">
        <v>0</v>
      </c>
      <c r="CX5" s="847">
        <v>0</v>
      </c>
      <c r="CY5" s="847">
        <v>0</v>
      </c>
      <c r="CZ5" s="847">
        <v>0</v>
      </c>
      <c r="DA5" s="847">
        <v>0</v>
      </c>
      <c r="DB5" s="847">
        <v>0</v>
      </c>
      <c r="DC5" s="847">
        <v>0</v>
      </c>
      <c r="DD5" s="847">
        <v>0</v>
      </c>
      <c r="DE5" s="847">
        <v>0</v>
      </c>
      <c r="DF5" s="847">
        <v>0</v>
      </c>
      <c r="DG5" s="847">
        <v>0</v>
      </c>
      <c r="DH5" s="847">
        <v>0</v>
      </c>
      <c r="DI5" s="847">
        <v>0</v>
      </c>
      <c r="DJ5" s="847">
        <v>0</v>
      </c>
      <c r="DK5" s="847">
        <v>0</v>
      </c>
      <c r="DL5" s="847">
        <v>0</v>
      </c>
      <c r="DM5" s="847">
        <v>0</v>
      </c>
      <c r="DN5" s="847">
        <v>0</v>
      </c>
      <c r="DO5" s="847">
        <v>0</v>
      </c>
      <c r="DP5" s="847">
        <v>0</v>
      </c>
      <c r="DQ5" s="847">
        <v>0</v>
      </c>
      <c r="DR5" s="847">
        <v>0</v>
      </c>
      <c r="DS5" s="847">
        <v>0</v>
      </c>
      <c r="DT5" s="847">
        <v>0</v>
      </c>
      <c r="DU5" s="847">
        <v>0</v>
      </c>
      <c r="DV5" s="847">
        <v>0</v>
      </c>
      <c r="DW5" s="847">
        <v>0</v>
      </c>
      <c r="DY5" s="173"/>
      <c r="DZ5" s="173"/>
      <c r="EA5" s="173"/>
      <c r="EB5" s="174"/>
      <c r="EC5" s="175"/>
      <c r="ED5" s="174"/>
      <c r="EE5" s="174"/>
      <c r="EF5" s="174"/>
      <c r="EG5" s="174"/>
      <c r="EH5" s="174"/>
      <c r="EI5" s="174"/>
      <c r="EJ5" s="174"/>
      <c r="EK5" s="174"/>
      <c r="EL5" s="174"/>
      <c r="EM5" s="174"/>
      <c r="EN5" s="174"/>
      <c r="EO5" s="174"/>
      <c r="EP5" s="174"/>
      <c r="EQ5" s="174"/>
      <c r="ER5" s="174"/>
      <c r="ES5" s="174"/>
      <c r="ET5" s="174"/>
      <c r="EU5" s="174"/>
      <c r="EV5" s="174"/>
      <c r="EW5" s="174"/>
      <c r="EX5" s="174"/>
      <c r="EY5" s="174"/>
      <c r="EZ5" s="174"/>
      <c r="FA5" s="174"/>
      <c r="FB5" s="174"/>
      <c r="FC5" s="174"/>
      <c r="FD5" s="174"/>
      <c r="FE5" s="174"/>
      <c r="FF5" s="174"/>
      <c r="FG5" s="174"/>
      <c r="FH5" s="174"/>
      <c r="FI5" s="174"/>
      <c r="FJ5" s="174"/>
      <c r="FK5" s="174"/>
      <c r="FL5" s="174"/>
      <c r="FM5" s="174"/>
      <c r="FN5" s="174"/>
      <c r="FO5" s="174"/>
      <c r="FP5" s="174"/>
      <c r="FQ5" s="174"/>
      <c r="FR5" s="174"/>
      <c r="FS5" s="174"/>
      <c r="FT5" s="174"/>
      <c r="FU5" s="174"/>
      <c r="FV5" s="174"/>
      <c r="FW5" s="174"/>
      <c r="FX5" s="174"/>
      <c r="FY5" s="174"/>
      <c r="FZ5" s="174"/>
      <c r="GA5" s="174"/>
      <c r="GB5" s="174"/>
      <c r="GC5" s="174"/>
      <c r="GD5" s="174"/>
      <c r="GE5" s="174"/>
      <c r="GF5" s="174"/>
      <c r="GG5" s="174"/>
      <c r="GH5" s="174"/>
      <c r="GI5" s="174"/>
      <c r="GJ5" s="174"/>
      <c r="GK5" s="174"/>
      <c r="GL5" s="174"/>
      <c r="GM5" s="174"/>
      <c r="GN5" s="174"/>
      <c r="GO5" s="174"/>
      <c r="GP5" s="174"/>
      <c r="GQ5" s="174"/>
      <c r="GR5" s="174"/>
      <c r="GS5" s="174"/>
      <c r="GT5" s="174"/>
      <c r="GU5" s="174"/>
      <c r="GV5" s="174"/>
      <c r="GW5" s="174"/>
      <c r="GX5" s="174"/>
      <c r="GY5" s="174"/>
      <c r="GZ5" s="174"/>
      <c r="HA5" s="174"/>
      <c r="HB5" s="174"/>
      <c r="HC5" s="174"/>
      <c r="HD5" s="174"/>
      <c r="HE5" s="174"/>
      <c r="HF5" s="174"/>
      <c r="HG5" s="174"/>
      <c r="HH5" s="174"/>
      <c r="HI5" s="174"/>
      <c r="HJ5" s="174"/>
      <c r="HK5" s="174"/>
      <c r="HL5" s="174"/>
      <c r="HM5" s="174"/>
      <c r="HN5" s="174"/>
      <c r="HO5" s="174"/>
      <c r="HP5" s="174"/>
      <c r="HQ5" s="174"/>
      <c r="HR5" s="174"/>
      <c r="HS5" s="174"/>
      <c r="HT5" s="174"/>
      <c r="HU5" s="174"/>
      <c r="HV5" s="174"/>
      <c r="HW5" s="174"/>
      <c r="HX5" s="174"/>
      <c r="HY5" s="174"/>
      <c r="HZ5" s="174"/>
      <c r="IA5" s="174"/>
      <c r="IB5" s="174"/>
      <c r="IC5" s="174"/>
      <c r="ID5" s="174"/>
      <c r="IE5" s="174"/>
      <c r="IF5" s="174"/>
      <c r="IG5" s="174"/>
      <c r="IH5" s="174"/>
      <c r="II5" s="176"/>
      <c r="IJ5" s="176"/>
    </row>
    <row r="6" spans="1:244" ht="16.5" hidden="1">
      <c r="A6" s="846" t="s">
        <v>1060</v>
      </c>
      <c r="B6" s="846" t="s">
        <v>1382</v>
      </c>
      <c r="C6" s="846" t="s">
        <v>1171</v>
      </c>
      <c r="D6" s="847">
        <v>6</v>
      </c>
      <c r="E6" s="846" t="s">
        <v>1171</v>
      </c>
      <c r="F6" s="846" t="s">
        <v>96</v>
      </c>
      <c r="G6" s="851"/>
      <c r="H6" s="847">
        <v>3</v>
      </c>
      <c r="I6" s="780" t="str">
        <f t="shared" si="0"/>
        <v>IWT060103</v>
      </c>
      <c r="J6" s="847">
        <v>4503</v>
      </c>
      <c r="L6" s="846" t="s">
        <v>1060</v>
      </c>
      <c r="M6" s="846" t="s">
        <v>1382</v>
      </c>
      <c r="N6" s="846" t="s">
        <v>96</v>
      </c>
      <c r="O6" s="847">
        <v>3</v>
      </c>
      <c r="P6" s="780" t="str">
        <f t="shared" si="1"/>
        <v>IWT060103</v>
      </c>
      <c r="Q6" s="847">
        <v>1109</v>
      </c>
      <c r="R6" s="847">
        <v>2951</v>
      </c>
      <c r="S6" s="847">
        <v>4757</v>
      </c>
      <c r="T6" s="847">
        <v>6527</v>
      </c>
      <c r="U6" s="847">
        <v>8262</v>
      </c>
      <c r="V6" s="847">
        <v>0</v>
      </c>
      <c r="W6" s="847">
        <v>0</v>
      </c>
      <c r="X6" s="847">
        <v>0</v>
      </c>
      <c r="Y6" s="847">
        <v>0</v>
      </c>
      <c r="Z6" s="847">
        <v>0</v>
      </c>
      <c r="AA6" s="847">
        <v>0</v>
      </c>
      <c r="AB6" s="847">
        <v>0</v>
      </c>
      <c r="AC6" s="847">
        <v>0</v>
      </c>
      <c r="AD6" s="847">
        <v>0</v>
      </c>
      <c r="AE6" s="847">
        <v>0</v>
      </c>
      <c r="AF6" s="847">
        <v>0</v>
      </c>
      <c r="AG6" s="847">
        <v>0</v>
      </c>
      <c r="AH6" s="847">
        <v>0</v>
      </c>
      <c r="AI6" s="847">
        <v>0</v>
      </c>
      <c r="AJ6" s="847">
        <v>0</v>
      </c>
      <c r="AK6" s="847">
        <v>0</v>
      </c>
      <c r="AL6" s="847">
        <v>0</v>
      </c>
      <c r="AM6" s="847">
        <v>0</v>
      </c>
      <c r="AN6" s="847">
        <v>0</v>
      </c>
      <c r="AO6" s="847">
        <v>0</v>
      </c>
      <c r="AP6" s="847">
        <v>0</v>
      </c>
      <c r="AQ6" s="847">
        <v>0</v>
      </c>
      <c r="AR6" s="847">
        <v>0</v>
      </c>
      <c r="AS6" s="847">
        <v>0</v>
      </c>
      <c r="AT6" s="847">
        <v>0</v>
      </c>
      <c r="AU6" s="847">
        <v>0</v>
      </c>
      <c r="AV6" s="847">
        <v>0</v>
      </c>
      <c r="AW6" s="847">
        <v>0</v>
      </c>
      <c r="AX6" s="847">
        <v>0</v>
      </c>
      <c r="AY6" s="847">
        <v>0</v>
      </c>
      <c r="AZ6" s="847">
        <v>0</v>
      </c>
      <c r="BA6" s="847">
        <v>0</v>
      </c>
      <c r="BB6" s="847">
        <v>0</v>
      </c>
      <c r="BC6" s="847">
        <v>0</v>
      </c>
      <c r="BD6" s="847">
        <v>0</v>
      </c>
      <c r="BE6" s="847">
        <v>0</v>
      </c>
      <c r="BF6" s="847">
        <v>0</v>
      </c>
      <c r="BG6" s="847">
        <v>0</v>
      </c>
      <c r="BH6" s="847">
        <v>0</v>
      </c>
      <c r="BI6" s="847">
        <v>0</v>
      </c>
      <c r="BJ6" s="847">
        <v>0</v>
      </c>
      <c r="BK6" s="847">
        <v>0</v>
      </c>
      <c r="BL6" s="847">
        <v>0</v>
      </c>
      <c r="BM6" s="847">
        <v>0</v>
      </c>
      <c r="BN6" s="847">
        <v>0</v>
      </c>
      <c r="BO6" s="847">
        <v>0</v>
      </c>
      <c r="BP6" s="847">
        <v>0</v>
      </c>
      <c r="BQ6" s="847">
        <v>0</v>
      </c>
      <c r="BR6" s="847">
        <v>0</v>
      </c>
      <c r="BS6" s="847">
        <v>0</v>
      </c>
      <c r="BT6" s="847">
        <v>0</v>
      </c>
      <c r="BU6" s="847">
        <v>0</v>
      </c>
      <c r="BV6" s="847">
        <v>0</v>
      </c>
      <c r="BW6" s="847">
        <v>0</v>
      </c>
      <c r="BX6" s="847">
        <v>0</v>
      </c>
      <c r="BY6" s="847">
        <v>0</v>
      </c>
      <c r="BZ6" s="847">
        <v>0</v>
      </c>
      <c r="CA6" s="847">
        <v>0</v>
      </c>
      <c r="CB6" s="847">
        <v>0</v>
      </c>
      <c r="CC6" s="847">
        <v>0</v>
      </c>
      <c r="CD6" s="847">
        <v>0</v>
      </c>
      <c r="CE6" s="847">
        <v>0</v>
      </c>
      <c r="CF6" s="847">
        <v>0</v>
      </c>
      <c r="CG6" s="847">
        <v>0</v>
      </c>
      <c r="CH6" s="847">
        <v>0</v>
      </c>
      <c r="CI6" s="847">
        <v>0</v>
      </c>
      <c r="CJ6" s="847">
        <v>0</v>
      </c>
      <c r="CK6" s="847">
        <v>0</v>
      </c>
      <c r="CL6" s="847">
        <v>0</v>
      </c>
      <c r="CM6" s="847">
        <v>0</v>
      </c>
      <c r="CN6" s="847">
        <v>0</v>
      </c>
      <c r="CO6" s="847">
        <v>0</v>
      </c>
      <c r="CP6" s="847">
        <v>0</v>
      </c>
      <c r="CQ6" s="847">
        <v>0</v>
      </c>
      <c r="CR6" s="847">
        <v>0</v>
      </c>
      <c r="CS6" s="847">
        <v>0</v>
      </c>
      <c r="CT6" s="847">
        <v>0</v>
      </c>
      <c r="CU6" s="847">
        <v>0</v>
      </c>
      <c r="CV6" s="847">
        <v>0</v>
      </c>
      <c r="CW6" s="847">
        <v>0</v>
      </c>
      <c r="CX6" s="847">
        <v>0</v>
      </c>
      <c r="CY6" s="847">
        <v>0</v>
      </c>
      <c r="CZ6" s="847">
        <v>0</v>
      </c>
      <c r="DA6" s="847">
        <v>0</v>
      </c>
      <c r="DB6" s="847">
        <v>0</v>
      </c>
      <c r="DC6" s="847">
        <v>0</v>
      </c>
      <c r="DD6" s="847">
        <v>0</v>
      </c>
      <c r="DE6" s="847">
        <v>0</v>
      </c>
      <c r="DF6" s="847">
        <v>0</v>
      </c>
      <c r="DG6" s="847">
        <v>0</v>
      </c>
      <c r="DH6" s="847">
        <v>0</v>
      </c>
      <c r="DI6" s="847">
        <v>0</v>
      </c>
      <c r="DJ6" s="847">
        <v>0</v>
      </c>
      <c r="DK6" s="847">
        <v>0</v>
      </c>
      <c r="DL6" s="847">
        <v>0</v>
      </c>
      <c r="DM6" s="847">
        <v>0</v>
      </c>
      <c r="DN6" s="847">
        <v>0</v>
      </c>
      <c r="DO6" s="847">
        <v>0</v>
      </c>
      <c r="DP6" s="847">
        <v>0</v>
      </c>
      <c r="DQ6" s="847">
        <v>0</v>
      </c>
      <c r="DR6" s="847">
        <v>0</v>
      </c>
      <c r="DS6" s="847">
        <v>0</v>
      </c>
      <c r="DT6" s="847">
        <v>0</v>
      </c>
      <c r="DU6" s="847">
        <v>0</v>
      </c>
      <c r="DV6" s="847">
        <v>0</v>
      </c>
      <c r="DW6" s="847">
        <v>0</v>
      </c>
      <c r="DY6" s="173"/>
      <c r="DZ6" s="173"/>
      <c r="EA6" s="173"/>
      <c r="EB6" s="174"/>
      <c r="EC6" s="175"/>
      <c r="ED6" s="174"/>
      <c r="EE6" s="174"/>
      <c r="EF6" s="174"/>
      <c r="EG6" s="174"/>
      <c r="EH6" s="174"/>
      <c r="EI6" s="174"/>
      <c r="EJ6" s="174"/>
      <c r="EK6" s="174"/>
      <c r="EL6" s="174"/>
      <c r="EM6" s="174"/>
      <c r="EN6" s="174"/>
      <c r="EO6" s="174"/>
      <c r="EP6" s="174"/>
      <c r="EQ6" s="174"/>
      <c r="ER6" s="174"/>
      <c r="ES6" s="174"/>
      <c r="ET6" s="174"/>
      <c r="EU6" s="174"/>
      <c r="EV6" s="174"/>
      <c r="EW6" s="174"/>
      <c r="EX6" s="174"/>
      <c r="EY6" s="174"/>
      <c r="EZ6" s="174"/>
      <c r="FA6" s="174"/>
      <c r="FB6" s="174"/>
      <c r="FC6" s="174"/>
      <c r="FD6" s="174"/>
      <c r="FE6" s="174"/>
      <c r="FF6" s="174"/>
      <c r="FG6" s="174"/>
      <c r="FH6" s="174"/>
      <c r="FI6" s="174"/>
      <c r="FJ6" s="174"/>
      <c r="FK6" s="174"/>
      <c r="FL6" s="174"/>
      <c r="FM6" s="174"/>
      <c r="FN6" s="174"/>
      <c r="FO6" s="174"/>
      <c r="FP6" s="174"/>
      <c r="FQ6" s="174"/>
      <c r="FR6" s="174"/>
      <c r="FS6" s="174"/>
      <c r="FT6" s="174"/>
      <c r="FU6" s="174"/>
      <c r="FV6" s="174"/>
      <c r="FW6" s="174"/>
      <c r="FX6" s="174"/>
      <c r="FY6" s="174"/>
      <c r="FZ6" s="174"/>
      <c r="GA6" s="174"/>
      <c r="GB6" s="174"/>
      <c r="GC6" s="174"/>
      <c r="GD6" s="174"/>
      <c r="GE6" s="174"/>
      <c r="GF6" s="174"/>
      <c r="GG6" s="174"/>
      <c r="GH6" s="174"/>
      <c r="GI6" s="174"/>
      <c r="GJ6" s="174"/>
      <c r="GK6" s="174"/>
      <c r="GL6" s="174"/>
      <c r="GM6" s="174"/>
      <c r="GN6" s="174"/>
      <c r="GO6" s="174"/>
      <c r="GP6" s="174"/>
      <c r="GQ6" s="174"/>
      <c r="GR6" s="174"/>
      <c r="GS6" s="174"/>
      <c r="GT6" s="174"/>
      <c r="GU6" s="174"/>
      <c r="GV6" s="174"/>
      <c r="GW6" s="174"/>
      <c r="GX6" s="174"/>
      <c r="GY6" s="174"/>
      <c r="GZ6" s="174"/>
      <c r="HA6" s="174"/>
      <c r="HB6" s="174"/>
      <c r="HC6" s="174"/>
      <c r="HD6" s="174"/>
      <c r="HE6" s="174"/>
      <c r="HF6" s="174"/>
      <c r="HG6" s="174"/>
      <c r="HH6" s="174"/>
      <c r="HI6" s="174"/>
      <c r="HJ6" s="174"/>
      <c r="HK6" s="174"/>
      <c r="HL6" s="174"/>
      <c r="HM6" s="174"/>
      <c r="HN6" s="174"/>
      <c r="HO6" s="174"/>
      <c r="HP6" s="174"/>
      <c r="HQ6" s="174"/>
      <c r="HR6" s="174"/>
      <c r="HS6" s="174"/>
      <c r="HT6" s="174"/>
      <c r="HU6" s="174"/>
      <c r="HV6" s="174"/>
      <c r="HW6" s="174"/>
      <c r="HX6" s="174"/>
      <c r="HY6" s="174"/>
      <c r="HZ6" s="174"/>
      <c r="IA6" s="174"/>
      <c r="IB6" s="174"/>
      <c r="IC6" s="174"/>
      <c r="ID6" s="174"/>
      <c r="IE6" s="174"/>
      <c r="IF6" s="174"/>
      <c r="IG6" s="174"/>
      <c r="IH6" s="176"/>
      <c r="II6" s="176"/>
      <c r="IJ6" s="176"/>
    </row>
    <row r="7" spans="1:244" ht="16.5" hidden="1">
      <c r="A7" s="846" t="s">
        <v>1060</v>
      </c>
      <c r="B7" s="846" t="s">
        <v>1382</v>
      </c>
      <c r="C7" s="846" t="s">
        <v>1171</v>
      </c>
      <c r="D7" s="847">
        <v>6</v>
      </c>
      <c r="E7" s="846" t="s">
        <v>1171</v>
      </c>
      <c r="F7" s="846" t="s">
        <v>96</v>
      </c>
      <c r="G7" s="851"/>
      <c r="H7" s="847">
        <v>4</v>
      </c>
      <c r="I7" s="780" t="str">
        <f t="shared" si="0"/>
        <v>IWT060104</v>
      </c>
      <c r="J7" s="847">
        <v>4529</v>
      </c>
      <c r="L7" s="846" t="s">
        <v>1060</v>
      </c>
      <c r="M7" s="846" t="s">
        <v>1382</v>
      </c>
      <c r="N7" s="846" t="s">
        <v>96</v>
      </c>
      <c r="O7" s="847">
        <v>4</v>
      </c>
      <c r="P7" s="780" t="str">
        <f t="shared" si="1"/>
        <v>IWT060104</v>
      </c>
      <c r="Q7" s="847">
        <v>1109</v>
      </c>
      <c r="R7" s="847">
        <v>2951</v>
      </c>
      <c r="S7" s="847">
        <v>4757</v>
      </c>
      <c r="T7" s="847">
        <v>6527</v>
      </c>
      <c r="U7" s="847">
        <v>8262</v>
      </c>
      <c r="V7" s="847">
        <v>0</v>
      </c>
      <c r="W7" s="847">
        <v>0</v>
      </c>
      <c r="X7" s="847">
        <v>0</v>
      </c>
      <c r="Y7" s="847">
        <v>0</v>
      </c>
      <c r="Z7" s="847">
        <v>0</v>
      </c>
      <c r="AA7" s="847">
        <v>0</v>
      </c>
      <c r="AB7" s="847">
        <v>0</v>
      </c>
      <c r="AC7" s="847">
        <v>0</v>
      </c>
      <c r="AD7" s="847">
        <v>0</v>
      </c>
      <c r="AE7" s="847">
        <v>0</v>
      </c>
      <c r="AF7" s="847">
        <v>0</v>
      </c>
      <c r="AG7" s="847">
        <v>0</v>
      </c>
      <c r="AH7" s="847">
        <v>0</v>
      </c>
      <c r="AI7" s="847">
        <v>0</v>
      </c>
      <c r="AJ7" s="847">
        <v>0</v>
      </c>
      <c r="AK7" s="847">
        <v>0</v>
      </c>
      <c r="AL7" s="847">
        <v>0</v>
      </c>
      <c r="AM7" s="847">
        <v>0</v>
      </c>
      <c r="AN7" s="847">
        <v>0</v>
      </c>
      <c r="AO7" s="847">
        <v>0</v>
      </c>
      <c r="AP7" s="847">
        <v>0</v>
      </c>
      <c r="AQ7" s="847">
        <v>0</v>
      </c>
      <c r="AR7" s="847">
        <v>0</v>
      </c>
      <c r="AS7" s="847">
        <v>0</v>
      </c>
      <c r="AT7" s="847">
        <v>0</v>
      </c>
      <c r="AU7" s="847">
        <v>0</v>
      </c>
      <c r="AV7" s="847">
        <v>0</v>
      </c>
      <c r="AW7" s="847">
        <v>0</v>
      </c>
      <c r="AX7" s="847">
        <v>0</v>
      </c>
      <c r="AY7" s="847">
        <v>0</v>
      </c>
      <c r="AZ7" s="847">
        <v>0</v>
      </c>
      <c r="BA7" s="847">
        <v>0</v>
      </c>
      <c r="BB7" s="847">
        <v>0</v>
      </c>
      <c r="BC7" s="847">
        <v>0</v>
      </c>
      <c r="BD7" s="847">
        <v>0</v>
      </c>
      <c r="BE7" s="847">
        <v>0</v>
      </c>
      <c r="BF7" s="847">
        <v>0</v>
      </c>
      <c r="BG7" s="847">
        <v>0</v>
      </c>
      <c r="BH7" s="847">
        <v>0</v>
      </c>
      <c r="BI7" s="847">
        <v>0</v>
      </c>
      <c r="BJ7" s="847">
        <v>0</v>
      </c>
      <c r="BK7" s="847">
        <v>0</v>
      </c>
      <c r="BL7" s="847">
        <v>0</v>
      </c>
      <c r="BM7" s="847">
        <v>0</v>
      </c>
      <c r="BN7" s="847">
        <v>0</v>
      </c>
      <c r="BO7" s="847">
        <v>0</v>
      </c>
      <c r="BP7" s="847">
        <v>0</v>
      </c>
      <c r="BQ7" s="847">
        <v>0</v>
      </c>
      <c r="BR7" s="847">
        <v>0</v>
      </c>
      <c r="BS7" s="847">
        <v>0</v>
      </c>
      <c r="BT7" s="847">
        <v>0</v>
      </c>
      <c r="BU7" s="847">
        <v>0</v>
      </c>
      <c r="BV7" s="847">
        <v>0</v>
      </c>
      <c r="BW7" s="847">
        <v>0</v>
      </c>
      <c r="BX7" s="847">
        <v>0</v>
      </c>
      <c r="BY7" s="847">
        <v>0</v>
      </c>
      <c r="BZ7" s="847">
        <v>0</v>
      </c>
      <c r="CA7" s="847">
        <v>0</v>
      </c>
      <c r="CB7" s="847">
        <v>0</v>
      </c>
      <c r="CC7" s="847">
        <v>0</v>
      </c>
      <c r="CD7" s="847">
        <v>0</v>
      </c>
      <c r="CE7" s="847">
        <v>0</v>
      </c>
      <c r="CF7" s="847">
        <v>0</v>
      </c>
      <c r="CG7" s="847">
        <v>0</v>
      </c>
      <c r="CH7" s="847">
        <v>0</v>
      </c>
      <c r="CI7" s="847">
        <v>0</v>
      </c>
      <c r="CJ7" s="847">
        <v>0</v>
      </c>
      <c r="CK7" s="847">
        <v>0</v>
      </c>
      <c r="CL7" s="847">
        <v>0</v>
      </c>
      <c r="CM7" s="847">
        <v>0</v>
      </c>
      <c r="CN7" s="847">
        <v>0</v>
      </c>
      <c r="CO7" s="847">
        <v>0</v>
      </c>
      <c r="CP7" s="847">
        <v>0</v>
      </c>
      <c r="CQ7" s="847">
        <v>0</v>
      </c>
      <c r="CR7" s="847">
        <v>0</v>
      </c>
      <c r="CS7" s="847">
        <v>0</v>
      </c>
      <c r="CT7" s="847">
        <v>0</v>
      </c>
      <c r="CU7" s="847">
        <v>0</v>
      </c>
      <c r="CV7" s="847">
        <v>0</v>
      </c>
      <c r="CW7" s="847">
        <v>0</v>
      </c>
      <c r="CX7" s="847">
        <v>0</v>
      </c>
      <c r="CY7" s="847">
        <v>0</v>
      </c>
      <c r="CZ7" s="847">
        <v>0</v>
      </c>
      <c r="DA7" s="847">
        <v>0</v>
      </c>
      <c r="DB7" s="847">
        <v>0</v>
      </c>
      <c r="DC7" s="847">
        <v>0</v>
      </c>
      <c r="DD7" s="847">
        <v>0</v>
      </c>
      <c r="DE7" s="847">
        <v>0</v>
      </c>
      <c r="DF7" s="847">
        <v>0</v>
      </c>
      <c r="DG7" s="847">
        <v>0</v>
      </c>
      <c r="DH7" s="847">
        <v>0</v>
      </c>
      <c r="DI7" s="847">
        <v>0</v>
      </c>
      <c r="DJ7" s="847">
        <v>0</v>
      </c>
      <c r="DK7" s="847">
        <v>0</v>
      </c>
      <c r="DL7" s="847">
        <v>0</v>
      </c>
      <c r="DM7" s="847">
        <v>0</v>
      </c>
      <c r="DN7" s="847">
        <v>0</v>
      </c>
      <c r="DO7" s="847">
        <v>0</v>
      </c>
      <c r="DP7" s="847">
        <v>0</v>
      </c>
      <c r="DQ7" s="847">
        <v>0</v>
      </c>
      <c r="DR7" s="847">
        <v>0</v>
      </c>
      <c r="DS7" s="847">
        <v>0</v>
      </c>
      <c r="DT7" s="847">
        <v>0</v>
      </c>
      <c r="DU7" s="847">
        <v>0</v>
      </c>
      <c r="DV7" s="847">
        <v>0</v>
      </c>
      <c r="DW7" s="847">
        <v>0</v>
      </c>
      <c r="DY7" s="173"/>
      <c r="DZ7" s="173"/>
      <c r="EA7" s="173"/>
      <c r="EB7" s="174"/>
      <c r="EC7" s="175"/>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c r="FL7" s="174"/>
      <c r="FM7" s="174"/>
      <c r="FN7" s="174"/>
      <c r="FO7" s="174"/>
      <c r="FP7" s="174"/>
      <c r="FQ7" s="174"/>
      <c r="FR7" s="174"/>
      <c r="FS7" s="174"/>
      <c r="FT7" s="174"/>
      <c r="FU7" s="174"/>
      <c r="FV7" s="174"/>
      <c r="FW7" s="174"/>
      <c r="FX7" s="174"/>
      <c r="FY7" s="174"/>
      <c r="FZ7" s="174"/>
      <c r="GA7" s="174"/>
      <c r="GB7" s="174"/>
      <c r="GC7" s="174"/>
      <c r="GD7" s="174"/>
      <c r="GE7" s="174"/>
      <c r="GF7" s="174"/>
      <c r="GG7" s="174"/>
      <c r="GH7" s="174"/>
      <c r="GI7" s="174"/>
      <c r="GJ7" s="174"/>
      <c r="GK7" s="174"/>
      <c r="GL7" s="174"/>
      <c r="GM7" s="174"/>
      <c r="GN7" s="174"/>
      <c r="GO7" s="174"/>
      <c r="GP7" s="174"/>
      <c r="GQ7" s="174"/>
      <c r="GR7" s="174"/>
      <c r="GS7" s="174"/>
      <c r="GT7" s="174"/>
      <c r="GU7" s="174"/>
      <c r="GV7" s="174"/>
      <c r="GW7" s="174"/>
      <c r="GX7" s="174"/>
      <c r="GY7" s="174"/>
      <c r="GZ7" s="174"/>
      <c r="HA7" s="174"/>
      <c r="HB7" s="174"/>
      <c r="HC7" s="174"/>
      <c r="HD7" s="174"/>
      <c r="HE7" s="174"/>
      <c r="HF7" s="174"/>
      <c r="HG7" s="174"/>
      <c r="HH7" s="174"/>
      <c r="HI7" s="174"/>
      <c r="HJ7" s="174"/>
      <c r="HK7" s="174"/>
      <c r="HL7" s="174"/>
      <c r="HM7" s="174"/>
      <c r="HN7" s="174"/>
      <c r="HO7" s="174"/>
      <c r="HP7" s="174"/>
      <c r="HQ7" s="174"/>
      <c r="HR7" s="174"/>
      <c r="HS7" s="174"/>
      <c r="HT7" s="174"/>
      <c r="HU7" s="174"/>
      <c r="HV7" s="174"/>
      <c r="HW7" s="174"/>
      <c r="HX7" s="174"/>
      <c r="HY7" s="174"/>
      <c r="HZ7" s="174"/>
      <c r="IA7" s="174"/>
      <c r="IB7" s="174"/>
      <c r="IC7" s="174"/>
      <c r="ID7" s="174"/>
      <c r="IE7" s="174"/>
      <c r="IF7" s="174"/>
      <c r="IG7" s="176"/>
      <c r="IH7" s="176"/>
      <c r="II7" s="176"/>
      <c r="IJ7" s="176"/>
    </row>
    <row r="8" spans="1:244" ht="16.5" hidden="1">
      <c r="A8" s="846" t="s">
        <v>1060</v>
      </c>
      <c r="B8" s="846" t="s">
        <v>1382</v>
      </c>
      <c r="C8" s="846" t="s">
        <v>1171</v>
      </c>
      <c r="D8" s="847">
        <v>6</v>
      </c>
      <c r="E8" s="846" t="s">
        <v>1171</v>
      </c>
      <c r="F8" s="846" t="s">
        <v>96</v>
      </c>
      <c r="G8" s="851"/>
      <c r="H8" s="847">
        <v>5</v>
      </c>
      <c r="I8" s="780" t="str">
        <f t="shared" si="0"/>
        <v>IWT060105</v>
      </c>
      <c r="J8" s="847">
        <v>4555</v>
      </c>
      <c r="L8" s="846" t="s">
        <v>1060</v>
      </c>
      <c r="M8" s="846" t="s">
        <v>1382</v>
      </c>
      <c r="N8" s="846" t="s">
        <v>96</v>
      </c>
      <c r="O8" s="847">
        <v>5</v>
      </c>
      <c r="P8" s="780" t="str">
        <f t="shared" si="1"/>
        <v>IWT060105</v>
      </c>
      <c r="Q8" s="847">
        <v>1109</v>
      </c>
      <c r="R8" s="847">
        <v>2951</v>
      </c>
      <c r="S8" s="847">
        <v>4757</v>
      </c>
      <c r="T8" s="847">
        <v>6527</v>
      </c>
      <c r="U8" s="847">
        <v>8263</v>
      </c>
      <c r="V8" s="847">
        <v>0</v>
      </c>
      <c r="W8" s="847">
        <v>0</v>
      </c>
      <c r="X8" s="847">
        <v>0</v>
      </c>
      <c r="Y8" s="847">
        <v>0</v>
      </c>
      <c r="Z8" s="847">
        <v>0</v>
      </c>
      <c r="AA8" s="847">
        <v>0</v>
      </c>
      <c r="AB8" s="847">
        <v>0</v>
      </c>
      <c r="AC8" s="847">
        <v>0</v>
      </c>
      <c r="AD8" s="847">
        <v>0</v>
      </c>
      <c r="AE8" s="847">
        <v>0</v>
      </c>
      <c r="AF8" s="847">
        <v>0</v>
      </c>
      <c r="AG8" s="847">
        <v>0</v>
      </c>
      <c r="AH8" s="847">
        <v>0</v>
      </c>
      <c r="AI8" s="847">
        <v>0</v>
      </c>
      <c r="AJ8" s="847">
        <v>0</v>
      </c>
      <c r="AK8" s="847">
        <v>0</v>
      </c>
      <c r="AL8" s="847">
        <v>0</v>
      </c>
      <c r="AM8" s="847">
        <v>0</v>
      </c>
      <c r="AN8" s="847">
        <v>0</v>
      </c>
      <c r="AO8" s="847">
        <v>0</v>
      </c>
      <c r="AP8" s="847">
        <v>0</v>
      </c>
      <c r="AQ8" s="847">
        <v>0</v>
      </c>
      <c r="AR8" s="847">
        <v>0</v>
      </c>
      <c r="AS8" s="847">
        <v>0</v>
      </c>
      <c r="AT8" s="847">
        <v>0</v>
      </c>
      <c r="AU8" s="847">
        <v>0</v>
      </c>
      <c r="AV8" s="847">
        <v>0</v>
      </c>
      <c r="AW8" s="847">
        <v>0</v>
      </c>
      <c r="AX8" s="847">
        <v>0</v>
      </c>
      <c r="AY8" s="847">
        <v>0</v>
      </c>
      <c r="AZ8" s="847">
        <v>0</v>
      </c>
      <c r="BA8" s="847">
        <v>0</v>
      </c>
      <c r="BB8" s="847">
        <v>0</v>
      </c>
      <c r="BC8" s="847">
        <v>0</v>
      </c>
      <c r="BD8" s="847">
        <v>0</v>
      </c>
      <c r="BE8" s="847">
        <v>0</v>
      </c>
      <c r="BF8" s="847">
        <v>0</v>
      </c>
      <c r="BG8" s="847">
        <v>0</v>
      </c>
      <c r="BH8" s="847">
        <v>0</v>
      </c>
      <c r="BI8" s="847">
        <v>0</v>
      </c>
      <c r="BJ8" s="847">
        <v>0</v>
      </c>
      <c r="BK8" s="847">
        <v>0</v>
      </c>
      <c r="BL8" s="847">
        <v>0</v>
      </c>
      <c r="BM8" s="847">
        <v>0</v>
      </c>
      <c r="BN8" s="847">
        <v>0</v>
      </c>
      <c r="BO8" s="847">
        <v>0</v>
      </c>
      <c r="BP8" s="847">
        <v>0</v>
      </c>
      <c r="BQ8" s="847">
        <v>0</v>
      </c>
      <c r="BR8" s="847">
        <v>0</v>
      </c>
      <c r="BS8" s="847">
        <v>0</v>
      </c>
      <c r="BT8" s="847">
        <v>0</v>
      </c>
      <c r="BU8" s="847">
        <v>0</v>
      </c>
      <c r="BV8" s="847">
        <v>0</v>
      </c>
      <c r="BW8" s="847">
        <v>0</v>
      </c>
      <c r="BX8" s="847">
        <v>0</v>
      </c>
      <c r="BY8" s="847">
        <v>0</v>
      </c>
      <c r="BZ8" s="847">
        <v>0</v>
      </c>
      <c r="CA8" s="847">
        <v>0</v>
      </c>
      <c r="CB8" s="847">
        <v>0</v>
      </c>
      <c r="CC8" s="847">
        <v>0</v>
      </c>
      <c r="CD8" s="847">
        <v>0</v>
      </c>
      <c r="CE8" s="847">
        <v>0</v>
      </c>
      <c r="CF8" s="847">
        <v>0</v>
      </c>
      <c r="CG8" s="847">
        <v>0</v>
      </c>
      <c r="CH8" s="847">
        <v>0</v>
      </c>
      <c r="CI8" s="847">
        <v>0</v>
      </c>
      <c r="CJ8" s="847">
        <v>0</v>
      </c>
      <c r="CK8" s="847">
        <v>0</v>
      </c>
      <c r="CL8" s="847">
        <v>0</v>
      </c>
      <c r="CM8" s="847">
        <v>0</v>
      </c>
      <c r="CN8" s="847">
        <v>0</v>
      </c>
      <c r="CO8" s="847">
        <v>0</v>
      </c>
      <c r="CP8" s="847">
        <v>0</v>
      </c>
      <c r="CQ8" s="847">
        <v>0</v>
      </c>
      <c r="CR8" s="847">
        <v>0</v>
      </c>
      <c r="CS8" s="847">
        <v>0</v>
      </c>
      <c r="CT8" s="847">
        <v>0</v>
      </c>
      <c r="CU8" s="847">
        <v>0</v>
      </c>
      <c r="CV8" s="847">
        <v>0</v>
      </c>
      <c r="CW8" s="847">
        <v>0</v>
      </c>
      <c r="CX8" s="847">
        <v>0</v>
      </c>
      <c r="CY8" s="847">
        <v>0</v>
      </c>
      <c r="CZ8" s="847">
        <v>0</v>
      </c>
      <c r="DA8" s="847">
        <v>0</v>
      </c>
      <c r="DB8" s="847">
        <v>0</v>
      </c>
      <c r="DC8" s="847">
        <v>0</v>
      </c>
      <c r="DD8" s="847">
        <v>0</v>
      </c>
      <c r="DE8" s="847">
        <v>0</v>
      </c>
      <c r="DF8" s="847">
        <v>0</v>
      </c>
      <c r="DG8" s="847">
        <v>0</v>
      </c>
      <c r="DH8" s="847">
        <v>0</v>
      </c>
      <c r="DI8" s="847">
        <v>0</v>
      </c>
      <c r="DJ8" s="847">
        <v>0</v>
      </c>
      <c r="DK8" s="847">
        <v>0</v>
      </c>
      <c r="DL8" s="847">
        <v>0</v>
      </c>
      <c r="DM8" s="847">
        <v>0</v>
      </c>
      <c r="DN8" s="847">
        <v>0</v>
      </c>
      <c r="DO8" s="847">
        <v>0</v>
      </c>
      <c r="DP8" s="847">
        <v>0</v>
      </c>
      <c r="DQ8" s="847">
        <v>0</v>
      </c>
      <c r="DR8" s="847">
        <v>0</v>
      </c>
      <c r="DS8" s="847">
        <v>0</v>
      </c>
      <c r="DT8" s="847">
        <v>0</v>
      </c>
      <c r="DU8" s="847">
        <v>0</v>
      </c>
      <c r="DV8" s="847">
        <v>0</v>
      </c>
      <c r="DW8" s="847">
        <v>0</v>
      </c>
      <c r="DY8" s="173"/>
      <c r="DZ8" s="173"/>
      <c r="EA8" s="173"/>
      <c r="EB8" s="174"/>
      <c r="EC8" s="175"/>
      <c r="ED8" s="174"/>
      <c r="EE8" s="174"/>
      <c r="EF8" s="174"/>
      <c r="EG8" s="174"/>
      <c r="EH8" s="174"/>
      <c r="EI8" s="174"/>
      <c r="EJ8" s="174"/>
      <c r="EK8" s="174"/>
      <c r="EL8" s="174"/>
      <c r="EM8" s="174"/>
      <c r="EN8" s="174"/>
      <c r="EO8" s="174"/>
      <c r="EP8" s="174"/>
      <c r="EQ8" s="174"/>
      <c r="ER8" s="174"/>
      <c r="ES8" s="174"/>
      <c r="ET8" s="174"/>
      <c r="EU8" s="174"/>
      <c r="EV8" s="174"/>
      <c r="EW8" s="174"/>
      <c r="EX8" s="174"/>
      <c r="EY8" s="174"/>
      <c r="EZ8" s="174"/>
      <c r="FA8" s="174"/>
      <c r="FB8" s="174"/>
      <c r="FC8" s="174"/>
      <c r="FD8" s="174"/>
      <c r="FE8" s="174"/>
      <c r="FF8" s="174"/>
      <c r="FG8" s="174"/>
      <c r="FH8" s="174"/>
      <c r="FI8" s="174"/>
      <c r="FJ8" s="174"/>
      <c r="FK8" s="174"/>
      <c r="FL8" s="174"/>
      <c r="FM8" s="174"/>
      <c r="FN8" s="174"/>
      <c r="FO8" s="174"/>
      <c r="FP8" s="174"/>
      <c r="FQ8" s="174"/>
      <c r="FR8" s="174"/>
      <c r="FS8" s="174"/>
      <c r="FT8" s="174"/>
      <c r="FU8" s="174"/>
      <c r="FV8" s="174"/>
      <c r="FW8" s="174"/>
      <c r="FX8" s="174"/>
      <c r="FY8" s="174"/>
      <c r="FZ8" s="174"/>
      <c r="GA8" s="174"/>
      <c r="GB8" s="174"/>
      <c r="GC8" s="174"/>
      <c r="GD8" s="174"/>
      <c r="GE8" s="174"/>
      <c r="GF8" s="174"/>
      <c r="GG8" s="174"/>
      <c r="GH8" s="174"/>
      <c r="GI8" s="174"/>
      <c r="GJ8" s="174"/>
      <c r="GK8" s="174"/>
      <c r="GL8" s="174"/>
      <c r="GM8" s="174"/>
      <c r="GN8" s="174"/>
      <c r="GO8" s="174"/>
      <c r="GP8" s="174"/>
      <c r="GQ8" s="174"/>
      <c r="GR8" s="174"/>
      <c r="GS8" s="174"/>
      <c r="GT8" s="174"/>
      <c r="GU8" s="174"/>
      <c r="GV8" s="174"/>
      <c r="GW8" s="174"/>
      <c r="GX8" s="174"/>
      <c r="GY8" s="174"/>
      <c r="GZ8" s="174"/>
      <c r="HA8" s="174"/>
      <c r="HB8" s="174"/>
      <c r="HC8" s="174"/>
      <c r="HD8" s="174"/>
      <c r="HE8" s="174"/>
      <c r="HF8" s="174"/>
      <c r="HG8" s="174"/>
      <c r="HH8" s="174"/>
      <c r="HI8" s="174"/>
      <c r="HJ8" s="174"/>
      <c r="HK8" s="174"/>
      <c r="HL8" s="174"/>
      <c r="HM8" s="174"/>
      <c r="HN8" s="174"/>
      <c r="HO8" s="174"/>
      <c r="HP8" s="174"/>
      <c r="HQ8" s="174"/>
      <c r="HR8" s="174"/>
      <c r="HS8" s="174"/>
      <c r="HT8" s="174"/>
      <c r="HU8" s="174"/>
      <c r="HV8" s="174"/>
      <c r="HW8" s="174"/>
      <c r="HX8" s="174"/>
      <c r="HY8" s="174"/>
      <c r="HZ8" s="174"/>
      <c r="IA8" s="174"/>
      <c r="IB8" s="174"/>
      <c r="IC8" s="174"/>
      <c r="ID8" s="174"/>
      <c r="IE8" s="174"/>
      <c r="IF8" s="176"/>
      <c r="IG8" s="176"/>
      <c r="IH8" s="176"/>
      <c r="II8" s="176"/>
      <c r="IJ8" s="176"/>
    </row>
    <row r="9" spans="1:244" ht="16.5" hidden="1">
      <c r="A9" s="846" t="s">
        <v>1060</v>
      </c>
      <c r="B9" s="846" t="s">
        <v>1382</v>
      </c>
      <c r="C9" s="846" t="s">
        <v>1171</v>
      </c>
      <c r="D9" s="847">
        <v>6</v>
      </c>
      <c r="E9" s="846" t="s">
        <v>1171</v>
      </c>
      <c r="F9" s="846" t="s">
        <v>96</v>
      </c>
      <c r="G9" s="851"/>
      <c r="H9" s="847">
        <v>6</v>
      </c>
      <c r="I9" s="780" t="str">
        <f t="shared" si="0"/>
        <v>IWT060106</v>
      </c>
      <c r="J9" s="847">
        <v>4581</v>
      </c>
      <c r="L9" s="846" t="s">
        <v>1060</v>
      </c>
      <c r="M9" s="846" t="s">
        <v>1382</v>
      </c>
      <c r="N9" s="846" t="s">
        <v>96</v>
      </c>
      <c r="O9" s="847">
        <v>6</v>
      </c>
      <c r="P9" s="780" t="str">
        <f t="shared" si="1"/>
        <v>IWT060106</v>
      </c>
      <c r="Q9" s="847">
        <v>1109</v>
      </c>
      <c r="R9" s="847">
        <v>2951</v>
      </c>
      <c r="S9" s="847">
        <v>4757</v>
      </c>
      <c r="T9" s="847">
        <v>6527</v>
      </c>
      <c r="U9" s="847">
        <v>8263</v>
      </c>
      <c r="V9" s="847">
        <v>0</v>
      </c>
      <c r="W9" s="847">
        <v>0</v>
      </c>
      <c r="X9" s="847">
        <v>0</v>
      </c>
      <c r="Y9" s="847">
        <v>0</v>
      </c>
      <c r="Z9" s="847">
        <v>0</v>
      </c>
      <c r="AA9" s="847">
        <v>0</v>
      </c>
      <c r="AB9" s="847">
        <v>0</v>
      </c>
      <c r="AC9" s="847">
        <v>0</v>
      </c>
      <c r="AD9" s="847">
        <v>0</v>
      </c>
      <c r="AE9" s="847">
        <v>0</v>
      </c>
      <c r="AF9" s="847">
        <v>0</v>
      </c>
      <c r="AG9" s="847">
        <v>0</v>
      </c>
      <c r="AH9" s="847">
        <v>0</v>
      </c>
      <c r="AI9" s="847">
        <v>0</v>
      </c>
      <c r="AJ9" s="847">
        <v>0</v>
      </c>
      <c r="AK9" s="847">
        <v>0</v>
      </c>
      <c r="AL9" s="847">
        <v>0</v>
      </c>
      <c r="AM9" s="847">
        <v>0</v>
      </c>
      <c r="AN9" s="847">
        <v>0</v>
      </c>
      <c r="AO9" s="847">
        <v>0</v>
      </c>
      <c r="AP9" s="847">
        <v>0</v>
      </c>
      <c r="AQ9" s="847">
        <v>0</v>
      </c>
      <c r="AR9" s="847">
        <v>0</v>
      </c>
      <c r="AS9" s="847">
        <v>0</v>
      </c>
      <c r="AT9" s="847">
        <v>0</v>
      </c>
      <c r="AU9" s="847">
        <v>0</v>
      </c>
      <c r="AV9" s="847">
        <v>0</v>
      </c>
      <c r="AW9" s="847">
        <v>0</v>
      </c>
      <c r="AX9" s="847">
        <v>0</v>
      </c>
      <c r="AY9" s="847">
        <v>0</v>
      </c>
      <c r="AZ9" s="847">
        <v>0</v>
      </c>
      <c r="BA9" s="847">
        <v>0</v>
      </c>
      <c r="BB9" s="847">
        <v>0</v>
      </c>
      <c r="BC9" s="847">
        <v>0</v>
      </c>
      <c r="BD9" s="847">
        <v>0</v>
      </c>
      <c r="BE9" s="847">
        <v>0</v>
      </c>
      <c r="BF9" s="847">
        <v>0</v>
      </c>
      <c r="BG9" s="847">
        <v>0</v>
      </c>
      <c r="BH9" s="847">
        <v>0</v>
      </c>
      <c r="BI9" s="847">
        <v>0</v>
      </c>
      <c r="BJ9" s="847">
        <v>0</v>
      </c>
      <c r="BK9" s="847">
        <v>0</v>
      </c>
      <c r="BL9" s="847">
        <v>0</v>
      </c>
      <c r="BM9" s="847">
        <v>0</v>
      </c>
      <c r="BN9" s="847">
        <v>0</v>
      </c>
      <c r="BO9" s="847">
        <v>0</v>
      </c>
      <c r="BP9" s="847">
        <v>0</v>
      </c>
      <c r="BQ9" s="847">
        <v>0</v>
      </c>
      <c r="BR9" s="847">
        <v>0</v>
      </c>
      <c r="BS9" s="847">
        <v>0</v>
      </c>
      <c r="BT9" s="847">
        <v>0</v>
      </c>
      <c r="BU9" s="847">
        <v>0</v>
      </c>
      <c r="BV9" s="847">
        <v>0</v>
      </c>
      <c r="BW9" s="847">
        <v>0</v>
      </c>
      <c r="BX9" s="847">
        <v>0</v>
      </c>
      <c r="BY9" s="847">
        <v>0</v>
      </c>
      <c r="BZ9" s="847">
        <v>0</v>
      </c>
      <c r="CA9" s="847">
        <v>0</v>
      </c>
      <c r="CB9" s="847">
        <v>0</v>
      </c>
      <c r="CC9" s="847">
        <v>0</v>
      </c>
      <c r="CD9" s="847">
        <v>0</v>
      </c>
      <c r="CE9" s="847">
        <v>0</v>
      </c>
      <c r="CF9" s="847">
        <v>0</v>
      </c>
      <c r="CG9" s="847">
        <v>0</v>
      </c>
      <c r="CH9" s="847">
        <v>0</v>
      </c>
      <c r="CI9" s="847">
        <v>0</v>
      </c>
      <c r="CJ9" s="847">
        <v>0</v>
      </c>
      <c r="CK9" s="847">
        <v>0</v>
      </c>
      <c r="CL9" s="847">
        <v>0</v>
      </c>
      <c r="CM9" s="847">
        <v>0</v>
      </c>
      <c r="CN9" s="847">
        <v>0</v>
      </c>
      <c r="CO9" s="847">
        <v>0</v>
      </c>
      <c r="CP9" s="847">
        <v>0</v>
      </c>
      <c r="CQ9" s="847">
        <v>0</v>
      </c>
      <c r="CR9" s="847">
        <v>0</v>
      </c>
      <c r="CS9" s="847">
        <v>0</v>
      </c>
      <c r="CT9" s="847">
        <v>0</v>
      </c>
      <c r="CU9" s="847">
        <v>0</v>
      </c>
      <c r="CV9" s="847">
        <v>0</v>
      </c>
      <c r="CW9" s="847">
        <v>0</v>
      </c>
      <c r="CX9" s="847">
        <v>0</v>
      </c>
      <c r="CY9" s="847">
        <v>0</v>
      </c>
      <c r="CZ9" s="847">
        <v>0</v>
      </c>
      <c r="DA9" s="847">
        <v>0</v>
      </c>
      <c r="DB9" s="847">
        <v>0</v>
      </c>
      <c r="DC9" s="847">
        <v>0</v>
      </c>
      <c r="DD9" s="847">
        <v>0</v>
      </c>
      <c r="DE9" s="847">
        <v>0</v>
      </c>
      <c r="DF9" s="847">
        <v>0</v>
      </c>
      <c r="DG9" s="847">
        <v>0</v>
      </c>
      <c r="DH9" s="847">
        <v>0</v>
      </c>
      <c r="DI9" s="847">
        <v>0</v>
      </c>
      <c r="DJ9" s="847">
        <v>0</v>
      </c>
      <c r="DK9" s="847">
        <v>0</v>
      </c>
      <c r="DL9" s="847">
        <v>0</v>
      </c>
      <c r="DM9" s="847">
        <v>0</v>
      </c>
      <c r="DN9" s="847">
        <v>0</v>
      </c>
      <c r="DO9" s="847">
        <v>0</v>
      </c>
      <c r="DP9" s="847">
        <v>0</v>
      </c>
      <c r="DQ9" s="847">
        <v>0</v>
      </c>
      <c r="DR9" s="847">
        <v>0</v>
      </c>
      <c r="DS9" s="847">
        <v>0</v>
      </c>
      <c r="DT9" s="847">
        <v>0</v>
      </c>
      <c r="DU9" s="847">
        <v>0</v>
      </c>
      <c r="DV9" s="847">
        <v>0</v>
      </c>
      <c r="DW9" s="847">
        <v>0</v>
      </c>
      <c r="DY9" s="173"/>
      <c r="DZ9" s="173"/>
      <c r="EA9" s="173"/>
      <c r="EB9" s="174"/>
      <c r="EC9" s="175"/>
      <c r="ED9" s="174"/>
      <c r="EE9" s="174"/>
      <c r="EF9" s="174"/>
      <c r="EG9" s="174"/>
      <c r="EH9" s="174"/>
      <c r="EI9" s="174"/>
      <c r="EJ9" s="174"/>
      <c r="EK9" s="174"/>
      <c r="EL9" s="174"/>
      <c r="EM9" s="174"/>
      <c r="EN9" s="174"/>
      <c r="EO9" s="174"/>
      <c r="EP9" s="174"/>
      <c r="EQ9" s="174"/>
      <c r="ER9" s="174"/>
      <c r="ES9" s="174"/>
      <c r="ET9" s="174"/>
      <c r="EU9" s="174"/>
      <c r="EV9" s="174"/>
      <c r="EW9" s="174"/>
      <c r="EX9" s="174"/>
      <c r="EY9" s="174"/>
      <c r="EZ9" s="174"/>
      <c r="FA9" s="174"/>
      <c r="FB9" s="174"/>
      <c r="FC9" s="174"/>
      <c r="FD9" s="174"/>
      <c r="FE9" s="174"/>
      <c r="FF9" s="174"/>
      <c r="FG9" s="174"/>
      <c r="FH9" s="174"/>
      <c r="FI9" s="174"/>
      <c r="FJ9" s="174"/>
      <c r="FK9" s="174"/>
      <c r="FL9" s="174"/>
      <c r="FM9" s="174"/>
      <c r="FN9" s="174"/>
      <c r="FO9" s="174"/>
      <c r="FP9" s="174"/>
      <c r="FQ9" s="174"/>
      <c r="FR9" s="174"/>
      <c r="FS9" s="174"/>
      <c r="FT9" s="174"/>
      <c r="FU9" s="174"/>
      <c r="FV9" s="174"/>
      <c r="FW9" s="174"/>
      <c r="FX9" s="174"/>
      <c r="FY9" s="174"/>
      <c r="FZ9" s="174"/>
      <c r="GA9" s="174"/>
      <c r="GB9" s="174"/>
      <c r="GC9" s="174"/>
      <c r="GD9" s="174"/>
      <c r="GE9" s="174"/>
      <c r="GF9" s="174"/>
      <c r="GG9" s="174"/>
      <c r="GH9" s="174"/>
      <c r="GI9" s="174"/>
      <c r="GJ9" s="174"/>
      <c r="GK9" s="174"/>
      <c r="GL9" s="174"/>
      <c r="GM9" s="174"/>
      <c r="GN9" s="174"/>
      <c r="GO9" s="174"/>
      <c r="GP9" s="174"/>
      <c r="GQ9" s="174"/>
      <c r="GR9" s="174"/>
      <c r="GS9" s="174"/>
      <c r="GT9" s="174"/>
      <c r="GU9" s="174"/>
      <c r="GV9" s="174"/>
      <c r="GW9" s="174"/>
      <c r="GX9" s="174"/>
      <c r="GY9" s="174"/>
      <c r="GZ9" s="174"/>
      <c r="HA9" s="174"/>
      <c r="HB9" s="174"/>
      <c r="HC9" s="174"/>
      <c r="HD9" s="174"/>
      <c r="HE9" s="174"/>
      <c r="HF9" s="174"/>
      <c r="HG9" s="174"/>
      <c r="HH9" s="174"/>
      <c r="HI9" s="174"/>
      <c r="HJ9" s="174"/>
      <c r="HK9" s="174"/>
      <c r="HL9" s="174"/>
      <c r="HM9" s="174"/>
      <c r="HN9" s="174"/>
      <c r="HO9" s="174"/>
      <c r="HP9" s="174"/>
      <c r="HQ9" s="174"/>
      <c r="HR9" s="174"/>
      <c r="HS9" s="174"/>
      <c r="HT9" s="174"/>
      <c r="HU9" s="174"/>
      <c r="HV9" s="174"/>
      <c r="HW9" s="174"/>
      <c r="HX9" s="174"/>
      <c r="HY9" s="174"/>
      <c r="HZ9" s="174"/>
      <c r="IA9" s="174"/>
      <c r="IB9" s="174"/>
      <c r="IC9" s="174"/>
      <c r="ID9" s="174"/>
      <c r="IE9" s="176"/>
      <c r="IF9" s="176"/>
      <c r="IG9" s="176"/>
      <c r="IH9" s="176"/>
      <c r="II9" s="176"/>
      <c r="IJ9" s="176"/>
    </row>
    <row r="10" spans="1:244" ht="16.5" hidden="1">
      <c r="A10" s="846" t="s">
        <v>1060</v>
      </c>
      <c r="B10" s="846" t="s">
        <v>1382</v>
      </c>
      <c r="C10" s="846" t="s">
        <v>1171</v>
      </c>
      <c r="D10" s="847">
        <v>6</v>
      </c>
      <c r="E10" s="846" t="s">
        <v>1171</v>
      </c>
      <c r="F10" s="846" t="s">
        <v>96</v>
      </c>
      <c r="G10" s="851"/>
      <c r="H10" s="847">
        <v>7</v>
      </c>
      <c r="I10" s="780" t="str">
        <f t="shared" si="0"/>
        <v>IWT060107</v>
      </c>
      <c r="J10" s="847">
        <v>4606</v>
      </c>
      <c r="L10" s="846" t="s">
        <v>1060</v>
      </c>
      <c r="M10" s="846" t="s">
        <v>1382</v>
      </c>
      <c r="N10" s="846" t="s">
        <v>96</v>
      </c>
      <c r="O10" s="847">
        <v>7</v>
      </c>
      <c r="P10" s="780" t="str">
        <f t="shared" si="1"/>
        <v>IWT060107</v>
      </c>
      <c r="Q10" s="847">
        <v>1110</v>
      </c>
      <c r="R10" s="847">
        <v>2951</v>
      </c>
      <c r="S10" s="847">
        <v>4757</v>
      </c>
      <c r="T10" s="847">
        <v>6527</v>
      </c>
      <c r="U10" s="847">
        <v>8263</v>
      </c>
      <c r="V10" s="847">
        <v>0</v>
      </c>
      <c r="W10" s="847">
        <v>0</v>
      </c>
      <c r="X10" s="847">
        <v>0</v>
      </c>
      <c r="Y10" s="847">
        <v>0</v>
      </c>
      <c r="Z10" s="847">
        <v>0</v>
      </c>
      <c r="AA10" s="847">
        <v>0</v>
      </c>
      <c r="AB10" s="847">
        <v>0</v>
      </c>
      <c r="AC10" s="847">
        <v>0</v>
      </c>
      <c r="AD10" s="847">
        <v>0</v>
      </c>
      <c r="AE10" s="847">
        <v>0</v>
      </c>
      <c r="AF10" s="847">
        <v>0</v>
      </c>
      <c r="AG10" s="847">
        <v>0</v>
      </c>
      <c r="AH10" s="847">
        <v>0</v>
      </c>
      <c r="AI10" s="847">
        <v>0</v>
      </c>
      <c r="AJ10" s="847">
        <v>0</v>
      </c>
      <c r="AK10" s="847">
        <v>0</v>
      </c>
      <c r="AL10" s="847">
        <v>0</v>
      </c>
      <c r="AM10" s="847">
        <v>0</v>
      </c>
      <c r="AN10" s="847">
        <v>0</v>
      </c>
      <c r="AO10" s="847">
        <v>0</v>
      </c>
      <c r="AP10" s="847">
        <v>0</v>
      </c>
      <c r="AQ10" s="847">
        <v>0</v>
      </c>
      <c r="AR10" s="847">
        <v>0</v>
      </c>
      <c r="AS10" s="847">
        <v>0</v>
      </c>
      <c r="AT10" s="847">
        <v>0</v>
      </c>
      <c r="AU10" s="847">
        <v>0</v>
      </c>
      <c r="AV10" s="847">
        <v>0</v>
      </c>
      <c r="AW10" s="847">
        <v>0</v>
      </c>
      <c r="AX10" s="847">
        <v>0</v>
      </c>
      <c r="AY10" s="847">
        <v>0</v>
      </c>
      <c r="AZ10" s="847">
        <v>0</v>
      </c>
      <c r="BA10" s="847">
        <v>0</v>
      </c>
      <c r="BB10" s="847">
        <v>0</v>
      </c>
      <c r="BC10" s="847">
        <v>0</v>
      </c>
      <c r="BD10" s="847">
        <v>0</v>
      </c>
      <c r="BE10" s="847">
        <v>0</v>
      </c>
      <c r="BF10" s="847">
        <v>0</v>
      </c>
      <c r="BG10" s="847">
        <v>0</v>
      </c>
      <c r="BH10" s="847">
        <v>0</v>
      </c>
      <c r="BI10" s="847">
        <v>0</v>
      </c>
      <c r="BJ10" s="847">
        <v>0</v>
      </c>
      <c r="BK10" s="847">
        <v>0</v>
      </c>
      <c r="BL10" s="847">
        <v>0</v>
      </c>
      <c r="BM10" s="847">
        <v>0</v>
      </c>
      <c r="BN10" s="847">
        <v>0</v>
      </c>
      <c r="BO10" s="847">
        <v>0</v>
      </c>
      <c r="BP10" s="847">
        <v>0</v>
      </c>
      <c r="BQ10" s="847">
        <v>0</v>
      </c>
      <c r="BR10" s="847">
        <v>0</v>
      </c>
      <c r="BS10" s="847">
        <v>0</v>
      </c>
      <c r="BT10" s="847">
        <v>0</v>
      </c>
      <c r="BU10" s="847">
        <v>0</v>
      </c>
      <c r="BV10" s="847">
        <v>0</v>
      </c>
      <c r="BW10" s="847">
        <v>0</v>
      </c>
      <c r="BX10" s="847">
        <v>0</v>
      </c>
      <c r="BY10" s="847">
        <v>0</v>
      </c>
      <c r="BZ10" s="847">
        <v>0</v>
      </c>
      <c r="CA10" s="847">
        <v>0</v>
      </c>
      <c r="CB10" s="847">
        <v>0</v>
      </c>
      <c r="CC10" s="847">
        <v>0</v>
      </c>
      <c r="CD10" s="847">
        <v>0</v>
      </c>
      <c r="CE10" s="847">
        <v>0</v>
      </c>
      <c r="CF10" s="847">
        <v>0</v>
      </c>
      <c r="CG10" s="847">
        <v>0</v>
      </c>
      <c r="CH10" s="847">
        <v>0</v>
      </c>
      <c r="CI10" s="847">
        <v>0</v>
      </c>
      <c r="CJ10" s="847">
        <v>0</v>
      </c>
      <c r="CK10" s="847">
        <v>0</v>
      </c>
      <c r="CL10" s="847">
        <v>0</v>
      </c>
      <c r="CM10" s="847">
        <v>0</v>
      </c>
      <c r="CN10" s="847">
        <v>0</v>
      </c>
      <c r="CO10" s="847">
        <v>0</v>
      </c>
      <c r="CP10" s="847">
        <v>0</v>
      </c>
      <c r="CQ10" s="847">
        <v>0</v>
      </c>
      <c r="CR10" s="847">
        <v>0</v>
      </c>
      <c r="CS10" s="847">
        <v>0</v>
      </c>
      <c r="CT10" s="847">
        <v>0</v>
      </c>
      <c r="CU10" s="847">
        <v>0</v>
      </c>
      <c r="CV10" s="847">
        <v>0</v>
      </c>
      <c r="CW10" s="847">
        <v>0</v>
      </c>
      <c r="CX10" s="847">
        <v>0</v>
      </c>
      <c r="CY10" s="847">
        <v>0</v>
      </c>
      <c r="CZ10" s="847">
        <v>0</v>
      </c>
      <c r="DA10" s="847">
        <v>0</v>
      </c>
      <c r="DB10" s="847">
        <v>0</v>
      </c>
      <c r="DC10" s="847">
        <v>0</v>
      </c>
      <c r="DD10" s="847">
        <v>0</v>
      </c>
      <c r="DE10" s="847">
        <v>0</v>
      </c>
      <c r="DF10" s="847">
        <v>0</v>
      </c>
      <c r="DG10" s="847">
        <v>0</v>
      </c>
      <c r="DH10" s="847">
        <v>0</v>
      </c>
      <c r="DI10" s="847">
        <v>0</v>
      </c>
      <c r="DJ10" s="847">
        <v>0</v>
      </c>
      <c r="DK10" s="847">
        <v>0</v>
      </c>
      <c r="DL10" s="847">
        <v>0</v>
      </c>
      <c r="DM10" s="847">
        <v>0</v>
      </c>
      <c r="DN10" s="847">
        <v>0</v>
      </c>
      <c r="DO10" s="847">
        <v>0</v>
      </c>
      <c r="DP10" s="847">
        <v>0</v>
      </c>
      <c r="DQ10" s="847">
        <v>0</v>
      </c>
      <c r="DR10" s="847">
        <v>0</v>
      </c>
      <c r="DS10" s="847">
        <v>0</v>
      </c>
      <c r="DT10" s="847">
        <v>0</v>
      </c>
      <c r="DU10" s="847">
        <v>0</v>
      </c>
      <c r="DV10" s="847">
        <v>0</v>
      </c>
      <c r="DW10" s="847">
        <v>0</v>
      </c>
      <c r="DY10" s="173"/>
      <c r="DZ10" s="173"/>
      <c r="EA10" s="173"/>
      <c r="EB10" s="174"/>
      <c r="EC10" s="175"/>
      <c r="ED10" s="174"/>
      <c r="EE10" s="174"/>
      <c r="EF10" s="174"/>
      <c r="EG10" s="174"/>
      <c r="EH10" s="174"/>
      <c r="EI10" s="174"/>
      <c r="EJ10" s="174"/>
      <c r="EK10" s="174"/>
      <c r="EL10" s="174"/>
      <c r="EM10" s="174"/>
      <c r="EN10" s="174"/>
      <c r="EO10" s="174"/>
      <c r="EP10" s="174"/>
      <c r="EQ10" s="174"/>
      <c r="ER10" s="174"/>
      <c r="ES10" s="174"/>
      <c r="ET10" s="174"/>
      <c r="EU10" s="174"/>
      <c r="EV10" s="174"/>
      <c r="EW10" s="174"/>
      <c r="EX10" s="174"/>
      <c r="EY10" s="174"/>
      <c r="EZ10" s="174"/>
      <c r="FA10" s="174"/>
      <c r="FB10" s="174"/>
      <c r="FC10" s="174"/>
      <c r="FD10" s="174"/>
      <c r="FE10" s="174"/>
      <c r="FF10" s="174"/>
      <c r="FG10" s="174"/>
      <c r="FH10" s="174"/>
      <c r="FI10" s="174"/>
      <c r="FJ10" s="174"/>
      <c r="FK10" s="174"/>
      <c r="FL10" s="174"/>
      <c r="FM10" s="174"/>
      <c r="FN10" s="174"/>
      <c r="FO10" s="174"/>
      <c r="FP10" s="174"/>
      <c r="FQ10" s="174"/>
      <c r="FR10" s="174"/>
      <c r="FS10" s="174"/>
      <c r="FT10" s="174"/>
      <c r="FU10" s="174"/>
      <c r="FV10" s="174"/>
      <c r="FW10" s="174"/>
      <c r="FX10" s="174"/>
      <c r="FY10" s="174"/>
      <c r="FZ10" s="174"/>
      <c r="GA10" s="174"/>
      <c r="GB10" s="174"/>
      <c r="GC10" s="174"/>
      <c r="GD10" s="174"/>
      <c r="GE10" s="174"/>
      <c r="GF10" s="174"/>
      <c r="GG10" s="174"/>
      <c r="GH10" s="174"/>
      <c r="GI10" s="174"/>
      <c r="GJ10" s="174"/>
      <c r="GK10" s="174"/>
      <c r="GL10" s="174"/>
      <c r="GM10" s="174"/>
      <c r="GN10" s="174"/>
      <c r="GO10" s="174"/>
      <c r="GP10" s="174"/>
      <c r="GQ10" s="174"/>
      <c r="GR10" s="174"/>
      <c r="GS10" s="174"/>
      <c r="GT10" s="174"/>
      <c r="GU10" s="174"/>
      <c r="GV10" s="174"/>
      <c r="GW10" s="174"/>
      <c r="GX10" s="174"/>
      <c r="GY10" s="174"/>
      <c r="GZ10" s="174"/>
      <c r="HA10" s="174"/>
      <c r="HB10" s="174"/>
      <c r="HC10" s="174"/>
      <c r="HD10" s="174"/>
      <c r="HE10" s="174"/>
      <c r="HF10" s="174"/>
      <c r="HG10" s="174"/>
      <c r="HH10" s="174"/>
      <c r="HI10" s="174"/>
      <c r="HJ10" s="174"/>
      <c r="HK10" s="174"/>
      <c r="HL10" s="174"/>
      <c r="HM10" s="174"/>
      <c r="HN10" s="174"/>
      <c r="HO10" s="174"/>
      <c r="HP10" s="174"/>
      <c r="HQ10" s="174"/>
      <c r="HR10" s="174"/>
      <c r="HS10" s="174"/>
      <c r="HT10" s="174"/>
      <c r="HU10" s="174"/>
      <c r="HV10" s="174"/>
      <c r="HW10" s="174"/>
      <c r="HX10" s="174"/>
      <c r="HY10" s="174"/>
      <c r="HZ10" s="174"/>
      <c r="IA10" s="174"/>
      <c r="IB10" s="174"/>
      <c r="IC10" s="174"/>
      <c r="ID10" s="176"/>
      <c r="IE10" s="176"/>
      <c r="IF10" s="176"/>
      <c r="IG10" s="176"/>
      <c r="IH10" s="176"/>
      <c r="II10" s="176"/>
      <c r="IJ10" s="176"/>
    </row>
    <row r="11" spans="1:244" ht="16.5" hidden="1">
      <c r="A11" s="846" t="s">
        <v>1060</v>
      </c>
      <c r="B11" s="846" t="s">
        <v>1382</v>
      </c>
      <c r="C11" s="846" t="s">
        <v>1171</v>
      </c>
      <c r="D11" s="847">
        <v>6</v>
      </c>
      <c r="E11" s="846" t="s">
        <v>1171</v>
      </c>
      <c r="F11" s="846" t="s">
        <v>96</v>
      </c>
      <c r="G11" s="851"/>
      <c r="H11" s="847">
        <v>8</v>
      </c>
      <c r="I11" s="780" t="str">
        <f t="shared" si="0"/>
        <v>IWT060108</v>
      </c>
      <c r="J11" s="847">
        <v>4630</v>
      </c>
      <c r="L11" s="846" t="s">
        <v>1060</v>
      </c>
      <c r="M11" s="846" t="s">
        <v>1382</v>
      </c>
      <c r="N11" s="846" t="s">
        <v>96</v>
      </c>
      <c r="O11" s="847">
        <v>8</v>
      </c>
      <c r="P11" s="780" t="str">
        <f t="shared" si="1"/>
        <v>IWT060108</v>
      </c>
      <c r="Q11" s="847">
        <v>1110</v>
      </c>
      <c r="R11" s="847">
        <v>2951</v>
      </c>
      <c r="S11" s="847">
        <v>4757</v>
      </c>
      <c r="T11" s="847">
        <v>6527</v>
      </c>
      <c r="U11" s="847">
        <v>8263</v>
      </c>
      <c r="V11" s="847">
        <v>0</v>
      </c>
      <c r="W11" s="847">
        <v>0</v>
      </c>
      <c r="X11" s="847">
        <v>0</v>
      </c>
      <c r="Y11" s="847">
        <v>0</v>
      </c>
      <c r="Z11" s="847">
        <v>0</v>
      </c>
      <c r="AA11" s="847">
        <v>0</v>
      </c>
      <c r="AB11" s="847">
        <v>0</v>
      </c>
      <c r="AC11" s="847">
        <v>0</v>
      </c>
      <c r="AD11" s="847">
        <v>0</v>
      </c>
      <c r="AE11" s="847">
        <v>0</v>
      </c>
      <c r="AF11" s="847">
        <v>0</v>
      </c>
      <c r="AG11" s="847">
        <v>0</v>
      </c>
      <c r="AH11" s="847">
        <v>0</v>
      </c>
      <c r="AI11" s="847">
        <v>0</v>
      </c>
      <c r="AJ11" s="847">
        <v>0</v>
      </c>
      <c r="AK11" s="847">
        <v>0</v>
      </c>
      <c r="AL11" s="847">
        <v>0</v>
      </c>
      <c r="AM11" s="847">
        <v>0</v>
      </c>
      <c r="AN11" s="847">
        <v>0</v>
      </c>
      <c r="AO11" s="847">
        <v>0</v>
      </c>
      <c r="AP11" s="847">
        <v>0</v>
      </c>
      <c r="AQ11" s="847">
        <v>0</v>
      </c>
      <c r="AR11" s="847">
        <v>0</v>
      </c>
      <c r="AS11" s="847">
        <v>0</v>
      </c>
      <c r="AT11" s="847">
        <v>0</v>
      </c>
      <c r="AU11" s="847">
        <v>0</v>
      </c>
      <c r="AV11" s="847">
        <v>0</v>
      </c>
      <c r="AW11" s="847">
        <v>0</v>
      </c>
      <c r="AX11" s="847">
        <v>0</v>
      </c>
      <c r="AY11" s="847">
        <v>0</v>
      </c>
      <c r="AZ11" s="847">
        <v>0</v>
      </c>
      <c r="BA11" s="847">
        <v>0</v>
      </c>
      <c r="BB11" s="847">
        <v>0</v>
      </c>
      <c r="BC11" s="847">
        <v>0</v>
      </c>
      <c r="BD11" s="847">
        <v>0</v>
      </c>
      <c r="BE11" s="847">
        <v>0</v>
      </c>
      <c r="BF11" s="847">
        <v>0</v>
      </c>
      <c r="BG11" s="847">
        <v>0</v>
      </c>
      <c r="BH11" s="847">
        <v>0</v>
      </c>
      <c r="BI11" s="847">
        <v>0</v>
      </c>
      <c r="BJ11" s="847">
        <v>0</v>
      </c>
      <c r="BK11" s="847">
        <v>0</v>
      </c>
      <c r="BL11" s="847">
        <v>0</v>
      </c>
      <c r="BM11" s="847">
        <v>0</v>
      </c>
      <c r="BN11" s="847">
        <v>0</v>
      </c>
      <c r="BO11" s="847">
        <v>0</v>
      </c>
      <c r="BP11" s="847">
        <v>0</v>
      </c>
      <c r="BQ11" s="847">
        <v>0</v>
      </c>
      <c r="BR11" s="847">
        <v>0</v>
      </c>
      <c r="BS11" s="847">
        <v>0</v>
      </c>
      <c r="BT11" s="847">
        <v>0</v>
      </c>
      <c r="BU11" s="847">
        <v>0</v>
      </c>
      <c r="BV11" s="847">
        <v>0</v>
      </c>
      <c r="BW11" s="847">
        <v>0</v>
      </c>
      <c r="BX11" s="847">
        <v>0</v>
      </c>
      <c r="BY11" s="847">
        <v>0</v>
      </c>
      <c r="BZ11" s="847">
        <v>0</v>
      </c>
      <c r="CA11" s="847">
        <v>0</v>
      </c>
      <c r="CB11" s="847">
        <v>0</v>
      </c>
      <c r="CC11" s="847">
        <v>0</v>
      </c>
      <c r="CD11" s="847">
        <v>0</v>
      </c>
      <c r="CE11" s="847">
        <v>0</v>
      </c>
      <c r="CF11" s="847">
        <v>0</v>
      </c>
      <c r="CG11" s="847">
        <v>0</v>
      </c>
      <c r="CH11" s="847">
        <v>0</v>
      </c>
      <c r="CI11" s="847">
        <v>0</v>
      </c>
      <c r="CJ11" s="847">
        <v>0</v>
      </c>
      <c r="CK11" s="847">
        <v>0</v>
      </c>
      <c r="CL11" s="847">
        <v>0</v>
      </c>
      <c r="CM11" s="847">
        <v>0</v>
      </c>
      <c r="CN11" s="847">
        <v>0</v>
      </c>
      <c r="CO11" s="847">
        <v>0</v>
      </c>
      <c r="CP11" s="847">
        <v>0</v>
      </c>
      <c r="CQ11" s="847">
        <v>0</v>
      </c>
      <c r="CR11" s="847">
        <v>0</v>
      </c>
      <c r="CS11" s="847">
        <v>0</v>
      </c>
      <c r="CT11" s="847">
        <v>0</v>
      </c>
      <c r="CU11" s="847">
        <v>0</v>
      </c>
      <c r="CV11" s="847">
        <v>0</v>
      </c>
      <c r="CW11" s="847">
        <v>0</v>
      </c>
      <c r="CX11" s="847">
        <v>0</v>
      </c>
      <c r="CY11" s="847">
        <v>0</v>
      </c>
      <c r="CZ11" s="847">
        <v>0</v>
      </c>
      <c r="DA11" s="847">
        <v>0</v>
      </c>
      <c r="DB11" s="847">
        <v>0</v>
      </c>
      <c r="DC11" s="847">
        <v>0</v>
      </c>
      <c r="DD11" s="847">
        <v>0</v>
      </c>
      <c r="DE11" s="847">
        <v>0</v>
      </c>
      <c r="DF11" s="847">
        <v>0</v>
      </c>
      <c r="DG11" s="847">
        <v>0</v>
      </c>
      <c r="DH11" s="847">
        <v>0</v>
      </c>
      <c r="DI11" s="847">
        <v>0</v>
      </c>
      <c r="DJ11" s="847">
        <v>0</v>
      </c>
      <c r="DK11" s="847">
        <v>0</v>
      </c>
      <c r="DL11" s="847">
        <v>0</v>
      </c>
      <c r="DM11" s="847">
        <v>0</v>
      </c>
      <c r="DN11" s="847">
        <v>0</v>
      </c>
      <c r="DO11" s="847">
        <v>0</v>
      </c>
      <c r="DP11" s="847">
        <v>0</v>
      </c>
      <c r="DQ11" s="847">
        <v>0</v>
      </c>
      <c r="DR11" s="847">
        <v>0</v>
      </c>
      <c r="DS11" s="847">
        <v>0</v>
      </c>
      <c r="DT11" s="847">
        <v>0</v>
      </c>
      <c r="DU11" s="847">
        <v>0</v>
      </c>
      <c r="DV11" s="847">
        <v>0</v>
      </c>
      <c r="DW11" s="847">
        <v>0</v>
      </c>
      <c r="DY11" s="173"/>
      <c r="DZ11" s="173"/>
      <c r="EA11" s="173"/>
      <c r="EB11" s="174"/>
      <c r="EC11" s="175"/>
      <c r="ED11" s="174"/>
      <c r="EE11" s="174"/>
      <c r="EF11" s="174"/>
      <c r="EG11" s="174"/>
      <c r="EH11" s="174"/>
      <c r="EI11" s="174"/>
      <c r="EJ11" s="174"/>
      <c r="EK11" s="174"/>
      <c r="EL11" s="174"/>
      <c r="EM11" s="174"/>
      <c r="EN11" s="174"/>
      <c r="EO11" s="174"/>
      <c r="EP11" s="174"/>
      <c r="EQ11" s="174"/>
      <c r="ER11" s="174"/>
      <c r="ES11" s="174"/>
      <c r="ET11" s="174"/>
      <c r="EU11" s="174"/>
      <c r="EV11" s="174"/>
      <c r="EW11" s="174"/>
      <c r="EX11" s="174"/>
      <c r="EY11" s="174"/>
      <c r="EZ11" s="174"/>
      <c r="FA11" s="174"/>
      <c r="FB11" s="174"/>
      <c r="FC11" s="174"/>
      <c r="FD11" s="174"/>
      <c r="FE11" s="174"/>
      <c r="FF11" s="174"/>
      <c r="FG11" s="174"/>
      <c r="FH11" s="174"/>
      <c r="FI11" s="174"/>
      <c r="FJ11" s="174"/>
      <c r="FK11" s="174"/>
      <c r="FL11" s="174"/>
      <c r="FM11" s="174"/>
      <c r="FN11" s="174"/>
      <c r="FO11" s="174"/>
      <c r="FP11" s="174"/>
      <c r="FQ11" s="174"/>
      <c r="FR11" s="174"/>
      <c r="FS11" s="174"/>
      <c r="FT11" s="174"/>
      <c r="FU11" s="174"/>
      <c r="FV11" s="174"/>
      <c r="FW11" s="174"/>
      <c r="FX11" s="174"/>
      <c r="FY11" s="174"/>
      <c r="FZ11" s="174"/>
      <c r="GA11" s="174"/>
      <c r="GB11" s="174"/>
      <c r="GC11" s="174"/>
      <c r="GD11" s="174"/>
      <c r="GE11" s="174"/>
      <c r="GF11" s="174"/>
      <c r="GG11" s="174"/>
      <c r="GH11" s="174"/>
      <c r="GI11" s="174"/>
      <c r="GJ11" s="174"/>
      <c r="GK11" s="174"/>
      <c r="GL11" s="174"/>
      <c r="GM11" s="174"/>
      <c r="GN11" s="174"/>
      <c r="GO11" s="174"/>
      <c r="GP11" s="174"/>
      <c r="GQ11" s="174"/>
      <c r="GR11" s="174"/>
      <c r="GS11" s="174"/>
      <c r="GT11" s="174"/>
      <c r="GU11" s="174"/>
      <c r="GV11" s="174"/>
      <c r="GW11" s="174"/>
      <c r="GX11" s="174"/>
      <c r="GY11" s="174"/>
      <c r="GZ11" s="174"/>
      <c r="HA11" s="174"/>
      <c r="HB11" s="174"/>
      <c r="HC11" s="174"/>
      <c r="HD11" s="174"/>
      <c r="HE11" s="174"/>
      <c r="HF11" s="174"/>
      <c r="HG11" s="174"/>
      <c r="HH11" s="174"/>
      <c r="HI11" s="174"/>
      <c r="HJ11" s="174"/>
      <c r="HK11" s="174"/>
      <c r="HL11" s="174"/>
      <c r="HM11" s="174"/>
      <c r="HN11" s="174"/>
      <c r="HO11" s="174"/>
      <c r="HP11" s="174"/>
      <c r="HQ11" s="174"/>
      <c r="HR11" s="174"/>
      <c r="HS11" s="174"/>
      <c r="HT11" s="174"/>
      <c r="HU11" s="174"/>
      <c r="HV11" s="174"/>
      <c r="HW11" s="174"/>
      <c r="HX11" s="174"/>
      <c r="HY11" s="174"/>
      <c r="HZ11" s="174"/>
      <c r="IA11" s="174"/>
      <c r="IB11" s="174"/>
      <c r="IC11" s="176"/>
      <c r="ID11" s="176"/>
      <c r="IE11" s="176"/>
      <c r="IF11" s="176"/>
      <c r="IG11" s="176"/>
      <c r="IH11" s="176"/>
      <c r="II11" s="176"/>
      <c r="IJ11" s="176"/>
    </row>
    <row r="12" spans="1:244" ht="16.5" hidden="1">
      <c r="A12" s="846" t="s">
        <v>1060</v>
      </c>
      <c r="B12" s="846" t="s">
        <v>1382</v>
      </c>
      <c r="C12" s="846" t="s">
        <v>1171</v>
      </c>
      <c r="D12" s="847">
        <v>6</v>
      </c>
      <c r="E12" s="846" t="s">
        <v>1171</v>
      </c>
      <c r="F12" s="846" t="s">
        <v>96</v>
      </c>
      <c r="G12" s="851"/>
      <c r="H12" s="847">
        <v>9</v>
      </c>
      <c r="I12" s="780" t="str">
        <f t="shared" si="0"/>
        <v>IWT060109</v>
      </c>
      <c r="J12" s="847">
        <v>4654</v>
      </c>
      <c r="L12" s="846" t="s">
        <v>1060</v>
      </c>
      <c r="M12" s="846" t="s">
        <v>1382</v>
      </c>
      <c r="N12" s="846" t="s">
        <v>96</v>
      </c>
      <c r="O12" s="847">
        <v>9</v>
      </c>
      <c r="P12" s="780" t="str">
        <f t="shared" si="1"/>
        <v>IWT060109</v>
      </c>
      <c r="Q12" s="847">
        <v>1109</v>
      </c>
      <c r="R12" s="847">
        <v>2951</v>
      </c>
      <c r="S12" s="847">
        <v>4757</v>
      </c>
      <c r="T12" s="847">
        <v>6528</v>
      </c>
      <c r="U12" s="847">
        <v>8263</v>
      </c>
      <c r="V12" s="847">
        <v>0</v>
      </c>
      <c r="W12" s="847">
        <v>0</v>
      </c>
      <c r="X12" s="847">
        <v>0</v>
      </c>
      <c r="Y12" s="847">
        <v>0</v>
      </c>
      <c r="Z12" s="847">
        <v>0</v>
      </c>
      <c r="AA12" s="847">
        <v>0</v>
      </c>
      <c r="AB12" s="847">
        <v>0</v>
      </c>
      <c r="AC12" s="847">
        <v>0</v>
      </c>
      <c r="AD12" s="847">
        <v>0</v>
      </c>
      <c r="AE12" s="847">
        <v>0</v>
      </c>
      <c r="AF12" s="847">
        <v>0</v>
      </c>
      <c r="AG12" s="847">
        <v>0</v>
      </c>
      <c r="AH12" s="847">
        <v>0</v>
      </c>
      <c r="AI12" s="847">
        <v>0</v>
      </c>
      <c r="AJ12" s="847">
        <v>0</v>
      </c>
      <c r="AK12" s="847">
        <v>0</v>
      </c>
      <c r="AL12" s="847">
        <v>0</v>
      </c>
      <c r="AM12" s="847">
        <v>0</v>
      </c>
      <c r="AN12" s="847">
        <v>0</v>
      </c>
      <c r="AO12" s="847">
        <v>0</v>
      </c>
      <c r="AP12" s="847">
        <v>0</v>
      </c>
      <c r="AQ12" s="847">
        <v>0</v>
      </c>
      <c r="AR12" s="847">
        <v>0</v>
      </c>
      <c r="AS12" s="847">
        <v>0</v>
      </c>
      <c r="AT12" s="847">
        <v>0</v>
      </c>
      <c r="AU12" s="847">
        <v>0</v>
      </c>
      <c r="AV12" s="847">
        <v>0</v>
      </c>
      <c r="AW12" s="847">
        <v>0</v>
      </c>
      <c r="AX12" s="847">
        <v>0</v>
      </c>
      <c r="AY12" s="847">
        <v>0</v>
      </c>
      <c r="AZ12" s="847">
        <v>0</v>
      </c>
      <c r="BA12" s="847">
        <v>0</v>
      </c>
      <c r="BB12" s="847">
        <v>0</v>
      </c>
      <c r="BC12" s="847">
        <v>0</v>
      </c>
      <c r="BD12" s="847">
        <v>0</v>
      </c>
      <c r="BE12" s="847">
        <v>0</v>
      </c>
      <c r="BF12" s="847">
        <v>0</v>
      </c>
      <c r="BG12" s="847">
        <v>0</v>
      </c>
      <c r="BH12" s="847">
        <v>0</v>
      </c>
      <c r="BI12" s="847">
        <v>0</v>
      </c>
      <c r="BJ12" s="847">
        <v>0</v>
      </c>
      <c r="BK12" s="847">
        <v>0</v>
      </c>
      <c r="BL12" s="847">
        <v>0</v>
      </c>
      <c r="BM12" s="847">
        <v>0</v>
      </c>
      <c r="BN12" s="847">
        <v>0</v>
      </c>
      <c r="BO12" s="847">
        <v>0</v>
      </c>
      <c r="BP12" s="847">
        <v>0</v>
      </c>
      <c r="BQ12" s="847">
        <v>0</v>
      </c>
      <c r="BR12" s="847">
        <v>0</v>
      </c>
      <c r="BS12" s="847">
        <v>0</v>
      </c>
      <c r="BT12" s="847">
        <v>0</v>
      </c>
      <c r="BU12" s="847">
        <v>0</v>
      </c>
      <c r="BV12" s="847">
        <v>0</v>
      </c>
      <c r="BW12" s="847">
        <v>0</v>
      </c>
      <c r="BX12" s="847">
        <v>0</v>
      </c>
      <c r="BY12" s="847">
        <v>0</v>
      </c>
      <c r="BZ12" s="847">
        <v>0</v>
      </c>
      <c r="CA12" s="847">
        <v>0</v>
      </c>
      <c r="CB12" s="847">
        <v>0</v>
      </c>
      <c r="CC12" s="847">
        <v>0</v>
      </c>
      <c r="CD12" s="847">
        <v>0</v>
      </c>
      <c r="CE12" s="847">
        <v>0</v>
      </c>
      <c r="CF12" s="847">
        <v>0</v>
      </c>
      <c r="CG12" s="847">
        <v>0</v>
      </c>
      <c r="CH12" s="847">
        <v>0</v>
      </c>
      <c r="CI12" s="847">
        <v>0</v>
      </c>
      <c r="CJ12" s="847">
        <v>0</v>
      </c>
      <c r="CK12" s="847">
        <v>0</v>
      </c>
      <c r="CL12" s="847">
        <v>0</v>
      </c>
      <c r="CM12" s="847">
        <v>0</v>
      </c>
      <c r="CN12" s="847">
        <v>0</v>
      </c>
      <c r="CO12" s="847">
        <v>0</v>
      </c>
      <c r="CP12" s="847">
        <v>0</v>
      </c>
      <c r="CQ12" s="847">
        <v>0</v>
      </c>
      <c r="CR12" s="847">
        <v>0</v>
      </c>
      <c r="CS12" s="847">
        <v>0</v>
      </c>
      <c r="CT12" s="847">
        <v>0</v>
      </c>
      <c r="CU12" s="847">
        <v>0</v>
      </c>
      <c r="CV12" s="847">
        <v>0</v>
      </c>
      <c r="CW12" s="847">
        <v>0</v>
      </c>
      <c r="CX12" s="847">
        <v>0</v>
      </c>
      <c r="CY12" s="847">
        <v>0</v>
      </c>
      <c r="CZ12" s="847">
        <v>0</v>
      </c>
      <c r="DA12" s="847">
        <v>0</v>
      </c>
      <c r="DB12" s="847">
        <v>0</v>
      </c>
      <c r="DC12" s="847">
        <v>0</v>
      </c>
      <c r="DD12" s="847">
        <v>0</v>
      </c>
      <c r="DE12" s="847">
        <v>0</v>
      </c>
      <c r="DF12" s="847">
        <v>0</v>
      </c>
      <c r="DG12" s="847">
        <v>0</v>
      </c>
      <c r="DH12" s="847">
        <v>0</v>
      </c>
      <c r="DI12" s="847">
        <v>0</v>
      </c>
      <c r="DJ12" s="847">
        <v>0</v>
      </c>
      <c r="DK12" s="847">
        <v>0</v>
      </c>
      <c r="DL12" s="847">
        <v>0</v>
      </c>
      <c r="DM12" s="847">
        <v>0</v>
      </c>
      <c r="DN12" s="847">
        <v>0</v>
      </c>
      <c r="DO12" s="847">
        <v>0</v>
      </c>
      <c r="DP12" s="847">
        <v>0</v>
      </c>
      <c r="DQ12" s="847">
        <v>0</v>
      </c>
      <c r="DR12" s="847">
        <v>0</v>
      </c>
      <c r="DS12" s="847">
        <v>0</v>
      </c>
      <c r="DT12" s="847">
        <v>0</v>
      </c>
      <c r="DU12" s="847">
        <v>0</v>
      </c>
      <c r="DV12" s="847">
        <v>0</v>
      </c>
      <c r="DW12" s="847">
        <v>0</v>
      </c>
      <c r="DY12" s="173"/>
      <c r="DZ12" s="173"/>
      <c r="EA12" s="173"/>
      <c r="EB12" s="174"/>
      <c r="EC12" s="175"/>
      <c r="ED12" s="174"/>
      <c r="EE12" s="174"/>
      <c r="EF12" s="174"/>
      <c r="EG12" s="174"/>
      <c r="EH12" s="174"/>
      <c r="EI12" s="174"/>
      <c r="EJ12" s="174"/>
      <c r="EK12" s="174"/>
      <c r="EL12" s="174"/>
      <c r="EM12" s="174"/>
      <c r="EN12" s="174"/>
      <c r="EO12" s="174"/>
      <c r="EP12" s="174"/>
      <c r="EQ12" s="174"/>
      <c r="ER12" s="174"/>
      <c r="ES12" s="174"/>
      <c r="ET12" s="174"/>
      <c r="EU12" s="174"/>
      <c r="EV12" s="174"/>
      <c r="EW12" s="174"/>
      <c r="EX12" s="174"/>
      <c r="EY12" s="174"/>
      <c r="EZ12" s="174"/>
      <c r="FA12" s="174"/>
      <c r="FB12" s="174"/>
      <c r="FC12" s="174"/>
      <c r="FD12" s="174"/>
      <c r="FE12" s="174"/>
      <c r="FF12" s="174"/>
      <c r="FG12" s="174"/>
      <c r="FH12" s="174"/>
      <c r="FI12" s="174"/>
      <c r="FJ12" s="174"/>
      <c r="FK12" s="174"/>
      <c r="FL12" s="174"/>
      <c r="FM12" s="174"/>
      <c r="FN12" s="174"/>
      <c r="FO12" s="174"/>
      <c r="FP12" s="174"/>
      <c r="FQ12" s="174"/>
      <c r="FR12" s="174"/>
      <c r="FS12" s="174"/>
      <c r="FT12" s="174"/>
      <c r="FU12" s="174"/>
      <c r="FV12" s="174"/>
      <c r="FW12" s="174"/>
      <c r="FX12" s="174"/>
      <c r="FY12" s="174"/>
      <c r="FZ12" s="174"/>
      <c r="GA12" s="174"/>
      <c r="GB12" s="174"/>
      <c r="GC12" s="174"/>
      <c r="GD12" s="174"/>
      <c r="GE12" s="174"/>
      <c r="GF12" s="174"/>
      <c r="GG12" s="174"/>
      <c r="GH12" s="174"/>
      <c r="GI12" s="174"/>
      <c r="GJ12" s="174"/>
      <c r="GK12" s="174"/>
      <c r="GL12" s="174"/>
      <c r="GM12" s="174"/>
      <c r="GN12" s="174"/>
      <c r="GO12" s="174"/>
      <c r="GP12" s="174"/>
      <c r="GQ12" s="174"/>
      <c r="GR12" s="174"/>
      <c r="GS12" s="174"/>
      <c r="GT12" s="174"/>
      <c r="GU12" s="174"/>
      <c r="GV12" s="174"/>
      <c r="GW12" s="174"/>
      <c r="GX12" s="174"/>
      <c r="GY12" s="174"/>
      <c r="GZ12" s="174"/>
      <c r="HA12" s="174"/>
      <c r="HB12" s="174"/>
      <c r="HC12" s="174"/>
      <c r="HD12" s="174"/>
      <c r="HE12" s="174"/>
      <c r="HF12" s="174"/>
      <c r="HG12" s="174"/>
      <c r="HH12" s="174"/>
      <c r="HI12" s="174"/>
      <c r="HJ12" s="174"/>
      <c r="HK12" s="174"/>
      <c r="HL12" s="174"/>
      <c r="HM12" s="174"/>
      <c r="HN12" s="174"/>
      <c r="HO12" s="174"/>
      <c r="HP12" s="174"/>
      <c r="HQ12" s="174"/>
      <c r="HR12" s="174"/>
      <c r="HS12" s="174"/>
      <c r="HT12" s="174"/>
      <c r="HU12" s="174"/>
      <c r="HV12" s="174"/>
      <c r="HW12" s="174"/>
      <c r="HX12" s="174"/>
      <c r="HY12" s="174"/>
      <c r="HZ12" s="174"/>
      <c r="IA12" s="174"/>
      <c r="IB12" s="176"/>
      <c r="IC12" s="176"/>
      <c r="ID12" s="176"/>
      <c r="IE12" s="176"/>
      <c r="IF12" s="176"/>
      <c r="IG12" s="176"/>
      <c r="IH12" s="176"/>
      <c r="II12" s="176"/>
      <c r="IJ12" s="176"/>
    </row>
    <row r="13" spans="1:244" ht="16.5" hidden="1">
      <c r="A13" s="846" t="s">
        <v>1060</v>
      </c>
      <c r="B13" s="846" t="s">
        <v>1382</v>
      </c>
      <c r="C13" s="846" t="s">
        <v>1171</v>
      </c>
      <c r="D13" s="847">
        <v>6</v>
      </c>
      <c r="E13" s="846" t="s">
        <v>1171</v>
      </c>
      <c r="F13" s="846" t="s">
        <v>96</v>
      </c>
      <c r="G13" s="851"/>
      <c r="H13" s="847">
        <v>10</v>
      </c>
      <c r="I13" s="780" t="str">
        <f t="shared" si="0"/>
        <v>IWT060110</v>
      </c>
      <c r="J13" s="847">
        <v>4677</v>
      </c>
      <c r="L13" s="846" t="s">
        <v>1060</v>
      </c>
      <c r="M13" s="846" t="s">
        <v>1382</v>
      </c>
      <c r="N13" s="846" t="s">
        <v>96</v>
      </c>
      <c r="O13" s="847">
        <v>10</v>
      </c>
      <c r="P13" s="780" t="str">
        <f t="shared" si="1"/>
        <v>IWT060110</v>
      </c>
      <c r="Q13" s="847">
        <v>1109</v>
      </c>
      <c r="R13" s="847">
        <v>2951</v>
      </c>
      <c r="S13" s="847">
        <v>4757</v>
      </c>
      <c r="T13" s="847">
        <v>6527</v>
      </c>
      <c r="U13" s="847">
        <v>8263</v>
      </c>
      <c r="V13" s="847">
        <v>0</v>
      </c>
      <c r="W13" s="847">
        <v>0</v>
      </c>
      <c r="X13" s="847">
        <v>0</v>
      </c>
      <c r="Y13" s="847">
        <v>0</v>
      </c>
      <c r="Z13" s="847">
        <v>0</v>
      </c>
      <c r="AA13" s="847">
        <v>0</v>
      </c>
      <c r="AB13" s="847">
        <v>0</v>
      </c>
      <c r="AC13" s="847">
        <v>0</v>
      </c>
      <c r="AD13" s="847">
        <v>0</v>
      </c>
      <c r="AE13" s="847">
        <v>0</v>
      </c>
      <c r="AF13" s="847">
        <v>0</v>
      </c>
      <c r="AG13" s="847">
        <v>0</v>
      </c>
      <c r="AH13" s="847">
        <v>0</v>
      </c>
      <c r="AI13" s="847">
        <v>0</v>
      </c>
      <c r="AJ13" s="847">
        <v>0</v>
      </c>
      <c r="AK13" s="847">
        <v>0</v>
      </c>
      <c r="AL13" s="847">
        <v>0</v>
      </c>
      <c r="AM13" s="847">
        <v>0</v>
      </c>
      <c r="AN13" s="847">
        <v>0</v>
      </c>
      <c r="AO13" s="847">
        <v>0</v>
      </c>
      <c r="AP13" s="847">
        <v>0</v>
      </c>
      <c r="AQ13" s="847">
        <v>0</v>
      </c>
      <c r="AR13" s="847">
        <v>0</v>
      </c>
      <c r="AS13" s="847">
        <v>0</v>
      </c>
      <c r="AT13" s="847">
        <v>0</v>
      </c>
      <c r="AU13" s="847">
        <v>0</v>
      </c>
      <c r="AV13" s="847">
        <v>0</v>
      </c>
      <c r="AW13" s="847">
        <v>0</v>
      </c>
      <c r="AX13" s="847">
        <v>0</v>
      </c>
      <c r="AY13" s="847">
        <v>0</v>
      </c>
      <c r="AZ13" s="847">
        <v>0</v>
      </c>
      <c r="BA13" s="847">
        <v>0</v>
      </c>
      <c r="BB13" s="847">
        <v>0</v>
      </c>
      <c r="BC13" s="847">
        <v>0</v>
      </c>
      <c r="BD13" s="847">
        <v>0</v>
      </c>
      <c r="BE13" s="847">
        <v>0</v>
      </c>
      <c r="BF13" s="847">
        <v>0</v>
      </c>
      <c r="BG13" s="847">
        <v>0</v>
      </c>
      <c r="BH13" s="847">
        <v>0</v>
      </c>
      <c r="BI13" s="847">
        <v>0</v>
      </c>
      <c r="BJ13" s="847">
        <v>0</v>
      </c>
      <c r="BK13" s="847">
        <v>0</v>
      </c>
      <c r="BL13" s="847">
        <v>0</v>
      </c>
      <c r="BM13" s="847">
        <v>0</v>
      </c>
      <c r="BN13" s="847">
        <v>0</v>
      </c>
      <c r="BO13" s="847">
        <v>0</v>
      </c>
      <c r="BP13" s="847">
        <v>0</v>
      </c>
      <c r="BQ13" s="847">
        <v>0</v>
      </c>
      <c r="BR13" s="847">
        <v>0</v>
      </c>
      <c r="BS13" s="847">
        <v>0</v>
      </c>
      <c r="BT13" s="847">
        <v>0</v>
      </c>
      <c r="BU13" s="847">
        <v>0</v>
      </c>
      <c r="BV13" s="847">
        <v>0</v>
      </c>
      <c r="BW13" s="847">
        <v>0</v>
      </c>
      <c r="BX13" s="847">
        <v>0</v>
      </c>
      <c r="BY13" s="847">
        <v>0</v>
      </c>
      <c r="BZ13" s="847">
        <v>0</v>
      </c>
      <c r="CA13" s="847">
        <v>0</v>
      </c>
      <c r="CB13" s="847">
        <v>0</v>
      </c>
      <c r="CC13" s="847">
        <v>0</v>
      </c>
      <c r="CD13" s="847">
        <v>0</v>
      </c>
      <c r="CE13" s="847">
        <v>0</v>
      </c>
      <c r="CF13" s="847">
        <v>0</v>
      </c>
      <c r="CG13" s="847">
        <v>0</v>
      </c>
      <c r="CH13" s="847">
        <v>0</v>
      </c>
      <c r="CI13" s="847">
        <v>0</v>
      </c>
      <c r="CJ13" s="847">
        <v>0</v>
      </c>
      <c r="CK13" s="847">
        <v>0</v>
      </c>
      <c r="CL13" s="847">
        <v>0</v>
      </c>
      <c r="CM13" s="847">
        <v>0</v>
      </c>
      <c r="CN13" s="847">
        <v>0</v>
      </c>
      <c r="CO13" s="847">
        <v>0</v>
      </c>
      <c r="CP13" s="847">
        <v>0</v>
      </c>
      <c r="CQ13" s="847">
        <v>0</v>
      </c>
      <c r="CR13" s="847">
        <v>0</v>
      </c>
      <c r="CS13" s="847">
        <v>0</v>
      </c>
      <c r="CT13" s="847">
        <v>0</v>
      </c>
      <c r="CU13" s="847">
        <v>0</v>
      </c>
      <c r="CV13" s="847">
        <v>0</v>
      </c>
      <c r="CW13" s="847">
        <v>0</v>
      </c>
      <c r="CX13" s="847">
        <v>0</v>
      </c>
      <c r="CY13" s="847">
        <v>0</v>
      </c>
      <c r="CZ13" s="847">
        <v>0</v>
      </c>
      <c r="DA13" s="847">
        <v>0</v>
      </c>
      <c r="DB13" s="847">
        <v>0</v>
      </c>
      <c r="DC13" s="847">
        <v>0</v>
      </c>
      <c r="DD13" s="847">
        <v>0</v>
      </c>
      <c r="DE13" s="847">
        <v>0</v>
      </c>
      <c r="DF13" s="847">
        <v>0</v>
      </c>
      <c r="DG13" s="847">
        <v>0</v>
      </c>
      <c r="DH13" s="847">
        <v>0</v>
      </c>
      <c r="DI13" s="847">
        <v>0</v>
      </c>
      <c r="DJ13" s="847">
        <v>0</v>
      </c>
      <c r="DK13" s="847">
        <v>0</v>
      </c>
      <c r="DL13" s="847">
        <v>0</v>
      </c>
      <c r="DM13" s="847">
        <v>0</v>
      </c>
      <c r="DN13" s="847">
        <v>0</v>
      </c>
      <c r="DO13" s="847">
        <v>0</v>
      </c>
      <c r="DP13" s="847">
        <v>0</v>
      </c>
      <c r="DQ13" s="847">
        <v>0</v>
      </c>
      <c r="DR13" s="847">
        <v>0</v>
      </c>
      <c r="DS13" s="847">
        <v>0</v>
      </c>
      <c r="DT13" s="847">
        <v>0</v>
      </c>
      <c r="DU13" s="847">
        <v>0</v>
      </c>
      <c r="DV13" s="847">
        <v>0</v>
      </c>
      <c r="DW13" s="847">
        <v>0</v>
      </c>
      <c r="DY13" s="173"/>
      <c r="DZ13" s="173"/>
      <c r="EA13" s="173"/>
      <c r="EB13" s="174"/>
      <c r="EC13" s="175"/>
      <c r="ED13" s="174"/>
      <c r="EE13" s="174"/>
      <c r="EF13" s="174"/>
      <c r="EG13" s="174"/>
      <c r="EH13" s="174"/>
      <c r="EI13" s="174"/>
      <c r="EJ13" s="174"/>
      <c r="EK13" s="174"/>
      <c r="EL13" s="174"/>
      <c r="EM13" s="174"/>
      <c r="EN13" s="174"/>
      <c r="EO13" s="174"/>
      <c r="EP13" s="174"/>
      <c r="EQ13" s="174"/>
      <c r="ER13" s="174"/>
      <c r="ES13" s="174"/>
      <c r="ET13" s="174"/>
      <c r="EU13" s="174"/>
      <c r="EV13" s="174"/>
      <c r="EW13" s="174"/>
      <c r="EX13" s="174"/>
      <c r="EY13" s="174"/>
      <c r="EZ13" s="174"/>
      <c r="FA13" s="174"/>
      <c r="FB13" s="174"/>
      <c r="FC13" s="174"/>
      <c r="FD13" s="174"/>
      <c r="FE13" s="174"/>
      <c r="FF13" s="174"/>
      <c r="FG13" s="174"/>
      <c r="FH13" s="174"/>
      <c r="FI13" s="174"/>
      <c r="FJ13" s="174"/>
      <c r="FK13" s="174"/>
      <c r="FL13" s="174"/>
      <c r="FM13" s="174"/>
      <c r="FN13" s="174"/>
      <c r="FO13" s="174"/>
      <c r="FP13" s="174"/>
      <c r="FQ13" s="174"/>
      <c r="FR13" s="174"/>
      <c r="FS13" s="174"/>
      <c r="FT13" s="174"/>
      <c r="FU13" s="174"/>
      <c r="FV13" s="174"/>
      <c r="FW13" s="174"/>
      <c r="FX13" s="174"/>
      <c r="FY13" s="174"/>
      <c r="FZ13" s="174"/>
      <c r="GA13" s="174"/>
      <c r="GB13" s="174"/>
      <c r="GC13" s="174"/>
      <c r="GD13" s="174"/>
      <c r="GE13" s="174"/>
      <c r="GF13" s="174"/>
      <c r="GG13" s="174"/>
      <c r="GH13" s="174"/>
      <c r="GI13" s="174"/>
      <c r="GJ13" s="174"/>
      <c r="GK13" s="174"/>
      <c r="GL13" s="174"/>
      <c r="GM13" s="174"/>
      <c r="GN13" s="174"/>
      <c r="GO13" s="174"/>
      <c r="GP13" s="174"/>
      <c r="GQ13" s="174"/>
      <c r="GR13" s="174"/>
      <c r="GS13" s="174"/>
      <c r="GT13" s="174"/>
      <c r="GU13" s="174"/>
      <c r="GV13" s="174"/>
      <c r="GW13" s="174"/>
      <c r="GX13" s="174"/>
      <c r="GY13" s="174"/>
      <c r="GZ13" s="174"/>
      <c r="HA13" s="174"/>
      <c r="HB13" s="174"/>
      <c r="HC13" s="174"/>
      <c r="HD13" s="174"/>
      <c r="HE13" s="174"/>
      <c r="HF13" s="174"/>
      <c r="HG13" s="174"/>
      <c r="HH13" s="174"/>
      <c r="HI13" s="174"/>
      <c r="HJ13" s="174"/>
      <c r="HK13" s="174"/>
      <c r="HL13" s="174"/>
      <c r="HM13" s="174"/>
      <c r="HN13" s="174"/>
      <c r="HO13" s="174"/>
      <c r="HP13" s="174"/>
      <c r="HQ13" s="174"/>
      <c r="HR13" s="174"/>
      <c r="HS13" s="174"/>
      <c r="HT13" s="174"/>
      <c r="HU13" s="174"/>
      <c r="HV13" s="174"/>
      <c r="HW13" s="174"/>
      <c r="HX13" s="174"/>
      <c r="HY13" s="174"/>
      <c r="HZ13" s="174"/>
      <c r="IA13" s="176"/>
      <c r="IB13" s="176"/>
      <c r="IC13" s="176"/>
      <c r="ID13" s="176"/>
      <c r="IE13" s="176"/>
      <c r="IF13" s="176"/>
      <c r="IG13" s="176"/>
      <c r="IH13" s="176"/>
      <c r="II13" s="176"/>
      <c r="IJ13" s="176"/>
    </row>
    <row r="14" spans="1:244" ht="16.5" hidden="1">
      <c r="A14" s="846" t="s">
        <v>1060</v>
      </c>
      <c r="B14" s="846" t="s">
        <v>1382</v>
      </c>
      <c r="C14" s="846" t="s">
        <v>1171</v>
      </c>
      <c r="D14" s="847">
        <v>6</v>
      </c>
      <c r="E14" s="846" t="s">
        <v>1171</v>
      </c>
      <c r="F14" s="846" t="s">
        <v>96</v>
      </c>
      <c r="G14" s="851"/>
      <c r="H14" s="847">
        <v>11</v>
      </c>
      <c r="I14" s="780" t="str">
        <f t="shared" si="0"/>
        <v>IWT060111</v>
      </c>
      <c r="J14" s="847">
        <v>4699</v>
      </c>
      <c r="L14" s="846" t="s">
        <v>1060</v>
      </c>
      <c r="M14" s="846" t="s">
        <v>1382</v>
      </c>
      <c r="N14" s="846" t="s">
        <v>96</v>
      </c>
      <c r="O14" s="847">
        <v>11</v>
      </c>
      <c r="P14" s="780" t="str">
        <f t="shared" si="1"/>
        <v>IWT060111</v>
      </c>
      <c r="Q14" s="847">
        <v>1110</v>
      </c>
      <c r="R14" s="847">
        <v>2951</v>
      </c>
      <c r="S14" s="847">
        <v>4757</v>
      </c>
      <c r="T14" s="847">
        <v>6527</v>
      </c>
      <c r="U14" s="847">
        <v>8263</v>
      </c>
      <c r="V14" s="847">
        <v>0</v>
      </c>
      <c r="W14" s="847">
        <v>0</v>
      </c>
      <c r="X14" s="847">
        <v>0</v>
      </c>
      <c r="Y14" s="847">
        <v>0</v>
      </c>
      <c r="Z14" s="847">
        <v>0</v>
      </c>
      <c r="AA14" s="847">
        <v>0</v>
      </c>
      <c r="AB14" s="847">
        <v>0</v>
      </c>
      <c r="AC14" s="847">
        <v>0</v>
      </c>
      <c r="AD14" s="847">
        <v>0</v>
      </c>
      <c r="AE14" s="847">
        <v>0</v>
      </c>
      <c r="AF14" s="847">
        <v>0</v>
      </c>
      <c r="AG14" s="847">
        <v>0</v>
      </c>
      <c r="AH14" s="847">
        <v>0</v>
      </c>
      <c r="AI14" s="847">
        <v>0</v>
      </c>
      <c r="AJ14" s="847">
        <v>0</v>
      </c>
      <c r="AK14" s="847">
        <v>0</v>
      </c>
      <c r="AL14" s="847">
        <v>0</v>
      </c>
      <c r="AM14" s="847">
        <v>0</v>
      </c>
      <c r="AN14" s="847">
        <v>0</v>
      </c>
      <c r="AO14" s="847">
        <v>0</v>
      </c>
      <c r="AP14" s="847">
        <v>0</v>
      </c>
      <c r="AQ14" s="847">
        <v>0</v>
      </c>
      <c r="AR14" s="847">
        <v>0</v>
      </c>
      <c r="AS14" s="847">
        <v>0</v>
      </c>
      <c r="AT14" s="847">
        <v>0</v>
      </c>
      <c r="AU14" s="847">
        <v>0</v>
      </c>
      <c r="AV14" s="847">
        <v>0</v>
      </c>
      <c r="AW14" s="847">
        <v>0</v>
      </c>
      <c r="AX14" s="847">
        <v>0</v>
      </c>
      <c r="AY14" s="847">
        <v>0</v>
      </c>
      <c r="AZ14" s="847">
        <v>0</v>
      </c>
      <c r="BA14" s="847">
        <v>0</v>
      </c>
      <c r="BB14" s="847">
        <v>0</v>
      </c>
      <c r="BC14" s="847">
        <v>0</v>
      </c>
      <c r="BD14" s="847">
        <v>0</v>
      </c>
      <c r="BE14" s="847">
        <v>0</v>
      </c>
      <c r="BF14" s="847">
        <v>0</v>
      </c>
      <c r="BG14" s="847">
        <v>0</v>
      </c>
      <c r="BH14" s="847">
        <v>0</v>
      </c>
      <c r="BI14" s="847">
        <v>0</v>
      </c>
      <c r="BJ14" s="847">
        <v>0</v>
      </c>
      <c r="BK14" s="847">
        <v>0</v>
      </c>
      <c r="BL14" s="847">
        <v>0</v>
      </c>
      <c r="BM14" s="847">
        <v>0</v>
      </c>
      <c r="BN14" s="847">
        <v>0</v>
      </c>
      <c r="BO14" s="847">
        <v>0</v>
      </c>
      <c r="BP14" s="847">
        <v>0</v>
      </c>
      <c r="BQ14" s="847">
        <v>0</v>
      </c>
      <c r="BR14" s="847">
        <v>0</v>
      </c>
      <c r="BS14" s="847">
        <v>0</v>
      </c>
      <c r="BT14" s="847">
        <v>0</v>
      </c>
      <c r="BU14" s="847">
        <v>0</v>
      </c>
      <c r="BV14" s="847">
        <v>0</v>
      </c>
      <c r="BW14" s="847">
        <v>0</v>
      </c>
      <c r="BX14" s="847">
        <v>0</v>
      </c>
      <c r="BY14" s="847">
        <v>0</v>
      </c>
      <c r="BZ14" s="847">
        <v>0</v>
      </c>
      <c r="CA14" s="847">
        <v>0</v>
      </c>
      <c r="CB14" s="847">
        <v>0</v>
      </c>
      <c r="CC14" s="847">
        <v>0</v>
      </c>
      <c r="CD14" s="847">
        <v>0</v>
      </c>
      <c r="CE14" s="847">
        <v>0</v>
      </c>
      <c r="CF14" s="847">
        <v>0</v>
      </c>
      <c r="CG14" s="847">
        <v>0</v>
      </c>
      <c r="CH14" s="847">
        <v>0</v>
      </c>
      <c r="CI14" s="847">
        <v>0</v>
      </c>
      <c r="CJ14" s="847">
        <v>0</v>
      </c>
      <c r="CK14" s="847">
        <v>0</v>
      </c>
      <c r="CL14" s="847">
        <v>0</v>
      </c>
      <c r="CM14" s="847">
        <v>0</v>
      </c>
      <c r="CN14" s="847">
        <v>0</v>
      </c>
      <c r="CO14" s="847">
        <v>0</v>
      </c>
      <c r="CP14" s="847">
        <v>0</v>
      </c>
      <c r="CQ14" s="847">
        <v>0</v>
      </c>
      <c r="CR14" s="847">
        <v>0</v>
      </c>
      <c r="CS14" s="847">
        <v>0</v>
      </c>
      <c r="CT14" s="847">
        <v>0</v>
      </c>
      <c r="CU14" s="847">
        <v>0</v>
      </c>
      <c r="CV14" s="847">
        <v>0</v>
      </c>
      <c r="CW14" s="847">
        <v>0</v>
      </c>
      <c r="CX14" s="847">
        <v>0</v>
      </c>
      <c r="CY14" s="847">
        <v>0</v>
      </c>
      <c r="CZ14" s="847">
        <v>0</v>
      </c>
      <c r="DA14" s="847">
        <v>0</v>
      </c>
      <c r="DB14" s="847">
        <v>0</v>
      </c>
      <c r="DC14" s="847">
        <v>0</v>
      </c>
      <c r="DD14" s="847">
        <v>0</v>
      </c>
      <c r="DE14" s="847">
        <v>0</v>
      </c>
      <c r="DF14" s="847">
        <v>0</v>
      </c>
      <c r="DG14" s="847">
        <v>0</v>
      </c>
      <c r="DH14" s="847">
        <v>0</v>
      </c>
      <c r="DI14" s="847">
        <v>0</v>
      </c>
      <c r="DJ14" s="847">
        <v>0</v>
      </c>
      <c r="DK14" s="847">
        <v>0</v>
      </c>
      <c r="DL14" s="847">
        <v>0</v>
      </c>
      <c r="DM14" s="847">
        <v>0</v>
      </c>
      <c r="DN14" s="847">
        <v>0</v>
      </c>
      <c r="DO14" s="847">
        <v>0</v>
      </c>
      <c r="DP14" s="847">
        <v>0</v>
      </c>
      <c r="DQ14" s="847">
        <v>0</v>
      </c>
      <c r="DR14" s="847">
        <v>0</v>
      </c>
      <c r="DS14" s="847">
        <v>0</v>
      </c>
      <c r="DT14" s="847">
        <v>0</v>
      </c>
      <c r="DU14" s="847">
        <v>0</v>
      </c>
      <c r="DV14" s="847">
        <v>0</v>
      </c>
      <c r="DW14" s="847">
        <v>0</v>
      </c>
      <c r="DY14" s="173"/>
      <c r="DZ14" s="173"/>
      <c r="EA14" s="173"/>
      <c r="EB14" s="174"/>
      <c r="EC14" s="175"/>
      <c r="ED14" s="174"/>
      <c r="EE14" s="174"/>
      <c r="EF14" s="174"/>
      <c r="EG14" s="174"/>
      <c r="EH14" s="174"/>
      <c r="EI14" s="174"/>
      <c r="EJ14" s="174"/>
      <c r="EK14" s="174"/>
      <c r="EL14" s="174"/>
      <c r="EM14" s="174"/>
      <c r="EN14" s="174"/>
      <c r="EO14" s="174"/>
      <c r="EP14" s="174"/>
      <c r="EQ14" s="174"/>
      <c r="ER14" s="174"/>
      <c r="ES14" s="174"/>
      <c r="ET14" s="174"/>
      <c r="EU14" s="174"/>
      <c r="EV14" s="174"/>
      <c r="EW14" s="174"/>
      <c r="EX14" s="174"/>
      <c r="EY14" s="174"/>
      <c r="EZ14" s="174"/>
      <c r="FA14" s="174"/>
      <c r="FB14" s="174"/>
      <c r="FC14" s="174"/>
      <c r="FD14" s="174"/>
      <c r="FE14" s="174"/>
      <c r="FF14" s="174"/>
      <c r="FG14" s="174"/>
      <c r="FH14" s="174"/>
      <c r="FI14" s="174"/>
      <c r="FJ14" s="174"/>
      <c r="FK14" s="174"/>
      <c r="FL14" s="174"/>
      <c r="FM14" s="174"/>
      <c r="FN14" s="174"/>
      <c r="FO14" s="174"/>
      <c r="FP14" s="174"/>
      <c r="FQ14" s="174"/>
      <c r="FR14" s="174"/>
      <c r="FS14" s="174"/>
      <c r="FT14" s="174"/>
      <c r="FU14" s="174"/>
      <c r="FV14" s="174"/>
      <c r="FW14" s="174"/>
      <c r="FX14" s="174"/>
      <c r="FY14" s="174"/>
      <c r="FZ14" s="174"/>
      <c r="GA14" s="174"/>
      <c r="GB14" s="174"/>
      <c r="GC14" s="174"/>
      <c r="GD14" s="174"/>
      <c r="GE14" s="174"/>
      <c r="GF14" s="174"/>
      <c r="GG14" s="174"/>
      <c r="GH14" s="174"/>
      <c r="GI14" s="174"/>
      <c r="GJ14" s="174"/>
      <c r="GK14" s="174"/>
      <c r="GL14" s="174"/>
      <c r="GM14" s="174"/>
      <c r="GN14" s="174"/>
      <c r="GO14" s="174"/>
      <c r="GP14" s="174"/>
      <c r="GQ14" s="174"/>
      <c r="GR14" s="174"/>
      <c r="GS14" s="174"/>
      <c r="GT14" s="174"/>
      <c r="GU14" s="174"/>
      <c r="GV14" s="174"/>
      <c r="GW14" s="174"/>
      <c r="GX14" s="174"/>
      <c r="GY14" s="174"/>
      <c r="GZ14" s="174"/>
      <c r="HA14" s="174"/>
      <c r="HB14" s="174"/>
      <c r="HC14" s="174"/>
      <c r="HD14" s="174"/>
      <c r="HE14" s="174"/>
      <c r="HF14" s="174"/>
      <c r="HG14" s="174"/>
      <c r="HH14" s="174"/>
      <c r="HI14" s="174"/>
      <c r="HJ14" s="174"/>
      <c r="HK14" s="174"/>
      <c r="HL14" s="174"/>
      <c r="HM14" s="174"/>
      <c r="HN14" s="174"/>
      <c r="HO14" s="174"/>
      <c r="HP14" s="174"/>
      <c r="HQ14" s="174"/>
      <c r="HR14" s="174"/>
      <c r="HS14" s="174"/>
      <c r="HT14" s="174"/>
      <c r="HU14" s="174"/>
      <c r="HV14" s="174"/>
      <c r="HW14" s="174"/>
      <c r="HX14" s="174"/>
      <c r="HY14" s="174"/>
      <c r="HZ14" s="176"/>
      <c r="IA14" s="176"/>
      <c r="IB14" s="176"/>
      <c r="IC14" s="176"/>
      <c r="ID14" s="176"/>
      <c r="IE14" s="176"/>
      <c r="IF14" s="176"/>
      <c r="IG14" s="176"/>
      <c r="IH14" s="176"/>
      <c r="II14" s="176"/>
      <c r="IJ14" s="176"/>
    </row>
    <row r="15" spans="1:244" ht="16.5" hidden="1">
      <c r="A15" s="846" t="s">
        <v>1060</v>
      </c>
      <c r="B15" s="846" t="s">
        <v>1382</v>
      </c>
      <c r="C15" s="846" t="s">
        <v>1171</v>
      </c>
      <c r="D15" s="847">
        <v>6</v>
      </c>
      <c r="E15" s="846" t="s">
        <v>1171</v>
      </c>
      <c r="F15" s="846" t="s">
        <v>96</v>
      </c>
      <c r="G15" s="851"/>
      <c r="H15" s="847">
        <v>12</v>
      </c>
      <c r="I15" s="780" t="str">
        <f t="shared" si="0"/>
        <v>IWT060112</v>
      </c>
      <c r="J15" s="847">
        <v>4721</v>
      </c>
      <c r="L15" s="846" t="s">
        <v>1060</v>
      </c>
      <c r="M15" s="846" t="s">
        <v>1382</v>
      </c>
      <c r="N15" s="846" t="s">
        <v>96</v>
      </c>
      <c r="O15" s="847">
        <v>12</v>
      </c>
      <c r="P15" s="780" t="str">
        <f t="shared" si="1"/>
        <v>IWT060112</v>
      </c>
      <c r="Q15" s="847">
        <v>1110</v>
      </c>
      <c r="R15" s="847">
        <v>2952</v>
      </c>
      <c r="S15" s="847">
        <v>4757</v>
      </c>
      <c r="T15" s="847">
        <v>6527</v>
      </c>
      <c r="U15" s="847">
        <v>8263</v>
      </c>
      <c r="V15" s="847">
        <v>0</v>
      </c>
      <c r="W15" s="847">
        <v>0</v>
      </c>
      <c r="X15" s="847">
        <v>0</v>
      </c>
      <c r="Y15" s="847">
        <v>0</v>
      </c>
      <c r="Z15" s="847">
        <v>0</v>
      </c>
      <c r="AA15" s="847">
        <v>0</v>
      </c>
      <c r="AB15" s="847">
        <v>0</v>
      </c>
      <c r="AC15" s="847">
        <v>0</v>
      </c>
      <c r="AD15" s="847">
        <v>0</v>
      </c>
      <c r="AE15" s="847">
        <v>0</v>
      </c>
      <c r="AF15" s="847">
        <v>0</v>
      </c>
      <c r="AG15" s="847">
        <v>0</v>
      </c>
      <c r="AH15" s="847">
        <v>0</v>
      </c>
      <c r="AI15" s="847">
        <v>0</v>
      </c>
      <c r="AJ15" s="847">
        <v>0</v>
      </c>
      <c r="AK15" s="847">
        <v>0</v>
      </c>
      <c r="AL15" s="847">
        <v>0</v>
      </c>
      <c r="AM15" s="847">
        <v>0</v>
      </c>
      <c r="AN15" s="847">
        <v>0</v>
      </c>
      <c r="AO15" s="847">
        <v>0</v>
      </c>
      <c r="AP15" s="847">
        <v>0</v>
      </c>
      <c r="AQ15" s="847">
        <v>0</v>
      </c>
      <c r="AR15" s="847">
        <v>0</v>
      </c>
      <c r="AS15" s="847">
        <v>0</v>
      </c>
      <c r="AT15" s="847">
        <v>0</v>
      </c>
      <c r="AU15" s="847">
        <v>0</v>
      </c>
      <c r="AV15" s="847">
        <v>0</v>
      </c>
      <c r="AW15" s="847">
        <v>0</v>
      </c>
      <c r="AX15" s="847">
        <v>0</v>
      </c>
      <c r="AY15" s="847">
        <v>0</v>
      </c>
      <c r="AZ15" s="847">
        <v>0</v>
      </c>
      <c r="BA15" s="847">
        <v>0</v>
      </c>
      <c r="BB15" s="847">
        <v>0</v>
      </c>
      <c r="BC15" s="847">
        <v>0</v>
      </c>
      <c r="BD15" s="847">
        <v>0</v>
      </c>
      <c r="BE15" s="847">
        <v>0</v>
      </c>
      <c r="BF15" s="847">
        <v>0</v>
      </c>
      <c r="BG15" s="847">
        <v>0</v>
      </c>
      <c r="BH15" s="847">
        <v>0</v>
      </c>
      <c r="BI15" s="847">
        <v>0</v>
      </c>
      <c r="BJ15" s="847">
        <v>0</v>
      </c>
      <c r="BK15" s="847">
        <v>0</v>
      </c>
      <c r="BL15" s="847">
        <v>0</v>
      </c>
      <c r="BM15" s="847">
        <v>0</v>
      </c>
      <c r="BN15" s="847">
        <v>0</v>
      </c>
      <c r="BO15" s="847">
        <v>0</v>
      </c>
      <c r="BP15" s="847">
        <v>0</v>
      </c>
      <c r="BQ15" s="847">
        <v>0</v>
      </c>
      <c r="BR15" s="847">
        <v>0</v>
      </c>
      <c r="BS15" s="847">
        <v>0</v>
      </c>
      <c r="BT15" s="847">
        <v>0</v>
      </c>
      <c r="BU15" s="847">
        <v>0</v>
      </c>
      <c r="BV15" s="847">
        <v>0</v>
      </c>
      <c r="BW15" s="847">
        <v>0</v>
      </c>
      <c r="BX15" s="847">
        <v>0</v>
      </c>
      <c r="BY15" s="847">
        <v>0</v>
      </c>
      <c r="BZ15" s="847">
        <v>0</v>
      </c>
      <c r="CA15" s="847">
        <v>0</v>
      </c>
      <c r="CB15" s="847">
        <v>0</v>
      </c>
      <c r="CC15" s="847">
        <v>0</v>
      </c>
      <c r="CD15" s="847">
        <v>0</v>
      </c>
      <c r="CE15" s="847">
        <v>0</v>
      </c>
      <c r="CF15" s="847">
        <v>0</v>
      </c>
      <c r="CG15" s="847">
        <v>0</v>
      </c>
      <c r="CH15" s="847">
        <v>0</v>
      </c>
      <c r="CI15" s="847">
        <v>0</v>
      </c>
      <c r="CJ15" s="847">
        <v>0</v>
      </c>
      <c r="CK15" s="847">
        <v>0</v>
      </c>
      <c r="CL15" s="847">
        <v>0</v>
      </c>
      <c r="CM15" s="847">
        <v>0</v>
      </c>
      <c r="CN15" s="847">
        <v>0</v>
      </c>
      <c r="CO15" s="847">
        <v>0</v>
      </c>
      <c r="CP15" s="847">
        <v>0</v>
      </c>
      <c r="CQ15" s="847">
        <v>0</v>
      </c>
      <c r="CR15" s="847">
        <v>0</v>
      </c>
      <c r="CS15" s="847">
        <v>0</v>
      </c>
      <c r="CT15" s="847">
        <v>0</v>
      </c>
      <c r="CU15" s="847">
        <v>0</v>
      </c>
      <c r="CV15" s="847">
        <v>0</v>
      </c>
      <c r="CW15" s="847">
        <v>0</v>
      </c>
      <c r="CX15" s="847">
        <v>0</v>
      </c>
      <c r="CY15" s="847">
        <v>0</v>
      </c>
      <c r="CZ15" s="847">
        <v>0</v>
      </c>
      <c r="DA15" s="847">
        <v>0</v>
      </c>
      <c r="DB15" s="847">
        <v>0</v>
      </c>
      <c r="DC15" s="847">
        <v>0</v>
      </c>
      <c r="DD15" s="847">
        <v>0</v>
      </c>
      <c r="DE15" s="847">
        <v>0</v>
      </c>
      <c r="DF15" s="847">
        <v>0</v>
      </c>
      <c r="DG15" s="847">
        <v>0</v>
      </c>
      <c r="DH15" s="847">
        <v>0</v>
      </c>
      <c r="DI15" s="847">
        <v>0</v>
      </c>
      <c r="DJ15" s="847">
        <v>0</v>
      </c>
      <c r="DK15" s="847">
        <v>0</v>
      </c>
      <c r="DL15" s="847">
        <v>0</v>
      </c>
      <c r="DM15" s="847">
        <v>0</v>
      </c>
      <c r="DN15" s="847">
        <v>0</v>
      </c>
      <c r="DO15" s="847">
        <v>0</v>
      </c>
      <c r="DP15" s="847">
        <v>0</v>
      </c>
      <c r="DQ15" s="847">
        <v>0</v>
      </c>
      <c r="DR15" s="847">
        <v>0</v>
      </c>
      <c r="DS15" s="847">
        <v>0</v>
      </c>
      <c r="DT15" s="847">
        <v>0</v>
      </c>
      <c r="DU15" s="847">
        <v>0</v>
      </c>
      <c r="DV15" s="847">
        <v>0</v>
      </c>
      <c r="DW15" s="847">
        <v>0</v>
      </c>
      <c r="DY15" s="173"/>
      <c r="DZ15" s="173"/>
      <c r="EA15" s="173"/>
      <c r="EB15" s="174"/>
      <c r="EC15" s="175"/>
      <c r="ED15" s="174"/>
      <c r="EE15" s="174"/>
      <c r="EF15" s="174"/>
      <c r="EG15" s="174"/>
      <c r="EH15" s="174"/>
      <c r="EI15" s="174"/>
      <c r="EJ15" s="174"/>
      <c r="EK15" s="174"/>
      <c r="EL15" s="174"/>
      <c r="EM15" s="174"/>
      <c r="EN15" s="174"/>
      <c r="EO15" s="174"/>
      <c r="EP15" s="174"/>
      <c r="EQ15" s="174"/>
      <c r="ER15" s="174"/>
      <c r="ES15" s="174"/>
      <c r="ET15" s="174"/>
      <c r="EU15" s="174"/>
      <c r="EV15" s="174"/>
      <c r="EW15" s="174"/>
      <c r="EX15" s="174"/>
      <c r="EY15" s="174"/>
      <c r="EZ15" s="174"/>
      <c r="FA15" s="174"/>
      <c r="FB15" s="174"/>
      <c r="FC15" s="174"/>
      <c r="FD15" s="174"/>
      <c r="FE15" s="174"/>
      <c r="FF15" s="174"/>
      <c r="FG15" s="174"/>
      <c r="FH15" s="174"/>
      <c r="FI15" s="174"/>
      <c r="FJ15" s="174"/>
      <c r="FK15" s="174"/>
      <c r="FL15" s="174"/>
      <c r="FM15" s="174"/>
      <c r="FN15" s="174"/>
      <c r="FO15" s="174"/>
      <c r="FP15" s="174"/>
      <c r="FQ15" s="174"/>
      <c r="FR15" s="174"/>
      <c r="FS15" s="174"/>
      <c r="FT15" s="174"/>
      <c r="FU15" s="174"/>
      <c r="FV15" s="174"/>
      <c r="FW15" s="174"/>
      <c r="FX15" s="174"/>
      <c r="FY15" s="174"/>
      <c r="FZ15" s="174"/>
      <c r="GA15" s="174"/>
      <c r="GB15" s="174"/>
      <c r="GC15" s="174"/>
      <c r="GD15" s="174"/>
      <c r="GE15" s="174"/>
      <c r="GF15" s="174"/>
      <c r="GG15" s="174"/>
      <c r="GH15" s="174"/>
      <c r="GI15" s="174"/>
      <c r="GJ15" s="174"/>
      <c r="GK15" s="174"/>
      <c r="GL15" s="174"/>
      <c r="GM15" s="174"/>
      <c r="GN15" s="174"/>
      <c r="GO15" s="174"/>
      <c r="GP15" s="174"/>
      <c r="GQ15" s="174"/>
      <c r="GR15" s="174"/>
      <c r="GS15" s="174"/>
      <c r="GT15" s="174"/>
      <c r="GU15" s="174"/>
      <c r="GV15" s="174"/>
      <c r="GW15" s="174"/>
      <c r="GX15" s="174"/>
      <c r="GY15" s="174"/>
      <c r="GZ15" s="174"/>
      <c r="HA15" s="174"/>
      <c r="HB15" s="174"/>
      <c r="HC15" s="174"/>
      <c r="HD15" s="174"/>
      <c r="HE15" s="174"/>
      <c r="HF15" s="174"/>
      <c r="HG15" s="174"/>
      <c r="HH15" s="174"/>
      <c r="HI15" s="174"/>
      <c r="HJ15" s="174"/>
      <c r="HK15" s="174"/>
      <c r="HL15" s="174"/>
      <c r="HM15" s="174"/>
      <c r="HN15" s="174"/>
      <c r="HO15" s="174"/>
      <c r="HP15" s="174"/>
      <c r="HQ15" s="174"/>
      <c r="HR15" s="174"/>
      <c r="HS15" s="174"/>
      <c r="HT15" s="174"/>
      <c r="HU15" s="174"/>
      <c r="HV15" s="174"/>
      <c r="HW15" s="174"/>
      <c r="HX15" s="174"/>
      <c r="HY15" s="176"/>
      <c r="HZ15" s="176"/>
      <c r="IA15" s="176"/>
      <c r="IB15" s="176"/>
      <c r="IC15" s="176"/>
      <c r="ID15" s="176"/>
      <c r="IE15" s="176"/>
      <c r="IF15" s="176"/>
      <c r="IG15" s="176"/>
      <c r="IH15" s="176"/>
      <c r="II15" s="176"/>
      <c r="IJ15" s="176"/>
    </row>
    <row r="16" spans="1:244" ht="16.5" hidden="1">
      <c r="A16" s="846" t="s">
        <v>1060</v>
      </c>
      <c r="B16" s="846" t="s">
        <v>1382</v>
      </c>
      <c r="C16" s="846" t="s">
        <v>1171</v>
      </c>
      <c r="D16" s="847">
        <v>6</v>
      </c>
      <c r="E16" s="846" t="s">
        <v>1171</v>
      </c>
      <c r="F16" s="846" t="s">
        <v>96</v>
      </c>
      <c r="G16" s="851"/>
      <c r="H16" s="847">
        <v>13</v>
      </c>
      <c r="I16" s="780" t="str">
        <f t="shared" si="0"/>
        <v>IWT060113</v>
      </c>
      <c r="J16" s="847">
        <v>4742</v>
      </c>
      <c r="L16" s="846" t="s">
        <v>1060</v>
      </c>
      <c r="M16" s="846" t="s">
        <v>1382</v>
      </c>
      <c r="N16" s="846" t="s">
        <v>96</v>
      </c>
      <c r="O16" s="847">
        <v>13</v>
      </c>
      <c r="P16" s="780" t="str">
        <f t="shared" si="1"/>
        <v>IWT060113</v>
      </c>
      <c r="Q16" s="847">
        <v>1109</v>
      </c>
      <c r="R16" s="847">
        <v>2952</v>
      </c>
      <c r="S16" s="847">
        <v>4757</v>
      </c>
      <c r="T16" s="847">
        <v>6527</v>
      </c>
      <c r="U16" s="847">
        <v>8263</v>
      </c>
      <c r="V16" s="847">
        <v>0</v>
      </c>
      <c r="W16" s="847">
        <v>0</v>
      </c>
      <c r="X16" s="847">
        <v>0</v>
      </c>
      <c r="Y16" s="847">
        <v>0</v>
      </c>
      <c r="Z16" s="847">
        <v>0</v>
      </c>
      <c r="AA16" s="847">
        <v>0</v>
      </c>
      <c r="AB16" s="847">
        <v>0</v>
      </c>
      <c r="AC16" s="847">
        <v>0</v>
      </c>
      <c r="AD16" s="847">
        <v>0</v>
      </c>
      <c r="AE16" s="847">
        <v>0</v>
      </c>
      <c r="AF16" s="847">
        <v>0</v>
      </c>
      <c r="AG16" s="847">
        <v>0</v>
      </c>
      <c r="AH16" s="847">
        <v>0</v>
      </c>
      <c r="AI16" s="847">
        <v>0</v>
      </c>
      <c r="AJ16" s="847">
        <v>0</v>
      </c>
      <c r="AK16" s="847">
        <v>0</v>
      </c>
      <c r="AL16" s="847">
        <v>0</v>
      </c>
      <c r="AM16" s="847">
        <v>0</v>
      </c>
      <c r="AN16" s="847">
        <v>0</v>
      </c>
      <c r="AO16" s="847">
        <v>0</v>
      </c>
      <c r="AP16" s="847">
        <v>0</v>
      </c>
      <c r="AQ16" s="847">
        <v>0</v>
      </c>
      <c r="AR16" s="847">
        <v>0</v>
      </c>
      <c r="AS16" s="847">
        <v>0</v>
      </c>
      <c r="AT16" s="847">
        <v>0</v>
      </c>
      <c r="AU16" s="847">
        <v>0</v>
      </c>
      <c r="AV16" s="847">
        <v>0</v>
      </c>
      <c r="AW16" s="847">
        <v>0</v>
      </c>
      <c r="AX16" s="847">
        <v>0</v>
      </c>
      <c r="AY16" s="847">
        <v>0</v>
      </c>
      <c r="AZ16" s="847">
        <v>0</v>
      </c>
      <c r="BA16" s="847">
        <v>0</v>
      </c>
      <c r="BB16" s="847">
        <v>0</v>
      </c>
      <c r="BC16" s="847">
        <v>0</v>
      </c>
      <c r="BD16" s="847">
        <v>0</v>
      </c>
      <c r="BE16" s="847">
        <v>0</v>
      </c>
      <c r="BF16" s="847">
        <v>0</v>
      </c>
      <c r="BG16" s="847">
        <v>0</v>
      </c>
      <c r="BH16" s="847">
        <v>0</v>
      </c>
      <c r="BI16" s="847">
        <v>0</v>
      </c>
      <c r="BJ16" s="847">
        <v>0</v>
      </c>
      <c r="BK16" s="847">
        <v>0</v>
      </c>
      <c r="BL16" s="847">
        <v>0</v>
      </c>
      <c r="BM16" s="847">
        <v>0</v>
      </c>
      <c r="BN16" s="847">
        <v>0</v>
      </c>
      <c r="BO16" s="847">
        <v>0</v>
      </c>
      <c r="BP16" s="847">
        <v>0</v>
      </c>
      <c r="BQ16" s="847">
        <v>0</v>
      </c>
      <c r="BR16" s="847">
        <v>0</v>
      </c>
      <c r="BS16" s="847">
        <v>0</v>
      </c>
      <c r="BT16" s="847">
        <v>0</v>
      </c>
      <c r="BU16" s="847">
        <v>0</v>
      </c>
      <c r="BV16" s="847">
        <v>0</v>
      </c>
      <c r="BW16" s="847">
        <v>0</v>
      </c>
      <c r="BX16" s="847">
        <v>0</v>
      </c>
      <c r="BY16" s="847">
        <v>0</v>
      </c>
      <c r="BZ16" s="847">
        <v>0</v>
      </c>
      <c r="CA16" s="847">
        <v>0</v>
      </c>
      <c r="CB16" s="847">
        <v>0</v>
      </c>
      <c r="CC16" s="847">
        <v>0</v>
      </c>
      <c r="CD16" s="847">
        <v>0</v>
      </c>
      <c r="CE16" s="847">
        <v>0</v>
      </c>
      <c r="CF16" s="847">
        <v>0</v>
      </c>
      <c r="CG16" s="847">
        <v>0</v>
      </c>
      <c r="CH16" s="847">
        <v>0</v>
      </c>
      <c r="CI16" s="847">
        <v>0</v>
      </c>
      <c r="CJ16" s="847">
        <v>0</v>
      </c>
      <c r="CK16" s="847">
        <v>0</v>
      </c>
      <c r="CL16" s="847">
        <v>0</v>
      </c>
      <c r="CM16" s="847">
        <v>0</v>
      </c>
      <c r="CN16" s="847">
        <v>0</v>
      </c>
      <c r="CO16" s="847">
        <v>0</v>
      </c>
      <c r="CP16" s="847">
        <v>0</v>
      </c>
      <c r="CQ16" s="847">
        <v>0</v>
      </c>
      <c r="CR16" s="847">
        <v>0</v>
      </c>
      <c r="CS16" s="847">
        <v>0</v>
      </c>
      <c r="CT16" s="847">
        <v>0</v>
      </c>
      <c r="CU16" s="847">
        <v>0</v>
      </c>
      <c r="CV16" s="847">
        <v>0</v>
      </c>
      <c r="CW16" s="847">
        <v>0</v>
      </c>
      <c r="CX16" s="847">
        <v>0</v>
      </c>
      <c r="CY16" s="847">
        <v>0</v>
      </c>
      <c r="CZ16" s="847">
        <v>0</v>
      </c>
      <c r="DA16" s="847">
        <v>0</v>
      </c>
      <c r="DB16" s="847">
        <v>0</v>
      </c>
      <c r="DC16" s="847">
        <v>0</v>
      </c>
      <c r="DD16" s="847">
        <v>0</v>
      </c>
      <c r="DE16" s="847">
        <v>0</v>
      </c>
      <c r="DF16" s="847">
        <v>0</v>
      </c>
      <c r="DG16" s="847">
        <v>0</v>
      </c>
      <c r="DH16" s="847">
        <v>0</v>
      </c>
      <c r="DI16" s="847">
        <v>0</v>
      </c>
      <c r="DJ16" s="847">
        <v>0</v>
      </c>
      <c r="DK16" s="847">
        <v>0</v>
      </c>
      <c r="DL16" s="847">
        <v>0</v>
      </c>
      <c r="DM16" s="847">
        <v>0</v>
      </c>
      <c r="DN16" s="847">
        <v>0</v>
      </c>
      <c r="DO16" s="847">
        <v>0</v>
      </c>
      <c r="DP16" s="847">
        <v>0</v>
      </c>
      <c r="DQ16" s="847">
        <v>0</v>
      </c>
      <c r="DR16" s="847">
        <v>0</v>
      </c>
      <c r="DS16" s="847">
        <v>0</v>
      </c>
      <c r="DT16" s="847">
        <v>0</v>
      </c>
      <c r="DU16" s="847">
        <v>0</v>
      </c>
      <c r="DV16" s="847">
        <v>0</v>
      </c>
      <c r="DW16" s="847">
        <v>0</v>
      </c>
      <c r="DY16" s="173"/>
      <c r="DZ16" s="173"/>
      <c r="EA16" s="173"/>
      <c r="EB16" s="174"/>
      <c r="EC16" s="175"/>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c r="FX16" s="174"/>
      <c r="FY16" s="174"/>
      <c r="FZ16" s="174"/>
      <c r="GA16" s="174"/>
      <c r="GB16" s="174"/>
      <c r="GC16" s="174"/>
      <c r="GD16" s="174"/>
      <c r="GE16" s="174"/>
      <c r="GF16" s="174"/>
      <c r="GG16" s="174"/>
      <c r="GH16" s="174"/>
      <c r="GI16" s="174"/>
      <c r="GJ16" s="174"/>
      <c r="GK16" s="174"/>
      <c r="GL16" s="174"/>
      <c r="GM16" s="174"/>
      <c r="GN16" s="174"/>
      <c r="GO16" s="174"/>
      <c r="GP16" s="174"/>
      <c r="GQ16" s="174"/>
      <c r="GR16" s="174"/>
      <c r="GS16" s="174"/>
      <c r="GT16" s="174"/>
      <c r="GU16" s="174"/>
      <c r="GV16" s="174"/>
      <c r="GW16" s="174"/>
      <c r="GX16" s="174"/>
      <c r="GY16" s="174"/>
      <c r="GZ16" s="174"/>
      <c r="HA16" s="174"/>
      <c r="HB16" s="174"/>
      <c r="HC16" s="174"/>
      <c r="HD16" s="174"/>
      <c r="HE16" s="174"/>
      <c r="HF16" s="174"/>
      <c r="HG16" s="174"/>
      <c r="HH16" s="174"/>
      <c r="HI16" s="174"/>
      <c r="HJ16" s="174"/>
      <c r="HK16" s="174"/>
      <c r="HL16" s="174"/>
      <c r="HM16" s="174"/>
      <c r="HN16" s="174"/>
      <c r="HO16" s="174"/>
      <c r="HP16" s="174"/>
      <c r="HQ16" s="174"/>
      <c r="HR16" s="174"/>
      <c r="HS16" s="174"/>
      <c r="HT16" s="174"/>
      <c r="HU16" s="174"/>
      <c r="HV16" s="174"/>
      <c r="HW16" s="174"/>
      <c r="HX16" s="176"/>
      <c r="HY16" s="176"/>
      <c r="HZ16" s="176"/>
      <c r="IA16" s="176"/>
      <c r="IB16" s="176"/>
      <c r="IC16" s="176"/>
      <c r="ID16" s="176"/>
      <c r="IE16" s="176"/>
      <c r="IF16" s="176"/>
      <c r="IG16" s="176"/>
      <c r="IH16" s="176"/>
      <c r="II16" s="176"/>
      <c r="IJ16" s="176"/>
    </row>
    <row r="17" spans="1:244" ht="16.5" hidden="1">
      <c r="A17" s="846" t="s">
        <v>1060</v>
      </c>
      <c r="B17" s="846" t="s">
        <v>1382</v>
      </c>
      <c r="C17" s="846" t="s">
        <v>1171</v>
      </c>
      <c r="D17" s="847">
        <v>6</v>
      </c>
      <c r="E17" s="846" t="s">
        <v>1171</v>
      </c>
      <c r="F17" s="846" t="s">
        <v>96</v>
      </c>
      <c r="G17" s="851"/>
      <c r="H17" s="847">
        <v>14</v>
      </c>
      <c r="I17" s="780" t="str">
        <f t="shared" si="0"/>
        <v>IWT060114</v>
      </c>
      <c r="J17" s="847">
        <v>4762</v>
      </c>
      <c r="L17" s="846" t="s">
        <v>1060</v>
      </c>
      <c r="M17" s="846" t="s">
        <v>1382</v>
      </c>
      <c r="N17" s="846" t="s">
        <v>96</v>
      </c>
      <c r="O17" s="847">
        <v>14</v>
      </c>
      <c r="P17" s="780" t="str">
        <f t="shared" si="1"/>
        <v>IWT060114</v>
      </c>
      <c r="Q17" s="847">
        <v>1110</v>
      </c>
      <c r="R17" s="847">
        <v>2952</v>
      </c>
      <c r="S17" s="847">
        <v>4757</v>
      </c>
      <c r="T17" s="847">
        <v>6528</v>
      </c>
      <c r="U17" s="847">
        <v>8263</v>
      </c>
      <c r="V17" s="847">
        <v>0</v>
      </c>
      <c r="W17" s="847">
        <v>0</v>
      </c>
      <c r="X17" s="847">
        <v>0</v>
      </c>
      <c r="Y17" s="847">
        <v>0</v>
      </c>
      <c r="Z17" s="847">
        <v>0</v>
      </c>
      <c r="AA17" s="847">
        <v>0</v>
      </c>
      <c r="AB17" s="847">
        <v>0</v>
      </c>
      <c r="AC17" s="847">
        <v>0</v>
      </c>
      <c r="AD17" s="847">
        <v>0</v>
      </c>
      <c r="AE17" s="847">
        <v>0</v>
      </c>
      <c r="AF17" s="847">
        <v>0</v>
      </c>
      <c r="AG17" s="847">
        <v>0</v>
      </c>
      <c r="AH17" s="847">
        <v>0</v>
      </c>
      <c r="AI17" s="847">
        <v>0</v>
      </c>
      <c r="AJ17" s="847">
        <v>0</v>
      </c>
      <c r="AK17" s="847">
        <v>0</v>
      </c>
      <c r="AL17" s="847">
        <v>0</v>
      </c>
      <c r="AM17" s="847">
        <v>0</v>
      </c>
      <c r="AN17" s="847">
        <v>0</v>
      </c>
      <c r="AO17" s="847">
        <v>0</v>
      </c>
      <c r="AP17" s="847">
        <v>0</v>
      </c>
      <c r="AQ17" s="847">
        <v>0</v>
      </c>
      <c r="AR17" s="847">
        <v>0</v>
      </c>
      <c r="AS17" s="847">
        <v>0</v>
      </c>
      <c r="AT17" s="847">
        <v>0</v>
      </c>
      <c r="AU17" s="847">
        <v>0</v>
      </c>
      <c r="AV17" s="847">
        <v>0</v>
      </c>
      <c r="AW17" s="847">
        <v>0</v>
      </c>
      <c r="AX17" s="847">
        <v>0</v>
      </c>
      <c r="AY17" s="847">
        <v>0</v>
      </c>
      <c r="AZ17" s="847">
        <v>0</v>
      </c>
      <c r="BA17" s="847">
        <v>0</v>
      </c>
      <c r="BB17" s="847">
        <v>0</v>
      </c>
      <c r="BC17" s="847">
        <v>0</v>
      </c>
      <c r="BD17" s="847">
        <v>0</v>
      </c>
      <c r="BE17" s="847">
        <v>0</v>
      </c>
      <c r="BF17" s="847">
        <v>0</v>
      </c>
      <c r="BG17" s="847">
        <v>0</v>
      </c>
      <c r="BH17" s="847">
        <v>0</v>
      </c>
      <c r="BI17" s="847">
        <v>0</v>
      </c>
      <c r="BJ17" s="847">
        <v>0</v>
      </c>
      <c r="BK17" s="847">
        <v>0</v>
      </c>
      <c r="BL17" s="847">
        <v>0</v>
      </c>
      <c r="BM17" s="847">
        <v>0</v>
      </c>
      <c r="BN17" s="847">
        <v>0</v>
      </c>
      <c r="BO17" s="847">
        <v>0</v>
      </c>
      <c r="BP17" s="847">
        <v>0</v>
      </c>
      <c r="BQ17" s="847">
        <v>0</v>
      </c>
      <c r="BR17" s="847">
        <v>0</v>
      </c>
      <c r="BS17" s="847">
        <v>0</v>
      </c>
      <c r="BT17" s="847">
        <v>0</v>
      </c>
      <c r="BU17" s="847">
        <v>0</v>
      </c>
      <c r="BV17" s="847">
        <v>0</v>
      </c>
      <c r="BW17" s="847">
        <v>0</v>
      </c>
      <c r="BX17" s="847">
        <v>0</v>
      </c>
      <c r="BY17" s="847">
        <v>0</v>
      </c>
      <c r="BZ17" s="847">
        <v>0</v>
      </c>
      <c r="CA17" s="847">
        <v>0</v>
      </c>
      <c r="CB17" s="847">
        <v>0</v>
      </c>
      <c r="CC17" s="847">
        <v>0</v>
      </c>
      <c r="CD17" s="847">
        <v>0</v>
      </c>
      <c r="CE17" s="847">
        <v>0</v>
      </c>
      <c r="CF17" s="847">
        <v>0</v>
      </c>
      <c r="CG17" s="847">
        <v>0</v>
      </c>
      <c r="CH17" s="847">
        <v>0</v>
      </c>
      <c r="CI17" s="847">
        <v>0</v>
      </c>
      <c r="CJ17" s="847">
        <v>0</v>
      </c>
      <c r="CK17" s="847">
        <v>0</v>
      </c>
      <c r="CL17" s="847">
        <v>0</v>
      </c>
      <c r="CM17" s="847">
        <v>0</v>
      </c>
      <c r="CN17" s="847">
        <v>0</v>
      </c>
      <c r="CO17" s="847">
        <v>0</v>
      </c>
      <c r="CP17" s="847">
        <v>0</v>
      </c>
      <c r="CQ17" s="847">
        <v>0</v>
      </c>
      <c r="CR17" s="847">
        <v>0</v>
      </c>
      <c r="CS17" s="847">
        <v>0</v>
      </c>
      <c r="CT17" s="847">
        <v>0</v>
      </c>
      <c r="CU17" s="847">
        <v>0</v>
      </c>
      <c r="CV17" s="847">
        <v>0</v>
      </c>
      <c r="CW17" s="847">
        <v>0</v>
      </c>
      <c r="CX17" s="847">
        <v>0</v>
      </c>
      <c r="CY17" s="847">
        <v>0</v>
      </c>
      <c r="CZ17" s="847">
        <v>0</v>
      </c>
      <c r="DA17" s="847">
        <v>0</v>
      </c>
      <c r="DB17" s="847">
        <v>0</v>
      </c>
      <c r="DC17" s="847">
        <v>0</v>
      </c>
      <c r="DD17" s="847">
        <v>0</v>
      </c>
      <c r="DE17" s="847">
        <v>0</v>
      </c>
      <c r="DF17" s="847">
        <v>0</v>
      </c>
      <c r="DG17" s="847">
        <v>0</v>
      </c>
      <c r="DH17" s="847">
        <v>0</v>
      </c>
      <c r="DI17" s="847">
        <v>0</v>
      </c>
      <c r="DJ17" s="847">
        <v>0</v>
      </c>
      <c r="DK17" s="847">
        <v>0</v>
      </c>
      <c r="DL17" s="847">
        <v>0</v>
      </c>
      <c r="DM17" s="847">
        <v>0</v>
      </c>
      <c r="DN17" s="847">
        <v>0</v>
      </c>
      <c r="DO17" s="847">
        <v>0</v>
      </c>
      <c r="DP17" s="847">
        <v>0</v>
      </c>
      <c r="DQ17" s="847">
        <v>0</v>
      </c>
      <c r="DR17" s="847">
        <v>0</v>
      </c>
      <c r="DS17" s="847">
        <v>0</v>
      </c>
      <c r="DT17" s="847">
        <v>0</v>
      </c>
      <c r="DU17" s="847">
        <v>0</v>
      </c>
      <c r="DV17" s="847">
        <v>0</v>
      </c>
      <c r="DW17" s="847">
        <v>0</v>
      </c>
      <c r="DY17" s="173"/>
      <c r="DZ17" s="173"/>
      <c r="EA17" s="173"/>
      <c r="EB17" s="174"/>
      <c r="EC17" s="175"/>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c r="FX17" s="174"/>
      <c r="FY17" s="174"/>
      <c r="FZ17" s="174"/>
      <c r="GA17" s="174"/>
      <c r="GB17" s="174"/>
      <c r="GC17" s="174"/>
      <c r="GD17" s="174"/>
      <c r="GE17" s="174"/>
      <c r="GF17" s="174"/>
      <c r="GG17" s="174"/>
      <c r="GH17" s="174"/>
      <c r="GI17" s="174"/>
      <c r="GJ17" s="174"/>
      <c r="GK17" s="174"/>
      <c r="GL17" s="174"/>
      <c r="GM17" s="174"/>
      <c r="GN17" s="174"/>
      <c r="GO17" s="174"/>
      <c r="GP17" s="174"/>
      <c r="GQ17" s="174"/>
      <c r="GR17" s="174"/>
      <c r="GS17" s="174"/>
      <c r="GT17" s="174"/>
      <c r="GU17" s="174"/>
      <c r="GV17" s="174"/>
      <c r="GW17" s="174"/>
      <c r="GX17" s="174"/>
      <c r="GY17" s="174"/>
      <c r="GZ17" s="174"/>
      <c r="HA17" s="174"/>
      <c r="HB17" s="174"/>
      <c r="HC17" s="174"/>
      <c r="HD17" s="174"/>
      <c r="HE17" s="174"/>
      <c r="HF17" s="174"/>
      <c r="HG17" s="174"/>
      <c r="HH17" s="174"/>
      <c r="HI17" s="174"/>
      <c r="HJ17" s="174"/>
      <c r="HK17" s="174"/>
      <c r="HL17" s="174"/>
      <c r="HM17" s="174"/>
      <c r="HN17" s="174"/>
      <c r="HO17" s="174"/>
      <c r="HP17" s="174"/>
      <c r="HQ17" s="174"/>
      <c r="HR17" s="174"/>
      <c r="HS17" s="174"/>
      <c r="HT17" s="174"/>
      <c r="HU17" s="174"/>
      <c r="HV17" s="174"/>
      <c r="HW17" s="176"/>
      <c r="HX17" s="176"/>
      <c r="HY17" s="176"/>
      <c r="HZ17" s="176"/>
      <c r="IA17" s="176"/>
      <c r="IB17" s="176"/>
      <c r="IC17" s="176"/>
      <c r="ID17" s="176"/>
      <c r="IE17" s="176"/>
      <c r="IF17" s="176"/>
      <c r="IG17" s="176"/>
      <c r="IH17" s="176"/>
      <c r="II17" s="176"/>
      <c r="IJ17" s="176"/>
    </row>
    <row r="18" spans="1:244" ht="16.5" hidden="1">
      <c r="A18" s="846" t="s">
        <v>1060</v>
      </c>
      <c r="B18" s="846" t="s">
        <v>1382</v>
      </c>
      <c r="C18" s="846" t="s">
        <v>1171</v>
      </c>
      <c r="D18" s="847">
        <v>6</v>
      </c>
      <c r="E18" s="846" t="s">
        <v>1171</v>
      </c>
      <c r="F18" s="846" t="s">
        <v>96</v>
      </c>
      <c r="G18" s="851"/>
      <c r="H18" s="847">
        <v>15</v>
      </c>
      <c r="I18" s="780" t="str">
        <f t="shared" si="0"/>
        <v>IWT060115</v>
      </c>
      <c r="J18" s="847">
        <v>4781</v>
      </c>
      <c r="L18" s="846" t="s">
        <v>1060</v>
      </c>
      <c r="M18" s="846" t="s">
        <v>1382</v>
      </c>
      <c r="N18" s="846" t="s">
        <v>96</v>
      </c>
      <c r="O18" s="847">
        <v>15</v>
      </c>
      <c r="P18" s="780" t="str">
        <f t="shared" si="1"/>
        <v>IWT060115</v>
      </c>
      <c r="Q18" s="847">
        <v>1110</v>
      </c>
      <c r="R18" s="847">
        <v>2952</v>
      </c>
      <c r="S18" s="847">
        <v>4757</v>
      </c>
      <c r="T18" s="847">
        <v>6528</v>
      </c>
      <c r="U18" s="847">
        <v>8263</v>
      </c>
      <c r="V18" s="847">
        <v>0</v>
      </c>
      <c r="W18" s="847">
        <v>0</v>
      </c>
      <c r="X18" s="847">
        <v>0</v>
      </c>
      <c r="Y18" s="847">
        <v>0</v>
      </c>
      <c r="Z18" s="847">
        <v>0</v>
      </c>
      <c r="AA18" s="847">
        <v>0</v>
      </c>
      <c r="AB18" s="847">
        <v>0</v>
      </c>
      <c r="AC18" s="847">
        <v>0</v>
      </c>
      <c r="AD18" s="847">
        <v>0</v>
      </c>
      <c r="AE18" s="847">
        <v>0</v>
      </c>
      <c r="AF18" s="847">
        <v>0</v>
      </c>
      <c r="AG18" s="847">
        <v>0</v>
      </c>
      <c r="AH18" s="847">
        <v>0</v>
      </c>
      <c r="AI18" s="847">
        <v>0</v>
      </c>
      <c r="AJ18" s="847">
        <v>0</v>
      </c>
      <c r="AK18" s="847">
        <v>0</v>
      </c>
      <c r="AL18" s="847">
        <v>0</v>
      </c>
      <c r="AM18" s="847">
        <v>0</v>
      </c>
      <c r="AN18" s="847">
        <v>0</v>
      </c>
      <c r="AO18" s="847">
        <v>0</v>
      </c>
      <c r="AP18" s="847">
        <v>0</v>
      </c>
      <c r="AQ18" s="847">
        <v>0</v>
      </c>
      <c r="AR18" s="847">
        <v>0</v>
      </c>
      <c r="AS18" s="847">
        <v>0</v>
      </c>
      <c r="AT18" s="847">
        <v>0</v>
      </c>
      <c r="AU18" s="847">
        <v>0</v>
      </c>
      <c r="AV18" s="847">
        <v>0</v>
      </c>
      <c r="AW18" s="847">
        <v>0</v>
      </c>
      <c r="AX18" s="847">
        <v>0</v>
      </c>
      <c r="AY18" s="847">
        <v>0</v>
      </c>
      <c r="AZ18" s="847">
        <v>0</v>
      </c>
      <c r="BA18" s="847">
        <v>0</v>
      </c>
      <c r="BB18" s="847">
        <v>0</v>
      </c>
      <c r="BC18" s="847">
        <v>0</v>
      </c>
      <c r="BD18" s="847">
        <v>0</v>
      </c>
      <c r="BE18" s="847">
        <v>0</v>
      </c>
      <c r="BF18" s="847">
        <v>0</v>
      </c>
      <c r="BG18" s="847">
        <v>0</v>
      </c>
      <c r="BH18" s="847">
        <v>0</v>
      </c>
      <c r="BI18" s="847">
        <v>0</v>
      </c>
      <c r="BJ18" s="847">
        <v>0</v>
      </c>
      <c r="BK18" s="847">
        <v>0</v>
      </c>
      <c r="BL18" s="847">
        <v>0</v>
      </c>
      <c r="BM18" s="847">
        <v>0</v>
      </c>
      <c r="BN18" s="847">
        <v>0</v>
      </c>
      <c r="BO18" s="847">
        <v>0</v>
      </c>
      <c r="BP18" s="847">
        <v>0</v>
      </c>
      <c r="BQ18" s="847">
        <v>0</v>
      </c>
      <c r="BR18" s="847">
        <v>0</v>
      </c>
      <c r="BS18" s="847">
        <v>0</v>
      </c>
      <c r="BT18" s="847">
        <v>0</v>
      </c>
      <c r="BU18" s="847">
        <v>0</v>
      </c>
      <c r="BV18" s="847">
        <v>0</v>
      </c>
      <c r="BW18" s="847">
        <v>0</v>
      </c>
      <c r="BX18" s="847">
        <v>0</v>
      </c>
      <c r="BY18" s="847">
        <v>0</v>
      </c>
      <c r="BZ18" s="847">
        <v>0</v>
      </c>
      <c r="CA18" s="847">
        <v>0</v>
      </c>
      <c r="CB18" s="847">
        <v>0</v>
      </c>
      <c r="CC18" s="847">
        <v>0</v>
      </c>
      <c r="CD18" s="847">
        <v>0</v>
      </c>
      <c r="CE18" s="847">
        <v>0</v>
      </c>
      <c r="CF18" s="847">
        <v>0</v>
      </c>
      <c r="CG18" s="847">
        <v>0</v>
      </c>
      <c r="CH18" s="847">
        <v>0</v>
      </c>
      <c r="CI18" s="847">
        <v>0</v>
      </c>
      <c r="CJ18" s="847">
        <v>0</v>
      </c>
      <c r="CK18" s="847">
        <v>0</v>
      </c>
      <c r="CL18" s="847">
        <v>0</v>
      </c>
      <c r="CM18" s="847">
        <v>0</v>
      </c>
      <c r="CN18" s="847">
        <v>0</v>
      </c>
      <c r="CO18" s="847">
        <v>0</v>
      </c>
      <c r="CP18" s="847">
        <v>0</v>
      </c>
      <c r="CQ18" s="847">
        <v>0</v>
      </c>
      <c r="CR18" s="847">
        <v>0</v>
      </c>
      <c r="CS18" s="847">
        <v>0</v>
      </c>
      <c r="CT18" s="847">
        <v>0</v>
      </c>
      <c r="CU18" s="847">
        <v>0</v>
      </c>
      <c r="CV18" s="847">
        <v>0</v>
      </c>
      <c r="CW18" s="847">
        <v>0</v>
      </c>
      <c r="CX18" s="847">
        <v>0</v>
      </c>
      <c r="CY18" s="847">
        <v>0</v>
      </c>
      <c r="CZ18" s="847">
        <v>0</v>
      </c>
      <c r="DA18" s="847">
        <v>0</v>
      </c>
      <c r="DB18" s="847">
        <v>0</v>
      </c>
      <c r="DC18" s="847">
        <v>0</v>
      </c>
      <c r="DD18" s="847">
        <v>0</v>
      </c>
      <c r="DE18" s="847">
        <v>0</v>
      </c>
      <c r="DF18" s="847">
        <v>0</v>
      </c>
      <c r="DG18" s="847">
        <v>0</v>
      </c>
      <c r="DH18" s="847">
        <v>0</v>
      </c>
      <c r="DI18" s="847">
        <v>0</v>
      </c>
      <c r="DJ18" s="847">
        <v>0</v>
      </c>
      <c r="DK18" s="847">
        <v>0</v>
      </c>
      <c r="DL18" s="847">
        <v>0</v>
      </c>
      <c r="DM18" s="847">
        <v>0</v>
      </c>
      <c r="DN18" s="847">
        <v>0</v>
      </c>
      <c r="DO18" s="847">
        <v>0</v>
      </c>
      <c r="DP18" s="847">
        <v>0</v>
      </c>
      <c r="DQ18" s="847">
        <v>0</v>
      </c>
      <c r="DR18" s="847">
        <v>0</v>
      </c>
      <c r="DS18" s="847">
        <v>0</v>
      </c>
      <c r="DT18" s="847">
        <v>0</v>
      </c>
      <c r="DU18" s="847">
        <v>0</v>
      </c>
      <c r="DV18" s="847">
        <v>0</v>
      </c>
      <c r="DW18" s="847">
        <v>0</v>
      </c>
      <c r="DY18" s="173"/>
      <c r="DZ18" s="173"/>
      <c r="EA18" s="173"/>
      <c r="EB18" s="174"/>
      <c r="EC18" s="175"/>
      <c r="ED18" s="174"/>
      <c r="EE18" s="174"/>
      <c r="EF18" s="174"/>
      <c r="EG18" s="174"/>
      <c r="EH18" s="174"/>
      <c r="EI18" s="174"/>
      <c r="EJ18" s="174"/>
      <c r="EK18" s="174"/>
      <c r="EL18" s="174"/>
      <c r="EM18" s="174"/>
      <c r="EN18" s="174"/>
      <c r="EO18" s="174"/>
      <c r="EP18" s="174"/>
      <c r="EQ18" s="174"/>
      <c r="ER18" s="174"/>
      <c r="ES18" s="174"/>
      <c r="ET18" s="174"/>
      <c r="EU18" s="174"/>
      <c r="EV18" s="174"/>
      <c r="EW18" s="174"/>
      <c r="EX18" s="174"/>
      <c r="EY18" s="174"/>
      <c r="EZ18" s="174"/>
      <c r="FA18" s="174"/>
      <c r="FB18" s="174"/>
      <c r="FC18" s="174"/>
      <c r="FD18" s="174"/>
      <c r="FE18" s="174"/>
      <c r="FF18" s="174"/>
      <c r="FG18" s="174"/>
      <c r="FH18" s="174"/>
      <c r="FI18" s="174"/>
      <c r="FJ18" s="174"/>
      <c r="FK18" s="174"/>
      <c r="FL18" s="174"/>
      <c r="FM18" s="174"/>
      <c r="FN18" s="174"/>
      <c r="FO18" s="174"/>
      <c r="FP18" s="174"/>
      <c r="FQ18" s="174"/>
      <c r="FR18" s="174"/>
      <c r="FS18" s="174"/>
      <c r="FT18" s="174"/>
      <c r="FU18" s="174"/>
      <c r="FV18" s="174"/>
      <c r="FW18" s="174"/>
      <c r="FX18" s="174"/>
      <c r="FY18" s="174"/>
      <c r="FZ18" s="174"/>
      <c r="GA18" s="174"/>
      <c r="GB18" s="174"/>
      <c r="GC18" s="174"/>
      <c r="GD18" s="174"/>
      <c r="GE18" s="174"/>
      <c r="GF18" s="174"/>
      <c r="GG18" s="174"/>
      <c r="GH18" s="174"/>
      <c r="GI18" s="174"/>
      <c r="GJ18" s="174"/>
      <c r="GK18" s="174"/>
      <c r="GL18" s="174"/>
      <c r="GM18" s="174"/>
      <c r="GN18" s="174"/>
      <c r="GO18" s="174"/>
      <c r="GP18" s="174"/>
      <c r="GQ18" s="174"/>
      <c r="GR18" s="174"/>
      <c r="GS18" s="174"/>
      <c r="GT18" s="174"/>
      <c r="GU18" s="174"/>
      <c r="GV18" s="174"/>
      <c r="GW18" s="174"/>
      <c r="GX18" s="174"/>
      <c r="GY18" s="174"/>
      <c r="GZ18" s="174"/>
      <c r="HA18" s="174"/>
      <c r="HB18" s="174"/>
      <c r="HC18" s="174"/>
      <c r="HD18" s="174"/>
      <c r="HE18" s="174"/>
      <c r="HF18" s="174"/>
      <c r="HG18" s="174"/>
      <c r="HH18" s="174"/>
      <c r="HI18" s="174"/>
      <c r="HJ18" s="174"/>
      <c r="HK18" s="174"/>
      <c r="HL18" s="174"/>
      <c r="HM18" s="174"/>
      <c r="HN18" s="174"/>
      <c r="HO18" s="174"/>
      <c r="HP18" s="174"/>
      <c r="HQ18" s="174"/>
      <c r="HR18" s="174"/>
      <c r="HS18" s="174"/>
      <c r="HT18" s="174"/>
      <c r="HU18" s="174"/>
      <c r="HV18" s="176"/>
      <c r="HW18" s="176"/>
      <c r="HX18" s="176"/>
      <c r="HY18" s="176"/>
      <c r="HZ18" s="176"/>
      <c r="IA18" s="176"/>
      <c r="IB18" s="176"/>
      <c r="IC18" s="176"/>
      <c r="ID18" s="176"/>
      <c r="IE18" s="176"/>
      <c r="IF18" s="176"/>
      <c r="IG18" s="176"/>
      <c r="IH18" s="176"/>
      <c r="II18" s="176"/>
      <c r="IJ18" s="176"/>
    </row>
    <row r="19" spans="1:244" ht="16.5" hidden="1">
      <c r="A19" s="846" t="s">
        <v>1060</v>
      </c>
      <c r="B19" s="846" t="s">
        <v>1382</v>
      </c>
      <c r="C19" s="846" t="s">
        <v>1171</v>
      </c>
      <c r="D19" s="847">
        <v>6</v>
      </c>
      <c r="E19" s="846" t="s">
        <v>1171</v>
      </c>
      <c r="F19" s="846" t="s">
        <v>96</v>
      </c>
      <c r="G19" s="851"/>
      <c r="H19" s="847">
        <v>16</v>
      </c>
      <c r="I19" s="780" t="str">
        <f t="shared" si="0"/>
        <v>IWT060116</v>
      </c>
      <c r="J19" s="847">
        <v>4800</v>
      </c>
      <c r="L19" s="846" t="s">
        <v>1060</v>
      </c>
      <c r="M19" s="846" t="s">
        <v>1382</v>
      </c>
      <c r="N19" s="846" t="s">
        <v>96</v>
      </c>
      <c r="O19" s="847">
        <v>16</v>
      </c>
      <c r="P19" s="780" t="str">
        <f t="shared" si="1"/>
        <v>IWT060116</v>
      </c>
      <c r="Q19" s="847">
        <v>1110</v>
      </c>
      <c r="R19" s="847">
        <v>2952</v>
      </c>
      <c r="S19" s="847">
        <v>4757</v>
      </c>
      <c r="T19" s="847">
        <v>6528</v>
      </c>
      <c r="U19" s="847">
        <v>8263</v>
      </c>
      <c r="V19" s="847">
        <v>0</v>
      </c>
      <c r="W19" s="847">
        <v>0</v>
      </c>
      <c r="X19" s="847">
        <v>0</v>
      </c>
      <c r="Y19" s="847">
        <v>0</v>
      </c>
      <c r="Z19" s="847">
        <v>0</v>
      </c>
      <c r="AA19" s="847">
        <v>0</v>
      </c>
      <c r="AB19" s="847">
        <v>0</v>
      </c>
      <c r="AC19" s="847">
        <v>0</v>
      </c>
      <c r="AD19" s="847">
        <v>0</v>
      </c>
      <c r="AE19" s="847">
        <v>0</v>
      </c>
      <c r="AF19" s="847">
        <v>0</v>
      </c>
      <c r="AG19" s="847">
        <v>0</v>
      </c>
      <c r="AH19" s="847">
        <v>0</v>
      </c>
      <c r="AI19" s="847">
        <v>0</v>
      </c>
      <c r="AJ19" s="847">
        <v>0</v>
      </c>
      <c r="AK19" s="847">
        <v>0</v>
      </c>
      <c r="AL19" s="847">
        <v>0</v>
      </c>
      <c r="AM19" s="847">
        <v>0</v>
      </c>
      <c r="AN19" s="847">
        <v>0</v>
      </c>
      <c r="AO19" s="847">
        <v>0</v>
      </c>
      <c r="AP19" s="847">
        <v>0</v>
      </c>
      <c r="AQ19" s="847">
        <v>0</v>
      </c>
      <c r="AR19" s="847">
        <v>0</v>
      </c>
      <c r="AS19" s="847">
        <v>0</v>
      </c>
      <c r="AT19" s="847">
        <v>0</v>
      </c>
      <c r="AU19" s="847">
        <v>0</v>
      </c>
      <c r="AV19" s="847">
        <v>0</v>
      </c>
      <c r="AW19" s="847">
        <v>0</v>
      </c>
      <c r="AX19" s="847">
        <v>0</v>
      </c>
      <c r="AY19" s="847">
        <v>0</v>
      </c>
      <c r="AZ19" s="847">
        <v>0</v>
      </c>
      <c r="BA19" s="847">
        <v>0</v>
      </c>
      <c r="BB19" s="847">
        <v>0</v>
      </c>
      <c r="BC19" s="847">
        <v>0</v>
      </c>
      <c r="BD19" s="847">
        <v>0</v>
      </c>
      <c r="BE19" s="847">
        <v>0</v>
      </c>
      <c r="BF19" s="847">
        <v>0</v>
      </c>
      <c r="BG19" s="847">
        <v>0</v>
      </c>
      <c r="BH19" s="847">
        <v>0</v>
      </c>
      <c r="BI19" s="847">
        <v>0</v>
      </c>
      <c r="BJ19" s="847">
        <v>0</v>
      </c>
      <c r="BK19" s="847">
        <v>0</v>
      </c>
      <c r="BL19" s="847">
        <v>0</v>
      </c>
      <c r="BM19" s="847">
        <v>0</v>
      </c>
      <c r="BN19" s="847">
        <v>0</v>
      </c>
      <c r="BO19" s="847">
        <v>0</v>
      </c>
      <c r="BP19" s="847">
        <v>0</v>
      </c>
      <c r="BQ19" s="847">
        <v>0</v>
      </c>
      <c r="BR19" s="847">
        <v>0</v>
      </c>
      <c r="BS19" s="847">
        <v>0</v>
      </c>
      <c r="BT19" s="847">
        <v>0</v>
      </c>
      <c r="BU19" s="847">
        <v>0</v>
      </c>
      <c r="BV19" s="847">
        <v>0</v>
      </c>
      <c r="BW19" s="847">
        <v>0</v>
      </c>
      <c r="BX19" s="847">
        <v>0</v>
      </c>
      <c r="BY19" s="847">
        <v>0</v>
      </c>
      <c r="BZ19" s="847">
        <v>0</v>
      </c>
      <c r="CA19" s="847">
        <v>0</v>
      </c>
      <c r="CB19" s="847">
        <v>0</v>
      </c>
      <c r="CC19" s="847">
        <v>0</v>
      </c>
      <c r="CD19" s="847">
        <v>0</v>
      </c>
      <c r="CE19" s="847">
        <v>0</v>
      </c>
      <c r="CF19" s="847">
        <v>0</v>
      </c>
      <c r="CG19" s="847">
        <v>0</v>
      </c>
      <c r="CH19" s="847">
        <v>0</v>
      </c>
      <c r="CI19" s="847">
        <v>0</v>
      </c>
      <c r="CJ19" s="847">
        <v>0</v>
      </c>
      <c r="CK19" s="847">
        <v>0</v>
      </c>
      <c r="CL19" s="847">
        <v>0</v>
      </c>
      <c r="CM19" s="847">
        <v>0</v>
      </c>
      <c r="CN19" s="847">
        <v>0</v>
      </c>
      <c r="CO19" s="847">
        <v>0</v>
      </c>
      <c r="CP19" s="847">
        <v>0</v>
      </c>
      <c r="CQ19" s="847">
        <v>0</v>
      </c>
      <c r="CR19" s="847">
        <v>0</v>
      </c>
      <c r="CS19" s="847">
        <v>0</v>
      </c>
      <c r="CT19" s="847">
        <v>0</v>
      </c>
      <c r="CU19" s="847">
        <v>0</v>
      </c>
      <c r="CV19" s="847">
        <v>0</v>
      </c>
      <c r="CW19" s="847">
        <v>0</v>
      </c>
      <c r="CX19" s="847">
        <v>0</v>
      </c>
      <c r="CY19" s="847">
        <v>0</v>
      </c>
      <c r="CZ19" s="847">
        <v>0</v>
      </c>
      <c r="DA19" s="847">
        <v>0</v>
      </c>
      <c r="DB19" s="847">
        <v>0</v>
      </c>
      <c r="DC19" s="847">
        <v>0</v>
      </c>
      <c r="DD19" s="847">
        <v>0</v>
      </c>
      <c r="DE19" s="847">
        <v>0</v>
      </c>
      <c r="DF19" s="847">
        <v>0</v>
      </c>
      <c r="DG19" s="847">
        <v>0</v>
      </c>
      <c r="DH19" s="847">
        <v>0</v>
      </c>
      <c r="DI19" s="847">
        <v>0</v>
      </c>
      <c r="DJ19" s="847">
        <v>0</v>
      </c>
      <c r="DK19" s="847">
        <v>0</v>
      </c>
      <c r="DL19" s="847">
        <v>0</v>
      </c>
      <c r="DM19" s="847">
        <v>0</v>
      </c>
      <c r="DN19" s="847">
        <v>0</v>
      </c>
      <c r="DO19" s="847">
        <v>0</v>
      </c>
      <c r="DP19" s="847">
        <v>0</v>
      </c>
      <c r="DQ19" s="847">
        <v>0</v>
      </c>
      <c r="DR19" s="847">
        <v>0</v>
      </c>
      <c r="DS19" s="847">
        <v>0</v>
      </c>
      <c r="DT19" s="847">
        <v>0</v>
      </c>
      <c r="DU19" s="847">
        <v>0</v>
      </c>
      <c r="DV19" s="847">
        <v>0</v>
      </c>
      <c r="DW19" s="847">
        <v>0</v>
      </c>
      <c r="DY19" s="173"/>
      <c r="DZ19" s="173"/>
      <c r="EA19" s="173"/>
      <c r="EB19" s="174"/>
      <c r="EC19" s="175"/>
      <c r="ED19" s="174"/>
      <c r="EE19" s="174"/>
      <c r="EF19" s="174"/>
      <c r="EG19" s="174"/>
      <c r="EH19" s="174"/>
      <c r="EI19" s="174"/>
      <c r="EJ19" s="174"/>
      <c r="EK19" s="174"/>
      <c r="EL19" s="174"/>
      <c r="EM19" s="174"/>
      <c r="EN19" s="174"/>
      <c r="EO19" s="174"/>
      <c r="EP19" s="174"/>
      <c r="EQ19" s="174"/>
      <c r="ER19" s="174"/>
      <c r="ES19" s="174"/>
      <c r="ET19" s="174"/>
      <c r="EU19" s="174"/>
      <c r="EV19" s="174"/>
      <c r="EW19" s="174"/>
      <c r="EX19" s="174"/>
      <c r="EY19" s="174"/>
      <c r="EZ19" s="174"/>
      <c r="FA19" s="174"/>
      <c r="FB19" s="174"/>
      <c r="FC19" s="174"/>
      <c r="FD19" s="174"/>
      <c r="FE19" s="174"/>
      <c r="FF19" s="174"/>
      <c r="FG19" s="174"/>
      <c r="FH19" s="174"/>
      <c r="FI19" s="174"/>
      <c r="FJ19" s="174"/>
      <c r="FK19" s="174"/>
      <c r="FL19" s="174"/>
      <c r="FM19" s="174"/>
      <c r="FN19" s="174"/>
      <c r="FO19" s="174"/>
      <c r="FP19" s="174"/>
      <c r="FQ19" s="174"/>
      <c r="FR19" s="174"/>
      <c r="FS19" s="174"/>
      <c r="FT19" s="174"/>
      <c r="FU19" s="174"/>
      <c r="FV19" s="174"/>
      <c r="FW19" s="174"/>
      <c r="FX19" s="174"/>
      <c r="FY19" s="174"/>
      <c r="FZ19" s="174"/>
      <c r="GA19" s="174"/>
      <c r="GB19" s="174"/>
      <c r="GC19" s="174"/>
      <c r="GD19" s="174"/>
      <c r="GE19" s="174"/>
      <c r="GF19" s="174"/>
      <c r="GG19" s="174"/>
      <c r="GH19" s="174"/>
      <c r="GI19" s="174"/>
      <c r="GJ19" s="174"/>
      <c r="GK19" s="174"/>
      <c r="GL19" s="174"/>
      <c r="GM19" s="174"/>
      <c r="GN19" s="174"/>
      <c r="GO19" s="174"/>
      <c r="GP19" s="174"/>
      <c r="GQ19" s="174"/>
      <c r="GR19" s="174"/>
      <c r="GS19" s="174"/>
      <c r="GT19" s="174"/>
      <c r="GU19" s="174"/>
      <c r="GV19" s="174"/>
      <c r="GW19" s="174"/>
      <c r="GX19" s="174"/>
      <c r="GY19" s="174"/>
      <c r="GZ19" s="174"/>
      <c r="HA19" s="174"/>
      <c r="HB19" s="174"/>
      <c r="HC19" s="174"/>
      <c r="HD19" s="174"/>
      <c r="HE19" s="174"/>
      <c r="HF19" s="174"/>
      <c r="HG19" s="174"/>
      <c r="HH19" s="174"/>
      <c r="HI19" s="174"/>
      <c r="HJ19" s="174"/>
      <c r="HK19" s="174"/>
      <c r="HL19" s="174"/>
      <c r="HM19" s="174"/>
      <c r="HN19" s="174"/>
      <c r="HO19" s="174"/>
      <c r="HP19" s="174"/>
      <c r="HQ19" s="174"/>
      <c r="HR19" s="174"/>
      <c r="HS19" s="174"/>
      <c r="HT19" s="174"/>
      <c r="HU19" s="176"/>
      <c r="HV19" s="176"/>
      <c r="HW19" s="176"/>
      <c r="HX19" s="176"/>
      <c r="HY19" s="176"/>
      <c r="HZ19" s="176"/>
      <c r="IA19" s="176"/>
      <c r="IB19" s="176"/>
      <c r="IC19" s="176"/>
      <c r="ID19" s="176"/>
      <c r="IE19" s="176"/>
      <c r="IF19" s="176"/>
      <c r="IG19" s="176"/>
      <c r="IH19" s="176"/>
      <c r="II19" s="176"/>
      <c r="IJ19" s="176"/>
    </row>
    <row r="20" spans="1:244" ht="16.5" hidden="1">
      <c r="A20" s="846" t="s">
        <v>1060</v>
      </c>
      <c r="B20" s="846" t="s">
        <v>1382</v>
      </c>
      <c r="C20" s="846" t="s">
        <v>1171</v>
      </c>
      <c r="D20" s="847">
        <v>6</v>
      </c>
      <c r="E20" s="846" t="s">
        <v>1171</v>
      </c>
      <c r="F20" s="846" t="s">
        <v>96</v>
      </c>
      <c r="G20" s="851"/>
      <c r="H20" s="847">
        <v>17</v>
      </c>
      <c r="I20" s="780" t="str">
        <f t="shared" si="0"/>
        <v>IWT060117</v>
      </c>
      <c r="J20" s="847">
        <v>4818</v>
      </c>
      <c r="L20" s="846" t="s">
        <v>1060</v>
      </c>
      <c r="M20" s="846" t="s">
        <v>1382</v>
      </c>
      <c r="N20" s="846" t="s">
        <v>96</v>
      </c>
      <c r="O20" s="847">
        <v>17</v>
      </c>
      <c r="P20" s="780" t="str">
        <f t="shared" si="1"/>
        <v>IWT060117</v>
      </c>
      <c r="Q20" s="847">
        <v>1110</v>
      </c>
      <c r="R20" s="847">
        <v>2952</v>
      </c>
      <c r="S20" s="847">
        <v>4757</v>
      </c>
      <c r="T20" s="847">
        <v>6528</v>
      </c>
      <c r="U20" s="847">
        <v>8263</v>
      </c>
      <c r="V20" s="847">
        <v>0</v>
      </c>
      <c r="W20" s="847">
        <v>0</v>
      </c>
      <c r="X20" s="847">
        <v>0</v>
      </c>
      <c r="Y20" s="847">
        <v>0</v>
      </c>
      <c r="Z20" s="847">
        <v>0</v>
      </c>
      <c r="AA20" s="847">
        <v>0</v>
      </c>
      <c r="AB20" s="847">
        <v>0</v>
      </c>
      <c r="AC20" s="847">
        <v>0</v>
      </c>
      <c r="AD20" s="847">
        <v>0</v>
      </c>
      <c r="AE20" s="847">
        <v>0</v>
      </c>
      <c r="AF20" s="847">
        <v>0</v>
      </c>
      <c r="AG20" s="847">
        <v>0</v>
      </c>
      <c r="AH20" s="847">
        <v>0</v>
      </c>
      <c r="AI20" s="847">
        <v>0</v>
      </c>
      <c r="AJ20" s="847">
        <v>0</v>
      </c>
      <c r="AK20" s="847">
        <v>0</v>
      </c>
      <c r="AL20" s="847">
        <v>0</v>
      </c>
      <c r="AM20" s="847">
        <v>0</v>
      </c>
      <c r="AN20" s="847">
        <v>0</v>
      </c>
      <c r="AO20" s="847">
        <v>0</v>
      </c>
      <c r="AP20" s="847">
        <v>0</v>
      </c>
      <c r="AQ20" s="847">
        <v>0</v>
      </c>
      <c r="AR20" s="847">
        <v>0</v>
      </c>
      <c r="AS20" s="847">
        <v>0</v>
      </c>
      <c r="AT20" s="847">
        <v>0</v>
      </c>
      <c r="AU20" s="847">
        <v>0</v>
      </c>
      <c r="AV20" s="847">
        <v>0</v>
      </c>
      <c r="AW20" s="847">
        <v>0</v>
      </c>
      <c r="AX20" s="847">
        <v>0</v>
      </c>
      <c r="AY20" s="847">
        <v>0</v>
      </c>
      <c r="AZ20" s="847">
        <v>0</v>
      </c>
      <c r="BA20" s="847">
        <v>0</v>
      </c>
      <c r="BB20" s="847">
        <v>0</v>
      </c>
      <c r="BC20" s="847">
        <v>0</v>
      </c>
      <c r="BD20" s="847">
        <v>0</v>
      </c>
      <c r="BE20" s="847">
        <v>0</v>
      </c>
      <c r="BF20" s="847">
        <v>0</v>
      </c>
      <c r="BG20" s="847">
        <v>0</v>
      </c>
      <c r="BH20" s="847">
        <v>0</v>
      </c>
      <c r="BI20" s="847">
        <v>0</v>
      </c>
      <c r="BJ20" s="847">
        <v>0</v>
      </c>
      <c r="BK20" s="847">
        <v>0</v>
      </c>
      <c r="BL20" s="847">
        <v>0</v>
      </c>
      <c r="BM20" s="847">
        <v>0</v>
      </c>
      <c r="BN20" s="847">
        <v>0</v>
      </c>
      <c r="BO20" s="847">
        <v>0</v>
      </c>
      <c r="BP20" s="847">
        <v>0</v>
      </c>
      <c r="BQ20" s="847">
        <v>0</v>
      </c>
      <c r="BR20" s="847">
        <v>0</v>
      </c>
      <c r="BS20" s="847">
        <v>0</v>
      </c>
      <c r="BT20" s="847">
        <v>0</v>
      </c>
      <c r="BU20" s="847">
        <v>0</v>
      </c>
      <c r="BV20" s="847">
        <v>0</v>
      </c>
      <c r="BW20" s="847">
        <v>0</v>
      </c>
      <c r="BX20" s="847">
        <v>0</v>
      </c>
      <c r="BY20" s="847">
        <v>0</v>
      </c>
      <c r="BZ20" s="847">
        <v>0</v>
      </c>
      <c r="CA20" s="847">
        <v>0</v>
      </c>
      <c r="CB20" s="847">
        <v>0</v>
      </c>
      <c r="CC20" s="847">
        <v>0</v>
      </c>
      <c r="CD20" s="847">
        <v>0</v>
      </c>
      <c r="CE20" s="847">
        <v>0</v>
      </c>
      <c r="CF20" s="847">
        <v>0</v>
      </c>
      <c r="CG20" s="847">
        <v>0</v>
      </c>
      <c r="CH20" s="847">
        <v>0</v>
      </c>
      <c r="CI20" s="847">
        <v>0</v>
      </c>
      <c r="CJ20" s="847">
        <v>0</v>
      </c>
      <c r="CK20" s="847">
        <v>0</v>
      </c>
      <c r="CL20" s="847">
        <v>0</v>
      </c>
      <c r="CM20" s="847">
        <v>0</v>
      </c>
      <c r="CN20" s="847">
        <v>0</v>
      </c>
      <c r="CO20" s="847">
        <v>0</v>
      </c>
      <c r="CP20" s="847">
        <v>0</v>
      </c>
      <c r="CQ20" s="847">
        <v>0</v>
      </c>
      <c r="CR20" s="847">
        <v>0</v>
      </c>
      <c r="CS20" s="847">
        <v>0</v>
      </c>
      <c r="CT20" s="847">
        <v>0</v>
      </c>
      <c r="CU20" s="847">
        <v>0</v>
      </c>
      <c r="CV20" s="847">
        <v>0</v>
      </c>
      <c r="CW20" s="847">
        <v>0</v>
      </c>
      <c r="CX20" s="847">
        <v>0</v>
      </c>
      <c r="CY20" s="847">
        <v>0</v>
      </c>
      <c r="CZ20" s="847">
        <v>0</v>
      </c>
      <c r="DA20" s="847">
        <v>0</v>
      </c>
      <c r="DB20" s="847">
        <v>0</v>
      </c>
      <c r="DC20" s="847">
        <v>0</v>
      </c>
      <c r="DD20" s="847">
        <v>0</v>
      </c>
      <c r="DE20" s="847">
        <v>0</v>
      </c>
      <c r="DF20" s="847">
        <v>0</v>
      </c>
      <c r="DG20" s="847">
        <v>0</v>
      </c>
      <c r="DH20" s="847">
        <v>0</v>
      </c>
      <c r="DI20" s="847">
        <v>0</v>
      </c>
      <c r="DJ20" s="847">
        <v>0</v>
      </c>
      <c r="DK20" s="847">
        <v>0</v>
      </c>
      <c r="DL20" s="847">
        <v>0</v>
      </c>
      <c r="DM20" s="847">
        <v>0</v>
      </c>
      <c r="DN20" s="847">
        <v>0</v>
      </c>
      <c r="DO20" s="847">
        <v>0</v>
      </c>
      <c r="DP20" s="847">
        <v>0</v>
      </c>
      <c r="DQ20" s="847">
        <v>0</v>
      </c>
      <c r="DR20" s="847">
        <v>0</v>
      </c>
      <c r="DS20" s="847">
        <v>0</v>
      </c>
      <c r="DT20" s="847">
        <v>0</v>
      </c>
      <c r="DU20" s="847">
        <v>0</v>
      </c>
      <c r="DV20" s="847">
        <v>0</v>
      </c>
      <c r="DW20" s="847">
        <v>0</v>
      </c>
      <c r="DY20" s="173"/>
      <c r="DZ20" s="173"/>
      <c r="EA20" s="173"/>
      <c r="EB20" s="174"/>
      <c r="EC20" s="175"/>
      <c r="ED20" s="174"/>
      <c r="EE20" s="174"/>
      <c r="EF20" s="174"/>
      <c r="EG20" s="174"/>
      <c r="EH20" s="174"/>
      <c r="EI20" s="174"/>
      <c r="EJ20" s="174"/>
      <c r="EK20" s="174"/>
      <c r="EL20" s="174"/>
      <c r="EM20" s="174"/>
      <c r="EN20" s="174"/>
      <c r="EO20" s="174"/>
      <c r="EP20" s="174"/>
      <c r="EQ20" s="174"/>
      <c r="ER20" s="174"/>
      <c r="ES20" s="174"/>
      <c r="ET20" s="174"/>
      <c r="EU20" s="174"/>
      <c r="EV20" s="174"/>
      <c r="EW20" s="174"/>
      <c r="EX20" s="174"/>
      <c r="EY20" s="174"/>
      <c r="EZ20" s="174"/>
      <c r="FA20" s="174"/>
      <c r="FB20" s="174"/>
      <c r="FC20" s="174"/>
      <c r="FD20" s="174"/>
      <c r="FE20" s="174"/>
      <c r="FF20" s="174"/>
      <c r="FG20" s="174"/>
      <c r="FH20" s="174"/>
      <c r="FI20" s="174"/>
      <c r="FJ20" s="174"/>
      <c r="FK20" s="174"/>
      <c r="FL20" s="174"/>
      <c r="FM20" s="174"/>
      <c r="FN20" s="174"/>
      <c r="FO20" s="174"/>
      <c r="FP20" s="174"/>
      <c r="FQ20" s="174"/>
      <c r="FR20" s="174"/>
      <c r="FS20" s="174"/>
      <c r="FT20" s="174"/>
      <c r="FU20" s="174"/>
      <c r="FV20" s="174"/>
      <c r="FW20" s="174"/>
      <c r="FX20" s="174"/>
      <c r="FY20" s="174"/>
      <c r="FZ20" s="174"/>
      <c r="GA20" s="174"/>
      <c r="GB20" s="174"/>
      <c r="GC20" s="174"/>
      <c r="GD20" s="174"/>
      <c r="GE20" s="174"/>
      <c r="GF20" s="174"/>
      <c r="GG20" s="174"/>
      <c r="GH20" s="174"/>
      <c r="GI20" s="174"/>
      <c r="GJ20" s="174"/>
      <c r="GK20" s="174"/>
      <c r="GL20" s="174"/>
      <c r="GM20" s="174"/>
      <c r="GN20" s="174"/>
      <c r="GO20" s="174"/>
      <c r="GP20" s="174"/>
      <c r="GQ20" s="174"/>
      <c r="GR20" s="174"/>
      <c r="GS20" s="174"/>
      <c r="GT20" s="174"/>
      <c r="GU20" s="174"/>
      <c r="GV20" s="174"/>
      <c r="GW20" s="174"/>
      <c r="GX20" s="174"/>
      <c r="GY20" s="174"/>
      <c r="GZ20" s="174"/>
      <c r="HA20" s="174"/>
      <c r="HB20" s="174"/>
      <c r="HC20" s="174"/>
      <c r="HD20" s="174"/>
      <c r="HE20" s="174"/>
      <c r="HF20" s="174"/>
      <c r="HG20" s="174"/>
      <c r="HH20" s="174"/>
      <c r="HI20" s="174"/>
      <c r="HJ20" s="174"/>
      <c r="HK20" s="174"/>
      <c r="HL20" s="174"/>
      <c r="HM20" s="174"/>
      <c r="HN20" s="174"/>
      <c r="HO20" s="174"/>
      <c r="HP20" s="174"/>
      <c r="HQ20" s="174"/>
      <c r="HR20" s="174"/>
      <c r="HS20" s="174"/>
      <c r="HT20" s="176"/>
      <c r="HU20" s="176"/>
      <c r="HV20" s="176"/>
      <c r="HW20" s="176"/>
      <c r="HX20" s="176"/>
      <c r="HY20" s="176"/>
      <c r="HZ20" s="176"/>
      <c r="IA20" s="176"/>
      <c r="IB20" s="176"/>
      <c r="IC20" s="176"/>
      <c r="ID20" s="176"/>
      <c r="IE20" s="176"/>
      <c r="IF20" s="176"/>
      <c r="IG20" s="176"/>
      <c r="IH20" s="176"/>
      <c r="II20" s="176"/>
      <c r="IJ20" s="176"/>
    </row>
    <row r="21" spans="1:244" ht="16.5" hidden="1">
      <c r="A21" s="846" t="s">
        <v>1060</v>
      </c>
      <c r="B21" s="846" t="s">
        <v>1382</v>
      </c>
      <c r="C21" s="846" t="s">
        <v>1171</v>
      </c>
      <c r="D21" s="847">
        <v>6</v>
      </c>
      <c r="E21" s="846" t="s">
        <v>1171</v>
      </c>
      <c r="F21" s="846" t="s">
        <v>96</v>
      </c>
      <c r="G21" s="851"/>
      <c r="H21" s="847">
        <v>18</v>
      </c>
      <c r="I21" s="780" t="str">
        <f t="shared" si="0"/>
        <v>IWT060118</v>
      </c>
      <c r="J21" s="847">
        <v>4836</v>
      </c>
      <c r="L21" s="846" t="s">
        <v>1060</v>
      </c>
      <c r="M21" s="846" t="s">
        <v>1382</v>
      </c>
      <c r="N21" s="846" t="s">
        <v>96</v>
      </c>
      <c r="O21" s="847">
        <v>18</v>
      </c>
      <c r="P21" s="780" t="str">
        <f t="shared" si="1"/>
        <v>IWT060118</v>
      </c>
      <c r="Q21" s="847">
        <v>1110</v>
      </c>
      <c r="R21" s="847">
        <v>2952</v>
      </c>
      <c r="S21" s="847">
        <v>4758</v>
      </c>
      <c r="T21" s="847">
        <v>6528</v>
      </c>
      <c r="U21" s="847">
        <v>8264</v>
      </c>
      <c r="V21" s="847">
        <v>0</v>
      </c>
      <c r="W21" s="847">
        <v>0</v>
      </c>
      <c r="X21" s="847">
        <v>0</v>
      </c>
      <c r="Y21" s="847">
        <v>0</v>
      </c>
      <c r="Z21" s="847">
        <v>0</v>
      </c>
      <c r="AA21" s="847">
        <v>0</v>
      </c>
      <c r="AB21" s="847">
        <v>0</v>
      </c>
      <c r="AC21" s="847">
        <v>0</v>
      </c>
      <c r="AD21" s="847">
        <v>0</v>
      </c>
      <c r="AE21" s="847">
        <v>0</v>
      </c>
      <c r="AF21" s="847">
        <v>0</v>
      </c>
      <c r="AG21" s="847">
        <v>0</v>
      </c>
      <c r="AH21" s="847">
        <v>0</v>
      </c>
      <c r="AI21" s="847">
        <v>0</v>
      </c>
      <c r="AJ21" s="847">
        <v>0</v>
      </c>
      <c r="AK21" s="847">
        <v>0</v>
      </c>
      <c r="AL21" s="847">
        <v>0</v>
      </c>
      <c r="AM21" s="847">
        <v>0</v>
      </c>
      <c r="AN21" s="847">
        <v>0</v>
      </c>
      <c r="AO21" s="847">
        <v>0</v>
      </c>
      <c r="AP21" s="847">
        <v>0</v>
      </c>
      <c r="AQ21" s="847">
        <v>0</v>
      </c>
      <c r="AR21" s="847">
        <v>0</v>
      </c>
      <c r="AS21" s="847">
        <v>0</v>
      </c>
      <c r="AT21" s="847">
        <v>0</v>
      </c>
      <c r="AU21" s="847">
        <v>0</v>
      </c>
      <c r="AV21" s="847">
        <v>0</v>
      </c>
      <c r="AW21" s="847">
        <v>0</v>
      </c>
      <c r="AX21" s="847">
        <v>0</v>
      </c>
      <c r="AY21" s="847">
        <v>0</v>
      </c>
      <c r="AZ21" s="847">
        <v>0</v>
      </c>
      <c r="BA21" s="847">
        <v>0</v>
      </c>
      <c r="BB21" s="847">
        <v>0</v>
      </c>
      <c r="BC21" s="847">
        <v>0</v>
      </c>
      <c r="BD21" s="847">
        <v>0</v>
      </c>
      <c r="BE21" s="847">
        <v>0</v>
      </c>
      <c r="BF21" s="847">
        <v>0</v>
      </c>
      <c r="BG21" s="847">
        <v>0</v>
      </c>
      <c r="BH21" s="847">
        <v>0</v>
      </c>
      <c r="BI21" s="847">
        <v>0</v>
      </c>
      <c r="BJ21" s="847">
        <v>0</v>
      </c>
      <c r="BK21" s="847">
        <v>0</v>
      </c>
      <c r="BL21" s="847">
        <v>0</v>
      </c>
      <c r="BM21" s="847">
        <v>0</v>
      </c>
      <c r="BN21" s="847">
        <v>0</v>
      </c>
      <c r="BO21" s="847">
        <v>0</v>
      </c>
      <c r="BP21" s="847">
        <v>0</v>
      </c>
      <c r="BQ21" s="847">
        <v>0</v>
      </c>
      <c r="BR21" s="847">
        <v>0</v>
      </c>
      <c r="BS21" s="847">
        <v>0</v>
      </c>
      <c r="BT21" s="847">
        <v>0</v>
      </c>
      <c r="BU21" s="847">
        <v>0</v>
      </c>
      <c r="BV21" s="847">
        <v>0</v>
      </c>
      <c r="BW21" s="847">
        <v>0</v>
      </c>
      <c r="BX21" s="847">
        <v>0</v>
      </c>
      <c r="BY21" s="847">
        <v>0</v>
      </c>
      <c r="BZ21" s="847">
        <v>0</v>
      </c>
      <c r="CA21" s="847">
        <v>0</v>
      </c>
      <c r="CB21" s="847">
        <v>0</v>
      </c>
      <c r="CC21" s="847">
        <v>0</v>
      </c>
      <c r="CD21" s="847">
        <v>0</v>
      </c>
      <c r="CE21" s="847">
        <v>0</v>
      </c>
      <c r="CF21" s="847">
        <v>0</v>
      </c>
      <c r="CG21" s="847">
        <v>0</v>
      </c>
      <c r="CH21" s="847">
        <v>0</v>
      </c>
      <c r="CI21" s="847">
        <v>0</v>
      </c>
      <c r="CJ21" s="847">
        <v>0</v>
      </c>
      <c r="CK21" s="847">
        <v>0</v>
      </c>
      <c r="CL21" s="847">
        <v>0</v>
      </c>
      <c r="CM21" s="847">
        <v>0</v>
      </c>
      <c r="CN21" s="847">
        <v>0</v>
      </c>
      <c r="CO21" s="847">
        <v>0</v>
      </c>
      <c r="CP21" s="847">
        <v>0</v>
      </c>
      <c r="CQ21" s="847">
        <v>0</v>
      </c>
      <c r="CR21" s="847">
        <v>0</v>
      </c>
      <c r="CS21" s="847">
        <v>0</v>
      </c>
      <c r="CT21" s="847">
        <v>0</v>
      </c>
      <c r="CU21" s="847">
        <v>0</v>
      </c>
      <c r="CV21" s="847">
        <v>0</v>
      </c>
      <c r="CW21" s="847">
        <v>0</v>
      </c>
      <c r="CX21" s="847">
        <v>0</v>
      </c>
      <c r="CY21" s="847">
        <v>0</v>
      </c>
      <c r="CZ21" s="847">
        <v>0</v>
      </c>
      <c r="DA21" s="847">
        <v>0</v>
      </c>
      <c r="DB21" s="847">
        <v>0</v>
      </c>
      <c r="DC21" s="847">
        <v>0</v>
      </c>
      <c r="DD21" s="847">
        <v>0</v>
      </c>
      <c r="DE21" s="847">
        <v>0</v>
      </c>
      <c r="DF21" s="847">
        <v>0</v>
      </c>
      <c r="DG21" s="847">
        <v>0</v>
      </c>
      <c r="DH21" s="847">
        <v>0</v>
      </c>
      <c r="DI21" s="847">
        <v>0</v>
      </c>
      <c r="DJ21" s="847">
        <v>0</v>
      </c>
      <c r="DK21" s="847">
        <v>0</v>
      </c>
      <c r="DL21" s="847">
        <v>0</v>
      </c>
      <c r="DM21" s="847">
        <v>0</v>
      </c>
      <c r="DN21" s="847">
        <v>0</v>
      </c>
      <c r="DO21" s="847">
        <v>0</v>
      </c>
      <c r="DP21" s="847">
        <v>0</v>
      </c>
      <c r="DQ21" s="847">
        <v>0</v>
      </c>
      <c r="DR21" s="847">
        <v>0</v>
      </c>
      <c r="DS21" s="847">
        <v>0</v>
      </c>
      <c r="DT21" s="847">
        <v>0</v>
      </c>
      <c r="DU21" s="847">
        <v>0</v>
      </c>
      <c r="DV21" s="847">
        <v>0</v>
      </c>
      <c r="DW21" s="847">
        <v>0</v>
      </c>
      <c r="DY21" s="173"/>
      <c r="DZ21" s="173"/>
      <c r="EA21" s="173"/>
      <c r="EB21" s="174"/>
      <c r="EC21" s="175"/>
      <c r="ED21" s="174"/>
      <c r="EE21" s="174"/>
      <c r="EF21" s="174"/>
      <c r="EG21" s="174"/>
      <c r="EH21" s="174"/>
      <c r="EI21" s="174"/>
      <c r="EJ21" s="174"/>
      <c r="EK21" s="174"/>
      <c r="EL21" s="174"/>
      <c r="EM21" s="174"/>
      <c r="EN21" s="174"/>
      <c r="EO21" s="174"/>
      <c r="EP21" s="174"/>
      <c r="EQ21" s="174"/>
      <c r="ER21" s="174"/>
      <c r="ES21" s="174"/>
      <c r="ET21" s="174"/>
      <c r="EU21" s="174"/>
      <c r="EV21" s="174"/>
      <c r="EW21" s="174"/>
      <c r="EX21" s="174"/>
      <c r="EY21" s="174"/>
      <c r="EZ21" s="174"/>
      <c r="FA21" s="174"/>
      <c r="FB21" s="174"/>
      <c r="FC21" s="174"/>
      <c r="FD21" s="174"/>
      <c r="FE21" s="174"/>
      <c r="FF21" s="174"/>
      <c r="FG21" s="174"/>
      <c r="FH21" s="174"/>
      <c r="FI21" s="174"/>
      <c r="FJ21" s="174"/>
      <c r="FK21" s="174"/>
      <c r="FL21" s="174"/>
      <c r="FM21" s="174"/>
      <c r="FN21" s="174"/>
      <c r="FO21" s="174"/>
      <c r="FP21" s="174"/>
      <c r="FQ21" s="174"/>
      <c r="FR21" s="174"/>
      <c r="FS21" s="174"/>
      <c r="FT21" s="174"/>
      <c r="FU21" s="174"/>
      <c r="FV21" s="174"/>
      <c r="FW21" s="174"/>
      <c r="FX21" s="174"/>
      <c r="FY21" s="174"/>
      <c r="FZ21" s="174"/>
      <c r="GA21" s="174"/>
      <c r="GB21" s="174"/>
      <c r="GC21" s="174"/>
      <c r="GD21" s="174"/>
      <c r="GE21" s="174"/>
      <c r="GF21" s="174"/>
      <c r="GG21" s="174"/>
      <c r="GH21" s="174"/>
      <c r="GI21" s="174"/>
      <c r="GJ21" s="174"/>
      <c r="GK21" s="174"/>
      <c r="GL21" s="174"/>
      <c r="GM21" s="174"/>
      <c r="GN21" s="174"/>
      <c r="GO21" s="174"/>
      <c r="GP21" s="174"/>
      <c r="GQ21" s="174"/>
      <c r="GR21" s="174"/>
      <c r="GS21" s="174"/>
      <c r="GT21" s="174"/>
      <c r="GU21" s="174"/>
      <c r="GV21" s="174"/>
      <c r="GW21" s="174"/>
      <c r="GX21" s="174"/>
      <c r="GY21" s="174"/>
      <c r="GZ21" s="174"/>
      <c r="HA21" s="174"/>
      <c r="HB21" s="174"/>
      <c r="HC21" s="174"/>
      <c r="HD21" s="174"/>
      <c r="HE21" s="174"/>
      <c r="HF21" s="174"/>
      <c r="HG21" s="174"/>
      <c r="HH21" s="174"/>
      <c r="HI21" s="174"/>
      <c r="HJ21" s="174"/>
      <c r="HK21" s="174"/>
      <c r="HL21" s="174"/>
      <c r="HM21" s="174"/>
      <c r="HN21" s="174"/>
      <c r="HO21" s="174"/>
      <c r="HP21" s="174"/>
      <c r="HQ21" s="174"/>
      <c r="HR21" s="174"/>
      <c r="HS21" s="176"/>
      <c r="HT21" s="176"/>
      <c r="HU21" s="176"/>
      <c r="HV21" s="176"/>
      <c r="HW21" s="176"/>
      <c r="HX21" s="176"/>
      <c r="HY21" s="176"/>
      <c r="HZ21" s="176"/>
      <c r="IA21" s="176"/>
      <c r="IB21" s="176"/>
      <c r="IC21" s="176"/>
      <c r="ID21" s="176"/>
      <c r="IE21" s="176"/>
      <c r="IF21" s="176"/>
      <c r="IG21" s="176"/>
      <c r="IH21" s="176"/>
      <c r="II21" s="176"/>
      <c r="IJ21" s="176"/>
    </row>
    <row r="22" spans="1:244" ht="16.5" hidden="1">
      <c r="A22" s="846" t="s">
        <v>1060</v>
      </c>
      <c r="B22" s="846" t="s">
        <v>1382</v>
      </c>
      <c r="C22" s="846" t="s">
        <v>1171</v>
      </c>
      <c r="D22" s="847">
        <v>6</v>
      </c>
      <c r="E22" s="846" t="s">
        <v>1171</v>
      </c>
      <c r="F22" s="846" t="s">
        <v>96</v>
      </c>
      <c r="G22" s="851"/>
      <c r="H22" s="847">
        <v>19</v>
      </c>
      <c r="I22" s="780" t="str">
        <f t="shared" si="0"/>
        <v>IWT060119</v>
      </c>
      <c r="J22" s="847">
        <v>4852</v>
      </c>
      <c r="L22" s="846" t="s">
        <v>1060</v>
      </c>
      <c r="M22" s="846" t="s">
        <v>1382</v>
      </c>
      <c r="N22" s="846" t="s">
        <v>96</v>
      </c>
      <c r="O22" s="847">
        <v>19</v>
      </c>
      <c r="P22" s="780" t="str">
        <f t="shared" si="1"/>
        <v>IWT060119</v>
      </c>
      <c r="Q22" s="847">
        <v>1110</v>
      </c>
      <c r="R22" s="847">
        <v>2952</v>
      </c>
      <c r="S22" s="847">
        <v>4758</v>
      </c>
      <c r="T22" s="847">
        <v>6528</v>
      </c>
      <c r="U22" s="847">
        <v>8263</v>
      </c>
      <c r="V22" s="847">
        <v>0</v>
      </c>
      <c r="W22" s="847">
        <v>0</v>
      </c>
      <c r="X22" s="847">
        <v>0</v>
      </c>
      <c r="Y22" s="847">
        <v>0</v>
      </c>
      <c r="Z22" s="847">
        <v>0</v>
      </c>
      <c r="AA22" s="847">
        <v>0</v>
      </c>
      <c r="AB22" s="847">
        <v>0</v>
      </c>
      <c r="AC22" s="847">
        <v>0</v>
      </c>
      <c r="AD22" s="847">
        <v>0</v>
      </c>
      <c r="AE22" s="847">
        <v>0</v>
      </c>
      <c r="AF22" s="847">
        <v>0</v>
      </c>
      <c r="AG22" s="847">
        <v>0</v>
      </c>
      <c r="AH22" s="847">
        <v>0</v>
      </c>
      <c r="AI22" s="847">
        <v>0</v>
      </c>
      <c r="AJ22" s="847">
        <v>0</v>
      </c>
      <c r="AK22" s="847">
        <v>0</v>
      </c>
      <c r="AL22" s="847">
        <v>0</v>
      </c>
      <c r="AM22" s="847">
        <v>0</v>
      </c>
      <c r="AN22" s="847">
        <v>0</v>
      </c>
      <c r="AO22" s="847">
        <v>0</v>
      </c>
      <c r="AP22" s="847">
        <v>0</v>
      </c>
      <c r="AQ22" s="847">
        <v>0</v>
      </c>
      <c r="AR22" s="847">
        <v>0</v>
      </c>
      <c r="AS22" s="847">
        <v>0</v>
      </c>
      <c r="AT22" s="847">
        <v>0</v>
      </c>
      <c r="AU22" s="847">
        <v>0</v>
      </c>
      <c r="AV22" s="847">
        <v>0</v>
      </c>
      <c r="AW22" s="847">
        <v>0</v>
      </c>
      <c r="AX22" s="847">
        <v>0</v>
      </c>
      <c r="AY22" s="847">
        <v>0</v>
      </c>
      <c r="AZ22" s="847">
        <v>0</v>
      </c>
      <c r="BA22" s="847">
        <v>0</v>
      </c>
      <c r="BB22" s="847">
        <v>0</v>
      </c>
      <c r="BC22" s="847">
        <v>0</v>
      </c>
      <c r="BD22" s="847">
        <v>0</v>
      </c>
      <c r="BE22" s="847">
        <v>0</v>
      </c>
      <c r="BF22" s="847">
        <v>0</v>
      </c>
      <c r="BG22" s="847">
        <v>0</v>
      </c>
      <c r="BH22" s="847">
        <v>0</v>
      </c>
      <c r="BI22" s="847">
        <v>0</v>
      </c>
      <c r="BJ22" s="847">
        <v>0</v>
      </c>
      <c r="BK22" s="847">
        <v>0</v>
      </c>
      <c r="BL22" s="847">
        <v>0</v>
      </c>
      <c r="BM22" s="847">
        <v>0</v>
      </c>
      <c r="BN22" s="847">
        <v>0</v>
      </c>
      <c r="BO22" s="847">
        <v>0</v>
      </c>
      <c r="BP22" s="847">
        <v>0</v>
      </c>
      <c r="BQ22" s="847">
        <v>0</v>
      </c>
      <c r="BR22" s="847">
        <v>0</v>
      </c>
      <c r="BS22" s="847">
        <v>0</v>
      </c>
      <c r="BT22" s="847">
        <v>0</v>
      </c>
      <c r="BU22" s="847">
        <v>0</v>
      </c>
      <c r="BV22" s="847">
        <v>0</v>
      </c>
      <c r="BW22" s="847">
        <v>0</v>
      </c>
      <c r="BX22" s="847">
        <v>0</v>
      </c>
      <c r="BY22" s="847">
        <v>0</v>
      </c>
      <c r="BZ22" s="847">
        <v>0</v>
      </c>
      <c r="CA22" s="847">
        <v>0</v>
      </c>
      <c r="CB22" s="847">
        <v>0</v>
      </c>
      <c r="CC22" s="847">
        <v>0</v>
      </c>
      <c r="CD22" s="847">
        <v>0</v>
      </c>
      <c r="CE22" s="847">
        <v>0</v>
      </c>
      <c r="CF22" s="847">
        <v>0</v>
      </c>
      <c r="CG22" s="847">
        <v>0</v>
      </c>
      <c r="CH22" s="847">
        <v>0</v>
      </c>
      <c r="CI22" s="847">
        <v>0</v>
      </c>
      <c r="CJ22" s="847">
        <v>0</v>
      </c>
      <c r="CK22" s="847">
        <v>0</v>
      </c>
      <c r="CL22" s="847">
        <v>0</v>
      </c>
      <c r="CM22" s="847">
        <v>0</v>
      </c>
      <c r="CN22" s="847">
        <v>0</v>
      </c>
      <c r="CO22" s="847">
        <v>0</v>
      </c>
      <c r="CP22" s="847">
        <v>0</v>
      </c>
      <c r="CQ22" s="847">
        <v>0</v>
      </c>
      <c r="CR22" s="847">
        <v>0</v>
      </c>
      <c r="CS22" s="847">
        <v>0</v>
      </c>
      <c r="CT22" s="847">
        <v>0</v>
      </c>
      <c r="CU22" s="847">
        <v>0</v>
      </c>
      <c r="CV22" s="847">
        <v>0</v>
      </c>
      <c r="CW22" s="847">
        <v>0</v>
      </c>
      <c r="CX22" s="847">
        <v>0</v>
      </c>
      <c r="CY22" s="847">
        <v>0</v>
      </c>
      <c r="CZ22" s="847">
        <v>0</v>
      </c>
      <c r="DA22" s="847">
        <v>0</v>
      </c>
      <c r="DB22" s="847">
        <v>0</v>
      </c>
      <c r="DC22" s="847">
        <v>0</v>
      </c>
      <c r="DD22" s="847">
        <v>0</v>
      </c>
      <c r="DE22" s="847">
        <v>0</v>
      </c>
      <c r="DF22" s="847">
        <v>0</v>
      </c>
      <c r="DG22" s="847">
        <v>0</v>
      </c>
      <c r="DH22" s="847">
        <v>0</v>
      </c>
      <c r="DI22" s="847">
        <v>0</v>
      </c>
      <c r="DJ22" s="847">
        <v>0</v>
      </c>
      <c r="DK22" s="847">
        <v>0</v>
      </c>
      <c r="DL22" s="847">
        <v>0</v>
      </c>
      <c r="DM22" s="847">
        <v>0</v>
      </c>
      <c r="DN22" s="847">
        <v>0</v>
      </c>
      <c r="DO22" s="847">
        <v>0</v>
      </c>
      <c r="DP22" s="847">
        <v>0</v>
      </c>
      <c r="DQ22" s="847">
        <v>0</v>
      </c>
      <c r="DR22" s="847">
        <v>0</v>
      </c>
      <c r="DS22" s="847">
        <v>0</v>
      </c>
      <c r="DT22" s="847">
        <v>0</v>
      </c>
      <c r="DU22" s="847">
        <v>0</v>
      </c>
      <c r="DV22" s="847">
        <v>0</v>
      </c>
      <c r="DW22" s="847">
        <v>0</v>
      </c>
      <c r="DY22" s="173"/>
      <c r="DZ22" s="173"/>
      <c r="EA22" s="173"/>
      <c r="EB22" s="174"/>
      <c r="EC22" s="175"/>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c r="FA22" s="174"/>
      <c r="FB22" s="174"/>
      <c r="FC22" s="174"/>
      <c r="FD22" s="174"/>
      <c r="FE22" s="174"/>
      <c r="FF22" s="174"/>
      <c r="FG22" s="174"/>
      <c r="FH22" s="174"/>
      <c r="FI22" s="174"/>
      <c r="FJ22" s="174"/>
      <c r="FK22" s="174"/>
      <c r="FL22" s="174"/>
      <c r="FM22" s="174"/>
      <c r="FN22" s="174"/>
      <c r="FO22" s="174"/>
      <c r="FP22" s="174"/>
      <c r="FQ22" s="174"/>
      <c r="FR22" s="174"/>
      <c r="FS22" s="174"/>
      <c r="FT22" s="174"/>
      <c r="FU22" s="174"/>
      <c r="FV22" s="174"/>
      <c r="FW22" s="174"/>
      <c r="FX22" s="174"/>
      <c r="FY22" s="174"/>
      <c r="FZ22" s="174"/>
      <c r="GA22" s="174"/>
      <c r="GB22" s="174"/>
      <c r="GC22" s="174"/>
      <c r="GD22" s="174"/>
      <c r="GE22" s="174"/>
      <c r="GF22" s="174"/>
      <c r="GG22" s="174"/>
      <c r="GH22" s="174"/>
      <c r="GI22" s="174"/>
      <c r="GJ22" s="174"/>
      <c r="GK22" s="174"/>
      <c r="GL22" s="174"/>
      <c r="GM22" s="174"/>
      <c r="GN22" s="174"/>
      <c r="GO22" s="174"/>
      <c r="GP22" s="174"/>
      <c r="GQ22" s="174"/>
      <c r="GR22" s="174"/>
      <c r="GS22" s="174"/>
      <c r="GT22" s="174"/>
      <c r="GU22" s="174"/>
      <c r="GV22" s="174"/>
      <c r="GW22" s="174"/>
      <c r="GX22" s="174"/>
      <c r="GY22" s="174"/>
      <c r="GZ22" s="174"/>
      <c r="HA22" s="174"/>
      <c r="HB22" s="174"/>
      <c r="HC22" s="174"/>
      <c r="HD22" s="174"/>
      <c r="HE22" s="174"/>
      <c r="HF22" s="174"/>
      <c r="HG22" s="174"/>
      <c r="HH22" s="174"/>
      <c r="HI22" s="174"/>
      <c r="HJ22" s="174"/>
      <c r="HK22" s="174"/>
      <c r="HL22" s="174"/>
      <c r="HM22" s="174"/>
      <c r="HN22" s="174"/>
      <c r="HO22" s="174"/>
      <c r="HP22" s="174"/>
      <c r="HQ22" s="174"/>
      <c r="HR22" s="176"/>
      <c r="HS22" s="176"/>
      <c r="HT22" s="176"/>
      <c r="HU22" s="176"/>
      <c r="HV22" s="176"/>
      <c r="HW22" s="176"/>
      <c r="HX22" s="176"/>
      <c r="HY22" s="176"/>
      <c r="HZ22" s="176"/>
      <c r="IA22" s="176"/>
      <c r="IB22" s="176"/>
      <c r="IC22" s="176"/>
      <c r="ID22" s="176"/>
      <c r="IE22" s="176"/>
      <c r="IF22" s="176"/>
      <c r="IG22" s="176"/>
      <c r="IH22" s="176"/>
      <c r="II22" s="176"/>
      <c r="IJ22" s="176"/>
    </row>
    <row r="23" spans="1:244" ht="16.5" hidden="1">
      <c r="A23" s="846" t="s">
        <v>1060</v>
      </c>
      <c r="B23" s="846" t="s">
        <v>1382</v>
      </c>
      <c r="C23" s="846" t="s">
        <v>1171</v>
      </c>
      <c r="D23" s="847">
        <v>6</v>
      </c>
      <c r="E23" s="846" t="s">
        <v>1171</v>
      </c>
      <c r="F23" s="846" t="s">
        <v>96</v>
      </c>
      <c r="G23" s="851"/>
      <c r="H23" s="847">
        <v>20</v>
      </c>
      <c r="I23" s="780" t="str">
        <f t="shared" si="0"/>
        <v>IWT060120</v>
      </c>
      <c r="J23" s="847">
        <v>4868</v>
      </c>
      <c r="L23" s="846" t="s">
        <v>1060</v>
      </c>
      <c r="M23" s="846" t="s">
        <v>1382</v>
      </c>
      <c r="N23" s="846" t="s">
        <v>96</v>
      </c>
      <c r="O23" s="847">
        <v>20</v>
      </c>
      <c r="P23" s="780" t="str">
        <f t="shared" si="1"/>
        <v>IWT060120</v>
      </c>
      <c r="Q23" s="847">
        <v>1110</v>
      </c>
      <c r="R23" s="847">
        <v>2952</v>
      </c>
      <c r="S23" s="847">
        <v>4758</v>
      </c>
      <c r="T23" s="847">
        <v>6528</v>
      </c>
      <c r="U23" s="847">
        <v>8263</v>
      </c>
      <c r="V23" s="847">
        <v>0</v>
      </c>
      <c r="W23" s="847">
        <v>0</v>
      </c>
      <c r="X23" s="847">
        <v>0</v>
      </c>
      <c r="Y23" s="847">
        <v>0</v>
      </c>
      <c r="Z23" s="847">
        <v>0</v>
      </c>
      <c r="AA23" s="847">
        <v>0</v>
      </c>
      <c r="AB23" s="847">
        <v>0</v>
      </c>
      <c r="AC23" s="847">
        <v>0</v>
      </c>
      <c r="AD23" s="847">
        <v>0</v>
      </c>
      <c r="AE23" s="847">
        <v>0</v>
      </c>
      <c r="AF23" s="847">
        <v>0</v>
      </c>
      <c r="AG23" s="847">
        <v>0</v>
      </c>
      <c r="AH23" s="847">
        <v>0</v>
      </c>
      <c r="AI23" s="847">
        <v>0</v>
      </c>
      <c r="AJ23" s="847">
        <v>0</v>
      </c>
      <c r="AK23" s="847">
        <v>0</v>
      </c>
      <c r="AL23" s="847">
        <v>0</v>
      </c>
      <c r="AM23" s="847">
        <v>0</v>
      </c>
      <c r="AN23" s="847">
        <v>0</v>
      </c>
      <c r="AO23" s="847">
        <v>0</v>
      </c>
      <c r="AP23" s="847">
        <v>0</v>
      </c>
      <c r="AQ23" s="847">
        <v>0</v>
      </c>
      <c r="AR23" s="847">
        <v>0</v>
      </c>
      <c r="AS23" s="847">
        <v>0</v>
      </c>
      <c r="AT23" s="847">
        <v>0</v>
      </c>
      <c r="AU23" s="847">
        <v>0</v>
      </c>
      <c r="AV23" s="847">
        <v>0</v>
      </c>
      <c r="AW23" s="847">
        <v>0</v>
      </c>
      <c r="AX23" s="847">
        <v>0</v>
      </c>
      <c r="AY23" s="847">
        <v>0</v>
      </c>
      <c r="AZ23" s="847">
        <v>0</v>
      </c>
      <c r="BA23" s="847">
        <v>0</v>
      </c>
      <c r="BB23" s="847">
        <v>0</v>
      </c>
      <c r="BC23" s="847">
        <v>0</v>
      </c>
      <c r="BD23" s="847">
        <v>0</v>
      </c>
      <c r="BE23" s="847">
        <v>0</v>
      </c>
      <c r="BF23" s="847">
        <v>0</v>
      </c>
      <c r="BG23" s="847">
        <v>0</v>
      </c>
      <c r="BH23" s="847">
        <v>0</v>
      </c>
      <c r="BI23" s="847">
        <v>0</v>
      </c>
      <c r="BJ23" s="847">
        <v>0</v>
      </c>
      <c r="BK23" s="847">
        <v>0</v>
      </c>
      <c r="BL23" s="847">
        <v>0</v>
      </c>
      <c r="BM23" s="847">
        <v>0</v>
      </c>
      <c r="BN23" s="847">
        <v>0</v>
      </c>
      <c r="BO23" s="847">
        <v>0</v>
      </c>
      <c r="BP23" s="847">
        <v>0</v>
      </c>
      <c r="BQ23" s="847">
        <v>0</v>
      </c>
      <c r="BR23" s="847">
        <v>0</v>
      </c>
      <c r="BS23" s="847">
        <v>0</v>
      </c>
      <c r="BT23" s="847">
        <v>0</v>
      </c>
      <c r="BU23" s="847">
        <v>0</v>
      </c>
      <c r="BV23" s="847">
        <v>0</v>
      </c>
      <c r="BW23" s="847">
        <v>0</v>
      </c>
      <c r="BX23" s="847">
        <v>0</v>
      </c>
      <c r="BY23" s="847">
        <v>0</v>
      </c>
      <c r="BZ23" s="847">
        <v>0</v>
      </c>
      <c r="CA23" s="847">
        <v>0</v>
      </c>
      <c r="CB23" s="847">
        <v>0</v>
      </c>
      <c r="CC23" s="847">
        <v>0</v>
      </c>
      <c r="CD23" s="847">
        <v>0</v>
      </c>
      <c r="CE23" s="847">
        <v>0</v>
      </c>
      <c r="CF23" s="847">
        <v>0</v>
      </c>
      <c r="CG23" s="847">
        <v>0</v>
      </c>
      <c r="CH23" s="847">
        <v>0</v>
      </c>
      <c r="CI23" s="847">
        <v>0</v>
      </c>
      <c r="CJ23" s="847">
        <v>0</v>
      </c>
      <c r="CK23" s="847">
        <v>0</v>
      </c>
      <c r="CL23" s="847">
        <v>0</v>
      </c>
      <c r="CM23" s="847">
        <v>0</v>
      </c>
      <c r="CN23" s="847">
        <v>0</v>
      </c>
      <c r="CO23" s="847">
        <v>0</v>
      </c>
      <c r="CP23" s="847">
        <v>0</v>
      </c>
      <c r="CQ23" s="847">
        <v>0</v>
      </c>
      <c r="CR23" s="847">
        <v>0</v>
      </c>
      <c r="CS23" s="847">
        <v>0</v>
      </c>
      <c r="CT23" s="847">
        <v>0</v>
      </c>
      <c r="CU23" s="847">
        <v>0</v>
      </c>
      <c r="CV23" s="847">
        <v>0</v>
      </c>
      <c r="CW23" s="847">
        <v>0</v>
      </c>
      <c r="CX23" s="847">
        <v>0</v>
      </c>
      <c r="CY23" s="847">
        <v>0</v>
      </c>
      <c r="CZ23" s="847">
        <v>0</v>
      </c>
      <c r="DA23" s="847">
        <v>0</v>
      </c>
      <c r="DB23" s="847">
        <v>0</v>
      </c>
      <c r="DC23" s="847">
        <v>0</v>
      </c>
      <c r="DD23" s="847">
        <v>0</v>
      </c>
      <c r="DE23" s="847">
        <v>0</v>
      </c>
      <c r="DF23" s="847">
        <v>0</v>
      </c>
      <c r="DG23" s="847">
        <v>0</v>
      </c>
      <c r="DH23" s="847">
        <v>0</v>
      </c>
      <c r="DI23" s="847">
        <v>0</v>
      </c>
      <c r="DJ23" s="847">
        <v>0</v>
      </c>
      <c r="DK23" s="847">
        <v>0</v>
      </c>
      <c r="DL23" s="847">
        <v>0</v>
      </c>
      <c r="DM23" s="847">
        <v>0</v>
      </c>
      <c r="DN23" s="847">
        <v>0</v>
      </c>
      <c r="DO23" s="847">
        <v>0</v>
      </c>
      <c r="DP23" s="847">
        <v>0</v>
      </c>
      <c r="DQ23" s="847">
        <v>0</v>
      </c>
      <c r="DR23" s="847">
        <v>0</v>
      </c>
      <c r="DS23" s="847">
        <v>0</v>
      </c>
      <c r="DT23" s="847">
        <v>0</v>
      </c>
      <c r="DU23" s="847">
        <v>0</v>
      </c>
      <c r="DV23" s="847">
        <v>0</v>
      </c>
      <c r="DW23" s="847">
        <v>0</v>
      </c>
      <c r="DY23" s="173"/>
      <c r="DZ23" s="173"/>
      <c r="EA23" s="173"/>
      <c r="EB23" s="174"/>
      <c r="EC23" s="175"/>
      <c r="ED23" s="174"/>
      <c r="EE23" s="174"/>
      <c r="EF23" s="174"/>
      <c r="EG23" s="174"/>
      <c r="EH23" s="174"/>
      <c r="EI23" s="174"/>
      <c r="EJ23" s="174"/>
      <c r="EK23" s="174"/>
      <c r="EL23" s="174"/>
      <c r="EM23" s="174"/>
      <c r="EN23" s="174"/>
      <c r="EO23" s="174"/>
      <c r="EP23" s="174"/>
      <c r="EQ23" s="174"/>
      <c r="ER23" s="174"/>
      <c r="ES23" s="174"/>
      <c r="ET23" s="174"/>
      <c r="EU23" s="174"/>
      <c r="EV23" s="174"/>
      <c r="EW23" s="174"/>
      <c r="EX23" s="174"/>
      <c r="EY23" s="174"/>
      <c r="EZ23" s="174"/>
      <c r="FA23" s="174"/>
      <c r="FB23" s="174"/>
      <c r="FC23" s="174"/>
      <c r="FD23" s="174"/>
      <c r="FE23" s="174"/>
      <c r="FF23" s="174"/>
      <c r="FG23" s="174"/>
      <c r="FH23" s="174"/>
      <c r="FI23" s="174"/>
      <c r="FJ23" s="174"/>
      <c r="FK23" s="174"/>
      <c r="FL23" s="174"/>
      <c r="FM23" s="174"/>
      <c r="FN23" s="174"/>
      <c r="FO23" s="174"/>
      <c r="FP23" s="174"/>
      <c r="FQ23" s="174"/>
      <c r="FR23" s="174"/>
      <c r="FS23" s="174"/>
      <c r="FT23" s="174"/>
      <c r="FU23" s="174"/>
      <c r="FV23" s="174"/>
      <c r="FW23" s="174"/>
      <c r="FX23" s="174"/>
      <c r="FY23" s="174"/>
      <c r="FZ23" s="174"/>
      <c r="GA23" s="174"/>
      <c r="GB23" s="174"/>
      <c r="GC23" s="174"/>
      <c r="GD23" s="174"/>
      <c r="GE23" s="174"/>
      <c r="GF23" s="174"/>
      <c r="GG23" s="174"/>
      <c r="GH23" s="174"/>
      <c r="GI23" s="174"/>
      <c r="GJ23" s="174"/>
      <c r="GK23" s="174"/>
      <c r="GL23" s="174"/>
      <c r="GM23" s="174"/>
      <c r="GN23" s="174"/>
      <c r="GO23" s="174"/>
      <c r="GP23" s="174"/>
      <c r="GQ23" s="174"/>
      <c r="GR23" s="174"/>
      <c r="GS23" s="174"/>
      <c r="GT23" s="174"/>
      <c r="GU23" s="174"/>
      <c r="GV23" s="174"/>
      <c r="GW23" s="174"/>
      <c r="GX23" s="174"/>
      <c r="GY23" s="174"/>
      <c r="GZ23" s="174"/>
      <c r="HA23" s="174"/>
      <c r="HB23" s="174"/>
      <c r="HC23" s="174"/>
      <c r="HD23" s="174"/>
      <c r="HE23" s="174"/>
      <c r="HF23" s="174"/>
      <c r="HG23" s="174"/>
      <c r="HH23" s="174"/>
      <c r="HI23" s="174"/>
      <c r="HJ23" s="174"/>
      <c r="HK23" s="174"/>
      <c r="HL23" s="174"/>
      <c r="HM23" s="174"/>
      <c r="HN23" s="174"/>
      <c r="HO23" s="174"/>
      <c r="HP23" s="174"/>
      <c r="HQ23" s="176"/>
      <c r="HR23" s="176"/>
      <c r="HS23" s="176"/>
      <c r="HT23" s="176"/>
      <c r="HU23" s="176"/>
      <c r="HV23" s="176"/>
      <c r="HW23" s="176"/>
      <c r="HX23" s="176"/>
      <c r="HY23" s="176"/>
      <c r="HZ23" s="176"/>
      <c r="IA23" s="176"/>
      <c r="IB23" s="176"/>
      <c r="IC23" s="176"/>
      <c r="ID23" s="176"/>
      <c r="IE23" s="176"/>
      <c r="IF23" s="176"/>
      <c r="IG23" s="176"/>
      <c r="IH23" s="176"/>
      <c r="II23" s="176"/>
      <c r="IJ23" s="176"/>
    </row>
    <row r="24" spans="1:244" ht="16.5" hidden="1">
      <c r="A24" s="846" t="s">
        <v>1060</v>
      </c>
      <c r="B24" s="846" t="s">
        <v>1382</v>
      </c>
      <c r="C24" s="846" t="s">
        <v>1171</v>
      </c>
      <c r="D24" s="847">
        <v>6</v>
      </c>
      <c r="E24" s="846" t="s">
        <v>1171</v>
      </c>
      <c r="F24" s="846" t="s">
        <v>96</v>
      </c>
      <c r="G24" s="851"/>
      <c r="H24" s="847">
        <v>21</v>
      </c>
      <c r="I24" s="780" t="str">
        <f t="shared" si="0"/>
        <v>IWT060121</v>
      </c>
      <c r="J24" s="847">
        <v>4883</v>
      </c>
      <c r="L24" s="846" t="s">
        <v>1060</v>
      </c>
      <c r="M24" s="846" t="s">
        <v>1382</v>
      </c>
      <c r="N24" s="846" t="s">
        <v>96</v>
      </c>
      <c r="O24" s="847">
        <v>21</v>
      </c>
      <c r="P24" s="780" t="str">
        <f t="shared" si="1"/>
        <v>IWT060121</v>
      </c>
      <c r="Q24" s="847">
        <v>1110</v>
      </c>
      <c r="R24" s="847">
        <v>2952</v>
      </c>
      <c r="S24" s="847">
        <v>4758</v>
      </c>
      <c r="T24" s="847">
        <v>6528</v>
      </c>
      <c r="U24" s="847">
        <v>8264</v>
      </c>
      <c r="V24" s="847">
        <v>0</v>
      </c>
      <c r="W24" s="847">
        <v>0</v>
      </c>
      <c r="X24" s="847">
        <v>0</v>
      </c>
      <c r="Y24" s="847">
        <v>0</v>
      </c>
      <c r="Z24" s="847">
        <v>0</v>
      </c>
      <c r="AA24" s="847">
        <v>0</v>
      </c>
      <c r="AB24" s="847">
        <v>0</v>
      </c>
      <c r="AC24" s="847">
        <v>0</v>
      </c>
      <c r="AD24" s="847">
        <v>0</v>
      </c>
      <c r="AE24" s="847">
        <v>0</v>
      </c>
      <c r="AF24" s="847">
        <v>0</v>
      </c>
      <c r="AG24" s="847">
        <v>0</v>
      </c>
      <c r="AH24" s="847">
        <v>0</v>
      </c>
      <c r="AI24" s="847">
        <v>0</v>
      </c>
      <c r="AJ24" s="847">
        <v>0</v>
      </c>
      <c r="AK24" s="847">
        <v>0</v>
      </c>
      <c r="AL24" s="847">
        <v>0</v>
      </c>
      <c r="AM24" s="847">
        <v>0</v>
      </c>
      <c r="AN24" s="847">
        <v>0</v>
      </c>
      <c r="AO24" s="847">
        <v>0</v>
      </c>
      <c r="AP24" s="847">
        <v>0</v>
      </c>
      <c r="AQ24" s="847">
        <v>0</v>
      </c>
      <c r="AR24" s="847">
        <v>0</v>
      </c>
      <c r="AS24" s="847">
        <v>0</v>
      </c>
      <c r="AT24" s="847">
        <v>0</v>
      </c>
      <c r="AU24" s="847">
        <v>0</v>
      </c>
      <c r="AV24" s="847">
        <v>0</v>
      </c>
      <c r="AW24" s="847">
        <v>0</v>
      </c>
      <c r="AX24" s="847">
        <v>0</v>
      </c>
      <c r="AY24" s="847">
        <v>0</v>
      </c>
      <c r="AZ24" s="847">
        <v>0</v>
      </c>
      <c r="BA24" s="847">
        <v>0</v>
      </c>
      <c r="BB24" s="847">
        <v>0</v>
      </c>
      <c r="BC24" s="847">
        <v>0</v>
      </c>
      <c r="BD24" s="847">
        <v>0</v>
      </c>
      <c r="BE24" s="847">
        <v>0</v>
      </c>
      <c r="BF24" s="847">
        <v>0</v>
      </c>
      <c r="BG24" s="847">
        <v>0</v>
      </c>
      <c r="BH24" s="847">
        <v>0</v>
      </c>
      <c r="BI24" s="847">
        <v>0</v>
      </c>
      <c r="BJ24" s="847">
        <v>0</v>
      </c>
      <c r="BK24" s="847">
        <v>0</v>
      </c>
      <c r="BL24" s="847">
        <v>0</v>
      </c>
      <c r="BM24" s="847">
        <v>0</v>
      </c>
      <c r="BN24" s="847">
        <v>0</v>
      </c>
      <c r="BO24" s="847">
        <v>0</v>
      </c>
      <c r="BP24" s="847">
        <v>0</v>
      </c>
      <c r="BQ24" s="847">
        <v>0</v>
      </c>
      <c r="BR24" s="847">
        <v>0</v>
      </c>
      <c r="BS24" s="847">
        <v>0</v>
      </c>
      <c r="BT24" s="847">
        <v>0</v>
      </c>
      <c r="BU24" s="847">
        <v>0</v>
      </c>
      <c r="BV24" s="847">
        <v>0</v>
      </c>
      <c r="BW24" s="847">
        <v>0</v>
      </c>
      <c r="BX24" s="847">
        <v>0</v>
      </c>
      <c r="BY24" s="847">
        <v>0</v>
      </c>
      <c r="BZ24" s="847">
        <v>0</v>
      </c>
      <c r="CA24" s="847">
        <v>0</v>
      </c>
      <c r="CB24" s="847">
        <v>0</v>
      </c>
      <c r="CC24" s="847">
        <v>0</v>
      </c>
      <c r="CD24" s="847">
        <v>0</v>
      </c>
      <c r="CE24" s="847">
        <v>0</v>
      </c>
      <c r="CF24" s="847">
        <v>0</v>
      </c>
      <c r="CG24" s="847">
        <v>0</v>
      </c>
      <c r="CH24" s="847">
        <v>0</v>
      </c>
      <c r="CI24" s="847">
        <v>0</v>
      </c>
      <c r="CJ24" s="847">
        <v>0</v>
      </c>
      <c r="CK24" s="847">
        <v>0</v>
      </c>
      <c r="CL24" s="847">
        <v>0</v>
      </c>
      <c r="CM24" s="847">
        <v>0</v>
      </c>
      <c r="CN24" s="847">
        <v>0</v>
      </c>
      <c r="CO24" s="847">
        <v>0</v>
      </c>
      <c r="CP24" s="847">
        <v>0</v>
      </c>
      <c r="CQ24" s="847">
        <v>0</v>
      </c>
      <c r="CR24" s="847">
        <v>0</v>
      </c>
      <c r="CS24" s="847">
        <v>0</v>
      </c>
      <c r="CT24" s="847">
        <v>0</v>
      </c>
      <c r="CU24" s="847">
        <v>0</v>
      </c>
      <c r="CV24" s="847">
        <v>0</v>
      </c>
      <c r="CW24" s="847">
        <v>0</v>
      </c>
      <c r="CX24" s="847">
        <v>0</v>
      </c>
      <c r="CY24" s="847">
        <v>0</v>
      </c>
      <c r="CZ24" s="847">
        <v>0</v>
      </c>
      <c r="DA24" s="847">
        <v>0</v>
      </c>
      <c r="DB24" s="847">
        <v>0</v>
      </c>
      <c r="DC24" s="847">
        <v>0</v>
      </c>
      <c r="DD24" s="847">
        <v>0</v>
      </c>
      <c r="DE24" s="847">
        <v>0</v>
      </c>
      <c r="DF24" s="847">
        <v>0</v>
      </c>
      <c r="DG24" s="847">
        <v>0</v>
      </c>
      <c r="DH24" s="847">
        <v>0</v>
      </c>
      <c r="DI24" s="847">
        <v>0</v>
      </c>
      <c r="DJ24" s="847">
        <v>0</v>
      </c>
      <c r="DK24" s="847">
        <v>0</v>
      </c>
      <c r="DL24" s="847">
        <v>0</v>
      </c>
      <c r="DM24" s="847">
        <v>0</v>
      </c>
      <c r="DN24" s="847">
        <v>0</v>
      </c>
      <c r="DO24" s="847">
        <v>0</v>
      </c>
      <c r="DP24" s="847">
        <v>0</v>
      </c>
      <c r="DQ24" s="847">
        <v>0</v>
      </c>
      <c r="DR24" s="847">
        <v>0</v>
      </c>
      <c r="DS24" s="847">
        <v>0</v>
      </c>
      <c r="DT24" s="847">
        <v>0</v>
      </c>
      <c r="DU24" s="847">
        <v>0</v>
      </c>
      <c r="DV24" s="847">
        <v>0</v>
      </c>
      <c r="DW24" s="847">
        <v>0</v>
      </c>
      <c r="DY24" s="173"/>
      <c r="DZ24" s="173"/>
      <c r="EA24" s="173"/>
      <c r="EB24" s="174"/>
      <c r="EC24" s="175"/>
      <c r="ED24" s="174"/>
      <c r="EE24" s="174"/>
      <c r="EF24" s="174"/>
      <c r="EG24" s="174"/>
      <c r="EH24" s="174"/>
      <c r="EI24" s="174"/>
      <c r="EJ24" s="174"/>
      <c r="EK24" s="174"/>
      <c r="EL24" s="174"/>
      <c r="EM24" s="174"/>
      <c r="EN24" s="174"/>
      <c r="EO24" s="174"/>
      <c r="EP24" s="174"/>
      <c r="EQ24" s="174"/>
      <c r="ER24" s="174"/>
      <c r="ES24" s="174"/>
      <c r="ET24" s="174"/>
      <c r="EU24" s="174"/>
      <c r="EV24" s="174"/>
      <c r="EW24" s="174"/>
      <c r="EX24" s="174"/>
      <c r="EY24" s="174"/>
      <c r="EZ24" s="174"/>
      <c r="FA24" s="174"/>
      <c r="FB24" s="174"/>
      <c r="FC24" s="174"/>
      <c r="FD24" s="174"/>
      <c r="FE24" s="174"/>
      <c r="FF24" s="174"/>
      <c r="FG24" s="174"/>
      <c r="FH24" s="174"/>
      <c r="FI24" s="174"/>
      <c r="FJ24" s="174"/>
      <c r="FK24" s="174"/>
      <c r="FL24" s="174"/>
      <c r="FM24" s="174"/>
      <c r="FN24" s="174"/>
      <c r="FO24" s="174"/>
      <c r="FP24" s="174"/>
      <c r="FQ24" s="174"/>
      <c r="FR24" s="174"/>
      <c r="FS24" s="174"/>
      <c r="FT24" s="174"/>
      <c r="FU24" s="174"/>
      <c r="FV24" s="174"/>
      <c r="FW24" s="174"/>
      <c r="FX24" s="174"/>
      <c r="FY24" s="174"/>
      <c r="FZ24" s="174"/>
      <c r="GA24" s="174"/>
      <c r="GB24" s="174"/>
      <c r="GC24" s="174"/>
      <c r="GD24" s="174"/>
      <c r="GE24" s="174"/>
      <c r="GF24" s="174"/>
      <c r="GG24" s="174"/>
      <c r="GH24" s="174"/>
      <c r="GI24" s="174"/>
      <c r="GJ24" s="174"/>
      <c r="GK24" s="174"/>
      <c r="GL24" s="174"/>
      <c r="GM24" s="174"/>
      <c r="GN24" s="174"/>
      <c r="GO24" s="174"/>
      <c r="GP24" s="174"/>
      <c r="GQ24" s="174"/>
      <c r="GR24" s="174"/>
      <c r="GS24" s="174"/>
      <c r="GT24" s="174"/>
      <c r="GU24" s="174"/>
      <c r="GV24" s="174"/>
      <c r="GW24" s="174"/>
      <c r="GX24" s="174"/>
      <c r="GY24" s="174"/>
      <c r="GZ24" s="174"/>
      <c r="HA24" s="174"/>
      <c r="HB24" s="174"/>
      <c r="HC24" s="174"/>
      <c r="HD24" s="174"/>
      <c r="HE24" s="174"/>
      <c r="HF24" s="174"/>
      <c r="HG24" s="174"/>
      <c r="HH24" s="174"/>
      <c r="HI24" s="174"/>
      <c r="HJ24" s="174"/>
      <c r="HK24" s="174"/>
      <c r="HL24" s="174"/>
      <c r="HM24" s="174"/>
      <c r="HN24" s="174"/>
      <c r="HO24" s="174"/>
      <c r="HP24" s="176"/>
      <c r="HQ24" s="176"/>
      <c r="HR24" s="176"/>
      <c r="HS24" s="176"/>
      <c r="HT24" s="176"/>
      <c r="HU24" s="176"/>
      <c r="HV24" s="176"/>
      <c r="HW24" s="176"/>
      <c r="HX24" s="176"/>
      <c r="HY24" s="176"/>
      <c r="HZ24" s="176"/>
      <c r="IA24" s="176"/>
      <c r="IB24" s="176"/>
      <c r="IC24" s="176"/>
      <c r="ID24" s="176"/>
      <c r="IE24" s="176"/>
      <c r="IF24" s="176"/>
      <c r="IG24" s="176"/>
      <c r="IH24" s="176"/>
      <c r="II24" s="176"/>
      <c r="IJ24" s="176"/>
    </row>
    <row r="25" spans="1:244" ht="16.5" hidden="1">
      <c r="A25" s="846" t="s">
        <v>1060</v>
      </c>
      <c r="B25" s="846" t="s">
        <v>1382</v>
      </c>
      <c r="C25" s="846" t="s">
        <v>1171</v>
      </c>
      <c r="D25" s="847">
        <v>6</v>
      </c>
      <c r="E25" s="846" t="s">
        <v>1171</v>
      </c>
      <c r="F25" s="846" t="s">
        <v>96</v>
      </c>
      <c r="G25" s="851"/>
      <c r="H25" s="847">
        <v>22</v>
      </c>
      <c r="I25" s="780" t="str">
        <f t="shared" si="0"/>
        <v>IWT060122</v>
      </c>
      <c r="J25" s="847">
        <v>4897</v>
      </c>
      <c r="L25" s="846" t="s">
        <v>1060</v>
      </c>
      <c r="M25" s="846" t="s">
        <v>1382</v>
      </c>
      <c r="N25" s="846" t="s">
        <v>96</v>
      </c>
      <c r="O25" s="847">
        <v>22</v>
      </c>
      <c r="P25" s="780" t="str">
        <f t="shared" si="1"/>
        <v>IWT060122</v>
      </c>
      <c r="Q25" s="847">
        <v>1110</v>
      </c>
      <c r="R25" s="847">
        <v>2952</v>
      </c>
      <c r="S25" s="847">
        <v>4757</v>
      </c>
      <c r="T25" s="847">
        <v>6528</v>
      </c>
      <c r="U25" s="847">
        <v>8264</v>
      </c>
      <c r="V25" s="847">
        <v>0</v>
      </c>
      <c r="W25" s="847">
        <v>0</v>
      </c>
      <c r="X25" s="847">
        <v>0</v>
      </c>
      <c r="Y25" s="847">
        <v>0</v>
      </c>
      <c r="Z25" s="847">
        <v>0</v>
      </c>
      <c r="AA25" s="847">
        <v>0</v>
      </c>
      <c r="AB25" s="847">
        <v>0</v>
      </c>
      <c r="AC25" s="847">
        <v>0</v>
      </c>
      <c r="AD25" s="847">
        <v>0</v>
      </c>
      <c r="AE25" s="847">
        <v>0</v>
      </c>
      <c r="AF25" s="847">
        <v>0</v>
      </c>
      <c r="AG25" s="847">
        <v>0</v>
      </c>
      <c r="AH25" s="847">
        <v>0</v>
      </c>
      <c r="AI25" s="847">
        <v>0</v>
      </c>
      <c r="AJ25" s="847">
        <v>0</v>
      </c>
      <c r="AK25" s="847">
        <v>0</v>
      </c>
      <c r="AL25" s="847">
        <v>0</v>
      </c>
      <c r="AM25" s="847">
        <v>0</v>
      </c>
      <c r="AN25" s="847">
        <v>0</v>
      </c>
      <c r="AO25" s="847">
        <v>0</v>
      </c>
      <c r="AP25" s="847">
        <v>0</v>
      </c>
      <c r="AQ25" s="847">
        <v>0</v>
      </c>
      <c r="AR25" s="847">
        <v>0</v>
      </c>
      <c r="AS25" s="847">
        <v>0</v>
      </c>
      <c r="AT25" s="847">
        <v>0</v>
      </c>
      <c r="AU25" s="847">
        <v>0</v>
      </c>
      <c r="AV25" s="847">
        <v>0</v>
      </c>
      <c r="AW25" s="847">
        <v>0</v>
      </c>
      <c r="AX25" s="847">
        <v>0</v>
      </c>
      <c r="AY25" s="847">
        <v>0</v>
      </c>
      <c r="AZ25" s="847">
        <v>0</v>
      </c>
      <c r="BA25" s="847">
        <v>0</v>
      </c>
      <c r="BB25" s="847">
        <v>0</v>
      </c>
      <c r="BC25" s="847">
        <v>0</v>
      </c>
      <c r="BD25" s="847">
        <v>0</v>
      </c>
      <c r="BE25" s="847">
        <v>0</v>
      </c>
      <c r="BF25" s="847">
        <v>0</v>
      </c>
      <c r="BG25" s="847">
        <v>0</v>
      </c>
      <c r="BH25" s="847">
        <v>0</v>
      </c>
      <c r="BI25" s="847">
        <v>0</v>
      </c>
      <c r="BJ25" s="847">
        <v>0</v>
      </c>
      <c r="BK25" s="847">
        <v>0</v>
      </c>
      <c r="BL25" s="847">
        <v>0</v>
      </c>
      <c r="BM25" s="847">
        <v>0</v>
      </c>
      <c r="BN25" s="847">
        <v>0</v>
      </c>
      <c r="BO25" s="847">
        <v>0</v>
      </c>
      <c r="BP25" s="847">
        <v>0</v>
      </c>
      <c r="BQ25" s="847">
        <v>0</v>
      </c>
      <c r="BR25" s="847">
        <v>0</v>
      </c>
      <c r="BS25" s="847">
        <v>0</v>
      </c>
      <c r="BT25" s="847">
        <v>0</v>
      </c>
      <c r="BU25" s="847">
        <v>0</v>
      </c>
      <c r="BV25" s="847">
        <v>0</v>
      </c>
      <c r="BW25" s="847">
        <v>0</v>
      </c>
      <c r="BX25" s="847">
        <v>0</v>
      </c>
      <c r="BY25" s="847">
        <v>0</v>
      </c>
      <c r="BZ25" s="847">
        <v>0</v>
      </c>
      <c r="CA25" s="847">
        <v>0</v>
      </c>
      <c r="CB25" s="847">
        <v>0</v>
      </c>
      <c r="CC25" s="847">
        <v>0</v>
      </c>
      <c r="CD25" s="847">
        <v>0</v>
      </c>
      <c r="CE25" s="847">
        <v>0</v>
      </c>
      <c r="CF25" s="847">
        <v>0</v>
      </c>
      <c r="CG25" s="847">
        <v>0</v>
      </c>
      <c r="CH25" s="847">
        <v>0</v>
      </c>
      <c r="CI25" s="847">
        <v>0</v>
      </c>
      <c r="CJ25" s="847">
        <v>0</v>
      </c>
      <c r="CK25" s="847">
        <v>0</v>
      </c>
      <c r="CL25" s="847">
        <v>0</v>
      </c>
      <c r="CM25" s="847">
        <v>0</v>
      </c>
      <c r="CN25" s="847">
        <v>0</v>
      </c>
      <c r="CO25" s="847">
        <v>0</v>
      </c>
      <c r="CP25" s="847">
        <v>0</v>
      </c>
      <c r="CQ25" s="847">
        <v>0</v>
      </c>
      <c r="CR25" s="847">
        <v>0</v>
      </c>
      <c r="CS25" s="847">
        <v>0</v>
      </c>
      <c r="CT25" s="847">
        <v>0</v>
      </c>
      <c r="CU25" s="847">
        <v>0</v>
      </c>
      <c r="CV25" s="847">
        <v>0</v>
      </c>
      <c r="CW25" s="847">
        <v>0</v>
      </c>
      <c r="CX25" s="847">
        <v>0</v>
      </c>
      <c r="CY25" s="847">
        <v>0</v>
      </c>
      <c r="CZ25" s="847">
        <v>0</v>
      </c>
      <c r="DA25" s="847">
        <v>0</v>
      </c>
      <c r="DB25" s="847">
        <v>0</v>
      </c>
      <c r="DC25" s="847">
        <v>0</v>
      </c>
      <c r="DD25" s="847">
        <v>0</v>
      </c>
      <c r="DE25" s="847">
        <v>0</v>
      </c>
      <c r="DF25" s="847">
        <v>0</v>
      </c>
      <c r="DG25" s="847">
        <v>0</v>
      </c>
      <c r="DH25" s="847">
        <v>0</v>
      </c>
      <c r="DI25" s="847">
        <v>0</v>
      </c>
      <c r="DJ25" s="847">
        <v>0</v>
      </c>
      <c r="DK25" s="847">
        <v>0</v>
      </c>
      <c r="DL25" s="847">
        <v>0</v>
      </c>
      <c r="DM25" s="847">
        <v>0</v>
      </c>
      <c r="DN25" s="847">
        <v>0</v>
      </c>
      <c r="DO25" s="847">
        <v>0</v>
      </c>
      <c r="DP25" s="847">
        <v>0</v>
      </c>
      <c r="DQ25" s="847">
        <v>0</v>
      </c>
      <c r="DR25" s="847">
        <v>0</v>
      </c>
      <c r="DS25" s="847">
        <v>0</v>
      </c>
      <c r="DT25" s="847">
        <v>0</v>
      </c>
      <c r="DU25" s="847">
        <v>0</v>
      </c>
      <c r="DV25" s="847">
        <v>0</v>
      </c>
      <c r="DW25" s="847">
        <v>0</v>
      </c>
      <c r="DY25" s="173"/>
      <c r="DZ25" s="173"/>
      <c r="EA25" s="173"/>
      <c r="EB25" s="174"/>
      <c r="EC25" s="175"/>
      <c r="ED25" s="174"/>
      <c r="EE25" s="174"/>
      <c r="EF25" s="174"/>
      <c r="EG25" s="174"/>
      <c r="EH25" s="174"/>
      <c r="EI25" s="174"/>
      <c r="EJ25" s="174"/>
      <c r="EK25" s="174"/>
      <c r="EL25" s="174"/>
      <c r="EM25" s="174"/>
      <c r="EN25" s="174"/>
      <c r="EO25" s="174"/>
      <c r="EP25" s="174"/>
      <c r="EQ25" s="174"/>
      <c r="ER25" s="174"/>
      <c r="ES25" s="174"/>
      <c r="ET25" s="174"/>
      <c r="EU25" s="174"/>
      <c r="EV25" s="174"/>
      <c r="EW25" s="174"/>
      <c r="EX25" s="174"/>
      <c r="EY25" s="174"/>
      <c r="EZ25" s="174"/>
      <c r="FA25" s="174"/>
      <c r="FB25" s="174"/>
      <c r="FC25" s="174"/>
      <c r="FD25" s="174"/>
      <c r="FE25" s="174"/>
      <c r="FF25" s="174"/>
      <c r="FG25" s="174"/>
      <c r="FH25" s="174"/>
      <c r="FI25" s="174"/>
      <c r="FJ25" s="174"/>
      <c r="FK25" s="174"/>
      <c r="FL25" s="174"/>
      <c r="FM25" s="174"/>
      <c r="FN25" s="174"/>
      <c r="FO25" s="174"/>
      <c r="FP25" s="174"/>
      <c r="FQ25" s="174"/>
      <c r="FR25" s="174"/>
      <c r="FS25" s="174"/>
      <c r="FT25" s="174"/>
      <c r="FU25" s="174"/>
      <c r="FV25" s="174"/>
      <c r="FW25" s="174"/>
      <c r="FX25" s="174"/>
      <c r="FY25" s="174"/>
      <c r="FZ25" s="174"/>
      <c r="GA25" s="174"/>
      <c r="GB25" s="174"/>
      <c r="GC25" s="174"/>
      <c r="GD25" s="174"/>
      <c r="GE25" s="174"/>
      <c r="GF25" s="174"/>
      <c r="GG25" s="174"/>
      <c r="GH25" s="174"/>
      <c r="GI25" s="174"/>
      <c r="GJ25" s="174"/>
      <c r="GK25" s="174"/>
      <c r="GL25" s="174"/>
      <c r="GM25" s="174"/>
      <c r="GN25" s="174"/>
      <c r="GO25" s="174"/>
      <c r="GP25" s="174"/>
      <c r="GQ25" s="174"/>
      <c r="GR25" s="174"/>
      <c r="GS25" s="174"/>
      <c r="GT25" s="174"/>
      <c r="GU25" s="174"/>
      <c r="GV25" s="174"/>
      <c r="GW25" s="174"/>
      <c r="GX25" s="174"/>
      <c r="GY25" s="174"/>
      <c r="GZ25" s="174"/>
      <c r="HA25" s="174"/>
      <c r="HB25" s="174"/>
      <c r="HC25" s="174"/>
      <c r="HD25" s="174"/>
      <c r="HE25" s="174"/>
      <c r="HF25" s="174"/>
      <c r="HG25" s="174"/>
      <c r="HH25" s="174"/>
      <c r="HI25" s="174"/>
      <c r="HJ25" s="174"/>
      <c r="HK25" s="174"/>
      <c r="HL25" s="174"/>
      <c r="HM25" s="174"/>
      <c r="HN25" s="174"/>
      <c r="HO25" s="176"/>
      <c r="HP25" s="176"/>
      <c r="HQ25" s="176"/>
      <c r="HR25" s="176"/>
      <c r="HS25" s="176"/>
      <c r="HT25" s="176"/>
      <c r="HU25" s="176"/>
      <c r="HV25" s="176"/>
      <c r="HW25" s="176"/>
      <c r="HX25" s="176"/>
      <c r="HY25" s="176"/>
      <c r="HZ25" s="176"/>
      <c r="IA25" s="176"/>
      <c r="IB25" s="176"/>
      <c r="IC25" s="176"/>
      <c r="ID25" s="176"/>
      <c r="IE25" s="176"/>
      <c r="IF25" s="176"/>
      <c r="IG25" s="176"/>
      <c r="IH25" s="176"/>
      <c r="II25" s="176"/>
      <c r="IJ25" s="176"/>
    </row>
    <row r="26" spans="1:244" ht="16.5" hidden="1">
      <c r="A26" s="846" t="s">
        <v>1060</v>
      </c>
      <c r="B26" s="846" t="s">
        <v>1382</v>
      </c>
      <c r="C26" s="846" t="s">
        <v>1171</v>
      </c>
      <c r="D26" s="847">
        <v>6</v>
      </c>
      <c r="E26" s="846" t="s">
        <v>1171</v>
      </c>
      <c r="F26" s="846" t="s">
        <v>96</v>
      </c>
      <c r="G26" s="851"/>
      <c r="H26" s="847">
        <v>23</v>
      </c>
      <c r="I26" s="780" t="str">
        <f t="shared" si="0"/>
        <v>IWT060123</v>
      </c>
      <c r="J26" s="847">
        <v>4911</v>
      </c>
      <c r="L26" s="846" t="s">
        <v>1060</v>
      </c>
      <c r="M26" s="846" t="s">
        <v>1382</v>
      </c>
      <c r="N26" s="846" t="s">
        <v>96</v>
      </c>
      <c r="O26" s="847">
        <v>23</v>
      </c>
      <c r="P26" s="780" t="str">
        <f t="shared" si="1"/>
        <v>IWT060123</v>
      </c>
      <c r="Q26" s="847">
        <v>1110</v>
      </c>
      <c r="R26" s="847">
        <v>2952</v>
      </c>
      <c r="S26" s="847">
        <v>4757</v>
      </c>
      <c r="T26" s="847">
        <v>6528</v>
      </c>
      <c r="U26" s="847">
        <v>8264</v>
      </c>
      <c r="V26" s="847">
        <v>0</v>
      </c>
      <c r="W26" s="847">
        <v>0</v>
      </c>
      <c r="X26" s="847">
        <v>0</v>
      </c>
      <c r="Y26" s="847">
        <v>0</v>
      </c>
      <c r="Z26" s="847">
        <v>0</v>
      </c>
      <c r="AA26" s="847">
        <v>0</v>
      </c>
      <c r="AB26" s="847">
        <v>0</v>
      </c>
      <c r="AC26" s="847">
        <v>0</v>
      </c>
      <c r="AD26" s="847">
        <v>0</v>
      </c>
      <c r="AE26" s="847">
        <v>0</v>
      </c>
      <c r="AF26" s="847">
        <v>0</v>
      </c>
      <c r="AG26" s="847">
        <v>0</v>
      </c>
      <c r="AH26" s="847">
        <v>0</v>
      </c>
      <c r="AI26" s="847">
        <v>0</v>
      </c>
      <c r="AJ26" s="847">
        <v>0</v>
      </c>
      <c r="AK26" s="847">
        <v>0</v>
      </c>
      <c r="AL26" s="847">
        <v>0</v>
      </c>
      <c r="AM26" s="847">
        <v>0</v>
      </c>
      <c r="AN26" s="847">
        <v>0</v>
      </c>
      <c r="AO26" s="847">
        <v>0</v>
      </c>
      <c r="AP26" s="847">
        <v>0</v>
      </c>
      <c r="AQ26" s="847">
        <v>0</v>
      </c>
      <c r="AR26" s="847">
        <v>0</v>
      </c>
      <c r="AS26" s="847">
        <v>0</v>
      </c>
      <c r="AT26" s="847">
        <v>0</v>
      </c>
      <c r="AU26" s="847">
        <v>0</v>
      </c>
      <c r="AV26" s="847">
        <v>0</v>
      </c>
      <c r="AW26" s="847">
        <v>0</v>
      </c>
      <c r="AX26" s="847">
        <v>0</v>
      </c>
      <c r="AY26" s="847">
        <v>0</v>
      </c>
      <c r="AZ26" s="847">
        <v>0</v>
      </c>
      <c r="BA26" s="847">
        <v>0</v>
      </c>
      <c r="BB26" s="847">
        <v>0</v>
      </c>
      <c r="BC26" s="847">
        <v>0</v>
      </c>
      <c r="BD26" s="847">
        <v>0</v>
      </c>
      <c r="BE26" s="847">
        <v>0</v>
      </c>
      <c r="BF26" s="847">
        <v>0</v>
      </c>
      <c r="BG26" s="847">
        <v>0</v>
      </c>
      <c r="BH26" s="847">
        <v>0</v>
      </c>
      <c r="BI26" s="847">
        <v>0</v>
      </c>
      <c r="BJ26" s="847">
        <v>0</v>
      </c>
      <c r="BK26" s="847">
        <v>0</v>
      </c>
      <c r="BL26" s="847">
        <v>0</v>
      </c>
      <c r="BM26" s="847">
        <v>0</v>
      </c>
      <c r="BN26" s="847">
        <v>0</v>
      </c>
      <c r="BO26" s="847">
        <v>0</v>
      </c>
      <c r="BP26" s="847">
        <v>0</v>
      </c>
      <c r="BQ26" s="847">
        <v>0</v>
      </c>
      <c r="BR26" s="847">
        <v>0</v>
      </c>
      <c r="BS26" s="847">
        <v>0</v>
      </c>
      <c r="BT26" s="847">
        <v>0</v>
      </c>
      <c r="BU26" s="847">
        <v>0</v>
      </c>
      <c r="BV26" s="847">
        <v>0</v>
      </c>
      <c r="BW26" s="847">
        <v>0</v>
      </c>
      <c r="BX26" s="847">
        <v>0</v>
      </c>
      <c r="BY26" s="847">
        <v>0</v>
      </c>
      <c r="BZ26" s="847">
        <v>0</v>
      </c>
      <c r="CA26" s="847">
        <v>0</v>
      </c>
      <c r="CB26" s="847">
        <v>0</v>
      </c>
      <c r="CC26" s="847">
        <v>0</v>
      </c>
      <c r="CD26" s="847">
        <v>0</v>
      </c>
      <c r="CE26" s="847">
        <v>0</v>
      </c>
      <c r="CF26" s="847">
        <v>0</v>
      </c>
      <c r="CG26" s="847">
        <v>0</v>
      </c>
      <c r="CH26" s="847">
        <v>0</v>
      </c>
      <c r="CI26" s="847">
        <v>0</v>
      </c>
      <c r="CJ26" s="847">
        <v>0</v>
      </c>
      <c r="CK26" s="847">
        <v>0</v>
      </c>
      <c r="CL26" s="847">
        <v>0</v>
      </c>
      <c r="CM26" s="847">
        <v>0</v>
      </c>
      <c r="CN26" s="847">
        <v>0</v>
      </c>
      <c r="CO26" s="847">
        <v>0</v>
      </c>
      <c r="CP26" s="847">
        <v>0</v>
      </c>
      <c r="CQ26" s="847">
        <v>0</v>
      </c>
      <c r="CR26" s="847">
        <v>0</v>
      </c>
      <c r="CS26" s="847">
        <v>0</v>
      </c>
      <c r="CT26" s="847">
        <v>0</v>
      </c>
      <c r="CU26" s="847">
        <v>0</v>
      </c>
      <c r="CV26" s="847">
        <v>0</v>
      </c>
      <c r="CW26" s="847">
        <v>0</v>
      </c>
      <c r="CX26" s="847">
        <v>0</v>
      </c>
      <c r="CY26" s="847">
        <v>0</v>
      </c>
      <c r="CZ26" s="847">
        <v>0</v>
      </c>
      <c r="DA26" s="847">
        <v>0</v>
      </c>
      <c r="DB26" s="847">
        <v>0</v>
      </c>
      <c r="DC26" s="847">
        <v>0</v>
      </c>
      <c r="DD26" s="847">
        <v>0</v>
      </c>
      <c r="DE26" s="847">
        <v>0</v>
      </c>
      <c r="DF26" s="847">
        <v>0</v>
      </c>
      <c r="DG26" s="847">
        <v>0</v>
      </c>
      <c r="DH26" s="847">
        <v>0</v>
      </c>
      <c r="DI26" s="847">
        <v>0</v>
      </c>
      <c r="DJ26" s="847">
        <v>0</v>
      </c>
      <c r="DK26" s="847">
        <v>0</v>
      </c>
      <c r="DL26" s="847">
        <v>0</v>
      </c>
      <c r="DM26" s="847">
        <v>0</v>
      </c>
      <c r="DN26" s="847">
        <v>0</v>
      </c>
      <c r="DO26" s="847">
        <v>0</v>
      </c>
      <c r="DP26" s="847">
        <v>0</v>
      </c>
      <c r="DQ26" s="847">
        <v>0</v>
      </c>
      <c r="DR26" s="847">
        <v>0</v>
      </c>
      <c r="DS26" s="847">
        <v>0</v>
      </c>
      <c r="DT26" s="847">
        <v>0</v>
      </c>
      <c r="DU26" s="847">
        <v>0</v>
      </c>
      <c r="DV26" s="847">
        <v>0</v>
      </c>
      <c r="DW26" s="847">
        <v>0</v>
      </c>
      <c r="DY26" s="173"/>
      <c r="DZ26" s="173"/>
      <c r="EA26" s="173"/>
      <c r="EB26" s="174"/>
      <c r="EC26" s="175"/>
      <c r="ED26" s="174"/>
      <c r="EE26" s="174"/>
      <c r="EF26" s="174"/>
      <c r="EG26" s="174"/>
      <c r="EH26" s="174"/>
      <c r="EI26" s="174"/>
      <c r="EJ26" s="174"/>
      <c r="EK26" s="174"/>
      <c r="EL26" s="174"/>
      <c r="EM26" s="174"/>
      <c r="EN26" s="174"/>
      <c r="EO26" s="174"/>
      <c r="EP26" s="174"/>
      <c r="EQ26" s="174"/>
      <c r="ER26" s="174"/>
      <c r="ES26" s="174"/>
      <c r="ET26" s="174"/>
      <c r="EU26" s="174"/>
      <c r="EV26" s="174"/>
      <c r="EW26" s="174"/>
      <c r="EX26" s="174"/>
      <c r="EY26" s="174"/>
      <c r="EZ26" s="174"/>
      <c r="FA26" s="174"/>
      <c r="FB26" s="174"/>
      <c r="FC26" s="174"/>
      <c r="FD26" s="174"/>
      <c r="FE26" s="174"/>
      <c r="FF26" s="174"/>
      <c r="FG26" s="174"/>
      <c r="FH26" s="174"/>
      <c r="FI26" s="174"/>
      <c r="FJ26" s="174"/>
      <c r="FK26" s="174"/>
      <c r="FL26" s="174"/>
      <c r="FM26" s="174"/>
      <c r="FN26" s="174"/>
      <c r="FO26" s="174"/>
      <c r="FP26" s="174"/>
      <c r="FQ26" s="174"/>
      <c r="FR26" s="174"/>
      <c r="FS26" s="174"/>
      <c r="FT26" s="174"/>
      <c r="FU26" s="174"/>
      <c r="FV26" s="174"/>
      <c r="FW26" s="174"/>
      <c r="FX26" s="174"/>
      <c r="FY26" s="174"/>
      <c r="FZ26" s="174"/>
      <c r="GA26" s="174"/>
      <c r="GB26" s="174"/>
      <c r="GC26" s="174"/>
      <c r="GD26" s="174"/>
      <c r="GE26" s="174"/>
      <c r="GF26" s="174"/>
      <c r="GG26" s="174"/>
      <c r="GH26" s="174"/>
      <c r="GI26" s="174"/>
      <c r="GJ26" s="174"/>
      <c r="GK26" s="174"/>
      <c r="GL26" s="174"/>
      <c r="GM26" s="174"/>
      <c r="GN26" s="174"/>
      <c r="GO26" s="174"/>
      <c r="GP26" s="174"/>
      <c r="GQ26" s="174"/>
      <c r="GR26" s="174"/>
      <c r="GS26" s="174"/>
      <c r="GT26" s="174"/>
      <c r="GU26" s="174"/>
      <c r="GV26" s="174"/>
      <c r="GW26" s="174"/>
      <c r="GX26" s="174"/>
      <c r="GY26" s="174"/>
      <c r="GZ26" s="174"/>
      <c r="HA26" s="174"/>
      <c r="HB26" s="174"/>
      <c r="HC26" s="174"/>
      <c r="HD26" s="174"/>
      <c r="HE26" s="174"/>
      <c r="HF26" s="174"/>
      <c r="HG26" s="174"/>
      <c r="HH26" s="174"/>
      <c r="HI26" s="174"/>
      <c r="HJ26" s="174"/>
      <c r="HK26" s="174"/>
      <c r="HL26" s="174"/>
      <c r="HM26" s="174"/>
      <c r="HN26" s="176"/>
      <c r="HO26" s="176"/>
      <c r="HP26" s="176"/>
      <c r="HQ26" s="176"/>
      <c r="HR26" s="176"/>
      <c r="HS26" s="176"/>
      <c r="HT26" s="176"/>
      <c r="HU26" s="176"/>
      <c r="HV26" s="176"/>
      <c r="HW26" s="176"/>
      <c r="HX26" s="176"/>
      <c r="HY26" s="176"/>
      <c r="HZ26" s="176"/>
      <c r="IA26" s="176"/>
      <c r="IB26" s="176"/>
      <c r="IC26" s="176"/>
      <c r="ID26" s="176"/>
      <c r="IE26" s="176"/>
      <c r="IF26" s="176"/>
      <c r="IG26" s="176"/>
      <c r="IH26" s="176"/>
      <c r="II26" s="176"/>
      <c r="IJ26" s="176"/>
    </row>
    <row r="27" spans="1:244" ht="16.5" hidden="1">
      <c r="A27" s="846" t="s">
        <v>1060</v>
      </c>
      <c r="B27" s="846" t="s">
        <v>1382</v>
      </c>
      <c r="C27" s="846" t="s">
        <v>1171</v>
      </c>
      <c r="D27" s="847">
        <v>6</v>
      </c>
      <c r="E27" s="846" t="s">
        <v>1171</v>
      </c>
      <c r="F27" s="846" t="s">
        <v>96</v>
      </c>
      <c r="G27" s="851"/>
      <c r="H27" s="847">
        <v>24</v>
      </c>
      <c r="I27" s="780" t="str">
        <f t="shared" si="0"/>
        <v>IWT060124</v>
      </c>
      <c r="J27" s="847">
        <v>4923</v>
      </c>
      <c r="L27" s="846" t="s">
        <v>1060</v>
      </c>
      <c r="M27" s="846" t="s">
        <v>1382</v>
      </c>
      <c r="N27" s="846" t="s">
        <v>96</v>
      </c>
      <c r="O27" s="847">
        <v>24</v>
      </c>
      <c r="P27" s="780" t="str">
        <f t="shared" si="1"/>
        <v>IWT060124</v>
      </c>
      <c r="Q27" s="847">
        <v>1109</v>
      </c>
      <c r="R27" s="847">
        <v>2951</v>
      </c>
      <c r="S27" s="847">
        <v>4757</v>
      </c>
      <c r="T27" s="847">
        <v>6528</v>
      </c>
      <c r="U27" s="847">
        <v>8264</v>
      </c>
      <c r="V27" s="847">
        <v>0</v>
      </c>
      <c r="W27" s="847">
        <v>0</v>
      </c>
      <c r="X27" s="847">
        <v>0</v>
      </c>
      <c r="Y27" s="847">
        <v>0</v>
      </c>
      <c r="Z27" s="847">
        <v>0</v>
      </c>
      <c r="AA27" s="847">
        <v>0</v>
      </c>
      <c r="AB27" s="847">
        <v>0</v>
      </c>
      <c r="AC27" s="847">
        <v>0</v>
      </c>
      <c r="AD27" s="847">
        <v>0</v>
      </c>
      <c r="AE27" s="847">
        <v>0</v>
      </c>
      <c r="AF27" s="847">
        <v>0</v>
      </c>
      <c r="AG27" s="847">
        <v>0</v>
      </c>
      <c r="AH27" s="847">
        <v>0</v>
      </c>
      <c r="AI27" s="847">
        <v>0</v>
      </c>
      <c r="AJ27" s="847">
        <v>0</v>
      </c>
      <c r="AK27" s="847">
        <v>0</v>
      </c>
      <c r="AL27" s="847">
        <v>0</v>
      </c>
      <c r="AM27" s="847">
        <v>0</v>
      </c>
      <c r="AN27" s="847">
        <v>0</v>
      </c>
      <c r="AO27" s="847">
        <v>0</v>
      </c>
      <c r="AP27" s="847">
        <v>0</v>
      </c>
      <c r="AQ27" s="847">
        <v>0</v>
      </c>
      <c r="AR27" s="847">
        <v>0</v>
      </c>
      <c r="AS27" s="847">
        <v>0</v>
      </c>
      <c r="AT27" s="847">
        <v>0</v>
      </c>
      <c r="AU27" s="847">
        <v>0</v>
      </c>
      <c r="AV27" s="847">
        <v>0</v>
      </c>
      <c r="AW27" s="847">
        <v>0</v>
      </c>
      <c r="AX27" s="847">
        <v>0</v>
      </c>
      <c r="AY27" s="847">
        <v>0</v>
      </c>
      <c r="AZ27" s="847">
        <v>0</v>
      </c>
      <c r="BA27" s="847">
        <v>0</v>
      </c>
      <c r="BB27" s="847">
        <v>0</v>
      </c>
      <c r="BC27" s="847">
        <v>0</v>
      </c>
      <c r="BD27" s="847">
        <v>0</v>
      </c>
      <c r="BE27" s="847">
        <v>0</v>
      </c>
      <c r="BF27" s="847">
        <v>0</v>
      </c>
      <c r="BG27" s="847">
        <v>0</v>
      </c>
      <c r="BH27" s="847">
        <v>0</v>
      </c>
      <c r="BI27" s="847">
        <v>0</v>
      </c>
      <c r="BJ27" s="847">
        <v>0</v>
      </c>
      <c r="BK27" s="847">
        <v>0</v>
      </c>
      <c r="BL27" s="847">
        <v>0</v>
      </c>
      <c r="BM27" s="847">
        <v>0</v>
      </c>
      <c r="BN27" s="847">
        <v>0</v>
      </c>
      <c r="BO27" s="847">
        <v>0</v>
      </c>
      <c r="BP27" s="847">
        <v>0</v>
      </c>
      <c r="BQ27" s="847">
        <v>0</v>
      </c>
      <c r="BR27" s="847">
        <v>0</v>
      </c>
      <c r="BS27" s="847">
        <v>0</v>
      </c>
      <c r="BT27" s="847">
        <v>0</v>
      </c>
      <c r="BU27" s="847">
        <v>0</v>
      </c>
      <c r="BV27" s="847">
        <v>0</v>
      </c>
      <c r="BW27" s="847">
        <v>0</v>
      </c>
      <c r="BX27" s="847">
        <v>0</v>
      </c>
      <c r="BY27" s="847">
        <v>0</v>
      </c>
      <c r="BZ27" s="847">
        <v>0</v>
      </c>
      <c r="CA27" s="847">
        <v>0</v>
      </c>
      <c r="CB27" s="847">
        <v>0</v>
      </c>
      <c r="CC27" s="847">
        <v>0</v>
      </c>
      <c r="CD27" s="847">
        <v>0</v>
      </c>
      <c r="CE27" s="847">
        <v>0</v>
      </c>
      <c r="CF27" s="847">
        <v>0</v>
      </c>
      <c r="CG27" s="847">
        <v>0</v>
      </c>
      <c r="CH27" s="847">
        <v>0</v>
      </c>
      <c r="CI27" s="847">
        <v>0</v>
      </c>
      <c r="CJ27" s="847">
        <v>0</v>
      </c>
      <c r="CK27" s="847">
        <v>0</v>
      </c>
      <c r="CL27" s="847">
        <v>0</v>
      </c>
      <c r="CM27" s="847">
        <v>0</v>
      </c>
      <c r="CN27" s="847">
        <v>0</v>
      </c>
      <c r="CO27" s="847">
        <v>0</v>
      </c>
      <c r="CP27" s="847">
        <v>0</v>
      </c>
      <c r="CQ27" s="847">
        <v>0</v>
      </c>
      <c r="CR27" s="847">
        <v>0</v>
      </c>
      <c r="CS27" s="847">
        <v>0</v>
      </c>
      <c r="CT27" s="847">
        <v>0</v>
      </c>
      <c r="CU27" s="847">
        <v>0</v>
      </c>
      <c r="CV27" s="847">
        <v>0</v>
      </c>
      <c r="CW27" s="847">
        <v>0</v>
      </c>
      <c r="CX27" s="847">
        <v>0</v>
      </c>
      <c r="CY27" s="847">
        <v>0</v>
      </c>
      <c r="CZ27" s="847">
        <v>0</v>
      </c>
      <c r="DA27" s="847">
        <v>0</v>
      </c>
      <c r="DB27" s="847">
        <v>0</v>
      </c>
      <c r="DC27" s="847">
        <v>0</v>
      </c>
      <c r="DD27" s="847">
        <v>0</v>
      </c>
      <c r="DE27" s="847">
        <v>0</v>
      </c>
      <c r="DF27" s="847">
        <v>0</v>
      </c>
      <c r="DG27" s="847">
        <v>0</v>
      </c>
      <c r="DH27" s="847">
        <v>0</v>
      </c>
      <c r="DI27" s="847">
        <v>0</v>
      </c>
      <c r="DJ27" s="847">
        <v>0</v>
      </c>
      <c r="DK27" s="847">
        <v>0</v>
      </c>
      <c r="DL27" s="847">
        <v>0</v>
      </c>
      <c r="DM27" s="847">
        <v>0</v>
      </c>
      <c r="DN27" s="847">
        <v>0</v>
      </c>
      <c r="DO27" s="847">
        <v>0</v>
      </c>
      <c r="DP27" s="847">
        <v>0</v>
      </c>
      <c r="DQ27" s="847">
        <v>0</v>
      </c>
      <c r="DR27" s="847">
        <v>0</v>
      </c>
      <c r="DS27" s="847">
        <v>0</v>
      </c>
      <c r="DT27" s="847">
        <v>0</v>
      </c>
      <c r="DU27" s="847">
        <v>0</v>
      </c>
      <c r="DV27" s="847">
        <v>0</v>
      </c>
      <c r="DW27" s="847">
        <v>0</v>
      </c>
      <c r="DY27" s="173"/>
      <c r="DZ27" s="173"/>
      <c r="EA27" s="173"/>
      <c r="EB27" s="174"/>
      <c r="EC27" s="175"/>
      <c r="ED27" s="174"/>
      <c r="EE27" s="174"/>
      <c r="EF27" s="174"/>
      <c r="EG27" s="174"/>
      <c r="EH27" s="174"/>
      <c r="EI27" s="174"/>
      <c r="EJ27" s="174"/>
      <c r="EK27" s="174"/>
      <c r="EL27" s="174"/>
      <c r="EM27" s="174"/>
      <c r="EN27" s="174"/>
      <c r="EO27" s="174"/>
      <c r="EP27" s="174"/>
      <c r="EQ27" s="174"/>
      <c r="ER27" s="174"/>
      <c r="ES27" s="174"/>
      <c r="ET27" s="174"/>
      <c r="EU27" s="174"/>
      <c r="EV27" s="174"/>
      <c r="EW27" s="174"/>
      <c r="EX27" s="174"/>
      <c r="EY27" s="174"/>
      <c r="EZ27" s="174"/>
      <c r="FA27" s="174"/>
      <c r="FB27" s="174"/>
      <c r="FC27" s="174"/>
      <c r="FD27" s="174"/>
      <c r="FE27" s="174"/>
      <c r="FF27" s="174"/>
      <c r="FG27" s="174"/>
      <c r="FH27" s="174"/>
      <c r="FI27" s="174"/>
      <c r="FJ27" s="174"/>
      <c r="FK27" s="174"/>
      <c r="FL27" s="174"/>
      <c r="FM27" s="174"/>
      <c r="FN27" s="174"/>
      <c r="FO27" s="174"/>
      <c r="FP27" s="174"/>
      <c r="FQ27" s="174"/>
      <c r="FR27" s="174"/>
      <c r="FS27" s="174"/>
      <c r="FT27" s="174"/>
      <c r="FU27" s="174"/>
      <c r="FV27" s="174"/>
      <c r="FW27" s="174"/>
      <c r="FX27" s="174"/>
      <c r="FY27" s="174"/>
      <c r="FZ27" s="174"/>
      <c r="GA27" s="174"/>
      <c r="GB27" s="174"/>
      <c r="GC27" s="174"/>
      <c r="GD27" s="174"/>
      <c r="GE27" s="174"/>
      <c r="GF27" s="174"/>
      <c r="GG27" s="174"/>
      <c r="GH27" s="174"/>
      <c r="GI27" s="174"/>
      <c r="GJ27" s="174"/>
      <c r="GK27" s="174"/>
      <c r="GL27" s="174"/>
      <c r="GM27" s="174"/>
      <c r="GN27" s="174"/>
      <c r="GO27" s="174"/>
      <c r="GP27" s="174"/>
      <c r="GQ27" s="174"/>
      <c r="GR27" s="174"/>
      <c r="GS27" s="174"/>
      <c r="GT27" s="174"/>
      <c r="GU27" s="174"/>
      <c r="GV27" s="174"/>
      <c r="GW27" s="174"/>
      <c r="GX27" s="174"/>
      <c r="GY27" s="174"/>
      <c r="GZ27" s="174"/>
      <c r="HA27" s="174"/>
      <c r="HB27" s="174"/>
      <c r="HC27" s="174"/>
      <c r="HD27" s="174"/>
      <c r="HE27" s="174"/>
      <c r="HF27" s="174"/>
      <c r="HG27" s="174"/>
      <c r="HH27" s="174"/>
      <c r="HI27" s="174"/>
      <c r="HJ27" s="174"/>
      <c r="HK27" s="174"/>
      <c r="HL27" s="174"/>
      <c r="HM27" s="176"/>
      <c r="HN27" s="176"/>
      <c r="HO27" s="176"/>
      <c r="HP27" s="176"/>
      <c r="HQ27" s="176"/>
      <c r="HR27" s="176"/>
      <c r="HS27" s="176"/>
      <c r="HT27" s="176"/>
      <c r="HU27" s="176"/>
      <c r="HV27" s="176"/>
      <c r="HW27" s="176"/>
      <c r="HX27" s="176"/>
      <c r="HY27" s="176"/>
      <c r="HZ27" s="176"/>
      <c r="IA27" s="176"/>
      <c r="IB27" s="176"/>
      <c r="IC27" s="176"/>
      <c r="ID27" s="176"/>
      <c r="IE27" s="176"/>
      <c r="IF27" s="176"/>
      <c r="IG27" s="176"/>
      <c r="IH27" s="176"/>
      <c r="II27" s="176"/>
      <c r="IJ27" s="176"/>
    </row>
    <row r="28" spans="1:244" ht="16.5" hidden="1">
      <c r="A28" s="846" t="s">
        <v>1060</v>
      </c>
      <c r="B28" s="846" t="s">
        <v>1382</v>
      </c>
      <c r="C28" s="846" t="s">
        <v>1171</v>
      </c>
      <c r="D28" s="847">
        <v>6</v>
      </c>
      <c r="E28" s="846" t="s">
        <v>1171</v>
      </c>
      <c r="F28" s="846" t="s">
        <v>96</v>
      </c>
      <c r="G28" s="851"/>
      <c r="H28" s="847">
        <v>25</v>
      </c>
      <c r="I28" s="780" t="str">
        <f t="shared" si="0"/>
        <v>IWT060125</v>
      </c>
      <c r="J28" s="847">
        <v>4935</v>
      </c>
      <c r="L28" s="846" t="s">
        <v>1060</v>
      </c>
      <c r="M28" s="846" t="s">
        <v>1382</v>
      </c>
      <c r="N28" s="846" t="s">
        <v>96</v>
      </c>
      <c r="O28" s="847">
        <v>25</v>
      </c>
      <c r="P28" s="780" t="str">
        <f t="shared" si="1"/>
        <v>IWT060125</v>
      </c>
      <c r="Q28" s="847">
        <v>1109</v>
      </c>
      <c r="R28" s="847">
        <v>2951</v>
      </c>
      <c r="S28" s="847">
        <v>4757</v>
      </c>
      <c r="T28" s="847">
        <v>6528</v>
      </c>
      <c r="U28" s="847">
        <v>8264</v>
      </c>
      <c r="V28" s="847">
        <v>0</v>
      </c>
      <c r="W28" s="847">
        <v>0</v>
      </c>
      <c r="X28" s="847">
        <v>0</v>
      </c>
      <c r="Y28" s="847">
        <v>0</v>
      </c>
      <c r="Z28" s="847">
        <v>0</v>
      </c>
      <c r="AA28" s="847">
        <v>0</v>
      </c>
      <c r="AB28" s="847">
        <v>0</v>
      </c>
      <c r="AC28" s="847">
        <v>0</v>
      </c>
      <c r="AD28" s="847">
        <v>0</v>
      </c>
      <c r="AE28" s="847">
        <v>0</v>
      </c>
      <c r="AF28" s="847">
        <v>0</v>
      </c>
      <c r="AG28" s="847">
        <v>0</v>
      </c>
      <c r="AH28" s="847">
        <v>0</v>
      </c>
      <c r="AI28" s="847">
        <v>0</v>
      </c>
      <c r="AJ28" s="847">
        <v>0</v>
      </c>
      <c r="AK28" s="847">
        <v>0</v>
      </c>
      <c r="AL28" s="847">
        <v>0</v>
      </c>
      <c r="AM28" s="847">
        <v>0</v>
      </c>
      <c r="AN28" s="847">
        <v>0</v>
      </c>
      <c r="AO28" s="847">
        <v>0</v>
      </c>
      <c r="AP28" s="847">
        <v>0</v>
      </c>
      <c r="AQ28" s="847">
        <v>0</v>
      </c>
      <c r="AR28" s="847">
        <v>0</v>
      </c>
      <c r="AS28" s="847">
        <v>0</v>
      </c>
      <c r="AT28" s="847">
        <v>0</v>
      </c>
      <c r="AU28" s="847">
        <v>0</v>
      </c>
      <c r="AV28" s="847">
        <v>0</v>
      </c>
      <c r="AW28" s="847">
        <v>0</v>
      </c>
      <c r="AX28" s="847">
        <v>0</v>
      </c>
      <c r="AY28" s="847">
        <v>0</v>
      </c>
      <c r="AZ28" s="847">
        <v>0</v>
      </c>
      <c r="BA28" s="847">
        <v>0</v>
      </c>
      <c r="BB28" s="847">
        <v>0</v>
      </c>
      <c r="BC28" s="847">
        <v>0</v>
      </c>
      <c r="BD28" s="847">
        <v>0</v>
      </c>
      <c r="BE28" s="847">
        <v>0</v>
      </c>
      <c r="BF28" s="847">
        <v>0</v>
      </c>
      <c r="BG28" s="847">
        <v>0</v>
      </c>
      <c r="BH28" s="847">
        <v>0</v>
      </c>
      <c r="BI28" s="847">
        <v>0</v>
      </c>
      <c r="BJ28" s="847">
        <v>0</v>
      </c>
      <c r="BK28" s="847">
        <v>0</v>
      </c>
      <c r="BL28" s="847">
        <v>0</v>
      </c>
      <c r="BM28" s="847">
        <v>0</v>
      </c>
      <c r="BN28" s="847">
        <v>0</v>
      </c>
      <c r="BO28" s="847">
        <v>0</v>
      </c>
      <c r="BP28" s="847">
        <v>0</v>
      </c>
      <c r="BQ28" s="847">
        <v>0</v>
      </c>
      <c r="BR28" s="847">
        <v>0</v>
      </c>
      <c r="BS28" s="847">
        <v>0</v>
      </c>
      <c r="BT28" s="847">
        <v>0</v>
      </c>
      <c r="BU28" s="847">
        <v>0</v>
      </c>
      <c r="BV28" s="847">
        <v>0</v>
      </c>
      <c r="BW28" s="847">
        <v>0</v>
      </c>
      <c r="BX28" s="847">
        <v>0</v>
      </c>
      <c r="BY28" s="847">
        <v>0</v>
      </c>
      <c r="BZ28" s="847">
        <v>0</v>
      </c>
      <c r="CA28" s="847">
        <v>0</v>
      </c>
      <c r="CB28" s="847">
        <v>0</v>
      </c>
      <c r="CC28" s="847">
        <v>0</v>
      </c>
      <c r="CD28" s="847">
        <v>0</v>
      </c>
      <c r="CE28" s="847">
        <v>0</v>
      </c>
      <c r="CF28" s="847">
        <v>0</v>
      </c>
      <c r="CG28" s="847">
        <v>0</v>
      </c>
      <c r="CH28" s="847">
        <v>0</v>
      </c>
      <c r="CI28" s="847">
        <v>0</v>
      </c>
      <c r="CJ28" s="847">
        <v>0</v>
      </c>
      <c r="CK28" s="847">
        <v>0</v>
      </c>
      <c r="CL28" s="847">
        <v>0</v>
      </c>
      <c r="CM28" s="847">
        <v>0</v>
      </c>
      <c r="CN28" s="847">
        <v>0</v>
      </c>
      <c r="CO28" s="847">
        <v>0</v>
      </c>
      <c r="CP28" s="847">
        <v>0</v>
      </c>
      <c r="CQ28" s="847">
        <v>0</v>
      </c>
      <c r="CR28" s="847">
        <v>0</v>
      </c>
      <c r="CS28" s="847">
        <v>0</v>
      </c>
      <c r="CT28" s="847">
        <v>0</v>
      </c>
      <c r="CU28" s="847">
        <v>0</v>
      </c>
      <c r="CV28" s="847">
        <v>0</v>
      </c>
      <c r="CW28" s="847">
        <v>0</v>
      </c>
      <c r="CX28" s="847">
        <v>0</v>
      </c>
      <c r="CY28" s="847">
        <v>0</v>
      </c>
      <c r="CZ28" s="847">
        <v>0</v>
      </c>
      <c r="DA28" s="847">
        <v>0</v>
      </c>
      <c r="DB28" s="847">
        <v>0</v>
      </c>
      <c r="DC28" s="847">
        <v>0</v>
      </c>
      <c r="DD28" s="847">
        <v>0</v>
      </c>
      <c r="DE28" s="847">
        <v>0</v>
      </c>
      <c r="DF28" s="847">
        <v>0</v>
      </c>
      <c r="DG28" s="847">
        <v>0</v>
      </c>
      <c r="DH28" s="847">
        <v>0</v>
      </c>
      <c r="DI28" s="847">
        <v>0</v>
      </c>
      <c r="DJ28" s="847">
        <v>0</v>
      </c>
      <c r="DK28" s="847">
        <v>0</v>
      </c>
      <c r="DL28" s="847">
        <v>0</v>
      </c>
      <c r="DM28" s="847">
        <v>0</v>
      </c>
      <c r="DN28" s="847">
        <v>0</v>
      </c>
      <c r="DO28" s="847">
        <v>0</v>
      </c>
      <c r="DP28" s="847">
        <v>0</v>
      </c>
      <c r="DQ28" s="847">
        <v>0</v>
      </c>
      <c r="DR28" s="847">
        <v>0</v>
      </c>
      <c r="DS28" s="847">
        <v>0</v>
      </c>
      <c r="DT28" s="847">
        <v>0</v>
      </c>
      <c r="DU28" s="847">
        <v>0</v>
      </c>
      <c r="DV28" s="847">
        <v>0</v>
      </c>
      <c r="DW28" s="847">
        <v>0</v>
      </c>
      <c r="DY28" s="173"/>
      <c r="DZ28" s="173"/>
      <c r="EA28" s="173"/>
      <c r="EB28" s="174"/>
      <c r="EC28" s="175"/>
      <c r="ED28" s="174"/>
      <c r="EE28" s="174"/>
      <c r="EF28" s="174"/>
      <c r="EG28" s="174"/>
      <c r="EH28" s="174"/>
      <c r="EI28" s="174"/>
      <c r="EJ28" s="174"/>
      <c r="EK28" s="174"/>
      <c r="EL28" s="174"/>
      <c r="EM28" s="174"/>
      <c r="EN28" s="174"/>
      <c r="EO28" s="174"/>
      <c r="EP28" s="174"/>
      <c r="EQ28" s="174"/>
      <c r="ER28" s="174"/>
      <c r="ES28" s="174"/>
      <c r="ET28" s="174"/>
      <c r="EU28" s="174"/>
      <c r="EV28" s="174"/>
      <c r="EW28" s="174"/>
      <c r="EX28" s="174"/>
      <c r="EY28" s="174"/>
      <c r="EZ28" s="174"/>
      <c r="FA28" s="174"/>
      <c r="FB28" s="174"/>
      <c r="FC28" s="174"/>
      <c r="FD28" s="174"/>
      <c r="FE28" s="174"/>
      <c r="FF28" s="174"/>
      <c r="FG28" s="174"/>
      <c r="FH28" s="174"/>
      <c r="FI28" s="174"/>
      <c r="FJ28" s="174"/>
      <c r="FK28" s="174"/>
      <c r="FL28" s="174"/>
      <c r="FM28" s="174"/>
      <c r="FN28" s="174"/>
      <c r="FO28" s="174"/>
      <c r="FP28" s="174"/>
      <c r="FQ28" s="174"/>
      <c r="FR28" s="174"/>
      <c r="FS28" s="174"/>
      <c r="FT28" s="174"/>
      <c r="FU28" s="174"/>
      <c r="FV28" s="174"/>
      <c r="FW28" s="174"/>
      <c r="FX28" s="174"/>
      <c r="FY28" s="174"/>
      <c r="FZ28" s="174"/>
      <c r="GA28" s="174"/>
      <c r="GB28" s="174"/>
      <c r="GC28" s="174"/>
      <c r="GD28" s="174"/>
      <c r="GE28" s="174"/>
      <c r="GF28" s="174"/>
      <c r="GG28" s="174"/>
      <c r="GH28" s="174"/>
      <c r="GI28" s="174"/>
      <c r="GJ28" s="174"/>
      <c r="GK28" s="174"/>
      <c r="GL28" s="174"/>
      <c r="GM28" s="174"/>
      <c r="GN28" s="174"/>
      <c r="GO28" s="174"/>
      <c r="GP28" s="174"/>
      <c r="GQ28" s="174"/>
      <c r="GR28" s="174"/>
      <c r="GS28" s="174"/>
      <c r="GT28" s="174"/>
      <c r="GU28" s="174"/>
      <c r="GV28" s="174"/>
      <c r="GW28" s="174"/>
      <c r="GX28" s="174"/>
      <c r="GY28" s="174"/>
      <c r="GZ28" s="174"/>
      <c r="HA28" s="174"/>
      <c r="HB28" s="174"/>
      <c r="HC28" s="174"/>
      <c r="HD28" s="174"/>
      <c r="HE28" s="174"/>
      <c r="HF28" s="174"/>
      <c r="HG28" s="174"/>
      <c r="HH28" s="174"/>
      <c r="HI28" s="174"/>
      <c r="HJ28" s="174"/>
      <c r="HK28" s="174"/>
      <c r="HL28" s="176"/>
      <c r="HM28" s="176"/>
      <c r="HN28" s="176"/>
      <c r="HO28" s="176"/>
      <c r="HP28" s="176"/>
      <c r="HQ28" s="176"/>
      <c r="HR28" s="176"/>
      <c r="HS28" s="176"/>
      <c r="HT28" s="176"/>
      <c r="HU28" s="176"/>
      <c r="HV28" s="176"/>
      <c r="HW28" s="176"/>
      <c r="HX28" s="176"/>
      <c r="HY28" s="176"/>
      <c r="HZ28" s="176"/>
      <c r="IA28" s="176"/>
      <c r="IB28" s="176"/>
      <c r="IC28" s="176"/>
      <c r="ID28" s="176"/>
      <c r="IE28" s="176"/>
      <c r="IF28" s="176"/>
      <c r="IG28" s="176"/>
      <c r="IH28" s="176"/>
      <c r="II28" s="176"/>
      <c r="IJ28" s="176"/>
    </row>
    <row r="29" spans="1:244" ht="16.5" hidden="1">
      <c r="A29" s="846" t="s">
        <v>1060</v>
      </c>
      <c r="B29" s="846" t="s">
        <v>1382</v>
      </c>
      <c r="C29" s="846" t="s">
        <v>1171</v>
      </c>
      <c r="D29" s="847">
        <v>6</v>
      </c>
      <c r="E29" s="846" t="s">
        <v>1171</v>
      </c>
      <c r="F29" s="846" t="s">
        <v>96</v>
      </c>
      <c r="G29" s="851"/>
      <c r="H29" s="847">
        <v>26</v>
      </c>
      <c r="I29" s="780" t="str">
        <f t="shared" si="0"/>
        <v>IWT060126</v>
      </c>
      <c r="J29" s="847">
        <v>4947</v>
      </c>
      <c r="L29" s="846" t="s">
        <v>1060</v>
      </c>
      <c r="M29" s="846" t="s">
        <v>1382</v>
      </c>
      <c r="N29" s="846" t="s">
        <v>96</v>
      </c>
      <c r="O29" s="847">
        <v>26</v>
      </c>
      <c r="P29" s="780" t="str">
        <f t="shared" si="1"/>
        <v>IWT060126</v>
      </c>
      <c r="Q29" s="847">
        <v>1109</v>
      </c>
      <c r="R29" s="847">
        <v>2951</v>
      </c>
      <c r="S29" s="847">
        <v>4757</v>
      </c>
      <c r="T29" s="847">
        <v>6528</v>
      </c>
      <c r="U29" s="847">
        <v>8263</v>
      </c>
      <c r="V29" s="847">
        <v>0</v>
      </c>
      <c r="W29" s="847">
        <v>0</v>
      </c>
      <c r="X29" s="847">
        <v>0</v>
      </c>
      <c r="Y29" s="847">
        <v>0</v>
      </c>
      <c r="Z29" s="847">
        <v>0</v>
      </c>
      <c r="AA29" s="847">
        <v>0</v>
      </c>
      <c r="AB29" s="847">
        <v>0</v>
      </c>
      <c r="AC29" s="847">
        <v>0</v>
      </c>
      <c r="AD29" s="847">
        <v>0</v>
      </c>
      <c r="AE29" s="847">
        <v>0</v>
      </c>
      <c r="AF29" s="847">
        <v>0</v>
      </c>
      <c r="AG29" s="847">
        <v>0</v>
      </c>
      <c r="AH29" s="847">
        <v>0</v>
      </c>
      <c r="AI29" s="847">
        <v>0</v>
      </c>
      <c r="AJ29" s="847">
        <v>0</v>
      </c>
      <c r="AK29" s="847">
        <v>0</v>
      </c>
      <c r="AL29" s="847">
        <v>0</v>
      </c>
      <c r="AM29" s="847">
        <v>0</v>
      </c>
      <c r="AN29" s="847">
        <v>0</v>
      </c>
      <c r="AO29" s="847">
        <v>0</v>
      </c>
      <c r="AP29" s="847">
        <v>0</v>
      </c>
      <c r="AQ29" s="847">
        <v>0</v>
      </c>
      <c r="AR29" s="847">
        <v>0</v>
      </c>
      <c r="AS29" s="847">
        <v>0</v>
      </c>
      <c r="AT29" s="847">
        <v>0</v>
      </c>
      <c r="AU29" s="847">
        <v>0</v>
      </c>
      <c r="AV29" s="847">
        <v>0</v>
      </c>
      <c r="AW29" s="847">
        <v>0</v>
      </c>
      <c r="AX29" s="847">
        <v>0</v>
      </c>
      <c r="AY29" s="847">
        <v>0</v>
      </c>
      <c r="AZ29" s="847">
        <v>0</v>
      </c>
      <c r="BA29" s="847">
        <v>0</v>
      </c>
      <c r="BB29" s="847">
        <v>0</v>
      </c>
      <c r="BC29" s="847">
        <v>0</v>
      </c>
      <c r="BD29" s="847">
        <v>0</v>
      </c>
      <c r="BE29" s="847">
        <v>0</v>
      </c>
      <c r="BF29" s="847">
        <v>0</v>
      </c>
      <c r="BG29" s="847">
        <v>0</v>
      </c>
      <c r="BH29" s="847">
        <v>0</v>
      </c>
      <c r="BI29" s="847">
        <v>0</v>
      </c>
      <c r="BJ29" s="847">
        <v>0</v>
      </c>
      <c r="BK29" s="847">
        <v>0</v>
      </c>
      <c r="BL29" s="847">
        <v>0</v>
      </c>
      <c r="BM29" s="847">
        <v>0</v>
      </c>
      <c r="BN29" s="847">
        <v>0</v>
      </c>
      <c r="BO29" s="847">
        <v>0</v>
      </c>
      <c r="BP29" s="847">
        <v>0</v>
      </c>
      <c r="BQ29" s="847">
        <v>0</v>
      </c>
      <c r="BR29" s="847">
        <v>0</v>
      </c>
      <c r="BS29" s="847">
        <v>0</v>
      </c>
      <c r="BT29" s="847">
        <v>0</v>
      </c>
      <c r="BU29" s="847">
        <v>0</v>
      </c>
      <c r="BV29" s="847">
        <v>0</v>
      </c>
      <c r="BW29" s="847">
        <v>0</v>
      </c>
      <c r="BX29" s="847">
        <v>0</v>
      </c>
      <c r="BY29" s="847">
        <v>0</v>
      </c>
      <c r="BZ29" s="847">
        <v>0</v>
      </c>
      <c r="CA29" s="847">
        <v>0</v>
      </c>
      <c r="CB29" s="847">
        <v>0</v>
      </c>
      <c r="CC29" s="847">
        <v>0</v>
      </c>
      <c r="CD29" s="847">
        <v>0</v>
      </c>
      <c r="CE29" s="847">
        <v>0</v>
      </c>
      <c r="CF29" s="847">
        <v>0</v>
      </c>
      <c r="CG29" s="847">
        <v>0</v>
      </c>
      <c r="CH29" s="847">
        <v>0</v>
      </c>
      <c r="CI29" s="847">
        <v>0</v>
      </c>
      <c r="CJ29" s="847">
        <v>0</v>
      </c>
      <c r="CK29" s="847">
        <v>0</v>
      </c>
      <c r="CL29" s="847">
        <v>0</v>
      </c>
      <c r="CM29" s="847">
        <v>0</v>
      </c>
      <c r="CN29" s="847">
        <v>0</v>
      </c>
      <c r="CO29" s="847">
        <v>0</v>
      </c>
      <c r="CP29" s="847">
        <v>0</v>
      </c>
      <c r="CQ29" s="847">
        <v>0</v>
      </c>
      <c r="CR29" s="847">
        <v>0</v>
      </c>
      <c r="CS29" s="847">
        <v>0</v>
      </c>
      <c r="CT29" s="847">
        <v>0</v>
      </c>
      <c r="CU29" s="847">
        <v>0</v>
      </c>
      <c r="CV29" s="847">
        <v>0</v>
      </c>
      <c r="CW29" s="847">
        <v>0</v>
      </c>
      <c r="CX29" s="847">
        <v>0</v>
      </c>
      <c r="CY29" s="847">
        <v>0</v>
      </c>
      <c r="CZ29" s="847">
        <v>0</v>
      </c>
      <c r="DA29" s="847">
        <v>0</v>
      </c>
      <c r="DB29" s="847">
        <v>0</v>
      </c>
      <c r="DC29" s="847">
        <v>0</v>
      </c>
      <c r="DD29" s="847">
        <v>0</v>
      </c>
      <c r="DE29" s="847">
        <v>0</v>
      </c>
      <c r="DF29" s="847">
        <v>0</v>
      </c>
      <c r="DG29" s="847">
        <v>0</v>
      </c>
      <c r="DH29" s="847">
        <v>0</v>
      </c>
      <c r="DI29" s="847">
        <v>0</v>
      </c>
      <c r="DJ29" s="847">
        <v>0</v>
      </c>
      <c r="DK29" s="847">
        <v>0</v>
      </c>
      <c r="DL29" s="847">
        <v>0</v>
      </c>
      <c r="DM29" s="847">
        <v>0</v>
      </c>
      <c r="DN29" s="847">
        <v>0</v>
      </c>
      <c r="DO29" s="847">
        <v>0</v>
      </c>
      <c r="DP29" s="847">
        <v>0</v>
      </c>
      <c r="DQ29" s="847">
        <v>0</v>
      </c>
      <c r="DR29" s="847">
        <v>0</v>
      </c>
      <c r="DS29" s="847">
        <v>0</v>
      </c>
      <c r="DT29" s="847">
        <v>0</v>
      </c>
      <c r="DU29" s="847">
        <v>0</v>
      </c>
      <c r="DV29" s="847">
        <v>0</v>
      </c>
      <c r="DW29" s="847">
        <v>0</v>
      </c>
      <c r="DY29" s="173"/>
      <c r="DZ29" s="173"/>
      <c r="EA29" s="173"/>
      <c r="EB29" s="174"/>
      <c r="EC29" s="175"/>
      <c r="ED29" s="174"/>
      <c r="EE29" s="174"/>
      <c r="EF29" s="174"/>
      <c r="EG29" s="174"/>
      <c r="EH29" s="174"/>
      <c r="EI29" s="174"/>
      <c r="EJ29" s="174"/>
      <c r="EK29" s="174"/>
      <c r="EL29" s="174"/>
      <c r="EM29" s="174"/>
      <c r="EN29" s="174"/>
      <c r="EO29" s="174"/>
      <c r="EP29" s="174"/>
      <c r="EQ29" s="174"/>
      <c r="ER29" s="174"/>
      <c r="ES29" s="174"/>
      <c r="ET29" s="174"/>
      <c r="EU29" s="174"/>
      <c r="EV29" s="174"/>
      <c r="EW29" s="174"/>
      <c r="EX29" s="174"/>
      <c r="EY29" s="174"/>
      <c r="EZ29" s="174"/>
      <c r="FA29" s="174"/>
      <c r="FB29" s="174"/>
      <c r="FC29" s="174"/>
      <c r="FD29" s="174"/>
      <c r="FE29" s="174"/>
      <c r="FF29" s="174"/>
      <c r="FG29" s="174"/>
      <c r="FH29" s="174"/>
      <c r="FI29" s="174"/>
      <c r="FJ29" s="174"/>
      <c r="FK29" s="174"/>
      <c r="FL29" s="174"/>
      <c r="FM29" s="174"/>
      <c r="FN29" s="174"/>
      <c r="FO29" s="174"/>
      <c r="FP29" s="174"/>
      <c r="FQ29" s="174"/>
      <c r="FR29" s="174"/>
      <c r="FS29" s="174"/>
      <c r="FT29" s="174"/>
      <c r="FU29" s="174"/>
      <c r="FV29" s="174"/>
      <c r="FW29" s="174"/>
      <c r="FX29" s="174"/>
      <c r="FY29" s="174"/>
      <c r="FZ29" s="174"/>
      <c r="GA29" s="174"/>
      <c r="GB29" s="174"/>
      <c r="GC29" s="174"/>
      <c r="GD29" s="174"/>
      <c r="GE29" s="174"/>
      <c r="GF29" s="174"/>
      <c r="GG29" s="174"/>
      <c r="GH29" s="174"/>
      <c r="GI29" s="174"/>
      <c r="GJ29" s="174"/>
      <c r="GK29" s="174"/>
      <c r="GL29" s="174"/>
      <c r="GM29" s="174"/>
      <c r="GN29" s="174"/>
      <c r="GO29" s="174"/>
      <c r="GP29" s="174"/>
      <c r="GQ29" s="174"/>
      <c r="GR29" s="174"/>
      <c r="GS29" s="174"/>
      <c r="GT29" s="174"/>
      <c r="GU29" s="174"/>
      <c r="GV29" s="174"/>
      <c r="GW29" s="174"/>
      <c r="GX29" s="174"/>
      <c r="GY29" s="174"/>
      <c r="GZ29" s="174"/>
      <c r="HA29" s="174"/>
      <c r="HB29" s="174"/>
      <c r="HC29" s="174"/>
      <c r="HD29" s="174"/>
      <c r="HE29" s="174"/>
      <c r="HF29" s="174"/>
      <c r="HG29" s="174"/>
      <c r="HH29" s="174"/>
      <c r="HI29" s="174"/>
      <c r="HJ29" s="174"/>
      <c r="HK29" s="176"/>
      <c r="HL29" s="176"/>
      <c r="HM29" s="176"/>
      <c r="HN29" s="176"/>
      <c r="HO29" s="176"/>
      <c r="HP29" s="176"/>
      <c r="HQ29" s="176"/>
      <c r="HR29" s="176"/>
      <c r="HS29" s="176"/>
      <c r="HT29" s="176"/>
      <c r="HU29" s="176"/>
      <c r="HV29" s="176"/>
      <c r="HW29" s="176"/>
      <c r="HX29" s="176"/>
      <c r="HY29" s="176"/>
      <c r="HZ29" s="176"/>
      <c r="IA29" s="176"/>
      <c r="IB29" s="176"/>
      <c r="IC29" s="176"/>
      <c r="ID29" s="176"/>
      <c r="IE29" s="176"/>
      <c r="IF29" s="176"/>
      <c r="IG29" s="176"/>
      <c r="IH29" s="176"/>
      <c r="II29" s="176"/>
      <c r="IJ29" s="176"/>
    </row>
    <row r="30" spans="1:244" ht="16.5" hidden="1">
      <c r="A30" s="846" t="s">
        <v>1060</v>
      </c>
      <c r="B30" s="846" t="s">
        <v>1382</v>
      </c>
      <c r="C30" s="846" t="s">
        <v>1171</v>
      </c>
      <c r="D30" s="847">
        <v>6</v>
      </c>
      <c r="E30" s="846" t="s">
        <v>1171</v>
      </c>
      <c r="F30" s="846" t="s">
        <v>96</v>
      </c>
      <c r="G30" s="851"/>
      <c r="H30" s="847">
        <v>27</v>
      </c>
      <c r="I30" s="780" t="str">
        <f t="shared" si="0"/>
        <v>IWT060127</v>
      </c>
      <c r="J30" s="847">
        <v>4957</v>
      </c>
      <c r="L30" s="846" t="s">
        <v>1060</v>
      </c>
      <c r="M30" s="846" t="s">
        <v>1382</v>
      </c>
      <c r="N30" s="846" t="s">
        <v>96</v>
      </c>
      <c r="O30" s="847">
        <v>27</v>
      </c>
      <c r="P30" s="780" t="str">
        <f t="shared" si="1"/>
        <v>IWT060127</v>
      </c>
      <c r="Q30" s="847">
        <v>1109</v>
      </c>
      <c r="R30" s="847">
        <v>2951</v>
      </c>
      <c r="S30" s="847">
        <v>4757</v>
      </c>
      <c r="T30" s="847">
        <v>6528</v>
      </c>
      <c r="U30" s="847">
        <v>8264</v>
      </c>
      <c r="V30" s="847">
        <v>0</v>
      </c>
      <c r="W30" s="847">
        <v>0</v>
      </c>
      <c r="X30" s="847">
        <v>0</v>
      </c>
      <c r="Y30" s="847">
        <v>0</v>
      </c>
      <c r="Z30" s="847">
        <v>0</v>
      </c>
      <c r="AA30" s="847">
        <v>0</v>
      </c>
      <c r="AB30" s="847">
        <v>0</v>
      </c>
      <c r="AC30" s="847">
        <v>0</v>
      </c>
      <c r="AD30" s="847">
        <v>0</v>
      </c>
      <c r="AE30" s="847">
        <v>0</v>
      </c>
      <c r="AF30" s="847">
        <v>0</v>
      </c>
      <c r="AG30" s="847">
        <v>0</v>
      </c>
      <c r="AH30" s="847">
        <v>0</v>
      </c>
      <c r="AI30" s="847">
        <v>0</v>
      </c>
      <c r="AJ30" s="847">
        <v>0</v>
      </c>
      <c r="AK30" s="847">
        <v>0</v>
      </c>
      <c r="AL30" s="847">
        <v>0</v>
      </c>
      <c r="AM30" s="847">
        <v>0</v>
      </c>
      <c r="AN30" s="847">
        <v>0</v>
      </c>
      <c r="AO30" s="847">
        <v>0</v>
      </c>
      <c r="AP30" s="847">
        <v>0</v>
      </c>
      <c r="AQ30" s="847">
        <v>0</v>
      </c>
      <c r="AR30" s="847">
        <v>0</v>
      </c>
      <c r="AS30" s="847">
        <v>0</v>
      </c>
      <c r="AT30" s="847">
        <v>0</v>
      </c>
      <c r="AU30" s="847">
        <v>0</v>
      </c>
      <c r="AV30" s="847">
        <v>0</v>
      </c>
      <c r="AW30" s="847">
        <v>0</v>
      </c>
      <c r="AX30" s="847">
        <v>0</v>
      </c>
      <c r="AY30" s="847">
        <v>0</v>
      </c>
      <c r="AZ30" s="847">
        <v>0</v>
      </c>
      <c r="BA30" s="847">
        <v>0</v>
      </c>
      <c r="BB30" s="847">
        <v>0</v>
      </c>
      <c r="BC30" s="847">
        <v>0</v>
      </c>
      <c r="BD30" s="847">
        <v>0</v>
      </c>
      <c r="BE30" s="847">
        <v>0</v>
      </c>
      <c r="BF30" s="847">
        <v>0</v>
      </c>
      <c r="BG30" s="847">
        <v>0</v>
      </c>
      <c r="BH30" s="847">
        <v>0</v>
      </c>
      <c r="BI30" s="847">
        <v>0</v>
      </c>
      <c r="BJ30" s="847">
        <v>0</v>
      </c>
      <c r="BK30" s="847">
        <v>0</v>
      </c>
      <c r="BL30" s="847">
        <v>0</v>
      </c>
      <c r="BM30" s="847">
        <v>0</v>
      </c>
      <c r="BN30" s="847">
        <v>0</v>
      </c>
      <c r="BO30" s="847">
        <v>0</v>
      </c>
      <c r="BP30" s="847">
        <v>0</v>
      </c>
      <c r="BQ30" s="847">
        <v>0</v>
      </c>
      <c r="BR30" s="847">
        <v>0</v>
      </c>
      <c r="BS30" s="847">
        <v>0</v>
      </c>
      <c r="BT30" s="847">
        <v>0</v>
      </c>
      <c r="BU30" s="847">
        <v>0</v>
      </c>
      <c r="BV30" s="847">
        <v>0</v>
      </c>
      <c r="BW30" s="847">
        <v>0</v>
      </c>
      <c r="BX30" s="847">
        <v>0</v>
      </c>
      <c r="BY30" s="847">
        <v>0</v>
      </c>
      <c r="BZ30" s="847">
        <v>0</v>
      </c>
      <c r="CA30" s="847">
        <v>0</v>
      </c>
      <c r="CB30" s="847">
        <v>0</v>
      </c>
      <c r="CC30" s="847">
        <v>0</v>
      </c>
      <c r="CD30" s="847">
        <v>0</v>
      </c>
      <c r="CE30" s="847">
        <v>0</v>
      </c>
      <c r="CF30" s="847">
        <v>0</v>
      </c>
      <c r="CG30" s="847">
        <v>0</v>
      </c>
      <c r="CH30" s="847">
        <v>0</v>
      </c>
      <c r="CI30" s="847">
        <v>0</v>
      </c>
      <c r="CJ30" s="847">
        <v>0</v>
      </c>
      <c r="CK30" s="847">
        <v>0</v>
      </c>
      <c r="CL30" s="847">
        <v>0</v>
      </c>
      <c r="CM30" s="847">
        <v>0</v>
      </c>
      <c r="CN30" s="847">
        <v>0</v>
      </c>
      <c r="CO30" s="847">
        <v>0</v>
      </c>
      <c r="CP30" s="847">
        <v>0</v>
      </c>
      <c r="CQ30" s="847">
        <v>0</v>
      </c>
      <c r="CR30" s="847">
        <v>0</v>
      </c>
      <c r="CS30" s="847">
        <v>0</v>
      </c>
      <c r="CT30" s="847">
        <v>0</v>
      </c>
      <c r="CU30" s="847">
        <v>0</v>
      </c>
      <c r="CV30" s="847">
        <v>0</v>
      </c>
      <c r="CW30" s="847">
        <v>0</v>
      </c>
      <c r="CX30" s="847">
        <v>0</v>
      </c>
      <c r="CY30" s="847">
        <v>0</v>
      </c>
      <c r="CZ30" s="847">
        <v>0</v>
      </c>
      <c r="DA30" s="847">
        <v>0</v>
      </c>
      <c r="DB30" s="847">
        <v>0</v>
      </c>
      <c r="DC30" s="847">
        <v>0</v>
      </c>
      <c r="DD30" s="847">
        <v>0</v>
      </c>
      <c r="DE30" s="847">
        <v>0</v>
      </c>
      <c r="DF30" s="847">
        <v>0</v>
      </c>
      <c r="DG30" s="847">
        <v>0</v>
      </c>
      <c r="DH30" s="847">
        <v>0</v>
      </c>
      <c r="DI30" s="847">
        <v>0</v>
      </c>
      <c r="DJ30" s="847">
        <v>0</v>
      </c>
      <c r="DK30" s="847">
        <v>0</v>
      </c>
      <c r="DL30" s="847">
        <v>0</v>
      </c>
      <c r="DM30" s="847">
        <v>0</v>
      </c>
      <c r="DN30" s="847">
        <v>0</v>
      </c>
      <c r="DO30" s="847">
        <v>0</v>
      </c>
      <c r="DP30" s="847">
        <v>0</v>
      </c>
      <c r="DQ30" s="847">
        <v>0</v>
      </c>
      <c r="DR30" s="847">
        <v>0</v>
      </c>
      <c r="DS30" s="847">
        <v>0</v>
      </c>
      <c r="DT30" s="847">
        <v>0</v>
      </c>
      <c r="DU30" s="847">
        <v>0</v>
      </c>
      <c r="DV30" s="847">
        <v>0</v>
      </c>
      <c r="DW30" s="847">
        <v>0</v>
      </c>
      <c r="DY30" s="173"/>
      <c r="DZ30" s="173"/>
      <c r="EA30" s="173"/>
      <c r="EB30" s="174"/>
      <c r="EC30" s="175"/>
      <c r="ED30" s="174"/>
      <c r="EE30" s="174"/>
      <c r="EF30" s="174"/>
      <c r="EG30" s="174"/>
      <c r="EH30" s="174"/>
      <c r="EI30" s="174"/>
      <c r="EJ30" s="174"/>
      <c r="EK30" s="174"/>
      <c r="EL30" s="174"/>
      <c r="EM30" s="174"/>
      <c r="EN30" s="174"/>
      <c r="EO30" s="174"/>
      <c r="EP30" s="174"/>
      <c r="EQ30" s="174"/>
      <c r="ER30" s="174"/>
      <c r="ES30" s="174"/>
      <c r="ET30" s="174"/>
      <c r="EU30" s="174"/>
      <c r="EV30" s="174"/>
      <c r="EW30" s="174"/>
      <c r="EX30" s="174"/>
      <c r="EY30" s="174"/>
      <c r="EZ30" s="174"/>
      <c r="FA30" s="174"/>
      <c r="FB30" s="174"/>
      <c r="FC30" s="174"/>
      <c r="FD30" s="174"/>
      <c r="FE30" s="174"/>
      <c r="FF30" s="174"/>
      <c r="FG30" s="174"/>
      <c r="FH30" s="174"/>
      <c r="FI30" s="174"/>
      <c r="FJ30" s="174"/>
      <c r="FK30" s="174"/>
      <c r="FL30" s="174"/>
      <c r="FM30" s="174"/>
      <c r="FN30" s="174"/>
      <c r="FO30" s="174"/>
      <c r="FP30" s="174"/>
      <c r="FQ30" s="174"/>
      <c r="FR30" s="174"/>
      <c r="FS30" s="174"/>
      <c r="FT30" s="174"/>
      <c r="FU30" s="174"/>
      <c r="FV30" s="174"/>
      <c r="FW30" s="174"/>
      <c r="FX30" s="174"/>
      <c r="FY30" s="174"/>
      <c r="FZ30" s="174"/>
      <c r="GA30" s="174"/>
      <c r="GB30" s="174"/>
      <c r="GC30" s="174"/>
      <c r="GD30" s="174"/>
      <c r="GE30" s="174"/>
      <c r="GF30" s="174"/>
      <c r="GG30" s="174"/>
      <c r="GH30" s="174"/>
      <c r="GI30" s="174"/>
      <c r="GJ30" s="174"/>
      <c r="GK30" s="174"/>
      <c r="GL30" s="174"/>
      <c r="GM30" s="174"/>
      <c r="GN30" s="174"/>
      <c r="GO30" s="174"/>
      <c r="GP30" s="174"/>
      <c r="GQ30" s="174"/>
      <c r="GR30" s="174"/>
      <c r="GS30" s="174"/>
      <c r="GT30" s="174"/>
      <c r="GU30" s="174"/>
      <c r="GV30" s="174"/>
      <c r="GW30" s="174"/>
      <c r="GX30" s="174"/>
      <c r="GY30" s="174"/>
      <c r="GZ30" s="174"/>
      <c r="HA30" s="174"/>
      <c r="HB30" s="174"/>
      <c r="HC30" s="174"/>
      <c r="HD30" s="174"/>
      <c r="HE30" s="174"/>
      <c r="HF30" s="174"/>
      <c r="HG30" s="174"/>
      <c r="HH30" s="174"/>
      <c r="HI30" s="174"/>
      <c r="HJ30" s="176"/>
      <c r="HK30" s="176"/>
      <c r="HL30" s="176"/>
      <c r="HM30" s="176"/>
      <c r="HN30" s="176"/>
      <c r="HO30" s="176"/>
      <c r="HP30" s="176"/>
      <c r="HQ30" s="176"/>
      <c r="HR30" s="176"/>
      <c r="HS30" s="176"/>
      <c r="HT30" s="176"/>
      <c r="HU30" s="176"/>
      <c r="HV30" s="176"/>
      <c r="HW30" s="176"/>
      <c r="HX30" s="176"/>
      <c r="HY30" s="176"/>
      <c r="HZ30" s="176"/>
      <c r="IA30" s="176"/>
      <c r="IB30" s="176"/>
      <c r="IC30" s="176"/>
      <c r="ID30" s="176"/>
      <c r="IE30" s="176"/>
      <c r="IF30" s="176"/>
      <c r="IG30" s="176"/>
      <c r="IH30" s="176"/>
      <c r="II30" s="176"/>
      <c r="IJ30" s="176"/>
    </row>
    <row r="31" spans="1:244" ht="16.5" hidden="1">
      <c r="A31" s="846" t="s">
        <v>1060</v>
      </c>
      <c r="B31" s="846" t="s">
        <v>1382</v>
      </c>
      <c r="C31" s="846" t="s">
        <v>1171</v>
      </c>
      <c r="D31" s="847">
        <v>6</v>
      </c>
      <c r="E31" s="846" t="s">
        <v>1171</v>
      </c>
      <c r="F31" s="846" t="s">
        <v>96</v>
      </c>
      <c r="G31" s="851"/>
      <c r="H31" s="847">
        <v>28</v>
      </c>
      <c r="I31" s="780" t="str">
        <f t="shared" si="0"/>
        <v>IWT060128</v>
      </c>
      <c r="J31" s="847">
        <v>4967</v>
      </c>
      <c r="L31" s="846" t="s">
        <v>1060</v>
      </c>
      <c r="M31" s="846" t="s">
        <v>1382</v>
      </c>
      <c r="N31" s="846" t="s">
        <v>96</v>
      </c>
      <c r="O31" s="847">
        <v>28</v>
      </c>
      <c r="P31" s="780" t="str">
        <f t="shared" si="1"/>
        <v>IWT060128</v>
      </c>
      <c r="Q31" s="847">
        <v>1108</v>
      </c>
      <c r="R31" s="847">
        <v>2951</v>
      </c>
      <c r="S31" s="847">
        <v>4757</v>
      </c>
      <c r="T31" s="847">
        <v>6528</v>
      </c>
      <c r="U31" s="847">
        <v>8263</v>
      </c>
      <c r="V31" s="847">
        <v>0</v>
      </c>
      <c r="W31" s="847">
        <v>0</v>
      </c>
      <c r="X31" s="847">
        <v>0</v>
      </c>
      <c r="Y31" s="847">
        <v>0</v>
      </c>
      <c r="Z31" s="847">
        <v>0</v>
      </c>
      <c r="AA31" s="847">
        <v>0</v>
      </c>
      <c r="AB31" s="847">
        <v>0</v>
      </c>
      <c r="AC31" s="847">
        <v>0</v>
      </c>
      <c r="AD31" s="847">
        <v>0</v>
      </c>
      <c r="AE31" s="847">
        <v>0</v>
      </c>
      <c r="AF31" s="847">
        <v>0</v>
      </c>
      <c r="AG31" s="847">
        <v>0</v>
      </c>
      <c r="AH31" s="847">
        <v>0</v>
      </c>
      <c r="AI31" s="847">
        <v>0</v>
      </c>
      <c r="AJ31" s="847">
        <v>0</v>
      </c>
      <c r="AK31" s="847">
        <v>0</v>
      </c>
      <c r="AL31" s="847">
        <v>0</v>
      </c>
      <c r="AM31" s="847">
        <v>0</v>
      </c>
      <c r="AN31" s="847">
        <v>0</v>
      </c>
      <c r="AO31" s="847">
        <v>0</v>
      </c>
      <c r="AP31" s="847">
        <v>0</v>
      </c>
      <c r="AQ31" s="847">
        <v>0</v>
      </c>
      <c r="AR31" s="847">
        <v>0</v>
      </c>
      <c r="AS31" s="847">
        <v>0</v>
      </c>
      <c r="AT31" s="847">
        <v>0</v>
      </c>
      <c r="AU31" s="847">
        <v>0</v>
      </c>
      <c r="AV31" s="847">
        <v>0</v>
      </c>
      <c r="AW31" s="847">
        <v>0</v>
      </c>
      <c r="AX31" s="847">
        <v>0</v>
      </c>
      <c r="AY31" s="847">
        <v>0</v>
      </c>
      <c r="AZ31" s="847">
        <v>0</v>
      </c>
      <c r="BA31" s="847">
        <v>0</v>
      </c>
      <c r="BB31" s="847">
        <v>0</v>
      </c>
      <c r="BC31" s="847">
        <v>0</v>
      </c>
      <c r="BD31" s="847">
        <v>0</v>
      </c>
      <c r="BE31" s="847">
        <v>0</v>
      </c>
      <c r="BF31" s="847">
        <v>0</v>
      </c>
      <c r="BG31" s="847">
        <v>0</v>
      </c>
      <c r="BH31" s="847">
        <v>0</v>
      </c>
      <c r="BI31" s="847">
        <v>0</v>
      </c>
      <c r="BJ31" s="847">
        <v>0</v>
      </c>
      <c r="BK31" s="847">
        <v>0</v>
      </c>
      <c r="BL31" s="847">
        <v>0</v>
      </c>
      <c r="BM31" s="847">
        <v>0</v>
      </c>
      <c r="BN31" s="847">
        <v>0</v>
      </c>
      <c r="BO31" s="847">
        <v>0</v>
      </c>
      <c r="BP31" s="847">
        <v>0</v>
      </c>
      <c r="BQ31" s="847">
        <v>0</v>
      </c>
      <c r="BR31" s="847">
        <v>0</v>
      </c>
      <c r="BS31" s="847">
        <v>0</v>
      </c>
      <c r="BT31" s="847">
        <v>0</v>
      </c>
      <c r="BU31" s="847">
        <v>0</v>
      </c>
      <c r="BV31" s="847">
        <v>0</v>
      </c>
      <c r="BW31" s="847">
        <v>0</v>
      </c>
      <c r="BX31" s="847">
        <v>0</v>
      </c>
      <c r="BY31" s="847">
        <v>0</v>
      </c>
      <c r="BZ31" s="847">
        <v>0</v>
      </c>
      <c r="CA31" s="847">
        <v>0</v>
      </c>
      <c r="CB31" s="847">
        <v>0</v>
      </c>
      <c r="CC31" s="847">
        <v>0</v>
      </c>
      <c r="CD31" s="847">
        <v>0</v>
      </c>
      <c r="CE31" s="847">
        <v>0</v>
      </c>
      <c r="CF31" s="847">
        <v>0</v>
      </c>
      <c r="CG31" s="847">
        <v>0</v>
      </c>
      <c r="CH31" s="847">
        <v>0</v>
      </c>
      <c r="CI31" s="847">
        <v>0</v>
      </c>
      <c r="CJ31" s="847">
        <v>0</v>
      </c>
      <c r="CK31" s="847">
        <v>0</v>
      </c>
      <c r="CL31" s="847">
        <v>0</v>
      </c>
      <c r="CM31" s="847">
        <v>0</v>
      </c>
      <c r="CN31" s="847">
        <v>0</v>
      </c>
      <c r="CO31" s="847">
        <v>0</v>
      </c>
      <c r="CP31" s="847">
        <v>0</v>
      </c>
      <c r="CQ31" s="847">
        <v>0</v>
      </c>
      <c r="CR31" s="847">
        <v>0</v>
      </c>
      <c r="CS31" s="847">
        <v>0</v>
      </c>
      <c r="CT31" s="847">
        <v>0</v>
      </c>
      <c r="CU31" s="847">
        <v>0</v>
      </c>
      <c r="CV31" s="847">
        <v>0</v>
      </c>
      <c r="CW31" s="847">
        <v>0</v>
      </c>
      <c r="CX31" s="847">
        <v>0</v>
      </c>
      <c r="CY31" s="847">
        <v>0</v>
      </c>
      <c r="CZ31" s="847">
        <v>0</v>
      </c>
      <c r="DA31" s="847">
        <v>0</v>
      </c>
      <c r="DB31" s="847">
        <v>0</v>
      </c>
      <c r="DC31" s="847">
        <v>0</v>
      </c>
      <c r="DD31" s="847">
        <v>0</v>
      </c>
      <c r="DE31" s="847">
        <v>0</v>
      </c>
      <c r="DF31" s="847">
        <v>0</v>
      </c>
      <c r="DG31" s="847">
        <v>0</v>
      </c>
      <c r="DH31" s="847">
        <v>0</v>
      </c>
      <c r="DI31" s="847">
        <v>0</v>
      </c>
      <c r="DJ31" s="847">
        <v>0</v>
      </c>
      <c r="DK31" s="847">
        <v>0</v>
      </c>
      <c r="DL31" s="847">
        <v>0</v>
      </c>
      <c r="DM31" s="847">
        <v>0</v>
      </c>
      <c r="DN31" s="847">
        <v>0</v>
      </c>
      <c r="DO31" s="847">
        <v>0</v>
      </c>
      <c r="DP31" s="847">
        <v>0</v>
      </c>
      <c r="DQ31" s="847">
        <v>0</v>
      </c>
      <c r="DR31" s="847">
        <v>0</v>
      </c>
      <c r="DS31" s="847">
        <v>0</v>
      </c>
      <c r="DT31" s="847">
        <v>0</v>
      </c>
      <c r="DU31" s="847">
        <v>0</v>
      </c>
      <c r="DV31" s="847">
        <v>0</v>
      </c>
      <c r="DW31" s="847">
        <v>0</v>
      </c>
      <c r="DY31" s="173"/>
      <c r="DZ31" s="173"/>
      <c r="EA31" s="173"/>
      <c r="EB31" s="174"/>
      <c r="EC31" s="175"/>
      <c r="ED31" s="174"/>
      <c r="EE31" s="174"/>
      <c r="EF31" s="174"/>
      <c r="EG31" s="174"/>
      <c r="EH31" s="174"/>
      <c r="EI31" s="174"/>
      <c r="EJ31" s="174"/>
      <c r="EK31" s="174"/>
      <c r="EL31" s="174"/>
      <c r="EM31" s="174"/>
      <c r="EN31" s="174"/>
      <c r="EO31" s="174"/>
      <c r="EP31" s="174"/>
      <c r="EQ31" s="174"/>
      <c r="ER31" s="174"/>
      <c r="ES31" s="174"/>
      <c r="ET31" s="174"/>
      <c r="EU31" s="174"/>
      <c r="EV31" s="174"/>
      <c r="EW31" s="174"/>
      <c r="EX31" s="174"/>
      <c r="EY31" s="174"/>
      <c r="EZ31" s="174"/>
      <c r="FA31" s="174"/>
      <c r="FB31" s="174"/>
      <c r="FC31" s="174"/>
      <c r="FD31" s="174"/>
      <c r="FE31" s="174"/>
      <c r="FF31" s="174"/>
      <c r="FG31" s="174"/>
      <c r="FH31" s="174"/>
      <c r="FI31" s="174"/>
      <c r="FJ31" s="174"/>
      <c r="FK31" s="174"/>
      <c r="FL31" s="174"/>
      <c r="FM31" s="174"/>
      <c r="FN31" s="174"/>
      <c r="FO31" s="174"/>
      <c r="FP31" s="174"/>
      <c r="FQ31" s="174"/>
      <c r="FR31" s="174"/>
      <c r="FS31" s="174"/>
      <c r="FT31" s="174"/>
      <c r="FU31" s="174"/>
      <c r="FV31" s="174"/>
      <c r="FW31" s="174"/>
      <c r="FX31" s="174"/>
      <c r="FY31" s="174"/>
      <c r="FZ31" s="174"/>
      <c r="GA31" s="174"/>
      <c r="GB31" s="174"/>
      <c r="GC31" s="174"/>
      <c r="GD31" s="174"/>
      <c r="GE31" s="174"/>
      <c r="GF31" s="174"/>
      <c r="GG31" s="174"/>
      <c r="GH31" s="174"/>
      <c r="GI31" s="174"/>
      <c r="GJ31" s="174"/>
      <c r="GK31" s="174"/>
      <c r="GL31" s="174"/>
      <c r="GM31" s="174"/>
      <c r="GN31" s="174"/>
      <c r="GO31" s="174"/>
      <c r="GP31" s="174"/>
      <c r="GQ31" s="174"/>
      <c r="GR31" s="174"/>
      <c r="GS31" s="174"/>
      <c r="GT31" s="174"/>
      <c r="GU31" s="174"/>
      <c r="GV31" s="174"/>
      <c r="GW31" s="174"/>
      <c r="GX31" s="174"/>
      <c r="GY31" s="174"/>
      <c r="GZ31" s="174"/>
      <c r="HA31" s="174"/>
      <c r="HB31" s="174"/>
      <c r="HC31" s="174"/>
      <c r="HD31" s="174"/>
      <c r="HE31" s="174"/>
      <c r="HF31" s="174"/>
      <c r="HG31" s="174"/>
      <c r="HH31" s="174"/>
      <c r="HI31" s="176"/>
      <c r="HJ31" s="176"/>
      <c r="HK31" s="176"/>
      <c r="HL31" s="176"/>
      <c r="HM31" s="176"/>
      <c r="HN31" s="176"/>
      <c r="HO31" s="176"/>
      <c r="HP31" s="176"/>
      <c r="HQ31" s="176"/>
      <c r="HR31" s="176"/>
      <c r="HS31" s="176"/>
      <c r="HT31" s="176"/>
      <c r="HU31" s="176"/>
      <c r="HV31" s="176"/>
      <c r="HW31" s="176"/>
      <c r="HX31" s="176"/>
      <c r="HY31" s="176"/>
      <c r="HZ31" s="176"/>
      <c r="IA31" s="176"/>
      <c r="IB31" s="176"/>
      <c r="IC31" s="176"/>
      <c r="ID31" s="176"/>
      <c r="IE31" s="176"/>
      <c r="IF31" s="176"/>
      <c r="IG31" s="176"/>
      <c r="IH31" s="176"/>
      <c r="II31" s="176"/>
      <c r="IJ31" s="176"/>
    </row>
    <row r="32" spans="1:244" ht="16.5" hidden="1">
      <c r="A32" s="846" t="s">
        <v>1060</v>
      </c>
      <c r="B32" s="846" t="s">
        <v>1382</v>
      </c>
      <c r="C32" s="846" t="s">
        <v>1171</v>
      </c>
      <c r="D32" s="847">
        <v>6</v>
      </c>
      <c r="E32" s="846" t="s">
        <v>1171</v>
      </c>
      <c r="F32" s="846" t="s">
        <v>96</v>
      </c>
      <c r="G32" s="851"/>
      <c r="H32" s="847">
        <v>29</v>
      </c>
      <c r="I32" s="780" t="str">
        <f t="shared" si="0"/>
        <v>IWT060129</v>
      </c>
      <c r="J32" s="847">
        <v>4976</v>
      </c>
      <c r="L32" s="846" t="s">
        <v>1060</v>
      </c>
      <c r="M32" s="846" t="s">
        <v>1382</v>
      </c>
      <c r="N32" s="846" t="s">
        <v>96</v>
      </c>
      <c r="O32" s="847">
        <v>29</v>
      </c>
      <c r="P32" s="780" t="str">
        <f t="shared" si="1"/>
        <v>IWT060129</v>
      </c>
      <c r="Q32" s="847">
        <v>1108</v>
      </c>
      <c r="R32" s="847">
        <v>2950</v>
      </c>
      <c r="S32" s="847">
        <v>4757</v>
      </c>
      <c r="T32" s="847">
        <v>6527</v>
      </c>
      <c r="U32" s="847">
        <v>8263</v>
      </c>
      <c r="V32" s="847">
        <v>0</v>
      </c>
      <c r="W32" s="847">
        <v>0</v>
      </c>
      <c r="X32" s="847">
        <v>0</v>
      </c>
      <c r="Y32" s="847">
        <v>0</v>
      </c>
      <c r="Z32" s="847">
        <v>0</v>
      </c>
      <c r="AA32" s="847">
        <v>0</v>
      </c>
      <c r="AB32" s="847">
        <v>0</v>
      </c>
      <c r="AC32" s="847">
        <v>0</v>
      </c>
      <c r="AD32" s="847">
        <v>0</v>
      </c>
      <c r="AE32" s="847">
        <v>0</v>
      </c>
      <c r="AF32" s="847">
        <v>0</v>
      </c>
      <c r="AG32" s="847">
        <v>0</v>
      </c>
      <c r="AH32" s="847">
        <v>0</v>
      </c>
      <c r="AI32" s="847">
        <v>0</v>
      </c>
      <c r="AJ32" s="847">
        <v>0</v>
      </c>
      <c r="AK32" s="847">
        <v>0</v>
      </c>
      <c r="AL32" s="847">
        <v>0</v>
      </c>
      <c r="AM32" s="847">
        <v>0</v>
      </c>
      <c r="AN32" s="847">
        <v>0</v>
      </c>
      <c r="AO32" s="847">
        <v>0</v>
      </c>
      <c r="AP32" s="847">
        <v>0</v>
      </c>
      <c r="AQ32" s="847">
        <v>0</v>
      </c>
      <c r="AR32" s="847">
        <v>0</v>
      </c>
      <c r="AS32" s="847">
        <v>0</v>
      </c>
      <c r="AT32" s="847">
        <v>0</v>
      </c>
      <c r="AU32" s="847">
        <v>0</v>
      </c>
      <c r="AV32" s="847">
        <v>0</v>
      </c>
      <c r="AW32" s="847">
        <v>0</v>
      </c>
      <c r="AX32" s="847">
        <v>0</v>
      </c>
      <c r="AY32" s="847">
        <v>0</v>
      </c>
      <c r="AZ32" s="847">
        <v>0</v>
      </c>
      <c r="BA32" s="847">
        <v>0</v>
      </c>
      <c r="BB32" s="847">
        <v>0</v>
      </c>
      <c r="BC32" s="847">
        <v>0</v>
      </c>
      <c r="BD32" s="847">
        <v>0</v>
      </c>
      <c r="BE32" s="847">
        <v>0</v>
      </c>
      <c r="BF32" s="847">
        <v>0</v>
      </c>
      <c r="BG32" s="847">
        <v>0</v>
      </c>
      <c r="BH32" s="847">
        <v>0</v>
      </c>
      <c r="BI32" s="847">
        <v>0</v>
      </c>
      <c r="BJ32" s="847">
        <v>0</v>
      </c>
      <c r="BK32" s="847">
        <v>0</v>
      </c>
      <c r="BL32" s="847">
        <v>0</v>
      </c>
      <c r="BM32" s="847">
        <v>0</v>
      </c>
      <c r="BN32" s="847">
        <v>0</v>
      </c>
      <c r="BO32" s="847">
        <v>0</v>
      </c>
      <c r="BP32" s="847">
        <v>0</v>
      </c>
      <c r="BQ32" s="847">
        <v>0</v>
      </c>
      <c r="BR32" s="847">
        <v>0</v>
      </c>
      <c r="BS32" s="847">
        <v>0</v>
      </c>
      <c r="BT32" s="847">
        <v>0</v>
      </c>
      <c r="BU32" s="847">
        <v>0</v>
      </c>
      <c r="BV32" s="847">
        <v>0</v>
      </c>
      <c r="BW32" s="847">
        <v>0</v>
      </c>
      <c r="BX32" s="847">
        <v>0</v>
      </c>
      <c r="BY32" s="847">
        <v>0</v>
      </c>
      <c r="BZ32" s="847">
        <v>0</v>
      </c>
      <c r="CA32" s="847">
        <v>0</v>
      </c>
      <c r="CB32" s="847">
        <v>0</v>
      </c>
      <c r="CC32" s="847">
        <v>0</v>
      </c>
      <c r="CD32" s="847">
        <v>0</v>
      </c>
      <c r="CE32" s="847">
        <v>0</v>
      </c>
      <c r="CF32" s="847">
        <v>0</v>
      </c>
      <c r="CG32" s="847">
        <v>0</v>
      </c>
      <c r="CH32" s="847">
        <v>0</v>
      </c>
      <c r="CI32" s="847">
        <v>0</v>
      </c>
      <c r="CJ32" s="847">
        <v>0</v>
      </c>
      <c r="CK32" s="847">
        <v>0</v>
      </c>
      <c r="CL32" s="847">
        <v>0</v>
      </c>
      <c r="CM32" s="847">
        <v>0</v>
      </c>
      <c r="CN32" s="847">
        <v>0</v>
      </c>
      <c r="CO32" s="847">
        <v>0</v>
      </c>
      <c r="CP32" s="847">
        <v>0</v>
      </c>
      <c r="CQ32" s="847">
        <v>0</v>
      </c>
      <c r="CR32" s="847">
        <v>0</v>
      </c>
      <c r="CS32" s="847">
        <v>0</v>
      </c>
      <c r="CT32" s="847">
        <v>0</v>
      </c>
      <c r="CU32" s="847">
        <v>0</v>
      </c>
      <c r="CV32" s="847">
        <v>0</v>
      </c>
      <c r="CW32" s="847">
        <v>0</v>
      </c>
      <c r="CX32" s="847">
        <v>0</v>
      </c>
      <c r="CY32" s="847">
        <v>0</v>
      </c>
      <c r="CZ32" s="847">
        <v>0</v>
      </c>
      <c r="DA32" s="847">
        <v>0</v>
      </c>
      <c r="DB32" s="847">
        <v>0</v>
      </c>
      <c r="DC32" s="847">
        <v>0</v>
      </c>
      <c r="DD32" s="847">
        <v>0</v>
      </c>
      <c r="DE32" s="847">
        <v>0</v>
      </c>
      <c r="DF32" s="847">
        <v>0</v>
      </c>
      <c r="DG32" s="847">
        <v>0</v>
      </c>
      <c r="DH32" s="847">
        <v>0</v>
      </c>
      <c r="DI32" s="847">
        <v>0</v>
      </c>
      <c r="DJ32" s="847">
        <v>0</v>
      </c>
      <c r="DK32" s="847">
        <v>0</v>
      </c>
      <c r="DL32" s="847">
        <v>0</v>
      </c>
      <c r="DM32" s="847">
        <v>0</v>
      </c>
      <c r="DN32" s="847">
        <v>0</v>
      </c>
      <c r="DO32" s="847">
        <v>0</v>
      </c>
      <c r="DP32" s="847">
        <v>0</v>
      </c>
      <c r="DQ32" s="847">
        <v>0</v>
      </c>
      <c r="DR32" s="847">
        <v>0</v>
      </c>
      <c r="DS32" s="847">
        <v>0</v>
      </c>
      <c r="DT32" s="847">
        <v>0</v>
      </c>
      <c r="DU32" s="847">
        <v>0</v>
      </c>
      <c r="DV32" s="847">
        <v>0</v>
      </c>
      <c r="DW32" s="847">
        <v>0</v>
      </c>
      <c r="DY32" s="173"/>
      <c r="DZ32" s="173"/>
      <c r="EA32" s="173"/>
      <c r="EB32" s="174"/>
      <c r="EC32" s="175"/>
      <c r="ED32" s="174"/>
      <c r="EE32" s="174"/>
      <c r="EF32" s="174"/>
      <c r="EG32" s="174"/>
      <c r="EH32" s="174"/>
      <c r="EI32" s="174"/>
      <c r="EJ32" s="174"/>
      <c r="EK32" s="174"/>
      <c r="EL32" s="174"/>
      <c r="EM32" s="174"/>
      <c r="EN32" s="174"/>
      <c r="EO32" s="174"/>
      <c r="EP32" s="174"/>
      <c r="EQ32" s="174"/>
      <c r="ER32" s="174"/>
      <c r="ES32" s="174"/>
      <c r="ET32" s="174"/>
      <c r="EU32" s="174"/>
      <c r="EV32" s="174"/>
      <c r="EW32" s="174"/>
      <c r="EX32" s="174"/>
      <c r="EY32" s="174"/>
      <c r="EZ32" s="174"/>
      <c r="FA32" s="174"/>
      <c r="FB32" s="174"/>
      <c r="FC32" s="174"/>
      <c r="FD32" s="174"/>
      <c r="FE32" s="174"/>
      <c r="FF32" s="174"/>
      <c r="FG32" s="174"/>
      <c r="FH32" s="174"/>
      <c r="FI32" s="174"/>
      <c r="FJ32" s="174"/>
      <c r="FK32" s="174"/>
      <c r="FL32" s="174"/>
      <c r="FM32" s="174"/>
      <c r="FN32" s="174"/>
      <c r="FO32" s="174"/>
      <c r="FP32" s="174"/>
      <c r="FQ32" s="174"/>
      <c r="FR32" s="174"/>
      <c r="FS32" s="174"/>
      <c r="FT32" s="174"/>
      <c r="FU32" s="174"/>
      <c r="FV32" s="174"/>
      <c r="FW32" s="174"/>
      <c r="FX32" s="174"/>
      <c r="FY32" s="174"/>
      <c r="FZ32" s="174"/>
      <c r="GA32" s="174"/>
      <c r="GB32" s="174"/>
      <c r="GC32" s="174"/>
      <c r="GD32" s="174"/>
      <c r="GE32" s="174"/>
      <c r="GF32" s="174"/>
      <c r="GG32" s="174"/>
      <c r="GH32" s="174"/>
      <c r="GI32" s="174"/>
      <c r="GJ32" s="174"/>
      <c r="GK32" s="174"/>
      <c r="GL32" s="174"/>
      <c r="GM32" s="174"/>
      <c r="GN32" s="174"/>
      <c r="GO32" s="174"/>
      <c r="GP32" s="174"/>
      <c r="GQ32" s="174"/>
      <c r="GR32" s="174"/>
      <c r="GS32" s="174"/>
      <c r="GT32" s="174"/>
      <c r="GU32" s="174"/>
      <c r="GV32" s="174"/>
      <c r="GW32" s="174"/>
      <c r="GX32" s="174"/>
      <c r="GY32" s="174"/>
      <c r="GZ32" s="174"/>
      <c r="HA32" s="174"/>
      <c r="HB32" s="174"/>
      <c r="HC32" s="174"/>
      <c r="HD32" s="174"/>
      <c r="HE32" s="174"/>
      <c r="HF32" s="174"/>
      <c r="HG32" s="174"/>
      <c r="HH32" s="176"/>
      <c r="HI32" s="176"/>
      <c r="HJ32" s="176"/>
      <c r="HK32" s="176"/>
      <c r="HL32" s="176"/>
      <c r="HM32" s="176"/>
      <c r="HN32" s="176"/>
      <c r="HO32" s="176"/>
      <c r="HP32" s="176"/>
      <c r="HQ32" s="176"/>
      <c r="HR32" s="176"/>
      <c r="HS32" s="176"/>
      <c r="HT32" s="176"/>
      <c r="HU32" s="176"/>
      <c r="HV32" s="176"/>
      <c r="HW32" s="176"/>
      <c r="HX32" s="176"/>
      <c r="HY32" s="176"/>
      <c r="HZ32" s="176"/>
      <c r="IA32" s="176"/>
      <c r="IB32" s="176"/>
      <c r="IC32" s="176"/>
      <c r="ID32" s="176"/>
      <c r="IE32" s="176"/>
      <c r="IF32" s="176"/>
      <c r="IG32" s="176"/>
      <c r="IH32" s="176"/>
      <c r="II32" s="176"/>
      <c r="IJ32" s="176"/>
    </row>
    <row r="33" spans="1:244" ht="16.5" hidden="1">
      <c r="A33" s="846" t="s">
        <v>1060</v>
      </c>
      <c r="B33" s="846" t="s">
        <v>1382</v>
      </c>
      <c r="C33" s="846" t="s">
        <v>1171</v>
      </c>
      <c r="D33" s="847">
        <v>6</v>
      </c>
      <c r="E33" s="846" t="s">
        <v>1171</v>
      </c>
      <c r="F33" s="846" t="s">
        <v>96</v>
      </c>
      <c r="G33" s="851"/>
      <c r="H33" s="847">
        <v>30</v>
      </c>
      <c r="I33" s="780" t="str">
        <f t="shared" si="0"/>
        <v>IWT060130</v>
      </c>
      <c r="J33" s="847">
        <v>4985</v>
      </c>
      <c r="L33" s="846" t="s">
        <v>1060</v>
      </c>
      <c r="M33" s="846" t="s">
        <v>1382</v>
      </c>
      <c r="N33" s="846" t="s">
        <v>96</v>
      </c>
      <c r="O33" s="847">
        <v>30</v>
      </c>
      <c r="P33" s="780" t="str">
        <f t="shared" si="1"/>
        <v>IWT060130</v>
      </c>
      <c r="Q33" s="847">
        <v>1108</v>
      </c>
      <c r="R33" s="847">
        <v>2950</v>
      </c>
      <c r="S33" s="847">
        <v>4757</v>
      </c>
      <c r="T33" s="847">
        <v>6527</v>
      </c>
      <c r="U33" s="847">
        <v>8263</v>
      </c>
      <c r="V33" s="847">
        <v>0</v>
      </c>
      <c r="W33" s="847">
        <v>0</v>
      </c>
      <c r="X33" s="847">
        <v>0</v>
      </c>
      <c r="Y33" s="847">
        <v>0</v>
      </c>
      <c r="Z33" s="847">
        <v>0</v>
      </c>
      <c r="AA33" s="847">
        <v>0</v>
      </c>
      <c r="AB33" s="847">
        <v>0</v>
      </c>
      <c r="AC33" s="847">
        <v>0</v>
      </c>
      <c r="AD33" s="847">
        <v>0</v>
      </c>
      <c r="AE33" s="847">
        <v>0</v>
      </c>
      <c r="AF33" s="847">
        <v>0</v>
      </c>
      <c r="AG33" s="847">
        <v>0</v>
      </c>
      <c r="AH33" s="847">
        <v>0</v>
      </c>
      <c r="AI33" s="847">
        <v>0</v>
      </c>
      <c r="AJ33" s="847">
        <v>0</v>
      </c>
      <c r="AK33" s="847">
        <v>0</v>
      </c>
      <c r="AL33" s="847">
        <v>0</v>
      </c>
      <c r="AM33" s="847">
        <v>0</v>
      </c>
      <c r="AN33" s="847">
        <v>0</v>
      </c>
      <c r="AO33" s="847">
        <v>0</v>
      </c>
      <c r="AP33" s="847">
        <v>0</v>
      </c>
      <c r="AQ33" s="847">
        <v>0</v>
      </c>
      <c r="AR33" s="847">
        <v>0</v>
      </c>
      <c r="AS33" s="847">
        <v>0</v>
      </c>
      <c r="AT33" s="847">
        <v>0</v>
      </c>
      <c r="AU33" s="847">
        <v>0</v>
      </c>
      <c r="AV33" s="847">
        <v>0</v>
      </c>
      <c r="AW33" s="847">
        <v>0</v>
      </c>
      <c r="AX33" s="847">
        <v>0</v>
      </c>
      <c r="AY33" s="847">
        <v>0</v>
      </c>
      <c r="AZ33" s="847">
        <v>0</v>
      </c>
      <c r="BA33" s="847">
        <v>0</v>
      </c>
      <c r="BB33" s="847">
        <v>0</v>
      </c>
      <c r="BC33" s="847">
        <v>0</v>
      </c>
      <c r="BD33" s="847">
        <v>0</v>
      </c>
      <c r="BE33" s="847">
        <v>0</v>
      </c>
      <c r="BF33" s="847">
        <v>0</v>
      </c>
      <c r="BG33" s="847">
        <v>0</v>
      </c>
      <c r="BH33" s="847">
        <v>0</v>
      </c>
      <c r="BI33" s="847">
        <v>0</v>
      </c>
      <c r="BJ33" s="847">
        <v>0</v>
      </c>
      <c r="BK33" s="847">
        <v>0</v>
      </c>
      <c r="BL33" s="847">
        <v>0</v>
      </c>
      <c r="BM33" s="847">
        <v>0</v>
      </c>
      <c r="BN33" s="847">
        <v>0</v>
      </c>
      <c r="BO33" s="847">
        <v>0</v>
      </c>
      <c r="BP33" s="847">
        <v>0</v>
      </c>
      <c r="BQ33" s="847">
        <v>0</v>
      </c>
      <c r="BR33" s="847">
        <v>0</v>
      </c>
      <c r="BS33" s="847">
        <v>0</v>
      </c>
      <c r="BT33" s="847">
        <v>0</v>
      </c>
      <c r="BU33" s="847">
        <v>0</v>
      </c>
      <c r="BV33" s="847">
        <v>0</v>
      </c>
      <c r="BW33" s="847">
        <v>0</v>
      </c>
      <c r="BX33" s="847">
        <v>0</v>
      </c>
      <c r="BY33" s="847">
        <v>0</v>
      </c>
      <c r="BZ33" s="847">
        <v>0</v>
      </c>
      <c r="CA33" s="847">
        <v>0</v>
      </c>
      <c r="CB33" s="847">
        <v>0</v>
      </c>
      <c r="CC33" s="847">
        <v>0</v>
      </c>
      <c r="CD33" s="847">
        <v>0</v>
      </c>
      <c r="CE33" s="847">
        <v>0</v>
      </c>
      <c r="CF33" s="847">
        <v>0</v>
      </c>
      <c r="CG33" s="847">
        <v>0</v>
      </c>
      <c r="CH33" s="847">
        <v>0</v>
      </c>
      <c r="CI33" s="847">
        <v>0</v>
      </c>
      <c r="CJ33" s="847">
        <v>0</v>
      </c>
      <c r="CK33" s="847">
        <v>0</v>
      </c>
      <c r="CL33" s="847">
        <v>0</v>
      </c>
      <c r="CM33" s="847">
        <v>0</v>
      </c>
      <c r="CN33" s="847">
        <v>0</v>
      </c>
      <c r="CO33" s="847">
        <v>0</v>
      </c>
      <c r="CP33" s="847">
        <v>0</v>
      </c>
      <c r="CQ33" s="847">
        <v>0</v>
      </c>
      <c r="CR33" s="847">
        <v>0</v>
      </c>
      <c r="CS33" s="847">
        <v>0</v>
      </c>
      <c r="CT33" s="847">
        <v>0</v>
      </c>
      <c r="CU33" s="847">
        <v>0</v>
      </c>
      <c r="CV33" s="847">
        <v>0</v>
      </c>
      <c r="CW33" s="847">
        <v>0</v>
      </c>
      <c r="CX33" s="847">
        <v>0</v>
      </c>
      <c r="CY33" s="847">
        <v>0</v>
      </c>
      <c r="CZ33" s="847">
        <v>0</v>
      </c>
      <c r="DA33" s="847">
        <v>0</v>
      </c>
      <c r="DB33" s="847">
        <v>0</v>
      </c>
      <c r="DC33" s="847">
        <v>0</v>
      </c>
      <c r="DD33" s="847">
        <v>0</v>
      </c>
      <c r="DE33" s="847">
        <v>0</v>
      </c>
      <c r="DF33" s="847">
        <v>0</v>
      </c>
      <c r="DG33" s="847">
        <v>0</v>
      </c>
      <c r="DH33" s="847">
        <v>0</v>
      </c>
      <c r="DI33" s="847">
        <v>0</v>
      </c>
      <c r="DJ33" s="847">
        <v>0</v>
      </c>
      <c r="DK33" s="847">
        <v>0</v>
      </c>
      <c r="DL33" s="847">
        <v>0</v>
      </c>
      <c r="DM33" s="847">
        <v>0</v>
      </c>
      <c r="DN33" s="847">
        <v>0</v>
      </c>
      <c r="DO33" s="847">
        <v>0</v>
      </c>
      <c r="DP33" s="847">
        <v>0</v>
      </c>
      <c r="DQ33" s="847">
        <v>0</v>
      </c>
      <c r="DR33" s="847">
        <v>0</v>
      </c>
      <c r="DS33" s="847">
        <v>0</v>
      </c>
      <c r="DT33" s="847">
        <v>0</v>
      </c>
      <c r="DU33" s="847">
        <v>0</v>
      </c>
      <c r="DV33" s="847">
        <v>0</v>
      </c>
      <c r="DW33" s="847">
        <v>0</v>
      </c>
      <c r="DY33" s="173"/>
      <c r="DZ33" s="173"/>
      <c r="EA33" s="173"/>
      <c r="EB33" s="174"/>
      <c r="EC33" s="175"/>
      <c r="ED33" s="174"/>
      <c r="EE33" s="174"/>
      <c r="EF33" s="174"/>
      <c r="EG33" s="174"/>
      <c r="EH33" s="174"/>
      <c r="EI33" s="174"/>
      <c r="EJ33" s="174"/>
      <c r="EK33" s="174"/>
      <c r="EL33" s="174"/>
      <c r="EM33" s="174"/>
      <c r="EN33" s="174"/>
      <c r="EO33" s="174"/>
      <c r="EP33" s="174"/>
      <c r="EQ33" s="174"/>
      <c r="ER33" s="174"/>
      <c r="ES33" s="174"/>
      <c r="ET33" s="174"/>
      <c r="EU33" s="174"/>
      <c r="EV33" s="174"/>
      <c r="EW33" s="174"/>
      <c r="EX33" s="174"/>
      <c r="EY33" s="174"/>
      <c r="EZ33" s="174"/>
      <c r="FA33" s="174"/>
      <c r="FB33" s="174"/>
      <c r="FC33" s="174"/>
      <c r="FD33" s="174"/>
      <c r="FE33" s="174"/>
      <c r="FF33" s="174"/>
      <c r="FG33" s="174"/>
      <c r="FH33" s="174"/>
      <c r="FI33" s="174"/>
      <c r="FJ33" s="174"/>
      <c r="FK33" s="174"/>
      <c r="FL33" s="174"/>
      <c r="FM33" s="174"/>
      <c r="FN33" s="174"/>
      <c r="FO33" s="174"/>
      <c r="FP33" s="174"/>
      <c r="FQ33" s="174"/>
      <c r="FR33" s="174"/>
      <c r="FS33" s="174"/>
      <c r="FT33" s="174"/>
      <c r="FU33" s="174"/>
      <c r="FV33" s="174"/>
      <c r="FW33" s="174"/>
      <c r="FX33" s="174"/>
      <c r="FY33" s="174"/>
      <c r="FZ33" s="174"/>
      <c r="GA33" s="174"/>
      <c r="GB33" s="174"/>
      <c r="GC33" s="174"/>
      <c r="GD33" s="174"/>
      <c r="GE33" s="174"/>
      <c r="GF33" s="174"/>
      <c r="GG33" s="174"/>
      <c r="GH33" s="174"/>
      <c r="GI33" s="174"/>
      <c r="GJ33" s="174"/>
      <c r="GK33" s="174"/>
      <c r="GL33" s="174"/>
      <c r="GM33" s="174"/>
      <c r="GN33" s="174"/>
      <c r="GO33" s="174"/>
      <c r="GP33" s="174"/>
      <c r="GQ33" s="174"/>
      <c r="GR33" s="174"/>
      <c r="GS33" s="174"/>
      <c r="GT33" s="174"/>
      <c r="GU33" s="174"/>
      <c r="GV33" s="174"/>
      <c r="GW33" s="174"/>
      <c r="GX33" s="174"/>
      <c r="GY33" s="174"/>
      <c r="GZ33" s="174"/>
      <c r="HA33" s="174"/>
      <c r="HB33" s="174"/>
      <c r="HC33" s="174"/>
      <c r="HD33" s="174"/>
      <c r="HE33" s="174"/>
      <c r="HF33" s="174"/>
      <c r="HG33" s="176"/>
      <c r="HH33" s="176"/>
      <c r="HI33" s="176"/>
      <c r="HJ33" s="176"/>
      <c r="HK33" s="176"/>
      <c r="HL33" s="176"/>
      <c r="HM33" s="176"/>
      <c r="HN33" s="176"/>
      <c r="HO33" s="176"/>
      <c r="HP33" s="176"/>
      <c r="HQ33" s="176"/>
      <c r="HR33" s="176"/>
      <c r="HS33" s="176"/>
      <c r="HT33" s="176"/>
      <c r="HU33" s="176"/>
      <c r="HV33" s="176"/>
      <c r="HW33" s="176"/>
      <c r="HX33" s="176"/>
      <c r="HY33" s="176"/>
      <c r="HZ33" s="176"/>
      <c r="IA33" s="176"/>
      <c r="IB33" s="176"/>
      <c r="IC33" s="176"/>
      <c r="ID33" s="176"/>
      <c r="IE33" s="176"/>
      <c r="IF33" s="176"/>
      <c r="IG33" s="176"/>
      <c r="IH33" s="176"/>
      <c r="II33" s="176"/>
      <c r="IJ33" s="176"/>
    </row>
    <row r="34" spans="1:244" ht="16.5" hidden="1">
      <c r="A34" s="846" t="s">
        <v>1060</v>
      </c>
      <c r="B34" s="846" t="s">
        <v>1382</v>
      </c>
      <c r="C34" s="846" t="s">
        <v>1171</v>
      </c>
      <c r="D34" s="847">
        <v>6</v>
      </c>
      <c r="E34" s="846" t="s">
        <v>1171</v>
      </c>
      <c r="F34" s="846" t="s">
        <v>96</v>
      </c>
      <c r="G34" s="851"/>
      <c r="H34" s="847">
        <v>31</v>
      </c>
      <c r="I34" s="780" t="str">
        <f t="shared" si="0"/>
        <v>IWT060131</v>
      </c>
      <c r="J34" s="847">
        <v>4993</v>
      </c>
      <c r="L34" s="846" t="s">
        <v>1060</v>
      </c>
      <c r="M34" s="846" t="s">
        <v>1382</v>
      </c>
      <c r="N34" s="846" t="s">
        <v>96</v>
      </c>
      <c r="O34" s="847">
        <v>31</v>
      </c>
      <c r="P34" s="780" t="str">
        <f t="shared" si="1"/>
        <v>IWT060131</v>
      </c>
      <c r="Q34" s="847">
        <v>1107</v>
      </c>
      <c r="R34" s="847">
        <v>2950</v>
      </c>
      <c r="S34" s="847">
        <v>4756</v>
      </c>
      <c r="T34" s="847">
        <v>6527</v>
      </c>
      <c r="U34" s="847">
        <v>8263</v>
      </c>
      <c r="V34" s="847">
        <v>0</v>
      </c>
      <c r="W34" s="847">
        <v>0</v>
      </c>
      <c r="X34" s="847">
        <v>0</v>
      </c>
      <c r="Y34" s="847">
        <v>0</v>
      </c>
      <c r="Z34" s="847">
        <v>0</v>
      </c>
      <c r="AA34" s="847">
        <v>0</v>
      </c>
      <c r="AB34" s="847">
        <v>0</v>
      </c>
      <c r="AC34" s="847">
        <v>0</v>
      </c>
      <c r="AD34" s="847">
        <v>0</v>
      </c>
      <c r="AE34" s="847">
        <v>0</v>
      </c>
      <c r="AF34" s="847">
        <v>0</v>
      </c>
      <c r="AG34" s="847">
        <v>0</v>
      </c>
      <c r="AH34" s="847">
        <v>0</v>
      </c>
      <c r="AI34" s="847">
        <v>0</v>
      </c>
      <c r="AJ34" s="847">
        <v>0</v>
      </c>
      <c r="AK34" s="847">
        <v>0</v>
      </c>
      <c r="AL34" s="847">
        <v>0</v>
      </c>
      <c r="AM34" s="847">
        <v>0</v>
      </c>
      <c r="AN34" s="847">
        <v>0</v>
      </c>
      <c r="AO34" s="847">
        <v>0</v>
      </c>
      <c r="AP34" s="847">
        <v>0</v>
      </c>
      <c r="AQ34" s="847">
        <v>0</v>
      </c>
      <c r="AR34" s="847">
        <v>0</v>
      </c>
      <c r="AS34" s="847">
        <v>0</v>
      </c>
      <c r="AT34" s="847">
        <v>0</v>
      </c>
      <c r="AU34" s="847">
        <v>0</v>
      </c>
      <c r="AV34" s="847">
        <v>0</v>
      </c>
      <c r="AW34" s="847">
        <v>0</v>
      </c>
      <c r="AX34" s="847">
        <v>0</v>
      </c>
      <c r="AY34" s="847">
        <v>0</v>
      </c>
      <c r="AZ34" s="847">
        <v>0</v>
      </c>
      <c r="BA34" s="847">
        <v>0</v>
      </c>
      <c r="BB34" s="847">
        <v>0</v>
      </c>
      <c r="BC34" s="847">
        <v>0</v>
      </c>
      <c r="BD34" s="847">
        <v>0</v>
      </c>
      <c r="BE34" s="847">
        <v>0</v>
      </c>
      <c r="BF34" s="847">
        <v>0</v>
      </c>
      <c r="BG34" s="847">
        <v>0</v>
      </c>
      <c r="BH34" s="847">
        <v>0</v>
      </c>
      <c r="BI34" s="847">
        <v>0</v>
      </c>
      <c r="BJ34" s="847">
        <v>0</v>
      </c>
      <c r="BK34" s="847">
        <v>0</v>
      </c>
      <c r="BL34" s="847">
        <v>0</v>
      </c>
      <c r="BM34" s="847">
        <v>0</v>
      </c>
      <c r="BN34" s="847">
        <v>0</v>
      </c>
      <c r="BO34" s="847">
        <v>0</v>
      </c>
      <c r="BP34" s="847">
        <v>0</v>
      </c>
      <c r="BQ34" s="847">
        <v>0</v>
      </c>
      <c r="BR34" s="847">
        <v>0</v>
      </c>
      <c r="BS34" s="847">
        <v>0</v>
      </c>
      <c r="BT34" s="847">
        <v>0</v>
      </c>
      <c r="BU34" s="847">
        <v>0</v>
      </c>
      <c r="BV34" s="847">
        <v>0</v>
      </c>
      <c r="BW34" s="847">
        <v>0</v>
      </c>
      <c r="BX34" s="847">
        <v>0</v>
      </c>
      <c r="BY34" s="847">
        <v>0</v>
      </c>
      <c r="BZ34" s="847">
        <v>0</v>
      </c>
      <c r="CA34" s="847">
        <v>0</v>
      </c>
      <c r="CB34" s="847">
        <v>0</v>
      </c>
      <c r="CC34" s="847">
        <v>0</v>
      </c>
      <c r="CD34" s="847">
        <v>0</v>
      </c>
      <c r="CE34" s="847">
        <v>0</v>
      </c>
      <c r="CF34" s="847">
        <v>0</v>
      </c>
      <c r="CG34" s="847">
        <v>0</v>
      </c>
      <c r="CH34" s="847">
        <v>0</v>
      </c>
      <c r="CI34" s="847">
        <v>0</v>
      </c>
      <c r="CJ34" s="847">
        <v>0</v>
      </c>
      <c r="CK34" s="847">
        <v>0</v>
      </c>
      <c r="CL34" s="847">
        <v>0</v>
      </c>
      <c r="CM34" s="847">
        <v>0</v>
      </c>
      <c r="CN34" s="847">
        <v>0</v>
      </c>
      <c r="CO34" s="847">
        <v>0</v>
      </c>
      <c r="CP34" s="847">
        <v>0</v>
      </c>
      <c r="CQ34" s="847">
        <v>0</v>
      </c>
      <c r="CR34" s="847">
        <v>0</v>
      </c>
      <c r="CS34" s="847">
        <v>0</v>
      </c>
      <c r="CT34" s="847">
        <v>0</v>
      </c>
      <c r="CU34" s="847">
        <v>0</v>
      </c>
      <c r="CV34" s="847">
        <v>0</v>
      </c>
      <c r="CW34" s="847">
        <v>0</v>
      </c>
      <c r="CX34" s="847">
        <v>0</v>
      </c>
      <c r="CY34" s="847">
        <v>0</v>
      </c>
      <c r="CZ34" s="847">
        <v>0</v>
      </c>
      <c r="DA34" s="847">
        <v>0</v>
      </c>
      <c r="DB34" s="847">
        <v>0</v>
      </c>
      <c r="DC34" s="847">
        <v>0</v>
      </c>
      <c r="DD34" s="847">
        <v>0</v>
      </c>
      <c r="DE34" s="847">
        <v>0</v>
      </c>
      <c r="DF34" s="847">
        <v>0</v>
      </c>
      <c r="DG34" s="847">
        <v>0</v>
      </c>
      <c r="DH34" s="847">
        <v>0</v>
      </c>
      <c r="DI34" s="847">
        <v>0</v>
      </c>
      <c r="DJ34" s="847">
        <v>0</v>
      </c>
      <c r="DK34" s="847">
        <v>0</v>
      </c>
      <c r="DL34" s="847">
        <v>0</v>
      </c>
      <c r="DM34" s="847">
        <v>0</v>
      </c>
      <c r="DN34" s="847">
        <v>0</v>
      </c>
      <c r="DO34" s="847">
        <v>0</v>
      </c>
      <c r="DP34" s="847">
        <v>0</v>
      </c>
      <c r="DQ34" s="847">
        <v>0</v>
      </c>
      <c r="DR34" s="847">
        <v>0</v>
      </c>
      <c r="DS34" s="847">
        <v>0</v>
      </c>
      <c r="DT34" s="847">
        <v>0</v>
      </c>
      <c r="DU34" s="847">
        <v>0</v>
      </c>
      <c r="DV34" s="847">
        <v>0</v>
      </c>
      <c r="DW34" s="847">
        <v>0</v>
      </c>
      <c r="DY34" s="173"/>
      <c r="DZ34" s="173"/>
      <c r="EA34" s="173"/>
      <c r="EB34" s="174"/>
      <c r="EC34" s="175"/>
      <c r="ED34" s="174"/>
      <c r="EE34" s="174"/>
      <c r="EF34" s="174"/>
      <c r="EG34" s="174"/>
      <c r="EH34" s="174"/>
      <c r="EI34" s="174"/>
      <c r="EJ34" s="174"/>
      <c r="EK34" s="174"/>
      <c r="EL34" s="174"/>
      <c r="EM34" s="174"/>
      <c r="EN34" s="174"/>
      <c r="EO34" s="174"/>
      <c r="EP34" s="174"/>
      <c r="EQ34" s="174"/>
      <c r="ER34" s="174"/>
      <c r="ES34" s="174"/>
      <c r="ET34" s="174"/>
      <c r="EU34" s="174"/>
      <c r="EV34" s="174"/>
      <c r="EW34" s="174"/>
      <c r="EX34" s="174"/>
      <c r="EY34" s="174"/>
      <c r="EZ34" s="174"/>
      <c r="FA34" s="174"/>
      <c r="FB34" s="174"/>
      <c r="FC34" s="174"/>
      <c r="FD34" s="174"/>
      <c r="FE34" s="174"/>
      <c r="FF34" s="174"/>
      <c r="FG34" s="174"/>
      <c r="FH34" s="174"/>
      <c r="FI34" s="174"/>
      <c r="FJ34" s="174"/>
      <c r="FK34" s="174"/>
      <c r="FL34" s="174"/>
      <c r="FM34" s="174"/>
      <c r="FN34" s="174"/>
      <c r="FO34" s="174"/>
      <c r="FP34" s="174"/>
      <c r="FQ34" s="174"/>
      <c r="FR34" s="174"/>
      <c r="FS34" s="174"/>
      <c r="FT34" s="174"/>
      <c r="FU34" s="174"/>
      <c r="FV34" s="174"/>
      <c r="FW34" s="174"/>
      <c r="FX34" s="174"/>
      <c r="FY34" s="174"/>
      <c r="FZ34" s="174"/>
      <c r="GA34" s="174"/>
      <c r="GB34" s="174"/>
      <c r="GC34" s="174"/>
      <c r="GD34" s="174"/>
      <c r="GE34" s="174"/>
      <c r="GF34" s="174"/>
      <c r="GG34" s="174"/>
      <c r="GH34" s="174"/>
      <c r="GI34" s="174"/>
      <c r="GJ34" s="174"/>
      <c r="GK34" s="174"/>
      <c r="GL34" s="174"/>
      <c r="GM34" s="174"/>
      <c r="GN34" s="174"/>
      <c r="GO34" s="174"/>
      <c r="GP34" s="174"/>
      <c r="GQ34" s="174"/>
      <c r="GR34" s="174"/>
      <c r="GS34" s="174"/>
      <c r="GT34" s="174"/>
      <c r="GU34" s="174"/>
      <c r="GV34" s="174"/>
      <c r="GW34" s="174"/>
      <c r="GX34" s="174"/>
      <c r="GY34" s="174"/>
      <c r="GZ34" s="174"/>
      <c r="HA34" s="174"/>
      <c r="HB34" s="174"/>
      <c r="HC34" s="174"/>
      <c r="HD34" s="174"/>
      <c r="HE34" s="174"/>
      <c r="HF34" s="176"/>
      <c r="HG34" s="176"/>
      <c r="HH34" s="176"/>
      <c r="HI34" s="176"/>
      <c r="HJ34" s="176"/>
      <c r="HK34" s="176"/>
      <c r="HL34" s="176"/>
      <c r="HM34" s="176"/>
      <c r="HN34" s="176"/>
      <c r="HO34" s="176"/>
      <c r="HP34" s="176"/>
      <c r="HQ34" s="176"/>
      <c r="HR34" s="176"/>
      <c r="HS34" s="176"/>
      <c r="HT34" s="176"/>
      <c r="HU34" s="176"/>
      <c r="HV34" s="176"/>
      <c r="HW34" s="176"/>
      <c r="HX34" s="176"/>
      <c r="HY34" s="176"/>
      <c r="HZ34" s="176"/>
      <c r="IA34" s="176"/>
      <c r="IB34" s="176"/>
      <c r="IC34" s="176"/>
      <c r="ID34" s="176"/>
      <c r="IE34" s="176"/>
      <c r="IF34" s="176"/>
      <c r="IG34" s="176"/>
      <c r="IH34" s="176"/>
      <c r="II34" s="176"/>
      <c r="IJ34" s="176"/>
    </row>
    <row r="35" spans="1:244" ht="16.5" hidden="1">
      <c r="A35" s="846" t="s">
        <v>1060</v>
      </c>
      <c r="B35" s="846" t="s">
        <v>1382</v>
      </c>
      <c r="C35" s="846" t="s">
        <v>1171</v>
      </c>
      <c r="D35" s="847">
        <v>6</v>
      </c>
      <c r="E35" s="846" t="s">
        <v>1171</v>
      </c>
      <c r="F35" s="846" t="s">
        <v>96</v>
      </c>
      <c r="G35" s="851"/>
      <c r="H35" s="847">
        <v>32</v>
      </c>
      <c r="I35" s="780" t="str">
        <f t="shared" si="0"/>
        <v>IWT060132</v>
      </c>
      <c r="J35" s="847">
        <v>5000</v>
      </c>
      <c r="L35" s="846" t="s">
        <v>1060</v>
      </c>
      <c r="M35" s="846" t="s">
        <v>1382</v>
      </c>
      <c r="N35" s="846" t="s">
        <v>96</v>
      </c>
      <c r="O35" s="847">
        <v>32</v>
      </c>
      <c r="P35" s="780" t="str">
        <f t="shared" si="1"/>
        <v>IWT060132</v>
      </c>
      <c r="Q35" s="847">
        <v>1107</v>
      </c>
      <c r="R35" s="847">
        <v>2950</v>
      </c>
      <c r="S35" s="847">
        <v>4756</v>
      </c>
      <c r="T35" s="847">
        <v>6527</v>
      </c>
      <c r="U35" s="847">
        <v>8263</v>
      </c>
      <c r="V35" s="847">
        <v>0</v>
      </c>
      <c r="W35" s="847">
        <v>0</v>
      </c>
      <c r="X35" s="847">
        <v>0</v>
      </c>
      <c r="Y35" s="847">
        <v>0</v>
      </c>
      <c r="Z35" s="847">
        <v>0</v>
      </c>
      <c r="AA35" s="847">
        <v>0</v>
      </c>
      <c r="AB35" s="847">
        <v>0</v>
      </c>
      <c r="AC35" s="847">
        <v>0</v>
      </c>
      <c r="AD35" s="847">
        <v>0</v>
      </c>
      <c r="AE35" s="847">
        <v>0</v>
      </c>
      <c r="AF35" s="847">
        <v>0</v>
      </c>
      <c r="AG35" s="847">
        <v>0</v>
      </c>
      <c r="AH35" s="847">
        <v>0</v>
      </c>
      <c r="AI35" s="847">
        <v>0</v>
      </c>
      <c r="AJ35" s="847">
        <v>0</v>
      </c>
      <c r="AK35" s="847">
        <v>0</v>
      </c>
      <c r="AL35" s="847">
        <v>0</v>
      </c>
      <c r="AM35" s="847">
        <v>0</v>
      </c>
      <c r="AN35" s="847">
        <v>0</v>
      </c>
      <c r="AO35" s="847">
        <v>0</v>
      </c>
      <c r="AP35" s="847">
        <v>0</v>
      </c>
      <c r="AQ35" s="847">
        <v>0</v>
      </c>
      <c r="AR35" s="847">
        <v>0</v>
      </c>
      <c r="AS35" s="847">
        <v>0</v>
      </c>
      <c r="AT35" s="847">
        <v>0</v>
      </c>
      <c r="AU35" s="847">
        <v>0</v>
      </c>
      <c r="AV35" s="847">
        <v>0</v>
      </c>
      <c r="AW35" s="847">
        <v>0</v>
      </c>
      <c r="AX35" s="847">
        <v>0</v>
      </c>
      <c r="AY35" s="847">
        <v>0</v>
      </c>
      <c r="AZ35" s="847">
        <v>0</v>
      </c>
      <c r="BA35" s="847">
        <v>0</v>
      </c>
      <c r="BB35" s="847">
        <v>0</v>
      </c>
      <c r="BC35" s="847">
        <v>0</v>
      </c>
      <c r="BD35" s="847">
        <v>0</v>
      </c>
      <c r="BE35" s="847">
        <v>0</v>
      </c>
      <c r="BF35" s="847">
        <v>0</v>
      </c>
      <c r="BG35" s="847">
        <v>0</v>
      </c>
      <c r="BH35" s="847">
        <v>0</v>
      </c>
      <c r="BI35" s="847">
        <v>0</v>
      </c>
      <c r="BJ35" s="847">
        <v>0</v>
      </c>
      <c r="BK35" s="847">
        <v>0</v>
      </c>
      <c r="BL35" s="847">
        <v>0</v>
      </c>
      <c r="BM35" s="847">
        <v>0</v>
      </c>
      <c r="BN35" s="847">
        <v>0</v>
      </c>
      <c r="BO35" s="847">
        <v>0</v>
      </c>
      <c r="BP35" s="847">
        <v>0</v>
      </c>
      <c r="BQ35" s="847">
        <v>0</v>
      </c>
      <c r="BR35" s="847">
        <v>0</v>
      </c>
      <c r="BS35" s="847">
        <v>0</v>
      </c>
      <c r="BT35" s="847">
        <v>0</v>
      </c>
      <c r="BU35" s="847">
        <v>0</v>
      </c>
      <c r="BV35" s="847">
        <v>0</v>
      </c>
      <c r="BW35" s="847">
        <v>0</v>
      </c>
      <c r="BX35" s="847">
        <v>0</v>
      </c>
      <c r="BY35" s="847">
        <v>0</v>
      </c>
      <c r="BZ35" s="847">
        <v>0</v>
      </c>
      <c r="CA35" s="847">
        <v>0</v>
      </c>
      <c r="CB35" s="847">
        <v>0</v>
      </c>
      <c r="CC35" s="847">
        <v>0</v>
      </c>
      <c r="CD35" s="847">
        <v>0</v>
      </c>
      <c r="CE35" s="847">
        <v>0</v>
      </c>
      <c r="CF35" s="847">
        <v>0</v>
      </c>
      <c r="CG35" s="847">
        <v>0</v>
      </c>
      <c r="CH35" s="847">
        <v>0</v>
      </c>
      <c r="CI35" s="847">
        <v>0</v>
      </c>
      <c r="CJ35" s="847">
        <v>0</v>
      </c>
      <c r="CK35" s="847">
        <v>0</v>
      </c>
      <c r="CL35" s="847">
        <v>0</v>
      </c>
      <c r="CM35" s="847">
        <v>0</v>
      </c>
      <c r="CN35" s="847">
        <v>0</v>
      </c>
      <c r="CO35" s="847">
        <v>0</v>
      </c>
      <c r="CP35" s="847">
        <v>0</v>
      </c>
      <c r="CQ35" s="847">
        <v>0</v>
      </c>
      <c r="CR35" s="847">
        <v>0</v>
      </c>
      <c r="CS35" s="847">
        <v>0</v>
      </c>
      <c r="CT35" s="847">
        <v>0</v>
      </c>
      <c r="CU35" s="847">
        <v>0</v>
      </c>
      <c r="CV35" s="847">
        <v>0</v>
      </c>
      <c r="CW35" s="847">
        <v>0</v>
      </c>
      <c r="CX35" s="847">
        <v>0</v>
      </c>
      <c r="CY35" s="847">
        <v>0</v>
      </c>
      <c r="CZ35" s="847">
        <v>0</v>
      </c>
      <c r="DA35" s="847">
        <v>0</v>
      </c>
      <c r="DB35" s="847">
        <v>0</v>
      </c>
      <c r="DC35" s="847">
        <v>0</v>
      </c>
      <c r="DD35" s="847">
        <v>0</v>
      </c>
      <c r="DE35" s="847">
        <v>0</v>
      </c>
      <c r="DF35" s="847">
        <v>0</v>
      </c>
      <c r="DG35" s="847">
        <v>0</v>
      </c>
      <c r="DH35" s="847">
        <v>0</v>
      </c>
      <c r="DI35" s="847">
        <v>0</v>
      </c>
      <c r="DJ35" s="847">
        <v>0</v>
      </c>
      <c r="DK35" s="847">
        <v>0</v>
      </c>
      <c r="DL35" s="847">
        <v>0</v>
      </c>
      <c r="DM35" s="847">
        <v>0</v>
      </c>
      <c r="DN35" s="847">
        <v>0</v>
      </c>
      <c r="DO35" s="847">
        <v>0</v>
      </c>
      <c r="DP35" s="847">
        <v>0</v>
      </c>
      <c r="DQ35" s="847">
        <v>0</v>
      </c>
      <c r="DR35" s="847">
        <v>0</v>
      </c>
      <c r="DS35" s="847">
        <v>0</v>
      </c>
      <c r="DT35" s="847">
        <v>0</v>
      </c>
      <c r="DU35" s="847">
        <v>0</v>
      </c>
      <c r="DV35" s="847">
        <v>0</v>
      </c>
      <c r="DW35" s="847">
        <v>0</v>
      </c>
      <c r="DY35" s="173"/>
      <c r="DZ35" s="173"/>
      <c r="EA35" s="173"/>
      <c r="EB35" s="174"/>
      <c r="EC35" s="175"/>
      <c r="ED35" s="174"/>
      <c r="EE35" s="174"/>
      <c r="EF35" s="174"/>
      <c r="EG35" s="174"/>
      <c r="EH35" s="174"/>
      <c r="EI35" s="174"/>
      <c r="EJ35" s="174"/>
      <c r="EK35" s="174"/>
      <c r="EL35" s="174"/>
      <c r="EM35" s="174"/>
      <c r="EN35" s="174"/>
      <c r="EO35" s="174"/>
      <c r="EP35" s="174"/>
      <c r="EQ35" s="174"/>
      <c r="ER35" s="174"/>
      <c r="ES35" s="174"/>
      <c r="ET35" s="174"/>
      <c r="EU35" s="174"/>
      <c r="EV35" s="174"/>
      <c r="EW35" s="174"/>
      <c r="EX35" s="174"/>
      <c r="EY35" s="174"/>
      <c r="EZ35" s="174"/>
      <c r="FA35" s="174"/>
      <c r="FB35" s="174"/>
      <c r="FC35" s="174"/>
      <c r="FD35" s="174"/>
      <c r="FE35" s="174"/>
      <c r="FF35" s="174"/>
      <c r="FG35" s="174"/>
      <c r="FH35" s="174"/>
      <c r="FI35" s="174"/>
      <c r="FJ35" s="174"/>
      <c r="FK35" s="174"/>
      <c r="FL35" s="174"/>
      <c r="FM35" s="174"/>
      <c r="FN35" s="174"/>
      <c r="FO35" s="174"/>
      <c r="FP35" s="174"/>
      <c r="FQ35" s="174"/>
      <c r="FR35" s="174"/>
      <c r="FS35" s="174"/>
      <c r="FT35" s="174"/>
      <c r="FU35" s="174"/>
      <c r="FV35" s="174"/>
      <c r="FW35" s="174"/>
      <c r="FX35" s="174"/>
      <c r="FY35" s="174"/>
      <c r="FZ35" s="174"/>
      <c r="GA35" s="174"/>
      <c r="GB35" s="174"/>
      <c r="GC35" s="174"/>
      <c r="GD35" s="174"/>
      <c r="GE35" s="174"/>
      <c r="GF35" s="174"/>
      <c r="GG35" s="174"/>
      <c r="GH35" s="174"/>
      <c r="GI35" s="174"/>
      <c r="GJ35" s="174"/>
      <c r="GK35" s="174"/>
      <c r="GL35" s="174"/>
      <c r="GM35" s="174"/>
      <c r="GN35" s="174"/>
      <c r="GO35" s="174"/>
      <c r="GP35" s="174"/>
      <c r="GQ35" s="174"/>
      <c r="GR35" s="174"/>
      <c r="GS35" s="174"/>
      <c r="GT35" s="174"/>
      <c r="GU35" s="174"/>
      <c r="GV35" s="174"/>
      <c r="GW35" s="174"/>
      <c r="GX35" s="174"/>
      <c r="GY35" s="174"/>
      <c r="GZ35" s="174"/>
      <c r="HA35" s="174"/>
      <c r="HB35" s="174"/>
      <c r="HC35" s="174"/>
      <c r="HD35" s="174"/>
      <c r="HE35" s="176"/>
      <c r="HF35" s="176"/>
      <c r="HG35" s="176"/>
      <c r="HH35" s="176"/>
      <c r="HI35" s="176"/>
      <c r="HJ35" s="176"/>
      <c r="HK35" s="176"/>
      <c r="HL35" s="176"/>
      <c r="HM35" s="176"/>
      <c r="HN35" s="176"/>
      <c r="HO35" s="176"/>
      <c r="HP35" s="176"/>
      <c r="HQ35" s="176"/>
      <c r="HR35" s="176"/>
      <c r="HS35" s="176"/>
      <c r="HT35" s="176"/>
      <c r="HU35" s="176"/>
      <c r="HV35" s="176"/>
      <c r="HW35" s="176"/>
      <c r="HX35" s="176"/>
      <c r="HY35" s="176"/>
      <c r="HZ35" s="176"/>
      <c r="IA35" s="176"/>
      <c r="IB35" s="176"/>
      <c r="IC35" s="176"/>
      <c r="ID35" s="176"/>
      <c r="IE35" s="176"/>
      <c r="IF35" s="176"/>
      <c r="IG35" s="176"/>
      <c r="IH35" s="176"/>
      <c r="II35" s="176"/>
      <c r="IJ35" s="176"/>
    </row>
    <row r="36" spans="1:244" ht="16.5" hidden="1">
      <c r="A36" s="846" t="s">
        <v>1060</v>
      </c>
      <c r="B36" s="846" t="s">
        <v>1382</v>
      </c>
      <c r="C36" s="846" t="s">
        <v>1171</v>
      </c>
      <c r="D36" s="847">
        <v>6</v>
      </c>
      <c r="E36" s="846" t="s">
        <v>1171</v>
      </c>
      <c r="F36" s="846" t="s">
        <v>96</v>
      </c>
      <c r="G36" s="851"/>
      <c r="H36" s="847">
        <v>33</v>
      </c>
      <c r="I36" s="780" t="str">
        <f t="shared" si="0"/>
        <v>IWT060133</v>
      </c>
      <c r="J36" s="847">
        <v>5007</v>
      </c>
      <c r="L36" s="846" t="s">
        <v>1060</v>
      </c>
      <c r="M36" s="846" t="s">
        <v>1382</v>
      </c>
      <c r="N36" s="846" t="s">
        <v>96</v>
      </c>
      <c r="O36" s="847">
        <v>33</v>
      </c>
      <c r="P36" s="780" t="str">
        <f t="shared" si="1"/>
        <v>IWT060133</v>
      </c>
      <c r="Q36" s="847">
        <v>1106</v>
      </c>
      <c r="R36" s="847">
        <v>2949</v>
      </c>
      <c r="S36" s="847">
        <v>4756</v>
      </c>
      <c r="T36" s="847">
        <v>6526</v>
      </c>
      <c r="U36" s="847">
        <v>8263</v>
      </c>
      <c r="V36" s="847">
        <v>0</v>
      </c>
      <c r="W36" s="847">
        <v>0</v>
      </c>
      <c r="X36" s="847">
        <v>0</v>
      </c>
      <c r="Y36" s="847">
        <v>0</v>
      </c>
      <c r="Z36" s="847">
        <v>0</v>
      </c>
      <c r="AA36" s="847">
        <v>0</v>
      </c>
      <c r="AB36" s="847">
        <v>0</v>
      </c>
      <c r="AC36" s="847">
        <v>0</v>
      </c>
      <c r="AD36" s="847">
        <v>0</v>
      </c>
      <c r="AE36" s="847">
        <v>0</v>
      </c>
      <c r="AF36" s="847">
        <v>0</v>
      </c>
      <c r="AG36" s="847">
        <v>0</v>
      </c>
      <c r="AH36" s="847">
        <v>0</v>
      </c>
      <c r="AI36" s="847">
        <v>0</v>
      </c>
      <c r="AJ36" s="847">
        <v>0</v>
      </c>
      <c r="AK36" s="847">
        <v>0</v>
      </c>
      <c r="AL36" s="847">
        <v>0</v>
      </c>
      <c r="AM36" s="847">
        <v>0</v>
      </c>
      <c r="AN36" s="847">
        <v>0</v>
      </c>
      <c r="AO36" s="847">
        <v>0</v>
      </c>
      <c r="AP36" s="847">
        <v>0</v>
      </c>
      <c r="AQ36" s="847">
        <v>0</v>
      </c>
      <c r="AR36" s="847">
        <v>0</v>
      </c>
      <c r="AS36" s="847">
        <v>0</v>
      </c>
      <c r="AT36" s="847">
        <v>0</v>
      </c>
      <c r="AU36" s="847">
        <v>0</v>
      </c>
      <c r="AV36" s="847">
        <v>0</v>
      </c>
      <c r="AW36" s="847">
        <v>0</v>
      </c>
      <c r="AX36" s="847">
        <v>0</v>
      </c>
      <c r="AY36" s="847">
        <v>0</v>
      </c>
      <c r="AZ36" s="847">
        <v>0</v>
      </c>
      <c r="BA36" s="847">
        <v>0</v>
      </c>
      <c r="BB36" s="847">
        <v>0</v>
      </c>
      <c r="BC36" s="847">
        <v>0</v>
      </c>
      <c r="BD36" s="847">
        <v>0</v>
      </c>
      <c r="BE36" s="847">
        <v>0</v>
      </c>
      <c r="BF36" s="847">
        <v>0</v>
      </c>
      <c r="BG36" s="847">
        <v>0</v>
      </c>
      <c r="BH36" s="847">
        <v>0</v>
      </c>
      <c r="BI36" s="847">
        <v>0</v>
      </c>
      <c r="BJ36" s="847">
        <v>0</v>
      </c>
      <c r="BK36" s="847">
        <v>0</v>
      </c>
      <c r="BL36" s="847">
        <v>0</v>
      </c>
      <c r="BM36" s="847">
        <v>0</v>
      </c>
      <c r="BN36" s="847">
        <v>0</v>
      </c>
      <c r="BO36" s="847">
        <v>0</v>
      </c>
      <c r="BP36" s="847">
        <v>0</v>
      </c>
      <c r="BQ36" s="847">
        <v>0</v>
      </c>
      <c r="BR36" s="847">
        <v>0</v>
      </c>
      <c r="BS36" s="847">
        <v>0</v>
      </c>
      <c r="BT36" s="847">
        <v>0</v>
      </c>
      <c r="BU36" s="847">
        <v>0</v>
      </c>
      <c r="BV36" s="847">
        <v>0</v>
      </c>
      <c r="BW36" s="847">
        <v>0</v>
      </c>
      <c r="BX36" s="847">
        <v>0</v>
      </c>
      <c r="BY36" s="847">
        <v>0</v>
      </c>
      <c r="BZ36" s="847">
        <v>0</v>
      </c>
      <c r="CA36" s="847">
        <v>0</v>
      </c>
      <c r="CB36" s="847">
        <v>0</v>
      </c>
      <c r="CC36" s="847">
        <v>0</v>
      </c>
      <c r="CD36" s="847">
        <v>0</v>
      </c>
      <c r="CE36" s="847">
        <v>0</v>
      </c>
      <c r="CF36" s="847">
        <v>0</v>
      </c>
      <c r="CG36" s="847">
        <v>0</v>
      </c>
      <c r="CH36" s="847">
        <v>0</v>
      </c>
      <c r="CI36" s="847">
        <v>0</v>
      </c>
      <c r="CJ36" s="847">
        <v>0</v>
      </c>
      <c r="CK36" s="847">
        <v>0</v>
      </c>
      <c r="CL36" s="847">
        <v>0</v>
      </c>
      <c r="CM36" s="847">
        <v>0</v>
      </c>
      <c r="CN36" s="847">
        <v>0</v>
      </c>
      <c r="CO36" s="847">
        <v>0</v>
      </c>
      <c r="CP36" s="847">
        <v>0</v>
      </c>
      <c r="CQ36" s="847">
        <v>0</v>
      </c>
      <c r="CR36" s="847">
        <v>0</v>
      </c>
      <c r="CS36" s="847">
        <v>0</v>
      </c>
      <c r="CT36" s="847">
        <v>0</v>
      </c>
      <c r="CU36" s="847">
        <v>0</v>
      </c>
      <c r="CV36" s="847">
        <v>0</v>
      </c>
      <c r="CW36" s="847">
        <v>0</v>
      </c>
      <c r="CX36" s="847">
        <v>0</v>
      </c>
      <c r="CY36" s="847">
        <v>0</v>
      </c>
      <c r="CZ36" s="847">
        <v>0</v>
      </c>
      <c r="DA36" s="847">
        <v>0</v>
      </c>
      <c r="DB36" s="847">
        <v>0</v>
      </c>
      <c r="DC36" s="847">
        <v>0</v>
      </c>
      <c r="DD36" s="847">
        <v>0</v>
      </c>
      <c r="DE36" s="847">
        <v>0</v>
      </c>
      <c r="DF36" s="847">
        <v>0</v>
      </c>
      <c r="DG36" s="847">
        <v>0</v>
      </c>
      <c r="DH36" s="847">
        <v>0</v>
      </c>
      <c r="DI36" s="847">
        <v>0</v>
      </c>
      <c r="DJ36" s="847">
        <v>0</v>
      </c>
      <c r="DK36" s="847">
        <v>0</v>
      </c>
      <c r="DL36" s="847">
        <v>0</v>
      </c>
      <c r="DM36" s="847">
        <v>0</v>
      </c>
      <c r="DN36" s="847">
        <v>0</v>
      </c>
      <c r="DO36" s="847">
        <v>0</v>
      </c>
      <c r="DP36" s="847">
        <v>0</v>
      </c>
      <c r="DQ36" s="847">
        <v>0</v>
      </c>
      <c r="DR36" s="847">
        <v>0</v>
      </c>
      <c r="DS36" s="847">
        <v>0</v>
      </c>
      <c r="DT36" s="847">
        <v>0</v>
      </c>
      <c r="DU36" s="847">
        <v>0</v>
      </c>
      <c r="DV36" s="847">
        <v>0</v>
      </c>
      <c r="DW36" s="847">
        <v>0</v>
      </c>
      <c r="DY36" s="173"/>
      <c r="DZ36" s="173"/>
      <c r="EA36" s="173"/>
      <c r="EB36" s="174"/>
      <c r="EC36" s="175"/>
      <c r="ED36" s="174"/>
      <c r="EE36" s="174"/>
      <c r="EF36" s="174"/>
      <c r="EG36" s="174"/>
      <c r="EH36" s="174"/>
      <c r="EI36" s="174"/>
      <c r="EJ36" s="174"/>
      <c r="EK36" s="174"/>
      <c r="EL36" s="174"/>
      <c r="EM36" s="174"/>
      <c r="EN36" s="174"/>
      <c r="EO36" s="174"/>
      <c r="EP36" s="174"/>
      <c r="EQ36" s="174"/>
      <c r="ER36" s="174"/>
      <c r="ES36" s="174"/>
      <c r="ET36" s="174"/>
      <c r="EU36" s="174"/>
      <c r="EV36" s="174"/>
      <c r="EW36" s="174"/>
      <c r="EX36" s="174"/>
      <c r="EY36" s="174"/>
      <c r="EZ36" s="174"/>
      <c r="FA36" s="174"/>
      <c r="FB36" s="174"/>
      <c r="FC36" s="174"/>
      <c r="FD36" s="174"/>
      <c r="FE36" s="174"/>
      <c r="FF36" s="174"/>
      <c r="FG36" s="174"/>
      <c r="FH36" s="174"/>
      <c r="FI36" s="174"/>
      <c r="FJ36" s="174"/>
      <c r="FK36" s="174"/>
      <c r="FL36" s="174"/>
      <c r="FM36" s="174"/>
      <c r="FN36" s="174"/>
      <c r="FO36" s="174"/>
      <c r="FP36" s="174"/>
      <c r="FQ36" s="174"/>
      <c r="FR36" s="174"/>
      <c r="FS36" s="174"/>
      <c r="FT36" s="174"/>
      <c r="FU36" s="174"/>
      <c r="FV36" s="174"/>
      <c r="FW36" s="174"/>
      <c r="FX36" s="174"/>
      <c r="FY36" s="174"/>
      <c r="FZ36" s="174"/>
      <c r="GA36" s="174"/>
      <c r="GB36" s="174"/>
      <c r="GC36" s="174"/>
      <c r="GD36" s="174"/>
      <c r="GE36" s="174"/>
      <c r="GF36" s="174"/>
      <c r="GG36" s="174"/>
      <c r="GH36" s="174"/>
      <c r="GI36" s="174"/>
      <c r="GJ36" s="174"/>
      <c r="GK36" s="174"/>
      <c r="GL36" s="174"/>
      <c r="GM36" s="174"/>
      <c r="GN36" s="174"/>
      <c r="GO36" s="174"/>
      <c r="GP36" s="174"/>
      <c r="GQ36" s="174"/>
      <c r="GR36" s="174"/>
      <c r="GS36" s="174"/>
      <c r="GT36" s="174"/>
      <c r="GU36" s="174"/>
      <c r="GV36" s="174"/>
      <c r="GW36" s="174"/>
      <c r="GX36" s="174"/>
      <c r="GY36" s="174"/>
      <c r="GZ36" s="174"/>
      <c r="HA36" s="174"/>
      <c r="HB36" s="174"/>
      <c r="HC36" s="174"/>
      <c r="HD36" s="176"/>
      <c r="HE36" s="176"/>
      <c r="HF36" s="176"/>
      <c r="HG36" s="176"/>
      <c r="HH36" s="176"/>
      <c r="HI36" s="176"/>
      <c r="HJ36" s="176"/>
      <c r="HK36" s="176"/>
      <c r="HL36" s="176"/>
      <c r="HM36" s="176"/>
      <c r="HN36" s="176"/>
      <c r="HO36" s="176"/>
      <c r="HP36" s="176"/>
      <c r="HQ36" s="176"/>
      <c r="HR36" s="176"/>
      <c r="HS36" s="176"/>
      <c r="HT36" s="176"/>
      <c r="HU36" s="176"/>
      <c r="HV36" s="176"/>
      <c r="HW36" s="176"/>
      <c r="HX36" s="176"/>
      <c r="HY36" s="176"/>
      <c r="HZ36" s="176"/>
      <c r="IA36" s="176"/>
      <c r="IB36" s="176"/>
      <c r="IC36" s="176"/>
      <c r="ID36" s="176"/>
      <c r="IE36" s="176"/>
      <c r="IF36" s="176"/>
      <c r="IG36" s="176"/>
      <c r="IH36" s="176"/>
      <c r="II36" s="176"/>
      <c r="IJ36" s="176"/>
    </row>
    <row r="37" spans="1:244" ht="16.5" hidden="1">
      <c r="A37" s="846" t="s">
        <v>1060</v>
      </c>
      <c r="B37" s="846" t="s">
        <v>1382</v>
      </c>
      <c r="C37" s="846" t="s">
        <v>1171</v>
      </c>
      <c r="D37" s="847">
        <v>6</v>
      </c>
      <c r="E37" s="846" t="s">
        <v>1171</v>
      </c>
      <c r="F37" s="846" t="s">
        <v>96</v>
      </c>
      <c r="G37" s="851"/>
      <c r="H37" s="847">
        <v>34</v>
      </c>
      <c r="I37" s="780" t="str">
        <f t="shared" si="0"/>
        <v>IWT060134</v>
      </c>
      <c r="J37" s="847">
        <v>5014</v>
      </c>
      <c r="L37" s="846" t="s">
        <v>1060</v>
      </c>
      <c r="M37" s="846" t="s">
        <v>1382</v>
      </c>
      <c r="N37" s="846" t="s">
        <v>96</v>
      </c>
      <c r="O37" s="847">
        <v>34</v>
      </c>
      <c r="P37" s="780" t="str">
        <f t="shared" si="1"/>
        <v>IWT060134</v>
      </c>
      <c r="Q37" s="847">
        <v>1106</v>
      </c>
      <c r="R37" s="847">
        <v>2948</v>
      </c>
      <c r="S37" s="847">
        <v>4755</v>
      </c>
      <c r="T37" s="847">
        <v>6527</v>
      </c>
      <c r="U37" s="847">
        <v>8263</v>
      </c>
      <c r="V37" s="847">
        <v>0</v>
      </c>
      <c r="W37" s="847">
        <v>0</v>
      </c>
      <c r="X37" s="847">
        <v>0</v>
      </c>
      <c r="Y37" s="847">
        <v>0</v>
      </c>
      <c r="Z37" s="847">
        <v>0</v>
      </c>
      <c r="AA37" s="847">
        <v>0</v>
      </c>
      <c r="AB37" s="847">
        <v>0</v>
      </c>
      <c r="AC37" s="847">
        <v>0</v>
      </c>
      <c r="AD37" s="847">
        <v>0</v>
      </c>
      <c r="AE37" s="847">
        <v>0</v>
      </c>
      <c r="AF37" s="847">
        <v>0</v>
      </c>
      <c r="AG37" s="847">
        <v>0</v>
      </c>
      <c r="AH37" s="847">
        <v>0</v>
      </c>
      <c r="AI37" s="847">
        <v>0</v>
      </c>
      <c r="AJ37" s="847">
        <v>0</v>
      </c>
      <c r="AK37" s="847">
        <v>0</v>
      </c>
      <c r="AL37" s="847">
        <v>0</v>
      </c>
      <c r="AM37" s="847">
        <v>0</v>
      </c>
      <c r="AN37" s="847">
        <v>0</v>
      </c>
      <c r="AO37" s="847">
        <v>0</v>
      </c>
      <c r="AP37" s="847">
        <v>0</v>
      </c>
      <c r="AQ37" s="847">
        <v>0</v>
      </c>
      <c r="AR37" s="847">
        <v>0</v>
      </c>
      <c r="AS37" s="847">
        <v>0</v>
      </c>
      <c r="AT37" s="847">
        <v>0</v>
      </c>
      <c r="AU37" s="847">
        <v>0</v>
      </c>
      <c r="AV37" s="847">
        <v>0</v>
      </c>
      <c r="AW37" s="847">
        <v>0</v>
      </c>
      <c r="AX37" s="847">
        <v>0</v>
      </c>
      <c r="AY37" s="847">
        <v>0</v>
      </c>
      <c r="AZ37" s="847">
        <v>0</v>
      </c>
      <c r="BA37" s="847">
        <v>0</v>
      </c>
      <c r="BB37" s="847">
        <v>0</v>
      </c>
      <c r="BC37" s="847">
        <v>0</v>
      </c>
      <c r="BD37" s="847">
        <v>0</v>
      </c>
      <c r="BE37" s="847">
        <v>0</v>
      </c>
      <c r="BF37" s="847">
        <v>0</v>
      </c>
      <c r="BG37" s="847">
        <v>0</v>
      </c>
      <c r="BH37" s="847">
        <v>0</v>
      </c>
      <c r="BI37" s="847">
        <v>0</v>
      </c>
      <c r="BJ37" s="847">
        <v>0</v>
      </c>
      <c r="BK37" s="847">
        <v>0</v>
      </c>
      <c r="BL37" s="847">
        <v>0</v>
      </c>
      <c r="BM37" s="847">
        <v>0</v>
      </c>
      <c r="BN37" s="847">
        <v>0</v>
      </c>
      <c r="BO37" s="847">
        <v>0</v>
      </c>
      <c r="BP37" s="847">
        <v>0</v>
      </c>
      <c r="BQ37" s="847">
        <v>0</v>
      </c>
      <c r="BR37" s="847">
        <v>0</v>
      </c>
      <c r="BS37" s="847">
        <v>0</v>
      </c>
      <c r="BT37" s="847">
        <v>0</v>
      </c>
      <c r="BU37" s="847">
        <v>0</v>
      </c>
      <c r="BV37" s="847">
        <v>0</v>
      </c>
      <c r="BW37" s="847">
        <v>0</v>
      </c>
      <c r="BX37" s="847">
        <v>0</v>
      </c>
      <c r="BY37" s="847">
        <v>0</v>
      </c>
      <c r="BZ37" s="847">
        <v>0</v>
      </c>
      <c r="CA37" s="847">
        <v>0</v>
      </c>
      <c r="CB37" s="847">
        <v>0</v>
      </c>
      <c r="CC37" s="847">
        <v>0</v>
      </c>
      <c r="CD37" s="847">
        <v>0</v>
      </c>
      <c r="CE37" s="847">
        <v>0</v>
      </c>
      <c r="CF37" s="847">
        <v>0</v>
      </c>
      <c r="CG37" s="847">
        <v>0</v>
      </c>
      <c r="CH37" s="847">
        <v>0</v>
      </c>
      <c r="CI37" s="847">
        <v>0</v>
      </c>
      <c r="CJ37" s="847">
        <v>0</v>
      </c>
      <c r="CK37" s="847">
        <v>0</v>
      </c>
      <c r="CL37" s="847">
        <v>0</v>
      </c>
      <c r="CM37" s="847">
        <v>0</v>
      </c>
      <c r="CN37" s="847">
        <v>0</v>
      </c>
      <c r="CO37" s="847">
        <v>0</v>
      </c>
      <c r="CP37" s="847">
        <v>0</v>
      </c>
      <c r="CQ37" s="847">
        <v>0</v>
      </c>
      <c r="CR37" s="847">
        <v>0</v>
      </c>
      <c r="CS37" s="847">
        <v>0</v>
      </c>
      <c r="CT37" s="847">
        <v>0</v>
      </c>
      <c r="CU37" s="847">
        <v>0</v>
      </c>
      <c r="CV37" s="847">
        <v>0</v>
      </c>
      <c r="CW37" s="847">
        <v>0</v>
      </c>
      <c r="CX37" s="847">
        <v>0</v>
      </c>
      <c r="CY37" s="847">
        <v>0</v>
      </c>
      <c r="CZ37" s="847">
        <v>0</v>
      </c>
      <c r="DA37" s="847">
        <v>0</v>
      </c>
      <c r="DB37" s="847">
        <v>0</v>
      </c>
      <c r="DC37" s="847">
        <v>0</v>
      </c>
      <c r="DD37" s="847">
        <v>0</v>
      </c>
      <c r="DE37" s="847">
        <v>0</v>
      </c>
      <c r="DF37" s="847">
        <v>0</v>
      </c>
      <c r="DG37" s="847">
        <v>0</v>
      </c>
      <c r="DH37" s="847">
        <v>0</v>
      </c>
      <c r="DI37" s="847">
        <v>0</v>
      </c>
      <c r="DJ37" s="847">
        <v>0</v>
      </c>
      <c r="DK37" s="847">
        <v>0</v>
      </c>
      <c r="DL37" s="847">
        <v>0</v>
      </c>
      <c r="DM37" s="847">
        <v>0</v>
      </c>
      <c r="DN37" s="847">
        <v>0</v>
      </c>
      <c r="DO37" s="847">
        <v>0</v>
      </c>
      <c r="DP37" s="847">
        <v>0</v>
      </c>
      <c r="DQ37" s="847">
        <v>0</v>
      </c>
      <c r="DR37" s="847">
        <v>0</v>
      </c>
      <c r="DS37" s="847">
        <v>0</v>
      </c>
      <c r="DT37" s="847">
        <v>0</v>
      </c>
      <c r="DU37" s="847">
        <v>0</v>
      </c>
      <c r="DV37" s="847">
        <v>0</v>
      </c>
      <c r="DW37" s="847">
        <v>0</v>
      </c>
      <c r="DY37" s="173"/>
      <c r="DZ37" s="173"/>
      <c r="EA37" s="173"/>
      <c r="EB37" s="174"/>
      <c r="EC37" s="175"/>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c r="FA37" s="174"/>
      <c r="FB37" s="174"/>
      <c r="FC37" s="174"/>
      <c r="FD37" s="174"/>
      <c r="FE37" s="174"/>
      <c r="FF37" s="174"/>
      <c r="FG37" s="174"/>
      <c r="FH37" s="174"/>
      <c r="FI37" s="174"/>
      <c r="FJ37" s="174"/>
      <c r="FK37" s="174"/>
      <c r="FL37" s="174"/>
      <c r="FM37" s="174"/>
      <c r="FN37" s="174"/>
      <c r="FO37" s="174"/>
      <c r="FP37" s="174"/>
      <c r="FQ37" s="174"/>
      <c r="FR37" s="174"/>
      <c r="FS37" s="174"/>
      <c r="FT37" s="174"/>
      <c r="FU37" s="174"/>
      <c r="FV37" s="174"/>
      <c r="FW37" s="174"/>
      <c r="FX37" s="174"/>
      <c r="FY37" s="174"/>
      <c r="FZ37" s="174"/>
      <c r="GA37" s="174"/>
      <c r="GB37" s="174"/>
      <c r="GC37" s="174"/>
      <c r="GD37" s="174"/>
      <c r="GE37" s="174"/>
      <c r="GF37" s="174"/>
      <c r="GG37" s="174"/>
      <c r="GH37" s="174"/>
      <c r="GI37" s="174"/>
      <c r="GJ37" s="174"/>
      <c r="GK37" s="174"/>
      <c r="GL37" s="174"/>
      <c r="GM37" s="174"/>
      <c r="GN37" s="174"/>
      <c r="GO37" s="174"/>
      <c r="GP37" s="174"/>
      <c r="GQ37" s="174"/>
      <c r="GR37" s="174"/>
      <c r="GS37" s="174"/>
      <c r="GT37" s="174"/>
      <c r="GU37" s="174"/>
      <c r="GV37" s="174"/>
      <c r="GW37" s="174"/>
      <c r="GX37" s="174"/>
      <c r="GY37" s="174"/>
      <c r="GZ37" s="174"/>
      <c r="HA37" s="174"/>
      <c r="HB37" s="174"/>
      <c r="HC37" s="176"/>
      <c r="HD37" s="176"/>
      <c r="HE37" s="176"/>
      <c r="HF37" s="176"/>
      <c r="HG37" s="176"/>
      <c r="HH37" s="176"/>
      <c r="HI37" s="176"/>
      <c r="HJ37" s="176"/>
      <c r="HK37" s="176"/>
      <c r="HL37" s="176"/>
      <c r="HM37" s="176"/>
      <c r="HN37" s="176"/>
      <c r="HO37" s="176"/>
      <c r="HP37" s="176"/>
      <c r="HQ37" s="176"/>
      <c r="HR37" s="176"/>
      <c r="HS37" s="176"/>
      <c r="HT37" s="176"/>
      <c r="HU37" s="176"/>
      <c r="HV37" s="176"/>
      <c r="HW37" s="176"/>
      <c r="HX37" s="176"/>
      <c r="HY37" s="176"/>
      <c r="HZ37" s="176"/>
      <c r="IA37" s="176"/>
      <c r="IB37" s="176"/>
      <c r="IC37" s="176"/>
      <c r="ID37" s="176"/>
      <c r="IE37" s="176"/>
      <c r="IF37" s="176"/>
      <c r="IG37" s="176"/>
      <c r="IH37" s="176"/>
      <c r="II37" s="176"/>
      <c r="IJ37" s="176"/>
    </row>
    <row r="38" spans="1:244" ht="16.5" hidden="1">
      <c r="A38" s="846" t="s">
        <v>1060</v>
      </c>
      <c r="B38" s="846" t="s">
        <v>1382</v>
      </c>
      <c r="C38" s="846" t="s">
        <v>1171</v>
      </c>
      <c r="D38" s="847">
        <v>6</v>
      </c>
      <c r="E38" s="846" t="s">
        <v>1171</v>
      </c>
      <c r="F38" s="846" t="s">
        <v>96</v>
      </c>
      <c r="G38" s="851"/>
      <c r="H38" s="847">
        <v>35</v>
      </c>
      <c r="I38" s="780" t="str">
        <f t="shared" si="0"/>
        <v>IWT060135</v>
      </c>
      <c r="J38" s="847">
        <v>5019</v>
      </c>
      <c r="L38" s="846" t="s">
        <v>1060</v>
      </c>
      <c r="M38" s="846" t="s">
        <v>1382</v>
      </c>
      <c r="N38" s="846" t="s">
        <v>96</v>
      </c>
      <c r="O38" s="847">
        <v>35</v>
      </c>
      <c r="P38" s="780" t="str">
        <f t="shared" si="1"/>
        <v>IWT060135</v>
      </c>
      <c r="Q38" s="847">
        <v>1105</v>
      </c>
      <c r="R38" s="847">
        <v>2948</v>
      </c>
      <c r="S38" s="847">
        <v>4755</v>
      </c>
      <c r="T38" s="847">
        <v>6526</v>
      </c>
      <c r="U38" s="847">
        <v>8263</v>
      </c>
      <c r="V38" s="847">
        <v>0</v>
      </c>
      <c r="W38" s="847">
        <v>0</v>
      </c>
      <c r="X38" s="847">
        <v>0</v>
      </c>
      <c r="Y38" s="847">
        <v>0</v>
      </c>
      <c r="Z38" s="847">
        <v>0</v>
      </c>
      <c r="AA38" s="847">
        <v>0</v>
      </c>
      <c r="AB38" s="847">
        <v>0</v>
      </c>
      <c r="AC38" s="847">
        <v>0</v>
      </c>
      <c r="AD38" s="847">
        <v>0</v>
      </c>
      <c r="AE38" s="847">
        <v>0</v>
      </c>
      <c r="AF38" s="847">
        <v>0</v>
      </c>
      <c r="AG38" s="847">
        <v>0</v>
      </c>
      <c r="AH38" s="847">
        <v>0</v>
      </c>
      <c r="AI38" s="847">
        <v>0</v>
      </c>
      <c r="AJ38" s="847">
        <v>0</v>
      </c>
      <c r="AK38" s="847">
        <v>0</v>
      </c>
      <c r="AL38" s="847">
        <v>0</v>
      </c>
      <c r="AM38" s="847">
        <v>0</v>
      </c>
      <c r="AN38" s="847">
        <v>0</v>
      </c>
      <c r="AO38" s="847">
        <v>0</v>
      </c>
      <c r="AP38" s="847">
        <v>0</v>
      </c>
      <c r="AQ38" s="847">
        <v>0</v>
      </c>
      <c r="AR38" s="847">
        <v>0</v>
      </c>
      <c r="AS38" s="847">
        <v>0</v>
      </c>
      <c r="AT38" s="847">
        <v>0</v>
      </c>
      <c r="AU38" s="847">
        <v>0</v>
      </c>
      <c r="AV38" s="847">
        <v>0</v>
      </c>
      <c r="AW38" s="847">
        <v>0</v>
      </c>
      <c r="AX38" s="847">
        <v>0</v>
      </c>
      <c r="AY38" s="847">
        <v>0</v>
      </c>
      <c r="AZ38" s="847">
        <v>0</v>
      </c>
      <c r="BA38" s="847">
        <v>0</v>
      </c>
      <c r="BB38" s="847">
        <v>0</v>
      </c>
      <c r="BC38" s="847">
        <v>0</v>
      </c>
      <c r="BD38" s="847">
        <v>0</v>
      </c>
      <c r="BE38" s="847">
        <v>0</v>
      </c>
      <c r="BF38" s="847">
        <v>0</v>
      </c>
      <c r="BG38" s="847">
        <v>0</v>
      </c>
      <c r="BH38" s="847">
        <v>0</v>
      </c>
      <c r="BI38" s="847">
        <v>0</v>
      </c>
      <c r="BJ38" s="847">
        <v>0</v>
      </c>
      <c r="BK38" s="847">
        <v>0</v>
      </c>
      <c r="BL38" s="847">
        <v>0</v>
      </c>
      <c r="BM38" s="847">
        <v>0</v>
      </c>
      <c r="BN38" s="847">
        <v>0</v>
      </c>
      <c r="BO38" s="847">
        <v>0</v>
      </c>
      <c r="BP38" s="847">
        <v>0</v>
      </c>
      <c r="BQ38" s="847">
        <v>0</v>
      </c>
      <c r="BR38" s="847">
        <v>0</v>
      </c>
      <c r="BS38" s="847">
        <v>0</v>
      </c>
      <c r="BT38" s="847">
        <v>0</v>
      </c>
      <c r="BU38" s="847">
        <v>0</v>
      </c>
      <c r="BV38" s="847">
        <v>0</v>
      </c>
      <c r="BW38" s="847">
        <v>0</v>
      </c>
      <c r="BX38" s="847">
        <v>0</v>
      </c>
      <c r="BY38" s="847">
        <v>0</v>
      </c>
      <c r="BZ38" s="847">
        <v>0</v>
      </c>
      <c r="CA38" s="847">
        <v>0</v>
      </c>
      <c r="CB38" s="847">
        <v>0</v>
      </c>
      <c r="CC38" s="847">
        <v>0</v>
      </c>
      <c r="CD38" s="847">
        <v>0</v>
      </c>
      <c r="CE38" s="847">
        <v>0</v>
      </c>
      <c r="CF38" s="847">
        <v>0</v>
      </c>
      <c r="CG38" s="847">
        <v>0</v>
      </c>
      <c r="CH38" s="847">
        <v>0</v>
      </c>
      <c r="CI38" s="847">
        <v>0</v>
      </c>
      <c r="CJ38" s="847">
        <v>0</v>
      </c>
      <c r="CK38" s="847">
        <v>0</v>
      </c>
      <c r="CL38" s="847">
        <v>0</v>
      </c>
      <c r="CM38" s="847">
        <v>0</v>
      </c>
      <c r="CN38" s="847">
        <v>0</v>
      </c>
      <c r="CO38" s="847">
        <v>0</v>
      </c>
      <c r="CP38" s="847">
        <v>0</v>
      </c>
      <c r="CQ38" s="847">
        <v>0</v>
      </c>
      <c r="CR38" s="847">
        <v>0</v>
      </c>
      <c r="CS38" s="847">
        <v>0</v>
      </c>
      <c r="CT38" s="847">
        <v>0</v>
      </c>
      <c r="CU38" s="847">
        <v>0</v>
      </c>
      <c r="CV38" s="847">
        <v>0</v>
      </c>
      <c r="CW38" s="847">
        <v>0</v>
      </c>
      <c r="CX38" s="847">
        <v>0</v>
      </c>
      <c r="CY38" s="847">
        <v>0</v>
      </c>
      <c r="CZ38" s="847">
        <v>0</v>
      </c>
      <c r="DA38" s="847">
        <v>0</v>
      </c>
      <c r="DB38" s="847">
        <v>0</v>
      </c>
      <c r="DC38" s="847">
        <v>0</v>
      </c>
      <c r="DD38" s="847">
        <v>0</v>
      </c>
      <c r="DE38" s="847">
        <v>0</v>
      </c>
      <c r="DF38" s="847">
        <v>0</v>
      </c>
      <c r="DG38" s="847">
        <v>0</v>
      </c>
      <c r="DH38" s="847">
        <v>0</v>
      </c>
      <c r="DI38" s="847">
        <v>0</v>
      </c>
      <c r="DJ38" s="847">
        <v>0</v>
      </c>
      <c r="DK38" s="847">
        <v>0</v>
      </c>
      <c r="DL38" s="847">
        <v>0</v>
      </c>
      <c r="DM38" s="847">
        <v>0</v>
      </c>
      <c r="DN38" s="847">
        <v>0</v>
      </c>
      <c r="DO38" s="847">
        <v>0</v>
      </c>
      <c r="DP38" s="847">
        <v>0</v>
      </c>
      <c r="DQ38" s="847">
        <v>0</v>
      </c>
      <c r="DR38" s="847">
        <v>0</v>
      </c>
      <c r="DS38" s="847">
        <v>0</v>
      </c>
      <c r="DT38" s="847">
        <v>0</v>
      </c>
      <c r="DU38" s="847">
        <v>0</v>
      </c>
      <c r="DV38" s="847">
        <v>0</v>
      </c>
      <c r="DW38" s="847">
        <v>0</v>
      </c>
      <c r="DY38" s="173"/>
      <c r="DZ38" s="173"/>
      <c r="EA38" s="173"/>
      <c r="EB38" s="174"/>
      <c r="EC38" s="175"/>
      <c r="ED38" s="174"/>
      <c r="EE38" s="174"/>
      <c r="EF38" s="174"/>
      <c r="EG38" s="174"/>
      <c r="EH38" s="174"/>
      <c r="EI38" s="174"/>
      <c r="EJ38" s="174"/>
      <c r="EK38" s="174"/>
      <c r="EL38" s="174"/>
      <c r="EM38" s="174"/>
      <c r="EN38" s="174"/>
      <c r="EO38" s="174"/>
      <c r="EP38" s="174"/>
      <c r="EQ38" s="174"/>
      <c r="ER38" s="174"/>
      <c r="ES38" s="174"/>
      <c r="ET38" s="174"/>
      <c r="EU38" s="174"/>
      <c r="EV38" s="174"/>
      <c r="EW38" s="174"/>
      <c r="EX38" s="174"/>
      <c r="EY38" s="174"/>
      <c r="EZ38" s="174"/>
      <c r="FA38" s="174"/>
      <c r="FB38" s="174"/>
      <c r="FC38" s="174"/>
      <c r="FD38" s="174"/>
      <c r="FE38" s="174"/>
      <c r="FF38" s="174"/>
      <c r="FG38" s="174"/>
      <c r="FH38" s="174"/>
      <c r="FI38" s="174"/>
      <c r="FJ38" s="174"/>
      <c r="FK38" s="174"/>
      <c r="FL38" s="174"/>
      <c r="FM38" s="174"/>
      <c r="FN38" s="174"/>
      <c r="FO38" s="174"/>
      <c r="FP38" s="174"/>
      <c r="FQ38" s="174"/>
      <c r="FR38" s="174"/>
      <c r="FS38" s="174"/>
      <c r="FT38" s="174"/>
      <c r="FU38" s="174"/>
      <c r="FV38" s="174"/>
      <c r="FW38" s="174"/>
      <c r="FX38" s="174"/>
      <c r="FY38" s="174"/>
      <c r="FZ38" s="174"/>
      <c r="GA38" s="174"/>
      <c r="GB38" s="174"/>
      <c r="GC38" s="174"/>
      <c r="GD38" s="174"/>
      <c r="GE38" s="174"/>
      <c r="GF38" s="174"/>
      <c r="GG38" s="174"/>
      <c r="GH38" s="174"/>
      <c r="GI38" s="174"/>
      <c r="GJ38" s="174"/>
      <c r="GK38" s="174"/>
      <c r="GL38" s="174"/>
      <c r="GM38" s="174"/>
      <c r="GN38" s="174"/>
      <c r="GO38" s="174"/>
      <c r="GP38" s="174"/>
      <c r="GQ38" s="174"/>
      <c r="GR38" s="174"/>
      <c r="GS38" s="174"/>
      <c r="GT38" s="174"/>
      <c r="GU38" s="174"/>
      <c r="GV38" s="174"/>
      <c r="GW38" s="174"/>
      <c r="GX38" s="174"/>
      <c r="GY38" s="174"/>
      <c r="GZ38" s="174"/>
      <c r="HA38" s="174"/>
      <c r="HB38" s="176"/>
      <c r="HC38" s="176"/>
      <c r="HD38" s="176"/>
      <c r="HE38" s="176"/>
      <c r="HF38" s="176"/>
      <c r="HG38" s="176"/>
      <c r="HH38" s="176"/>
      <c r="HI38" s="176"/>
      <c r="HJ38" s="176"/>
      <c r="HK38" s="176"/>
      <c r="HL38" s="176"/>
      <c r="HM38" s="176"/>
      <c r="HN38" s="176"/>
      <c r="HO38" s="176"/>
      <c r="HP38" s="176"/>
      <c r="HQ38" s="176"/>
      <c r="HR38" s="176"/>
      <c r="HS38" s="176"/>
      <c r="HT38" s="176"/>
      <c r="HU38" s="176"/>
      <c r="HV38" s="176"/>
      <c r="HW38" s="176"/>
      <c r="HX38" s="176"/>
      <c r="HY38" s="176"/>
      <c r="HZ38" s="176"/>
      <c r="IA38" s="176"/>
      <c r="IB38" s="176"/>
      <c r="IC38" s="176"/>
      <c r="ID38" s="176"/>
      <c r="IE38" s="176"/>
      <c r="IF38" s="176"/>
      <c r="IG38" s="176"/>
      <c r="IH38" s="176"/>
      <c r="II38" s="176"/>
      <c r="IJ38" s="176"/>
    </row>
    <row r="39" spans="1:244" ht="16.5" hidden="1">
      <c r="A39" s="846" t="s">
        <v>1060</v>
      </c>
      <c r="B39" s="846" t="s">
        <v>1382</v>
      </c>
      <c r="C39" s="846" t="s">
        <v>1171</v>
      </c>
      <c r="D39" s="847">
        <v>6</v>
      </c>
      <c r="E39" s="846" t="s">
        <v>1171</v>
      </c>
      <c r="F39" s="846" t="s">
        <v>96</v>
      </c>
      <c r="G39" s="851"/>
      <c r="H39" s="847">
        <v>36</v>
      </c>
      <c r="I39" s="780" t="str">
        <f t="shared" si="0"/>
        <v>IWT060136</v>
      </c>
      <c r="J39" s="847">
        <v>5025</v>
      </c>
      <c r="L39" s="846" t="s">
        <v>1060</v>
      </c>
      <c r="M39" s="846" t="s">
        <v>1382</v>
      </c>
      <c r="N39" s="846" t="s">
        <v>96</v>
      </c>
      <c r="O39" s="847">
        <v>36</v>
      </c>
      <c r="P39" s="780" t="str">
        <f t="shared" si="1"/>
        <v>IWT060136</v>
      </c>
      <c r="Q39" s="847">
        <v>1104</v>
      </c>
      <c r="R39" s="847">
        <v>2947</v>
      </c>
      <c r="S39" s="847">
        <v>4754</v>
      </c>
      <c r="T39" s="847">
        <v>6526</v>
      </c>
      <c r="U39" s="847">
        <v>8262</v>
      </c>
      <c r="V39" s="847">
        <v>0</v>
      </c>
      <c r="W39" s="847">
        <v>0</v>
      </c>
      <c r="X39" s="847">
        <v>0</v>
      </c>
      <c r="Y39" s="847">
        <v>0</v>
      </c>
      <c r="Z39" s="847">
        <v>0</v>
      </c>
      <c r="AA39" s="847">
        <v>0</v>
      </c>
      <c r="AB39" s="847">
        <v>0</v>
      </c>
      <c r="AC39" s="847">
        <v>0</v>
      </c>
      <c r="AD39" s="847">
        <v>0</v>
      </c>
      <c r="AE39" s="847">
        <v>0</v>
      </c>
      <c r="AF39" s="847">
        <v>0</v>
      </c>
      <c r="AG39" s="847">
        <v>0</v>
      </c>
      <c r="AH39" s="847">
        <v>0</v>
      </c>
      <c r="AI39" s="847">
        <v>0</v>
      </c>
      <c r="AJ39" s="847">
        <v>0</v>
      </c>
      <c r="AK39" s="847">
        <v>0</v>
      </c>
      <c r="AL39" s="847">
        <v>0</v>
      </c>
      <c r="AM39" s="847">
        <v>0</v>
      </c>
      <c r="AN39" s="847">
        <v>0</v>
      </c>
      <c r="AO39" s="847">
        <v>0</v>
      </c>
      <c r="AP39" s="847">
        <v>0</v>
      </c>
      <c r="AQ39" s="847">
        <v>0</v>
      </c>
      <c r="AR39" s="847">
        <v>0</v>
      </c>
      <c r="AS39" s="847">
        <v>0</v>
      </c>
      <c r="AT39" s="847">
        <v>0</v>
      </c>
      <c r="AU39" s="847">
        <v>0</v>
      </c>
      <c r="AV39" s="847">
        <v>0</v>
      </c>
      <c r="AW39" s="847">
        <v>0</v>
      </c>
      <c r="AX39" s="847">
        <v>0</v>
      </c>
      <c r="AY39" s="847">
        <v>0</v>
      </c>
      <c r="AZ39" s="847">
        <v>0</v>
      </c>
      <c r="BA39" s="847">
        <v>0</v>
      </c>
      <c r="BB39" s="847">
        <v>0</v>
      </c>
      <c r="BC39" s="847">
        <v>0</v>
      </c>
      <c r="BD39" s="847">
        <v>0</v>
      </c>
      <c r="BE39" s="847">
        <v>0</v>
      </c>
      <c r="BF39" s="847">
        <v>0</v>
      </c>
      <c r="BG39" s="847">
        <v>0</v>
      </c>
      <c r="BH39" s="847">
        <v>0</v>
      </c>
      <c r="BI39" s="847">
        <v>0</v>
      </c>
      <c r="BJ39" s="847">
        <v>0</v>
      </c>
      <c r="BK39" s="847">
        <v>0</v>
      </c>
      <c r="BL39" s="847">
        <v>0</v>
      </c>
      <c r="BM39" s="847">
        <v>0</v>
      </c>
      <c r="BN39" s="847">
        <v>0</v>
      </c>
      <c r="BO39" s="847">
        <v>0</v>
      </c>
      <c r="BP39" s="847">
        <v>0</v>
      </c>
      <c r="BQ39" s="847">
        <v>0</v>
      </c>
      <c r="BR39" s="847">
        <v>0</v>
      </c>
      <c r="BS39" s="847">
        <v>0</v>
      </c>
      <c r="BT39" s="847">
        <v>0</v>
      </c>
      <c r="BU39" s="847">
        <v>0</v>
      </c>
      <c r="BV39" s="847">
        <v>0</v>
      </c>
      <c r="BW39" s="847">
        <v>0</v>
      </c>
      <c r="BX39" s="847">
        <v>0</v>
      </c>
      <c r="BY39" s="847">
        <v>0</v>
      </c>
      <c r="BZ39" s="847">
        <v>0</v>
      </c>
      <c r="CA39" s="847">
        <v>0</v>
      </c>
      <c r="CB39" s="847">
        <v>0</v>
      </c>
      <c r="CC39" s="847">
        <v>0</v>
      </c>
      <c r="CD39" s="847">
        <v>0</v>
      </c>
      <c r="CE39" s="847">
        <v>0</v>
      </c>
      <c r="CF39" s="847">
        <v>0</v>
      </c>
      <c r="CG39" s="847">
        <v>0</v>
      </c>
      <c r="CH39" s="847">
        <v>0</v>
      </c>
      <c r="CI39" s="847">
        <v>0</v>
      </c>
      <c r="CJ39" s="847">
        <v>0</v>
      </c>
      <c r="CK39" s="847">
        <v>0</v>
      </c>
      <c r="CL39" s="847">
        <v>0</v>
      </c>
      <c r="CM39" s="847">
        <v>0</v>
      </c>
      <c r="CN39" s="847">
        <v>0</v>
      </c>
      <c r="CO39" s="847">
        <v>0</v>
      </c>
      <c r="CP39" s="847">
        <v>0</v>
      </c>
      <c r="CQ39" s="847">
        <v>0</v>
      </c>
      <c r="CR39" s="847">
        <v>0</v>
      </c>
      <c r="CS39" s="847">
        <v>0</v>
      </c>
      <c r="CT39" s="847">
        <v>0</v>
      </c>
      <c r="CU39" s="847">
        <v>0</v>
      </c>
      <c r="CV39" s="847">
        <v>0</v>
      </c>
      <c r="CW39" s="847">
        <v>0</v>
      </c>
      <c r="CX39" s="847">
        <v>0</v>
      </c>
      <c r="CY39" s="847">
        <v>0</v>
      </c>
      <c r="CZ39" s="847">
        <v>0</v>
      </c>
      <c r="DA39" s="847">
        <v>0</v>
      </c>
      <c r="DB39" s="847">
        <v>0</v>
      </c>
      <c r="DC39" s="847">
        <v>0</v>
      </c>
      <c r="DD39" s="847">
        <v>0</v>
      </c>
      <c r="DE39" s="847">
        <v>0</v>
      </c>
      <c r="DF39" s="847">
        <v>0</v>
      </c>
      <c r="DG39" s="847">
        <v>0</v>
      </c>
      <c r="DH39" s="847">
        <v>0</v>
      </c>
      <c r="DI39" s="847">
        <v>0</v>
      </c>
      <c r="DJ39" s="847">
        <v>0</v>
      </c>
      <c r="DK39" s="847">
        <v>0</v>
      </c>
      <c r="DL39" s="847">
        <v>0</v>
      </c>
      <c r="DM39" s="847">
        <v>0</v>
      </c>
      <c r="DN39" s="847">
        <v>0</v>
      </c>
      <c r="DO39" s="847">
        <v>0</v>
      </c>
      <c r="DP39" s="847">
        <v>0</v>
      </c>
      <c r="DQ39" s="847">
        <v>0</v>
      </c>
      <c r="DR39" s="847">
        <v>0</v>
      </c>
      <c r="DS39" s="847">
        <v>0</v>
      </c>
      <c r="DT39" s="847">
        <v>0</v>
      </c>
      <c r="DU39" s="847">
        <v>0</v>
      </c>
      <c r="DV39" s="847">
        <v>0</v>
      </c>
      <c r="DW39" s="847">
        <v>0</v>
      </c>
      <c r="DY39" s="173"/>
      <c r="DZ39" s="173"/>
      <c r="EA39" s="173"/>
      <c r="EB39" s="174"/>
      <c r="EC39" s="175"/>
      <c r="ED39" s="174"/>
      <c r="EE39" s="174"/>
      <c r="EF39" s="174"/>
      <c r="EG39" s="174"/>
      <c r="EH39" s="174"/>
      <c r="EI39" s="174"/>
      <c r="EJ39" s="174"/>
      <c r="EK39" s="174"/>
      <c r="EL39" s="174"/>
      <c r="EM39" s="174"/>
      <c r="EN39" s="174"/>
      <c r="EO39" s="174"/>
      <c r="EP39" s="174"/>
      <c r="EQ39" s="174"/>
      <c r="ER39" s="174"/>
      <c r="ES39" s="174"/>
      <c r="ET39" s="174"/>
      <c r="EU39" s="174"/>
      <c r="EV39" s="174"/>
      <c r="EW39" s="174"/>
      <c r="EX39" s="174"/>
      <c r="EY39" s="174"/>
      <c r="EZ39" s="174"/>
      <c r="FA39" s="174"/>
      <c r="FB39" s="174"/>
      <c r="FC39" s="174"/>
      <c r="FD39" s="174"/>
      <c r="FE39" s="174"/>
      <c r="FF39" s="174"/>
      <c r="FG39" s="174"/>
      <c r="FH39" s="174"/>
      <c r="FI39" s="174"/>
      <c r="FJ39" s="174"/>
      <c r="FK39" s="174"/>
      <c r="FL39" s="174"/>
      <c r="FM39" s="174"/>
      <c r="FN39" s="174"/>
      <c r="FO39" s="174"/>
      <c r="FP39" s="174"/>
      <c r="FQ39" s="174"/>
      <c r="FR39" s="174"/>
      <c r="FS39" s="174"/>
      <c r="FT39" s="174"/>
      <c r="FU39" s="174"/>
      <c r="FV39" s="174"/>
      <c r="FW39" s="174"/>
      <c r="FX39" s="174"/>
      <c r="FY39" s="174"/>
      <c r="FZ39" s="174"/>
      <c r="GA39" s="174"/>
      <c r="GB39" s="174"/>
      <c r="GC39" s="174"/>
      <c r="GD39" s="174"/>
      <c r="GE39" s="174"/>
      <c r="GF39" s="174"/>
      <c r="GG39" s="174"/>
      <c r="GH39" s="174"/>
      <c r="GI39" s="174"/>
      <c r="GJ39" s="174"/>
      <c r="GK39" s="174"/>
      <c r="GL39" s="174"/>
      <c r="GM39" s="174"/>
      <c r="GN39" s="174"/>
      <c r="GO39" s="174"/>
      <c r="GP39" s="174"/>
      <c r="GQ39" s="174"/>
      <c r="GR39" s="174"/>
      <c r="GS39" s="174"/>
      <c r="GT39" s="174"/>
      <c r="GU39" s="174"/>
      <c r="GV39" s="174"/>
      <c r="GW39" s="174"/>
      <c r="GX39" s="174"/>
      <c r="GY39" s="174"/>
      <c r="GZ39" s="174"/>
      <c r="HA39" s="176"/>
      <c r="HB39" s="176"/>
      <c r="HC39" s="176"/>
      <c r="HD39" s="176"/>
      <c r="HE39" s="176"/>
      <c r="HF39" s="176"/>
      <c r="HG39" s="176"/>
      <c r="HH39" s="176"/>
      <c r="HI39" s="176"/>
      <c r="HJ39" s="176"/>
      <c r="HK39" s="176"/>
      <c r="HL39" s="176"/>
      <c r="HM39" s="176"/>
      <c r="HN39" s="176"/>
      <c r="HO39" s="176"/>
      <c r="HP39" s="176"/>
      <c r="HQ39" s="176"/>
      <c r="HR39" s="176"/>
      <c r="HS39" s="176"/>
      <c r="HT39" s="176"/>
      <c r="HU39" s="176"/>
      <c r="HV39" s="176"/>
      <c r="HW39" s="176"/>
      <c r="HX39" s="176"/>
      <c r="HY39" s="176"/>
      <c r="HZ39" s="176"/>
      <c r="IA39" s="176"/>
      <c r="IB39" s="176"/>
      <c r="IC39" s="176"/>
      <c r="ID39" s="176"/>
      <c r="IE39" s="176"/>
      <c r="IF39" s="176"/>
      <c r="IG39" s="176"/>
      <c r="IH39" s="176"/>
      <c r="II39" s="176"/>
      <c r="IJ39" s="176"/>
    </row>
    <row r="40" spans="1:244" ht="16.5" hidden="1">
      <c r="A40" s="846" t="s">
        <v>1060</v>
      </c>
      <c r="B40" s="846" t="s">
        <v>1382</v>
      </c>
      <c r="C40" s="846" t="s">
        <v>1171</v>
      </c>
      <c r="D40" s="847">
        <v>6</v>
      </c>
      <c r="E40" s="846" t="s">
        <v>1171</v>
      </c>
      <c r="F40" s="846" t="s">
        <v>96</v>
      </c>
      <c r="G40" s="851"/>
      <c r="H40" s="847">
        <v>37</v>
      </c>
      <c r="I40" s="780" t="str">
        <f t="shared" si="0"/>
        <v>IWT060137</v>
      </c>
      <c r="J40" s="847">
        <v>5030</v>
      </c>
      <c r="L40" s="846" t="s">
        <v>1060</v>
      </c>
      <c r="M40" s="846" t="s">
        <v>1382</v>
      </c>
      <c r="N40" s="846" t="s">
        <v>96</v>
      </c>
      <c r="O40" s="847">
        <v>37</v>
      </c>
      <c r="P40" s="780" t="str">
        <f t="shared" si="1"/>
        <v>IWT060137</v>
      </c>
      <c r="Q40" s="847">
        <v>1103</v>
      </c>
      <c r="R40" s="847">
        <v>2947</v>
      </c>
      <c r="S40" s="847">
        <v>4754</v>
      </c>
      <c r="T40" s="847">
        <v>6525</v>
      </c>
      <c r="U40" s="847">
        <v>8262</v>
      </c>
      <c r="V40" s="847">
        <v>0</v>
      </c>
      <c r="W40" s="847">
        <v>0</v>
      </c>
      <c r="X40" s="847">
        <v>0</v>
      </c>
      <c r="Y40" s="847">
        <v>0</v>
      </c>
      <c r="Z40" s="847">
        <v>0</v>
      </c>
      <c r="AA40" s="847">
        <v>0</v>
      </c>
      <c r="AB40" s="847">
        <v>0</v>
      </c>
      <c r="AC40" s="847">
        <v>0</v>
      </c>
      <c r="AD40" s="847">
        <v>0</v>
      </c>
      <c r="AE40" s="847">
        <v>0</v>
      </c>
      <c r="AF40" s="847">
        <v>0</v>
      </c>
      <c r="AG40" s="847">
        <v>0</v>
      </c>
      <c r="AH40" s="847">
        <v>0</v>
      </c>
      <c r="AI40" s="847">
        <v>0</v>
      </c>
      <c r="AJ40" s="847">
        <v>0</v>
      </c>
      <c r="AK40" s="847">
        <v>0</v>
      </c>
      <c r="AL40" s="847">
        <v>0</v>
      </c>
      <c r="AM40" s="847">
        <v>0</v>
      </c>
      <c r="AN40" s="847">
        <v>0</v>
      </c>
      <c r="AO40" s="847">
        <v>0</v>
      </c>
      <c r="AP40" s="847">
        <v>0</v>
      </c>
      <c r="AQ40" s="847">
        <v>0</v>
      </c>
      <c r="AR40" s="847">
        <v>0</v>
      </c>
      <c r="AS40" s="847">
        <v>0</v>
      </c>
      <c r="AT40" s="847">
        <v>0</v>
      </c>
      <c r="AU40" s="847">
        <v>0</v>
      </c>
      <c r="AV40" s="847">
        <v>0</v>
      </c>
      <c r="AW40" s="847">
        <v>0</v>
      </c>
      <c r="AX40" s="847">
        <v>0</v>
      </c>
      <c r="AY40" s="847">
        <v>0</v>
      </c>
      <c r="AZ40" s="847">
        <v>0</v>
      </c>
      <c r="BA40" s="847">
        <v>0</v>
      </c>
      <c r="BB40" s="847">
        <v>0</v>
      </c>
      <c r="BC40" s="847">
        <v>0</v>
      </c>
      <c r="BD40" s="847">
        <v>0</v>
      </c>
      <c r="BE40" s="847">
        <v>0</v>
      </c>
      <c r="BF40" s="847">
        <v>0</v>
      </c>
      <c r="BG40" s="847">
        <v>0</v>
      </c>
      <c r="BH40" s="847">
        <v>0</v>
      </c>
      <c r="BI40" s="847">
        <v>0</v>
      </c>
      <c r="BJ40" s="847">
        <v>0</v>
      </c>
      <c r="BK40" s="847">
        <v>0</v>
      </c>
      <c r="BL40" s="847">
        <v>0</v>
      </c>
      <c r="BM40" s="847">
        <v>0</v>
      </c>
      <c r="BN40" s="847">
        <v>0</v>
      </c>
      <c r="BO40" s="847">
        <v>0</v>
      </c>
      <c r="BP40" s="847">
        <v>0</v>
      </c>
      <c r="BQ40" s="847">
        <v>0</v>
      </c>
      <c r="BR40" s="847">
        <v>0</v>
      </c>
      <c r="BS40" s="847">
        <v>0</v>
      </c>
      <c r="BT40" s="847">
        <v>0</v>
      </c>
      <c r="BU40" s="847">
        <v>0</v>
      </c>
      <c r="BV40" s="847">
        <v>0</v>
      </c>
      <c r="BW40" s="847">
        <v>0</v>
      </c>
      <c r="BX40" s="847">
        <v>0</v>
      </c>
      <c r="BY40" s="847">
        <v>0</v>
      </c>
      <c r="BZ40" s="847">
        <v>0</v>
      </c>
      <c r="CA40" s="847">
        <v>0</v>
      </c>
      <c r="CB40" s="847">
        <v>0</v>
      </c>
      <c r="CC40" s="847">
        <v>0</v>
      </c>
      <c r="CD40" s="847">
        <v>0</v>
      </c>
      <c r="CE40" s="847">
        <v>0</v>
      </c>
      <c r="CF40" s="847">
        <v>0</v>
      </c>
      <c r="CG40" s="847">
        <v>0</v>
      </c>
      <c r="CH40" s="847">
        <v>0</v>
      </c>
      <c r="CI40" s="847">
        <v>0</v>
      </c>
      <c r="CJ40" s="847">
        <v>0</v>
      </c>
      <c r="CK40" s="847">
        <v>0</v>
      </c>
      <c r="CL40" s="847">
        <v>0</v>
      </c>
      <c r="CM40" s="847">
        <v>0</v>
      </c>
      <c r="CN40" s="847">
        <v>0</v>
      </c>
      <c r="CO40" s="847">
        <v>0</v>
      </c>
      <c r="CP40" s="847">
        <v>0</v>
      </c>
      <c r="CQ40" s="847">
        <v>0</v>
      </c>
      <c r="CR40" s="847">
        <v>0</v>
      </c>
      <c r="CS40" s="847">
        <v>0</v>
      </c>
      <c r="CT40" s="847">
        <v>0</v>
      </c>
      <c r="CU40" s="847">
        <v>0</v>
      </c>
      <c r="CV40" s="847">
        <v>0</v>
      </c>
      <c r="CW40" s="847">
        <v>0</v>
      </c>
      <c r="CX40" s="847">
        <v>0</v>
      </c>
      <c r="CY40" s="847">
        <v>0</v>
      </c>
      <c r="CZ40" s="847">
        <v>0</v>
      </c>
      <c r="DA40" s="847">
        <v>0</v>
      </c>
      <c r="DB40" s="847">
        <v>0</v>
      </c>
      <c r="DC40" s="847">
        <v>0</v>
      </c>
      <c r="DD40" s="847">
        <v>0</v>
      </c>
      <c r="DE40" s="847">
        <v>0</v>
      </c>
      <c r="DF40" s="847">
        <v>0</v>
      </c>
      <c r="DG40" s="847">
        <v>0</v>
      </c>
      <c r="DH40" s="847">
        <v>0</v>
      </c>
      <c r="DI40" s="847">
        <v>0</v>
      </c>
      <c r="DJ40" s="847">
        <v>0</v>
      </c>
      <c r="DK40" s="847">
        <v>0</v>
      </c>
      <c r="DL40" s="847">
        <v>0</v>
      </c>
      <c r="DM40" s="847">
        <v>0</v>
      </c>
      <c r="DN40" s="847">
        <v>0</v>
      </c>
      <c r="DO40" s="847">
        <v>0</v>
      </c>
      <c r="DP40" s="847">
        <v>0</v>
      </c>
      <c r="DQ40" s="847">
        <v>0</v>
      </c>
      <c r="DR40" s="847">
        <v>0</v>
      </c>
      <c r="DS40" s="847">
        <v>0</v>
      </c>
      <c r="DT40" s="847">
        <v>0</v>
      </c>
      <c r="DU40" s="847">
        <v>0</v>
      </c>
      <c r="DV40" s="847">
        <v>0</v>
      </c>
      <c r="DW40" s="847">
        <v>0</v>
      </c>
      <c r="DY40" s="173"/>
      <c r="DZ40" s="173"/>
      <c r="EA40" s="173"/>
      <c r="EB40" s="174"/>
      <c r="EC40" s="175"/>
      <c r="ED40" s="174"/>
      <c r="EE40" s="174"/>
      <c r="EF40" s="174"/>
      <c r="EG40" s="174"/>
      <c r="EH40" s="174"/>
      <c r="EI40" s="174"/>
      <c r="EJ40" s="174"/>
      <c r="EK40" s="174"/>
      <c r="EL40" s="174"/>
      <c r="EM40" s="174"/>
      <c r="EN40" s="174"/>
      <c r="EO40" s="174"/>
      <c r="EP40" s="174"/>
      <c r="EQ40" s="174"/>
      <c r="ER40" s="174"/>
      <c r="ES40" s="174"/>
      <c r="ET40" s="174"/>
      <c r="EU40" s="174"/>
      <c r="EV40" s="174"/>
      <c r="EW40" s="174"/>
      <c r="EX40" s="174"/>
      <c r="EY40" s="174"/>
      <c r="EZ40" s="174"/>
      <c r="FA40" s="174"/>
      <c r="FB40" s="174"/>
      <c r="FC40" s="174"/>
      <c r="FD40" s="174"/>
      <c r="FE40" s="174"/>
      <c r="FF40" s="174"/>
      <c r="FG40" s="174"/>
      <c r="FH40" s="174"/>
      <c r="FI40" s="174"/>
      <c r="FJ40" s="174"/>
      <c r="FK40" s="174"/>
      <c r="FL40" s="174"/>
      <c r="FM40" s="174"/>
      <c r="FN40" s="174"/>
      <c r="FO40" s="174"/>
      <c r="FP40" s="174"/>
      <c r="FQ40" s="174"/>
      <c r="FR40" s="174"/>
      <c r="FS40" s="174"/>
      <c r="FT40" s="174"/>
      <c r="FU40" s="174"/>
      <c r="FV40" s="174"/>
      <c r="FW40" s="174"/>
      <c r="FX40" s="174"/>
      <c r="FY40" s="174"/>
      <c r="FZ40" s="174"/>
      <c r="GA40" s="174"/>
      <c r="GB40" s="174"/>
      <c r="GC40" s="174"/>
      <c r="GD40" s="174"/>
      <c r="GE40" s="174"/>
      <c r="GF40" s="174"/>
      <c r="GG40" s="174"/>
      <c r="GH40" s="174"/>
      <c r="GI40" s="174"/>
      <c r="GJ40" s="174"/>
      <c r="GK40" s="174"/>
      <c r="GL40" s="174"/>
      <c r="GM40" s="174"/>
      <c r="GN40" s="174"/>
      <c r="GO40" s="174"/>
      <c r="GP40" s="174"/>
      <c r="GQ40" s="174"/>
      <c r="GR40" s="174"/>
      <c r="GS40" s="174"/>
      <c r="GT40" s="174"/>
      <c r="GU40" s="174"/>
      <c r="GV40" s="174"/>
      <c r="GW40" s="174"/>
      <c r="GX40" s="174"/>
      <c r="GY40" s="174"/>
      <c r="GZ40" s="176"/>
      <c r="HA40" s="176"/>
      <c r="HB40" s="176"/>
      <c r="HC40" s="176"/>
      <c r="HD40" s="176"/>
      <c r="HE40" s="176"/>
      <c r="HF40" s="176"/>
      <c r="HG40" s="176"/>
      <c r="HH40" s="176"/>
      <c r="HI40" s="176"/>
      <c r="HJ40" s="176"/>
      <c r="HK40" s="176"/>
      <c r="HL40" s="176"/>
      <c r="HM40" s="176"/>
      <c r="HN40" s="176"/>
      <c r="HO40" s="176"/>
      <c r="HP40" s="176"/>
      <c r="HQ40" s="176"/>
      <c r="HR40" s="176"/>
      <c r="HS40" s="176"/>
      <c r="HT40" s="176"/>
      <c r="HU40" s="176"/>
      <c r="HV40" s="176"/>
      <c r="HW40" s="176"/>
      <c r="HX40" s="176"/>
      <c r="HY40" s="176"/>
      <c r="HZ40" s="176"/>
      <c r="IA40" s="176"/>
      <c r="IB40" s="176"/>
      <c r="IC40" s="176"/>
      <c r="ID40" s="176"/>
      <c r="IE40" s="176"/>
      <c r="IF40" s="176"/>
      <c r="IG40" s="176"/>
      <c r="IH40" s="176"/>
      <c r="II40" s="176"/>
      <c r="IJ40" s="176"/>
    </row>
    <row r="41" spans="1:244" ht="16.5" hidden="1">
      <c r="A41" s="846" t="s">
        <v>1060</v>
      </c>
      <c r="B41" s="846" t="s">
        <v>1382</v>
      </c>
      <c r="C41" s="846" t="s">
        <v>1171</v>
      </c>
      <c r="D41" s="847">
        <v>6</v>
      </c>
      <c r="E41" s="846" t="s">
        <v>1171</v>
      </c>
      <c r="F41" s="846" t="s">
        <v>96</v>
      </c>
      <c r="G41" s="851"/>
      <c r="H41" s="847">
        <v>38</v>
      </c>
      <c r="I41" s="780" t="str">
        <f t="shared" si="0"/>
        <v>IWT060138</v>
      </c>
      <c r="J41" s="847">
        <v>5034</v>
      </c>
      <c r="L41" s="846" t="s">
        <v>1060</v>
      </c>
      <c r="M41" s="846" t="s">
        <v>1382</v>
      </c>
      <c r="N41" s="846" t="s">
        <v>96</v>
      </c>
      <c r="O41" s="847">
        <v>38</v>
      </c>
      <c r="P41" s="780" t="str">
        <f t="shared" si="1"/>
        <v>IWT060138</v>
      </c>
      <c r="Q41" s="847">
        <v>1103</v>
      </c>
      <c r="R41" s="847">
        <v>2946</v>
      </c>
      <c r="S41" s="847">
        <v>4753</v>
      </c>
      <c r="T41" s="847">
        <v>6525</v>
      </c>
      <c r="U41" s="847">
        <v>8262</v>
      </c>
      <c r="V41" s="847">
        <v>0</v>
      </c>
      <c r="W41" s="847">
        <v>0</v>
      </c>
      <c r="X41" s="847">
        <v>0</v>
      </c>
      <c r="Y41" s="847">
        <v>0</v>
      </c>
      <c r="Z41" s="847">
        <v>0</v>
      </c>
      <c r="AA41" s="847">
        <v>0</v>
      </c>
      <c r="AB41" s="847">
        <v>0</v>
      </c>
      <c r="AC41" s="847">
        <v>0</v>
      </c>
      <c r="AD41" s="847">
        <v>0</v>
      </c>
      <c r="AE41" s="847">
        <v>0</v>
      </c>
      <c r="AF41" s="847">
        <v>0</v>
      </c>
      <c r="AG41" s="847">
        <v>0</v>
      </c>
      <c r="AH41" s="847">
        <v>0</v>
      </c>
      <c r="AI41" s="847">
        <v>0</v>
      </c>
      <c r="AJ41" s="847">
        <v>0</v>
      </c>
      <c r="AK41" s="847">
        <v>0</v>
      </c>
      <c r="AL41" s="847">
        <v>0</v>
      </c>
      <c r="AM41" s="847">
        <v>0</v>
      </c>
      <c r="AN41" s="847">
        <v>0</v>
      </c>
      <c r="AO41" s="847">
        <v>0</v>
      </c>
      <c r="AP41" s="847">
        <v>0</v>
      </c>
      <c r="AQ41" s="847">
        <v>0</v>
      </c>
      <c r="AR41" s="847">
        <v>0</v>
      </c>
      <c r="AS41" s="847">
        <v>0</v>
      </c>
      <c r="AT41" s="847">
        <v>0</v>
      </c>
      <c r="AU41" s="847">
        <v>0</v>
      </c>
      <c r="AV41" s="847">
        <v>0</v>
      </c>
      <c r="AW41" s="847">
        <v>0</v>
      </c>
      <c r="AX41" s="847">
        <v>0</v>
      </c>
      <c r="AY41" s="847">
        <v>0</v>
      </c>
      <c r="AZ41" s="847">
        <v>0</v>
      </c>
      <c r="BA41" s="847">
        <v>0</v>
      </c>
      <c r="BB41" s="847">
        <v>0</v>
      </c>
      <c r="BC41" s="847">
        <v>0</v>
      </c>
      <c r="BD41" s="847">
        <v>0</v>
      </c>
      <c r="BE41" s="847">
        <v>0</v>
      </c>
      <c r="BF41" s="847">
        <v>0</v>
      </c>
      <c r="BG41" s="847">
        <v>0</v>
      </c>
      <c r="BH41" s="847">
        <v>0</v>
      </c>
      <c r="BI41" s="847">
        <v>0</v>
      </c>
      <c r="BJ41" s="847">
        <v>0</v>
      </c>
      <c r="BK41" s="847">
        <v>0</v>
      </c>
      <c r="BL41" s="847">
        <v>0</v>
      </c>
      <c r="BM41" s="847">
        <v>0</v>
      </c>
      <c r="BN41" s="847">
        <v>0</v>
      </c>
      <c r="BO41" s="847">
        <v>0</v>
      </c>
      <c r="BP41" s="847">
        <v>0</v>
      </c>
      <c r="BQ41" s="847">
        <v>0</v>
      </c>
      <c r="BR41" s="847">
        <v>0</v>
      </c>
      <c r="BS41" s="847">
        <v>0</v>
      </c>
      <c r="BT41" s="847">
        <v>0</v>
      </c>
      <c r="BU41" s="847">
        <v>0</v>
      </c>
      <c r="BV41" s="847">
        <v>0</v>
      </c>
      <c r="BW41" s="847">
        <v>0</v>
      </c>
      <c r="BX41" s="847">
        <v>0</v>
      </c>
      <c r="BY41" s="847">
        <v>0</v>
      </c>
      <c r="BZ41" s="847">
        <v>0</v>
      </c>
      <c r="CA41" s="847">
        <v>0</v>
      </c>
      <c r="CB41" s="847">
        <v>0</v>
      </c>
      <c r="CC41" s="847">
        <v>0</v>
      </c>
      <c r="CD41" s="847">
        <v>0</v>
      </c>
      <c r="CE41" s="847">
        <v>0</v>
      </c>
      <c r="CF41" s="847">
        <v>0</v>
      </c>
      <c r="CG41" s="847">
        <v>0</v>
      </c>
      <c r="CH41" s="847">
        <v>0</v>
      </c>
      <c r="CI41" s="847">
        <v>0</v>
      </c>
      <c r="CJ41" s="847">
        <v>0</v>
      </c>
      <c r="CK41" s="847">
        <v>0</v>
      </c>
      <c r="CL41" s="847">
        <v>0</v>
      </c>
      <c r="CM41" s="847">
        <v>0</v>
      </c>
      <c r="CN41" s="847">
        <v>0</v>
      </c>
      <c r="CO41" s="847">
        <v>0</v>
      </c>
      <c r="CP41" s="847">
        <v>0</v>
      </c>
      <c r="CQ41" s="847">
        <v>0</v>
      </c>
      <c r="CR41" s="847">
        <v>0</v>
      </c>
      <c r="CS41" s="847">
        <v>0</v>
      </c>
      <c r="CT41" s="847">
        <v>0</v>
      </c>
      <c r="CU41" s="847">
        <v>0</v>
      </c>
      <c r="CV41" s="847">
        <v>0</v>
      </c>
      <c r="CW41" s="847">
        <v>0</v>
      </c>
      <c r="CX41" s="847">
        <v>0</v>
      </c>
      <c r="CY41" s="847">
        <v>0</v>
      </c>
      <c r="CZ41" s="847">
        <v>0</v>
      </c>
      <c r="DA41" s="847">
        <v>0</v>
      </c>
      <c r="DB41" s="847">
        <v>0</v>
      </c>
      <c r="DC41" s="847">
        <v>0</v>
      </c>
      <c r="DD41" s="847">
        <v>0</v>
      </c>
      <c r="DE41" s="847">
        <v>0</v>
      </c>
      <c r="DF41" s="847">
        <v>0</v>
      </c>
      <c r="DG41" s="847">
        <v>0</v>
      </c>
      <c r="DH41" s="847">
        <v>0</v>
      </c>
      <c r="DI41" s="847">
        <v>0</v>
      </c>
      <c r="DJ41" s="847">
        <v>0</v>
      </c>
      <c r="DK41" s="847">
        <v>0</v>
      </c>
      <c r="DL41" s="847">
        <v>0</v>
      </c>
      <c r="DM41" s="847">
        <v>0</v>
      </c>
      <c r="DN41" s="847">
        <v>0</v>
      </c>
      <c r="DO41" s="847">
        <v>0</v>
      </c>
      <c r="DP41" s="847">
        <v>0</v>
      </c>
      <c r="DQ41" s="847">
        <v>0</v>
      </c>
      <c r="DR41" s="847">
        <v>0</v>
      </c>
      <c r="DS41" s="847">
        <v>0</v>
      </c>
      <c r="DT41" s="847">
        <v>0</v>
      </c>
      <c r="DU41" s="847">
        <v>0</v>
      </c>
      <c r="DV41" s="847">
        <v>0</v>
      </c>
      <c r="DW41" s="847">
        <v>0</v>
      </c>
      <c r="DY41" s="173"/>
      <c r="DZ41" s="173"/>
      <c r="EA41" s="173"/>
      <c r="EB41" s="174"/>
      <c r="EC41" s="175"/>
      <c r="ED41" s="174"/>
      <c r="EE41" s="174"/>
      <c r="EF41" s="174"/>
      <c r="EG41" s="174"/>
      <c r="EH41" s="174"/>
      <c r="EI41" s="174"/>
      <c r="EJ41" s="174"/>
      <c r="EK41" s="174"/>
      <c r="EL41" s="174"/>
      <c r="EM41" s="174"/>
      <c r="EN41" s="174"/>
      <c r="EO41" s="174"/>
      <c r="EP41" s="174"/>
      <c r="EQ41" s="174"/>
      <c r="ER41" s="174"/>
      <c r="ES41" s="174"/>
      <c r="ET41" s="174"/>
      <c r="EU41" s="174"/>
      <c r="EV41" s="174"/>
      <c r="EW41" s="174"/>
      <c r="EX41" s="174"/>
      <c r="EY41" s="174"/>
      <c r="EZ41" s="174"/>
      <c r="FA41" s="174"/>
      <c r="FB41" s="174"/>
      <c r="FC41" s="174"/>
      <c r="FD41" s="174"/>
      <c r="FE41" s="174"/>
      <c r="FF41" s="174"/>
      <c r="FG41" s="174"/>
      <c r="FH41" s="174"/>
      <c r="FI41" s="174"/>
      <c r="FJ41" s="174"/>
      <c r="FK41" s="174"/>
      <c r="FL41" s="174"/>
      <c r="FM41" s="174"/>
      <c r="FN41" s="174"/>
      <c r="FO41" s="174"/>
      <c r="FP41" s="174"/>
      <c r="FQ41" s="174"/>
      <c r="FR41" s="174"/>
      <c r="FS41" s="174"/>
      <c r="FT41" s="174"/>
      <c r="FU41" s="174"/>
      <c r="FV41" s="174"/>
      <c r="FW41" s="174"/>
      <c r="FX41" s="174"/>
      <c r="FY41" s="174"/>
      <c r="FZ41" s="174"/>
      <c r="GA41" s="174"/>
      <c r="GB41" s="174"/>
      <c r="GC41" s="174"/>
      <c r="GD41" s="174"/>
      <c r="GE41" s="174"/>
      <c r="GF41" s="174"/>
      <c r="GG41" s="174"/>
      <c r="GH41" s="174"/>
      <c r="GI41" s="174"/>
      <c r="GJ41" s="174"/>
      <c r="GK41" s="174"/>
      <c r="GL41" s="174"/>
      <c r="GM41" s="174"/>
      <c r="GN41" s="174"/>
      <c r="GO41" s="174"/>
      <c r="GP41" s="174"/>
      <c r="GQ41" s="174"/>
      <c r="GR41" s="174"/>
      <c r="GS41" s="174"/>
      <c r="GT41" s="174"/>
      <c r="GU41" s="174"/>
      <c r="GV41" s="174"/>
      <c r="GW41" s="174"/>
      <c r="GX41" s="174"/>
      <c r="GY41" s="176"/>
      <c r="GZ41" s="176"/>
      <c r="HA41" s="176"/>
      <c r="HB41" s="176"/>
      <c r="HC41" s="176"/>
      <c r="HD41" s="176"/>
      <c r="HE41" s="176"/>
      <c r="HF41" s="176"/>
      <c r="HG41" s="176"/>
      <c r="HH41" s="176"/>
      <c r="HI41" s="176"/>
      <c r="HJ41" s="176"/>
      <c r="HK41" s="176"/>
      <c r="HL41" s="176"/>
      <c r="HM41" s="176"/>
      <c r="HN41" s="176"/>
      <c r="HO41" s="176"/>
      <c r="HP41" s="176"/>
      <c r="HQ41" s="176"/>
      <c r="HR41" s="176"/>
      <c r="HS41" s="176"/>
      <c r="HT41" s="176"/>
      <c r="HU41" s="176"/>
      <c r="HV41" s="176"/>
      <c r="HW41" s="176"/>
      <c r="HX41" s="176"/>
      <c r="HY41" s="176"/>
      <c r="HZ41" s="176"/>
      <c r="IA41" s="176"/>
      <c r="IB41" s="176"/>
      <c r="IC41" s="176"/>
      <c r="ID41" s="176"/>
      <c r="IE41" s="176"/>
      <c r="IF41" s="176"/>
      <c r="IG41" s="176"/>
      <c r="IH41" s="176"/>
      <c r="II41" s="176"/>
      <c r="IJ41" s="176"/>
    </row>
    <row r="42" spans="1:244" ht="16.5" hidden="1">
      <c r="A42" s="846" t="s">
        <v>1060</v>
      </c>
      <c r="B42" s="846" t="s">
        <v>1382</v>
      </c>
      <c r="C42" s="846" t="s">
        <v>1171</v>
      </c>
      <c r="D42" s="847">
        <v>6</v>
      </c>
      <c r="E42" s="846" t="s">
        <v>1171</v>
      </c>
      <c r="F42" s="846" t="s">
        <v>96</v>
      </c>
      <c r="G42" s="851"/>
      <c r="H42" s="847">
        <v>39</v>
      </c>
      <c r="I42" s="780" t="str">
        <f t="shared" si="0"/>
        <v>IWT060139</v>
      </c>
      <c r="J42" s="847">
        <v>5039</v>
      </c>
      <c r="L42" s="846" t="s">
        <v>1060</v>
      </c>
      <c r="M42" s="846" t="s">
        <v>1382</v>
      </c>
      <c r="N42" s="846" t="s">
        <v>96</v>
      </c>
      <c r="O42" s="847">
        <v>39</v>
      </c>
      <c r="P42" s="780" t="str">
        <f t="shared" si="1"/>
        <v>IWT060139</v>
      </c>
      <c r="Q42" s="847">
        <v>1101</v>
      </c>
      <c r="R42" s="847">
        <v>2945</v>
      </c>
      <c r="S42" s="847">
        <v>4753</v>
      </c>
      <c r="T42" s="847">
        <v>6525</v>
      </c>
      <c r="U42" s="847">
        <v>8262</v>
      </c>
      <c r="V42" s="847">
        <v>0</v>
      </c>
      <c r="W42" s="847">
        <v>0</v>
      </c>
      <c r="X42" s="847">
        <v>0</v>
      </c>
      <c r="Y42" s="847">
        <v>0</v>
      </c>
      <c r="Z42" s="847">
        <v>0</v>
      </c>
      <c r="AA42" s="847">
        <v>0</v>
      </c>
      <c r="AB42" s="847">
        <v>0</v>
      </c>
      <c r="AC42" s="847">
        <v>0</v>
      </c>
      <c r="AD42" s="847">
        <v>0</v>
      </c>
      <c r="AE42" s="847">
        <v>0</v>
      </c>
      <c r="AF42" s="847">
        <v>0</v>
      </c>
      <c r="AG42" s="847">
        <v>0</v>
      </c>
      <c r="AH42" s="847">
        <v>0</v>
      </c>
      <c r="AI42" s="847">
        <v>0</v>
      </c>
      <c r="AJ42" s="847">
        <v>0</v>
      </c>
      <c r="AK42" s="847">
        <v>0</v>
      </c>
      <c r="AL42" s="847">
        <v>0</v>
      </c>
      <c r="AM42" s="847">
        <v>0</v>
      </c>
      <c r="AN42" s="847">
        <v>0</v>
      </c>
      <c r="AO42" s="847">
        <v>0</v>
      </c>
      <c r="AP42" s="847">
        <v>0</v>
      </c>
      <c r="AQ42" s="847">
        <v>0</v>
      </c>
      <c r="AR42" s="847">
        <v>0</v>
      </c>
      <c r="AS42" s="847">
        <v>0</v>
      </c>
      <c r="AT42" s="847">
        <v>0</v>
      </c>
      <c r="AU42" s="847">
        <v>0</v>
      </c>
      <c r="AV42" s="847">
        <v>0</v>
      </c>
      <c r="AW42" s="847">
        <v>0</v>
      </c>
      <c r="AX42" s="847">
        <v>0</v>
      </c>
      <c r="AY42" s="847">
        <v>0</v>
      </c>
      <c r="AZ42" s="847">
        <v>0</v>
      </c>
      <c r="BA42" s="847">
        <v>0</v>
      </c>
      <c r="BB42" s="847">
        <v>0</v>
      </c>
      <c r="BC42" s="847">
        <v>0</v>
      </c>
      <c r="BD42" s="847">
        <v>0</v>
      </c>
      <c r="BE42" s="847">
        <v>0</v>
      </c>
      <c r="BF42" s="847">
        <v>0</v>
      </c>
      <c r="BG42" s="847">
        <v>0</v>
      </c>
      <c r="BH42" s="847">
        <v>0</v>
      </c>
      <c r="BI42" s="847">
        <v>0</v>
      </c>
      <c r="BJ42" s="847">
        <v>0</v>
      </c>
      <c r="BK42" s="847">
        <v>0</v>
      </c>
      <c r="BL42" s="847">
        <v>0</v>
      </c>
      <c r="BM42" s="847">
        <v>0</v>
      </c>
      <c r="BN42" s="847">
        <v>0</v>
      </c>
      <c r="BO42" s="847">
        <v>0</v>
      </c>
      <c r="BP42" s="847">
        <v>0</v>
      </c>
      <c r="BQ42" s="847">
        <v>0</v>
      </c>
      <c r="BR42" s="847">
        <v>0</v>
      </c>
      <c r="BS42" s="847">
        <v>0</v>
      </c>
      <c r="BT42" s="847">
        <v>0</v>
      </c>
      <c r="BU42" s="847">
        <v>0</v>
      </c>
      <c r="BV42" s="847">
        <v>0</v>
      </c>
      <c r="BW42" s="847">
        <v>0</v>
      </c>
      <c r="BX42" s="847">
        <v>0</v>
      </c>
      <c r="BY42" s="847">
        <v>0</v>
      </c>
      <c r="BZ42" s="847">
        <v>0</v>
      </c>
      <c r="CA42" s="847">
        <v>0</v>
      </c>
      <c r="CB42" s="847">
        <v>0</v>
      </c>
      <c r="CC42" s="847">
        <v>0</v>
      </c>
      <c r="CD42" s="847">
        <v>0</v>
      </c>
      <c r="CE42" s="847">
        <v>0</v>
      </c>
      <c r="CF42" s="847">
        <v>0</v>
      </c>
      <c r="CG42" s="847">
        <v>0</v>
      </c>
      <c r="CH42" s="847">
        <v>0</v>
      </c>
      <c r="CI42" s="847">
        <v>0</v>
      </c>
      <c r="CJ42" s="847">
        <v>0</v>
      </c>
      <c r="CK42" s="847">
        <v>0</v>
      </c>
      <c r="CL42" s="847">
        <v>0</v>
      </c>
      <c r="CM42" s="847">
        <v>0</v>
      </c>
      <c r="CN42" s="847">
        <v>0</v>
      </c>
      <c r="CO42" s="847">
        <v>0</v>
      </c>
      <c r="CP42" s="847">
        <v>0</v>
      </c>
      <c r="CQ42" s="847">
        <v>0</v>
      </c>
      <c r="CR42" s="847">
        <v>0</v>
      </c>
      <c r="CS42" s="847">
        <v>0</v>
      </c>
      <c r="CT42" s="847">
        <v>0</v>
      </c>
      <c r="CU42" s="847">
        <v>0</v>
      </c>
      <c r="CV42" s="847">
        <v>0</v>
      </c>
      <c r="CW42" s="847">
        <v>0</v>
      </c>
      <c r="CX42" s="847">
        <v>0</v>
      </c>
      <c r="CY42" s="847">
        <v>0</v>
      </c>
      <c r="CZ42" s="847">
        <v>0</v>
      </c>
      <c r="DA42" s="847">
        <v>0</v>
      </c>
      <c r="DB42" s="847">
        <v>0</v>
      </c>
      <c r="DC42" s="847">
        <v>0</v>
      </c>
      <c r="DD42" s="847">
        <v>0</v>
      </c>
      <c r="DE42" s="847">
        <v>0</v>
      </c>
      <c r="DF42" s="847">
        <v>0</v>
      </c>
      <c r="DG42" s="847">
        <v>0</v>
      </c>
      <c r="DH42" s="847">
        <v>0</v>
      </c>
      <c r="DI42" s="847">
        <v>0</v>
      </c>
      <c r="DJ42" s="847">
        <v>0</v>
      </c>
      <c r="DK42" s="847">
        <v>0</v>
      </c>
      <c r="DL42" s="847">
        <v>0</v>
      </c>
      <c r="DM42" s="847">
        <v>0</v>
      </c>
      <c r="DN42" s="847">
        <v>0</v>
      </c>
      <c r="DO42" s="847">
        <v>0</v>
      </c>
      <c r="DP42" s="847">
        <v>0</v>
      </c>
      <c r="DQ42" s="847">
        <v>0</v>
      </c>
      <c r="DR42" s="847">
        <v>0</v>
      </c>
      <c r="DS42" s="847">
        <v>0</v>
      </c>
      <c r="DT42" s="847">
        <v>0</v>
      </c>
      <c r="DU42" s="847">
        <v>0</v>
      </c>
      <c r="DV42" s="847">
        <v>0</v>
      </c>
      <c r="DW42" s="847">
        <v>0</v>
      </c>
      <c r="DY42" s="173"/>
      <c r="DZ42" s="173"/>
      <c r="EA42" s="173"/>
      <c r="EB42" s="174"/>
      <c r="EC42" s="175"/>
      <c r="ED42" s="174"/>
      <c r="EE42" s="174"/>
      <c r="EF42" s="174"/>
      <c r="EG42" s="174"/>
      <c r="EH42" s="174"/>
      <c r="EI42" s="174"/>
      <c r="EJ42" s="174"/>
      <c r="EK42" s="174"/>
      <c r="EL42" s="174"/>
      <c r="EM42" s="174"/>
      <c r="EN42" s="174"/>
      <c r="EO42" s="174"/>
      <c r="EP42" s="174"/>
      <c r="EQ42" s="174"/>
      <c r="ER42" s="174"/>
      <c r="ES42" s="174"/>
      <c r="ET42" s="174"/>
      <c r="EU42" s="174"/>
      <c r="EV42" s="174"/>
      <c r="EW42" s="174"/>
      <c r="EX42" s="174"/>
      <c r="EY42" s="174"/>
      <c r="EZ42" s="174"/>
      <c r="FA42" s="174"/>
      <c r="FB42" s="174"/>
      <c r="FC42" s="174"/>
      <c r="FD42" s="174"/>
      <c r="FE42" s="174"/>
      <c r="FF42" s="174"/>
      <c r="FG42" s="174"/>
      <c r="FH42" s="174"/>
      <c r="FI42" s="174"/>
      <c r="FJ42" s="174"/>
      <c r="FK42" s="174"/>
      <c r="FL42" s="174"/>
      <c r="FM42" s="174"/>
      <c r="FN42" s="174"/>
      <c r="FO42" s="174"/>
      <c r="FP42" s="174"/>
      <c r="FQ42" s="174"/>
      <c r="FR42" s="174"/>
      <c r="FS42" s="174"/>
      <c r="FT42" s="174"/>
      <c r="FU42" s="174"/>
      <c r="FV42" s="174"/>
      <c r="FW42" s="174"/>
      <c r="FX42" s="174"/>
      <c r="FY42" s="174"/>
      <c r="FZ42" s="174"/>
      <c r="GA42" s="174"/>
      <c r="GB42" s="174"/>
      <c r="GC42" s="174"/>
      <c r="GD42" s="174"/>
      <c r="GE42" s="174"/>
      <c r="GF42" s="174"/>
      <c r="GG42" s="174"/>
      <c r="GH42" s="174"/>
      <c r="GI42" s="174"/>
      <c r="GJ42" s="174"/>
      <c r="GK42" s="174"/>
      <c r="GL42" s="174"/>
      <c r="GM42" s="174"/>
      <c r="GN42" s="174"/>
      <c r="GO42" s="174"/>
      <c r="GP42" s="174"/>
      <c r="GQ42" s="174"/>
      <c r="GR42" s="174"/>
      <c r="GS42" s="174"/>
      <c r="GT42" s="174"/>
      <c r="GU42" s="174"/>
      <c r="GV42" s="174"/>
      <c r="GW42" s="174"/>
      <c r="GX42" s="176"/>
      <c r="GY42" s="176"/>
      <c r="GZ42" s="176"/>
      <c r="HA42" s="176"/>
      <c r="HB42" s="176"/>
      <c r="HC42" s="176"/>
      <c r="HD42" s="176"/>
      <c r="HE42" s="176"/>
      <c r="HF42" s="176"/>
      <c r="HG42" s="176"/>
      <c r="HH42" s="176"/>
      <c r="HI42" s="176"/>
      <c r="HJ42" s="176"/>
      <c r="HK42" s="176"/>
      <c r="HL42" s="176"/>
      <c r="HM42" s="176"/>
      <c r="HN42" s="176"/>
      <c r="HO42" s="176"/>
      <c r="HP42" s="176"/>
      <c r="HQ42" s="176"/>
      <c r="HR42" s="176"/>
      <c r="HS42" s="176"/>
      <c r="HT42" s="176"/>
      <c r="HU42" s="176"/>
      <c r="HV42" s="176"/>
      <c r="HW42" s="176"/>
      <c r="HX42" s="176"/>
      <c r="HY42" s="176"/>
      <c r="HZ42" s="176"/>
      <c r="IA42" s="176"/>
      <c r="IB42" s="176"/>
      <c r="IC42" s="176"/>
      <c r="ID42" s="176"/>
      <c r="IE42" s="176"/>
      <c r="IF42" s="176"/>
      <c r="IG42" s="176"/>
      <c r="IH42" s="176"/>
      <c r="II42" s="176"/>
      <c r="IJ42" s="176"/>
    </row>
    <row r="43" spans="1:244" ht="16.5" hidden="1">
      <c r="A43" s="846" t="s">
        <v>1060</v>
      </c>
      <c r="B43" s="846" t="s">
        <v>1382</v>
      </c>
      <c r="C43" s="846" t="s">
        <v>1171</v>
      </c>
      <c r="D43" s="847">
        <v>6</v>
      </c>
      <c r="E43" s="846" t="s">
        <v>1171</v>
      </c>
      <c r="F43" s="846" t="s">
        <v>96</v>
      </c>
      <c r="G43" s="851"/>
      <c r="H43" s="847">
        <v>40</v>
      </c>
      <c r="I43" s="780" t="str">
        <f t="shared" si="0"/>
        <v>IWT060140</v>
      </c>
      <c r="J43" s="847">
        <v>5043</v>
      </c>
      <c r="L43" s="846" t="s">
        <v>1060</v>
      </c>
      <c r="M43" s="846" t="s">
        <v>1382</v>
      </c>
      <c r="N43" s="846" t="s">
        <v>96</v>
      </c>
      <c r="O43" s="847">
        <v>40</v>
      </c>
      <c r="P43" s="780" t="str">
        <f t="shared" si="1"/>
        <v>IWT060140</v>
      </c>
      <c r="Q43" s="847">
        <v>1101</v>
      </c>
      <c r="R43" s="847">
        <v>2945</v>
      </c>
      <c r="S43" s="847">
        <v>4752</v>
      </c>
      <c r="T43" s="847">
        <v>6524</v>
      </c>
      <c r="U43" s="847">
        <v>8261</v>
      </c>
      <c r="V43" s="847">
        <v>0</v>
      </c>
      <c r="W43" s="847">
        <v>0</v>
      </c>
      <c r="X43" s="847">
        <v>0</v>
      </c>
      <c r="Y43" s="847">
        <v>0</v>
      </c>
      <c r="Z43" s="847">
        <v>0</v>
      </c>
      <c r="AA43" s="847">
        <v>0</v>
      </c>
      <c r="AB43" s="847">
        <v>0</v>
      </c>
      <c r="AC43" s="847">
        <v>0</v>
      </c>
      <c r="AD43" s="847">
        <v>0</v>
      </c>
      <c r="AE43" s="847">
        <v>0</v>
      </c>
      <c r="AF43" s="847">
        <v>0</v>
      </c>
      <c r="AG43" s="847">
        <v>0</v>
      </c>
      <c r="AH43" s="847">
        <v>0</v>
      </c>
      <c r="AI43" s="847">
        <v>0</v>
      </c>
      <c r="AJ43" s="847">
        <v>0</v>
      </c>
      <c r="AK43" s="847">
        <v>0</v>
      </c>
      <c r="AL43" s="847">
        <v>0</v>
      </c>
      <c r="AM43" s="847">
        <v>0</v>
      </c>
      <c r="AN43" s="847">
        <v>0</v>
      </c>
      <c r="AO43" s="847">
        <v>0</v>
      </c>
      <c r="AP43" s="847">
        <v>0</v>
      </c>
      <c r="AQ43" s="847">
        <v>0</v>
      </c>
      <c r="AR43" s="847">
        <v>0</v>
      </c>
      <c r="AS43" s="847">
        <v>0</v>
      </c>
      <c r="AT43" s="847">
        <v>0</v>
      </c>
      <c r="AU43" s="847">
        <v>0</v>
      </c>
      <c r="AV43" s="847">
        <v>0</v>
      </c>
      <c r="AW43" s="847">
        <v>0</v>
      </c>
      <c r="AX43" s="847">
        <v>0</v>
      </c>
      <c r="AY43" s="847">
        <v>0</v>
      </c>
      <c r="AZ43" s="847">
        <v>0</v>
      </c>
      <c r="BA43" s="847">
        <v>0</v>
      </c>
      <c r="BB43" s="847">
        <v>0</v>
      </c>
      <c r="BC43" s="847">
        <v>0</v>
      </c>
      <c r="BD43" s="847">
        <v>0</v>
      </c>
      <c r="BE43" s="847">
        <v>0</v>
      </c>
      <c r="BF43" s="847">
        <v>0</v>
      </c>
      <c r="BG43" s="847">
        <v>0</v>
      </c>
      <c r="BH43" s="847">
        <v>0</v>
      </c>
      <c r="BI43" s="847">
        <v>0</v>
      </c>
      <c r="BJ43" s="847">
        <v>0</v>
      </c>
      <c r="BK43" s="847">
        <v>0</v>
      </c>
      <c r="BL43" s="847">
        <v>0</v>
      </c>
      <c r="BM43" s="847">
        <v>0</v>
      </c>
      <c r="BN43" s="847">
        <v>0</v>
      </c>
      <c r="BO43" s="847">
        <v>0</v>
      </c>
      <c r="BP43" s="847">
        <v>0</v>
      </c>
      <c r="BQ43" s="847">
        <v>0</v>
      </c>
      <c r="BR43" s="847">
        <v>0</v>
      </c>
      <c r="BS43" s="847">
        <v>0</v>
      </c>
      <c r="BT43" s="847">
        <v>0</v>
      </c>
      <c r="BU43" s="847">
        <v>0</v>
      </c>
      <c r="BV43" s="847">
        <v>0</v>
      </c>
      <c r="BW43" s="847">
        <v>0</v>
      </c>
      <c r="BX43" s="847">
        <v>0</v>
      </c>
      <c r="BY43" s="847">
        <v>0</v>
      </c>
      <c r="BZ43" s="847">
        <v>0</v>
      </c>
      <c r="CA43" s="847">
        <v>0</v>
      </c>
      <c r="CB43" s="847">
        <v>0</v>
      </c>
      <c r="CC43" s="847">
        <v>0</v>
      </c>
      <c r="CD43" s="847">
        <v>0</v>
      </c>
      <c r="CE43" s="847">
        <v>0</v>
      </c>
      <c r="CF43" s="847">
        <v>0</v>
      </c>
      <c r="CG43" s="847">
        <v>0</v>
      </c>
      <c r="CH43" s="847">
        <v>0</v>
      </c>
      <c r="CI43" s="847">
        <v>0</v>
      </c>
      <c r="CJ43" s="847">
        <v>0</v>
      </c>
      <c r="CK43" s="847">
        <v>0</v>
      </c>
      <c r="CL43" s="847">
        <v>0</v>
      </c>
      <c r="CM43" s="847">
        <v>0</v>
      </c>
      <c r="CN43" s="847">
        <v>0</v>
      </c>
      <c r="CO43" s="847">
        <v>0</v>
      </c>
      <c r="CP43" s="847">
        <v>0</v>
      </c>
      <c r="CQ43" s="847">
        <v>0</v>
      </c>
      <c r="CR43" s="847">
        <v>0</v>
      </c>
      <c r="CS43" s="847">
        <v>0</v>
      </c>
      <c r="CT43" s="847">
        <v>0</v>
      </c>
      <c r="CU43" s="847">
        <v>0</v>
      </c>
      <c r="CV43" s="847">
        <v>0</v>
      </c>
      <c r="CW43" s="847">
        <v>0</v>
      </c>
      <c r="CX43" s="847">
        <v>0</v>
      </c>
      <c r="CY43" s="847">
        <v>0</v>
      </c>
      <c r="CZ43" s="847">
        <v>0</v>
      </c>
      <c r="DA43" s="847">
        <v>0</v>
      </c>
      <c r="DB43" s="847">
        <v>0</v>
      </c>
      <c r="DC43" s="847">
        <v>0</v>
      </c>
      <c r="DD43" s="847">
        <v>0</v>
      </c>
      <c r="DE43" s="847">
        <v>0</v>
      </c>
      <c r="DF43" s="847">
        <v>0</v>
      </c>
      <c r="DG43" s="847">
        <v>0</v>
      </c>
      <c r="DH43" s="847">
        <v>0</v>
      </c>
      <c r="DI43" s="847">
        <v>0</v>
      </c>
      <c r="DJ43" s="847">
        <v>0</v>
      </c>
      <c r="DK43" s="847">
        <v>0</v>
      </c>
      <c r="DL43" s="847">
        <v>0</v>
      </c>
      <c r="DM43" s="847">
        <v>0</v>
      </c>
      <c r="DN43" s="847">
        <v>0</v>
      </c>
      <c r="DO43" s="847">
        <v>0</v>
      </c>
      <c r="DP43" s="847">
        <v>0</v>
      </c>
      <c r="DQ43" s="847">
        <v>0</v>
      </c>
      <c r="DR43" s="847">
        <v>0</v>
      </c>
      <c r="DS43" s="847">
        <v>0</v>
      </c>
      <c r="DT43" s="847">
        <v>0</v>
      </c>
      <c r="DU43" s="847">
        <v>0</v>
      </c>
      <c r="DV43" s="847">
        <v>0</v>
      </c>
      <c r="DW43" s="847">
        <v>0</v>
      </c>
      <c r="DY43" s="173"/>
      <c r="DZ43" s="173"/>
      <c r="EA43" s="173"/>
      <c r="EB43" s="174"/>
      <c r="EC43" s="175"/>
      <c r="ED43" s="174"/>
      <c r="EE43" s="174"/>
      <c r="EF43" s="174"/>
      <c r="EG43" s="174"/>
      <c r="EH43" s="174"/>
      <c r="EI43" s="174"/>
      <c r="EJ43" s="174"/>
      <c r="EK43" s="174"/>
      <c r="EL43" s="174"/>
      <c r="EM43" s="174"/>
      <c r="EN43" s="174"/>
      <c r="EO43" s="174"/>
      <c r="EP43" s="174"/>
      <c r="EQ43" s="174"/>
      <c r="ER43" s="174"/>
      <c r="ES43" s="174"/>
      <c r="ET43" s="174"/>
      <c r="EU43" s="174"/>
      <c r="EV43" s="174"/>
      <c r="EW43" s="174"/>
      <c r="EX43" s="174"/>
      <c r="EY43" s="174"/>
      <c r="EZ43" s="174"/>
      <c r="FA43" s="174"/>
      <c r="FB43" s="174"/>
      <c r="FC43" s="174"/>
      <c r="FD43" s="174"/>
      <c r="FE43" s="174"/>
      <c r="FF43" s="174"/>
      <c r="FG43" s="174"/>
      <c r="FH43" s="174"/>
      <c r="FI43" s="174"/>
      <c r="FJ43" s="174"/>
      <c r="FK43" s="174"/>
      <c r="FL43" s="174"/>
      <c r="FM43" s="174"/>
      <c r="FN43" s="174"/>
      <c r="FO43" s="174"/>
      <c r="FP43" s="174"/>
      <c r="FQ43" s="174"/>
      <c r="FR43" s="174"/>
      <c r="FS43" s="174"/>
      <c r="FT43" s="174"/>
      <c r="FU43" s="174"/>
      <c r="FV43" s="174"/>
      <c r="FW43" s="174"/>
      <c r="FX43" s="174"/>
      <c r="FY43" s="174"/>
      <c r="FZ43" s="174"/>
      <c r="GA43" s="174"/>
      <c r="GB43" s="174"/>
      <c r="GC43" s="174"/>
      <c r="GD43" s="174"/>
      <c r="GE43" s="174"/>
      <c r="GF43" s="174"/>
      <c r="GG43" s="174"/>
      <c r="GH43" s="174"/>
      <c r="GI43" s="174"/>
      <c r="GJ43" s="174"/>
      <c r="GK43" s="174"/>
      <c r="GL43" s="174"/>
      <c r="GM43" s="174"/>
      <c r="GN43" s="174"/>
      <c r="GO43" s="174"/>
      <c r="GP43" s="174"/>
      <c r="GQ43" s="174"/>
      <c r="GR43" s="174"/>
      <c r="GS43" s="174"/>
      <c r="GT43" s="174"/>
      <c r="GU43" s="174"/>
      <c r="GV43" s="174"/>
      <c r="GW43" s="176"/>
      <c r="GX43" s="176"/>
      <c r="GY43" s="176"/>
      <c r="GZ43" s="176"/>
      <c r="HA43" s="176"/>
      <c r="HB43" s="176"/>
      <c r="HC43" s="176"/>
      <c r="HD43" s="176"/>
      <c r="HE43" s="176"/>
      <c r="HF43" s="176"/>
      <c r="HG43" s="176"/>
      <c r="HH43" s="176"/>
      <c r="HI43" s="176"/>
      <c r="HJ43" s="176"/>
      <c r="HK43" s="176"/>
      <c r="HL43" s="176"/>
      <c r="HM43" s="176"/>
      <c r="HN43" s="176"/>
      <c r="HO43" s="176"/>
      <c r="HP43" s="176"/>
      <c r="HQ43" s="176"/>
      <c r="HR43" s="176"/>
      <c r="HS43" s="176"/>
      <c r="HT43" s="176"/>
      <c r="HU43" s="176"/>
      <c r="HV43" s="176"/>
      <c r="HW43" s="176"/>
      <c r="HX43" s="176"/>
      <c r="HY43" s="176"/>
      <c r="HZ43" s="176"/>
      <c r="IA43" s="176"/>
      <c r="IB43" s="176"/>
      <c r="IC43" s="176"/>
      <c r="ID43" s="176"/>
      <c r="IE43" s="176"/>
      <c r="IF43" s="176"/>
      <c r="IG43" s="176"/>
      <c r="IH43" s="176"/>
      <c r="II43" s="176"/>
      <c r="IJ43" s="176"/>
    </row>
    <row r="44" spans="1:244" ht="16.5" hidden="1">
      <c r="A44" s="846" t="s">
        <v>1060</v>
      </c>
      <c r="B44" s="846" t="s">
        <v>1382</v>
      </c>
      <c r="C44" s="846" t="s">
        <v>1171</v>
      </c>
      <c r="D44" s="847">
        <v>6</v>
      </c>
      <c r="E44" s="846" t="s">
        <v>1171</v>
      </c>
      <c r="F44" s="846" t="s">
        <v>96</v>
      </c>
      <c r="G44" s="851"/>
      <c r="H44" s="847">
        <v>41</v>
      </c>
      <c r="I44" s="780" t="str">
        <f t="shared" si="0"/>
        <v>IWT060141</v>
      </c>
      <c r="J44" s="847">
        <v>5047</v>
      </c>
      <c r="L44" s="846" t="s">
        <v>1060</v>
      </c>
      <c r="M44" s="846" t="s">
        <v>1382</v>
      </c>
      <c r="N44" s="846" t="s">
        <v>96</v>
      </c>
      <c r="O44" s="847">
        <v>41</v>
      </c>
      <c r="P44" s="780" t="str">
        <f t="shared" si="1"/>
        <v>IWT060141</v>
      </c>
      <c r="Q44" s="847">
        <v>1100</v>
      </c>
      <c r="R44" s="847">
        <v>2944</v>
      </c>
      <c r="S44" s="847">
        <v>4752</v>
      </c>
      <c r="T44" s="847">
        <v>6524</v>
      </c>
      <c r="U44" s="847">
        <v>8261</v>
      </c>
      <c r="V44" s="847">
        <v>0</v>
      </c>
      <c r="W44" s="847">
        <v>0</v>
      </c>
      <c r="X44" s="847">
        <v>0</v>
      </c>
      <c r="Y44" s="847">
        <v>0</v>
      </c>
      <c r="Z44" s="847">
        <v>0</v>
      </c>
      <c r="AA44" s="847">
        <v>0</v>
      </c>
      <c r="AB44" s="847">
        <v>0</v>
      </c>
      <c r="AC44" s="847">
        <v>0</v>
      </c>
      <c r="AD44" s="847">
        <v>0</v>
      </c>
      <c r="AE44" s="847">
        <v>0</v>
      </c>
      <c r="AF44" s="847">
        <v>0</v>
      </c>
      <c r="AG44" s="847">
        <v>0</v>
      </c>
      <c r="AH44" s="847">
        <v>0</v>
      </c>
      <c r="AI44" s="847">
        <v>0</v>
      </c>
      <c r="AJ44" s="847">
        <v>0</v>
      </c>
      <c r="AK44" s="847">
        <v>0</v>
      </c>
      <c r="AL44" s="847">
        <v>0</v>
      </c>
      <c r="AM44" s="847">
        <v>0</v>
      </c>
      <c r="AN44" s="847">
        <v>0</v>
      </c>
      <c r="AO44" s="847">
        <v>0</v>
      </c>
      <c r="AP44" s="847">
        <v>0</v>
      </c>
      <c r="AQ44" s="847">
        <v>0</v>
      </c>
      <c r="AR44" s="847">
        <v>0</v>
      </c>
      <c r="AS44" s="847">
        <v>0</v>
      </c>
      <c r="AT44" s="847">
        <v>0</v>
      </c>
      <c r="AU44" s="847">
        <v>0</v>
      </c>
      <c r="AV44" s="847">
        <v>0</v>
      </c>
      <c r="AW44" s="847">
        <v>0</v>
      </c>
      <c r="AX44" s="847">
        <v>0</v>
      </c>
      <c r="AY44" s="847">
        <v>0</v>
      </c>
      <c r="AZ44" s="847">
        <v>0</v>
      </c>
      <c r="BA44" s="847">
        <v>0</v>
      </c>
      <c r="BB44" s="847">
        <v>0</v>
      </c>
      <c r="BC44" s="847">
        <v>0</v>
      </c>
      <c r="BD44" s="847">
        <v>0</v>
      </c>
      <c r="BE44" s="847">
        <v>0</v>
      </c>
      <c r="BF44" s="847">
        <v>0</v>
      </c>
      <c r="BG44" s="847">
        <v>0</v>
      </c>
      <c r="BH44" s="847">
        <v>0</v>
      </c>
      <c r="BI44" s="847">
        <v>0</v>
      </c>
      <c r="BJ44" s="847">
        <v>0</v>
      </c>
      <c r="BK44" s="847">
        <v>0</v>
      </c>
      <c r="BL44" s="847">
        <v>0</v>
      </c>
      <c r="BM44" s="847">
        <v>0</v>
      </c>
      <c r="BN44" s="847">
        <v>0</v>
      </c>
      <c r="BO44" s="847">
        <v>0</v>
      </c>
      <c r="BP44" s="847">
        <v>0</v>
      </c>
      <c r="BQ44" s="847">
        <v>0</v>
      </c>
      <c r="BR44" s="847">
        <v>0</v>
      </c>
      <c r="BS44" s="847">
        <v>0</v>
      </c>
      <c r="BT44" s="847">
        <v>0</v>
      </c>
      <c r="BU44" s="847">
        <v>0</v>
      </c>
      <c r="BV44" s="847">
        <v>0</v>
      </c>
      <c r="BW44" s="847">
        <v>0</v>
      </c>
      <c r="BX44" s="847">
        <v>0</v>
      </c>
      <c r="BY44" s="847">
        <v>0</v>
      </c>
      <c r="BZ44" s="847">
        <v>0</v>
      </c>
      <c r="CA44" s="847">
        <v>0</v>
      </c>
      <c r="CB44" s="847">
        <v>0</v>
      </c>
      <c r="CC44" s="847">
        <v>0</v>
      </c>
      <c r="CD44" s="847">
        <v>0</v>
      </c>
      <c r="CE44" s="847">
        <v>0</v>
      </c>
      <c r="CF44" s="847">
        <v>0</v>
      </c>
      <c r="CG44" s="847">
        <v>0</v>
      </c>
      <c r="CH44" s="847">
        <v>0</v>
      </c>
      <c r="CI44" s="847">
        <v>0</v>
      </c>
      <c r="CJ44" s="847">
        <v>0</v>
      </c>
      <c r="CK44" s="847">
        <v>0</v>
      </c>
      <c r="CL44" s="847">
        <v>0</v>
      </c>
      <c r="CM44" s="847">
        <v>0</v>
      </c>
      <c r="CN44" s="847">
        <v>0</v>
      </c>
      <c r="CO44" s="847">
        <v>0</v>
      </c>
      <c r="CP44" s="847">
        <v>0</v>
      </c>
      <c r="CQ44" s="847">
        <v>0</v>
      </c>
      <c r="CR44" s="847">
        <v>0</v>
      </c>
      <c r="CS44" s="847">
        <v>0</v>
      </c>
      <c r="CT44" s="847">
        <v>0</v>
      </c>
      <c r="CU44" s="847">
        <v>0</v>
      </c>
      <c r="CV44" s="847">
        <v>0</v>
      </c>
      <c r="CW44" s="847">
        <v>0</v>
      </c>
      <c r="CX44" s="847">
        <v>0</v>
      </c>
      <c r="CY44" s="847">
        <v>0</v>
      </c>
      <c r="CZ44" s="847">
        <v>0</v>
      </c>
      <c r="DA44" s="847">
        <v>0</v>
      </c>
      <c r="DB44" s="847">
        <v>0</v>
      </c>
      <c r="DC44" s="847">
        <v>0</v>
      </c>
      <c r="DD44" s="847">
        <v>0</v>
      </c>
      <c r="DE44" s="847">
        <v>0</v>
      </c>
      <c r="DF44" s="847">
        <v>0</v>
      </c>
      <c r="DG44" s="847">
        <v>0</v>
      </c>
      <c r="DH44" s="847">
        <v>0</v>
      </c>
      <c r="DI44" s="847">
        <v>0</v>
      </c>
      <c r="DJ44" s="847">
        <v>0</v>
      </c>
      <c r="DK44" s="847">
        <v>0</v>
      </c>
      <c r="DL44" s="847">
        <v>0</v>
      </c>
      <c r="DM44" s="847">
        <v>0</v>
      </c>
      <c r="DN44" s="847">
        <v>0</v>
      </c>
      <c r="DO44" s="847">
        <v>0</v>
      </c>
      <c r="DP44" s="847">
        <v>0</v>
      </c>
      <c r="DQ44" s="847">
        <v>0</v>
      </c>
      <c r="DR44" s="847">
        <v>0</v>
      </c>
      <c r="DS44" s="847">
        <v>0</v>
      </c>
      <c r="DT44" s="847">
        <v>0</v>
      </c>
      <c r="DU44" s="847">
        <v>0</v>
      </c>
      <c r="DV44" s="847">
        <v>0</v>
      </c>
      <c r="DW44" s="847">
        <v>0</v>
      </c>
      <c r="DY44" s="173"/>
      <c r="DZ44" s="173"/>
      <c r="EA44" s="173"/>
      <c r="EB44" s="174"/>
      <c r="EC44" s="175"/>
      <c r="ED44" s="174"/>
      <c r="EE44" s="174"/>
      <c r="EF44" s="174"/>
      <c r="EG44" s="174"/>
      <c r="EH44" s="174"/>
      <c r="EI44" s="174"/>
      <c r="EJ44" s="174"/>
      <c r="EK44" s="174"/>
      <c r="EL44" s="174"/>
      <c r="EM44" s="174"/>
      <c r="EN44" s="174"/>
      <c r="EO44" s="174"/>
      <c r="EP44" s="174"/>
      <c r="EQ44" s="174"/>
      <c r="ER44" s="174"/>
      <c r="ES44" s="174"/>
      <c r="ET44" s="174"/>
      <c r="EU44" s="174"/>
      <c r="EV44" s="174"/>
      <c r="EW44" s="174"/>
      <c r="EX44" s="174"/>
      <c r="EY44" s="174"/>
      <c r="EZ44" s="174"/>
      <c r="FA44" s="174"/>
      <c r="FB44" s="174"/>
      <c r="FC44" s="174"/>
      <c r="FD44" s="174"/>
      <c r="FE44" s="174"/>
      <c r="FF44" s="174"/>
      <c r="FG44" s="174"/>
      <c r="FH44" s="174"/>
      <c r="FI44" s="174"/>
      <c r="FJ44" s="174"/>
      <c r="FK44" s="174"/>
      <c r="FL44" s="174"/>
      <c r="FM44" s="174"/>
      <c r="FN44" s="174"/>
      <c r="FO44" s="174"/>
      <c r="FP44" s="174"/>
      <c r="FQ44" s="174"/>
      <c r="FR44" s="174"/>
      <c r="FS44" s="174"/>
      <c r="FT44" s="174"/>
      <c r="FU44" s="174"/>
      <c r="FV44" s="174"/>
      <c r="FW44" s="174"/>
      <c r="FX44" s="174"/>
      <c r="FY44" s="174"/>
      <c r="FZ44" s="174"/>
      <c r="GA44" s="174"/>
      <c r="GB44" s="174"/>
      <c r="GC44" s="174"/>
      <c r="GD44" s="174"/>
      <c r="GE44" s="174"/>
      <c r="GF44" s="174"/>
      <c r="GG44" s="174"/>
      <c r="GH44" s="174"/>
      <c r="GI44" s="174"/>
      <c r="GJ44" s="174"/>
      <c r="GK44" s="174"/>
      <c r="GL44" s="174"/>
      <c r="GM44" s="174"/>
      <c r="GN44" s="174"/>
      <c r="GO44" s="174"/>
      <c r="GP44" s="174"/>
      <c r="GQ44" s="174"/>
      <c r="GR44" s="174"/>
      <c r="GS44" s="174"/>
      <c r="GT44" s="174"/>
      <c r="GU44" s="174"/>
      <c r="GV44" s="176"/>
      <c r="GW44" s="176"/>
      <c r="GX44" s="176"/>
      <c r="GY44" s="176"/>
      <c r="GZ44" s="176"/>
      <c r="HA44" s="176"/>
      <c r="HB44" s="176"/>
      <c r="HC44" s="176"/>
      <c r="HD44" s="176"/>
      <c r="HE44" s="176"/>
      <c r="HF44" s="176"/>
      <c r="HG44" s="176"/>
      <c r="HH44" s="176"/>
      <c r="HI44" s="176"/>
      <c r="HJ44" s="176"/>
      <c r="HK44" s="176"/>
      <c r="HL44" s="176"/>
      <c r="HM44" s="176"/>
      <c r="HN44" s="176"/>
      <c r="HO44" s="176"/>
      <c r="HP44" s="176"/>
      <c r="HQ44" s="176"/>
      <c r="HR44" s="176"/>
      <c r="HS44" s="176"/>
      <c r="HT44" s="176"/>
      <c r="HU44" s="176"/>
      <c r="HV44" s="176"/>
      <c r="HW44" s="176"/>
      <c r="HX44" s="176"/>
      <c r="HY44" s="176"/>
      <c r="HZ44" s="176"/>
      <c r="IA44" s="176"/>
      <c r="IB44" s="176"/>
      <c r="IC44" s="176"/>
      <c r="ID44" s="176"/>
      <c r="IE44" s="176"/>
      <c r="IF44" s="176"/>
      <c r="IG44" s="176"/>
      <c r="IH44" s="176"/>
      <c r="II44" s="176"/>
      <c r="IJ44" s="176"/>
    </row>
    <row r="45" spans="1:244" ht="16.5" hidden="1">
      <c r="A45" s="846" t="s">
        <v>1060</v>
      </c>
      <c r="B45" s="846" t="s">
        <v>1382</v>
      </c>
      <c r="C45" s="846" t="s">
        <v>1171</v>
      </c>
      <c r="D45" s="847">
        <v>6</v>
      </c>
      <c r="E45" s="846" t="s">
        <v>1171</v>
      </c>
      <c r="F45" s="846" t="s">
        <v>96</v>
      </c>
      <c r="G45" s="851"/>
      <c r="H45" s="847">
        <v>42</v>
      </c>
      <c r="I45" s="780" t="str">
        <f t="shared" si="0"/>
        <v>IWT060142</v>
      </c>
      <c r="J45" s="847">
        <v>5050</v>
      </c>
      <c r="L45" s="846" t="s">
        <v>1060</v>
      </c>
      <c r="M45" s="846" t="s">
        <v>1382</v>
      </c>
      <c r="N45" s="846" t="s">
        <v>96</v>
      </c>
      <c r="O45" s="847">
        <v>42</v>
      </c>
      <c r="P45" s="780" t="str">
        <f t="shared" si="1"/>
        <v>IWT060142</v>
      </c>
      <c r="Q45" s="847">
        <v>1098</v>
      </c>
      <c r="R45" s="847">
        <v>2943</v>
      </c>
      <c r="S45" s="847">
        <v>4751</v>
      </c>
      <c r="T45" s="847">
        <v>6523</v>
      </c>
      <c r="U45" s="847">
        <v>8260</v>
      </c>
      <c r="V45" s="847">
        <v>0</v>
      </c>
      <c r="W45" s="847">
        <v>0</v>
      </c>
      <c r="X45" s="847">
        <v>0</v>
      </c>
      <c r="Y45" s="847">
        <v>0</v>
      </c>
      <c r="Z45" s="847">
        <v>0</v>
      </c>
      <c r="AA45" s="847">
        <v>0</v>
      </c>
      <c r="AB45" s="847">
        <v>0</v>
      </c>
      <c r="AC45" s="847">
        <v>0</v>
      </c>
      <c r="AD45" s="847">
        <v>0</v>
      </c>
      <c r="AE45" s="847">
        <v>0</v>
      </c>
      <c r="AF45" s="847">
        <v>0</v>
      </c>
      <c r="AG45" s="847">
        <v>0</v>
      </c>
      <c r="AH45" s="847">
        <v>0</v>
      </c>
      <c r="AI45" s="847">
        <v>0</v>
      </c>
      <c r="AJ45" s="847">
        <v>0</v>
      </c>
      <c r="AK45" s="847">
        <v>0</v>
      </c>
      <c r="AL45" s="847">
        <v>0</v>
      </c>
      <c r="AM45" s="847">
        <v>0</v>
      </c>
      <c r="AN45" s="847">
        <v>0</v>
      </c>
      <c r="AO45" s="847">
        <v>0</v>
      </c>
      <c r="AP45" s="847">
        <v>0</v>
      </c>
      <c r="AQ45" s="847">
        <v>0</v>
      </c>
      <c r="AR45" s="847">
        <v>0</v>
      </c>
      <c r="AS45" s="847">
        <v>0</v>
      </c>
      <c r="AT45" s="847">
        <v>0</v>
      </c>
      <c r="AU45" s="847">
        <v>0</v>
      </c>
      <c r="AV45" s="847">
        <v>0</v>
      </c>
      <c r="AW45" s="847">
        <v>0</v>
      </c>
      <c r="AX45" s="847">
        <v>0</v>
      </c>
      <c r="AY45" s="847">
        <v>0</v>
      </c>
      <c r="AZ45" s="847">
        <v>0</v>
      </c>
      <c r="BA45" s="847">
        <v>0</v>
      </c>
      <c r="BB45" s="847">
        <v>0</v>
      </c>
      <c r="BC45" s="847">
        <v>0</v>
      </c>
      <c r="BD45" s="847">
        <v>0</v>
      </c>
      <c r="BE45" s="847">
        <v>0</v>
      </c>
      <c r="BF45" s="847">
        <v>0</v>
      </c>
      <c r="BG45" s="847">
        <v>0</v>
      </c>
      <c r="BH45" s="847">
        <v>0</v>
      </c>
      <c r="BI45" s="847">
        <v>0</v>
      </c>
      <c r="BJ45" s="847">
        <v>0</v>
      </c>
      <c r="BK45" s="847">
        <v>0</v>
      </c>
      <c r="BL45" s="847">
        <v>0</v>
      </c>
      <c r="BM45" s="847">
        <v>0</v>
      </c>
      <c r="BN45" s="847">
        <v>0</v>
      </c>
      <c r="BO45" s="847">
        <v>0</v>
      </c>
      <c r="BP45" s="847">
        <v>0</v>
      </c>
      <c r="BQ45" s="847">
        <v>0</v>
      </c>
      <c r="BR45" s="847">
        <v>0</v>
      </c>
      <c r="BS45" s="847">
        <v>0</v>
      </c>
      <c r="BT45" s="847">
        <v>0</v>
      </c>
      <c r="BU45" s="847">
        <v>0</v>
      </c>
      <c r="BV45" s="847">
        <v>0</v>
      </c>
      <c r="BW45" s="847">
        <v>0</v>
      </c>
      <c r="BX45" s="847">
        <v>0</v>
      </c>
      <c r="BY45" s="847">
        <v>0</v>
      </c>
      <c r="BZ45" s="847">
        <v>0</v>
      </c>
      <c r="CA45" s="847">
        <v>0</v>
      </c>
      <c r="CB45" s="847">
        <v>0</v>
      </c>
      <c r="CC45" s="847">
        <v>0</v>
      </c>
      <c r="CD45" s="847">
        <v>0</v>
      </c>
      <c r="CE45" s="847">
        <v>0</v>
      </c>
      <c r="CF45" s="847">
        <v>0</v>
      </c>
      <c r="CG45" s="847">
        <v>0</v>
      </c>
      <c r="CH45" s="847">
        <v>0</v>
      </c>
      <c r="CI45" s="847">
        <v>0</v>
      </c>
      <c r="CJ45" s="847">
        <v>0</v>
      </c>
      <c r="CK45" s="847">
        <v>0</v>
      </c>
      <c r="CL45" s="847">
        <v>0</v>
      </c>
      <c r="CM45" s="847">
        <v>0</v>
      </c>
      <c r="CN45" s="847">
        <v>0</v>
      </c>
      <c r="CO45" s="847">
        <v>0</v>
      </c>
      <c r="CP45" s="847">
        <v>0</v>
      </c>
      <c r="CQ45" s="847">
        <v>0</v>
      </c>
      <c r="CR45" s="847">
        <v>0</v>
      </c>
      <c r="CS45" s="847">
        <v>0</v>
      </c>
      <c r="CT45" s="847">
        <v>0</v>
      </c>
      <c r="CU45" s="847">
        <v>0</v>
      </c>
      <c r="CV45" s="847">
        <v>0</v>
      </c>
      <c r="CW45" s="847">
        <v>0</v>
      </c>
      <c r="CX45" s="847">
        <v>0</v>
      </c>
      <c r="CY45" s="847">
        <v>0</v>
      </c>
      <c r="CZ45" s="847">
        <v>0</v>
      </c>
      <c r="DA45" s="847">
        <v>0</v>
      </c>
      <c r="DB45" s="847">
        <v>0</v>
      </c>
      <c r="DC45" s="847">
        <v>0</v>
      </c>
      <c r="DD45" s="847">
        <v>0</v>
      </c>
      <c r="DE45" s="847">
        <v>0</v>
      </c>
      <c r="DF45" s="847">
        <v>0</v>
      </c>
      <c r="DG45" s="847">
        <v>0</v>
      </c>
      <c r="DH45" s="847">
        <v>0</v>
      </c>
      <c r="DI45" s="847">
        <v>0</v>
      </c>
      <c r="DJ45" s="847">
        <v>0</v>
      </c>
      <c r="DK45" s="847">
        <v>0</v>
      </c>
      <c r="DL45" s="847">
        <v>0</v>
      </c>
      <c r="DM45" s="847">
        <v>0</v>
      </c>
      <c r="DN45" s="847">
        <v>0</v>
      </c>
      <c r="DO45" s="847">
        <v>0</v>
      </c>
      <c r="DP45" s="847">
        <v>0</v>
      </c>
      <c r="DQ45" s="847">
        <v>0</v>
      </c>
      <c r="DR45" s="847">
        <v>0</v>
      </c>
      <c r="DS45" s="847">
        <v>0</v>
      </c>
      <c r="DT45" s="847">
        <v>0</v>
      </c>
      <c r="DU45" s="847">
        <v>0</v>
      </c>
      <c r="DV45" s="847">
        <v>0</v>
      </c>
      <c r="DW45" s="847">
        <v>0</v>
      </c>
      <c r="DY45" s="173"/>
      <c r="DZ45" s="173"/>
      <c r="EA45" s="173"/>
      <c r="EB45" s="174"/>
      <c r="EC45" s="175"/>
      <c r="ED45" s="174"/>
      <c r="EE45" s="174"/>
      <c r="EF45" s="174"/>
      <c r="EG45" s="174"/>
      <c r="EH45" s="174"/>
      <c r="EI45" s="174"/>
      <c r="EJ45" s="174"/>
      <c r="EK45" s="174"/>
      <c r="EL45" s="174"/>
      <c r="EM45" s="174"/>
      <c r="EN45" s="174"/>
      <c r="EO45" s="174"/>
      <c r="EP45" s="174"/>
      <c r="EQ45" s="174"/>
      <c r="ER45" s="174"/>
      <c r="ES45" s="174"/>
      <c r="ET45" s="174"/>
      <c r="EU45" s="174"/>
      <c r="EV45" s="174"/>
      <c r="EW45" s="174"/>
      <c r="EX45" s="174"/>
      <c r="EY45" s="174"/>
      <c r="EZ45" s="174"/>
      <c r="FA45" s="174"/>
      <c r="FB45" s="174"/>
      <c r="FC45" s="174"/>
      <c r="FD45" s="174"/>
      <c r="FE45" s="174"/>
      <c r="FF45" s="174"/>
      <c r="FG45" s="174"/>
      <c r="FH45" s="174"/>
      <c r="FI45" s="174"/>
      <c r="FJ45" s="174"/>
      <c r="FK45" s="174"/>
      <c r="FL45" s="174"/>
      <c r="FM45" s="174"/>
      <c r="FN45" s="174"/>
      <c r="FO45" s="174"/>
      <c r="FP45" s="174"/>
      <c r="FQ45" s="174"/>
      <c r="FR45" s="174"/>
      <c r="FS45" s="174"/>
      <c r="FT45" s="174"/>
      <c r="FU45" s="174"/>
      <c r="FV45" s="174"/>
      <c r="FW45" s="174"/>
      <c r="FX45" s="174"/>
      <c r="FY45" s="174"/>
      <c r="FZ45" s="174"/>
      <c r="GA45" s="174"/>
      <c r="GB45" s="174"/>
      <c r="GC45" s="174"/>
      <c r="GD45" s="174"/>
      <c r="GE45" s="174"/>
      <c r="GF45" s="174"/>
      <c r="GG45" s="174"/>
      <c r="GH45" s="174"/>
      <c r="GI45" s="174"/>
      <c r="GJ45" s="174"/>
      <c r="GK45" s="174"/>
      <c r="GL45" s="174"/>
      <c r="GM45" s="174"/>
      <c r="GN45" s="174"/>
      <c r="GO45" s="174"/>
      <c r="GP45" s="174"/>
      <c r="GQ45" s="174"/>
      <c r="GR45" s="174"/>
      <c r="GS45" s="174"/>
      <c r="GT45" s="174"/>
      <c r="GU45" s="176"/>
      <c r="GV45" s="176"/>
      <c r="GW45" s="176"/>
      <c r="GX45" s="176"/>
      <c r="GY45" s="176"/>
      <c r="GZ45" s="176"/>
      <c r="HA45" s="176"/>
      <c r="HB45" s="176"/>
      <c r="HC45" s="176"/>
      <c r="HD45" s="176"/>
      <c r="HE45" s="176"/>
      <c r="HF45" s="176"/>
      <c r="HG45" s="176"/>
      <c r="HH45" s="176"/>
      <c r="HI45" s="176"/>
      <c r="HJ45" s="176"/>
      <c r="HK45" s="176"/>
      <c r="HL45" s="176"/>
      <c r="HM45" s="176"/>
      <c r="HN45" s="176"/>
      <c r="HO45" s="176"/>
      <c r="HP45" s="176"/>
      <c r="HQ45" s="176"/>
      <c r="HR45" s="176"/>
      <c r="HS45" s="176"/>
      <c r="HT45" s="176"/>
      <c r="HU45" s="176"/>
      <c r="HV45" s="176"/>
      <c r="HW45" s="176"/>
      <c r="HX45" s="176"/>
      <c r="HY45" s="176"/>
      <c r="HZ45" s="176"/>
      <c r="IA45" s="176"/>
      <c r="IB45" s="176"/>
      <c r="IC45" s="176"/>
      <c r="ID45" s="176"/>
      <c r="IE45" s="176"/>
      <c r="IF45" s="176"/>
      <c r="IG45" s="176"/>
      <c r="IH45" s="176"/>
      <c r="II45" s="176"/>
      <c r="IJ45" s="176"/>
    </row>
    <row r="46" spans="1:244" ht="16.5" hidden="1">
      <c r="A46" s="846" t="s">
        <v>1060</v>
      </c>
      <c r="B46" s="846" t="s">
        <v>1382</v>
      </c>
      <c r="C46" s="846" t="s">
        <v>1171</v>
      </c>
      <c r="D46" s="847">
        <v>6</v>
      </c>
      <c r="E46" s="846" t="s">
        <v>1171</v>
      </c>
      <c r="F46" s="846" t="s">
        <v>96</v>
      </c>
      <c r="G46" s="851"/>
      <c r="H46" s="847">
        <v>43</v>
      </c>
      <c r="I46" s="780" t="str">
        <f t="shared" si="0"/>
        <v>IWT060143</v>
      </c>
      <c r="J46" s="847">
        <v>5053</v>
      </c>
      <c r="L46" s="846" t="s">
        <v>1060</v>
      </c>
      <c r="M46" s="846" t="s">
        <v>1382</v>
      </c>
      <c r="N46" s="846" t="s">
        <v>96</v>
      </c>
      <c r="O46" s="847">
        <v>43</v>
      </c>
      <c r="P46" s="780" t="str">
        <f t="shared" si="1"/>
        <v>IWT060143</v>
      </c>
      <c r="Q46" s="847">
        <v>1097</v>
      </c>
      <c r="R46" s="847">
        <v>2942</v>
      </c>
      <c r="S46" s="847">
        <v>4750</v>
      </c>
      <c r="T46" s="847">
        <v>6523</v>
      </c>
      <c r="U46" s="847">
        <v>8260</v>
      </c>
      <c r="V46" s="847">
        <v>0</v>
      </c>
      <c r="W46" s="847">
        <v>0</v>
      </c>
      <c r="X46" s="847">
        <v>0</v>
      </c>
      <c r="Y46" s="847">
        <v>0</v>
      </c>
      <c r="Z46" s="847">
        <v>0</v>
      </c>
      <c r="AA46" s="847">
        <v>0</v>
      </c>
      <c r="AB46" s="847">
        <v>0</v>
      </c>
      <c r="AC46" s="847">
        <v>0</v>
      </c>
      <c r="AD46" s="847">
        <v>0</v>
      </c>
      <c r="AE46" s="847">
        <v>0</v>
      </c>
      <c r="AF46" s="847">
        <v>0</v>
      </c>
      <c r="AG46" s="847">
        <v>0</v>
      </c>
      <c r="AH46" s="847">
        <v>0</v>
      </c>
      <c r="AI46" s="847">
        <v>0</v>
      </c>
      <c r="AJ46" s="847">
        <v>0</v>
      </c>
      <c r="AK46" s="847">
        <v>0</v>
      </c>
      <c r="AL46" s="847">
        <v>0</v>
      </c>
      <c r="AM46" s="847">
        <v>0</v>
      </c>
      <c r="AN46" s="847">
        <v>0</v>
      </c>
      <c r="AO46" s="847">
        <v>0</v>
      </c>
      <c r="AP46" s="847">
        <v>0</v>
      </c>
      <c r="AQ46" s="847">
        <v>0</v>
      </c>
      <c r="AR46" s="847">
        <v>0</v>
      </c>
      <c r="AS46" s="847">
        <v>0</v>
      </c>
      <c r="AT46" s="847">
        <v>0</v>
      </c>
      <c r="AU46" s="847">
        <v>0</v>
      </c>
      <c r="AV46" s="847">
        <v>0</v>
      </c>
      <c r="AW46" s="847">
        <v>0</v>
      </c>
      <c r="AX46" s="847">
        <v>0</v>
      </c>
      <c r="AY46" s="847">
        <v>0</v>
      </c>
      <c r="AZ46" s="847">
        <v>0</v>
      </c>
      <c r="BA46" s="847">
        <v>0</v>
      </c>
      <c r="BB46" s="847">
        <v>0</v>
      </c>
      <c r="BC46" s="847">
        <v>0</v>
      </c>
      <c r="BD46" s="847">
        <v>0</v>
      </c>
      <c r="BE46" s="847">
        <v>0</v>
      </c>
      <c r="BF46" s="847">
        <v>0</v>
      </c>
      <c r="BG46" s="847">
        <v>0</v>
      </c>
      <c r="BH46" s="847">
        <v>0</v>
      </c>
      <c r="BI46" s="847">
        <v>0</v>
      </c>
      <c r="BJ46" s="847">
        <v>0</v>
      </c>
      <c r="BK46" s="847">
        <v>0</v>
      </c>
      <c r="BL46" s="847">
        <v>0</v>
      </c>
      <c r="BM46" s="847">
        <v>0</v>
      </c>
      <c r="BN46" s="847">
        <v>0</v>
      </c>
      <c r="BO46" s="847">
        <v>0</v>
      </c>
      <c r="BP46" s="847">
        <v>0</v>
      </c>
      <c r="BQ46" s="847">
        <v>0</v>
      </c>
      <c r="BR46" s="847">
        <v>0</v>
      </c>
      <c r="BS46" s="847">
        <v>0</v>
      </c>
      <c r="BT46" s="847">
        <v>0</v>
      </c>
      <c r="BU46" s="847">
        <v>0</v>
      </c>
      <c r="BV46" s="847">
        <v>0</v>
      </c>
      <c r="BW46" s="847">
        <v>0</v>
      </c>
      <c r="BX46" s="847">
        <v>0</v>
      </c>
      <c r="BY46" s="847">
        <v>0</v>
      </c>
      <c r="BZ46" s="847">
        <v>0</v>
      </c>
      <c r="CA46" s="847">
        <v>0</v>
      </c>
      <c r="CB46" s="847">
        <v>0</v>
      </c>
      <c r="CC46" s="847">
        <v>0</v>
      </c>
      <c r="CD46" s="847">
        <v>0</v>
      </c>
      <c r="CE46" s="847">
        <v>0</v>
      </c>
      <c r="CF46" s="847">
        <v>0</v>
      </c>
      <c r="CG46" s="847">
        <v>0</v>
      </c>
      <c r="CH46" s="847">
        <v>0</v>
      </c>
      <c r="CI46" s="847">
        <v>0</v>
      </c>
      <c r="CJ46" s="847">
        <v>0</v>
      </c>
      <c r="CK46" s="847">
        <v>0</v>
      </c>
      <c r="CL46" s="847">
        <v>0</v>
      </c>
      <c r="CM46" s="847">
        <v>0</v>
      </c>
      <c r="CN46" s="847">
        <v>0</v>
      </c>
      <c r="CO46" s="847">
        <v>0</v>
      </c>
      <c r="CP46" s="847">
        <v>0</v>
      </c>
      <c r="CQ46" s="847">
        <v>0</v>
      </c>
      <c r="CR46" s="847">
        <v>0</v>
      </c>
      <c r="CS46" s="847">
        <v>0</v>
      </c>
      <c r="CT46" s="847">
        <v>0</v>
      </c>
      <c r="CU46" s="847">
        <v>0</v>
      </c>
      <c r="CV46" s="847">
        <v>0</v>
      </c>
      <c r="CW46" s="847">
        <v>0</v>
      </c>
      <c r="CX46" s="847">
        <v>0</v>
      </c>
      <c r="CY46" s="847">
        <v>0</v>
      </c>
      <c r="CZ46" s="847">
        <v>0</v>
      </c>
      <c r="DA46" s="847">
        <v>0</v>
      </c>
      <c r="DB46" s="847">
        <v>0</v>
      </c>
      <c r="DC46" s="847">
        <v>0</v>
      </c>
      <c r="DD46" s="847">
        <v>0</v>
      </c>
      <c r="DE46" s="847">
        <v>0</v>
      </c>
      <c r="DF46" s="847">
        <v>0</v>
      </c>
      <c r="DG46" s="847">
        <v>0</v>
      </c>
      <c r="DH46" s="847">
        <v>0</v>
      </c>
      <c r="DI46" s="847">
        <v>0</v>
      </c>
      <c r="DJ46" s="847">
        <v>0</v>
      </c>
      <c r="DK46" s="847">
        <v>0</v>
      </c>
      <c r="DL46" s="847">
        <v>0</v>
      </c>
      <c r="DM46" s="847">
        <v>0</v>
      </c>
      <c r="DN46" s="847">
        <v>0</v>
      </c>
      <c r="DO46" s="847">
        <v>0</v>
      </c>
      <c r="DP46" s="847">
        <v>0</v>
      </c>
      <c r="DQ46" s="847">
        <v>0</v>
      </c>
      <c r="DR46" s="847">
        <v>0</v>
      </c>
      <c r="DS46" s="847">
        <v>0</v>
      </c>
      <c r="DT46" s="847">
        <v>0</v>
      </c>
      <c r="DU46" s="847">
        <v>0</v>
      </c>
      <c r="DV46" s="847">
        <v>0</v>
      </c>
      <c r="DW46" s="847">
        <v>0</v>
      </c>
      <c r="DY46" s="173"/>
      <c r="DZ46" s="173"/>
      <c r="EA46" s="173"/>
      <c r="EB46" s="174"/>
      <c r="EC46" s="175"/>
      <c r="ED46" s="174"/>
      <c r="EE46" s="174"/>
      <c r="EF46" s="174"/>
      <c r="EG46" s="174"/>
      <c r="EH46" s="174"/>
      <c r="EI46" s="174"/>
      <c r="EJ46" s="174"/>
      <c r="EK46" s="174"/>
      <c r="EL46" s="174"/>
      <c r="EM46" s="174"/>
      <c r="EN46" s="174"/>
      <c r="EO46" s="174"/>
      <c r="EP46" s="174"/>
      <c r="EQ46" s="174"/>
      <c r="ER46" s="174"/>
      <c r="ES46" s="174"/>
      <c r="ET46" s="174"/>
      <c r="EU46" s="174"/>
      <c r="EV46" s="174"/>
      <c r="EW46" s="174"/>
      <c r="EX46" s="174"/>
      <c r="EY46" s="174"/>
      <c r="EZ46" s="174"/>
      <c r="FA46" s="174"/>
      <c r="FB46" s="174"/>
      <c r="FC46" s="174"/>
      <c r="FD46" s="174"/>
      <c r="FE46" s="174"/>
      <c r="FF46" s="174"/>
      <c r="FG46" s="174"/>
      <c r="FH46" s="174"/>
      <c r="FI46" s="174"/>
      <c r="FJ46" s="174"/>
      <c r="FK46" s="174"/>
      <c r="FL46" s="174"/>
      <c r="FM46" s="174"/>
      <c r="FN46" s="174"/>
      <c r="FO46" s="174"/>
      <c r="FP46" s="174"/>
      <c r="FQ46" s="174"/>
      <c r="FR46" s="174"/>
      <c r="FS46" s="174"/>
      <c r="FT46" s="174"/>
      <c r="FU46" s="174"/>
      <c r="FV46" s="174"/>
      <c r="FW46" s="174"/>
      <c r="FX46" s="174"/>
      <c r="FY46" s="174"/>
      <c r="FZ46" s="174"/>
      <c r="GA46" s="174"/>
      <c r="GB46" s="174"/>
      <c r="GC46" s="174"/>
      <c r="GD46" s="174"/>
      <c r="GE46" s="174"/>
      <c r="GF46" s="174"/>
      <c r="GG46" s="174"/>
      <c r="GH46" s="174"/>
      <c r="GI46" s="174"/>
      <c r="GJ46" s="174"/>
      <c r="GK46" s="174"/>
      <c r="GL46" s="174"/>
      <c r="GM46" s="174"/>
      <c r="GN46" s="174"/>
      <c r="GO46" s="174"/>
      <c r="GP46" s="174"/>
      <c r="GQ46" s="174"/>
      <c r="GR46" s="174"/>
      <c r="GS46" s="174"/>
      <c r="GT46" s="176"/>
      <c r="GU46" s="176"/>
      <c r="GV46" s="176"/>
      <c r="GW46" s="176"/>
      <c r="GX46" s="176"/>
      <c r="GY46" s="176"/>
      <c r="GZ46" s="176"/>
      <c r="HA46" s="176"/>
      <c r="HB46" s="176"/>
      <c r="HC46" s="176"/>
      <c r="HD46" s="176"/>
      <c r="HE46" s="176"/>
      <c r="HF46" s="176"/>
      <c r="HG46" s="176"/>
      <c r="HH46" s="176"/>
      <c r="HI46" s="176"/>
      <c r="HJ46" s="176"/>
      <c r="HK46" s="176"/>
      <c r="HL46" s="176"/>
      <c r="HM46" s="176"/>
      <c r="HN46" s="176"/>
      <c r="HO46" s="176"/>
      <c r="HP46" s="176"/>
      <c r="HQ46" s="176"/>
      <c r="HR46" s="176"/>
      <c r="HS46" s="176"/>
      <c r="HT46" s="176"/>
      <c r="HU46" s="176"/>
      <c r="HV46" s="176"/>
      <c r="HW46" s="176"/>
      <c r="HX46" s="176"/>
      <c r="HY46" s="176"/>
      <c r="HZ46" s="176"/>
      <c r="IA46" s="176"/>
      <c r="IB46" s="176"/>
      <c r="IC46" s="176"/>
      <c r="ID46" s="176"/>
      <c r="IE46" s="176"/>
      <c r="IF46" s="176"/>
      <c r="IG46" s="176"/>
      <c r="IH46" s="176"/>
      <c r="II46" s="176"/>
      <c r="IJ46" s="176"/>
    </row>
    <row r="47" spans="1:244" ht="16.5" hidden="1">
      <c r="A47" s="846" t="s">
        <v>1060</v>
      </c>
      <c r="B47" s="846" t="s">
        <v>1382</v>
      </c>
      <c r="C47" s="846" t="s">
        <v>1171</v>
      </c>
      <c r="D47" s="847">
        <v>6</v>
      </c>
      <c r="E47" s="846" t="s">
        <v>1171</v>
      </c>
      <c r="F47" s="846" t="s">
        <v>96</v>
      </c>
      <c r="G47" s="851"/>
      <c r="H47" s="847">
        <v>44</v>
      </c>
      <c r="I47" s="780" t="str">
        <f t="shared" si="0"/>
        <v>IWT060144</v>
      </c>
      <c r="J47" s="847">
        <v>5056</v>
      </c>
      <c r="L47" s="846" t="s">
        <v>1060</v>
      </c>
      <c r="M47" s="846" t="s">
        <v>1382</v>
      </c>
      <c r="N47" s="846" t="s">
        <v>96</v>
      </c>
      <c r="O47" s="847">
        <v>44</v>
      </c>
      <c r="P47" s="780" t="str">
        <f t="shared" si="1"/>
        <v>IWT060144</v>
      </c>
      <c r="Q47" s="847">
        <v>1096</v>
      </c>
      <c r="R47" s="847">
        <v>2941</v>
      </c>
      <c r="S47" s="847">
        <v>4749</v>
      </c>
      <c r="T47" s="847">
        <v>6522</v>
      </c>
      <c r="U47" s="847">
        <v>8260</v>
      </c>
      <c r="V47" s="847">
        <v>0</v>
      </c>
      <c r="W47" s="847">
        <v>0</v>
      </c>
      <c r="X47" s="847">
        <v>0</v>
      </c>
      <c r="Y47" s="847">
        <v>0</v>
      </c>
      <c r="Z47" s="847">
        <v>0</v>
      </c>
      <c r="AA47" s="847">
        <v>0</v>
      </c>
      <c r="AB47" s="847">
        <v>0</v>
      </c>
      <c r="AC47" s="847">
        <v>0</v>
      </c>
      <c r="AD47" s="847">
        <v>0</v>
      </c>
      <c r="AE47" s="847">
        <v>0</v>
      </c>
      <c r="AF47" s="847">
        <v>0</v>
      </c>
      <c r="AG47" s="847">
        <v>0</v>
      </c>
      <c r="AH47" s="847">
        <v>0</v>
      </c>
      <c r="AI47" s="847">
        <v>0</v>
      </c>
      <c r="AJ47" s="847">
        <v>0</v>
      </c>
      <c r="AK47" s="847">
        <v>0</v>
      </c>
      <c r="AL47" s="847">
        <v>0</v>
      </c>
      <c r="AM47" s="847">
        <v>0</v>
      </c>
      <c r="AN47" s="847">
        <v>0</v>
      </c>
      <c r="AO47" s="847">
        <v>0</v>
      </c>
      <c r="AP47" s="847">
        <v>0</v>
      </c>
      <c r="AQ47" s="847">
        <v>0</v>
      </c>
      <c r="AR47" s="847">
        <v>0</v>
      </c>
      <c r="AS47" s="847">
        <v>0</v>
      </c>
      <c r="AT47" s="847">
        <v>0</v>
      </c>
      <c r="AU47" s="847">
        <v>0</v>
      </c>
      <c r="AV47" s="847">
        <v>0</v>
      </c>
      <c r="AW47" s="847">
        <v>0</v>
      </c>
      <c r="AX47" s="847">
        <v>0</v>
      </c>
      <c r="AY47" s="847">
        <v>0</v>
      </c>
      <c r="AZ47" s="847">
        <v>0</v>
      </c>
      <c r="BA47" s="847">
        <v>0</v>
      </c>
      <c r="BB47" s="847">
        <v>0</v>
      </c>
      <c r="BC47" s="847">
        <v>0</v>
      </c>
      <c r="BD47" s="847">
        <v>0</v>
      </c>
      <c r="BE47" s="847">
        <v>0</v>
      </c>
      <c r="BF47" s="847">
        <v>0</v>
      </c>
      <c r="BG47" s="847">
        <v>0</v>
      </c>
      <c r="BH47" s="847">
        <v>0</v>
      </c>
      <c r="BI47" s="847">
        <v>0</v>
      </c>
      <c r="BJ47" s="847">
        <v>0</v>
      </c>
      <c r="BK47" s="847">
        <v>0</v>
      </c>
      <c r="BL47" s="847">
        <v>0</v>
      </c>
      <c r="BM47" s="847">
        <v>0</v>
      </c>
      <c r="BN47" s="847">
        <v>0</v>
      </c>
      <c r="BO47" s="847">
        <v>0</v>
      </c>
      <c r="BP47" s="847">
        <v>0</v>
      </c>
      <c r="BQ47" s="847">
        <v>0</v>
      </c>
      <c r="BR47" s="847">
        <v>0</v>
      </c>
      <c r="BS47" s="847">
        <v>0</v>
      </c>
      <c r="BT47" s="847">
        <v>0</v>
      </c>
      <c r="BU47" s="847">
        <v>0</v>
      </c>
      <c r="BV47" s="847">
        <v>0</v>
      </c>
      <c r="BW47" s="847">
        <v>0</v>
      </c>
      <c r="BX47" s="847">
        <v>0</v>
      </c>
      <c r="BY47" s="847">
        <v>0</v>
      </c>
      <c r="BZ47" s="847">
        <v>0</v>
      </c>
      <c r="CA47" s="847">
        <v>0</v>
      </c>
      <c r="CB47" s="847">
        <v>0</v>
      </c>
      <c r="CC47" s="847">
        <v>0</v>
      </c>
      <c r="CD47" s="847">
        <v>0</v>
      </c>
      <c r="CE47" s="847">
        <v>0</v>
      </c>
      <c r="CF47" s="847">
        <v>0</v>
      </c>
      <c r="CG47" s="847">
        <v>0</v>
      </c>
      <c r="CH47" s="847">
        <v>0</v>
      </c>
      <c r="CI47" s="847">
        <v>0</v>
      </c>
      <c r="CJ47" s="847">
        <v>0</v>
      </c>
      <c r="CK47" s="847">
        <v>0</v>
      </c>
      <c r="CL47" s="847">
        <v>0</v>
      </c>
      <c r="CM47" s="847">
        <v>0</v>
      </c>
      <c r="CN47" s="847">
        <v>0</v>
      </c>
      <c r="CO47" s="847">
        <v>0</v>
      </c>
      <c r="CP47" s="847">
        <v>0</v>
      </c>
      <c r="CQ47" s="847">
        <v>0</v>
      </c>
      <c r="CR47" s="847">
        <v>0</v>
      </c>
      <c r="CS47" s="847">
        <v>0</v>
      </c>
      <c r="CT47" s="847">
        <v>0</v>
      </c>
      <c r="CU47" s="847">
        <v>0</v>
      </c>
      <c r="CV47" s="847">
        <v>0</v>
      </c>
      <c r="CW47" s="847">
        <v>0</v>
      </c>
      <c r="CX47" s="847">
        <v>0</v>
      </c>
      <c r="CY47" s="847">
        <v>0</v>
      </c>
      <c r="CZ47" s="847">
        <v>0</v>
      </c>
      <c r="DA47" s="847">
        <v>0</v>
      </c>
      <c r="DB47" s="847">
        <v>0</v>
      </c>
      <c r="DC47" s="847">
        <v>0</v>
      </c>
      <c r="DD47" s="847">
        <v>0</v>
      </c>
      <c r="DE47" s="847">
        <v>0</v>
      </c>
      <c r="DF47" s="847">
        <v>0</v>
      </c>
      <c r="DG47" s="847">
        <v>0</v>
      </c>
      <c r="DH47" s="847">
        <v>0</v>
      </c>
      <c r="DI47" s="847">
        <v>0</v>
      </c>
      <c r="DJ47" s="847">
        <v>0</v>
      </c>
      <c r="DK47" s="847">
        <v>0</v>
      </c>
      <c r="DL47" s="847">
        <v>0</v>
      </c>
      <c r="DM47" s="847">
        <v>0</v>
      </c>
      <c r="DN47" s="847">
        <v>0</v>
      </c>
      <c r="DO47" s="847">
        <v>0</v>
      </c>
      <c r="DP47" s="847">
        <v>0</v>
      </c>
      <c r="DQ47" s="847">
        <v>0</v>
      </c>
      <c r="DR47" s="847">
        <v>0</v>
      </c>
      <c r="DS47" s="847">
        <v>0</v>
      </c>
      <c r="DT47" s="847">
        <v>0</v>
      </c>
      <c r="DU47" s="847">
        <v>0</v>
      </c>
      <c r="DV47" s="847">
        <v>0</v>
      </c>
      <c r="DW47" s="847">
        <v>0</v>
      </c>
      <c r="DY47" s="173"/>
      <c r="DZ47" s="173"/>
      <c r="EA47" s="173"/>
      <c r="EB47" s="174"/>
      <c r="EC47" s="175"/>
      <c r="ED47" s="174"/>
      <c r="EE47" s="174"/>
      <c r="EF47" s="174"/>
      <c r="EG47" s="174"/>
      <c r="EH47" s="174"/>
      <c r="EI47" s="174"/>
      <c r="EJ47" s="174"/>
      <c r="EK47" s="174"/>
      <c r="EL47" s="174"/>
      <c r="EM47" s="174"/>
      <c r="EN47" s="174"/>
      <c r="EO47" s="174"/>
      <c r="EP47" s="174"/>
      <c r="EQ47" s="174"/>
      <c r="ER47" s="174"/>
      <c r="ES47" s="174"/>
      <c r="ET47" s="174"/>
      <c r="EU47" s="174"/>
      <c r="EV47" s="174"/>
      <c r="EW47" s="174"/>
      <c r="EX47" s="174"/>
      <c r="EY47" s="174"/>
      <c r="EZ47" s="174"/>
      <c r="FA47" s="174"/>
      <c r="FB47" s="174"/>
      <c r="FC47" s="174"/>
      <c r="FD47" s="174"/>
      <c r="FE47" s="174"/>
      <c r="FF47" s="174"/>
      <c r="FG47" s="174"/>
      <c r="FH47" s="174"/>
      <c r="FI47" s="174"/>
      <c r="FJ47" s="174"/>
      <c r="FK47" s="174"/>
      <c r="FL47" s="174"/>
      <c r="FM47" s="174"/>
      <c r="FN47" s="174"/>
      <c r="FO47" s="174"/>
      <c r="FP47" s="174"/>
      <c r="FQ47" s="174"/>
      <c r="FR47" s="174"/>
      <c r="FS47" s="174"/>
      <c r="FT47" s="174"/>
      <c r="FU47" s="174"/>
      <c r="FV47" s="174"/>
      <c r="FW47" s="174"/>
      <c r="FX47" s="174"/>
      <c r="FY47" s="174"/>
      <c r="FZ47" s="174"/>
      <c r="GA47" s="174"/>
      <c r="GB47" s="174"/>
      <c r="GC47" s="174"/>
      <c r="GD47" s="174"/>
      <c r="GE47" s="174"/>
      <c r="GF47" s="174"/>
      <c r="GG47" s="174"/>
      <c r="GH47" s="174"/>
      <c r="GI47" s="174"/>
      <c r="GJ47" s="174"/>
      <c r="GK47" s="174"/>
      <c r="GL47" s="174"/>
      <c r="GM47" s="174"/>
      <c r="GN47" s="174"/>
      <c r="GO47" s="174"/>
      <c r="GP47" s="174"/>
      <c r="GQ47" s="174"/>
      <c r="GR47" s="174"/>
      <c r="GS47" s="176"/>
      <c r="GT47" s="176"/>
      <c r="GU47" s="176"/>
      <c r="GV47" s="176"/>
      <c r="GW47" s="176"/>
      <c r="GX47" s="176"/>
      <c r="GY47" s="176"/>
      <c r="GZ47" s="176"/>
      <c r="HA47" s="176"/>
      <c r="HB47" s="176"/>
      <c r="HC47" s="176"/>
      <c r="HD47" s="176"/>
      <c r="HE47" s="176"/>
      <c r="HF47" s="176"/>
      <c r="HG47" s="176"/>
      <c r="HH47" s="176"/>
      <c r="HI47" s="176"/>
      <c r="HJ47" s="176"/>
      <c r="HK47" s="176"/>
      <c r="HL47" s="176"/>
      <c r="HM47" s="176"/>
      <c r="HN47" s="176"/>
      <c r="HO47" s="176"/>
      <c r="HP47" s="176"/>
      <c r="HQ47" s="176"/>
      <c r="HR47" s="176"/>
      <c r="HS47" s="176"/>
      <c r="HT47" s="176"/>
      <c r="HU47" s="176"/>
      <c r="HV47" s="176"/>
      <c r="HW47" s="176"/>
      <c r="HX47" s="176"/>
      <c r="HY47" s="176"/>
      <c r="HZ47" s="176"/>
      <c r="IA47" s="176"/>
      <c r="IB47" s="176"/>
      <c r="IC47" s="176"/>
      <c r="ID47" s="176"/>
      <c r="IE47" s="176"/>
      <c r="IF47" s="176"/>
      <c r="IG47" s="176"/>
      <c r="IH47" s="176"/>
      <c r="II47" s="176"/>
      <c r="IJ47" s="176"/>
    </row>
    <row r="48" spans="1:244" ht="16.5" hidden="1">
      <c r="A48" s="846" t="s">
        <v>1060</v>
      </c>
      <c r="B48" s="846" t="s">
        <v>1382</v>
      </c>
      <c r="C48" s="846" t="s">
        <v>1171</v>
      </c>
      <c r="D48" s="847">
        <v>6</v>
      </c>
      <c r="E48" s="846" t="s">
        <v>1171</v>
      </c>
      <c r="F48" s="846" t="s">
        <v>96</v>
      </c>
      <c r="G48" s="851"/>
      <c r="H48" s="847">
        <v>45</v>
      </c>
      <c r="I48" s="780" t="str">
        <f t="shared" si="0"/>
        <v>IWT060145</v>
      </c>
      <c r="J48" s="847">
        <v>5059</v>
      </c>
      <c r="L48" s="846" t="s">
        <v>1060</v>
      </c>
      <c r="M48" s="846" t="s">
        <v>1382</v>
      </c>
      <c r="N48" s="846" t="s">
        <v>96</v>
      </c>
      <c r="O48" s="847">
        <v>45</v>
      </c>
      <c r="P48" s="780" t="str">
        <f t="shared" si="1"/>
        <v>IWT060145</v>
      </c>
      <c r="Q48" s="847">
        <v>1095</v>
      </c>
      <c r="R48" s="847">
        <v>2940</v>
      </c>
      <c r="S48" s="847">
        <v>4749</v>
      </c>
      <c r="T48" s="847">
        <v>6521</v>
      </c>
      <c r="U48" s="847">
        <v>8259</v>
      </c>
      <c r="V48" s="847">
        <v>0</v>
      </c>
      <c r="W48" s="847">
        <v>0</v>
      </c>
      <c r="X48" s="847">
        <v>0</v>
      </c>
      <c r="Y48" s="847">
        <v>0</v>
      </c>
      <c r="Z48" s="847">
        <v>0</v>
      </c>
      <c r="AA48" s="847">
        <v>0</v>
      </c>
      <c r="AB48" s="847">
        <v>0</v>
      </c>
      <c r="AC48" s="847">
        <v>0</v>
      </c>
      <c r="AD48" s="847">
        <v>0</v>
      </c>
      <c r="AE48" s="847">
        <v>0</v>
      </c>
      <c r="AF48" s="847">
        <v>0</v>
      </c>
      <c r="AG48" s="847">
        <v>0</v>
      </c>
      <c r="AH48" s="847">
        <v>0</v>
      </c>
      <c r="AI48" s="847">
        <v>0</v>
      </c>
      <c r="AJ48" s="847">
        <v>0</v>
      </c>
      <c r="AK48" s="847">
        <v>0</v>
      </c>
      <c r="AL48" s="847">
        <v>0</v>
      </c>
      <c r="AM48" s="847">
        <v>0</v>
      </c>
      <c r="AN48" s="847">
        <v>0</v>
      </c>
      <c r="AO48" s="847">
        <v>0</v>
      </c>
      <c r="AP48" s="847">
        <v>0</v>
      </c>
      <c r="AQ48" s="847">
        <v>0</v>
      </c>
      <c r="AR48" s="847">
        <v>0</v>
      </c>
      <c r="AS48" s="847">
        <v>0</v>
      </c>
      <c r="AT48" s="847">
        <v>0</v>
      </c>
      <c r="AU48" s="847">
        <v>0</v>
      </c>
      <c r="AV48" s="847">
        <v>0</v>
      </c>
      <c r="AW48" s="847">
        <v>0</v>
      </c>
      <c r="AX48" s="847">
        <v>0</v>
      </c>
      <c r="AY48" s="847">
        <v>0</v>
      </c>
      <c r="AZ48" s="847">
        <v>0</v>
      </c>
      <c r="BA48" s="847">
        <v>0</v>
      </c>
      <c r="BB48" s="847">
        <v>0</v>
      </c>
      <c r="BC48" s="847">
        <v>0</v>
      </c>
      <c r="BD48" s="847">
        <v>0</v>
      </c>
      <c r="BE48" s="847">
        <v>0</v>
      </c>
      <c r="BF48" s="847">
        <v>0</v>
      </c>
      <c r="BG48" s="847">
        <v>0</v>
      </c>
      <c r="BH48" s="847">
        <v>0</v>
      </c>
      <c r="BI48" s="847">
        <v>0</v>
      </c>
      <c r="BJ48" s="847">
        <v>0</v>
      </c>
      <c r="BK48" s="847">
        <v>0</v>
      </c>
      <c r="BL48" s="847">
        <v>0</v>
      </c>
      <c r="BM48" s="847">
        <v>0</v>
      </c>
      <c r="BN48" s="847">
        <v>0</v>
      </c>
      <c r="BO48" s="847">
        <v>0</v>
      </c>
      <c r="BP48" s="847">
        <v>0</v>
      </c>
      <c r="BQ48" s="847">
        <v>0</v>
      </c>
      <c r="BR48" s="847">
        <v>0</v>
      </c>
      <c r="BS48" s="847">
        <v>0</v>
      </c>
      <c r="BT48" s="847">
        <v>0</v>
      </c>
      <c r="BU48" s="847">
        <v>0</v>
      </c>
      <c r="BV48" s="847">
        <v>0</v>
      </c>
      <c r="BW48" s="847">
        <v>0</v>
      </c>
      <c r="BX48" s="847">
        <v>0</v>
      </c>
      <c r="BY48" s="847">
        <v>0</v>
      </c>
      <c r="BZ48" s="847">
        <v>0</v>
      </c>
      <c r="CA48" s="847">
        <v>0</v>
      </c>
      <c r="CB48" s="847">
        <v>0</v>
      </c>
      <c r="CC48" s="847">
        <v>0</v>
      </c>
      <c r="CD48" s="847">
        <v>0</v>
      </c>
      <c r="CE48" s="847">
        <v>0</v>
      </c>
      <c r="CF48" s="847">
        <v>0</v>
      </c>
      <c r="CG48" s="847">
        <v>0</v>
      </c>
      <c r="CH48" s="847">
        <v>0</v>
      </c>
      <c r="CI48" s="847">
        <v>0</v>
      </c>
      <c r="CJ48" s="847">
        <v>0</v>
      </c>
      <c r="CK48" s="847">
        <v>0</v>
      </c>
      <c r="CL48" s="847">
        <v>0</v>
      </c>
      <c r="CM48" s="847">
        <v>0</v>
      </c>
      <c r="CN48" s="847">
        <v>0</v>
      </c>
      <c r="CO48" s="847">
        <v>0</v>
      </c>
      <c r="CP48" s="847">
        <v>0</v>
      </c>
      <c r="CQ48" s="847">
        <v>0</v>
      </c>
      <c r="CR48" s="847">
        <v>0</v>
      </c>
      <c r="CS48" s="847">
        <v>0</v>
      </c>
      <c r="CT48" s="847">
        <v>0</v>
      </c>
      <c r="CU48" s="847">
        <v>0</v>
      </c>
      <c r="CV48" s="847">
        <v>0</v>
      </c>
      <c r="CW48" s="847">
        <v>0</v>
      </c>
      <c r="CX48" s="847">
        <v>0</v>
      </c>
      <c r="CY48" s="847">
        <v>0</v>
      </c>
      <c r="CZ48" s="847">
        <v>0</v>
      </c>
      <c r="DA48" s="847">
        <v>0</v>
      </c>
      <c r="DB48" s="847">
        <v>0</v>
      </c>
      <c r="DC48" s="847">
        <v>0</v>
      </c>
      <c r="DD48" s="847">
        <v>0</v>
      </c>
      <c r="DE48" s="847">
        <v>0</v>
      </c>
      <c r="DF48" s="847">
        <v>0</v>
      </c>
      <c r="DG48" s="847">
        <v>0</v>
      </c>
      <c r="DH48" s="847">
        <v>0</v>
      </c>
      <c r="DI48" s="847">
        <v>0</v>
      </c>
      <c r="DJ48" s="847">
        <v>0</v>
      </c>
      <c r="DK48" s="847">
        <v>0</v>
      </c>
      <c r="DL48" s="847">
        <v>0</v>
      </c>
      <c r="DM48" s="847">
        <v>0</v>
      </c>
      <c r="DN48" s="847">
        <v>0</v>
      </c>
      <c r="DO48" s="847">
        <v>0</v>
      </c>
      <c r="DP48" s="847">
        <v>0</v>
      </c>
      <c r="DQ48" s="847">
        <v>0</v>
      </c>
      <c r="DR48" s="847">
        <v>0</v>
      </c>
      <c r="DS48" s="847">
        <v>0</v>
      </c>
      <c r="DT48" s="847">
        <v>0</v>
      </c>
      <c r="DU48" s="847">
        <v>0</v>
      </c>
      <c r="DV48" s="847">
        <v>0</v>
      </c>
      <c r="DW48" s="847">
        <v>0</v>
      </c>
      <c r="DY48" s="173"/>
      <c r="DZ48" s="173"/>
      <c r="EA48" s="173"/>
      <c r="EB48" s="174"/>
      <c r="EC48" s="175"/>
      <c r="ED48" s="174"/>
      <c r="EE48" s="174"/>
      <c r="EF48" s="174"/>
      <c r="EG48" s="174"/>
      <c r="EH48" s="174"/>
      <c r="EI48" s="174"/>
      <c r="EJ48" s="174"/>
      <c r="EK48" s="174"/>
      <c r="EL48" s="174"/>
      <c r="EM48" s="174"/>
      <c r="EN48" s="174"/>
      <c r="EO48" s="174"/>
      <c r="EP48" s="174"/>
      <c r="EQ48" s="174"/>
      <c r="ER48" s="174"/>
      <c r="ES48" s="174"/>
      <c r="ET48" s="174"/>
      <c r="EU48" s="174"/>
      <c r="EV48" s="174"/>
      <c r="EW48" s="174"/>
      <c r="EX48" s="174"/>
      <c r="EY48" s="174"/>
      <c r="EZ48" s="174"/>
      <c r="FA48" s="174"/>
      <c r="FB48" s="174"/>
      <c r="FC48" s="174"/>
      <c r="FD48" s="174"/>
      <c r="FE48" s="174"/>
      <c r="FF48" s="174"/>
      <c r="FG48" s="174"/>
      <c r="FH48" s="174"/>
      <c r="FI48" s="174"/>
      <c r="FJ48" s="174"/>
      <c r="FK48" s="174"/>
      <c r="FL48" s="174"/>
      <c r="FM48" s="174"/>
      <c r="FN48" s="174"/>
      <c r="FO48" s="174"/>
      <c r="FP48" s="174"/>
      <c r="FQ48" s="174"/>
      <c r="FR48" s="174"/>
      <c r="FS48" s="174"/>
      <c r="FT48" s="174"/>
      <c r="FU48" s="174"/>
      <c r="FV48" s="174"/>
      <c r="FW48" s="174"/>
      <c r="FX48" s="174"/>
      <c r="FY48" s="174"/>
      <c r="FZ48" s="174"/>
      <c r="GA48" s="174"/>
      <c r="GB48" s="174"/>
      <c r="GC48" s="174"/>
      <c r="GD48" s="174"/>
      <c r="GE48" s="174"/>
      <c r="GF48" s="174"/>
      <c r="GG48" s="174"/>
      <c r="GH48" s="174"/>
      <c r="GI48" s="174"/>
      <c r="GJ48" s="174"/>
      <c r="GK48" s="174"/>
      <c r="GL48" s="174"/>
      <c r="GM48" s="174"/>
      <c r="GN48" s="174"/>
      <c r="GO48" s="174"/>
      <c r="GP48" s="174"/>
      <c r="GQ48" s="174"/>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6"/>
      <c r="IJ48" s="176"/>
    </row>
    <row r="49" spans="1:244" ht="16.5" hidden="1">
      <c r="A49" s="846" t="s">
        <v>1060</v>
      </c>
      <c r="B49" s="846" t="s">
        <v>1382</v>
      </c>
      <c r="C49" s="846" t="s">
        <v>1171</v>
      </c>
      <c r="D49" s="847">
        <v>6</v>
      </c>
      <c r="E49" s="846" t="s">
        <v>1171</v>
      </c>
      <c r="F49" s="846" t="s">
        <v>96</v>
      </c>
      <c r="G49" s="851"/>
      <c r="H49" s="847">
        <v>46</v>
      </c>
      <c r="I49" s="780" t="str">
        <f t="shared" si="0"/>
        <v>IWT060146</v>
      </c>
      <c r="J49" s="847">
        <v>5062</v>
      </c>
      <c r="L49" s="846" t="s">
        <v>1060</v>
      </c>
      <c r="M49" s="846" t="s">
        <v>1382</v>
      </c>
      <c r="N49" s="846" t="s">
        <v>96</v>
      </c>
      <c r="O49" s="847">
        <v>46</v>
      </c>
      <c r="P49" s="780" t="str">
        <f t="shared" si="1"/>
        <v>IWT060146</v>
      </c>
      <c r="Q49" s="847">
        <v>1093</v>
      </c>
      <c r="R49" s="847">
        <v>2938</v>
      </c>
      <c r="S49" s="847">
        <v>4747</v>
      </c>
      <c r="T49" s="847">
        <v>6520</v>
      </c>
      <c r="U49" s="847">
        <v>8258</v>
      </c>
      <c r="V49" s="847">
        <v>0</v>
      </c>
      <c r="W49" s="847">
        <v>0</v>
      </c>
      <c r="X49" s="847">
        <v>0</v>
      </c>
      <c r="Y49" s="847">
        <v>0</v>
      </c>
      <c r="Z49" s="847">
        <v>0</v>
      </c>
      <c r="AA49" s="847">
        <v>0</v>
      </c>
      <c r="AB49" s="847">
        <v>0</v>
      </c>
      <c r="AC49" s="847">
        <v>0</v>
      </c>
      <c r="AD49" s="847">
        <v>0</v>
      </c>
      <c r="AE49" s="847">
        <v>0</v>
      </c>
      <c r="AF49" s="847">
        <v>0</v>
      </c>
      <c r="AG49" s="847">
        <v>0</v>
      </c>
      <c r="AH49" s="847">
        <v>0</v>
      </c>
      <c r="AI49" s="847">
        <v>0</v>
      </c>
      <c r="AJ49" s="847">
        <v>0</v>
      </c>
      <c r="AK49" s="847">
        <v>0</v>
      </c>
      <c r="AL49" s="847">
        <v>0</v>
      </c>
      <c r="AM49" s="847">
        <v>0</v>
      </c>
      <c r="AN49" s="847">
        <v>0</v>
      </c>
      <c r="AO49" s="847">
        <v>0</v>
      </c>
      <c r="AP49" s="847">
        <v>0</v>
      </c>
      <c r="AQ49" s="847">
        <v>0</v>
      </c>
      <c r="AR49" s="847">
        <v>0</v>
      </c>
      <c r="AS49" s="847">
        <v>0</v>
      </c>
      <c r="AT49" s="847">
        <v>0</v>
      </c>
      <c r="AU49" s="847">
        <v>0</v>
      </c>
      <c r="AV49" s="847">
        <v>0</v>
      </c>
      <c r="AW49" s="847">
        <v>0</v>
      </c>
      <c r="AX49" s="847">
        <v>0</v>
      </c>
      <c r="AY49" s="847">
        <v>0</v>
      </c>
      <c r="AZ49" s="847">
        <v>0</v>
      </c>
      <c r="BA49" s="847">
        <v>0</v>
      </c>
      <c r="BB49" s="847">
        <v>0</v>
      </c>
      <c r="BC49" s="847">
        <v>0</v>
      </c>
      <c r="BD49" s="847">
        <v>0</v>
      </c>
      <c r="BE49" s="847">
        <v>0</v>
      </c>
      <c r="BF49" s="847">
        <v>0</v>
      </c>
      <c r="BG49" s="847">
        <v>0</v>
      </c>
      <c r="BH49" s="847">
        <v>0</v>
      </c>
      <c r="BI49" s="847">
        <v>0</v>
      </c>
      <c r="BJ49" s="847">
        <v>0</v>
      </c>
      <c r="BK49" s="847">
        <v>0</v>
      </c>
      <c r="BL49" s="847">
        <v>0</v>
      </c>
      <c r="BM49" s="847">
        <v>0</v>
      </c>
      <c r="BN49" s="847">
        <v>0</v>
      </c>
      <c r="BO49" s="847">
        <v>0</v>
      </c>
      <c r="BP49" s="847">
        <v>0</v>
      </c>
      <c r="BQ49" s="847">
        <v>0</v>
      </c>
      <c r="BR49" s="847">
        <v>0</v>
      </c>
      <c r="BS49" s="847">
        <v>0</v>
      </c>
      <c r="BT49" s="847">
        <v>0</v>
      </c>
      <c r="BU49" s="847">
        <v>0</v>
      </c>
      <c r="BV49" s="847">
        <v>0</v>
      </c>
      <c r="BW49" s="847">
        <v>0</v>
      </c>
      <c r="BX49" s="847">
        <v>0</v>
      </c>
      <c r="BY49" s="847">
        <v>0</v>
      </c>
      <c r="BZ49" s="847">
        <v>0</v>
      </c>
      <c r="CA49" s="847">
        <v>0</v>
      </c>
      <c r="CB49" s="847">
        <v>0</v>
      </c>
      <c r="CC49" s="847">
        <v>0</v>
      </c>
      <c r="CD49" s="847">
        <v>0</v>
      </c>
      <c r="CE49" s="847">
        <v>0</v>
      </c>
      <c r="CF49" s="847">
        <v>0</v>
      </c>
      <c r="CG49" s="847">
        <v>0</v>
      </c>
      <c r="CH49" s="847">
        <v>0</v>
      </c>
      <c r="CI49" s="847">
        <v>0</v>
      </c>
      <c r="CJ49" s="847">
        <v>0</v>
      </c>
      <c r="CK49" s="847">
        <v>0</v>
      </c>
      <c r="CL49" s="847">
        <v>0</v>
      </c>
      <c r="CM49" s="847">
        <v>0</v>
      </c>
      <c r="CN49" s="847">
        <v>0</v>
      </c>
      <c r="CO49" s="847">
        <v>0</v>
      </c>
      <c r="CP49" s="847">
        <v>0</v>
      </c>
      <c r="CQ49" s="847">
        <v>0</v>
      </c>
      <c r="CR49" s="847">
        <v>0</v>
      </c>
      <c r="CS49" s="847">
        <v>0</v>
      </c>
      <c r="CT49" s="847">
        <v>0</v>
      </c>
      <c r="CU49" s="847">
        <v>0</v>
      </c>
      <c r="CV49" s="847">
        <v>0</v>
      </c>
      <c r="CW49" s="847">
        <v>0</v>
      </c>
      <c r="CX49" s="847">
        <v>0</v>
      </c>
      <c r="CY49" s="847">
        <v>0</v>
      </c>
      <c r="CZ49" s="847">
        <v>0</v>
      </c>
      <c r="DA49" s="847">
        <v>0</v>
      </c>
      <c r="DB49" s="847">
        <v>0</v>
      </c>
      <c r="DC49" s="847">
        <v>0</v>
      </c>
      <c r="DD49" s="847">
        <v>0</v>
      </c>
      <c r="DE49" s="847">
        <v>0</v>
      </c>
      <c r="DF49" s="847">
        <v>0</v>
      </c>
      <c r="DG49" s="847">
        <v>0</v>
      </c>
      <c r="DH49" s="847">
        <v>0</v>
      </c>
      <c r="DI49" s="847">
        <v>0</v>
      </c>
      <c r="DJ49" s="847">
        <v>0</v>
      </c>
      <c r="DK49" s="847">
        <v>0</v>
      </c>
      <c r="DL49" s="847">
        <v>0</v>
      </c>
      <c r="DM49" s="847">
        <v>0</v>
      </c>
      <c r="DN49" s="847">
        <v>0</v>
      </c>
      <c r="DO49" s="847">
        <v>0</v>
      </c>
      <c r="DP49" s="847">
        <v>0</v>
      </c>
      <c r="DQ49" s="847">
        <v>0</v>
      </c>
      <c r="DR49" s="847">
        <v>0</v>
      </c>
      <c r="DS49" s="847">
        <v>0</v>
      </c>
      <c r="DT49" s="847">
        <v>0</v>
      </c>
      <c r="DU49" s="847">
        <v>0</v>
      </c>
      <c r="DV49" s="847">
        <v>0</v>
      </c>
      <c r="DW49" s="847">
        <v>0</v>
      </c>
      <c r="DY49" s="173"/>
      <c r="DZ49" s="173"/>
      <c r="EA49" s="173"/>
      <c r="EB49" s="174"/>
      <c r="EC49" s="175"/>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c r="FA49" s="174"/>
      <c r="FB49" s="174"/>
      <c r="FC49" s="174"/>
      <c r="FD49" s="174"/>
      <c r="FE49" s="174"/>
      <c r="FF49" s="174"/>
      <c r="FG49" s="174"/>
      <c r="FH49" s="174"/>
      <c r="FI49" s="174"/>
      <c r="FJ49" s="174"/>
      <c r="FK49" s="174"/>
      <c r="FL49" s="174"/>
      <c r="FM49" s="174"/>
      <c r="FN49" s="174"/>
      <c r="FO49" s="174"/>
      <c r="FP49" s="174"/>
      <c r="FQ49" s="174"/>
      <c r="FR49" s="174"/>
      <c r="FS49" s="174"/>
      <c r="FT49" s="174"/>
      <c r="FU49" s="174"/>
      <c r="FV49" s="174"/>
      <c r="FW49" s="174"/>
      <c r="FX49" s="174"/>
      <c r="FY49" s="174"/>
      <c r="FZ49" s="174"/>
      <c r="GA49" s="174"/>
      <c r="GB49" s="174"/>
      <c r="GC49" s="174"/>
      <c r="GD49" s="174"/>
      <c r="GE49" s="174"/>
      <c r="GF49" s="174"/>
      <c r="GG49" s="174"/>
      <c r="GH49" s="174"/>
      <c r="GI49" s="174"/>
      <c r="GJ49" s="174"/>
      <c r="GK49" s="174"/>
      <c r="GL49" s="174"/>
      <c r="GM49" s="174"/>
      <c r="GN49" s="174"/>
      <c r="GO49" s="174"/>
      <c r="GP49" s="174"/>
      <c r="GQ49" s="176"/>
      <c r="GR49" s="176"/>
      <c r="GS49" s="176"/>
      <c r="GT49" s="176"/>
      <c r="GU49" s="176"/>
      <c r="GV49" s="176"/>
      <c r="GW49" s="176"/>
      <c r="GX49" s="176"/>
      <c r="GY49" s="176"/>
      <c r="GZ49" s="176"/>
      <c r="HA49" s="176"/>
      <c r="HB49" s="176"/>
      <c r="HC49" s="176"/>
      <c r="HD49" s="176"/>
      <c r="HE49" s="176"/>
      <c r="HF49" s="176"/>
      <c r="HG49" s="176"/>
      <c r="HH49" s="176"/>
      <c r="HI49" s="176"/>
      <c r="HJ49" s="176"/>
      <c r="HK49" s="176"/>
      <c r="HL49" s="176"/>
      <c r="HM49" s="176"/>
      <c r="HN49" s="176"/>
      <c r="HO49" s="176"/>
      <c r="HP49" s="176"/>
      <c r="HQ49" s="176"/>
      <c r="HR49" s="176"/>
      <c r="HS49" s="176"/>
      <c r="HT49" s="176"/>
      <c r="HU49" s="176"/>
      <c r="HV49" s="176"/>
      <c r="HW49" s="176"/>
      <c r="HX49" s="176"/>
      <c r="HY49" s="176"/>
      <c r="HZ49" s="176"/>
      <c r="IA49" s="176"/>
      <c r="IB49" s="176"/>
      <c r="IC49" s="176"/>
      <c r="ID49" s="176"/>
      <c r="IE49" s="176"/>
      <c r="IF49" s="176"/>
      <c r="IG49" s="176"/>
      <c r="IH49" s="176"/>
      <c r="II49" s="176"/>
      <c r="IJ49" s="176"/>
    </row>
    <row r="50" spans="1:244" ht="16.5" hidden="1">
      <c r="A50" s="846" t="s">
        <v>1060</v>
      </c>
      <c r="B50" s="846" t="s">
        <v>1382</v>
      </c>
      <c r="C50" s="846" t="s">
        <v>1171</v>
      </c>
      <c r="D50" s="847">
        <v>6</v>
      </c>
      <c r="E50" s="846" t="s">
        <v>1171</v>
      </c>
      <c r="F50" s="846" t="s">
        <v>96</v>
      </c>
      <c r="G50" s="851"/>
      <c r="H50" s="847">
        <v>47</v>
      </c>
      <c r="I50" s="780" t="str">
        <f t="shared" si="0"/>
        <v>IWT060147</v>
      </c>
      <c r="J50" s="847">
        <v>5064</v>
      </c>
      <c r="L50" s="846" t="s">
        <v>1060</v>
      </c>
      <c r="M50" s="846" t="s">
        <v>1382</v>
      </c>
      <c r="N50" s="846" t="s">
        <v>96</v>
      </c>
      <c r="O50" s="847">
        <v>47</v>
      </c>
      <c r="P50" s="780" t="str">
        <f t="shared" si="1"/>
        <v>IWT060147</v>
      </c>
      <c r="Q50" s="847">
        <v>1092</v>
      </c>
      <c r="R50" s="847">
        <v>2937</v>
      </c>
      <c r="S50" s="847">
        <v>4746</v>
      </c>
      <c r="T50" s="847">
        <v>6519</v>
      </c>
      <c r="U50" s="847">
        <v>8258</v>
      </c>
      <c r="V50" s="847">
        <v>0</v>
      </c>
      <c r="W50" s="847">
        <v>0</v>
      </c>
      <c r="X50" s="847">
        <v>0</v>
      </c>
      <c r="Y50" s="847">
        <v>0</v>
      </c>
      <c r="Z50" s="847">
        <v>0</v>
      </c>
      <c r="AA50" s="847">
        <v>0</v>
      </c>
      <c r="AB50" s="847">
        <v>0</v>
      </c>
      <c r="AC50" s="847">
        <v>0</v>
      </c>
      <c r="AD50" s="847">
        <v>0</v>
      </c>
      <c r="AE50" s="847">
        <v>0</v>
      </c>
      <c r="AF50" s="847">
        <v>0</v>
      </c>
      <c r="AG50" s="847">
        <v>0</v>
      </c>
      <c r="AH50" s="847">
        <v>0</v>
      </c>
      <c r="AI50" s="847">
        <v>0</v>
      </c>
      <c r="AJ50" s="847">
        <v>0</v>
      </c>
      <c r="AK50" s="847">
        <v>0</v>
      </c>
      <c r="AL50" s="847">
        <v>0</v>
      </c>
      <c r="AM50" s="847">
        <v>0</v>
      </c>
      <c r="AN50" s="847">
        <v>0</v>
      </c>
      <c r="AO50" s="847">
        <v>0</v>
      </c>
      <c r="AP50" s="847">
        <v>0</v>
      </c>
      <c r="AQ50" s="847">
        <v>0</v>
      </c>
      <c r="AR50" s="847">
        <v>0</v>
      </c>
      <c r="AS50" s="847">
        <v>0</v>
      </c>
      <c r="AT50" s="847">
        <v>0</v>
      </c>
      <c r="AU50" s="847">
        <v>0</v>
      </c>
      <c r="AV50" s="847">
        <v>0</v>
      </c>
      <c r="AW50" s="847">
        <v>0</v>
      </c>
      <c r="AX50" s="847">
        <v>0</v>
      </c>
      <c r="AY50" s="847">
        <v>0</v>
      </c>
      <c r="AZ50" s="847">
        <v>0</v>
      </c>
      <c r="BA50" s="847">
        <v>0</v>
      </c>
      <c r="BB50" s="847">
        <v>0</v>
      </c>
      <c r="BC50" s="847">
        <v>0</v>
      </c>
      <c r="BD50" s="847">
        <v>0</v>
      </c>
      <c r="BE50" s="847">
        <v>0</v>
      </c>
      <c r="BF50" s="847">
        <v>0</v>
      </c>
      <c r="BG50" s="847">
        <v>0</v>
      </c>
      <c r="BH50" s="847">
        <v>0</v>
      </c>
      <c r="BI50" s="847">
        <v>0</v>
      </c>
      <c r="BJ50" s="847">
        <v>0</v>
      </c>
      <c r="BK50" s="847">
        <v>0</v>
      </c>
      <c r="BL50" s="847">
        <v>0</v>
      </c>
      <c r="BM50" s="847">
        <v>0</v>
      </c>
      <c r="BN50" s="847">
        <v>0</v>
      </c>
      <c r="BO50" s="847">
        <v>0</v>
      </c>
      <c r="BP50" s="847">
        <v>0</v>
      </c>
      <c r="BQ50" s="847">
        <v>0</v>
      </c>
      <c r="BR50" s="847">
        <v>0</v>
      </c>
      <c r="BS50" s="847">
        <v>0</v>
      </c>
      <c r="BT50" s="847">
        <v>0</v>
      </c>
      <c r="BU50" s="847">
        <v>0</v>
      </c>
      <c r="BV50" s="847">
        <v>0</v>
      </c>
      <c r="BW50" s="847">
        <v>0</v>
      </c>
      <c r="BX50" s="847">
        <v>0</v>
      </c>
      <c r="BY50" s="847">
        <v>0</v>
      </c>
      <c r="BZ50" s="847">
        <v>0</v>
      </c>
      <c r="CA50" s="847">
        <v>0</v>
      </c>
      <c r="CB50" s="847">
        <v>0</v>
      </c>
      <c r="CC50" s="847">
        <v>0</v>
      </c>
      <c r="CD50" s="847">
        <v>0</v>
      </c>
      <c r="CE50" s="847">
        <v>0</v>
      </c>
      <c r="CF50" s="847">
        <v>0</v>
      </c>
      <c r="CG50" s="847">
        <v>0</v>
      </c>
      <c r="CH50" s="847">
        <v>0</v>
      </c>
      <c r="CI50" s="847">
        <v>0</v>
      </c>
      <c r="CJ50" s="847">
        <v>0</v>
      </c>
      <c r="CK50" s="847">
        <v>0</v>
      </c>
      <c r="CL50" s="847">
        <v>0</v>
      </c>
      <c r="CM50" s="847">
        <v>0</v>
      </c>
      <c r="CN50" s="847">
        <v>0</v>
      </c>
      <c r="CO50" s="847">
        <v>0</v>
      </c>
      <c r="CP50" s="847">
        <v>0</v>
      </c>
      <c r="CQ50" s="847">
        <v>0</v>
      </c>
      <c r="CR50" s="847">
        <v>0</v>
      </c>
      <c r="CS50" s="847">
        <v>0</v>
      </c>
      <c r="CT50" s="847">
        <v>0</v>
      </c>
      <c r="CU50" s="847">
        <v>0</v>
      </c>
      <c r="CV50" s="847">
        <v>0</v>
      </c>
      <c r="CW50" s="847">
        <v>0</v>
      </c>
      <c r="CX50" s="847">
        <v>0</v>
      </c>
      <c r="CY50" s="847">
        <v>0</v>
      </c>
      <c r="CZ50" s="847">
        <v>0</v>
      </c>
      <c r="DA50" s="847">
        <v>0</v>
      </c>
      <c r="DB50" s="847">
        <v>0</v>
      </c>
      <c r="DC50" s="847">
        <v>0</v>
      </c>
      <c r="DD50" s="847">
        <v>0</v>
      </c>
      <c r="DE50" s="847">
        <v>0</v>
      </c>
      <c r="DF50" s="847">
        <v>0</v>
      </c>
      <c r="DG50" s="847">
        <v>0</v>
      </c>
      <c r="DH50" s="847">
        <v>0</v>
      </c>
      <c r="DI50" s="847">
        <v>0</v>
      </c>
      <c r="DJ50" s="847">
        <v>0</v>
      </c>
      <c r="DK50" s="847">
        <v>0</v>
      </c>
      <c r="DL50" s="847">
        <v>0</v>
      </c>
      <c r="DM50" s="847">
        <v>0</v>
      </c>
      <c r="DN50" s="847">
        <v>0</v>
      </c>
      <c r="DO50" s="847">
        <v>0</v>
      </c>
      <c r="DP50" s="847">
        <v>0</v>
      </c>
      <c r="DQ50" s="847">
        <v>0</v>
      </c>
      <c r="DR50" s="847">
        <v>0</v>
      </c>
      <c r="DS50" s="847">
        <v>0</v>
      </c>
      <c r="DT50" s="847">
        <v>0</v>
      </c>
      <c r="DU50" s="847">
        <v>0</v>
      </c>
      <c r="DV50" s="847">
        <v>0</v>
      </c>
      <c r="DW50" s="847">
        <v>0</v>
      </c>
      <c r="DY50" s="173"/>
      <c r="DZ50" s="173"/>
      <c r="EA50" s="173"/>
      <c r="EB50" s="174"/>
      <c r="EC50" s="175"/>
      <c r="ED50" s="174"/>
      <c r="EE50" s="174"/>
      <c r="EF50" s="174"/>
      <c r="EG50" s="174"/>
      <c r="EH50" s="174"/>
      <c r="EI50" s="174"/>
      <c r="EJ50" s="174"/>
      <c r="EK50" s="174"/>
      <c r="EL50" s="174"/>
      <c r="EM50" s="174"/>
      <c r="EN50" s="174"/>
      <c r="EO50" s="174"/>
      <c r="EP50" s="174"/>
      <c r="EQ50" s="174"/>
      <c r="ER50" s="174"/>
      <c r="ES50" s="174"/>
      <c r="ET50" s="174"/>
      <c r="EU50" s="174"/>
      <c r="EV50" s="174"/>
      <c r="EW50" s="174"/>
      <c r="EX50" s="174"/>
      <c r="EY50" s="174"/>
      <c r="EZ50" s="174"/>
      <c r="FA50" s="174"/>
      <c r="FB50" s="174"/>
      <c r="FC50" s="174"/>
      <c r="FD50" s="174"/>
      <c r="FE50" s="174"/>
      <c r="FF50" s="174"/>
      <c r="FG50" s="174"/>
      <c r="FH50" s="174"/>
      <c r="FI50" s="174"/>
      <c r="FJ50" s="174"/>
      <c r="FK50" s="174"/>
      <c r="FL50" s="174"/>
      <c r="FM50" s="174"/>
      <c r="FN50" s="174"/>
      <c r="FO50" s="174"/>
      <c r="FP50" s="174"/>
      <c r="FQ50" s="174"/>
      <c r="FR50" s="174"/>
      <c r="FS50" s="174"/>
      <c r="FT50" s="174"/>
      <c r="FU50" s="174"/>
      <c r="FV50" s="174"/>
      <c r="FW50" s="174"/>
      <c r="FX50" s="174"/>
      <c r="FY50" s="174"/>
      <c r="FZ50" s="174"/>
      <c r="GA50" s="174"/>
      <c r="GB50" s="174"/>
      <c r="GC50" s="174"/>
      <c r="GD50" s="174"/>
      <c r="GE50" s="174"/>
      <c r="GF50" s="174"/>
      <c r="GG50" s="174"/>
      <c r="GH50" s="174"/>
      <c r="GI50" s="174"/>
      <c r="GJ50" s="174"/>
      <c r="GK50" s="174"/>
      <c r="GL50" s="174"/>
      <c r="GM50" s="174"/>
      <c r="GN50" s="174"/>
      <c r="GO50" s="174"/>
      <c r="GP50" s="176"/>
      <c r="GQ50" s="176"/>
      <c r="GR50" s="176"/>
      <c r="GS50" s="176"/>
      <c r="GT50" s="176"/>
      <c r="GU50" s="176"/>
      <c r="GV50" s="176"/>
      <c r="GW50" s="176"/>
      <c r="GX50" s="176"/>
      <c r="GY50" s="176"/>
      <c r="GZ50" s="176"/>
      <c r="HA50" s="176"/>
      <c r="HB50" s="176"/>
      <c r="HC50" s="176"/>
      <c r="HD50" s="176"/>
      <c r="HE50" s="176"/>
      <c r="HF50" s="176"/>
      <c r="HG50" s="176"/>
      <c r="HH50" s="176"/>
      <c r="HI50" s="176"/>
      <c r="HJ50" s="176"/>
      <c r="HK50" s="176"/>
      <c r="HL50" s="176"/>
      <c r="HM50" s="176"/>
      <c r="HN50" s="176"/>
      <c r="HO50" s="176"/>
      <c r="HP50" s="176"/>
      <c r="HQ50" s="176"/>
      <c r="HR50" s="176"/>
      <c r="HS50" s="176"/>
      <c r="HT50" s="176"/>
      <c r="HU50" s="176"/>
      <c r="HV50" s="176"/>
      <c r="HW50" s="176"/>
      <c r="HX50" s="176"/>
      <c r="HY50" s="176"/>
      <c r="HZ50" s="176"/>
      <c r="IA50" s="176"/>
      <c r="IB50" s="176"/>
      <c r="IC50" s="176"/>
      <c r="ID50" s="176"/>
      <c r="IE50" s="176"/>
      <c r="IF50" s="176"/>
      <c r="IG50" s="176"/>
      <c r="IH50" s="176"/>
      <c r="II50" s="176"/>
      <c r="IJ50" s="176"/>
    </row>
    <row r="51" spans="1:244" ht="16.5" hidden="1">
      <c r="A51" s="846" t="s">
        <v>1060</v>
      </c>
      <c r="B51" s="846" t="s">
        <v>1382</v>
      </c>
      <c r="C51" s="846" t="s">
        <v>1171</v>
      </c>
      <c r="D51" s="847">
        <v>6</v>
      </c>
      <c r="E51" s="846" t="s">
        <v>1171</v>
      </c>
      <c r="F51" s="846" t="s">
        <v>96</v>
      </c>
      <c r="G51" s="851"/>
      <c r="H51" s="847">
        <v>48</v>
      </c>
      <c r="I51" s="780" t="str">
        <f t="shared" si="0"/>
        <v>IWT060148</v>
      </c>
      <c r="J51" s="847">
        <v>5066</v>
      </c>
      <c r="L51" s="846" t="s">
        <v>1060</v>
      </c>
      <c r="M51" s="846" t="s">
        <v>1382</v>
      </c>
      <c r="N51" s="846" t="s">
        <v>96</v>
      </c>
      <c r="O51" s="847">
        <v>48</v>
      </c>
      <c r="P51" s="780" t="str">
        <f t="shared" si="1"/>
        <v>IWT060148</v>
      </c>
      <c r="Q51" s="847">
        <v>1090</v>
      </c>
      <c r="R51" s="847">
        <v>2936</v>
      </c>
      <c r="S51" s="847">
        <v>4745</v>
      </c>
      <c r="T51" s="847">
        <v>6519</v>
      </c>
      <c r="U51" s="847">
        <v>8258</v>
      </c>
      <c r="V51" s="847">
        <v>0</v>
      </c>
      <c r="W51" s="847">
        <v>0</v>
      </c>
      <c r="X51" s="847">
        <v>0</v>
      </c>
      <c r="Y51" s="847">
        <v>0</v>
      </c>
      <c r="Z51" s="847">
        <v>0</v>
      </c>
      <c r="AA51" s="847">
        <v>0</v>
      </c>
      <c r="AB51" s="847">
        <v>0</v>
      </c>
      <c r="AC51" s="847">
        <v>0</v>
      </c>
      <c r="AD51" s="847">
        <v>0</v>
      </c>
      <c r="AE51" s="847">
        <v>0</v>
      </c>
      <c r="AF51" s="847">
        <v>0</v>
      </c>
      <c r="AG51" s="847">
        <v>0</v>
      </c>
      <c r="AH51" s="847">
        <v>0</v>
      </c>
      <c r="AI51" s="847">
        <v>0</v>
      </c>
      <c r="AJ51" s="847">
        <v>0</v>
      </c>
      <c r="AK51" s="847">
        <v>0</v>
      </c>
      <c r="AL51" s="847">
        <v>0</v>
      </c>
      <c r="AM51" s="847">
        <v>0</v>
      </c>
      <c r="AN51" s="847">
        <v>0</v>
      </c>
      <c r="AO51" s="847">
        <v>0</v>
      </c>
      <c r="AP51" s="847">
        <v>0</v>
      </c>
      <c r="AQ51" s="847">
        <v>0</v>
      </c>
      <c r="AR51" s="847">
        <v>0</v>
      </c>
      <c r="AS51" s="847">
        <v>0</v>
      </c>
      <c r="AT51" s="847">
        <v>0</v>
      </c>
      <c r="AU51" s="847">
        <v>0</v>
      </c>
      <c r="AV51" s="847">
        <v>0</v>
      </c>
      <c r="AW51" s="847">
        <v>0</v>
      </c>
      <c r="AX51" s="847">
        <v>0</v>
      </c>
      <c r="AY51" s="847">
        <v>0</v>
      </c>
      <c r="AZ51" s="847">
        <v>0</v>
      </c>
      <c r="BA51" s="847">
        <v>0</v>
      </c>
      <c r="BB51" s="847">
        <v>0</v>
      </c>
      <c r="BC51" s="847">
        <v>0</v>
      </c>
      <c r="BD51" s="847">
        <v>0</v>
      </c>
      <c r="BE51" s="847">
        <v>0</v>
      </c>
      <c r="BF51" s="847">
        <v>0</v>
      </c>
      <c r="BG51" s="847">
        <v>0</v>
      </c>
      <c r="BH51" s="847">
        <v>0</v>
      </c>
      <c r="BI51" s="847">
        <v>0</v>
      </c>
      <c r="BJ51" s="847">
        <v>0</v>
      </c>
      <c r="BK51" s="847">
        <v>0</v>
      </c>
      <c r="BL51" s="847">
        <v>0</v>
      </c>
      <c r="BM51" s="847">
        <v>0</v>
      </c>
      <c r="BN51" s="847">
        <v>0</v>
      </c>
      <c r="BO51" s="847">
        <v>0</v>
      </c>
      <c r="BP51" s="847">
        <v>0</v>
      </c>
      <c r="BQ51" s="847">
        <v>0</v>
      </c>
      <c r="BR51" s="847">
        <v>0</v>
      </c>
      <c r="BS51" s="847">
        <v>0</v>
      </c>
      <c r="BT51" s="847">
        <v>0</v>
      </c>
      <c r="BU51" s="847">
        <v>0</v>
      </c>
      <c r="BV51" s="847">
        <v>0</v>
      </c>
      <c r="BW51" s="847">
        <v>0</v>
      </c>
      <c r="BX51" s="847">
        <v>0</v>
      </c>
      <c r="BY51" s="847">
        <v>0</v>
      </c>
      <c r="BZ51" s="847">
        <v>0</v>
      </c>
      <c r="CA51" s="847">
        <v>0</v>
      </c>
      <c r="CB51" s="847">
        <v>0</v>
      </c>
      <c r="CC51" s="847">
        <v>0</v>
      </c>
      <c r="CD51" s="847">
        <v>0</v>
      </c>
      <c r="CE51" s="847">
        <v>0</v>
      </c>
      <c r="CF51" s="847">
        <v>0</v>
      </c>
      <c r="CG51" s="847">
        <v>0</v>
      </c>
      <c r="CH51" s="847">
        <v>0</v>
      </c>
      <c r="CI51" s="847">
        <v>0</v>
      </c>
      <c r="CJ51" s="847">
        <v>0</v>
      </c>
      <c r="CK51" s="847">
        <v>0</v>
      </c>
      <c r="CL51" s="847">
        <v>0</v>
      </c>
      <c r="CM51" s="847">
        <v>0</v>
      </c>
      <c r="CN51" s="847">
        <v>0</v>
      </c>
      <c r="CO51" s="847">
        <v>0</v>
      </c>
      <c r="CP51" s="847">
        <v>0</v>
      </c>
      <c r="CQ51" s="847">
        <v>0</v>
      </c>
      <c r="CR51" s="847">
        <v>0</v>
      </c>
      <c r="CS51" s="847">
        <v>0</v>
      </c>
      <c r="CT51" s="847">
        <v>0</v>
      </c>
      <c r="CU51" s="847">
        <v>0</v>
      </c>
      <c r="CV51" s="847">
        <v>0</v>
      </c>
      <c r="CW51" s="847">
        <v>0</v>
      </c>
      <c r="CX51" s="847">
        <v>0</v>
      </c>
      <c r="CY51" s="847">
        <v>0</v>
      </c>
      <c r="CZ51" s="847">
        <v>0</v>
      </c>
      <c r="DA51" s="847">
        <v>0</v>
      </c>
      <c r="DB51" s="847">
        <v>0</v>
      </c>
      <c r="DC51" s="847">
        <v>0</v>
      </c>
      <c r="DD51" s="847">
        <v>0</v>
      </c>
      <c r="DE51" s="847">
        <v>0</v>
      </c>
      <c r="DF51" s="847">
        <v>0</v>
      </c>
      <c r="DG51" s="847">
        <v>0</v>
      </c>
      <c r="DH51" s="847">
        <v>0</v>
      </c>
      <c r="DI51" s="847">
        <v>0</v>
      </c>
      <c r="DJ51" s="847">
        <v>0</v>
      </c>
      <c r="DK51" s="847">
        <v>0</v>
      </c>
      <c r="DL51" s="847">
        <v>0</v>
      </c>
      <c r="DM51" s="847">
        <v>0</v>
      </c>
      <c r="DN51" s="847">
        <v>0</v>
      </c>
      <c r="DO51" s="847">
        <v>0</v>
      </c>
      <c r="DP51" s="847">
        <v>0</v>
      </c>
      <c r="DQ51" s="847">
        <v>0</v>
      </c>
      <c r="DR51" s="847">
        <v>0</v>
      </c>
      <c r="DS51" s="847">
        <v>0</v>
      </c>
      <c r="DT51" s="847">
        <v>0</v>
      </c>
      <c r="DU51" s="847">
        <v>0</v>
      </c>
      <c r="DV51" s="847">
        <v>0</v>
      </c>
      <c r="DW51" s="847">
        <v>0</v>
      </c>
      <c r="DY51" s="173"/>
      <c r="DZ51" s="173"/>
      <c r="EA51" s="173"/>
      <c r="EB51" s="174"/>
      <c r="EC51" s="175"/>
      <c r="ED51" s="174"/>
      <c r="EE51" s="174"/>
      <c r="EF51" s="174"/>
      <c r="EG51" s="174"/>
      <c r="EH51" s="174"/>
      <c r="EI51" s="174"/>
      <c r="EJ51" s="174"/>
      <c r="EK51" s="174"/>
      <c r="EL51" s="174"/>
      <c r="EM51" s="174"/>
      <c r="EN51" s="174"/>
      <c r="EO51" s="174"/>
      <c r="EP51" s="174"/>
      <c r="EQ51" s="174"/>
      <c r="ER51" s="174"/>
      <c r="ES51" s="174"/>
      <c r="ET51" s="174"/>
      <c r="EU51" s="174"/>
      <c r="EV51" s="174"/>
      <c r="EW51" s="174"/>
      <c r="EX51" s="174"/>
      <c r="EY51" s="174"/>
      <c r="EZ51" s="174"/>
      <c r="FA51" s="174"/>
      <c r="FB51" s="174"/>
      <c r="FC51" s="174"/>
      <c r="FD51" s="174"/>
      <c r="FE51" s="174"/>
      <c r="FF51" s="174"/>
      <c r="FG51" s="174"/>
      <c r="FH51" s="174"/>
      <c r="FI51" s="174"/>
      <c r="FJ51" s="174"/>
      <c r="FK51" s="174"/>
      <c r="FL51" s="174"/>
      <c r="FM51" s="174"/>
      <c r="FN51" s="174"/>
      <c r="FO51" s="174"/>
      <c r="FP51" s="174"/>
      <c r="FQ51" s="174"/>
      <c r="FR51" s="174"/>
      <c r="FS51" s="174"/>
      <c r="FT51" s="174"/>
      <c r="FU51" s="174"/>
      <c r="FV51" s="174"/>
      <c r="FW51" s="174"/>
      <c r="FX51" s="174"/>
      <c r="FY51" s="174"/>
      <c r="FZ51" s="174"/>
      <c r="GA51" s="174"/>
      <c r="GB51" s="174"/>
      <c r="GC51" s="174"/>
      <c r="GD51" s="174"/>
      <c r="GE51" s="174"/>
      <c r="GF51" s="174"/>
      <c r="GG51" s="174"/>
      <c r="GH51" s="174"/>
      <c r="GI51" s="174"/>
      <c r="GJ51" s="174"/>
      <c r="GK51" s="174"/>
      <c r="GL51" s="174"/>
      <c r="GM51" s="174"/>
      <c r="GN51" s="174"/>
      <c r="GO51" s="176"/>
      <c r="GP51" s="176"/>
      <c r="GQ51" s="176"/>
      <c r="GR51" s="176"/>
      <c r="GS51" s="176"/>
      <c r="GT51" s="176"/>
      <c r="GU51" s="176"/>
      <c r="GV51" s="176"/>
      <c r="GW51" s="176"/>
      <c r="GX51" s="176"/>
      <c r="GY51" s="176"/>
      <c r="GZ51" s="176"/>
      <c r="HA51" s="176"/>
      <c r="HB51" s="176"/>
      <c r="HC51" s="176"/>
      <c r="HD51" s="176"/>
      <c r="HE51" s="176"/>
      <c r="HF51" s="176"/>
      <c r="HG51" s="176"/>
      <c r="HH51" s="176"/>
      <c r="HI51" s="176"/>
      <c r="HJ51" s="176"/>
      <c r="HK51" s="176"/>
      <c r="HL51" s="176"/>
      <c r="HM51" s="176"/>
      <c r="HN51" s="176"/>
      <c r="HO51" s="176"/>
      <c r="HP51" s="176"/>
      <c r="HQ51" s="176"/>
      <c r="HR51" s="176"/>
      <c r="HS51" s="176"/>
      <c r="HT51" s="176"/>
      <c r="HU51" s="176"/>
      <c r="HV51" s="176"/>
      <c r="HW51" s="176"/>
      <c r="HX51" s="176"/>
      <c r="HY51" s="176"/>
      <c r="HZ51" s="176"/>
      <c r="IA51" s="176"/>
      <c r="IB51" s="176"/>
      <c r="IC51" s="176"/>
      <c r="ID51" s="176"/>
      <c r="IE51" s="176"/>
      <c r="IF51" s="176"/>
      <c r="IG51" s="176"/>
      <c r="IH51" s="176"/>
      <c r="II51" s="176"/>
      <c r="IJ51" s="176"/>
    </row>
    <row r="52" spans="1:244" ht="16.5" hidden="1">
      <c r="A52" s="846" t="s">
        <v>1060</v>
      </c>
      <c r="B52" s="846" t="s">
        <v>1382</v>
      </c>
      <c r="C52" s="846" t="s">
        <v>1171</v>
      </c>
      <c r="D52" s="847">
        <v>6</v>
      </c>
      <c r="E52" s="846" t="s">
        <v>1171</v>
      </c>
      <c r="F52" s="846" t="s">
        <v>96</v>
      </c>
      <c r="G52" s="851"/>
      <c r="H52" s="847">
        <v>49</v>
      </c>
      <c r="I52" s="780" t="str">
        <f t="shared" si="0"/>
        <v>IWT060149</v>
      </c>
      <c r="J52" s="847">
        <v>5068</v>
      </c>
      <c r="L52" s="846" t="s">
        <v>1060</v>
      </c>
      <c r="M52" s="846" t="s">
        <v>1382</v>
      </c>
      <c r="N52" s="846" t="s">
        <v>96</v>
      </c>
      <c r="O52" s="847">
        <v>49</v>
      </c>
      <c r="P52" s="780" t="str">
        <f t="shared" si="1"/>
        <v>IWT060149</v>
      </c>
      <c r="Q52" s="847">
        <v>1088</v>
      </c>
      <c r="R52" s="847">
        <v>2934</v>
      </c>
      <c r="S52" s="847">
        <v>4744</v>
      </c>
      <c r="T52" s="847">
        <v>6518</v>
      </c>
      <c r="U52" s="847">
        <v>8257</v>
      </c>
      <c r="V52" s="847">
        <v>0</v>
      </c>
      <c r="W52" s="847">
        <v>0</v>
      </c>
      <c r="X52" s="847">
        <v>0</v>
      </c>
      <c r="Y52" s="847">
        <v>0</v>
      </c>
      <c r="Z52" s="847">
        <v>0</v>
      </c>
      <c r="AA52" s="847">
        <v>0</v>
      </c>
      <c r="AB52" s="847">
        <v>0</v>
      </c>
      <c r="AC52" s="847">
        <v>0</v>
      </c>
      <c r="AD52" s="847">
        <v>0</v>
      </c>
      <c r="AE52" s="847">
        <v>0</v>
      </c>
      <c r="AF52" s="847">
        <v>0</v>
      </c>
      <c r="AG52" s="847">
        <v>0</v>
      </c>
      <c r="AH52" s="847">
        <v>0</v>
      </c>
      <c r="AI52" s="847">
        <v>0</v>
      </c>
      <c r="AJ52" s="847">
        <v>0</v>
      </c>
      <c r="AK52" s="847">
        <v>0</v>
      </c>
      <c r="AL52" s="847">
        <v>0</v>
      </c>
      <c r="AM52" s="847">
        <v>0</v>
      </c>
      <c r="AN52" s="847">
        <v>0</v>
      </c>
      <c r="AO52" s="847">
        <v>0</v>
      </c>
      <c r="AP52" s="847">
        <v>0</v>
      </c>
      <c r="AQ52" s="847">
        <v>0</v>
      </c>
      <c r="AR52" s="847">
        <v>0</v>
      </c>
      <c r="AS52" s="847">
        <v>0</v>
      </c>
      <c r="AT52" s="847">
        <v>0</v>
      </c>
      <c r="AU52" s="847">
        <v>0</v>
      </c>
      <c r="AV52" s="847">
        <v>0</v>
      </c>
      <c r="AW52" s="847">
        <v>0</v>
      </c>
      <c r="AX52" s="847">
        <v>0</v>
      </c>
      <c r="AY52" s="847">
        <v>0</v>
      </c>
      <c r="AZ52" s="847">
        <v>0</v>
      </c>
      <c r="BA52" s="847">
        <v>0</v>
      </c>
      <c r="BB52" s="847">
        <v>0</v>
      </c>
      <c r="BC52" s="847">
        <v>0</v>
      </c>
      <c r="BD52" s="847">
        <v>0</v>
      </c>
      <c r="BE52" s="847">
        <v>0</v>
      </c>
      <c r="BF52" s="847">
        <v>0</v>
      </c>
      <c r="BG52" s="847">
        <v>0</v>
      </c>
      <c r="BH52" s="847">
        <v>0</v>
      </c>
      <c r="BI52" s="847">
        <v>0</v>
      </c>
      <c r="BJ52" s="847">
        <v>0</v>
      </c>
      <c r="BK52" s="847">
        <v>0</v>
      </c>
      <c r="BL52" s="847">
        <v>0</v>
      </c>
      <c r="BM52" s="847">
        <v>0</v>
      </c>
      <c r="BN52" s="847">
        <v>0</v>
      </c>
      <c r="BO52" s="847">
        <v>0</v>
      </c>
      <c r="BP52" s="847">
        <v>0</v>
      </c>
      <c r="BQ52" s="847">
        <v>0</v>
      </c>
      <c r="BR52" s="847">
        <v>0</v>
      </c>
      <c r="BS52" s="847">
        <v>0</v>
      </c>
      <c r="BT52" s="847">
        <v>0</v>
      </c>
      <c r="BU52" s="847">
        <v>0</v>
      </c>
      <c r="BV52" s="847">
        <v>0</v>
      </c>
      <c r="BW52" s="847">
        <v>0</v>
      </c>
      <c r="BX52" s="847">
        <v>0</v>
      </c>
      <c r="BY52" s="847">
        <v>0</v>
      </c>
      <c r="BZ52" s="847">
        <v>0</v>
      </c>
      <c r="CA52" s="847">
        <v>0</v>
      </c>
      <c r="CB52" s="847">
        <v>0</v>
      </c>
      <c r="CC52" s="847">
        <v>0</v>
      </c>
      <c r="CD52" s="847">
        <v>0</v>
      </c>
      <c r="CE52" s="847">
        <v>0</v>
      </c>
      <c r="CF52" s="847">
        <v>0</v>
      </c>
      <c r="CG52" s="847">
        <v>0</v>
      </c>
      <c r="CH52" s="847">
        <v>0</v>
      </c>
      <c r="CI52" s="847">
        <v>0</v>
      </c>
      <c r="CJ52" s="847">
        <v>0</v>
      </c>
      <c r="CK52" s="847">
        <v>0</v>
      </c>
      <c r="CL52" s="847">
        <v>0</v>
      </c>
      <c r="CM52" s="847">
        <v>0</v>
      </c>
      <c r="CN52" s="847">
        <v>0</v>
      </c>
      <c r="CO52" s="847">
        <v>0</v>
      </c>
      <c r="CP52" s="847">
        <v>0</v>
      </c>
      <c r="CQ52" s="847">
        <v>0</v>
      </c>
      <c r="CR52" s="847">
        <v>0</v>
      </c>
      <c r="CS52" s="847">
        <v>0</v>
      </c>
      <c r="CT52" s="847">
        <v>0</v>
      </c>
      <c r="CU52" s="847">
        <v>0</v>
      </c>
      <c r="CV52" s="847">
        <v>0</v>
      </c>
      <c r="CW52" s="847">
        <v>0</v>
      </c>
      <c r="CX52" s="847">
        <v>0</v>
      </c>
      <c r="CY52" s="847">
        <v>0</v>
      </c>
      <c r="CZ52" s="847">
        <v>0</v>
      </c>
      <c r="DA52" s="847">
        <v>0</v>
      </c>
      <c r="DB52" s="847">
        <v>0</v>
      </c>
      <c r="DC52" s="847">
        <v>0</v>
      </c>
      <c r="DD52" s="847">
        <v>0</v>
      </c>
      <c r="DE52" s="847">
        <v>0</v>
      </c>
      <c r="DF52" s="847">
        <v>0</v>
      </c>
      <c r="DG52" s="847">
        <v>0</v>
      </c>
      <c r="DH52" s="847">
        <v>0</v>
      </c>
      <c r="DI52" s="847">
        <v>0</v>
      </c>
      <c r="DJ52" s="847">
        <v>0</v>
      </c>
      <c r="DK52" s="847">
        <v>0</v>
      </c>
      <c r="DL52" s="847">
        <v>0</v>
      </c>
      <c r="DM52" s="847">
        <v>0</v>
      </c>
      <c r="DN52" s="847">
        <v>0</v>
      </c>
      <c r="DO52" s="847">
        <v>0</v>
      </c>
      <c r="DP52" s="847">
        <v>0</v>
      </c>
      <c r="DQ52" s="847">
        <v>0</v>
      </c>
      <c r="DR52" s="847">
        <v>0</v>
      </c>
      <c r="DS52" s="847">
        <v>0</v>
      </c>
      <c r="DT52" s="847">
        <v>0</v>
      </c>
      <c r="DU52" s="847">
        <v>0</v>
      </c>
      <c r="DV52" s="847">
        <v>0</v>
      </c>
      <c r="DW52" s="847">
        <v>0</v>
      </c>
      <c r="DY52" s="173"/>
      <c r="DZ52" s="173"/>
      <c r="EA52" s="173"/>
      <c r="EB52" s="174"/>
      <c r="EC52" s="175"/>
      <c r="ED52" s="174"/>
      <c r="EE52" s="174"/>
      <c r="EF52" s="174"/>
      <c r="EG52" s="174"/>
      <c r="EH52" s="174"/>
      <c r="EI52" s="174"/>
      <c r="EJ52" s="174"/>
      <c r="EK52" s="174"/>
      <c r="EL52" s="174"/>
      <c r="EM52" s="174"/>
      <c r="EN52" s="174"/>
      <c r="EO52" s="174"/>
      <c r="EP52" s="174"/>
      <c r="EQ52" s="174"/>
      <c r="ER52" s="174"/>
      <c r="ES52" s="174"/>
      <c r="ET52" s="174"/>
      <c r="EU52" s="174"/>
      <c r="EV52" s="174"/>
      <c r="EW52" s="174"/>
      <c r="EX52" s="174"/>
      <c r="EY52" s="174"/>
      <c r="EZ52" s="174"/>
      <c r="FA52" s="174"/>
      <c r="FB52" s="174"/>
      <c r="FC52" s="174"/>
      <c r="FD52" s="174"/>
      <c r="FE52" s="174"/>
      <c r="FF52" s="174"/>
      <c r="FG52" s="174"/>
      <c r="FH52" s="174"/>
      <c r="FI52" s="174"/>
      <c r="FJ52" s="174"/>
      <c r="FK52" s="174"/>
      <c r="FL52" s="174"/>
      <c r="FM52" s="174"/>
      <c r="FN52" s="174"/>
      <c r="FO52" s="174"/>
      <c r="FP52" s="174"/>
      <c r="FQ52" s="174"/>
      <c r="FR52" s="174"/>
      <c r="FS52" s="174"/>
      <c r="FT52" s="174"/>
      <c r="FU52" s="174"/>
      <c r="FV52" s="174"/>
      <c r="FW52" s="174"/>
      <c r="FX52" s="174"/>
      <c r="FY52" s="174"/>
      <c r="FZ52" s="174"/>
      <c r="GA52" s="174"/>
      <c r="GB52" s="174"/>
      <c r="GC52" s="174"/>
      <c r="GD52" s="174"/>
      <c r="GE52" s="174"/>
      <c r="GF52" s="174"/>
      <c r="GG52" s="174"/>
      <c r="GH52" s="174"/>
      <c r="GI52" s="174"/>
      <c r="GJ52" s="174"/>
      <c r="GK52" s="174"/>
      <c r="GL52" s="174"/>
      <c r="GM52" s="174"/>
      <c r="GN52" s="176"/>
      <c r="GO52" s="176"/>
      <c r="GP52" s="176"/>
      <c r="GQ52" s="176"/>
      <c r="GR52" s="176"/>
      <c r="GS52" s="176"/>
      <c r="GT52" s="176"/>
      <c r="GU52" s="176"/>
      <c r="GV52" s="176"/>
      <c r="GW52" s="176"/>
      <c r="GX52" s="176"/>
      <c r="GY52" s="176"/>
      <c r="GZ52" s="176"/>
      <c r="HA52" s="176"/>
      <c r="HB52" s="176"/>
      <c r="HC52" s="176"/>
      <c r="HD52" s="176"/>
      <c r="HE52" s="176"/>
      <c r="HF52" s="176"/>
      <c r="HG52" s="176"/>
      <c r="HH52" s="176"/>
      <c r="HI52" s="176"/>
      <c r="HJ52" s="176"/>
      <c r="HK52" s="176"/>
      <c r="HL52" s="176"/>
      <c r="HM52" s="176"/>
      <c r="HN52" s="176"/>
      <c r="HO52" s="176"/>
      <c r="HP52" s="176"/>
      <c r="HQ52" s="176"/>
      <c r="HR52" s="176"/>
      <c r="HS52" s="176"/>
      <c r="HT52" s="176"/>
      <c r="HU52" s="176"/>
      <c r="HV52" s="176"/>
      <c r="HW52" s="176"/>
      <c r="HX52" s="176"/>
      <c r="HY52" s="176"/>
      <c r="HZ52" s="176"/>
      <c r="IA52" s="176"/>
      <c r="IB52" s="176"/>
      <c r="IC52" s="176"/>
      <c r="ID52" s="176"/>
      <c r="IE52" s="176"/>
      <c r="IF52" s="176"/>
      <c r="IG52" s="176"/>
      <c r="IH52" s="176"/>
      <c r="II52" s="176"/>
      <c r="IJ52" s="176"/>
    </row>
    <row r="53" spans="1:244" ht="16.5" hidden="1">
      <c r="A53" s="846" t="s">
        <v>1060</v>
      </c>
      <c r="B53" s="846" t="s">
        <v>1382</v>
      </c>
      <c r="C53" s="846" t="s">
        <v>1171</v>
      </c>
      <c r="D53" s="847">
        <v>6</v>
      </c>
      <c r="E53" s="846" t="s">
        <v>1171</v>
      </c>
      <c r="F53" s="846" t="s">
        <v>96</v>
      </c>
      <c r="G53" s="851"/>
      <c r="H53" s="847">
        <v>50</v>
      </c>
      <c r="I53" s="780" t="str">
        <f t="shared" si="0"/>
        <v>IWT060150</v>
      </c>
      <c r="J53" s="847">
        <v>5070</v>
      </c>
      <c r="L53" s="846" t="s">
        <v>1060</v>
      </c>
      <c r="M53" s="846" t="s">
        <v>1382</v>
      </c>
      <c r="N53" s="846" t="s">
        <v>96</v>
      </c>
      <c r="O53" s="847">
        <v>50</v>
      </c>
      <c r="P53" s="780" t="str">
        <f t="shared" si="1"/>
        <v>IWT060150</v>
      </c>
      <c r="Q53" s="847">
        <v>1085</v>
      </c>
      <c r="R53" s="847">
        <v>2932</v>
      </c>
      <c r="S53" s="847">
        <v>4743</v>
      </c>
      <c r="T53" s="847">
        <v>6517</v>
      </c>
      <c r="U53" s="847">
        <v>8256</v>
      </c>
      <c r="V53" s="847">
        <v>0</v>
      </c>
      <c r="W53" s="847">
        <v>0</v>
      </c>
      <c r="X53" s="847">
        <v>0</v>
      </c>
      <c r="Y53" s="847">
        <v>0</v>
      </c>
      <c r="Z53" s="847">
        <v>0</v>
      </c>
      <c r="AA53" s="847">
        <v>0</v>
      </c>
      <c r="AB53" s="847">
        <v>0</v>
      </c>
      <c r="AC53" s="847">
        <v>0</v>
      </c>
      <c r="AD53" s="847">
        <v>0</v>
      </c>
      <c r="AE53" s="847">
        <v>0</v>
      </c>
      <c r="AF53" s="847">
        <v>0</v>
      </c>
      <c r="AG53" s="847">
        <v>0</v>
      </c>
      <c r="AH53" s="847">
        <v>0</v>
      </c>
      <c r="AI53" s="847">
        <v>0</v>
      </c>
      <c r="AJ53" s="847">
        <v>0</v>
      </c>
      <c r="AK53" s="847">
        <v>0</v>
      </c>
      <c r="AL53" s="847">
        <v>0</v>
      </c>
      <c r="AM53" s="847">
        <v>0</v>
      </c>
      <c r="AN53" s="847">
        <v>0</v>
      </c>
      <c r="AO53" s="847">
        <v>0</v>
      </c>
      <c r="AP53" s="847">
        <v>0</v>
      </c>
      <c r="AQ53" s="847">
        <v>0</v>
      </c>
      <c r="AR53" s="847">
        <v>0</v>
      </c>
      <c r="AS53" s="847">
        <v>0</v>
      </c>
      <c r="AT53" s="847">
        <v>0</v>
      </c>
      <c r="AU53" s="847">
        <v>0</v>
      </c>
      <c r="AV53" s="847">
        <v>0</v>
      </c>
      <c r="AW53" s="847">
        <v>0</v>
      </c>
      <c r="AX53" s="847">
        <v>0</v>
      </c>
      <c r="AY53" s="847">
        <v>0</v>
      </c>
      <c r="AZ53" s="847">
        <v>0</v>
      </c>
      <c r="BA53" s="847">
        <v>0</v>
      </c>
      <c r="BB53" s="847">
        <v>0</v>
      </c>
      <c r="BC53" s="847">
        <v>0</v>
      </c>
      <c r="BD53" s="847">
        <v>0</v>
      </c>
      <c r="BE53" s="847">
        <v>0</v>
      </c>
      <c r="BF53" s="847">
        <v>0</v>
      </c>
      <c r="BG53" s="847">
        <v>0</v>
      </c>
      <c r="BH53" s="847">
        <v>0</v>
      </c>
      <c r="BI53" s="847">
        <v>0</v>
      </c>
      <c r="BJ53" s="847">
        <v>0</v>
      </c>
      <c r="BK53" s="847">
        <v>0</v>
      </c>
      <c r="BL53" s="847">
        <v>0</v>
      </c>
      <c r="BM53" s="847">
        <v>0</v>
      </c>
      <c r="BN53" s="847">
        <v>0</v>
      </c>
      <c r="BO53" s="847">
        <v>0</v>
      </c>
      <c r="BP53" s="847">
        <v>0</v>
      </c>
      <c r="BQ53" s="847">
        <v>0</v>
      </c>
      <c r="BR53" s="847">
        <v>0</v>
      </c>
      <c r="BS53" s="847">
        <v>0</v>
      </c>
      <c r="BT53" s="847">
        <v>0</v>
      </c>
      <c r="BU53" s="847">
        <v>0</v>
      </c>
      <c r="BV53" s="847">
        <v>0</v>
      </c>
      <c r="BW53" s="847">
        <v>0</v>
      </c>
      <c r="BX53" s="847">
        <v>0</v>
      </c>
      <c r="BY53" s="847">
        <v>0</v>
      </c>
      <c r="BZ53" s="847">
        <v>0</v>
      </c>
      <c r="CA53" s="847">
        <v>0</v>
      </c>
      <c r="CB53" s="847">
        <v>0</v>
      </c>
      <c r="CC53" s="847">
        <v>0</v>
      </c>
      <c r="CD53" s="847">
        <v>0</v>
      </c>
      <c r="CE53" s="847">
        <v>0</v>
      </c>
      <c r="CF53" s="847">
        <v>0</v>
      </c>
      <c r="CG53" s="847">
        <v>0</v>
      </c>
      <c r="CH53" s="847">
        <v>0</v>
      </c>
      <c r="CI53" s="847">
        <v>0</v>
      </c>
      <c r="CJ53" s="847">
        <v>0</v>
      </c>
      <c r="CK53" s="847">
        <v>0</v>
      </c>
      <c r="CL53" s="847">
        <v>0</v>
      </c>
      <c r="CM53" s="847">
        <v>0</v>
      </c>
      <c r="CN53" s="847">
        <v>0</v>
      </c>
      <c r="CO53" s="847">
        <v>0</v>
      </c>
      <c r="CP53" s="847">
        <v>0</v>
      </c>
      <c r="CQ53" s="847">
        <v>0</v>
      </c>
      <c r="CR53" s="847">
        <v>0</v>
      </c>
      <c r="CS53" s="847">
        <v>0</v>
      </c>
      <c r="CT53" s="847">
        <v>0</v>
      </c>
      <c r="CU53" s="847">
        <v>0</v>
      </c>
      <c r="CV53" s="847">
        <v>0</v>
      </c>
      <c r="CW53" s="847">
        <v>0</v>
      </c>
      <c r="CX53" s="847">
        <v>0</v>
      </c>
      <c r="CY53" s="847">
        <v>0</v>
      </c>
      <c r="CZ53" s="847">
        <v>0</v>
      </c>
      <c r="DA53" s="847">
        <v>0</v>
      </c>
      <c r="DB53" s="847">
        <v>0</v>
      </c>
      <c r="DC53" s="847">
        <v>0</v>
      </c>
      <c r="DD53" s="847">
        <v>0</v>
      </c>
      <c r="DE53" s="847">
        <v>0</v>
      </c>
      <c r="DF53" s="847">
        <v>0</v>
      </c>
      <c r="DG53" s="847">
        <v>0</v>
      </c>
      <c r="DH53" s="847">
        <v>0</v>
      </c>
      <c r="DI53" s="847">
        <v>0</v>
      </c>
      <c r="DJ53" s="847">
        <v>0</v>
      </c>
      <c r="DK53" s="847">
        <v>0</v>
      </c>
      <c r="DL53" s="847">
        <v>0</v>
      </c>
      <c r="DM53" s="847">
        <v>0</v>
      </c>
      <c r="DN53" s="847">
        <v>0</v>
      </c>
      <c r="DO53" s="847">
        <v>0</v>
      </c>
      <c r="DP53" s="847">
        <v>0</v>
      </c>
      <c r="DQ53" s="847">
        <v>0</v>
      </c>
      <c r="DR53" s="847">
        <v>0</v>
      </c>
      <c r="DS53" s="847">
        <v>0</v>
      </c>
      <c r="DT53" s="847">
        <v>0</v>
      </c>
      <c r="DU53" s="847">
        <v>0</v>
      </c>
      <c r="DV53" s="847">
        <v>0</v>
      </c>
      <c r="DW53" s="847">
        <v>0</v>
      </c>
      <c r="DY53" s="173"/>
      <c r="DZ53" s="173"/>
      <c r="EA53" s="173"/>
      <c r="EB53" s="174"/>
      <c r="EC53" s="175"/>
      <c r="ED53" s="174"/>
      <c r="EE53" s="174"/>
      <c r="EF53" s="174"/>
      <c r="EG53" s="174"/>
      <c r="EH53" s="174"/>
      <c r="EI53" s="174"/>
      <c r="EJ53" s="174"/>
      <c r="EK53" s="174"/>
      <c r="EL53" s="174"/>
      <c r="EM53" s="174"/>
      <c r="EN53" s="174"/>
      <c r="EO53" s="174"/>
      <c r="EP53" s="174"/>
      <c r="EQ53" s="174"/>
      <c r="ER53" s="174"/>
      <c r="ES53" s="174"/>
      <c r="ET53" s="174"/>
      <c r="EU53" s="174"/>
      <c r="EV53" s="174"/>
      <c r="EW53" s="174"/>
      <c r="EX53" s="174"/>
      <c r="EY53" s="174"/>
      <c r="EZ53" s="174"/>
      <c r="FA53" s="174"/>
      <c r="FB53" s="174"/>
      <c r="FC53" s="174"/>
      <c r="FD53" s="174"/>
      <c r="FE53" s="174"/>
      <c r="FF53" s="174"/>
      <c r="FG53" s="174"/>
      <c r="FH53" s="174"/>
      <c r="FI53" s="174"/>
      <c r="FJ53" s="174"/>
      <c r="FK53" s="174"/>
      <c r="FL53" s="174"/>
      <c r="FM53" s="174"/>
      <c r="FN53" s="174"/>
      <c r="FO53" s="174"/>
      <c r="FP53" s="174"/>
      <c r="FQ53" s="174"/>
      <c r="FR53" s="174"/>
      <c r="FS53" s="174"/>
      <c r="FT53" s="174"/>
      <c r="FU53" s="174"/>
      <c r="FV53" s="174"/>
      <c r="FW53" s="174"/>
      <c r="FX53" s="174"/>
      <c r="FY53" s="174"/>
      <c r="FZ53" s="174"/>
      <c r="GA53" s="174"/>
      <c r="GB53" s="174"/>
      <c r="GC53" s="174"/>
      <c r="GD53" s="174"/>
      <c r="GE53" s="174"/>
      <c r="GF53" s="174"/>
      <c r="GG53" s="174"/>
      <c r="GH53" s="174"/>
      <c r="GI53" s="174"/>
      <c r="GJ53" s="174"/>
      <c r="GK53" s="174"/>
      <c r="GL53" s="174"/>
      <c r="GM53" s="176"/>
      <c r="GN53" s="176"/>
      <c r="GO53" s="176"/>
      <c r="GP53" s="176"/>
      <c r="GQ53" s="176"/>
      <c r="GR53" s="176"/>
      <c r="GS53" s="176"/>
      <c r="GT53" s="176"/>
      <c r="GU53" s="176"/>
      <c r="GV53" s="176"/>
      <c r="GW53" s="176"/>
      <c r="GX53" s="176"/>
      <c r="GY53" s="176"/>
      <c r="GZ53" s="176"/>
      <c r="HA53" s="176"/>
      <c r="HB53" s="176"/>
      <c r="HC53" s="176"/>
      <c r="HD53" s="176"/>
      <c r="HE53" s="176"/>
      <c r="HF53" s="176"/>
      <c r="HG53" s="176"/>
      <c r="HH53" s="176"/>
      <c r="HI53" s="176"/>
      <c r="HJ53" s="176"/>
      <c r="HK53" s="176"/>
      <c r="HL53" s="176"/>
      <c r="HM53" s="176"/>
      <c r="HN53" s="176"/>
      <c r="HO53" s="176"/>
      <c r="HP53" s="176"/>
      <c r="HQ53" s="176"/>
      <c r="HR53" s="176"/>
      <c r="HS53" s="176"/>
      <c r="HT53" s="176"/>
      <c r="HU53" s="176"/>
      <c r="HV53" s="176"/>
      <c r="HW53" s="176"/>
      <c r="HX53" s="176"/>
      <c r="HY53" s="176"/>
      <c r="HZ53" s="176"/>
      <c r="IA53" s="176"/>
      <c r="IB53" s="176"/>
      <c r="IC53" s="176"/>
      <c r="ID53" s="176"/>
      <c r="IE53" s="176"/>
      <c r="IF53" s="176"/>
      <c r="IG53" s="176"/>
      <c r="IH53" s="176"/>
      <c r="II53" s="176"/>
      <c r="IJ53" s="176"/>
    </row>
    <row r="54" spans="1:244" ht="16.5" hidden="1">
      <c r="A54" s="846" t="s">
        <v>1060</v>
      </c>
      <c r="B54" s="846" t="s">
        <v>1382</v>
      </c>
      <c r="C54" s="846" t="s">
        <v>1171</v>
      </c>
      <c r="D54" s="847">
        <v>6</v>
      </c>
      <c r="E54" s="846" t="s">
        <v>1171</v>
      </c>
      <c r="F54" s="846" t="s">
        <v>96</v>
      </c>
      <c r="G54" s="851"/>
      <c r="H54" s="847">
        <v>51</v>
      </c>
      <c r="I54" s="780" t="str">
        <f t="shared" si="0"/>
        <v>IWT060151</v>
      </c>
      <c r="J54" s="847">
        <v>5073</v>
      </c>
      <c r="L54" s="846" t="s">
        <v>1060</v>
      </c>
      <c r="M54" s="846" t="s">
        <v>1382</v>
      </c>
      <c r="N54" s="846" t="s">
        <v>96</v>
      </c>
      <c r="O54" s="847">
        <v>51</v>
      </c>
      <c r="P54" s="780" t="str">
        <f t="shared" si="1"/>
        <v>IWT060151</v>
      </c>
      <c r="Q54" s="847">
        <v>1083</v>
      </c>
      <c r="R54" s="847">
        <v>2930</v>
      </c>
      <c r="S54" s="847">
        <v>4741</v>
      </c>
      <c r="T54" s="847">
        <v>6516</v>
      </c>
      <c r="U54" s="847">
        <v>8255</v>
      </c>
      <c r="V54" s="847">
        <v>0</v>
      </c>
      <c r="W54" s="847">
        <v>0</v>
      </c>
      <c r="X54" s="847">
        <v>0</v>
      </c>
      <c r="Y54" s="847">
        <v>0</v>
      </c>
      <c r="Z54" s="847">
        <v>0</v>
      </c>
      <c r="AA54" s="847">
        <v>0</v>
      </c>
      <c r="AB54" s="847">
        <v>0</v>
      </c>
      <c r="AC54" s="847">
        <v>0</v>
      </c>
      <c r="AD54" s="847">
        <v>0</v>
      </c>
      <c r="AE54" s="847">
        <v>0</v>
      </c>
      <c r="AF54" s="847">
        <v>0</v>
      </c>
      <c r="AG54" s="847">
        <v>0</v>
      </c>
      <c r="AH54" s="847">
        <v>0</v>
      </c>
      <c r="AI54" s="847">
        <v>0</v>
      </c>
      <c r="AJ54" s="847">
        <v>0</v>
      </c>
      <c r="AK54" s="847">
        <v>0</v>
      </c>
      <c r="AL54" s="847">
        <v>0</v>
      </c>
      <c r="AM54" s="847">
        <v>0</v>
      </c>
      <c r="AN54" s="847">
        <v>0</v>
      </c>
      <c r="AO54" s="847">
        <v>0</v>
      </c>
      <c r="AP54" s="847">
        <v>0</v>
      </c>
      <c r="AQ54" s="847">
        <v>0</v>
      </c>
      <c r="AR54" s="847">
        <v>0</v>
      </c>
      <c r="AS54" s="847">
        <v>0</v>
      </c>
      <c r="AT54" s="847">
        <v>0</v>
      </c>
      <c r="AU54" s="847">
        <v>0</v>
      </c>
      <c r="AV54" s="847">
        <v>0</v>
      </c>
      <c r="AW54" s="847">
        <v>0</v>
      </c>
      <c r="AX54" s="847">
        <v>0</v>
      </c>
      <c r="AY54" s="847">
        <v>0</v>
      </c>
      <c r="AZ54" s="847">
        <v>0</v>
      </c>
      <c r="BA54" s="847">
        <v>0</v>
      </c>
      <c r="BB54" s="847">
        <v>0</v>
      </c>
      <c r="BC54" s="847">
        <v>0</v>
      </c>
      <c r="BD54" s="847">
        <v>0</v>
      </c>
      <c r="BE54" s="847">
        <v>0</v>
      </c>
      <c r="BF54" s="847">
        <v>0</v>
      </c>
      <c r="BG54" s="847">
        <v>0</v>
      </c>
      <c r="BH54" s="847">
        <v>0</v>
      </c>
      <c r="BI54" s="847">
        <v>0</v>
      </c>
      <c r="BJ54" s="847">
        <v>0</v>
      </c>
      <c r="BK54" s="847">
        <v>0</v>
      </c>
      <c r="BL54" s="847">
        <v>0</v>
      </c>
      <c r="BM54" s="847">
        <v>0</v>
      </c>
      <c r="BN54" s="847">
        <v>0</v>
      </c>
      <c r="BO54" s="847">
        <v>0</v>
      </c>
      <c r="BP54" s="847">
        <v>0</v>
      </c>
      <c r="BQ54" s="847">
        <v>0</v>
      </c>
      <c r="BR54" s="847">
        <v>0</v>
      </c>
      <c r="BS54" s="847">
        <v>0</v>
      </c>
      <c r="BT54" s="847">
        <v>0</v>
      </c>
      <c r="BU54" s="847">
        <v>0</v>
      </c>
      <c r="BV54" s="847">
        <v>0</v>
      </c>
      <c r="BW54" s="847">
        <v>0</v>
      </c>
      <c r="BX54" s="847">
        <v>0</v>
      </c>
      <c r="BY54" s="847">
        <v>0</v>
      </c>
      <c r="BZ54" s="847">
        <v>0</v>
      </c>
      <c r="CA54" s="847">
        <v>0</v>
      </c>
      <c r="CB54" s="847">
        <v>0</v>
      </c>
      <c r="CC54" s="847">
        <v>0</v>
      </c>
      <c r="CD54" s="847">
        <v>0</v>
      </c>
      <c r="CE54" s="847">
        <v>0</v>
      </c>
      <c r="CF54" s="847">
        <v>0</v>
      </c>
      <c r="CG54" s="847">
        <v>0</v>
      </c>
      <c r="CH54" s="847">
        <v>0</v>
      </c>
      <c r="CI54" s="847">
        <v>0</v>
      </c>
      <c r="CJ54" s="847">
        <v>0</v>
      </c>
      <c r="CK54" s="847">
        <v>0</v>
      </c>
      <c r="CL54" s="847">
        <v>0</v>
      </c>
      <c r="CM54" s="847">
        <v>0</v>
      </c>
      <c r="CN54" s="847">
        <v>0</v>
      </c>
      <c r="CO54" s="847">
        <v>0</v>
      </c>
      <c r="CP54" s="847">
        <v>0</v>
      </c>
      <c r="CQ54" s="847">
        <v>0</v>
      </c>
      <c r="CR54" s="847">
        <v>0</v>
      </c>
      <c r="CS54" s="847">
        <v>0</v>
      </c>
      <c r="CT54" s="847">
        <v>0</v>
      </c>
      <c r="CU54" s="847">
        <v>0</v>
      </c>
      <c r="CV54" s="847">
        <v>0</v>
      </c>
      <c r="CW54" s="847">
        <v>0</v>
      </c>
      <c r="CX54" s="847">
        <v>0</v>
      </c>
      <c r="CY54" s="847">
        <v>0</v>
      </c>
      <c r="CZ54" s="847">
        <v>0</v>
      </c>
      <c r="DA54" s="847">
        <v>0</v>
      </c>
      <c r="DB54" s="847">
        <v>0</v>
      </c>
      <c r="DC54" s="847">
        <v>0</v>
      </c>
      <c r="DD54" s="847">
        <v>0</v>
      </c>
      <c r="DE54" s="847">
        <v>0</v>
      </c>
      <c r="DF54" s="847">
        <v>0</v>
      </c>
      <c r="DG54" s="847">
        <v>0</v>
      </c>
      <c r="DH54" s="847">
        <v>0</v>
      </c>
      <c r="DI54" s="847">
        <v>0</v>
      </c>
      <c r="DJ54" s="847">
        <v>0</v>
      </c>
      <c r="DK54" s="847">
        <v>0</v>
      </c>
      <c r="DL54" s="847">
        <v>0</v>
      </c>
      <c r="DM54" s="847">
        <v>0</v>
      </c>
      <c r="DN54" s="847">
        <v>0</v>
      </c>
      <c r="DO54" s="847">
        <v>0</v>
      </c>
      <c r="DP54" s="847">
        <v>0</v>
      </c>
      <c r="DQ54" s="847">
        <v>0</v>
      </c>
      <c r="DR54" s="847">
        <v>0</v>
      </c>
      <c r="DS54" s="847">
        <v>0</v>
      </c>
      <c r="DT54" s="847">
        <v>0</v>
      </c>
      <c r="DU54" s="847">
        <v>0</v>
      </c>
      <c r="DV54" s="847">
        <v>0</v>
      </c>
      <c r="DW54" s="847">
        <v>0</v>
      </c>
      <c r="DY54" s="173"/>
      <c r="DZ54" s="173"/>
      <c r="EA54" s="173"/>
      <c r="EB54" s="174"/>
      <c r="EC54" s="175"/>
      <c r="ED54" s="174"/>
      <c r="EE54" s="174"/>
      <c r="EF54" s="174"/>
      <c r="EG54" s="174"/>
      <c r="EH54" s="174"/>
      <c r="EI54" s="174"/>
      <c r="EJ54" s="174"/>
      <c r="EK54" s="174"/>
      <c r="EL54" s="174"/>
      <c r="EM54" s="174"/>
      <c r="EN54" s="174"/>
      <c r="EO54" s="174"/>
      <c r="EP54" s="174"/>
      <c r="EQ54" s="174"/>
      <c r="ER54" s="174"/>
      <c r="ES54" s="174"/>
      <c r="ET54" s="174"/>
      <c r="EU54" s="174"/>
      <c r="EV54" s="174"/>
      <c r="EW54" s="174"/>
      <c r="EX54" s="174"/>
      <c r="EY54" s="174"/>
      <c r="EZ54" s="174"/>
      <c r="FA54" s="174"/>
      <c r="FB54" s="174"/>
      <c r="FC54" s="174"/>
      <c r="FD54" s="174"/>
      <c r="FE54" s="174"/>
      <c r="FF54" s="174"/>
      <c r="FG54" s="174"/>
      <c r="FH54" s="174"/>
      <c r="FI54" s="174"/>
      <c r="FJ54" s="174"/>
      <c r="FK54" s="174"/>
      <c r="FL54" s="174"/>
      <c r="FM54" s="174"/>
      <c r="FN54" s="174"/>
      <c r="FO54" s="174"/>
      <c r="FP54" s="174"/>
      <c r="FQ54" s="174"/>
      <c r="FR54" s="174"/>
      <c r="FS54" s="174"/>
      <c r="FT54" s="174"/>
      <c r="FU54" s="174"/>
      <c r="FV54" s="174"/>
      <c r="FW54" s="174"/>
      <c r="FX54" s="174"/>
      <c r="FY54" s="174"/>
      <c r="FZ54" s="174"/>
      <c r="GA54" s="174"/>
      <c r="GB54" s="174"/>
      <c r="GC54" s="174"/>
      <c r="GD54" s="174"/>
      <c r="GE54" s="174"/>
      <c r="GF54" s="174"/>
      <c r="GG54" s="174"/>
      <c r="GH54" s="174"/>
      <c r="GI54" s="174"/>
      <c r="GJ54" s="174"/>
      <c r="GK54" s="174"/>
      <c r="GL54" s="176"/>
      <c r="GM54" s="176"/>
      <c r="GN54" s="176"/>
      <c r="GO54" s="176"/>
      <c r="GP54" s="176"/>
      <c r="GQ54" s="176"/>
      <c r="GR54" s="176"/>
      <c r="GS54" s="176"/>
      <c r="GT54" s="176"/>
      <c r="GU54" s="176"/>
      <c r="GV54" s="176"/>
      <c r="GW54" s="176"/>
      <c r="GX54" s="176"/>
      <c r="GY54" s="176"/>
      <c r="GZ54" s="176"/>
      <c r="HA54" s="176"/>
      <c r="HB54" s="176"/>
      <c r="HC54" s="176"/>
      <c r="HD54" s="176"/>
      <c r="HE54" s="176"/>
      <c r="HF54" s="176"/>
      <c r="HG54" s="176"/>
      <c r="HH54" s="176"/>
      <c r="HI54" s="176"/>
      <c r="HJ54" s="176"/>
      <c r="HK54" s="176"/>
      <c r="HL54" s="176"/>
      <c r="HM54" s="176"/>
      <c r="HN54" s="176"/>
      <c r="HO54" s="176"/>
      <c r="HP54" s="176"/>
      <c r="HQ54" s="176"/>
      <c r="HR54" s="176"/>
      <c r="HS54" s="176"/>
      <c r="HT54" s="176"/>
      <c r="HU54" s="176"/>
      <c r="HV54" s="176"/>
      <c r="HW54" s="176"/>
      <c r="HX54" s="176"/>
      <c r="HY54" s="176"/>
      <c r="HZ54" s="176"/>
      <c r="IA54" s="176"/>
      <c r="IB54" s="176"/>
      <c r="IC54" s="176"/>
      <c r="ID54" s="176"/>
      <c r="IE54" s="176"/>
      <c r="IF54" s="176"/>
      <c r="IG54" s="176"/>
      <c r="IH54" s="176"/>
      <c r="II54" s="176"/>
      <c r="IJ54" s="176"/>
    </row>
    <row r="55" spans="1:244" ht="16.5" hidden="1">
      <c r="A55" s="846" t="s">
        <v>1060</v>
      </c>
      <c r="B55" s="846" t="s">
        <v>1382</v>
      </c>
      <c r="C55" s="846" t="s">
        <v>1171</v>
      </c>
      <c r="D55" s="847">
        <v>6</v>
      </c>
      <c r="E55" s="846" t="s">
        <v>1171</v>
      </c>
      <c r="F55" s="846" t="s">
        <v>96</v>
      </c>
      <c r="G55" s="851"/>
      <c r="H55" s="847">
        <v>52</v>
      </c>
      <c r="I55" s="780" t="str">
        <f t="shared" si="0"/>
        <v>IWT060152</v>
      </c>
      <c r="J55" s="847">
        <v>5075</v>
      </c>
      <c r="L55" s="846" t="s">
        <v>1060</v>
      </c>
      <c r="M55" s="846" t="s">
        <v>1382</v>
      </c>
      <c r="N55" s="846" t="s">
        <v>96</v>
      </c>
      <c r="O55" s="847">
        <v>52</v>
      </c>
      <c r="P55" s="780" t="str">
        <f t="shared" si="1"/>
        <v>IWT060152</v>
      </c>
      <c r="Q55" s="847">
        <v>1080</v>
      </c>
      <c r="R55" s="847">
        <v>2928</v>
      </c>
      <c r="S55" s="847">
        <v>4739</v>
      </c>
      <c r="T55" s="847">
        <v>6514</v>
      </c>
      <c r="U55" s="847">
        <v>8254</v>
      </c>
      <c r="V55" s="847">
        <v>0</v>
      </c>
      <c r="W55" s="847">
        <v>0</v>
      </c>
      <c r="X55" s="847">
        <v>0</v>
      </c>
      <c r="Y55" s="847">
        <v>0</v>
      </c>
      <c r="Z55" s="847">
        <v>0</v>
      </c>
      <c r="AA55" s="847">
        <v>0</v>
      </c>
      <c r="AB55" s="847">
        <v>0</v>
      </c>
      <c r="AC55" s="847">
        <v>0</v>
      </c>
      <c r="AD55" s="847">
        <v>0</v>
      </c>
      <c r="AE55" s="847">
        <v>0</v>
      </c>
      <c r="AF55" s="847">
        <v>0</v>
      </c>
      <c r="AG55" s="847">
        <v>0</v>
      </c>
      <c r="AH55" s="847">
        <v>0</v>
      </c>
      <c r="AI55" s="847">
        <v>0</v>
      </c>
      <c r="AJ55" s="847">
        <v>0</v>
      </c>
      <c r="AK55" s="847">
        <v>0</v>
      </c>
      <c r="AL55" s="847">
        <v>0</v>
      </c>
      <c r="AM55" s="847">
        <v>0</v>
      </c>
      <c r="AN55" s="847">
        <v>0</v>
      </c>
      <c r="AO55" s="847">
        <v>0</v>
      </c>
      <c r="AP55" s="847">
        <v>0</v>
      </c>
      <c r="AQ55" s="847">
        <v>0</v>
      </c>
      <c r="AR55" s="847">
        <v>0</v>
      </c>
      <c r="AS55" s="847">
        <v>0</v>
      </c>
      <c r="AT55" s="847">
        <v>0</v>
      </c>
      <c r="AU55" s="847">
        <v>0</v>
      </c>
      <c r="AV55" s="847">
        <v>0</v>
      </c>
      <c r="AW55" s="847">
        <v>0</v>
      </c>
      <c r="AX55" s="847">
        <v>0</v>
      </c>
      <c r="AY55" s="847">
        <v>0</v>
      </c>
      <c r="AZ55" s="847">
        <v>0</v>
      </c>
      <c r="BA55" s="847">
        <v>0</v>
      </c>
      <c r="BB55" s="847">
        <v>0</v>
      </c>
      <c r="BC55" s="847">
        <v>0</v>
      </c>
      <c r="BD55" s="847">
        <v>0</v>
      </c>
      <c r="BE55" s="847">
        <v>0</v>
      </c>
      <c r="BF55" s="847">
        <v>0</v>
      </c>
      <c r="BG55" s="847">
        <v>0</v>
      </c>
      <c r="BH55" s="847">
        <v>0</v>
      </c>
      <c r="BI55" s="847">
        <v>0</v>
      </c>
      <c r="BJ55" s="847">
        <v>0</v>
      </c>
      <c r="BK55" s="847">
        <v>0</v>
      </c>
      <c r="BL55" s="847">
        <v>0</v>
      </c>
      <c r="BM55" s="847">
        <v>0</v>
      </c>
      <c r="BN55" s="847">
        <v>0</v>
      </c>
      <c r="BO55" s="847">
        <v>0</v>
      </c>
      <c r="BP55" s="847">
        <v>0</v>
      </c>
      <c r="BQ55" s="847">
        <v>0</v>
      </c>
      <c r="BR55" s="847">
        <v>0</v>
      </c>
      <c r="BS55" s="847">
        <v>0</v>
      </c>
      <c r="BT55" s="847">
        <v>0</v>
      </c>
      <c r="BU55" s="847">
        <v>0</v>
      </c>
      <c r="BV55" s="847">
        <v>0</v>
      </c>
      <c r="BW55" s="847">
        <v>0</v>
      </c>
      <c r="BX55" s="847">
        <v>0</v>
      </c>
      <c r="BY55" s="847">
        <v>0</v>
      </c>
      <c r="BZ55" s="847">
        <v>0</v>
      </c>
      <c r="CA55" s="847">
        <v>0</v>
      </c>
      <c r="CB55" s="847">
        <v>0</v>
      </c>
      <c r="CC55" s="847">
        <v>0</v>
      </c>
      <c r="CD55" s="847">
        <v>0</v>
      </c>
      <c r="CE55" s="847">
        <v>0</v>
      </c>
      <c r="CF55" s="847">
        <v>0</v>
      </c>
      <c r="CG55" s="847">
        <v>0</v>
      </c>
      <c r="CH55" s="847">
        <v>0</v>
      </c>
      <c r="CI55" s="847">
        <v>0</v>
      </c>
      <c r="CJ55" s="847">
        <v>0</v>
      </c>
      <c r="CK55" s="847">
        <v>0</v>
      </c>
      <c r="CL55" s="847">
        <v>0</v>
      </c>
      <c r="CM55" s="847">
        <v>0</v>
      </c>
      <c r="CN55" s="847">
        <v>0</v>
      </c>
      <c r="CO55" s="847">
        <v>0</v>
      </c>
      <c r="CP55" s="847">
        <v>0</v>
      </c>
      <c r="CQ55" s="847">
        <v>0</v>
      </c>
      <c r="CR55" s="847">
        <v>0</v>
      </c>
      <c r="CS55" s="847">
        <v>0</v>
      </c>
      <c r="CT55" s="847">
        <v>0</v>
      </c>
      <c r="CU55" s="847">
        <v>0</v>
      </c>
      <c r="CV55" s="847">
        <v>0</v>
      </c>
      <c r="CW55" s="847">
        <v>0</v>
      </c>
      <c r="CX55" s="847">
        <v>0</v>
      </c>
      <c r="CY55" s="847">
        <v>0</v>
      </c>
      <c r="CZ55" s="847">
        <v>0</v>
      </c>
      <c r="DA55" s="847">
        <v>0</v>
      </c>
      <c r="DB55" s="847">
        <v>0</v>
      </c>
      <c r="DC55" s="847">
        <v>0</v>
      </c>
      <c r="DD55" s="847">
        <v>0</v>
      </c>
      <c r="DE55" s="847">
        <v>0</v>
      </c>
      <c r="DF55" s="847">
        <v>0</v>
      </c>
      <c r="DG55" s="847">
        <v>0</v>
      </c>
      <c r="DH55" s="847">
        <v>0</v>
      </c>
      <c r="DI55" s="847">
        <v>0</v>
      </c>
      <c r="DJ55" s="847">
        <v>0</v>
      </c>
      <c r="DK55" s="847">
        <v>0</v>
      </c>
      <c r="DL55" s="847">
        <v>0</v>
      </c>
      <c r="DM55" s="847">
        <v>0</v>
      </c>
      <c r="DN55" s="847">
        <v>0</v>
      </c>
      <c r="DO55" s="847">
        <v>0</v>
      </c>
      <c r="DP55" s="847">
        <v>0</v>
      </c>
      <c r="DQ55" s="847">
        <v>0</v>
      </c>
      <c r="DR55" s="847">
        <v>0</v>
      </c>
      <c r="DS55" s="847">
        <v>0</v>
      </c>
      <c r="DT55" s="847">
        <v>0</v>
      </c>
      <c r="DU55" s="847">
        <v>0</v>
      </c>
      <c r="DV55" s="847">
        <v>0</v>
      </c>
      <c r="DW55" s="847">
        <v>0</v>
      </c>
      <c r="DY55" s="173"/>
      <c r="DZ55" s="173"/>
      <c r="EA55" s="173"/>
      <c r="EB55" s="174"/>
      <c r="EC55" s="175"/>
      <c r="ED55" s="174"/>
      <c r="EE55" s="174"/>
      <c r="EF55" s="174"/>
      <c r="EG55" s="174"/>
      <c r="EH55" s="174"/>
      <c r="EI55" s="174"/>
      <c r="EJ55" s="174"/>
      <c r="EK55" s="174"/>
      <c r="EL55" s="174"/>
      <c r="EM55" s="174"/>
      <c r="EN55" s="174"/>
      <c r="EO55" s="174"/>
      <c r="EP55" s="174"/>
      <c r="EQ55" s="174"/>
      <c r="ER55" s="174"/>
      <c r="ES55" s="174"/>
      <c r="ET55" s="174"/>
      <c r="EU55" s="174"/>
      <c r="EV55" s="174"/>
      <c r="EW55" s="174"/>
      <c r="EX55" s="174"/>
      <c r="EY55" s="174"/>
      <c r="EZ55" s="174"/>
      <c r="FA55" s="174"/>
      <c r="FB55" s="174"/>
      <c r="FC55" s="174"/>
      <c r="FD55" s="174"/>
      <c r="FE55" s="174"/>
      <c r="FF55" s="174"/>
      <c r="FG55" s="174"/>
      <c r="FH55" s="174"/>
      <c r="FI55" s="174"/>
      <c r="FJ55" s="174"/>
      <c r="FK55" s="174"/>
      <c r="FL55" s="174"/>
      <c r="FM55" s="174"/>
      <c r="FN55" s="174"/>
      <c r="FO55" s="174"/>
      <c r="FP55" s="174"/>
      <c r="FQ55" s="174"/>
      <c r="FR55" s="174"/>
      <c r="FS55" s="174"/>
      <c r="FT55" s="174"/>
      <c r="FU55" s="174"/>
      <c r="FV55" s="174"/>
      <c r="FW55" s="174"/>
      <c r="FX55" s="174"/>
      <c r="FY55" s="174"/>
      <c r="FZ55" s="174"/>
      <c r="GA55" s="174"/>
      <c r="GB55" s="174"/>
      <c r="GC55" s="174"/>
      <c r="GD55" s="174"/>
      <c r="GE55" s="174"/>
      <c r="GF55" s="174"/>
      <c r="GG55" s="174"/>
      <c r="GH55" s="174"/>
      <c r="GI55" s="174"/>
      <c r="GJ55" s="174"/>
      <c r="GK55" s="176"/>
      <c r="GL55" s="176"/>
      <c r="GM55" s="176"/>
      <c r="GN55" s="176"/>
      <c r="GO55" s="176"/>
      <c r="GP55" s="176"/>
      <c r="GQ55" s="176"/>
      <c r="GR55" s="176"/>
      <c r="GS55" s="176"/>
      <c r="GT55" s="176"/>
      <c r="GU55" s="176"/>
      <c r="GV55" s="176"/>
      <c r="GW55" s="176"/>
      <c r="GX55" s="176"/>
      <c r="GY55" s="176"/>
      <c r="GZ55" s="176"/>
      <c r="HA55" s="176"/>
      <c r="HB55" s="176"/>
      <c r="HC55" s="176"/>
      <c r="HD55" s="176"/>
      <c r="HE55" s="176"/>
      <c r="HF55" s="176"/>
      <c r="HG55" s="176"/>
      <c r="HH55" s="176"/>
      <c r="HI55" s="176"/>
      <c r="HJ55" s="176"/>
      <c r="HK55" s="176"/>
      <c r="HL55" s="176"/>
      <c r="HM55" s="176"/>
      <c r="HN55" s="176"/>
      <c r="HO55" s="176"/>
      <c r="HP55" s="176"/>
      <c r="HQ55" s="176"/>
      <c r="HR55" s="176"/>
      <c r="HS55" s="176"/>
      <c r="HT55" s="176"/>
      <c r="HU55" s="176"/>
      <c r="HV55" s="176"/>
      <c r="HW55" s="176"/>
      <c r="HX55" s="176"/>
      <c r="HY55" s="176"/>
      <c r="HZ55" s="176"/>
      <c r="IA55" s="176"/>
      <c r="IB55" s="176"/>
      <c r="IC55" s="176"/>
      <c r="ID55" s="176"/>
      <c r="IE55" s="176"/>
      <c r="IF55" s="176"/>
      <c r="IG55" s="176"/>
      <c r="IH55" s="176"/>
      <c r="II55" s="176"/>
      <c r="IJ55" s="176"/>
    </row>
    <row r="56" spans="1:244" ht="16.5" hidden="1">
      <c r="A56" s="846" t="s">
        <v>1060</v>
      </c>
      <c r="B56" s="846" t="s">
        <v>1382</v>
      </c>
      <c r="C56" s="846" t="s">
        <v>1171</v>
      </c>
      <c r="D56" s="847">
        <v>6</v>
      </c>
      <c r="E56" s="846" t="s">
        <v>1171</v>
      </c>
      <c r="F56" s="846" t="s">
        <v>96</v>
      </c>
      <c r="G56" s="851"/>
      <c r="H56" s="847">
        <v>53</v>
      </c>
      <c r="I56" s="780" t="str">
        <f t="shared" si="0"/>
        <v>IWT060153</v>
      </c>
      <c r="J56" s="847">
        <v>5077</v>
      </c>
      <c r="L56" s="846" t="s">
        <v>1060</v>
      </c>
      <c r="M56" s="846" t="s">
        <v>1382</v>
      </c>
      <c r="N56" s="846" t="s">
        <v>96</v>
      </c>
      <c r="O56" s="847">
        <v>53</v>
      </c>
      <c r="P56" s="780" t="str">
        <f t="shared" si="1"/>
        <v>IWT060153</v>
      </c>
      <c r="Q56" s="847">
        <v>1077</v>
      </c>
      <c r="R56" s="847">
        <v>2926</v>
      </c>
      <c r="S56" s="847">
        <v>4737</v>
      </c>
      <c r="T56" s="847">
        <v>6513</v>
      </c>
      <c r="U56" s="847">
        <v>8253</v>
      </c>
      <c r="V56" s="847">
        <v>0</v>
      </c>
      <c r="W56" s="847">
        <v>0</v>
      </c>
      <c r="X56" s="847">
        <v>0</v>
      </c>
      <c r="Y56" s="847">
        <v>0</v>
      </c>
      <c r="Z56" s="847">
        <v>0</v>
      </c>
      <c r="AA56" s="847">
        <v>0</v>
      </c>
      <c r="AB56" s="847">
        <v>0</v>
      </c>
      <c r="AC56" s="847">
        <v>0</v>
      </c>
      <c r="AD56" s="847">
        <v>0</v>
      </c>
      <c r="AE56" s="847">
        <v>0</v>
      </c>
      <c r="AF56" s="847">
        <v>0</v>
      </c>
      <c r="AG56" s="847">
        <v>0</v>
      </c>
      <c r="AH56" s="847">
        <v>0</v>
      </c>
      <c r="AI56" s="847">
        <v>0</v>
      </c>
      <c r="AJ56" s="847">
        <v>0</v>
      </c>
      <c r="AK56" s="847">
        <v>0</v>
      </c>
      <c r="AL56" s="847">
        <v>0</v>
      </c>
      <c r="AM56" s="847">
        <v>0</v>
      </c>
      <c r="AN56" s="847">
        <v>0</v>
      </c>
      <c r="AO56" s="847">
        <v>0</v>
      </c>
      <c r="AP56" s="847">
        <v>0</v>
      </c>
      <c r="AQ56" s="847">
        <v>0</v>
      </c>
      <c r="AR56" s="847">
        <v>0</v>
      </c>
      <c r="AS56" s="847">
        <v>0</v>
      </c>
      <c r="AT56" s="847">
        <v>0</v>
      </c>
      <c r="AU56" s="847">
        <v>0</v>
      </c>
      <c r="AV56" s="847">
        <v>0</v>
      </c>
      <c r="AW56" s="847">
        <v>0</v>
      </c>
      <c r="AX56" s="847">
        <v>0</v>
      </c>
      <c r="AY56" s="847">
        <v>0</v>
      </c>
      <c r="AZ56" s="847">
        <v>0</v>
      </c>
      <c r="BA56" s="847">
        <v>0</v>
      </c>
      <c r="BB56" s="847">
        <v>0</v>
      </c>
      <c r="BC56" s="847">
        <v>0</v>
      </c>
      <c r="BD56" s="847">
        <v>0</v>
      </c>
      <c r="BE56" s="847">
        <v>0</v>
      </c>
      <c r="BF56" s="847">
        <v>0</v>
      </c>
      <c r="BG56" s="847">
        <v>0</v>
      </c>
      <c r="BH56" s="847">
        <v>0</v>
      </c>
      <c r="BI56" s="847">
        <v>0</v>
      </c>
      <c r="BJ56" s="847">
        <v>0</v>
      </c>
      <c r="BK56" s="847">
        <v>0</v>
      </c>
      <c r="BL56" s="847">
        <v>0</v>
      </c>
      <c r="BM56" s="847">
        <v>0</v>
      </c>
      <c r="BN56" s="847">
        <v>0</v>
      </c>
      <c r="BO56" s="847">
        <v>0</v>
      </c>
      <c r="BP56" s="847">
        <v>0</v>
      </c>
      <c r="BQ56" s="847">
        <v>0</v>
      </c>
      <c r="BR56" s="847">
        <v>0</v>
      </c>
      <c r="BS56" s="847">
        <v>0</v>
      </c>
      <c r="BT56" s="847">
        <v>0</v>
      </c>
      <c r="BU56" s="847">
        <v>0</v>
      </c>
      <c r="BV56" s="847">
        <v>0</v>
      </c>
      <c r="BW56" s="847">
        <v>0</v>
      </c>
      <c r="BX56" s="847">
        <v>0</v>
      </c>
      <c r="BY56" s="847">
        <v>0</v>
      </c>
      <c r="BZ56" s="847">
        <v>0</v>
      </c>
      <c r="CA56" s="847">
        <v>0</v>
      </c>
      <c r="CB56" s="847">
        <v>0</v>
      </c>
      <c r="CC56" s="847">
        <v>0</v>
      </c>
      <c r="CD56" s="847">
        <v>0</v>
      </c>
      <c r="CE56" s="847">
        <v>0</v>
      </c>
      <c r="CF56" s="847">
        <v>0</v>
      </c>
      <c r="CG56" s="847">
        <v>0</v>
      </c>
      <c r="CH56" s="847">
        <v>0</v>
      </c>
      <c r="CI56" s="847">
        <v>0</v>
      </c>
      <c r="CJ56" s="847">
        <v>0</v>
      </c>
      <c r="CK56" s="847">
        <v>0</v>
      </c>
      <c r="CL56" s="847">
        <v>0</v>
      </c>
      <c r="CM56" s="847">
        <v>0</v>
      </c>
      <c r="CN56" s="847">
        <v>0</v>
      </c>
      <c r="CO56" s="847">
        <v>0</v>
      </c>
      <c r="CP56" s="847">
        <v>0</v>
      </c>
      <c r="CQ56" s="847">
        <v>0</v>
      </c>
      <c r="CR56" s="847">
        <v>0</v>
      </c>
      <c r="CS56" s="847">
        <v>0</v>
      </c>
      <c r="CT56" s="847">
        <v>0</v>
      </c>
      <c r="CU56" s="847">
        <v>0</v>
      </c>
      <c r="CV56" s="847">
        <v>0</v>
      </c>
      <c r="CW56" s="847">
        <v>0</v>
      </c>
      <c r="CX56" s="847">
        <v>0</v>
      </c>
      <c r="CY56" s="847">
        <v>0</v>
      </c>
      <c r="CZ56" s="847">
        <v>0</v>
      </c>
      <c r="DA56" s="847">
        <v>0</v>
      </c>
      <c r="DB56" s="847">
        <v>0</v>
      </c>
      <c r="DC56" s="847">
        <v>0</v>
      </c>
      <c r="DD56" s="847">
        <v>0</v>
      </c>
      <c r="DE56" s="847">
        <v>0</v>
      </c>
      <c r="DF56" s="847">
        <v>0</v>
      </c>
      <c r="DG56" s="847">
        <v>0</v>
      </c>
      <c r="DH56" s="847">
        <v>0</v>
      </c>
      <c r="DI56" s="847">
        <v>0</v>
      </c>
      <c r="DJ56" s="847">
        <v>0</v>
      </c>
      <c r="DK56" s="847">
        <v>0</v>
      </c>
      <c r="DL56" s="847">
        <v>0</v>
      </c>
      <c r="DM56" s="847">
        <v>0</v>
      </c>
      <c r="DN56" s="847">
        <v>0</v>
      </c>
      <c r="DO56" s="847">
        <v>0</v>
      </c>
      <c r="DP56" s="847">
        <v>0</v>
      </c>
      <c r="DQ56" s="847">
        <v>0</v>
      </c>
      <c r="DR56" s="847">
        <v>0</v>
      </c>
      <c r="DS56" s="847">
        <v>0</v>
      </c>
      <c r="DT56" s="847">
        <v>0</v>
      </c>
      <c r="DU56" s="847">
        <v>0</v>
      </c>
      <c r="DV56" s="847">
        <v>0</v>
      </c>
      <c r="DW56" s="847">
        <v>0</v>
      </c>
      <c r="DY56" s="173"/>
      <c r="DZ56" s="173"/>
      <c r="EA56" s="173"/>
      <c r="EB56" s="174"/>
      <c r="EC56" s="175"/>
      <c r="ED56" s="174"/>
      <c r="EE56" s="174"/>
      <c r="EF56" s="174"/>
      <c r="EG56" s="174"/>
      <c r="EH56" s="174"/>
      <c r="EI56" s="174"/>
      <c r="EJ56" s="174"/>
      <c r="EK56" s="174"/>
      <c r="EL56" s="174"/>
      <c r="EM56" s="174"/>
      <c r="EN56" s="174"/>
      <c r="EO56" s="174"/>
      <c r="EP56" s="174"/>
      <c r="EQ56" s="174"/>
      <c r="ER56" s="174"/>
      <c r="ES56" s="174"/>
      <c r="ET56" s="174"/>
      <c r="EU56" s="174"/>
      <c r="EV56" s="174"/>
      <c r="EW56" s="174"/>
      <c r="EX56" s="174"/>
      <c r="EY56" s="174"/>
      <c r="EZ56" s="174"/>
      <c r="FA56" s="174"/>
      <c r="FB56" s="174"/>
      <c r="FC56" s="174"/>
      <c r="FD56" s="174"/>
      <c r="FE56" s="174"/>
      <c r="FF56" s="174"/>
      <c r="FG56" s="174"/>
      <c r="FH56" s="174"/>
      <c r="FI56" s="174"/>
      <c r="FJ56" s="174"/>
      <c r="FK56" s="174"/>
      <c r="FL56" s="174"/>
      <c r="FM56" s="174"/>
      <c r="FN56" s="174"/>
      <c r="FO56" s="174"/>
      <c r="FP56" s="174"/>
      <c r="FQ56" s="174"/>
      <c r="FR56" s="174"/>
      <c r="FS56" s="174"/>
      <c r="FT56" s="174"/>
      <c r="FU56" s="174"/>
      <c r="FV56" s="174"/>
      <c r="FW56" s="174"/>
      <c r="FX56" s="174"/>
      <c r="FY56" s="174"/>
      <c r="FZ56" s="174"/>
      <c r="GA56" s="174"/>
      <c r="GB56" s="174"/>
      <c r="GC56" s="174"/>
      <c r="GD56" s="174"/>
      <c r="GE56" s="174"/>
      <c r="GF56" s="174"/>
      <c r="GG56" s="174"/>
      <c r="GH56" s="174"/>
      <c r="GI56" s="174"/>
      <c r="GJ56" s="176"/>
      <c r="GK56" s="176"/>
      <c r="GL56" s="176"/>
      <c r="GM56" s="176"/>
      <c r="GN56" s="176"/>
      <c r="GO56" s="176"/>
      <c r="GP56" s="176"/>
      <c r="GQ56" s="176"/>
      <c r="GR56" s="176"/>
      <c r="GS56" s="176"/>
      <c r="GT56" s="176"/>
      <c r="GU56" s="176"/>
      <c r="GV56" s="176"/>
      <c r="GW56" s="176"/>
      <c r="GX56" s="176"/>
      <c r="GY56" s="176"/>
      <c r="GZ56" s="176"/>
      <c r="HA56" s="176"/>
      <c r="HB56" s="176"/>
      <c r="HC56" s="176"/>
      <c r="HD56" s="176"/>
      <c r="HE56" s="176"/>
      <c r="HF56" s="176"/>
      <c r="HG56" s="176"/>
      <c r="HH56" s="176"/>
      <c r="HI56" s="176"/>
      <c r="HJ56" s="176"/>
      <c r="HK56" s="176"/>
      <c r="HL56" s="176"/>
      <c r="HM56" s="176"/>
      <c r="HN56" s="176"/>
      <c r="HO56" s="176"/>
      <c r="HP56" s="176"/>
      <c r="HQ56" s="176"/>
      <c r="HR56" s="176"/>
      <c r="HS56" s="176"/>
      <c r="HT56" s="176"/>
      <c r="HU56" s="176"/>
      <c r="HV56" s="176"/>
      <c r="HW56" s="176"/>
      <c r="HX56" s="176"/>
      <c r="HY56" s="176"/>
      <c r="HZ56" s="176"/>
      <c r="IA56" s="176"/>
      <c r="IB56" s="176"/>
      <c r="IC56" s="176"/>
      <c r="ID56" s="176"/>
      <c r="IE56" s="176"/>
      <c r="IF56" s="176"/>
      <c r="IG56" s="176"/>
      <c r="IH56" s="176"/>
      <c r="II56" s="176"/>
      <c r="IJ56" s="176"/>
    </row>
    <row r="57" spans="1:244" ht="16.5" hidden="1">
      <c r="A57" s="846" t="s">
        <v>1060</v>
      </c>
      <c r="B57" s="846" t="s">
        <v>1382</v>
      </c>
      <c r="C57" s="846" t="s">
        <v>1171</v>
      </c>
      <c r="D57" s="847">
        <v>6</v>
      </c>
      <c r="E57" s="846" t="s">
        <v>1171</v>
      </c>
      <c r="F57" s="846" t="s">
        <v>96</v>
      </c>
      <c r="G57" s="851"/>
      <c r="H57" s="847">
        <v>54</v>
      </c>
      <c r="I57" s="780" t="str">
        <f t="shared" si="0"/>
        <v>IWT060154</v>
      </c>
      <c r="J57" s="847">
        <v>5079</v>
      </c>
      <c r="L57" s="846" t="s">
        <v>1060</v>
      </c>
      <c r="M57" s="846" t="s">
        <v>1382</v>
      </c>
      <c r="N57" s="846" t="s">
        <v>96</v>
      </c>
      <c r="O57" s="847">
        <v>54</v>
      </c>
      <c r="P57" s="780" t="str">
        <f t="shared" si="1"/>
        <v>IWT060154</v>
      </c>
      <c r="Q57" s="847">
        <v>1074</v>
      </c>
      <c r="R57" s="847">
        <v>2923</v>
      </c>
      <c r="S57" s="847">
        <v>4735</v>
      </c>
      <c r="T57" s="847">
        <v>6511</v>
      </c>
      <c r="U57" s="847">
        <v>8252</v>
      </c>
      <c r="V57" s="847">
        <v>0</v>
      </c>
      <c r="W57" s="847">
        <v>0</v>
      </c>
      <c r="X57" s="847">
        <v>0</v>
      </c>
      <c r="Y57" s="847">
        <v>0</v>
      </c>
      <c r="Z57" s="847">
        <v>0</v>
      </c>
      <c r="AA57" s="847">
        <v>0</v>
      </c>
      <c r="AB57" s="847">
        <v>0</v>
      </c>
      <c r="AC57" s="847">
        <v>0</v>
      </c>
      <c r="AD57" s="847">
        <v>0</v>
      </c>
      <c r="AE57" s="847">
        <v>0</v>
      </c>
      <c r="AF57" s="847">
        <v>0</v>
      </c>
      <c r="AG57" s="847">
        <v>0</v>
      </c>
      <c r="AH57" s="847">
        <v>0</v>
      </c>
      <c r="AI57" s="847">
        <v>0</v>
      </c>
      <c r="AJ57" s="847">
        <v>0</v>
      </c>
      <c r="AK57" s="847">
        <v>0</v>
      </c>
      <c r="AL57" s="847">
        <v>0</v>
      </c>
      <c r="AM57" s="847">
        <v>0</v>
      </c>
      <c r="AN57" s="847">
        <v>0</v>
      </c>
      <c r="AO57" s="847">
        <v>0</v>
      </c>
      <c r="AP57" s="847">
        <v>0</v>
      </c>
      <c r="AQ57" s="847">
        <v>0</v>
      </c>
      <c r="AR57" s="847">
        <v>0</v>
      </c>
      <c r="AS57" s="847">
        <v>0</v>
      </c>
      <c r="AT57" s="847">
        <v>0</v>
      </c>
      <c r="AU57" s="847">
        <v>0</v>
      </c>
      <c r="AV57" s="847">
        <v>0</v>
      </c>
      <c r="AW57" s="847">
        <v>0</v>
      </c>
      <c r="AX57" s="847">
        <v>0</v>
      </c>
      <c r="AY57" s="847">
        <v>0</v>
      </c>
      <c r="AZ57" s="847">
        <v>0</v>
      </c>
      <c r="BA57" s="847">
        <v>0</v>
      </c>
      <c r="BB57" s="847">
        <v>0</v>
      </c>
      <c r="BC57" s="847">
        <v>0</v>
      </c>
      <c r="BD57" s="847">
        <v>0</v>
      </c>
      <c r="BE57" s="847">
        <v>0</v>
      </c>
      <c r="BF57" s="847">
        <v>0</v>
      </c>
      <c r="BG57" s="847">
        <v>0</v>
      </c>
      <c r="BH57" s="847">
        <v>0</v>
      </c>
      <c r="BI57" s="847">
        <v>0</v>
      </c>
      <c r="BJ57" s="847">
        <v>0</v>
      </c>
      <c r="BK57" s="847">
        <v>0</v>
      </c>
      <c r="BL57" s="847">
        <v>0</v>
      </c>
      <c r="BM57" s="847">
        <v>0</v>
      </c>
      <c r="BN57" s="847">
        <v>0</v>
      </c>
      <c r="BO57" s="847">
        <v>0</v>
      </c>
      <c r="BP57" s="847">
        <v>0</v>
      </c>
      <c r="BQ57" s="847">
        <v>0</v>
      </c>
      <c r="BR57" s="847">
        <v>0</v>
      </c>
      <c r="BS57" s="847">
        <v>0</v>
      </c>
      <c r="BT57" s="847">
        <v>0</v>
      </c>
      <c r="BU57" s="847">
        <v>0</v>
      </c>
      <c r="BV57" s="847">
        <v>0</v>
      </c>
      <c r="BW57" s="847">
        <v>0</v>
      </c>
      <c r="BX57" s="847">
        <v>0</v>
      </c>
      <c r="BY57" s="847">
        <v>0</v>
      </c>
      <c r="BZ57" s="847">
        <v>0</v>
      </c>
      <c r="CA57" s="847">
        <v>0</v>
      </c>
      <c r="CB57" s="847">
        <v>0</v>
      </c>
      <c r="CC57" s="847">
        <v>0</v>
      </c>
      <c r="CD57" s="847">
        <v>0</v>
      </c>
      <c r="CE57" s="847">
        <v>0</v>
      </c>
      <c r="CF57" s="847">
        <v>0</v>
      </c>
      <c r="CG57" s="847">
        <v>0</v>
      </c>
      <c r="CH57" s="847">
        <v>0</v>
      </c>
      <c r="CI57" s="847">
        <v>0</v>
      </c>
      <c r="CJ57" s="847">
        <v>0</v>
      </c>
      <c r="CK57" s="847">
        <v>0</v>
      </c>
      <c r="CL57" s="847">
        <v>0</v>
      </c>
      <c r="CM57" s="847">
        <v>0</v>
      </c>
      <c r="CN57" s="847">
        <v>0</v>
      </c>
      <c r="CO57" s="847">
        <v>0</v>
      </c>
      <c r="CP57" s="847">
        <v>0</v>
      </c>
      <c r="CQ57" s="847">
        <v>0</v>
      </c>
      <c r="CR57" s="847">
        <v>0</v>
      </c>
      <c r="CS57" s="847">
        <v>0</v>
      </c>
      <c r="CT57" s="847">
        <v>0</v>
      </c>
      <c r="CU57" s="847">
        <v>0</v>
      </c>
      <c r="CV57" s="847">
        <v>0</v>
      </c>
      <c r="CW57" s="847">
        <v>0</v>
      </c>
      <c r="CX57" s="847">
        <v>0</v>
      </c>
      <c r="CY57" s="847">
        <v>0</v>
      </c>
      <c r="CZ57" s="847">
        <v>0</v>
      </c>
      <c r="DA57" s="847">
        <v>0</v>
      </c>
      <c r="DB57" s="847">
        <v>0</v>
      </c>
      <c r="DC57" s="847">
        <v>0</v>
      </c>
      <c r="DD57" s="847">
        <v>0</v>
      </c>
      <c r="DE57" s="847">
        <v>0</v>
      </c>
      <c r="DF57" s="847">
        <v>0</v>
      </c>
      <c r="DG57" s="847">
        <v>0</v>
      </c>
      <c r="DH57" s="847">
        <v>0</v>
      </c>
      <c r="DI57" s="847">
        <v>0</v>
      </c>
      <c r="DJ57" s="847">
        <v>0</v>
      </c>
      <c r="DK57" s="847">
        <v>0</v>
      </c>
      <c r="DL57" s="847">
        <v>0</v>
      </c>
      <c r="DM57" s="847">
        <v>0</v>
      </c>
      <c r="DN57" s="847">
        <v>0</v>
      </c>
      <c r="DO57" s="847">
        <v>0</v>
      </c>
      <c r="DP57" s="847">
        <v>0</v>
      </c>
      <c r="DQ57" s="847">
        <v>0</v>
      </c>
      <c r="DR57" s="847">
        <v>0</v>
      </c>
      <c r="DS57" s="847">
        <v>0</v>
      </c>
      <c r="DT57" s="847">
        <v>0</v>
      </c>
      <c r="DU57" s="847">
        <v>0</v>
      </c>
      <c r="DV57" s="847">
        <v>0</v>
      </c>
      <c r="DW57" s="847">
        <v>0</v>
      </c>
      <c r="DY57" s="173"/>
      <c r="DZ57" s="173"/>
      <c r="EA57" s="173"/>
      <c r="EB57" s="174"/>
      <c r="EC57" s="175"/>
      <c r="ED57" s="174"/>
      <c r="EE57" s="174"/>
      <c r="EF57" s="174"/>
      <c r="EG57" s="174"/>
      <c r="EH57" s="174"/>
      <c r="EI57" s="174"/>
      <c r="EJ57" s="174"/>
      <c r="EK57" s="174"/>
      <c r="EL57" s="174"/>
      <c r="EM57" s="174"/>
      <c r="EN57" s="174"/>
      <c r="EO57" s="174"/>
      <c r="EP57" s="174"/>
      <c r="EQ57" s="174"/>
      <c r="ER57" s="174"/>
      <c r="ES57" s="174"/>
      <c r="ET57" s="174"/>
      <c r="EU57" s="174"/>
      <c r="EV57" s="174"/>
      <c r="EW57" s="174"/>
      <c r="EX57" s="174"/>
      <c r="EY57" s="174"/>
      <c r="EZ57" s="174"/>
      <c r="FA57" s="174"/>
      <c r="FB57" s="174"/>
      <c r="FC57" s="174"/>
      <c r="FD57" s="174"/>
      <c r="FE57" s="174"/>
      <c r="FF57" s="174"/>
      <c r="FG57" s="174"/>
      <c r="FH57" s="174"/>
      <c r="FI57" s="174"/>
      <c r="FJ57" s="174"/>
      <c r="FK57" s="174"/>
      <c r="FL57" s="174"/>
      <c r="FM57" s="174"/>
      <c r="FN57" s="174"/>
      <c r="FO57" s="174"/>
      <c r="FP57" s="174"/>
      <c r="FQ57" s="174"/>
      <c r="FR57" s="174"/>
      <c r="FS57" s="174"/>
      <c r="FT57" s="174"/>
      <c r="FU57" s="174"/>
      <c r="FV57" s="174"/>
      <c r="FW57" s="174"/>
      <c r="FX57" s="174"/>
      <c r="FY57" s="174"/>
      <c r="FZ57" s="174"/>
      <c r="GA57" s="174"/>
      <c r="GB57" s="174"/>
      <c r="GC57" s="174"/>
      <c r="GD57" s="174"/>
      <c r="GE57" s="174"/>
      <c r="GF57" s="174"/>
      <c r="GG57" s="174"/>
      <c r="GH57" s="174"/>
      <c r="GI57" s="176"/>
      <c r="GJ57" s="176"/>
      <c r="GK57" s="176"/>
      <c r="GL57" s="176"/>
      <c r="GM57" s="176"/>
      <c r="GN57" s="176"/>
      <c r="GO57" s="176"/>
      <c r="GP57" s="176"/>
      <c r="GQ57" s="176"/>
      <c r="GR57" s="176"/>
      <c r="GS57" s="176"/>
      <c r="GT57" s="176"/>
      <c r="GU57" s="176"/>
      <c r="GV57" s="176"/>
      <c r="GW57" s="176"/>
      <c r="GX57" s="176"/>
      <c r="GY57" s="176"/>
      <c r="GZ57" s="176"/>
      <c r="HA57" s="176"/>
      <c r="HB57" s="176"/>
      <c r="HC57" s="176"/>
      <c r="HD57" s="176"/>
      <c r="HE57" s="176"/>
      <c r="HF57" s="176"/>
      <c r="HG57" s="176"/>
      <c r="HH57" s="176"/>
      <c r="HI57" s="176"/>
      <c r="HJ57" s="176"/>
      <c r="HK57" s="176"/>
      <c r="HL57" s="176"/>
      <c r="HM57" s="176"/>
      <c r="HN57" s="176"/>
      <c r="HO57" s="176"/>
      <c r="HP57" s="176"/>
      <c r="HQ57" s="176"/>
      <c r="HR57" s="176"/>
      <c r="HS57" s="176"/>
      <c r="HT57" s="176"/>
      <c r="HU57" s="176"/>
      <c r="HV57" s="176"/>
      <c r="HW57" s="176"/>
      <c r="HX57" s="176"/>
      <c r="HY57" s="176"/>
      <c r="HZ57" s="176"/>
      <c r="IA57" s="176"/>
      <c r="IB57" s="176"/>
      <c r="IC57" s="176"/>
      <c r="ID57" s="176"/>
      <c r="IE57" s="176"/>
      <c r="IF57" s="176"/>
      <c r="IG57" s="176"/>
      <c r="IH57" s="176"/>
      <c r="II57" s="176"/>
      <c r="IJ57" s="176"/>
    </row>
    <row r="58" spans="1:244" ht="16.5" hidden="1">
      <c r="A58" s="846" t="s">
        <v>1060</v>
      </c>
      <c r="B58" s="846" t="s">
        <v>1382</v>
      </c>
      <c r="C58" s="846" t="s">
        <v>1171</v>
      </c>
      <c r="D58" s="847">
        <v>6</v>
      </c>
      <c r="E58" s="846" t="s">
        <v>1171</v>
      </c>
      <c r="F58" s="846" t="s">
        <v>96</v>
      </c>
      <c r="G58" s="851"/>
      <c r="H58" s="847">
        <v>55</v>
      </c>
      <c r="I58" s="780" t="str">
        <f t="shared" si="0"/>
        <v>IWT060155</v>
      </c>
      <c r="J58" s="847">
        <v>5082</v>
      </c>
      <c r="L58" s="846" t="s">
        <v>1060</v>
      </c>
      <c r="M58" s="846" t="s">
        <v>1382</v>
      </c>
      <c r="N58" s="846" t="s">
        <v>96</v>
      </c>
      <c r="O58" s="847">
        <v>55</v>
      </c>
      <c r="P58" s="780" t="str">
        <f t="shared" si="1"/>
        <v>IWT060155</v>
      </c>
      <c r="Q58" s="847">
        <v>1070</v>
      </c>
      <c r="R58" s="847">
        <v>2920</v>
      </c>
      <c r="S58" s="847">
        <v>4733</v>
      </c>
      <c r="T58" s="847">
        <v>6510</v>
      </c>
      <c r="U58" s="847">
        <v>8251</v>
      </c>
      <c r="V58" s="847">
        <v>0</v>
      </c>
      <c r="W58" s="847">
        <v>0</v>
      </c>
      <c r="X58" s="847">
        <v>0</v>
      </c>
      <c r="Y58" s="847">
        <v>0</v>
      </c>
      <c r="Z58" s="847">
        <v>0</v>
      </c>
      <c r="AA58" s="847">
        <v>0</v>
      </c>
      <c r="AB58" s="847">
        <v>0</v>
      </c>
      <c r="AC58" s="847">
        <v>0</v>
      </c>
      <c r="AD58" s="847">
        <v>0</v>
      </c>
      <c r="AE58" s="847">
        <v>0</v>
      </c>
      <c r="AF58" s="847">
        <v>0</v>
      </c>
      <c r="AG58" s="847">
        <v>0</v>
      </c>
      <c r="AH58" s="847">
        <v>0</v>
      </c>
      <c r="AI58" s="847">
        <v>0</v>
      </c>
      <c r="AJ58" s="847">
        <v>0</v>
      </c>
      <c r="AK58" s="847">
        <v>0</v>
      </c>
      <c r="AL58" s="847">
        <v>0</v>
      </c>
      <c r="AM58" s="847">
        <v>0</v>
      </c>
      <c r="AN58" s="847">
        <v>0</v>
      </c>
      <c r="AO58" s="847">
        <v>0</v>
      </c>
      <c r="AP58" s="847">
        <v>0</v>
      </c>
      <c r="AQ58" s="847">
        <v>0</v>
      </c>
      <c r="AR58" s="847">
        <v>0</v>
      </c>
      <c r="AS58" s="847">
        <v>0</v>
      </c>
      <c r="AT58" s="847">
        <v>0</v>
      </c>
      <c r="AU58" s="847">
        <v>0</v>
      </c>
      <c r="AV58" s="847">
        <v>0</v>
      </c>
      <c r="AW58" s="847">
        <v>0</v>
      </c>
      <c r="AX58" s="847">
        <v>0</v>
      </c>
      <c r="AY58" s="847">
        <v>0</v>
      </c>
      <c r="AZ58" s="847">
        <v>0</v>
      </c>
      <c r="BA58" s="847">
        <v>0</v>
      </c>
      <c r="BB58" s="847">
        <v>0</v>
      </c>
      <c r="BC58" s="847">
        <v>0</v>
      </c>
      <c r="BD58" s="847">
        <v>0</v>
      </c>
      <c r="BE58" s="847">
        <v>0</v>
      </c>
      <c r="BF58" s="847">
        <v>0</v>
      </c>
      <c r="BG58" s="847">
        <v>0</v>
      </c>
      <c r="BH58" s="847">
        <v>0</v>
      </c>
      <c r="BI58" s="847">
        <v>0</v>
      </c>
      <c r="BJ58" s="847">
        <v>0</v>
      </c>
      <c r="BK58" s="847">
        <v>0</v>
      </c>
      <c r="BL58" s="847">
        <v>0</v>
      </c>
      <c r="BM58" s="847">
        <v>0</v>
      </c>
      <c r="BN58" s="847">
        <v>0</v>
      </c>
      <c r="BO58" s="847">
        <v>0</v>
      </c>
      <c r="BP58" s="847">
        <v>0</v>
      </c>
      <c r="BQ58" s="847">
        <v>0</v>
      </c>
      <c r="BR58" s="847">
        <v>0</v>
      </c>
      <c r="BS58" s="847">
        <v>0</v>
      </c>
      <c r="BT58" s="847">
        <v>0</v>
      </c>
      <c r="BU58" s="847">
        <v>0</v>
      </c>
      <c r="BV58" s="847">
        <v>0</v>
      </c>
      <c r="BW58" s="847">
        <v>0</v>
      </c>
      <c r="BX58" s="847">
        <v>0</v>
      </c>
      <c r="BY58" s="847">
        <v>0</v>
      </c>
      <c r="BZ58" s="847">
        <v>0</v>
      </c>
      <c r="CA58" s="847">
        <v>0</v>
      </c>
      <c r="CB58" s="847">
        <v>0</v>
      </c>
      <c r="CC58" s="847">
        <v>0</v>
      </c>
      <c r="CD58" s="847">
        <v>0</v>
      </c>
      <c r="CE58" s="847">
        <v>0</v>
      </c>
      <c r="CF58" s="847">
        <v>0</v>
      </c>
      <c r="CG58" s="847">
        <v>0</v>
      </c>
      <c r="CH58" s="847">
        <v>0</v>
      </c>
      <c r="CI58" s="847">
        <v>0</v>
      </c>
      <c r="CJ58" s="847">
        <v>0</v>
      </c>
      <c r="CK58" s="847">
        <v>0</v>
      </c>
      <c r="CL58" s="847">
        <v>0</v>
      </c>
      <c r="CM58" s="847">
        <v>0</v>
      </c>
      <c r="CN58" s="847">
        <v>0</v>
      </c>
      <c r="CO58" s="847">
        <v>0</v>
      </c>
      <c r="CP58" s="847">
        <v>0</v>
      </c>
      <c r="CQ58" s="847">
        <v>0</v>
      </c>
      <c r="CR58" s="847">
        <v>0</v>
      </c>
      <c r="CS58" s="847">
        <v>0</v>
      </c>
      <c r="CT58" s="847">
        <v>0</v>
      </c>
      <c r="CU58" s="847">
        <v>0</v>
      </c>
      <c r="CV58" s="847">
        <v>0</v>
      </c>
      <c r="CW58" s="847">
        <v>0</v>
      </c>
      <c r="CX58" s="847">
        <v>0</v>
      </c>
      <c r="CY58" s="847">
        <v>0</v>
      </c>
      <c r="CZ58" s="847">
        <v>0</v>
      </c>
      <c r="DA58" s="847">
        <v>0</v>
      </c>
      <c r="DB58" s="847">
        <v>0</v>
      </c>
      <c r="DC58" s="847">
        <v>0</v>
      </c>
      <c r="DD58" s="847">
        <v>0</v>
      </c>
      <c r="DE58" s="847">
        <v>0</v>
      </c>
      <c r="DF58" s="847">
        <v>0</v>
      </c>
      <c r="DG58" s="847">
        <v>0</v>
      </c>
      <c r="DH58" s="847">
        <v>0</v>
      </c>
      <c r="DI58" s="847">
        <v>0</v>
      </c>
      <c r="DJ58" s="847">
        <v>0</v>
      </c>
      <c r="DK58" s="847">
        <v>0</v>
      </c>
      <c r="DL58" s="847">
        <v>0</v>
      </c>
      <c r="DM58" s="847">
        <v>0</v>
      </c>
      <c r="DN58" s="847">
        <v>0</v>
      </c>
      <c r="DO58" s="847">
        <v>0</v>
      </c>
      <c r="DP58" s="847">
        <v>0</v>
      </c>
      <c r="DQ58" s="847">
        <v>0</v>
      </c>
      <c r="DR58" s="847">
        <v>0</v>
      </c>
      <c r="DS58" s="847">
        <v>0</v>
      </c>
      <c r="DT58" s="847">
        <v>0</v>
      </c>
      <c r="DU58" s="847">
        <v>0</v>
      </c>
      <c r="DV58" s="847">
        <v>0</v>
      </c>
      <c r="DW58" s="847">
        <v>0</v>
      </c>
      <c r="DY58" s="173"/>
      <c r="DZ58" s="173"/>
      <c r="EA58" s="173"/>
      <c r="EB58" s="174"/>
      <c r="EC58" s="175"/>
      <c r="ED58" s="174"/>
      <c r="EE58" s="174"/>
      <c r="EF58" s="174"/>
      <c r="EG58" s="174"/>
      <c r="EH58" s="174"/>
      <c r="EI58" s="174"/>
      <c r="EJ58" s="174"/>
      <c r="EK58" s="174"/>
      <c r="EL58" s="174"/>
      <c r="EM58" s="174"/>
      <c r="EN58" s="174"/>
      <c r="EO58" s="174"/>
      <c r="EP58" s="174"/>
      <c r="EQ58" s="174"/>
      <c r="ER58" s="174"/>
      <c r="ES58" s="174"/>
      <c r="ET58" s="174"/>
      <c r="EU58" s="174"/>
      <c r="EV58" s="174"/>
      <c r="EW58" s="174"/>
      <c r="EX58" s="174"/>
      <c r="EY58" s="174"/>
      <c r="EZ58" s="174"/>
      <c r="FA58" s="174"/>
      <c r="FB58" s="174"/>
      <c r="FC58" s="174"/>
      <c r="FD58" s="174"/>
      <c r="FE58" s="174"/>
      <c r="FF58" s="174"/>
      <c r="FG58" s="174"/>
      <c r="FH58" s="174"/>
      <c r="FI58" s="174"/>
      <c r="FJ58" s="174"/>
      <c r="FK58" s="174"/>
      <c r="FL58" s="174"/>
      <c r="FM58" s="174"/>
      <c r="FN58" s="174"/>
      <c r="FO58" s="174"/>
      <c r="FP58" s="174"/>
      <c r="FQ58" s="174"/>
      <c r="FR58" s="174"/>
      <c r="FS58" s="174"/>
      <c r="FT58" s="174"/>
      <c r="FU58" s="174"/>
      <c r="FV58" s="174"/>
      <c r="FW58" s="174"/>
      <c r="FX58" s="174"/>
      <c r="FY58" s="174"/>
      <c r="FZ58" s="174"/>
      <c r="GA58" s="174"/>
      <c r="GB58" s="174"/>
      <c r="GC58" s="174"/>
      <c r="GD58" s="174"/>
      <c r="GE58" s="174"/>
      <c r="GF58" s="174"/>
      <c r="GG58" s="174"/>
      <c r="GH58" s="176"/>
      <c r="GI58" s="176"/>
      <c r="GJ58" s="176"/>
      <c r="GK58" s="176"/>
      <c r="GL58" s="176"/>
      <c r="GM58" s="176"/>
      <c r="GN58" s="176"/>
      <c r="GO58" s="176"/>
      <c r="GP58" s="176"/>
      <c r="GQ58" s="176"/>
      <c r="GR58" s="176"/>
      <c r="GS58" s="176"/>
      <c r="GT58" s="176"/>
      <c r="GU58" s="176"/>
      <c r="GV58" s="176"/>
      <c r="GW58" s="176"/>
      <c r="GX58" s="176"/>
      <c r="GY58" s="176"/>
      <c r="GZ58" s="176"/>
      <c r="HA58" s="176"/>
      <c r="HB58" s="176"/>
      <c r="HC58" s="176"/>
      <c r="HD58" s="176"/>
      <c r="HE58" s="176"/>
      <c r="HF58" s="176"/>
      <c r="HG58" s="176"/>
      <c r="HH58" s="176"/>
      <c r="HI58" s="176"/>
      <c r="HJ58" s="176"/>
      <c r="HK58" s="176"/>
      <c r="HL58" s="176"/>
      <c r="HM58" s="176"/>
      <c r="HN58" s="176"/>
      <c r="HO58" s="176"/>
      <c r="HP58" s="176"/>
      <c r="HQ58" s="176"/>
      <c r="HR58" s="176"/>
      <c r="HS58" s="176"/>
      <c r="HT58" s="176"/>
      <c r="HU58" s="176"/>
      <c r="HV58" s="176"/>
      <c r="HW58" s="176"/>
      <c r="HX58" s="176"/>
      <c r="HY58" s="176"/>
      <c r="HZ58" s="176"/>
      <c r="IA58" s="176"/>
      <c r="IB58" s="176"/>
      <c r="IC58" s="176"/>
      <c r="ID58" s="176"/>
      <c r="IE58" s="176"/>
      <c r="IF58" s="176"/>
      <c r="IG58" s="176"/>
      <c r="IH58" s="176"/>
      <c r="II58" s="176"/>
      <c r="IJ58" s="176"/>
    </row>
    <row r="59" spans="1:244" ht="16.5" hidden="1">
      <c r="A59" s="846" t="s">
        <v>1060</v>
      </c>
      <c r="B59" s="846" t="s">
        <v>1382</v>
      </c>
      <c r="C59" s="846" t="s">
        <v>1171</v>
      </c>
      <c r="D59" s="847">
        <v>6</v>
      </c>
      <c r="E59" s="846" t="s">
        <v>1171</v>
      </c>
      <c r="F59" s="846" t="s">
        <v>96</v>
      </c>
      <c r="G59" s="851"/>
      <c r="H59" s="847">
        <v>56</v>
      </c>
      <c r="I59" s="780" t="str">
        <f t="shared" si="0"/>
        <v>IWT060156</v>
      </c>
      <c r="J59" s="847">
        <v>5085</v>
      </c>
      <c r="L59" s="846" t="s">
        <v>1060</v>
      </c>
      <c r="M59" s="846" t="s">
        <v>1382</v>
      </c>
      <c r="N59" s="846" t="s">
        <v>96</v>
      </c>
      <c r="O59" s="847">
        <v>56</v>
      </c>
      <c r="P59" s="780" t="str">
        <f t="shared" si="1"/>
        <v>IWT060156</v>
      </c>
      <c r="Q59" s="847">
        <v>1066</v>
      </c>
      <c r="R59" s="847">
        <v>2917</v>
      </c>
      <c r="S59" s="847">
        <v>4730</v>
      </c>
      <c r="T59" s="847">
        <v>6508</v>
      </c>
      <c r="U59" s="847">
        <v>8250</v>
      </c>
      <c r="V59" s="847">
        <v>0</v>
      </c>
      <c r="W59" s="847">
        <v>0</v>
      </c>
      <c r="X59" s="847">
        <v>0</v>
      </c>
      <c r="Y59" s="847">
        <v>0</v>
      </c>
      <c r="Z59" s="847">
        <v>0</v>
      </c>
      <c r="AA59" s="847">
        <v>0</v>
      </c>
      <c r="AB59" s="847">
        <v>0</v>
      </c>
      <c r="AC59" s="847">
        <v>0</v>
      </c>
      <c r="AD59" s="847">
        <v>0</v>
      </c>
      <c r="AE59" s="847">
        <v>0</v>
      </c>
      <c r="AF59" s="847">
        <v>0</v>
      </c>
      <c r="AG59" s="847">
        <v>0</v>
      </c>
      <c r="AH59" s="847">
        <v>0</v>
      </c>
      <c r="AI59" s="847">
        <v>0</v>
      </c>
      <c r="AJ59" s="847">
        <v>0</v>
      </c>
      <c r="AK59" s="847">
        <v>0</v>
      </c>
      <c r="AL59" s="847">
        <v>0</v>
      </c>
      <c r="AM59" s="847">
        <v>0</v>
      </c>
      <c r="AN59" s="847">
        <v>0</v>
      </c>
      <c r="AO59" s="847">
        <v>0</v>
      </c>
      <c r="AP59" s="847">
        <v>0</v>
      </c>
      <c r="AQ59" s="847">
        <v>0</v>
      </c>
      <c r="AR59" s="847">
        <v>0</v>
      </c>
      <c r="AS59" s="847">
        <v>0</v>
      </c>
      <c r="AT59" s="847">
        <v>0</v>
      </c>
      <c r="AU59" s="847">
        <v>0</v>
      </c>
      <c r="AV59" s="847">
        <v>0</v>
      </c>
      <c r="AW59" s="847">
        <v>0</v>
      </c>
      <c r="AX59" s="847">
        <v>0</v>
      </c>
      <c r="AY59" s="847">
        <v>0</v>
      </c>
      <c r="AZ59" s="847">
        <v>0</v>
      </c>
      <c r="BA59" s="847">
        <v>0</v>
      </c>
      <c r="BB59" s="847">
        <v>0</v>
      </c>
      <c r="BC59" s="847">
        <v>0</v>
      </c>
      <c r="BD59" s="847">
        <v>0</v>
      </c>
      <c r="BE59" s="847">
        <v>0</v>
      </c>
      <c r="BF59" s="847">
        <v>0</v>
      </c>
      <c r="BG59" s="847">
        <v>0</v>
      </c>
      <c r="BH59" s="847">
        <v>0</v>
      </c>
      <c r="BI59" s="847">
        <v>0</v>
      </c>
      <c r="BJ59" s="847">
        <v>0</v>
      </c>
      <c r="BK59" s="847">
        <v>0</v>
      </c>
      <c r="BL59" s="847">
        <v>0</v>
      </c>
      <c r="BM59" s="847">
        <v>0</v>
      </c>
      <c r="BN59" s="847">
        <v>0</v>
      </c>
      <c r="BO59" s="847">
        <v>0</v>
      </c>
      <c r="BP59" s="847">
        <v>0</v>
      </c>
      <c r="BQ59" s="847">
        <v>0</v>
      </c>
      <c r="BR59" s="847">
        <v>0</v>
      </c>
      <c r="BS59" s="847">
        <v>0</v>
      </c>
      <c r="BT59" s="847">
        <v>0</v>
      </c>
      <c r="BU59" s="847">
        <v>0</v>
      </c>
      <c r="BV59" s="847">
        <v>0</v>
      </c>
      <c r="BW59" s="847">
        <v>0</v>
      </c>
      <c r="BX59" s="847">
        <v>0</v>
      </c>
      <c r="BY59" s="847">
        <v>0</v>
      </c>
      <c r="BZ59" s="847">
        <v>0</v>
      </c>
      <c r="CA59" s="847">
        <v>0</v>
      </c>
      <c r="CB59" s="847">
        <v>0</v>
      </c>
      <c r="CC59" s="847">
        <v>0</v>
      </c>
      <c r="CD59" s="847">
        <v>0</v>
      </c>
      <c r="CE59" s="847">
        <v>0</v>
      </c>
      <c r="CF59" s="847">
        <v>0</v>
      </c>
      <c r="CG59" s="847">
        <v>0</v>
      </c>
      <c r="CH59" s="847">
        <v>0</v>
      </c>
      <c r="CI59" s="847">
        <v>0</v>
      </c>
      <c r="CJ59" s="847">
        <v>0</v>
      </c>
      <c r="CK59" s="847">
        <v>0</v>
      </c>
      <c r="CL59" s="847">
        <v>0</v>
      </c>
      <c r="CM59" s="847">
        <v>0</v>
      </c>
      <c r="CN59" s="847">
        <v>0</v>
      </c>
      <c r="CO59" s="847">
        <v>0</v>
      </c>
      <c r="CP59" s="847">
        <v>0</v>
      </c>
      <c r="CQ59" s="847">
        <v>0</v>
      </c>
      <c r="CR59" s="847">
        <v>0</v>
      </c>
      <c r="CS59" s="847">
        <v>0</v>
      </c>
      <c r="CT59" s="847">
        <v>0</v>
      </c>
      <c r="CU59" s="847">
        <v>0</v>
      </c>
      <c r="CV59" s="847">
        <v>0</v>
      </c>
      <c r="CW59" s="847">
        <v>0</v>
      </c>
      <c r="CX59" s="847">
        <v>0</v>
      </c>
      <c r="CY59" s="847">
        <v>0</v>
      </c>
      <c r="CZ59" s="847">
        <v>0</v>
      </c>
      <c r="DA59" s="847">
        <v>0</v>
      </c>
      <c r="DB59" s="847">
        <v>0</v>
      </c>
      <c r="DC59" s="847">
        <v>0</v>
      </c>
      <c r="DD59" s="847">
        <v>0</v>
      </c>
      <c r="DE59" s="847">
        <v>0</v>
      </c>
      <c r="DF59" s="847">
        <v>0</v>
      </c>
      <c r="DG59" s="847">
        <v>0</v>
      </c>
      <c r="DH59" s="847">
        <v>0</v>
      </c>
      <c r="DI59" s="847">
        <v>0</v>
      </c>
      <c r="DJ59" s="847">
        <v>0</v>
      </c>
      <c r="DK59" s="847">
        <v>0</v>
      </c>
      <c r="DL59" s="847">
        <v>0</v>
      </c>
      <c r="DM59" s="847">
        <v>0</v>
      </c>
      <c r="DN59" s="847">
        <v>0</v>
      </c>
      <c r="DO59" s="847">
        <v>0</v>
      </c>
      <c r="DP59" s="847">
        <v>0</v>
      </c>
      <c r="DQ59" s="847">
        <v>0</v>
      </c>
      <c r="DR59" s="847">
        <v>0</v>
      </c>
      <c r="DS59" s="847">
        <v>0</v>
      </c>
      <c r="DT59" s="847">
        <v>0</v>
      </c>
      <c r="DU59" s="847">
        <v>0</v>
      </c>
      <c r="DV59" s="847">
        <v>0</v>
      </c>
      <c r="DW59" s="847">
        <v>0</v>
      </c>
      <c r="DY59" s="173"/>
      <c r="DZ59" s="173"/>
      <c r="EA59" s="173"/>
      <c r="EB59" s="174"/>
      <c r="EC59" s="175"/>
      <c r="ED59" s="174"/>
      <c r="EE59" s="174"/>
      <c r="EF59" s="174"/>
      <c r="EG59" s="174"/>
      <c r="EH59" s="174"/>
      <c r="EI59" s="174"/>
      <c r="EJ59" s="174"/>
      <c r="EK59" s="174"/>
      <c r="EL59" s="174"/>
      <c r="EM59" s="174"/>
      <c r="EN59" s="174"/>
      <c r="EO59" s="174"/>
      <c r="EP59" s="174"/>
      <c r="EQ59" s="174"/>
      <c r="ER59" s="174"/>
      <c r="ES59" s="174"/>
      <c r="ET59" s="174"/>
      <c r="EU59" s="174"/>
      <c r="EV59" s="174"/>
      <c r="EW59" s="174"/>
      <c r="EX59" s="174"/>
      <c r="EY59" s="174"/>
      <c r="EZ59" s="174"/>
      <c r="FA59" s="174"/>
      <c r="FB59" s="174"/>
      <c r="FC59" s="174"/>
      <c r="FD59" s="174"/>
      <c r="FE59" s="174"/>
      <c r="FF59" s="174"/>
      <c r="FG59" s="174"/>
      <c r="FH59" s="174"/>
      <c r="FI59" s="174"/>
      <c r="FJ59" s="174"/>
      <c r="FK59" s="174"/>
      <c r="FL59" s="174"/>
      <c r="FM59" s="174"/>
      <c r="FN59" s="174"/>
      <c r="FO59" s="174"/>
      <c r="FP59" s="174"/>
      <c r="FQ59" s="174"/>
      <c r="FR59" s="174"/>
      <c r="FS59" s="174"/>
      <c r="FT59" s="174"/>
      <c r="FU59" s="174"/>
      <c r="FV59" s="174"/>
      <c r="FW59" s="174"/>
      <c r="FX59" s="174"/>
      <c r="FY59" s="174"/>
      <c r="FZ59" s="174"/>
      <c r="GA59" s="174"/>
      <c r="GB59" s="174"/>
      <c r="GC59" s="174"/>
      <c r="GD59" s="174"/>
      <c r="GE59" s="174"/>
      <c r="GF59" s="174"/>
      <c r="GG59" s="176"/>
      <c r="GH59" s="176"/>
      <c r="GI59" s="176"/>
      <c r="GJ59" s="176"/>
      <c r="GK59" s="176"/>
      <c r="GL59" s="176"/>
      <c r="GM59" s="176"/>
      <c r="GN59" s="176"/>
      <c r="GO59" s="176"/>
      <c r="GP59" s="176"/>
      <c r="GQ59" s="176"/>
      <c r="GR59" s="176"/>
      <c r="GS59" s="176"/>
      <c r="GT59" s="176"/>
      <c r="GU59" s="176"/>
      <c r="GV59" s="176"/>
      <c r="GW59" s="176"/>
      <c r="GX59" s="176"/>
      <c r="GY59" s="176"/>
      <c r="GZ59" s="176"/>
      <c r="HA59" s="176"/>
      <c r="HB59" s="176"/>
      <c r="HC59" s="176"/>
      <c r="HD59" s="176"/>
      <c r="HE59" s="176"/>
      <c r="HF59" s="176"/>
      <c r="HG59" s="176"/>
      <c r="HH59" s="176"/>
      <c r="HI59" s="176"/>
      <c r="HJ59" s="176"/>
      <c r="HK59" s="176"/>
      <c r="HL59" s="176"/>
      <c r="HM59" s="176"/>
      <c r="HN59" s="176"/>
      <c r="HO59" s="176"/>
      <c r="HP59" s="176"/>
      <c r="HQ59" s="176"/>
      <c r="HR59" s="176"/>
      <c r="HS59" s="176"/>
      <c r="HT59" s="176"/>
      <c r="HU59" s="176"/>
      <c r="HV59" s="176"/>
      <c r="HW59" s="176"/>
      <c r="HX59" s="176"/>
      <c r="HY59" s="176"/>
      <c r="HZ59" s="176"/>
      <c r="IA59" s="176"/>
      <c r="IB59" s="176"/>
      <c r="IC59" s="176"/>
      <c r="ID59" s="176"/>
      <c r="IE59" s="176"/>
      <c r="IF59" s="176"/>
      <c r="IG59" s="176"/>
      <c r="IH59" s="176"/>
      <c r="II59" s="176"/>
      <c r="IJ59" s="176"/>
    </row>
    <row r="60" spans="1:244" ht="16.5" hidden="1">
      <c r="A60" s="846" t="s">
        <v>1060</v>
      </c>
      <c r="B60" s="846" t="s">
        <v>1382</v>
      </c>
      <c r="C60" s="846" t="s">
        <v>1171</v>
      </c>
      <c r="D60" s="847">
        <v>6</v>
      </c>
      <c r="E60" s="846" t="s">
        <v>1171</v>
      </c>
      <c r="F60" s="846" t="s">
        <v>96</v>
      </c>
      <c r="G60" s="851"/>
      <c r="H60" s="847">
        <v>57</v>
      </c>
      <c r="I60" s="780" t="str">
        <f t="shared" si="0"/>
        <v>IWT060157</v>
      </c>
      <c r="J60" s="847">
        <v>5087</v>
      </c>
      <c r="L60" s="846" t="s">
        <v>1060</v>
      </c>
      <c r="M60" s="846" t="s">
        <v>1382</v>
      </c>
      <c r="N60" s="846" t="s">
        <v>96</v>
      </c>
      <c r="O60" s="847">
        <v>57</v>
      </c>
      <c r="P60" s="780" t="str">
        <f t="shared" si="1"/>
        <v>IWT060157</v>
      </c>
      <c r="Q60" s="847">
        <v>1061</v>
      </c>
      <c r="R60" s="847">
        <v>2913</v>
      </c>
      <c r="S60" s="847">
        <v>4727</v>
      </c>
      <c r="T60" s="847">
        <v>6505</v>
      </c>
      <c r="U60" s="847">
        <v>8248</v>
      </c>
      <c r="V60" s="847">
        <v>0</v>
      </c>
      <c r="W60" s="847">
        <v>0</v>
      </c>
      <c r="X60" s="847">
        <v>0</v>
      </c>
      <c r="Y60" s="847">
        <v>0</v>
      </c>
      <c r="Z60" s="847">
        <v>0</v>
      </c>
      <c r="AA60" s="847">
        <v>0</v>
      </c>
      <c r="AB60" s="847">
        <v>0</v>
      </c>
      <c r="AC60" s="847">
        <v>0</v>
      </c>
      <c r="AD60" s="847">
        <v>0</v>
      </c>
      <c r="AE60" s="847">
        <v>0</v>
      </c>
      <c r="AF60" s="847">
        <v>0</v>
      </c>
      <c r="AG60" s="847">
        <v>0</v>
      </c>
      <c r="AH60" s="847">
        <v>0</v>
      </c>
      <c r="AI60" s="847">
        <v>0</v>
      </c>
      <c r="AJ60" s="847">
        <v>0</v>
      </c>
      <c r="AK60" s="847">
        <v>0</v>
      </c>
      <c r="AL60" s="847">
        <v>0</v>
      </c>
      <c r="AM60" s="847">
        <v>0</v>
      </c>
      <c r="AN60" s="847">
        <v>0</v>
      </c>
      <c r="AO60" s="847">
        <v>0</v>
      </c>
      <c r="AP60" s="847">
        <v>0</v>
      </c>
      <c r="AQ60" s="847">
        <v>0</v>
      </c>
      <c r="AR60" s="847">
        <v>0</v>
      </c>
      <c r="AS60" s="847">
        <v>0</v>
      </c>
      <c r="AT60" s="847">
        <v>0</v>
      </c>
      <c r="AU60" s="847">
        <v>0</v>
      </c>
      <c r="AV60" s="847">
        <v>0</v>
      </c>
      <c r="AW60" s="847">
        <v>0</v>
      </c>
      <c r="AX60" s="847">
        <v>0</v>
      </c>
      <c r="AY60" s="847">
        <v>0</v>
      </c>
      <c r="AZ60" s="847">
        <v>0</v>
      </c>
      <c r="BA60" s="847">
        <v>0</v>
      </c>
      <c r="BB60" s="847">
        <v>0</v>
      </c>
      <c r="BC60" s="847">
        <v>0</v>
      </c>
      <c r="BD60" s="847">
        <v>0</v>
      </c>
      <c r="BE60" s="847">
        <v>0</v>
      </c>
      <c r="BF60" s="847">
        <v>0</v>
      </c>
      <c r="BG60" s="847">
        <v>0</v>
      </c>
      <c r="BH60" s="847">
        <v>0</v>
      </c>
      <c r="BI60" s="847">
        <v>0</v>
      </c>
      <c r="BJ60" s="847">
        <v>0</v>
      </c>
      <c r="BK60" s="847">
        <v>0</v>
      </c>
      <c r="BL60" s="847">
        <v>0</v>
      </c>
      <c r="BM60" s="847">
        <v>0</v>
      </c>
      <c r="BN60" s="847">
        <v>0</v>
      </c>
      <c r="BO60" s="847">
        <v>0</v>
      </c>
      <c r="BP60" s="847">
        <v>0</v>
      </c>
      <c r="BQ60" s="847">
        <v>0</v>
      </c>
      <c r="BR60" s="847">
        <v>0</v>
      </c>
      <c r="BS60" s="847">
        <v>0</v>
      </c>
      <c r="BT60" s="847">
        <v>0</v>
      </c>
      <c r="BU60" s="847">
        <v>0</v>
      </c>
      <c r="BV60" s="847">
        <v>0</v>
      </c>
      <c r="BW60" s="847">
        <v>0</v>
      </c>
      <c r="BX60" s="847">
        <v>0</v>
      </c>
      <c r="BY60" s="847">
        <v>0</v>
      </c>
      <c r="BZ60" s="847">
        <v>0</v>
      </c>
      <c r="CA60" s="847">
        <v>0</v>
      </c>
      <c r="CB60" s="847">
        <v>0</v>
      </c>
      <c r="CC60" s="847">
        <v>0</v>
      </c>
      <c r="CD60" s="847">
        <v>0</v>
      </c>
      <c r="CE60" s="847">
        <v>0</v>
      </c>
      <c r="CF60" s="847">
        <v>0</v>
      </c>
      <c r="CG60" s="847">
        <v>0</v>
      </c>
      <c r="CH60" s="847">
        <v>0</v>
      </c>
      <c r="CI60" s="847">
        <v>0</v>
      </c>
      <c r="CJ60" s="847">
        <v>0</v>
      </c>
      <c r="CK60" s="847">
        <v>0</v>
      </c>
      <c r="CL60" s="847">
        <v>0</v>
      </c>
      <c r="CM60" s="847">
        <v>0</v>
      </c>
      <c r="CN60" s="847">
        <v>0</v>
      </c>
      <c r="CO60" s="847">
        <v>0</v>
      </c>
      <c r="CP60" s="847">
        <v>0</v>
      </c>
      <c r="CQ60" s="847">
        <v>0</v>
      </c>
      <c r="CR60" s="847">
        <v>0</v>
      </c>
      <c r="CS60" s="847">
        <v>0</v>
      </c>
      <c r="CT60" s="847">
        <v>0</v>
      </c>
      <c r="CU60" s="847">
        <v>0</v>
      </c>
      <c r="CV60" s="847">
        <v>0</v>
      </c>
      <c r="CW60" s="847">
        <v>0</v>
      </c>
      <c r="CX60" s="847">
        <v>0</v>
      </c>
      <c r="CY60" s="847">
        <v>0</v>
      </c>
      <c r="CZ60" s="847">
        <v>0</v>
      </c>
      <c r="DA60" s="847">
        <v>0</v>
      </c>
      <c r="DB60" s="847">
        <v>0</v>
      </c>
      <c r="DC60" s="847">
        <v>0</v>
      </c>
      <c r="DD60" s="847">
        <v>0</v>
      </c>
      <c r="DE60" s="847">
        <v>0</v>
      </c>
      <c r="DF60" s="847">
        <v>0</v>
      </c>
      <c r="DG60" s="847">
        <v>0</v>
      </c>
      <c r="DH60" s="847">
        <v>0</v>
      </c>
      <c r="DI60" s="847">
        <v>0</v>
      </c>
      <c r="DJ60" s="847">
        <v>0</v>
      </c>
      <c r="DK60" s="847">
        <v>0</v>
      </c>
      <c r="DL60" s="847">
        <v>0</v>
      </c>
      <c r="DM60" s="847">
        <v>0</v>
      </c>
      <c r="DN60" s="847">
        <v>0</v>
      </c>
      <c r="DO60" s="847">
        <v>0</v>
      </c>
      <c r="DP60" s="847">
        <v>0</v>
      </c>
      <c r="DQ60" s="847">
        <v>0</v>
      </c>
      <c r="DR60" s="847">
        <v>0</v>
      </c>
      <c r="DS60" s="847">
        <v>0</v>
      </c>
      <c r="DT60" s="847">
        <v>0</v>
      </c>
      <c r="DU60" s="847">
        <v>0</v>
      </c>
      <c r="DV60" s="847">
        <v>0</v>
      </c>
      <c r="DW60" s="847">
        <v>0</v>
      </c>
      <c r="DY60" s="173"/>
      <c r="DZ60" s="173"/>
      <c r="EA60" s="173"/>
      <c r="EB60" s="174"/>
      <c r="EC60" s="175"/>
      <c r="ED60" s="174"/>
      <c r="EE60" s="174"/>
      <c r="EF60" s="174"/>
      <c r="EG60" s="174"/>
      <c r="EH60" s="174"/>
      <c r="EI60" s="174"/>
      <c r="EJ60" s="174"/>
      <c r="EK60" s="174"/>
      <c r="EL60" s="174"/>
      <c r="EM60" s="174"/>
      <c r="EN60" s="174"/>
      <c r="EO60" s="174"/>
      <c r="EP60" s="174"/>
      <c r="EQ60" s="174"/>
      <c r="ER60" s="174"/>
      <c r="ES60" s="174"/>
      <c r="ET60" s="174"/>
      <c r="EU60" s="174"/>
      <c r="EV60" s="174"/>
      <c r="EW60" s="174"/>
      <c r="EX60" s="174"/>
      <c r="EY60" s="174"/>
      <c r="EZ60" s="174"/>
      <c r="FA60" s="174"/>
      <c r="FB60" s="174"/>
      <c r="FC60" s="174"/>
      <c r="FD60" s="174"/>
      <c r="FE60" s="174"/>
      <c r="FF60" s="174"/>
      <c r="FG60" s="174"/>
      <c r="FH60" s="174"/>
      <c r="FI60" s="174"/>
      <c r="FJ60" s="174"/>
      <c r="FK60" s="174"/>
      <c r="FL60" s="174"/>
      <c r="FM60" s="174"/>
      <c r="FN60" s="174"/>
      <c r="FO60" s="174"/>
      <c r="FP60" s="174"/>
      <c r="FQ60" s="174"/>
      <c r="FR60" s="174"/>
      <c r="FS60" s="174"/>
      <c r="FT60" s="174"/>
      <c r="FU60" s="174"/>
      <c r="FV60" s="174"/>
      <c r="FW60" s="174"/>
      <c r="FX60" s="174"/>
      <c r="FY60" s="174"/>
      <c r="FZ60" s="174"/>
      <c r="GA60" s="174"/>
      <c r="GB60" s="174"/>
      <c r="GC60" s="174"/>
      <c r="GD60" s="174"/>
      <c r="GE60" s="174"/>
      <c r="GF60" s="176"/>
      <c r="GG60" s="176"/>
      <c r="GH60" s="176"/>
      <c r="GI60" s="176"/>
      <c r="GJ60" s="176"/>
      <c r="GK60" s="176"/>
      <c r="GL60" s="176"/>
      <c r="GM60" s="176"/>
      <c r="GN60" s="176"/>
      <c r="GO60" s="176"/>
      <c r="GP60" s="176"/>
      <c r="GQ60" s="176"/>
      <c r="GR60" s="176"/>
      <c r="GS60" s="176"/>
      <c r="GT60" s="176"/>
      <c r="GU60" s="176"/>
      <c r="GV60" s="176"/>
      <c r="GW60" s="176"/>
      <c r="GX60" s="176"/>
      <c r="GY60" s="176"/>
      <c r="GZ60" s="176"/>
      <c r="HA60" s="176"/>
      <c r="HB60" s="176"/>
      <c r="HC60" s="176"/>
      <c r="HD60" s="176"/>
      <c r="HE60" s="176"/>
      <c r="HF60" s="176"/>
      <c r="HG60" s="176"/>
      <c r="HH60" s="176"/>
      <c r="HI60" s="176"/>
      <c r="HJ60" s="176"/>
      <c r="HK60" s="176"/>
      <c r="HL60" s="176"/>
      <c r="HM60" s="176"/>
      <c r="HN60" s="176"/>
      <c r="HO60" s="176"/>
      <c r="HP60" s="176"/>
      <c r="HQ60" s="176"/>
      <c r="HR60" s="176"/>
      <c r="HS60" s="176"/>
      <c r="HT60" s="176"/>
      <c r="HU60" s="176"/>
      <c r="HV60" s="176"/>
      <c r="HW60" s="176"/>
      <c r="HX60" s="176"/>
      <c r="HY60" s="176"/>
      <c r="HZ60" s="176"/>
      <c r="IA60" s="176"/>
      <c r="IB60" s="176"/>
      <c r="IC60" s="176"/>
      <c r="ID60" s="176"/>
      <c r="IE60" s="176"/>
      <c r="IF60" s="176"/>
      <c r="IG60" s="176"/>
      <c r="IH60" s="176"/>
      <c r="II60" s="176"/>
      <c r="IJ60" s="176"/>
    </row>
    <row r="61" spans="1:244" ht="16.5" hidden="1">
      <c r="A61" s="846" t="s">
        <v>1060</v>
      </c>
      <c r="B61" s="846" t="s">
        <v>1382</v>
      </c>
      <c r="C61" s="846" t="s">
        <v>1171</v>
      </c>
      <c r="D61" s="847">
        <v>6</v>
      </c>
      <c r="E61" s="846" t="s">
        <v>1171</v>
      </c>
      <c r="F61" s="846" t="s">
        <v>96</v>
      </c>
      <c r="G61" s="851"/>
      <c r="H61" s="847">
        <v>58</v>
      </c>
      <c r="I61" s="780" t="str">
        <f t="shared" si="0"/>
        <v>IWT060158</v>
      </c>
      <c r="J61" s="847">
        <v>5091</v>
      </c>
      <c r="L61" s="846" t="s">
        <v>1060</v>
      </c>
      <c r="M61" s="846" t="s">
        <v>1382</v>
      </c>
      <c r="N61" s="846" t="s">
        <v>96</v>
      </c>
      <c r="O61" s="847">
        <v>58</v>
      </c>
      <c r="P61" s="780" t="str">
        <f t="shared" si="1"/>
        <v>IWT060158</v>
      </c>
      <c r="Q61" s="847">
        <v>1056</v>
      </c>
      <c r="R61" s="847">
        <v>2909</v>
      </c>
      <c r="S61" s="847">
        <v>4724</v>
      </c>
      <c r="T61" s="847">
        <v>6503</v>
      </c>
      <c r="U61" s="847">
        <v>8247</v>
      </c>
      <c r="V61" s="847">
        <v>0</v>
      </c>
      <c r="W61" s="847">
        <v>0</v>
      </c>
      <c r="X61" s="847">
        <v>0</v>
      </c>
      <c r="Y61" s="847">
        <v>0</v>
      </c>
      <c r="Z61" s="847">
        <v>0</v>
      </c>
      <c r="AA61" s="847">
        <v>0</v>
      </c>
      <c r="AB61" s="847">
        <v>0</v>
      </c>
      <c r="AC61" s="847">
        <v>0</v>
      </c>
      <c r="AD61" s="847">
        <v>0</v>
      </c>
      <c r="AE61" s="847">
        <v>0</v>
      </c>
      <c r="AF61" s="847">
        <v>0</v>
      </c>
      <c r="AG61" s="847">
        <v>0</v>
      </c>
      <c r="AH61" s="847">
        <v>0</v>
      </c>
      <c r="AI61" s="847">
        <v>0</v>
      </c>
      <c r="AJ61" s="847">
        <v>0</v>
      </c>
      <c r="AK61" s="847">
        <v>0</v>
      </c>
      <c r="AL61" s="847">
        <v>0</v>
      </c>
      <c r="AM61" s="847">
        <v>0</v>
      </c>
      <c r="AN61" s="847">
        <v>0</v>
      </c>
      <c r="AO61" s="847">
        <v>0</v>
      </c>
      <c r="AP61" s="847">
        <v>0</v>
      </c>
      <c r="AQ61" s="847">
        <v>0</v>
      </c>
      <c r="AR61" s="847">
        <v>0</v>
      </c>
      <c r="AS61" s="847">
        <v>0</v>
      </c>
      <c r="AT61" s="847">
        <v>0</v>
      </c>
      <c r="AU61" s="847">
        <v>0</v>
      </c>
      <c r="AV61" s="847">
        <v>0</v>
      </c>
      <c r="AW61" s="847">
        <v>0</v>
      </c>
      <c r="AX61" s="847">
        <v>0</v>
      </c>
      <c r="AY61" s="847">
        <v>0</v>
      </c>
      <c r="AZ61" s="847">
        <v>0</v>
      </c>
      <c r="BA61" s="847">
        <v>0</v>
      </c>
      <c r="BB61" s="847">
        <v>0</v>
      </c>
      <c r="BC61" s="847">
        <v>0</v>
      </c>
      <c r="BD61" s="847">
        <v>0</v>
      </c>
      <c r="BE61" s="847">
        <v>0</v>
      </c>
      <c r="BF61" s="847">
        <v>0</v>
      </c>
      <c r="BG61" s="847">
        <v>0</v>
      </c>
      <c r="BH61" s="847">
        <v>0</v>
      </c>
      <c r="BI61" s="847">
        <v>0</v>
      </c>
      <c r="BJ61" s="847">
        <v>0</v>
      </c>
      <c r="BK61" s="847">
        <v>0</v>
      </c>
      <c r="BL61" s="847">
        <v>0</v>
      </c>
      <c r="BM61" s="847">
        <v>0</v>
      </c>
      <c r="BN61" s="847">
        <v>0</v>
      </c>
      <c r="BO61" s="847">
        <v>0</v>
      </c>
      <c r="BP61" s="847">
        <v>0</v>
      </c>
      <c r="BQ61" s="847">
        <v>0</v>
      </c>
      <c r="BR61" s="847">
        <v>0</v>
      </c>
      <c r="BS61" s="847">
        <v>0</v>
      </c>
      <c r="BT61" s="847">
        <v>0</v>
      </c>
      <c r="BU61" s="847">
        <v>0</v>
      </c>
      <c r="BV61" s="847">
        <v>0</v>
      </c>
      <c r="BW61" s="847">
        <v>0</v>
      </c>
      <c r="BX61" s="847">
        <v>0</v>
      </c>
      <c r="BY61" s="847">
        <v>0</v>
      </c>
      <c r="BZ61" s="847">
        <v>0</v>
      </c>
      <c r="CA61" s="847">
        <v>0</v>
      </c>
      <c r="CB61" s="847">
        <v>0</v>
      </c>
      <c r="CC61" s="847">
        <v>0</v>
      </c>
      <c r="CD61" s="847">
        <v>0</v>
      </c>
      <c r="CE61" s="847">
        <v>0</v>
      </c>
      <c r="CF61" s="847">
        <v>0</v>
      </c>
      <c r="CG61" s="847">
        <v>0</v>
      </c>
      <c r="CH61" s="847">
        <v>0</v>
      </c>
      <c r="CI61" s="847">
        <v>0</v>
      </c>
      <c r="CJ61" s="847">
        <v>0</v>
      </c>
      <c r="CK61" s="847">
        <v>0</v>
      </c>
      <c r="CL61" s="847">
        <v>0</v>
      </c>
      <c r="CM61" s="847">
        <v>0</v>
      </c>
      <c r="CN61" s="847">
        <v>0</v>
      </c>
      <c r="CO61" s="847">
        <v>0</v>
      </c>
      <c r="CP61" s="847">
        <v>0</v>
      </c>
      <c r="CQ61" s="847">
        <v>0</v>
      </c>
      <c r="CR61" s="847">
        <v>0</v>
      </c>
      <c r="CS61" s="847">
        <v>0</v>
      </c>
      <c r="CT61" s="847">
        <v>0</v>
      </c>
      <c r="CU61" s="847">
        <v>0</v>
      </c>
      <c r="CV61" s="847">
        <v>0</v>
      </c>
      <c r="CW61" s="847">
        <v>0</v>
      </c>
      <c r="CX61" s="847">
        <v>0</v>
      </c>
      <c r="CY61" s="847">
        <v>0</v>
      </c>
      <c r="CZ61" s="847">
        <v>0</v>
      </c>
      <c r="DA61" s="847">
        <v>0</v>
      </c>
      <c r="DB61" s="847">
        <v>0</v>
      </c>
      <c r="DC61" s="847">
        <v>0</v>
      </c>
      <c r="DD61" s="847">
        <v>0</v>
      </c>
      <c r="DE61" s="847">
        <v>0</v>
      </c>
      <c r="DF61" s="847">
        <v>0</v>
      </c>
      <c r="DG61" s="847">
        <v>0</v>
      </c>
      <c r="DH61" s="847">
        <v>0</v>
      </c>
      <c r="DI61" s="847">
        <v>0</v>
      </c>
      <c r="DJ61" s="847">
        <v>0</v>
      </c>
      <c r="DK61" s="847">
        <v>0</v>
      </c>
      <c r="DL61" s="847">
        <v>0</v>
      </c>
      <c r="DM61" s="847">
        <v>0</v>
      </c>
      <c r="DN61" s="847">
        <v>0</v>
      </c>
      <c r="DO61" s="847">
        <v>0</v>
      </c>
      <c r="DP61" s="847">
        <v>0</v>
      </c>
      <c r="DQ61" s="847">
        <v>0</v>
      </c>
      <c r="DR61" s="847">
        <v>0</v>
      </c>
      <c r="DS61" s="847">
        <v>0</v>
      </c>
      <c r="DT61" s="847">
        <v>0</v>
      </c>
      <c r="DU61" s="847">
        <v>0</v>
      </c>
      <c r="DV61" s="847">
        <v>0</v>
      </c>
      <c r="DW61" s="847">
        <v>0</v>
      </c>
      <c r="DY61" s="173"/>
      <c r="DZ61" s="173"/>
      <c r="EA61" s="173"/>
      <c r="EB61" s="174"/>
      <c r="EC61" s="175"/>
      <c r="ED61" s="174"/>
      <c r="EE61" s="174"/>
      <c r="EF61" s="174"/>
      <c r="EG61" s="174"/>
      <c r="EH61" s="174"/>
      <c r="EI61" s="174"/>
      <c r="EJ61" s="174"/>
      <c r="EK61" s="174"/>
      <c r="EL61" s="174"/>
      <c r="EM61" s="174"/>
      <c r="EN61" s="174"/>
      <c r="EO61" s="174"/>
      <c r="EP61" s="174"/>
      <c r="EQ61" s="174"/>
      <c r="ER61" s="174"/>
      <c r="ES61" s="174"/>
      <c r="ET61" s="174"/>
      <c r="EU61" s="174"/>
      <c r="EV61" s="174"/>
      <c r="EW61" s="174"/>
      <c r="EX61" s="174"/>
      <c r="EY61" s="174"/>
      <c r="EZ61" s="174"/>
      <c r="FA61" s="174"/>
      <c r="FB61" s="174"/>
      <c r="FC61" s="174"/>
      <c r="FD61" s="174"/>
      <c r="FE61" s="174"/>
      <c r="FF61" s="174"/>
      <c r="FG61" s="174"/>
      <c r="FH61" s="174"/>
      <c r="FI61" s="174"/>
      <c r="FJ61" s="174"/>
      <c r="FK61" s="174"/>
      <c r="FL61" s="174"/>
      <c r="FM61" s="174"/>
      <c r="FN61" s="174"/>
      <c r="FO61" s="174"/>
      <c r="FP61" s="174"/>
      <c r="FQ61" s="174"/>
      <c r="FR61" s="174"/>
      <c r="FS61" s="174"/>
      <c r="FT61" s="174"/>
      <c r="FU61" s="174"/>
      <c r="FV61" s="174"/>
      <c r="FW61" s="174"/>
      <c r="FX61" s="174"/>
      <c r="FY61" s="174"/>
      <c r="FZ61" s="174"/>
      <c r="GA61" s="174"/>
      <c r="GB61" s="174"/>
      <c r="GC61" s="174"/>
      <c r="GD61" s="174"/>
      <c r="GE61" s="176"/>
      <c r="GF61" s="176"/>
      <c r="GG61" s="176"/>
      <c r="GH61" s="176"/>
      <c r="GI61" s="176"/>
      <c r="GJ61" s="176"/>
      <c r="GK61" s="176"/>
      <c r="GL61" s="176"/>
      <c r="GM61" s="176"/>
      <c r="GN61" s="176"/>
      <c r="GO61" s="176"/>
      <c r="GP61" s="176"/>
      <c r="GQ61" s="176"/>
      <c r="GR61" s="176"/>
      <c r="GS61" s="176"/>
      <c r="GT61" s="176"/>
      <c r="GU61" s="176"/>
      <c r="GV61" s="176"/>
      <c r="GW61" s="176"/>
      <c r="GX61" s="176"/>
      <c r="GY61" s="176"/>
      <c r="GZ61" s="176"/>
      <c r="HA61" s="176"/>
      <c r="HB61" s="176"/>
      <c r="HC61" s="176"/>
      <c r="HD61" s="176"/>
      <c r="HE61" s="176"/>
      <c r="HF61" s="176"/>
      <c r="HG61" s="176"/>
      <c r="HH61" s="176"/>
      <c r="HI61" s="176"/>
      <c r="HJ61" s="176"/>
      <c r="HK61" s="176"/>
      <c r="HL61" s="176"/>
      <c r="HM61" s="176"/>
      <c r="HN61" s="176"/>
      <c r="HO61" s="176"/>
      <c r="HP61" s="176"/>
      <c r="HQ61" s="176"/>
      <c r="HR61" s="176"/>
      <c r="HS61" s="176"/>
      <c r="HT61" s="176"/>
      <c r="HU61" s="176"/>
      <c r="HV61" s="176"/>
      <c r="HW61" s="176"/>
      <c r="HX61" s="176"/>
      <c r="HY61" s="176"/>
      <c r="HZ61" s="176"/>
      <c r="IA61" s="176"/>
      <c r="IB61" s="176"/>
      <c r="IC61" s="176"/>
      <c r="ID61" s="176"/>
      <c r="IE61" s="176"/>
      <c r="IF61" s="176"/>
      <c r="IG61" s="176"/>
      <c r="IH61" s="176"/>
      <c r="II61" s="176"/>
      <c r="IJ61" s="176"/>
    </row>
    <row r="62" spans="1:244" ht="16.5" hidden="1">
      <c r="A62" s="846" t="s">
        <v>1060</v>
      </c>
      <c r="B62" s="846" t="s">
        <v>1382</v>
      </c>
      <c r="C62" s="846" t="s">
        <v>1171</v>
      </c>
      <c r="D62" s="847">
        <v>6</v>
      </c>
      <c r="E62" s="846" t="s">
        <v>1171</v>
      </c>
      <c r="F62" s="846" t="s">
        <v>96</v>
      </c>
      <c r="G62" s="851"/>
      <c r="H62" s="847">
        <v>59</v>
      </c>
      <c r="I62" s="780" t="str">
        <f t="shared" si="0"/>
        <v>IWT060159</v>
      </c>
      <c r="J62" s="847">
        <v>5095</v>
      </c>
      <c r="L62" s="846" t="s">
        <v>1060</v>
      </c>
      <c r="M62" s="846" t="s">
        <v>1382</v>
      </c>
      <c r="N62" s="846" t="s">
        <v>96</v>
      </c>
      <c r="O62" s="847">
        <v>59</v>
      </c>
      <c r="P62" s="780" t="str">
        <f t="shared" si="1"/>
        <v>IWT060159</v>
      </c>
      <c r="Q62" s="847">
        <v>1051</v>
      </c>
      <c r="R62" s="847">
        <v>2905</v>
      </c>
      <c r="S62" s="847">
        <v>4721</v>
      </c>
      <c r="T62" s="847">
        <v>6501</v>
      </c>
      <c r="U62" s="847">
        <v>8245</v>
      </c>
      <c r="V62" s="847">
        <v>0</v>
      </c>
      <c r="W62" s="847">
        <v>0</v>
      </c>
      <c r="X62" s="847">
        <v>0</v>
      </c>
      <c r="Y62" s="847">
        <v>0</v>
      </c>
      <c r="Z62" s="847">
        <v>0</v>
      </c>
      <c r="AA62" s="847">
        <v>0</v>
      </c>
      <c r="AB62" s="847">
        <v>0</v>
      </c>
      <c r="AC62" s="847">
        <v>0</v>
      </c>
      <c r="AD62" s="847">
        <v>0</v>
      </c>
      <c r="AE62" s="847">
        <v>0</v>
      </c>
      <c r="AF62" s="847">
        <v>0</v>
      </c>
      <c r="AG62" s="847">
        <v>0</v>
      </c>
      <c r="AH62" s="847">
        <v>0</v>
      </c>
      <c r="AI62" s="847">
        <v>0</v>
      </c>
      <c r="AJ62" s="847">
        <v>0</v>
      </c>
      <c r="AK62" s="847">
        <v>0</v>
      </c>
      <c r="AL62" s="847">
        <v>0</v>
      </c>
      <c r="AM62" s="847">
        <v>0</v>
      </c>
      <c r="AN62" s="847">
        <v>0</v>
      </c>
      <c r="AO62" s="847">
        <v>0</v>
      </c>
      <c r="AP62" s="847">
        <v>0</v>
      </c>
      <c r="AQ62" s="847">
        <v>0</v>
      </c>
      <c r="AR62" s="847">
        <v>0</v>
      </c>
      <c r="AS62" s="847">
        <v>0</v>
      </c>
      <c r="AT62" s="847">
        <v>0</v>
      </c>
      <c r="AU62" s="847">
        <v>0</v>
      </c>
      <c r="AV62" s="847">
        <v>0</v>
      </c>
      <c r="AW62" s="847">
        <v>0</v>
      </c>
      <c r="AX62" s="847">
        <v>0</v>
      </c>
      <c r="AY62" s="847">
        <v>0</v>
      </c>
      <c r="AZ62" s="847">
        <v>0</v>
      </c>
      <c r="BA62" s="847">
        <v>0</v>
      </c>
      <c r="BB62" s="847">
        <v>0</v>
      </c>
      <c r="BC62" s="847">
        <v>0</v>
      </c>
      <c r="BD62" s="847">
        <v>0</v>
      </c>
      <c r="BE62" s="847">
        <v>0</v>
      </c>
      <c r="BF62" s="847">
        <v>0</v>
      </c>
      <c r="BG62" s="847">
        <v>0</v>
      </c>
      <c r="BH62" s="847">
        <v>0</v>
      </c>
      <c r="BI62" s="847">
        <v>0</v>
      </c>
      <c r="BJ62" s="847">
        <v>0</v>
      </c>
      <c r="BK62" s="847">
        <v>0</v>
      </c>
      <c r="BL62" s="847">
        <v>0</v>
      </c>
      <c r="BM62" s="847">
        <v>0</v>
      </c>
      <c r="BN62" s="847">
        <v>0</v>
      </c>
      <c r="BO62" s="847">
        <v>0</v>
      </c>
      <c r="BP62" s="847">
        <v>0</v>
      </c>
      <c r="BQ62" s="847">
        <v>0</v>
      </c>
      <c r="BR62" s="847">
        <v>0</v>
      </c>
      <c r="BS62" s="847">
        <v>0</v>
      </c>
      <c r="BT62" s="847">
        <v>0</v>
      </c>
      <c r="BU62" s="847">
        <v>0</v>
      </c>
      <c r="BV62" s="847">
        <v>0</v>
      </c>
      <c r="BW62" s="847">
        <v>0</v>
      </c>
      <c r="BX62" s="847">
        <v>0</v>
      </c>
      <c r="BY62" s="847">
        <v>0</v>
      </c>
      <c r="BZ62" s="847">
        <v>0</v>
      </c>
      <c r="CA62" s="847">
        <v>0</v>
      </c>
      <c r="CB62" s="847">
        <v>0</v>
      </c>
      <c r="CC62" s="847">
        <v>0</v>
      </c>
      <c r="CD62" s="847">
        <v>0</v>
      </c>
      <c r="CE62" s="847">
        <v>0</v>
      </c>
      <c r="CF62" s="847">
        <v>0</v>
      </c>
      <c r="CG62" s="847">
        <v>0</v>
      </c>
      <c r="CH62" s="847">
        <v>0</v>
      </c>
      <c r="CI62" s="847">
        <v>0</v>
      </c>
      <c r="CJ62" s="847">
        <v>0</v>
      </c>
      <c r="CK62" s="847">
        <v>0</v>
      </c>
      <c r="CL62" s="847">
        <v>0</v>
      </c>
      <c r="CM62" s="847">
        <v>0</v>
      </c>
      <c r="CN62" s="847">
        <v>0</v>
      </c>
      <c r="CO62" s="847">
        <v>0</v>
      </c>
      <c r="CP62" s="847">
        <v>0</v>
      </c>
      <c r="CQ62" s="847">
        <v>0</v>
      </c>
      <c r="CR62" s="847">
        <v>0</v>
      </c>
      <c r="CS62" s="847">
        <v>0</v>
      </c>
      <c r="CT62" s="847">
        <v>0</v>
      </c>
      <c r="CU62" s="847">
        <v>0</v>
      </c>
      <c r="CV62" s="847">
        <v>0</v>
      </c>
      <c r="CW62" s="847">
        <v>0</v>
      </c>
      <c r="CX62" s="847">
        <v>0</v>
      </c>
      <c r="CY62" s="847">
        <v>0</v>
      </c>
      <c r="CZ62" s="847">
        <v>0</v>
      </c>
      <c r="DA62" s="847">
        <v>0</v>
      </c>
      <c r="DB62" s="847">
        <v>0</v>
      </c>
      <c r="DC62" s="847">
        <v>0</v>
      </c>
      <c r="DD62" s="847">
        <v>0</v>
      </c>
      <c r="DE62" s="847">
        <v>0</v>
      </c>
      <c r="DF62" s="847">
        <v>0</v>
      </c>
      <c r="DG62" s="847">
        <v>0</v>
      </c>
      <c r="DH62" s="847">
        <v>0</v>
      </c>
      <c r="DI62" s="847">
        <v>0</v>
      </c>
      <c r="DJ62" s="847">
        <v>0</v>
      </c>
      <c r="DK62" s="847">
        <v>0</v>
      </c>
      <c r="DL62" s="847">
        <v>0</v>
      </c>
      <c r="DM62" s="847">
        <v>0</v>
      </c>
      <c r="DN62" s="847">
        <v>0</v>
      </c>
      <c r="DO62" s="847">
        <v>0</v>
      </c>
      <c r="DP62" s="847">
        <v>0</v>
      </c>
      <c r="DQ62" s="847">
        <v>0</v>
      </c>
      <c r="DR62" s="847">
        <v>0</v>
      </c>
      <c r="DS62" s="847">
        <v>0</v>
      </c>
      <c r="DT62" s="847">
        <v>0</v>
      </c>
      <c r="DU62" s="847">
        <v>0</v>
      </c>
      <c r="DV62" s="847">
        <v>0</v>
      </c>
      <c r="DW62" s="847">
        <v>0</v>
      </c>
      <c r="DY62" s="173"/>
      <c r="DZ62" s="173"/>
      <c r="EA62" s="173"/>
      <c r="EB62" s="174"/>
      <c r="EC62" s="175"/>
      <c r="ED62" s="174"/>
      <c r="EE62" s="174"/>
      <c r="EF62" s="174"/>
      <c r="EG62" s="174"/>
      <c r="EH62" s="174"/>
      <c r="EI62" s="174"/>
      <c r="EJ62" s="174"/>
      <c r="EK62" s="174"/>
      <c r="EL62" s="174"/>
      <c r="EM62" s="174"/>
      <c r="EN62" s="174"/>
      <c r="EO62" s="174"/>
      <c r="EP62" s="174"/>
      <c r="EQ62" s="174"/>
      <c r="ER62" s="174"/>
      <c r="ES62" s="174"/>
      <c r="ET62" s="174"/>
      <c r="EU62" s="174"/>
      <c r="EV62" s="174"/>
      <c r="EW62" s="174"/>
      <c r="EX62" s="174"/>
      <c r="EY62" s="174"/>
      <c r="EZ62" s="174"/>
      <c r="FA62" s="174"/>
      <c r="FB62" s="174"/>
      <c r="FC62" s="174"/>
      <c r="FD62" s="174"/>
      <c r="FE62" s="174"/>
      <c r="FF62" s="174"/>
      <c r="FG62" s="174"/>
      <c r="FH62" s="174"/>
      <c r="FI62" s="174"/>
      <c r="FJ62" s="174"/>
      <c r="FK62" s="174"/>
      <c r="FL62" s="174"/>
      <c r="FM62" s="174"/>
      <c r="FN62" s="174"/>
      <c r="FO62" s="174"/>
      <c r="FP62" s="174"/>
      <c r="FQ62" s="174"/>
      <c r="FR62" s="174"/>
      <c r="FS62" s="174"/>
      <c r="FT62" s="174"/>
      <c r="FU62" s="174"/>
      <c r="FV62" s="174"/>
      <c r="FW62" s="174"/>
      <c r="FX62" s="174"/>
      <c r="FY62" s="174"/>
      <c r="FZ62" s="174"/>
      <c r="GA62" s="174"/>
      <c r="GB62" s="174"/>
      <c r="GC62" s="174"/>
      <c r="GD62" s="176"/>
      <c r="GE62" s="176"/>
      <c r="GF62" s="176"/>
      <c r="GG62" s="176"/>
      <c r="GH62" s="176"/>
      <c r="GI62" s="176"/>
      <c r="GJ62" s="176"/>
      <c r="GK62" s="176"/>
      <c r="GL62" s="176"/>
      <c r="GM62" s="176"/>
      <c r="GN62" s="176"/>
      <c r="GO62" s="176"/>
      <c r="GP62" s="176"/>
      <c r="GQ62" s="176"/>
      <c r="GR62" s="176"/>
      <c r="GS62" s="176"/>
      <c r="GT62" s="176"/>
      <c r="GU62" s="176"/>
      <c r="GV62" s="176"/>
      <c r="GW62" s="176"/>
      <c r="GX62" s="176"/>
      <c r="GY62" s="176"/>
      <c r="GZ62" s="176"/>
      <c r="HA62" s="176"/>
      <c r="HB62" s="176"/>
      <c r="HC62" s="176"/>
      <c r="HD62" s="176"/>
      <c r="HE62" s="176"/>
      <c r="HF62" s="176"/>
      <c r="HG62" s="176"/>
      <c r="HH62" s="176"/>
      <c r="HI62" s="176"/>
      <c r="HJ62" s="176"/>
      <c r="HK62" s="176"/>
      <c r="HL62" s="176"/>
      <c r="HM62" s="176"/>
      <c r="HN62" s="176"/>
      <c r="HO62" s="176"/>
      <c r="HP62" s="176"/>
      <c r="HQ62" s="176"/>
      <c r="HR62" s="176"/>
      <c r="HS62" s="176"/>
      <c r="HT62" s="176"/>
      <c r="HU62" s="176"/>
      <c r="HV62" s="176"/>
      <c r="HW62" s="176"/>
      <c r="HX62" s="176"/>
      <c r="HY62" s="176"/>
      <c r="HZ62" s="176"/>
      <c r="IA62" s="176"/>
      <c r="IB62" s="176"/>
      <c r="IC62" s="176"/>
      <c r="ID62" s="176"/>
      <c r="IE62" s="176"/>
      <c r="IF62" s="176"/>
      <c r="IG62" s="176"/>
      <c r="IH62" s="176"/>
      <c r="II62" s="176"/>
      <c r="IJ62" s="176"/>
    </row>
    <row r="63" spans="1:244" ht="16.5" hidden="1">
      <c r="A63" s="846" t="s">
        <v>1060</v>
      </c>
      <c r="B63" s="846" t="s">
        <v>1382</v>
      </c>
      <c r="C63" s="846" t="s">
        <v>1171</v>
      </c>
      <c r="D63" s="847">
        <v>6</v>
      </c>
      <c r="E63" s="846" t="s">
        <v>1171</v>
      </c>
      <c r="F63" s="846" t="s">
        <v>96</v>
      </c>
      <c r="G63" s="851"/>
      <c r="H63" s="847">
        <v>60</v>
      </c>
      <c r="I63" s="780" t="str">
        <f t="shared" si="0"/>
        <v>IWT060160</v>
      </c>
      <c r="J63" s="847">
        <v>5100</v>
      </c>
      <c r="L63" s="846" t="s">
        <v>1060</v>
      </c>
      <c r="M63" s="846" t="s">
        <v>1382</v>
      </c>
      <c r="N63" s="846" t="s">
        <v>96</v>
      </c>
      <c r="O63" s="847">
        <v>60</v>
      </c>
      <c r="P63" s="780" t="str">
        <f t="shared" si="1"/>
        <v>IWT060160</v>
      </c>
      <c r="Q63" s="847">
        <v>1045</v>
      </c>
      <c r="R63" s="847">
        <v>2900</v>
      </c>
      <c r="S63" s="847">
        <v>4718</v>
      </c>
      <c r="T63" s="847">
        <v>6498</v>
      </c>
      <c r="U63" s="847">
        <v>8243</v>
      </c>
      <c r="V63" s="847">
        <v>0</v>
      </c>
      <c r="W63" s="847">
        <v>0</v>
      </c>
      <c r="X63" s="847">
        <v>0</v>
      </c>
      <c r="Y63" s="847">
        <v>0</v>
      </c>
      <c r="Z63" s="847">
        <v>0</v>
      </c>
      <c r="AA63" s="847">
        <v>0</v>
      </c>
      <c r="AB63" s="847">
        <v>0</v>
      </c>
      <c r="AC63" s="847">
        <v>0</v>
      </c>
      <c r="AD63" s="847">
        <v>0</v>
      </c>
      <c r="AE63" s="847">
        <v>0</v>
      </c>
      <c r="AF63" s="847">
        <v>0</v>
      </c>
      <c r="AG63" s="847">
        <v>0</v>
      </c>
      <c r="AH63" s="847">
        <v>0</v>
      </c>
      <c r="AI63" s="847">
        <v>0</v>
      </c>
      <c r="AJ63" s="847">
        <v>0</v>
      </c>
      <c r="AK63" s="847">
        <v>0</v>
      </c>
      <c r="AL63" s="847">
        <v>0</v>
      </c>
      <c r="AM63" s="847">
        <v>0</v>
      </c>
      <c r="AN63" s="847">
        <v>0</v>
      </c>
      <c r="AO63" s="847">
        <v>0</v>
      </c>
      <c r="AP63" s="847">
        <v>0</v>
      </c>
      <c r="AQ63" s="847">
        <v>0</v>
      </c>
      <c r="AR63" s="847">
        <v>0</v>
      </c>
      <c r="AS63" s="847">
        <v>0</v>
      </c>
      <c r="AT63" s="847">
        <v>0</v>
      </c>
      <c r="AU63" s="847">
        <v>0</v>
      </c>
      <c r="AV63" s="847">
        <v>0</v>
      </c>
      <c r="AW63" s="847">
        <v>0</v>
      </c>
      <c r="AX63" s="847">
        <v>0</v>
      </c>
      <c r="AY63" s="847">
        <v>0</v>
      </c>
      <c r="AZ63" s="847">
        <v>0</v>
      </c>
      <c r="BA63" s="847">
        <v>0</v>
      </c>
      <c r="BB63" s="847">
        <v>0</v>
      </c>
      <c r="BC63" s="847">
        <v>0</v>
      </c>
      <c r="BD63" s="847">
        <v>0</v>
      </c>
      <c r="BE63" s="847">
        <v>0</v>
      </c>
      <c r="BF63" s="847">
        <v>0</v>
      </c>
      <c r="BG63" s="847">
        <v>0</v>
      </c>
      <c r="BH63" s="847">
        <v>0</v>
      </c>
      <c r="BI63" s="847">
        <v>0</v>
      </c>
      <c r="BJ63" s="847">
        <v>0</v>
      </c>
      <c r="BK63" s="847">
        <v>0</v>
      </c>
      <c r="BL63" s="847">
        <v>0</v>
      </c>
      <c r="BM63" s="847">
        <v>0</v>
      </c>
      <c r="BN63" s="847">
        <v>0</v>
      </c>
      <c r="BO63" s="847">
        <v>0</v>
      </c>
      <c r="BP63" s="847">
        <v>0</v>
      </c>
      <c r="BQ63" s="847">
        <v>0</v>
      </c>
      <c r="BR63" s="847">
        <v>0</v>
      </c>
      <c r="BS63" s="847">
        <v>0</v>
      </c>
      <c r="BT63" s="847">
        <v>0</v>
      </c>
      <c r="BU63" s="847">
        <v>0</v>
      </c>
      <c r="BV63" s="847">
        <v>0</v>
      </c>
      <c r="BW63" s="847">
        <v>0</v>
      </c>
      <c r="BX63" s="847">
        <v>0</v>
      </c>
      <c r="BY63" s="847">
        <v>0</v>
      </c>
      <c r="BZ63" s="847">
        <v>0</v>
      </c>
      <c r="CA63" s="847">
        <v>0</v>
      </c>
      <c r="CB63" s="847">
        <v>0</v>
      </c>
      <c r="CC63" s="847">
        <v>0</v>
      </c>
      <c r="CD63" s="847">
        <v>0</v>
      </c>
      <c r="CE63" s="847">
        <v>0</v>
      </c>
      <c r="CF63" s="847">
        <v>0</v>
      </c>
      <c r="CG63" s="847">
        <v>0</v>
      </c>
      <c r="CH63" s="847">
        <v>0</v>
      </c>
      <c r="CI63" s="847">
        <v>0</v>
      </c>
      <c r="CJ63" s="847">
        <v>0</v>
      </c>
      <c r="CK63" s="847">
        <v>0</v>
      </c>
      <c r="CL63" s="847">
        <v>0</v>
      </c>
      <c r="CM63" s="847">
        <v>0</v>
      </c>
      <c r="CN63" s="847">
        <v>0</v>
      </c>
      <c r="CO63" s="847">
        <v>0</v>
      </c>
      <c r="CP63" s="847">
        <v>0</v>
      </c>
      <c r="CQ63" s="847">
        <v>0</v>
      </c>
      <c r="CR63" s="847">
        <v>0</v>
      </c>
      <c r="CS63" s="847">
        <v>0</v>
      </c>
      <c r="CT63" s="847">
        <v>0</v>
      </c>
      <c r="CU63" s="847">
        <v>0</v>
      </c>
      <c r="CV63" s="847">
        <v>0</v>
      </c>
      <c r="CW63" s="847">
        <v>0</v>
      </c>
      <c r="CX63" s="847">
        <v>0</v>
      </c>
      <c r="CY63" s="847">
        <v>0</v>
      </c>
      <c r="CZ63" s="847">
        <v>0</v>
      </c>
      <c r="DA63" s="847">
        <v>0</v>
      </c>
      <c r="DB63" s="847">
        <v>0</v>
      </c>
      <c r="DC63" s="847">
        <v>0</v>
      </c>
      <c r="DD63" s="847">
        <v>0</v>
      </c>
      <c r="DE63" s="847">
        <v>0</v>
      </c>
      <c r="DF63" s="847">
        <v>0</v>
      </c>
      <c r="DG63" s="847">
        <v>0</v>
      </c>
      <c r="DH63" s="847">
        <v>0</v>
      </c>
      <c r="DI63" s="847">
        <v>0</v>
      </c>
      <c r="DJ63" s="847">
        <v>0</v>
      </c>
      <c r="DK63" s="847">
        <v>0</v>
      </c>
      <c r="DL63" s="847">
        <v>0</v>
      </c>
      <c r="DM63" s="847">
        <v>0</v>
      </c>
      <c r="DN63" s="847">
        <v>0</v>
      </c>
      <c r="DO63" s="847">
        <v>0</v>
      </c>
      <c r="DP63" s="847">
        <v>0</v>
      </c>
      <c r="DQ63" s="847">
        <v>0</v>
      </c>
      <c r="DR63" s="847">
        <v>0</v>
      </c>
      <c r="DS63" s="847">
        <v>0</v>
      </c>
      <c r="DT63" s="847">
        <v>0</v>
      </c>
      <c r="DU63" s="847">
        <v>0</v>
      </c>
      <c r="DV63" s="847">
        <v>0</v>
      </c>
      <c r="DW63" s="847">
        <v>0</v>
      </c>
      <c r="DY63" s="173"/>
      <c r="DZ63" s="173"/>
      <c r="EA63" s="173"/>
      <c r="EB63" s="174"/>
      <c r="EC63" s="175"/>
      <c r="ED63" s="174"/>
      <c r="EE63" s="174"/>
      <c r="EF63" s="174"/>
      <c r="EG63" s="174"/>
      <c r="EH63" s="174"/>
      <c r="EI63" s="174"/>
      <c r="EJ63" s="174"/>
      <c r="EK63" s="174"/>
      <c r="EL63" s="174"/>
      <c r="EM63" s="174"/>
      <c r="EN63" s="174"/>
      <c r="EO63" s="174"/>
      <c r="EP63" s="174"/>
      <c r="EQ63" s="174"/>
      <c r="ER63" s="174"/>
      <c r="ES63" s="174"/>
      <c r="ET63" s="174"/>
      <c r="EU63" s="174"/>
      <c r="EV63" s="174"/>
      <c r="EW63" s="174"/>
      <c r="EX63" s="174"/>
      <c r="EY63" s="174"/>
      <c r="EZ63" s="174"/>
      <c r="FA63" s="174"/>
      <c r="FB63" s="174"/>
      <c r="FC63" s="174"/>
      <c r="FD63" s="174"/>
      <c r="FE63" s="174"/>
      <c r="FF63" s="174"/>
      <c r="FG63" s="174"/>
      <c r="FH63" s="174"/>
      <c r="FI63" s="174"/>
      <c r="FJ63" s="174"/>
      <c r="FK63" s="174"/>
      <c r="FL63" s="174"/>
      <c r="FM63" s="174"/>
      <c r="FN63" s="174"/>
      <c r="FO63" s="174"/>
      <c r="FP63" s="174"/>
      <c r="FQ63" s="174"/>
      <c r="FR63" s="174"/>
      <c r="FS63" s="174"/>
      <c r="FT63" s="174"/>
      <c r="FU63" s="174"/>
      <c r="FV63" s="174"/>
      <c r="FW63" s="174"/>
      <c r="FX63" s="174"/>
      <c r="FY63" s="174"/>
      <c r="FZ63" s="174"/>
      <c r="GA63" s="174"/>
      <c r="GB63" s="174"/>
      <c r="GC63" s="176"/>
      <c r="GD63" s="176"/>
      <c r="GE63" s="176"/>
      <c r="GF63" s="176"/>
      <c r="GG63" s="176"/>
      <c r="GH63" s="176"/>
      <c r="GI63" s="176"/>
      <c r="GJ63" s="176"/>
      <c r="GK63" s="176"/>
      <c r="GL63" s="176"/>
      <c r="GM63" s="176"/>
      <c r="GN63" s="176"/>
      <c r="GO63" s="176"/>
      <c r="GP63" s="176"/>
      <c r="GQ63" s="176"/>
      <c r="GR63" s="176"/>
      <c r="GS63" s="176"/>
      <c r="GT63" s="176"/>
      <c r="GU63" s="176"/>
      <c r="GV63" s="176"/>
      <c r="GW63" s="176"/>
      <c r="GX63" s="176"/>
      <c r="GY63" s="176"/>
      <c r="GZ63" s="176"/>
      <c r="HA63" s="176"/>
      <c r="HB63" s="176"/>
      <c r="HC63" s="176"/>
      <c r="HD63" s="176"/>
      <c r="HE63" s="176"/>
      <c r="HF63" s="176"/>
      <c r="HG63" s="176"/>
      <c r="HH63" s="176"/>
      <c r="HI63" s="176"/>
      <c r="HJ63" s="176"/>
      <c r="HK63" s="176"/>
      <c r="HL63" s="176"/>
      <c r="HM63" s="176"/>
      <c r="HN63" s="176"/>
      <c r="HO63" s="176"/>
      <c r="HP63" s="176"/>
      <c r="HQ63" s="176"/>
      <c r="HR63" s="176"/>
      <c r="HS63" s="176"/>
      <c r="HT63" s="176"/>
      <c r="HU63" s="176"/>
      <c r="HV63" s="176"/>
      <c r="HW63" s="176"/>
      <c r="HX63" s="176"/>
      <c r="HY63" s="176"/>
      <c r="HZ63" s="176"/>
      <c r="IA63" s="176"/>
      <c r="IB63" s="176"/>
      <c r="IC63" s="176"/>
      <c r="ID63" s="176"/>
      <c r="IE63" s="176"/>
      <c r="IF63" s="176"/>
      <c r="IG63" s="176"/>
      <c r="IH63" s="176"/>
      <c r="II63" s="176"/>
      <c r="IJ63" s="176"/>
    </row>
    <row r="64" spans="1:244" ht="16.5" hidden="1">
      <c r="A64" s="846" t="s">
        <v>1060</v>
      </c>
      <c r="B64" s="846" t="s">
        <v>1382</v>
      </c>
      <c r="C64" s="846" t="s">
        <v>1171</v>
      </c>
      <c r="D64" s="847">
        <v>6</v>
      </c>
      <c r="E64" s="846" t="s">
        <v>1171</v>
      </c>
      <c r="F64" s="846" t="s">
        <v>96</v>
      </c>
      <c r="G64" s="851"/>
      <c r="H64" s="847">
        <v>61</v>
      </c>
      <c r="I64" s="780" t="str">
        <f t="shared" si="0"/>
        <v>IWT060161</v>
      </c>
      <c r="J64" s="847">
        <v>5105</v>
      </c>
      <c r="L64" s="846" t="s">
        <v>1060</v>
      </c>
      <c r="M64" s="846" t="s">
        <v>1382</v>
      </c>
      <c r="N64" s="846" t="s">
        <v>96</v>
      </c>
      <c r="O64" s="847">
        <v>61</v>
      </c>
      <c r="P64" s="780" t="str">
        <f t="shared" si="1"/>
        <v>IWT060161</v>
      </c>
      <c r="Q64" s="847">
        <v>1039</v>
      </c>
      <c r="R64" s="847">
        <v>2895</v>
      </c>
      <c r="S64" s="847">
        <v>4714</v>
      </c>
      <c r="T64" s="847">
        <v>6495</v>
      </c>
      <c r="U64" s="847">
        <v>8241</v>
      </c>
      <c r="V64" s="847">
        <v>0</v>
      </c>
      <c r="W64" s="847">
        <v>0</v>
      </c>
      <c r="X64" s="847">
        <v>0</v>
      </c>
      <c r="Y64" s="847">
        <v>0</v>
      </c>
      <c r="Z64" s="847">
        <v>0</v>
      </c>
      <c r="AA64" s="847">
        <v>0</v>
      </c>
      <c r="AB64" s="847">
        <v>0</v>
      </c>
      <c r="AC64" s="847">
        <v>0</v>
      </c>
      <c r="AD64" s="847">
        <v>0</v>
      </c>
      <c r="AE64" s="847">
        <v>0</v>
      </c>
      <c r="AF64" s="847">
        <v>0</v>
      </c>
      <c r="AG64" s="847">
        <v>0</v>
      </c>
      <c r="AH64" s="847">
        <v>0</v>
      </c>
      <c r="AI64" s="847">
        <v>0</v>
      </c>
      <c r="AJ64" s="847">
        <v>0</v>
      </c>
      <c r="AK64" s="847">
        <v>0</v>
      </c>
      <c r="AL64" s="847">
        <v>0</v>
      </c>
      <c r="AM64" s="847">
        <v>0</v>
      </c>
      <c r="AN64" s="847">
        <v>0</v>
      </c>
      <c r="AO64" s="847">
        <v>0</v>
      </c>
      <c r="AP64" s="847">
        <v>0</v>
      </c>
      <c r="AQ64" s="847">
        <v>0</v>
      </c>
      <c r="AR64" s="847">
        <v>0</v>
      </c>
      <c r="AS64" s="847">
        <v>0</v>
      </c>
      <c r="AT64" s="847">
        <v>0</v>
      </c>
      <c r="AU64" s="847">
        <v>0</v>
      </c>
      <c r="AV64" s="847">
        <v>0</v>
      </c>
      <c r="AW64" s="847">
        <v>0</v>
      </c>
      <c r="AX64" s="847">
        <v>0</v>
      </c>
      <c r="AY64" s="847">
        <v>0</v>
      </c>
      <c r="AZ64" s="847">
        <v>0</v>
      </c>
      <c r="BA64" s="847">
        <v>0</v>
      </c>
      <c r="BB64" s="847">
        <v>0</v>
      </c>
      <c r="BC64" s="847">
        <v>0</v>
      </c>
      <c r="BD64" s="847">
        <v>0</v>
      </c>
      <c r="BE64" s="847">
        <v>0</v>
      </c>
      <c r="BF64" s="847">
        <v>0</v>
      </c>
      <c r="BG64" s="847">
        <v>0</v>
      </c>
      <c r="BH64" s="847">
        <v>0</v>
      </c>
      <c r="BI64" s="847">
        <v>0</v>
      </c>
      <c r="BJ64" s="847">
        <v>0</v>
      </c>
      <c r="BK64" s="847">
        <v>0</v>
      </c>
      <c r="BL64" s="847">
        <v>0</v>
      </c>
      <c r="BM64" s="847">
        <v>0</v>
      </c>
      <c r="BN64" s="847">
        <v>0</v>
      </c>
      <c r="BO64" s="847">
        <v>0</v>
      </c>
      <c r="BP64" s="847">
        <v>0</v>
      </c>
      <c r="BQ64" s="847">
        <v>0</v>
      </c>
      <c r="BR64" s="847">
        <v>0</v>
      </c>
      <c r="BS64" s="847">
        <v>0</v>
      </c>
      <c r="BT64" s="847">
        <v>0</v>
      </c>
      <c r="BU64" s="847">
        <v>0</v>
      </c>
      <c r="BV64" s="847">
        <v>0</v>
      </c>
      <c r="BW64" s="847">
        <v>0</v>
      </c>
      <c r="BX64" s="847">
        <v>0</v>
      </c>
      <c r="BY64" s="847">
        <v>0</v>
      </c>
      <c r="BZ64" s="847">
        <v>0</v>
      </c>
      <c r="CA64" s="847">
        <v>0</v>
      </c>
      <c r="CB64" s="847">
        <v>0</v>
      </c>
      <c r="CC64" s="847">
        <v>0</v>
      </c>
      <c r="CD64" s="847">
        <v>0</v>
      </c>
      <c r="CE64" s="847">
        <v>0</v>
      </c>
      <c r="CF64" s="847">
        <v>0</v>
      </c>
      <c r="CG64" s="847">
        <v>0</v>
      </c>
      <c r="CH64" s="847">
        <v>0</v>
      </c>
      <c r="CI64" s="847">
        <v>0</v>
      </c>
      <c r="CJ64" s="847">
        <v>0</v>
      </c>
      <c r="CK64" s="847">
        <v>0</v>
      </c>
      <c r="CL64" s="847">
        <v>0</v>
      </c>
      <c r="CM64" s="847">
        <v>0</v>
      </c>
      <c r="CN64" s="847">
        <v>0</v>
      </c>
      <c r="CO64" s="847">
        <v>0</v>
      </c>
      <c r="CP64" s="847">
        <v>0</v>
      </c>
      <c r="CQ64" s="847">
        <v>0</v>
      </c>
      <c r="CR64" s="847">
        <v>0</v>
      </c>
      <c r="CS64" s="847">
        <v>0</v>
      </c>
      <c r="CT64" s="847">
        <v>0</v>
      </c>
      <c r="CU64" s="847">
        <v>0</v>
      </c>
      <c r="CV64" s="847">
        <v>0</v>
      </c>
      <c r="CW64" s="847">
        <v>0</v>
      </c>
      <c r="CX64" s="847">
        <v>0</v>
      </c>
      <c r="CY64" s="847">
        <v>0</v>
      </c>
      <c r="CZ64" s="847">
        <v>0</v>
      </c>
      <c r="DA64" s="847">
        <v>0</v>
      </c>
      <c r="DB64" s="847">
        <v>0</v>
      </c>
      <c r="DC64" s="847">
        <v>0</v>
      </c>
      <c r="DD64" s="847">
        <v>0</v>
      </c>
      <c r="DE64" s="847">
        <v>0</v>
      </c>
      <c r="DF64" s="847">
        <v>0</v>
      </c>
      <c r="DG64" s="847">
        <v>0</v>
      </c>
      <c r="DH64" s="847">
        <v>0</v>
      </c>
      <c r="DI64" s="847">
        <v>0</v>
      </c>
      <c r="DJ64" s="847">
        <v>0</v>
      </c>
      <c r="DK64" s="847">
        <v>0</v>
      </c>
      <c r="DL64" s="847">
        <v>0</v>
      </c>
      <c r="DM64" s="847">
        <v>0</v>
      </c>
      <c r="DN64" s="847">
        <v>0</v>
      </c>
      <c r="DO64" s="847">
        <v>0</v>
      </c>
      <c r="DP64" s="847">
        <v>0</v>
      </c>
      <c r="DQ64" s="847">
        <v>0</v>
      </c>
      <c r="DR64" s="847">
        <v>0</v>
      </c>
      <c r="DS64" s="847">
        <v>0</v>
      </c>
      <c r="DT64" s="847">
        <v>0</v>
      </c>
      <c r="DU64" s="847">
        <v>0</v>
      </c>
      <c r="DV64" s="847">
        <v>0</v>
      </c>
      <c r="DW64" s="847">
        <v>0</v>
      </c>
      <c r="DY64" s="173"/>
      <c r="DZ64" s="173"/>
      <c r="EA64" s="173"/>
      <c r="EB64" s="174"/>
      <c r="EC64" s="175"/>
      <c r="ED64" s="174"/>
      <c r="EE64" s="174"/>
      <c r="EF64" s="174"/>
      <c r="EG64" s="174"/>
      <c r="EH64" s="174"/>
      <c r="EI64" s="174"/>
      <c r="EJ64" s="174"/>
      <c r="EK64" s="174"/>
      <c r="EL64" s="174"/>
      <c r="EM64" s="174"/>
      <c r="EN64" s="174"/>
      <c r="EO64" s="174"/>
      <c r="EP64" s="174"/>
      <c r="EQ64" s="174"/>
      <c r="ER64" s="174"/>
      <c r="ES64" s="174"/>
      <c r="ET64" s="174"/>
      <c r="EU64" s="174"/>
      <c r="EV64" s="174"/>
      <c r="EW64" s="174"/>
      <c r="EX64" s="174"/>
      <c r="EY64" s="174"/>
      <c r="EZ64" s="174"/>
      <c r="FA64" s="174"/>
      <c r="FB64" s="174"/>
      <c r="FC64" s="174"/>
      <c r="FD64" s="174"/>
      <c r="FE64" s="174"/>
      <c r="FF64" s="174"/>
      <c r="FG64" s="174"/>
      <c r="FH64" s="174"/>
      <c r="FI64" s="174"/>
      <c r="FJ64" s="174"/>
      <c r="FK64" s="174"/>
      <c r="FL64" s="174"/>
      <c r="FM64" s="174"/>
      <c r="FN64" s="174"/>
      <c r="FO64" s="174"/>
      <c r="FP64" s="174"/>
      <c r="FQ64" s="174"/>
      <c r="FR64" s="174"/>
      <c r="FS64" s="174"/>
      <c r="FT64" s="174"/>
      <c r="FU64" s="174"/>
      <c r="FV64" s="174"/>
      <c r="FW64" s="174"/>
      <c r="FX64" s="174"/>
      <c r="FY64" s="174"/>
      <c r="FZ64" s="174"/>
      <c r="GA64" s="174"/>
      <c r="GB64" s="176"/>
      <c r="GC64" s="176"/>
      <c r="GD64" s="176"/>
      <c r="GE64" s="176"/>
      <c r="GF64" s="176"/>
      <c r="GG64" s="176"/>
      <c r="GH64" s="176"/>
      <c r="GI64" s="176"/>
      <c r="GJ64" s="176"/>
      <c r="GK64" s="176"/>
      <c r="GL64" s="176"/>
      <c r="GM64" s="176"/>
      <c r="GN64" s="176"/>
      <c r="GO64" s="176"/>
      <c r="GP64" s="176"/>
      <c r="GQ64" s="176"/>
      <c r="GR64" s="176"/>
      <c r="GS64" s="176"/>
      <c r="GT64" s="176"/>
      <c r="GU64" s="176"/>
      <c r="GV64" s="176"/>
      <c r="GW64" s="176"/>
      <c r="GX64" s="176"/>
      <c r="GY64" s="176"/>
      <c r="GZ64" s="176"/>
      <c r="HA64" s="176"/>
      <c r="HB64" s="176"/>
      <c r="HC64" s="176"/>
      <c r="HD64" s="176"/>
      <c r="HE64" s="176"/>
      <c r="HF64" s="176"/>
      <c r="HG64" s="176"/>
      <c r="HH64" s="176"/>
      <c r="HI64" s="176"/>
      <c r="HJ64" s="176"/>
      <c r="HK64" s="176"/>
      <c r="HL64" s="176"/>
      <c r="HM64" s="176"/>
      <c r="HN64" s="176"/>
      <c r="HO64" s="176"/>
      <c r="HP64" s="176"/>
      <c r="HQ64" s="176"/>
      <c r="HR64" s="176"/>
      <c r="HS64" s="176"/>
      <c r="HT64" s="176"/>
      <c r="HU64" s="176"/>
      <c r="HV64" s="176"/>
      <c r="HW64" s="176"/>
      <c r="HX64" s="176"/>
      <c r="HY64" s="176"/>
      <c r="HZ64" s="176"/>
      <c r="IA64" s="176"/>
      <c r="IB64" s="176"/>
      <c r="IC64" s="176"/>
      <c r="ID64" s="176"/>
      <c r="IE64" s="176"/>
      <c r="IF64" s="176"/>
      <c r="IG64" s="176"/>
      <c r="IH64" s="176"/>
      <c r="II64" s="176"/>
      <c r="IJ64" s="176"/>
    </row>
    <row r="65" spans="1:244" ht="16.5" hidden="1">
      <c r="A65" s="846" t="s">
        <v>1060</v>
      </c>
      <c r="B65" s="846" t="s">
        <v>1382</v>
      </c>
      <c r="C65" s="846" t="s">
        <v>1171</v>
      </c>
      <c r="D65" s="847">
        <v>6</v>
      </c>
      <c r="E65" s="846" t="s">
        <v>1171</v>
      </c>
      <c r="F65" s="846" t="s">
        <v>96</v>
      </c>
      <c r="G65" s="851"/>
      <c r="H65" s="847">
        <v>62</v>
      </c>
      <c r="I65" s="780" t="str">
        <f t="shared" si="0"/>
        <v>IWT060162</v>
      </c>
      <c r="J65" s="847">
        <v>5110</v>
      </c>
      <c r="L65" s="846" t="s">
        <v>1060</v>
      </c>
      <c r="M65" s="846" t="s">
        <v>1382</v>
      </c>
      <c r="N65" s="846" t="s">
        <v>96</v>
      </c>
      <c r="O65" s="847">
        <v>62</v>
      </c>
      <c r="P65" s="780" t="str">
        <f t="shared" si="1"/>
        <v>IWT060162</v>
      </c>
      <c r="Q65" s="847">
        <v>1032</v>
      </c>
      <c r="R65" s="847">
        <v>2889</v>
      </c>
      <c r="S65" s="847">
        <v>4709</v>
      </c>
      <c r="T65" s="847">
        <v>6492</v>
      </c>
      <c r="U65" s="847">
        <v>8239</v>
      </c>
      <c r="V65" s="847">
        <v>0</v>
      </c>
      <c r="W65" s="847">
        <v>0</v>
      </c>
      <c r="X65" s="847">
        <v>0</v>
      </c>
      <c r="Y65" s="847">
        <v>0</v>
      </c>
      <c r="Z65" s="847">
        <v>0</v>
      </c>
      <c r="AA65" s="847">
        <v>0</v>
      </c>
      <c r="AB65" s="847">
        <v>0</v>
      </c>
      <c r="AC65" s="847">
        <v>0</v>
      </c>
      <c r="AD65" s="847">
        <v>0</v>
      </c>
      <c r="AE65" s="847">
        <v>0</v>
      </c>
      <c r="AF65" s="847">
        <v>0</v>
      </c>
      <c r="AG65" s="847">
        <v>0</v>
      </c>
      <c r="AH65" s="847">
        <v>0</v>
      </c>
      <c r="AI65" s="847">
        <v>0</v>
      </c>
      <c r="AJ65" s="847">
        <v>0</v>
      </c>
      <c r="AK65" s="847">
        <v>0</v>
      </c>
      <c r="AL65" s="847">
        <v>0</v>
      </c>
      <c r="AM65" s="847">
        <v>0</v>
      </c>
      <c r="AN65" s="847">
        <v>0</v>
      </c>
      <c r="AO65" s="847">
        <v>0</v>
      </c>
      <c r="AP65" s="847">
        <v>0</v>
      </c>
      <c r="AQ65" s="847">
        <v>0</v>
      </c>
      <c r="AR65" s="847">
        <v>0</v>
      </c>
      <c r="AS65" s="847">
        <v>0</v>
      </c>
      <c r="AT65" s="847">
        <v>0</v>
      </c>
      <c r="AU65" s="847">
        <v>0</v>
      </c>
      <c r="AV65" s="847">
        <v>0</v>
      </c>
      <c r="AW65" s="847">
        <v>0</v>
      </c>
      <c r="AX65" s="847">
        <v>0</v>
      </c>
      <c r="AY65" s="847">
        <v>0</v>
      </c>
      <c r="AZ65" s="847">
        <v>0</v>
      </c>
      <c r="BA65" s="847">
        <v>0</v>
      </c>
      <c r="BB65" s="847">
        <v>0</v>
      </c>
      <c r="BC65" s="847">
        <v>0</v>
      </c>
      <c r="BD65" s="847">
        <v>0</v>
      </c>
      <c r="BE65" s="847">
        <v>0</v>
      </c>
      <c r="BF65" s="847">
        <v>0</v>
      </c>
      <c r="BG65" s="847">
        <v>0</v>
      </c>
      <c r="BH65" s="847">
        <v>0</v>
      </c>
      <c r="BI65" s="847">
        <v>0</v>
      </c>
      <c r="BJ65" s="847">
        <v>0</v>
      </c>
      <c r="BK65" s="847">
        <v>0</v>
      </c>
      <c r="BL65" s="847">
        <v>0</v>
      </c>
      <c r="BM65" s="847">
        <v>0</v>
      </c>
      <c r="BN65" s="847">
        <v>0</v>
      </c>
      <c r="BO65" s="847">
        <v>0</v>
      </c>
      <c r="BP65" s="847">
        <v>0</v>
      </c>
      <c r="BQ65" s="847">
        <v>0</v>
      </c>
      <c r="BR65" s="847">
        <v>0</v>
      </c>
      <c r="BS65" s="847">
        <v>0</v>
      </c>
      <c r="BT65" s="847">
        <v>0</v>
      </c>
      <c r="BU65" s="847">
        <v>0</v>
      </c>
      <c r="BV65" s="847">
        <v>0</v>
      </c>
      <c r="BW65" s="847">
        <v>0</v>
      </c>
      <c r="BX65" s="847">
        <v>0</v>
      </c>
      <c r="BY65" s="847">
        <v>0</v>
      </c>
      <c r="BZ65" s="847">
        <v>0</v>
      </c>
      <c r="CA65" s="847">
        <v>0</v>
      </c>
      <c r="CB65" s="847">
        <v>0</v>
      </c>
      <c r="CC65" s="847">
        <v>0</v>
      </c>
      <c r="CD65" s="847">
        <v>0</v>
      </c>
      <c r="CE65" s="847">
        <v>0</v>
      </c>
      <c r="CF65" s="847">
        <v>0</v>
      </c>
      <c r="CG65" s="847">
        <v>0</v>
      </c>
      <c r="CH65" s="847">
        <v>0</v>
      </c>
      <c r="CI65" s="847">
        <v>0</v>
      </c>
      <c r="CJ65" s="847">
        <v>0</v>
      </c>
      <c r="CK65" s="847">
        <v>0</v>
      </c>
      <c r="CL65" s="847">
        <v>0</v>
      </c>
      <c r="CM65" s="847">
        <v>0</v>
      </c>
      <c r="CN65" s="847">
        <v>0</v>
      </c>
      <c r="CO65" s="847">
        <v>0</v>
      </c>
      <c r="CP65" s="847">
        <v>0</v>
      </c>
      <c r="CQ65" s="847">
        <v>0</v>
      </c>
      <c r="CR65" s="847">
        <v>0</v>
      </c>
      <c r="CS65" s="847">
        <v>0</v>
      </c>
      <c r="CT65" s="847">
        <v>0</v>
      </c>
      <c r="CU65" s="847">
        <v>0</v>
      </c>
      <c r="CV65" s="847">
        <v>0</v>
      </c>
      <c r="CW65" s="847">
        <v>0</v>
      </c>
      <c r="CX65" s="847">
        <v>0</v>
      </c>
      <c r="CY65" s="847">
        <v>0</v>
      </c>
      <c r="CZ65" s="847">
        <v>0</v>
      </c>
      <c r="DA65" s="847">
        <v>0</v>
      </c>
      <c r="DB65" s="847">
        <v>0</v>
      </c>
      <c r="DC65" s="847">
        <v>0</v>
      </c>
      <c r="DD65" s="847">
        <v>0</v>
      </c>
      <c r="DE65" s="847">
        <v>0</v>
      </c>
      <c r="DF65" s="847">
        <v>0</v>
      </c>
      <c r="DG65" s="847">
        <v>0</v>
      </c>
      <c r="DH65" s="847">
        <v>0</v>
      </c>
      <c r="DI65" s="847">
        <v>0</v>
      </c>
      <c r="DJ65" s="847">
        <v>0</v>
      </c>
      <c r="DK65" s="847">
        <v>0</v>
      </c>
      <c r="DL65" s="847">
        <v>0</v>
      </c>
      <c r="DM65" s="847">
        <v>0</v>
      </c>
      <c r="DN65" s="847">
        <v>0</v>
      </c>
      <c r="DO65" s="847">
        <v>0</v>
      </c>
      <c r="DP65" s="847">
        <v>0</v>
      </c>
      <c r="DQ65" s="847">
        <v>0</v>
      </c>
      <c r="DR65" s="847">
        <v>0</v>
      </c>
      <c r="DS65" s="847">
        <v>0</v>
      </c>
      <c r="DT65" s="847">
        <v>0</v>
      </c>
      <c r="DU65" s="847">
        <v>0</v>
      </c>
      <c r="DV65" s="847">
        <v>0</v>
      </c>
      <c r="DW65" s="847">
        <v>0</v>
      </c>
      <c r="DY65" s="173"/>
      <c r="DZ65" s="173"/>
      <c r="EA65" s="173"/>
      <c r="EB65" s="174"/>
      <c r="EC65" s="175"/>
      <c r="ED65" s="174"/>
      <c r="EE65" s="174"/>
      <c r="EF65" s="174"/>
      <c r="EG65" s="174"/>
      <c r="EH65" s="174"/>
      <c r="EI65" s="174"/>
      <c r="EJ65" s="174"/>
      <c r="EK65" s="174"/>
      <c r="EL65" s="174"/>
      <c r="EM65" s="174"/>
      <c r="EN65" s="174"/>
      <c r="EO65" s="174"/>
      <c r="EP65" s="174"/>
      <c r="EQ65" s="174"/>
      <c r="ER65" s="174"/>
      <c r="ES65" s="174"/>
      <c r="ET65" s="174"/>
      <c r="EU65" s="174"/>
      <c r="EV65" s="174"/>
      <c r="EW65" s="174"/>
      <c r="EX65" s="174"/>
      <c r="EY65" s="174"/>
      <c r="EZ65" s="174"/>
      <c r="FA65" s="174"/>
      <c r="FB65" s="174"/>
      <c r="FC65" s="174"/>
      <c r="FD65" s="174"/>
      <c r="FE65" s="174"/>
      <c r="FF65" s="174"/>
      <c r="FG65" s="174"/>
      <c r="FH65" s="174"/>
      <c r="FI65" s="174"/>
      <c r="FJ65" s="174"/>
      <c r="FK65" s="174"/>
      <c r="FL65" s="174"/>
      <c r="FM65" s="174"/>
      <c r="FN65" s="174"/>
      <c r="FO65" s="174"/>
      <c r="FP65" s="174"/>
      <c r="FQ65" s="174"/>
      <c r="FR65" s="174"/>
      <c r="FS65" s="174"/>
      <c r="FT65" s="174"/>
      <c r="FU65" s="174"/>
      <c r="FV65" s="174"/>
      <c r="FW65" s="174"/>
      <c r="FX65" s="174"/>
      <c r="FY65" s="174"/>
      <c r="FZ65" s="174"/>
      <c r="GA65" s="176"/>
      <c r="GB65" s="176"/>
      <c r="GC65" s="176"/>
      <c r="GD65" s="176"/>
      <c r="GE65" s="176"/>
      <c r="GF65" s="176"/>
      <c r="GG65" s="176"/>
      <c r="GH65" s="176"/>
      <c r="GI65" s="176"/>
      <c r="GJ65" s="176"/>
      <c r="GK65" s="176"/>
      <c r="GL65" s="176"/>
      <c r="GM65" s="176"/>
      <c r="GN65" s="176"/>
      <c r="GO65" s="176"/>
      <c r="GP65" s="176"/>
      <c r="GQ65" s="176"/>
      <c r="GR65" s="176"/>
      <c r="GS65" s="176"/>
      <c r="GT65" s="176"/>
      <c r="GU65" s="176"/>
      <c r="GV65" s="176"/>
      <c r="GW65" s="176"/>
      <c r="GX65" s="176"/>
      <c r="GY65" s="176"/>
      <c r="GZ65" s="176"/>
      <c r="HA65" s="176"/>
      <c r="HB65" s="176"/>
      <c r="HC65" s="176"/>
      <c r="HD65" s="176"/>
      <c r="HE65" s="176"/>
      <c r="HF65" s="176"/>
      <c r="HG65" s="176"/>
      <c r="HH65" s="176"/>
      <c r="HI65" s="176"/>
      <c r="HJ65" s="176"/>
      <c r="HK65" s="176"/>
      <c r="HL65" s="176"/>
      <c r="HM65" s="176"/>
      <c r="HN65" s="176"/>
      <c r="HO65" s="176"/>
      <c r="HP65" s="176"/>
      <c r="HQ65" s="176"/>
      <c r="HR65" s="176"/>
      <c r="HS65" s="176"/>
      <c r="HT65" s="176"/>
      <c r="HU65" s="176"/>
      <c r="HV65" s="176"/>
      <c r="HW65" s="176"/>
      <c r="HX65" s="176"/>
      <c r="HY65" s="176"/>
      <c r="HZ65" s="176"/>
      <c r="IA65" s="176"/>
      <c r="IB65" s="176"/>
      <c r="IC65" s="176"/>
      <c r="ID65" s="176"/>
      <c r="IE65" s="176"/>
      <c r="IF65" s="176"/>
      <c r="IG65" s="176"/>
      <c r="IH65" s="176"/>
      <c r="II65" s="176"/>
      <c r="IJ65" s="176"/>
    </row>
    <row r="66" spans="1:244" ht="16.5" hidden="1">
      <c r="A66" s="846" t="s">
        <v>1060</v>
      </c>
      <c r="B66" s="846" t="s">
        <v>1382</v>
      </c>
      <c r="C66" s="846" t="s">
        <v>1171</v>
      </c>
      <c r="D66" s="847">
        <v>6</v>
      </c>
      <c r="E66" s="846" t="s">
        <v>1171</v>
      </c>
      <c r="F66" s="846" t="s">
        <v>96</v>
      </c>
      <c r="G66" s="851"/>
      <c r="H66" s="847">
        <v>63</v>
      </c>
      <c r="I66" s="780" t="str">
        <f t="shared" ref="I66:I129" si="2">B66&amp;TEXT(F66,"00")&amp;TEXT(H66,"00")</f>
        <v>IWT060163</v>
      </c>
      <c r="J66" s="847">
        <v>5115</v>
      </c>
      <c r="L66" s="846" t="s">
        <v>1060</v>
      </c>
      <c r="M66" s="846" t="s">
        <v>1382</v>
      </c>
      <c r="N66" s="846" t="s">
        <v>96</v>
      </c>
      <c r="O66" s="847">
        <v>63</v>
      </c>
      <c r="P66" s="780" t="str">
        <f t="shared" ref="P66:P129" si="3">M66&amp;TEXT(N66,"00")&amp;TEXT(O66,"00")</f>
        <v>IWT060163</v>
      </c>
      <c r="Q66" s="847">
        <v>1024</v>
      </c>
      <c r="R66" s="847">
        <v>2883</v>
      </c>
      <c r="S66" s="847">
        <v>4704</v>
      </c>
      <c r="T66" s="847">
        <v>6488</v>
      </c>
      <c r="U66" s="847">
        <v>8236</v>
      </c>
      <c r="V66" s="847">
        <v>0</v>
      </c>
      <c r="W66" s="847">
        <v>0</v>
      </c>
      <c r="X66" s="847">
        <v>0</v>
      </c>
      <c r="Y66" s="847">
        <v>0</v>
      </c>
      <c r="Z66" s="847">
        <v>0</v>
      </c>
      <c r="AA66" s="847">
        <v>0</v>
      </c>
      <c r="AB66" s="847">
        <v>0</v>
      </c>
      <c r="AC66" s="847">
        <v>0</v>
      </c>
      <c r="AD66" s="847">
        <v>0</v>
      </c>
      <c r="AE66" s="847">
        <v>0</v>
      </c>
      <c r="AF66" s="847">
        <v>0</v>
      </c>
      <c r="AG66" s="847">
        <v>0</v>
      </c>
      <c r="AH66" s="847">
        <v>0</v>
      </c>
      <c r="AI66" s="847">
        <v>0</v>
      </c>
      <c r="AJ66" s="847">
        <v>0</v>
      </c>
      <c r="AK66" s="847">
        <v>0</v>
      </c>
      <c r="AL66" s="847">
        <v>0</v>
      </c>
      <c r="AM66" s="847">
        <v>0</v>
      </c>
      <c r="AN66" s="847">
        <v>0</v>
      </c>
      <c r="AO66" s="847">
        <v>0</v>
      </c>
      <c r="AP66" s="847">
        <v>0</v>
      </c>
      <c r="AQ66" s="847">
        <v>0</v>
      </c>
      <c r="AR66" s="847">
        <v>0</v>
      </c>
      <c r="AS66" s="847">
        <v>0</v>
      </c>
      <c r="AT66" s="847">
        <v>0</v>
      </c>
      <c r="AU66" s="847">
        <v>0</v>
      </c>
      <c r="AV66" s="847">
        <v>0</v>
      </c>
      <c r="AW66" s="847">
        <v>0</v>
      </c>
      <c r="AX66" s="847">
        <v>0</v>
      </c>
      <c r="AY66" s="847">
        <v>0</v>
      </c>
      <c r="AZ66" s="847">
        <v>0</v>
      </c>
      <c r="BA66" s="847">
        <v>0</v>
      </c>
      <c r="BB66" s="847">
        <v>0</v>
      </c>
      <c r="BC66" s="847">
        <v>0</v>
      </c>
      <c r="BD66" s="847">
        <v>0</v>
      </c>
      <c r="BE66" s="847">
        <v>0</v>
      </c>
      <c r="BF66" s="847">
        <v>0</v>
      </c>
      <c r="BG66" s="847">
        <v>0</v>
      </c>
      <c r="BH66" s="847">
        <v>0</v>
      </c>
      <c r="BI66" s="847">
        <v>0</v>
      </c>
      <c r="BJ66" s="847">
        <v>0</v>
      </c>
      <c r="BK66" s="847">
        <v>0</v>
      </c>
      <c r="BL66" s="847">
        <v>0</v>
      </c>
      <c r="BM66" s="847">
        <v>0</v>
      </c>
      <c r="BN66" s="847">
        <v>0</v>
      </c>
      <c r="BO66" s="847">
        <v>0</v>
      </c>
      <c r="BP66" s="847">
        <v>0</v>
      </c>
      <c r="BQ66" s="847">
        <v>0</v>
      </c>
      <c r="BR66" s="847">
        <v>0</v>
      </c>
      <c r="BS66" s="847">
        <v>0</v>
      </c>
      <c r="BT66" s="847">
        <v>0</v>
      </c>
      <c r="BU66" s="847">
        <v>0</v>
      </c>
      <c r="BV66" s="847">
        <v>0</v>
      </c>
      <c r="BW66" s="847">
        <v>0</v>
      </c>
      <c r="BX66" s="847">
        <v>0</v>
      </c>
      <c r="BY66" s="847">
        <v>0</v>
      </c>
      <c r="BZ66" s="847">
        <v>0</v>
      </c>
      <c r="CA66" s="847">
        <v>0</v>
      </c>
      <c r="CB66" s="847">
        <v>0</v>
      </c>
      <c r="CC66" s="847">
        <v>0</v>
      </c>
      <c r="CD66" s="847">
        <v>0</v>
      </c>
      <c r="CE66" s="847">
        <v>0</v>
      </c>
      <c r="CF66" s="847">
        <v>0</v>
      </c>
      <c r="CG66" s="847">
        <v>0</v>
      </c>
      <c r="CH66" s="847">
        <v>0</v>
      </c>
      <c r="CI66" s="847">
        <v>0</v>
      </c>
      <c r="CJ66" s="847">
        <v>0</v>
      </c>
      <c r="CK66" s="847">
        <v>0</v>
      </c>
      <c r="CL66" s="847">
        <v>0</v>
      </c>
      <c r="CM66" s="847">
        <v>0</v>
      </c>
      <c r="CN66" s="847">
        <v>0</v>
      </c>
      <c r="CO66" s="847">
        <v>0</v>
      </c>
      <c r="CP66" s="847">
        <v>0</v>
      </c>
      <c r="CQ66" s="847">
        <v>0</v>
      </c>
      <c r="CR66" s="847">
        <v>0</v>
      </c>
      <c r="CS66" s="847">
        <v>0</v>
      </c>
      <c r="CT66" s="847">
        <v>0</v>
      </c>
      <c r="CU66" s="847">
        <v>0</v>
      </c>
      <c r="CV66" s="847">
        <v>0</v>
      </c>
      <c r="CW66" s="847">
        <v>0</v>
      </c>
      <c r="CX66" s="847">
        <v>0</v>
      </c>
      <c r="CY66" s="847">
        <v>0</v>
      </c>
      <c r="CZ66" s="847">
        <v>0</v>
      </c>
      <c r="DA66" s="847">
        <v>0</v>
      </c>
      <c r="DB66" s="847">
        <v>0</v>
      </c>
      <c r="DC66" s="847">
        <v>0</v>
      </c>
      <c r="DD66" s="847">
        <v>0</v>
      </c>
      <c r="DE66" s="847">
        <v>0</v>
      </c>
      <c r="DF66" s="847">
        <v>0</v>
      </c>
      <c r="DG66" s="847">
        <v>0</v>
      </c>
      <c r="DH66" s="847">
        <v>0</v>
      </c>
      <c r="DI66" s="847">
        <v>0</v>
      </c>
      <c r="DJ66" s="847">
        <v>0</v>
      </c>
      <c r="DK66" s="847">
        <v>0</v>
      </c>
      <c r="DL66" s="847">
        <v>0</v>
      </c>
      <c r="DM66" s="847">
        <v>0</v>
      </c>
      <c r="DN66" s="847">
        <v>0</v>
      </c>
      <c r="DO66" s="847">
        <v>0</v>
      </c>
      <c r="DP66" s="847">
        <v>0</v>
      </c>
      <c r="DQ66" s="847">
        <v>0</v>
      </c>
      <c r="DR66" s="847">
        <v>0</v>
      </c>
      <c r="DS66" s="847">
        <v>0</v>
      </c>
      <c r="DT66" s="847">
        <v>0</v>
      </c>
      <c r="DU66" s="847">
        <v>0</v>
      </c>
      <c r="DV66" s="847">
        <v>0</v>
      </c>
      <c r="DW66" s="847">
        <v>0</v>
      </c>
      <c r="DY66" s="173"/>
      <c r="DZ66" s="173"/>
      <c r="EA66" s="173"/>
      <c r="EB66" s="174"/>
      <c r="EC66" s="175"/>
      <c r="ED66" s="174"/>
      <c r="EE66" s="174"/>
      <c r="EF66" s="174"/>
      <c r="EG66" s="174"/>
      <c r="EH66" s="174"/>
      <c r="EI66" s="174"/>
      <c r="EJ66" s="174"/>
      <c r="EK66" s="174"/>
      <c r="EL66" s="174"/>
      <c r="EM66" s="174"/>
      <c r="EN66" s="174"/>
      <c r="EO66" s="174"/>
      <c r="EP66" s="174"/>
      <c r="EQ66" s="174"/>
      <c r="ER66" s="174"/>
      <c r="ES66" s="174"/>
      <c r="ET66" s="174"/>
      <c r="EU66" s="174"/>
      <c r="EV66" s="174"/>
      <c r="EW66" s="174"/>
      <c r="EX66" s="174"/>
      <c r="EY66" s="174"/>
      <c r="EZ66" s="174"/>
      <c r="FA66" s="174"/>
      <c r="FB66" s="174"/>
      <c r="FC66" s="174"/>
      <c r="FD66" s="174"/>
      <c r="FE66" s="174"/>
      <c r="FF66" s="174"/>
      <c r="FG66" s="174"/>
      <c r="FH66" s="174"/>
      <c r="FI66" s="174"/>
      <c r="FJ66" s="174"/>
      <c r="FK66" s="174"/>
      <c r="FL66" s="174"/>
      <c r="FM66" s="174"/>
      <c r="FN66" s="174"/>
      <c r="FO66" s="174"/>
      <c r="FP66" s="174"/>
      <c r="FQ66" s="174"/>
      <c r="FR66" s="174"/>
      <c r="FS66" s="174"/>
      <c r="FT66" s="174"/>
      <c r="FU66" s="174"/>
      <c r="FV66" s="174"/>
      <c r="FW66" s="174"/>
      <c r="FX66" s="174"/>
      <c r="FY66" s="174"/>
      <c r="FZ66" s="176"/>
      <c r="GA66" s="176"/>
      <c r="GB66" s="176"/>
      <c r="GC66" s="176"/>
      <c r="GD66" s="176"/>
      <c r="GE66" s="176"/>
      <c r="GF66" s="176"/>
      <c r="GG66" s="176"/>
      <c r="GH66" s="176"/>
      <c r="GI66" s="176"/>
      <c r="GJ66" s="176"/>
      <c r="GK66" s="176"/>
      <c r="GL66" s="176"/>
      <c r="GM66" s="176"/>
      <c r="GN66" s="176"/>
      <c r="GO66" s="176"/>
      <c r="GP66" s="176"/>
      <c r="GQ66" s="176"/>
      <c r="GR66" s="176"/>
      <c r="GS66" s="176"/>
      <c r="GT66" s="176"/>
      <c r="GU66" s="176"/>
      <c r="GV66" s="176"/>
      <c r="GW66" s="176"/>
      <c r="GX66" s="176"/>
      <c r="GY66" s="176"/>
      <c r="GZ66" s="176"/>
      <c r="HA66" s="176"/>
      <c r="HB66" s="176"/>
      <c r="HC66" s="176"/>
      <c r="HD66" s="176"/>
      <c r="HE66" s="176"/>
      <c r="HF66" s="176"/>
      <c r="HG66" s="176"/>
      <c r="HH66" s="176"/>
      <c r="HI66" s="176"/>
      <c r="HJ66" s="176"/>
      <c r="HK66" s="176"/>
      <c r="HL66" s="176"/>
      <c r="HM66" s="176"/>
      <c r="HN66" s="176"/>
      <c r="HO66" s="176"/>
      <c r="HP66" s="176"/>
      <c r="HQ66" s="176"/>
      <c r="HR66" s="176"/>
      <c r="HS66" s="176"/>
      <c r="HT66" s="176"/>
      <c r="HU66" s="176"/>
      <c r="HV66" s="176"/>
      <c r="HW66" s="176"/>
      <c r="HX66" s="176"/>
      <c r="HY66" s="176"/>
      <c r="HZ66" s="176"/>
      <c r="IA66" s="176"/>
      <c r="IB66" s="176"/>
      <c r="IC66" s="176"/>
      <c r="ID66" s="176"/>
      <c r="IE66" s="176"/>
      <c r="IF66" s="176"/>
      <c r="IG66" s="176"/>
      <c r="IH66" s="176"/>
      <c r="II66" s="176"/>
      <c r="IJ66" s="176"/>
    </row>
    <row r="67" spans="1:244" ht="16.5" hidden="1">
      <c r="A67" s="846" t="s">
        <v>1060</v>
      </c>
      <c r="B67" s="846" t="s">
        <v>1382</v>
      </c>
      <c r="C67" s="846" t="s">
        <v>1171</v>
      </c>
      <c r="D67" s="847">
        <v>6</v>
      </c>
      <c r="E67" s="846" t="s">
        <v>1171</v>
      </c>
      <c r="F67" s="846" t="s">
        <v>96</v>
      </c>
      <c r="G67" s="851"/>
      <c r="H67" s="847">
        <v>64</v>
      </c>
      <c r="I67" s="780" t="str">
        <f t="shared" si="2"/>
        <v>IWT060164</v>
      </c>
      <c r="J67" s="847">
        <v>5120</v>
      </c>
      <c r="L67" s="846" t="s">
        <v>1060</v>
      </c>
      <c r="M67" s="846" t="s">
        <v>1382</v>
      </c>
      <c r="N67" s="846" t="s">
        <v>96</v>
      </c>
      <c r="O67" s="847">
        <v>64</v>
      </c>
      <c r="P67" s="780" t="str">
        <f t="shared" si="3"/>
        <v>IWT060164</v>
      </c>
      <c r="Q67" s="847">
        <v>1016</v>
      </c>
      <c r="R67" s="847">
        <v>2877</v>
      </c>
      <c r="S67" s="847">
        <v>4699</v>
      </c>
      <c r="T67" s="847">
        <v>6484</v>
      </c>
      <c r="U67" s="847">
        <v>8233</v>
      </c>
      <c r="V67" s="847">
        <v>0</v>
      </c>
      <c r="W67" s="847">
        <v>0</v>
      </c>
      <c r="X67" s="847">
        <v>0</v>
      </c>
      <c r="Y67" s="847">
        <v>0</v>
      </c>
      <c r="Z67" s="847">
        <v>0</v>
      </c>
      <c r="AA67" s="847">
        <v>0</v>
      </c>
      <c r="AB67" s="847">
        <v>0</v>
      </c>
      <c r="AC67" s="847">
        <v>0</v>
      </c>
      <c r="AD67" s="847">
        <v>0</v>
      </c>
      <c r="AE67" s="847">
        <v>0</v>
      </c>
      <c r="AF67" s="847">
        <v>0</v>
      </c>
      <c r="AG67" s="847">
        <v>0</v>
      </c>
      <c r="AH67" s="847">
        <v>0</v>
      </c>
      <c r="AI67" s="847">
        <v>0</v>
      </c>
      <c r="AJ67" s="847">
        <v>0</v>
      </c>
      <c r="AK67" s="847">
        <v>0</v>
      </c>
      <c r="AL67" s="847">
        <v>0</v>
      </c>
      <c r="AM67" s="847">
        <v>0</v>
      </c>
      <c r="AN67" s="847">
        <v>0</v>
      </c>
      <c r="AO67" s="847">
        <v>0</v>
      </c>
      <c r="AP67" s="847">
        <v>0</v>
      </c>
      <c r="AQ67" s="847">
        <v>0</v>
      </c>
      <c r="AR67" s="847">
        <v>0</v>
      </c>
      <c r="AS67" s="847">
        <v>0</v>
      </c>
      <c r="AT67" s="847">
        <v>0</v>
      </c>
      <c r="AU67" s="847">
        <v>0</v>
      </c>
      <c r="AV67" s="847">
        <v>0</v>
      </c>
      <c r="AW67" s="847">
        <v>0</v>
      </c>
      <c r="AX67" s="847">
        <v>0</v>
      </c>
      <c r="AY67" s="847">
        <v>0</v>
      </c>
      <c r="AZ67" s="847">
        <v>0</v>
      </c>
      <c r="BA67" s="847">
        <v>0</v>
      </c>
      <c r="BB67" s="847">
        <v>0</v>
      </c>
      <c r="BC67" s="847">
        <v>0</v>
      </c>
      <c r="BD67" s="847">
        <v>0</v>
      </c>
      <c r="BE67" s="847">
        <v>0</v>
      </c>
      <c r="BF67" s="847">
        <v>0</v>
      </c>
      <c r="BG67" s="847">
        <v>0</v>
      </c>
      <c r="BH67" s="847">
        <v>0</v>
      </c>
      <c r="BI67" s="847">
        <v>0</v>
      </c>
      <c r="BJ67" s="847">
        <v>0</v>
      </c>
      <c r="BK67" s="847">
        <v>0</v>
      </c>
      <c r="BL67" s="847">
        <v>0</v>
      </c>
      <c r="BM67" s="847">
        <v>0</v>
      </c>
      <c r="BN67" s="847">
        <v>0</v>
      </c>
      <c r="BO67" s="847">
        <v>0</v>
      </c>
      <c r="BP67" s="847">
        <v>0</v>
      </c>
      <c r="BQ67" s="847">
        <v>0</v>
      </c>
      <c r="BR67" s="847">
        <v>0</v>
      </c>
      <c r="BS67" s="847">
        <v>0</v>
      </c>
      <c r="BT67" s="847">
        <v>0</v>
      </c>
      <c r="BU67" s="847">
        <v>0</v>
      </c>
      <c r="BV67" s="847">
        <v>0</v>
      </c>
      <c r="BW67" s="847">
        <v>0</v>
      </c>
      <c r="BX67" s="847">
        <v>0</v>
      </c>
      <c r="BY67" s="847">
        <v>0</v>
      </c>
      <c r="BZ67" s="847">
        <v>0</v>
      </c>
      <c r="CA67" s="847">
        <v>0</v>
      </c>
      <c r="CB67" s="847">
        <v>0</v>
      </c>
      <c r="CC67" s="847">
        <v>0</v>
      </c>
      <c r="CD67" s="847">
        <v>0</v>
      </c>
      <c r="CE67" s="847">
        <v>0</v>
      </c>
      <c r="CF67" s="847">
        <v>0</v>
      </c>
      <c r="CG67" s="847">
        <v>0</v>
      </c>
      <c r="CH67" s="847">
        <v>0</v>
      </c>
      <c r="CI67" s="847">
        <v>0</v>
      </c>
      <c r="CJ67" s="847">
        <v>0</v>
      </c>
      <c r="CK67" s="847">
        <v>0</v>
      </c>
      <c r="CL67" s="847">
        <v>0</v>
      </c>
      <c r="CM67" s="847">
        <v>0</v>
      </c>
      <c r="CN67" s="847">
        <v>0</v>
      </c>
      <c r="CO67" s="847">
        <v>0</v>
      </c>
      <c r="CP67" s="847">
        <v>0</v>
      </c>
      <c r="CQ67" s="847">
        <v>0</v>
      </c>
      <c r="CR67" s="847">
        <v>0</v>
      </c>
      <c r="CS67" s="847">
        <v>0</v>
      </c>
      <c r="CT67" s="847">
        <v>0</v>
      </c>
      <c r="CU67" s="847">
        <v>0</v>
      </c>
      <c r="CV67" s="847">
        <v>0</v>
      </c>
      <c r="CW67" s="847">
        <v>0</v>
      </c>
      <c r="CX67" s="847">
        <v>0</v>
      </c>
      <c r="CY67" s="847">
        <v>0</v>
      </c>
      <c r="CZ67" s="847">
        <v>0</v>
      </c>
      <c r="DA67" s="847">
        <v>0</v>
      </c>
      <c r="DB67" s="847">
        <v>0</v>
      </c>
      <c r="DC67" s="847">
        <v>0</v>
      </c>
      <c r="DD67" s="847">
        <v>0</v>
      </c>
      <c r="DE67" s="847">
        <v>0</v>
      </c>
      <c r="DF67" s="847">
        <v>0</v>
      </c>
      <c r="DG67" s="847">
        <v>0</v>
      </c>
      <c r="DH67" s="847">
        <v>0</v>
      </c>
      <c r="DI67" s="847">
        <v>0</v>
      </c>
      <c r="DJ67" s="847">
        <v>0</v>
      </c>
      <c r="DK67" s="847">
        <v>0</v>
      </c>
      <c r="DL67" s="847">
        <v>0</v>
      </c>
      <c r="DM67" s="847">
        <v>0</v>
      </c>
      <c r="DN67" s="847">
        <v>0</v>
      </c>
      <c r="DO67" s="847">
        <v>0</v>
      </c>
      <c r="DP67" s="847">
        <v>0</v>
      </c>
      <c r="DQ67" s="847">
        <v>0</v>
      </c>
      <c r="DR67" s="847">
        <v>0</v>
      </c>
      <c r="DS67" s="847">
        <v>0</v>
      </c>
      <c r="DT67" s="847">
        <v>0</v>
      </c>
      <c r="DU67" s="847">
        <v>0</v>
      </c>
      <c r="DV67" s="847">
        <v>0</v>
      </c>
      <c r="DW67" s="847">
        <v>0</v>
      </c>
      <c r="DY67" s="173"/>
      <c r="DZ67" s="173"/>
      <c r="EA67" s="173"/>
      <c r="EB67" s="174"/>
      <c r="EC67" s="175"/>
      <c r="ED67" s="174"/>
      <c r="EE67" s="174"/>
      <c r="EF67" s="174"/>
      <c r="EG67" s="174"/>
      <c r="EH67" s="174"/>
      <c r="EI67" s="174"/>
      <c r="EJ67" s="174"/>
      <c r="EK67" s="174"/>
      <c r="EL67" s="174"/>
      <c r="EM67" s="174"/>
      <c r="EN67" s="174"/>
      <c r="EO67" s="174"/>
      <c r="EP67" s="174"/>
      <c r="EQ67" s="174"/>
      <c r="ER67" s="174"/>
      <c r="ES67" s="174"/>
      <c r="ET67" s="174"/>
      <c r="EU67" s="174"/>
      <c r="EV67" s="174"/>
      <c r="EW67" s="174"/>
      <c r="EX67" s="174"/>
      <c r="EY67" s="174"/>
      <c r="EZ67" s="174"/>
      <c r="FA67" s="174"/>
      <c r="FB67" s="174"/>
      <c r="FC67" s="174"/>
      <c r="FD67" s="174"/>
      <c r="FE67" s="174"/>
      <c r="FF67" s="174"/>
      <c r="FG67" s="174"/>
      <c r="FH67" s="174"/>
      <c r="FI67" s="174"/>
      <c r="FJ67" s="174"/>
      <c r="FK67" s="174"/>
      <c r="FL67" s="174"/>
      <c r="FM67" s="174"/>
      <c r="FN67" s="174"/>
      <c r="FO67" s="174"/>
      <c r="FP67" s="174"/>
      <c r="FQ67" s="174"/>
      <c r="FR67" s="174"/>
      <c r="FS67" s="174"/>
      <c r="FT67" s="174"/>
      <c r="FU67" s="174"/>
      <c r="FV67" s="174"/>
      <c r="FW67" s="174"/>
      <c r="FX67" s="174"/>
      <c r="FY67" s="176"/>
      <c r="FZ67" s="176"/>
      <c r="GA67" s="176"/>
      <c r="GB67" s="176"/>
      <c r="GC67" s="176"/>
      <c r="GD67" s="176"/>
      <c r="GE67" s="176"/>
      <c r="GF67" s="176"/>
      <c r="GG67" s="176"/>
      <c r="GH67" s="176"/>
      <c r="GI67" s="176"/>
      <c r="GJ67" s="176"/>
      <c r="GK67" s="176"/>
      <c r="GL67" s="176"/>
      <c r="GM67" s="176"/>
      <c r="GN67" s="176"/>
      <c r="GO67" s="176"/>
      <c r="GP67" s="176"/>
      <c r="GQ67" s="176"/>
      <c r="GR67" s="176"/>
      <c r="GS67" s="176"/>
      <c r="GT67" s="176"/>
      <c r="GU67" s="176"/>
      <c r="GV67" s="176"/>
      <c r="GW67" s="176"/>
      <c r="GX67" s="176"/>
      <c r="GY67" s="176"/>
      <c r="GZ67" s="176"/>
      <c r="HA67" s="176"/>
      <c r="HB67" s="176"/>
      <c r="HC67" s="176"/>
      <c r="HD67" s="176"/>
      <c r="HE67" s="176"/>
      <c r="HF67" s="176"/>
      <c r="HG67" s="176"/>
      <c r="HH67" s="176"/>
      <c r="HI67" s="176"/>
      <c r="HJ67" s="176"/>
      <c r="HK67" s="176"/>
      <c r="HL67" s="176"/>
      <c r="HM67" s="176"/>
      <c r="HN67" s="176"/>
      <c r="HO67" s="176"/>
      <c r="HP67" s="176"/>
      <c r="HQ67" s="176"/>
      <c r="HR67" s="176"/>
      <c r="HS67" s="176"/>
      <c r="HT67" s="176"/>
      <c r="HU67" s="176"/>
      <c r="HV67" s="176"/>
      <c r="HW67" s="176"/>
      <c r="HX67" s="176"/>
      <c r="HY67" s="176"/>
      <c r="HZ67" s="176"/>
      <c r="IA67" s="176"/>
      <c r="IB67" s="176"/>
      <c r="IC67" s="176"/>
      <c r="ID67" s="176"/>
      <c r="IE67" s="176"/>
      <c r="IF67" s="176"/>
      <c r="IG67" s="176"/>
      <c r="IH67" s="176"/>
      <c r="II67" s="176"/>
      <c r="IJ67" s="176"/>
    </row>
    <row r="68" spans="1:244" ht="16.5" hidden="1">
      <c r="A68" s="846" t="s">
        <v>1060</v>
      </c>
      <c r="B68" s="846" t="s">
        <v>1382</v>
      </c>
      <c r="C68" s="846" t="s">
        <v>1171</v>
      </c>
      <c r="D68" s="847">
        <v>6</v>
      </c>
      <c r="E68" s="846" t="s">
        <v>1171</v>
      </c>
      <c r="F68" s="846" t="s">
        <v>96</v>
      </c>
      <c r="G68" s="851"/>
      <c r="H68" s="847">
        <v>65</v>
      </c>
      <c r="I68" s="780" t="str">
        <f t="shared" si="2"/>
        <v>IWT060165</v>
      </c>
      <c r="J68" s="847">
        <v>5125</v>
      </c>
      <c r="L68" s="846" t="s">
        <v>1060</v>
      </c>
      <c r="M68" s="846" t="s">
        <v>1382</v>
      </c>
      <c r="N68" s="846" t="s">
        <v>96</v>
      </c>
      <c r="O68" s="847">
        <v>65</v>
      </c>
      <c r="P68" s="780" t="str">
        <f t="shared" si="3"/>
        <v>IWT060165</v>
      </c>
      <c r="Q68" s="847">
        <v>1007</v>
      </c>
      <c r="R68" s="847">
        <v>2870</v>
      </c>
      <c r="S68" s="847">
        <v>4694</v>
      </c>
      <c r="T68" s="847">
        <v>6479</v>
      </c>
      <c r="U68" s="847">
        <v>8230</v>
      </c>
      <c r="V68" s="847">
        <v>0</v>
      </c>
      <c r="W68" s="847">
        <v>0</v>
      </c>
      <c r="X68" s="847">
        <v>0</v>
      </c>
      <c r="Y68" s="847">
        <v>0</v>
      </c>
      <c r="Z68" s="847">
        <v>0</v>
      </c>
      <c r="AA68" s="847">
        <v>0</v>
      </c>
      <c r="AB68" s="847">
        <v>0</v>
      </c>
      <c r="AC68" s="847">
        <v>0</v>
      </c>
      <c r="AD68" s="847">
        <v>0</v>
      </c>
      <c r="AE68" s="847">
        <v>0</v>
      </c>
      <c r="AF68" s="847">
        <v>0</v>
      </c>
      <c r="AG68" s="847">
        <v>0</v>
      </c>
      <c r="AH68" s="847">
        <v>0</v>
      </c>
      <c r="AI68" s="847">
        <v>0</v>
      </c>
      <c r="AJ68" s="847">
        <v>0</v>
      </c>
      <c r="AK68" s="847">
        <v>0</v>
      </c>
      <c r="AL68" s="847">
        <v>0</v>
      </c>
      <c r="AM68" s="847">
        <v>0</v>
      </c>
      <c r="AN68" s="847">
        <v>0</v>
      </c>
      <c r="AO68" s="847">
        <v>0</v>
      </c>
      <c r="AP68" s="847">
        <v>0</v>
      </c>
      <c r="AQ68" s="847">
        <v>0</v>
      </c>
      <c r="AR68" s="847">
        <v>0</v>
      </c>
      <c r="AS68" s="847">
        <v>0</v>
      </c>
      <c r="AT68" s="847">
        <v>0</v>
      </c>
      <c r="AU68" s="847">
        <v>0</v>
      </c>
      <c r="AV68" s="847">
        <v>0</v>
      </c>
      <c r="AW68" s="847">
        <v>0</v>
      </c>
      <c r="AX68" s="847">
        <v>0</v>
      </c>
      <c r="AY68" s="847">
        <v>0</v>
      </c>
      <c r="AZ68" s="847">
        <v>0</v>
      </c>
      <c r="BA68" s="847">
        <v>0</v>
      </c>
      <c r="BB68" s="847">
        <v>0</v>
      </c>
      <c r="BC68" s="847">
        <v>0</v>
      </c>
      <c r="BD68" s="847">
        <v>0</v>
      </c>
      <c r="BE68" s="847">
        <v>0</v>
      </c>
      <c r="BF68" s="847">
        <v>0</v>
      </c>
      <c r="BG68" s="847">
        <v>0</v>
      </c>
      <c r="BH68" s="847">
        <v>0</v>
      </c>
      <c r="BI68" s="847">
        <v>0</v>
      </c>
      <c r="BJ68" s="847">
        <v>0</v>
      </c>
      <c r="BK68" s="847">
        <v>0</v>
      </c>
      <c r="BL68" s="847">
        <v>0</v>
      </c>
      <c r="BM68" s="847">
        <v>0</v>
      </c>
      <c r="BN68" s="847">
        <v>0</v>
      </c>
      <c r="BO68" s="847">
        <v>0</v>
      </c>
      <c r="BP68" s="847">
        <v>0</v>
      </c>
      <c r="BQ68" s="847">
        <v>0</v>
      </c>
      <c r="BR68" s="847">
        <v>0</v>
      </c>
      <c r="BS68" s="847">
        <v>0</v>
      </c>
      <c r="BT68" s="847">
        <v>0</v>
      </c>
      <c r="BU68" s="847">
        <v>0</v>
      </c>
      <c r="BV68" s="847">
        <v>0</v>
      </c>
      <c r="BW68" s="847">
        <v>0</v>
      </c>
      <c r="BX68" s="847">
        <v>0</v>
      </c>
      <c r="BY68" s="847">
        <v>0</v>
      </c>
      <c r="BZ68" s="847">
        <v>0</v>
      </c>
      <c r="CA68" s="847">
        <v>0</v>
      </c>
      <c r="CB68" s="847">
        <v>0</v>
      </c>
      <c r="CC68" s="847">
        <v>0</v>
      </c>
      <c r="CD68" s="847">
        <v>0</v>
      </c>
      <c r="CE68" s="847">
        <v>0</v>
      </c>
      <c r="CF68" s="847">
        <v>0</v>
      </c>
      <c r="CG68" s="847">
        <v>0</v>
      </c>
      <c r="CH68" s="847">
        <v>0</v>
      </c>
      <c r="CI68" s="847">
        <v>0</v>
      </c>
      <c r="CJ68" s="847">
        <v>0</v>
      </c>
      <c r="CK68" s="847">
        <v>0</v>
      </c>
      <c r="CL68" s="847">
        <v>0</v>
      </c>
      <c r="CM68" s="847">
        <v>0</v>
      </c>
      <c r="CN68" s="847">
        <v>0</v>
      </c>
      <c r="CO68" s="847">
        <v>0</v>
      </c>
      <c r="CP68" s="847">
        <v>0</v>
      </c>
      <c r="CQ68" s="847">
        <v>0</v>
      </c>
      <c r="CR68" s="847">
        <v>0</v>
      </c>
      <c r="CS68" s="847">
        <v>0</v>
      </c>
      <c r="CT68" s="847">
        <v>0</v>
      </c>
      <c r="CU68" s="847">
        <v>0</v>
      </c>
      <c r="CV68" s="847">
        <v>0</v>
      </c>
      <c r="CW68" s="847">
        <v>0</v>
      </c>
      <c r="CX68" s="847">
        <v>0</v>
      </c>
      <c r="CY68" s="847">
        <v>0</v>
      </c>
      <c r="CZ68" s="847">
        <v>0</v>
      </c>
      <c r="DA68" s="847">
        <v>0</v>
      </c>
      <c r="DB68" s="847">
        <v>0</v>
      </c>
      <c r="DC68" s="847">
        <v>0</v>
      </c>
      <c r="DD68" s="847">
        <v>0</v>
      </c>
      <c r="DE68" s="847">
        <v>0</v>
      </c>
      <c r="DF68" s="847">
        <v>0</v>
      </c>
      <c r="DG68" s="847">
        <v>0</v>
      </c>
      <c r="DH68" s="847">
        <v>0</v>
      </c>
      <c r="DI68" s="847">
        <v>0</v>
      </c>
      <c r="DJ68" s="847">
        <v>0</v>
      </c>
      <c r="DK68" s="847">
        <v>0</v>
      </c>
      <c r="DL68" s="847">
        <v>0</v>
      </c>
      <c r="DM68" s="847">
        <v>0</v>
      </c>
      <c r="DN68" s="847">
        <v>0</v>
      </c>
      <c r="DO68" s="847">
        <v>0</v>
      </c>
      <c r="DP68" s="847">
        <v>0</v>
      </c>
      <c r="DQ68" s="847">
        <v>0</v>
      </c>
      <c r="DR68" s="847">
        <v>0</v>
      </c>
      <c r="DS68" s="847">
        <v>0</v>
      </c>
      <c r="DT68" s="847">
        <v>0</v>
      </c>
      <c r="DU68" s="847">
        <v>0</v>
      </c>
      <c r="DV68" s="847">
        <v>0</v>
      </c>
      <c r="DW68" s="847">
        <v>0</v>
      </c>
      <c r="DY68" s="173"/>
      <c r="DZ68" s="173"/>
      <c r="EA68" s="173"/>
      <c r="EB68" s="174"/>
      <c r="EC68" s="175"/>
      <c r="ED68" s="174"/>
      <c r="EE68" s="174"/>
      <c r="EF68" s="174"/>
      <c r="EG68" s="174"/>
      <c r="EH68" s="174"/>
      <c r="EI68" s="174"/>
      <c r="EJ68" s="174"/>
      <c r="EK68" s="174"/>
      <c r="EL68" s="174"/>
      <c r="EM68" s="174"/>
      <c r="EN68" s="174"/>
      <c r="EO68" s="174"/>
      <c r="EP68" s="174"/>
      <c r="EQ68" s="174"/>
      <c r="ER68" s="174"/>
      <c r="ES68" s="174"/>
      <c r="ET68" s="174"/>
      <c r="EU68" s="174"/>
      <c r="EV68" s="174"/>
      <c r="EW68" s="174"/>
      <c r="EX68" s="174"/>
      <c r="EY68" s="174"/>
      <c r="EZ68" s="174"/>
      <c r="FA68" s="174"/>
      <c r="FB68" s="174"/>
      <c r="FC68" s="174"/>
      <c r="FD68" s="174"/>
      <c r="FE68" s="174"/>
      <c r="FF68" s="174"/>
      <c r="FG68" s="174"/>
      <c r="FH68" s="174"/>
      <c r="FI68" s="174"/>
      <c r="FJ68" s="174"/>
      <c r="FK68" s="174"/>
      <c r="FL68" s="174"/>
      <c r="FM68" s="174"/>
      <c r="FN68" s="174"/>
      <c r="FO68" s="174"/>
      <c r="FP68" s="174"/>
      <c r="FQ68" s="174"/>
      <c r="FR68" s="174"/>
      <c r="FS68" s="174"/>
      <c r="FT68" s="174"/>
      <c r="FU68" s="174"/>
      <c r="FV68" s="174"/>
      <c r="FW68" s="174"/>
      <c r="FX68" s="176"/>
      <c r="FY68" s="176"/>
      <c r="FZ68" s="176"/>
      <c r="GA68" s="176"/>
      <c r="GB68" s="176"/>
      <c r="GC68" s="176"/>
      <c r="GD68" s="176"/>
      <c r="GE68" s="176"/>
      <c r="GF68" s="176"/>
      <c r="GG68" s="176"/>
      <c r="GH68" s="176"/>
      <c r="GI68" s="176"/>
      <c r="GJ68" s="176"/>
      <c r="GK68" s="176"/>
      <c r="GL68" s="176"/>
      <c r="GM68" s="176"/>
      <c r="GN68" s="176"/>
      <c r="GO68" s="176"/>
      <c r="GP68" s="176"/>
      <c r="GQ68" s="176"/>
      <c r="GR68" s="176"/>
      <c r="GS68" s="176"/>
      <c r="GT68" s="176"/>
      <c r="GU68" s="176"/>
      <c r="GV68" s="176"/>
      <c r="GW68" s="176"/>
      <c r="GX68" s="176"/>
      <c r="GY68" s="176"/>
      <c r="GZ68" s="176"/>
      <c r="HA68" s="176"/>
      <c r="HB68" s="176"/>
      <c r="HC68" s="176"/>
      <c r="HD68" s="176"/>
      <c r="HE68" s="176"/>
      <c r="HF68" s="176"/>
      <c r="HG68" s="176"/>
      <c r="HH68" s="176"/>
      <c r="HI68" s="176"/>
      <c r="HJ68" s="176"/>
      <c r="HK68" s="176"/>
      <c r="HL68" s="176"/>
      <c r="HM68" s="176"/>
      <c r="HN68" s="176"/>
      <c r="HO68" s="176"/>
      <c r="HP68" s="176"/>
      <c r="HQ68" s="176"/>
      <c r="HR68" s="176"/>
      <c r="HS68" s="176"/>
      <c r="HT68" s="176"/>
      <c r="HU68" s="176"/>
      <c r="HV68" s="176"/>
      <c r="HW68" s="176"/>
      <c r="HX68" s="176"/>
      <c r="HY68" s="176"/>
      <c r="HZ68" s="176"/>
      <c r="IA68" s="176"/>
      <c r="IB68" s="176"/>
      <c r="IC68" s="176"/>
      <c r="ID68" s="176"/>
      <c r="IE68" s="176"/>
      <c r="IF68" s="176"/>
      <c r="IG68" s="176"/>
      <c r="IH68" s="176"/>
      <c r="II68" s="176"/>
      <c r="IJ68" s="176"/>
    </row>
    <row r="69" spans="1:244" ht="16.5" hidden="1">
      <c r="A69" s="846" t="s">
        <v>1060</v>
      </c>
      <c r="B69" s="846" t="s">
        <v>1382</v>
      </c>
      <c r="C69" s="846" t="s">
        <v>1171</v>
      </c>
      <c r="D69" s="847">
        <v>6</v>
      </c>
      <c r="E69" s="846" t="s">
        <v>1171</v>
      </c>
      <c r="F69" s="846" t="s">
        <v>96</v>
      </c>
      <c r="G69" s="851"/>
      <c r="H69" s="847">
        <v>66</v>
      </c>
      <c r="I69" s="780" t="str">
        <f t="shared" si="2"/>
        <v>IWT060166</v>
      </c>
      <c r="J69" s="847">
        <v>5130</v>
      </c>
      <c r="L69" s="846" t="s">
        <v>1060</v>
      </c>
      <c r="M69" s="846" t="s">
        <v>1382</v>
      </c>
      <c r="N69" s="846" t="s">
        <v>96</v>
      </c>
      <c r="O69" s="847">
        <v>66</v>
      </c>
      <c r="P69" s="780" t="str">
        <f t="shared" si="3"/>
        <v>IWT060166</v>
      </c>
      <c r="Q69" s="847">
        <v>997</v>
      </c>
      <c r="R69" s="847">
        <v>2862</v>
      </c>
      <c r="S69" s="847">
        <v>4687</v>
      </c>
      <c r="T69" s="847">
        <v>6475</v>
      </c>
      <c r="U69" s="847">
        <v>8226</v>
      </c>
      <c r="V69" s="847">
        <v>0</v>
      </c>
      <c r="W69" s="847">
        <v>0</v>
      </c>
      <c r="X69" s="847">
        <v>0</v>
      </c>
      <c r="Y69" s="847">
        <v>0</v>
      </c>
      <c r="Z69" s="847">
        <v>0</v>
      </c>
      <c r="AA69" s="847">
        <v>0</v>
      </c>
      <c r="AB69" s="847">
        <v>0</v>
      </c>
      <c r="AC69" s="847">
        <v>0</v>
      </c>
      <c r="AD69" s="847">
        <v>0</v>
      </c>
      <c r="AE69" s="847">
        <v>0</v>
      </c>
      <c r="AF69" s="847">
        <v>0</v>
      </c>
      <c r="AG69" s="847">
        <v>0</v>
      </c>
      <c r="AH69" s="847">
        <v>0</v>
      </c>
      <c r="AI69" s="847">
        <v>0</v>
      </c>
      <c r="AJ69" s="847">
        <v>0</v>
      </c>
      <c r="AK69" s="847">
        <v>0</v>
      </c>
      <c r="AL69" s="847">
        <v>0</v>
      </c>
      <c r="AM69" s="847">
        <v>0</v>
      </c>
      <c r="AN69" s="847">
        <v>0</v>
      </c>
      <c r="AO69" s="847">
        <v>0</v>
      </c>
      <c r="AP69" s="847">
        <v>0</v>
      </c>
      <c r="AQ69" s="847">
        <v>0</v>
      </c>
      <c r="AR69" s="847">
        <v>0</v>
      </c>
      <c r="AS69" s="847">
        <v>0</v>
      </c>
      <c r="AT69" s="847">
        <v>0</v>
      </c>
      <c r="AU69" s="847">
        <v>0</v>
      </c>
      <c r="AV69" s="847">
        <v>0</v>
      </c>
      <c r="AW69" s="847">
        <v>0</v>
      </c>
      <c r="AX69" s="847">
        <v>0</v>
      </c>
      <c r="AY69" s="847">
        <v>0</v>
      </c>
      <c r="AZ69" s="847">
        <v>0</v>
      </c>
      <c r="BA69" s="847">
        <v>0</v>
      </c>
      <c r="BB69" s="847">
        <v>0</v>
      </c>
      <c r="BC69" s="847">
        <v>0</v>
      </c>
      <c r="BD69" s="847">
        <v>0</v>
      </c>
      <c r="BE69" s="847">
        <v>0</v>
      </c>
      <c r="BF69" s="847">
        <v>0</v>
      </c>
      <c r="BG69" s="847">
        <v>0</v>
      </c>
      <c r="BH69" s="847">
        <v>0</v>
      </c>
      <c r="BI69" s="847">
        <v>0</v>
      </c>
      <c r="BJ69" s="847">
        <v>0</v>
      </c>
      <c r="BK69" s="847">
        <v>0</v>
      </c>
      <c r="BL69" s="847">
        <v>0</v>
      </c>
      <c r="BM69" s="847">
        <v>0</v>
      </c>
      <c r="BN69" s="847">
        <v>0</v>
      </c>
      <c r="BO69" s="847">
        <v>0</v>
      </c>
      <c r="BP69" s="847">
        <v>0</v>
      </c>
      <c r="BQ69" s="847">
        <v>0</v>
      </c>
      <c r="BR69" s="847">
        <v>0</v>
      </c>
      <c r="BS69" s="847">
        <v>0</v>
      </c>
      <c r="BT69" s="847">
        <v>0</v>
      </c>
      <c r="BU69" s="847">
        <v>0</v>
      </c>
      <c r="BV69" s="847">
        <v>0</v>
      </c>
      <c r="BW69" s="847">
        <v>0</v>
      </c>
      <c r="BX69" s="847">
        <v>0</v>
      </c>
      <c r="BY69" s="847">
        <v>0</v>
      </c>
      <c r="BZ69" s="847">
        <v>0</v>
      </c>
      <c r="CA69" s="847">
        <v>0</v>
      </c>
      <c r="CB69" s="847">
        <v>0</v>
      </c>
      <c r="CC69" s="847">
        <v>0</v>
      </c>
      <c r="CD69" s="847">
        <v>0</v>
      </c>
      <c r="CE69" s="847">
        <v>0</v>
      </c>
      <c r="CF69" s="847">
        <v>0</v>
      </c>
      <c r="CG69" s="847">
        <v>0</v>
      </c>
      <c r="CH69" s="847">
        <v>0</v>
      </c>
      <c r="CI69" s="847">
        <v>0</v>
      </c>
      <c r="CJ69" s="847">
        <v>0</v>
      </c>
      <c r="CK69" s="847">
        <v>0</v>
      </c>
      <c r="CL69" s="847">
        <v>0</v>
      </c>
      <c r="CM69" s="847">
        <v>0</v>
      </c>
      <c r="CN69" s="847">
        <v>0</v>
      </c>
      <c r="CO69" s="847">
        <v>0</v>
      </c>
      <c r="CP69" s="847">
        <v>0</v>
      </c>
      <c r="CQ69" s="847">
        <v>0</v>
      </c>
      <c r="CR69" s="847">
        <v>0</v>
      </c>
      <c r="CS69" s="847">
        <v>0</v>
      </c>
      <c r="CT69" s="847">
        <v>0</v>
      </c>
      <c r="CU69" s="847">
        <v>0</v>
      </c>
      <c r="CV69" s="847">
        <v>0</v>
      </c>
      <c r="CW69" s="847">
        <v>0</v>
      </c>
      <c r="CX69" s="847">
        <v>0</v>
      </c>
      <c r="CY69" s="847">
        <v>0</v>
      </c>
      <c r="CZ69" s="847">
        <v>0</v>
      </c>
      <c r="DA69" s="847">
        <v>0</v>
      </c>
      <c r="DB69" s="847">
        <v>0</v>
      </c>
      <c r="DC69" s="847">
        <v>0</v>
      </c>
      <c r="DD69" s="847">
        <v>0</v>
      </c>
      <c r="DE69" s="847">
        <v>0</v>
      </c>
      <c r="DF69" s="847">
        <v>0</v>
      </c>
      <c r="DG69" s="847">
        <v>0</v>
      </c>
      <c r="DH69" s="847">
        <v>0</v>
      </c>
      <c r="DI69" s="847">
        <v>0</v>
      </c>
      <c r="DJ69" s="847">
        <v>0</v>
      </c>
      <c r="DK69" s="847">
        <v>0</v>
      </c>
      <c r="DL69" s="847">
        <v>0</v>
      </c>
      <c r="DM69" s="847">
        <v>0</v>
      </c>
      <c r="DN69" s="847">
        <v>0</v>
      </c>
      <c r="DO69" s="847">
        <v>0</v>
      </c>
      <c r="DP69" s="847">
        <v>0</v>
      </c>
      <c r="DQ69" s="847">
        <v>0</v>
      </c>
      <c r="DR69" s="847">
        <v>0</v>
      </c>
      <c r="DS69" s="847">
        <v>0</v>
      </c>
      <c r="DT69" s="847">
        <v>0</v>
      </c>
      <c r="DU69" s="847">
        <v>0</v>
      </c>
      <c r="DV69" s="847">
        <v>0</v>
      </c>
      <c r="DW69" s="847">
        <v>0</v>
      </c>
      <c r="DY69" s="173"/>
      <c r="DZ69" s="173"/>
      <c r="EA69" s="173"/>
      <c r="EB69" s="174"/>
      <c r="EC69" s="175"/>
      <c r="ED69" s="174"/>
      <c r="EE69" s="174"/>
      <c r="EF69" s="174"/>
      <c r="EG69" s="174"/>
      <c r="EH69" s="174"/>
      <c r="EI69" s="174"/>
      <c r="EJ69" s="174"/>
      <c r="EK69" s="174"/>
      <c r="EL69" s="174"/>
      <c r="EM69" s="174"/>
      <c r="EN69" s="174"/>
      <c r="EO69" s="174"/>
      <c r="EP69" s="174"/>
      <c r="EQ69" s="174"/>
      <c r="ER69" s="174"/>
      <c r="ES69" s="174"/>
      <c r="ET69" s="174"/>
      <c r="EU69" s="174"/>
      <c r="EV69" s="174"/>
      <c r="EW69" s="174"/>
      <c r="EX69" s="174"/>
      <c r="EY69" s="174"/>
      <c r="EZ69" s="174"/>
      <c r="FA69" s="174"/>
      <c r="FB69" s="174"/>
      <c r="FC69" s="174"/>
      <c r="FD69" s="174"/>
      <c r="FE69" s="174"/>
      <c r="FF69" s="174"/>
      <c r="FG69" s="174"/>
      <c r="FH69" s="174"/>
      <c r="FI69" s="174"/>
      <c r="FJ69" s="174"/>
      <c r="FK69" s="174"/>
      <c r="FL69" s="174"/>
      <c r="FM69" s="174"/>
      <c r="FN69" s="174"/>
      <c r="FO69" s="174"/>
      <c r="FP69" s="174"/>
      <c r="FQ69" s="174"/>
      <c r="FR69" s="174"/>
      <c r="FS69" s="174"/>
      <c r="FT69" s="174"/>
      <c r="FU69" s="174"/>
      <c r="FV69" s="174"/>
      <c r="FW69" s="176"/>
      <c r="FX69" s="176"/>
      <c r="FY69" s="176"/>
      <c r="FZ69" s="176"/>
      <c r="GA69" s="176"/>
      <c r="GB69" s="176"/>
      <c r="GC69" s="176"/>
      <c r="GD69" s="176"/>
      <c r="GE69" s="176"/>
      <c r="GF69" s="176"/>
      <c r="GG69" s="176"/>
      <c r="GH69" s="176"/>
      <c r="GI69" s="176"/>
      <c r="GJ69" s="176"/>
      <c r="GK69" s="176"/>
      <c r="GL69" s="176"/>
      <c r="GM69" s="176"/>
      <c r="GN69" s="176"/>
      <c r="GO69" s="176"/>
      <c r="GP69" s="176"/>
      <c r="GQ69" s="176"/>
      <c r="GR69" s="176"/>
      <c r="GS69" s="176"/>
      <c r="GT69" s="176"/>
      <c r="GU69" s="176"/>
      <c r="GV69" s="176"/>
      <c r="GW69" s="176"/>
      <c r="GX69" s="176"/>
      <c r="GY69" s="176"/>
      <c r="GZ69" s="176"/>
      <c r="HA69" s="176"/>
      <c r="HB69" s="176"/>
      <c r="HC69" s="176"/>
      <c r="HD69" s="176"/>
      <c r="HE69" s="176"/>
      <c r="HF69" s="176"/>
      <c r="HG69" s="176"/>
      <c r="HH69" s="176"/>
      <c r="HI69" s="176"/>
      <c r="HJ69" s="176"/>
      <c r="HK69" s="176"/>
      <c r="HL69" s="176"/>
      <c r="HM69" s="176"/>
      <c r="HN69" s="176"/>
      <c r="HO69" s="176"/>
      <c r="HP69" s="176"/>
      <c r="HQ69" s="176"/>
      <c r="HR69" s="176"/>
      <c r="HS69" s="176"/>
      <c r="HT69" s="176"/>
      <c r="HU69" s="176"/>
      <c r="HV69" s="176"/>
      <c r="HW69" s="176"/>
      <c r="HX69" s="176"/>
      <c r="HY69" s="176"/>
      <c r="HZ69" s="176"/>
      <c r="IA69" s="176"/>
      <c r="IB69" s="176"/>
      <c r="IC69" s="176"/>
      <c r="ID69" s="176"/>
      <c r="IE69" s="176"/>
      <c r="IF69" s="176"/>
      <c r="IG69" s="176"/>
      <c r="IH69" s="176"/>
      <c r="II69" s="176"/>
      <c r="IJ69" s="176"/>
    </row>
    <row r="70" spans="1:244" ht="16.5" hidden="1">
      <c r="A70" s="846" t="s">
        <v>1060</v>
      </c>
      <c r="B70" s="846" t="s">
        <v>1382</v>
      </c>
      <c r="C70" s="846" t="s">
        <v>1171</v>
      </c>
      <c r="D70" s="847">
        <v>6</v>
      </c>
      <c r="E70" s="846" t="s">
        <v>1171</v>
      </c>
      <c r="F70" s="846" t="s">
        <v>96</v>
      </c>
      <c r="G70" s="851"/>
      <c r="H70" s="847">
        <v>67</v>
      </c>
      <c r="I70" s="780" t="str">
        <f t="shared" si="2"/>
        <v>IWT060167</v>
      </c>
      <c r="J70" s="847">
        <v>5135</v>
      </c>
      <c r="L70" s="846" t="s">
        <v>1060</v>
      </c>
      <c r="M70" s="846" t="s">
        <v>1382</v>
      </c>
      <c r="N70" s="846" t="s">
        <v>96</v>
      </c>
      <c r="O70" s="847">
        <v>67</v>
      </c>
      <c r="P70" s="780" t="str">
        <f t="shared" si="3"/>
        <v>IWT060167</v>
      </c>
      <c r="Q70" s="847">
        <v>987</v>
      </c>
      <c r="R70" s="847">
        <v>2853</v>
      </c>
      <c r="S70" s="847">
        <v>4681</v>
      </c>
      <c r="T70" s="847">
        <v>6470</v>
      </c>
      <c r="U70" s="847">
        <v>8222</v>
      </c>
      <c r="V70" s="847">
        <v>0</v>
      </c>
      <c r="W70" s="847">
        <v>0</v>
      </c>
      <c r="X70" s="847">
        <v>0</v>
      </c>
      <c r="Y70" s="847">
        <v>0</v>
      </c>
      <c r="Z70" s="847">
        <v>0</v>
      </c>
      <c r="AA70" s="847">
        <v>0</v>
      </c>
      <c r="AB70" s="847">
        <v>0</v>
      </c>
      <c r="AC70" s="847">
        <v>0</v>
      </c>
      <c r="AD70" s="847">
        <v>0</v>
      </c>
      <c r="AE70" s="847">
        <v>0</v>
      </c>
      <c r="AF70" s="847">
        <v>0</v>
      </c>
      <c r="AG70" s="847">
        <v>0</v>
      </c>
      <c r="AH70" s="847">
        <v>0</v>
      </c>
      <c r="AI70" s="847">
        <v>0</v>
      </c>
      <c r="AJ70" s="847">
        <v>0</v>
      </c>
      <c r="AK70" s="847">
        <v>0</v>
      </c>
      <c r="AL70" s="847">
        <v>0</v>
      </c>
      <c r="AM70" s="847">
        <v>0</v>
      </c>
      <c r="AN70" s="847">
        <v>0</v>
      </c>
      <c r="AO70" s="847">
        <v>0</v>
      </c>
      <c r="AP70" s="847">
        <v>0</v>
      </c>
      <c r="AQ70" s="847">
        <v>0</v>
      </c>
      <c r="AR70" s="847">
        <v>0</v>
      </c>
      <c r="AS70" s="847">
        <v>0</v>
      </c>
      <c r="AT70" s="847">
        <v>0</v>
      </c>
      <c r="AU70" s="847">
        <v>0</v>
      </c>
      <c r="AV70" s="847">
        <v>0</v>
      </c>
      <c r="AW70" s="847">
        <v>0</v>
      </c>
      <c r="AX70" s="847">
        <v>0</v>
      </c>
      <c r="AY70" s="847">
        <v>0</v>
      </c>
      <c r="AZ70" s="847">
        <v>0</v>
      </c>
      <c r="BA70" s="847">
        <v>0</v>
      </c>
      <c r="BB70" s="847">
        <v>0</v>
      </c>
      <c r="BC70" s="847">
        <v>0</v>
      </c>
      <c r="BD70" s="847">
        <v>0</v>
      </c>
      <c r="BE70" s="847">
        <v>0</v>
      </c>
      <c r="BF70" s="847">
        <v>0</v>
      </c>
      <c r="BG70" s="847">
        <v>0</v>
      </c>
      <c r="BH70" s="847">
        <v>0</v>
      </c>
      <c r="BI70" s="847">
        <v>0</v>
      </c>
      <c r="BJ70" s="847">
        <v>0</v>
      </c>
      <c r="BK70" s="847">
        <v>0</v>
      </c>
      <c r="BL70" s="847">
        <v>0</v>
      </c>
      <c r="BM70" s="847">
        <v>0</v>
      </c>
      <c r="BN70" s="847">
        <v>0</v>
      </c>
      <c r="BO70" s="847">
        <v>0</v>
      </c>
      <c r="BP70" s="847">
        <v>0</v>
      </c>
      <c r="BQ70" s="847">
        <v>0</v>
      </c>
      <c r="BR70" s="847">
        <v>0</v>
      </c>
      <c r="BS70" s="847">
        <v>0</v>
      </c>
      <c r="BT70" s="847">
        <v>0</v>
      </c>
      <c r="BU70" s="847">
        <v>0</v>
      </c>
      <c r="BV70" s="847">
        <v>0</v>
      </c>
      <c r="BW70" s="847">
        <v>0</v>
      </c>
      <c r="BX70" s="847">
        <v>0</v>
      </c>
      <c r="BY70" s="847">
        <v>0</v>
      </c>
      <c r="BZ70" s="847">
        <v>0</v>
      </c>
      <c r="CA70" s="847">
        <v>0</v>
      </c>
      <c r="CB70" s="847">
        <v>0</v>
      </c>
      <c r="CC70" s="847">
        <v>0</v>
      </c>
      <c r="CD70" s="847">
        <v>0</v>
      </c>
      <c r="CE70" s="847">
        <v>0</v>
      </c>
      <c r="CF70" s="847">
        <v>0</v>
      </c>
      <c r="CG70" s="847">
        <v>0</v>
      </c>
      <c r="CH70" s="847">
        <v>0</v>
      </c>
      <c r="CI70" s="847">
        <v>0</v>
      </c>
      <c r="CJ70" s="847">
        <v>0</v>
      </c>
      <c r="CK70" s="847">
        <v>0</v>
      </c>
      <c r="CL70" s="847">
        <v>0</v>
      </c>
      <c r="CM70" s="847">
        <v>0</v>
      </c>
      <c r="CN70" s="847">
        <v>0</v>
      </c>
      <c r="CO70" s="847">
        <v>0</v>
      </c>
      <c r="CP70" s="847">
        <v>0</v>
      </c>
      <c r="CQ70" s="847">
        <v>0</v>
      </c>
      <c r="CR70" s="847">
        <v>0</v>
      </c>
      <c r="CS70" s="847">
        <v>0</v>
      </c>
      <c r="CT70" s="847">
        <v>0</v>
      </c>
      <c r="CU70" s="847">
        <v>0</v>
      </c>
      <c r="CV70" s="847">
        <v>0</v>
      </c>
      <c r="CW70" s="847">
        <v>0</v>
      </c>
      <c r="CX70" s="847">
        <v>0</v>
      </c>
      <c r="CY70" s="847">
        <v>0</v>
      </c>
      <c r="CZ70" s="847">
        <v>0</v>
      </c>
      <c r="DA70" s="847">
        <v>0</v>
      </c>
      <c r="DB70" s="847">
        <v>0</v>
      </c>
      <c r="DC70" s="847">
        <v>0</v>
      </c>
      <c r="DD70" s="847">
        <v>0</v>
      </c>
      <c r="DE70" s="847">
        <v>0</v>
      </c>
      <c r="DF70" s="847">
        <v>0</v>
      </c>
      <c r="DG70" s="847">
        <v>0</v>
      </c>
      <c r="DH70" s="847">
        <v>0</v>
      </c>
      <c r="DI70" s="847">
        <v>0</v>
      </c>
      <c r="DJ70" s="847">
        <v>0</v>
      </c>
      <c r="DK70" s="847">
        <v>0</v>
      </c>
      <c r="DL70" s="847">
        <v>0</v>
      </c>
      <c r="DM70" s="847">
        <v>0</v>
      </c>
      <c r="DN70" s="847">
        <v>0</v>
      </c>
      <c r="DO70" s="847">
        <v>0</v>
      </c>
      <c r="DP70" s="847">
        <v>0</v>
      </c>
      <c r="DQ70" s="847">
        <v>0</v>
      </c>
      <c r="DR70" s="847">
        <v>0</v>
      </c>
      <c r="DS70" s="847">
        <v>0</v>
      </c>
      <c r="DT70" s="847">
        <v>0</v>
      </c>
      <c r="DU70" s="847">
        <v>0</v>
      </c>
      <c r="DV70" s="847">
        <v>0</v>
      </c>
      <c r="DW70" s="847">
        <v>0</v>
      </c>
      <c r="DY70" s="173"/>
      <c r="DZ70" s="173"/>
      <c r="EA70" s="173"/>
      <c r="EB70" s="174"/>
      <c r="EC70" s="175"/>
      <c r="ED70" s="174"/>
      <c r="EE70" s="174"/>
      <c r="EF70" s="174"/>
      <c r="EG70" s="174"/>
      <c r="EH70" s="174"/>
      <c r="EI70" s="174"/>
      <c r="EJ70" s="174"/>
      <c r="EK70" s="174"/>
      <c r="EL70" s="174"/>
      <c r="EM70" s="174"/>
      <c r="EN70" s="174"/>
      <c r="EO70" s="174"/>
      <c r="EP70" s="174"/>
      <c r="EQ70" s="174"/>
      <c r="ER70" s="174"/>
      <c r="ES70" s="174"/>
      <c r="ET70" s="174"/>
      <c r="EU70" s="174"/>
      <c r="EV70" s="174"/>
      <c r="EW70" s="174"/>
      <c r="EX70" s="174"/>
      <c r="EY70" s="174"/>
      <c r="EZ70" s="174"/>
      <c r="FA70" s="174"/>
      <c r="FB70" s="174"/>
      <c r="FC70" s="174"/>
      <c r="FD70" s="174"/>
      <c r="FE70" s="174"/>
      <c r="FF70" s="174"/>
      <c r="FG70" s="174"/>
      <c r="FH70" s="174"/>
      <c r="FI70" s="174"/>
      <c r="FJ70" s="174"/>
      <c r="FK70" s="174"/>
      <c r="FL70" s="174"/>
      <c r="FM70" s="174"/>
      <c r="FN70" s="174"/>
      <c r="FO70" s="174"/>
      <c r="FP70" s="174"/>
      <c r="FQ70" s="174"/>
      <c r="FR70" s="174"/>
      <c r="FS70" s="174"/>
      <c r="FT70" s="174"/>
      <c r="FU70" s="174"/>
      <c r="FV70" s="176"/>
      <c r="FW70" s="176"/>
      <c r="FX70" s="176"/>
      <c r="FY70" s="176"/>
      <c r="FZ70" s="176"/>
      <c r="GA70" s="176"/>
      <c r="GB70" s="176"/>
      <c r="GC70" s="176"/>
      <c r="GD70" s="176"/>
      <c r="GE70" s="176"/>
      <c r="GF70" s="176"/>
      <c r="GG70" s="176"/>
      <c r="GH70" s="176"/>
      <c r="GI70" s="176"/>
      <c r="GJ70" s="176"/>
      <c r="GK70" s="176"/>
      <c r="GL70" s="176"/>
      <c r="GM70" s="176"/>
      <c r="GN70" s="176"/>
      <c r="GO70" s="176"/>
      <c r="GP70" s="176"/>
      <c r="GQ70" s="176"/>
      <c r="GR70" s="176"/>
      <c r="GS70" s="176"/>
      <c r="GT70" s="176"/>
      <c r="GU70" s="176"/>
      <c r="GV70" s="176"/>
      <c r="GW70" s="176"/>
      <c r="GX70" s="176"/>
      <c r="GY70" s="176"/>
      <c r="GZ70" s="176"/>
      <c r="HA70" s="176"/>
      <c r="HB70" s="176"/>
      <c r="HC70" s="176"/>
      <c r="HD70" s="176"/>
      <c r="HE70" s="176"/>
      <c r="HF70" s="176"/>
      <c r="HG70" s="176"/>
      <c r="HH70" s="176"/>
      <c r="HI70" s="176"/>
      <c r="HJ70" s="176"/>
      <c r="HK70" s="176"/>
      <c r="HL70" s="176"/>
      <c r="HM70" s="176"/>
      <c r="HN70" s="176"/>
      <c r="HO70" s="176"/>
      <c r="HP70" s="176"/>
      <c r="HQ70" s="176"/>
      <c r="HR70" s="176"/>
      <c r="HS70" s="176"/>
      <c r="HT70" s="176"/>
      <c r="HU70" s="176"/>
      <c r="HV70" s="176"/>
      <c r="HW70" s="176"/>
      <c r="HX70" s="176"/>
      <c r="HY70" s="176"/>
      <c r="HZ70" s="176"/>
      <c r="IA70" s="176"/>
      <c r="IB70" s="176"/>
      <c r="IC70" s="176"/>
      <c r="ID70" s="176"/>
      <c r="IE70" s="176"/>
      <c r="IF70" s="176"/>
      <c r="IG70" s="176"/>
      <c r="IH70" s="176"/>
      <c r="II70" s="176"/>
      <c r="IJ70" s="176"/>
    </row>
    <row r="71" spans="1:244" ht="16.5" hidden="1">
      <c r="A71" s="846" t="s">
        <v>1060</v>
      </c>
      <c r="B71" s="846" t="s">
        <v>1382</v>
      </c>
      <c r="C71" s="846" t="s">
        <v>1171</v>
      </c>
      <c r="D71" s="847">
        <v>6</v>
      </c>
      <c r="E71" s="846" t="s">
        <v>1171</v>
      </c>
      <c r="F71" s="846" t="s">
        <v>96</v>
      </c>
      <c r="G71" s="851"/>
      <c r="H71" s="847">
        <v>68</v>
      </c>
      <c r="I71" s="780" t="str">
        <f t="shared" si="2"/>
        <v>IWT060168</v>
      </c>
      <c r="J71" s="847">
        <v>5140</v>
      </c>
      <c r="L71" s="846" t="s">
        <v>1060</v>
      </c>
      <c r="M71" s="846" t="s">
        <v>1382</v>
      </c>
      <c r="N71" s="846" t="s">
        <v>96</v>
      </c>
      <c r="O71" s="847">
        <v>68</v>
      </c>
      <c r="P71" s="780" t="str">
        <f t="shared" si="3"/>
        <v>IWT060168</v>
      </c>
      <c r="Q71" s="847">
        <v>976</v>
      </c>
      <c r="R71" s="847">
        <v>2844</v>
      </c>
      <c r="S71" s="847">
        <v>4673</v>
      </c>
      <c r="T71" s="847">
        <v>6464</v>
      </c>
      <c r="U71" s="847">
        <v>8218</v>
      </c>
      <c r="V71" s="847">
        <v>0</v>
      </c>
      <c r="W71" s="847">
        <v>0</v>
      </c>
      <c r="X71" s="847">
        <v>0</v>
      </c>
      <c r="Y71" s="847">
        <v>0</v>
      </c>
      <c r="Z71" s="847">
        <v>0</v>
      </c>
      <c r="AA71" s="847">
        <v>0</v>
      </c>
      <c r="AB71" s="847">
        <v>0</v>
      </c>
      <c r="AC71" s="847">
        <v>0</v>
      </c>
      <c r="AD71" s="847">
        <v>0</v>
      </c>
      <c r="AE71" s="847">
        <v>0</v>
      </c>
      <c r="AF71" s="847">
        <v>0</v>
      </c>
      <c r="AG71" s="847">
        <v>0</v>
      </c>
      <c r="AH71" s="847">
        <v>0</v>
      </c>
      <c r="AI71" s="847">
        <v>0</v>
      </c>
      <c r="AJ71" s="847">
        <v>0</v>
      </c>
      <c r="AK71" s="847">
        <v>0</v>
      </c>
      <c r="AL71" s="847">
        <v>0</v>
      </c>
      <c r="AM71" s="847">
        <v>0</v>
      </c>
      <c r="AN71" s="847">
        <v>0</v>
      </c>
      <c r="AO71" s="847">
        <v>0</v>
      </c>
      <c r="AP71" s="847">
        <v>0</v>
      </c>
      <c r="AQ71" s="847">
        <v>0</v>
      </c>
      <c r="AR71" s="847">
        <v>0</v>
      </c>
      <c r="AS71" s="847">
        <v>0</v>
      </c>
      <c r="AT71" s="847">
        <v>0</v>
      </c>
      <c r="AU71" s="847">
        <v>0</v>
      </c>
      <c r="AV71" s="847">
        <v>0</v>
      </c>
      <c r="AW71" s="847">
        <v>0</v>
      </c>
      <c r="AX71" s="847">
        <v>0</v>
      </c>
      <c r="AY71" s="847">
        <v>0</v>
      </c>
      <c r="AZ71" s="847">
        <v>0</v>
      </c>
      <c r="BA71" s="847">
        <v>0</v>
      </c>
      <c r="BB71" s="847">
        <v>0</v>
      </c>
      <c r="BC71" s="847">
        <v>0</v>
      </c>
      <c r="BD71" s="847">
        <v>0</v>
      </c>
      <c r="BE71" s="847">
        <v>0</v>
      </c>
      <c r="BF71" s="847">
        <v>0</v>
      </c>
      <c r="BG71" s="847">
        <v>0</v>
      </c>
      <c r="BH71" s="847">
        <v>0</v>
      </c>
      <c r="BI71" s="847">
        <v>0</v>
      </c>
      <c r="BJ71" s="847">
        <v>0</v>
      </c>
      <c r="BK71" s="847">
        <v>0</v>
      </c>
      <c r="BL71" s="847">
        <v>0</v>
      </c>
      <c r="BM71" s="847">
        <v>0</v>
      </c>
      <c r="BN71" s="847">
        <v>0</v>
      </c>
      <c r="BO71" s="847">
        <v>0</v>
      </c>
      <c r="BP71" s="847">
        <v>0</v>
      </c>
      <c r="BQ71" s="847">
        <v>0</v>
      </c>
      <c r="BR71" s="847">
        <v>0</v>
      </c>
      <c r="BS71" s="847">
        <v>0</v>
      </c>
      <c r="BT71" s="847">
        <v>0</v>
      </c>
      <c r="BU71" s="847">
        <v>0</v>
      </c>
      <c r="BV71" s="847">
        <v>0</v>
      </c>
      <c r="BW71" s="847">
        <v>0</v>
      </c>
      <c r="BX71" s="847">
        <v>0</v>
      </c>
      <c r="BY71" s="847">
        <v>0</v>
      </c>
      <c r="BZ71" s="847">
        <v>0</v>
      </c>
      <c r="CA71" s="847">
        <v>0</v>
      </c>
      <c r="CB71" s="847">
        <v>0</v>
      </c>
      <c r="CC71" s="847">
        <v>0</v>
      </c>
      <c r="CD71" s="847">
        <v>0</v>
      </c>
      <c r="CE71" s="847">
        <v>0</v>
      </c>
      <c r="CF71" s="847">
        <v>0</v>
      </c>
      <c r="CG71" s="847">
        <v>0</v>
      </c>
      <c r="CH71" s="847">
        <v>0</v>
      </c>
      <c r="CI71" s="847">
        <v>0</v>
      </c>
      <c r="CJ71" s="847">
        <v>0</v>
      </c>
      <c r="CK71" s="847">
        <v>0</v>
      </c>
      <c r="CL71" s="847">
        <v>0</v>
      </c>
      <c r="CM71" s="847">
        <v>0</v>
      </c>
      <c r="CN71" s="847">
        <v>0</v>
      </c>
      <c r="CO71" s="847">
        <v>0</v>
      </c>
      <c r="CP71" s="847">
        <v>0</v>
      </c>
      <c r="CQ71" s="847">
        <v>0</v>
      </c>
      <c r="CR71" s="847">
        <v>0</v>
      </c>
      <c r="CS71" s="847">
        <v>0</v>
      </c>
      <c r="CT71" s="847">
        <v>0</v>
      </c>
      <c r="CU71" s="847">
        <v>0</v>
      </c>
      <c r="CV71" s="847">
        <v>0</v>
      </c>
      <c r="CW71" s="847">
        <v>0</v>
      </c>
      <c r="CX71" s="847">
        <v>0</v>
      </c>
      <c r="CY71" s="847">
        <v>0</v>
      </c>
      <c r="CZ71" s="847">
        <v>0</v>
      </c>
      <c r="DA71" s="847">
        <v>0</v>
      </c>
      <c r="DB71" s="847">
        <v>0</v>
      </c>
      <c r="DC71" s="847">
        <v>0</v>
      </c>
      <c r="DD71" s="847">
        <v>0</v>
      </c>
      <c r="DE71" s="847">
        <v>0</v>
      </c>
      <c r="DF71" s="847">
        <v>0</v>
      </c>
      <c r="DG71" s="847">
        <v>0</v>
      </c>
      <c r="DH71" s="847">
        <v>0</v>
      </c>
      <c r="DI71" s="847">
        <v>0</v>
      </c>
      <c r="DJ71" s="847">
        <v>0</v>
      </c>
      <c r="DK71" s="847">
        <v>0</v>
      </c>
      <c r="DL71" s="847">
        <v>0</v>
      </c>
      <c r="DM71" s="847">
        <v>0</v>
      </c>
      <c r="DN71" s="847">
        <v>0</v>
      </c>
      <c r="DO71" s="847">
        <v>0</v>
      </c>
      <c r="DP71" s="847">
        <v>0</v>
      </c>
      <c r="DQ71" s="847">
        <v>0</v>
      </c>
      <c r="DR71" s="847">
        <v>0</v>
      </c>
      <c r="DS71" s="847">
        <v>0</v>
      </c>
      <c r="DT71" s="847">
        <v>0</v>
      </c>
      <c r="DU71" s="847">
        <v>0</v>
      </c>
      <c r="DV71" s="847">
        <v>0</v>
      </c>
      <c r="DW71" s="847">
        <v>0</v>
      </c>
      <c r="DY71" s="173"/>
      <c r="DZ71" s="173"/>
      <c r="EA71" s="173"/>
      <c r="EB71" s="174"/>
      <c r="EC71" s="175"/>
      <c r="ED71" s="174"/>
      <c r="EE71" s="174"/>
      <c r="EF71" s="174"/>
      <c r="EG71" s="174"/>
      <c r="EH71" s="174"/>
      <c r="EI71" s="174"/>
      <c r="EJ71" s="174"/>
      <c r="EK71" s="174"/>
      <c r="EL71" s="174"/>
      <c r="EM71" s="174"/>
      <c r="EN71" s="174"/>
      <c r="EO71" s="174"/>
      <c r="EP71" s="174"/>
      <c r="EQ71" s="174"/>
      <c r="ER71" s="174"/>
      <c r="ES71" s="174"/>
      <c r="ET71" s="174"/>
      <c r="EU71" s="174"/>
      <c r="EV71" s="174"/>
      <c r="EW71" s="174"/>
      <c r="EX71" s="174"/>
      <c r="EY71" s="174"/>
      <c r="EZ71" s="174"/>
      <c r="FA71" s="174"/>
      <c r="FB71" s="174"/>
      <c r="FC71" s="174"/>
      <c r="FD71" s="174"/>
      <c r="FE71" s="174"/>
      <c r="FF71" s="174"/>
      <c r="FG71" s="174"/>
      <c r="FH71" s="174"/>
      <c r="FI71" s="174"/>
      <c r="FJ71" s="174"/>
      <c r="FK71" s="174"/>
      <c r="FL71" s="174"/>
      <c r="FM71" s="174"/>
      <c r="FN71" s="174"/>
      <c r="FO71" s="174"/>
      <c r="FP71" s="174"/>
      <c r="FQ71" s="174"/>
      <c r="FR71" s="174"/>
      <c r="FS71" s="174"/>
      <c r="FT71" s="174"/>
      <c r="FU71" s="176"/>
      <c r="FV71" s="176"/>
      <c r="FW71" s="176"/>
      <c r="FX71" s="176"/>
      <c r="FY71" s="176"/>
      <c r="FZ71" s="176"/>
      <c r="GA71" s="176"/>
      <c r="GB71" s="176"/>
      <c r="GC71" s="176"/>
      <c r="GD71" s="176"/>
      <c r="GE71" s="176"/>
      <c r="GF71" s="176"/>
      <c r="GG71" s="176"/>
      <c r="GH71" s="176"/>
      <c r="GI71" s="176"/>
      <c r="GJ71" s="176"/>
      <c r="GK71" s="176"/>
      <c r="GL71" s="176"/>
      <c r="GM71" s="176"/>
      <c r="GN71" s="176"/>
      <c r="GO71" s="176"/>
      <c r="GP71" s="176"/>
      <c r="GQ71" s="176"/>
      <c r="GR71" s="176"/>
      <c r="GS71" s="176"/>
      <c r="GT71" s="176"/>
      <c r="GU71" s="176"/>
      <c r="GV71" s="176"/>
      <c r="GW71" s="176"/>
      <c r="GX71" s="176"/>
      <c r="GY71" s="176"/>
      <c r="GZ71" s="176"/>
      <c r="HA71" s="176"/>
      <c r="HB71" s="176"/>
      <c r="HC71" s="176"/>
      <c r="HD71" s="176"/>
      <c r="HE71" s="176"/>
      <c r="HF71" s="176"/>
      <c r="HG71" s="176"/>
      <c r="HH71" s="176"/>
      <c r="HI71" s="176"/>
      <c r="HJ71" s="176"/>
      <c r="HK71" s="176"/>
      <c r="HL71" s="176"/>
      <c r="HM71" s="176"/>
      <c r="HN71" s="176"/>
      <c r="HO71" s="176"/>
      <c r="HP71" s="176"/>
      <c r="HQ71" s="176"/>
      <c r="HR71" s="176"/>
      <c r="HS71" s="176"/>
      <c r="HT71" s="176"/>
      <c r="HU71" s="176"/>
      <c r="HV71" s="176"/>
      <c r="HW71" s="176"/>
      <c r="HX71" s="176"/>
      <c r="HY71" s="176"/>
      <c r="HZ71" s="176"/>
      <c r="IA71" s="176"/>
      <c r="IB71" s="176"/>
      <c r="IC71" s="176"/>
      <c r="ID71" s="176"/>
      <c r="IE71" s="176"/>
      <c r="IF71" s="176"/>
      <c r="IG71" s="176"/>
      <c r="IH71" s="176"/>
      <c r="II71" s="176"/>
      <c r="IJ71" s="176"/>
    </row>
    <row r="72" spans="1:244" ht="16.5" hidden="1">
      <c r="A72" s="846" t="s">
        <v>1060</v>
      </c>
      <c r="B72" s="846" t="s">
        <v>1382</v>
      </c>
      <c r="C72" s="846" t="s">
        <v>1171</v>
      </c>
      <c r="D72" s="847">
        <v>6</v>
      </c>
      <c r="E72" s="846" t="s">
        <v>1171</v>
      </c>
      <c r="F72" s="846" t="s">
        <v>96</v>
      </c>
      <c r="G72" s="851"/>
      <c r="H72" s="847">
        <v>69</v>
      </c>
      <c r="I72" s="780" t="str">
        <f t="shared" si="2"/>
        <v>IWT060169</v>
      </c>
      <c r="J72" s="847">
        <v>5145</v>
      </c>
      <c r="L72" s="846" t="s">
        <v>1060</v>
      </c>
      <c r="M72" s="846" t="s">
        <v>1382</v>
      </c>
      <c r="N72" s="846" t="s">
        <v>96</v>
      </c>
      <c r="O72" s="847">
        <v>69</v>
      </c>
      <c r="P72" s="780" t="str">
        <f t="shared" si="3"/>
        <v>IWT060169</v>
      </c>
      <c r="Q72" s="847">
        <v>963</v>
      </c>
      <c r="R72" s="847">
        <v>2835</v>
      </c>
      <c r="S72" s="847">
        <v>4666</v>
      </c>
      <c r="T72" s="847">
        <v>6458</v>
      </c>
      <c r="U72" s="847">
        <v>8213</v>
      </c>
      <c r="V72" s="847">
        <v>0</v>
      </c>
      <c r="W72" s="847">
        <v>0</v>
      </c>
      <c r="X72" s="847">
        <v>0</v>
      </c>
      <c r="Y72" s="847">
        <v>0</v>
      </c>
      <c r="Z72" s="847">
        <v>0</v>
      </c>
      <c r="AA72" s="847">
        <v>0</v>
      </c>
      <c r="AB72" s="847">
        <v>0</v>
      </c>
      <c r="AC72" s="847">
        <v>0</v>
      </c>
      <c r="AD72" s="847">
        <v>0</v>
      </c>
      <c r="AE72" s="847">
        <v>0</v>
      </c>
      <c r="AF72" s="847">
        <v>0</v>
      </c>
      <c r="AG72" s="847">
        <v>0</v>
      </c>
      <c r="AH72" s="847">
        <v>0</v>
      </c>
      <c r="AI72" s="847">
        <v>0</v>
      </c>
      <c r="AJ72" s="847">
        <v>0</v>
      </c>
      <c r="AK72" s="847">
        <v>0</v>
      </c>
      <c r="AL72" s="847">
        <v>0</v>
      </c>
      <c r="AM72" s="847">
        <v>0</v>
      </c>
      <c r="AN72" s="847">
        <v>0</v>
      </c>
      <c r="AO72" s="847">
        <v>0</v>
      </c>
      <c r="AP72" s="847">
        <v>0</v>
      </c>
      <c r="AQ72" s="847">
        <v>0</v>
      </c>
      <c r="AR72" s="847">
        <v>0</v>
      </c>
      <c r="AS72" s="847">
        <v>0</v>
      </c>
      <c r="AT72" s="847">
        <v>0</v>
      </c>
      <c r="AU72" s="847">
        <v>0</v>
      </c>
      <c r="AV72" s="847">
        <v>0</v>
      </c>
      <c r="AW72" s="847">
        <v>0</v>
      </c>
      <c r="AX72" s="847">
        <v>0</v>
      </c>
      <c r="AY72" s="847">
        <v>0</v>
      </c>
      <c r="AZ72" s="847">
        <v>0</v>
      </c>
      <c r="BA72" s="847">
        <v>0</v>
      </c>
      <c r="BB72" s="847">
        <v>0</v>
      </c>
      <c r="BC72" s="847">
        <v>0</v>
      </c>
      <c r="BD72" s="847">
        <v>0</v>
      </c>
      <c r="BE72" s="847">
        <v>0</v>
      </c>
      <c r="BF72" s="847">
        <v>0</v>
      </c>
      <c r="BG72" s="847">
        <v>0</v>
      </c>
      <c r="BH72" s="847">
        <v>0</v>
      </c>
      <c r="BI72" s="847">
        <v>0</v>
      </c>
      <c r="BJ72" s="847">
        <v>0</v>
      </c>
      <c r="BK72" s="847">
        <v>0</v>
      </c>
      <c r="BL72" s="847">
        <v>0</v>
      </c>
      <c r="BM72" s="847">
        <v>0</v>
      </c>
      <c r="BN72" s="847">
        <v>0</v>
      </c>
      <c r="BO72" s="847">
        <v>0</v>
      </c>
      <c r="BP72" s="847">
        <v>0</v>
      </c>
      <c r="BQ72" s="847">
        <v>0</v>
      </c>
      <c r="BR72" s="847">
        <v>0</v>
      </c>
      <c r="BS72" s="847">
        <v>0</v>
      </c>
      <c r="BT72" s="847">
        <v>0</v>
      </c>
      <c r="BU72" s="847">
        <v>0</v>
      </c>
      <c r="BV72" s="847">
        <v>0</v>
      </c>
      <c r="BW72" s="847">
        <v>0</v>
      </c>
      <c r="BX72" s="847">
        <v>0</v>
      </c>
      <c r="BY72" s="847">
        <v>0</v>
      </c>
      <c r="BZ72" s="847">
        <v>0</v>
      </c>
      <c r="CA72" s="847">
        <v>0</v>
      </c>
      <c r="CB72" s="847">
        <v>0</v>
      </c>
      <c r="CC72" s="847">
        <v>0</v>
      </c>
      <c r="CD72" s="847">
        <v>0</v>
      </c>
      <c r="CE72" s="847">
        <v>0</v>
      </c>
      <c r="CF72" s="847">
        <v>0</v>
      </c>
      <c r="CG72" s="847">
        <v>0</v>
      </c>
      <c r="CH72" s="847">
        <v>0</v>
      </c>
      <c r="CI72" s="847">
        <v>0</v>
      </c>
      <c r="CJ72" s="847">
        <v>0</v>
      </c>
      <c r="CK72" s="847">
        <v>0</v>
      </c>
      <c r="CL72" s="847">
        <v>0</v>
      </c>
      <c r="CM72" s="847">
        <v>0</v>
      </c>
      <c r="CN72" s="847">
        <v>0</v>
      </c>
      <c r="CO72" s="847">
        <v>0</v>
      </c>
      <c r="CP72" s="847">
        <v>0</v>
      </c>
      <c r="CQ72" s="847">
        <v>0</v>
      </c>
      <c r="CR72" s="847">
        <v>0</v>
      </c>
      <c r="CS72" s="847">
        <v>0</v>
      </c>
      <c r="CT72" s="847">
        <v>0</v>
      </c>
      <c r="CU72" s="847">
        <v>0</v>
      </c>
      <c r="CV72" s="847">
        <v>0</v>
      </c>
      <c r="CW72" s="847">
        <v>0</v>
      </c>
      <c r="CX72" s="847">
        <v>0</v>
      </c>
      <c r="CY72" s="847">
        <v>0</v>
      </c>
      <c r="CZ72" s="847">
        <v>0</v>
      </c>
      <c r="DA72" s="847">
        <v>0</v>
      </c>
      <c r="DB72" s="847">
        <v>0</v>
      </c>
      <c r="DC72" s="847">
        <v>0</v>
      </c>
      <c r="DD72" s="847">
        <v>0</v>
      </c>
      <c r="DE72" s="847">
        <v>0</v>
      </c>
      <c r="DF72" s="847">
        <v>0</v>
      </c>
      <c r="DG72" s="847">
        <v>0</v>
      </c>
      <c r="DH72" s="847">
        <v>0</v>
      </c>
      <c r="DI72" s="847">
        <v>0</v>
      </c>
      <c r="DJ72" s="847">
        <v>0</v>
      </c>
      <c r="DK72" s="847">
        <v>0</v>
      </c>
      <c r="DL72" s="847">
        <v>0</v>
      </c>
      <c r="DM72" s="847">
        <v>0</v>
      </c>
      <c r="DN72" s="847">
        <v>0</v>
      </c>
      <c r="DO72" s="847">
        <v>0</v>
      </c>
      <c r="DP72" s="847">
        <v>0</v>
      </c>
      <c r="DQ72" s="847">
        <v>0</v>
      </c>
      <c r="DR72" s="847">
        <v>0</v>
      </c>
      <c r="DS72" s="847">
        <v>0</v>
      </c>
      <c r="DT72" s="847">
        <v>0</v>
      </c>
      <c r="DU72" s="847">
        <v>0</v>
      </c>
      <c r="DV72" s="847">
        <v>0</v>
      </c>
      <c r="DW72" s="847">
        <v>0</v>
      </c>
      <c r="DY72" s="173"/>
      <c r="DZ72" s="173"/>
      <c r="EA72" s="173"/>
      <c r="EB72" s="174"/>
      <c r="EC72" s="175"/>
      <c r="ED72" s="174"/>
      <c r="EE72" s="174"/>
      <c r="EF72" s="174"/>
      <c r="EG72" s="174"/>
      <c r="EH72" s="174"/>
      <c r="EI72" s="174"/>
      <c r="EJ72" s="174"/>
      <c r="EK72" s="174"/>
      <c r="EL72" s="174"/>
      <c r="EM72" s="174"/>
      <c r="EN72" s="174"/>
      <c r="EO72" s="174"/>
      <c r="EP72" s="174"/>
      <c r="EQ72" s="174"/>
      <c r="ER72" s="174"/>
      <c r="ES72" s="174"/>
      <c r="ET72" s="174"/>
      <c r="EU72" s="174"/>
      <c r="EV72" s="174"/>
      <c r="EW72" s="174"/>
      <c r="EX72" s="174"/>
      <c r="EY72" s="174"/>
      <c r="EZ72" s="174"/>
      <c r="FA72" s="174"/>
      <c r="FB72" s="174"/>
      <c r="FC72" s="174"/>
      <c r="FD72" s="174"/>
      <c r="FE72" s="174"/>
      <c r="FF72" s="174"/>
      <c r="FG72" s="174"/>
      <c r="FH72" s="174"/>
      <c r="FI72" s="174"/>
      <c r="FJ72" s="174"/>
      <c r="FK72" s="174"/>
      <c r="FL72" s="174"/>
      <c r="FM72" s="174"/>
      <c r="FN72" s="174"/>
      <c r="FO72" s="174"/>
      <c r="FP72" s="174"/>
      <c r="FQ72" s="174"/>
      <c r="FR72" s="174"/>
      <c r="FS72" s="174"/>
      <c r="FT72" s="176"/>
      <c r="FU72" s="176"/>
      <c r="FV72" s="176"/>
      <c r="FW72" s="176"/>
      <c r="FX72" s="176"/>
      <c r="FY72" s="176"/>
      <c r="FZ72" s="176"/>
      <c r="GA72" s="176"/>
      <c r="GB72" s="176"/>
      <c r="GC72" s="176"/>
      <c r="GD72" s="176"/>
      <c r="GE72" s="176"/>
      <c r="GF72" s="176"/>
      <c r="GG72" s="176"/>
      <c r="GH72" s="176"/>
      <c r="GI72" s="176"/>
      <c r="GJ72" s="176"/>
      <c r="GK72" s="176"/>
      <c r="GL72" s="176"/>
      <c r="GM72" s="176"/>
      <c r="GN72" s="176"/>
      <c r="GO72" s="176"/>
      <c r="GP72" s="176"/>
      <c r="GQ72" s="176"/>
      <c r="GR72" s="176"/>
      <c r="GS72" s="176"/>
      <c r="GT72" s="176"/>
      <c r="GU72" s="176"/>
      <c r="GV72" s="176"/>
      <c r="GW72" s="176"/>
      <c r="GX72" s="176"/>
      <c r="GY72" s="176"/>
      <c r="GZ72" s="176"/>
      <c r="HA72" s="176"/>
      <c r="HB72" s="176"/>
      <c r="HC72" s="176"/>
      <c r="HD72" s="176"/>
      <c r="HE72" s="176"/>
      <c r="HF72" s="176"/>
      <c r="HG72" s="176"/>
      <c r="HH72" s="176"/>
      <c r="HI72" s="176"/>
      <c r="HJ72" s="176"/>
      <c r="HK72" s="176"/>
      <c r="HL72" s="176"/>
      <c r="HM72" s="176"/>
      <c r="HN72" s="176"/>
      <c r="HO72" s="176"/>
      <c r="HP72" s="176"/>
      <c r="HQ72" s="176"/>
      <c r="HR72" s="176"/>
      <c r="HS72" s="176"/>
      <c r="HT72" s="176"/>
      <c r="HU72" s="176"/>
      <c r="HV72" s="176"/>
      <c r="HW72" s="176"/>
      <c r="HX72" s="176"/>
      <c r="HY72" s="176"/>
      <c r="HZ72" s="176"/>
      <c r="IA72" s="176"/>
      <c r="IB72" s="176"/>
      <c r="IC72" s="176"/>
      <c r="ID72" s="176"/>
      <c r="IE72" s="176"/>
      <c r="IF72" s="176"/>
      <c r="IG72" s="176"/>
      <c r="IH72" s="176"/>
      <c r="II72" s="176"/>
      <c r="IJ72" s="176"/>
    </row>
    <row r="73" spans="1:244" ht="16.5" hidden="1">
      <c r="A73" s="846" t="s">
        <v>1060</v>
      </c>
      <c r="B73" s="846" t="s">
        <v>1382</v>
      </c>
      <c r="C73" s="846" t="s">
        <v>1171</v>
      </c>
      <c r="D73" s="847">
        <v>6</v>
      </c>
      <c r="E73" s="846" t="s">
        <v>1171</v>
      </c>
      <c r="F73" s="846" t="s">
        <v>96</v>
      </c>
      <c r="G73" s="851"/>
      <c r="H73" s="847">
        <v>70</v>
      </c>
      <c r="I73" s="780" t="str">
        <f t="shared" si="2"/>
        <v>IWT060170</v>
      </c>
      <c r="J73" s="847">
        <v>5150</v>
      </c>
      <c r="L73" s="846" t="s">
        <v>1060</v>
      </c>
      <c r="M73" s="846" t="s">
        <v>1382</v>
      </c>
      <c r="N73" s="846" t="s">
        <v>96</v>
      </c>
      <c r="O73" s="847">
        <v>70</v>
      </c>
      <c r="P73" s="780" t="str">
        <f t="shared" si="3"/>
        <v>IWT060170</v>
      </c>
      <c r="Q73" s="847">
        <v>950</v>
      </c>
      <c r="R73" s="847">
        <v>2824</v>
      </c>
      <c r="S73" s="847">
        <v>4657</v>
      </c>
      <c r="T73" s="847">
        <v>6451</v>
      </c>
      <c r="U73" s="847">
        <v>8208</v>
      </c>
      <c r="V73" s="847">
        <v>0</v>
      </c>
      <c r="W73" s="847">
        <v>0</v>
      </c>
      <c r="X73" s="847">
        <v>0</v>
      </c>
      <c r="Y73" s="847">
        <v>0</v>
      </c>
      <c r="Z73" s="847">
        <v>0</v>
      </c>
      <c r="AA73" s="847">
        <v>0</v>
      </c>
      <c r="AB73" s="847">
        <v>0</v>
      </c>
      <c r="AC73" s="847">
        <v>0</v>
      </c>
      <c r="AD73" s="847">
        <v>0</v>
      </c>
      <c r="AE73" s="847">
        <v>0</v>
      </c>
      <c r="AF73" s="847">
        <v>0</v>
      </c>
      <c r="AG73" s="847">
        <v>0</v>
      </c>
      <c r="AH73" s="847">
        <v>0</v>
      </c>
      <c r="AI73" s="847">
        <v>0</v>
      </c>
      <c r="AJ73" s="847">
        <v>0</v>
      </c>
      <c r="AK73" s="847">
        <v>0</v>
      </c>
      <c r="AL73" s="847">
        <v>0</v>
      </c>
      <c r="AM73" s="847">
        <v>0</v>
      </c>
      <c r="AN73" s="847">
        <v>0</v>
      </c>
      <c r="AO73" s="847">
        <v>0</v>
      </c>
      <c r="AP73" s="847">
        <v>0</v>
      </c>
      <c r="AQ73" s="847">
        <v>0</v>
      </c>
      <c r="AR73" s="847">
        <v>0</v>
      </c>
      <c r="AS73" s="847">
        <v>0</v>
      </c>
      <c r="AT73" s="847">
        <v>0</v>
      </c>
      <c r="AU73" s="847">
        <v>0</v>
      </c>
      <c r="AV73" s="847">
        <v>0</v>
      </c>
      <c r="AW73" s="847">
        <v>0</v>
      </c>
      <c r="AX73" s="847">
        <v>0</v>
      </c>
      <c r="AY73" s="847">
        <v>0</v>
      </c>
      <c r="AZ73" s="847">
        <v>0</v>
      </c>
      <c r="BA73" s="847">
        <v>0</v>
      </c>
      <c r="BB73" s="847">
        <v>0</v>
      </c>
      <c r="BC73" s="847">
        <v>0</v>
      </c>
      <c r="BD73" s="847">
        <v>0</v>
      </c>
      <c r="BE73" s="847">
        <v>0</v>
      </c>
      <c r="BF73" s="847">
        <v>0</v>
      </c>
      <c r="BG73" s="847">
        <v>0</v>
      </c>
      <c r="BH73" s="847">
        <v>0</v>
      </c>
      <c r="BI73" s="847">
        <v>0</v>
      </c>
      <c r="BJ73" s="847">
        <v>0</v>
      </c>
      <c r="BK73" s="847">
        <v>0</v>
      </c>
      <c r="BL73" s="847">
        <v>0</v>
      </c>
      <c r="BM73" s="847">
        <v>0</v>
      </c>
      <c r="BN73" s="847">
        <v>0</v>
      </c>
      <c r="BO73" s="847">
        <v>0</v>
      </c>
      <c r="BP73" s="847">
        <v>0</v>
      </c>
      <c r="BQ73" s="847">
        <v>0</v>
      </c>
      <c r="BR73" s="847">
        <v>0</v>
      </c>
      <c r="BS73" s="847">
        <v>0</v>
      </c>
      <c r="BT73" s="847">
        <v>0</v>
      </c>
      <c r="BU73" s="847">
        <v>0</v>
      </c>
      <c r="BV73" s="847">
        <v>0</v>
      </c>
      <c r="BW73" s="847">
        <v>0</v>
      </c>
      <c r="BX73" s="847">
        <v>0</v>
      </c>
      <c r="BY73" s="847">
        <v>0</v>
      </c>
      <c r="BZ73" s="847">
        <v>0</v>
      </c>
      <c r="CA73" s="847">
        <v>0</v>
      </c>
      <c r="CB73" s="847">
        <v>0</v>
      </c>
      <c r="CC73" s="847">
        <v>0</v>
      </c>
      <c r="CD73" s="847">
        <v>0</v>
      </c>
      <c r="CE73" s="847">
        <v>0</v>
      </c>
      <c r="CF73" s="847">
        <v>0</v>
      </c>
      <c r="CG73" s="847">
        <v>0</v>
      </c>
      <c r="CH73" s="847">
        <v>0</v>
      </c>
      <c r="CI73" s="847">
        <v>0</v>
      </c>
      <c r="CJ73" s="847">
        <v>0</v>
      </c>
      <c r="CK73" s="847">
        <v>0</v>
      </c>
      <c r="CL73" s="847">
        <v>0</v>
      </c>
      <c r="CM73" s="847">
        <v>0</v>
      </c>
      <c r="CN73" s="847">
        <v>0</v>
      </c>
      <c r="CO73" s="847">
        <v>0</v>
      </c>
      <c r="CP73" s="847">
        <v>0</v>
      </c>
      <c r="CQ73" s="847">
        <v>0</v>
      </c>
      <c r="CR73" s="847">
        <v>0</v>
      </c>
      <c r="CS73" s="847">
        <v>0</v>
      </c>
      <c r="CT73" s="847">
        <v>0</v>
      </c>
      <c r="CU73" s="847">
        <v>0</v>
      </c>
      <c r="CV73" s="847">
        <v>0</v>
      </c>
      <c r="CW73" s="847">
        <v>0</v>
      </c>
      <c r="CX73" s="847">
        <v>0</v>
      </c>
      <c r="CY73" s="847">
        <v>0</v>
      </c>
      <c r="CZ73" s="847">
        <v>0</v>
      </c>
      <c r="DA73" s="847">
        <v>0</v>
      </c>
      <c r="DB73" s="847">
        <v>0</v>
      </c>
      <c r="DC73" s="847">
        <v>0</v>
      </c>
      <c r="DD73" s="847">
        <v>0</v>
      </c>
      <c r="DE73" s="847">
        <v>0</v>
      </c>
      <c r="DF73" s="847">
        <v>0</v>
      </c>
      <c r="DG73" s="847">
        <v>0</v>
      </c>
      <c r="DH73" s="847">
        <v>0</v>
      </c>
      <c r="DI73" s="847">
        <v>0</v>
      </c>
      <c r="DJ73" s="847">
        <v>0</v>
      </c>
      <c r="DK73" s="847">
        <v>0</v>
      </c>
      <c r="DL73" s="847">
        <v>0</v>
      </c>
      <c r="DM73" s="847">
        <v>0</v>
      </c>
      <c r="DN73" s="847">
        <v>0</v>
      </c>
      <c r="DO73" s="847">
        <v>0</v>
      </c>
      <c r="DP73" s="847">
        <v>0</v>
      </c>
      <c r="DQ73" s="847">
        <v>0</v>
      </c>
      <c r="DR73" s="847">
        <v>0</v>
      </c>
      <c r="DS73" s="847">
        <v>0</v>
      </c>
      <c r="DT73" s="847">
        <v>0</v>
      </c>
      <c r="DU73" s="847">
        <v>0</v>
      </c>
      <c r="DV73" s="847">
        <v>0</v>
      </c>
      <c r="DW73" s="847">
        <v>0</v>
      </c>
      <c r="DY73" s="173"/>
      <c r="DZ73" s="173"/>
      <c r="EA73" s="173"/>
      <c r="EB73" s="174"/>
      <c r="EC73" s="175"/>
      <c r="ED73" s="174"/>
      <c r="EE73" s="174"/>
      <c r="EF73" s="174"/>
      <c r="EG73" s="174"/>
      <c r="EH73" s="174"/>
      <c r="EI73" s="174"/>
      <c r="EJ73" s="174"/>
      <c r="EK73" s="174"/>
      <c r="EL73" s="174"/>
      <c r="EM73" s="174"/>
      <c r="EN73" s="174"/>
      <c r="EO73" s="174"/>
      <c r="EP73" s="174"/>
      <c r="EQ73" s="174"/>
      <c r="ER73" s="174"/>
      <c r="ES73" s="174"/>
      <c r="ET73" s="174"/>
      <c r="EU73" s="174"/>
      <c r="EV73" s="174"/>
      <c r="EW73" s="174"/>
      <c r="EX73" s="174"/>
      <c r="EY73" s="174"/>
      <c r="EZ73" s="174"/>
      <c r="FA73" s="174"/>
      <c r="FB73" s="174"/>
      <c r="FC73" s="174"/>
      <c r="FD73" s="174"/>
      <c r="FE73" s="174"/>
      <c r="FF73" s="174"/>
      <c r="FG73" s="174"/>
      <c r="FH73" s="174"/>
      <c r="FI73" s="174"/>
      <c r="FJ73" s="174"/>
      <c r="FK73" s="174"/>
      <c r="FL73" s="174"/>
      <c r="FM73" s="174"/>
      <c r="FN73" s="174"/>
      <c r="FO73" s="174"/>
      <c r="FP73" s="174"/>
      <c r="FQ73" s="174"/>
      <c r="FR73" s="174"/>
      <c r="FS73" s="176"/>
      <c r="FT73" s="176"/>
      <c r="FU73" s="176"/>
      <c r="FV73" s="176"/>
      <c r="FW73" s="176"/>
      <c r="FX73" s="176"/>
      <c r="FY73" s="176"/>
      <c r="FZ73" s="176"/>
      <c r="GA73" s="176"/>
      <c r="GB73" s="176"/>
      <c r="GC73" s="176"/>
      <c r="GD73" s="176"/>
      <c r="GE73" s="176"/>
      <c r="GF73" s="176"/>
      <c r="GG73" s="176"/>
      <c r="GH73" s="176"/>
      <c r="GI73" s="176"/>
      <c r="GJ73" s="176"/>
      <c r="GK73" s="176"/>
      <c r="GL73" s="176"/>
      <c r="GM73" s="176"/>
      <c r="GN73" s="176"/>
      <c r="GO73" s="176"/>
      <c r="GP73" s="176"/>
      <c r="GQ73" s="176"/>
      <c r="GR73" s="176"/>
      <c r="GS73" s="176"/>
      <c r="GT73" s="176"/>
      <c r="GU73" s="176"/>
      <c r="GV73" s="176"/>
      <c r="GW73" s="176"/>
      <c r="GX73" s="176"/>
      <c r="GY73" s="176"/>
      <c r="GZ73" s="176"/>
      <c r="HA73" s="176"/>
      <c r="HB73" s="176"/>
      <c r="HC73" s="176"/>
      <c r="HD73" s="176"/>
      <c r="HE73" s="176"/>
      <c r="HF73" s="176"/>
      <c r="HG73" s="176"/>
      <c r="HH73" s="176"/>
      <c r="HI73" s="176"/>
      <c r="HJ73" s="176"/>
      <c r="HK73" s="176"/>
      <c r="HL73" s="176"/>
      <c r="HM73" s="176"/>
      <c r="HN73" s="176"/>
      <c r="HO73" s="176"/>
      <c r="HP73" s="176"/>
      <c r="HQ73" s="176"/>
      <c r="HR73" s="176"/>
      <c r="HS73" s="176"/>
      <c r="HT73" s="176"/>
      <c r="HU73" s="176"/>
      <c r="HV73" s="176"/>
      <c r="HW73" s="176"/>
      <c r="HX73" s="176"/>
      <c r="HY73" s="176"/>
      <c r="HZ73" s="176"/>
      <c r="IA73" s="176"/>
      <c r="IB73" s="176"/>
      <c r="IC73" s="176"/>
      <c r="ID73" s="176"/>
      <c r="IE73" s="176"/>
      <c r="IF73" s="176"/>
      <c r="IG73" s="176"/>
      <c r="IH73" s="176"/>
      <c r="II73" s="176"/>
      <c r="IJ73" s="176"/>
    </row>
    <row r="74" spans="1:244" ht="16.5" hidden="1">
      <c r="A74" s="846" t="s">
        <v>1060</v>
      </c>
      <c r="B74" s="846" t="s">
        <v>1382</v>
      </c>
      <c r="C74" s="846" t="s">
        <v>1171</v>
      </c>
      <c r="D74" s="847">
        <v>6</v>
      </c>
      <c r="E74" s="846" t="s">
        <v>1171</v>
      </c>
      <c r="F74" s="846" t="s">
        <v>96</v>
      </c>
      <c r="G74" s="851"/>
      <c r="H74" s="847">
        <v>71</v>
      </c>
      <c r="I74" s="780" t="str">
        <f t="shared" si="2"/>
        <v>IWT060171</v>
      </c>
      <c r="J74" s="847">
        <v>5160</v>
      </c>
      <c r="L74" s="846" t="s">
        <v>1060</v>
      </c>
      <c r="M74" s="846" t="s">
        <v>1382</v>
      </c>
      <c r="N74" s="846" t="s">
        <v>96</v>
      </c>
      <c r="O74" s="847">
        <v>71</v>
      </c>
      <c r="P74" s="780" t="str">
        <f t="shared" si="3"/>
        <v>IWT060171</v>
      </c>
      <c r="Q74" s="847">
        <v>936</v>
      </c>
      <c r="R74" s="847">
        <v>2813</v>
      </c>
      <c r="S74" s="847">
        <v>4649</v>
      </c>
      <c r="T74" s="847">
        <v>6444</v>
      </c>
      <c r="U74" s="847">
        <v>8201</v>
      </c>
      <c r="V74" s="847">
        <v>0</v>
      </c>
      <c r="W74" s="847">
        <v>0</v>
      </c>
      <c r="X74" s="847">
        <v>0</v>
      </c>
      <c r="Y74" s="847">
        <v>0</v>
      </c>
      <c r="Z74" s="847">
        <v>0</v>
      </c>
      <c r="AA74" s="847">
        <v>0</v>
      </c>
      <c r="AB74" s="847">
        <v>0</v>
      </c>
      <c r="AC74" s="847">
        <v>0</v>
      </c>
      <c r="AD74" s="847">
        <v>0</v>
      </c>
      <c r="AE74" s="847">
        <v>0</v>
      </c>
      <c r="AF74" s="847">
        <v>0</v>
      </c>
      <c r="AG74" s="847">
        <v>0</v>
      </c>
      <c r="AH74" s="847">
        <v>0</v>
      </c>
      <c r="AI74" s="847">
        <v>0</v>
      </c>
      <c r="AJ74" s="847">
        <v>0</v>
      </c>
      <c r="AK74" s="847">
        <v>0</v>
      </c>
      <c r="AL74" s="847">
        <v>0</v>
      </c>
      <c r="AM74" s="847">
        <v>0</v>
      </c>
      <c r="AN74" s="847">
        <v>0</v>
      </c>
      <c r="AO74" s="847">
        <v>0</v>
      </c>
      <c r="AP74" s="847">
        <v>0</v>
      </c>
      <c r="AQ74" s="847">
        <v>0</v>
      </c>
      <c r="AR74" s="847">
        <v>0</v>
      </c>
      <c r="AS74" s="847">
        <v>0</v>
      </c>
      <c r="AT74" s="847">
        <v>0</v>
      </c>
      <c r="AU74" s="847">
        <v>0</v>
      </c>
      <c r="AV74" s="847">
        <v>0</v>
      </c>
      <c r="AW74" s="847">
        <v>0</v>
      </c>
      <c r="AX74" s="847">
        <v>0</v>
      </c>
      <c r="AY74" s="847">
        <v>0</v>
      </c>
      <c r="AZ74" s="847">
        <v>0</v>
      </c>
      <c r="BA74" s="847">
        <v>0</v>
      </c>
      <c r="BB74" s="847">
        <v>0</v>
      </c>
      <c r="BC74" s="847">
        <v>0</v>
      </c>
      <c r="BD74" s="847">
        <v>0</v>
      </c>
      <c r="BE74" s="847">
        <v>0</v>
      </c>
      <c r="BF74" s="847">
        <v>0</v>
      </c>
      <c r="BG74" s="847">
        <v>0</v>
      </c>
      <c r="BH74" s="847">
        <v>0</v>
      </c>
      <c r="BI74" s="847">
        <v>0</v>
      </c>
      <c r="BJ74" s="847">
        <v>0</v>
      </c>
      <c r="BK74" s="847">
        <v>0</v>
      </c>
      <c r="BL74" s="847">
        <v>0</v>
      </c>
      <c r="BM74" s="847">
        <v>0</v>
      </c>
      <c r="BN74" s="847">
        <v>0</v>
      </c>
      <c r="BO74" s="847">
        <v>0</v>
      </c>
      <c r="BP74" s="847">
        <v>0</v>
      </c>
      <c r="BQ74" s="847">
        <v>0</v>
      </c>
      <c r="BR74" s="847">
        <v>0</v>
      </c>
      <c r="BS74" s="847">
        <v>0</v>
      </c>
      <c r="BT74" s="847">
        <v>0</v>
      </c>
      <c r="BU74" s="847">
        <v>0</v>
      </c>
      <c r="BV74" s="847">
        <v>0</v>
      </c>
      <c r="BW74" s="847">
        <v>0</v>
      </c>
      <c r="BX74" s="847">
        <v>0</v>
      </c>
      <c r="BY74" s="847">
        <v>0</v>
      </c>
      <c r="BZ74" s="847">
        <v>0</v>
      </c>
      <c r="CA74" s="847">
        <v>0</v>
      </c>
      <c r="CB74" s="847">
        <v>0</v>
      </c>
      <c r="CC74" s="847">
        <v>0</v>
      </c>
      <c r="CD74" s="847">
        <v>0</v>
      </c>
      <c r="CE74" s="847">
        <v>0</v>
      </c>
      <c r="CF74" s="847">
        <v>0</v>
      </c>
      <c r="CG74" s="847">
        <v>0</v>
      </c>
      <c r="CH74" s="847">
        <v>0</v>
      </c>
      <c r="CI74" s="847">
        <v>0</v>
      </c>
      <c r="CJ74" s="847">
        <v>0</v>
      </c>
      <c r="CK74" s="847">
        <v>0</v>
      </c>
      <c r="CL74" s="847">
        <v>0</v>
      </c>
      <c r="CM74" s="847">
        <v>0</v>
      </c>
      <c r="CN74" s="847">
        <v>0</v>
      </c>
      <c r="CO74" s="847">
        <v>0</v>
      </c>
      <c r="CP74" s="847">
        <v>0</v>
      </c>
      <c r="CQ74" s="847">
        <v>0</v>
      </c>
      <c r="CR74" s="847">
        <v>0</v>
      </c>
      <c r="CS74" s="847">
        <v>0</v>
      </c>
      <c r="CT74" s="847">
        <v>0</v>
      </c>
      <c r="CU74" s="847">
        <v>0</v>
      </c>
      <c r="CV74" s="847">
        <v>0</v>
      </c>
      <c r="CW74" s="847">
        <v>0</v>
      </c>
      <c r="CX74" s="847">
        <v>0</v>
      </c>
      <c r="CY74" s="847">
        <v>0</v>
      </c>
      <c r="CZ74" s="847">
        <v>0</v>
      </c>
      <c r="DA74" s="847">
        <v>0</v>
      </c>
      <c r="DB74" s="847">
        <v>0</v>
      </c>
      <c r="DC74" s="847">
        <v>0</v>
      </c>
      <c r="DD74" s="847">
        <v>0</v>
      </c>
      <c r="DE74" s="847">
        <v>0</v>
      </c>
      <c r="DF74" s="847">
        <v>0</v>
      </c>
      <c r="DG74" s="847">
        <v>0</v>
      </c>
      <c r="DH74" s="847">
        <v>0</v>
      </c>
      <c r="DI74" s="847">
        <v>0</v>
      </c>
      <c r="DJ74" s="847">
        <v>0</v>
      </c>
      <c r="DK74" s="847">
        <v>0</v>
      </c>
      <c r="DL74" s="847">
        <v>0</v>
      </c>
      <c r="DM74" s="847">
        <v>0</v>
      </c>
      <c r="DN74" s="847">
        <v>0</v>
      </c>
      <c r="DO74" s="847">
        <v>0</v>
      </c>
      <c r="DP74" s="847">
        <v>0</v>
      </c>
      <c r="DQ74" s="847">
        <v>0</v>
      </c>
      <c r="DR74" s="847">
        <v>0</v>
      </c>
      <c r="DS74" s="847">
        <v>0</v>
      </c>
      <c r="DT74" s="847">
        <v>0</v>
      </c>
      <c r="DU74" s="847">
        <v>0</v>
      </c>
      <c r="DV74" s="847">
        <v>0</v>
      </c>
      <c r="DW74" s="847">
        <v>0</v>
      </c>
      <c r="DY74" s="173"/>
      <c r="DZ74" s="173"/>
      <c r="EA74" s="173"/>
      <c r="EB74" s="174"/>
      <c r="EC74" s="175"/>
      <c r="ED74" s="174"/>
      <c r="EE74" s="174"/>
      <c r="EF74" s="174"/>
      <c r="EG74" s="174"/>
      <c r="EH74" s="174"/>
      <c r="EI74" s="174"/>
      <c r="EJ74" s="174"/>
      <c r="EK74" s="174"/>
      <c r="EL74" s="174"/>
      <c r="EM74" s="174"/>
      <c r="EN74" s="174"/>
      <c r="EO74" s="174"/>
      <c r="EP74" s="174"/>
      <c r="EQ74" s="174"/>
      <c r="ER74" s="174"/>
      <c r="ES74" s="174"/>
      <c r="ET74" s="174"/>
      <c r="EU74" s="174"/>
      <c r="EV74" s="174"/>
      <c r="EW74" s="174"/>
      <c r="EX74" s="174"/>
      <c r="EY74" s="174"/>
      <c r="EZ74" s="174"/>
      <c r="FA74" s="174"/>
      <c r="FB74" s="174"/>
      <c r="FC74" s="174"/>
      <c r="FD74" s="174"/>
      <c r="FE74" s="174"/>
      <c r="FF74" s="174"/>
      <c r="FG74" s="174"/>
      <c r="FH74" s="174"/>
      <c r="FI74" s="174"/>
      <c r="FJ74" s="174"/>
      <c r="FK74" s="174"/>
      <c r="FL74" s="174"/>
      <c r="FM74" s="174"/>
      <c r="FN74" s="174"/>
      <c r="FO74" s="174"/>
      <c r="FP74" s="174"/>
      <c r="FQ74" s="174"/>
      <c r="FR74" s="174"/>
      <c r="FS74" s="174"/>
      <c r="FT74" s="174"/>
      <c r="FU74" s="174"/>
      <c r="FV74" s="174"/>
      <c r="FW74" s="174"/>
      <c r="FX74" s="174"/>
      <c r="FY74" s="174"/>
      <c r="FZ74" s="174"/>
      <c r="GA74" s="174"/>
      <c r="GB74" s="174"/>
      <c r="GC74" s="174"/>
      <c r="GD74" s="174"/>
      <c r="GE74" s="174"/>
      <c r="GF74" s="174"/>
      <c r="GG74" s="174"/>
      <c r="GH74" s="174"/>
      <c r="GI74" s="174"/>
      <c r="GJ74" s="174"/>
      <c r="GK74" s="174"/>
      <c r="GL74" s="174"/>
      <c r="GM74" s="174"/>
      <c r="GN74" s="174"/>
      <c r="GO74" s="174"/>
      <c r="GP74" s="174"/>
      <c r="GQ74" s="174"/>
      <c r="GR74" s="174"/>
      <c r="GS74" s="174"/>
      <c r="GT74" s="174"/>
      <c r="GU74" s="174"/>
      <c r="GV74" s="174"/>
      <c r="GW74" s="174"/>
      <c r="GX74" s="174"/>
      <c r="GY74" s="174"/>
      <c r="GZ74" s="174"/>
      <c r="HA74" s="174"/>
      <c r="HB74" s="174"/>
      <c r="HC74" s="174"/>
      <c r="HD74" s="174"/>
      <c r="HE74" s="174"/>
      <c r="HF74" s="174"/>
      <c r="HG74" s="174"/>
      <c r="HH74" s="174"/>
      <c r="HI74" s="174"/>
      <c r="HJ74" s="174"/>
      <c r="HK74" s="174"/>
      <c r="HL74" s="174"/>
      <c r="HM74" s="174"/>
      <c r="HN74" s="174"/>
      <c r="HO74" s="174"/>
      <c r="HP74" s="174"/>
      <c r="HQ74" s="174"/>
      <c r="HR74" s="174"/>
      <c r="HS74" s="174"/>
      <c r="HT74" s="174"/>
      <c r="HU74" s="174"/>
      <c r="HV74" s="174"/>
      <c r="HW74" s="174"/>
      <c r="HX74" s="174"/>
      <c r="HY74" s="174"/>
      <c r="HZ74" s="174"/>
      <c r="IA74" s="174"/>
      <c r="IB74" s="174"/>
      <c r="IC74" s="174"/>
      <c r="ID74" s="174"/>
      <c r="IE74" s="174"/>
      <c r="IF74" s="174"/>
      <c r="IG74" s="174"/>
      <c r="IH74" s="174"/>
      <c r="II74" s="174"/>
      <c r="IJ74" s="174"/>
    </row>
    <row r="75" spans="1:244" ht="16.5" hidden="1">
      <c r="A75" s="846" t="s">
        <v>1060</v>
      </c>
      <c r="B75" s="846" t="s">
        <v>1382</v>
      </c>
      <c r="C75" s="846" t="s">
        <v>1171</v>
      </c>
      <c r="D75" s="847">
        <v>6</v>
      </c>
      <c r="E75" s="846" t="s">
        <v>1171</v>
      </c>
      <c r="F75" s="846" t="s">
        <v>96</v>
      </c>
      <c r="G75" s="851"/>
      <c r="H75" s="847">
        <v>72</v>
      </c>
      <c r="I75" s="780" t="str">
        <f t="shared" si="2"/>
        <v>IWT060172</v>
      </c>
      <c r="J75" s="847">
        <v>5170</v>
      </c>
      <c r="L75" s="846" t="s">
        <v>1060</v>
      </c>
      <c r="M75" s="846" t="s">
        <v>1382</v>
      </c>
      <c r="N75" s="846" t="s">
        <v>96</v>
      </c>
      <c r="O75" s="847">
        <v>72</v>
      </c>
      <c r="P75" s="780" t="str">
        <f t="shared" si="3"/>
        <v>IWT060172</v>
      </c>
      <c r="Q75" s="847">
        <v>920</v>
      </c>
      <c r="R75" s="847">
        <v>2801</v>
      </c>
      <c r="S75" s="847">
        <v>4639</v>
      </c>
      <c r="T75" s="847">
        <v>6436</v>
      </c>
      <c r="U75" s="847">
        <v>8195</v>
      </c>
      <c r="V75" s="847">
        <v>0</v>
      </c>
      <c r="W75" s="847">
        <v>0</v>
      </c>
      <c r="X75" s="847">
        <v>0</v>
      </c>
      <c r="Y75" s="847">
        <v>0</v>
      </c>
      <c r="Z75" s="847">
        <v>0</v>
      </c>
      <c r="AA75" s="847">
        <v>0</v>
      </c>
      <c r="AB75" s="847">
        <v>0</v>
      </c>
      <c r="AC75" s="847">
        <v>0</v>
      </c>
      <c r="AD75" s="847">
        <v>0</v>
      </c>
      <c r="AE75" s="847">
        <v>0</v>
      </c>
      <c r="AF75" s="847">
        <v>0</v>
      </c>
      <c r="AG75" s="847">
        <v>0</v>
      </c>
      <c r="AH75" s="847">
        <v>0</v>
      </c>
      <c r="AI75" s="847">
        <v>0</v>
      </c>
      <c r="AJ75" s="847">
        <v>0</v>
      </c>
      <c r="AK75" s="847">
        <v>0</v>
      </c>
      <c r="AL75" s="847">
        <v>0</v>
      </c>
      <c r="AM75" s="847">
        <v>0</v>
      </c>
      <c r="AN75" s="847">
        <v>0</v>
      </c>
      <c r="AO75" s="847">
        <v>0</v>
      </c>
      <c r="AP75" s="847">
        <v>0</v>
      </c>
      <c r="AQ75" s="847">
        <v>0</v>
      </c>
      <c r="AR75" s="847">
        <v>0</v>
      </c>
      <c r="AS75" s="847">
        <v>0</v>
      </c>
      <c r="AT75" s="847">
        <v>0</v>
      </c>
      <c r="AU75" s="847">
        <v>0</v>
      </c>
      <c r="AV75" s="847">
        <v>0</v>
      </c>
      <c r="AW75" s="847">
        <v>0</v>
      </c>
      <c r="AX75" s="847">
        <v>0</v>
      </c>
      <c r="AY75" s="847">
        <v>0</v>
      </c>
      <c r="AZ75" s="847">
        <v>0</v>
      </c>
      <c r="BA75" s="847">
        <v>0</v>
      </c>
      <c r="BB75" s="847">
        <v>0</v>
      </c>
      <c r="BC75" s="847">
        <v>0</v>
      </c>
      <c r="BD75" s="847">
        <v>0</v>
      </c>
      <c r="BE75" s="847">
        <v>0</v>
      </c>
      <c r="BF75" s="847">
        <v>0</v>
      </c>
      <c r="BG75" s="847">
        <v>0</v>
      </c>
      <c r="BH75" s="847">
        <v>0</v>
      </c>
      <c r="BI75" s="847">
        <v>0</v>
      </c>
      <c r="BJ75" s="847">
        <v>0</v>
      </c>
      <c r="BK75" s="847">
        <v>0</v>
      </c>
      <c r="BL75" s="847">
        <v>0</v>
      </c>
      <c r="BM75" s="847">
        <v>0</v>
      </c>
      <c r="BN75" s="847">
        <v>0</v>
      </c>
      <c r="BO75" s="847">
        <v>0</v>
      </c>
      <c r="BP75" s="847">
        <v>0</v>
      </c>
      <c r="BQ75" s="847">
        <v>0</v>
      </c>
      <c r="BR75" s="847">
        <v>0</v>
      </c>
      <c r="BS75" s="847">
        <v>0</v>
      </c>
      <c r="BT75" s="847">
        <v>0</v>
      </c>
      <c r="BU75" s="847">
        <v>0</v>
      </c>
      <c r="BV75" s="847">
        <v>0</v>
      </c>
      <c r="BW75" s="847">
        <v>0</v>
      </c>
      <c r="BX75" s="847">
        <v>0</v>
      </c>
      <c r="BY75" s="847">
        <v>0</v>
      </c>
      <c r="BZ75" s="847">
        <v>0</v>
      </c>
      <c r="CA75" s="847">
        <v>0</v>
      </c>
      <c r="CB75" s="847">
        <v>0</v>
      </c>
      <c r="CC75" s="847">
        <v>0</v>
      </c>
      <c r="CD75" s="847">
        <v>0</v>
      </c>
      <c r="CE75" s="847">
        <v>0</v>
      </c>
      <c r="CF75" s="847">
        <v>0</v>
      </c>
      <c r="CG75" s="847">
        <v>0</v>
      </c>
      <c r="CH75" s="847">
        <v>0</v>
      </c>
      <c r="CI75" s="847">
        <v>0</v>
      </c>
      <c r="CJ75" s="847">
        <v>0</v>
      </c>
      <c r="CK75" s="847">
        <v>0</v>
      </c>
      <c r="CL75" s="847">
        <v>0</v>
      </c>
      <c r="CM75" s="847">
        <v>0</v>
      </c>
      <c r="CN75" s="847">
        <v>0</v>
      </c>
      <c r="CO75" s="847">
        <v>0</v>
      </c>
      <c r="CP75" s="847">
        <v>0</v>
      </c>
      <c r="CQ75" s="847">
        <v>0</v>
      </c>
      <c r="CR75" s="847">
        <v>0</v>
      </c>
      <c r="CS75" s="847">
        <v>0</v>
      </c>
      <c r="CT75" s="847">
        <v>0</v>
      </c>
      <c r="CU75" s="847">
        <v>0</v>
      </c>
      <c r="CV75" s="847">
        <v>0</v>
      </c>
      <c r="CW75" s="847">
        <v>0</v>
      </c>
      <c r="CX75" s="847">
        <v>0</v>
      </c>
      <c r="CY75" s="847">
        <v>0</v>
      </c>
      <c r="CZ75" s="847">
        <v>0</v>
      </c>
      <c r="DA75" s="847">
        <v>0</v>
      </c>
      <c r="DB75" s="847">
        <v>0</v>
      </c>
      <c r="DC75" s="847">
        <v>0</v>
      </c>
      <c r="DD75" s="847">
        <v>0</v>
      </c>
      <c r="DE75" s="847">
        <v>0</v>
      </c>
      <c r="DF75" s="847">
        <v>0</v>
      </c>
      <c r="DG75" s="847">
        <v>0</v>
      </c>
      <c r="DH75" s="847">
        <v>0</v>
      </c>
      <c r="DI75" s="847">
        <v>0</v>
      </c>
      <c r="DJ75" s="847">
        <v>0</v>
      </c>
      <c r="DK75" s="847">
        <v>0</v>
      </c>
      <c r="DL75" s="847">
        <v>0</v>
      </c>
      <c r="DM75" s="847">
        <v>0</v>
      </c>
      <c r="DN75" s="847">
        <v>0</v>
      </c>
      <c r="DO75" s="847">
        <v>0</v>
      </c>
      <c r="DP75" s="847">
        <v>0</v>
      </c>
      <c r="DQ75" s="847">
        <v>0</v>
      </c>
      <c r="DR75" s="847">
        <v>0</v>
      </c>
      <c r="DS75" s="847">
        <v>0</v>
      </c>
      <c r="DT75" s="847">
        <v>0</v>
      </c>
      <c r="DU75" s="847">
        <v>0</v>
      </c>
      <c r="DV75" s="847">
        <v>0</v>
      </c>
      <c r="DW75" s="847">
        <v>0</v>
      </c>
      <c r="DY75" s="173"/>
      <c r="DZ75" s="173"/>
      <c r="EA75" s="173"/>
      <c r="EB75" s="174"/>
      <c r="EC75" s="175"/>
      <c r="ED75" s="174"/>
      <c r="EE75" s="174"/>
      <c r="EF75" s="174"/>
      <c r="EG75" s="174"/>
      <c r="EH75" s="174"/>
      <c r="EI75" s="174"/>
      <c r="EJ75" s="174"/>
      <c r="EK75" s="174"/>
      <c r="EL75" s="174"/>
      <c r="EM75" s="174"/>
      <c r="EN75" s="174"/>
      <c r="EO75" s="174"/>
      <c r="EP75" s="174"/>
      <c r="EQ75" s="174"/>
      <c r="ER75" s="174"/>
      <c r="ES75" s="174"/>
      <c r="ET75" s="174"/>
      <c r="EU75" s="174"/>
      <c r="EV75" s="174"/>
      <c r="EW75" s="174"/>
      <c r="EX75" s="174"/>
      <c r="EY75" s="174"/>
      <c r="EZ75" s="174"/>
      <c r="FA75" s="174"/>
      <c r="FB75" s="174"/>
      <c r="FC75" s="174"/>
      <c r="FD75" s="174"/>
      <c r="FE75" s="174"/>
      <c r="FF75" s="174"/>
      <c r="FG75" s="174"/>
      <c r="FH75" s="174"/>
      <c r="FI75" s="174"/>
      <c r="FJ75" s="174"/>
      <c r="FK75" s="174"/>
      <c r="FL75" s="174"/>
      <c r="FM75" s="174"/>
      <c r="FN75" s="174"/>
      <c r="FO75" s="174"/>
      <c r="FP75" s="174"/>
      <c r="FQ75" s="174"/>
      <c r="FR75" s="174"/>
      <c r="FS75" s="174"/>
      <c r="FT75" s="174"/>
      <c r="FU75" s="174"/>
      <c r="FV75" s="174"/>
      <c r="FW75" s="174"/>
      <c r="FX75" s="174"/>
      <c r="FY75" s="174"/>
      <c r="FZ75" s="174"/>
      <c r="GA75" s="174"/>
      <c r="GB75" s="174"/>
      <c r="GC75" s="174"/>
      <c r="GD75" s="174"/>
      <c r="GE75" s="174"/>
      <c r="GF75" s="174"/>
      <c r="GG75" s="174"/>
      <c r="GH75" s="174"/>
      <c r="GI75" s="174"/>
      <c r="GJ75" s="174"/>
      <c r="GK75" s="174"/>
      <c r="GL75" s="174"/>
      <c r="GM75" s="174"/>
      <c r="GN75" s="174"/>
      <c r="GO75" s="174"/>
      <c r="GP75" s="174"/>
      <c r="GQ75" s="174"/>
      <c r="GR75" s="174"/>
      <c r="GS75" s="174"/>
      <c r="GT75" s="174"/>
      <c r="GU75" s="174"/>
      <c r="GV75" s="174"/>
      <c r="GW75" s="174"/>
      <c r="GX75" s="174"/>
      <c r="GY75" s="174"/>
      <c r="GZ75" s="174"/>
      <c r="HA75" s="174"/>
      <c r="HB75" s="174"/>
      <c r="HC75" s="174"/>
      <c r="HD75" s="174"/>
      <c r="HE75" s="174"/>
      <c r="HF75" s="174"/>
      <c r="HG75" s="174"/>
      <c r="HH75" s="174"/>
      <c r="HI75" s="174"/>
      <c r="HJ75" s="174"/>
      <c r="HK75" s="174"/>
      <c r="HL75" s="174"/>
      <c r="HM75" s="174"/>
      <c r="HN75" s="174"/>
      <c r="HO75" s="174"/>
      <c r="HP75" s="174"/>
      <c r="HQ75" s="174"/>
      <c r="HR75" s="174"/>
      <c r="HS75" s="174"/>
      <c r="HT75" s="174"/>
      <c r="HU75" s="174"/>
      <c r="HV75" s="174"/>
      <c r="HW75" s="174"/>
      <c r="HX75" s="174"/>
      <c r="HY75" s="174"/>
      <c r="HZ75" s="174"/>
      <c r="IA75" s="174"/>
      <c r="IB75" s="174"/>
      <c r="IC75" s="174"/>
      <c r="ID75" s="174"/>
      <c r="IE75" s="174"/>
      <c r="IF75" s="174"/>
      <c r="IG75" s="174"/>
      <c r="IH75" s="174"/>
      <c r="II75" s="174"/>
      <c r="IJ75" s="176"/>
    </row>
    <row r="76" spans="1:244" ht="16.5" hidden="1">
      <c r="A76" s="846" t="s">
        <v>1060</v>
      </c>
      <c r="B76" s="846" t="s">
        <v>1382</v>
      </c>
      <c r="C76" s="846" t="s">
        <v>1171</v>
      </c>
      <c r="D76" s="847">
        <v>6</v>
      </c>
      <c r="E76" s="846" t="s">
        <v>1171</v>
      </c>
      <c r="F76" s="846" t="s">
        <v>96</v>
      </c>
      <c r="G76" s="851"/>
      <c r="H76" s="847">
        <v>73</v>
      </c>
      <c r="I76" s="780" t="str">
        <f t="shared" si="2"/>
        <v>IWT060173</v>
      </c>
      <c r="J76" s="847">
        <v>5180</v>
      </c>
      <c r="L76" s="846" t="s">
        <v>1060</v>
      </c>
      <c r="M76" s="846" t="s">
        <v>1382</v>
      </c>
      <c r="N76" s="846" t="s">
        <v>96</v>
      </c>
      <c r="O76" s="847">
        <v>73</v>
      </c>
      <c r="P76" s="780" t="str">
        <f t="shared" si="3"/>
        <v>IWT060173</v>
      </c>
      <c r="Q76" s="847">
        <v>904</v>
      </c>
      <c r="R76" s="847">
        <v>2788</v>
      </c>
      <c r="S76" s="847">
        <v>4628</v>
      </c>
      <c r="T76" s="847">
        <v>6428</v>
      </c>
      <c r="U76" s="847">
        <v>8188</v>
      </c>
      <c r="V76" s="847">
        <v>0</v>
      </c>
      <c r="W76" s="847">
        <v>0</v>
      </c>
      <c r="X76" s="847">
        <v>0</v>
      </c>
      <c r="Y76" s="847">
        <v>0</v>
      </c>
      <c r="Z76" s="847">
        <v>0</v>
      </c>
      <c r="AA76" s="847">
        <v>0</v>
      </c>
      <c r="AB76" s="847">
        <v>0</v>
      </c>
      <c r="AC76" s="847">
        <v>0</v>
      </c>
      <c r="AD76" s="847">
        <v>0</v>
      </c>
      <c r="AE76" s="847">
        <v>0</v>
      </c>
      <c r="AF76" s="847">
        <v>0</v>
      </c>
      <c r="AG76" s="847">
        <v>0</v>
      </c>
      <c r="AH76" s="847">
        <v>0</v>
      </c>
      <c r="AI76" s="847">
        <v>0</v>
      </c>
      <c r="AJ76" s="847">
        <v>0</v>
      </c>
      <c r="AK76" s="847">
        <v>0</v>
      </c>
      <c r="AL76" s="847">
        <v>0</v>
      </c>
      <c r="AM76" s="847">
        <v>0</v>
      </c>
      <c r="AN76" s="847">
        <v>0</v>
      </c>
      <c r="AO76" s="847">
        <v>0</v>
      </c>
      <c r="AP76" s="847">
        <v>0</v>
      </c>
      <c r="AQ76" s="847">
        <v>0</v>
      </c>
      <c r="AR76" s="847">
        <v>0</v>
      </c>
      <c r="AS76" s="847">
        <v>0</v>
      </c>
      <c r="AT76" s="847">
        <v>0</v>
      </c>
      <c r="AU76" s="847">
        <v>0</v>
      </c>
      <c r="AV76" s="847">
        <v>0</v>
      </c>
      <c r="AW76" s="847">
        <v>0</v>
      </c>
      <c r="AX76" s="847">
        <v>0</v>
      </c>
      <c r="AY76" s="847">
        <v>0</v>
      </c>
      <c r="AZ76" s="847">
        <v>0</v>
      </c>
      <c r="BA76" s="847">
        <v>0</v>
      </c>
      <c r="BB76" s="847">
        <v>0</v>
      </c>
      <c r="BC76" s="847">
        <v>0</v>
      </c>
      <c r="BD76" s="847">
        <v>0</v>
      </c>
      <c r="BE76" s="847">
        <v>0</v>
      </c>
      <c r="BF76" s="847">
        <v>0</v>
      </c>
      <c r="BG76" s="847">
        <v>0</v>
      </c>
      <c r="BH76" s="847">
        <v>0</v>
      </c>
      <c r="BI76" s="847">
        <v>0</v>
      </c>
      <c r="BJ76" s="847">
        <v>0</v>
      </c>
      <c r="BK76" s="847">
        <v>0</v>
      </c>
      <c r="BL76" s="847">
        <v>0</v>
      </c>
      <c r="BM76" s="847">
        <v>0</v>
      </c>
      <c r="BN76" s="847">
        <v>0</v>
      </c>
      <c r="BO76" s="847">
        <v>0</v>
      </c>
      <c r="BP76" s="847">
        <v>0</v>
      </c>
      <c r="BQ76" s="847">
        <v>0</v>
      </c>
      <c r="BR76" s="847">
        <v>0</v>
      </c>
      <c r="BS76" s="847">
        <v>0</v>
      </c>
      <c r="BT76" s="847">
        <v>0</v>
      </c>
      <c r="BU76" s="847">
        <v>0</v>
      </c>
      <c r="BV76" s="847">
        <v>0</v>
      </c>
      <c r="BW76" s="847">
        <v>0</v>
      </c>
      <c r="BX76" s="847">
        <v>0</v>
      </c>
      <c r="BY76" s="847">
        <v>0</v>
      </c>
      <c r="BZ76" s="847">
        <v>0</v>
      </c>
      <c r="CA76" s="847">
        <v>0</v>
      </c>
      <c r="CB76" s="847">
        <v>0</v>
      </c>
      <c r="CC76" s="847">
        <v>0</v>
      </c>
      <c r="CD76" s="847">
        <v>0</v>
      </c>
      <c r="CE76" s="847">
        <v>0</v>
      </c>
      <c r="CF76" s="847">
        <v>0</v>
      </c>
      <c r="CG76" s="847">
        <v>0</v>
      </c>
      <c r="CH76" s="847">
        <v>0</v>
      </c>
      <c r="CI76" s="847">
        <v>0</v>
      </c>
      <c r="CJ76" s="847">
        <v>0</v>
      </c>
      <c r="CK76" s="847">
        <v>0</v>
      </c>
      <c r="CL76" s="847">
        <v>0</v>
      </c>
      <c r="CM76" s="847">
        <v>0</v>
      </c>
      <c r="CN76" s="847">
        <v>0</v>
      </c>
      <c r="CO76" s="847">
        <v>0</v>
      </c>
      <c r="CP76" s="847">
        <v>0</v>
      </c>
      <c r="CQ76" s="847">
        <v>0</v>
      </c>
      <c r="CR76" s="847">
        <v>0</v>
      </c>
      <c r="CS76" s="847">
        <v>0</v>
      </c>
      <c r="CT76" s="847">
        <v>0</v>
      </c>
      <c r="CU76" s="847">
        <v>0</v>
      </c>
      <c r="CV76" s="847">
        <v>0</v>
      </c>
      <c r="CW76" s="847">
        <v>0</v>
      </c>
      <c r="CX76" s="847">
        <v>0</v>
      </c>
      <c r="CY76" s="847">
        <v>0</v>
      </c>
      <c r="CZ76" s="847">
        <v>0</v>
      </c>
      <c r="DA76" s="847">
        <v>0</v>
      </c>
      <c r="DB76" s="847">
        <v>0</v>
      </c>
      <c r="DC76" s="847">
        <v>0</v>
      </c>
      <c r="DD76" s="847">
        <v>0</v>
      </c>
      <c r="DE76" s="847">
        <v>0</v>
      </c>
      <c r="DF76" s="847">
        <v>0</v>
      </c>
      <c r="DG76" s="847">
        <v>0</v>
      </c>
      <c r="DH76" s="847">
        <v>0</v>
      </c>
      <c r="DI76" s="847">
        <v>0</v>
      </c>
      <c r="DJ76" s="847">
        <v>0</v>
      </c>
      <c r="DK76" s="847">
        <v>0</v>
      </c>
      <c r="DL76" s="847">
        <v>0</v>
      </c>
      <c r="DM76" s="847">
        <v>0</v>
      </c>
      <c r="DN76" s="847">
        <v>0</v>
      </c>
      <c r="DO76" s="847">
        <v>0</v>
      </c>
      <c r="DP76" s="847">
        <v>0</v>
      </c>
      <c r="DQ76" s="847">
        <v>0</v>
      </c>
      <c r="DR76" s="847">
        <v>0</v>
      </c>
      <c r="DS76" s="847">
        <v>0</v>
      </c>
      <c r="DT76" s="847">
        <v>0</v>
      </c>
      <c r="DU76" s="847">
        <v>0</v>
      </c>
      <c r="DV76" s="847">
        <v>0</v>
      </c>
      <c r="DW76" s="847">
        <v>0</v>
      </c>
      <c r="DY76" s="173"/>
      <c r="DZ76" s="173"/>
      <c r="EA76" s="173"/>
      <c r="EB76" s="174"/>
      <c r="EC76" s="175"/>
      <c r="ED76" s="174"/>
      <c r="EE76" s="174"/>
      <c r="EF76" s="174"/>
      <c r="EG76" s="174"/>
      <c r="EH76" s="174"/>
      <c r="EI76" s="174"/>
      <c r="EJ76" s="174"/>
      <c r="EK76" s="174"/>
      <c r="EL76" s="174"/>
      <c r="EM76" s="174"/>
      <c r="EN76" s="174"/>
      <c r="EO76" s="174"/>
      <c r="EP76" s="174"/>
      <c r="EQ76" s="174"/>
      <c r="ER76" s="174"/>
      <c r="ES76" s="174"/>
      <c r="ET76" s="174"/>
      <c r="EU76" s="174"/>
      <c r="EV76" s="174"/>
      <c r="EW76" s="174"/>
      <c r="EX76" s="174"/>
      <c r="EY76" s="174"/>
      <c r="EZ76" s="174"/>
      <c r="FA76" s="174"/>
      <c r="FB76" s="174"/>
      <c r="FC76" s="174"/>
      <c r="FD76" s="174"/>
      <c r="FE76" s="174"/>
      <c r="FF76" s="174"/>
      <c r="FG76" s="174"/>
      <c r="FH76" s="174"/>
      <c r="FI76" s="174"/>
      <c r="FJ76" s="174"/>
      <c r="FK76" s="174"/>
      <c r="FL76" s="174"/>
      <c r="FM76" s="174"/>
      <c r="FN76" s="174"/>
      <c r="FO76" s="174"/>
      <c r="FP76" s="174"/>
      <c r="FQ76" s="174"/>
      <c r="FR76" s="174"/>
      <c r="FS76" s="174"/>
      <c r="FT76" s="174"/>
      <c r="FU76" s="174"/>
      <c r="FV76" s="174"/>
      <c r="FW76" s="174"/>
      <c r="FX76" s="174"/>
      <c r="FY76" s="174"/>
      <c r="FZ76" s="174"/>
      <c r="GA76" s="174"/>
      <c r="GB76" s="174"/>
      <c r="GC76" s="174"/>
      <c r="GD76" s="174"/>
      <c r="GE76" s="174"/>
      <c r="GF76" s="174"/>
      <c r="GG76" s="174"/>
      <c r="GH76" s="174"/>
      <c r="GI76" s="174"/>
      <c r="GJ76" s="174"/>
      <c r="GK76" s="174"/>
      <c r="GL76" s="174"/>
      <c r="GM76" s="174"/>
      <c r="GN76" s="174"/>
      <c r="GO76" s="174"/>
      <c r="GP76" s="174"/>
      <c r="GQ76" s="174"/>
      <c r="GR76" s="174"/>
      <c r="GS76" s="174"/>
      <c r="GT76" s="174"/>
      <c r="GU76" s="174"/>
      <c r="GV76" s="174"/>
      <c r="GW76" s="174"/>
      <c r="GX76" s="174"/>
      <c r="GY76" s="174"/>
      <c r="GZ76" s="174"/>
      <c r="HA76" s="174"/>
      <c r="HB76" s="174"/>
      <c r="HC76" s="174"/>
      <c r="HD76" s="174"/>
      <c r="HE76" s="174"/>
      <c r="HF76" s="174"/>
      <c r="HG76" s="174"/>
      <c r="HH76" s="174"/>
      <c r="HI76" s="174"/>
      <c r="HJ76" s="174"/>
      <c r="HK76" s="174"/>
      <c r="HL76" s="174"/>
      <c r="HM76" s="174"/>
      <c r="HN76" s="174"/>
      <c r="HO76" s="174"/>
      <c r="HP76" s="174"/>
      <c r="HQ76" s="174"/>
      <c r="HR76" s="174"/>
      <c r="HS76" s="174"/>
      <c r="HT76" s="174"/>
      <c r="HU76" s="174"/>
      <c r="HV76" s="174"/>
      <c r="HW76" s="174"/>
      <c r="HX76" s="174"/>
      <c r="HY76" s="174"/>
      <c r="HZ76" s="174"/>
      <c r="IA76" s="174"/>
      <c r="IB76" s="174"/>
      <c r="IC76" s="174"/>
      <c r="ID76" s="174"/>
      <c r="IE76" s="174"/>
      <c r="IF76" s="174"/>
      <c r="IG76" s="174"/>
      <c r="IH76" s="174"/>
      <c r="II76" s="176"/>
      <c r="IJ76" s="176"/>
    </row>
    <row r="77" spans="1:244" ht="16.5" hidden="1">
      <c r="A77" s="846" t="s">
        <v>1060</v>
      </c>
      <c r="B77" s="846" t="s">
        <v>1382</v>
      </c>
      <c r="C77" s="846" t="s">
        <v>1171</v>
      </c>
      <c r="D77" s="847">
        <v>6</v>
      </c>
      <c r="E77" s="846" t="s">
        <v>1171</v>
      </c>
      <c r="F77" s="846" t="s">
        <v>96</v>
      </c>
      <c r="G77" s="851"/>
      <c r="H77" s="847">
        <v>74</v>
      </c>
      <c r="I77" s="780" t="str">
        <f t="shared" si="2"/>
        <v>IWT060174</v>
      </c>
      <c r="J77" s="847">
        <v>5190</v>
      </c>
      <c r="L77" s="846" t="s">
        <v>1060</v>
      </c>
      <c r="M77" s="846" t="s">
        <v>1382</v>
      </c>
      <c r="N77" s="846" t="s">
        <v>96</v>
      </c>
      <c r="O77" s="847">
        <v>74</v>
      </c>
      <c r="P77" s="780" t="str">
        <f t="shared" si="3"/>
        <v>IWT060174</v>
      </c>
      <c r="Q77" s="847">
        <v>886</v>
      </c>
      <c r="R77" s="847">
        <v>2773</v>
      </c>
      <c r="S77" s="847">
        <v>4616</v>
      </c>
      <c r="T77" s="847">
        <v>6418</v>
      </c>
      <c r="U77" s="847">
        <v>8180</v>
      </c>
      <c r="V77" s="847">
        <v>0</v>
      </c>
      <c r="W77" s="847">
        <v>0</v>
      </c>
      <c r="X77" s="847">
        <v>0</v>
      </c>
      <c r="Y77" s="847">
        <v>0</v>
      </c>
      <c r="Z77" s="847">
        <v>0</v>
      </c>
      <c r="AA77" s="847">
        <v>0</v>
      </c>
      <c r="AB77" s="847">
        <v>0</v>
      </c>
      <c r="AC77" s="847">
        <v>0</v>
      </c>
      <c r="AD77" s="847">
        <v>0</v>
      </c>
      <c r="AE77" s="847">
        <v>0</v>
      </c>
      <c r="AF77" s="847">
        <v>0</v>
      </c>
      <c r="AG77" s="847">
        <v>0</v>
      </c>
      <c r="AH77" s="847">
        <v>0</v>
      </c>
      <c r="AI77" s="847">
        <v>0</v>
      </c>
      <c r="AJ77" s="847">
        <v>0</v>
      </c>
      <c r="AK77" s="847">
        <v>0</v>
      </c>
      <c r="AL77" s="847">
        <v>0</v>
      </c>
      <c r="AM77" s="847">
        <v>0</v>
      </c>
      <c r="AN77" s="847">
        <v>0</v>
      </c>
      <c r="AO77" s="847">
        <v>0</v>
      </c>
      <c r="AP77" s="847">
        <v>0</v>
      </c>
      <c r="AQ77" s="847">
        <v>0</v>
      </c>
      <c r="AR77" s="847">
        <v>0</v>
      </c>
      <c r="AS77" s="847">
        <v>0</v>
      </c>
      <c r="AT77" s="847">
        <v>0</v>
      </c>
      <c r="AU77" s="847">
        <v>0</v>
      </c>
      <c r="AV77" s="847">
        <v>0</v>
      </c>
      <c r="AW77" s="847">
        <v>0</v>
      </c>
      <c r="AX77" s="847">
        <v>0</v>
      </c>
      <c r="AY77" s="847">
        <v>0</v>
      </c>
      <c r="AZ77" s="847">
        <v>0</v>
      </c>
      <c r="BA77" s="847">
        <v>0</v>
      </c>
      <c r="BB77" s="847">
        <v>0</v>
      </c>
      <c r="BC77" s="847">
        <v>0</v>
      </c>
      <c r="BD77" s="847">
        <v>0</v>
      </c>
      <c r="BE77" s="847">
        <v>0</v>
      </c>
      <c r="BF77" s="847">
        <v>0</v>
      </c>
      <c r="BG77" s="847">
        <v>0</v>
      </c>
      <c r="BH77" s="847">
        <v>0</v>
      </c>
      <c r="BI77" s="847">
        <v>0</v>
      </c>
      <c r="BJ77" s="847">
        <v>0</v>
      </c>
      <c r="BK77" s="847">
        <v>0</v>
      </c>
      <c r="BL77" s="847">
        <v>0</v>
      </c>
      <c r="BM77" s="847">
        <v>0</v>
      </c>
      <c r="BN77" s="847">
        <v>0</v>
      </c>
      <c r="BO77" s="847">
        <v>0</v>
      </c>
      <c r="BP77" s="847">
        <v>0</v>
      </c>
      <c r="BQ77" s="847">
        <v>0</v>
      </c>
      <c r="BR77" s="847">
        <v>0</v>
      </c>
      <c r="BS77" s="847">
        <v>0</v>
      </c>
      <c r="BT77" s="847">
        <v>0</v>
      </c>
      <c r="BU77" s="847">
        <v>0</v>
      </c>
      <c r="BV77" s="847">
        <v>0</v>
      </c>
      <c r="BW77" s="847">
        <v>0</v>
      </c>
      <c r="BX77" s="847">
        <v>0</v>
      </c>
      <c r="BY77" s="847">
        <v>0</v>
      </c>
      <c r="BZ77" s="847">
        <v>0</v>
      </c>
      <c r="CA77" s="847">
        <v>0</v>
      </c>
      <c r="CB77" s="847">
        <v>0</v>
      </c>
      <c r="CC77" s="847">
        <v>0</v>
      </c>
      <c r="CD77" s="847">
        <v>0</v>
      </c>
      <c r="CE77" s="847">
        <v>0</v>
      </c>
      <c r="CF77" s="847">
        <v>0</v>
      </c>
      <c r="CG77" s="847">
        <v>0</v>
      </c>
      <c r="CH77" s="847">
        <v>0</v>
      </c>
      <c r="CI77" s="847">
        <v>0</v>
      </c>
      <c r="CJ77" s="847">
        <v>0</v>
      </c>
      <c r="CK77" s="847">
        <v>0</v>
      </c>
      <c r="CL77" s="847">
        <v>0</v>
      </c>
      <c r="CM77" s="847">
        <v>0</v>
      </c>
      <c r="CN77" s="847">
        <v>0</v>
      </c>
      <c r="CO77" s="847">
        <v>0</v>
      </c>
      <c r="CP77" s="847">
        <v>0</v>
      </c>
      <c r="CQ77" s="847">
        <v>0</v>
      </c>
      <c r="CR77" s="847">
        <v>0</v>
      </c>
      <c r="CS77" s="847">
        <v>0</v>
      </c>
      <c r="CT77" s="847">
        <v>0</v>
      </c>
      <c r="CU77" s="847">
        <v>0</v>
      </c>
      <c r="CV77" s="847">
        <v>0</v>
      </c>
      <c r="CW77" s="847">
        <v>0</v>
      </c>
      <c r="CX77" s="847">
        <v>0</v>
      </c>
      <c r="CY77" s="847">
        <v>0</v>
      </c>
      <c r="CZ77" s="847">
        <v>0</v>
      </c>
      <c r="DA77" s="847">
        <v>0</v>
      </c>
      <c r="DB77" s="847">
        <v>0</v>
      </c>
      <c r="DC77" s="847">
        <v>0</v>
      </c>
      <c r="DD77" s="847">
        <v>0</v>
      </c>
      <c r="DE77" s="847">
        <v>0</v>
      </c>
      <c r="DF77" s="847">
        <v>0</v>
      </c>
      <c r="DG77" s="847">
        <v>0</v>
      </c>
      <c r="DH77" s="847">
        <v>0</v>
      </c>
      <c r="DI77" s="847">
        <v>0</v>
      </c>
      <c r="DJ77" s="847">
        <v>0</v>
      </c>
      <c r="DK77" s="847">
        <v>0</v>
      </c>
      <c r="DL77" s="847">
        <v>0</v>
      </c>
      <c r="DM77" s="847">
        <v>0</v>
      </c>
      <c r="DN77" s="847">
        <v>0</v>
      </c>
      <c r="DO77" s="847">
        <v>0</v>
      </c>
      <c r="DP77" s="847">
        <v>0</v>
      </c>
      <c r="DQ77" s="847">
        <v>0</v>
      </c>
      <c r="DR77" s="847">
        <v>0</v>
      </c>
      <c r="DS77" s="847">
        <v>0</v>
      </c>
      <c r="DT77" s="847">
        <v>0</v>
      </c>
      <c r="DU77" s="847">
        <v>0</v>
      </c>
      <c r="DV77" s="847">
        <v>0</v>
      </c>
      <c r="DW77" s="847">
        <v>0</v>
      </c>
      <c r="DY77" s="173"/>
      <c r="DZ77" s="173"/>
      <c r="EA77" s="173"/>
      <c r="EB77" s="174"/>
      <c r="EC77" s="175"/>
      <c r="ED77" s="174"/>
      <c r="EE77" s="174"/>
      <c r="EF77" s="174"/>
      <c r="EG77" s="174"/>
      <c r="EH77" s="174"/>
      <c r="EI77" s="174"/>
      <c r="EJ77" s="174"/>
      <c r="EK77" s="174"/>
      <c r="EL77" s="174"/>
      <c r="EM77" s="174"/>
      <c r="EN77" s="174"/>
      <c r="EO77" s="174"/>
      <c r="EP77" s="174"/>
      <c r="EQ77" s="174"/>
      <c r="ER77" s="174"/>
      <c r="ES77" s="174"/>
      <c r="ET77" s="174"/>
      <c r="EU77" s="174"/>
      <c r="EV77" s="174"/>
      <c r="EW77" s="174"/>
      <c r="EX77" s="174"/>
      <c r="EY77" s="174"/>
      <c r="EZ77" s="174"/>
      <c r="FA77" s="174"/>
      <c r="FB77" s="174"/>
      <c r="FC77" s="174"/>
      <c r="FD77" s="174"/>
      <c r="FE77" s="174"/>
      <c r="FF77" s="174"/>
      <c r="FG77" s="174"/>
      <c r="FH77" s="174"/>
      <c r="FI77" s="174"/>
      <c r="FJ77" s="174"/>
      <c r="FK77" s="174"/>
      <c r="FL77" s="174"/>
      <c r="FM77" s="174"/>
      <c r="FN77" s="174"/>
      <c r="FO77" s="174"/>
      <c r="FP77" s="174"/>
      <c r="FQ77" s="174"/>
      <c r="FR77" s="174"/>
      <c r="FS77" s="174"/>
      <c r="FT77" s="174"/>
      <c r="FU77" s="174"/>
      <c r="FV77" s="174"/>
      <c r="FW77" s="174"/>
      <c r="FX77" s="174"/>
      <c r="FY77" s="174"/>
      <c r="FZ77" s="174"/>
      <c r="GA77" s="174"/>
      <c r="GB77" s="174"/>
      <c r="GC77" s="174"/>
      <c r="GD77" s="174"/>
      <c r="GE77" s="174"/>
      <c r="GF77" s="174"/>
      <c r="GG77" s="174"/>
      <c r="GH77" s="174"/>
      <c r="GI77" s="174"/>
      <c r="GJ77" s="174"/>
      <c r="GK77" s="174"/>
      <c r="GL77" s="174"/>
      <c r="GM77" s="174"/>
      <c r="GN77" s="174"/>
      <c r="GO77" s="174"/>
      <c r="GP77" s="174"/>
      <c r="GQ77" s="174"/>
      <c r="GR77" s="174"/>
      <c r="GS77" s="174"/>
      <c r="GT77" s="174"/>
      <c r="GU77" s="174"/>
      <c r="GV77" s="174"/>
      <c r="GW77" s="174"/>
      <c r="GX77" s="174"/>
      <c r="GY77" s="174"/>
      <c r="GZ77" s="174"/>
      <c r="HA77" s="174"/>
      <c r="HB77" s="174"/>
      <c r="HC77" s="174"/>
      <c r="HD77" s="174"/>
      <c r="HE77" s="174"/>
      <c r="HF77" s="174"/>
      <c r="HG77" s="174"/>
      <c r="HH77" s="174"/>
      <c r="HI77" s="174"/>
      <c r="HJ77" s="174"/>
      <c r="HK77" s="174"/>
      <c r="HL77" s="174"/>
      <c r="HM77" s="174"/>
      <c r="HN77" s="174"/>
      <c r="HO77" s="174"/>
      <c r="HP77" s="174"/>
      <c r="HQ77" s="174"/>
      <c r="HR77" s="174"/>
      <c r="HS77" s="174"/>
      <c r="HT77" s="174"/>
      <c r="HU77" s="174"/>
      <c r="HV77" s="174"/>
      <c r="HW77" s="174"/>
      <c r="HX77" s="174"/>
      <c r="HY77" s="174"/>
      <c r="HZ77" s="174"/>
      <c r="IA77" s="174"/>
      <c r="IB77" s="174"/>
      <c r="IC77" s="174"/>
      <c r="ID77" s="174"/>
      <c r="IE77" s="174"/>
      <c r="IF77" s="174"/>
      <c r="IG77" s="174"/>
      <c r="IH77" s="176"/>
      <c r="II77" s="176"/>
      <c r="IJ77" s="176"/>
    </row>
    <row r="78" spans="1:244" ht="16.5" hidden="1">
      <c r="A78" s="846" t="s">
        <v>1060</v>
      </c>
      <c r="B78" s="846" t="s">
        <v>1382</v>
      </c>
      <c r="C78" s="846" t="s">
        <v>1171</v>
      </c>
      <c r="D78" s="847">
        <v>6</v>
      </c>
      <c r="E78" s="846" t="s">
        <v>1171</v>
      </c>
      <c r="F78" s="846" t="s">
        <v>96</v>
      </c>
      <c r="G78" s="851"/>
      <c r="H78" s="847">
        <v>75</v>
      </c>
      <c r="I78" s="780" t="str">
        <f t="shared" si="2"/>
        <v>IWT060175</v>
      </c>
      <c r="J78" s="847">
        <v>5200</v>
      </c>
      <c r="L78" s="846" t="s">
        <v>1060</v>
      </c>
      <c r="M78" s="846" t="s">
        <v>1382</v>
      </c>
      <c r="N78" s="846" t="s">
        <v>96</v>
      </c>
      <c r="O78" s="847">
        <v>75</v>
      </c>
      <c r="P78" s="780" t="str">
        <f t="shared" si="3"/>
        <v>IWT060175</v>
      </c>
      <c r="Q78" s="847">
        <v>866</v>
      </c>
      <c r="R78" s="847">
        <v>2757</v>
      </c>
      <c r="S78" s="847">
        <v>4604</v>
      </c>
      <c r="T78" s="847">
        <v>6408</v>
      </c>
      <c r="U78" s="847">
        <v>8171</v>
      </c>
      <c r="V78" s="847">
        <v>0</v>
      </c>
      <c r="W78" s="847">
        <v>0</v>
      </c>
      <c r="X78" s="847">
        <v>0</v>
      </c>
      <c r="Y78" s="847">
        <v>0</v>
      </c>
      <c r="Z78" s="847">
        <v>0</v>
      </c>
      <c r="AA78" s="847">
        <v>0</v>
      </c>
      <c r="AB78" s="847">
        <v>0</v>
      </c>
      <c r="AC78" s="847">
        <v>0</v>
      </c>
      <c r="AD78" s="847">
        <v>0</v>
      </c>
      <c r="AE78" s="847">
        <v>0</v>
      </c>
      <c r="AF78" s="847">
        <v>0</v>
      </c>
      <c r="AG78" s="847">
        <v>0</v>
      </c>
      <c r="AH78" s="847">
        <v>0</v>
      </c>
      <c r="AI78" s="847">
        <v>0</v>
      </c>
      <c r="AJ78" s="847">
        <v>0</v>
      </c>
      <c r="AK78" s="847">
        <v>0</v>
      </c>
      <c r="AL78" s="847">
        <v>0</v>
      </c>
      <c r="AM78" s="847">
        <v>0</v>
      </c>
      <c r="AN78" s="847">
        <v>0</v>
      </c>
      <c r="AO78" s="847">
        <v>0</v>
      </c>
      <c r="AP78" s="847">
        <v>0</v>
      </c>
      <c r="AQ78" s="847">
        <v>0</v>
      </c>
      <c r="AR78" s="847">
        <v>0</v>
      </c>
      <c r="AS78" s="847">
        <v>0</v>
      </c>
      <c r="AT78" s="847">
        <v>0</v>
      </c>
      <c r="AU78" s="847">
        <v>0</v>
      </c>
      <c r="AV78" s="847">
        <v>0</v>
      </c>
      <c r="AW78" s="847">
        <v>0</v>
      </c>
      <c r="AX78" s="847">
        <v>0</v>
      </c>
      <c r="AY78" s="847">
        <v>0</v>
      </c>
      <c r="AZ78" s="847">
        <v>0</v>
      </c>
      <c r="BA78" s="847">
        <v>0</v>
      </c>
      <c r="BB78" s="847">
        <v>0</v>
      </c>
      <c r="BC78" s="847">
        <v>0</v>
      </c>
      <c r="BD78" s="847">
        <v>0</v>
      </c>
      <c r="BE78" s="847">
        <v>0</v>
      </c>
      <c r="BF78" s="847">
        <v>0</v>
      </c>
      <c r="BG78" s="847">
        <v>0</v>
      </c>
      <c r="BH78" s="847">
        <v>0</v>
      </c>
      <c r="BI78" s="847">
        <v>0</v>
      </c>
      <c r="BJ78" s="847">
        <v>0</v>
      </c>
      <c r="BK78" s="847">
        <v>0</v>
      </c>
      <c r="BL78" s="847">
        <v>0</v>
      </c>
      <c r="BM78" s="847">
        <v>0</v>
      </c>
      <c r="BN78" s="847">
        <v>0</v>
      </c>
      <c r="BO78" s="847">
        <v>0</v>
      </c>
      <c r="BP78" s="847">
        <v>0</v>
      </c>
      <c r="BQ78" s="847">
        <v>0</v>
      </c>
      <c r="BR78" s="847">
        <v>0</v>
      </c>
      <c r="BS78" s="847">
        <v>0</v>
      </c>
      <c r="BT78" s="847">
        <v>0</v>
      </c>
      <c r="BU78" s="847">
        <v>0</v>
      </c>
      <c r="BV78" s="847">
        <v>0</v>
      </c>
      <c r="BW78" s="847">
        <v>0</v>
      </c>
      <c r="BX78" s="847">
        <v>0</v>
      </c>
      <c r="BY78" s="847">
        <v>0</v>
      </c>
      <c r="BZ78" s="847">
        <v>0</v>
      </c>
      <c r="CA78" s="847">
        <v>0</v>
      </c>
      <c r="CB78" s="847">
        <v>0</v>
      </c>
      <c r="CC78" s="847">
        <v>0</v>
      </c>
      <c r="CD78" s="847">
        <v>0</v>
      </c>
      <c r="CE78" s="847">
        <v>0</v>
      </c>
      <c r="CF78" s="847">
        <v>0</v>
      </c>
      <c r="CG78" s="847">
        <v>0</v>
      </c>
      <c r="CH78" s="847">
        <v>0</v>
      </c>
      <c r="CI78" s="847">
        <v>0</v>
      </c>
      <c r="CJ78" s="847">
        <v>0</v>
      </c>
      <c r="CK78" s="847">
        <v>0</v>
      </c>
      <c r="CL78" s="847">
        <v>0</v>
      </c>
      <c r="CM78" s="847">
        <v>0</v>
      </c>
      <c r="CN78" s="847">
        <v>0</v>
      </c>
      <c r="CO78" s="847">
        <v>0</v>
      </c>
      <c r="CP78" s="847">
        <v>0</v>
      </c>
      <c r="CQ78" s="847">
        <v>0</v>
      </c>
      <c r="CR78" s="847">
        <v>0</v>
      </c>
      <c r="CS78" s="847">
        <v>0</v>
      </c>
      <c r="CT78" s="847">
        <v>0</v>
      </c>
      <c r="CU78" s="847">
        <v>0</v>
      </c>
      <c r="CV78" s="847">
        <v>0</v>
      </c>
      <c r="CW78" s="847">
        <v>0</v>
      </c>
      <c r="CX78" s="847">
        <v>0</v>
      </c>
      <c r="CY78" s="847">
        <v>0</v>
      </c>
      <c r="CZ78" s="847">
        <v>0</v>
      </c>
      <c r="DA78" s="847">
        <v>0</v>
      </c>
      <c r="DB78" s="847">
        <v>0</v>
      </c>
      <c r="DC78" s="847">
        <v>0</v>
      </c>
      <c r="DD78" s="847">
        <v>0</v>
      </c>
      <c r="DE78" s="847">
        <v>0</v>
      </c>
      <c r="DF78" s="847">
        <v>0</v>
      </c>
      <c r="DG78" s="847">
        <v>0</v>
      </c>
      <c r="DH78" s="847">
        <v>0</v>
      </c>
      <c r="DI78" s="847">
        <v>0</v>
      </c>
      <c r="DJ78" s="847">
        <v>0</v>
      </c>
      <c r="DK78" s="847">
        <v>0</v>
      </c>
      <c r="DL78" s="847">
        <v>0</v>
      </c>
      <c r="DM78" s="847">
        <v>0</v>
      </c>
      <c r="DN78" s="847">
        <v>0</v>
      </c>
      <c r="DO78" s="847">
        <v>0</v>
      </c>
      <c r="DP78" s="847">
        <v>0</v>
      </c>
      <c r="DQ78" s="847">
        <v>0</v>
      </c>
      <c r="DR78" s="847">
        <v>0</v>
      </c>
      <c r="DS78" s="847">
        <v>0</v>
      </c>
      <c r="DT78" s="847">
        <v>0</v>
      </c>
      <c r="DU78" s="847">
        <v>0</v>
      </c>
      <c r="DV78" s="847">
        <v>0</v>
      </c>
      <c r="DW78" s="847">
        <v>0</v>
      </c>
      <c r="DY78" s="173"/>
      <c r="DZ78" s="173"/>
      <c r="EA78" s="173"/>
      <c r="EB78" s="174"/>
      <c r="EC78" s="175"/>
      <c r="ED78" s="174"/>
      <c r="EE78" s="174"/>
      <c r="EF78" s="174"/>
      <c r="EG78" s="174"/>
      <c r="EH78" s="174"/>
      <c r="EI78" s="174"/>
      <c r="EJ78" s="174"/>
      <c r="EK78" s="174"/>
      <c r="EL78" s="174"/>
      <c r="EM78" s="174"/>
      <c r="EN78" s="174"/>
      <c r="EO78" s="174"/>
      <c r="EP78" s="174"/>
      <c r="EQ78" s="174"/>
      <c r="ER78" s="174"/>
      <c r="ES78" s="174"/>
      <c r="ET78" s="174"/>
      <c r="EU78" s="174"/>
      <c r="EV78" s="174"/>
      <c r="EW78" s="174"/>
      <c r="EX78" s="174"/>
      <c r="EY78" s="174"/>
      <c r="EZ78" s="174"/>
      <c r="FA78" s="174"/>
      <c r="FB78" s="174"/>
      <c r="FC78" s="174"/>
      <c r="FD78" s="174"/>
      <c r="FE78" s="174"/>
      <c r="FF78" s="174"/>
      <c r="FG78" s="174"/>
      <c r="FH78" s="174"/>
      <c r="FI78" s="174"/>
      <c r="FJ78" s="174"/>
      <c r="FK78" s="174"/>
      <c r="FL78" s="174"/>
      <c r="FM78" s="174"/>
      <c r="FN78" s="174"/>
      <c r="FO78" s="174"/>
      <c r="FP78" s="174"/>
      <c r="FQ78" s="174"/>
      <c r="FR78" s="174"/>
      <c r="FS78" s="174"/>
      <c r="FT78" s="174"/>
      <c r="FU78" s="174"/>
      <c r="FV78" s="174"/>
      <c r="FW78" s="174"/>
      <c r="FX78" s="174"/>
      <c r="FY78" s="174"/>
      <c r="FZ78" s="174"/>
      <c r="GA78" s="174"/>
      <c r="GB78" s="174"/>
      <c r="GC78" s="174"/>
      <c r="GD78" s="174"/>
      <c r="GE78" s="174"/>
      <c r="GF78" s="174"/>
      <c r="GG78" s="174"/>
      <c r="GH78" s="174"/>
      <c r="GI78" s="174"/>
      <c r="GJ78" s="174"/>
      <c r="GK78" s="174"/>
      <c r="GL78" s="174"/>
      <c r="GM78" s="174"/>
      <c r="GN78" s="174"/>
      <c r="GO78" s="174"/>
      <c r="GP78" s="174"/>
      <c r="GQ78" s="174"/>
      <c r="GR78" s="174"/>
      <c r="GS78" s="174"/>
      <c r="GT78" s="174"/>
      <c r="GU78" s="174"/>
      <c r="GV78" s="174"/>
      <c r="GW78" s="174"/>
      <c r="GX78" s="174"/>
      <c r="GY78" s="174"/>
      <c r="GZ78" s="174"/>
      <c r="HA78" s="174"/>
      <c r="HB78" s="174"/>
      <c r="HC78" s="174"/>
      <c r="HD78" s="174"/>
      <c r="HE78" s="174"/>
      <c r="HF78" s="174"/>
      <c r="HG78" s="174"/>
      <c r="HH78" s="174"/>
      <c r="HI78" s="174"/>
      <c r="HJ78" s="174"/>
      <c r="HK78" s="174"/>
      <c r="HL78" s="174"/>
      <c r="HM78" s="174"/>
      <c r="HN78" s="174"/>
      <c r="HO78" s="174"/>
      <c r="HP78" s="174"/>
      <c r="HQ78" s="174"/>
      <c r="HR78" s="174"/>
      <c r="HS78" s="174"/>
      <c r="HT78" s="174"/>
      <c r="HU78" s="174"/>
      <c r="HV78" s="174"/>
      <c r="HW78" s="174"/>
      <c r="HX78" s="174"/>
      <c r="HY78" s="174"/>
      <c r="HZ78" s="174"/>
      <c r="IA78" s="174"/>
      <c r="IB78" s="174"/>
      <c r="IC78" s="174"/>
      <c r="ID78" s="174"/>
      <c r="IE78" s="174"/>
      <c r="IF78" s="174"/>
      <c r="IG78" s="176"/>
      <c r="IH78" s="176"/>
      <c r="II78" s="176"/>
      <c r="IJ78" s="176"/>
    </row>
    <row r="79" spans="1:244" ht="16.5" hidden="1">
      <c r="A79" s="846" t="s">
        <v>1060</v>
      </c>
      <c r="B79" s="846" t="s">
        <v>1382</v>
      </c>
      <c r="C79" s="846" t="s">
        <v>1171</v>
      </c>
      <c r="D79" s="847">
        <v>6</v>
      </c>
      <c r="E79" s="846" t="s">
        <v>1171</v>
      </c>
      <c r="F79" s="846" t="s">
        <v>97</v>
      </c>
      <c r="G79" s="851"/>
      <c r="H79" s="847">
        <v>0</v>
      </c>
      <c r="I79" s="780" t="str">
        <f t="shared" si="2"/>
        <v>IWT060200</v>
      </c>
      <c r="J79" s="847">
        <v>4257</v>
      </c>
      <c r="L79" s="846" t="s">
        <v>1060</v>
      </c>
      <c r="M79" s="846" t="s">
        <v>1382</v>
      </c>
      <c r="N79" s="846" t="s">
        <v>97</v>
      </c>
      <c r="O79" s="847">
        <v>0</v>
      </c>
      <c r="P79" s="780" t="str">
        <f t="shared" si="3"/>
        <v>IWT060200</v>
      </c>
      <c r="Q79" s="847">
        <v>1107</v>
      </c>
      <c r="R79" s="847">
        <v>2949</v>
      </c>
      <c r="S79" s="847">
        <v>4754</v>
      </c>
      <c r="T79" s="847">
        <v>6525</v>
      </c>
      <c r="U79" s="847">
        <v>8260</v>
      </c>
      <c r="V79" s="847">
        <v>0</v>
      </c>
      <c r="W79" s="847">
        <v>0</v>
      </c>
      <c r="X79" s="847">
        <v>0</v>
      </c>
      <c r="Y79" s="847">
        <v>0</v>
      </c>
      <c r="Z79" s="847">
        <v>0</v>
      </c>
      <c r="AA79" s="847">
        <v>0</v>
      </c>
      <c r="AB79" s="847">
        <v>0</v>
      </c>
      <c r="AC79" s="847">
        <v>0</v>
      </c>
      <c r="AD79" s="847">
        <v>0</v>
      </c>
      <c r="AE79" s="847">
        <v>0</v>
      </c>
      <c r="AF79" s="847">
        <v>0</v>
      </c>
      <c r="AG79" s="847">
        <v>0</v>
      </c>
      <c r="AH79" s="847">
        <v>0</v>
      </c>
      <c r="AI79" s="847">
        <v>0</v>
      </c>
      <c r="AJ79" s="847">
        <v>0</v>
      </c>
      <c r="AK79" s="847">
        <v>0</v>
      </c>
      <c r="AL79" s="847">
        <v>0</v>
      </c>
      <c r="AM79" s="847">
        <v>0</v>
      </c>
      <c r="AN79" s="847">
        <v>0</v>
      </c>
      <c r="AO79" s="847">
        <v>0</v>
      </c>
      <c r="AP79" s="847">
        <v>0</v>
      </c>
      <c r="AQ79" s="847">
        <v>0</v>
      </c>
      <c r="AR79" s="847">
        <v>0</v>
      </c>
      <c r="AS79" s="847">
        <v>0</v>
      </c>
      <c r="AT79" s="847">
        <v>0</v>
      </c>
      <c r="AU79" s="847">
        <v>0</v>
      </c>
      <c r="AV79" s="847">
        <v>0</v>
      </c>
      <c r="AW79" s="847">
        <v>0</v>
      </c>
      <c r="AX79" s="847">
        <v>0</v>
      </c>
      <c r="AY79" s="847">
        <v>0</v>
      </c>
      <c r="AZ79" s="847">
        <v>0</v>
      </c>
      <c r="BA79" s="847">
        <v>0</v>
      </c>
      <c r="BB79" s="847">
        <v>0</v>
      </c>
      <c r="BC79" s="847">
        <v>0</v>
      </c>
      <c r="BD79" s="847">
        <v>0</v>
      </c>
      <c r="BE79" s="847">
        <v>0</v>
      </c>
      <c r="BF79" s="847">
        <v>0</v>
      </c>
      <c r="BG79" s="847">
        <v>0</v>
      </c>
      <c r="BH79" s="847">
        <v>0</v>
      </c>
      <c r="BI79" s="847">
        <v>0</v>
      </c>
      <c r="BJ79" s="847">
        <v>0</v>
      </c>
      <c r="BK79" s="847">
        <v>0</v>
      </c>
      <c r="BL79" s="847">
        <v>0</v>
      </c>
      <c r="BM79" s="847">
        <v>0</v>
      </c>
      <c r="BN79" s="847">
        <v>0</v>
      </c>
      <c r="BO79" s="847">
        <v>0</v>
      </c>
      <c r="BP79" s="847">
        <v>0</v>
      </c>
      <c r="BQ79" s="847">
        <v>0</v>
      </c>
      <c r="BR79" s="847">
        <v>0</v>
      </c>
      <c r="BS79" s="847">
        <v>0</v>
      </c>
      <c r="BT79" s="847">
        <v>0</v>
      </c>
      <c r="BU79" s="847">
        <v>0</v>
      </c>
      <c r="BV79" s="847">
        <v>0</v>
      </c>
      <c r="BW79" s="847">
        <v>0</v>
      </c>
      <c r="BX79" s="847">
        <v>0</v>
      </c>
      <c r="BY79" s="847">
        <v>0</v>
      </c>
      <c r="BZ79" s="847">
        <v>0</v>
      </c>
      <c r="CA79" s="847">
        <v>0</v>
      </c>
      <c r="CB79" s="847">
        <v>0</v>
      </c>
      <c r="CC79" s="847">
        <v>0</v>
      </c>
      <c r="CD79" s="847">
        <v>0</v>
      </c>
      <c r="CE79" s="847">
        <v>0</v>
      </c>
      <c r="CF79" s="847">
        <v>0</v>
      </c>
      <c r="CG79" s="847">
        <v>0</v>
      </c>
      <c r="CH79" s="847">
        <v>0</v>
      </c>
      <c r="CI79" s="847">
        <v>0</v>
      </c>
      <c r="CJ79" s="847">
        <v>0</v>
      </c>
      <c r="CK79" s="847">
        <v>0</v>
      </c>
      <c r="CL79" s="847">
        <v>0</v>
      </c>
      <c r="CM79" s="847">
        <v>0</v>
      </c>
      <c r="CN79" s="847">
        <v>0</v>
      </c>
      <c r="CO79" s="847">
        <v>0</v>
      </c>
      <c r="CP79" s="847">
        <v>0</v>
      </c>
      <c r="CQ79" s="847">
        <v>0</v>
      </c>
      <c r="CR79" s="847">
        <v>0</v>
      </c>
      <c r="CS79" s="847">
        <v>0</v>
      </c>
      <c r="CT79" s="847">
        <v>0</v>
      </c>
      <c r="CU79" s="847">
        <v>0</v>
      </c>
      <c r="CV79" s="847">
        <v>0</v>
      </c>
      <c r="CW79" s="847">
        <v>0</v>
      </c>
      <c r="CX79" s="847">
        <v>0</v>
      </c>
      <c r="CY79" s="847">
        <v>0</v>
      </c>
      <c r="CZ79" s="847">
        <v>0</v>
      </c>
      <c r="DA79" s="847">
        <v>0</v>
      </c>
      <c r="DB79" s="847">
        <v>0</v>
      </c>
      <c r="DC79" s="847">
        <v>0</v>
      </c>
      <c r="DD79" s="847">
        <v>0</v>
      </c>
      <c r="DE79" s="847">
        <v>0</v>
      </c>
      <c r="DF79" s="847">
        <v>0</v>
      </c>
      <c r="DG79" s="847">
        <v>0</v>
      </c>
      <c r="DH79" s="847">
        <v>0</v>
      </c>
      <c r="DI79" s="847">
        <v>0</v>
      </c>
      <c r="DJ79" s="847">
        <v>0</v>
      </c>
      <c r="DK79" s="847">
        <v>0</v>
      </c>
      <c r="DL79" s="847">
        <v>0</v>
      </c>
      <c r="DM79" s="847">
        <v>0</v>
      </c>
      <c r="DN79" s="847">
        <v>0</v>
      </c>
      <c r="DO79" s="847">
        <v>0</v>
      </c>
      <c r="DP79" s="847">
        <v>0</v>
      </c>
      <c r="DQ79" s="847">
        <v>0</v>
      </c>
      <c r="DR79" s="847">
        <v>0</v>
      </c>
      <c r="DS79" s="847">
        <v>0</v>
      </c>
      <c r="DT79" s="847">
        <v>0</v>
      </c>
      <c r="DU79" s="847">
        <v>0</v>
      </c>
      <c r="DV79" s="847">
        <v>0</v>
      </c>
      <c r="DW79" s="847">
        <v>0</v>
      </c>
      <c r="DY79" s="173"/>
      <c r="DZ79" s="173"/>
      <c r="EA79" s="173"/>
      <c r="EB79" s="174"/>
      <c r="EC79" s="175"/>
      <c r="ED79" s="174"/>
      <c r="EE79" s="174"/>
      <c r="EF79" s="174"/>
      <c r="EG79" s="174"/>
      <c r="EH79" s="174"/>
      <c r="EI79" s="174"/>
      <c r="EJ79" s="174"/>
      <c r="EK79" s="174"/>
      <c r="EL79" s="174"/>
      <c r="EM79" s="174"/>
      <c r="EN79" s="174"/>
      <c r="EO79" s="174"/>
      <c r="EP79" s="174"/>
      <c r="EQ79" s="174"/>
      <c r="ER79" s="174"/>
      <c r="ES79" s="174"/>
      <c r="ET79" s="174"/>
      <c r="EU79" s="174"/>
      <c r="EV79" s="174"/>
      <c r="EW79" s="174"/>
      <c r="EX79" s="174"/>
      <c r="EY79" s="174"/>
      <c r="EZ79" s="174"/>
      <c r="FA79" s="174"/>
      <c r="FB79" s="174"/>
      <c r="FC79" s="174"/>
      <c r="FD79" s="174"/>
      <c r="FE79" s="174"/>
      <c r="FF79" s="174"/>
      <c r="FG79" s="174"/>
      <c r="FH79" s="174"/>
      <c r="FI79" s="174"/>
      <c r="FJ79" s="174"/>
      <c r="FK79" s="174"/>
      <c r="FL79" s="174"/>
      <c r="FM79" s="174"/>
      <c r="FN79" s="174"/>
      <c r="FO79" s="174"/>
      <c r="FP79" s="174"/>
      <c r="FQ79" s="174"/>
      <c r="FR79" s="174"/>
      <c r="FS79" s="174"/>
      <c r="FT79" s="174"/>
      <c r="FU79" s="174"/>
      <c r="FV79" s="174"/>
      <c r="FW79" s="174"/>
      <c r="FX79" s="174"/>
      <c r="FY79" s="174"/>
      <c r="FZ79" s="174"/>
      <c r="GA79" s="174"/>
      <c r="GB79" s="174"/>
      <c r="GC79" s="174"/>
      <c r="GD79" s="174"/>
      <c r="GE79" s="174"/>
      <c r="GF79" s="174"/>
      <c r="GG79" s="174"/>
      <c r="GH79" s="174"/>
      <c r="GI79" s="174"/>
      <c r="GJ79" s="174"/>
      <c r="GK79" s="174"/>
      <c r="GL79" s="174"/>
      <c r="GM79" s="174"/>
      <c r="GN79" s="174"/>
      <c r="GO79" s="174"/>
      <c r="GP79" s="174"/>
      <c r="GQ79" s="174"/>
      <c r="GR79" s="174"/>
      <c r="GS79" s="174"/>
      <c r="GT79" s="174"/>
      <c r="GU79" s="174"/>
      <c r="GV79" s="174"/>
      <c r="GW79" s="174"/>
      <c r="GX79" s="174"/>
      <c r="GY79" s="174"/>
      <c r="GZ79" s="174"/>
      <c r="HA79" s="174"/>
      <c r="HB79" s="174"/>
      <c r="HC79" s="174"/>
      <c r="HD79" s="174"/>
      <c r="HE79" s="174"/>
      <c r="HF79" s="174"/>
      <c r="HG79" s="174"/>
      <c r="HH79" s="174"/>
      <c r="HI79" s="174"/>
      <c r="HJ79" s="174"/>
      <c r="HK79" s="174"/>
      <c r="HL79" s="174"/>
      <c r="HM79" s="174"/>
      <c r="HN79" s="174"/>
      <c r="HO79" s="174"/>
      <c r="HP79" s="174"/>
      <c r="HQ79" s="174"/>
      <c r="HR79" s="174"/>
      <c r="HS79" s="174"/>
      <c r="HT79" s="174"/>
      <c r="HU79" s="174"/>
      <c r="HV79" s="174"/>
      <c r="HW79" s="174"/>
      <c r="HX79" s="174"/>
      <c r="HY79" s="174"/>
      <c r="HZ79" s="174"/>
      <c r="IA79" s="174"/>
      <c r="IB79" s="174"/>
      <c r="IC79" s="174"/>
      <c r="ID79" s="174"/>
      <c r="IE79" s="174"/>
      <c r="IF79" s="176"/>
      <c r="IG79" s="176"/>
      <c r="IH79" s="176"/>
      <c r="II79" s="176"/>
      <c r="IJ79" s="176"/>
    </row>
    <row r="80" spans="1:244" ht="16.5" hidden="1">
      <c r="A80" s="846" t="s">
        <v>1060</v>
      </c>
      <c r="B80" s="846" t="s">
        <v>1382</v>
      </c>
      <c r="C80" s="846" t="s">
        <v>1171</v>
      </c>
      <c r="D80" s="847">
        <v>6</v>
      </c>
      <c r="E80" s="846" t="s">
        <v>1171</v>
      </c>
      <c r="F80" s="846" t="s">
        <v>97</v>
      </c>
      <c r="G80" s="851"/>
      <c r="H80" s="847">
        <v>1</v>
      </c>
      <c r="I80" s="780" t="str">
        <f t="shared" si="2"/>
        <v>IWT060201</v>
      </c>
      <c r="J80" s="847">
        <v>4289</v>
      </c>
      <c r="L80" s="846" t="s">
        <v>1060</v>
      </c>
      <c r="M80" s="846" t="s">
        <v>1382</v>
      </c>
      <c r="N80" s="846" t="s">
        <v>97</v>
      </c>
      <c r="O80" s="847">
        <v>1</v>
      </c>
      <c r="P80" s="780" t="str">
        <f t="shared" si="3"/>
        <v>IWT060201</v>
      </c>
      <c r="Q80" s="847">
        <v>1108</v>
      </c>
      <c r="R80" s="847">
        <v>2949</v>
      </c>
      <c r="S80" s="847">
        <v>4755</v>
      </c>
      <c r="T80" s="847">
        <v>6525</v>
      </c>
      <c r="U80" s="847">
        <v>8260</v>
      </c>
      <c r="V80" s="847">
        <v>0</v>
      </c>
      <c r="W80" s="847">
        <v>0</v>
      </c>
      <c r="X80" s="847">
        <v>0</v>
      </c>
      <c r="Y80" s="847">
        <v>0</v>
      </c>
      <c r="Z80" s="847">
        <v>0</v>
      </c>
      <c r="AA80" s="847">
        <v>0</v>
      </c>
      <c r="AB80" s="847">
        <v>0</v>
      </c>
      <c r="AC80" s="847">
        <v>0</v>
      </c>
      <c r="AD80" s="847">
        <v>0</v>
      </c>
      <c r="AE80" s="847">
        <v>0</v>
      </c>
      <c r="AF80" s="847">
        <v>0</v>
      </c>
      <c r="AG80" s="847">
        <v>0</v>
      </c>
      <c r="AH80" s="847">
        <v>0</v>
      </c>
      <c r="AI80" s="847">
        <v>0</v>
      </c>
      <c r="AJ80" s="847">
        <v>0</v>
      </c>
      <c r="AK80" s="847">
        <v>0</v>
      </c>
      <c r="AL80" s="847">
        <v>0</v>
      </c>
      <c r="AM80" s="847">
        <v>0</v>
      </c>
      <c r="AN80" s="847">
        <v>0</v>
      </c>
      <c r="AO80" s="847">
        <v>0</v>
      </c>
      <c r="AP80" s="847">
        <v>0</v>
      </c>
      <c r="AQ80" s="847">
        <v>0</v>
      </c>
      <c r="AR80" s="847">
        <v>0</v>
      </c>
      <c r="AS80" s="847">
        <v>0</v>
      </c>
      <c r="AT80" s="847">
        <v>0</v>
      </c>
      <c r="AU80" s="847">
        <v>0</v>
      </c>
      <c r="AV80" s="847">
        <v>0</v>
      </c>
      <c r="AW80" s="847">
        <v>0</v>
      </c>
      <c r="AX80" s="847">
        <v>0</v>
      </c>
      <c r="AY80" s="847">
        <v>0</v>
      </c>
      <c r="AZ80" s="847">
        <v>0</v>
      </c>
      <c r="BA80" s="847">
        <v>0</v>
      </c>
      <c r="BB80" s="847">
        <v>0</v>
      </c>
      <c r="BC80" s="847">
        <v>0</v>
      </c>
      <c r="BD80" s="847">
        <v>0</v>
      </c>
      <c r="BE80" s="847">
        <v>0</v>
      </c>
      <c r="BF80" s="847">
        <v>0</v>
      </c>
      <c r="BG80" s="847">
        <v>0</v>
      </c>
      <c r="BH80" s="847">
        <v>0</v>
      </c>
      <c r="BI80" s="847">
        <v>0</v>
      </c>
      <c r="BJ80" s="847">
        <v>0</v>
      </c>
      <c r="BK80" s="847">
        <v>0</v>
      </c>
      <c r="BL80" s="847">
        <v>0</v>
      </c>
      <c r="BM80" s="847">
        <v>0</v>
      </c>
      <c r="BN80" s="847">
        <v>0</v>
      </c>
      <c r="BO80" s="847">
        <v>0</v>
      </c>
      <c r="BP80" s="847">
        <v>0</v>
      </c>
      <c r="BQ80" s="847">
        <v>0</v>
      </c>
      <c r="BR80" s="847">
        <v>0</v>
      </c>
      <c r="BS80" s="847">
        <v>0</v>
      </c>
      <c r="BT80" s="847">
        <v>0</v>
      </c>
      <c r="BU80" s="847">
        <v>0</v>
      </c>
      <c r="BV80" s="847">
        <v>0</v>
      </c>
      <c r="BW80" s="847">
        <v>0</v>
      </c>
      <c r="BX80" s="847">
        <v>0</v>
      </c>
      <c r="BY80" s="847">
        <v>0</v>
      </c>
      <c r="BZ80" s="847">
        <v>0</v>
      </c>
      <c r="CA80" s="847">
        <v>0</v>
      </c>
      <c r="CB80" s="847">
        <v>0</v>
      </c>
      <c r="CC80" s="847">
        <v>0</v>
      </c>
      <c r="CD80" s="847">
        <v>0</v>
      </c>
      <c r="CE80" s="847">
        <v>0</v>
      </c>
      <c r="CF80" s="847">
        <v>0</v>
      </c>
      <c r="CG80" s="847">
        <v>0</v>
      </c>
      <c r="CH80" s="847">
        <v>0</v>
      </c>
      <c r="CI80" s="847">
        <v>0</v>
      </c>
      <c r="CJ80" s="847">
        <v>0</v>
      </c>
      <c r="CK80" s="847">
        <v>0</v>
      </c>
      <c r="CL80" s="847">
        <v>0</v>
      </c>
      <c r="CM80" s="847">
        <v>0</v>
      </c>
      <c r="CN80" s="847">
        <v>0</v>
      </c>
      <c r="CO80" s="847">
        <v>0</v>
      </c>
      <c r="CP80" s="847">
        <v>0</v>
      </c>
      <c r="CQ80" s="847">
        <v>0</v>
      </c>
      <c r="CR80" s="847">
        <v>0</v>
      </c>
      <c r="CS80" s="847">
        <v>0</v>
      </c>
      <c r="CT80" s="847">
        <v>0</v>
      </c>
      <c r="CU80" s="847">
        <v>0</v>
      </c>
      <c r="CV80" s="847">
        <v>0</v>
      </c>
      <c r="CW80" s="847">
        <v>0</v>
      </c>
      <c r="CX80" s="847">
        <v>0</v>
      </c>
      <c r="CY80" s="847">
        <v>0</v>
      </c>
      <c r="CZ80" s="847">
        <v>0</v>
      </c>
      <c r="DA80" s="847">
        <v>0</v>
      </c>
      <c r="DB80" s="847">
        <v>0</v>
      </c>
      <c r="DC80" s="847">
        <v>0</v>
      </c>
      <c r="DD80" s="847">
        <v>0</v>
      </c>
      <c r="DE80" s="847">
        <v>0</v>
      </c>
      <c r="DF80" s="847">
        <v>0</v>
      </c>
      <c r="DG80" s="847">
        <v>0</v>
      </c>
      <c r="DH80" s="847">
        <v>0</v>
      </c>
      <c r="DI80" s="847">
        <v>0</v>
      </c>
      <c r="DJ80" s="847">
        <v>0</v>
      </c>
      <c r="DK80" s="847">
        <v>0</v>
      </c>
      <c r="DL80" s="847">
        <v>0</v>
      </c>
      <c r="DM80" s="847">
        <v>0</v>
      </c>
      <c r="DN80" s="847">
        <v>0</v>
      </c>
      <c r="DO80" s="847">
        <v>0</v>
      </c>
      <c r="DP80" s="847">
        <v>0</v>
      </c>
      <c r="DQ80" s="847">
        <v>0</v>
      </c>
      <c r="DR80" s="847">
        <v>0</v>
      </c>
      <c r="DS80" s="847">
        <v>0</v>
      </c>
      <c r="DT80" s="847">
        <v>0</v>
      </c>
      <c r="DU80" s="847">
        <v>0</v>
      </c>
      <c r="DV80" s="847">
        <v>0</v>
      </c>
      <c r="DW80" s="847">
        <v>0</v>
      </c>
      <c r="DY80" s="173"/>
      <c r="DZ80" s="173"/>
      <c r="EA80" s="173"/>
      <c r="EB80" s="174"/>
      <c r="EC80" s="175"/>
      <c r="ED80" s="174"/>
      <c r="EE80" s="174"/>
      <c r="EF80" s="174"/>
      <c r="EG80" s="174"/>
      <c r="EH80" s="174"/>
      <c r="EI80" s="174"/>
      <c r="EJ80" s="174"/>
      <c r="EK80" s="174"/>
      <c r="EL80" s="174"/>
      <c r="EM80" s="174"/>
      <c r="EN80" s="174"/>
      <c r="EO80" s="174"/>
      <c r="EP80" s="174"/>
      <c r="EQ80" s="174"/>
      <c r="ER80" s="174"/>
      <c r="ES80" s="174"/>
      <c r="ET80" s="174"/>
      <c r="EU80" s="174"/>
      <c r="EV80" s="174"/>
      <c r="EW80" s="174"/>
      <c r="EX80" s="174"/>
      <c r="EY80" s="174"/>
      <c r="EZ80" s="174"/>
      <c r="FA80" s="174"/>
      <c r="FB80" s="174"/>
      <c r="FC80" s="174"/>
      <c r="FD80" s="174"/>
      <c r="FE80" s="174"/>
      <c r="FF80" s="174"/>
      <c r="FG80" s="174"/>
      <c r="FH80" s="174"/>
      <c r="FI80" s="174"/>
      <c r="FJ80" s="174"/>
      <c r="FK80" s="174"/>
      <c r="FL80" s="174"/>
      <c r="FM80" s="174"/>
      <c r="FN80" s="174"/>
      <c r="FO80" s="174"/>
      <c r="FP80" s="174"/>
      <c r="FQ80" s="174"/>
      <c r="FR80" s="174"/>
      <c r="FS80" s="174"/>
      <c r="FT80" s="174"/>
      <c r="FU80" s="174"/>
      <c r="FV80" s="174"/>
      <c r="FW80" s="174"/>
      <c r="FX80" s="174"/>
      <c r="FY80" s="174"/>
      <c r="FZ80" s="174"/>
      <c r="GA80" s="174"/>
      <c r="GB80" s="174"/>
      <c r="GC80" s="174"/>
      <c r="GD80" s="174"/>
      <c r="GE80" s="174"/>
      <c r="GF80" s="174"/>
      <c r="GG80" s="174"/>
      <c r="GH80" s="174"/>
      <c r="GI80" s="174"/>
      <c r="GJ80" s="174"/>
      <c r="GK80" s="174"/>
      <c r="GL80" s="174"/>
      <c r="GM80" s="174"/>
      <c r="GN80" s="174"/>
      <c r="GO80" s="174"/>
      <c r="GP80" s="174"/>
      <c r="GQ80" s="174"/>
      <c r="GR80" s="174"/>
      <c r="GS80" s="174"/>
      <c r="GT80" s="174"/>
      <c r="GU80" s="174"/>
      <c r="GV80" s="174"/>
      <c r="GW80" s="174"/>
      <c r="GX80" s="174"/>
      <c r="GY80" s="174"/>
      <c r="GZ80" s="174"/>
      <c r="HA80" s="174"/>
      <c r="HB80" s="174"/>
      <c r="HC80" s="174"/>
      <c r="HD80" s="174"/>
      <c r="HE80" s="174"/>
      <c r="HF80" s="174"/>
      <c r="HG80" s="174"/>
      <c r="HH80" s="174"/>
      <c r="HI80" s="174"/>
      <c r="HJ80" s="174"/>
      <c r="HK80" s="174"/>
      <c r="HL80" s="174"/>
      <c r="HM80" s="174"/>
      <c r="HN80" s="174"/>
      <c r="HO80" s="174"/>
      <c r="HP80" s="174"/>
      <c r="HQ80" s="174"/>
      <c r="HR80" s="174"/>
      <c r="HS80" s="174"/>
      <c r="HT80" s="174"/>
      <c r="HU80" s="174"/>
      <c r="HV80" s="174"/>
      <c r="HW80" s="174"/>
      <c r="HX80" s="174"/>
      <c r="HY80" s="174"/>
      <c r="HZ80" s="174"/>
      <c r="IA80" s="174"/>
      <c r="IB80" s="174"/>
      <c r="IC80" s="174"/>
      <c r="ID80" s="174"/>
      <c r="IE80" s="176"/>
      <c r="IF80" s="176"/>
      <c r="IG80" s="176"/>
      <c r="IH80" s="176"/>
      <c r="II80" s="176"/>
      <c r="IJ80" s="176"/>
    </row>
    <row r="81" spans="1:244" ht="16.5" hidden="1">
      <c r="A81" s="846" t="s">
        <v>1060</v>
      </c>
      <c r="B81" s="846" t="s">
        <v>1382</v>
      </c>
      <c r="C81" s="846" t="s">
        <v>1171</v>
      </c>
      <c r="D81" s="847">
        <v>6</v>
      </c>
      <c r="E81" s="846" t="s">
        <v>1171</v>
      </c>
      <c r="F81" s="846" t="s">
        <v>97</v>
      </c>
      <c r="G81" s="851"/>
      <c r="H81" s="847">
        <v>2</v>
      </c>
      <c r="I81" s="780" t="str">
        <f t="shared" si="2"/>
        <v>IWT060202</v>
      </c>
      <c r="J81" s="847">
        <v>4321</v>
      </c>
      <c r="L81" s="846" t="s">
        <v>1060</v>
      </c>
      <c r="M81" s="846" t="s">
        <v>1382</v>
      </c>
      <c r="N81" s="846" t="s">
        <v>97</v>
      </c>
      <c r="O81" s="847">
        <v>2</v>
      </c>
      <c r="P81" s="780" t="str">
        <f t="shared" si="3"/>
        <v>IWT060202</v>
      </c>
      <c r="Q81" s="847">
        <v>1108</v>
      </c>
      <c r="R81" s="847">
        <v>2950</v>
      </c>
      <c r="S81" s="847">
        <v>4755</v>
      </c>
      <c r="T81" s="847">
        <v>6525</v>
      </c>
      <c r="U81" s="847">
        <v>8261</v>
      </c>
      <c r="V81" s="847">
        <v>0</v>
      </c>
      <c r="W81" s="847">
        <v>0</v>
      </c>
      <c r="X81" s="847">
        <v>0</v>
      </c>
      <c r="Y81" s="847">
        <v>0</v>
      </c>
      <c r="Z81" s="847">
        <v>0</v>
      </c>
      <c r="AA81" s="847">
        <v>0</v>
      </c>
      <c r="AB81" s="847">
        <v>0</v>
      </c>
      <c r="AC81" s="847">
        <v>0</v>
      </c>
      <c r="AD81" s="847">
        <v>0</v>
      </c>
      <c r="AE81" s="847">
        <v>0</v>
      </c>
      <c r="AF81" s="847">
        <v>0</v>
      </c>
      <c r="AG81" s="847">
        <v>0</v>
      </c>
      <c r="AH81" s="847">
        <v>0</v>
      </c>
      <c r="AI81" s="847">
        <v>0</v>
      </c>
      <c r="AJ81" s="847">
        <v>0</v>
      </c>
      <c r="AK81" s="847">
        <v>0</v>
      </c>
      <c r="AL81" s="847">
        <v>0</v>
      </c>
      <c r="AM81" s="847">
        <v>0</v>
      </c>
      <c r="AN81" s="847">
        <v>0</v>
      </c>
      <c r="AO81" s="847">
        <v>0</v>
      </c>
      <c r="AP81" s="847">
        <v>0</v>
      </c>
      <c r="AQ81" s="847">
        <v>0</v>
      </c>
      <c r="AR81" s="847">
        <v>0</v>
      </c>
      <c r="AS81" s="847">
        <v>0</v>
      </c>
      <c r="AT81" s="847">
        <v>0</v>
      </c>
      <c r="AU81" s="847">
        <v>0</v>
      </c>
      <c r="AV81" s="847">
        <v>0</v>
      </c>
      <c r="AW81" s="847">
        <v>0</v>
      </c>
      <c r="AX81" s="847">
        <v>0</v>
      </c>
      <c r="AY81" s="847">
        <v>0</v>
      </c>
      <c r="AZ81" s="847">
        <v>0</v>
      </c>
      <c r="BA81" s="847">
        <v>0</v>
      </c>
      <c r="BB81" s="847">
        <v>0</v>
      </c>
      <c r="BC81" s="847">
        <v>0</v>
      </c>
      <c r="BD81" s="847">
        <v>0</v>
      </c>
      <c r="BE81" s="847">
        <v>0</v>
      </c>
      <c r="BF81" s="847">
        <v>0</v>
      </c>
      <c r="BG81" s="847">
        <v>0</v>
      </c>
      <c r="BH81" s="847">
        <v>0</v>
      </c>
      <c r="BI81" s="847">
        <v>0</v>
      </c>
      <c r="BJ81" s="847">
        <v>0</v>
      </c>
      <c r="BK81" s="847">
        <v>0</v>
      </c>
      <c r="BL81" s="847">
        <v>0</v>
      </c>
      <c r="BM81" s="847">
        <v>0</v>
      </c>
      <c r="BN81" s="847">
        <v>0</v>
      </c>
      <c r="BO81" s="847">
        <v>0</v>
      </c>
      <c r="BP81" s="847">
        <v>0</v>
      </c>
      <c r="BQ81" s="847">
        <v>0</v>
      </c>
      <c r="BR81" s="847">
        <v>0</v>
      </c>
      <c r="BS81" s="847">
        <v>0</v>
      </c>
      <c r="BT81" s="847">
        <v>0</v>
      </c>
      <c r="BU81" s="847">
        <v>0</v>
      </c>
      <c r="BV81" s="847">
        <v>0</v>
      </c>
      <c r="BW81" s="847">
        <v>0</v>
      </c>
      <c r="BX81" s="847">
        <v>0</v>
      </c>
      <c r="BY81" s="847">
        <v>0</v>
      </c>
      <c r="BZ81" s="847">
        <v>0</v>
      </c>
      <c r="CA81" s="847">
        <v>0</v>
      </c>
      <c r="CB81" s="847">
        <v>0</v>
      </c>
      <c r="CC81" s="847">
        <v>0</v>
      </c>
      <c r="CD81" s="847">
        <v>0</v>
      </c>
      <c r="CE81" s="847">
        <v>0</v>
      </c>
      <c r="CF81" s="847">
        <v>0</v>
      </c>
      <c r="CG81" s="847">
        <v>0</v>
      </c>
      <c r="CH81" s="847">
        <v>0</v>
      </c>
      <c r="CI81" s="847">
        <v>0</v>
      </c>
      <c r="CJ81" s="847">
        <v>0</v>
      </c>
      <c r="CK81" s="847">
        <v>0</v>
      </c>
      <c r="CL81" s="847">
        <v>0</v>
      </c>
      <c r="CM81" s="847">
        <v>0</v>
      </c>
      <c r="CN81" s="847">
        <v>0</v>
      </c>
      <c r="CO81" s="847">
        <v>0</v>
      </c>
      <c r="CP81" s="847">
        <v>0</v>
      </c>
      <c r="CQ81" s="847">
        <v>0</v>
      </c>
      <c r="CR81" s="847">
        <v>0</v>
      </c>
      <c r="CS81" s="847">
        <v>0</v>
      </c>
      <c r="CT81" s="847">
        <v>0</v>
      </c>
      <c r="CU81" s="847">
        <v>0</v>
      </c>
      <c r="CV81" s="847">
        <v>0</v>
      </c>
      <c r="CW81" s="847">
        <v>0</v>
      </c>
      <c r="CX81" s="847">
        <v>0</v>
      </c>
      <c r="CY81" s="847">
        <v>0</v>
      </c>
      <c r="CZ81" s="847">
        <v>0</v>
      </c>
      <c r="DA81" s="847">
        <v>0</v>
      </c>
      <c r="DB81" s="847">
        <v>0</v>
      </c>
      <c r="DC81" s="847">
        <v>0</v>
      </c>
      <c r="DD81" s="847">
        <v>0</v>
      </c>
      <c r="DE81" s="847">
        <v>0</v>
      </c>
      <c r="DF81" s="847">
        <v>0</v>
      </c>
      <c r="DG81" s="847">
        <v>0</v>
      </c>
      <c r="DH81" s="847">
        <v>0</v>
      </c>
      <c r="DI81" s="847">
        <v>0</v>
      </c>
      <c r="DJ81" s="847">
        <v>0</v>
      </c>
      <c r="DK81" s="847">
        <v>0</v>
      </c>
      <c r="DL81" s="847">
        <v>0</v>
      </c>
      <c r="DM81" s="847">
        <v>0</v>
      </c>
      <c r="DN81" s="847">
        <v>0</v>
      </c>
      <c r="DO81" s="847">
        <v>0</v>
      </c>
      <c r="DP81" s="847">
        <v>0</v>
      </c>
      <c r="DQ81" s="847">
        <v>0</v>
      </c>
      <c r="DR81" s="847">
        <v>0</v>
      </c>
      <c r="DS81" s="847">
        <v>0</v>
      </c>
      <c r="DT81" s="847">
        <v>0</v>
      </c>
      <c r="DU81" s="847">
        <v>0</v>
      </c>
      <c r="DV81" s="847">
        <v>0</v>
      </c>
      <c r="DW81" s="847">
        <v>0</v>
      </c>
      <c r="DY81" s="173"/>
      <c r="DZ81" s="173"/>
      <c r="EA81" s="173"/>
      <c r="EB81" s="174"/>
      <c r="EC81" s="175"/>
      <c r="ED81" s="174"/>
      <c r="EE81" s="174"/>
      <c r="EF81" s="174"/>
      <c r="EG81" s="174"/>
      <c r="EH81" s="174"/>
      <c r="EI81" s="174"/>
      <c r="EJ81" s="174"/>
      <c r="EK81" s="174"/>
      <c r="EL81" s="174"/>
      <c r="EM81" s="174"/>
      <c r="EN81" s="174"/>
      <c r="EO81" s="174"/>
      <c r="EP81" s="174"/>
      <c r="EQ81" s="174"/>
      <c r="ER81" s="174"/>
      <c r="ES81" s="174"/>
      <c r="ET81" s="174"/>
      <c r="EU81" s="174"/>
      <c r="EV81" s="174"/>
      <c r="EW81" s="174"/>
      <c r="EX81" s="174"/>
      <c r="EY81" s="174"/>
      <c r="EZ81" s="174"/>
      <c r="FA81" s="174"/>
      <c r="FB81" s="174"/>
      <c r="FC81" s="174"/>
      <c r="FD81" s="174"/>
      <c r="FE81" s="174"/>
      <c r="FF81" s="174"/>
      <c r="FG81" s="174"/>
      <c r="FH81" s="174"/>
      <c r="FI81" s="174"/>
      <c r="FJ81" s="174"/>
      <c r="FK81" s="174"/>
      <c r="FL81" s="174"/>
      <c r="FM81" s="174"/>
      <c r="FN81" s="174"/>
      <c r="FO81" s="174"/>
      <c r="FP81" s="174"/>
      <c r="FQ81" s="174"/>
      <c r="FR81" s="174"/>
      <c r="FS81" s="174"/>
      <c r="FT81" s="174"/>
      <c r="FU81" s="174"/>
      <c r="FV81" s="174"/>
      <c r="FW81" s="174"/>
      <c r="FX81" s="174"/>
      <c r="FY81" s="174"/>
      <c r="FZ81" s="174"/>
      <c r="GA81" s="174"/>
      <c r="GB81" s="174"/>
      <c r="GC81" s="174"/>
      <c r="GD81" s="174"/>
      <c r="GE81" s="174"/>
      <c r="GF81" s="174"/>
      <c r="GG81" s="174"/>
      <c r="GH81" s="174"/>
      <c r="GI81" s="174"/>
      <c r="GJ81" s="174"/>
      <c r="GK81" s="174"/>
      <c r="GL81" s="174"/>
      <c r="GM81" s="174"/>
      <c r="GN81" s="174"/>
      <c r="GO81" s="174"/>
      <c r="GP81" s="174"/>
      <c r="GQ81" s="174"/>
      <c r="GR81" s="174"/>
      <c r="GS81" s="174"/>
      <c r="GT81" s="174"/>
      <c r="GU81" s="174"/>
      <c r="GV81" s="174"/>
      <c r="GW81" s="174"/>
      <c r="GX81" s="174"/>
      <c r="GY81" s="174"/>
      <c r="GZ81" s="174"/>
      <c r="HA81" s="174"/>
      <c r="HB81" s="174"/>
      <c r="HC81" s="174"/>
      <c r="HD81" s="174"/>
      <c r="HE81" s="174"/>
      <c r="HF81" s="174"/>
      <c r="HG81" s="174"/>
      <c r="HH81" s="174"/>
      <c r="HI81" s="174"/>
      <c r="HJ81" s="174"/>
      <c r="HK81" s="174"/>
      <c r="HL81" s="174"/>
      <c r="HM81" s="174"/>
      <c r="HN81" s="174"/>
      <c r="HO81" s="174"/>
      <c r="HP81" s="174"/>
      <c r="HQ81" s="174"/>
      <c r="HR81" s="174"/>
      <c r="HS81" s="174"/>
      <c r="HT81" s="174"/>
      <c r="HU81" s="174"/>
      <c r="HV81" s="174"/>
      <c r="HW81" s="174"/>
      <c r="HX81" s="174"/>
      <c r="HY81" s="174"/>
      <c r="HZ81" s="174"/>
      <c r="IA81" s="174"/>
      <c r="IB81" s="174"/>
      <c r="IC81" s="174"/>
      <c r="ID81" s="176"/>
      <c r="IE81" s="176"/>
      <c r="IF81" s="176"/>
      <c r="IG81" s="176"/>
      <c r="IH81" s="176"/>
      <c r="II81" s="176"/>
      <c r="IJ81" s="176"/>
    </row>
    <row r="82" spans="1:244" ht="16.5" hidden="1">
      <c r="A82" s="846" t="s">
        <v>1060</v>
      </c>
      <c r="B82" s="846" t="s">
        <v>1382</v>
      </c>
      <c r="C82" s="846" t="s">
        <v>1171</v>
      </c>
      <c r="D82" s="847">
        <v>6</v>
      </c>
      <c r="E82" s="846" t="s">
        <v>1171</v>
      </c>
      <c r="F82" s="846" t="s">
        <v>97</v>
      </c>
      <c r="G82" s="851"/>
      <c r="H82" s="847">
        <v>3</v>
      </c>
      <c r="I82" s="780" t="str">
        <f t="shared" si="2"/>
        <v>IWT060203</v>
      </c>
      <c r="J82" s="847">
        <v>4352</v>
      </c>
      <c r="L82" s="846" t="s">
        <v>1060</v>
      </c>
      <c r="M82" s="846" t="s">
        <v>1382</v>
      </c>
      <c r="N82" s="846" t="s">
        <v>97</v>
      </c>
      <c r="O82" s="847">
        <v>3</v>
      </c>
      <c r="P82" s="780" t="str">
        <f t="shared" si="3"/>
        <v>IWT060203</v>
      </c>
      <c r="Q82" s="847">
        <v>1108</v>
      </c>
      <c r="R82" s="847">
        <v>2950</v>
      </c>
      <c r="S82" s="847">
        <v>4755</v>
      </c>
      <c r="T82" s="847">
        <v>6525</v>
      </c>
      <c r="U82" s="847">
        <v>8261</v>
      </c>
      <c r="V82" s="847">
        <v>0</v>
      </c>
      <c r="W82" s="847">
        <v>0</v>
      </c>
      <c r="X82" s="847">
        <v>0</v>
      </c>
      <c r="Y82" s="847">
        <v>0</v>
      </c>
      <c r="Z82" s="847">
        <v>0</v>
      </c>
      <c r="AA82" s="847">
        <v>0</v>
      </c>
      <c r="AB82" s="847">
        <v>0</v>
      </c>
      <c r="AC82" s="847">
        <v>0</v>
      </c>
      <c r="AD82" s="847">
        <v>0</v>
      </c>
      <c r="AE82" s="847">
        <v>0</v>
      </c>
      <c r="AF82" s="847">
        <v>0</v>
      </c>
      <c r="AG82" s="847">
        <v>0</v>
      </c>
      <c r="AH82" s="847">
        <v>0</v>
      </c>
      <c r="AI82" s="847">
        <v>0</v>
      </c>
      <c r="AJ82" s="847">
        <v>0</v>
      </c>
      <c r="AK82" s="847">
        <v>0</v>
      </c>
      <c r="AL82" s="847">
        <v>0</v>
      </c>
      <c r="AM82" s="847">
        <v>0</v>
      </c>
      <c r="AN82" s="847">
        <v>0</v>
      </c>
      <c r="AO82" s="847">
        <v>0</v>
      </c>
      <c r="AP82" s="847">
        <v>0</v>
      </c>
      <c r="AQ82" s="847">
        <v>0</v>
      </c>
      <c r="AR82" s="847">
        <v>0</v>
      </c>
      <c r="AS82" s="847">
        <v>0</v>
      </c>
      <c r="AT82" s="847">
        <v>0</v>
      </c>
      <c r="AU82" s="847">
        <v>0</v>
      </c>
      <c r="AV82" s="847">
        <v>0</v>
      </c>
      <c r="AW82" s="847">
        <v>0</v>
      </c>
      <c r="AX82" s="847">
        <v>0</v>
      </c>
      <c r="AY82" s="847">
        <v>0</v>
      </c>
      <c r="AZ82" s="847">
        <v>0</v>
      </c>
      <c r="BA82" s="847">
        <v>0</v>
      </c>
      <c r="BB82" s="847">
        <v>0</v>
      </c>
      <c r="BC82" s="847">
        <v>0</v>
      </c>
      <c r="BD82" s="847">
        <v>0</v>
      </c>
      <c r="BE82" s="847">
        <v>0</v>
      </c>
      <c r="BF82" s="847">
        <v>0</v>
      </c>
      <c r="BG82" s="847">
        <v>0</v>
      </c>
      <c r="BH82" s="847">
        <v>0</v>
      </c>
      <c r="BI82" s="847">
        <v>0</v>
      </c>
      <c r="BJ82" s="847">
        <v>0</v>
      </c>
      <c r="BK82" s="847">
        <v>0</v>
      </c>
      <c r="BL82" s="847">
        <v>0</v>
      </c>
      <c r="BM82" s="847">
        <v>0</v>
      </c>
      <c r="BN82" s="847">
        <v>0</v>
      </c>
      <c r="BO82" s="847">
        <v>0</v>
      </c>
      <c r="BP82" s="847">
        <v>0</v>
      </c>
      <c r="BQ82" s="847">
        <v>0</v>
      </c>
      <c r="BR82" s="847">
        <v>0</v>
      </c>
      <c r="BS82" s="847">
        <v>0</v>
      </c>
      <c r="BT82" s="847">
        <v>0</v>
      </c>
      <c r="BU82" s="847">
        <v>0</v>
      </c>
      <c r="BV82" s="847">
        <v>0</v>
      </c>
      <c r="BW82" s="847">
        <v>0</v>
      </c>
      <c r="BX82" s="847">
        <v>0</v>
      </c>
      <c r="BY82" s="847">
        <v>0</v>
      </c>
      <c r="BZ82" s="847">
        <v>0</v>
      </c>
      <c r="CA82" s="847">
        <v>0</v>
      </c>
      <c r="CB82" s="847">
        <v>0</v>
      </c>
      <c r="CC82" s="847">
        <v>0</v>
      </c>
      <c r="CD82" s="847">
        <v>0</v>
      </c>
      <c r="CE82" s="847">
        <v>0</v>
      </c>
      <c r="CF82" s="847">
        <v>0</v>
      </c>
      <c r="CG82" s="847">
        <v>0</v>
      </c>
      <c r="CH82" s="847">
        <v>0</v>
      </c>
      <c r="CI82" s="847">
        <v>0</v>
      </c>
      <c r="CJ82" s="847">
        <v>0</v>
      </c>
      <c r="CK82" s="847">
        <v>0</v>
      </c>
      <c r="CL82" s="847">
        <v>0</v>
      </c>
      <c r="CM82" s="847">
        <v>0</v>
      </c>
      <c r="CN82" s="847">
        <v>0</v>
      </c>
      <c r="CO82" s="847">
        <v>0</v>
      </c>
      <c r="CP82" s="847">
        <v>0</v>
      </c>
      <c r="CQ82" s="847">
        <v>0</v>
      </c>
      <c r="CR82" s="847">
        <v>0</v>
      </c>
      <c r="CS82" s="847">
        <v>0</v>
      </c>
      <c r="CT82" s="847">
        <v>0</v>
      </c>
      <c r="CU82" s="847">
        <v>0</v>
      </c>
      <c r="CV82" s="847">
        <v>0</v>
      </c>
      <c r="CW82" s="847">
        <v>0</v>
      </c>
      <c r="CX82" s="847">
        <v>0</v>
      </c>
      <c r="CY82" s="847">
        <v>0</v>
      </c>
      <c r="CZ82" s="847">
        <v>0</v>
      </c>
      <c r="DA82" s="847">
        <v>0</v>
      </c>
      <c r="DB82" s="847">
        <v>0</v>
      </c>
      <c r="DC82" s="847">
        <v>0</v>
      </c>
      <c r="DD82" s="847">
        <v>0</v>
      </c>
      <c r="DE82" s="847">
        <v>0</v>
      </c>
      <c r="DF82" s="847">
        <v>0</v>
      </c>
      <c r="DG82" s="847">
        <v>0</v>
      </c>
      <c r="DH82" s="847">
        <v>0</v>
      </c>
      <c r="DI82" s="847">
        <v>0</v>
      </c>
      <c r="DJ82" s="847">
        <v>0</v>
      </c>
      <c r="DK82" s="847">
        <v>0</v>
      </c>
      <c r="DL82" s="847">
        <v>0</v>
      </c>
      <c r="DM82" s="847">
        <v>0</v>
      </c>
      <c r="DN82" s="847">
        <v>0</v>
      </c>
      <c r="DO82" s="847">
        <v>0</v>
      </c>
      <c r="DP82" s="847">
        <v>0</v>
      </c>
      <c r="DQ82" s="847">
        <v>0</v>
      </c>
      <c r="DR82" s="847">
        <v>0</v>
      </c>
      <c r="DS82" s="847">
        <v>0</v>
      </c>
      <c r="DT82" s="847">
        <v>0</v>
      </c>
      <c r="DU82" s="847">
        <v>0</v>
      </c>
      <c r="DV82" s="847">
        <v>0</v>
      </c>
      <c r="DW82" s="847">
        <v>0</v>
      </c>
      <c r="DY82" s="173"/>
      <c r="DZ82" s="173"/>
      <c r="EA82" s="173"/>
      <c r="EB82" s="174"/>
      <c r="EC82" s="175"/>
      <c r="ED82" s="174"/>
      <c r="EE82" s="174"/>
      <c r="EF82" s="174"/>
      <c r="EG82" s="174"/>
      <c r="EH82" s="174"/>
      <c r="EI82" s="174"/>
      <c r="EJ82" s="174"/>
      <c r="EK82" s="174"/>
      <c r="EL82" s="174"/>
      <c r="EM82" s="174"/>
      <c r="EN82" s="174"/>
      <c r="EO82" s="174"/>
      <c r="EP82" s="174"/>
      <c r="EQ82" s="174"/>
      <c r="ER82" s="174"/>
      <c r="ES82" s="174"/>
      <c r="ET82" s="174"/>
      <c r="EU82" s="174"/>
      <c r="EV82" s="174"/>
      <c r="EW82" s="174"/>
      <c r="EX82" s="174"/>
      <c r="EY82" s="174"/>
      <c r="EZ82" s="174"/>
      <c r="FA82" s="174"/>
      <c r="FB82" s="174"/>
      <c r="FC82" s="174"/>
      <c r="FD82" s="174"/>
      <c r="FE82" s="174"/>
      <c r="FF82" s="174"/>
      <c r="FG82" s="174"/>
      <c r="FH82" s="174"/>
      <c r="FI82" s="174"/>
      <c r="FJ82" s="174"/>
      <c r="FK82" s="174"/>
      <c r="FL82" s="174"/>
      <c r="FM82" s="174"/>
      <c r="FN82" s="174"/>
      <c r="FO82" s="174"/>
      <c r="FP82" s="174"/>
      <c r="FQ82" s="174"/>
      <c r="FR82" s="174"/>
      <c r="FS82" s="174"/>
      <c r="FT82" s="174"/>
      <c r="FU82" s="174"/>
      <c r="FV82" s="174"/>
      <c r="FW82" s="174"/>
      <c r="FX82" s="174"/>
      <c r="FY82" s="174"/>
      <c r="FZ82" s="174"/>
      <c r="GA82" s="174"/>
      <c r="GB82" s="174"/>
      <c r="GC82" s="174"/>
      <c r="GD82" s="174"/>
      <c r="GE82" s="174"/>
      <c r="GF82" s="174"/>
      <c r="GG82" s="174"/>
      <c r="GH82" s="174"/>
      <c r="GI82" s="174"/>
      <c r="GJ82" s="174"/>
      <c r="GK82" s="174"/>
      <c r="GL82" s="174"/>
      <c r="GM82" s="174"/>
      <c r="GN82" s="174"/>
      <c r="GO82" s="174"/>
      <c r="GP82" s="174"/>
      <c r="GQ82" s="174"/>
      <c r="GR82" s="174"/>
      <c r="GS82" s="174"/>
      <c r="GT82" s="174"/>
      <c r="GU82" s="174"/>
      <c r="GV82" s="174"/>
      <c r="GW82" s="174"/>
      <c r="GX82" s="174"/>
      <c r="GY82" s="174"/>
      <c r="GZ82" s="174"/>
      <c r="HA82" s="174"/>
      <c r="HB82" s="174"/>
      <c r="HC82" s="174"/>
      <c r="HD82" s="174"/>
      <c r="HE82" s="174"/>
      <c r="HF82" s="174"/>
      <c r="HG82" s="174"/>
      <c r="HH82" s="174"/>
      <c r="HI82" s="174"/>
      <c r="HJ82" s="174"/>
      <c r="HK82" s="174"/>
      <c r="HL82" s="174"/>
      <c r="HM82" s="174"/>
      <c r="HN82" s="174"/>
      <c r="HO82" s="174"/>
      <c r="HP82" s="174"/>
      <c r="HQ82" s="174"/>
      <c r="HR82" s="174"/>
      <c r="HS82" s="174"/>
      <c r="HT82" s="174"/>
      <c r="HU82" s="174"/>
      <c r="HV82" s="174"/>
      <c r="HW82" s="174"/>
      <c r="HX82" s="174"/>
      <c r="HY82" s="174"/>
      <c r="HZ82" s="174"/>
      <c r="IA82" s="174"/>
      <c r="IB82" s="174"/>
      <c r="IC82" s="176"/>
      <c r="ID82" s="176"/>
      <c r="IE82" s="176"/>
      <c r="IF82" s="176"/>
      <c r="IG82" s="176"/>
      <c r="IH82" s="176"/>
      <c r="II82" s="176"/>
      <c r="IJ82" s="176"/>
    </row>
    <row r="83" spans="1:244" ht="16.5" hidden="1">
      <c r="A83" s="846" t="s">
        <v>1060</v>
      </c>
      <c r="B83" s="846" t="s">
        <v>1382</v>
      </c>
      <c r="C83" s="846" t="s">
        <v>1171</v>
      </c>
      <c r="D83" s="847">
        <v>6</v>
      </c>
      <c r="E83" s="846" t="s">
        <v>1171</v>
      </c>
      <c r="F83" s="846" t="s">
        <v>97</v>
      </c>
      <c r="G83" s="851"/>
      <c r="H83" s="847">
        <v>4</v>
      </c>
      <c r="I83" s="780" t="str">
        <f t="shared" si="2"/>
        <v>IWT060204</v>
      </c>
      <c r="J83" s="847">
        <v>4383</v>
      </c>
      <c r="L83" s="846" t="s">
        <v>1060</v>
      </c>
      <c r="M83" s="846" t="s">
        <v>1382</v>
      </c>
      <c r="N83" s="846" t="s">
        <v>97</v>
      </c>
      <c r="O83" s="847">
        <v>4</v>
      </c>
      <c r="P83" s="780" t="str">
        <f t="shared" si="3"/>
        <v>IWT060204</v>
      </c>
      <c r="Q83" s="847">
        <v>1108</v>
      </c>
      <c r="R83" s="847">
        <v>2950</v>
      </c>
      <c r="S83" s="847">
        <v>4756</v>
      </c>
      <c r="T83" s="847">
        <v>6525</v>
      </c>
      <c r="U83" s="847">
        <v>8261</v>
      </c>
      <c r="V83" s="847">
        <v>0</v>
      </c>
      <c r="W83" s="847">
        <v>0</v>
      </c>
      <c r="X83" s="847">
        <v>0</v>
      </c>
      <c r="Y83" s="847">
        <v>0</v>
      </c>
      <c r="Z83" s="847">
        <v>0</v>
      </c>
      <c r="AA83" s="847">
        <v>0</v>
      </c>
      <c r="AB83" s="847">
        <v>0</v>
      </c>
      <c r="AC83" s="847">
        <v>0</v>
      </c>
      <c r="AD83" s="847">
        <v>0</v>
      </c>
      <c r="AE83" s="847">
        <v>0</v>
      </c>
      <c r="AF83" s="847">
        <v>0</v>
      </c>
      <c r="AG83" s="847">
        <v>0</v>
      </c>
      <c r="AH83" s="847">
        <v>0</v>
      </c>
      <c r="AI83" s="847">
        <v>0</v>
      </c>
      <c r="AJ83" s="847">
        <v>0</v>
      </c>
      <c r="AK83" s="847">
        <v>0</v>
      </c>
      <c r="AL83" s="847">
        <v>0</v>
      </c>
      <c r="AM83" s="847">
        <v>0</v>
      </c>
      <c r="AN83" s="847">
        <v>0</v>
      </c>
      <c r="AO83" s="847">
        <v>0</v>
      </c>
      <c r="AP83" s="847">
        <v>0</v>
      </c>
      <c r="AQ83" s="847">
        <v>0</v>
      </c>
      <c r="AR83" s="847">
        <v>0</v>
      </c>
      <c r="AS83" s="847">
        <v>0</v>
      </c>
      <c r="AT83" s="847">
        <v>0</v>
      </c>
      <c r="AU83" s="847">
        <v>0</v>
      </c>
      <c r="AV83" s="847">
        <v>0</v>
      </c>
      <c r="AW83" s="847">
        <v>0</v>
      </c>
      <c r="AX83" s="847">
        <v>0</v>
      </c>
      <c r="AY83" s="847">
        <v>0</v>
      </c>
      <c r="AZ83" s="847">
        <v>0</v>
      </c>
      <c r="BA83" s="847">
        <v>0</v>
      </c>
      <c r="BB83" s="847">
        <v>0</v>
      </c>
      <c r="BC83" s="847">
        <v>0</v>
      </c>
      <c r="BD83" s="847">
        <v>0</v>
      </c>
      <c r="BE83" s="847">
        <v>0</v>
      </c>
      <c r="BF83" s="847">
        <v>0</v>
      </c>
      <c r="BG83" s="847">
        <v>0</v>
      </c>
      <c r="BH83" s="847">
        <v>0</v>
      </c>
      <c r="BI83" s="847">
        <v>0</v>
      </c>
      <c r="BJ83" s="847">
        <v>0</v>
      </c>
      <c r="BK83" s="847">
        <v>0</v>
      </c>
      <c r="BL83" s="847">
        <v>0</v>
      </c>
      <c r="BM83" s="847">
        <v>0</v>
      </c>
      <c r="BN83" s="847">
        <v>0</v>
      </c>
      <c r="BO83" s="847">
        <v>0</v>
      </c>
      <c r="BP83" s="847">
        <v>0</v>
      </c>
      <c r="BQ83" s="847">
        <v>0</v>
      </c>
      <c r="BR83" s="847">
        <v>0</v>
      </c>
      <c r="BS83" s="847">
        <v>0</v>
      </c>
      <c r="BT83" s="847">
        <v>0</v>
      </c>
      <c r="BU83" s="847">
        <v>0</v>
      </c>
      <c r="BV83" s="847">
        <v>0</v>
      </c>
      <c r="BW83" s="847">
        <v>0</v>
      </c>
      <c r="BX83" s="847">
        <v>0</v>
      </c>
      <c r="BY83" s="847">
        <v>0</v>
      </c>
      <c r="BZ83" s="847">
        <v>0</v>
      </c>
      <c r="CA83" s="847">
        <v>0</v>
      </c>
      <c r="CB83" s="847">
        <v>0</v>
      </c>
      <c r="CC83" s="847">
        <v>0</v>
      </c>
      <c r="CD83" s="847">
        <v>0</v>
      </c>
      <c r="CE83" s="847">
        <v>0</v>
      </c>
      <c r="CF83" s="847">
        <v>0</v>
      </c>
      <c r="CG83" s="847">
        <v>0</v>
      </c>
      <c r="CH83" s="847">
        <v>0</v>
      </c>
      <c r="CI83" s="847">
        <v>0</v>
      </c>
      <c r="CJ83" s="847">
        <v>0</v>
      </c>
      <c r="CK83" s="847">
        <v>0</v>
      </c>
      <c r="CL83" s="847">
        <v>0</v>
      </c>
      <c r="CM83" s="847">
        <v>0</v>
      </c>
      <c r="CN83" s="847">
        <v>0</v>
      </c>
      <c r="CO83" s="847">
        <v>0</v>
      </c>
      <c r="CP83" s="847">
        <v>0</v>
      </c>
      <c r="CQ83" s="847">
        <v>0</v>
      </c>
      <c r="CR83" s="847">
        <v>0</v>
      </c>
      <c r="CS83" s="847">
        <v>0</v>
      </c>
      <c r="CT83" s="847">
        <v>0</v>
      </c>
      <c r="CU83" s="847">
        <v>0</v>
      </c>
      <c r="CV83" s="847">
        <v>0</v>
      </c>
      <c r="CW83" s="847">
        <v>0</v>
      </c>
      <c r="CX83" s="847">
        <v>0</v>
      </c>
      <c r="CY83" s="847">
        <v>0</v>
      </c>
      <c r="CZ83" s="847">
        <v>0</v>
      </c>
      <c r="DA83" s="847">
        <v>0</v>
      </c>
      <c r="DB83" s="847">
        <v>0</v>
      </c>
      <c r="DC83" s="847">
        <v>0</v>
      </c>
      <c r="DD83" s="847">
        <v>0</v>
      </c>
      <c r="DE83" s="847">
        <v>0</v>
      </c>
      <c r="DF83" s="847">
        <v>0</v>
      </c>
      <c r="DG83" s="847">
        <v>0</v>
      </c>
      <c r="DH83" s="847">
        <v>0</v>
      </c>
      <c r="DI83" s="847">
        <v>0</v>
      </c>
      <c r="DJ83" s="847">
        <v>0</v>
      </c>
      <c r="DK83" s="847">
        <v>0</v>
      </c>
      <c r="DL83" s="847">
        <v>0</v>
      </c>
      <c r="DM83" s="847">
        <v>0</v>
      </c>
      <c r="DN83" s="847">
        <v>0</v>
      </c>
      <c r="DO83" s="847">
        <v>0</v>
      </c>
      <c r="DP83" s="847">
        <v>0</v>
      </c>
      <c r="DQ83" s="847">
        <v>0</v>
      </c>
      <c r="DR83" s="847">
        <v>0</v>
      </c>
      <c r="DS83" s="847">
        <v>0</v>
      </c>
      <c r="DT83" s="847">
        <v>0</v>
      </c>
      <c r="DU83" s="847">
        <v>0</v>
      </c>
      <c r="DV83" s="847">
        <v>0</v>
      </c>
      <c r="DW83" s="847">
        <v>0</v>
      </c>
      <c r="DY83" s="173"/>
      <c r="DZ83" s="173"/>
      <c r="EA83" s="173"/>
      <c r="EB83" s="174"/>
      <c r="EC83" s="175"/>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4"/>
      <c r="FX83" s="174"/>
      <c r="FY83" s="174"/>
      <c r="FZ83" s="174"/>
      <c r="GA83" s="174"/>
      <c r="GB83" s="174"/>
      <c r="GC83" s="174"/>
      <c r="GD83" s="174"/>
      <c r="GE83" s="174"/>
      <c r="GF83" s="174"/>
      <c r="GG83" s="174"/>
      <c r="GH83" s="174"/>
      <c r="GI83" s="174"/>
      <c r="GJ83" s="174"/>
      <c r="GK83" s="174"/>
      <c r="GL83" s="174"/>
      <c r="GM83" s="174"/>
      <c r="GN83" s="174"/>
      <c r="GO83" s="174"/>
      <c r="GP83" s="174"/>
      <c r="GQ83" s="174"/>
      <c r="GR83" s="174"/>
      <c r="GS83" s="174"/>
      <c r="GT83" s="174"/>
      <c r="GU83" s="174"/>
      <c r="GV83" s="174"/>
      <c r="GW83" s="174"/>
      <c r="GX83" s="174"/>
      <c r="GY83" s="174"/>
      <c r="GZ83" s="174"/>
      <c r="HA83" s="174"/>
      <c r="HB83" s="174"/>
      <c r="HC83" s="174"/>
      <c r="HD83" s="174"/>
      <c r="HE83" s="174"/>
      <c r="HF83" s="174"/>
      <c r="HG83" s="174"/>
      <c r="HH83" s="174"/>
      <c r="HI83" s="174"/>
      <c r="HJ83" s="174"/>
      <c r="HK83" s="174"/>
      <c r="HL83" s="174"/>
      <c r="HM83" s="174"/>
      <c r="HN83" s="174"/>
      <c r="HO83" s="174"/>
      <c r="HP83" s="174"/>
      <c r="HQ83" s="174"/>
      <c r="HR83" s="174"/>
      <c r="HS83" s="174"/>
      <c r="HT83" s="174"/>
      <c r="HU83" s="174"/>
      <c r="HV83" s="174"/>
      <c r="HW83" s="174"/>
      <c r="HX83" s="174"/>
      <c r="HY83" s="174"/>
      <c r="HZ83" s="174"/>
      <c r="IA83" s="174"/>
      <c r="IB83" s="176"/>
      <c r="IC83" s="176"/>
      <c r="ID83" s="176"/>
      <c r="IE83" s="176"/>
      <c r="IF83" s="176"/>
      <c r="IG83" s="176"/>
      <c r="IH83" s="176"/>
      <c r="II83" s="176"/>
      <c r="IJ83" s="176"/>
    </row>
    <row r="84" spans="1:244" ht="16.5" hidden="1">
      <c r="A84" s="846" t="s">
        <v>1060</v>
      </c>
      <c r="B84" s="846" t="s">
        <v>1382</v>
      </c>
      <c r="C84" s="846" t="s">
        <v>1171</v>
      </c>
      <c r="D84" s="847">
        <v>6</v>
      </c>
      <c r="E84" s="846" t="s">
        <v>1171</v>
      </c>
      <c r="F84" s="846" t="s">
        <v>97</v>
      </c>
      <c r="G84" s="851"/>
      <c r="H84" s="847">
        <v>5</v>
      </c>
      <c r="I84" s="780" t="str">
        <f t="shared" si="2"/>
        <v>IWT060205</v>
      </c>
      <c r="J84" s="847">
        <v>4413</v>
      </c>
      <c r="L84" s="846" t="s">
        <v>1060</v>
      </c>
      <c r="M84" s="846" t="s">
        <v>1382</v>
      </c>
      <c r="N84" s="846" t="s">
        <v>97</v>
      </c>
      <c r="O84" s="847">
        <v>5</v>
      </c>
      <c r="P84" s="780" t="str">
        <f t="shared" si="3"/>
        <v>IWT060205</v>
      </c>
      <c r="Q84" s="847">
        <v>1108</v>
      </c>
      <c r="R84" s="847">
        <v>2950</v>
      </c>
      <c r="S84" s="847">
        <v>4756</v>
      </c>
      <c r="T84" s="847">
        <v>6526</v>
      </c>
      <c r="U84" s="847">
        <v>8261</v>
      </c>
      <c r="V84" s="847">
        <v>0</v>
      </c>
      <c r="W84" s="847">
        <v>0</v>
      </c>
      <c r="X84" s="847">
        <v>0</v>
      </c>
      <c r="Y84" s="847">
        <v>0</v>
      </c>
      <c r="Z84" s="847">
        <v>0</v>
      </c>
      <c r="AA84" s="847">
        <v>0</v>
      </c>
      <c r="AB84" s="847">
        <v>0</v>
      </c>
      <c r="AC84" s="847">
        <v>0</v>
      </c>
      <c r="AD84" s="847">
        <v>0</v>
      </c>
      <c r="AE84" s="847">
        <v>0</v>
      </c>
      <c r="AF84" s="847">
        <v>0</v>
      </c>
      <c r="AG84" s="847">
        <v>0</v>
      </c>
      <c r="AH84" s="847">
        <v>0</v>
      </c>
      <c r="AI84" s="847">
        <v>0</v>
      </c>
      <c r="AJ84" s="847">
        <v>0</v>
      </c>
      <c r="AK84" s="847">
        <v>0</v>
      </c>
      <c r="AL84" s="847">
        <v>0</v>
      </c>
      <c r="AM84" s="847">
        <v>0</v>
      </c>
      <c r="AN84" s="847">
        <v>0</v>
      </c>
      <c r="AO84" s="847">
        <v>0</v>
      </c>
      <c r="AP84" s="847">
        <v>0</v>
      </c>
      <c r="AQ84" s="847">
        <v>0</v>
      </c>
      <c r="AR84" s="847">
        <v>0</v>
      </c>
      <c r="AS84" s="847">
        <v>0</v>
      </c>
      <c r="AT84" s="847">
        <v>0</v>
      </c>
      <c r="AU84" s="847">
        <v>0</v>
      </c>
      <c r="AV84" s="847">
        <v>0</v>
      </c>
      <c r="AW84" s="847">
        <v>0</v>
      </c>
      <c r="AX84" s="847">
        <v>0</v>
      </c>
      <c r="AY84" s="847">
        <v>0</v>
      </c>
      <c r="AZ84" s="847">
        <v>0</v>
      </c>
      <c r="BA84" s="847">
        <v>0</v>
      </c>
      <c r="BB84" s="847">
        <v>0</v>
      </c>
      <c r="BC84" s="847">
        <v>0</v>
      </c>
      <c r="BD84" s="847">
        <v>0</v>
      </c>
      <c r="BE84" s="847">
        <v>0</v>
      </c>
      <c r="BF84" s="847">
        <v>0</v>
      </c>
      <c r="BG84" s="847">
        <v>0</v>
      </c>
      <c r="BH84" s="847">
        <v>0</v>
      </c>
      <c r="BI84" s="847">
        <v>0</v>
      </c>
      <c r="BJ84" s="847">
        <v>0</v>
      </c>
      <c r="BK84" s="847">
        <v>0</v>
      </c>
      <c r="BL84" s="847">
        <v>0</v>
      </c>
      <c r="BM84" s="847">
        <v>0</v>
      </c>
      <c r="BN84" s="847">
        <v>0</v>
      </c>
      <c r="BO84" s="847">
        <v>0</v>
      </c>
      <c r="BP84" s="847">
        <v>0</v>
      </c>
      <c r="BQ84" s="847">
        <v>0</v>
      </c>
      <c r="BR84" s="847">
        <v>0</v>
      </c>
      <c r="BS84" s="847">
        <v>0</v>
      </c>
      <c r="BT84" s="847">
        <v>0</v>
      </c>
      <c r="BU84" s="847">
        <v>0</v>
      </c>
      <c r="BV84" s="847">
        <v>0</v>
      </c>
      <c r="BW84" s="847">
        <v>0</v>
      </c>
      <c r="BX84" s="847">
        <v>0</v>
      </c>
      <c r="BY84" s="847">
        <v>0</v>
      </c>
      <c r="BZ84" s="847">
        <v>0</v>
      </c>
      <c r="CA84" s="847">
        <v>0</v>
      </c>
      <c r="CB84" s="847">
        <v>0</v>
      </c>
      <c r="CC84" s="847">
        <v>0</v>
      </c>
      <c r="CD84" s="847">
        <v>0</v>
      </c>
      <c r="CE84" s="847">
        <v>0</v>
      </c>
      <c r="CF84" s="847">
        <v>0</v>
      </c>
      <c r="CG84" s="847">
        <v>0</v>
      </c>
      <c r="CH84" s="847">
        <v>0</v>
      </c>
      <c r="CI84" s="847">
        <v>0</v>
      </c>
      <c r="CJ84" s="847">
        <v>0</v>
      </c>
      <c r="CK84" s="847">
        <v>0</v>
      </c>
      <c r="CL84" s="847">
        <v>0</v>
      </c>
      <c r="CM84" s="847">
        <v>0</v>
      </c>
      <c r="CN84" s="847">
        <v>0</v>
      </c>
      <c r="CO84" s="847">
        <v>0</v>
      </c>
      <c r="CP84" s="847">
        <v>0</v>
      </c>
      <c r="CQ84" s="847">
        <v>0</v>
      </c>
      <c r="CR84" s="847">
        <v>0</v>
      </c>
      <c r="CS84" s="847">
        <v>0</v>
      </c>
      <c r="CT84" s="847">
        <v>0</v>
      </c>
      <c r="CU84" s="847">
        <v>0</v>
      </c>
      <c r="CV84" s="847">
        <v>0</v>
      </c>
      <c r="CW84" s="847">
        <v>0</v>
      </c>
      <c r="CX84" s="847">
        <v>0</v>
      </c>
      <c r="CY84" s="847">
        <v>0</v>
      </c>
      <c r="CZ84" s="847">
        <v>0</v>
      </c>
      <c r="DA84" s="847">
        <v>0</v>
      </c>
      <c r="DB84" s="847">
        <v>0</v>
      </c>
      <c r="DC84" s="847">
        <v>0</v>
      </c>
      <c r="DD84" s="847">
        <v>0</v>
      </c>
      <c r="DE84" s="847">
        <v>0</v>
      </c>
      <c r="DF84" s="847">
        <v>0</v>
      </c>
      <c r="DG84" s="847">
        <v>0</v>
      </c>
      <c r="DH84" s="847">
        <v>0</v>
      </c>
      <c r="DI84" s="847">
        <v>0</v>
      </c>
      <c r="DJ84" s="847">
        <v>0</v>
      </c>
      <c r="DK84" s="847">
        <v>0</v>
      </c>
      <c r="DL84" s="847">
        <v>0</v>
      </c>
      <c r="DM84" s="847">
        <v>0</v>
      </c>
      <c r="DN84" s="847">
        <v>0</v>
      </c>
      <c r="DO84" s="847">
        <v>0</v>
      </c>
      <c r="DP84" s="847">
        <v>0</v>
      </c>
      <c r="DQ84" s="847">
        <v>0</v>
      </c>
      <c r="DR84" s="847">
        <v>0</v>
      </c>
      <c r="DS84" s="847">
        <v>0</v>
      </c>
      <c r="DT84" s="847">
        <v>0</v>
      </c>
      <c r="DU84" s="847">
        <v>0</v>
      </c>
      <c r="DV84" s="847">
        <v>0</v>
      </c>
      <c r="DW84" s="847">
        <v>0</v>
      </c>
      <c r="DY84" s="173"/>
      <c r="DZ84" s="173"/>
      <c r="EA84" s="173"/>
      <c r="EB84" s="174"/>
      <c r="EC84" s="175"/>
      <c r="ED84" s="174"/>
      <c r="EE84" s="174"/>
      <c r="EF84" s="174"/>
      <c r="EG84" s="174"/>
      <c r="EH84" s="174"/>
      <c r="EI84" s="174"/>
      <c r="EJ84" s="174"/>
      <c r="EK84" s="174"/>
      <c r="EL84" s="174"/>
      <c r="EM84" s="174"/>
      <c r="EN84" s="174"/>
      <c r="EO84" s="174"/>
      <c r="EP84" s="174"/>
      <c r="EQ84" s="174"/>
      <c r="ER84" s="174"/>
      <c r="ES84" s="174"/>
      <c r="ET84" s="174"/>
      <c r="EU84" s="174"/>
      <c r="EV84" s="174"/>
      <c r="EW84" s="174"/>
      <c r="EX84" s="174"/>
      <c r="EY84" s="174"/>
      <c r="EZ84" s="174"/>
      <c r="FA84" s="174"/>
      <c r="FB84" s="174"/>
      <c r="FC84" s="174"/>
      <c r="FD84" s="174"/>
      <c r="FE84" s="174"/>
      <c r="FF84" s="174"/>
      <c r="FG84" s="174"/>
      <c r="FH84" s="174"/>
      <c r="FI84" s="174"/>
      <c r="FJ84" s="174"/>
      <c r="FK84" s="174"/>
      <c r="FL84" s="174"/>
      <c r="FM84" s="174"/>
      <c r="FN84" s="174"/>
      <c r="FO84" s="174"/>
      <c r="FP84" s="174"/>
      <c r="FQ84" s="174"/>
      <c r="FR84" s="174"/>
      <c r="FS84" s="174"/>
      <c r="FT84" s="174"/>
      <c r="FU84" s="174"/>
      <c r="FV84" s="174"/>
      <c r="FW84" s="174"/>
      <c r="FX84" s="174"/>
      <c r="FY84" s="174"/>
      <c r="FZ84" s="174"/>
      <c r="GA84" s="174"/>
      <c r="GB84" s="174"/>
      <c r="GC84" s="174"/>
      <c r="GD84" s="174"/>
      <c r="GE84" s="174"/>
      <c r="GF84" s="174"/>
      <c r="GG84" s="174"/>
      <c r="GH84" s="174"/>
      <c r="GI84" s="174"/>
      <c r="GJ84" s="174"/>
      <c r="GK84" s="174"/>
      <c r="GL84" s="174"/>
      <c r="GM84" s="174"/>
      <c r="GN84" s="174"/>
      <c r="GO84" s="174"/>
      <c r="GP84" s="174"/>
      <c r="GQ84" s="174"/>
      <c r="GR84" s="174"/>
      <c r="GS84" s="174"/>
      <c r="GT84" s="174"/>
      <c r="GU84" s="174"/>
      <c r="GV84" s="174"/>
      <c r="GW84" s="174"/>
      <c r="GX84" s="174"/>
      <c r="GY84" s="174"/>
      <c r="GZ84" s="174"/>
      <c r="HA84" s="174"/>
      <c r="HB84" s="174"/>
      <c r="HC84" s="174"/>
      <c r="HD84" s="174"/>
      <c r="HE84" s="174"/>
      <c r="HF84" s="174"/>
      <c r="HG84" s="174"/>
      <c r="HH84" s="174"/>
      <c r="HI84" s="174"/>
      <c r="HJ84" s="174"/>
      <c r="HK84" s="174"/>
      <c r="HL84" s="174"/>
      <c r="HM84" s="174"/>
      <c r="HN84" s="174"/>
      <c r="HO84" s="174"/>
      <c r="HP84" s="174"/>
      <c r="HQ84" s="174"/>
      <c r="HR84" s="174"/>
      <c r="HS84" s="174"/>
      <c r="HT84" s="174"/>
      <c r="HU84" s="174"/>
      <c r="HV84" s="174"/>
      <c r="HW84" s="174"/>
      <c r="HX84" s="174"/>
      <c r="HY84" s="174"/>
      <c r="HZ84" s="174"/>
      <c r="IA84" s="176"/>
      <c r="IB84" s="176"/>
      <c r="IC84" s="176"/>
      <c r="ID84" s="176"/>
      <c r="IE84" s="176"/>
      <c r="IF84" s="176"/>
      <c r="IG84" s="176"/>
      <c r="IH84" s="176"/>
      <c r="II84" s="176"/>
      <c r="IJ84" s="176"/>
    </row>
    <row r="85" spans="1:244" ht="16.5" hidden="1">
      <c r="A85" s="846" t="s">
        <v>1060</v>
      </c>
      <c r="B85" s="846" t="s">
        <v>1382</v>
      </c>
      <c r="C85" s="846" t="s">
        <v>1171</v>
      </c>
      <c r="D85" s="847">
        <v>6</v>
      </c>
      <c r="E85" s="846" t="s">
        <v>1171</v>
      </c>
      <c r="F85" s="846" t="s">
        <v>97</v>
      </c>
      <c r="G85" s="851"/>
      <c r="H85" s="847">
        <v>6</v>
      </c>
      <c r="I85" s="780" t="str">
        <f t="shared" si="2"/>
        <v>IWT060206</v>
      </c>
      <c r="J85" s="847">
        <v>4443</v>
      </c>
      <c r="L85" s="846" t="s">
        <v>1060</v>
      </c>
      <c r="M85" s="846" t="s">
        <v>1382</v>
      </c>
      <c r="N85" s="846" t="s">
        <v>97</v>
      </c>
      <c r="O85" s="847">
        <v>6</v>
      </c>
      <c r="P85" s="780" t="str">
        <f t="shared" si="3"/>
        <v>IWT060206</v>
      </c>
      <c r="Q85" s="847">
        <v>1109</v>
      </c>
      <c r="R85" s="847">
        <v>2951</v>
      </c>
      <c r="S85" s="847">
        <v>4756</v>
      </c>
      <c r="T85" s="847">
        <v>6526</v>
      </c>
      <c r="U85" s="847">
        <v>8261</v>
      </c>
      <c r="V85" s="847">
        <v>0</v>
      </c>
      <c r="W85" s="847">
        <v>0</v>
      </c>
      <c r="X85" s="847">
        <v>0</v>
      </c>
      <c r="Y85" s="847">
        <v>0</v>
      </c>
      <c r="Z85" s="847">
        <v>0</v>
      </c>
      <c r="AA85" s="847">
        <v>0</v>
      </c>
      <c r="AB85" s="847">
        <v>0</v>
      </c>
      <c r="AC85" s="847">
        <v>0</v>
      </c>
      <c r="AD85" s="847">
        <v>0</v>
      </c>
      <c r="AE85" s="847">
        <v>0</v>
      </c>
      <c r="AF85" s="847">
        <v>0</v>
      </c>
      <c r="AG85" s="847">
        <v>0</v>
      </c>
      <c r="AH85" s="847">
        <v>0</v>
      </c>
      <c r="AI85" s="847">
        <v>0</v>
      </c>
      <c r="AJ85" s="847">
        <v>0</v>
      </c>
      <c r="AK85" s="847">
        <v>0</v>
      </c>
      <c r="AL85" s="847">
        <v>0</v>
      </c>
      <c r="AM85" s="847">
        <v>0</v>
      </c>
      <c r="AN85" s="847">
        <v>0</v>
      </c>
      <c r="AO85" s="847">
        <v>0</v>
      </c>
      <c r="AP85" s="847">
        <v>0</v>
      </c>
      <c r="AQ85" s="847">
        <v>0</v>
      </c>
      <c r="AR85" s="847">
        <v>0</v>
      </c>
      <c r="AS85" s="847">
        <v>0</v>
      </c>
      <c r="AT85" s="847">
        <v>0</v>
      </c>
      <c r="AU85" s="847">
        <v>0</v>
      </c>
      <c r="AV85" s="847">
        <v>0</v>
      </c>
      <c r="AW85" s="847">
        <v>0</v>
      </c>
      <c r="AX85" s="847">
        <v>0</v>
      </c>
      <c r="AY85" s="847">
        <v>0</v>
      </c>
      <c r="AZ85" s="847">
        <v>0</v>
      </c>
      <c r="BA85" s="847">
        <v>0</v>
      </c>
      <c r="BB85" s="847">
        <v>0</v>
      </c>
      <c r="BC85" s="847">
        <v>0</v>
      </c>
      <c r="BD85" s="847">
        <v>0</v>
      </c>
      <c r="BE85" s="847">
        <v>0</v>
      </c>
      <c r="BF85" s="847">
        <v>0</v>
      </c>
      <c r="BG85" s="847">
        <v>0</v>
      </c>
      <c r="BH85" s="847">
        <v>0</v>
      </c>
      <c r="BI85" s="847">
        <v>0</v>
      </c>
      <c r="BJ85" s="847">
        <v>0</v>
      </c>
      <c r="BK85" s="847">
        <v>0</v>
      </c>
      <c r="BL85" s="847">
        <v>0</v>
      </c>
      <c r="BM85" s="847">
        <v>0</v>
      </c>
      <c r="BN85" s="847">
        <v>0</v>
      </c>
      <c r="BO85" s="847">
        <v>0</v>
      </c>
      <c r="BP85" s="847">
        <v>0</v>
      </c>
      <c r="BQ85" s="847">
        <v>0</v>
      </c>
      <c r="BR85" s="847">
        <v>0</v>
      </c>
      <c r="BS85" s="847">
        <v>0</v>
      </c>
      <c r="BT85" s="847">
        <v>0</v>
      </c>
      <c r="BU85" s="847">
        <v>0</v>
      </c>
      <c r="BV85" s="847">
        <v>0</v>
      </c>
      <c r="BW85" s="847">
        <v>0</v>
      </c>
      <c r="BX85" s="847">
        <v>0</v>
      </c>
      <c r="BY85" s="847">
        <v>0</v>
      </c>
      <c r="BZ85" s="847">
        <v>0</v>
      </c>
      <c r="CA85" s="847">
        <v>0</v>
      </c>
      <c r="CB85" s="847">
        <v>0</v>
      </c>
      <c r="CC85" s="847">
        <v>0</v>
      </c>
      <c r="CD85" s="847">
        <v>0</v>
      </c>
      <c r="CE85" s="847">
        <v>0</v>
      </c>
      <c r="CF85" s="847">
        <v>0</v>
      </c>
      <c r="CG85" s="847">
        <v>0</v>
      </c>
      <c r="CH85" s="847">
        <v>0</v>
      </c>
      <c r="CI85" s="847">
        <v>0</v>
      </c>
      <c r="CJ85" s="847">
        <v>0</v>
      </c>
      <c r="CK85" s="847">
        <v>0</v>
      </c>
      <c r="CL85" s="847">
        <v>0</v>
      </c>
      <c r="CM85" s="847">
        <v>0</v>
      </c>
      <c r="CN85" s="847">
        <v>0</v>
      </c>
      <c r="CO85" s="847">
        <v>0</v>
      </c>
      <c r="CP85" s="847">
        <v>0</v>
      </c>
      <c r="CQ85" s="847">
        <v>0</v>
      </c>
      <c r="CR85" s="847">
        <v>0</v>
      </c>
      <c r="CS85" s="847">
        <v>0</v>
      </c>
      <c r="CT85" s="847">
        <v>0</v>
      </c>
      <c r="CU85" s="847">
        <v>0</v>
      </c>
      <c r="CV85" s="847">
        <v>0</v>
      </c>
      <c r="CW85" s="847">
        <v>0</v>
      </c>
      <c r="CX85" s="847">
        <v>0</v>
      </c>
      <c r="CY85" s="847">
        <v>0</v>
      </c>
      <c r="CZ85" s="847">
        <v>0</v>
      </c>
      <c r="DA85" s="847">
        <v>0</v>
      </c>
      <c r="DB85" s="847">
        <v>0</v>
      </c>
      <c r="DC85" s="847">
        <v>0</v>
      </c>
      <c r="DD85" s="847">
        <v>0</v>
      </c>
      <c r="DE85" s="847">
        <v>0</v>
      </c>
      <c r="DF85" s="847">
        <v>0</v>
      </c>
      <c r="DG85" s="847">
        <v>0</v>
      </c>
      <c r="DH85" s="847">
        <v>0</v>
      </c>
      <c r="DI85" s="847">
        <v>0</v>
      </c>
      <c r="DJ85" s="847">
        <v>0</v>
      </c>
      <c r="DK85" s="847">
        <v>0</v>
      </c>
      <c r="DL85" s="847">
        <v>0</v>
      </c>
      <c r="DM85" s="847">
        <v>0</v>
      </c>
      <c r="DN85" s="847">
        <v>0</v>
      </c>
      <c r="DO85" s="847">
        <v>0</v>
      </c>
      <c r="DP85" s="847">
        <v>0</v>
      </c>
      <c r="DQ85" s="847">
        <v>0</v>
      </c>
      <c r="DR85" s="847">
        <v>0</v>
      </c>
      <c r="DS85" s="847">
        <v>0</v>
      </c>
      <c r="DT85" s="847">
        <v>0</v>
      </c>
      <c r="DU85" s="847">
        <v>0</v>
      </c>
      <c r="DV85" s="847">
        <v>0</v>
      </c>
      <c r="DW85" s="847">
        <v>0</v>
      </c>
      <c r="DY85" s="173"/>
      <c r="DZ85" s="173"/>
      <c r="EA85" s="173"/>
      <c r="EB85" s="174"/>
      <c r="EC85" s="175"/>
      <c r="ED85" s="174"/>
      <c r="EE85" s="174"/>
      <c r="EF85" s="174"/>
      <c r="EG85" s="174"/>
      <c r="EH85" s="174"/>
      <c r="EI85" s="174"/>
      <c r="EJ85" s="174"/>
      <c r="EK85" s="174"/>
      <c r="EL85" s="174"/>
      <c r="EM85" s="174"/>
      <c r="EN85" s="174"/>
      <c r="EO85" s="174"/>
      <c r="EP85" s="174"/>
      <c r="EQ85" s="174"/>
      <c r="ER85" s="174"/>
      <c r="ES85" s="174"/>
      <c r="ET85" s="174"/>
      <c r="EU85" s="174"/>
      <c r="EV85" s="174"/>
      <c r="EW85" s="174"/>
      <c r="EX85" s="174"/>
      <c r="EY85" s="174"/>
      <c r="EZ85" s="174"/>
      <c r="FA85" s="174"/>
      <c r="FB85" s="174"/>
      <c r="FC85" s="174"/>
      <c r="FD85" s="174"/>
      <c r="FE85" s="174"/>
      <c r="FF85" s="174"/>
      <c r="FG85" s="174"/>
      <c r="FH85" s="174"/>
      <c r="FI85" s="174"/>
      <c r="FJ85" s="174"/>
      <c r="FK85" s="174"/>
      <c r="FL85" s="174"/>
      <c r="FM85" s="174"/>
      <c r="FN85" s="174"/>
      <c r="FO85" s="174"/>
      <c r="FP85" s="174"/>
      <c r="FQ85" s="174"/>
      <c r="FR85" s="174"/>
      <c r="FS85" s="174"/>
      <c r="FT85" s="174"/>
      <c r="FU85" s="174"/>
      <c r="FV85" s="174"/>
      <c r="FW85" s="174"/>
      <c r="FX85" s="174"/>
      <c r="FY85" s="174"/>
      <c r="FZ85" s="174"/>
      <c r="GA85" s="174"/>
      <c r="GB85" s="174"/>
      <c r="GC85" s="174"/>
      <c r="GD85" s="174"/>
      <c r="GE85" s="174"/>
      <c r="GF85" s="174"/>
      <c r="GG85" s="174"/>
      <c r="GH85" s="174"/>
      <c r="GI85" s="174"/>
      <c r="GJ85" s="174"/>
      <c r="GK85" s="174"/>
      <c r="GL85" s="174"/>
      <c r="GM85" s="174"/>
      <c r="GN85" s="174"/>
      <c r="GO85" s="174"/>
      <c r="GP85" s="174"/>
      <c r="GQ85" s="174"/>
      <c r="GR85" s="174"/>
      <c r="GS85" s="174"/>
      <c r="GT85" s="174"/>
      <c r="GU85" s="174"/>
      <c r="GV85" s="174"/>
      <c r="GW85" s="174"/>
      <c r="GX85" s="174"/>
      <c r="GY85" s="174"/>
      <c r="GZ85" s="174"/>
      <c r="HA85" s="174"/>
      <c r="HB85" s="174"/>
      <c r="HC85" s="174"/>
      <c r="HD85" s="174"/>
      <c r="HE85" s="174"/>
      <c r="HF85" s="174"/>
      <c r="HG85" s="174"/>
      <c r="HH85" s="174"/>
      <c r="HI85" s="174"/>
      <c r="HJ85" s="174"/>
      <c r="HK85" s="174"/>
      <c r="HL85" s="174"/>
      <c r="HM85" s="174"/>
      <c r="HN85" s="174"/>
      <c r="HO85" s="174"/>
      <c r="HP85" s="174"/>
      <c r="HQ85" s="174"/>
      <c r="HR85" s="174"/>
      <c r="HS85" s="174"/>
      <c r="HT85" s="174"/>
      <c r="HU85" s="174"/>
      <c r="HV85" s="174"/>
      <c r="HW85" s="174"/>
      <c r="HX85" s="174"/>
      <c r="HY85" s="174"/>
      <c r="HZ85" s="176"/>
      <c r="IA85" s="176"/>
      <c r="IB85" s="176"/>
      <c r="IC85" s="176"/>
      <c r="ID85" s="176"/>
      <c r="IE85" s="176"/>
      <c r="IF85" s="176"/>
      <c r="IG85" s="176"/>
      <c r="IH85" s="176"/>
      <c r="II85" s="176"/>
      <c r="IJ85" s="176"/>
    </row>
    <row r="86" spans="1:244" ht="16.5" hidden="1">
      <c r="A86" s="846" t="s">
        <v>1060</v>
      </c>
      <c r="B86" s="846" t="s">
        <v>1382</v>
      </c>
      <c r="C86" s="846" t="s">
        <v>1171</v>
      </c>
      <c r="D86" s="847">
        <v>6</v>
      </c>
      <c r="E86" s="846" t="s">
        <v>1171</v>
      </c>
      <c r="F86" s="846" t="s">
        <v>97</v>
      </c>
      <c r="G86" s="851"/>
      <c r="H86" s="847">
        <v>7</v>
      </c>
      <c r="I86" s="780" t="str">
        <f t="shared" si="2"/>
        <v>IWT060207</v>
      </c>
      <c r="J86" s="847">
        <v>4473</v>
      </c>
      <c r="L86" s="846" t="s">
        <v>1060</v>
      </c>
      <c r="M86" s="846" t="s">
        <v>1382</v>
      </c>
      <c r="N86" s="846" t="s">
        <v>97</v>
      </c>
      <c r="O86" s="847">
        <v>7</v>
      </c>
      <c r="P86" s="780" t="str">
        <f t="shared" si="3"/>
        <v>IWT060207</v>
      </c>
      <c r="Q86" s="847">
        <v>1109</v>
      </c>
      <c r="R86" s="847">
        <v>2951</v>
      </c>
      <c r="S86" s="847">
        <v>4756</v>
      </c>
      <c r="T86" s="847">
        <v>6526</v>
      </c>
      <c r="U86" s="847">
        <v>8262</v>
      </c>
      <c r="V86" s="847">
        <v>0</v>
      </c>
      <c r="W86" s="847">
        <v>0</v>
      </c>
      <c r="X86" s="847">
        <v>0</v>
      </c>
      <c r="Y86" s="847">
        <v>0</v>
      </c>
      <c r="Z86" s="847">
        <v>0</v>
      </c>
      <c r="AA86" s="847">
        <v>0</v>
      </c>
      <c r="AB86" s="847">
        <v>0</v>
      </c>
      <c r="AC86" s="847">
        <v>0</v>
      </c>
      <c r="AD86" s="847">
        <v>0</v>
      </c>
      <c r="AE86" s="847">
        <v>0</v>
      </c>
      <c r="AF86" s="847">
        <v>0</v>
      </c>
      <c r="AG86" s="847">
        <v>0</v>
      </c>
      <c r="AH86" s="847">
        <v>0</v>
      </c>
      <c r="AI86" s="847">
        <v>0</v>
      </c>
      <c r="AJ86" s="847">
        <v>0</v>
      </c>
      <c r="AK86" s="847">
        <v>0</v>
      </c>
      <c r="AL86" s="847">
        <v>0</v>
      </c>
      <c r="AM86" s="847">
        <v>0</v>
      </c>
      <c r="AN86" s="847">
        <v>0</v>
      </c>
      <c r="AO86" s="847">
        <v>0</v>
      </c>
      <c r="AP86" s="847">
        <v>0</v>
      </c>
      <c r="AQ86" s="847">
        <v>0</v>
      </c>
      <c r="AR86" s="847">
        <v>0</v>
      </c>
      <c r="AS86" s="847">
        <v>0</v>
      </c>
      <c r="AT86" s="847">
        <v>0</v>
      </c>
      <c r="AU86" s="847">
        <v>0</v>
      </c>
      <c r="AV86" s="847">
        <v>0</v>
      </c>
      <c r="AW86" s="847">
        <v>0</v>
      </c>
      <c r="AX86" s="847">
        <v>0</v>
      </c>
      <c r="AY86" s="847">
        <v>0</v>
      </c>
      <c r="AZ86" s="847">
        <v>0</v>
      </c>
      <c r="BA86" s="847">
        <v>0</v>
      </c>
      <c r="BB86" s="847">
        <v>0</v>
      </c>
      <c r="BC86" s="847">
        <v>0</v>
      </c>
      <c r="BD86" s="847">
        <v>0</v>
      </c>
      <c r="BE86" s="847">
        <v>0</v>
      </c>
      <c r="BF86" s="847">
        <v>0</v>
      </c>
      <c r="BG86" s="847">
        <v>0</v>
      </c>
      <c r="BH86" s="847">
        <v>0</v>
      </c>
      <c r="BI86" s="847">
        <v>0</v>
      </c>
      <c r="BJ86" s="847">
        <v>0</v>
      </c>
      <c r="BK86" s="847">
        <v>0</v>
      </c>
      <c r="BL86" s="847">
        <v>0</v>
      </c>
      <c r="BM86" s="847">
        <v>0</v>
      </c>
      <c r="BN86" s="847">
        <v>0</v>
      </c>
      <c r="BO86" s="847">
        <v>0</v>
      </c>
      <c r="BP86" s="847">
        <v>0</v>
      </c>
      <c r="BQ86" s="847">
        <v>0</v>
      </c>
      <c r="BR86" s="847">
        <v>0</v>
      </c>
      <c r="BS86" s="847">
        <v>0</v>
      </c>
      <c r="BT86" s="847">
        <v>0</v>
      </c>
      <c r="BU86" s="847">
        <v>0</v>
      </c>
      <c r="BV86" s="847">
        <v>0</v>
      </c>
      <c r="BW86" s="847">
        <v>0</v>
      </c>
      <c r="BX86" s="847">
        <v>0</v>
      </c>
      <c r="BY86" s="847">
        <v>0</v>
      </c>
      <c r="BZ86" s="847">
        <v>0</v>
      </c>
      <c r="CA86" s="847">
        <v>0</v>
      </c>
      <c r="CB86" s="847">
        <v>0</v>
      </c>
      <c r="CC86" s="847">
        <v>0</v>
      </c>
      <c r="CD86" s="847">
        <v>0</v>
      </c>
      <c r="CE86" s="847">
        <v>0</v>
      </c>
      <c r="CF86" s="847">
        <v>0</v>
      </c>
      <c r="CG86" s="847">
        <v>0</v>
      </c>
      <c r="CH86" s="847">
        <v>0</v>
      </c>
      <c r="CI86" s="847">
        <v>0</v>
      </c>
      <c r="CJ86" s="847">
        <v>0</v>
      </c>
      <c r="CK86" s="847">
        <v>0</v>
      </c>
      <c r="CL86" s="847">
        <v>0</v>
      </c>
      <c r="CM86" s="847">
        <v>0</v>
      </c>
      <c r="CN86" s="847">
        <v>0</v>
      </c>
      <c r="CO86" s="847">
        <v>0</v>
      </c>
      <c r="CP86" s="847">
        <v>0</v>
      </c>
      <c r="CQ86" s="847">
        <v>0</v>
      </c>
      <c r="CR86" s="847">
        <v>0</v>
      </c>
      <c r="CS86" s="847">
        <v>0</v>
      </c>
      <c r="CT86" s="847">
        <v>0</v>
      </c>
      <c r="CU86" s="847">
        <v>0</v>
      </c>
      <c r="CV86" s="847">
        <v>0</v>
      </c>
      <c r="CW86" s="847">
        <v>0</v>
      </c>
      <c r="CX86" s="847">
        <v>0</v>
      </c>
      <c r="CY86" s="847">
        <v>0</v>
      </c>
      <c r="CZ86" s="847">
        <v>0</v>
      </c>
      <c r="DA86" s="847">
        <v>0</v>
      </c>
      <c r="DB86" s="847">
        <v>0</v>
      </c>
      <c r="DC86" s="847">
        <v>0</v>
      </c>
      <c r="DD86" s="847">
        <v>0</v>
      </c>
      <c r="DE86" s="847">
        <v>0</v>
      </c>
      <c r="DF86" s="847">
        <v>0</v>
      </c>
      <c r="DG86" s="847">
        <v>0</v>
      </c>
      <c r="DH86" s="847">
        <v>0</v>
      </c>
      <c r="DI86" s="847">
        <v>0</v>
      </c>
      <c r="DJ86" s="847">
        <v>0</v>
      </c>
      <c r="DK86" s="847">
        <v>0</v>
      </c>
      <c r="DL86" s="847">
        <v>0</v>
      </c>
      <c r="DM86" s="847">
        <v>0</v>
      </c>
      <c r="DN86" s="847">
        <v>0</v>
      </c>
      <c r="DO86" s="847">
        <v>0</v>
      </c>
      <c r="DP86" s="847">
        <v>0</v>
      </c>
      <c r="DQ86" s="847">
        <v>0</v>
      </c>
      <c r="DR86" s="847">
        <v>0</v>
      </c>
      <c r="DS86" s="847">
        <v>0</v>
      </c>
      <c r="DT86" s="847">
        <v>0</v>
      </c>
      <c r="DU86" s="847">
        <v>0</v>
      </c>
      <c r="DV86" s="847">
        <v>0</v>
      </c>
      <c r="DW86" s="847">
        <v>0</v>
      </c>
      <c r="DY86" s="173"/>
      <c r="DZ86" s="173"/>
      <c r="EA86" s="173"/>
      <c r="EB86" s="174"/>
      <c r="EC86" s="175"/>
      <c r="ED86" s="174"/>
      <c r="EE86" s="174"/>
      <c r="EF86" s="174"/>
      <c r="EG86" s="174"/>
      <c r="EH86" s="174"/>
      <c r="EI86" s="174"/>
      <c r="EJ86" s="174"/>
      <c r="EK86" s="174"/>
      <c r="EL86" s="174"/>
      <c r="EM86" s="174"/>
      <c r="EN86" s="174"/>
      <c r="EO86" s="174"/>
      <c r="EP86" s="174"/>
      <c r="EQ86" s="174"/>
      <c r="ER86" s="174"/>
      <c r="ES86" s="174"/>
      <c r="ET86" s="174"/>
      <c r="EU86" s="174"/>
      <c r="EV86" s="174"/>
      <c r="EW86" s="174"/>
      <c r="EX86" s="174"/>
      <c r="EY86" s="174"/>
      <c r="EZ86" s="174"/>
      <c r="FA86" s="174"/>
      <c r="FB86" s="174"/>
      <c r="FC86" s="174"/>
      <c r="FD86" s="174"/>
      <c r="FE86" s="174"/>
      <c r="FF86" s="174"/>
      <c r="FG86" s="174"/>
      <c r="FH86" s="174"/>
      <c r="FI86" s="174"/>
      <c r="FJ86" s="174"/>
      <c r="FK86" s="174"/>
      <c r="FL86" s="174"/>
      <c r="FM86" s="174"/>
      <c r="FN86" s="174"/>
      <c r="FO86" s="174"/>
      <c r="FP86" s="174"/>
      <c r="FQ86" s="174"/>
      <c r="FR86" s="174"/>
      <c r="FS86" s="174"/>
      <c r="FT86" s="174"/>
      <c r="FU86" s="174"/>
      <c r="FV86" s="174"/>
      <c r="FW86" s="174"/>
      <c r="FX86" s="174"/>
      <c r="FY86" s="174"/>
      <c r="FZ86" s="174"/>
      <c r="GA86" s="174"/>
      <c r="GB86" s="174"/>
      <c r="GC86" s="174"/>
      <c r="GD86" s="174"/>
      <c r="GE86" s="174"/>
      <c r="GF86" s="174"/>
      <c r="GG86" s="174"/>
      <c r="GH86" s="174"/>
      <c r="GI86" s="174"/>
      <c r="GJ86" s="174"/>
      <c r="GK86" s="174"/>
      <c r="GL86" s="174"/>
      <c r="GM86" s="174"/>
      <c r="GN86" s="174"/>
      <c r="GO86" s="174"/>
      <c r="GP86" s="174"/>
      <c r="GQ86" s="174"/>
      <c r="GR86" s="174"/>
      <c r="GS86" s="174"/>
      <c r="GT86" s="174"/>
      <c r="GU86" s="174"/>
      <c r="GV86" s="174"/>
      <c r="GW86" s="174"/>
      <c r="GX86" s="174"/>
      <c r="GY86" s="174"/>
      <c r="GZ86" s="174"/>
      <c r="HA86" s="174"/>
      <c r="HB86" s="174"/>
      <c r="HC86" s="174"/>
      <c r="HD86" s="174"/>
      <c r="HE86" s="174"/>
      <c r="HF86" s="174"/>
      <c r="HG86" s="174"/>
      <c r="HH86" s="174"/>
      <c r="HI86" s="174"/>
      <c r="HJ86" s="174"/>
      <c r="HK86" s="174"/>
      <c r="HL86" s="174"/>
      <c r="HM86" s="174"/>
      <c r="HN86" s="174"/>
      <c r="HO86" s="174"/>
      <c r="HP86" s="174"/>
      <c r="HQ86" s="174"/>
      <c r="HR86" s="174"/>
      <c r="HS86" s="174"/>
      <c r="HT86" s="174"/>
      <c r="HU86" s="174"/>
      <c r="HV86" s="174"/>
      <c r="HW86" s="174"/>
      <c r="HX86" s="174"/>
      <c r="HY86" s="176"/>
      <c r="HZ86" s="176"/>
      <c r="IA86" s="176"/>
      <c r="IB86" s="176"/>
      <c r="IC86" s="176"/>
      <c r="ID86" s="176"/>
      <c r="IE86" s="176"/>
      <c r="IF86" s="176"/>
      <c r="IG86" s="176"/>
      <c r="IH86" s="176"/>
      <c r="II86" s="176"/>
      <c r="IJ86" s="176"/>
    </row>
    <row r="87" spans="1:244" ht="16.5" hidden="1">
      <c r="A87" s="846" t="s">
        <v>1060</v>
      </c>
      <c r="B87" s="846" t="s">
        <v>1382</v>
      </c>
      <c r="C87" s="846" t="s">
        <v>1171</v>
      </c>
      <c r="D87" s="847">
        <v>6</v>
      </c>
      <c r="E87" s="846" t="s">
        <v>1171</v>
      </c>
      <c r="F87" s="846" t="s">
        <v>97</v>
      </c>
      <c r="G87" s="851"/>
      <c r="H87" s="847">
        <v>8</v>
      </c>
      <c r="I87" s="780" t="str">
        <f t="shared" si="2"/>
        <v>IWT060208</v>
      </c>
      <c r="J87" s="847">
        <v>4501</v>
      </c>
      <c r="L87" s="846" t="s">
        <v>1060</v>
      </c>
      <c r="M87" s="846" t="s">
        <v>1382</v>
      </c>
      <c r="N87" s="846" t="s">
        <v>97</v>
      </c>
      <c r="O87" s="847">
        <v>8</v>
      </c>
      <c r="P87" s="780" t="str">
        <f t="shared" si="3"/>
        <v>IWT060208</v>
      </c>
      <c r="Q87" s="847">
        <v>1109</v>
      </c>
      <c r="R87" s="847">
        <v>2951</v>
      </c>
      <c r="S87" s="847">
        <v>4756</v>
      </c>
      <c r="T87" s="847">
        <v>6526</v>
      </c>
      <c r="U87" s="847">
        <v>8262</v>
      </c>
      <c r="V87" s="847">
        <v>0</v>
      </c>
      <c r="W87" s="847">
        <v>0</v>
      </c>
      <c r="X87" s="847">
        <v>0</v>
      </c>
      <c r="Y87" s="847">
        <v>0</v>
      </c>
      <c r="Z87" s="847">
        <v>0</v>
      </c>
      <c r="AA87" s="847">
        <v>0</v>
      </c>
      <c r="AB87" s="847">
        <v>0</v>
      </c>
      <c r="AC87" s="847">
        <v>0</v>
      </c>
      <c r="AD87" s="847">
        <v>0</v>
      </c>
      <c r="AE87" s="847">
        <v>0</v>
      </c>
      <c r="AF87" s="847">
        <v>0</v>
      </c>
      <c r="AG87" s="847">
        <v>0</v>
      </c>
      <c r="AH87" s="847">
        <v>0</v>
      </c>
      <c r="AI87" s="847">
        <v>0</v>
      </c>
      <c r="AJ87" s="847">
        <v>0</v>
      </c>
      <c r="AK87" s="847">
        <v>0</v>
      </c>
      <c r="AL87" s="847">
        <v>0</v>
      </c>
      <c r="AM87" s="847">
        <v>0</v>
      </c>
      <c r="AN87" s="847">
        <v>0</v>
      </c>
      <c r="AO87" s="847">
        <v>0</v>
      </c>
      <c r="AP87" s="847">
        <v>0</v>
      </c>
      <c r="AQ87" s="847">
        <v>0</v>
      </c>
      <c r="AR87" s="847">
        <v>0</v>
      </c>
      <c r="AS87" s="847">
        <v>0</v>
      </c>
      <c r="AT87" s="847">
        <v>0</v>
      </c>
      <c r="AU87" s="847">
        <v>0</v>
      </c>
      <c r="AV87" s="847">
        <v>0</v>
      </c>
      <c r="AW87" s="847">
        <v>0</v>
      </c>
      <c r="AX87" s="847">
        <v>0</v>
      </c>
      <c r="AY87" s="847">
        <v>0</v>
      </c>
      <c r="AZ87" s="847">
        <v>0</v>
      </c>
      <c r="BA87" s="847">
        <v>0</v>
      </c>
      <c r="BB87" s="847">
        <v>0</v>
      </c>
      <c r="BC87" s="847">
        <v>0</v>
      </c>
      <c r="BD87" s="847">
        <v>0</v>
      </c>
      <c r="BE87" s="847">
        <v>0</v>
      </c>
      <c r="BF87" s="847">
        <v>0</v>
      </c>
      <c r="BG87" s="847">
        <v>0</v>
      </c>
      <c r="BH87" s="847">
        <v>0</v>
      </c>
      <c r="BI87" s="847">
        <v>0</v>
      </c>
      <c r="BJ87" s="847">
        <v>0</v>
      </c>
      <c r="BK87" s="847">
        <v>0</v>
      </c>
      <c r="BL87" s="847">
        <v>0</v>
      </c>
      <c r="BM87" s="847">
        <v>0</v>
      </c>
      <c r="BN87" s="847">
        <v>0</v>
      </c>
      <c r="BO87" s="847">
        <v>0</v>
      </c>
      <c r="BP87" s="847">
        <v>0</v>
      </c>
      <c r="BQ87" s="847">
        <v>0</v>
      </c>
      <c r="BR87" s="847">
        <v>0</v>
      </c>
      <c r="BS87" s="847">
        <v>0</v>
      </c>
      <c r="BT87" s="847">
        <v>0</v>
      </c>
      <c r="BU87" s="847">
        <v>0</v>
      </c>
      <c r="BV87" s="847">
        <v>0</v>
      </c>
      <c r="BW87" s="847">
        <v>0</v>
      </c>
      <c r="BX87" s="847">
        <v>0</v>
      </c>
      <c r="BY87" s="847">
        <v>0</v>
      </c>
      <c r="BZ87" s="847">
        <v>0</v>
      </c>
      <c r="CA87" s="847">
        <v>0</v>
      </c>
      <c r="CB87" s="847">
        <v>0</v>
      </c>
      <c r="CC87" s="847">
        <v>0</v>
      </c>
      <c r="CD87" s="847">
        <v>0</v>
      </c>
      <c r="CE87" s="847">
        <v>0</v>
      </c>
      <c r="CF87" s="847">
        <v>0</v>
      </c>
      <c r="CG87" s="847">
        <v>0</v>
      </c>
      <c r="CH87" s="847">
        <v>0</v>
      </c>
      <c r="CI87" s="847">
        <v>0</v>
      </c>
      <c r="CJ87" s="847">
        <v>0</v>
      </c>
      <c r="CK87" s="847">
        <v>0</v>
      </c>
      <c r="CL87" s="847">
        <v>0</v>
      </c>
      <c r="CM87" s="847">
        <v>0</v>
      </c>
      <c r="CN87" s="847">
        <v>0</v>
      </c>
      <c r="CO87" s="847">
        <v>0</v>
      </c>
      <c r="CP87" s="847">
        <v>0</v>
      </c>
      <c r="CQ87" s="847">
        <v>0</v>
      </c>
      <c r="CR87" s="847">
        <v>0</v>
      </c>
      <c r="CS87" s="847">
        <v>0</v>
      </c>
      <c r="CT87" s="847">
        <v>0</v>
      </c>
      <c r="CU87" s="847">
        <v>0</v>
      </c>
      <c r="CV87" s="847">
        <v>0</v>
      </c>
      <c r="CW87" s="847">
        <v>0</v>
      </c>
      <c r="CX87" s="847">
        <v>0</v>
      </c>
      <c r="CY87" s="847">
        <v>0</v>
      </c>
      <c r="CZ87" s="847">
        <v>0</v>
      </c>
      <c r="DA87" s="847">
        <v>0</v>
      </c>
      <c r="DB87" s="847">
        <v>0</v>
      </c>
      <c r="DC87" s="847">
        <v>0</v>
      </c>
      <c r="DD87" s="847">
        <v>0</v>
      </c>
      <c r="DE87" s="847">
        <v>0</v>
      </c>
      <c r="DF87" s="847">
        <v>0</v>
      </c>
      <c r="DG87" s="847">
        <v>0</v>
      </c>
      <c r="DH87" s="847">
        <v>0</v>
      </c>
      <c r="DI87" s="847">
        <v>0</v>
      </c>
      <c r="DJ87" s="847">
        <v>0</v>
      </c>
      <c r="DK87" s="847">
        <v>0</v>
      </c>
      <c r="DL87" s="847">
        <v>0</v>
      </c>
      <c r="DM87" s="847">
        <v>0</v>
      </c>
      <c r="DN87" s="847">
        <v>0</v>
      </c>
      <c r="DO87" s="847">
        <v>0</v>
      </c>
      <c r="DP87" s="847">
        <v>0</v>
      </c>
      <c r="DQ87" s="847">
        <v>0</v>
      </c>
      <c r="DR87" s="847">
        <v>0</v>
      </c>
      <c r="DS87" s="847">
        <v>0</v>
      </c>
      <c r="DT87" s="847">
        <v>0</v>
      </c>
      <c r="DU87" s="847">
        <v>0</v>
      </c>
      <c r="DV87" s="847">
        <v>0</v>
      </c>
      <c r="DW87" s="847">
        <v>0</v>
      </c>
      <c r="DY87" s="173"/>
      <c r="DZ87" s="173"/>
      <c r="EA87" s="173"/>
      <c r="EB87" s="174"/>
      <c r="EC87" s="175"/>
      <c r="ED87" s="174"/>
      <c r="EE87" s="174"/>
      <c r="EF87" s="174"/>
      <c r="EG87" s="174"/>
      <c r="EH87" s="174"/>
      <c r="EI87" s="174"/>
      <c r="EJ87" s="174"/>
      <c r="EK87" s="174"/>
      <c r="EL87" s="174"/>
      <c r="EM87" s="174"/>
      <c r="EN87" s="174"/>
      <c r="EO87" s="174"/>
      <c r="EP87" s="174"/>
      <c r="EQ87" s="174"/>
      <c r="ER87" s="174"/>
      <c r="ES87" s="174"/>
      <c r="ET87" s="174"/>
      <c r="EU87" s="174"/>
      <c r="EV87" s="174"/>
      <c r="EW87" s="174"/>
      <c r="EX87" s="174"/>
      <c r="EY87" s="174"/>
      <c r="EZ87" s="174"/>
      <c r="FA87" s="174"/>
      <c r="FB87" s="174"/>
      <c r="FC87" s="174"/>
      <c r="FD87" s="174"/>
      <c r="FE87" s="174"/>
      <c r="FF87" s="174"/>
      <c r="FG87" s="174"/>
      <c r="FH87" s="174"/>
      <c r="FI87" s="174"/>
      <c r="FJ87" s="174"/>
      <c r="FK87" s="174"/>
      <c r="FL87" s="174"/>
      <c r="FM87" s="174"/>
      <c r="FN87" s="174"/>
      <c r="FO87" s="174"/>
      <c r="FP87" s="174"/>
      <c r="FQ87" s="174"/>
      <c r="FR87" s="174"/>
      <c r="FS87" s="174"/>
      <c r="FT87" s="174"/>
      <c r="FU87" s="174"/>
      <c r="FV87" s="174"/>
      <c r="FW87" s="174"/>
      <c r="FX87" s="174"/>
      <c r="FY87" s="174"/>
      <c r="FZ87" s="174"/>
      <c r="GA87" s="174"/>
      <c r="GB87" s="174"/>
      <c r="GC87" s="174"/>
      <c r="GD87" s="174"/>
      <c r="GE87" s="174"/>
      <c r="GF87" s="174"/>
      <c r="GG87" s="174"/>
      <c r="GH87" s="174"/>
      <c r="GI87" s="174"/>
      <c r="GJ87" s="174"/>
      <c r="GK87" s="174"/>
      <c r="GL87" s="174"/>
      <c r="GM87" s="174"/>
      <c r="GN87" s="174"/>
      <c r="GO87" s="174"/>
      <c r="GP87" s="174"/>
      <c r="GQ87" s="174"/>
      <c r="GR87" s="174"/>
      <c r="GS87" s="174"/>
      <c r="GT87" s="174"/>
      <c r="GU87" s="174"/>
      <c r="GV87" s="174"/>
      <c r="GW87" s="174"/>
      <c r="GX87" s="174"/>
      <c r="GY87" s="174"/>
      <c r="GZ87" s="174"/>
      <c r="HA87" s="174"/>
      <c r="HB87" s="174"/>
      <c r="HC87" s="174"/>
      <c r="HD87" s="174"/>
      <c r="HE87" s="174"/>
      <c r="HF87" s="174"/>
      <c r="HG87" s="174"/>
      <c r="HH87" s="174"/>
      <c r="HI87" s="174"/>
      <c r="HJ87" s="174"/>
      <c r="HK87" s="174"/>
      <c r="HL87" s="174"/>
      <c r="HM87" s="174"/>
      <c r="HN87" s="174"/>
      <c r="HO87" s="174"/>
      <c r="HP87" s="174"/>
      <c r="HQ87" s="174"/>
      <c r="HR87" s="174"/>
      <c r="HS87" s="174"/>
      <c r="HT87" s="174"/>
      <c r="HU87" s="174"/>
      <c r="HV87" s="174"/>
      <c r="HW87" s="174"/>
      <c r="HX87" s="176"/>
      <c r="HY87" s="176"/>
      <c r="HZ87" s="176"/>
      <c r="IA87" s="176"/>
      <c r="IB87" s="176"/>
      <c r="IC87" s="176"/>
      <c r="ID87" s="176"/>
      <c r="IE87" s="176"/>
      <c r="IF87" s="176"/>
      <c r="IG87" s="176"/>
      <c r="IH87" s="176"/>
      <c r="II87" s="176"/>
      <c r="IJ87" s="176"/>
    </row>
    <row r="88" spans="1:244" ht="16.5" hidden="1">
      <c r="A88" s="846" t="s">
        <v>1060</v>
      </c>
      <c r="B88" s="846" t="s">
        <v>1382</v>
      </c>
      <c r="C88" s="846" t="s">
        <v>1171</v>
      </c>
      <c r="D88" s="847">
        <v>6</v>
      </c>
      <c r="E88" s="846" t="s">
        <v>1171</v>
      </c>
      <c r="F88" s="846" t="s">
        <v>97</v>
      </c>
      <c r="G88" s="851"/>
      <c r="H88" s="847">
        <v>9</v>
      </c>
      <c r="I88" s="780" t="str">
        <f t="shared" si="2"/>
        <v>IWT060209</v>
      </c>
      <c r="J88" s="847">
        <v>4530</v>
      </c>
      <c r="L88" s="846" t="s">
        <v>1060</v>
      </c>
      <c r="M88" s="846" t="s">
        <v>1382</v>
      </c>
      <c r="N88" s="846" t="s">
        <v>97</v>
      </c>
      <c r="O88" s="847">
        <v>9</v>
      </c>
      <c r="P88" s="780" t="str">
        <f t="shared" si="3"/>
        <v>IWT060209</v>
      </c>
      <c r="Q88" s="847">
        <v>1109</v>
      </c>
      <c r="R88" s="847">
        <v>2951</v>
      </c>
      <c r="S88" s="847">
        <v>4757</v>
      </c>
      <c r="T88" s="847">
        <v>6526</v>
      </c>
      <c r="U88" s="847">
        <v>8262</v>
      </c>
      <c r="V88" s="847">
        <v>0</v>
      </c>
      <c r="W88" s="847">
        <v>0</v>
      </c>
      <c r="X88" s="847">
        <v>0</v>
      </c>
      <c r="Y88" s="847">
        <v>0</v>
      </c>
      <c r="Z88" s="847">
        <v>0</v>
      </c>
      <c r="AA88" s="847">
        <v>0</v>
      </c>
      <c r="AB88" s="847">
        <v>0</v>
      </c>
      <c r="AC88" s="847">
        <v>0</v>
      </c>
      <c r="AD88" s="847">
        <v>0</v>
      </c>
      <c r="AE88" s="847">
        <v>0</v>
      </c>
      <c r="AF88" s="847">
        <v>0</v>
      </c>
      <c r="AG88" s="847">
        <v>0</v>
      </c>
      <c r="AH88" s="847">
        <v>0</v>
      </c>
      <c r="AI88" s="847">
        <v>0</v>
      </c>
      <c r="AJ88" s="847">
        <v>0</v>
      </c>
      <c r="AK88" s="847">
        <v>0</v>
      </c>
      <c r="AL88" s="847">
        <v>0</v>
      </c>
      <c r="AM88" s="847">
        <v>0</v>
      </c>
      <c r="AN88" s="847">
        <v>0</v>
      </c>
      <c r="AO88" s="847">
        <v>0</v>
      </c>
      <c r="AP88" s="847">
        <v>0</v>
      </c>
      <c r="AQ88" s="847">
        <v>0</v>
      </c>
      <c r="AR88" s="847">
        <v>0</v>
      </c>
      <c r="AS88" s="847">
        <v>0</v>
      </c>
      <c r="AT88" s="847">
        <v>0</v>
      </c>
      <c r="AU88" s="847">
        <v>0</v>
      </c>
      <c r="AV88" s="847">
        <v>0</v>
      </c>
      <c r="AW88" s="847">
        <v>0</v>
      </c>
      <c r="AX88" s="847">
        <v>0</v>
      </c>
      <c r="AY88" s="847">
        <v>0</v>
      </c>
      <c r="AZ88" s="847">
        <v>0</v>
      </c>
      <c r="BA88" s="847">
        <v>0</v>
      </c>
      <c r="BB88" s="847">
        <v>0</v>
      </c>
      <c r="BC88" s="847">
        <v>0</v>
      </c>
      <c r="BD88" s="847">
        <v>0</v>
      </c>
      <c r="BE88" s="847">
        <v>0</v>
      </c>
      <c r="BF88" s="847">
        <v>0</v>
      </c>
      <c r="BG88" s="847">
        <v>0</v>
      </c>
      <c r="BH88" s="847">
        <v>0</v>
      </c>
      <c r="BI88" s="847">
        <v>0</v>
      </c>
      <c r="BJ88" s="847">
        <v>0</v>
      </c>
      <c r="BK88" s="847">
        <v>0</v>
      </c>
      <c r="BL88" s="847">
        <v>0</v>
      </c>
      <c r="BM88" s="847">
        <v>0</v>
      </c>
      <c r="BN88" s="847">
        <v>0</v>
      </c>
      <c r="BO88" s="847">
        <v>0</v>
      </c>
      <c r="BP88" s="847">
        <v>0</v>
      </c>
      <c r="BQ88" s="847">
        <v>0</v>
      </c>
      <c r="BR88" s="847">
        <v>0</v>
      </c>
      <c r="BS88" s="847">
        <v>0</v>
      </c>
      <c r="BT88" s="847">
        <v>0</v>
      </c>
      <c r="BU88" s="847">
        <v>0</v>
      </c>
      <c r="BV88" s="847">
        <v>0</v>
      </c>
      <c r="BW88" s="847">
        <v>0</v>
      </c>
      <c r="BX88" s="847">
        <v>0</v>
      </c>
      <c r="BY88" s="847">
        <v>0</v>
      </c>
      <c r="BZ88" s="847">
        <v>0</v>
      </c>
      <c r="CA88" s="847">
        <v>0</v>
      </c>
      <c r="CB88" s="847">
        <v>0</v>
      </c>
      <c r="CC88" s="847">
        <v>0</v>
      </c>
      <c r="CD88" s="847">
        <v>0</v>
      </c>
      <c r="CE88" s="847">
        <v>0</v>
      </c>
      <c r="CF88" s="847">
        <v>0</v>
      </c>
      <c r="CG88" s="847">
        <v>0</v>
      </c>
      <c r="CH88" s="847">
        <v>0</v>
      </c>
      <c r="CI88" s="847">
        <v>0</v>
      </c>
      <c r="CJ88" s="847">
        <v>0</v>
      </c>
      <c r="CK88" s="847">
        <v>0</v>
      </c>
      <c r="CL88" s="847">
        <v>0</v>
      </c>
      <c r="CM88" s="847">
        <v>0</v>
      </c>
      <c r="CN88" s="847">
        <v>0</v>
      </c>
      <c r="CO88" s="847">
        <v>0</v>
      </c>
      <c r="CP88" s="847">
        <v>0</v>
      </c>
      <c r="CQ88" s="847">
        <v>0</v>
      </c>
      <c r="CR88" s="847">
        <v>0</v>
      </c>
      <c r="CS88" s="847">
        <v>0</v>
      </c>
      <c r="CT88" s="847">
        <v>0</v>
      </c>
      <c r="CU88" s="847">
        <v>0</v>
      </c>
      <c r="CV88" s="847">
        <v>0</v>
      </c>
      <c r="CW88" s="847">
        <v>0</v>
      </c>
      <c r="CX88" s="847">
        <v>0</v>
      </c>
      <c r="CY88" s="847">
        <v>0</v>
      </c>
      <c r="CZ88" s="847">
        <v>0</v>
      </c>
      <c r="DA88" s="847">
        <v>0</v>
      </c>
      <c r="DB88" s="847">
        <v>0</v>
      </c>
      <c r="DC88" s="847">
        <v>0</v>
      </c>
      <c r="DD88" s="847">
        <v>0</v>
      </c>
      <c r="DE88" s="847">
        <v>0</v>
      </c>
      <c r="DF88" s="847">
        <v>0</v>
      </c>
      <c r="DG88" s="847">
        <v>0</v>
      </c>
      <c r="DH88" s="847">
        <v>0</v>
      </c>
      <c r="DI88" s="847">
        <v>0</v>
      </c>
      <c r="DJ88" s="847">
        <v>0</v>
      </c>
      <c r="DK88" s="847">
        <v>0</v>
      </c>
      <c r="DL88" s="847">
        <v>0</v>
      </c>
      <c r="DM88" s="847">
        <v>0</v>
      </c>
      <c r="DN88" s="847">
        <v>0</v>
      </c>
      <c r="DO88" s="847">
        <v>0</v>
      </c>
      <c r="DP88" s="847">
        <v>0</v>
      </c>
      <c r="DQ88" s="847">
        <v>0</v>
      </c>
      <c r="DR88" s="847">
        <v>0</v>
      </c>
      <c r="DS88" s="847">
        <v>0</v>
      </c>
      <c r="DT88" s="847">
        <v>0</v>
      </c>
      <c r="DU88" s="847">
        <v>0</v>
      </c>
      <c r="DV88" s="847">
        <v>0</v>
      </c>
      <c r="DW88" s="847">
        <v>0</v>
      </c>
      <c r="DY88" s="173"/>
      <c r="DZ88" s="173"/>
      <c r="EA88" s="173"/>
      <c r="EB88" s="174"/>
      <c r="EC88" s="175"/>
      <c r="ED88" s="174"/>
      <c r="EE88" s="174"/>
      <c r="EF88" s="174"/>
      <c r="EG88" s="174"/>
      <c r="EH88" s="174"/>
      <c r="EI88" s="174"/>
      <c r="EJ88" s="174"/>
      <c r="EK88" s="174"/>
      <c r="EL88" s="174"/>
      <c r="EM88" s="174"/>
      <c r="EN88" s="174"/>
      <c r="EO88" s="174"/>
      <c r="EP88" s="174"/>
      <c r="EQ88" s="174"/>
      <c r="ER88" s="174"/>
      <c r="ES88" s="174"/>
      <c r="ET88" s="174"/>
      <c r="EU88" s="174"/>
      <c r="EV88" s="174"/>
      <c r="EW88" s="174"/>
      <c r="EX88" s="174"/>
      <c r="EY88" s="174"/>
      <c r="EZ88" s="174"/>
      <c r="FA88" s="174"/>
      <c r="FB88" s="174"/>
      <c r="FC88" s="174"/>
      <c r="FD88" s="174"/>
      <c r="FE88" s="174"/>
      <c r="FF88" s="174"/>
      <c r="FG88" s="174"/>
      <c r="FH88" s="174"/>
      <c r="FI88" s="174"/>
      <c r="FJ88" s="174"/>
      <c r="FK88" s="174"/>
      <c r="FL88" s="174"/>
      <c r="FM88" s="174"/>
      <c r="FN88" s="174"/>
      <c r="FO88" s="174"/>
      <c r="FP88" s="174"/>
      <c r="FQ88" s="174"/>
      <c r="FR88" s="174"/>
      <c r="FS88" s="174"/>
      <c r="FT88" s="174"/>
      <c r="FU88" s="174"/>
      <c r="FV88" s="174"/>
      <c r="FW88" s="174"/>
      <c r="FX88" s="174"/>
      <c r="FY88" s="174"/>
      <c r="FZ88" s="174"/>
      <c r="GA88" s="174"/>
      <c r="GB88" s="174"/>
      <c r="GC88" s="174"/>
      <c r="GD88" s="174"/>
      <c r="GE88" s="174"/>
      <c r="GF88" s="174"/>
      <c r="GG88" s="174"/>
      <c r="GH88" s="174"/>
      <c r="GI88" s="174"/>
      <c r="GJ88" s="174"/>
      <c r="GK88" s="174"/>
      <c r="GL88" s="174"/>
      <c r="GM88" s="174"/>
      <c r="GN88" s="174"/>
      <c r="GO88" s="174"/>
      <c r="GP88" s="174"/>
      <c r="GQ88" s="174"/>
      <c r="GR88" s="174"/>
      <c r="GS88" s="174"/>
      <c r="GT88" s="174"/>
      <c r="GU88" s="174"/>
      <c r="GV88" s="174"/>
      <c r="GW88" s="174"/>
      <c r="GX88" s="174"/>
      <c r="GY88" s="174"/>
      <c r="GZ88" s="174"/>
      <c r="HA88" s="174"/>
      <c r="HB88" s="174"/>
      <c r="HC88" s="174"/>
      <c r="HD88" s="174"/>
      <c r="HE88" s="174"/>
      <c r="HF88" s="174"/>
      <c r="HG88" s="174"/>
      <c r="HH88" s="174"/>
      <c r="HI88" s="174"/>
      <c r="HJ88" s="174"/>
      <c r="HK88" s="174"/>
      <c r="HL88" s="174"/>
      <c r="HM88" s="174"/>
      <c r="HN88" s="174"/>
      <c r="HO88" s="174"/>
      <c r="HP88" s="174"/>
      <c r="HQ88" s="174"/>
      <c r="HR88" s="174"/>
      <c r="HS88" s="174"/>
      <c r="HT88" s="174"/>
      <c r="HU88" s="174"/>
      <c r="HV88" s="174"/>
      <c r="HW88" s="176"/>
      <c r="HX88" s="176"/>
      <c r="HY88" s="176"/>
      <c r="HZ88" s="176"/>
      <c r="IA88" s="176"/>
      <c r="IB88" s="176"/>
      <c r="IC88" s="176"/>
      <c r="ID88" s="176"/>
      <c r="IE88" s="176"/>
      <c r="IF88" s="176"/>
      <c r="IG88" s="176"/>
      <c r="IH88" s="176"/>
      <c r="II88" s="176"/>
      <c r="IJ88" s="176"/>
    </row>
    <row r="89" spans="1:244" ht="16.5" hidden="1">
      <c r="A89" s="846" t="s">
        <v>1060</v>
      </c>
      <c r="B89" s="846" t="s">
        <v>1382</v>
      </c>
      <c r="C89" s="846" t="s">
        <v>1171</v>
      </c>
      <c r="D89" s="847">
        <v>6</v>
      </c>
      <c r="E89" s="846" t="s">
        <v>1171</v>
      </c>
      <c r="F89" s="846" t="s">
        <v>97</v>
      </c>
      <c r="G89" s="851"/>
      <c r="H89" s="847">
        <v>10</v>
      </c>
      <c r="I89" s="780" t="str">
        <f t="shared" si="2"/>
        <v>IWT060210</v>
      </c>
      <c r="J89" s="847">
        <v>4558</v>
      </c>
      <c r="L89" s="846" t="s">
        <v>1060</v>
      </c>
      <c r="M89" s="846" t="s">
        <v>1382</v>
      </c>
      <c r="N89" s="846" t="s">
        <v>97</v>
      </c>
      <c r="O89" s="847">
        <v>10</v>
      </c>
      <c r="P89" s="780" t="str">
        <f t="shared" si="3"/>
        <v>IWT060210</v>
      </c>
      <c r="Q89" s="847">
        <v>1110</v>
      </c>
      <c r="R89" s="847">
        <v>2951</v>
      </c>
      <c r="S89" s="847">
        <v>4757</v>
      </c>
      <c r="T89" s="847">
        <v>6527</v>
      </c>
      <c r="U89" s="847">
        <v>8262</v>
      </c>
      <c r="V89" s="847">
        <v>0</v>
      </c>
      <c r="W89" s="847">
        <v>0</v>
      </c>
      <c r="X89" s="847">
        <v>0</v>
      </c>
      <c r="Y89" s="847">
        <v>0</v>
      </c>
      <c r="Z89" s="847">
        <v>0</v>
      </c>
      <c r="AA89" s="847">
        <v>0</v>
      </c>
      <c r="AB89" s="847">
        <v>0</v>
      </c>
      <c r="AC89" s="847">
        <v>0</v>
      </c>
      <c r="AD89" s="847">
        <v>0</v>
      </c>
      <c r="AE89" s="847">
        <v>0</v>
      </c>
      <c r="AF89" s="847">
        <v>0</v>
      </c>
      <c r="AG89" s="847">
        <v>0</v>
      </c>
      <c r="AH89" s="847">
        <v>0</v>
      </c>
      <c r="AI89" s="847">
        <v>0</v>
      </c>
      <c r="AJ89" s="847">
        <v>0</v>
      </c>
      <c r="AK89" s="847">
        <v>0</v>
      </c>
      <c r="AL89" s="847">
        <v>0</v>
      </c>
      <c r="AM89" s="847">
        <v>0</v>
      </c>
      <c r="AN89" s="847">
        <v>0</v>
      </c>
      <c r="AO89" s="847">
        <v>0</v>
      </c>
      <c r="AP89" s="847">
        <v>0</v>
      </c>
      <c r="AQ89" s="847">
        <v>0</v>
      </c>
      <c r="AR89" s="847">
        <v>0</v>
      </c>
      <c r="AS89" s="847">
        <v>0</v>
      </c>
      <c r="AT89" s="847">
        <v>0</v>
      </c>
      <c r="AU89" s="847">
        <v>0</v>
      </c>
      <c r="AV89" s="847">
        <v>0</v>
      </c>
      <c r="AW89" s="847">
        <v>0</v>
      </c>
      <c r="AX89" s="847">
        <v>0</v>
      </c>
      <c r="AY89" s="847">
        <v>0</v>
      </c>
      <c r="AZ89" s="847">
        <v>0</v>
      </c>
      <c r="BA89" s="847">
        <v>0</v>
      </c>
      <c r="BB89" s="847">
        <v>0</v>
      </c>
      <c r="BC89" s="847">
        <v>0</v>
      </c>
      <c r="BD89" s="847">
        <v>0</v>
      </c>
      <c r="BE89" s="847">
        <v>0</v>
      </c>
      <c r="BF89" s="847">
        <v>0</v>
      </c>
      <c r="BG89" s="847">
        <v>0</v>
      </c>
      <c r="BH89" s="847">
        <v>0</v>
      </c>
      <c r="BI89" s="847">
        <v>0</v>
      </c>
      <c r="BJ89" s="847">
        <v>0</v>
      </c>
      <c r="BK89" s="847">
        <v>0</v>
      </c>
      <c r="BL89" s="847">
        <v>0</v>
      </c>
      <c r="BM89" s="847">
        <v>0</v>
      </c>
      <c r="BN89" s="847">
        <v>0</v>
      </c>
      <c r="BO89" s="847">
        <v>0</v>
      </c>
      <c r="BP89" s="847">
        <v>0</v>
      </c>
      <c r="BQ89" s="847">
        <v>0</v>
      </c>
      <c r="BR89" s="847">
        <v>0</v>
      </c>
      <c r="BS89" s="847">
        <v>0</v>
      </c>
      <c r="BT89" s="847">
        <v>0</v>
      </c>
      <c r="BU89" s="847">
        <v>0</v>
      </c>
      <c r="BV89" s="847">
        <v>0</v>
      </c>
      <c r="BW89" s="847">
        <v>0</v>
      </c>
      <c r="BX89" s="847">
        <v>0</v>
      </c>
      <c r="BY89" s="847">
        <v>0</v>
      </c>
      <c r="BZ89" s="847">
        <v>0</v>
      </c>
      <c r="CA89" s="847">
        <v>0</v>
      </c>
      <c r="CB89" s="847">
        <v>0</v>
      </c>
      <c r="CC89" s="847">
        <v>0</v>
      </c>
      <c r="CD89" s="847">
        <v>0</v>
      </c>
      <c r="CE89" s="847">
        <v>0</v>
      </c>
      <c r="CF89" s="847">
        <v>0</v>
      </c>
      <c r="CG89" s="847">
        <v>0</v>
      </c>
      <c r="CH89" s="847">
        <v>0</v>
      </c>
      <c r="CI89" s="847">
        <v>0</v>
      </c>
      <c r="CJ89" s="847">
        <v>0</v>
      </c>
      <c r="CK89" s="847">
        <v>0</v>
      </c>
      <c r="CL89" s="847">
        <v>0</v>
      </c>
      <c r="CM89" s="847">
        <v>0</v>
      </c>
      <c r="CN89" s="847">
        <v>0</v>
      </c>
      <c r="CO89" s="847">
        <v>0</v>
      </c>
      <c r="CP89" s="847">
        <v>0</v>
      </c>
      <c r="CQ89" s="847">
        <v>0</v>
      </c>
      <c r="CR89" s="847">
        <v>0</v>
      </c>
      <c r="CS89" s="847">
        <v>0</v>
      </c>
      <c r="CT89" s="847">
        <v>0</v>
      </c>
      <c r="CU89" s="847">
        <v>0</v>
      </c>
      <c r="CV89" s="847">
        <v>0</v>
      </c>
      <c r="CW89" s="847">
        <v>0</v>
      </c>
      <c r="CX89" s="847">
        <v>0</v>
      </c>
      <c r="CY89" s="847">
        <v>0</v>
      </c>
      <c r="CZ89" s="847">
        <v>0</v>
      </c>
      <c r="DA89" s="847">
        <v>0</v>
      </c>
      <c r="DB89" s="847">
        <v>0</v>
      </c>
      <c r="DC89" s="847">
        <v>0</v>
      </c>
      <c r="DD89" s="847">
        <v>0</v>
      </c>
      <c r="DE89" s="847">
        <v>0</v>
      </c>
      <c r="DF89" s="847">
        <v>0</v>
      </c>
      <c r="DG89" s="847">
        <v>0</v>
      </c>
      <c r="DH89" s="847">
        <v>0</v>
      </c>
      <c r="DI89" s="847">
        <v>0</v>
      </c>
      <c r="DJ89" s="847">
        <v>0</v>
      </c>
      <c r="DK89" s="847">
        <v>0</v>
      </c>
      <c r="DL89" s="847">
        <v>0</v>
      </c>
      <c r="DM89" s="847">
        <v>0</v>
      </c>
      <c r="DN89" s="847">
        <v>0</v>
      </c>
      <c r="DO89" s="847">
        <v>0</v>
      </c>
      <c r="DP89" s="847">
        <v>0</v>
      </c>
      <c r="DQ89" s="847">
        <v>0</v>
      </c>
      <c r="DR89" s="847">
        <v>0</v>
      </c>
      <c r="DS89" s="847">
        <v>0</v>
      </c>
      <c r="DT89" s="847">
        <v>0</v>
      </c>
      <c r="DU89" s="847">
        <v>0</v>
      </c>
      <c r="DV89" s="847">
        <v>0</v>
      </c>
      <c r="DW89" s="847">
        <v>0</v>
      </c>
      <c r="DY89" s="173"/>
      <c r="DZ89" s="173"/>
      <c r="EA89" s="173"/>
      <c r="EB89" s="174"/>
      <c r="EC89" s="175"/>
      <c r="ED89" s="174"/>
      <c r="EE89" s="174"/>
      <c r="EF89" s="174"/>
      <c r="EG89" s="174"/>
      <c r="EH89" s="174"/>
      <c r="EI89" s="174"/>
      <c r="EJ89" s="174"/>
      <c r="EK89" s="174"/>
      <c r="EL89" s="174"/>
      <c r="EM89" s="174"/>
      <c r="EN89" s="174"/>
      <c r="EO89" s="174"/>
      <c r="EP89" s="174"/>
      <c r="EQ89" s="174"/>
      <c r="ER89" s="174"/>
      <c r="ES89" s="174"/>
      <c r="ET89" s="174"/>
      <c r="EU89" s="174"/>
      <c r="EV89" s="174"/>
      <c r="EW89" s="174"/>
      <c r="EX89" s="174"/>
      <c r="EY89" s="174"/>
      <c r="EZ89" s="174"/>
      <c r="FA89" s="174"/>
      <c r="FB89" s="174"/>
      <c r="FC89" s="174"/>
      <c r="FD89" s="174"/>
      <c r="FE89" s="174"/>
      <c r="FF89" s="174"/>
      <c r="FG89" s="174"/>
      <c r="FH89" s="174"/>
      <c r="FI89" s="174"/>
      <c r="FJ89" s="174"/>
      <c r="FK89" s="174"/>
      <c r="FL89" s="174"/>
      <c r="FM89" s="174"/>
      <c r="FN89" s="174"/>
      <c r="FO89" s="174"/>
      <c r="FP89" s="174"/>
      <c r="FQ89" s="174"/>
      <c r="FR89" s="174"/>
      <c r="FS89" s="174"/>
      <c r="FT89" s="174"/>
      <c r="FU89" s="174"/>
      <c r="FV89" s="174"/>
      <c r="FW89" s="174"/>
      <c r="FX89" s="174"/>
      <c r="FY89" s="174"/>
      <c r="FZ89" s="174"/>
      <c r="GA89" s="174"/>
      <c r="GB89" s="174"/>
      <c r="GC89" s="174"/>
      <c r="GD89" s="174"/>
      <c r="GE89" s="174"/>
      <c r="GF89" s="174"/>
      <c r="GG89" s="174"/>
      <c r="GH89" s="174"/>
      <c r="GI89" s="174"/>
      <c r="GJ89" s="174"/>
      <c r="GK89" s="174"/>
      <c r="GL89" s="174"/>
      <c r="GM89" s="174"/>
      <c r="GN89" s="174"/>
      <c r="GO89" s="174"/>
      <c r="GP89" s="174"/>
      <c r="GQ89" s="174"/>
      <c r="GR89" s="174"/>
      <c r="GS89" s="174"/>
      <c r="GT89" s="174"/>
      <c r="GU89" s="174"/>
      <c r="GV89" s="174"/>
      <c r="GW89" s="174"/>
      <c r="GX89" s="174"/>
      <c r="GY89" s="174"/>
      <c r="GZ89" s="174"/>
      <c r="HA89" s="174"/>
      <c r="HB89" s="174"/>
      <c r="HC89" s="174"/>
      <c r="HD89" s="174"/>
      <c r="HE89" s="174"/>
      <c r="HF89" s="174"/>
      <c r="HG89" s="174"/>
      <c r="HH89" s="174"/>
      <c r="HI89" s="174"/>
      <c r="HJ89" s="174"/>
      <c r="HK89" s="174"/>
      <c r="HL89" s="174"/>
      <c r="HM89" s="174"/>
      <c r="HN89" s="174"/>
      <c r="HO89" s="174"/>
      <c r="HP89" s="174"/>
      <c r="HQ89" s="174"/>
      <c r="HR89" s="174"/>
      <c r="HS89" s="174"/>
      <c r="HT89" s="174"/>
      <c r="HU89" s="174"/>
      <c r="HV89" s="176"/>
      <c r="HW89" s="176"/>
      <c r="HX89" s="176"/>
      <c r="HY89" s="176"/>
      <c r="HZ89" s="176"/>
      <c r="IA89" s="176"/>
      <c r="IB89" s="176"/>
      <c r="IC89" s="176"/>
      <c r="ID89" s="176"/>
      <c r="IE89" s="176"/>
      <c r="IF89" s="176"/>
      <c r="IG89" s="176"/>
      <c r="IH89" s="176"/>
      <c r="II89" s="176"/>
      <c r="IJ89" s="176"/>
    </row>
    <row r="90" spans="1:244" ht="16.5" hidden="1">
      <c r="A90" s="846" t="s">
        <v>1060</v>
      </c>
      <c r="B90" s="846" t="s">
        <v>1382</v>
      </c>
      <c r="C90" s="846" t="s">
        <v>1171</v>
      </c>
      <c r="D90" s="847">
        <v>6</v>
      </c>
      <c r="E90" s="846" t="s">
        <v>1171</v>
      </c>
      <c r="F90" s="846" t="s">
        <v>97</v>
      </c>
      <c r="G90" s="851"/>
      <c r="H90" s="847">
        <v>11</v>
      </c>
      <c r="I90" s="780" t="str">
        <f t="shared" si="2"/>
        <v>IWT060211</v>
      </c>
      <c r="J90" s="847">
        <v>4585</v>
      </c>
      <c r="L90" s="846" t="s">
        <v>1060</v>
      </c>
      <c r="M90" s="846" t="s">
        <v>1382</v>
      </c>
      <c r="N90" s="846" t="s">
        <v>97</v>
      </c>
      <c r="O90" s="847">
        <v>11</v>
      </c>
      <c r="P90" s="780" t="str">
        <f t="shared" si="3"/>
        <v>IWT060211</v>
      </c>
      <c r="Q90" s="847">
        <v>1110</v>
      </c>
      <c r="R90" s="847">
        <v>2951</v>
      </c>
      <c r="S90" s="847">
        <v>4757</v>
      </c>
      <c r="T90" s="847">
        <v>6527</v>
      </c>
      <c r="U90" s="847">
        <v>8262</v>
      </c>
      <c r="V90" s="847">
        <v>0</v>
      </c>
      <c r="W90" s="847">
        <v>0</v>
      </c>
      <c r="X90" s="847">
        <v>0</v>
      </c>
      <c r="Y90" s="847">
        <v>0</v>
      </c>
      <c r="Z90" s="847">
        <v>0</v>
      </c>
      <c r="AA90" s="847">
        <v>0</v>
      </c>
      <c r="AB90" s="847">
        <v>0</v>
      </c>
      <c r="AC90" s="847">
        <v>0</v>
      </c>
      <c r="AD90" s="847">
        <v>0</v>
      </c>
      <c r="AE90" s="847">
        <v>0</v>
      </c>
      <c r="AF90" s="847">
        <v>0</v>
      </c>
      <c r="AG90" s="847">
        <v>0</v>
      </c>
      <c r="AH90" s="847">
        <v>0</v>
      </c>
      <c r="AI90" s="847">
        <v>0</v>
      </c>
      <c r="AJ90" s="847">
        <v>0</v>
      </c>
      <c r="AK90" s="847">
        <v>0</v>
      </c>
      <c r="AL90" s="847">
        <v>0</v>
      </c>
      <c r="AM90" s="847">
        <v>0</v>
      </c>
      <c r="AN90" s="847">
        <v>0</v>
      </c>
      <c r="AO90" s="847">
        <v>0</v>
      </c>
      <c r="AP90" s="847">
        <v>0</v>
      </c>
      <c r="AQ90" s="847">
        <v>0</v>
      </c>
      <c r="AR90" s="847">
        <v>0</v>
      </c>
      <c r="AS90" s="847">
        <v>0</v>
      </c>
      <c r="AT90" s="847">
        <v>0</v>
      </c>
      <c r="AU90" s="847">
        <v>0</v>
      </c>
      <c r="AV90" s="847">
        <v>0</v>
      </c>
      <c r="AW90" s="847">
        <v>0</v>
      </c>
      <c r="AX90" s="847">
        <v>0</v>
      </c>
      <c r="AY90" s="847">
        <v>0</v>
      </c>
      <c r="AZ90" s="847">
        <v>0</v>
      </c>
      <c r="BA90" s="847">
        <v>0</v>
      </c>
      <c r="BB90" s="847">
        <v>0</v>
      </c>
      <c r="BC90" s="847">
        <v>0</v>
      </c>
      <c r="BD90" s="847">
        <v>0</v>
      </c>
      <c r="BE90" s="847">
        <v>0</v>
      </c>
      <c r="BF90" s="847">
        <v>0</v>
      </c>
      <c r="BG90" s="847">
        <v>0</v>
      </c>
      <c r="BH90" s="847">
        <v>0</v>
      </c>
      <c r="BI90" s="847">
        <v>0</v>
      </c>
      <c r="BJ90" s="847">
        <v>0</v>
      </c>
      <c r="BK90" s="847">
        <v>0</v>
      </c>
      <c r="BL90" s="847">
        <v>0</v>
      </c>
      <c r="BM90" s="847">
        <v>0</v>
      </c>
      <c r="BN90" s="847">
        <v>0</v>
      </c>
      <c r="BO90" s="847">
        <v>0</v>
      </c>
      <c r="BP90" s="847">
        <v>0</v>
      </c>
      <c r="BQ90" s="847">
        <v>0</v>
      </c>
      <c r="BR90" s="847">
        <v>0</v>
      </c>
      <c r="BS90" s="847">
        <v>0</v>
      </c>
      <c r="BT90" s="847">
        <v>0</v>
      </c>
      <c r="BU90" s="847">
        <v>0</v>
      </c>
      <c r="BV90" s="847">
        <v>0</v>
      </c>
      <c r="BW90" s="847">
        <v>0</v>
      </c>
      <c r="BX90" s="847">
        <v>0</v>
      </c>
      <c r="BY90" s="847">
        <v>0</v>
      </c>
      <c r="BZ90" s="847">
        <v>0</v>
      </c>
      <c r="CA90" s="847">
        <v>0</v>
      </c>
      <c r="CB90" s="847">
        <v>0</v>
      </c>
      <c r="CC90" s="847">
        <v>0</v>
      </c>
      <c r="CD90" s="847">
        <v>0</v>
      </c>
      <c r="CE90" s="847">
        <v>0</v>
      </c>
      <c r="CF90" s="847">
        <v>0</v>
      </c>
      <c r="CG90" s="847">
        <v>0</v>
      </c>
      <c r="CH90" s="847">
        <v>0</v>
      </c>
      <c r="CI90" s="847">
        <v>0</v>
      </c>
      <c r="CJ90" s="847">
        <v>0</v>
      </c>
      <c r="CK90" s="847">
        <v>0</v>
      </c>
      <c r="CL90" s="847">
        <v>0</v>
      </c>
      <c r="CM90" s="847">
        <v>0</v>
      </c>
      <c r="CN90" s="847">
        <v>0</v>
      </c>
      <c r="CO90" s="847">
        <v>0</v>
      </c>
      <c r="CP90" s="847">
        <v>0</v>
      </c>
      <c r="CQ90" s="847">
        <v>0</v>
      </c>
      <c r="CR90" s="847">
        <v>0</v>
      </c>
      <c r="CS90" s="847">
        <v>0</v>
      </c>
      <c r="CT90" s="847">
        <v>0</v>
      </c>
      <c r="CU90" s="847">
        <v>0</v>
      </c>
      <c r="CV90" s="847">
        <v>0</v>
      </c>
      <c r="CW90" s="847">
        <v>0</v>
      </c>
      <c r="CX90" s="847">
        <v>0</v>
      </c>
      <c r="CY90" s="847">
        <v>0</v>
      </c>
      <c r="CZ90" s="847">
        <v>0</v>
      </c>
      <c r="DA90" s="847">
        <v>0</v>
      </c>
      <c r="DB90" s="847">
        <v>0</v>
      </c>
      <c r="DC90" s="847">
        <v>0</v>
      </c>
      <c r="DD90" s="847">
        <v>0</v>
      </c>
      <c r="DE90" s="847">
        <v>0</v>
      </c>
      <c r="DF90" s="847">
        <v>0</v>
      </c>
      <c r="DG90" s="847">
        <v>0</v>
      </c>
      <c r="DH90" s="847">
        <v>0</v>
      </c>
      <c r="DI90" s="847">
        <v>0</v>
      </c>
      <c r="DJ90" s="847">
        <v>0</v>
      </c>
      <c r="DK90" s="847">
        <v>0</v>
      </c>
      <c r="DL90" s="847">
        <v>0</v>
      </c>
      <c r="DM90" s="847">
        <v>0</v>
      </c>
      <c r="DN90" s="847">
        <v>0</v>
      </c>
      <c r="DO90" s="847">
        <v>0</v>
      </c>
      <c r="DP90" s="847">
        <v>0</v>
      </c>
      <c r="DQ90" s="847">
        <v>0</v>
      </c>
      <c r="DR90" s="847">
        <v>0</v>
      </c>
      <c r="DS90" s="847">
        <v>0</v>
      </c>
      <c r="DT90" s="847">
        <v>0</v>
      </c>
      <c r="DU90" s="847">
        <v>0</v>
      </c>
      <c r="DV90" s="847">
        <v>0</v>
      </c>
      <c r="DW90" s="847">
        <v>0</v>
      </c>
      <c r="DY90" s="173"/>
      <c r="DZ90" s="173"/>
      <c r="EA90" s="173"/>
      <c r="EB90" s="174"/>
      <c r="EC90" s="175"/>
      <c r="ED90" s="174"/>
      <c r="EE90" s="174"/>
      <c r="EF90" s="174"/>
      <c r="EG90" s="174"/>
      <c r="EH90" s="174"/>
      <c r="EI90" s="174"/>
      <c r="EJ90" s="174"/>
      <c r="EK90" s="174"/>
      <c r="EL90" s="174"/>
      <c r="EM90" s="174"/>
      <c r="EN90" s="174"/>
      <c r="EO90" s="174"/>
      <c r="EP90" s="174"/>
      <c r="EQ90" s="174"/>
      <c r="ER90" s="174"/>
      <c r="ES90" s="174"/>
      <c r="ET90" s="174"/>
      <c r="EU90" s="174"/>
      <c r="EV90" s="174"/>
      <c r="EW90" s="174"/>
      <c r="EX90" s="174"/>
      <c r="EY90" s="174"/>
      <c r="EZ90" s="174"/>
      <c r="FA90" s="174"/>
      <c r="FB90" s="174"/>
      <c r="FC90" s="174"/>
      <c r="FD90" s="174"/>
      <c r="FE90" s="174"/>
      <c r="FF90" s="174"/>
      <c r="FG90" s="174"/>
      <c r="FH90" s="174"/>
      <c r="FI90" s="174"/>
      <c r="FJ90" s="174"/>
      <c r="FK90" s="174"/>
      <c r="FL90" s="174"/>
      <c r="FM90" s="174"/>
      <c r="FN90" s="174"/>
      <c r="FO90" s="174"/>
      <c r="FP90" s="174"/>
      <c r="FQ90" s="174"/>
      <c r="FR90" s="174"/>
      <c r="FS90" s="174"/>
      <c r="FT90" s="174"/>
      <c r="FU90" s="174"/>
      <c r="FV90" s="174"/>
      <c r="FW90" s="174"/>
      <c r="FX90" s="174"/>
      <c r="FY90" s="174"/>
      <c r="FZ90" s="174"/>
      <c r="GA90" s="174"/>
      <c r="GB90" s="174"/>
      <c r="GC90" s="174"/>
      <c r="GD90" s="174"/>
      <c r="GE90" s="174"/>
      <c r="GF90" s="174"/>
      <c r="GG90" s="174"/>
      <c r="GH90" s="174"/>
      <c r="GI90" s="174"/>
      <c r="GJ90" s="174"/>
      <c r="GK90" s="174"/>
      <c r="GL90" s="174"/>
      <c r="GM90" s="174"/>
      <c r="GN90" s="174"/>
      <c r="GO90" s="174"/>
      <c r="GP90" s="174"/>
      <c r="GQ90" s="174"/>
      <c r="GR90" s="174"/>
      <c r="GS90" s="174"/>
      <c r="GT90" s="174"/>
      <c r="GU90" s="174"/>
      <c r="GV90" s="174"/>
      <c r="GW90" s="174"/>
      <c r="GX90" s="174"/>
      <c r="GY90" s="174"/>
      <c r="GZ90" s="174"/>
      <c r="HA90" s="174"/>
      <c r="HB90" s="174"/>
      <c r="HC90" s="174"/>
      <c r="HD90" s="174"/>
      <c r="HE90" s="174"/>
      <c r="HF90" s="174"/>
      <c r="HG90" s="174"/>
      <c r="HH90" s="174"/>
      <c r="HI90" s="174"/>
      <c r="HJ90" s="174"/>
      <c r="HK90" s="174"/>
      <c r="HL90" s="174"/>
      <c r="HM90" s="174"/>
      <c r="HN90" s="174"/>
      <c r="HO90" s="174"/>
      <c r="HP90" s="174"/>
      <c r="HQ90" s="174"/>
      <c r="HR90" s="174"/>
      <c r="HS90" s="174"/>
      <c r="HT90" s="174"/>
      <c r="HU90" s="176"/>
      <c r="HV90" s="176"/>
      <c r="HW90" s="176"/>
      <c r="HX90" s="176"/>
      <c r="HY90" s="176"/>
      <c r="HZ90" s="176"/>
      <c r="IA90" s="176"/>
      <c r="IB90" s="176"/>
      <c r="IC90" s="176"/>
      <c r="ID90" s="176"/>
      <c r="IE90" s="176"/>
      <c r="IF90" s="176"/>
      <c r="IG90" s="176"/>
      <c r="IH90" s="176"/>
      <c r="II90" s="176"/>
      <c r="IJ90" s="176"/>
    </row>
    <row r="91" spans="1:244" ht="16.5" hidden="1">
      <c r="A91" s="846" t="s">
        <v>1060</v>
      </c>
      <c r="B91" s="846" t="s">
        <v>1382</v>
      </c>
      <c r="C91" s="846" t="s">
        <v>1171</v>
      </c>
      <c r="D91" s="847">
        <v>6</v>
      </c>
      <c r="E91" s="846" t="s">
        <v>1171</v>
      </c>
      <c r="F91" s="846" t="s">
        <v>97</v>
      </c>
      <c r="G91" s="851"/>
      <c r="H91" s="847">
        <v>12</v>
      </c>
      <c r="I91" s="780" t="str">
        <f t="shared" si="2"/>
        <v>IWT060212</v>
      </c>
      <c r="J91" s="847">
        <v>4611</v>
      </c>
      <c r="L91" s="846" t="s">
        <v>1060</v>
      </c>
      <c r="M91" s="846" t="s">
        <v>1382</v>
      </c>
      <c r="N91" s="846" t="s">
        <v>97</v>
      </c>
      <c r="O91" s="847">
        <v>12</v>
      </c>
      <c r="P91" s="780" t="str">
        <f t="shared" si="3"/>
        <v>IWT060212</v>
      </c>
      <c r="Q91" s="847">
        <v>1110</v>
      </c>
      <c r="R91" s="847">
        <v>2951</v>
      </c>
      <c r="S91" s="847">
        <v>4757</v>
      </c>
      <c r="T91" s="847">
        <v>6527</v>
      </c>
      <c r="U91" s="847">
        <v>8262</v>
      </c>
      <c r="V91" s="847">
        <v>0</v>
      </c>
      <c r="W91" s="847">
        <v>0</v>
      </c>
      <c r="X91" s="847">
        <v>0</v>
      </c>
      <c r="Y91" s="847">
        <v>0</v>
      </c>
      <c r="Z91" s="847">
        <v>0</v>
      </c>
      <c r="AA91" s="847">
        <v>0</v>
      </c>
      <c r="AB91" s="847">
        <v>0</v>
      </c>
      <c r="AC91" s="847">
        <v>0</v>
      </c>
      <c r="AD91" s="847">
        <v>0</v>
      </c>
      <c r="AE91" s="847">
        <v>0</v>
      </c>
      <c r="AF91" s="847">
        <v>0</v>
      </c>
      <c r="AG91" s="847">
        <v>0</v>
      </c>
      <c r="AH91" s="847">
        <v>0</v>
      </c>
      <c r="AI91" s="847">
        <v>0</v>
      </c>
      <c r="AJ91" s="847">
        <v>0</v>
      </c>
      <c r="AK91" s="847">
        <v>0</v>
      </c>
      <c r="AL91" s="847">
        <v>0</v>
      </c>
      <c r="AM91" s="847">
        <v>0</v>
      </c>
      <c r="AN91" s="847">
        <v>0</v>
      </c>
      <c r="AO91" s="847">
        <v>0</v>
      </c>
      <c r="AP91" s="847">
        <v>0</v>
      </c>
      <c r="AQ91" s="847">
        <v>0</v>
      </c>
      <c r="AR91" s="847">
        <v>0</v>
      </c>
      <c r="AS91" s="847">
        <v>0</v>
      </c>
      <c r="AT91" s="847">
        <v>0</v>
      </c>
      <c r="AU91" s="847">
        <v>0</v>
      </c>
      <c r="AV91" s="847">
        <v>0</v>
      </c>
      <c r="AW91" s="847">
        <v>0</v>
      </c>
      <c r="AX91" s="847">
        <v>0</v>
      </c>
      <c r="AY91" s="847">
        <v>0</v>
      </c>
      <c r="AZ91" s="847">
        <v>0</v>
      </c>
      <c r="BA91" s="847">
        <v>0</v>
      </c>
      <c r="BB91" s="847">
        <v>0</v>
      </c>
      <c r="BC91" s="847">
        <v>0</v>
      </c>
      <c r="BD91" s="847">
        <v>0</v>
      </c>
      <c r="BE91" s="847">
        <v>0</v>
      </c>
      <c r="BF91" s="847">
        <v>0</v>
      </c>
      <c r="BG91" s="847">
        <v>0</v>
      </c>
      <c r="BH91" s="847">
        <v>0</v>
      </c>
      <c r="BI91" s="847">
        <v>0</v>
      </c>
      <c r="BJ91" s="847">
        <v>0</v>
      </c>
      <c r="BK91" s="847">
        <v>0</v>
      </c>
      <c r="BL91" s="847">
        <v>0</v>
      </c>
      <c r="BM91" s="847">
        <v>0</v>
      </c>
      <c r="BN91" s="847">
        <v>0</v>
      </c>
      <c r="BO91" s="847">
        <v>0</v>
      </c>
      <c r="BP91" s="847">
        <v>0</v>
      </c>
      <c r="BQ91" s="847">
        <v>0</v>
      </c>
      <c r="BR91" s="847">
        <v>0</v>
      </c>
      <c r="BS91" s="847">
        <v>0</v>
      </c>
      <c r="BT91" s="847">
        <v>0</v>
      </c>
      <c r="BU91" s="847">
        <v>0</v>
      </c>
      <c r="BV91" s="847">
        <v>0</v>
      </c>
      <c r="BW91" s="847">
        <v>0</v>
      </c>
      <c r="BX91" s="847">
        <v>0</v>
      </c>
      <c r="BY91" s="847">
        <v>0</v>
      </c>
      <c r="BZ91" s="847">
        <v>0</v>
      </c>
      <c r="CA91" s="847">
        <v>0</v>
      </c>
      <c r="CB91" s="847">
        <v>0</v>
      </c>
      <c r="CC91" s="847">
        <v>0</v>
      </c>
      <c r="CD91" s="847">
        <v>0</v>
      </c>
      <c r="CE91" s="847">
        <v>0</v>
      </c>
      <c r="CF91" s="847">
        <v>0</v>
      </c>
      <c r="CG91" s="847">
        <v>0</v>
      </c>
      <c r="CH91" s="847">
        <v>0</v>
      </c>
      <c r="CI91" s="847">
        <v>0</v>
      </c>
      <c r="CJ91" s="847">
        <v>0</v>
      </c>
      <c r="CK91" s="847">
        <v>0</v>
      </c>
      <c r="CL91" s="847">
        <v>0</v>
      </c>
      <c r="CM91" s="847">
        <v>0</v>
      </c>
      <c r="CN91" s="847">
        <v>0</v>
      </c>
      <c r="CO91" s="847">
        <v>0</v>
      </c>
      <c r="CP91" s="847">
        <v>0</v>
      </c>
      <c r="CQ91" s="847">
        <v>0</v>
      </c>
      <c r="CR91" s="847">
        <v>0</v>
      </c>
      <c r="CS91" s="847">
        <v>0</v>
      </c>
      <c r="CT91" s="847">
        <v>0</v>
      </c>
      <c r="CU91" s="847">
        <v>0</v>
      </c>
      <c r="CV91" s="847">
        <v>0</v>
      </c>
      <c r="CW91" s="847">
        <v>0</v>
      </c>
      <c r="CX91" s="847">
        <v>0</v>
      </c>
      <c r="CY91" s="847">
        <v>0</v>
      </c>
      <c r="CZ91" s="847">
        <v>0</v>
      </c>
      <c r="DA91" s="847">
        <v>0</v>
      </c>
      <c r="DB91" s="847">
        <v>0</v>
      </c>
      <c r="DC91" s="847">
        <v>0</v>
      </c>
      <c r="DD91" s="847">
        <v>0</v>
      </c>
      <c r="DE91" s="847">
        <v>0</v>
      </c>
      <c r="DF91" s="847">
        <v>0</v>
      </c>
      <c r="DG91" s="847">
        <v>0</v>
      </c>
      <c r="DH91" s="847">
        <v>0</v>
      </c>
      <c r="DI91" s="847">
        <v>0</v>
      </c>
      <c r="DJ91" s="847">
        <v>0</v>
      </c>
      <c r="DK91" s="847">
        <v>0</v>
      </c>
      <c r="DL91" s="847">
        <v>0</v>
      </c>
      <c r="DM91" s="847">
        <v>0</v>
      </c>
      <c r="DN91" s="847">
        <v>0</v>
      </c>
      <c r="DO91" s="847">
        <v>0</v>
      </c>
      <c r="DP91" s="847">
        <v>0</v>
      </c>
      <c r="DQ91" s="847">
        <v>0</v>
      </c>
      <c r="DR91" s="847">
        <v>0</v>
      </c>
      <c r="DS91" s="847">
        <v>0</v>
      </c>
      <c r="DT91" s="847">
        <v>0</v>
      </c>
      <c r="DU91" s="847">
        <v>0</v>
      </c>
      <c r="DV91" s="847">
        <v>0</v>
      </c>
      <c r="DW91" s="847">
        <v>0</v>
      </c>
      <c r="DY91" s="173"/>
      <c r="DZ91" s="173"/>
      <c r="EA91" s="173"/>
      <c r="EB91" s="174"/>
      <c r="EC91" s="175"/>
      <c r="ED91" s="174"/>
      <c r="EE91" s="174"/>
      <c r="EF91" s="174"/>
      <c r="EG91" s="174"/>
      <c r="EH91" s="174"/>
      <c r="EI91" s="174"/>
      <c r="EJ91" s="174"/>
      <c r="EK91" s="174"/>
      <c r="EL91" s="174"/>
      <c r="EM91" s="174"/>
      <c r="EN91" s="174"/>
      <c r="EO91" s="174"/>
      <c r="EP91" s="174"/>
      <c r="EQ91" s="174"/>
      <c r="ER91" s="174"/>
      <c r="ES91" s="174"/>
      <c r="ET91" s="174"/>
      <c r="EU91" s="174"/>
      <c r="EV91" s="174"/>
      <c r="EW91" s="174"/>
      <c r="EX91" s="174"/>
      <c r="EY91" s="174"/>
      <c r="EZ91" s="174"/>
      <c r="FA91" s="174"/>
      <c r="FB91" s="174"/>
      <c r="FC91" s="174"/>
      <c r="FD91" s="174"/>
      <c r="FE91" s="174"/>
      <c r="FF91" s="174"/>
      <c r="FG91" s="174"/>
      <c r="FH91" s="174"/>
      <c r="FI91" s="174"/>
      <c r="FJ91" s="174"/>
      <c r="FK91" s="174"/>
      <c r="FL91" s="174"/>
      <c r="FM91" s="174"/>
      <c r="FN91" s="174"/>
      <c r="FO91" s="174"/>
      <c r="FP91" s="174"/>
      <c r="FQ91" s="174"/>
      <c r="FR91" s="174"/>
      <c r="FS91" s="174"/>
      <c r="FT91" s="174"/>
      <c r="FU91" s="174"/>
      <c r="FV91" s="174"/>
      <c r="FW91" s="174"/>
      <c r="FX91" s="174"/>
      <c r="FY91" s="174"/>
      <c r="FZ91" s="174"/>
      <c r="GA91" s="174"/>
      <c r="GB91" s="174"/>
      <c r="GC91" s="174"/>
      <c r="GD91" s="174"/>
      <c r="GE91" s="174"/>
      <c r="GF91" s="174"/>
      <c r="GG91" s="174"/>
      <c r="GH91" s="174"/>
      <c r="GI91" s="174"/>
      <c r="GJ91" s="174"/>
      <c r="GK91" s="174"/>
      <c r="GL91" s="174"/>
      <c r="GM91" s="174"/>
      <c r="GN91" s="174"/>
      <c r="GO91" s="174"/>
      <c r="GP91" s="174"/>
      <c r="GQ91" s="174"/>
      <c r="GR91" s="174"/>
      <c r="GS91" s="174"/>
      <c r="GT91" s="174"/>
      <c r="GU91" s="174"/>
      <c r="GV91" s="174"/>
      <c r="GW91" s="174"/>
      <c r="GX91" s="174"/>
      <c r="GY91" s="174"/>
      <c r="GZ91" s="174"/>
      <c r="HA91" s="174"/>
      <c r="HB91" s="174"/>
      <c r="HC91" s="174"/>
      <c r="HD91" s="174"/>
      <c r="HE91" s="174"/>
      <c r="HF91" s="174"/>
      <c r="HG91" s="174"/>
      <c r="HH91" s="174"/>
      <c r="HI91" s="174"/>
      <c r="HJ91" s="174"/>
      <c r="HK91" s="174"/>
      <c r="HL91" s="174"/>
      <c r="HM91" s="174"/>
      <c r="HN91" s="174"/>
      <c r="HO91" s="174"/>
      <c r="HP91" s="174"/>
      <c r="HQ91" s="174"/>
      <c r="HR91" s="174"/>
      <c r="HS91" s="174"/>
      <c r="HT91" s="176"/>
      <c r="HU91" s="176"/>
      <c r="HV91" s="176"/>
      <c r="HW91" s="176"/>
      <c r="HX91" s="176"/>
      <c r="HY91" s="176"/>
      <c r="HZ91" s="176"/>
      <c r="IA91" s="176"/>
      <c r="IB91" s="176"/>
      <c r="IC91" s="176"/>
      <c r="ID91" s="176"/>
      <c r="IE91" s="176"/>
      <c r="IF91" s="176"/>
      <c r="IG91" s="176"/>
      <c r="IH91" s="176"/>
      <c r="II91" s="176"/>
      <c r="IJ91" s="176"/>
    </row>
    <row r="92" spans="1:244" ht="16.5" hidden="1">
      <c r="A92" s="846" t="s">
        <v>1060</v>
      </c>
      <c r="B92" s="846" t="s">
        <v>1382</v>
      </c>
      <c r="C92" s="846" t="s">
        <v>1171</v>
      </c>
      <c r="D92" s="847">
        <v>6</v>
      </c>
      <c r="E92" s="846" t="s">
        <v>1171</v>
      </c>
      <c r="F92" s="846" t="s">
        <v>97</v>
      </c>
      <c r="G92" s="851"/>
      <c r="H92" s="847">
        <v>13</v>
      </c>
      <c r="I92" s="780" t="str">
        <f t="shared" si="2"/>
        <v>IWT060213</v>
      </c>
      <c r="J92" s="847">
        <v>4637</v>
      </c>
      <c r="L92" s="846" t="s">
        <v>1060</v>
      </c>
      <c r="M92" s="846" t="s">
        <v>1382</v>
      </c>
      <c r="N92" s="846" t="s">
        <v>97</v>
      </c>
      <c r="O92" s="847">
        <v>13</v>
      </c>
      <c r="P92" s="780" t="str">
        <f t="shared" si="3"/>
        <v>IWT060213</v>
      </c>
      <c r="Q92" s="847">
        <v>1110</v>
      </c>
      <c r="R92" s="847">
        <v>2952</v>
      </c>
      <c r="S92" s="847">
        <v>4757</v>
      </c>
      <c r="T92" s="847">
        <v>6527</v>
      </c>
      <c r="U92" s="847">
        <v>8262</v>
      </c>
      <c r="V92" s="847">
        <v>0</v>
      </c>
      <c r="W92" s="847">
        <v>0</v>
      </c>
      <c r="X92" s="847">
        <v>0</v>
      </c>
      <c r="Y92" s="847">
        <v>0</v>
      </c>
      <c r="Z92" s="847">
        <v>0</v>
      </c>
      <c r="AA92" s="847">
        <v>0</v>
      </c>
      <c r="AB92" s="847">
        <v>0</v>
      </c>
      <c r="AC92" s="847">
        <v>0</v>
      </c>
      <c r="AD92" s="847">
        <v>0</v>
      </c>
      <c r="AE92" s="847">
        <v>0</v>
      </c>
      <c r="AF92" s="847">
        <v>0</v>
      </c>
      <c r="AG92" s="847">
        <v>0</v>
      </c>
      <c r="AH92" s="847">
        <v>0</v>
      </c>
      <c r="AI92" s="847">
        <v>0</v>
      </c>
      <c r="AJ92" s="847">
        <v>0</v>
      </c>
      <c r="AK92" s="847">
        <v>0</v>
      </c>
      <c r="AL92" s="847">
        <v>0</v>
      </c>
      <c r="AM92" s="847">
        <v>0</v>
      </c>
      <c r="AN92" s="847">
        <v>0</v>
      </c>
      <c r="AO92" s="847">
        <v>0</v>
      </c>
      <c r="AP92" s="847">
        <v>0</v>
      </c>
      <c r="AQ92" s="847">
        <v>0</v>
      </c>
      <c r="AR92" s="847">
        <v>0</v>
      </c>
      <c r="AS92" s="847">
        <v>0</v>
      </c>
      <c r="AT92" s="847">
        <v>0</v>
      </c>
      <c r="AU92" s="847">
        <v>0</v>
      </c>
      <c r="AV92" s="847">
        <v>0</v>
      </c>
      <c r="AW92" s="847">
        <v>0</v>
      </c>
      <c r="AX92" s="847">
        <v>0</v>
      </c>
      <c r="AY92" s="847">
        <v>0</v>
      </c>
      <c r="AZ92" s="847">
        <v>0</v>
      </c>
      <c r="BA92" s="847">
        <v>0</v>
      </c>
      <c r="BB92" s="847">
        <v>0</v>
      </c>
      <c r="BC92" s="847">
        <v>0</v>
      </c>
      <c r="BD92" s="847">
        <v>0</v>
      </c>
      <c r="BE92" s="847">
        <v>0</v>
      </c>
      <c r="BF92" s="847">
        <v>0</v>
      </c>
      <c r="BG92" s="847">
        <v>0</v>
      </c>
      <c r="BH92" s="847">
        <v>0</v>
      </c>
      <c r="BI92" s="847">
        <v>0</v>
      </c>
      <c r="BJ92" s="847">
        <v>0</v>
      </c>
      <c r="BK92" s="847">
        <v>0</v>
      </c>
      <c r="BL92" s="847">
        <v>0</v>
      </c>
      <c r="BM92" s="847">
        <v>0</v>
      </c>
      <c r="BN92" s="847">
        <v>0</v>
      </c>
      <c r="BO92" s="847">
        <v>0</v>
      </c>
      <c r="BP92" s="847">
        <v>0</v>
      </c>
      <c r="BQ92" s="847">
        <v>0</v>
      </c>
      <c r="BR92" s="847">
        <v>0</v>
      </c>
      <c r="BS92" s="847">
        <v>0</v>
      </c>
      <c r="BT92" s="847">
        <v>0</v>
      </c>
      <c r="BU92" s="847">
        <v>0</v>
      </c>
      <c r="BV92" s="847">
        <v>0</v>
      </c>
      <c r="BW92" s="847">
        <v>0</v>
      </c>
      <c r="BX92" s="847">
        <v>0</v>
      </c>
      <c r="BY92" s="847">
        <v>0</v>
      </c>
      <c r="BZ92" s="847">
        <v>0</v>
      </c>
      <c r="CA92" s="847">
        <v>0</v>
      </c>
      <c r="CB92" s="847">
        <v>0</v>
      </c>
      <c r="CC92" s="847">
        <v>0</v>
      </c>
      <c r="CD92" s="847">
        <v>0</v>
      </c>
      <c r="CE92" s="847">
        <v>0</v>
      </c>
      <c r="CF92" s="847">
        <v>0</v>
      </c>
      <c r="CG92" s="847">
        <v>0</v>
      </c>
      <c r="CH92" s="847">
        <v>0</v>
      </c>
      <c r="CI92" s="847">
        <v>0</v>
      </c>
      <c r="CJ92" s="847">
        <v>0</v>
      </c>
      <c r="CK92" s="847">
        <v>0</v>
      </c>
      <c r="CL92" s="847">
        <v>0</v>
      </c>
      <c r="CM92" s="847">
        <v>0</v>
      </c>
      <c r="CN92" s="847">
        <v>0</v>
      </c>
      <c r="CO92" s="847">
        <v>0</v>
      </c>
      <c r="CP92" s="847">
        <v>0</v>
      </c>
      <c r="CQ92" s="847">
        <v>0</v>
      </c>
      <c r="CR92" s="847">
        <v>0</v>
      </c>
      <c r="CS92" s="847">
        <v>0</v>
      </c>
      <c r="CT92" s="847">
        <v>0</v>
      </c>
      <c r="CU92" s="847">
        <v>0</v>
      </c>
      <c r="CV92" s="847">
        <v>0</v>
      </c>
      <c r="CW92" s="847">
        <v>0</v>
      </c>
      <c r="CX92" s="847">
        <v>0</v>
      </c>
      <c r="CY92" s="847">
        <v>0</v>
      </c>
      <c r="CZ92" s="847">
        <v>0</v>
      </c>
      <c r="DA92" s="847">
        <v>0</v>
      </c>
      <c r="DB92" s="847">
        <v>0</v>
      </c>
      <c r="DC92" s="847">
        <v>0</v>
      </c>
      <c r="DD92" s="847">
        <v>0</v>
      </c>
      <c r="DE92" s="847">
        <v>0</v>
      </c>
      <c r="DF92" s="847">
        <v>0</v>
      </c>
      <c r="DG92" s="847">
        <v>0</v>
      </c>
      <c r="DH92" s="847">
        <v>0</v>
      </c>
      <c r="DI92" s="847">
        <v>0</v>
      </c>
      <c r="DJ92" s="847">
        <v>0</v>
      </c>
      <c r="DK92" s="847">
        <v>0</v>
      </c>
      <c r="DL92" s="847">
        <v>0</v>
      </c>
      <c r="DM92" s="847">
        <v>0</v>
      </c>
      <c r="DN92" s="847">
        <v>0</v>
      </c>
      <c r="DO92" s="847">
        <v>0</v>
      </c>
      <c r="DP92" s="847">
        <v>0</v>
      </c>
      <c r="DQ92" s="847">
        <v>0</v>
      </c>
      <c r="DR92" s="847">
        <v>0</v>
      </c>
      <c r="DS92" s="847">
        <v>0</v>
      </c>
      <c r="DT92" s="847">
        <v>0</v>
      </c>
      <c r="DU92" s="847">
        <v>0</v>
      </c>
      <c r="DV92" s="847">
        <v>0</v>
      </c>
      <c r="DW92" s="847">
        <v>0</v>
      </c>
      <c r="DY92" s="173"/>
      <c r="DZ92" s="173"/>
      <c r="EA92" s="173"/>
      <c r="EB92" s="174"/>
      <c r="EC92" s="175"/>
      <c r="ED92" s="174"/>
      <c r="EE92" s="174"/>
      <c r="EF92" s="174"/>
      <c r="EG92" s="174"/>
      <c r="EH92" s="174"/>
      <c r="EI92" s="174"/>
      <c r="EJ92" s="174"/>
      <c r="EK92" s="174"/>
      <c r="EL92" s="174"/>
      <c r="EM92" s="174"/>
      <c r="EN92" s="174"/>
      <c r="EO92" s="174"/>
      <c r="EP92" s="174"/>
      <c r="EQ92" s="174"/>
      <c r="ER92" s="174"/>
      <c r="ES92" s="174"/>
      <c r="ET92" s="174"/>
      <c r="EU92" s="174"/>
      <c r="EV92" s="174"/>
      <c r="EW92" s="174"/>
      <c r="EX92" s="174"/>
      <c r="EY92" s="174"/>
      <c r="EZ92" s="174"/>
      <c r="FA92" s="174"/>
      <c r="FB92" s="174"/>
      <c r="FC92" s="174"/>
      <c r="FD92" s="174"/>
      <c r="FE92" s="174"/>
      <c r="FF92" s="174"/>
      <c r="FG92" s="174"/>
      <c r="FH92" s="174"/>
      <c r="FI92" s="174"/>
      <c r="FJ92" s="174"/>
      <c r="FK92" s="174"/>
      <c r="FL92" s="174"/>
      <c r="FM92" s="174"/>
      <c r="FN92" s="174"/>
      <c r="FO92" s="174"/>
      <c r="FP92" s="174"/>
      <c r="FQ92" s="174"/>
      <c r="FR92" s="174"/>
      <c r="FS92" s="174"/>
      <c r="FT92" s="174"/>
      <c r="FU92" s="174"/>
      <c r="FV92" s="174"/>
      <c r="FW92" s="174"/>
      <c r="FX92" s="174"/>
      <c r="FY92" s="174"/>
      <c r="FZ92" s="174"/>
      <c r="GA92" s="174"/>
      <c r="GB92" s="174"/>
      <c r="GC92" s="174"/>
      <c r="GD92" s="174"/>
      <c r="GE92" s="174"/>
      <c r="GF92" s="174"/>
      <c r="GG92" s="174"/>
      <c r="GH92" s="174"/>
      <c r="GI92" s="174"/>
      <c r="GJ92" s="174"/>
      <c r="GK92" s="174"/>
      <c r="GL92" s="174"/>
      <c r="GM92" s="174"/>
      <c r="GN92" s="174"/>
      <c r="GO92" s="174"/>
      <c r="GP92" s="174"/>
      <c r="GQ92" s="174"/>
      <c r="GR92" s="174"/>
      <c r="GS92" s="174"/>
      <c r="GT92" s="174"/>
      <c r="GU92" s="174"/>
      <c r="GV92" s="174"/>
      <c r="GW92" s="174"/>
      <c r="GX92" s="174"/>
      <c r="GY92" s="174"/>
      <c r="GZ92" s="174"/>
      <c r="HA92" s="174"/>
      <c r="HB92" s="174"/>
      <c r="HC92" s="174"/>
      <c r="HD92" s="174"/>
      <c r="HE92" s="174"/>
      <c r="HF92" s="174"/>
      <c r="HG92" s="174"/>
      <c r="HH92" s="174"/>
      <c r="HI92" s="174"/>
      <c r="HJ92" s="174"/>
      <c r="HK92" s="174"/>
      <c r="HL92" s="174"/>
      <c r="HM92" s="174"/>
      <c r="HN92" s="174"/>
      <c r="HO92" s="174"/>
      <c r="HP92" s="174"/>
      <c r="HQ92" s="174"/>
      <c r="HR92" s="174"/>
      <c r="HS92" s="176"/>
      <c r="HT92" s="176"/>
      <c r="HU92" s="176"/>
      <c r="HV92" s="176"/>
      <c r="HW92" s="176"/>
      <c r="HX92" s="176"/>
      <c r="HY92" s="176"/>
      <c r="HZ92" s="176"/>
      <c r="IA92" s="176"/>
      <c r="IB92" s="176"/>
      <c r="IC92" s="176"/>
      <c r="ID92" s="176"/>
      <c r="IE92" s="176"/>
      <c r="IF92" s="176"/>
      <c r="IG92" s="176"/>
      <c r="IH92" s="176"/>
      <c r="II92" s="176"/>
      <c r="IJ92" s="176"/>
    </row>
    <row r="93" spans="1:244" ht="16.5" hidden="1">
      <c r="A93" s="846" t="s">
        <v>1060</v>
      </c>
      <c r="B93" s="846" t="s">
        <v>1382</v>
      </c>
      <c r="C93" s="846" t="s">
        <v>1171</v>
      </c>
      <c r="D93" s="847">
        <v>6</v>
      </c>
      <c r="E93" s="846" t="s">
        <v>1171</v>
      </c>
      <c r="F93" s="846" t="s">
        <v>97</v>
      </c>
      <c r="G93" s="851"/>
      <c r="H93" s="847">
        <v>14</v>
      </c>
      <c r="I93" s="780" t="str">
        <f t="shared" si="2"/>
        <v>IWT060214</v>
      </c>
      <c r="J93" s="847">
        <v>4663</v>
      </c>
      <c r="L93" s="846" t="s">
        <v>1060</v>
      </c>
      <c r="M93" s="846" t="s">
        <v>1382</v>
      </c>
      <c r="N93" s="846" t="s">
        <v>97</v>
      </c>
      <c r="O93" s="847">
        <v>14</v>
      </c>
      <c r="P93" s="780" t="str">
        <f t="shared" si="3"/>
        <v>IWT060214</v>
      </c>
      <c r="Q93" s="847">
        <v>1110</v>
      </c>
      <c r="R93" s="847">
        <v>2952</v>
      </c>
      <c r="S93" s="847">
        <v>4757</v>
      </c>
      <c r="T93" s="847">
        <v>6527</v>
      </c>
      <c r="U93" s="847">
        <v>8263</v>
      </c>
      <c r="V93" s="847">
        <v>0</v>
      </c>
      <c r="W93" s="847">
        <v>0</v>
      </c>
      <c r="X93" s="847">
        <v>0</v>
      </c>
      <c r="Y93" s="847">
        <v>0</v>
      </c>
      <c r="Z93" s="847">
        <v>0</v>
      </c>
      <c r="AA93" s="847">
        <v>0</v>
      </c>
      <c r="AB93" s="847">
        <v>0</v>
      </c>
      <c r="AC93" s="847">
        <v>0</v>
      </c>
      <c r="AD93" s="847">
        <v>0</v>
      </c>
      <c r="AE93" s="847">
        <v>0</v>
      </c>
      <c r="AF93" s="847">
        <v>0</v>
      </c>
      <c r="AG93" s="847">
        <v>0</v>
      </c>
      <c r="AH93" s="847">
        <v>0</v>
      </c>
      <c r="AI93" s="847">
        <v>0</v>
      </c>
      <c r="AJ93" s="847">
        <v>0</v>
      </c>
      <c r="AK93" s="847">
        <v>0</v>
      </c>
      <c r="AL93" s="847">
        <v>0</v>
      </c>
      <c r="AM93" s="847">
        <v>0</v>
      </c>
      <c r="AN93" s="847">
        <v>0</v>
      </c>
      <c r="AO93" s="847">
        <v>0</v>
      </c>
      <c r="AP93" s="847">
        <v>0</v>
      </c>
      <c r="AQ93" s="847">
        <v>0</v>
      </c>
      <c r="AR93" s="847">
        <v>0</v>
      </c>
      <c r="AS93" s="847">
        <v>0</v>
      </c>
      <c r="AT93" s="847">
        <v>0</v>
      </c>
      <c r="AU93" s="847">
        <v>0</v>
      </c>
      <c r="AV93" s="847">
        <v>0</v>
      </c>
      <c r="AW93" s="847">
        <v>0</v>
      </c>
      <c r="AX93" s="847">
        <v>0</v>
      </c>
      <c r="AY93" s="847">
        <v>0</v>
      </c>
      <c r="AZ93" s="847">
        <v>0</v>
      </c>
      <c r="BA93" s="847">
        <v>0</v>
      </c>
      <c r="BB93" s="847">
        <v>0</v>
      </c>
      <c r="BC93" s="847">
        <v>0</v>
      </c>
      <c r="BD93" s="847">
        <v>0</v>
      </c>
      <c r="BE93" s="847">
        <v>0</v>
      </c>
      <c r="BF93" s="847">
        <v>0</v>
      </c>
      <c r="BG93" s="847">
        <v>0</v>
      </c>
      <c r="BH93" s="847">
        <v>0</v>
      </c>
      <c r="BI93" s="847">
        <v>0</v>
      </c>
      <c r="BJ93" s="847">
        <v>0</v>
      </c>
      <c r="BK93" s="847">
        <v>0</v>
      </c>
      <c r="BL93" s="847">
        <v>0</v>
      </c>
      <c r="BM93" s="847">
        <v>0</v>
      </c>
      <c r="BN93" s="847">
        <v>0</v>
      </c>
      <c r="BO93" s="847">
        <v>0</v>
      </c>
      <c r="BP93" s="847">
        <v>0</v>
      </c>
      <c r="BQ93" s="847">
        <v>0</v>
      </c>
      <c r="BR93" s="847">
        <v>0</v>
      </c>
      <c r="BS93" s="847">
        <v>0</v>
      </c>
      <c r="BT93" s="847">
        <v>0</v>
      </c>
      <c r="BU93" s="847">
        <v>0</v>
      </c>
      <c r="BV93" s="847">
        <v>0</v>
      </c>
      <c r="BW93" s="847">
        <v>0</v>
      </c>
      <c r="BX93" s="847">
        <v>0</v>
      </c>
      <c r="BY93" s="847">
        <v>0</v>
      </c>
      <c r="BZ93" s="847">
        <v>0</v>
      </c>
      <c r="CA93" s="847">
        <v>0</v>
      </c>
      <c r="CB93" s="847">
        <v>0</v>
      </c>
      <c r="CC93" s="847">
        <v>0</v>
      </c>
      <c r="CD93" s="847">
        <v>0</v>
      </c>
      <c r="CE93" s="847">
        <v>0</v>
      </c>
      <c r="CF93" s="847">
        <v>0</v>
      </c>
      <c r="CG93" s="847">
        <v>0</v>
      </c>
      <c r="CH93" s="847">
        <v>0</v>
      </c>
      <c r="CI93" s="847">
        <v>0</v>
      </c>
      <c r="CJ93" s="847">
        <v>0</v>
      </c>
      <c r="CK93" s="847">
        <v>0</v>
      </c>
      <c r="CL93" s="847">
        <v>0</v>
      </c>
      <c r="CM93" s="847">
        <v>0</v>
      </c>
      <c r="CN93" s="847">
        <v>0</v>
      </c>
      <c r="CO93" s="847">
        <v>0</v>
      </c>
      <c r="CP93" s="847">
        <v>0</v>
      </c>
      <c r="CQ93" s="847">
        <v>0</v>
      </c>
      <c r="CR93" s="847">
        <v>0</v>
      </c>
      <c r="CS93" s="847">
        <v>0</v>
      </c>
      <c r="CT93" s="847">
        <v>0</v>
      </c>
      <c r="CU93" s="847">
        <v>0</v>
      </c>
      <c r="CV93" s="847">
        <v>0</v>
      </c>
      <c r="CW93" s="847">
        <v>0</v>
      </c>
      <c r="CX93" s="847">
        <v>0</v>
      </c>
      <c r="CY93" s="847">
        <v>0</v>
      </c>
      <c r="CZ93" s="847">
        <v>0</v>
      </c>
      <c r="DA93" s="847">
        <v>0</v>
      </c>
      <c r="DB93" s="847">
        <v>0</v>
      </c>
      <c r="DC93" s="847">
        <v>0</v>
      </c>
      <c r="DD93" s="847">
        <v>0</v>
      </c>
      <c r="DE93" s="847">
        <v>0</v>
      </c>
      <c r="DF93" s="847">
        <v>0</v>
      </c>
      <c r="DG93" s="847">
        <v>0</v>
      </c>
      <c r="DH93" s="847">
        <v>0</v>
      </c>
      <c r="DI93" s="847">
        <v>0</v>
      </c>
      <c r="DJ93" s="847">
        <v>0</v>
      </c>
      <c r="DK93" s="847">
        <v>0</v>
      </c>
      <c r="DL93" s="847">
        <v>0</v>
      </c>
      <c r="DM93" s="847">
        <v>0</v>
      </c>
      <c r="DN93" s="847">
        <v>0</v>
      </c>
      <c r="DO93" s="847">
        <v>0</v>
      </c>
      <c r="DP93" s="847">
        <v>0</v>
      </c>
      <c r="DQ93" s="847">
        <v>0</v>
      </c>
      <c r="DR93" s="847">
        <v>0</v>
      </c>
      <c r="DS93" s="847">
        <v>0</v>
      </c>
      <c r="DT93" s="847">
        <v>0</v>
      </c>
      <c r="DU93" s="847">
        <v>0</v>
      </c>
      <c r="DV93" s="847">
        <v>0</v>
      </c>
      <c r="DW93" s="847">
        <v>0</v>
      </c>
      <c r="DY93" s="173"/>
      <c r="DZ93" s="173"/>
      <c r="EA93" s="173"/>
      <c r="EB93" s="174"/>
      <c r="EC93" s="175"/>
      <c r="ED93" s="174"/>
      <c r="EE93" s="174"/>
      <c r="EF93" s="174"/>
      <c r="EG93" s="174"/>
      <c r="EH93" s="174"/>
      <c r="EI93" s="174"/>
      <c r="EJ93" s="174"/>
      <c r="EK93" s="174"/>
      <c r="EL93" s="174"/>
      <c r="EM93" s="174"/>
      <c r="EN93" s="174"/>
      <c r="EO93" s="174"/>
      <c r="EP93" s="174"/>
      <c r="EQ93" s="174"/>
      <c r="ER93" s="174"/>
      <c r="ES93" s="174"/>
      <c r="ET93" s="174"/>
      <c r="EU93" s="174"/>
      <c r="EV93" s="174"/>
      <c r="EW93" s="174"/>
      <c r="EX93" s="174"/>
      <c r="EY93" s="174"/>
      <c r="EZ93" s="174"/>
      <c r="FA93" s="174"/>
      <c r="FB93" s="174"/>
      <c r="FC93" s="174"/>
      <c r="FD93" s="174"/>
      <c r="FE93" s="174"/>
      <c r="FF93" s="174"/>
      <c r="FG93" s="174"/>
      <c r="FH93" s="174"/>
      <c r="FI93" s="174"/>
      <c r="FJ93" s="174"/>
      <c r="FK93" s="174"/>
      <c r="FL93" s="174"/>
      <c r="FM93" s="174"/>
      <c r="FN93" s="174"/>
      <c r="FO93" s="174"/>
      <c r="FP93" s="174"/>
      <c r="FQ93" s="174"/>
      <c r="FR93" s="174"/>
      <c r="FS93" s="174"/>
      <c r="FT93" s="174"/>
      <c r="FU93" s="174"/>
      <c r="FV93" s="174"/>
      <c r="FW93" s="174"/>
      <c r="FX93" s="174"/>
      <c r="FY93" s="174"/>
      <c r="FZ93" s="174"/>
      <c r="GA93" s="174"/>
      <c r="GB93" s="174"/>
      <c r="GC93" s="174"/>
      <c r="GD93" s="174"/>
      <c r="GE93" s="174"/>
      <c r="GF93" s="174"/>
      <c r="GG93" s="174"/>
      <c r="GH93" s="174"/>
      <c r="GI93" s="174"/>
      <c r="GJ93" s="174"/>
      <c r="GK93" s="174"/>
      <c r="GL93" s="174"/>
      <c r="GM93" s="174"/>
      <c r="GN93" s="174"/>
      <c r="GO93" s="174"/>
      <c r="GP93" s="174"/>
      <c r="GQ93" s="174"/>
      <c r="GR93" s="174"/>
      <c r="GS93" s="174"/>
      <c r="GT93" s="174"/>
      <c r="GU93" s="174"/>
      <c r="GV93" s="174"/>
      <c r="GW93" s="174"/>
      <c r="GX93" s="174"/>
      <c r="GY93" s="174"/>
      <c r="GZ93" s="174"/>
      <c r="HA93" s="174"/>
      <c r="HB93" s="174"/>
      <c r="HC93" s="174"/>
      <c r="HD93" s="174"/>
      <c r="HE93" s="174"/>
      <c r="HF93" s="174"/>
      <c r="HG93" s="174"/>
      <c r="HH93" s="174"/>
      <c r="HI93" s="174"/>
      <c r="HJ93" s="174"/>
      <c r="HK93" s="174"/>
      <c r="HL93" s="174"/>
      <c r="HM93" s="174"/>
      <c r="HN93" s="174"/>
      <c r="HO93" s="174"/>
      <c r="HP93" s="174"/>
      <c r="HQ93" s="174"/>
      <c r="HR93" s="176"/>
      <c r="HS93" s="176"/>
      <c r="HT93" s="176"/>
      <c r="HU93" s="176"/>
      <c r="HV93" s="176"/>
      <c r="HW93" s="176"/>
      <c r="HX93" s="176"/>
      <c r="HY93" s="176"/>
      <c r="HZ93" s="176"/>
      <c r="IA93" s="176"/>
      <c r="IB93" s="176"/>
      <c r="IC93" s="176"/>
      <c r="ID93" s="176"/>
      <c r="IE93" s="176"/>
      <c r="IF93" s="176"/>
      <c r="IG93" s="176"/>
      <c r="IH93" s="176"/>
      <c r="II93" s="176"/>
      <c r="IJ93" s="176"/>
    </row>
    <row r="94" spans="1:244" ht="16.5" hidden="1">
      <c r="A94" s="846" t="s">
        <v>1060</v>
      </c>
      <c r="B94" s="846" t="s">
        <v>1382</v>
      </c>
      <c r="C94" s="846" t="s">
        <v>1171</v>
      </c>
      <c r="D94" s="847">
        <v>6</v>
      </c>
      <c r="E94" s="846" t="s">
        <v>1171</v>
      </c>
      <c r="F94" s="846" t="s">
        <v>97</v>
      </c>
      <c r="G94" s="851"/>
      <c r="H94" s="847">
        <v>15</v>
      </c>
      <c r="I94" s="780" t="str">
        <f t="shared" si="2"/>
        <v>IWT060215</v>
      </c>
      <c r="J94" s="847">
        <v>4687</v>
      </c>
      <c r="L94" s="846" t="s">
        <v>1060</v>
      </c>
      <c r="M94" s="846" t="s">
        <v>1382</v>
      </c>
      <c r="N94" s="846" t="s">
        <v>97</v>
      </c>
      <c r="O94" s="847">
        <v>15</v>
      </c>
      <c r="P94" s="780" t="str">
        <f t="shared" si="3"/>
        <v>IWT060215</v>
      </c>
      <c r="Q94" s="847">
        <v>1110</v>
      </c>
      <c r="R94" s="847">
        <v>2952</v>
      </c>
      <c r="S94" s="847">
        <v>4757</v>
      </c>
      <c r="T94" s="847">
        <v>6527</v>
      </c>
      <c r="U94" s="847">
        <v>8263</v>
      </c>
      <c r="V94" s="847">
        <v>0</v>
      </c>
      <c r="W94" s="847">
        <v>0</v>
      </c>
      <c r="X94" s="847">
        <v>0</v>
      </c>
      <c r="Y94" s="847">
        <v>0</v>
      </c>
      <c r="Z94" s="847">
        <v>0</v>
      </c>
      <c r="AA94" s="847">
        <v>0</v>
      </c>
      <c r="AB94" s="847">
        <v>0</v>
      </c>
      <c r="AC94" s="847">
        <v>0</v>
      </c>
      <c r="AD94" s="847">
        <v>0</v>
      </c>
      <c r="AE94" s="847">
        <v>0</v>
      </c>
      <c r="AF94" s="847">
        <v>0</v>
      </c>
      <c r="AG94" s="847">
        <v>0</v>
      </c>
      <c r="AH94" s="847">
        <v>0</v>
      </c>
      <c r="AI94" s="847">
        <v>0</v>
      </c>
      <c r="AJ94" s="847">
        <v>0</v>
      </c>
      <c r="AK94" s="847">
        <v>0</v>
      </c>
      <c r="AL94" s="847">
        <v>0</v>
      </c>
      <c r="AM94" s="847">
        <v>0</v>
      </c>
      <c r="AN94" s="847">
        <v>0</v>
      </c>
      <c r="AO94" s="847">
        <v>0</v>
      </c>
      <c r="AP94" s="847">
        <v>0</v>
      </c>
      <c r="AQ94" s="847">
        <v>0</v>
      </c>
      <c r="AR94" s="847">
        <v>0</v>
      </c>
      <c r="AS94" s="847">
        <v>0</v>
      </c>
      <c r="AT94" s="847">
        <v>0</v>
      </c>
      <c r="AU94" s="847">
        <v>0</v>
      </c>
      <c r="AV94" s="847">
        <v>0</v>
      </c>
      <c r="AW94" s="847">
        <v>0</v>
      </c>
      <c r="AX94" s="847">
        <v>0</v>
      </c>
      <c r="AY94" s="847">
        <v>0</v>
      </c>
      <c r="AZ94" s="847">
        <v>0</v>
      </c>
      <c r="BA94" s="847">
        <v>0</v>
      </c>
      <c r="BB94" s="847">
        <v>0</v>
      </c>
      <c r="BC94" s="847">
        <v>0</v>
      </c>
      <c r="BD94" s="847">
        <v>0</v>
      </c>
      <c r="BE94" s="847">
        <v>0</v>
      </c>
      <c r="BF94" s="847">
        <v>0</v>
      </c>
      <c r="BG94" s="847">
        <v>0</v>
      </c>
      <c r="BH94" s="847">
        <v>0</v>
      </c>
      <c r="BI94" s="847">
        <v>0</v>
      </c>
      <c r="BJ94" s="847">
        <v>0</v>
      </c>
      <c r="BK94" s="847">
        <v>0</v>
      </c>
      <c r="BL94" s="847">
        <v>0</v>
      </c>
      <c r="BM94" s="847">
        <v>0</v>
      </c>
      <c r="BN94" s="847">
        <v>0</v>
      </c>
      <c r="BO94" s="847">
        <v>0</v>
      </c>
      <c r="BP94" s="847">
        <v>0</v>
      </c>
      <c r="BQ94" s="847">
        <v>0</v>
      </c>
      <c r="BR94" s="847">
        <v>0</v>
      </c>
      <c r="BS94" s="847">
        <v>0</v>
      </c>
      <c r="BT94" s="847">
        <v>0</v>
      </c>
      <c r="BU94" s="847">
        <v>0</v>
      </c>
      <c r="BV94" s="847">
        <v>0</v>
      </c>
      <c r="BW94" s="847">
        <v>0</v>
      </c>
      <c r="BX94" s="847">
        <v>0</v>
      </c>
      <c r="BY94" s="847">
        <v>0</v>
      </c>
      <c r="BZ94" s="847">
        <v>0</v>
      </c>
      <c r="CA94" s="847">
        <v>0</v>
      </c>
      <c r="CB94" s="847">
        <v>0</v>
      </c>
      <c r="CC94" s="847">
        <v>0</v>
      </c>
      <c r="CD94" s="847">
        <v>0</v>
      </c>
      <c r="CE94" s="847">
        <v>0</v>
      </c>
      <c r="CF94" s="847">
        <v>0</v>
      </c>
      <c r="CG94" s="847">
        <v>0</v>
      </c>
      <c r="CH94" s="847">
        <v>0</v>
      </c>
      <c r="CI94" s="847">
        <v>0</v>
      </c>
      <c r="CJ94" s="847">
        <v>0</v>
      </c>
      <c r="CK94" s="847">
        <v>0</v>
      </c>
      <c r="CL94" s="847">
        <v>0</v>
      </c>
      <c r="CM94" s="847">
        <v>0</v>
      </c>
      <c r="CN94" s="847">
        <v>0</v>
      </c>
      <c r="CO94" s="847">
        <v>0</v>
      </c>
      <c r="CP94" s="847">
        <v>0</v>
      </c>
      <c r="CQ94" s="847">
        <v>0</v>
      </c>
      <c r="CR94" s="847">
        <v>0</v>
      </c>
      <c r="CS94" s="847">
        <v>0</v>
      </c>
      <c r="CT94" s="847">
        <v>0</v>
      </c>
      <c r="CU94" s="847">
        <v>0</v>
      </c>
      <c r="CV94" s="847">
        <v>0</v>
      </c>
      <c r="CW94" s="847">
        <v>0</v>
      </c>
      <c r="CX94" s="847">
        <v>0</v>
      </c>
      <c r="CY94" s="847">
        <v>0</v>
      </c>
      <c r="CZ94" s="847">
        <v>0</v>
      </c>
      <c r="DA94" s="847">
        <v>0</v>
      </c>
      <c r="DB94" s="847">
        <v>0</v>
      </c>
      <c r="DC94" s="847">
        <v>0</v>
      </c>
      <c r="DD94" s="847">
        <v>0</v>
      </c>
      <c r="DE94" s="847">
        <v>0</v>
      </c>
      <c r="DF94" s="847">
        <v>0</v>
      </c>
      <c r="DG94" s="847">
        <v>0</v>
      </c>
      <c r="DH94" s="847">
        <v>0</v>
      </c>
      <c r="DI94" s="847">
        <v>0</v>
      </c>
      <c r="DJ94" s="847">
        <v>0</v>
      </c>
      <c r="DK94" s="847">
        <v>0</v>
      </c>
      <c r="DL94" s="847">
        <v>0</v>
      </c>
      <c r="DM94" s="847">
        <v>0</v>
      </c>
      <c r="DN94" s="847">
        <v>0</v>
      </c>
      <c r="DO94" s="847">
        <v>0</v>
      </c>
      <c r="DP94" s="847">
        <v>0</v>
      </c>
      <c r="DQ94" s="847">
        <v>0</v>
      </c>
      <c r="DR94" s="847">
        <v>0</v>
      </c>
      <c r="DS94" s="847">
        <v>0</v>
      </c>
      <c r="DT94" s="847">
        <v>0</v>
      </c>
      <c r="DU94" s="847">
        <v>0</v>
      </c>
      <c r="DV94" s="847">
        <v>0</v>
      </c>
      <c r="DW94" s="847">
        <v>0</v>
      </c>
      <c r="DY94" s="173"/>
      <c r="DZ94" s="173"/>
      <c r="EA94" s="173"/>
      <c r="EB94" s="174"/>
      <c r="EC94" s="175"/>
      <c r="ED94" s="174"/>
      <c r="EE94" s="174"/>
      <c r="EF94" s="174"/>
      <c r="EG94" s="174"/>
      <c r="EH94" s="174"/>
      <c r="EI94" s="174"/>
      <c r="EJ94" s="174"/>
      <c r="EK94" s="174"/>
      <c r="EL94" s="174"/>
      <c r="EM94" s="174"/>
      <c r="EN94" s="174"/>
      <c r="EO94" s="174"/>
      <c r="EP94" s="174"/>
      <c r="EQ94" s="174"/>
      <c r="ER94" s="174"/>
      <c r="ES94" s="174"/>
      <c r="ET94" s="174"/>
      <c r="EU94" s="174"/>
      <c r="EV94" s="174"/>
      <c r="EW94" s="174"/>
      <c r="EX94" s="174"/>
      <c r="EY94" s="174"/>
      <c r="EZ94" s="174"/>
      <c r="FA94" s="174"/>
      <c r="FB94" s="174"/>
      <c r="FC94" s="174"/>
      <c r="FD94" s="174"/>
      <c r="FE94" s="174"/>
      <c r="FF94" s="174"/>
      <c r="FG94" s="174"/>
      <c r="FH94" s="174"/>
      <c r="FI94" s="174"/>
      <c r="FJ94" s="174"/>
      <c r="FK94" s="174"/>
      <c r="FL94" s="174"/>
      <c r="FM94" s="174"/>
      <c r="FN94" s="174"/>
      <c r="FO94" s="174"/>
      <c r="FP94" s="174"/>
      <c r="FQ94" s="174"/>
      <c r="FR94" s="174"/>
      <c r="FS94" s="174"/>
      <c r="FT94" s="174"/>
      <c r="FU94" s="174"/>
      <c r="FV94" s="174"/>
      <c r="FW94" s="174"/>
      <c r="FX94" s="174"/>
      <c r="FY94" s="174"/>
      <c r="FZ94" s="174"/>
      <c r="GA94" s="174"/>
      <c r="GB94" s="174"/>
      <c r="GC94" s="174"/>
      <c r="GD94" s="174"/>
      <c r="GE94" s="174"/>
      <c r="GF94" s="174"/>
      <c r="GG94" s="174"/>
      <c r="GH94" s="174"/>
      <c r="GI94" s="174"/>
      <c r="GJ94" s="174"/>
      <c r="GK94" s="174"/>
      <c r="GL94" s="174"/>
      <c r="GM94" s="174"/>
      <c r="GN94" s="174"/>
      <c r="GO94" s="174"/>
      <c r="GP94" s="174"/>
      <c r="GQ94" s="174"/>
      <c r="GR94" s="174"/>
      <c r="GS94" s="174"/>
      <c r="GT94" s="174"/>
      <c r="GU94" s="174"/>
      <c r="GV94" s="174"/>
      <c r="GW94" s="174"/>
      <c r="GX94" s="174"/>
      <c r="GY94" s="174"/>
      <c r="GZ94" s="174"/>
      <c r="HA94" s="174"/>
      <c r="HB94" s="174"/>
      <c r="HC94" s="174"/>
      <c r="HD94" s="174"/>
      <c r="HE94" s="174"/>
      <c r="HF94" s="174"/>
      <c r="HG94" s="174"/>
      <c r="HH94" s="174"/>
      <c r="HI94" s="174"/>
      <c r="HJ94" s="174"/>
      <c r="HK94" s="174"/>
      <c r="HL94" s="174"/>
      <c r="HM94" s="174"/>
      <c r="HN94" s="174"/>
      <c r="HO94" s="174"/>
      <c r="HP94" s="174"/>
      <c r="HQ94" s="176"/>
      <c r="HR94" s="176"/>
      <c r="HS94" s="176"/>
      <c r="HT94" s="176"/>
      <c r="HU94" s="176"/>
      <c r="HV94" s="176"/>
      <c r="HW94" s="176"/>
      <c r="HX94" s="176"/>
      <c r="HY94" s="176"/>
      <c r="HZ94" s="176"/>
      <c r="IA94" s="176"/>
      <c r="IB94" s="176"/>
      <c r="IC94" s="176"/>
      <c r="ID94" s="176"/>
      <c r="IE94" s="176"/>
      <c r="IF94" s="176"/>
      <c r="IG94" s="176"/>
      <c r="IH94" s="176"/>
      <c r="II94" s="176"/>
      <c r="IJ94" s="176"/>
    </row>
    <row r="95" spans="1:244" ht="16.5" hidden="1">
      <c r="A95" s="846" t="s">
        <v>1060</v>
      </c>
      <c r="B95" s="846" t="s">
        <v>1382</v>
      </c>
      <c r="C95" s="846" t="s">
        <v>1171</v>
      </c>
      <c r="D95" s="847">
        <v>6</v>
      </c>
      <c r="E95" s="846" t="s">
        <v>1171</v>
      </c>
      <c r="F95" s="846" t="s">
        <v>97</v>
      </c>
      <c r="G95" s="851"/>
      <c r="H95" s="847">
        <v>16</v>
      </c>
      <c r="I95" s="780" t="str">
        <f t="shared" si="2"/>
        <v>IWT060216</v>
      </c>
      <c r="J95" s="847">
        <v>4711</v>
      </c>
      <c r="L95" s="846" t="s">
        <v>1060</v>
      </c>
      <c r="M95" s="846" t="s">
        <v>1382</v>
      </c>
      <c r="N95" s="846" t="s">
        <v>97</v>
      </c>
      <c r="O95" s="847">
        <v>16</v>
      </c>
      <c r="P95" s="780" t="str">
        <f t="shared" si="3"/>
        <v>IWT060216</v>
      </c>
      <c r="Q95" s="847">
        <v>1111</v>
      </c>
      <c r="R95" s="847">
        <v>2952</v>
      </c>
      <c r="S95" s="847">
        <v>4758</v>
      </c>
      <c r="T95" s="847">
        <v>6528</v>
      </c>
      <c r="U95" s="847">
        <v>8263</v>
      </c>
      <c r="V95" s="847">
        <v>0</v>
      </c>
      <c r="W95" s="847">
        <v>0</v>
      </c>
      <c r="X95" s="847">
        <v>0</v>
      </c>
      <c r="Y95" s="847">
        <v>0</v>
      </c>
      <c r="Z95" s="847">
        <v>0</v>
      </c>
      <c r="AA95" s="847">
        <v>0</v>
      </c>
      <c r="AB95" s="847">
        <v>0</v>
      </c>
      <c r="AC95" s="847">
        <v>0</v>
      </c>
      <c r="AD95" s="847">
        <v>0</v>
      </c>
      <c r="AE95" s="847">
        <v>0</v>
      </c>
      <c r="AF95" s="847">
        <v>0</v>
      </c>
      <c r="AG95" s="847">
        <v>0</v>
      </c>
      <c r="AH95" s="847">
        <v>0</v>
      </c>
      <c r="AI95" s="847">
        <v>0</v>
      </c>
      <c r="AJ95" s="847">
        <v>0</v>
      </c>
      <c r="AK95" s="847">
        <v>0</v>
      </c>
      <c r="AL95" s="847">
        <v>0</v>
      </c>
      <c r="AM95" s="847">
        <v>0</v>
      </c>
      <c r="AN95" s="847">
        <v>0</v>
      </c>
      <c r="AO95" s="847">
        <v>0</v>
      </c>
      <c r="AP95" s="847">
        <v>0</v>
      </c>
      <c r="AQ95" s="847">
        <v>0</v>
      </c>
      <c r="AR95" s="847">
        <v>0</v>
      </c>
      <c r="AS95" s="847">
        <v>0</v>
      </c>
      <c r="AT95" s="847">
        <v>0</v>
      </c>
      <c r="AU95" s="847">
        <v>0</v>
      </c>
      <c r="AV95" s="847">
        <v>0</v>
      </c>
      <c r="AW95" s="847">
        <v>0</v>
      </c>
      <c r="AX95" s="847">
        <v>0</v>
      </c>
      <c r="AY95" s="847">
        <v>0</v>
      </c>
      <c r="AZ95" s="847">
        <v>0</v>
      </c>
      <c r="BA95" s="847">
        <v>0</v>
      </c>
      <c r="BB95" s="847">
        <v>0</v>
      </c>
      <c r="BC95" s="847">
        <v>0</v>
      </c>
      <c r="BD95" s="847">
        <v>0</v>
      </c>
      <c r="BE95" s="847">
        <v>0</v>
      </c>
      <c r="BF95" s="847">
        <v>0</v>
      </c>
      <c r="BG95" s="847">
        <v>0</v>
      </c>
      <c r="BH95" s="847">
        <v>0</v>
      </c>
      <c r="BI95" s="847">
        <v>0</v>
      </c>
      <c r="BJ95" s="847">
        <v>0</v>
      </c>
      <c r="BK95" s="847">
        <v>0</v>
      </c>
      <c r="BL95" s="847">
        <v>0</v>
      </c>
      <c r="BM95" s="847">
        <v>0</v>
      </c>
      <c r="BN95" s="847">
        <v>0</v>
      </c>
      <c r="BO95" s="847">
        <v>0</v>
      </c>
      <c r="BP95" s="847">
        <v>0</v>
      </c>
      <c r="BQ95" s="847">
        <v>0</v>
      </c>
      <c r="BR95" s="847">
        <v>0</v>
      </c>
      <c r="BS95" s="847">
        <v>0</v>
      </c>
      <c r="BT95" s="847">
        <v>0</v>
      </c>
      <c r="BU95" s="847">
        <v>0</v>
      </c>
      <c r="BV95" s="847">
        <v>0</v>
      </c>
      <c r="BW95" s="847">
        <v>0</v>
      </c>
      <c r="BX95" s="847">
        <v>0</v>
      </c>
      <c r="BY95" s="847">
        <v>0</v>
      </c>
      <c r="BZ95" s="847">
        <v>0</v>
      </c>
      <c r="CA95" s="847">
        <v>0</v>
      </c>
      <c r="CB95" s="847">
        <v>0</v>
      </c>
      <c r="CC95" s="847">
        <v>0</v>
      </c>
      <c r="CD95" s="847">
        <v>0</v>
      </c>
      <c r="CE95" s="847">
        <v>0</v>
      </c>
      <c r="CF95" s="847">
        <v>0</v>
      </c>
      <c r="CG95" s="847">
        <v>0</v>
      </c>
      <c r="CH95" s="847">
        <v>0</v>
      </c>
      <c r="CI95" s="847">
        <v>0</v>
      </c>
      <c r="CJ95" s="847">
        <v>0</v>
      </c>
      <c r="CK95" s="847">
        <v>0</v>
      </c>
      <c r="CL95" s="847">
        <v>0</v>
      </c>
      <c r="CM95" s="847">
        <v>0</v>
      </c>
      <c r="CN95" s="847">
        <v>0</v>
      </c>
      <c r="CO95" s="847">
        <v>0</v>
      </c>
      <c r="CP95" s="847">
        <v>0</v>
      </c>
      <c r="CQ95" s="847">
        <v>0</v>
      </c>
      <c r="CR95" s="847">
        <v>0</v>
      </c>
      <c r="CS95" s="847">
        <v>0</v>
      </c>
      <c r="CT95" s="847">
        <v>0</v>
      </c>
      <c r="CU95" s="847">
        <v>0</v>
      </c>
      <c r="CV95" s="847">
        <v>0</v>
      </c>
      <c r="CW95" s="847">
        <v>0</v>
      </c>
      <c r="CX95" s="847">
        <v>0</v>
      </c>
      <c r="CY95" s="847">
        <v>0</v>
      </c>
      <c r="CZ95" s="847">
        <v>0</v>
      </c>
      <c r="DA95" s="847">
        <v>0</v>
      </c>
      <c r="DB95" s="847">
        <v>0</v>
      </c>
      <c r="DC95" s="847">
        <v>0</v>
      </c>
      <c r="DD95" s="847">
        <v>0</v>
      </c>
      <c r="DE95" s="847">
        <v>0</v>
      </c>
      <c r="DF95" s="847">
        <v>0</v>
      </c>
      <c r="DG95" s="847">
        <v>0</v>
      </c>
      <c r="DH95" s="847">
        <v>0</v>
      </c>
      <c r="DI95" s="847">
        <v>0</v>
      </c>
      <c r="DJ95" s="847">
        <v>0</v>
      </c>
      <c r="DK95" s="847">
        <v>0</v>
      </c>
      <c r="DL95" s="847">
        <v>0</v>
      </c>
      <c r="DM95" s="847">
        <v>0</v>
      </c>
      <c r="DN95" s="847">
        <v>0</v>
      </c>
      <c r="DO95" s="847">
        <v>0</v>
      </c>
      <c r="DP95" s="847">
        <v>0</v>
      </c>
      <c r="DQ95" s="847">
        <v>0</v>
      </c>
      <c r="DR95" s="847">
        <v>0</v>
      </c>
      <c r="DS95" s="847">
        <v>0</v>
      </c>
      <c r="DT95" s="847">
        <v>0</v>
      </c>
      <c r="DU95" s="847">
        <v>0</v>
      </c>
      <c r="DV95" s="847">
        <v>0</v>
      </c>
      <c r="DW95" s="847">
        <v>0</v>
      </c>
      <c r="DY95" s="173"/>
      <c r="DZ95" s="173"/>
      <c r="EA95" s="173"/>
      <c r="EB95" s="174"/>
      <c r="EC95" s="175"/>
      <c r="ED95" s="174"/>
      <c r="EE95" s="174"/>
      <c r="EF95" s="174"/>
      <c r="EG95" s="174"/>
      <c r="EH95" s="174"/>
      <c r="EI95" s="174"/>
      <c r="EJ95" s="174"/>
      <c r="EK95" s="174"/>
      <c r="EL95" s="174"/>
      <c r="EM95" s="174"/>
      <c r="EN95" s="174"/>
      <c r="EO95" s="174"/>
      <c r="EP95" s="174"/>
      <c r="EQ95" s="174"/>
      <c r="ER95" s="174"/>
      <c r="ES95" s="174"/>
      <c r="ET95" s="174"/>
      <c r="EU95" s="174"/>
      <c r="EV95" s="174"/>
      <c r="EW95" s="174"/>
      <c r="EX95" s="174"/>
      <c r="EY95" s="174"/>
      <c r="EZ95" s="174"/>
      <c r="FA95" s="174"/>
      <c r="FB95" s="174"/>
      <c r="FC95" s="174"/>
      <c r="FD95" s="174"/>
      <c r="FE95" s="174"/>
      <c r="FF95" s="174"/>
      <c r="FG95" s="174"/>
      <c r="FH95" s="174"/>
      <c r="FI95" s="174"/>
      <c r="FJ95" s="174"/>
      <c r="FK95" s="174"/>
      <c r="FL95" s="174"/>
      <c r="FM95" s="174"/>
      <c r="FN95" s="174"/>
      <c r="FO95" s="174"/>
      <c r="FP95" s="174"/>
      <c r="FQ95" s="174"/>
      <c r="FR95" s="174"/>
      <c r="FS95" s="174"/>
      <c r="FT95" s="174"/>
      <c r="FU95" s="174"/>
      <c r="FV95" s="174"/>
      <c r="FW95" s="174"/>
      <c r="FX95" s="174"/>
      <c r="FY95" s="174"/>
      <c r="FZ95" s="174"/>
      <c r="GA95" s="174"/>
      <c r="GB95" s="174"/>
      <c r="GC95" s="174"/>
      <c r="GD95" s="174"/>
      <c r="GE95" s="174"/>
      <c r="GF95" s="174"/>
      <c r="GG95" s="174"/>
      <c r="GH95" s="174"/>
      <c r="GI95" s="174"/>
      <c r="GJ95" s="174"/>
      <c r="GK95" s="174"/>
      <c r="GL95" s="174"/>
      <c r="GM95" s="174"/>
      <c r="GN95" s="174"/>
      <c r="GO95" s="174"/>
      <c r="GP95" s="174"/>
      <c r="GQ95" s="174"/>
      <c r="GR95" s="174"/>
      <c r="GS95" s="174"/>
      <c r="GT95" s="174"/>
      <c r="GU95" s="174"/>
      <c r="GV95" s="174"/>
      <c r="GW95" s="174"/>
      <c r="GX95" s="174"/>
      <c r="GY95" s="174"/>
      <c r="GZ95" s="174"/>
      <c r="HA95" s="174"/>
      <c r="HB95" s="174"/>
      <c r="HC95" s="174"/>
      <c r="HD95" s="174"/>
      <c r="HE95" s="174"/>
      <c r="HF95" s="174"/>
      <c r="HG95" s="174"/>
      <c r="HH95" s="174"/>
      <c r="HI95" s="174"/>
      <c r="HJ95" s="174"/>
      <c r="HK95" s="174"/>
      <c r="HL95" s="174"/>
      <c r="HM95" s="174"/>
      <c r="HN95" s="174"/>
      <c r="HO95" s="174"/>
      <c r="HP95" s="176"/>
      <c r="HQ95" s="176"/>
      <c r="HR95" s="176"/>
      <c r="HS95" s="176"/>
      <c r="HT95" s="176"/>
      <c r="HU95" s="176"/>
      <c r="HV95" s="176"/>
      <c r="HW95" s="176"/>
      <c r="HX95" s="176"/>
      <c r="HY95" s="176"/>
      <c r="HZ95" s="176"/>
      <c r="IA95" s="176"/>
      <c r="IB95" s="176"/>
      <c r="IC95" s="176"/>
      <c r="ID95" s="176"/>
      <c r="IE95" s="176"/>
      <c r="IF95" s="176"/>
      <c r="IG95" s="176"/>
      <c r="IH95" s="176"/>
      <c r="II95" s="176"/>
      <c r="IJ95" s="176"/>
    </row>
    <row r="96" spans="1:244" ht="16.5" hidden="1">
      <c r="A96" s="846" t="s">
        <v>1060</v>
      </c>
      <c r="B96" s="846" t="s">
        <v>1382</v>
      </c>
      <c r="C96" s="846" t="s">
        <v>1171</v>
      </c>
      <c r="D96" s="847">
        <v>6</v>
      </c>
      <c r="E96" s="846" t="s">
        <v>1171</v>
      </c>
      <c r="F96" s="846" t="s">
        <v>97</v>
      </c>
      <c r="G96" s="851"/>
      <c r="H96" s="847">
        <v>17</v>
      </c>
      <c r="I96" s="780" t="str">
        <f t="shared" si="2"/>
        <v>IWT060217</v>
      </c>
      <c r="J96" s="847">
        <v>4734</v>
      </c>
      <c r="L96" s="846" t="s">
        <v>1060</v>
      </c>
      <c r="M96" s="846" t="s">
        <v>1382</v>
      </c>
      <c r="N96" s="846" t="s">
        <v>97</v>
      </c>
      <c r="O96" s="847">
        <v>17</v>
      </c>
      <c r="P96" s="780" t="str">
        <f t="shared" si="3"/>
        <v>IWT060217</v>
      </c>
      <c r="Q96" s="847">
        <v>1111</v>
      </c>
      <c r="R96" s="847">
        <v>2952</v>
      </c>
      <c r="S96" s="847">
        <v>4758</v>
      </c>
      <c r="T96" s="847">
        <v>6528</v>
      </c>
      <c r="U96" s="847">
        <v>8263</v>
      </c>
      <c r="V96" s="847">
        <v>0</v>
      </c>
      <c r="W96" s="847">
        <v>0</v>
      </c>
      <c r="X96" s="847">
        <v>0</v>
      </c>
      <c r="Y96" s="847">
        <v>0</v>
      </c>
      <c r="Z96" s="847">
        <v>0</v>
      </c>
      <c r="AA96" s="847">
        <v>0</v>
      </c>
      <c r="AB96" s="847">
        <v>0</v>
      </c>
      <c r="AC96" s="847">
        <v>0</v>
      </c>
      <c r="AD96" s="847">
        <v>0</v>
      </c>
      <c r="AE96" s="847">
        <v>0</v>
      </c>
      <c r="AF96" s="847">
        <v>0</v>
      </c>
      <c r="AG96" s="847">
        <v>0</v>
      </c>
      <c r="AH96" s="847">
        <v>0</v>
      </c>
      <c r="AI96" s="847">
        <v>0</v>
      </c>
      <c r="AJ96" s="847">
        <v>0</v>
      </c>
      <c r="AK96" s="847">
        <v>0</v>
      </c>
      <c r="AL96" s="847">
        <v>0</v>
      </c>
      <c r="AM96" s="847">
        <v>0</v>
      </c>
      <c r="AN96" s="847">
        <v>0</v>
      </c>
      <c r="AO96" s="847">
        <v>0</v>
      </c>
      <c r="AP96" s="847">
        <v>0</v>
      </c>
      <c r="AQ96" s="847">
        <v>0</v>
      </c>
      <c r="AR96" s="847">
        <v>0</v>
      </c>
      <c r="AS96" s="847">
        <v>0</v>
      </c>
      <c r="AT96" s="847">
        <v>0</v>
      </c>
      <c r="AU96" s="847">
        <v>0</v>
      </c>
      <c r="AV96" s="847">
        <v>0</v>
      </c>
      <c r="AW96" s="847">
        <v>0</v>
      </c>
      <c r="AX96" s="847">
        <v>0</v>
      </c>
      <c r="AY96" s="847">
        <v>0</v>
      </c>
      <c r="AZ96" s="847">
        <v>0</v>
      </c>
      <c r="BA96" s="847">
        <v>0</v>
      </c>
      <c r="BB96" s="847">
        <v>0</v>
      </c>
      <c r="BC96" s="847">
        <v>0</v>
      </c>
      <c r="BD96" s="847">
        <v>0</v>
      </c>
      <c r="BE96" s="847">
        <v>0</v>
      </c>
      <c r="BF96" s="847">
        <v>0</v>
      </c>
      <c r="BG96" s="847">
        <v>0</v>
      </c>
      <c r="BH96" s="847">
        <v>0</v>
      </c>
      <c r="BI96" s="847">
        <v>0</v>
      </c>
      <c r="BJ96" s="847">
        <v>0</v>
      </c>
      <c r="BK96" s="847">
        <v>0</v>
      </c>
      <c r="BL96" s="847">
        <v>0</v>
      </c>
      <c r="BM96" s="847">
        <v>0</v>
      </c>
      <c r="BN96" s="847">
        <v>0</v>
      </c>
      <c r="BO96" s="847">
        <v>0</v>
      </c>
      <c r="BP96" s="847">
        <v>0</v>
      </c>
      <c r="BQ96" s="847">
        <v>0</v>
      </c>
      <c r="BR96" s="847">
        <v>0</v>
      </c>
      <c r="BS96" s="847">
        <v>0</v>
      </c>
      <c r="BT96" s="847">
        <v>0</v>
      </c>
      <c r="BU96" s="847">
        <v>0</v>
      </c>
      <c r="BV96" s="847">
        <v>0</v>
      </c>
      <c r="BW96" s="847">
        <v>0</v>
      </c>
      <c r="BX96" s="847">
        <v>0</v>
      </c>
      <c r="BY96" s="847">
        <v>0</v>
      </c>
      <c r="BZ96" s="847">
        <v>0</v>
      </c>
      <c r="CA96" s="847">
        <v>0</v>
      </c>
      <c r="CB96" s="847">
        <v>0</v>
      </c>
      <c r="CC96" s="847">
        <v>0</v>
      </c>
      <c r="CD96" s="847">
        <v>0</v>
      </c>
      <c r="CE96" s="847">
        <v>0</v>
      </c>
      <c r="CF96" s="847">
        <v>0</v>
      </c>
      <c r="CG96" s="847">
        <v>0</v>
      </c>
      <c r="CH96" s="847">
        <v>0</v>
      </c>
      <c r="CI96" s="847">
        <v>0</v>
      </c>
      <c r="CJ96" s="847">
        <v>0</v>
      </c>
      <c r="CK96" s="847">
        <v>0</v>
      </c>
      <c r="CL96" s="847">
        <v>0</v>
      </c>
      <c r="CM96" s="847">
        <v>0</v>
      </c>
      <c r="CN96" s="847">
        <v>0</v>
      </c>
      <c r="CO96" s="847">
        <v>0</v>
      </c>
      <c r="CP96" s="847">
        <v>0</v>
      </c>
      <c r="CQ96" s="847">
        <v>0</v>
      </c>
      <c r="CR96" s="847">
        <v>0</v>
      </c>
      <c r="CS96" s="847">
        <v>0</v>
      </c>
      <c r="CT96" s="847">
        <v>0</v>
      </c>
      <c r="CU96" s="847">
        <v>0</v>
      </c>
      <c r="CV96" s="847">
        <v>0</v>
      </c>
      <c r="CW96" s="847">
        <v>0</v>
      </c>
      <c r="CX96" s="847">
        <v>0</v>
      </c>
      <c r="CY96" s="847">
        <v>0</v>
      </c>
      <c r="CZ96" s="847">
        <v>0</v>
      </c>
      <c r="DA96" s="847">
        <v>0</v>
      </c>
      <c r="DB96" s="847">
        <v>0</v>
      </c>
      <c r="DC96" s="847">
        <v>0</v>
      </c>
      <c r="DD96" s="847">
        <v>0</v>
      </c>
      <c r="DE96" s="847">
        <v>0</v>
      </c>
      <c r="DF96" s="847">
        <v>0</v>
      </c>
      <c r="DG96" s="847">
        <v>0</v>
      </c>
      <c r="DH96" s="847">
        <v>0</v>
      </c>
      <c r="DI96" s="847">
        <v>0</v>
      </c>
      <c r="DJ96" s="847">
        <v>0</v>
      </c>
      <c r="DK96" s="847">
        <v>0</v>
      </c>
      <c r="DL96" s="847">
        <v>0</v>
      </c>
      <c r="DM96" s="847">
        <v>0</v>
      </c>
      <c r="DN96" s="847">
        <v>0</v>
      </c>
      <c r="DO96" s="847">
        <v>0</v>
      </c>
      <c r="DP96" s="847">
        <v>0</v>
      </c>
      <c r="DQ96" s="847">
        <v>0</v>
      </c>
      <c r="DR96" s="847">
        <v>0</v>
      </c>
      <c r="DS96" s="847">
        <v>0</v>
      </c>
      <c r="DT96" s="847">
        <v>0</v>
      </c>
      <c r="DU96" s="847">
        <v>0</v>
      </c>
      <c r="DV96" s="847">
        <v>0</v>
      </c>
      <c r="DW96" s="847">
        <v>0</v>
      </c>
      <c r="DY96" s="173"/>
      <c r="DZ96" s="173"/>
      <c r="EA96" s="173"/>
      <c r="EB96" s="174"/>
      <c r="EC96" s="175"/>
      <c r="ED96" s="174"/>
      <c r="EE96" s="174"/>
      <c r="EF96" s="174"/>
      <c r="EG96" s="174"/>
      <c r="EH96" s="174"/>
      <c r="EI96" s="174"/>
      <c r="EJ96" s="174"/>
      <c r="EK96" s="174"/>
      <c r="EL96" s="174"/>
      <c r="EM96" s="174"/>
      <c r="EN96" s="174"/>
      <c r="EO96" s="174"/>
      <c r="EP96" s="174"/>
      <c r="EQ96" s="174"/>
      <c r="ER96" s="174"/>
      <c r="ES96" s="174"/>
      <c r="ET96" s="174"/>
      <c r="EU96" s="174"/>
      <c r="EV96" s="174"/>
      <c r="EW96" s="174"/>
      <c r="EX96" s="174"/>
      <c r="EY96" s="174"/>
      <c r="EZ96" s="174"/>
      <c r="FA96" s="174"/>
      <c r="FB96" s="174"/>
      <c r="FC96" s="174"/>
      <c r="FD96" s="174"/>
      <c r="FE96" s="174"/>
      <c r="FF96" s="174"/>
      <c r="FG96" s="174"/>
      <c r="FH96" s="174"/>
      <c r="FI96" s="174"/>
      <c r="FJ96" s="174"/>
      <c r="FK96" s="174"/>
      <c r="FL96" s="174"/>
      <c r="FM96" s="174"/>
      <c r="FN96" s="174"/>
      <c r="FO96" s="174"/>
      <c r="FP96" s="174"/>
      <c r="FQ96" s="174"/>
      <c r="FR96" s="174"/>
      <c r="FS96" s="174"/>
      <c r="FT96" s="174"/>
      <c r="FU96" s="174"/>
      <c r="FV96" s="174"/>
      <c r="FW96" s="174"/>
      <c r="FX96" s="174"/>
      <c r="FY96" s="174"/>
      <c r="FZ96" s="174"/>
      <c r="GA96" s="174"/>
      <c r="GB96" s="174"/>
      <c r="GC96" s="174"/>
      <c r="GD96" s="174"/>
      <c r="GE96" s="174"/>
      <c r="GF96" s="174"/>
      <c r="GG96" s="174"/>
      <c r="GH96" s="174"/>
      <c r="GI96" s="174"/>
      <c r="GJ96" s="174"/>
      <c r="GK96" s="174"/>
      <c r="GL96" s="174"/>
      <c r="GM96" s="174"/>
      <c r="GN96" s="174"/>
      <c r="GO96" s="174"/>
      <c r="GP96" s="174"/>
      <c r="GQ96" s="174"/>
      <c r="GR96" s="174"/>
      <c r="GS96" s="174"/>
      <c r="GT96" s="174"/>
      <c r="GU96" s="174"/>
      <c r="GV96" s="174"/>
      <c r="GW96" s="174"/>
      <c r="GX96" s="174"/>
      <c r="GY96" s="174"/>
      <c r="GZ96" s="174"/>
      <c r="HA96" s="174"/>
      <c r="HB96" s="174"/>
      <c r="HC96" s="174"/>
      <c r="HD96" s="174"/>
      <c r="HE96" s="174"/>
      <c r="HF96" s="174"/>
      <c r="HG96" s="174"/>
      <c r="HH96" s="174"/>
      <c r="HI96" s="174"/>
      <c r="HJ96" s="174"/>
      <c r="HK96" s="174"/>
      <c r="HL96" s="174"/>
      <c r="HM96" s="174"/>
      <c r="HN96" s="174"/>
      <c r="HO96" s="176"/>
      <c r="HP96" s="176"/>
      <c r="HQ96" s="176"/>
      <c r="HR96" s="176"/>
      <c r="HS96" s="176"/>
      <c r="HT96" s="176"/>
      <c r="HU96" s="176"/>
      <c r="HV96" s="176"/>
      <c r="HW96" s="176"/>
      <c r="HX96" s="176"/>
      <c r="HY96" s="176"/>
      <c r="HZ96" s="176"/>
      <c r="IA96" s="176"/>
      <c r="IB96" s="176"/>
      <c r="IC96" s="176"/>
      <c r="ID96" s="176"/>
      <c r="IE96" s="176"/>
      <c r="IF96" s="176"/>
      <c r="IG96" s="176"/>
      <c r="IH96" s="176"/>
      <c r="II96" s="176"/>
      <c r="IJ96" s="176"/>
    </row>
    <row r="97" spans="1:244" ht="16.5" hidden="1">
      <c r="A97" s="846" t="s">
        <v>1060</v>
      </c>
      <c r="B97" s="846" t="s">
        <v>1382</v>
      </c>
      <c r="C97" s="846" t="s">
        <v>1171</v>
      </c>
      <c r="D97" s="847">
        <v>6</v>
      </c>
      <c r="E97" s="846" t="s">
        <v>1171</v>
      </c>
      <c r="F97" s="846" t="s">
        <v>97</v>
      </c>
      <c r="G97" s="851"/>
      <c r="H97" s="847">
        <v>18</v>
      </c>
      <c r="I97" s="780" t="str">
        <f t="shared" si="2"/>
        <v>IWT060218</v>
      </c>
      <c r="J97" s="847">
        <v>4756</v>
      </c>
      <c r="L97" s="846" t="s">
        <v>1060</v>
      </c>
      <c r="M97" s="846" t="s">
        <v>1382</v>
      </c>
      <c r="N97" s="846" t="s">
        <v>97</v>
      </c>
      <c r="O97" s="847">
        <v>18</v>
      </c>
      <c r="P97" s="780" t="str">
        <f t="shared" si="3"/>
        <v>IWT060218</v>
      </c>
      <c r="Q97" s="847">
        <v>1111</v>
      </c>
      <c r="R97" s="847">
        <v>2952</v>
      </c>
      <c r="S97" s="847">
        <v>4758</v>
      </c>
      <c r="T97" s="847">
        <v>6528</v>
      </c>
      <c r="U97" s="847">
        <v>8263</v>
      </c>
      <c r="V97" s="847">
        <v>0</v>
      </c>
      <c r="W97" s="847">
        <v>0</v>
      </c>
      <c r="X97" s="847">
        <v>0</v>
      </c>
      <c r="Y97" s="847">
        <v>0</v>
      </c>
      <c r="Z97" s="847">
        <v>0</v>
      </c>
      <c r="AA97" s="847">
        <v>0</v>
      </c>
      <c r="AB97" s="847">
        <v>0</v>
      </c>
      <c r="AC97" s="847">
        <v>0</v>
      </c>
      <c r="AD97" s="847">
        <v>0</v>
      </c>
      <c r="AE97" s="847">
        <v>0</v>
      </c>
      <c r="AF97" s="847">
        <v>0</v>
      </c>
      <c r="AG97" s="847">
        <v>0</v>
      </c>
      <c r="AH97" s="847">
        <v>0</v>
      </c>
      <c r="AI97" s="847">
        <v>0</v>
      </c>
      <c r="AJ97" s="847">
        <v>0</v>
      </c>
      <c r="AK97" s="847">
        <v>0</v>
      </c>
      <c r="AL97" s="847">
        <v>0</v>
      </c>
      <c r="AM97" s="847">
        <v>0</v>
      </c>
      <c r="AN97" s="847">
        <v>0</v>
      </c>
      <c r="AO97" s="847">
        <v>0</v>
      </c>
      <c r="AP97" s="847">
        <v>0</v>
      </c>
      <c r="AQ97" s="847">
        <v>0</v>
      </c>
      <c r="AR97" s="847">
        <v>0</v>
      </c>
      <c r="AS97" s="847">
        <v>0</v>
      </c>
      <c r="AT97" s="847">
        <v>0</v>
      </c>
      <c r="AU97" s="847">
        <v>0</v>
      </c>
      <c r="AV97" s="847">
        <v>0</v>
      </c>
      <c r="AW97" s="847">
        <v>0</v>
      </c>
      <c r="AX97" s="847">
        <v>0</v>
      </c>
      <c r="AY97" s="847">
        <v>0</v>
      </c>
      <c r="AZ97" s="847">
        <v>0</v>
      </c>
      <c r="BA97" s="847">
        <v>0</v>
      </c>
      <c r="BB97" s="847">
        <v>0</v>
      </c>
      <c r="BC97" s="847">
        <v>0</v>
      </c>
      <c r="BD97" s="847">
        <v>0</v>
      </c>
      <c r="BE97" s="847">
        <v>0</v>
      </c>
      <c r="BF97" s="847">
        <v>0</v>
      </c>
      <c r="BG97" s="847">
        <v>0</v>
      </c>
      <c r="BH97" s="847">
        <v>0</v>
      </c>
      <c r="BI97" s="847">
        <v>0</v>
      </c>
      <c r="BJ97" s="847">
        <v>0</v>
      </c>
      <c r="BK97" s="847">
        <v>0</v>
      </c>
      <c r="BL97" s="847">
        <v>0</v>
      </c>
      <c r="BM97" s="847">
        <v>0</v>
      </c>
      <c r="BN97" s="847">
        <v>0</v>
      </c>
      <c r="BO97" s="847">
        <v>0</v>
      </c>
      <c r="BP97" s="847">
        <v>0</v>
      </c>
      <c r="BQ97" s="847">
        <v>0</v>
      </c>
      <c r="BR97" s="847">
        <v>0</v>
      </c>
      <c r="BS97" s="847">
        <v>0</v>
      </c>
      <c r="BT97" s="847">
        <v>0</v>
      </c>
      <c r="BU97" s="847">
        <v>0</v>
      </c>
      <c r="BV97" s="847">
        <v>0</v>
      </c>
      <c r="BW97" s="847">
        <v>0</v>
      </c>
      <c r="BX97" s="847">
        <v>0</v>
      </c>
      <c r="BY97" s="847">
        <v>0</v>
      </c>
      <c r="BZ97" s="847">
        <v>0</v>
      </c>
      <c r="CA97" s="847">
        <v>0</v>
      </c>
      <c r="CB97" s="847">
        <v>0</v>
      </c>
      <c r="CC97" s="847">
        <v>0</v>
      </c>
      <c r="CD97" s="847">
        <v>0</v>
      </c>
      <c r="CE97" s="847">
        <v>0</v>
      </c>
      <c r="CF97" s="847">
        <v>0</v>
      </c>
      <c r="CG97" s="847">
        <v>0</v>
      </c>
      <c r="CH97" s="847">
        <v>0</v>
      </c>
      <c r="CI97" s="847">
        <v>0</v>
      </c>
      <c r="CJ97" s="847">
        <v>0</v>
      </c>
      <c r="CK97" s="847">
        <v>0</v>
      </c>
      <c r="CL97" s="847">
        <v>0</v>
      </c>
      <c r="CM97" s="847">
        <v>0</v>
      </c>
      <c r="CN97" s="847">
        <v>0</v>
      </c>
      <c r="CO97" s="847">
        <v>0</v>
      </c>
      <c r="CP97" s="847">
        <v>0</v>
      </c>
      <c r="CQ97" s="847">
        <v>0</v>
      </c>
      <c r="CR97" s="847">
        <v>0</v>
      </c>
      <c r="CS97" s="847">
        <v>0</v>
      </c>
      <c r="CT97" s="847">
        <v>0</v>
      </c>
      <c r="CU97" s="847">
        <v>0</v>
      </c>
      <c r="CV97" s="847">
        <v>0</v>
      </c>
      <c r="CW97" s="847">
        <v>0</v>
      </c>
      <c r="CX97" s="847">
        <v>0</v>
      </c>
      <c r="CY97" s="847">
        <v>0</v>
      </c>
      <c r="CZ97" s="847">
        <v>0</v>
      </c>
      <c r="DA97" s="847">
        <v>0</v>
      </c>
      <c r="DB97" s="847">
        <v>0</v>
      </c>
      <c r="DC97" s="847">
        <v>0</v>
      </c>
      <c r="DD97" s="847">
        <v>0</v>
      </c>
      <c r="DE97" s="847">
        <v>0</v>
      </c>
      <c r="DF97" s="847">
        <v>0</v>
      </c>
      <c r="DG97" s="847">
        <v>0</v>
      </c>
      <c r="DH97" s="847">
        <v>0</v>
      </c>
      <c r="DI97" s="847">
        <v>0</v>
      </c>
      <c r="DJ97" s="847">
        <v>0</v>
      </c>
      <c r="DK97" s="847">
        <v>0</v>
      </c>
      <c r="DL97" s="847">
        <v>0</v>
      </c>
      <c r="DM97" s="847">
        <v>0</v>
      </c>
      <c r="DN97" s="847">
        <v>0</v>
      </c>
      <c r="DO97" s="847">
        <v>0</v>
      </c>
      <c r="DP97" s="847">
        <v>0</v>
      </c>
      <c r="DQ97" s="847">
        <v>0</v>
      </c>
      <c r="DR97" s="847">
        <v>0</v>
      </c>
      <c r="DS97" s="847">
        <v>0</v>
      </c>
      <c r="DT97" s="847">
        <v>0</v>
      </c>
      <c r="DU97" s="847">
        <v>0</v>
      </c>
      <c r="DV97" s="847">
        <v>0</v>
      </c>
      <c r="DW97" s="847">
        <v>0</v>
      </c>
      <c r="DY97" s="173"/>
      <c r="DZ97" s="173"/>
      <c r="EA97" s="173"/>
      <c r="EB97" s="174"/>
      <c r="EC97" s="175"/>
      <c r="ED97" s="174"/>
      <c r="EE97" s="174"/>
      <c r="EF97" s="174"/>
      <c r="EG97" s="174"/>
      <c r="EH97" s="174"/>
      <c r="EI97" s="174"/>
      <c r="EJ97" s="174"/>
      <c r="EK97" s="174"/>
      <c r="EL97" s="174"/>
      <c r="EM97" s="174"/>
      <c r="EN97" s="174"/>
      <c r="EO97" s="174"/>
      <c r="EP97" s="174"/>
      <c r="EQ97" s="174"/>
      <c r="ER97" s="174"/>
      <c r="ES97" s="174"/>
      <c r="ET97" s="174"/>
      <c r="EU97" s="174"/>
      <c r="EV97" s="174"/>
      <c r="EW97" s="174"/>
      <c r="EX97" s="174"/>
      <c r="EY97" s="174"/>
      <c r="EZ97" s="174"/>
      <c r="FA97" s="174"/>
      <c r="FB97" s="174"/>
      <c r="FC97" s="174"/>
      <c r="FD97" s="174"/>
      <c r="FE97" s="174"/>
      <c r="FF97" s="174"/>
      <c r="FG97" s="174"/>
      <c r="FH97" s="174"/>
      <c r="FI97" s="174"/>
      <c r="FJ97" s="174"/>
      <c r="FK97" s="174"/>
      <c r="FL97" s="174"/>
      <c r="FM97" s="174"/>
      <c r="FN97" s="174"/>
      <c r="FO97" s="174"/>
      <c r="FP97" s="174"/>
      <c r="FQ97" s="174"/>
      <c r="FR97" s="174"/>
      <c r="FS97" s="174"/>
      <c r="FT97" s="174"/>
      <c r="FU97" s="174"/>
      <c r="FV97" s="174"/>
      <c r="FW97" s="174"/>
      <c r="FX97" s="174"/>
      <c r="FY97" s="174"/>
      <c r="FZ97" s="174"/>
      <c r="GA97" s="174"/>
      <c r="GB97" s="174"/>
      <c r="GC97" s="174"/>
      <c r="GD97" s="174"/>
      <c r="GE97" s="174"/>
      <c r="GF97" s="174"/>
      <c r="GG97" s="174"/>
      <c r="GH97" s="174"/>
      <c r="GI97" s="174"/>
      <c r="GJ97" s="174"/>
      <c r="GK97" s="174"/>
      <c r="GL97" s="174"/>
      <c r="GM97" s="174"/>
      <c r="GN97" s="174"/>
      <c r="GO97" s="174"/>
      <c r="GP97" s="174"/>
      <c r="GQ97" s="174"/>
      <c r="GR97" s="174"/>
      <c r="GS97" s="174"/>
      <c r="GT97" s="174"/>
      <c r="GU97" s="174"/>
      <c r="GV97" s="174"/>
      <c r="GW97" s="174"/>
      <c r="GX97" s="174"/>
      <c r="GY97" s="174"/>
      <c r="GZ97" s="174"/>
      <c r="HA97" s="174"/>
      <c r="HB97" s="174"/>
      <c r="HC97" s="174"/>
      <c r="HD97" s="174"/>
      <c r="HE97" s="174"/>
      <c r="HF97" s="174"/>
      <c r="HG97" s="174"/>
      <c r="HH97" s="174"/>
      <c r="HI97" s="174"/>
      <c r="HJ97" s="174"/>
      <c r="HK97" s="174"/>
      <c r="HL97" s="174"/>
      <c r="HM97" s="174"/>
      <c r="HN97" s="176"/>
      <c r="HO97" s="176"/>
      <c r="HP97" s="176"/>
      <c r="HQ97" s="176"/>
      <c r="HR97" s="176"/>
      <c r="HS97" s="176"/>
      <c r="HT97" s="176"/>
      <c r="HU97" s="176"/>
      <c r="HV97" s="176"/>
      <c r="HW97" s="176"/>
      <c r="HX97" s="176"/>
      <c r="HY97" s="176"/>
      <c r="HZ97" s="176"/>
      <c r="IA97" s="176"/>
      <c r="IB97" s="176"/>
      <c r="IC97" s="176"/>
      <c r="ID97" s="176"/>
      <c r="IE97" s="176"/>
      <c r="IF97" s="176"/>
      <c r="IG97" s="176"/>
      <c r="IH97" s="176"/>
      <c r="II97" s="176"/>
      <c r="IJ97" s="176"/>
    </row>
    <row r="98" spans="1:244" ht="16.5" hidden="1">
      <c r="A98" s="846" t="s">
        <v>1060</v>
      </c>
      <c r="B98" s="846" t="s">
        <v>1382</v>
      </c>
      <c r="C98" s="846" t="s">
        <v>1171</v>
      </c>
      <c r="D98" s="847">
        <v>6</v>
      </c>
      <c r="E98" s="846" t="s">
        <v>1171</v>
      </c>
      <c r="F98" s="846" t="s">
        <v>97</v>
      </c>
      <c r="G98" s="851"/>
      <c r="H98" s="847">
        <v>19</v>
      </c>
      <c r="I98" s="780" t="str">
        <f t="shared" si="2"/>
        <v>IWT060219</v>
      </c>
      <c r="J98" s="847">
        <v>4778</v>
      </c>
      <c r="L98" s="846" t="s">
        <v>1060</v>
      </c>
      <c r="M98" s="846" t="s">
        <v>1382</v>
      </c>
      <c r="N98" s="846" t="s">
        <v>97</v>
      </c>
      <c r="O98" s="847">
        <v>19</v>
      </c>
      <c r="P98" s="780" t="str">
        <f t="shared" si="3"/>
        <v>IWT060219</v>
      </c>
      <c r="Q98" s="847">
        <v>1111</v>
      </c>
      <c r="R98" s="847">
        <v>2953</v>
      </c>
      <c r="S98" s="847">
        <v>4758</v>
      </c>
      <c r="T98" s="847">
        <v>6528</v>
      </c>
      <c r="U98" s="847">
        <v>8264</v>
      </c>
      <c r="V98" s="847">
        <v>0</v>
      </c>
      <c r="W98" s="847">
        <v>0</v>
      </c>
      <c r="X98" s="847">
        <v>0</v>
      </c>
      <c r="Y98" s="847">
        <v>0</v>
      </c>
      <c r="Z98" s="847">
        <v>0</v>
      </c>
      <c r="AA98" s="847">
        <v>0</v>
      </c>
      <c r="AB98" s="847">
        <v>0</v>
      </c>
      <c r="AC98" s="847">
        <v>0</v>
      </c>
      <c r="AD98" s="847">
        <v>0</v>
      </c>
      <c r="AE98" s="847">
        <v>0</v>
      </c>
      <c r="AF98" s="847">
        <v>0</v>
      </c>
      <c r="AG98" s="847">
        <v>0</v>
      </c>
      <c r="AH98" s="847">
        <v>0</v>
      </c>
      <c r="AI98" s="847">
        <v>0</v>
      </c>
      <c r="AJ98" s="847">
        <v>0</v>
      </c>
      <c r="AK98" s="847">
        <v>0</v>
      </c>
      <c r="AL98" s="847">
        <v>0</v>
      </c>
      <c r="AM98" s="847">
        <v>0</v>
      </c>
      <c r="AN98" s="847">
        <v>0</v>
      </c>
      <c r="AO98" s="847">
        <v>0</v>
      </c>
      <c r="AP98" s="847">
        <v>0</v>
      </c>
      <c r="AQ98" s="847">
        <v>0</v>
      </c>
      <c r="AR98" s="847">
        <v>0</v>
      </c>
      <c r="AS98" s="847">
        <v>0</v>
      </c>
      <c r="AT98" s="847">
        <v>0</v>
      </c>
      <c r="AU98" s="847">
        <v>0</v>
      </c>
      <c r="AV98" s="847">
        <v>0</v>
      </c>
      <c r="AW98" s="847">
        <v>0</v>
      </c>
      <c r="AX98" s="847">
        <v>0</v>
      </c>
      <c r="AY98" s="847">
        <v>0</v>
      </c>
      <c r="AZ98" s="847">
        <v>0</v>
      </c>
      <c r="BA98" s="847">
        <v>0</v>
      </c>
      <c r="BB98" s="847">
        <v>0</v>
      </c>
      <c r="BC98" s="847">
        <v>0</v>
      </c>
      <c r="BD98" s="847">
        <v>0</v>
      </c>
      <c r="BE98" s="847">
        <v>0</v>
      </c>
      <c r="BF98" s="847">
        <v>0</v>
      </c>
      <c r="BG98" s="847">
        <v>0</v>
      </c>
      <c r="BH98" s="847">
        <v>0</v>
      </c>
      <c r="BI98" s="847">
        <v>0</v>
      </c>
      <c r="BJ98" s="847">
        <v>0</v>
      </c>
      <c r="BK98" s="847">
        <v>0</v>
      </c>
      <c r="BL98" s="847">
        <v>0</v>
      </c>
      <c r="BM98" s="847">
        <v>0</v>
      </c>
      <c r="BN98" s="847">
        <v>0</v>
      </c>
      <c r="BO98" s="847">
        <v>0</v>
      </c>
      <c r="BP98" s="847">
        <v>0</v>
      </c>
      <c r="BQ98" s="847">
        <v>0</v>
      </c>
      <c r="BR98" s="847">
        <v>0</v>
      </c>
      <c r="BS98" s="847">
        <v>0</v>
      </c>
      <c r="BT98" s="847">
        <v>0</v>
      </c>
      <c r="BU98" s="847">
        <v>0</v>
      </c>
      <c r="BV98" s="847">
        <v>0</v>
      </c>
      <c r="BW98" s="847">
        <v>0</v>
      </c>
      <c r="BX98" s="847">
        <v>0</v>
      </c>
      <c r="BY98" s="847">
        <v>0</v>
      </c>
      <c r="BZ98" s="847">
        <v>0</v>
      </c>
      <c r="CA98" s="847">
        <v>0</v>
      </c>
      <c r="CB98" s="847">
        <v>0</v>
      </c>
      <c r="CC98" s="847">
        <v>0</v>
      </c>
      <c r="CD98" s="847">
        <v>0</v>
      </c>
      <c r="CE98" s="847">
        <v>0</v>
      </c>
      <c r="CF98" s="847">
        <v>0</v>
      </c>
      <c r="CG98" s="847">
        <v>0</v>
      </c>
      <c r="CH98" s="847">
        <v>0</v>
      </c>
      <c r="CI98" s="847">
        <v>0</v>
      </c>
      <c r="CJ98" s="847">
        <v>0</v>
      </c>
      <c r="CK98" s="847">
        <v>0</v>
      </c>
      <c r="CL98" s="847">
        <v>0</v>
      </c>
      <c r="CM98" s="847">
        <v>0</v>
      </c>
      <c r="CN98" s="847">
        <v>0</v>
      </c>
      <c r="CO98" s="847">
        <v>0</v>
      </c>
      <c r="CP98" s="847">
        <v>0</v>
      </c>
      <c r="CQ98" s="847">
        <v>0</v>
      </c>
      <c r="CR98" s="847">
        <v>0</v>
      </c>
      <c r="CS98" s="847">
        <v>0</v>
      </c>
      <c r="CT98" s="847">
        <v>0</v>
      </c>
      <c r="CU98" s="847">
        <v>0</v>
      </c>
      <c r="CV98" s="847">
        <v>0</v>
      </c>
      <c r="CW98" s="847">
        <v>0</v>
      </c>
      <c r="CX98" s="847">
        <v>0</v>
      </c>
      <c r="CY98" s="847">
        <v>0</v>
      </c>
      <c r="CZ98" s="847">
        <v>0</v>
      </c>
      <c r="DA98" s="847">
        <v>0</v>
      </c>
      <c r="DB98" s="847">
        <v>0</v>
      </c>
      <c r="DC98" s="847">
        <v>0</v>
      </c>
      <c r="DD98" s="847">
        <v>0</v>
      </c>
      <c r="DE98" s="847">
        <v>0</v>
      </c>
      <c r="DF98" s="847">
        <v>0</v>
      </c>
      <c r="DG98" s="847">
        <v>0</v>
      </c>
      <c r="DH98" s="847">
        <v>0</v>
      </c>
      <c r="DI98" s="847">
        <v>0</v>
      </c>
      <c r="DJ98" s="847">
        <v>0</v>
      </c>
      <c r="DK98" s="847">
        <v>0</v>
      </c>
      <c r="DL98" s="847">
        <v>0</v>
      </c>
      <c r="DM98" s="847">
        <v>0</v>
      </c>
      <c r="DN98" s="847">
        <v>0</v>
      </c>
      <c r="DO98" s="847">
        <v>0</v>
      </c>
      <c r="DP98" s="847">
        <v>0</v>
      </c>
      <c r="DQ98" s="847">
        <v>0</v>
      </c>
      <c r="DR98" s="847">
        <v>0</v>
      </c>
      <c r="DS98" s="847">
        <v>0</v>
      </c>
      <c r="DT98" s="847">
        <v>0</v>
      </c>
      <c r="DU98" s="847">
        <v>0</v>
      </c>
      <c r="DV98" s="847">
        <v>0</v>
      </c>
      <c r="DW98" s="847">
        <v>0</v>
      </c>
      <c r="DY98" s="173"/>
      <c r="DZ98" s="173"/>
      <c r="EA98" s="173"/>
      <c r="EB98" s="174"/>
      <c r="EC98" s="175"/>
      <c r="ED98" s="174"/>
      <c r="EE98" s="174"/>
      <c r="EF98" s="174"/>
      <c r="EG98" s="174"/>
      <c r="EH98" s="174"/>
      <c r="EI98" s="174"/>
      <c r="EJ98" s="174"/>
      <c r="EK98" s="174"/>
      <c r="EL98" s="174"/>
      <c r="EM98" s="174"/>
      <c r="EN98" s="174"/>
      <c r="EO98" s="174"/>
      <c r="EP98" s="174"/>
      <c r="EQ98" s="174"/>
      <c r="ER98" s="174"/>
      <c r="ES98" s="174"/>
      <c r="ET98" s="174"/>
      <c r="EU98" s="174"/>
      <c r="EV98" s="174"/>
      <c r="EW98" s="174"/>
      <c r="EX98" s="174"/>
      <c r="EY98" s="174"/>
      <c r="EZ98" s="174"/>
      <c r="FA98" s="174"/>
      <c r="FB98" s="174"/>
      <c r="FC98" s="174"/>
      <c r="FD98" s="174"/>
      <c r="FE98" s="174"/>
      <c r="FF98" s="174"/>
      <c r="FG98" s="174"/>
      <c r="FH98" s="174"/>
      <c r="FI98" s="174"/>
      <c r="FJ98" s="174"/>
      <c r="FK98" s="174"/>
      <c r="FL98" s="174"/>
      <c r="FM98" s="174"/>
      <c r="FN98" s="174"/>
      <c r="FO98" s="174"/>
      <c r="FP98" s="174"/>
      <c r="FQ98" s="174"/>
      <c r="FR98" s="174"/>
      <c r="FS98" s="174"/>
      <c r="FT98" s="174"/>
      <c r="FU98" s="174"/>
      <c r="FV98" s="174"/>
      <c r="FW98" s="174"/>
      <c r="FX98" s="174"/>
      <c r="FY98" s="174"/>
      <c r="FZ98" s="174"/>
      <c r="GA98" s="174"/>
      <c r="GB98" s="174"/>
      <c r="GC98" s="174"/>
      <c r="GD98" s="174"/>
      <c r="GE98" s="174"/>
      <c r="GF98" s="174"/>
      <c r="GG98" s="174"/>
      <c r="GH98" s="174"/>
      <c r="GI98" s="174"/>
      <c r="GJ98" s="174"/>
      <c r="GK98" s="174"/>
      <c r="GL98" s="174"/>
      <c r="GM98" s="174"/>
      <c r="GN98" s="174"/>
      <c r="GO98" s="174"/>
      <c r="GP98" s="174"/>
      <c r="GQ98" s="174"/>
      <c r="GR98" s="174"/>
      <c r="GS98" s="174"/>
      <c r="GT98" s="174"/>
      <c r="GU98" s="174"/>
      <c r="GV98" s="174"/>
      <c r="GW98" s="174"/>
      <c r="GX98" s="174"/>
      <c r="GY98" s="174"/>
      <c r="GZ98" s="174"/>
      <c r="HA98" s="174"/>
      <c r="HB98" s="174"/>
      <c r="HC98" s="174"/>
      <c r="HD98" s="174"/>
      <c r="HE98" s="174"/>
      <c r="HF98" s="174"/>
      <c r="HG98" s="174"/>
      <c r="HH98" s="174"/>
      <c r="HI98" s="174"/>
      <c r="HJ98" s="174"/>
      <c r="HK98" s="174"/>
      <c r="HL98" s="174"/>
      <c r="HM98" s="176"/>
      <c r="HN98" s="176"/>
      <c r="HO98" s="176"/>
      <c r="HP98" s="176"/>
      <c r="HQ98" s="176"/>
      <c r="HR98" s="176"/>
      <c r="HS98" s="176"/>
      <c r="HT98" s="176"/>
      <c r="HU98" s="176"/>
      <c r="HV98" s="176"/>
      <c r="HW98" s="176"/>
      <c r="HX98" s="176"/>
      <c r="HY98" s="176"/>
      <c r="HZ98" s="176"/>
      <c r="IA98" s="176"/>
      <c r="IB98" s="176"/>
      <c r="IC98" s="176"/>
      <c r="ID98" s="176"/>
      <c r="IE98" s="176"/>
      <c r="IF98" s="176"/>
      <c r="IG98" s="176"/>
      <c r="IH98" s="176"/>
      <c r="II98" s="176"/>
      <c r="IJ98" s="176"/>
    </row>
    <row r="99" spans="1:244" ht="16.5" hidden="1">
      <c r="A99" s="846" t="s">
        <v>1060</v>
      </c>
      <c r="B99" s="846" t="s">
        <v>1382</v>
      </c>
      <c r="C99" s="846" t="s">
        <v>1171</v>
      </c>
      <c r="D99" s="847">
        <v>6</v>
      </c>
      <c r="E99" s="846" t="s">
        <v>1171</v>
      </c>
      <c r="F99" s="846" t="s">
        <v>97</v>
      </c>
      <c r="G99" s="851"/>
      <c r="H99" s="847">
        <v>20</v>
      </c>
      <c r="I99" s="780" t="str">
        <f t="shared" si="2"/>
        <v>IWT060220</v>
      </c>
      <c r="J99" s="847">
        <v>4798</v>
      </c>
      <c r="L99" s="846" t="s">
        <v>1060</v>
      </c>
      <c r="M99" s="846" t="s">
        <v>1382</v>
      </c>
      <c r="N99" s="846" t="s">
        <v>97</v>
      </c>
      <c r="O99" s="847">
        <v>20</v>
      </c>
      <c r="P99" s="780" t="str">
        <f t="shared" si="3"/>
        <v>IWT060220</v>
      </c>
      <c r="Q99" s="847">
        <v>1111</v>
      </c>
      <c r="R99" s="847">
        <v>2953</v>
      </c>
      <c r="S99" s="847">
        <v>4758</v>
      </c>
      <c r="T99" s="847">
        <v>6528</v>
      </c>
      <c r="U99" s="847">
        <v>8263</v>
      </c>
      <c r="V99" s="847">
        <v>0</v>
      </c>
      <c r="W99" s="847">
        <v>0</v>
      </c>
      <c r="X99" s="847">
        <v>0</v>
      </c>
      <c r="Y99" s="847">
        <v>0</v>
      </c>
      <c r="Z99" s="847">
        <v>0</v>
      </c>
      <c r="AA99" s="847">
        <v>0</v>
      </c>
      <c r="AB99" s="847">
        <v>0</v>
      </c>
      <c r="AC99" s="847">
        <v>0</v>
      </c>
      <c r="AD99" s="847">
        <v>0</v>
      </c>
      <c r="AE99" s="847">
        <v>0</v>
      </c>
      <c r="AF99" s="847">
        <v>0</v>
      </c>
      <c r="AG99" s="847">
        <v>0</v>
      </c>
      <c r="AH99" s="847">
        <v>0</v>
      </c>
      <c r="AI99" s="847">
        <v>0</v>
      </c>
      <c r="AJ99" s="847">
        <v>0</v>
      </c>
      <c r="AK99" s="847">
        <v>0</v>
      </c>
      <c r="AL99" s="847">
        <v>0</v>
      </c>
      <c r="AM99" s="847">
        <v>0</v>
      </c>
      <c r="AN99" s="847">
        <v>0</v>
      </c>
      <c r="AO99" s="847">
        <v>0</v>
      </c>
      <c r="AP99" s="847">
        <v>0</v>
      </c>
      <c r="AQ99" s="847">
        <v>0</v>
      </c>
      <c r="AR99" s="847">
        <v>0</v>
      </c>
      <c r="AS99" s="847">
        <v>0</v>
      </c>
      <c r="AT99" s="847">
        <v>0</v>
      </c>
      <c r="AU99" s="847">
        <v>0</v>
      </c>
      <c r="AV99" s="847">
        <v>0</v>
      </c>
      <c r="AW99" s="847">
        <v>0</v>
      </c>
      <c r="AX99" s="847">
        <v>0</v>
      </c>
      <c r="AY99" s="847">
        <v>0</v>
      </c>
      <c r="AZ99" s="847">
        <v>0</v>
      </c>
      <c r="BA99" s="847">
        <v>0</v>
      </c>
      <c r="BB99" s="847">
        <v>0</v>
      </c>
      <c r="BC99" s="847">
        <v>0</v>
      </c>
      <c r="BD99" s="847">
        <v>0</v>
      </c>
      <c r="BE99" s="847">
        <v>0</v>
      </c>
      <c r="BF99" s="847">
        <v>0</v>
      </c>
      <c r="BG99" s="847">
        <v>0</v>
      </c>
      <c r="BH99" s="847">
        <v>0</v>
      </c>
      <c r="BI99" s="847">
        <v>0</v>
      </c>
      <c r="BJ99" s="847">
        <v>0</v>
      </c>
      <c r="BK99" s="847">
        <v>0</v>
      </c>
      <c r="BL99" s="847">
        <v>0</v>
      </c>
      <c r="BM99" s="847">
        <v>0</v>
      </c>
      <c r="BN99" s="847">
        <v>0</v>
      </c>
      <c r="BO99" s="847">
        <v>0</v>
      </c>
      <c r="BP99" s="847">
        <v>0</v>
      </c>
      <c r="BQ99" s="847">
        <v>0</v>
      </c>
      <c r="BR99" s="847">
        <v>0</v>
      </c>
      <c r="BS99" s="847">
        <v>0</v>
      </c>
      <c r="BT99" s="847">
        <v>0</v>
      </c>
      <c r="BU99" s="847">
        <v>0</v>
      </c>
      <c r="BV99" s="847">
        <v>0</v>
      </c>
      <c r="BW99" s="847">
        <v>0</v>
      </c>
      <c r="BX99" s="847">
        <v>0</v>
      </c>
      <c r="BY99" s="847">
        <v>0</v>
      </c>
      <c r="BZ99" s="847">
        <v>0</v>
      </c>
      <c r="CA99" s="847">
        <v>0</v>
      </c>
      <c r="CB99" s="847">
        <v>0</v>
      </c>
      <c r="CC99" s="847">
        <v>0</v>
      </c>
      <c r="CD99" s="847">
        <v>0</v>
      </c>
      <c r="CE99" s="847">
        <v>0</v>
      </c>
      <c r="CF99" s="847">
        <v>0</v>
      </c>
      <c r="CG99" s="847">
        <v>0</v>
      </c>
      <c r="CH99" s="847">
        <v>0</v>
      </c>
      <c r="CI99" s="847">
        <v>0</v>
      </c>
      <c r="CJ99" s="847">
        <v>0</v>
      </c>
      <c r="CK99" s="847">
        <v>0</v>
      </c>
      <c r="CL99" s="847">
        <v>0</v>
      </c>
      <c r="CM99" s="847">
        <v>0</v>
      </c>
      <c r="CN99" s="847">
        <v>0</v>
      </c>
      <c r="CO99" s="847">
        <v>0</v>
      </c>
      <c r="CP99" s="847">
        <v>0</v>
      </c>
      <c r="CQ99" s="847">
        <v>0</v>
      </c>
      <c r="CR99" s="847">
        <v>0</v>
      </c>
      <c r="CS99" s="847">
        <v>0</v>
      </c>
      <c r="CT99" s="847">
        <v>0</v>
      </c>
      <c r="CU99" s="847">
        <v>0</v>
      </c>
      <c r="CV99" s="847">
        <v>0</v>
      </c>
      <c r="CW99" s="847">
        <v>0</v>
      </c>
      <c r="CX99" s="847">
        <v>0</v>
      </c>
      <c r="CY99" s="847">
        <v>0</v>
      </c>
      <c r="CZ99" s="847">
        <v>0</v>
      </c>
      <c r="DA99" s="847">
        <v>0</v>
      </c>
      <c r="DB99" s="847">
        <v>0</v>
      </c>
      <c r="DC99" s="847">
        <v>0</v>
      </c>
      <c r="DD99" s="847">
        <v>0</v>
      </c>
      <c r="DE99" s="847">
        <v>0</v>
      </c>
      <c r="DF99" s="847">
        <v>0</v>
      </c>
      <c r="DG99" s="847">
        <v>0</v>
      </c>
      <c r="DH99" s="847">
        <v>0</v>
      </c>
      <c r="DI99" s="847">
        <v>0</v>
      </c>
      <c r="DJ99" s="847">
        <v>0</v>
      </c>
      <c r="DK99" s="847">
        <v>0</v>
      </c>
      <c r="DL99" s="847">
        <v>0</v>
      </c>
      <c r="DM99" s="847">
        <v>0</v>
      </c>
      <c r="DN99" s="847">
        <v>0</v>
      </c>
      <c r="DO99" s="847">
        <v>0</v>
      </c>
      <c r="DP99" s="847">
        <v>0</v>
      </c>
      <c r="DQ99" s="847">
        <v>0</v>
      </c>
      <c r="DR99" s="847">
        <v>0</v>
      </c>
      <c r="DS99" s="847">
        <v>0</v>
      </c>
      <c r="DT99" s="847">
        <v>0</v>
      </c>
      <c r="DU99" s="847">
        <v>0</v>
      </c>
      <c r="DV99" s="847">
        <v>0</v>
      </c>
      <c r="DW99" s="847">
        <v>0</v>
      </c>
      <c r="DY99" s="173"/>
      <c r="DZ99" s="173"/>
      <c r="EA99" s="173"/>
      <c r="EB99" s="174"/>
      <c r="EC99" s="175"/>
      <c r="ED99" s="174"/>
      <c r="EE99" s="174"/>
      <c r="EF99" s="174"/>
      <c r="EG99" s="174"/>
      <c r="EH99" s="174"/>
      <c r="EI99" s="174"/>
      <c r="EJ99" s="174"/>
      <c r="EK99" s="174"/>
      <c r="EL99" s="174"/>
      <c r="EM99" s="174"/>
      <c r="EN99" s="174"/>
      <c r="EO99" s="174"/>
      <c r="EP99" s="174"/>
      <c r="EQ99" s="174"/>
      <c r="ER99" s="174"/>
      <c r="ES99" s="174"/>
      <c r="ET99" s="174"/>
      <c r="EU99" s="174"/>
      <c r="EV99" s="174"/>
      <c r="EW99" s="174"/>
      <c r="EX99" s="174"/>
      <c r="EY99" s="174"/>
      <c r="EZ99" s="174"/>
      <c r="FA99" s="174"/>
      <c r="FB99" s="174"/>
      <c r="FC99" s="174"/>
      <c r="FD99" s="174"/>
      <c r="FE99" s="174"/>
      <c r="FF99" s="174"/>
      <c r="FG99" s="174"/>
      <c r="FH99" s="174"/>
      <c r="FI99" s="174"/>
      <c r="FJ99" s="174"/>
      <c r="FK99" s="174"/>
      <c r="FL99" s="174"/>
      <c r="FM99" s="174"/>
      <c r="FN99" s="174"/>
      <c r="FO99" s="174"/>
      <c r="FP99" s="174"/>
      <c r="FQ99" s="174"/>
      <c r="FR99" s="174"/>
      <c r="FS99" s="174"/>
      <c r="FT99" s="174"/>
      <c r="FU99" s="174"/>
      <c r="FV99" s="174"/>
      <c r="FW99" s="174"/>
      <c r="FX99" s="174"/>
      <c r="FY99" s="174"/>
      <c r="FZ99" s="174"/>
      <c r="GA99" s="174"/>
      <c r="GB99" s="174"/>
      <c r="GC99" s="174"/>
      <c r="GD99" s="174"/>
      <c r="GE99" s="174"/>
      <c r="GF99" s="174"/>
      <c r="GG99" s="174"/>
      <c r="GH99" s="174"/>
      <c r="GI99" s="174"/>
      <c r="GJ99" s="174"/>
      <c r="GK99" s="174"/>
      <c r="GL99" s="174"/>
      <c r="GM99" s="174"/>
      <c r="GN99" s="174"/>
      <c r="GO99" s="174"/>
      <c r="GP99" s="174"/>
      <c r="GQ99" s="174"/>
      <c r="GR99" s="174"/>
      <c r="GS99" s="174"/>
      <c r="GT99" s="174"/>
      <c r="GU99" s="174"/>
      <c r="GV99" s="174"/>
      <c r="GW99" s="174"/>
      <c r="GX99" s="174"/>
      <c r="GY99" s="174"/>
      <c r="GZ99" s="174"/>
      <c r="HA99" s="174"/>
      <c r="HB99" s="174"/>
      <c r="HC99" s="174"/>
      <c r="HD99" s="174"/>
      <c r="HE99" s="174"/>
      <c r="HF99" s="174"/>
      <c r="HG99" s="174"/>
      <c r="HH99" s="174"/>
      <c r="HI99" s="174"/>
      <c r="HJ99" s="174"/>
      <c r="HK99" s="174"/>
      <c r="HL99" s="176"/>
      <c r="HM99" s="176"/>
      <c r="HN99" s="176"/>
      <c r="HO99" s="176"/>
      <c r="HP99" s="176"/>
      <c r="HQ99" s="176"/>
      <c r="HR99" s="176"/>
      <c r="HS99" s="176"/>
      <c r="HT99" s="176"/>
      <c r="HU99" s="176"/>
      <c r="HV99" s="176"/>
      <c r="HW99" s="176"/>
      <c r="HX99" s="176"/>
      <c r="HY99" s="176"/>
      <c r="HZ99" s="176"/>
      <c r="IA99" s="176"/>
      <c r="IB99" s="176"/>
      <c r="IC99" s="176"/>
      <c r="ID99" s="176"/>
      <c r="IE99" s="176"/>
      <c r="IF99" s="176"/>
      <c r="IG99" s="176"/>
      <c r="IH99" s="176"/>
      <c r="II99" s="176"/>
      <c r="IJ99" s="176"/>
    </row>
    <row r="100" spans="1:244" ht="16.5" hidden="1">
      <c r="A100" s="846" t="s">
        <v>1060</v>
      </c>
      <c r="B100" s="846" t="s">
        <v>1382</v>
      </c>
      <c r="C100" s="846" t="s">
        <v>1171</v>
      </c>
      <c r="D100" s="847">
        <v>6</v>
      </c>
      <c r="E100" s="846" t="s">
        <v>1171</v>
      </c>
      <c r="F100" s="846" t="s">
        <v>97</v>
      </c>
      <c r="G100" s="851"/>
      <c r="H100" s="847">
        <v>21</v>
      </c>
      <c r="I100" s="780" t="str">
        <f t="shared" si="2"/>
        <v>IWT060221</v>
      </c>
      <c r="J100" s="847">
        <v>4818</v>
      </c>
      <c r="L100" s="846" t="s">
        <v>1060</v>
      </c>
      <c r="M100" s="846" t="s">
        <v>1382</v>
      </c>
      <c r="N100" s="846" t="s">
        <v>97</v>
      </c>
      <c r="O100" s="847">
        <v>21</v>
      </c>
      <c r="P100" s="780" t="str">
        <f t="shared" si="3"/>
        <v>IWT060221</v>
      </c>
      <c r="Q100" s="847">
        <v>1111</v>
      </c>
      <c r="R100" s="847">
        <v>2953</v>
      </c>
      <c r="S100" s="847">
        <v>4758</v>
      </c>
      <c r="T100" s="847">
        <v>6528</v>
      </c>
      <c r="U100" s="847">
        <v>8263</v>
      </c>
      <c r="V100" s="847">
        <v>0</v>
      </c>
      <c r="W100" s="847">
        <v>0</v>
      </c>
      <c r="X100" s="847">
        <v>0</v>
      </c>
      <c r="Y100" s="847">
        <v>0</v>
      </c>
      <c r="Z100" s="847">
        <v>0</v>
      </c>
      <c r="AA100" s="847">
        <v>0</v>
      </c>
      <c r="AB100" s="847">
        <v>0</v>
      </c>
      <c r="AC100" s="847">
        <v>0</v>
      </c>
      <c r="AD100" s="847">
        <v>0</v>
      </c>
      <c r="AE100" s="847">
        <v>0</v>
      </c>
      <c r="AF100" s="847">
        <v>0</v>
      </c>
      <c r="AG100" s="847">
        <v>0</v>
      </c>
      <c r="AH100" s="847">
        <v>0</v>
      </c>
      <c r="AI100" s="847">
        <v>0</v>
      </c>
      <c r="AJ100" s="847">
        <v>0</v>
      </c>
      <c r="AK100" s="847">
        <v>0</v>
      </c>
      <c r="AL100" s="847">
        <v>0</v>
      </c>
      <c r="AM100" s="847">
        <v>0</v>
      </c>
      <c r="AN100" s="847">
        <v>0</v>
      </c>
      <c r="AO100" s="847">
        <v>0</v>
      </c>
      <c r="AP100" s="847">
        <v>0</v>
      </c>
      <c r="AQ100" s="847">
        <v>0</v>
      </c>
      <c r="AR100" s="847">
        <v>0</v>
      </c>
      <c r="AS100" s="847">
        <v>0</v>
      </c>
      <c r="AT100" s="847">
        <v>0</v>
      </c>
      <c r="AU100" s="847">
        <v>0</v>
      </c>
      <c r="AV100" s="847">
        <v>0</v>
      </c>
      <c r="AW100" s="847">
        <v>0</v>
      </c>
      <c r="AX100" s="847">
        <v>0</v>
      </c>
      <c r="AY100" s="847">
        <v>0</v>
      </c>
      <c r="AZ100" s="847">
        <v>0</v>
      </c>
      <c r="BA100" s="847">
        <v>0</v>
      </c>
      <c r="BB100" s="847">
        <v>0</v>
      </c>
      <c r="BC100" s="847">
        <v>0</v>
      </c>
      <c r="BD100" s="847">
        <v>0</v>
      </c>
      <c r="BE100" s="847">
        <v>0</v>
      </c>
      <c r="BF100" s="847">
        <v>0</v>
      </c>
      <c r="BG100" s="847">
        <v>0</v>
      </c>
      <c r="BH100" s="847">
        <v>0</v>
      </c>
      <c r="BI100" s="847">
        <v>0</v>
      </c>
      <c r="BJ100" s="847">
        <v>0</v>
      </c>
      <c r="BK100" s="847">
        <v>0</v>
      </c>
      <c r="BL100" s="847">
        <v>0</v>
      </c>
      <c r="BM100" s="847">
        <v>0</v>
      </c>
      <c r="BN100" s="847">
        <v>0</v>
      </c>
      <c r="BO100" s="847">
        <v>0</v>
      </c>
      <c r="BP100" s="847">
        <v>0</v>
      </c>
      <c r="BQ100" s="847">
        <v>0</v>
      </c>
      <c r="BR100" s="847">
        <v>0</v>
      </c>
      <c r="BS100" s="847">
        <v>0</v>
      </c>
      <c r="BT100" s="847">
        <v>0</v>
      </c>
      <c r="BU100" s="847">
        <v>0</v>
      </c>
      <c r="BV100" s="847">
        <v>0</v>
      </c>
      <c r="BW100" s="847">
        <v>0</v>
      </c>
      <c r="BX100" s="847">
        <v>0</v>
      </c>
      <c r="BY100" s="847">
        <v>0</v>
      </c>
      <c r="BZ100" s="847">
        <v>0</v>
      </c>
      <c r="CA100" s="847">
        <v>0</v>
      </c>
      <c r="CB100" s="847">
        <v>0</v>
      </c>
      <c r="CC100" s="847">
        <v>0</v>
      </c>
      <c r="CD100" s="847">
        <v>0</v>
      </c>
      <c r="CE100" s="847">
        <v>0</v>
      </c>
      <c r="CF100" s="847">
        <v>0</v>
      </c>
      <c r="CG100" s="847">
        <v>0</v>
      </c>
      <c r="CH100" s="847">
        <v>0</v>
      </c>
      <c r="CI100" s="847">
        <v>0</v>
      </c>
      <c r="CJ100" s="847">
        <v>0</v>
      </c>
      <c r="CK100" s="847">
        <v>0</v>
      </c>
      <c r="CL100" s="847">
        <v>0</v>
      </c>
      <c r="CM100" s="847">
        <v>0</v>
      </c>
      <c r="CN100" s="847">
        <v>0</v>
      </c>
      <c r="CO100" s="847">
        <v>0</v>
      </c>
      <c r="CP100" s="847">
        <v>0</v>
      </c>
      <c r="CQ100" s="847">
        <v>0</v>
      </c>
      <c r="CR100" s="847">
        <v>0</v>
      </c>
      <c r="CS100" s="847">
        <v>0</v>
      </c>
      <c r="CT100" s="847">
        <v>0</v>
      </c>
      <c r="CU100" s="847">
        <v>0</v>
      </c>
      <c r="CV100" s="847">
        <v>0</v>
      </c>
      <c r="CW100" s="847">
        <v>0</v>
      </c>
      <c r="CX100" s="847">
        <v>0</v>
      </c>
      <c r="CY100" s="847">
        <v>0</v>
      </c>
      <c r="CZ100" s="847">
        <v>0</v>
      </c>
      <c r="DA100" s="847">
        <v>0</v>
      </c>
      <c r="DB100" s="847">
        <v>0</v>
      </c>
      <c r="DC100" s="847">
        <v>0</v>
      </c>
      <c r="DD100" s="847">
        <v>0</v>
      </c>
      <c r="DE100" s="847">
        <v>0</v>
      </c>
      <c r="DF100" s="847">
        <v>0</v>
      </c>
      <c r="DG100" s="847">
        <v>0</v>
      </c>
      <c r="DH100" s="847">
        <v>0</v>
      </c>
      <c r="DI100" s="847">
        <v>0</v>
      </c>
      <c r="DJ100" s="847">
        <v>0</v>
      </c>
      <c r="DK100" s="847">
        <v>0</v>
      </c>
      <c r="DL100" s="847">
        <v>0</v>
      </c>
      <c r="DM100" s="847">
        <v>0</v>
      </c>
      <c r="DN100" s="847">
        <v>0</v>
      </c>
      <c r="DO100" s="847">
        <v>0</v>
      </c>
      <c r="DP100" s="847">
        <v>0</v>
      </c>
      <c r="DQ100" s="847">
        <v>0</v>
      </c>
      <c r="DR100" s="847">
        <v>0</v>
      </c>
      <c r="DS100" s="847">
        <v>0</v>
      </c>
      <c r="DT100" s="847">
        <v>0</v>
      </c>
      <c r="DU100" s="847">
        <v>0</v>
      </c>
      <c r="DV100" s="847">
        <v>0</v>
      </c>
      <c r="DW100" s="847">
        <v>0</v>
      </c>
      <c r="DY100" s="173"/>
      <c r="DZ100" s="173"/>
      <c r="EA100" s="173"/>
      <c r="EB100" s="174"/>
      <c r="EC100" s="175"/>
      <c r="ED100" s="174"/>
      <c r="EE100" s="174"/>
      <c r="EF100" s="174"/>
      <c r="EG100" s="174"/>
      <c r="EH100" s="174"/>
      <c r="EI100" s="174"/>
      <c r="EJ100" s="174"/>
      <c r="EK100" s="174"/>
      <c r="EL100" s="174"/>
      <c r="EM100" s="174"/>
      <c r="EN100" s="174"/>
      <c r="EO100" s="174"/>
      <c r="EP100" s="174"/>
      <c r="EQ100" s="174"/>
      <c r="ER100" s="174"/>
      <c r="ES100" s="174"/>
      <c r="ET100" s="174"/>
      <c r="EU100" s="174"/>
      <c r="EV100" s="174"/>
      <c r="EW100" s="174"/>
      <c r="EX100" s="174"/>
      <c r="EY100" s="174"/>
      <c r="EZ100" s="174"/>
      <c r="FA100" s="174"/>
      <c r="FB100" s="174"/>
      <c r="FC100" s="174"/>
      <c r="FD100" s="174"/>
      <c r="FE100" s="174"/>
      <c r="FF100" s="174"/>
      <c r="FG100" s="174"/>
      <c r="FH100" s="174"/>
      <c r="FI100" s="174"/>
      <c r="FJ100" s="174"/>
      <c r="FK100" s="174"/>
      <c r="FL100" s="174"/>
      <c r="FM100" s="174"/>
      <c r="FN100" s="174"/>
      <c r="FO100" s="174"/>
      <c r="FP100" s="174"/>
      <c r="FQ100" s="174"/>
      <c r="FR100" s="174"/>
      <c r="FS100" s="174"/>
      <c r="FT100" s="174"/>
      <c r="FU100" s="174"/>
      <c r="FV100" s="174"/>
      <c r="FW100" s="174"/>
      <c r="FX100" s="174"/>
      <c r="FY100" s="174"/>
      <c r="FZ100" s="174"/>
      <c r="GA100" s="174"/>
      <c r="GB100" s="174"/>
      <c r="GC100" s="174"/>
      <c r="GD100" s="174"/>
      <c r="GE100" s="174"/>
      <c r="GF100" s="174"/>
      <c r="GG100" s="174"/>
      <c r="GH100" s="174"/>
      <c r="GI100" s="174"/>
      <c r="GJ100" s="174"/>
      <c r="GK100" s="174"/>
      <c r="GL100" s="174"/>
      <c r="GM100" s="174"/>
      <c r="GN100" s="174"/>
      <c r="GO100" s="174"/>
      <c r="GP100" s="174"/>
      <c r="GQ100" s="174"/>
      <c r="GR100" s="174"/>
      <c r="GS100" s="174"/>
      <c r="GT100" s="174"/>
      <c r="GU100" s="174"/>
      <c r="GV100" s="174"/>
      <c r="GW100" s="174"/>
      <c r="GX100" s="174"/>
      <c r="GY100" s="174"/>
      <c r="GZ100" s="174"/>
      <c r="HA100" s="174"/>
      <c r="HB100" s="174"/>
      <c r="HC100" s="174"/>
      <c r="HD100" s="174"/>
      <c r="HE100" s="174"/>
      <c r="HF100" s="174"/>
      <c r="HG100" s="174"/>
      <c r="HH100" s="174"/>
      <c r="HI100" s="174"/>
      <c r="HJ100" s="174"/>
      <c r="HK100" s="176"/>
      <c r="HL100" s="176"/>
      <c r="HM100" s="176"/>
      <c r="HN100" s="176"/>
      <c r="HO100" s="176"/>
      <c r="HP100" s="176"/>
      <c r="HQ100" s="176"/>
      <c r="HR100" s="176"/>
      <c r="HS100" s="176"/>
      <c r="HT100" s="176"/>
      <c r="HU100" s="176"/>
      <c r="HV100" s="176"/>
      <c r="HW100" s="176"/>
      <c r="HX100" s="176"/>
      <c r="HY100" s="176"/>
      <c r="HZ100" s="176"/>
      <c r="IA100" s="176"/>
      <c r="IB100" s="176"/>
      <c r="IC100" s="176"/>
      <c r="ID100" s="176"/>
      <c r="IE100" s="176"/>
      <c r="IF100" s="176"/>
      <c r="IG100" s="176"/>
      <c r="IH100" s="176"/>
      <c r="II100" s="176"/>
      <c r="IJ100" s="176"/>
    </row>
    <row r="101" spans="1:244" ht="16.5" hidden="1">
      <c r="A101" s="846" t="s">
        <v>1060</v>
      </c>
      <c r="B101" s="846" t="s">
        <v>1382</v>
      </c>
      <c r="C101" s="846" t="s">
        <v>1171</v>
      </c>
      <c r="D101" s="847">
        <v>6</v>
      </c>
      <c r="E101" s="846" t="s">
        <v>1171</v>
      </c>
      <c r="F101" s="846" t="s">
        <v>97</v>
      </c>
      <c r="G101" s="851"/>
      <c r="H101" s="847">
        <v>22</v>
      </c>
      <c r="I101" s="780" t="str">
        <f t="shared" si="2"/>
        <v>IWT060222</v>
      </c>
      <c r="J101" s="847">
        <v>4837</v>
      </c>
      <c r="L101" s="846" t="s">
        <v>1060</v>
      </c>
      <c r="M101" s="846" t="s">
        <v>1382</v>
      </c>
      <c r="N101" s="846" t="s">
        <v>97</v>
      </c>
      <c r="O101" s="847">
        <v>22</v>
      </c>
      <c r="P101" s="780" t="str">
        <f t="shared" si="3"/>
        <v>IWT060222</v>
      </c>
      <c r="Q101" s="847">
        <v>1111</v>
      </c>
      <c r="R101" s="847">
        <v>2953</v>
      </c>
      <c r="S101" s="847">
        <v>4758</v>
      </c>
      <c r="T101" s="847">
        <v>6528</v>
      </c>
      <c r="U101" s="847">
        <v>8264</v>
      </c>
      <c r="V101" s="847">
        <v>0</v>
      </c>
      <c r="W101" s="847">
        <v>0</v>
      </c>
      <c r="X101" s="847">
        <v>0</v>
      </c>
      <c r="Y101" s="847">
        <v>0</v>
      </c>
      <c r="Z101" s="847">
        <v>0</v>
      </c>
      <c r="AA101" s="847">
        <v>0</v>
      </c>
      <c r="AB101" s="847">
        <v>0</v>
      </c>
      <c r="AC101" s="847">
        <v>0</v>
      </c>
      <c r="AD101" s="847">
        <v>0</v>
      </c>
      <c r="AE101" s="847">
        <v>0</v>
      </c>
      <c r="AF101" s="847">
        <v>0</v>
      </c>
      <c r="AG101" s="847">
        <v>0</v>
      </c>
      <c r="AH101" s="847">
        <v>0</v>
      </c>
      <c r="AI101" s="847">
        <v>0</v>
      </c>
      <c r="AJ101" s="847">
        <v>0</v>
      </c>
      <c r="AK101" s="847">
        <v>0</v>
      </c>
      <c r="AL101" s="847">
        <v>0</v>
      </c>
      <c r="AM101" s="847">
        <v>0</v>
      </c>
      <c r="AN101" s="847">
        <v>0</v>
      </c>
      <c r="AO101" s="847">
        <v>0</v>
      </c>
      <c r="AP101" s="847">
        <v>0</v>
      </c>
      <c r="AQ101" s="847">
        <v>0</v>
      </c>
      <c r="AR101" s="847">
        <v>0</v>
      </c>
      <c r="AS101" s="847">
        <v>0</v>
      </c>
      <c r="AT101" s="847">
        <v>0</v>
      </c>
      <c r="AU101" s="847">
        <v>0</v>
      </c>
      <c r="AV101" s="847">
        <v>0</v>
      </c>
      <c r="AW101" s="847">
        <v>0</v>
      </c>
      <c r="AX101" s="847">
        <v>0</v>
      </c>
      <c r="AY101" s="847">
        <v>0</v>
      </c>
      <c r="AZ101" s="847">
        <v>0</v>
      </c>
      <c r="BA101" s="847">
        <v>0</v>
      </c>
      <c r="BB101" s="847">
        <v>0</v>
      </c>
      <c r="BC101" s="847">
        <v>0</v>
      </c>
      <c r="BD101" s="847">
        <v>0</v>
      </c>
      <c r="BE101" s="847">
        <v>0</v>
      </c>
      <c r="BF101" s="847">
        <v>0</v>
      </c>
      <c r="BG101" s="847">
        <v>0</v>
      </c>
      <c r="BH101" s="847">
        <v>0</v>
      </c>
      <c r="BI101" s="847">
        <v>0</v>
      </c>
      <c r="BJ101" s="847">
        <v>0</v>
      </c>
      <c r="BK101" s="847">
        <v>0</v>
      </c>
      <c r="BL101" s="847">
        <v>0</v>
      </c>
      <c r="BM101" s="847">
        <v>0</v>
      </c>
      <c r="BN101" s="847">
        <v>0</v>
      </c>
      <c r="BO101" s="847">
        <v>0</v>
      </c>
      <c r="BP101" s="847">
        <v>0</v>
      </c>
      <c r="BQ101" s="847">
        <v>0</v>
      </c>
      <c r="BR101" s="847">
        <v>0</v>
      </c>
      <c r="BS101" s="847">
        <v>0</v>
      </c>
      <c r="BT101" s="847">
        <v>0</v>
      </c>
      <c r="BU101" s="847">
        <v>0</v>
      </c>
      <c r="BV101" s="847">
        <v>0</v>
      </c>
      <c r="BW101" s="847">
        <v>0</v>
      </c>
      <c r="BX101" s="847">
        <v>0</v>
      </c>
      <c r="BY101" s="847">
        <v>0</v>
      </c>
      <c r="BZ101" s="847">
        <v>0</v>
      </c>
      <c r="CA101" s="847">
        <v>0</v>
      </c>
      <c r="CB101" s="847">
        <v>0</v>
      </c>
      <c r="CC101" s="847">
        <v>0</v>
      </c>
      <c r="CD101" s="847">
        <v>0</v>
      </c>
      <c r="CE101" s="847">
        <v>0</v>
      </c>
      <c r="CF101" s="847">
        <v>0</v>
      </c>
      <c r="CG101" s="847">
        <v>0</v>
      </c>
      <c r="CH101" s="847">
        <v>0</v>
      </c>
      <c r="CI101" s="847">
        <v>0</v>
      </c>
      <c r="CJ101" s="847">
        <v>0</v>
      </c>
      <c r="CK101" s="847">
        <v>0</v>
      </c>
      <c r="CL101" s="847">
        <v>0</v>
      </c>
      <c r="CM101" s="847">
        <v>0</v>
      </c>
      <c r="CN101" s="847">
        <v>0</v>
      </c>
      <c r="CO101" s="847">
        <v>0</v>
      </c>
      <c r="CP101" s="847">
        <v>0</v>
      </c>
      <c r="CQ101" s="847">
        <v>0</v>
      </c>
      <c r="CR101" s="847">
        <v>0</v>
      </c>
      <c r="CS101" s="847">
        <v>0</v>
      </c>
      <c r="CT101" s="847">
        <v>0</v>
      </c>
      <c r="CU101" s="847">
        <v>0</v>
      </c>
      <c r="CV101" s="847">
        <v>0</v>
      </c>
      <c r="CW101" s="847">
        <v>0</v>
      </c>
      <c r="CX101" s="847">
        <v>0</v>
      </c>
      <c r="CY101" s="847">
        <v>0</v>
      </c>
      <c r="CZ101" s="847">
        <v>0</v>
      </c>
      <c r="DA101" s="847">
        <v>0</v>
      </c>
      <c r="DB101" s="847">
        <v>0</v>
      </c>
      <c r="DC101" s="847">
        <v>0</v>
      </c>
      <c r="DD101" s="847">
        <v>0</v>
      </c>
      <c r="DE101" s="847">
        <v>0</v>
      </c>
      <c r="DF101" s="847">
        <v>0</v>
      </c>
      <c r="DG101" s="847">
        <v>0</v>
      </c>
      <c r="DH101" s="847">
        <v>0</v>
      </c>
      <c r="DI101" s="847">
        <v>0</v>
      </c>
      <c r="DJ101" s="847">
        <v>0</v>
      </c>
      <c r="DK101" s="847">
        <v>0</v>
      </c>
      <c r="DL101" s="847">
        <v>0</v>
      </c>
      <c r="DM101" s="847">
        <v>0</v>
      </c>
      <c r="DN101" s="847">
        <v>0</v>
      </c>
      <c r="DO101" s="847">
        <v>0</v>
      </c>
      <c r="DP101" s="847">
        <v>0</v>
      </c>
      <c r="DQ101" s="847">
        <v>0</v>
      </c>
      <c r="DR101" s="847">
        <v>0</v>
      </c>
      <c r="DS101" s="847">
        <v>0</v>
      </c>
      <c r="DT101" s="847">
        <v>0</v>
      </c>
      <c r="DU101" s="847">
        <v>0</v>
      </c>
      <c r="DV101" s="847">
        <v>0</v>
      </c>
      <c r="DW101" s="847">
        <v>0</v>
      </c>
      <c r="DY101" s="173"/>
      <c r="DZ101" s="173"/>
      <c r="EA101" s="173"/>
      <c r="EB101" s="174"/>
      <c r="EC101" s="175"/>
      <c r="ED101" s="174"/>
      <c r="EE101" s="174"/>
      <c r="EF101" s="174"/>
      <c r="EG101" s="174"/>
      <c r="EH101" s="174"/>
      <c r="EI101" s="174"/>
      <c r="EJ101" s="174"/>
      <c r="EK101" s="174"/>
      <c r="EL101" s="174"/>
      <c r="EM101" s="174"/>
      <c r="EN101" s="174"/>
      <c r="EO101" s="174"/>
      <c r="EP101" s="174"/>
      <c r="EQ101" s="174"/>
      <c r="ER101" s="174"/>
      <c r="ES101" s="174"/>
      <c r="ET101" s="174"/>
      <c r="EU101" s="174"/>
      <c r="EV101" s="174"/>
      <c r="EW101" s="174"/>
      <c r="EX101" s="174"/>
      <c r="EY101" s="174"/>
      <c r="EZ101" s="174"/>
      <c r="FA101" s="174"/>
      <c r="FB101" s="174"/>
      <c r="FC101" s="174"/>
      <c r="FD101" s="174"/>
      <c r="FE101" s="174"/>
      <c r="FF101" s="174"/>
      <c r="FG101" s="174"/>
      <c r="FH101" s="174"/>
      <c r="FI101" s="174"/>
      <c r="FJ101" s="174"/>
      <c r="FK101" s="174"/>
      <c r="FL101" s="174"/>
      <c r="FM101" s="174"/>
      <c r="FN101" s="174"/>
      <c r="FO101" s="174"/>
      <c r="FP101" s="174"/>
      <c r="FQ101" s="174"/>
      <c r="FR101" s="174"/>
      <c r="FS101" s="174"/>
      <c r="FT101" s="174"/>
      <c r="FU101" s="174"/>
      <c r="FV101" s="174"/>
      <c r="FW101" s="174"/>
      <c r="FX101" s="174"/>
      <c r="FY101" s="174"/>
      <c r="FZ101" s="174"/>
      <c r="GA101" s="174"/>
      <c r="GB101" s="174"/>
      <c r="GC101" s="174"/>
      <c r="GD101" s="174"/>
      <c r="GE101" s="174"/>
      <c r="GF101" s="174"/>
      <c r="GG101" s="174"/>
      <c r="GH101" s="174"/>
      <c r="GI101" s="174"/>
      <c r="GJ101" s="174"/>
      <c r="GK101" s="174"/>
      <c r="GL101" s="174"/>
      <c r="GM101" s="174"/>
      <c r="GN101" s="174"/>
      <c r="GO101" s="174"/>
      <c r="GP101" s="174"/>
      <c r="GQ101" s="174"/>
      <c r="GR101" s="174"/>
      <c r="GS101" s="174"/>
      <c r="GT101" s="174"/>
      <c r="GU101" s="174"/>
      <c r="GV101" s="174"/>
      <c r="GW101" s="174"/>
      <c r="GX101" s="174"/>
      <c r="GY101" s="174"/>
      <c r="GZ101" s="174"/>
      <c r="HA101" s="174"/>
      <c r="HB101" s="174"/>
      <c r="HC101" s="174"/>
      <c r="HD101" s="174"/>
      <c r="HE101" s="174"/>
      <c r="HF101" s="174"/>
      <c r="HG101" s="174"/>
      <c r="HH101" s="174"/>
      <c r="HI101" s="174"/>
      <c r="HJ101" s="176"/>
      <c r="HK101" s="176"/>
      <c r="HL101" s="176"/>
      <c r="HM101" s="176"/>
      <c r="HN101" s="176"/>
      <c r="HO101" s="176"/>
      <c r="HP101" s="176"/>
      <c r="HQ101" s="176"/>
      <c r="HR101" s="176"/>
      <c r="HS101" s="176"/>
      <c r="HT101" s="176"/>
      <c r="HU101" s="176"/>
      <c r="HV101" s="176"/>
      <c r="HW101" s="176"/>
      <c r="HX101" s="176"/>
      <c r="HY101" s="176"/>
      <c r="HZ101" s="176"/>
      <c r="IA101" s="176"/>
      <c r="IB101" s="176"/>
      <c r="IC101" s="176"/>
      <c r="ID101" s="176"/>
      <c r="IE101" s="176"/>
      <c r="IF101" s="176"/>
      <c r="IG101" s="176"/>
      <c r="IH101" s="176"/>
      <c r="II101" s="176"/>
      <c r="IJ101" s="176"/>
    </row>
    <row r="102" spans="1:244" ht="16.5" hidden="1">
      <c r="A102" s="846" t="s">
        <v>1060</v>
      </c>
      <c r="B102" s="846" t="s">
        <v>1382</v>
      </c>
      <c r="C102" s="846" t="s">
        <v>1171</v>
      </c>
      <c r="D102" s="847">
        <v>6</v>
      </c>
      <c r="E102" s="846" t="s">
        <v>1171</v>
      </c>
      <c r="F102" s="846" t="s">
        <v>97</v>
      </c>
      <c r="G102" s="851"/>
      <c r="H102" s="847">
        <v>23</v>
      </c>
      <c r="I102" s="780" t="str">
        <f t="shared" si="2"/>
        <v>IWT060223</v>
      </c>
      <c r="J102" s="847">
        <v>4855</v>
      </c>
      <c r="L102" s="846" t="s">
        <v>1060</v>
      </c>
      <c r="M102" s="846" t="s">
        <v>1382</v>
      </c>
      <c r="N102" s="846" t="s">
        <v>97</v>
      </c>
      <c r="O102" s="847">
        <v>23</v>
      </c>
      <c r="P102" s="780" t="str">
        <f t="shared" si="3"/>
        <v>IWT060223</v>
      </c>
      <c r="Q102" s="847">
        <v>1111</v>
      </c>
      <c r="R102" s="847">
        <v>2953</v>
      </c>
      <c r="S102" s="847">
        <v>4759</v>
      </c>
      <c r="T102" s="847">
        <v>6528</v>
      </c>
      <c r="U102" s="847">
        <v>8264</v>
      </c>
      <c r="V102" s="847">
        <v>0</v>
      </c>
      <c r="W102" s="847">
        <v>0</v>
      </c>
      <c r="X102" s="847">
        <v>0</v>
      </c>
      <c r="Y102" s="847">
        <v>0</v>
      </c>
      <c r="Z102" s="847">
        <v>0</v>
      </c>
      <c r="AA102" s="847">
        <v>0</v>
      </c>
      <c r="AB102" s="847">
        <v>0</v>
      </c>
      <c r="AC102" s="847">
        <v>0</v>
      </c>
      <c r="AD102" s="847">
        <v>0</v>
      </c>
      <c r="AE102" s="847">
        <v>0</v>
      </c>
      <c r="AF102" s="847">
        <v>0</v>
      </c>
      <c r="AG102" s="847">
        <v>0</v>
      </c>
      <c r="AH102" s="847">
        <v>0</v>
      </c>
      <c r="AI102" s="847">
        <v>0</v>
      </c>
      <c r="AJ102" s="847">
        <v>0</v>
      </c>
      <c r="AK102" s="847">
        <v>0</v>
      </c>
      <c r="AL102" s="847">
        <v>0</v>
      </c>
      <c r="AM102" s="847">
        <v>0</v>
      </c>
      <c r="AN102" s="847">
        <v>0</v>
      </c>
      <c r="AO102" s="847">
        <v>0</v>
      </c>
      <c r="AP102" s="847">
        <v>0</v>
      </c>
      <c r="AQ102" s="847">
        <v>0</v>
      </c>
      <c r="AR102" s="847">
        <v>0</v>
      </c>
      <c r="AS102" s="847">
        <v>0</v>
      </c>
      <c r="AT102" s="847">
        <v>0</v>
      </c>
      <c r="AU102" s="847">
        <v>0</v>
      </c>
      <c r="AV102" s="847">
        <v>0</v>
      </c>
      <c r="AW102" s="847">
        <v>0</v>
      </c>
      <c r="AX102" s="847">
        <v>0</v>
      </c>
      <c r="AY102" s="847">
        <v>0</v>
      </c>
      <c r="AZ102" s="847">
        <v>0</v>
      </c>
      <c r="BA102" s="847">
        <v>0</v>
      </c>
      <c r="BB102" s="847">
        <v>0</v>
      </c>
      <c r="BC102" s="847">
        <v>0</v>
      </c>
      <c r="BD102" s="847">
        <v>0</v>
      </c>
      <c r="BE102" s="847">
        <v>0</v>
      </c>
      <c r="BF102" s="847">
        <v>0</v>
      </c>
      <c r="BG102" s="847">
        <v>0</v>
      </c>
      <c r="BH102" s="847">
        <v>0</v>
      </c>
      <c r="BI102" s="847">
        <v>0</v>
      </c>
      <c r="BJ102" s="847">
        <v>0</v>
      </c>
      <c r="BK102" s="847">
        <v>0</v>
      </c>
      <c r="BL102" s="847">
        <v>0</v>
      </c>
      <c r="BM102" s="847">
        <v>0</v>
      </c>
      <c r="BN102" s="847">
        <v>0</v>
      </c>
      <c r="BO102" s="847">
        <v>0</v>
      </c>
      <c r="BP102" s="847">
        <v>0</v>
      </c>
      <c r="BQ102" s="847">
        <v>0</v>
      </c>
      <c r="BR102" s="847">
        <v>0</v>
      </c>
      <c r="BS102" s="847">
        <v>0</v>
      </c>
      <c r="BT102" s="847">
        <v>0</v>
      </c>
      <c r="BU102" s="847">
        <v>0</v>
      </c>
      <c r="BV102" s="847">
        <v>0</v>
      </c>
      <c r="BW102" s="847">
        <v>0</v>
      </c>
      <c r="BX102" s="847">
        <v>0</v>
      </c>
      <c r="BY102" s="847">
        <v>0</v>
      </c>
      <c r="BZ102" s="847">
        <v>0</v>
      </c>
      <c r="CA102" s="847">
        <v>0</v>
      </c>
      <c r="CB102" s="847">
        <v>0</v>
      </c>
      <c r="CC102" s="847">
        <v>0</v>
      </c>
      <c r="CD102" s="847">
        <v>0</v>
      </c>
      <c r="CE102" s="847">
        <v>0</v>
      </c>
      <c r="CF102" s="847">
        <v>0</v>
      </c>
      <c r="CG102" s="847">
        <v>0</v>
      </c>
      <c r="CH102" s="847">
        <v>0</v>
      </c>
      <c r="CI102" s="847">
        <v>0</v>
      </c>
      <c r="CJ102" s="847">
        <v>0</v>
      </c>
      <c r="CK102" s="847">
        <v>0</v>
      </c>
      <c r="CL102" s="847">
        <v>0</v>
      </c>
      <c r="CM102" s="847">
        <v>0</v>
      </c>
      <c r="CN102" s="847">
        <v>0</v>
      </c>
      <c r="CO102" s="847">
        <v>0</v>
      </c>
      <c r="CP102" s="847">
        <v>0</v>
      </c>
      <c r="CQ102" s="847">
        <v>0</v>
      </c>
      <c r="CR102" s="847">
        <v>0</v>
      </c>
      <c r="CS102" s="847">
        <v>0</v>
      </c>
      <c r="CT102" s="847">
        <v>0</v>
      </c>
      <c r="CU102" s="847">
        <v>0</v>
      </c>
      <c r="CV102" s="847">
        <v>0</v>
      </c>
      <c r="CW102" s="847">
        <v>0</v>
      </c>
      <c r="CX102" s="847">
        <v>0</v>
      </c>
      <c r="CY102" s="847">
        <v>0</v>
      </c>
      <c r="CZ102" s="847">
        <v>0</v>
      </c>
      <c r="DA102" s="847">
        <v>0</v>
      </c>
      <c r="DB102" s="847">
        <v>0</v>
      </c>
      <c r="DC102" s="847">
        <v>0</v>
      </c>
      <c r="DD102" s="847">
        <v>0</v>
      </c>
      <c r="DE102" s="847">
        <v>0</v>
      </c>
      <c r="DF102" s="847">
        <v>0</v>
      </c>
      <c r="DG102" s="847">
        <v>0</v>
      </c>
      <c r="DH102" s="847">
        <v>0</v>
      </c>
      <c r="DI102" s="847">
        <v>0</v>
      </c>
      <c r="DJ102" s="847">
        <v>0</v>
      </c>
      <c r="DK102" s="847">
        <v>0</v>
      </c>
      <c r="DL102" s="847">
        <v>0</v>
      </c>
      <c r="DM102" s="847">
        <v>0</v>
      </c>
      <c r="DN102" s="847">
        <v>0</v>
      </c>
      <c r="DO102" s="847">
        <v>0</v>
      </c>
      <c r="DP102" s="847">
        <v>0</v>
      </c>
      <c r="DQ102" s="847">
        <v>0</v>
      </c>
      <c r="DR102" s="847">
        <v>0</v>
      </c>
      <c r="DS102" s="847">
        <v>0</v>
      </c>
      <c r="DT102" s="847">
        <v>0</v>
      </c>
      <c r="DU102" s="847">
        <v>0</v>
      </c>
      <c r="DV102" s="847">
        <v>0</v>
      </c>
      <c r="DW102" s="847">
        <v>0</v>
      </c>
      <c r="DY102" s="173"/>
      <c r="DZ102" s="173"/>
      <c r="EA102" s="173"/>
      <c r="EB102" s="174"/>
      <c r="EC102" s="175"/>
      <c r="ED102" s="174"/>
      <c r="EE102" s="174"/>
      <c r="EF102" s="174"/>
      <c r="EG102" s="174"/>
      <c r="EH102" s="174"/>
      <c r="EI102" s="174"/>
      <c r="EJ102" s="174"/>
      <c r="EK102" s="174"/>
      <c r="EL102" s="174"/>
      <c r="EM102" s="174"/>
      <c r="EN102" s="174"/>
      <c r="EO102" s="174"/>
      <c r="EP102" s="174"/>
      <c r="EQ102" s="174"/>
      <c r="ER102" s="174"/>
      <c r="ES102" s="174"/>
      <c r="ET102" s="174"/>
      <c r="EU102" s="174"/>
      <c r="EV102" s="174"/>
      <c r="EW102" s="174"/>
      <c r="EX102" s="174"/>
      <c r="EY102" s="174"/>
      <c r="EZ102" s="174"/>
      <c r="FA102" s="174"/>
      <c r="FB102" s="174"/>
      <c r="FC102" s="174"/>
      <c r="FD102" s="174"/>
      <c r="FE102" s="174"/>
      <c r="FF102" s="174"/>
      <c r="FG102" s="174"/>
      <c r="FH102" s="174"/>
      <c r="FI102" s="174"/>
      <c r="FJ102" s="174"/>
      <c r="FK102" s="174"/>
      <c r="FL102" s="174"/>
      <c r="FM102" s="174"/>
      <c r="FN102" s="174"/>
      <c r="FO102" s="174"/>
      <c r="FP102" s="174"/>
      <c r="FQ102" s="174"/>
      <c r="FR102" s="174"/>
      <c r="FS102" s="174"/>
      <c r="FT102" s="174"/>
      <c r="FU102" s="174"/>
      <c r="FV102" s="174"/>
      <c r="FW102" s="174"/>
      <c r="FX102" s="174"/>
      <c r="FY102" s="174"/>
      <c r="FZ102" s="174"/>
      <c r="GA102" s="174"/>
      <c r="GB102" s="174"/>
      <c r="GC102" s="174"/>
      <c r="GD102" s="174"/>
      <c r="GE102" s="174"/>
      <c r="GF102" s="174"/>
      <c r="GG102" s="174"/>
      <c r="GH102" s="174"/>
      <c r="GI102" s="174"/>
      <c r="GJ102" s="174"/>
      <c r="GK102" s="174"/>
      <c r="GL102" s="174"/>
      <c r="GM102" s="174"/>
      <c r="GN102" s="174"/>
      <c r="GO102" s="174"/>
      <c r="GP102" s="174"/>
      <c r="GQ102" s="174"/>
      <c r="GR102" s="174"/>
      <c r="GS102" s="174"/>
      <c r="GT102" s="174"/>
      <c r="GU102" s="174"/>
      <c r="GV102" s="174"/>
      <c r="GW102" s="174"/>
      <c r="GX102" s="174"/>
      <c r="GY102" s="174"/>
      <c r="GZ102" s="174"/>
      <c r="HA102" s="174"/>
      <c r="HB102" s="174"/>
      <c r="HC102" s="174"/>
      <c r="HD102" s="174"/>
      <c r="HE102" s="174"/>
      <c r="HF102" s="174"/>
      <c r="HG102" s="174"/>
      <c r="HH102" s="174"/>
      <c r="HI102" s="176"/>
      <c r="HJ102" s="176"/>
      <c r="HK102" s="176"/>
      <c r="HL102" s="176"/>
      <c r="HM102" s="176"/>
      <c r="HN102" s="176"/>
      <c r="HO102" s="176"/>
      <c r="HP102" s="176"/>
      <c r="HQ102" s="176"/>
      <c r="HR102" s="176"/>
      <c r="HS102" s="176"/>
      <c r="HT102" s="176"/>
      <c r="HU102" s="176"/>
      <c r="HV102" s="176"/>
      <c r="HW102" s="176"/>
      <c r="HX102" s="176"/>
      <c r="HY102" s="176"/>
      <c r="HZ102" s="176"/>
      <c r="IA102" s="176"/>
      <c r="IB102" s="176"/>
      <c r="IC102" s="176"/>
      <c r="ID102" s="176"/>
      <c r="IE102" s="176"/>
      <c r="IF102" s="176"/>
      <c r="IG102" s="176"/>
      <c r="IH102" s="176"/>
      <c r="II102" s="176"/>
      <c r="IJ102" s="176"/>
    </row>
    <row r="103" spans="1:244" ht="16.5" hidden="1">
      <c r="A103" s="846" t="s">
        <v>1060</v>
      </c>
      <c r="B103" s="846" t="s">
        <v>1382</v>
      </c>
      <c r="C103" s="846" t="s">
        <v>1171</v>
      </c>
      <c r="D103" s="847">
        <v>6</v>
      </c>
      <c r="E103" s="846" t="s">
        <v>1171</v>
      </c>
      <c r="F103" s="846" t="s">
        <v>97</v>
      </c>
      <c r="G103" s="851"/>
      <c r="H103" s="847">
        <v>24</v>
      </c>
      <c r="I103" s="780" t="str">
        <f t="shared" si="2"/>
        <v>IWT060224</v>
      </c>
      <c r="J103" s="847">
        <v>4872</v>
      </c>
      <c r="L103" s="846" t="s">
        <v>1060</v>
      </c>
      <c r="M103" s="846" t="s">
        <v>1382</v>
      </c>
      <c r="N103" s="846" t="s">
        <v>97</v>
      </c>
      <c r="O103" s="847">
        <v>24</v>
      </c>
      <c r="P103" s="780" t="str">
        <f t="shared" si="3"/>
        <v>IWT060224</v>
      </c>
      <c r="Q103" s="847">
        <v>1111</v>
      </c>
      <c r="R103" s="847">
        <v>2953</v>
      </c>
      <c r="S103" s="847">
        <v>4759</v>
      </c>
      <c r="T103" s="847">
        <v>6529</v>
      </c>
      <c r="U103" s="847">
        <v>8264</v>
      </c>
      <c r="V103" s="847">
        <v>0</v>
      </c>
      <c r="W103" s="847">
        <v>0</v>
      </c>
      <c r="X103" s="847">
        <v>0</v>
      </c>
      <c r="Y103" s="847">
        <v>0</v>
      </c>
      <c r="Z103" s="847">
        <v>0</v>
      </c>
      <c r="AA103" s="847">
        <v>0</v>
      </c>
      <c r="AB103" s="847">
        <v>0</v>
      </c>
      <c r="AC103" s="847">
        <v>0</v>
      </c>
      <c r="AD103" s="847">
        <v>0</v>
      </c>
      <c r="AE103" s="847">
        <v>0</v>
      </c>
      <c r="AF103" s="847">
        <v>0</v>
      </c>
      <c r="AG103" s="847">
        <v>0</v>
      </c>
      <c r="AH103" s="847">
        <v>0</v>
      </c>
      <c r="AI103" s="847">
        <v>0</v>
      </c>
      <c r="AJ103" s="847">
        <v>0</v>
      </c>
      <c r="AK103" s="847">
        <v>0</v>
      </c>
      <c r="AL103" s="847">
        <v>0</v>
      </c>
      <c r="AM103" s="847">
        <v>0</v>
      </c>
      <c r="AN103" s="847">
        <v>0</v>
      </c>
      <c r="AO103" s="847">
        <v>0</v>
      </c>
      <c r="AP103" s="847">
        <v>0</v>
      </c>
      <c r="AQ103" s="847">
        <v>0</v>
      </c>
      <c r="AR103" s="847">
        <v>0</v>
      </c>
      <c r="AS103" s="847">
        <v>0</v>
      </c>
      <c r="AT103" s="847">
        <v>0</v>
      </c>
      <c r="AU103" s="847">
        <v>0</v>
      </c>
      <c r="AV103" s="847">
        <v>0</v>
      </c>
      <c r="AW103" s="847">
        <v>0</v>
      </c>
      <c r="AX103" s="847">
        <v>0</v>
      </c>
      <c r="AY103" s="847">
        <v>0</v>
      </c>
      <c r="AZ103" s="847">
        <v>0</v>
      </c>
      <c r="BA103" s="847">
        <v>0</v>
      </c>
      <c r="BB103" s="847">
        <v>0</v>
      </c>
      <c r="BC103" s="847">
        <v>0</v>
      </c>
      <c r="BD103" s="847">
        <v>0</v>
      </c>
      <c r="BE103" s="847">
        <v>0</v>
      </c>
      <c r="BF103" s="847">
        <v>0</v>
      </c>
      <c r="BG103" s="847">
        <v>0</v>
      </c>
      <c r="BH103" s="847">
        <v>0</v>
      </c>
      <c r="BI103" s="847">
        <v>0</v>
      </c>
      <c r="BJ103" s="847">
        <v>0</v>
      </c>
      <c r="BK103" s="847">
        <v>0</v>
      </c>
      <c r="BL103" s="847">
        <v>0</v>
      </c>
      <c r="BM103" s="847">
        <v>0</v>
      </c>
      <c r="BN103" s="847">
        <v>0</v>
      </c>
      <c r="BO103" s="847">
        <v>0</v>
      </c>
      <c r="BP103" s="847">
        <v>0</v>
      </c>
      <c r="BQ103" s="847">
        <v>0</v>
      </c>
      <c r="BR103" s="847">
        <v>0</v>
      </c>
      <c r="BS103" s="847">
        <v>0</v>
      </c>
      <c r="BT103" s="847">
        <v>0</v>
      </c>
      <c r="BU103" s="847">
        <v>0</v>
      </c>
      <c r="BV103" s="847">
        <v>0</v>
      </c>
      <c r="BW103" s="847">
        <v>0</v>
      </c>
      <c r="BX103" s="847">
        <v>0</v>
      </c>
      <c r="BY103" s="847">
        <v>0</v>
      </c>
      <c r="BZ103" s="847">
        <v>0</v>
      </c>
      <c r="CA103" s="847">
        <v>0</v>
      </c>
      <c r="CB103" s="847">
        <v>0</v>
      </c>
      <c r="CC103" s="847">
        <v>0</v>
      </c>
      <c r="CD103" s="847">
        <v>0</v>
      </c>
      <c r="CE103" s="847">
        <v>0</v>
      </c>
      <c r="CF103" s="847">
        <v>0</v>
      </c>
      <c r="CG103" s="847">
        <v>0</v>
      </c>
      <c r="CH103" s="847">
        <v>0</v>
      </c>
      <c r="CI103" s="847">
        <v>0</v>
      </c>
      <c r="CJ103" s="847">
        <v>0</v>
      </c>
      <c r="CK103" s="847">
        <v>0</v>
      </c>
      <c r="CL103" s="847">
        <v>0</v>
      </c>
      <c r="CM103" s="847">
        <v>0</v>
      </c>
      <c r="CN103" s="847">
        <v>0</v>
      </c>
      <c r="CO103" s="847">
        <v>0</v>
      </c>
      <c r="CP103" s="847">
        <v>0</v>
      </c>
      <c r="CQ103" s="847">
        <v>0</v>
      </c>
      <c r="CR103" s="847">
        <v>0</v>
      </c>
      <c r="CS103" s="847">
        <v>0</v>
      </c>
      <c r="CT103" s="847">
        <v>0</v>
      </c>
      <c r="CU103" s="847">
        <v>0</v>
      </c>
      <c r="CV103" s="847">
        <v>0</v>
      </c>
      <c r="CW103" s="847">
        <v>0</v>
      </c>
      <c r="CX103" s="847">
        <v>0</v>
      </c>
      <c r="CY103" s="847">
        <v>0</v>
      </c>
      <c r="CZ103" s="847">
        <v>0</v>
      </c>
      <c r="DA103" s="847">
        <v>0</v>
      </c>
      <c r="DB103" s="847">
        <v>0</v>
      </c>
      <c r="DC103" s="847">
        <v>0</v>
      </c>
      <c r="DD103" s="847">
        <v>0</v>
      </c>
      <c r="DE103" s="847">
        <v>0</v>
      </c>
      <c r="DF103" s="847">
        <v>0</v>
      </c>
      <c r="DG103" s="847">
        <v>0</v>
      </c>
      <c r="DH103" s="847">
        <v>0</v>
      </c>
      <c r="DI103" s="847">
        <v>0</v>
      </c>
      <c r="DJ103" s="847">
        <v>0</v>
      </c>
      <c r="DK103" s="847">
        <v>0</v>
      </c>
      <c r="DL103" s="847">
        <v>0</v>
      </c>
      <c r="DM103" s="847">
        <v>0</v>
      </c>
      <c r="DN103" s="847">
        <v>0</v>
      </c>
      <c r="DO103" s="847">
        <v>0</v>
      </c>
      <c r="DP103" s="847">
        <v>0</v>
      </c>
      <c r="DQ103" s="847">
        <v>0</v>
      </c>
      <c r="DR103" s="847">
        <v>0</v>
      </c>
      <c r="DS103" s="847">
        <v>0</v>
      </c>
      <c r="DT103" s="847">
        <v>0</v>
      </c>
      <c r="DU103" s="847">
        <v>0</v>
      </c>
      <c r="DV103" s="847">
        <v>0</v>
      </c>
      <c r="DW103" s="847">
        <v>0</v>
      </c>
      <c r="DY103" s="173"/>
      <c r="DZ103" s="173"/>
      <c r="EA103" s="173"/>
      <c r="EB103" s="174"/>
      <c r="EC103" s="175"/>
      <c r="ED103" s="174"/>
      <c r="EE103" s="174"/>
      <c r="EF103" s="174"/>
      <c r="EG103" s="174"/>
      <c r="EH103" s="174"/>
      <c r="EI103" s="174"/>
      <c r="EJ103" s="174"/>
      <c r="EK103" s="174"/>
      <c r="EL103" s="174"/>
      <c r="EM103" s="174"/>
      <c r="EN103" s="174"/>
      <c r="EO103" s="174"/>
      <c r="EP103" s="174"/>
      <c r="EQ103" s="174"/>
      <c r="ER103" s="174"/>
      <c r="ES103" s="174"/>
      <c r="ET103" s="174"/>
      <c r="EU103" s="174"/>
      <c r="EV103" s="174"/>
      <c r="EW103" s="174"/>
      <c r="EX103" s="174"/>
      <c r="EY103" s="174"/>
      <c r="EZ103" s="174"/>
      <c r="FA103" s="174"/>
      <c r="FB103" s="174"/>
      <c r="FC103" s="174"/>
      <c r="FD103" s="174"/>
      <c r="FE103" s="174"/>
      <c r="FF103" s="174"/>
      <c r="FG103" s="174"/>
      <c r="FH103" s="174"/>
      <c r="FI103" s="174"/>
      <c r="FJ103" s="174"/>
      <c r="FK103" s="174"/>
      <c r="FL103" s="174"/>
      <c r="FM103" s="174"/>
      <c r="FN103" s="174"/>
      <c r="FO103" s="174"/>
      <c r="FP103" s="174"/>
      <c r="FQ103" s="174"/>
      <c r="FR103" s="174"/>
      <c r="FS103" s="174"/>
      <c r="FT103" s="174"/>
      <c r="FU103" s="174"/>
      <c r="FV103" s="174"/>
      <c r="FW103" s="174"/>
      <c r="FX103" s="174"/>
      <c r="FY103" s="174"/>
      <c r="FZ103" s="174"/>
      <c r="GA103" s="174"/>
      <c r="GB103" s="174"/>
      <c r="GC103" s="174"/>
      <c r="GD103" s="174"/>
      <c r="GE103" s="174"/>
      <c r="GF103" s="174"/>
      <c r="GG103" s="174"/>
      <c r="GH103" s="174"/>
      <c r="GI103" s="174"/>
      <c r="GJ103" s="174"/>
      <c r="GK103" s="174"/>
      <c r="GL103" s="174"/>
      <c r="GM103" s="174"/>
      <c r="GN103" s="174"/>
      <c r="GO103" s="174"/>
      <c r="GP103" s="174"/>
      <c r="GQ103" s="174"/>
      <c r="GR103" s="174"/>
      <c r="GS103" s="174"/>
      <c r="GT103" s="174"/>
      <c r="GU103" s="174"/>
      <c r="GV103" s="174"/>
      <c r="GW103" s="174"/>
      <c r="GX103" s="174"/>
      <c r="GY103" s="174"/>
      <c r="GZ103" s="174"/>
      <c r="HA103" s="174"/>
      <c r="HB103" s="174"/>
      <c r="HC103" s="174"/>
      <c r="HD103" s="174"/>
      <c r="HE103" s="174"/>
      <c r="HF103" s="174"/>
      <c r="HG103" s="174"/>
      <c r="HH103" s="176"/>
      <c r="HI103" s="176"/>
      <c r="HJ103" s="176"/>
      <c r="HK103" s="176"/>
      <c r="HL103" s="176"/>
      <c r="HM103" s="176"/>
      <c r="HN103" s="176"/>
      <c r="HO103" s="176"/>
      <c r="HP103" s="176"/>
      <c r="HQ103" s="176"/>
      <c r="HR103" s="176"/>
      <c r="HS103" s="176"/>
      <c r="HT103" s="176"/>
      <c r="HU103" s="176"/>
      <c r="HV103" s="176"/>
      <c r="HW103" s="176"/>
      <c r="HX103" s="176"/>
      <c r="HY103" s="176"/>
      <c r="HZ103" s="176"/>
      <c r="IA103" s="176"/>
      <c r="IB103" s="176"/>
      <c r="IC103" s="176"/>
      <c r="ID103" s="176"/>
      <c r="IE103" s="176"/>
      <c r="IF103" s="176"/>
      <c r="IG103" s="176"/>
      <c r="IH103" s="176"/>
      <c r="II103" s="176"/>
      <c r="IJ103" s="176"/>
    </row>
    <row r="104" spans="1:244" ht="16.5" hidden="1">
      <c r="A104" s="846" t="s">
        <v>1060</v>
      </c>
      <c r="B104" s="846" t="s">
        <v>1382</v>
      </c>
      <c r="C104" s="846" t="s">
        <v>1171</v>
      </c>
      <c r="D104" s="847">
        <v>6</v>
      </c>
      <c r="E104" s="846" t="s">
        <v>1171</v>
      </c>
      <c r="F104" s="846" t="s">
        <v>97</v>
      </c>
      <c r="G104" s="851"/>
      <c r="H104" s="847">
        <v>25</v>
      </c>
      <c r="I104" s="780" t="str">
        <f t="shared" si="2"/>
        <v>IWT060225</v>
      </c>
      <c r="J104" s="847">
        <v>4889</v>
      </c>
      <c r="L104" s="846" t="s">
        <v>1060</v>
      </c>
      <c r="M104" s="846" t="s">
        <v>1382</v>
      </c>
      <c r="N104" s="846" t="s">
        <v>97</v>
      </c>
      <c r="O104" s="847">
        <v>25</v>
      </c>
      <c r="P104" s="780" t="str">
        <f t="shared" si="3"/>
        <v>IWT060225</v>
      </c>
      <c r="Q104" s="847">
        <v>1112</v>
      </c>
      <c r="R104" s="847">
        <v>2953</v>
      </c>
      <c r="S104" s="847">
        <v>4759</v>
      </c>
      <c r="T104" s="847">
        <v>6529</v>
      </c>
      <c r="U104" s="847">
        <v>8264</v>
      </c>
      <c r="V104" s="847">
        <v>0</v>
      </c>
      <c r="W104" s="847">
        <v>0</v>
      </c>
      <c r="X104" s="847">
        <v>0</v>
      </c>
      <c r="Y104" s="847">
        <v>0</v>
      </c>
      <c r="Z104" s="847">
        <v>0</v>
      </c>
      <c r="AA104" s="847">
        <v>0</v>
      </c>
      <c r="AB104" s="847">
        <v>0</v>
      </c>
      <c r="AC104" s="847">
        <v>0</v>
      </c>
      <c r="AD104" s="847">
        <v>0</v>
      </c>
      <c r="AE104" s="847">
        <v>0</v>
      </c>
      <c r="AF104" s="847">
        <v>0</v>
      </c>
      <c r="AG104" s="847">
        <v>0</v>
      </c>
      <c r="AH104" s="847">
        <v>0</v>
      </c>
      <c r="AI104" s="847">
        <v>0</v>
      </c>
      <c r="AJ104" s="847">
        <v>0</v>
      </c>
      <c r="AK104" s="847">
        <v>0</v>
      </c>
      <c r="AL104" s="847">
        <v>0</v>
      </c>
      <c r="AM104" s="847">
        <v>0</v>
      </c>
      <c r="AN104" s="847">
        <v>0</v>
      </c>
      <c r="AO104" s="847">
        <v>0</v>
      </c>
      <c r="AP104" s="847">
        <v>0</v>
      </c>
      <c r="AQ104" s="847">
        <v>0</v>
      </c>
      <c r="AR104" s="847">
        <v>0</v>
      </c>
      <c r="AS104" s="847">
        <v>0</v>
      </c>
      <c r="AT104" s="847">
        <v>0</v>
      </c>
      <c r="AU104" s="847">
        <v>0</v>
      </c>
      <c r="AV104" s="847">
        <v>0</v>
      </c>
      <c r="AW104" s="847">
        <v>0</v>
      </c>
      <c r="AX104" s="847">
        <v>0</v>
      </c>
      <c r="AY104" s="847">
        <v>0</v>
      </c>
      <c r="AZ104" s="847">
        <v>0</v>
      </c>
      <c r="BA104" s="847">
        <v>0</v>
      </c>
      <c r="BB104" s="847">
        <v>0</v>
      </c>
      <c r="BC104" s="847">
        <v>0</v>
      </c>
      <c r="BD104" s="847">
        <v>0</v>
      </c>
      <c r="BE104" s="847">
        <v>0</v>
      </c>
      <c r="BF104" s="847">
        <v>0</v>
      </c>
      <c r="BG104" s="847">
        <v>0</v>
      </c>
      <c r="BH104" s="847">
        <v>0</v>
      </c>
      <c r="BI104" s="847">
        <v>0</v>
      </c>
      <c r="BJ104" s="847">
        <v>0</v>
      </c>
      <c r="BK104" s="847">
        <v>0</v>
      </c>
      <c r="BL104" s="847">
        <v>0</v>
      </c>
      <c r="BM104" s="847">
        <v>0</v>
      </c>
      <c r="BN104" s="847">
        <v>0</v>
      </c>
      <c r="BO104" s="847">
        <v>0</v>
      </c>
      <c r="BP104" s="847">
        <v>0</v>
      </c>
      <c r="BQ104" s="847">
        <v>0</v>
      </c>
      <c r="BR104" s="847">
        <v>0</v>
      </c>
      <c r="BS104" s="847">
        <v>0</v>
      </c>
      <c r="BT104" s="847">
        <v>0</v>
      </c>
      <c r="BU104" s="847">
        <v>0</v>
      </c>
      <c r="BV104" s="847">
        <v>0</v>
      </c>
      <c r="BW104" s="847">
        <v>0</v>
      </c>
      <c r="BX104" s="847">
        <v>0</v>
      </c>
      <c r="BY104" s="847">
        <v>0</v>
      </c>
      <c r="BZ104" s="847">
        <v>0</v>
      </c>
      <c r="CA104" s="847">
        <v>0</v>
      </c>
      <c r="CB104" s="847">
        <v>0</v>
      </c>
      <c r="CC104" s="847">
        <v>0</v>
      </c>
      <c r="CD104" s="847">
        <v>0</v>
      </c>
      <c r="CE104" s="847">
        <v>0</v>
      </c>
      <c r="CF104" s="847">
        <v>0</v>
      </c>
      <c r="CG104" s="847">
        <v>0</v>
      </c>
      <c r="CH104" s="847">
        <v>0</v>
      </c>
      <c r="CI104" s="847">
        <v>0</v>
      </c>
      <c r="CJ104" s="847">
        <v>0</v>
      </c>
      <c r="CK104" s="847">
        <v>0</v>
      </c>
      <c r="CL104" s="847">
        <v>0</v>
      </c>
      <c r="CM104" s="847">
        <v>0</v>
      </c>
      <c r="CN104" s="847">
        <v>0</v>
      </c>
      <c r="CO104" s="847">
        <v>0</v>
      </c>
      <c r="CP104" s="847">
        <v>0</v>
      </c>
      <c r="CQ104" s="847">
        <v>0</v>
      </c>
      <c r="CR104" s="847">
        <v>0</v>
      </c>
      <c r="CS104" s="847">
        <v>0</v>
      </c>
      <c r="CT104" s="847">
        <v>0</v>
      </c>
      <c r="CU104" s="847">
        <v>0</v>
      </c>
      <c r="CV104" s="847">
        <v>0</v>
      </c>
      <c r="CW104" s="847">
        <v>0</v>
      </c>
      <c r="CX104" s="847">
        <v>0</v>
      </c>
      <c r="CY104" s="847">
        <v>0</v>
      </c>
      <c r="CZ104" s="847">
        <v>0</v>
      </c>
      <c r="DA104" s="847">
        <v>0</v>
      </c>
      <c r="DB104" s="847">
        <v>0</v>
      </c>
      <c r="DC104" s="847">
        <v>0</v>
      </c>
      <c r="DD104" s="847">
        <v>0</v>
      </c>
      <c r="DE104" s="847">
        <v>0</v>
      </c>
      <c r="DF104" s="847">
        <v>0</v>
      </c>
      <c r="DG104" s="847">
        <v>0</v>
      </c>
      <c r="DH104" s="847">
        <v>0</v>
      </c>
      <c r="DI104" s="847">
        <v>0</v>
      </c>
      <c r="DJ104" s="847">
        <v>0</v>
      </c>
      <c r="DK104" s="847">
        <v>0</v>
      </c>
      <c r="DL104" s="847">
        <v>0</v>
      </c>
      <c r="DM104" s="847">
        <v>0</v>
      </c>
      <c r="DN104" s="847">
        <v>0</v>
      </c>
      <c r="DO104" s="847">
        <v>0</v>
      </c>
      <c r="DP104" s="847">
        <v>0</v>
      </c>
      <c r="DQ104" s="847">
        <v>0</v>
      </c>
      <c r="DR104" s="847">
        <v>0</v>
      </c>
      <c r="DS104" s="847">
        <v>0</v>
      </c>
      <c r="DT104" s="847">
        <v>0</v>
      </c>
      <c r="DU104" s="847">
        <v>0</v>
      </c>
      <c r="DV104" s="847">
        <v>0</v>
      </c>
      <c r="DW104" s="847">
        <v>0</v>
      </c>
      <c r="DY104" s="173"/>
      <c r="DZ104" s="173"/>
      <c r="EA104" s="173"/>
      <c r="EB104" s="174"/>
      <c r="EC104" s="175"/>
      <c r="ED104" s="174"/>
      <c r="EE104" s="174"/>
      <c r="EF104" s="174"/>
      <c r="EG104" s="174"/>
      <c r="EH104" s="174"/>
      <c r="EI104" s="174"/>
      <c r="EJ104" s="174"/>
      <c r="EK104" s="174"/>
      <c r="EL104" s="174"/>
      <c r="EM104" s="174"/>
      <c r="EN104" s="174"/>
      <c r="EO104" s="174"/>
      <c r="EP104" s="174"/>
      <c r="EQ104" s="174"/>
      <c r="ER104" s="174"/>
      <c r="ES104" s="174"/>
      <c r="ET104" s="174"/>
      <c r="EU104" s="174"/>
      <c r="EV104" s="174"/>
      <c r="EW104" s="174"/>
      <c r="EX104" s="174"/>
      <c r="EY104" s="174"/>
      <c r="EZ104" s="174"/>
      <c r="FA104" s="174"/>
      <c r="FB104" s="174"/>
      <c r="FC104" s="174"/>
      <c r="FD104" s="174"/>
      <c r="FE104" s="174"/>
      <c r="FF104" s="174"/>
      <c r="FG104" s="174"/>
      <c r="FH104" s="174"/>
      <c r="FI104" s="174"/>
      <c r="FJ104" s="174"/>
      <c r="FK104" s="174"/>
      <c r="FL104" s="174"/>
      <c r="FM104" s="174"/>
      <c r="FN104" s="174"/>
      <c r="FO104" s="174"/>
      <c r="FP104" s="174"/>
      <c r="FQ104" s="174"/>
      <c r="FR104" s="174"/>
      <c r="FS104" s="174"/>
      <c r="FT104" s="174"/>
      <c r="FU104" s="174"/>
      <c r="FV104" s="174"/>
      <c r="FW104" s="174"/>
      <c r="FX104" s="174"/>
      <c r="FY104" s="174"/>
      <c r="FZ104" s="174"/>
      <c r="GA104" s="174"/>
      <c r="GB104" s="174"/>
      <c r="GC104" s="174"/>
      <c r="GD104" s="174"/>
      <c r="GE104" s="174"/>
      <c r="GF104" s="174"/>
      <c r="GG104" s="174"/>
      <c r="GH104" s="174"/>
      <c r="GI104" s="174"/>
      <c r="GJ104" s="174"/>
      <c r="GK104" s="174"/>
      <c r="GL104" s="174"/>
      <c r="GM104" s="174"/>
      <c r="GN104" s="174"/>
      <c r="GO104" s="174"/>
      <c r="GP104" s="174"/>
      <c r="GQ104" s="174"/>
      <c r="GR104" s="174"/>
      <c r="GS104" s="174"/>
      <c r="GT104" s="174"/>
      <c r="GU104" s="174"/>
      <c r="GV104" s="174"/>
      <c r="GW104" s="174"/>
      <c r="GX104" s="174"/>
      <c r="GY104" s="174"/>
      <c r="GZ104" s="174"/>
      <c r="HA104" s="174"/>
      <c r="HB104" s="174"/>
      <c r="HC104" s="174"/>
      <c r="HD104" s="174"/>
      <c r="HE104" s="174"/>
      <c r="HF104" s="174"/>
      <c r="HG104" s="176"/>
      <c r="HH104" s="176"/>
      <c r="HI104" s="176"/>
      <c r="HJ104" s="176"/>
      <c r="HK104" s="176"/>
      <c r="HL104" s="176"/>
      <c r="HM104" s="176"/>
      <c r="HN104" s="176"/>
      <c r="HO104" s="176"/>
      <c r="HP104" s="176"/>
      <c r="HQ104" s="176"/>
      <c r="HR104" s="176"/>
      <c r="HS104" s="176"/>
      <c r="HT104" s="176"/>
      <c r="HU104" s="176"/>
      <c r="HV104" s="176"/>
      <c r="HW104" s="176"/>
      <c r="HX104" s="176"/>
      <c r="HY104" s="176"/>
      <c r="HZ104" s="176"/>
      <c r="IA104" s="176"/>
      <c r="IB104" s="176"/>
      <c r="IC104" s="176"/>
      <c r="ID104" s="176"/>
      <c r="IE104" s="176"/>
      <c r="IF104" s="176"/>
      <c r="IG104" s="176"/>
      <c r="IH104" s="176"/>
      <c r="II104" s="176"/>
      <c r="IJ104" s="176"/>
    </row>
    <row r="105" spans="1:244" ht="16.5" hidden="1">
      <c r="A105" s="846" t="s">
        <v>1060</v>
      </c>
      <c r="B105" s="846" t="s">
        <v>1382</v>
      </c>
      <c r="C105" s="846" t="s">
        <v>1171</v>
      </c>
      <c r="D105" s="847">
        <v>6</v>
      </c>
      <c r="E105" s="846" t="s">
        <v>1171</v>
      </c>
      <c r="F105" s="846" t="s">
        <v>97</v>
      </c>
      <c r="G105" s="851"/>
      <c r="H105" s="847">
        <v>26</v>
      </c>
      <c r="I105" s="780" t="str">
        <f t="shared" si="2"/>
        <v>IWT060226</v>
      </c>
      <c r="J105" s="847">
        <v>4904</v>
      </c>
      <c r="L105" s="846" t="s">
        <v>1060</v>
      </c>
      <c r="M105" s="846" t="s">
        <v>1382</v>
      </c>
      <c r="N105" s="846" t="s">
        <v>97</v>
      </c>
      <c r="O105" s="847">
        <v>26</v>
      </c>
      <c r="P105" s="780" t="str">
        <f t="shared" si="3"/>
        <v>IWT060226</v>
      </c>
      <c r="Q105" s="847">
        <v>1111</v>
      </c>
      <c r="R105" s="847">
        <v>2953</v>
      </c>
      <c r="S105" s="847">
        <v>4758</v>
      </c>
      <c r="T105" s="847">
        <v>6529</v>
      </c>
      <c r="U105" s="847">
        <v>8264</v>
      </c>
      <c r="V105" s="847">
        <v>0</v>
      </c>
      <c r="W105" s="847">
        <v>0</v>
      </c>
      <c r="X105" s="847">
        <v>0</v>
      </c>
      <c r="Y105" s="847">
        <v>0</v>
      </c>
      <c r="Z105" s="847">
        <v>0</v>
      </c>
      <c r="AA105" s="847">
        <v>0</v>
      </c>
      <c r="AB105" s="847">
        <v>0</v>
      </c>
      <c r="AC105" s="847">
        <v>0</v>
      </c>
      <c r="AD105" s="847">
        <v>0</v>
      </c>
      <c r="AE105" s="847">
        <v>0</v>
      </c>
      <c r="AF105" s="847">
        <v>0</v>
      </c>
      <c r="AG105" s="847">
        <v>0</v>
      </c>
      <c r="AH105" s="847">
        <v>0</v>
      </c>
      <c r="AI105" s="847">
        <v>0</v>
      </c>
      <c r="AJ105" s="847">
        <v>0</v>
      </c>
      <c r="AK105" s="847">
        <v>0</v>
      </c>
      <c r="AL105" s="847">
        <v>0</v>
      </c>
      <c r="AM105" s="847">
        <v>0</v>
      </c>
      <c r="AN105" s="847">
        <v>0</v>
      </c>
      <c r="AO105" s="847">
        <v>0</v>
      </c>
      <c r="AP105" s="847">
        <v>0</v>
      </c>
      <c r="AQ105" s="847">
        <v>0</v>
      </c>
      <c r="AR105" s="847">
        <v>0</v>
      </c>
      <c r="AS105" s="847">
        <v>0</v>
      </c>
      <c r="AT105" s="847">
        <v>0</v>
      </c>
      <c r="AU105" s="847">
        <v>0</v>
      </c>
      <c r="AV105" s="847">
        <v>0</v>
      </c>
      <c r="AW105" s="847">
        <v>0</v>
      </c>
      <c r="AX105" s="847">
        <v>0</v>
      </c>
      <c r="AY105" s="847">
        <v>0</v>
      </c>
      <c r="AZ105" s="847">
        <v>0</v>
      </c>
      <c r="BA105" s="847">
        <v>0</v>
      </c>
      <c r="BB105" s="847">
        <v>0</v>
      </c>
      <c r="BC105" s="847">
        <v>0</v>
      </c>
      <c r="BD105" s="847">
        <v>0</v>
      </c>
      <c r="BE105" s="847">
        <v>0</v>
      </c>
      <c r="BF105" s="847">
        <v>0</v>
      </c>
      <c r="BG105" s="847">
        <v>0</v>
      </c>
      <c r="BH105" s="847">
        <v>0</v>
      </c>
      <c r="BI105" s="847">
        <v>0</v>
      </c>
      <c r="BJ105" s="847">
        <v>0</v>
      </c>
      <c r="BK105" s="847">
        <v>0</v>
      </c>
      <c r="BL105" s="847">
        <v>0</v>
      </c>
      <c r="BM105" s="847">
        <v>0</v>
      </c>
      <c r="BN105" s="847">
        <v>0</v>
      </c>
      <c r="BO105" s="847">
        <v>0</v>
      </c>
      <c r="BP105" s="847">
        <v>0</v>
      </c>
      <c r="BQ105" s="847">
        <v>0</v>
      </c>
      <c r="BR105" s="847">
        <v>0</v>
      </c>
      <c r="BS105" s="847">
        <v>0</v>
      </c>
      <c r="BT105" s="847">
        <v>0</v>
      </c>
      <c r="BU105" s="847">
        <v>0</v>
      </c>
      <c r="BV105" s="847">
        <v>0</v>
      </c>
      <c r="BW105" s="847">
        <v>0</v>
      </c>
      <c r="BX105" s="847">
        <v>0</v>
      </c>
      <c r="BY105" s="847">
        <v>0</v>
      </c>
      <c r="BZ105" s="847">
        <v>0</v>
      </c>
      <c r="CA105" s="847">
        <v>0</v>
      </c>
      <c r="CB105" s="847">
        <v>0</v>
      </c>
      <c r="CC105" s="847">
        <v>0</v>
      </c>
      <c r="CD105" s="847">
        <v>0</v>
      </c>
      <c r="CE105" s="847">
        <v>0</v>
      </c>
      <c r="CF105" s="847">
        <v>0</v>
      </c>
      <c r="CG105" s="847">
        <v>0</v>
      </c>
      <c r="CH105" s="847">
        <v>0</v>
      </c>
      <c r="CI105" s="847">
        <v>0</v>
      </c>
      <c r="CJ105" s="847">
        <v>0</v>
      </c>
      <c r="CK105" s="847">
        <v>0</v>
      </c>
      <c r="CL105" s="847">
        <v>0</v>
      </c>
      <c r="CM105" s="847">
        <v>0</v>
      </c>
      <c r="CN105" s="847">
        <v>0</v>
      </c>
      <c r="CO105" s="847">
        <v>0</v>
      </c>
      <c r="CP105" s="847">
        <v>0</v>
      </c>
      <c r="CQ105" s="847">
        <v>0</v>
      </c>
      <c r="CR105" s="847">
        <v>0</v>
      </c>
      <c r="CS105" s="847">
        <v>0</v>
      </c>
      <c r="CT105" s="847">
        <v>0</v>
      </c>
      <c r="CU105" s="847">
        <v>0</v>
      </c>
      <c r="CV105" s="847">
        <v>0</v>
      </c>
      <c r="CW105" s="847">
        <v>0</v>
      </c>
      <c r="CX105" s="847">
        <v>0</v>
      </c>
      <c r="CY105" s="847">
        <v>0</v>
      </c>
      <c r="CZ105" s="847">
        <v>0</v>
      </c>
      <c r="DA105" s="847">
        <v>0</v>
      </c>
      <c r="DB105" s="847">
        <v>0</v>
      </c>
      <c r="DC105" s="847">
        <v>0</v>
      </c>
      <c r="DD105" s="847">
        <v>0</v>
      </c>
      <c r="DE105" s="847">
        <v>0</v>
      </c>
      <c r="DF105" s="847">
        <v>0</v>
      </c>
      <c r="DG105" s="847">
        <v>0</v>
      </c>
      <c r="DH105" s="847">
        <v>0</v>
      </c>
      <c r="DI105" s="847">
        <v>0</v>
      </c>
      <c r="DJ105" s="847">
        <v>0</v>
      </c>
      <c r="DK105" s="847">
        <v>0</v>
      </c>
      <c r="DL105" s="847">
        <v>0</v>
      </c>
      <c r="DM105" s="847">
        <v>0</v>
      </c>
      <c r="DN105" s="847">
        <v>0</v>
      </c>
      <c r="DO105" s="847">
        <v>0</v>
      </c>
      <c r="DP105" s="847">
        <v>0</v>
      </c>
      <c r="DQ105" s="847">
        <v>0</v>
      </c>
      <c r="DR105" s="847">
        <v>0</v>
      </c>
      <c r="DS105" s="847">
        <v>0</v>
      </c>
      <c r="DT105" s="847">
        <v>0</v>
      </c>
      <c r="DU105" s="847">
        <v>0</v>
      </c>
      <c r="DV105" s="847">
        <v>0</v>
      </c>
      <c r="DW105" s="847">
        <v>0</v>
      </c>
      <c r="DY105" s="173"/>
      <c r="DZ105" s="173"/>
      <c r="EA105" s="173"/>
      <c r="EB105" s="174"/>
      <c r="EC105" s="175"/>
      <c r="ED105" s="174"/>
      <c r="EE105" s="174"/>
      <c r="EF105" s="174"/>
      <c r="EG105" s="174"/>
      <c r="EH105" s="174"/>
      <c r="EI105" s="174"/>
      <c r="EJ105" s="174"/>
      <c r="EK105" s="174"/>
      <c r="EL105" s="174"/>
      <c r="EM105" s="174"/>
      <c r="EN105" s="174"/>
      <c r="EO105" s="174"/>
      <c r="EP105" s="174"/>
      <c r="EQ105" s="174"/>
      <c r="ER105" s="174"/>
      <c r="ES105" s="174"/>
      <c r="ET105" s="174"/>
      <c r="EU105" s="174"/>
      <c r="EV105" s="174"/>
      <c r="EW105" s="174"/>
      <c r="EX105" s="174"/>
      <c r="EY105" s="174"/>
      <c r="EZ105" s="174"/>
      <c r="FA105" s="174"/>
      <c r="FB105" s="174"/>
      <c r="FC105" s="174"/>
      <c r="FD105" s="174"/>
      <c r="FE105" s="174"/>
      <c r="FF105" s="174"/>
      <c r="FG105" s="174"/>
      <c r="FH105" s="174"/>
      <c r="FI105" s="174"/>
      <c r="FJ105" s="174"/>
      <c r="FK105" s="174"/>
      <c r="FL105" s="174"/>
      <c r="FM105" s="174"/>
      <c r="FN105" s="174"/>
      <c r="FO105" s="174"/>
      <c r="FP105" s="174"/>
      <c r="FQ105" s="174"/>
      <c r="FR105" s="174"/>
      <c r="FS105" s="174"/>
      <c r="FT105" s="174"/>
      <c r="FU105" s="174"/>
      <c r="FV105" s="174"/>
      <c r="FW105" s="174"/>
      <c r="FX105" s="174"/>
      <c r="FY105" s="174"/>
      <c r="FZ105" s="174"/>
      <c r="GA105" s="174"/>
      <c r="GB105" s="174"/>
      <c r="GC105" s="174"/>
      <c r="GD105" s="174"/>
      <c r="GE105" s="174"/>
      <c r="GF105" s="174"/>
      <c r="GG105" s="174"/>
      <c r="GH105" s="174"/>
      <c r="GI105" s="174"/>
      <c r="GJ105" s="174"/>
      <c r="GK105" s="174"/>
      <c r="GL105" s="174"/>
      <c r="GM105" s="174"/>
      <c r="GN105" s="174"/>
      <c r="GO105" s="174"/>
      <c r="GP105" s="174"/>
      <c r="GQ105" s="174"/>
      <c r="GR105" s="174"/>
      <c r="GS105" s="174"/>
      <c r="GT105" s="174"/>
      <c r="GU105" s="174"/>
      <c r="GV105" s="174"/>
      <c r="GW105" s="174"/>
      <c r="GX105" s="174"/>
      <c r="GY105" s="174"/>
      <c r="GZ105" s="174"/>
      <c r="HA105" s="174"/>
      <c r="HB105" s="174"/>
      <c r="HC105" s="174"/>
      <c r="HD105" s="174"/>
      <c r="HE105" s="174"/>
      <c r="HF105" s="176"/>
      <c r="HG105" s="176"/>
      <c r="HH105" s="176"/>
      <c r="HI105" s="176"/>
      <c r="HJ105" s="176"/>
      <c r="HK105" s="176"/>
      <c r="HL105" s="176"/>
      <c r="HM105" s="176"/>
      <c r="HN105" s="176"/>
      <c r="HO105" s="176"/>
      <c r="HP105" s="176"/>
      <c r="HQ105" s="176"/>
      <c r="HR105" s="176"/>
      <c r="HS105" s="176"/>
      <c r="HT105" s="176"/>
      <c r="HU105" s="176"/>
      <c r="HV105" s="176"/>
      <c r="HW105" s="176"/>
      <c r="HX105" s="176"/>
      <c r="HY105" s="176"/>
      <c r="HZ105" s="176"/>
      <c r="IA105" s="176"/>
      <c r="IB105" s="176"/>
      <c r="IC105" s="176"/>
      <c r="ID105" s="176"/>
      <c r="IE105" s="176"/>
      <c r="IF105" s="176"/>
      <c r="IG105" s="176"/>
      <c r="IH105" s="176"/>
      <c r="II105" s="176"/>
      <c r="IJ105" s="176"/>
    </row>
    <row r="106" spans="1:244" ht="16.5" hidden="1">
      <c r="A106" s="846" t="s">
        <v>1060</v>
      </c>
      <c r="B106" s="846" t="s">
        <v>1382</v>
      </c>
      <c r="C106" s="846" t="s">
        <v>1171</v>
      </c>
      <c r="D106" s="847">
        <v>6</v>
      </c>
      <c r="E106" s="846" t="s">
        <v>1171</v>
      </c>
      <c r="F106" s="846" t="s">
        <v>97</v>
      </c>
      <c r="G106" s="851"/>
      <c r="H106" s="847">
        <v>27</v>
      </c>
      <c r="I106" s="780" t="str">
        <f t="shared" si="2"/>
        <v>IWT060227</v>
      </c>
      <c r="J106" s="847">
        <v>4919</v>
      </c>
      <c r="L106" s="846" t="s">
        <v>1060</v>
      </c>
      <c r="M106" s="846" t="s">
        <v>1382</v>
      </c>
      <c r="N106" s="846" t="s">
        <v>97</v>
      </c>
      <c r="O106" s="847">
        <v>27</v>
      </c>
      <c r="P106" s="780" t="str">
        <f t="shared" si="3"/>
        <v>IWT060227</v>
      </c>
      <c r="Q106" s="847">
        <v>1112</v>
      </c>
      <c r="R106" s="847">
        <v>2953</v>
      </c>
      <c r="S106" s="847">
        <v>4759</v>
      </c>
      <c r="T106" s="847">
        <v>6529</v>
      </c>
      <c r="U106" s="847">
        <v>8264</v>
      </c>
      <c r="V106" s="847">
        <v>0</v>
      </c>
      <c r="W106" s="847">
        <v>0</v>
      </c>
      <c r="X106" s="847">
        <v>0</v>
      </c>
      <c r="Y106" s="847">
        <v>0</v>
      </c>
      <c r="Z106" s="847">
        <v>0</v>
      </c>
      <c r="AA106" s="847">
        <v>0</v>
      </c>
      <c r="AB106" s="847">
        <v>0</v>
      </c>
      <c r="AC106" s="847">
        <v>0</v>
      </c>
      <c r="AD106" s="847">
        <v>0</v>
      </c>
      <c r="AE106" s="847">
        <v>0</v>
      </c>
      <c r="AF106" s="847">
        <v>0</v>
      </c>
      <c r="AG106" s="847">
        <v>0</v>
      </c>
      <c r="AH106" s="847">
        <v>0</v>
      </c>
      <c r="AI106" s="847">
        <v>0</v>
      </c>
      <c r="AJ106" s="847">
        <v>0</v>
      </c>
      <c r="AK106" s="847">
        <v>0</v>
      </c>
      <c r="AL106" s="847">
        <v>0</v>
      </c>
      <c r="AM106" s="847">
        <v>0</v>
      </c>
      <c r="AN106" s="847">
        <v>0</v>
      </c>
      <c r="AO106" s="847">
        <v>0</v>
      </c>
      <c r="AP106" s="847">
        <v>0</v>
      </c>
      <c r="AQ106" s="847">
        <v>0</v>
      </c>
      <c r="AR106" s="847">
        <v>0</v>
      </c>
      <c r="AS106" s="847">
        <v>0</v>
      </c>
      <c r="AT106" s="847">
        <v>0</v>
      </c>
      <c r="AU106" s="847">
        <v>0</v>
      </c>
      <c r="AV106" s="847">
        <v>0</v>
      </c>
      <c r="AW106" s="847">
        <v>0</v>
      </c>
      <c r="AX106" s="847">
        <v>0</v>
      </c>
      <c r="AY106" s="847">
        <v>0</v>
      </c>
      <c r="AZ106" s="847">
        <v>0</v>
      </c>
      <c r="BA106" s="847">
        <v>0</v>
      </c>
      <c r="BB106" s="847">
        <v>0</v>
      </c>
      <c r="BC106" s="847">
        <v>0</v>
      </c>
      <c r="BD106" s="847">
        <v>0</v>
      </c>
      <c r="BE106" s="847">
        <v>0</v>
      </c>
      <c r="BF106" s="847">
        <v>0</v>
      </c>
      <c r="BG106" s="847">
        <v>0</v>
      </c>
      <c r="BH106" s="847">
        <v>0</v>
      </c>
      <c r="BI106" s="847">
        <v>0</v>
      </c>
      <c r="BJ106" s="847">
        <v>0</v>
      </c>
      <c r="BK106" s="847">
        <v>0</v>
      </c>
      <c r="BL106" s="847">
        <v>0</v>
      </c>
      <c r="BM106" s="847">
        <v>0</v>
      </c>
      <c r="BN106" s="847">
        <v>0</v>
      </c>
      <c r="BO106" s="847">
        <v>0</v>
      </c>
      <c r="BP106" s="847">
        <v>0</v>
      </c>
      <c r="BQ106" s="847">
        <v>0</v>
      </c>
      <c r="BR106" s="847">
        <v>0</v>
      </c>
      <c r="BS106" s="847">
        <v>0</v>
      </c>
      <c r="BT106" s="847">
        <v>0</v>
      </c>
      <c r="BU106" s="847">
        <v>0</v>
      </c>
      <c r="BV106" s="847">
        <v>0</v>
      </c>
      <c r="BW106" s="847">
        <v>0</v>
      </c>
      <c r="BX106" s="847">
        <v>0</v>
      </c>
      <c r="BY106" s="847">
        <v>0</v>
      </c>
      <c r="BZ106" s="847">
        <v>0</v>
      </c>
      <c r="CA106" s="847">
        <v>0</v>
      </c>
      <c r="CB106" s="847">
        <v>0</v>
      </c>
      <c r="CC106" s="847">
        <v>0</v>
      </c>
      <c r="CD106" s="847">
        <v>0</v>
      </c>
      <c r="CE106" s="847">
        <v>0</v>
      </c>
      <c r="CF106" s="847">
        <v>0</v>
      </c>
      <c r="CG106" s="847">
        <v>0</v>
      </c>
      <c r="CH106" s="847">
        <v>0</v>
      </c>
      <c r="CI106" s="847">
        <v>0</v>
      </c>
      <c r="CJ106" s="847">
        <v>0</v>
      </c>
      <c r="CK106" s="847">
        <v>0</v>
      </c>
      <c r="CL106" s="847">
        <v>0</v>
      </c>
      <c r="CM106" s="847">
        <v>0</v>
      </c>
      <c r="CN106" s="847">
        <v>0</v>
      </c>
      <c r="CO106" s="847">
        <v>0</v>
      </c>
      <c r="CP106" s="847">
        <v>0</v>
      </c>
      <c r="CQ106" s="847">
        <v>0</v>
      </c>
      <c r="CR106" s="847">
        <v>0</v>
      </c>
      <c r="CS106" s="847">
        <v>0</v>
      </c>
      <c r="CT106" s="847">
        <v>0</v>
      </c>
      <c r="CU106" s="847">
        <v>0</v>
      </c>
      <c r="CV106" s="847">
        <v>0</v>
      </c>
      <c r="CW106" s="847">
        <v>0</v>
      </c>
      <c r="CX106" s="847">
        <v>0</v>
      </c>
      <c r="CY106" s="847">
        <v>0</v>
      </c>
      <c r="CZ106" s="847">
        <v>0</v>
      </c>
      <c r="DA106" s="847">
        <v>0</v>
      </c>
      <c r="DB106" s="847">
        <v>0</v>
      </c>
      <c r="DC106" s="847">
        <v>0</v>
      </c>
      <c r="DD106" s="847">
        <v>0</v>
      </c>
      <c r="DE106" s="847">
        <v>0</v>
      </c>
      <c r="DF106" s="847">
        <v>0</v>
      </c>
      <c r="DG106" s="847">
        <v>0</v>
      </c>
      <c r="DH106" s="847">
        <v>0</v>
      </c>
      <c r="DI106" s="847">
        <v>0</v>
      </c>
      <c r="DJ106" s="847">
        <v>0</v>
      </c>
      <c r="DK106" s="847">
        <v>0</v>
      </c>
      <c r="DL106" s="847">
        <v>0</v>
      </c>
      <c r="DM106" s="847">
        <v>0</v>
      </c>
      <c r="DN106" s="847">
        <v>0</v>
      </c>
      <c r="DO106" s="847">
        <v>0</v>
      </c>
      <c r="DP106" s="847">
        <v>0</v>
      </c>
      <c r="DQ106" s="847">
        <v>0</v>
      </c>
      <c r="DR106" s="847">
        <v>0</v>
      </c>
      <c r="DS106" s="847">
        <v>0</v>
      </c>
      <c r="DT106" s="847">
        <v>0</v>
      </c>
      <c r="DU106" s="847">
        <v>0</v>
      </c>
      <c r="DV106" s="847">
        <v>0</v>
      </c>
      <c r="DW106" s="847">
        <v>0</v>
      </c>
      <c r="DY106" s="173"/>
      <c r="DZ106" s="173"/>
      <c r="EA106" s="173"/>
      <c r="EB106" s="174"/>
      <c r="EC106" s="175"/>
      <c r="ED106" s="174"/>
      <c r="EE106" s="174"/>
      <c r="EF106" s="174"/>
      <c r="EG106" s="174"/>
      <c r="EH106" s="174"/>
      <c r="EI106" s="174"/>
      <c r="EJ106" s="174"/>
      <c r="EK106" s="174"/>
      <c r="EL106" s="174"/>
      <c r="EM106" s="174"/>
      <c r="EN106" s="174"/>
      <c r="EO106" s="174"/>
      <c r="EP106" s="174"/>
      <c r="EQ106" s="174"/>
      <c r="ER106" s="174"/>
      <c r="ES106" s="174"/>
      <c r="ET106" s="174"/>
      <c r="EU106" s="174"/>
      <c r="EV106" s="174"/>
      <c r="EW106" s="174"/>
      <c r="EX106" s="174"/>
      <c r="EY106" s="174"/>
      <c r="EZ106" s="174"/>
      <c r="FA106" s="174"/>
      <c r="FB106" s="174"/>
      <c r="FC106" s="174"/>
      <c r="FD106" s="174"/>
      <c r="FE106" s="174"/>
      <c r="FF106" s="174"/>
      <c r="FG106" s="174"/>
      <c r="FH106" s="174"/>
      <c r="FI106" s="174"/>
      <c r="FJ106" s="174"/>
      <c r="FK106" s="174"/>
      <c r="FL106" s="174"/>
      <c r="FM106" s="174"/>
      <c r="FN106" s="174"/>
      <c r="FO106" s="174"/>
      <c r="FP106" s="174"/>
      <c r="FQ106" s="174"/>
      <c r="FR106" s="174"/>
      <c r="FS106" s="174"/>
      <c r="FT106" s="174"/>
      <c r="FU106" s="174"/>
      <c r="FV106" s="174"/>
      <c r="FW106" s="174"/>
      <c r="FX106" s="174"/>
      <c r="FY106" s="174"/>
      <c r="FZ106" s="174"/>
      <c r="GA106" s="174"/>
      <c r="GB106" s="174"/>
      <c r="GC106" s="174"/>
      <c r="GD106" s="174"/>
      <c r="GE106" s="174"/>
      <c r="GF106" s="174"/>
      <c r="GG106" s="174"/>
      <c r="GH106" s="174"/>
      <c r="GI106" s="174"/>
      <c r="GJ106" s="174"/>
      <c r="GK106" s="174"/>
      <c r="GL106" s="174"/>
      <c r="GM106" s="174"/>
      <c r="GN106" s="174"/>
      <c r="GO106" s="174"/>
      <c r="GP106" s="174"/>
      <c r="GQ106" s="174"/>
      <c r="GR106" s="174"/>
      <c r="GS106" s="174"/>
      <c r="GT106" s="174"/>
      <c r="GU106" s="174"/>
      <c r="GV106" s="174"/>
      <c r="GW106" s="174"/>
      <c r="GX106" s="174"/>
      <c r="GY106" s="174"/>
      <c r="GZ106" s="174"/>
      <c r="HA106" s="174"/>
      <c r="HB106" s="174"/>
      <c r="HC106" s="174"/>
      <c r="HD106" s="174"/>
      <c r="HE106" s="176"/>
      <c r="HF106" s="176"/>
      <c r="HG106" s="176"/>
      <c r="HH106" s="176"/>
      <c r="HI106" s="176"/>
      <c r="HJ106" s="176"/>
      <c r="HK106" s="176"/>
      <c r="HL106" s="176"/>
      <c r="HM106" s="176"/>
      <c r="HN106" s="176"/>
      <c r="HO106" s="176"/>
      <c r="HP106" s="176"/>
      <c r="HQ106" s="176"/>
      <c r="HR106" s="176"/>
      <c r="HS106" s="176"/>
      <c r="HT106" s="176"/>
      <c r="HU106" s="176"/>
      <c r="HV106" s="176"/>
      <c r="HW106" s="176"/>
      <c r="HX106" s="176"/>
      <c r="HY106" s="176"/>
      <c r="HZ106" s="176"/>
      <c r="IA106" s="176"/>
      <c r="IB106" s="176"/>
      <c r="IC106" s="176"/>
      <c r="ID106" s="176"/>
      <c r="IE106" s="176"/>
      <c r="IF106" s="176"/>
      <c r="IG106" s="176"/>
      <c r="IH106" s="176"/>
      <c r="II106" s="176"/>
      <c r="IJ106" s="176"/>
    </row>
    <row r="107" spans="1:244" ht="16.5" hidden="1">
      <c r="A107" s="846" t="s">
        <v>1060</v>
      </c>
      <c r="B107" s="846" t="s">
        <v>1382</v>
      </c>
      <c r="C107" s="846" t="s">
        <v>1171</v>
      </c>
      <c r="D107" s="847">
        <v>6</v>
      </c>
      <c r="E107" s="846" t="s">
        <v>1171</v>
      </c>
      <c r="F107" s="846" t="s">
        <v>97</v>
      </c>
      <c r="G107" s="851"/>
      <c r="H107" s="847">
        <v>28</v>
      </c>
      <c r="I107" s="780" t="str">
        <f t="shared" si="2"/>
        <v>IWT060228</v>
      </c>
      <c r="J107" s="847">
        <v>4932</v>
      </c>
      <c r="L107" s="846" t="s">
        <v>1060</v>
      </c>
      <c r="M107" s="846" t="s">
        <v>1382</v>
      </c>
      <c r="N107" s="846" t="s">
        <v>97</v>
      </c>
      <c r="O107" s="847">
        <v>28</v>
      </c>
      <c r="P107" s="780" t="str">
        <f t="shared" si="3"/>
        <v>IWT060228</v>
      </c>
      <c r="Q107" s="847">
        <v>1111</v>
      </c>
      <c r="R107" s="847">
        <v>2953</v>
      </c>
      <c r="S107" s="847">
        <v>4759</v>
      </c>
      <c r="T107" s="847">
        <v>6529</v>
      </c>
      <c r="U107" s="847">
        <v>8264</v>
      </c>
      <c r="V107" s="847">
        <v>0</v>
      </c>
      <c r="W107" s="847">
        <v>0</v>
      </c>
      <c r="X107" s="847">
        <v>0</v>
      </c>
      <c r="Y107" s="847">
        <v>0</v>
      </c>
      <c r="Z107" s="847">
        <v>0</v>
      </c>
      <c r="AA107" s="847">
        <v>0</v>
      </c>
      <c r="AB107" s="847">
        <v>0</v>
      </c>
      <c r="AC107" s="847">
        <v>0</v>
      </c>
      <c r="AD107" s="847">
        <v>0</v>
      </c>
      <c r="AE107" s="847">
        <v>0</v>
      </c>
      <c r="AF107" s="847">
        <v>0</v>
      </c>
      <c r="AG107" s="847">
        <v>0</v>
      </c>
      <c r="AH107" s="847">
        <v>0</v>
      </c>
      <c r="AI107" s="847">
        <v>0</v>
      </c>
      <c r="AJ107" s="847">
        <v>0</v>
      </c>
      <c r="AK107" s="847">
        <v>0</v>
      </c>
      <c r="AL107" s="847">
        <v>0</v>
      </c>
      <c r="AM107" s="847">
        <v>0</v>
      </c>
      <c r="AN107" s="847">
        <v>0</v>
      </c>
      <c r="AO107" s="847">
        <v>0</v>
      </c>
      <c r="AP107" s="847">
        <v>0</v>
      </c>
      <c r="AQ107" s="847">
        <v>0</v>
      </c>
      <c r="AR107" s="847">
        <v>0</v>
      </c>
      <c r="AS107" s="847">
        <v>0</v>
      </c>
      <c r="AT107" s="847">
        <v>0</v>
      </c>
      <c r="AU107" s="847">
        <v>0</v>
      </c>
      <c r="AV107" s="847">
        <v>0</v>
      </c>
      <c r="AW107" s="847">
        <v>0</v>
      </c>
      <c r="AX107" s="847">
        <v>0</v>
      </c>
      <c r="AY107" s="847">
        <v>0</v>
      </c>
      <c r="AZ107" s="847">
        <v>0</v>
      </c>
      <c r="BA107" s="847">
        <v>0</v>
      </c>
      <c r="BB107" s="847">
        <v>0</v>
      </c>
      <c r="BC107" s="847">
        <v>0</v>
      </c>
      <c r="BD107" s="847">
        <v>0</v>
      </c>
      <c r="BE107" s="847">
        <v>0</v>
      </c>
      <c r="BF107" s="847">
        <v>0</v>
      </c>
      <c r="BG107" s="847">
        <v>0</v>
      </c>
      <c r="BH107" s="847">
        <v>0</v>
      </c>
      <c r="BI107" s="847">
        <v>0</v>
      </c>
      <c r="BJ107" s="847">
        <v>0</v>
      </c>
      <c r="BK107" s="847">
        <v>0</v>
      </c>
      <c r="BL107" s="847">
        <v>0</v>
      </c>
      <c r="BM107" s="847">
        <v>0</v>
      </c>
      <c r="BN107" s="847">
        <v>0</v>
      </c>
      <c r="BO107" s="847">
        <v>0</v>
      </c>
      <c r="BP107" s="847">
        <v>0</v>
      </c>
      <c r="BQ107" s="847">
        <v>0</v>
      </c>
      <c r="BR107" s="847">
        <v>0</v>
      </c>
      <c r="BS107" s="847">
        <v>0</v>
      </c>
      <c r="BT107" s="847">
        <v>0</v>
      </c>
      <c r="BU107" s="847">
        <v>0</v>
      </c>
      <c r="BV107" s="847">
        <v>0</v>
      </c>
      <c r="BW107" s="847">
        <v>0</v>
      </c>
      <c r="BX107" s="847">
        <v>0</v>
      </c>
      <c r="BY107" s="847">
        <v>0</v>
      </c>
      <c r="BZ107" s="847">
        <v>0</v>
      </c>
      <c r="CA107" s="847">
        <v>0</v>
      </c>
      <c r="CB107" s="847">
        <v>0</v>
      </c>
      <c r="CC107" s="847">
        <v>0</v>
      </c>
      <c r="CD107" s="847">
        <v>0</v>
      </c>
      <c r="CE107" s="847">
        <v>0</v>
      </c>
      <c r="CF107" s="847">
        <v>0</v>
      </c>
      <c r="CG107" s="847">
        <v>0</v>
      </c>
      <c r="CH107" s="847">
        <v>0</v>
      </c>
      <c r="CI107" s="847">
        <v>0</v>
      </c>
      <c r="CJ107" s="847">
        <v>0</v>
      </c>
      <c r="CK107" s="847">
        <v>0</v>
      </c>
      <c r="CL107" s="847">
        <v>0</v>
      </c>
      <c r="CM107" s="847">
        <v>0</v>
      </c>
      <c r="CN107" s="847">
        <v>0</v>
      </c>
      <c r="CO107" s="847">
        <v>0</v>
      </c>
      <c r="CP107" s="847">
        <v>0</v>
      </c>
      <c r="CQ107" s="847">
        <v>0</v>
      </c>
      <c r="CR107" s="847">
        <v>0</v>
      </c>
      <c r="CS107" s="847">
        <v>0</v>
      </c>
      <c r="CT107" s="847">
        <v>0</v>
      </c>
      <c r="CU107" s="847">
        <v>0</v>
      </c>
      <c r="CV107" s="847">
        <v>0</v>
      </c>
      <c r="CW107" s="847">
        <v>0</v>
      </c>
      <c r="CX107" s="847">
        <v>0</v>
      </c>
      <c r="CY107" s="847">
        <v>0</v>
      </c>
      <c r="CZ107" s="847">
        <v>0</v>
      </c>
      <c r="DA107" s="847">
        <v>0</v>
      </c>
      <c r="DB107" s="847">
        <v>0</v>
      </c>
      <c r="DC107" s="847">
        <v>0</v>
      </c>
      <c r="DD107" s="847">
        <v>0</v>
      </c>
      <c r="DE107" s="847">
        <v>0</v>
      </c>
      <c r="DF107" s="847">
        <v>0</v>
      </c>
      <c r="DG107" s="847">
        <v>0</v>
      </c>
      <c r="DH107" s="847">
        <v>0</v>
      </c>
      <c r="DI107" s="847">
        <v>0</v>
      </c>
      <c r="DJ107" s="847">
        <v>0</v>
      </c>
      <c r="DK107" s="847">
        <v>0</v>
      </c>
      <c r="DL107" s="847">
        <v>0</v>
      </c>
      <c r="DM107" s="847">
        <v>0</v>
      </c>
      <c r="DN107" s="847">
        <v>0</v>
      </c>
      <c r="DO107" s="847">
        <v>0</v>
      </c>
      <c r="DP107" s="847">
        <v>0</v>
      </c>
      <c r="DQ107" s="847">
        <v>0</v>
      </c>
      <c r="DR107" s="847">
        <v>0</v>
      </c>
      <c r="DS107" s="847">
        <v>0</v>
      </c>
      <c r="DT107" s="847">
        <v>0</v>
      </c>
      <c r="DU107" s="847">
        <v>0</v>
      </c>
      <c r="DV107" s="847">
        <v>0</v>
      </c>
      <c r="DW107" s="847">
        <v>0</v>
      </c>
      <c r="DY107" s="173"/>
      <c r="DZ107" s="173"/>
      <c r="EA107" s="173"/>
      <c r="EB107" s="174"/>
      <c r="EC107" s="175"/>
      <c r="ED107" s="174"/>
      <c r="EE107" s="174"/>
      <c r="EF107" s="174"/>
      <c r="EG107" s="174"/>
      <c r="EH107" s="174"/>
      <c r="EI107" s="174"/>
      <c r="EJ107" s="174"/>
      <c r="EK107" s="174"/>
      <c r="EL107" s="174"/>
      <c r="EM107" s="174"/>
      <c r="EN107" s="174"/>
      <c r="EO107" s="174"/>
      <c r="EP107" s="174"/>
      <c r="EQ107" s="174"/>
      <c r="ER107" s="174"/>
      <c r="ES107" s="174"/>
      <c r="ET107" s="174"/>
      <c r="EU107" s="174"/>
      <c r="EV107" s="174"/>
      <c r="EW107" s="174"/>
      <c r="EX107" s="174"/>
      <c r="EY107" s="174"/>
      <c r="EZ107" s="174"/>
      <c r="FA107" s="174"/>
      <c r="FB107" s="174"/>
      <c r="FC107" s="174"/>
      <c r="FD107" s="174"/>
      <c r="FE107" s="174"/>
      <c r="FF107" s="174"/>
      <c r="FG107" s="174"/>
      <c r="FH107" s="174"/>
      <c r="FI107" s="174"/>
      <c r="FJ107" s="174"/>
      <c r="FK107" s="174"/>
      <c r="FL107" s="174"/>
      <c r="FM107" s="174"/>
      <c r="FN107" s="174"/>
      <c r="FO107" s="174"/>
      <c r="FP107" s="174"/>
      <c r="FQ107" s="174"/>
      <c r="FR107" s="174"/>
      <c r="FS107" s="174"/>
      <c r="FT107" s="174"/>
      <c r="FU107" s="174"/>
      <c r="FV107" s="174"/>
      <c r="FW107" s="174"/>
      <c r="FX107" s="174"/>
      <c r="FY107" s="174"/>
      <c r="FZ107" s="174"/>
      <c r="GA107" s="174"/>
      <c r="GB107" s="174"/>
      <c r="GC107" s="174"/>
      <c r="GD107" s="174"/>
      <c r="GE107" s="174"/>
      <c r="GF107" s="174"/>
      <c r="GG107" s="174"/>
      <c r="GH107" s="174"/>
      <c r="GI107" s="174"/>
      <c r="GJ107" s="174"/>
      <c r="GK107" s="174"/>
      <c r="GL107" s="174"/>
      <c r="GM107" s="174"/>
      <c r="GN107" s="174"/>
      <c r="GO107" s="174"/>
      <c r="GP107" s="174"/>
      <c r="GQ107" s="174"/>
      <c r="GR107" s="174"/>
      <c r="GS107" s="174"/>
      <c r="GT107" s="174"/>
      <c r="GU107" s="174"/>
      <c r="GV107" s="174"/>
      <c r="GW107" s="174"/>
      <c r="GX107" s="174"/>
      <c r="GY107" s="174"/>
      <c r="GZ107" s="174"/>
      <c r="HA107" s="174"/>
      <c r="HB107" s="174"/>
      <c r="HC107" s="174"/>
      <c r="HD107" s="176"/>
      <c r="HE107" s="176"/>
      <c r="HF107" s="176"/>
      <c r="HG107" s="176"/>
      <c r="HH107" s="176"/>
      <c r="HI107" s="176"/>
      <c r="HJ107" s="176"/>
      <c r="HK107" s="176"/>
      <c r="HL107" s="176"/>
      <c r="HM107" s="176"/>
      <c r="HN107" s="176"/>
      <c r="HO107" s="176"/>
      <c r="HP107" s="176"/>
      <c r="HQ107" s="176"/>
      <c r="HR107" s="176"/>
      <c r="HS107" s="176"/>
      <c r="HT107" s="176"/>
      <c r="HU107" s="176"/>
      <c r="HV107" s="176"/>
      <c r="HW107" s="176"/>
      <c r="HX107" s="176"/>
      <c r="HY107" s="176"/>
      <c r="HZ107" s="176"/>
      <c r="IA107" s="176"/>
      <c r="IB107" s="176"/>
      <c r="IC107" s="176"/>
      <c r="ID107" s="176"/>
      <c r="IE107" s="176"/>
      <c r="IF107" s="176"/>
      <c r="IG107" s="176"/>
      <c r="IH107" s="176"/>
      <c r="II107" s="176"/>
      <c r="IJ107" s="176"/>
    </row>
    <row r="108" spans="1:244" ht="16.5" hidden="1">
      <c r="A108" s="846" t="s">
        <v>1060</v>
      </c>
      <c r="B108" s="846" t="s">
        <v>1382</v>
      </c>
      <c r="C108" s="846" t="s">
        <v>1171</v>
      </c>
      <c r="D108" s="847">
        <v>6</v>
      </c>
      <c r="E108" s="846" t="s">
        <v>1171</v>
      </c>
      <c r="F108" s="846" t="s">
        <v>97</v>
      </c>
      <c r="G108" s="851"/>
      <c r="H108" s="847">
        <v>29</v>
      </c>
      <c r="I108" s="780" t="str">
        <f t="shared" si="2"/>
        <v>IWT060229</v>
      </c>
      <c r="J108" s="847">
        <v>4945</v>
      </c>
      <c r="L108" s="846" t="s">
        <v>1060</v>
      </c>
      <c r="M108" s="846" t="s">
        <v>1382</v>
      </c>
      <c r="N108" s="846" t="s">
        <v>97</v>
      </c>
      <c r="O108" s="847">
        <v>29</v>
      </c>
      <c r="P108" s="780" t="str">
        <f t="shared" si="3"/>
        <v>IWT060229</v>
      </c>
      <c r="Q108" s="847">
        <v>1111</v>
      </c>
      <c r="R108" s="847">
        <v>2953</v>
      </c>
      <c r="S108" s="847">
        <v>4759</v>
      </c>
      <c r="T108" s="847">
        <v>6529</v>
      </c>
      <c r="U108" s="847">
        <v>8264</v>
      </c>
      <c r="V108" s="847">
        <v>0</v>
      </c>
      <c r="W108" s="847">
        <v>0</v>
      </c>
      <c r="X108" s="847">
        <v>0</v>
      </c>
      <c r="Y108" s="847">
        <v>0</v>
      </c>
      <c r="Z108" s="847">
        <v>0</v>
      </c>
      <c r="AA108" s="847">
        <v>0</v>
      </c>
      <c r="AB108" s="847">
        <v>0</v>
      </c>
      <c r="AC108" s="847">
        <v>0</v>
      </c>
      <c r="AD108" s="847">
        <v>0</v>
      </c>
      <c r="AE108" s="847">
        <v>0</v>
      </c>
      <c r="AF108" s="847">
        <v>0</v>
      </c>
      <c r="AG108" s="847">
        <v>0</v>
      </c>
      <c r="AH108" s="847">
        <v>0</v>
      </c>
      <c r="AI108" s="847">
        <v>0</v>
      </c>
      <c r="AJ108" s="847">
        <v>0</v>
      </c>
      <c r="AK108" s="847">
        <v>0</v>
      </c>
      <c r="AL108" s="847">
        <v>0</v>
      </c>
      <c r="AM108" s="847">
        <v>0</v>
      </c>
      <c r="AN108" s="847">
        <v>0</v>
      </c>
      <c r="AO108" s="847">
        <v>0</v>
      </c>
      <c r="AP108" s="847">
        <v>0</v>
      </c>
      <c r="AQ108" s="847">
        <v>0</v>
      </c>
      <c r="AR108" s="847">
        <v>0</v>
      </c>
      <c r="AS108" s="847">
        <v>0</v>
      </c>
      <c r="AT108" s="847">
        <v>0</v>
      </c>
      <c r="AU108" s="847">
        <v>0</v>
      </c>
      <c r="AV108" s="847">
        <v>0</v>
      </c>
      <c r="AW108" s="847">
        <v>0</v>
      </c>
      <c r="AX108" s="847">
        <v>0</v>
      </c>
      <c r="AY108" s="847">
        <v>0</v>
      </c>
      <c r="AZ108" s="847">
        <v>0</v>
      </c>
      <c r="BA108" s="847">
        <v>0</v>
      </c>
      <c r="BB108" s="847">
        <v>0</v>
      </c>
      <c r="BC108" s="847">
        <v>0</v>
      </c>
      <c r="BD108" s="847">
        <v>0</v>
      </c>
      <c r="BE108" s="847">
        <v>0</v>
      </c>
      <c r="BF108" s="847">
        <v>0</v>
      </c>
      <c r="BG108" s="847">
        <v>0</v>
      </c>
      <c r="BH108" s="847">
        <v>0</v>
      </c>
      <c r="BI108" s="847">
        <v>0</v>
      </c>
      <c r="BJ108" s="847">
        <v>0</v>
      </c>
      <c r="BK108" s="847">
        <v>0</v>
      </c>
      <c r="BL108" s="847">
        <v>0</v>
      </c>
      <c r="BM108" s="847">
        <v>0</v>
      </c>
      <c r="BN108" s="847">
        <v>0</v>
      </c>
      <c r="BO108" s="847">
        <v>0</v>
      </c>
      <c r="BP108" s="847">
        <v>0</v>
      </c>
      <c r="BQ108" s="847">
        <v>0</v>
      </c>
      <c r="BR108" s="847">
        <v>0</v>
      </c>
      <c r="BS108" s="847">
        <v>0</v>
      </c>
      <c r="BT108" s="847">
        <v>0</v>
      </c>
      <c r="BU108" s="847">
        <v>0</v>
      </c>
      <c r="BV108" s="847">
        <v>0</v>
      </c>
      <c r="BW108" s="847">
        <v>0</v>
      </c>
      <c r="BX108" s="847">
        <v>0</v>
      </c>
      <c r="BY108" s="847">
        <v>0</v>
      </c>
      <c r="BZ108" s="847">
        <v>0</v>
      </c>
      <c r="CA108" s="847">
        <v>0</v>
      </c>
      <c r="CB108" s="847">
        <v>0</v>
      </c>
      <c r="CC108" s="847">
        <v>0</v>
      </c>
      <c r="CD108" s="847">
        <v>0</v>
      </c>
      <c r="CE108" s="847">
        <v>0</v>
      </c>
      <c r="CF108" s="847">
        <v>0</v>
      </c>
      <c r="CG108" s="847">
        <v>0</v>
      </c>
      <c r="CH108" s="847">
        <v>0</v>
      </c>
      <c r="CI108" s="847">
        <v>0</v>
      </c>
      <c r="CJ108" s="847">
        <v>0</v>
      </c>
      <c r="CK108" s="847">
        <v>0</v>
      </c>
      <c r="CL108" s="847">
        <v>0</v>
      </c>
      <c r="CM108" s="847">
        <v>0</v>
      </c>
      <c r="CN108" s="847">
        <v>0</v>
      </c>
      <c r="CO108" s="847">
        <v>0</v>
      </c>
      <c r="CP108" s="847">
        <v>0</v>
      </c>
      <c r="CQ108" s="847">
        <v>0</v>
      </c>
      <c r="CR108" s="847">
        <v>0</v>
      </c>
      <c r="CS108" s="847">
        <v>0</v>
      </c>
      <c r="CT108" s="847">
        <v>0</v>
      </c>
      <c r="CU108" s="847">
        <v>0</v>
      </c>
      <c r="CV108" s="847">
        <v>0</v>
      </c>
      <c r="CW108" s="847">
        <v>0</v>
      </c>
      <c r="CX108" s="847">
        <v>0</v>
      </c>
      <c r="CY108" s="847">
        <v>0</v>
      </c>
      <c r="CZ108" s="847">
        <v>0</v>
      </c>
      <c r="DA108" s="847">
        <v>0</v>
      </c>
      <c r="DB108" s="847">
        <v>0</v>
      </c>
      <c r="DC108" s="847">
        <v>0</v>
      </c>
      <c r="DD108" s="847">
        <v>0</v>
      </c>
      <c r="DE108" s="847">
        <v>0</v>
      </c>
      <c r="DF108" s="847">
        <v>0</v>
      </c>
      <c r="DG108" s="847">
        <v>0</v>
      </c>
      <c r="DH108" s="847">
        <v>0</v>
      </c>
      <c r="DI108" s="847">
        <v>0</v>
      </c>
      <c r="DJ108" s="847">
        <v>0</v>
      </c>
      <c r="DK108" s="847">
        <v>0</v>
      </c>
      <c r="DL108" s="847">
        <v>0</v>
      </c>
      <c r="DM108" s="847">
        <v>0</v>
      </c>
      <c r="DN108" s="847">
        <v>0</v>
      </c>
      <c r="DO108" s="847">
        <v>0</v>
      </c>
      <c r="DP108" s="847">
        <v>0</v>
      </c>
      <c r="DQ108" s="847">
        <v>0</v>
      </c>
      <c r="DR108" s="847">
        <v>0</v>
      </c>
      <c r="DS108" s="847">
        <v>0</v>
      </c>
      <c r="DT108" s="847">
        <v>0</v>
      </c>
      <c r="DU108" s="847">
        <v>0</v>
      </c>
      <c r="DV108" s="847">
        <v>0</v>
      </c>
      <c r="DW108" s="847">
        <v>0</v>
      </c>
      <c r="DY108" s="173"/>
      <c r="DZ108" s="173"/>
      <c r="EA108" s="173"/>
      <c r="EB108" s="174"/>
      <c r="EC108" s="175"/>
      <c r="ED108" s="174"/>
      <c r="EE108" s="174"/>
      <c r="EF108" s="174"/>
      <c r="EG108" s="174"/>
      <c r="EH108" s="174"/>
      <c r="EI108" s="174"/>
      <c r="EJ108" s="174"/>
      <c r="EK108" s="174"/>
      <c r="EL108" s="174"/>
      <c r="EM108" s="174"/>
      <c r="EN108" s="174"/>
      <c r="EO108" s="174"/>
      <c r="EP108" s="174"/>
      <c r="EQ108" s="174"/>
      <c r="ER108" s="174"/>
      <c r="ES108" s="174"/>
      <c r="ET108" s="174"/>
      <c r="EU108" s="174"/>
      <c r="EV108" s="174"/>
      <c r="EW108" s="174"/>
      <c r="EX108" s="174"/>
      <c r="EY108" s="174"/>
      <c r="EZ108" s="174"/>
      <c r="FA108" s="174"/>
      <c r="FB108" s="174"/>
      <c r="FC108" s="174"/>
      <c r="FD108" s="174"/>
      <c r="FE108" s="174"/>
      <c r="FF108" s="174"/>
      <c r="FG108" s="174"/>
      <c r="FH108" s="174"/>
      <c r="FI108" s="174"/>
      <c r="FJ108" s="174"/>
      <c r="FK108" s="174"/>
      <c r="FL108" s="174"/>
      <c r="FM108" s="174"/>
      <c r="FN108" s="174"/>
      <c r="FO108" s="174"/>
      <c r="FP108" s="174"/>
      <c r="FQ108" s="174"/>
      <c r="FR108" s="174"/>
      <c r="FS108" s="174"/>
      <c r="FT108" s="174"/>
      <c r="FU108" s="174"/>
      <c r="FV108" s="174"/>
      <c r="FW108" s="174"/>
      <c r="FX108" s="174"/>
      <c r="FY108" s="174"/>
      <c r="FZ108" s="174"/>
      <c r="GA108" s="174"/>
      <c r="GB108" s="174"/>
      <c r="GC108" s="174"/>
      <c r="GD108" s="174"/>
      <c r="GE108" s="174"/>
      <c r="GF108" s="174"/>
      <c r="GG108" s="174"/>
      <c r="GH108" s="174"/>
      <c r="GI108" s="174"/>
      <c r="GJ108" s="174"/>
      <c r="GK108" s="174"/>
      <c r="GL108" s="174"/>
      <c r="GM108" s="174"/>
      <c r="GN108" s="174"/>
      <c r="GO108" s="174"/>
      <c r="GP108" s="174"/>
      <c r="GQ108" s="174"/>
      <c r="GR108" s="174"/>
      <c r="GS108" s="174"/>
      <c r="GT108" s="174"/>
      <c r="GU108" s="174"/>
      <c r="GV108" s="174"/>
      <c r="GW108" s="174"/>
      <c r="GX108" s="174"/>
      <c r="GY108" s="174"/>
      <c r="GZ108" s="174"/>
      <c r="HA108" s="174"/>
      <c r="HB108" s="174"/>
      <c r="HC108" s="176"/>
      <c r="HD108" s="176"/>
      <c r="HE108" s="176"/>
      <c r="HF108" s="176"/>
      <c r="HG108" s="176"/>
      <c r="HH108" s="176"/>
      <c r="HI108" s="176"/>
      <c r="HJ108" s="176"/>
      <c r="HK108" s="176"/>
      <c r="HL108" s="176"/>
      <c r="HM108" s="176"/>
      <c r="HN108" s="176"/>
      <c r="HO108" s="176"/>
      <c r="HP108" s="176"/>
      <c r="HQ108" s="176"/>
      <c r="HR108" s="176"/>
      <c r="HS108" s="176"/>
      <c r="HT108" s="176"/>
      <c r="HU108" s="176"/>
      <c r="HV108" s="176"/>
      <c r="HW108" s="176"/>
      <c r="HX108" s="176"/>
      <c r="HY108" s="176"/>
      <c r="HZ108" s="176"/>
      <c r="IA108" s="176"/>
      <c r="IB108" s="176"/>
      <c r="IC108" s="176"/>
      <c r="ID108" s="176"/>
      <c r="IE108" s="176"/>
      <c r="IF108" s="176"/>
      <c r="IG108" s="176"/>
      <c r="IH108" s="176"/>
      <c r="II108" s="176"/>
      <c r="IJ108" s="176"/>
    </row>
    <row r="109" spans="1:244" ht="16.5" hidden="1">
      <c r="A109" s="846" t="s">
        <v>1060</v>
      </c>
      <c r="B109" s="846" t="s">
        <v>1382</v>
      </c>
      <c r="C109" s="846" t="s">
        <v>1171</v>
      </c>
      <c r="D109" s="847">
        <v>6</v>
      </c>
      <c r="E109" s="846" t="s">
        <v>1171</v>
      </c>
      <c r="F109" s="846" t="s">
        <v>97</v>
      </c>
      <c r="G109" s="851"/>
      <c r="H109" s="847">
        <v>30</v>
      </c>
      <c r="I109" s="780" t="str">
        <f t="shared" si="2"/>
        <v>IWT060230</v>
      </c>
      <c r="J109" s="847">
        <v>4957</v>
      </c>
      <c r="L109" s="846" t="s">
        <v>1060</v>
      </c>
      <c r="M109" s="846" t="s">
        <v>1382</v>
      </c>
      <c r="N109" s="846" t="s">
        <v>97</v>
      </c>
      <c r="O109" s="847">
        <v>30</v>
      </c>
      <c r="P109" s="780" t="str">
        <f t="shared" si="3"/>
        <v>IWT060230</v>
      </c>
      <c r="Q109" s="847">
        <v>1111</v>
      </c>
      <c r="R109" s="847">
        <v>2953</v>
      </c>
      <c r="S109" s="847">
        <v>4759</v>
      </c>
      <c r="T109" s="847">
        <v>6529</v>
      </c>
      <c r="U109" s="847">
        <v>8264</v>
      </c>
      <c r="V109" s="847">
        <v>0</v>
      </c>
      <c r="W109" s="847">
        <v>0</v>
      </c>
      <c r="X109" s="847">
        <v>0</v>
      </c>
      <c r="Y109" s="847">
        <v>0</v>
      </c>
      <c r="Z109" s="847">
        <v>0</v>
      </c>
      <c r="AA109" s="847">
        <v>0</v>
      </c>
      <c r="AB109" s="847">
        <v>0</v>
      </c>
      <c r="AC109" s="847">
        <v>0</v>
      </c>
      <c r="AD109" s="847">
        <v>0</v>
      </c>
      <c r="AE109" s="847">
        <v>0</v>
      </c>
      <c r="AF109" s="847">
        <v>0</v>
      </c>
      <c r="AG109" s="847">
        <v>0</v>
      </c>
      <c r="AH109" s="847">
        <v>0</v>
      </c>
      <c r="AI109" s="847">
        <v>0</v>
      </c>
      <c r="AJ109" s="847">
        <v>0</v>
      </c>
      <c r="AK109" s="847">
        <v>0</v>
      </c>
      <c r="AL109" s="847">
        <v>0</v>
      </c>
      <c r="AM109" s="847">
        <v>0</v>
      </c>
      <c r="AN109" s="847">
        <v>0</v>
      </c>
      <c r="AO109" s="847">
        <v>0</v>
      </c>
      <c r="AP109" s="847">
        <v>0</v>
      </c>
      <c r="AQ109" s="847">
        <v>0</v>
      </c>
      <c r="AR109" s="847">
        <v>0</v>
      </c>
      <c r="AS109" s="847">
        <v>0</v>
      </c>
      <c r="AT109" s="847">
        <v>0</v>
      </c>
      <c r="AU109" s="847">
        <v>0</v>
      </c>
      <c r="AV109" s="847">
        <v>0</v>
      </c>
      <c r="AW109" s="847">
        <v>0</v>
      </c>
      <c r="AX109" s="847">
        <v>0</v>
      </c>
      <c r="AY109" s="847">
        <v>0</v>
      </c>
      <c r="AZ109" s="847">
        <v>0</v>
      </c>
      <c r="BA109" s="847">
        <v>0</v>
      </c>
      <c r="BB109" s="847">
        <v>0</v>
      </c>
      <c r="BC109" s="847">
        <v>0</v>
      </c>
      <c r="BD109" s="847">
        <v>0</v>
      </c>
      <c r="BE109" s="847">
        <v>0</v>
      </c>
      <c r="BF109" s="847">
        <v>0</v>
      </c>
      <c r="BG109" s="847">
        <v>0</v>
      </c>
      <c r="BH109" s="847">
        <v>0</v>
      </c>
      <c r="BI109" s="847">
        <v>0</v>
      </c>
      <c r="BJ109" s="847">
        <v>0</v>
      </c>
      <c r="BK109" s="847">
        <v>0</v>
      </c>
      <c r="BL109" s="847">
        <v>0</v>
      </c>
      <c r="BM109" s="847">
        <v>0</v>
      </c>
      <c r="BN109" s="847">
        <v>0</v>
      </c>
      <c r="BO109" s="847">
        <v>0</v>
      </c>
      <c r="BP109" s="847">
        <v>0</v>
      </c>
      <c r="BQ109" s="847">
        <v>0</v>
      </c>
      <c r="BR109" s="847">
        <v>0</v>
      </c>
      <c r="BS109" s="847">
        <v>0</v>
      </c>
      <c r="BT109" s="847">
        <v>0</v>
      </c>
      <c r="BU109" s="847">
        <v>0</v>
      </c>
      <c r="BV109" s="847">
        <v>0</v>
      </c>
      <c r="BW109" s="847">
        <v>0</v>
      </c>
      <c r="BX109" s="847">
        <v>0</v>
      </c>
      <c r="BY109" s="847">
        <v>0</v>
      </c>
      <c r="BZ109" s="847">
        <v>0</v>
      </c>
      <c r="CA109" s="847">
        <v>0</v>
      </c>
      <c r="CB109" s="847">
        <v>0</v>
      </c>
      <c r="CC109" s="847">
        <v>0</v>
      </c>
      <c r="CD109" s="847">
        <v>0</v>
      </c>
      <c r="CE109" s="847">
        <v>0</v>
      </c>
      <c r="CF109" s="847">
        <v>0</v>
      </c>
      <c r="CG109" s="847">
        <v>0</v>
      </c>
      <c r="CH109" s="847">
        <v>0</v>
      </c>
      <c r="CI109" s="847">
        <v>0</v>
      </c>
      <c r="CJ109" s="847">
        <v>0</v>
      </c>
      <c r="CK109" s="847">
        <v>0</v>
      </c>
      <c r="CL109" s="847">
        <v>0</v>
      </c>
      <c r="CM109" s="847">
        <v>0</v>
      </c>
      <c r="CN109" s="847">
        <v>0</v>
      </c>
      <c r="CO109" s="847">
        <v>0</v>
      </c>
      <c r="CP109" s="847">
        <v>0</v>
      </c>
      <c r="CQ109" s="847">
        <v>0</v>
      </c>
      <c r="CR109" s="847">
        <v>0</v>
      </c>
      <c r="CS109" s="847">
        <v>0</v>
      </c>
      <c r="CT109" s="847">
        <v>0</v>
      </c>
      <c r="CU109" s="847">
        <v>0</v>
      </c>
      <c r="CV109" s="847">
        <v>0</v>
      </c>
      <c r="CW109" s="847">
        <v>0</v>
      </c>
      <c r="CX109" s="847">
        <v>0</v>
      </c>
      <c r="CY109" s="847">
        <v>0</v>
      </c>
      <c r="CZ109" s="847">
        <v>0</v>
      </c>
      <c r="DA109" s="847">
        <v>0</v>
      </c>
      <c r="DB109" s="847">
        <v>0</v>
      </c>
      <c r="DC109" s="847">
        <v>0</v>
      </c>
      <c r="DD109" s="847">
        <v>0</v>
      </c>
      <c r="DE109" s="847">
        <v>0</v>
      </c>
      <c r="DF109" s="847">
        <v>0</v>
      </c>
      <c r="DG109" s="847">
        <v>0</v>
      </c>
      <c r="DH109" s="847">
        <v>0</v>
      </c>
      <c r="DI109" s="847">
        <v>0</v>
      </c>
      <c r="DJ109" s="847">
        <v>0</v>
      </c>
      <c r="DK109" s="847">
        <v>0</v>
      </c>
      <c r="DL109" s="847">
        <v>0</v>
      </c>
      <c r="DM109" s="847">
        <v>0</v>
      </c>
      <c r="DN109" s="847">
        <v>0</v>
      </c>
      <c r="DO109" s="847">
        <v>0</v>
      </c>
      <c r="DP109" s="847">
        <v>0</v>
      </c>
      <c r="DQ109" s="847">
        <v>0</v>
      </c>
      <c r="DR109" s="847">
        <v>0</v>
      </c>
      <c r="DS109" s="847">
        <v>0</v>
      </c>
      <c r="DT109" s="847">
        <v>0</v>
      </c>
      <c r="DU109" s="847">
        <v>0</v>
      </c>
      <c r="DV109" s="847">
        <v>0</v>
      </c>
      <c r="DW109" s="847">
        <v>0</v>
      </c>
      <c r="DY109" s="173"/>
      <c r="DZ109" s="173"/>
      <c r="EA109" s="173"/>
      <c r="EB109" s="174"/>
      <c r="EC109" s="175"/>
      <c r="ED109" s="174"/>
      <c r="EE109" s="174"/>
      <c r="EF109" s="174"/>
      <c r="EG109" s="174"/>
      <c r="EH109" s="174"/>
      <c r="EI109" s="174"/>
      <c r="EJ109" s="174"/>
      <c r="EK109" s="174"/>
      <c r="EL109" s="174"/>
      <c r="EM109" s="174"/>
      <c r="EN109" s="174"/>
      <c r="EO109" s="174"/>
      <c r="EP109" s="174"/>
      <c r="EQ109" s="174"/>
      <c r="ER109" s="174"/>
      <c r="ES109" s="174"/>
      <c r="ET109" s="174"/>
      <c r="EU109" s="174"/>
      <c r="EV109" s="174"/>
      <c r="EW109" s="174"/>
      <c r="EX109" s="174"/>
      <c r="EY109" s="174"/>
      <c r="EZ109" s="174"/>
      <c r="FA109" s="174"/>
      <c r="FB109" s="174"/>
      <c r="FC109" s="174"/>
      <c r="FD109" s="174"/>
      <c r="FE109" s="174"/>
      <c r="FF109" s="174"/>
      <c r="FG109" s="174"/>
      <c r="FH109" s="174"/>
      <c r="FI109" s="174"/>
      <c r="FJ109" s="174"/>
      <c r="FK109" s="174"/>
      <c r="FL109" s="174"/>
      <c r="FM109" s="174"/>
      <c r="FN109" s="174"/>
      <c r="FO109" s="174"/>
      <c r="FP109" s="174"/>
      <c r="FQ109" s="174"/>
      <c r="FR109" s="174"/>
      <c r="FS109" s="174"/>
      <c r="FT109" s="174"/>
      <c r="FU109" s="174"/>
      <c r="FV109" s="174"/>
      <c r="FW109" s="174"/>
      <c r="FX109" s="174"/>
      <c r="FY109" s="174"/>
      <c r="FZ109" s="174"/>
      <c r="GA109" s="174"/>
      <c r="GB109" s="174"/>
      <c r="GC109" s="174"/>
      <c r="GD109" s="174"/>
      <c r="GE109" s="174"/>
      <c r="GF109" s="174"/>
      <c r="GG109" s="174"/>
      <c r="GH109" s="174"/>
      <c r="GI109" s="174"/>
      <c r="GJ109" s="174"/>
      <c r="GK109" s="174"/>
      <c r="GL109" s="174"/>
      <c r="GM109" s="174"/>
      <c r="GN109" s="174"/>
      <c r="GO109" s="174"/>
      <c r="GP109" s="174"/>
      <c r="GQ109" s="174"/>
      <c r="GR109" s="174"/>
      <c r="GS109" s="174"/>
      <c r="GT109" s="174"/>
      <c r="GU109" s="174"/>
      <c r="GV109" s="174"/>
      <c r="GW109" s="174"/>
      <c r="GX109" s="174"/>
      <c r="GY109" s="174"/>
      <c r="GZ109" s="174"/>
      <c r="HA109" s="174"/>
      <c r="HB109" s="176"/>
      <c r="HC109" s="176"/>
      <c r="HD109" s="176"/>
      <c r="HE109" s="176"/>
      <c r="HF109" s="176"/>
      <c r="HG109" s="176"/>
      <c r="HH109" s="176"/>
      <c r="HI109" s="176"/>
      <c r="HJ109" s="176"/>
      <c r="HK109" s="176"/>
      <c r="HL109" s="176"/>
      <c r="HM109" s="176"/>
      <c r="HN109" s="176"/>
      <c r="HO109" s="176"/>
      <c r="HP109" s="176"/>
      <c r="HQ109" s="176"/>
      <c r="HR109" s="176"/>
      <c r="HS109" s="176"/>
      <c r="HT109" s="176"/>
      <c r="HU109" s="176"/>
      <c r="HV109" s="176"/>
      <c r="HW109" s="176"/>
      <c r="HX109" s="176"/>
      <c r="HY109" s="176"/>
      <c r="HZ109" s="176"/>
      <c r="IA109" s="176"/>
      <c r="IB109" s="176"/>
      <c r="IC109" s="176"/>
      <c r="ID109" s="176"/>
      <c r="IE109" s="176"/>
      <c r="IF109" s="176"/>
      <c r="IG109" s="176"/>
      <c r="IH109" s="176"/>
      <c r="II109" s="176"/>
      <c r="IJ109" s="176"/>
    </row>
    <row r="110" spans="1:244" ht="16.5" hidden="1">
      <c r="A110" s="846" t="s">
        <v>1060</v>
      </c>
      <c r="B110" s="846" t="s">
        <v>1382</v>
      </c>
      <c r="C110" s="846" t="s">
        <v>1171</v>
      </c>
      <c r="D110" s="847">
        <v>6</v>
      </c>
      <c r="E110" s="846" t="s">
        <v>1171</v>
      </c>
      <c r="F110" s="846" t="s">
        <v>97</v>
      </c>
      <c r="G110" s="851"/>
      <c r="H110" s="847">
        <v>31</v>
      </c>
      <c r="I110" s="780" t="str">
        <f t="shared" si="2"/>
        <v>IWT060231</v>
      </c>
      <c r="J110" s="847">
        <v>4968</v>
      </c>
      <c r="L110" s="846" t="s">
        <v>1060</v>
      </c>
      <c r="M110" s="846" t="s">
        <v>1382</v>
      </c>
      <c r="N110" s="846" t="s">
        <v>97</v>
      </c>
      <c r="O110" s="847">
        <v>31</v>
      </c>
      <c r="P110" s="780" t="str">
        <f t="shared" si="3"/>
        <v>IWT060231</v>
      </c>
      <c r="Q110" s="847">
        <v>1111</v>
      </c>
      <c r="R110" s="847">
        <v>2953</v>
      </c>
      <c r="S110" s="847">
        <v>4759</v>
      </c>
      <c r="T110" s="847">
        <v>6529</v>
      </c>
      <c r="U110" s="847">
        <v>8264</v>
      </c>
      <c r="V110" s="847">
        <v>0</v>
      </c>
      <c r="W110" s="847">
        <v>0</v>
      </c>
      <c r="X110" s="847">
        <v>0</v>
      </c>
      <c r="Y110" s="847">
        <v>0</v>
      </c>
      <c r="Z110" s="847">
        <v>0</v>
      </c>
      <c r="AA110" s="847">
        <v>0</v>
      </c>
      <c r="AB110" s="847">
        <v>0</v>
      </c>
      <c r="AC110" s="847">
        <v>0</v>
      </c>
      <c r="AD110" s="847">
        <v>0</v>
      </c>
      <c r="AE110" s="847">
        <v>0</v>
      </c>
      <c r="AF110" s="847">
        <v>0</v>
      </c>
      <c r="AG110" s="847">
        <v>0</v>
      </c>
      <c r="AH110" s="847">
        <v>0</v>
      </c>
      <c r="AI110" s="847">
        <v>0</v>
      </c>
      <c r="AJ110" s="847">
        <v>0</v>
      </c>
      <c r="AK110" s="847">
        <v>0</v>
      </c>
      <c r="AL110" s="847">
        <v>0</v>
      </c>
      <c r="AM110" s="847">
        <v>0</v>
      </c>
      <c r="AN110" s="847">
        <v>0</v>
      </c>
      <c r="AO110" s="847">
        <v>0</v>
      </c>
      <c r="AP110" s="847">
        <v>0</v>
      </c>
      <c r="AQ110" s="847">
        <v>0</v>
      </c>
      <c r="AR110" s="847">
        <v>0</v>
      </c>
      <c r="AS110" s="847">
        <v>0</v>
      </c>
      <c r="AT110" s="847">
        <v>0</v>
      </c>
      <c r="AU110" s="847">
        <v>0</v>
      </c>
      <c r="AV110" s="847">
        <v>0</v>
      </c>
      <c r="AW110" s="847">
        <v>0</v>
      </c>
      <c r="AX110" s="847">
        <v>0</v>
      </c>
      <c r="AY110" s="847">
        <v>0</v>
      </c>
      <c r="AZ110" s="847">
        <v>0</v>
      </c>
      <c r="BA110" s="847">
        <v>0</v>
      </c>
      <c r="BB110" s="847">
        <v>0</v>
      </c>
      <c r="BC110" s="847">
        <v>0</v>
      </c>
      <c r="BD110" s="847">
        <v>0</v>
      </c>
      <c r="BE110" s="847">
        <v>0</v>
      </c>
      <c r="BF110" s="847">
        <v>0</v>
      </c>
      <c r="BG110" s="847">
        <v>0</v>
      </c>
      <c r="BH110" s="847">
        <v>0</v>
      </c>
      <c r="BI110" s="847">
        <v>0</v>
      </c>
      <c r="BJ110" s="847">
        <v>0</v>
      </c>
      <c r="BK110" s="847">
        <v>0</v>
      </c>
      <c r="BL110" s="847">
        <v>0</v>
      </c>
      <c r="BM110" s="847">
        <v>0</v>
      </c>
      <c r="BN110" s="847">
        <v>0</v>
      </c>
      <c r="BO110" s="847">
        <v>0</v>
      </c>
      <c r="BP110" s="847">
        <v>0</v>
      </c>
      <c r="BQ110" s="847">
        <v>0</v>
      </c>
      <c r="BR110" s="847">
        <v>0</v>
      </c>
      <c r="BS110" s="847">
        <v>0</v>
      </c>
      <c r="BT110" s="847">
        <v>0</v>
      </c>
      <c r="BU110" s="847">
        <v>0</v>
      </c>
      <c r="BV110" s="847">
        <v>0</v>
      </c>
      <c r="BW110" s="847">
        <v>0</v>
      </c>
      <c r="BX110" s="847">
        <v>0</v>
      </c>
      <c r="BY110" s="847">
        <v>0</v>
      </c>
      <c r="BZ110" s="847">
        <v>0</v>
      </c>
      <c r="CA110" s="847">
        <v>0</v>
      </c>
      <c r="CB110" s="847">
        <v>0</v>
      </c>
      <c r="CC110" s="847">
        <v>0</v>
      </c>
      <c r="CD110" s="847">
        <v>0</v>
      </c>
      <c r="CE110" s="847">
        <v>0</v>
      </c>
      <c r="CF110" s="847">
        <v>0</v>
      </c>
      <c r="CG110" s="847">
        <v>0</v>
      </c>
      <c r="CH110" s="847">
        <v>0</v>
      </c>
      <c r="CI110" s="847">
        <v>0</v>
      </c>
      <c r="CJ110" s="847">
        <v>0</v>
      </c>
      <c r="CK110" s="847">
        <v>0</v>
      </c>
      <c r="CL110" s="847">
        <v>0</v>
      </c>
      <c r="CM110" s="847">
        <v>0</v>
      </c>
      <c r="CN110" s="847">
        <v>0</v>
      </c>
      <c r="CO110" s="847">
        <v>0</v>
      </c>
      <c r="CP110" s="847">
        <v>0</v>
      </c>
      <c r="CQ110" s="847">
        <v>0</v>
      </c>
      <c r="CR110" s="847">
        <v>0</v>
      </c>
      <c r="CS110" s="847">
        <v>0</v>
      </c>
      <c r="CT110" s="847">
        <v>0</v>
      </c>
      <c r="CU110" s="847">
        <v>0</v>
      </c>
      <c r="CV110" s="847">
        <v>0</v>
      </c>
      <c r="CW110" s="847">
        <v>0</v>
      </c>
      <c r="CX110" s="847">
        <v>0</v>
      </c>
      <c r="CY110" s="847">
        <v>0</v>
      </c>
      <c r="CZ110" s="847">
        <v>0</v>
      </c>
      <c r="DA110" s="847">
        <v>0</v>
      </c>
      <c r="DB110" s="847">
        <v>0</v>
      </c>
      <c r="DC110" s="847">
        <v>0</v>
      </c>
      <c r="DD110" s="847">
        <v>0</v>
      </c>
      <c r="DE110" s="847">
        <v>0</v>
      </c>
      <c r="DF110" s="847">
        <v>0</v>
      </c>
      <c r="DG110" s="847">
        <v>0</v>
      </c>
      <c r="DH110" s="847">
        <v>0</v>
      </c>
      <c r="DI110" s="847">
        <v>0</v>
      </c>
      <c r="DJ110" s="847">
        <v>0</v>
      </c>
      <c r="DK110" s="847">
        <v>0</v>
      </c>
      <c r="DL110" s="847">
        <v>0</v>
      </c>
      <c r="DM110" s="847">
        <v>0</v>
      </c>
      <c r="DN110" s="847">
        <v>0</v>
      </c>
      <c r="DO110" s="847">
        <v>0</v>
      </c>
      <c r="DP110" s="847">
        <v>0</v>
      </c>
      <c r="DQ110" s="847">
        <v>0</v>
      </c>
      <c r="DR110" s="847">
        <v>0</v>
      </c>
      <c r="DS110" s="847">
        <v>0</v>
      </c>
      <c r="DT110" s="847">
        <v>0</v>
      </c>
      <c r="DU110" s="847">
        <v>0</v>
      </c>
      <c r="DV110" s="847">
        <v>0</v>
      </c>
      <c r="DW110" s="847">
        <v>0</v>
      </c>
      <c r="DY110" s="173"/>
      <c r="DZ110" s="173"/>
      <c r="EA110" s="173"/>
      <c r="EB110" s="174"/>
      <c r="EC110" s="175"/>
      <c r="ED110" s="174"/>
      <c r="EE110" s="174"/>
      <c r="EF110" s="174"/>
      <c r="EG110" s="174"/>
      <c r="EH110" s="174"/>
      <c r="EI110" s="174"/>
      <c r="EJ110" s="174"/>
      <c r="EK110" s="174"/>
      <c r="EL110" s="174"/>
      <c r="EM110" s="174"/>
      <c r="EN110" s="174"/>
      <c r="EO110" s="174"/>
      <c r="EP110" s="174"/>
      <c r="EQ110" s="174"/>
      <c r="ER110" s="174"/>
      <c r="ES110" s="174"/>
      <c r="ET110" s="174"/>
      <c r="EU110" s="174"/>
      <c r="EV110" s="174"/>
      <c r="EW110" s="174"/>
      <c r="EX110" s="174"/>
      <c r="EY110" s="174"/>
      <c r="EZ110" s="174"/>
      <c r="FA110" s="174"/>
      <c r="FB110" s="174"/>
      <c r="FC110" s="174"/>
      <c r="FD110" s="174"/>
      <c r="FE110" s="174"/>
      <c r="FF110" s="174"/>
      <c r="FG110" s="174"/>
      <c r="FH110" s="174"/>
      <c r="FI110" s="174"/>
      <c r="FJ110" s="174"/>
      <c r="FK110" s="174"/>
      <c r="FL110" s="174"/>
      <c r="FM110" s="174"/>
      <c r="FN110" s="174"/>
      <c r="FO110" s="174"/>
      <c r="FP110" s="174"/>
      <c r="FQ110" s="174"/>
      <c r="FR110" s="174"/>
      <c r="FS110" s="174"/>
      <c r="FT110" s="174"/>
      <c r="FU110" s="174"/>
      <c r="FV110" s="174"/>
      <c r="FW110" s="174"/>
      <c r="FX110" s="174"/>
      <c r="FY110" s="174"/>
      <c r="FZ110" s="174"/>
      <c r="GA110" s="174"/>
      <c r="GB110" s="174"/>
      <c r="GC110" s="174"/>
      <c r="GD110" s="174"/>
      <c r="GE110" s="174"/>
      <c r="GF110" s="174"/>
      <c r="GG110" s="174"/>
      <c r="GH110" s="174"/>
      <c r="GI110" s="174"/>
      <c r="GJ110" s="174"/>
      <c r="GK110" s="174"/>
      <c r="GL110" s="174"/>
      <c r="GM110" s="174"/>
      <c r="GN110" s="174"/>
      <c r="GO110" s="174"/>
      <c r="GP110" s="174"/>
      <c r="GQ110" s="174"/>
      <c r="GR110" s="174"/>
      <c r="GS110" s="174"/>
      <c r="GT110" s="174"/>
      <c r="GU110" s="174"/>
      <c r="GV110" s="174"/>
      <c r="GW110" s="174"/>
      <c r="GX110" s="174"/>
      <c r="GY110" s="174"/>
      <c r="GZ110" s="174"/>
      <c r="HA110" s="176"/>
      <c r="HB110" s="176"/>
      <c r="HC110" s="176"/>
      <c r="HD110" s="176"/>
      <c r="HE110" s="176"/>
      <c r="HF110" s="176"/>
      <c r="HG110" s="176"/>
      <c r="HH110" s="176"/>
      <c r="HI110" s="176"/>
      <c r="HJ110" s="176"/>
      <c r="HK110" s="176"/>
      <c r="HL110" s="176"/>
      <c r="HM110" s="176"/>
      <c r="HN110" s="176"/>
      <c r="HO110" s="176"/>
      <c r="HP110" s="176"/>
      <c r="HQ110" s="176"/>
      <c r="HR110" s="176"/>
      <c r="HS110" s="176"/>
      <c r="HT110" s="176"/>
      <c r="HU110" s="176"/>
      <c r="HV110" s="176"/>
      <c r="HW110" s="176"/>
      <c r="HX110" s="176"/>
      <c r="HY110" s="176"/>
      <c r="HZ110" s="176"/>
      <c r="IA110" s="176"/>
      <c r="IB110" s="176"/>
      <c r="IC110" s="176"/>
      <c r="ID110" s="176"/>
      <c r="IE110" s="176"/>
      <c r="IF110" s="176"/>
      <c r="IG110" s="176"/>
      <c r="IH110" s="176"/>
      <c r="II110" s="176"/>
      <c r="IJ110" s="176"/>
    </row>
    <row r="111" spans="1:244" ht="16.5" hidden="1">
      <c r="A111" s="846" t="s">
        <v>1060</v>
      </c>
      <c r="B111" s="846" t="s">
        <v>1382</v>
      </c>
      <c r="C111" s="846" t="s">
        <v>1171</v>
      </c>
      <c r="D111" s="847">
        <v>6</v>
      </c>
      <c r="E111" s="846" t="s">
        <v>1171</v>
      </c>
      <c r="F111" s="846" t="s">
        <v>97</v>
      </c>
      <c r="G111" s="851"/>
      <c r="H111" s="847">
        <v>32</v>
      </c>
      <c r="I111" s="780" t="str">
        <f t="shared" si="2"/>
        <v>IWT060232</v>
      </c>
      <c r="J111" s="847">
        <v>4978</v>
      </c>
      <c r="L111" s="846" t="s">
        <v>1060</v>
      </c>
      <c r="M111" s="846" t="s">
        <v>1382</v>
      </c>
      <c r="N111" s="846" t="s">
        <v>97</v>
      </c>
      <c r="O111" s="847">
        <v>32</v>
      </c>
      <c r="P111" s="780" t="str">
        <f t="shared" si="3"/>
        <v>IWT060232</v>
      </c>
      <c r="Q111" s="847">
        <v>1111</v>
      </c>
      <c r="R111" s="847">
        <v>2953</v>
      </c>
      <c r="S111" s="847">
        <v>4759</v>
      </c>
      <c r="T111" s="847">
        <v>6529</v>
      </c>
      <c r="U111" s="847">
        <v>8265</v>
      </c>
      <c r="V111" s="847">
        <v>0</v>
      </c>
      <c r="W111" s="847">
        <v>0</v>
      </c>
      <c r="X111" s="847">
        <v>0</v>
      </c>
      <c r="Y111" s="847">
        <v>0</v>
      </c>
      <c r="Z111" s="847">
        <v>0</v>
      </c>
      <c r="AA111" s="847">
        <v>0</v>
      </c>
      <c r="AB111" s="847">
        <v>0</v>
      </c>
      <c r="AC111" s="847">
        <v>0</v>
      </c>
      <c r="AD111" s="847">
        <v>0</v>
      </c>
      <c r="AE111" s="847">
        <v>0</v>
      </c>
      <c r="AF111" s="847">
        <v>0</v>
      </c>
      <c r="AG111" s="847">
        <v>0</v>
      </c>
      <c r="AH111" s="847">
        <v>0</v>
      </c>
      <c r="AI111" s="847">
        <v>0</v>
      </c>
      <c r="AJ111" s="847">
        <v>0</v>
      </c>
      <c r="AK111" s="847">
        <v>0</v>
      </c>
      <c r="AL111" s="847">
        <v>0</v>
      </c>
      <c r="AM111" s="847">
        <v>0</v>
      </c>
      <c r="AN111" s="847">
        <v>0</v>
      </c>
      <c r="AO111" s="847">
        <v>0</v>
      </c>
      <c r="AP111" s="847">
        <v>0</v>
      </c>
      <c r="AQ111" s="847">
        <v>0</v>
      </c>
      <c r="AR111" s="847">
        <v>0</v>
      </c>
      <c r="AS111" s="847">
        <v>0</v>
      </c>
      <c r="AT111" s="847">
        <v>0</v>
      </c>
      <c r="AU111" s="847">
        <v>0</v>
      </c>
      <c r="AV111" s="847">
        <v>0</v>
      </c>
      <c r="AW111" s="847">
        <v>0</v>
      </c>
      <c r="AX111" s="847">
        <v>0</v>
      </c>
      <c r="AY111" s="847">
        <v>0</v>
      </c>
      <c r="AZ111" s="847">
        <v>0</v>
      </c>
      <c r="BA111" s="847">
        <v>0</v>
      </c>
      <c r="BB111" s="847">
        <v>0</v>
      </c>
      <c r="BC111" s="847">
        <v>0</v>
      </c>
      <c r="BD111" s="847">
        <v>0</v>
      </c>
      <c r="BE111" s="847">
        <v>0</v>
      </c>
      <c r="BF111" s="847">
        <v>0</v>
      </c>
      <c r="BG111" s="847">
        <v>0</v>
      </c>
      <c r="BH111" s="847">
        <v>0</v>
      </c>
      <c r="BI111" s="847">
        <v>0</v>
      </c>
      <c r="BJ111" s="847">
        <v>0</v>
      </c>
      <c r="BK111" s="847">
        <v>0</v>
      </c>
      <c r="BL111" s="847">
        <v>0</v>
      </c>
      <c r="BM111" s="847">
        <v>0</v>
      </c>
      <c r="BN111" s="847">
        <v>0</v>
      </c>
      <c r="BO111" s="847">
        <v>0</v>
      </c>
      <c r="BP111" s="847">
        <v>0</v>
      </c>
      <c r="BQ111" s="847">
        <v>0</v>
      </c>
      <c r="BR111" s="847">
        <v>0</v>
      </c>
      <c r="BS111" s="847">
        <v>0</v>
      </c>
      <c r="BT111" s="847">
        <v>0</v>
      </c>
      <c r="BU111" s="847">
        <v>0</v>
      </c>
      <c r="BV111" s="847">
        <v>0</v>
      </c>
      <c r="BW111" s="847">
        <v>0</v>
      </c>
      <c r="BX111" s="847">
        <v>0</v>
      </c>
      <c r="BY111" s="847">
        <v>0</v>
      </c>
      <c r="BZ111" s="847">
        <v>0</v>
      </c>
      <c r="CA111" s="847">
        <v>0</v>
      </c>
      <c r="CB111" s="847">
        <v>0</v>
      </c>
      <c r="CC111" s="847">
        <v>0</v>
      </c>
      <c r="CD111" s="847">
        <v>0</v>
      </c>
      <c r="CE111" s="847">
        <v>0</v>
      </c>
      <c r="CF111" s="847">
        <v>0</v>
      </c>
      <c r="CG111" s="847">
        <v>0</v>
      </c>
      <c r="CH111" s="847">
        <v>0</v>
      </c>
      <c r="CI111" s="847">
        <v>0</v>
      </c>
      <c r="CJ111" s="847">
        <v>0</v>
      </c>
      <c r="CK111" s="847">
        <v>0</v>
      </c>
      <c r="CL111" s="847">
        <v>0</v>
      </c>
      <c r="CM111" s="847">
        <v>0</v>
      </c>
      <c r="CN111" s="847">
        <v>0</v>
      </c>
      <c r="CO111" s="847">
        <v>0</v>
      </c>
      <c r="CP111" s="847">
        <v>0</v>
      </c>
      <c r="CQ111" s="847">
        <v>0</v>
      </c>
      <c r="CR111" s="847">
        <v>0</v>
      </c>
      <c r="CS111" s="847">
        <v>0</v>
      </c>
      <c r="CT111" s="847">
        <v>0</v>
      </c>
      <c r="CU111" s="847">
        <v>0</v>
      </c>
      <c r="CV111" s="847">
        <v>0</v>
      </c>
      <c r="CW111" s="847">
        <v>0</v>
      </c>
      <c r="CX111" s="847">
        <v>0</v>
      </c>
      <c r="CY111" s="847">
        <v>0</v>
      </c>
      <c r="CZ111" s="847">
        <v>0</v>
      </c>
      <c r="DA111" s="847">
        <v>0</v>
      </c>
      <c r="DB111" s="847">
        <v>0</v>
      </c>
      <c r="DC111" s="847">
        <v>0</v>
      </c>
      <c r="DD111" s="847">
        <v>0</v>
      </c>
      <c r="DE111" s="847">
        <v>0</v>
      </c>
      <c r="DF111" s="847">
        <v>0</v>
      </c>
      <c r="DG111" s="847">
        <v>0</v>
      </c>
      <c r="DH111" s="847">
        <v>0</v>
      </c>
      <c r="DI111" s="847">
        <v>0</v>
      </c>
      <c r="DJ111" s="847">
        <v>0</v>
      </c>
      <c r="DK111" s="847">
        <v>0</v>
      </c>
      <c r="DL111" s="847">
        <v>0</v>
      </c>
      <c r="DM111" s="847">
        <v>0</v>
      </c>
      <c r="DN111" s="847">
        <v>0</v>
      </c>
      <c r="DO111" s="847">
        <v>0</v>
      </c>
      <c r="DP111" s="847">
        <v>0</v>
      </c>
      <c r="DQ111" s="847">
        <v>0</v>
      </c>
      <c r="DR111" s="847">
        <v>0</v>
      </c>
      <c r="DS111" s="847">
        <v>0</v>
      </c>
      <c r="DT111" s="847">
        <v>0</v>
      </c>
      <c r="DU111" s="847">
        <v>0</v>
      </c>
      <c r="DV111" s="847">
        <v>0</v>
      </c>
      <c r="DW111" s="847">
        <v>0</v>
      </c>
      <c r="DY111" s="173"/>
      <c r="DZ111" s="173"/>
      <c r="EA111" s="173"/>
      <c r="EB111" s="174"/>
      <c r="EC111" s="175"/>
      <c r="ED111" s="174"/>
      <c r="EE111" s="174"/>
      <c r="EF111" s="174"/>
      <c r="EG111" s="174"/>
      <c r="EH111" s="174"/>
      <c r="EI111" s="174"/>
      <c r="EJ111" s="174"/>
      <c r="EK111" s="174"/>
      <c r="EL111" s="174"/>
      <c r="EM111" s="174"/>
      <c r="EN111" s="174"/>
      <c r="EO111" s="174"/>
      <c r="EP111" s="174"/>
      <c r="EQ111" s="174"/>
      <c r="ER111" s="174"/>
      <c r="ES111" s="174"/>
      <c r="ET111" s="174"/>
      <c r="EU111" s="174"/>
      <c r="EV111" s="174"/>
      <c r="EW111" s="174"/>
      <c r="EX111" s="174"/>
      <c r="EY111" s="174"/>
      <c r="EZ111" s="174"/>
      <c r="FA111" s="174"/>
      <c r="FB111" s="174"/>
      <c r="FC111" s="174"/>
      <c r="FD111" s="174"/>
      <c r="FE111" s="174"/>
      <c r="FF111" s="174"/>
      <c r="FG111" s="174"/>
      <c r="FH111" s="174"/>
      <c r="FI111" s="174"/>
      <c r="FJ111" s="174"/>
      <c r="FK111" s="174"/>
      <c r="FL111" s="174"/>
      <c r="FM111" s="174"/>
      <c r="FN111" s="174"/>
      <c r="FO111" s="174"/>
      <c r="FP111" s="174"/>
      <c r="FQ111" s="174"/>
      <c r="FR111" s="174"/>
      <c r="FS111" s="174"/>
      <c r="FT111" s="174"/>
      <c r="FU111" s="174"/>
      <c r="FV111" s="174"/>
      <c r="FW111" s="174"/>
      <c r="FX111" s="174"/>
      <c r="FY111" s="174"/>
      <c r="FZ111" s="174"/>
      <c r="GA111" s="174"/>
      <c r="GB111" s="174"/>
      <c r="GC111" s="174"/>
      <c r="GD111" s="174"/>
      <c r="GE111" s="174"/>
      <c r="GF111" s="174"/>
      <c r="GG111" s="174"/>
      <c r="GH111" s="174"/>
      <c r="GI111" s="174"/>
      <c r="GJ111" s="174"/>
      <c r="GK111" s="174"/>
      <c r="GL111" s="174"/>
      <c r="GM111" s="174"/>
      <c r="GN111" s="174"/>
      <c r="GO111" s="174"/>
      <c r="GP111" s="174"/>
      <c r="GQ111" s="174"/>
      <c r="GR111" s="174"/>
      <c r="GS111" s="174"/>
      <c r="GT111" s="174"/>
      <c r="GU111" s="174"/>
      <c r="GV111" s="174"/>
      <c r="GW111" s="174"/>
      <c r="GX111" s="174"/>
      <c r="GY111" s="174"/>
      <c r="GZ111" s="176"/>
      <c r="HA111" s="176"/>
      <c r="HB111" s="176"/>
      <c r="HC111" s="176"/>
      <c r="HD111" s="176"/>
      <c r="HE111" s="176"/>
      <c r="HF111" s="176"/>
      <c r="HG111" s="176"/>
      <c r="HH111" s="176"/>
      <c r="HI111" s="176"/>
      <c r="HJ111" s="176"/>
      <c r="HK111" s="176"/>
      <c r="HL111" s="176"/>
      <c r="HM111" s="176"/>
      <c r="HN111" s="176"/>
      <c r="HO111" s="176"/>
      <c r="HP111" s="176"/>
      <c r="HQ111" s="176"/>
      <c r="HR111" s="176"/>
      <c r="HS111" s="176"/>
      <c r="HT111" s="176"/>
      <c r="HU111" s="176"/>
      <c r="HV111" s="176"/>
      <c r="HW111" s="176"/>
      <c r="HX111" s="176"/>
      <c r="HY111" s="176"/>
      <c r="HZ111" s="176"/>
      <c r="IA111" s="176"/>
      <c r="IB111" s="176"/>
      <c r="IC111" s="176"/>
      <c r="ID111" s="176"/>
      <c r="IE111" s="176"/>
      <c r="IF111" s="176"/>
      <c r="IG111" s="176"/>
      <c r="IH111" s="176"/>
      <c r="II111" s="176"/>
      <c r="IJ111" s="176"/>
    </row>
    <row r="112" spans="1:244" ht="16.5" hidden="1">
      <c r="A112" s="846" t="s">
        <v>1060</v>
      </c>
      <c r="B112" s="846" t="s">
        <v>1382</v>
      </c>
      <c r="C112" s="846" t="s">
        <v>1171</v>
      </c>
      <c r="D112" s="847">
        <v>6</v>
      </c>
      <c r="E112" s="846" t="s">
        <v>1171</v>
      </c>
      <c r="F112" s="846" t="s">
        <v>97</v>
      </c>
      <c r="G112" s="851"/>
      <c r="H112" s="847">
        <v>33</v>
      </c>
      <c r="I112" s="780" t="str">
        <f t="shared" si="2"/>
        <v>IWT060233</v>
      </c>
      <c r="J112" s="847">
        <v>4987</v>
      </c>
      <c r="L112" s="846" t="s">
        <v>1060</v>
      </c>
      <c r="M112" s="846" t="s">
        <v>1382</v>
      </c>
      <c r="N112" s="846" t="s">
        <v>97</v>
      </c>
      <c r="O112" s="847">
        <v>33</v>
      </c>
      <c r="P112" s="780" t="str">
        <f t="shared" si="3"/>
        <v>IWT060233</v>
      </c>
      <c r="Q112" s="847">
        <v>1111</v>
      </c>
      <c r="R112" s="847">
        <v>2953</v>
      </c>
      <c r="S112" s="847">
        <v>4759</v>
      </c>
      <c r="T112" s="847">
        <v>6529</v>
      </c>
      <c r="U112" s="847">
        <v>8264</v>
      </c>
      <c r="V112" s="847">
        <v>0</v>
      </c>
      <c r="W112" s="847">
        <v>0</v>
      </c>
      <c r="X112" s="847">
        <v>0</v>
      </c>
      <c r="Y112" s="847">
        <v>0</v>
      </c>
      <c r="Z112" s="847">
        <v>0</v>
      </c>
      <c r="AA112" s="847">
        <v>0</v>
      </c>
      <c r="AB112" s="847">
        <v>0</v>
      </c>
      <c r="AC112" s="847">
        <v>0</v>
      </c>
      <c r="AD112" s="847">
        <v>0</v>
      </c>
      <c r="AE112" s="847">
        <v>0</v>
      </c>
      <c r="AF112" s="847">
        <v>0</v>
      </c>
      <c r="AG112" s="847">
        <v>0</v>
      </c>
      <c r="AH112" s="847">
        <v>0</v>
      </c>
      <c r="AI112" s="847">
        <v>0</v>
      </c>
      <c r="AJ112" s="847">
        <v>0</v>
      </c>
      <c r="AK112" s="847">
        <v>0</v>
      </c>
      <c r="AL112" s="847">
        <v>0</v>
      </c>
      <c r="AM112" s="847">
        <v>0</v>
      </c>
      <c r="AN112" s="847">
        <v>0</v>
      </c>
      <c r="AO112" s="847">
        <v>0</v>
      </c>
      <c r="AP112" s="847">
        <v>0</v>
      </c>
      <c r="AQ112" s="847">
        <v>0</v>
      </c>
      <c r="AR112" s="847">
        <v>0</v>
      </c>
      <c r="AS112" s="847">
        <v>0</v>
      </c>
      <c r="AT112" s="847">
        <v>0</v>
      </c>
      <c r="AU112" s="847">
        <v>0</v>
      </c>
      <c r="AV112" s="847">
        <v>0</v>
      </c>
      <c r="AW112" s="847">
        <v>0</v>
      </c>
      <c r="AX112" s="847">
        <v>0</v>
      </c>
      <c r="AY112" s="847">
        <v>0</v>
      </c>
      <c r="AZ112" s="847">
        <v>0</v>
      </c>
      <c r="BA112" s="847">
        <v>0</v>
      </c>
      <c r="BB112" s="847">
        <v>0</v>
      </c>
      <c r="BC112" s="847">
        <v>0</v>
      </c>
      <c r="BD112" s="847">
        <v>0</v>
      </c>
      <c r="BE112" s="847">
        <v>0</v>
      </c>
      <c r="BF112" s="847">
        <v>0</v>
      </c>
      <c r="BG112" s="847">
        <v>0</v>
      </c>
      <c r="BH112" s="847">
        <v>0</v>
      </c>
      <c r="BI112" s="847">
        <v>0</v>
      </c>
      <c r="BJ112" s="847">
        <v>0</v>
      </c>
      <c r="BK112" s="847">
        <v>0</v>
      </c>
      <c r="BL112" s="847">
        <v>0</v>
      </c>
      <c r="BM112" s="847">
        <v>0</v>
      </c>
      <c r="BN112" s="847">
        <v>0</v>
      </c>
      <c r="BO112" s="847">
        <v>0</v>
      </c>
      <c r="BP112" s="847">
        <v>0</v>
      </c>
      <c r="BQ112" s="847">
        <v>0</v>
      </c>
      <c r="BR112" s="847">
        <v>0</v>
      </c>
      <c r="BS112" s="847">
        <v>0</v>
      </c>
      <c r="BT112" s="847">
        <v>0</v>
      </c>
      <c r="BU112" s="847">
        <v>0</v>
      </c>
      <c r="BV112" s="847">
        <v>0</v>
      </c>
      <c r="BW112" s="847">
        <v>0</v>
      </c>
      <c r="BX112" s="847">
        <v>0</v>
      </c>
      <c r="BY112" s="847">
        <v>0</v>
      </c>
      <c r="BZ112" s="847">
        <v>0</v>
      </c>
      <c r="CA112" s="847">
        <v>0</v>
      </c>
      <c r="CB112" s="847">
        <v>0</v>
      </c>
      <c r="CC112" s="847">
        <v>0</v>
      </c>
      <c r="CD112" s="847">
        <v>0</v>
      </c>
      <c r="CE112" s="847">
        <v>0</v>
      </c>
      <c r="CF112" s="847">
        <v>0</v>
      </c>
      <c r="CG112" s="847">
        <v>0</v>
      </c>
      <c r="CH112" s="847">
        <v>0</v>
      </c>
      <c r="CI112" s="847">
        <v>0</v>
      </c>
      <c r="CJ112" s="847">
        <v>0</v>
      </c>
      <c r="CK112" s="847">
        <v>0</v>
      </c>
      <c r="CL112" s="847">
        <v>0</v>
      </c>
      <c r="CM112" s="847">
        <v>0</v>
      </c>
      <c r="CN112" s="847">
        <v>0</v>
      </c>
      <c r="CO112" s="847">
        <v>0</v>
      </c>
      <c r="CP112" s="847">
        <v>0</v>
      </c>
      <c r="CQ112" s="847">
        <v>0</v>
      </c>
      <c r="CR112" s="847">
        <v>0</v>
      </c>
      <c r="CS112" s="847">
        <v>0</v>
      </c>
      <c r="CT112" s="847">
        <v>0</v>
      </c>
      <c r="CU112" s="847">
        <v>0</v>
      </c>
      <c r="CV112" s="847">
        <v>0</v>
      </c>
      <c r="CW112" s="847">
        <v>0</v>
      </c>
      <c r="CX112" s="847">
        <v>0</v>
      </c>
      <c r="CY112" s="847">
        <v>0</v>
      </c>
      <c r="CZ112" s="847">
        <v>0</v>
      </c>
      <c r="DA112" s="847">
        <v>0</v>
      </c>
      <c r="DB112" s="847">
        <v>0</v>
      </c>
      <c r="DC112" s="847">
        <v>0</v>
      </c>
      <c r="DD112" s="847">
        <v>0</v>
      </c>
      <c r="DE112" s="847">
        <v>0</v>
      </c>
      <c r="DF112" s="847">
        <v>0</v>
      </c>
      <c r="DG112" s="847">
        <v>0</v>
      </c>
      <c r="DH112" s="847">
        <v>0</v>
      </c>
      <c r="DI112" s="847">
        <v>0</v>
      </c>
      <c r="DJ112" s="847">
        <v>0</v>
      </c>
      <c r="DK112" s="847">
        <v>0</v>
      </c>
      <c r="DL112" s="847">
        <v>0</v>
      </c>
      <c r="DM112" s="847">
        <v>0</v>
      </c>
      <c r="DN112" s="847">
        <v>0</v>
      </c>
      <c r="DO112" s="847">
        <v>0</v>
      </c>
      <c r="DP112" s="847">
        <v>0</v>
      </c>
      <c r="DQ112" s="847">
        <v>0</v>
      </c>
      <c r="DR112" s="847">
        <v>0</v>
      </c>
      <c r="DS112" s="847">
        <v>0</v>
      </c>
      <c r="DT112" s="847">
        <v>0</v>
      </c>
      <c r="DU112" s="847">
        <v>0</v>
      </c>
      <c r="DV112" s="847">
        <v>0</v>
      </c>
      <c r="DW112" s="847">
        <v>0</v>
      </c>
      <c r="DY112" s="173"/>
      <c r="DZ112" s="173"/>
      <c r="EA112" s="173"/>
      <c r="EB112" s="174"/>
      <c r="EC112" s="175"/>
      <c r="ED112" s="174"/>
      <c r="EE112" s="174"/>
      <c r="EF112" s="174"/>
      <c r="EG112" s="174"/>
      <c r="EH112" s="174"/>
      <c r="EI112" s="174"/>
      <c r="EJ112" s="174"/>
      <c r="EK112" s="174"/>
      <c r="EL112" s="174"/>
      <c r="EM112" s="174"/>
      <c r="EN112" s="174"/>
      <c r="EO112" s="174"/>
      <c r="EP112" s="174"/>
      <c r="EQ112" s="174"/>
      <c r="ER112" s="174"/>
      <c r="ES112" s="174"/>
      <c r="ET112" s="174"/>
      <c r="EU112" s="174"/>
      <c r="EV112" s="174"/>
      <c r="EW112" s="174"/>
      <c r="EX112" s="174"/>
      <c r="EY112" s="174"/>
      <c r="EZ112" s="174"/>
      <c r="FA112" s="174"/>
      <c r="FB112" s="174"/>
      <c r="FC112" s="174"/>
      <c r="FD112" s="174"/>
      <c r="FE112" s="174"/>
      <c r="FF112" s="174"/>
      <c r="FG112" s="174"/>
      <c r="FH112" s="174"/>
      <c r="FI112" s="174"/>
      <c r="FJ112" s="174"/>
      <c r="FK112" s="174"/>
      <c r="FL112" s="174"/>
      <c r="FM112" s="174"/>
      <c r="FN112" s="174"/>
      <c r="FO112" s="174"/>
      <c r="FP112" s="174"/>
      <c r="FQ112" s="174"/>
      <c r="FR112" s="174"/>
      <c r="FS112" s="174"/>
      <c r="FT112" s="174"/>
      <c r="FU112" s="174"/>
      <c r="FV112" s="174"/>
      <c r="FW112" s="174"/>
      <c r="FX112" s="174"/>
      <c r="FY112" s="174"/>
      <c r="FZ112" s="174"/>
      <c r="GA112" s="174"/>
      <c r="GB112" s="174"/>
      <c r="GC112" s="174"/>
      <c r="GD112" s="174"/>
      <c r="GE112" s="174"/>
      <c r="GF112" s="174"/>
      <c r="GG112" s="174"/>
      <c r="GH112" s="174"/>
      <c r="GI112" s="174"/>
      <c r="GJ112" s="174"/>
      <c r="GK112" s="174"/>
      <c r="GL112" s="174"/>
      <c r="GM112" s="174"/>
      <c r="GN112" s="174"/>
      <c r="GO112" s="174"/>
      <c r="GP112" s="174"/>
      <c r="GQ112" s="174"/>
      <c r="GR112" s="174"/>
      <c r="GS112" s="174"/>
      <c r="GT112" s="174"/>
      <c r="GU112" s="174"/>
      <c r="GV112" s="174"/>
      <c r="GW112" s="174"/>
      <c r="GX112" s="174"/>
      <c r="GY112" s="176"/>
      <c r="GZ112" s="176"/>
      <c r="HA112" s="176"/>
      <c r="HB112" s="176"/>
      <c r="HC112" s="176"/>
      <c r="HD112" s="176"/>
      <c r="HE112" s="176"/>
      <c r="HF112" s="176"/>
      <c r="HG112" s="176"/>
      <c r="HH112" s="176"/>
      <c r="HI112" s="176"/>
      <c r="HJ112" s="176"/>
      <c r="HK112" s="176"/>
      <c r="HL112" s="176"/>
      <c r="HM112" s="176"/>
      <c r="HN112" s="176"/>
      <c r="HO112" s="176"/>
      <c r="HP112" s="176"/>
      <c r="HQ112" s="176"/>
      <c r="HR112" s="176"/>
      <c r="HS112" s="176"/>
      <c r="HT112" s="176"/>
      <c r="HU112" s="176"/>
      <c r="HV112" s="176"/>
      <c r="HW112" s="176"/>
      <c r="HX112" s="176"/>
      <c r="HY112" s="176"/>
      <c r="HZ112" s="176"/>
      <c r="IA112" s="176"/>
      <c r="IB112" s="176"/>
      <c r="IC112" s="176"/>
      <c r="ID112" s="176"/>
      <c r="IE112" s="176"/>
      <c r="IF112" s="176"/>
      <c r="IG112" s="176"/>
      <c r="IH112" s="176"/>
      <c r="II112" s="176"/>
      <c r="IJ112" s="176"/>
    </row>
    <row r="113" spans="1:244" ht="16.5" hidden="1">
      <c r="A113" s="846" t="s">
        <v>1060</v>
      </c>
      <c r="B113" s="846" t="s">
        <v>1382</v>
      </c>
      <c r="C113" s="846" t="s">
        <v>1171</v>
      </c>
      <c r="D113" s="847">
        <v>6</v>
      </c>
      <c r="E113" s="846" t="s">
        <v>1171</v>
      </c>
      <c r="F113" s="846" t="s">
        <v>97</v>
      </c>
      <c r="G113" s="851"/>
      <c r="H113" s="847">
        <v>34</v>
      </c>
      <c r="I113" s="780" t="str">
        <f t="shared" si="2"/>
        <v>IWT060234</v>
      </c>
      <c r="J113" s="847">
        <v>4996</v>
      </c>
      <c r="L113" s="846" t="s">
        <v>1060</v>
      </c>
      <c r="M113" s="846" t="s">
        <v>1382</v>
      </c>
      <c r="N113" s="846" t="s">
        <v>97</v>
      </c>
      <c r="O113" s="847">
        <v>34</v>
      </c>
      <c r="P113" s="780" t="str">
        <f t="shared" si="3"/>
        <v>IWT060234</v>
      </c>
      <c r="Q113" s="847">
        <v>1111</v>
      </c>
      <c r="R113" s="847">
        <v>2952</v>
      </c>
      <c r="S113" s="847">
        <v>4758</v>
      </c>
      <c r="T113" s="847">
        <v>6529</v>
      </c>
      <c r="U113" s="847">
        <v>8264</v>
      </c>
      <c r="V113" s="847">
        <v>0</v>
      </c>
      <c r="W113" s="847">
        <v>0</v>
      </c>
      <c r="X113" s="847">
        <v>0</v>
      </c>
      <c r="Y113" s="847">
        <v>0</v>
      </c>
      <c r="Z113" s="847">
        <v>0</v>
      </c>
      <c r="AA113" s="847">
        <v>0</v>
      </c>
      <c r="AB113" s="847">
        <v>0</v>
      </c>
      <c r="AC113" s="847">
        <v>0</v>
      </c>
      <c r="AD113" s="847">
        <v>0</v>
      </c>
      <c r="AE113" s="847">
        <v>0</v>
      </c>
      <c r="AF113" s="847">
        <v>0</v>
      </c>
      <c r="AG113" s="847">
        <v>0</v>
      </c>
      <c r="AH113" s="847">
        <v>0</v>
      </c>
      <c r="AI113" s="847">
        <v>0</v>
      </c>
      <c r="AJ113" s="847">
        <v>0</v>
      </c>
      <c r="AK113" s="847">
        <v>0</v>
      </c>
      <c r="AL113" s="847">
        <v>0</v>
      </c>
      <c r="AM113" s="847">
        <v>0</v>
      </c>
      <c r="AN113" s="847">
        <v>0</v>
      </c>
      <c r="AO113" s="847">
        <v>0</v>
      </c>
      <c r="AP113" s="847">
        <v>0</v>
      </c>
      <c r="AQ113" s="847">
        <v>0</v>
      </c>
      <c r="AR113" s="847">
        <v>0</v>
      </c>
      <c r="AS113" s="847">
        <v>0</v>
      </c>
      <c r="AT113" s="847">
        <v>0</v>
      </c>
      <c r="AU113" s="847">
        <v>0</v>
      </c>
      <c r="AV113" s="847">
        <v>0</v>
      </c>
      <c r="AW113" s="847">
        <v>0</v>
      </c>
      <c r="AX113" s="847">
        <v>0</v>
      </c>
      <c r="AY113" s="847">
        <v>0</v>
      </c>
      <c r="AZ113" s="847">
        <v>0</v>
      </c>
      <c r="BA113" s="847">
        <v>0</v>
      </c>
      <c r="BB113" s="847">
        <v>0</v>
      </c>
      <c r="BC113" s="847">
        <v>0</v>
      </c>
      <c r="BD113" s="847">
        <v>0</v>
      </c>
      <c r="BE113" s="847">
        <v>0</v>
      </c>
      <c r="BF113" s="847">
        <v>0</v>
      </c>
      <c r="BG113" s="847">
        <v>0</v>
      </c>
      <c r="BH113" s="847">
        <v>0</v>
      </c>
      <c r="BI113" s="847">
        <v>0</v>
      </c>
      <c r="BJ113" s="847">
        <v>0</v>
      </c>
      <c r="BK113" s="847">
        <v>0</v>
      </c>
      <c r="BL113" s="847">
        <v>0</v>
      </c>
      <c r="BM113" s="847">
        <v>0</v>
      </c>
      <c r="BN113" s="847">
        <v>0</v>
      </c>
      <c r="BO113" s="847">
        <v>0</v>
      </c>
      <c r="BP113" s="847">
        <v>0</v>
      </c>
      <c r="BQ113" s="847">
        <v>0</v>
      </c>
      <c r="BR113" s="847">
        <v>0</v>
      </c>
      <c r="BS113" s="847">
        <v>0</v>
      </c>
      <c r="BT113" s="847">
        <v>0</v>
      </c>
      <c r="BU113" s="847">
        <v>0</v>
      </c>
      <c r="BV113" s="847">
        <v>0</v>
      </c>
      <c r="BW113" s="847">
        <v>0</v>
      </c>
      <c r="BX113" s="847">
        <v>0</v>
      </c>
      <c r="BY113" s="847">
        <v>0</v>
      </c>
      <c r="BZ113" s="847">
        <v>0</v>
      </c>
      <c r="CA113" s="847">
        <v>0</v>
      </c>
      <c r="CB113" s="847">
        <v>0</v>
      </c>
      <c r="CC113" s="847">
        <v>0</v>
      </c>
      <c r="CD113" s="847">
        <v>0</v>
      </c>
      <c r="CE113" s="847">
        <v>0</v>
      </c>
      <c r="CF113" s="847">
        <v>0</v>
      </c>
      <c r="CG113" s="847">
        <v>0</v>
      </c>
      <c r="CH113" s="847">
        <v>0</v>
      </c>
      <c r="CI113" s="847">
        <v>0</v>
      </c>
      <c r="CJ113" s="847">
        <v>0</v>
      </c>
      <c r="CK113" s="847">
        <v>0</v>
      </c>
      <c r="CL113" s="847">
        <v>0</v>
      </c>
      <c r="CM113" s="847">
        <v>0</v>
      </c>
      <c r="CN113" s="847">
        <v>0</v>
      </c>
      <c r="CO113" s="847">
        <v>0</v>
      </c>
      <c r="CP113" s="847">
        <v>0</v>
      </c>
      <c r="CQ113" s="847">
        <v>0</v>
      </c>
      <c r="CR113" s="847">
        <v>0</v>
      </c>
      <c r="CS113" s="847">
        <v>0</v>
      </c>
      <c r="CT113" s="847">
        <v>0</v>
      </c>
      <c r="CU113" s="847">
        <v>0</v>
      </c>
      <c r="CV113" s="847">
        <v>0</v>
      </c>
      <c r="CW113" s="847">
        <v>0</v>
      </c>
      <c r="CX113" s="847">
        <v>0</v>
      </c>
      <c r="CY113" s="847">
        <v>0</v>
      </c>
      <c r="CZ113" s="847">
        <v>0</v>
      </c>
      <c r="DA113" s="847">
        <v>0</v>
      </c>
      <c r="DB113" s="847">
        <v>0</v>
      </c>
      <c r="DC113" s="847">
        <v>0</v>
      </c>
      <c r="DD113" s="847">
        <v>0</v>
      </c>
      <c r="DE113" s="847">
        <v>0</v>
      </c>
      <c r="DF113" s="847">
        <v>0</v>
      </c>
      <c r="DG113" s="847">
        <v>0</v>
      </c>
      <c r="DH113" s="847">
        <v>0</v>
      </c>
      <c r="DI113" s="847">
        <v>0</v>
      </c>
      <c r="DJ113" s="847">
        <v>0</v>
      </c>
      <c r="DK113" s="847">
        <v>0</v>
      </c>
      <c r="DL113" s="847">
        <v>0</v>
      </c>
      <c r="DM113" s="847">
        <v>0</v>
      </c>
      <c r="DN113" s="847">
        <v>0</v>
      </c>
      <c r="DO113" s="847">
        <v>0</v>
      </c>
      <c r="DP113" s="847">
        <v>0</v>
      </c>
      <c r="DQ113" s="847">
        <v>0</v>
      </c>
      <c r="DR113" s="847">
        <v>0</v>
      </c>
      <c r="DS113" s="847">
        <v>0</v>
      </c>
      <c r="DT113" s="847">
        <v>0</v>
      </c>
      <c r="DU113" s="847">
        <v>0</v>
      </c>
      <c r="DV113" s="847">
        <v>0</v>
      </c>
      <c r="DW113" s="847">
        <v>0</v>
      </c>
      <c r="DY113" s="173"/>
      <c r="DZ113" s="173"/>
      <c r="EA113" s="173"/>
      <c r="EB113" s="174"/>
      <c r="EC113" s="175"/>
      <c r="ED113" s="174"/>
      <c r="EE113" s="174"/>
      <c r="EF113" s="174"/>
      <c r="EG113" s="174"/>
      <c r="EH113" s="174"/>
      <c r="EI113" s="174"/>
      <c r="EJ113" s="174"/>
      <c r="EK113" s="174"/>
      <c r="EL113" s="174"/>
      <c r="EM113" s="174"/>
      <c r="EN113" s="174"/>
      <c r="EO113" s="174"/>
      <c r="EP113" s="174"/>
      <c r="EQ113" s="174"/>
      <c r="ER113" s="174"/>
      <c r="ES113" s="174"/>
      <c r="ET113" s="174"/>
      <c r="EU113" s="174"/>
      <c r="EV113" s="174"/>
      <c r="EW113" s="174"/>
      <c r="EX113" s="174"/>
      <c r="EY113" s="174"/>
      <c r="EZ113" s="174"/>
      <c r="FA113" s="174"/>
      <c r="FB113" s="174"/>
      <c r="FC113" s="174"/>
      <c r="FD113" s="174"/>
      <c r="FE113" s="174"/>
      <c r="FF113" s="174"/>
      <c r="FG113" s="174"/>
      <c r="FH113" s="174"/>
      <c r="FI113" s="174"/>
      <c r="FJ113" s="174"/>
      <c r="FK113" s="174"/>
      <c r="FL113" s="174"/>
      <c r="FM113" s="174"/>
      <c r="FN113" s="174"/>
      <c r="FO113" s="174"/>
      <c r="FP113" s="174"/>
      <c r="FQ113" s="174"/>
      <c r="FR113" s="174"/>
      <c r="FS113" s="174"/>
      <c r="FT113" s="174"/>
      <c r="FU113" s="174"/>
      <c r="FV113" s="174"/>
      <c r="FW113" s="174"/>
      <c r="FX113" s="174"/>
      <c r="FY113" s="174"/>
      <c r="FZ113" s="174"/>
      <c r="GA113" s="174"/>
      <c r="GB113" s="174"/>
      <c r="GC113" s="174"/>
      <c r="GD113" s="174"/>
      <c r="GE113" s="174"/>
      <c r="GF113" s="174"/>
      <c r="GG113" s="174"/>
      <c r="GH113" s="174"/>
      <c r="GI113" s="174"/>
      <c r="GJ113" s="174"/>
      <c r="GK113" s="174"/>
      <c r="GL113" s="174"/>
      <c r="GM113" s="174"/>
      <c r="GN113" s="174"/>
      <c r="GO113" s="174"/>
      <c r="GP113" s="174"/>
      <c r="GQ113" s="174"/>
      <c r="GR113" s="174"/>
      <c r="GS113" s="174"/>
      <c r="GT113" s="174"/>
      <c r="GU113" s="174"/>
      <c r="GV113" s="174"/>
      <c r="GW113" s="174"/>
      <c r="GX113" s="176"/>
      <c r="GY113" s="176"/>
      <c r="GZ113" s="176"/>
      <c r="HA113" s="176"/>
      <c r="HB113" s="176"/>
      <c r="HC113" s="176"/>
      <c r="HD113" s="176"/>
      <c r="HE113" s="176"/>
      <c r="HF113" s="176"/>
      <c r="HG113" s="176"/>
      <c r="HH113" s="176"/>
      <c r="HI113" s="176"/>
      <c r="HJ113" s="176"/>
      <c r="HK113" s="176"/>
      <c r="HL113" s="176"/>
      <c r="HM113" s="176"/>
      <c r="HN113" s="176"/>
      <c r="HO113" s="176"/>
      <c r="HP113" s="176"/>
      <c r="HQ113" s="176"/>
      <c r="HR113" s="176"/>
      <c r="HS113" s="176"/>
      <c r="HT113" s="176"/>
      <c r="HU113" s="176"/>
      <c r="HV113" s="176"/>
      <c r="HW113" s="176"/>
      <c r="HX113" s="176"/>
      <c r="HY113" s="176"/>
      <c r="HZ113" s="176"/>
      <c r="IA113" s="176"/>
      <c r="IB113" s="176"/>
      <c r="IC113" s="176"/>
      <c r="ID113" s="176"/>
      <c r="IE113" s="176"/>
      <c r="IF113" s="176"/>
      <c r="IG113" s="176"/>
      <c r="IH113" s="176"/>
      <c r="II113" s="176"/>
      <c r="IJ113" s="176"/>
    </row>
    <row r="114" spans="1:244" ht="16.5" hidden="1">
      <c r="A114" s="846" t="s">
        <v>1060</v>
      </c>
      <c r="B114" s="846" t="s">
        <v>1382</v>
      </c>
      <c r="C114" s="846" t="s">
        <v>1171</v>
      </c>
      <c r="D114" s="847">
        <v>6</v>
      </c>
      <c r="E114" s="846" t="s">
        <v>1171</v>
      </c>
      <c r="F114" s="846" t="s">
        <v>97</v>
      </c>
      <c r="G114" s="851"/>
      <c r="H114" s="847">
        <v>35</v>
      </c>
      <c r="I114" s="780" t="str">
        <f t="shared" si="2"/>
        <v>IWT060235</v>
      </c>
      <c r="J114" s="847">
        <v>5004</v>
      </c>
      <c r="L114" s="846" t="s">
        <v>1060</v>
      </c>
      <c r="M114" s="846" t="s">
        <v>1382</v>
      </c>
      <c r="N114" s="846" t="s">
        <v>97</v>
      </c>
      <c r="O114" s="847">
        <v>35</v>
      </c>
      <c r="P114" s="780" t="str">
        <f t="shared" si="3"/>
        <v>IWT060235</v>
      </c>
      <c r="Q114" s="847">
        <v>1110</v>
      </c>
      <c r="R114" s="847">
        <v>2953</v>
      </c>
      <c r="S114" s="847">
        <v>4758</v>
      </c>
      <c r="T114" s="847">
        <v>6528</v>
      </c>
      <c r="U114" s="847">
        <v>8264</v>
      </c>
      <c r="V114" s="847">
        <v>0</v>
      </c>
      <c r="W114" s="847">
        <v>0</v>
      </c>
      <c r="X114" s="847">
        <v>0</v>
      </c>
      <c r="Y114" s="847">
        <v>0</v>
      </c>
      <c r="Z114" s="847">
        <v>0</v>
      </c>
      <c r="AA114" s="847">
        <v>0</v>
      </c>
      <c r="AB114" s="847">
        <v>0</v>
      </c>
      <c r="AC114" s="847">
        <v>0</v>
      </c>
      <c r="AD114" s="847">
        <v>0</v>
      </c>
      <c r="AE114" s="847">
        <v>0</v>
      </c>
      <c r="AF114" s="847">
        <v>0</v>
      </c>
      <c r="AG114" s="847">
        <v>0</v>
      </c>
      <c r="AH114" s="847">
        <v>0</v>
      </c>
      <c r="AI114" s="847">
        <v>0</v>
      </c>
      <c r="AJ114" s="847">
        <v>0</v>
      </c>
      <c r="AK114" s="847">
        <v>0</v>
      </c>
      <c r="AL114" s="847">
        <v>0</v>
      </c>
      <c r="AM114" s="847">
        <v>0</v>
      </c>
      <c r="AN114" s="847">
        <v>0</v>
      </c>
      <c r="AO114" s="847">
        <v>0</v>
      </c>
      <c r="AP114" s="847">
        <v>0</v>
      </c>
      <c r="AQ114" s="847">
        <v>0</v>
      </c>
      <c r="AR114" s="847">
        <v>0</v>
      </c>
      <c r="AS114" s="847">
        <v>0</v>
      </c>
      <c r="AT114" s="847">
        <v>0</v>
      </c>
      <c r="AU114" s="847">
        <v>0</v>
      </c>
      <c r="AV114" s="847">
        <v>0</v>
      </c>
      <c r="AW114" s="847">
        <v>0</v>
      </c>
      <c r="AX114" s="847">
        <v>0</v>
      </c>
      <c r="AY114" s="847">
        <v>0</v>
      </c>
      <c r="AZ114" s="847">
        <v>0</v>
      </c>
      <c r="BA114" s="847">
        <v>0</v>
      </c>
      <c r="BB114" s="847">
        <v>0</v>
      </c>
      <c r="BC114" s="847">
        <v>0</v>
      </c>
      <c r="BD114" s="847">
        <v>0</v>
      </c>
      <c r="BE114" s="847">
        <v>0</v>
      </c>
      <c r="BF114" s="847">
        <v>0</v>
      </c>
      <c r="BG114" s="847">
        <v>0</v>
      </c>
      <c r="BH114" s="847">
        <v>0</v>
      </c>
      <c r="BI114" s="847">
        <v>0</v>
      </c>
      <c r="BJ114" s="847">
        <v>0</v>
      </c>
      <c r="BK114" s="847">
        <v>0</v>
      </c>
      <c r="BL114" s="847">
        <v>0</v>
      </c>
      <c r="BM114" s="847">
        <v>0</v>
      </c>
      <c r="BN114" s="847">
        <v>0</v>
      </c>
      <c r="BO114" s="847">
        <v>0</v>
      </c>
      <c r="BP114" s="847">
        <v>0</v>
      </c>
      <c r="BQ114" s="847">
        <v>0</v>
      </c>
      <c r="BR114" s="847">
        <v>0</v>
      </c>
      <c r="BS114" s="847">
        <v>0</v>
      </c>
      <c r="BT114" s="847">
        <v>0</v>
      </c>
      <c r="BU114" s="847">
        <v>0</v>
      </c>
      <c r="BV114" s="847">
        <v>0</v>
      </c>
      <c r="BW114" s="847">
        <v>0</v>
      </c>
      <c r="BX114" s="847">
        <v>0</v>
      </c>
      <c r="BY114" s="847">
        <v>0</v>
      </c>
      <c r="BZ114" s="847">
        <v>0</v>
      </c>
      <c r="CA114" s="847">
        <v>0</v>
      </c>
      <c r="CB114" s="847">
        <v>0</v>
      </c>
      <c r="CC114" s="847">
        <v>0</v>
      </c>
      <c r="CD114" s="847">
        <v>0</v>
      </c>
      <c r="CE114" s="847">
        <v>0</v>
      </c>
      <c r="CF114" s="847">
        <v>0</v>
      </c>
      <c r="CG114" s="847">
        <v>0</v>
      </c>
      <c r="CH114" s="847">
        <v>0</v>
      </c>
      <c r="CI114" s="847">
        <v>0</v>
      </c>
      <c r="CJ114" s="847">
        <v>0</v>
      </c>
      <c r="CK114" s="847">
        <v>0</v>
      </c>
      <c r="CL114" s="847">
        <v>0</v>
      </c>
      <c r="CM114" s="847">
        <v>0</v>
      </c>
      <c r="CN114" s="847">
        <v>0</v>
      </c>
      <c r="CO114" s="847">
        <v>0</v>
      </c>
      <c r="CP114" s="847">
        <v>0</v>
      </c>
      <c r="CQ114" s="847">
        <v>0</v>
      </c>
      <c r="CR114" s="847">
        <v>0</v>
      </c>
      <c r="CS114" s="847">
        <v>0</v>
      </c>
      <c r="CT114" s="847">
        <v>0</v>
      </c>
      <c r="CU114" s="847">
        <v>0</v>
      </c>
      <c r="CV114" s="847">
        <v>0</v>
      </c>
      <c r="CW114" s="847">
        <v>0</v>
      </c>
      <c r="CX114" s="847">
        <v>0</v>
      </c>
      <c r="CY114" s="847">
        <v>0</v>
      </c>
      <c r="CZ114" s="847">
        <v>0</v>
      </c>
      <c r="DA114" s="847">
        <v>0</v>
      </c>
      <c r="DB114" s="847">
        <v>0</v>
      </c>
      <c r="DC114" s="847">
        <v>0</v>
      </c>
      <c r="DD114" s="847">
        <v>0</v>
      </c>
      <c r="DE114" s="847">
        <v>0</v>
      </c>
      <c r="DF114" s="847">
        <v>0</v>
      </c>
      <c r="DG114" s="847">
        <v>0</v>
      </c>
      <c r="DH114" s="847">
        <v>0</v>
      </c>
      <c r="DI114" s="847">
        <v>0</v>
      </c>
      <c r="DJ114" s="847">
        <v>0</v>
      </c>
      <c r="DK114" s="847">
        <v>0</v>
      </c>
      <c r="DL114" s="847">
        <v>0</v>
      </c>
      <c r="DM114" s="847">
        <v>0</v>
      </c>
      <c r="DN114" s="847">
        <v>0</v>
      </c>
      <c r="DO114" s="847">
        <v>0</v>
      </c>
      <c r="DP114" s="847">
        <v>0</v>
      </c>
      <c r="DQ114" s="847">
        <v>0</v>
      </c>
      <c r="DR114" s="847">
        <v>0</v>
      </c>
      <c r="DS114" s="847">
        <v>0</v>
      </c>
      <c r="DT114" s="847">
        <v>0</v>
      </c>
      <c r="DU114" s="847">
        <v>0</v>
      </c>
      <c r="DV114" s="847">
        <v>0</v>
      </c>
      <c r="DW114" s="847">
        <v>0</v>
      </c>
      <c r="DY114" s="173"/>
      <c r="DZ114" s="173"/>
      <c r="EA114" s="173"/>
      <c r="EB114" s="174"/>
      <c r="EC114" s="175"/>
      <c r="ED114" s="174"/>
      <c r="EE114" s="174"/>
      <c r="EF114" s="174"/>
      <c r="EG114" s="174"/>
      <c r="EH114" s="174"/>
      <c r="EI114" s="174"/>
      <c r="EJ114" s="174"/>
      <c r="EK114" s="174"/>
      <c r="EL114" s="174"/>
      <c r="EM114" s="174"/>
      <c r="EN114" s="174"/>
      <c r="EO114" s="174"/>
      <c r="EP114" s="174"/>
      <c r="EQ114" s="174"/>
      <c r="ER114" s="174"/>
      <c r="ES114" s="174"/>
      <c r="ET114" s="174"/>
      <c r="EU114" s="174"/>
      <c r="EV114" s="174"/>
      <c r="EW114" s="174"/>
      <c r="EX114" s="174"/>
      <c r="EY114" s="174"/>
      <c r="EZ114" s="174"/>
      <c r="FA114" s="174"/>
      <c r="FB114" s="174"/>
      <c r="FC114" s="174"/>
      <c r="FD114" s="174"/>
      <c r="FE114" s="174"/>
      <c r="FF114" s="174"/>
      <c r="FG114" s="174"/>
      <c r="FH114" s="174"/>
      <c r="FI114" s="174"/>
      <c r="FJ114" s="174"/>
      <c r="FK114" s="174"/>
      <c r="FL114" s="174"/>
      <c r="FM114" s="174"/>
      <c r="FN114" s="174"/>
      <c r="FO114" s="174"/>
      <c r="FP114" s="174"/>
      <c r="FQ114" s="174"/>
      <c r="FR114" s="174"/>
      <c r="FS114" s="174"/>
      <c r="FT114" s="174"/>
      <c r="FU114" s="174"/>
      <c r="FV114" s="174"/>
      <c r="FW114" s="174"/>
      <c r="FX114" s="174"/>
      <c r="FY114" s="174"/>
      <c r="FZ114" s="174"/>
      <c r="GA114" s="174"/>
      <c r="GB114" s="174"/>
      <c r="GC114" s="174"/>
      <c r="GD114" s="174"/>
      <c r="GE114" s="174"/>
      <c r="GF114" s="174"/>
      <c r="GG114" s="174"/>
      <c r="GH114" s="174"/>
      <c r="GI114" s="174"/>
      <c r="GJ114" s="174"/>
      <c r="GK114" s="174"/>
      <c r="GL114" s="174"/>
      <c r="GM114" s="174"/>
      <c r="GN114" s="174"/>
      <c r="GO114" s="174"/>
      <c r="GP114" s="174"/>
      <c r="GQ114" s="174"/>
      <c r="GR114" s="174"/>
      <c r="GS114" s="174"/>
      <c r="GT114" s="174"/>
      <c r="GU114" s="174"/>
      <c r="GV114" s="174"/>
      <c r="GW114" s="176"/>
      <c r="GX114" s="176"/>
      <c r="GY114" s="176"/>
      <c r="GZ114" s="176"/>
      <c r="HA114" s="176"/>
      <c r="HB114" s="176"/>
      <c r="HC114" s="176"/>
      <c r="HD114" s="176"/>
      <c r="HE114" s="176"/>
      <c r="HF114" s="176"/>
      <c r="HG114" s="176"/>
      <c r="HH114" s="176"/>
      <c r="HI114" s="176"/>
      <c r="HJ114" s="176"/>
      <c r="HK114" s="176"/>
      <c r="HL114" s="176"/>
      <c r="HM114" s="176"/>
      <c r="HN114" s="176"/>
      <c r="HO114" s="176"/>
      <c r="HP114" s="176"/>
      <c r="HQ114" s="176"/>
      <c r="HR114" s="176"/>
      <c r="HS114" s="176"/>
      <c r="HT114" s="176"/>
      <c r="HU114" s="176"/>
      <c r="HV114" s="176"/>
      <c r="HW114" s="176"/>
      <c r="HX114" s="176"/>
      <c r="HY114" s="176"/>
      <c r="HZ114" s="176"/>
      <c r="IA114" s="176"/>
      <c r="IB114" s="176"/>
      <c r="IC114" s="176"/>
      <c r="ID114" s="176"/>
      <c r="IE114" s="176"/>
      <c r="IF114" s="176"/>
      <c r="IG114" s="176"/>
      <c r="IH114" s="176"/>
      <c r="II114" s="176"/>
      <c r="IJ114" s="176"/>
    </row>
    <row r="115" spans="1:244" ht="16.5" hidden="1">
      <c r="A115" s="846" t="s">
        <v>1060</v>
      </c>
      <c r="B115" s="846" t="s">
        <v>1382</v>
      </c>
      <c r="C115" s="846" t="s">
        <v>1171</v>
      </c>
      <c r="D115" s="847">
        <v>6</v>
      </c>
      <c r="E115" s="846" t="s">
        <v>1171</v>
      </c>
      <c r="F115" s="846" t="s">
        <v>97</v>
      </c>
      <c r="G115" s="851"/>
      <c r="H115" s="847">
        <v>36</v>
      </c>
      <c r="I115" s="780" t="str">
        <f t="shared" si="2"/>
        <v>IWT060236</v>
      </c>
      <c r="J115" s="847">
        <v>5011</v>
      </c>
      <c r="L115" s="846" t="s">
        <v>1060</v>
      </c>
      <c r="M115" s="846" t="s">
        <v>1382</v>
      </c>
      <c r="N115" s="846" t="s">
        <v>97</v>
      </c>
      <c r="O115" s="847">
        <v>36</v>
      </c>
      <c r="P115" s="780" t="str">
        <f t="shared" si="3"/>
        <v>IWT060236</v>
      </c>
      <c r="Q115" s="847">
        <v>1110</v>
      </c>
      <c r="R115" s="847">
        <v>2952</v>
      </c>
      <c r="S115" s="847">
        <v>4758</v>
      </c>
      <c r="T115" s="847">
        <v>6529</v>
      </c>
      <c r="U115" s="847">
        <v>8264</v>
      </c>
      <c r="V115" s="847">
        <v>0</v>
      </c>
      <c r="W115" s="847">
        <v>0</v>
      </c>
      <c r="X115" s="847">
        <v>0</v>
      </c>
      <c r="Y115" s="847">
        <v>0</v>
      </c>
      <c r="Z115" s="847">
        <v>0</v>
      </c>
      <c r="AA115" s="847">
        <v>0</v>
      </c>
      <c r="AB115" s="847">
        <v>0</v>
      </c>
      <c r="AC115" s="847">
        <v>0</v>
      </c>
      <c r="AD115" s="847">
        <v>0</v>
      </c>
      <c r="AE115" s="847">
        <v>0</v>
      </c>
      <c r="AF115" s="847">
        <v>0</v>
      </c>
      <c r="AG115" s="847">
        <v>0</v>
      </c>
      <c r="AH115" s="847">
        <v>0</v>
      </c>
      <c r="AI115" s="847">
        <v>0</v>
      </c>
      <c r="AJ115" s="847">
        <v>0</v>
      </c>
      <c r="AK115" s="847">
        <v>0</v>
      </c>
      <c r="AL115" s="847">
        <v>0</v>
      </c>
      <c r="AM115" s="847">
        <v>0</v>
      </c>
      <c r="AN115" s="847">
        <v>0</v>
      </c>
      <c r="AO115" s="847">
        <v>0</v>
      </c>
      <c r="AP115" s="847">
        <v>0</v>
      </c>
      <c r="AQ115" s="847">
        <v>0</v>
      </c>
      <c r="AR115" s="847">
        <v>0</v>
      </c>
      <c r="AS115" s="847">
        <v>0</v>
      </c>
      <c r="AT115" s="847">
        <v>0</v>
      </c>
      <c r="AU115" s="847">
        <v>0</v>
      </c>
      <c r="AV115" s="847">
        <v>0</v>
      </c>
      <c r="AW115" s="847">
        <v>0</v>
      </c>
      <c r="AX115" s="847">
        <v>0</v>
      </c>
      <c r="AY115" s="847">
        <v>0</v>
      </c>
      <c r="AZ115" s="847">
        <v>0</v>
      </c>
      <c r="BA115" s="847">
        <v>0</v>
      </c>
      <c r="BB115" s="847">
        <v>0</v>
      </c>
      <c r="BC115" s="847">
        <v>0</v>
      </c>
      <c r="BD115" s="847">
        <v>0</v>
      </c>
      <c r="BE115" s="847">
        <v>0</v>
      </c>
      <c r="BF115" s="847">
        <v>0</v>
      </c>
      <c r="BG115" s="847">
        <v>0</v>
      </c>
      <c r="BH115" s="847">
        <v>0</v>
      </c>
      <c r="BI115" s="847">
        <v>0</v>
      </c>
      <c r="BJ115" s="847">
        <v>0</v>
      </c>
      <c r="BK115" s="847">
        <v>0</v>
      </c>
      <c r="BL115" s="847">
        <v>0</v>
      </c>
      <c r="BM115" s="847">
        <v>0</v>
      </c>
      <c r="BN115" s="847">
        <v>0</v>
      </c>
      <c r="BO115" s="847">
        <v>0</v>
      </c>
      <c r="BP115" s="847">
        <v>0</v>
      </c>
      <c r="BQ115" s="847">
        <v>0</v>
      </c>
      <c r="BR115" s="847">
        <v>0</v>
      </c>
      <c r="BS115" s="847">
        <v>0</v>
      </c>
      <c r="BT115" s="847">
        <v>0</v>
      </c>
      <c r="BU115" s="847">
        <v>0</v>
      </c>
      <c r="BV115" s="847">
        <v>0</v>
      </c>
      <c r="BW115" s="847">
        <v>0</v>
      </c>
      <c r="BX115" s="847">
        <v>0</v>
      </c>
      <c r="BY115" s="847">
        <v>0</v>
      </c>
      <c r="BZ115" s="847">
        <v>0</v>
      </c>
      <c r="CA115" s="847">
        <v>0</v>
      </c>
      <c r="CB115" s="847">
        <v>0</v>
      </c>
      <c r="CC115" s="847">
        <v>0</v>
      </c>
      <c r="CD115" s="847">
        <v>0</v>
      </c>
      <c r="CE115" s="847">
        <v>0</v>
      </c>
      <c r="CF115" s="847">
        <v>0</v>
      </c>
      <c r="CG115" s="847">
        <v>0</v>
      </c>
      <c r="CH115" s="847">
        <v>0</v>
      </c>
      <c r="CI115" s="847">
        <v>0</v>
      </c>
      <c r="CJ115" s="847">
        <v>0</v>
      </c>
      <c r="CK115" s="847">
        <v>0</v>
      </c>
      <c r="CL115" s="847">
        <v>0</v>
      </c>
      <c r="CM115" s="847">
        <v>0</v>
      </c>
      <c r="CN115" s="847">
        <v>0</v>
      </c>
      <c r="CO115" s="847">
        <v>0</v>
      </c>
      <c r="CP115" s="847">
        <v>0</v>
      </c>
      <c r="CQ115" s="847">
        <v>0</v>
      </c>
      <c r="CR115" s="847">
        <v>0</v>
      </c>
      <c r="CS115" s="847">
        <v>0</v>
      </c>
      <c r="CT115" s="847">
        <v>0</v>
      </c>
      <c r="CU115" s="847">
        <v>0</v>
      </c>
      <c r="CV115" s="847">
        <v>0</v>
      </c>
      <c r="CW115" s="847">
        <v>0</v>
      </c>
      <c r="CX115" s="847">
        <v>0</v>
      </c>
      <c r="CY115" s="847">
        <v>0</v>
      </c>
      <c r="CZ115" s="847">
        <v>0</v>
      </c>
      <c r="DA115" s="847">
        <v>0</v>
      </c>
      <c r="DB115" s="847">
        <v>0</v>
      </c>
      <c r="DC115" s="847">
        <v>0</v>
      </c>
      <c r="DD115" s="847">
        <v>0</v>
      </c>
      <c r="DE115" s="847">
        <v>0</v>
      </c>
      <c r="DF115" s="847">
        <v>0</v>
      </c>
      <c r="DG115" s="847">
        <v>0</v>
      </c>
      <c r="DH115" s="847">
        <v>0</v>
      </c>
      <c r="DI115" s="847">
        <v>0</v>
      </c>
      <c r="DJ115" s="847">
        <v>0</v>
      </c>
      <c r="DK115" s="847">
        <v>0</v>
      </c>
      <c r="DL115" s="847">
        <v>0</v>
      </c>
      <c r="DM115" s="847">
        <v>0</v>
      </c>
      <c r="DN115" s="847">
        <v>0</v>
      </c>
      <c r="DO115" s="847">
        <v>0</v>
      </c>
      <c r="DP115" s="847">
        <v>0</v>
      </c>
      <c r="DQ115" s="847">
        <v>0</v>
      </c>
      <c r="DR115" s="847">
        <v>0</v>
      </c>
      <c r="DS115" s="847">
        <v>0</v>
      </c>
      <c r="DT115" s="847">
        <v>0</v>
      </c>
      <c r="DU115" s="847">
        <v>0</v>
      </c>
      <c r="DV115" s="847">
        <v>0</v>
      </c>
      <c r="DW115" s="847">
        <v>0</v>
      </c>
      <c r="DY115" s="173"/>
      <c r="DZ115" s="173"/>
      <c r="EA115" s="173"/>
      <c r="EB115" s="174"/>
      <c r="EC115" s="175"/>
      <c r="ED115" s="174"/>
      <c r="EE115" s="174"/>
      <c r="EF115" s="174"/>
      <c r="EG115" s="174"/>
      <c r="EH115" s="174"/>
      <c r="EI115" s="174"/>
      <c r="EJ115" s="174"/>
      <c r="EK115" s="174"/>
      <c r="EL115" s="174"/>
      <c r="EM115" s="174"/>
      <c r="EN115" s="174"/>
      <c r="EO115" s="174"/>
      <c r="EP115" s="174"/>
      <c r="EQ115" s="174"/>
      <c r="ER115" s="174"/>
      <c r="ES115" s="174"/>
      <c r="ET115" s="174"/>
      <c r="EU115" s="174"/>
      <c r="EV115" s="174"/>
      <c r="EW115" s="174"/>
      <c r="EX115" s="174"/>
      <c r="EY115" s="174"/>
      <c r="EZ115" s="174"/>
      <c r="FA115" s="174"/>
      <c r="FB115" s="174"/>
      <c r="FC115" s="174"/>
      <c r="FD115" s="174"/>
      <c r="FE115" s="174"/>
      <c r="FF115" s="174"/>
      <c r="FG115" s="174"/>
      <c r="FH115" s="174"/>
      <c r="FI115" s="174"/>
      <c r="FJ115" s="174"/>
      <c r="FK115" s="174"/>
      <c r="FL115" s="174"/>
      <c r="FM115" s="174"/>
      <c r="FN115" s="174"/>
      <c r="FO115" s="174"/>
      <c r="FP115" s="174"/>
      <c r="FQ115" s="174"/>
      <c r="FR115" s="174"/>
      <c r="FS115" s="174"/>
      <c r="FT115" s="174"/>
      <c r="FU115" s="174"/>
      <c r="FV115" s="174"/>
      <c r="FW115" s="174"/>
      <c r="FX115" s="174"/>
      <c r="FY115" s="174"/>
      <c r="FZ115" s="174"/>
      <c r="GA115" s="174"/>
      <c r="GB115" s="174"/>
      <c r="GC115" s="174"/>
      <c r="GD115" s="174"/>
      <c r="GE115" s="174"/>
      <c r="GF115" s="174"/>
      <c r="GG115" s="174"/>
      <c r="GH115" s="174"/>
      <c r="GI115" s="174"/>
      <c r="GJ115" s="174"/>
      <c r="GK115" s="174"/>
      <c r="GL115" s="174"/>
      <c r="GM115" s="174"/>
      <c r="GN115" s="174"/>
      <c r="GO115" s="174"/>
      <c r="GP115" s="174"/>
      <c r="GQ115" s="174"/>
      <c r="GR115" s="174"/>
      <c r="GS115" s="174"/>
      <c r="GT115" s="174"/>
      <c r="GU115" s="174"/>
      <c r="GV115" s="176"/>
      <c r="GW115" s="176"/>
      <c r="GX115" s="176"/>
      <c r="GY115" s="176"/>
      <c r="GZ115" s="176"/>
      <c r="HA115" s="176"/>
      <c r="HB115" s="176"/>
      <c r="HC115" s="176"/>
      <c r="HD115" s="176"/>
      <c r="HE115" s="176"/>
      <c r="HF115" s="176"/>
      <c r="HG115" s="176"/>
      <c r="HH115" s="176"/>
      <c r="HI115" s="176"/>
      <c r="HJ115" s="176"/>
      <c r="HK115" s="176"/>
      <c r="HL115" s="176"/>
      <c r="HM115" s="176"/>
      <c r="HN115" s="176"/>
      <c r="HO115" s="176"/>
      <c r="HP115" s="176"/>
      <c r="HQ115" s="176"/>
      <c r="HR115" s="176"/>
      <c r="HS115" s="176"/>
      <c r="HT115" s="176"/>
      <c r="HU115" s="176"/>
      <c r="HV115" s="176"/>
      <c r="HW115" s="176"/>
      <c r="HX115" s="176"/>
      <c r="HY115" s="176"/>
      <c r="HZ115" s="176"/>
      <c r="IA115" s="176"/>
      <c r="IB115" s="176"/>
      <c r="IC115" s="176"/>
      <c r="ID115" s="176"/>
      <c r="IE115" s="176"/>
      <c r="IF115" s="176"/>
      <c r="IG115" s="176"/>
      <c r="IH115" s="176"/>
      <c r="II115" s="176"/>
      <c r="IJ115" s="176"/>
    </row>
    <row r="116" spans="1:244" ht="16.5" hidden="1">
      <c r="A116" s="846" t="s">
        <v>1060</v>
      </c>
      <c r="B116" s="846" t="s">
        <v>1382</v>
      </c>
      <c r="C116" s="846" t="s">
        <v>1171</v>
      </c>
      <c r="D116" s="847">
        <v>6</v>
      </c>
      <c r="E116" s="846" t="s">
        <v>1171</v>
      </c>
      <c r="F116" s="846" t="s">
        <v>97</v>
      </c>
      <c r="G116" s="851"/>
      <c r="H116" s="847">
        <v>37</v>
      </c>
      <c r="I116" s="780" t="str">
        <f t="shared" si="2"/>
        <v>IWT060237</v>
      </c>
      <c r="J116" s="847">
        <v>5018</v>
      </c>
      <c r="L116" s="846" t="s">
        <v>1060</v>
      </c>
      <c r="M116" s="846" t="s">
        <v>1382</v>
      </c>
      <c r="N116" s="846" t="s">
        <v>97</v>
      </c>
      <c r="O116" s="847">
        <v>37</v>
      </c>
      <c r="P116" s="780" t="str">
        <f t="shared" si="3"/>
        <v>IWT060237</v>
      </c>
      <c r="Q116" s="847">
        <v>1110</v>
      </c>
      <c r="R116" s="847">
        <v>2952</v>
      </c>
      <c r="S116" s="847">
        <v>4758</v>
      </c>
      <c r="T116" s="847">
        <v>6528</v>
      </c>
      <c r="U116" s="847">
        <v>8264</v>
      </c>
      <c r="V116" s="847">
        <v>0</v>
      </c>
      <c r="W116" s="847">
        <v>0</v>
      </c>
      <c r="X116" s="847">
        <v>0</v>
      </c>
      <c r="Y116" s="847">
        <v>0</v>
      </c>
      <c r="Z116" s="847">
        <v>0</v>
      </c>
      <c r="AA116" s="847">
        <v>0</v>
      </c>
      <c r="AB116" s="847">
        <v>0</v>
      </c>
      <c r="AC116" s="847">
        <v>0</v>
      </c>
      <c r="AD116" s="847">
        <v>0</v>
      </c>
      <c r="AE116" s="847">
        <v>0</v>
      </c>
      <c r="AF116" s="847">
        <v>0</v>
      </c>
      <c r="AG116" s="847">
        <v>0</v>
      </c>
      <c r="AH116" s="847">
        <v>0</v>
      </c>
      <c r="AI116" s="847">
        <v>0</v>
      </c>
      <c r="AJ116" s="847">
        <v>0</v>
      </c>
      <c r="AK116" s="847">
        <v>0</v>
      </c>
      <c r="AL116" s="847">
        <v>0</v>
      </c>
      <c r="AM116" s="847">
        <v>0</v>
      </c>
      <c r="AN116" s="847">
        <v>0</v>
      </c>
      <c r="AO116" s="847">
        <v>0</v>
      </c>
      <c r="AP116" s="847">
        <v>0</v>
      </c>
      <c r="AQ116" s="847">
        <v>0</v>
      </c>
      <c r="AR116" s="847">
        <v>0</v>
      </c>
      <c r="AS116" s="847">
        <v>0</v>
      </c>
      <c r="AT116" s="847">
        <v>0</v>
      </c>
      <c r="AU116" s="847">
        <v>0</v>
      </c>
      <c r="AV116" s="847">
        <v>0</v>
      </c>
      <c r="AW116" s="847">
        <v>0</v>
      </c>
      <c r="AX116" s="847">
        <v>0</v>
      </c>
      <c r="AY116" s="847">
        <v>0</v>
      </c>
      <c r="AZ116" s="847">
        <v>0</v>
      </c>
      <c r="BA116" s="847">
        <v>0</v>
      </c>
      <c r="BB116" s="847">
        <v>0</v>
      </c>
      <c r="BC116" s="847">
        <v>0</v>
      </c>
      <c r="BD116" s="847">
        <v>0</v>
      </c>
      <c r="BE116" s="847">
        <v>0</v>
      </c>
      <c r="BF116" s="847">
        <v>0</v>
      </c>
      <c r="BG116" s="847">
        <v>0</v>
      </c>
      <c r="BH116" s="847">
        <v>0</v>
      </c>
      <c r="BI116" s="847">
        <v>0</v>
      </c>
      <c r="BJ116" s="847">
        <v>0</v>
      </c>
      <c r="BK116" s="847">
        <v>0</v>
      </c>
      <c r="BL116" s="847">
        <v>0</v>
      </c>
      <c r="BM116" s="847">
        <v>0</v>
      </c>
      <c r="BN116" s="847">
        <v>0</v>
      </c>
      <c r="BO116" s="847">
        <v>0</v>
      </c>
      <c r="BP116" s="847">
        <v>0</v>
      </c>
      <c r="BQ116" s="847">
        <v>0</v>
      </c>
      <c r="BR116" s="847">
        <v>0</v>
      </c>
      <c r="BS116" s="847">
        <v>0</v>
      </c>
      <c r="BT116" s="847">
        <v>0</v>
      </c>
      <c r="BU116" s="847">
        <v>0</v>
      </c>
      <c r="BV116" s="847">
        <v>0</v>
      </c>
      <c r="BW116" s="847">
        <v>0</v>
      </c>
      <c r="BX116" s="847">
        <v>0</v>
      </c>
      <c r="BY116" s="847">
        <v>0</v>
      </c>
      <c r="BZ116" s="847">
        <v>0</v>
      </c>
      <c r="CA116" s="847">
        <v>0</v>
      </c>
      <c r="CB116" s="847">
        <v>0</v>
      </c>
      <c r="CC116" s="847">
        <v>0</v>
      </c>
      <c r="CD116" s="847">
        <v>0</v>
      </c>
      <c r="CE116" s="847">
        <v>0</v>
      </c>
      <c r="CF116" s="847">
        <v>0</v>
      </c>
      <c r="CG116" s="847">
        <v>0</v>
      </c>
      <c r="CH116" s="847">
        <v>0</v>
      </c>
      <c r="CI116" s="847">
        <v>0</v>
      </c>
      <c r="CJ116" s="847">
        <v>0</v>
      </c>
      <c r="CK116" s="847">
        <v>0</v>
      </c>
      <c r="CL116" s="847">
        <v>0</v>
      </c>
      <c r="CM116" s="847">
        <v>0</v>
      </c>
      <c r="CN116" s="847">
        <v>0</v>
      </c>
      <c r="CO116" s="847">
        <v>0</v>
      </c>
      <c r="CP116" s="847">
        <v>0</v>
      </c>
      <c r="CQ116" s="847">
        <v>0</v>
      </c>
      <c r="CR116" s="847">
        <v>0</v>
      </c>
      <c r="CS116" s="847">
        <v>0</v>
      </c>
      <c r="CT116" s="847">
        <v>0</v>
      </c>
      <c r="CU116" s="847">
        <v>0</v>
      </c>
      <c r="CV116" s="847">
        <v>0</v>
      </c>
      <c r="CW116" s="847">
        <v>0</v>
      </c>
      <c r="CX116" s="847">
        <v>0</v>
      </c>
      <c r="CY116" s="847">
        <v>0</v>
      </c>
      <c r="CZ116" s="847">
        <v>0</v>
      </c>
      <c r="DA116" s="847">
        <v>0</v>
      </c>
      <c r="DB116" s="847">
        <v>0</v>
      </c>
      <c r="DC116" s="847">
        <v>0</v>
      </c>
      <c r="DD116" s="847">
        <v>0</v>
      </c>
      <c r="DE116" s="847">
        <v>0</v>
      </c>
      <c r="DF116" s="847">
        <v>0</v>
      </c>
      <c r="DG116" s="847">
        <v>0</v>
      </c>
      <c r="DH116" s="847">
        <v>0</v>
      </c>
      <c r="DI116" s="847">
        <v>0</v>
      </c>
      <c r="DJ116" s="847">
        <v>0</v>
      </c>
      <c r="DK116" s="847">
        <v>0</v>
      </c>
      <c r="DL116" s="847">
        <v>0</v>
      </c>
      <c r="DM116" s="847">
        <v>0</v>
      </c>
      <c r="DN116" s="847">
        <v>0</v>
      </c>
      <c r="DO116" s="847">
        <v>0</v>
      </c>
      <c r="DP116" s="847">
        <v>0</v>
      </c>
      <c r="DQ116" s="847">
        <v>0</v>
      </c>
      <c r="DR116" s="847">
        <v>0</v>
      </c>
      <c r="DS116" s="847">
        <v>0</v>
      </c>
      <c r="DT116" s="847">
        <v>0</v>
      </c>
      <c r="DU116" s="847">
        <v>0</v>
      </c>
      <c r="DV116" s="847">
        <v>0</v>
      </c>
      <c r="DW116" s="847">
        <v>0</v>
      </c>
      <c r="DY116" s="173"/>
      <c r="DZ116" s="173"/>
      <c r="EA116" s="173"/>
      <c r="EB116" s="174"/>
      <c r="EC116" s="175"/>
      <c r="ED116" s="174"/>
      <c r="EE116" s="174"/>
      <c r="EF116" s="174"/>
      <c r="EG116" s="174"/>
      <c r="EH116" s="174"/>
      <c r="EI116" s="174"/>
      <c r="EJ116" s="174"/>
      <c r="EK116" s="174"/>
      <c r="EL116" s="174"/>
      <c r="EM116" s="174"/>
      <c r="EN116" s="174"/>
      <c r="EO116" s="174"/>
      <c r="EP116" s="174"/>
      <c r="EQ116" s="174"/>
      <c r="ER116" s="174"/>
      <c r="ES116" s="174"/>
      <c r="ET116" s="174"/>
      <c r="EU116" s="174"/>
      <c r="EV116" s="174"/>
      <c r="EW116" s="174"/>
      <c r="EX116" s="174"/>
      <c r="EY116" s="174"/>
      <c r="EZ116" s="174"/>
      <c r="FA116" s="174"/>
      <c r="FB116" s="174"/>
      <c r="FC116" s="174"/>
      <c r="FD116" s="174"/>
      <c r="FE116" s="174"/>
      <c r="FF116" s="174"/>
      <c r="FG116" s="174"/>
      <c r="FH116" s="174"/>
      <c r="FI116" s="174"/>
      <c r="FJ116" s="174"/>
      <c r="FK116" s="174"/>
      <c r="FL116" s="174"/>
      <c r="FM116" s="174"/>
      <c r="FN116" s="174"/>
      <c r="FO116" s="174"/>
      <c r="FP116" s="174"/>
      <c r="FQ116" s="174"/>
      <c r="FR116" s="174"/>
      <c r="FS116" s="174"/>
      <c r="FT116" s="174"/>
      <c r="FU116" s="174"/>
      <c r="FV116" s="174"/>
      <c r="FW116" s="174"/>
      <c r="FX116" s="174"/>
      <c r="FY116" s="174"/>
      <c r="FZ116" s="174"/>
      <c r="GA116" s="174"/>
      <c r="GB116" s="174"/>
      <c r="GC116" s="174"/>
      <c r="GD116" s="174"/>
      <c r="GE116" s="174"/>
      <c r="GF116" s="174"/>
      <c r="GG116" s="174"/>
      <c r="GH116" s="174"/>
      <c r="GI116" s="174"/>
      <c r="GJ116" s="174"/>
      <c r="GK116" s="174"/>
      <c r="GL116" s="174"/>
      <c r="GM116" s="174"/>
      <c r="GN116" s="174"/>
      <c r="GO116" s="174"/>
      <c r="GP116" s="174"/>
      <c r="GQ116" s="174"/>
      <c r="GR116" s="174"/>
      <c r="GS116" s="174"/>
      <c r="GT116" s="174"/>
      <c r="GU116" s="176"/>
      <c r="GV116" s="176"/>
      <c r="GW116" s="176"/>
      <c r="GX116" s="176"/>
      <c r="GY116" s="176"/>
      <c r="GZ116" s="176"/>
      <c r="HA116" s="176"/>
      <c r="HB116" s="176"/>
      <c r="HC116" s="176"/>
      <c r="HD116" s="176"/>
      <c r="HE116" s="176"/>
      <c r="HF116" s="176"/>
      <c r="HG116" s="176"/>
      <c r="HH116" s="176"/>
      <c r="HI116" s="176"/>
      <c r="HJ116" s="176"/>
      <c r="HK116" s="176"/>
      <c r="HL116" s="176"/>
      <c r="HM116" s="176"/>
      <c r="HN116" s="176"/>
      <c r="HO116" s="176"/>
      <c r="HP116" s="176"/>
      <c r="HQ116" s="176"/>
      <c r="HR116" s="176"/>
      <c r="HS116" s="176"/>
      <c r="HT116" s="176"/>
      <c r="HU116" s="176"/>
      <c r="HV116" s="176"/>
      <c r="HW116" s="176"/>
      <c r="HX116" s="176"/>
      <c r="HY116" s="176"/>
      <c r="HZ116" s="176"/>
      <c r="IA116" s="176"/>
      <c r="IB116" s="176"/>
      <c r="IC116" s="176"/>
      <c r="ID116" s="176"/>
      <c r="IE116" s="176"/>
      <c r="IF116" s="176"/>
      <c r="IG116" s="176"/>
      <c r="IH116" s="176"/>
      <c r="II116" s="176"/>
      <c r="IJ116" s="176"/>
    </row>
    <row r="117" spans="1:244" ht="16.5" hidden="1">
      <c r="A117" s="846" t="s">
        <v>1060</v>
      </c>
      <c r="B117" s="846" t="s">
        <v>1382</v>
      </c>
      <c r="C117" s="846" t="s">
        <v>1171</v>
      </c>
      <c r="D117" s="847">
        <v>6</v>
      </c>
      <c r="E117" s="846" t="s">
        <v>1171</v>
      </c>
      <c r="F117" s="846" t="s">
        <v>97</v>
      </c>
      <c r="G117" s="851"/>
      <c r="H117" s="847">
        <v>38</v>
      </c>
      <c r="I117" s="780" t="str">
        <f t="shared" si="2"/>
        <v>IWT060238</v>
      </c>
      <c r="J117" s="847">
        <v>5024</v>
      </c>
      <c r="L117" s="846" t="s">
        <v>1060</v>
      </c>
      <c r="M117" s="846" t="s">
        <v>1382</v>
      </c>
      <c r="N117" s="846" t="s">
        <v>97</v>
      </c>
      <c r="O117" s="847">
        <v>38</v>
      </c>
      <c r="P117" s="780" t="str">
        <f t="shared" si="3"/>
        <v>IWT060238</v>
      </c>
      <c r="Q117" s="847">
        <v>1109</v>
      </c>
      <c r="R117" s="847">
        <v>2952</v>
      </c>
      <c r="S117" s="847">
        <v>4758</v>
      </c>
      <c r="T117" s="847">
        <v>6528</v>
      </c>
      <c r="U117" s="847">
        <v>8264</v>
      </c>
      <c r="V117" s="847">
        <v>0</v>
      </c>
      <c r="W117" s="847">
        <v>0</v>
      </c>
      <c r="X117" s="847">
        <v>0</v>
      </c>
      <c r="Y117" s="847">
        <v>0</v>
      </c>
      <c r="Z117" s="847">
        <v>0</v>
      </c>
      <c r="AA117" s="847">
        <v>0</v>
      </c>
      <c r="AB117" s="847">
        <v>0</v>
      </c>
      <c r="AC117" s="847">
        <v>0</v>
      </c>
      <c r="AD117" s="847">
        <v>0</v>
      </c>
      <c r="AE117" s="847">
        <v>0</v>
      </c>
      <c r="AF117" s="847">
        <v>0</v>
      </c>
      <c r="AG117" s="847">
        <v>0</v>
      </c>
      <c r="AH117" s="847">
        <v>0</v>
      </c>
      <c r="AI117" s="847">
        <v>0</v>
      </c>
      <c r="AJ117" s="847">
        <v>0</v>
      </c>
      <c r="AK117" s="847">
        <v>0</v>
      </c>
      <c r="AL117" s="847">
        <v>0</v>
      </c>
      <c r="AM117" s="847">
        <v>0</v>
      </c>
      <c r="AN117" s="847">
        <v>0</v>
      </c>
      <c r="AO117" s="847">
        <v>0</v>
      </c>
      <c r="AP117" s="847">
        <v>0</v>
      </c>
      <c r="AQ117" s="847">
        <v>0</v>
      </c>
      <c r="AR117" s="847">
        <v>0</v>
      </c>
      <c r="AS117" s="847">
        <v>0</v>
      </c>
      <c r="AT117" s="847">
        <v>0</v>
      </c>
      <c r="AU117" s="847">
        <v>0</v>
      </c>
      <c r="AV117" s="847">
        <v>0</v>
      </c>
      <c r="AW117" s="847">
        <v>0</v>
      </c>
      <c r="AX117" s="847">
        <v>0</v>
      </c>
      <c r="AY117" s="847">
        <v>0</v>
      </c>
      <c r="AZ117" s="847">
        <v>0</v>
      </c>
      <c r="BA117" s="847">
        <v>0</v>
      </c>
      <c r="BB117" s="847">
        <v>0</v>
      </c>
      <c r="BC117" s="847">
        <v>0</v>
      </c>
      <c r="BD117" s="847">
        <v>0</v>
      </c>
      <c r="BE117" s="847">
        <v>0</v>
      </c>
      <c r="BF117" s="847">
        <v>0</v>
      </c>
      <c r="BG117" s="847">
        <v>0</v>
      </c>
      <c r="BH117" s="847">
        <v>0</v>
      </c>
      <c r="BI117" s="847">
        <v>0</v>
      </c>
      <c r="BJ117" s="847">
        <v>0</v>
      </c>
      <c r="BK117" s="847">
        <v>0</v>
      </c>
      <c r="BL117" s="847">
        <v>0</v>
      </c>
      <c r="BM117" s="847">
        <v>0</v>
      </c>
      <c r="BN117" s="847">
        <v>0</v>
      </c>
      <c r="BO117" s="847">
        <v>0</v>
      </c>
      <c r="BP117" s="847">
        <v>0</v>
      </c>
      <c r="BQ117" s="847">
        <v>0</v>
      </c>
      <c r="BR117" s="847">
        <v>0</v>
      </c>
      <c r="BS117" s="847">
        <v>0</v>
      </c>
      <c r="BT117" s="847">
        <v>0</v>
      </c>
      <c r="BU117" s="847">
        <v>0</v>
      </c>
      <c r="BV117" s="847">
        <v>0</v>
      </c>
      <c r="BW117" s="847">
        <v>0</v>
      </c>
      <c r="BX117" s="847">
        <v>0</v>
      </c>
      <c r="BY117" s="847">
        <v>0</v>
      </c>
      <c r="BZ117" s="847">
        <v>0</v>
      </c>
      <c r="CA117" s="847">
        <v>0</v>
      </c>
      <c r="CB117" s="847">
        <v>0</v>
      </c>
      <c r="CC117" s="847">
        <v>0</v>
      </c>
      <c r="CD117" s="847">
        <v>0</v>
      </c>
      <c r="CE117" s="847">
        <v>0</v>
      </c>
      <c r="CF117" s="847">
        <v>0</v>
      </c>
      <c r="CG117" s="847">
        <v>0</v>
      </c>
      <c r="CH117" s="847">
        <v>0</v>
      </c>
      <c r="CI117" s="847">
        <v>0</v>
      </c>
      <c r="CJ117" s="847">
        <v>0</v>
      </c>
      <c r="CK117" s="847">
        <v>0</v>
      </c>
      <c r="CL117" s="847">
        <v>0</v>
      </c>
      <c r="CM117" s="847">
        <v>0</v>
      </c>
      <c r="CN117" s="847">
        <v>0</v>
      </c>
      <c r="CO117" s="847">
        <v>0</v>
      </c>
      <c r="CP117" s="847">
        <v>0</v>
      </c>
      <c r="CQ117" s="847">
        <v>0</v>
      </c>
      <c r="CR117" s="847">
        <v>0</v>
      </c>
      <c r="CS117" s="847">
        <v>0</v>
      </c>
      <c r="CT117" s="847">
        <v>0</v>
      </c>
      <c r="CU117" s="847">
        <v>0</v>
      </c>
      <c r="CV117" s="847">
        <v>0</v>
      </c>
      <c r="CW117" s="847">
        <v>0</v>
      </c>
      <c r="CX117" s="847">
        <v>0</v>
      </c>
      <c r="CY117" s="847">
        <v>0</v>
      </c>
      <c r="CZ117" s="847">
        <v>0</v>
      </c>
      <c r="DA117" s="847">
        <v>0</v>
      </c>
      <c r="DB117" s="847">
        <v>0</v>
      </c>
      <c r="DC117" s="847">
        <v>0</v>
      </c>
      <c r="DD117" s="847">
        <v>0</v>
      </c>
      <c r="DE117" s="847">
        <v>0</v>
      </c>
      <c r="DF117" s="847">
        <v>0</v>
      </c>
      <c r="DG117" s="847">
        <v>0</v>
      </c>
      <c r="DH117" s="847">
        <v>0</v>
      </c>
      <c r="DI117" s="847">
        <v>0</v>
      </c>
      <c r="DJ117" s="847">
        <v>0</v>
      </c>
      <c r="DK117" s="847">
        <v>0</v>
      </c>
      <c r="DL117" s="847">
        <v>0</v>
      </c>
      <c r="DM117" s="847">
        <v>0</v>
      </c>
      <c r="DN117" s="847">
        <v>0</v>
      </c>
      <c r="DO117" s="847">
        <v>0</v>
      </c>
      <c r="DP117" s="847">
        <v>0</v>
      </c>
      <c r="DQ117" s="847">
        <v>0</v>
      </c>
      <c r="DR117" s="847">
        <v>0</v>
      </c>
      <c r="DS117" s="847">
        <v>0</v>
      </c>
      <c r="DT117" s="847">
        <v>0</v>
      </c>
      <c r="DU117" s="847">
        <v>0</v>
      </c>
      <c r="DV117" s="847">
        <v>0</v>
      </c>
      <c r="DW117" s="847">
        <v>0</v>
      </c>
      <c r="DY117" s="173"/>
      <c r="DZ117" s="173"/>
      <c r="EA117" s="173"/>
      <c r="EB117" s="174"/>
      <c r="EC117" s="175"/>
      <c r="ED117" s="174"/>
      <c r="EE117" s="174"/>
      <c r="EF117" s="174"/>
      <c r="EG117" s="174"/>
      <c r="EH117" s="174"/>
      <c r="EI117" s="174"/>
      <c r="EJ117" s="174"/>
      <c r="EK117" s="174"/>
      <c r="EL117" s="174"/>
      <c r="EM117" s="174"/>
      <c r="EN117" s="174"/>
      <c r="EO117" s="174"/>
      <c r="EP117" s="174"/>
      <c r="EQ117" s="174"/>
      <c r="ER117" s="174"/>
      <c r="ES117" s="174"/>
      <c r="ET117" s="174"/>
      <c r="EU117" s="174"/>
      <c r="EV117" s="174"/>
      <c r="EW117" s="174"/>
      <c r="EX117" s="174"/>
      <c r="EY117" s="174"/>
      <c r="EZ117" s="174"/>
      <c r="FA117" s="174"/>
      <c r="FB117" s="174"/>
      <c r="FC117" s="174"/>
      <c r="FD117" s="174"/>
      <c r="FE117" s="174"/>
      <c r="FF117" s="174"/>
      <c r="FG117" s="174"/>
      <c r="FH117" s="174"/>
      <c r="FI117" s="174"/>
      <c r="FJ117" s="174"/>
      <c r="FK117" s="174"/>
      <c r="FL117" s="174"/>
      <c r="FM117" s="174"/>
      <c r="FN117" s="174"/>
      <c r="FO117" s="174"/>
      <c r="FP117" s="174"/>
      <c r="FQ117" s="174"/>
      <c r="FR117" s="174"/>
      <c r="FS117" s="174"/>
      <c r="FT117" s="174"/>
      <c r="FU117" s="174"/>
      <c r="FV117" s="174"/>
      <c r="FW117" s="174"/>
      <c r="FX117" s="174"/>
      <c r="FY117" s="174"/>
      <c r="FZ117" s="174"/>
      <c r="GA117" s="174"/>
      <c r="GB117" s="174"/>
      <c r="GC117" s="174"/>
      <c r="GD117" s="174"/>
      <c r="GE117" s="174"/>
      <c r="GF117" s="174"/>
      <c r="GG117" s="174"/>
      <c r="GH117" s="174"/>
      <c r="GI117" s="174"/>
      <c r="GJ117" s="174"/>
      <c r="GK117" s="174"/>
      <c r="GL117" s="174"/>
      <c r="GM117" s="174"/>
      <c r="GN117" s="174"/>
      <c r="GO117" s="174"/>
      <c r="GP117" s="174"/>
      <c r="GQ117" s="174"/>
      <c r="GR117" s="174"/>
      <c r="GS117" s="174"/>
      <c r="GT117" s="176"/>
      <c r="GU117" s="176"/>
      <c r="GV117" s="176"/>
      <c r="GW117" s="176"/>
      <c r="GX117" s="176"/>
      <c r="GY117" s="176"/>
      <c r="GZ117" s="176"/>
      <c r="HA117" s="176"/>
      <c r="HB117" s="176"/>
      <c r="HC117" s="176"/>
      <c r="HD117" s="176"/>
      <c r="HE117" s="176"/>
      <c r="HF117" s="176"/>
      <c r="HG117" s="176"/>
      <c r="HH117" s="176"/>
      <c r="HI117" s="176"/>
      <c r="HJ117" s="176"/>
      <c r="HK117" s="176"/>
      <c r="HL117" s="176"/>
      <c r="HM117" s="176"/>
      <c r="HN117" s="176"/>
      <c r="HO117" s="176"/>
      <c r="HP117" s="176"/>
      <c r="HQ117" s="176"/>
      <c r="HR117" s="176"/>
      <c r="HS117" s="176"/>
      <c r="HT117" s="176"/>
      <c r="HU117" s="176"/>
      <c r="HV117" s="176"/>
      <c r="HW117" s="176"/>
      <c r="HX117" s="176"/>
      <c r="HY117" s="176"/>
      <c r="HZ117" s="176"/>
      <c r="IA117" s="176"/>
      <c r="IB117" s="176"/>
      <c r="IC117" s="176"/>
      <c r="ID117" s="176"/>
      <c r="IE117" s="176"/>
      <c r="IF117" s="176"/>
      <c r="IG117" s="176"/>
      <c r="IH117" s="176"/>
      <c r="II117" s="176"/>
      <c r="IJ117" s="176"/>
    </row>
    <row r="118" spans="1:244" ht="16.5" hidden="1">
      <c r="A118" s="846" t="s">
        <v>1060</v>
      </c>
      <c r="B118" s="846" t="s">
        <v>1382</v>
      </c>
      <c r="C118" s="846" t="s">
        <v>1171</v>
      </c>
      <c r="D118" s="847">
        <v>6</v>
      </c>
      <c r="E118" s="846" t="s">
        <v>1171</v>
      </c>
      <c r="F118" s="846" t="s">
        <v>97</v>
      </c>
      <c r="G118" s="851"/>
      <c r="H118" s="847">
        <v>39</v>
      </c>
      <c r="I118" s="780" t="str">
        <f t="shared" si="2"/>
        <v>IWT060239</v>
      </c>
      <c r="J118" s="847">
        <v>5029</v>
      </c>
      <c r="L118" s="846" t="s">
        <v>1060</v>
      </c>
      <c r="M118" s="846" t="s">
        <v>1382</v>
      </c>
      <c r="N118" s="846" t="s">
        <v>97</v>
      </c>
      <c r="O118" s="847">
        <v>39</v>
      </c>
      <c r="P118" s="780" t="str">
        <f t="shared" si="3"/>
        <v>IWT060239</v>
      </c>
      <c r="Q118" s="847">
        <v>1109</v>
      </c>
      <c r="R118" s="847">
        <v>2951</v>
      </c>
      <c r="S118" s="847">
        <v>4758</v>
      </c>
      <c r="T118" s="847">
        <v>6528</v>
      </c>
      <c r="U118" s="847">
        <v>8264</v>
      </c>
      <c r="V118" s="847">
        <v>0</v>
      </c>
      <c r="W118" s="847">
        <v>0</v>
      </c>
      <c r="X118" s="847">
        <v>0</v>
      </c>
      <c r="Y118" s="847">
        <v>0</v>
      </c>
      <c r="Z118" s="847">
        <v>0</v>
      </c>
      <c r="AA118" s="847">
        <v>0</v>
      </c>
      <c r="AB118" s="847">
        <v>0</v>
      </c>
      <c r="AC118" s="847">
        <v>0</v>
      </c>
      <c r="AD118" s="847">
        <v>0</v>
      </c>
      <c r="AE118" s="847">
        <v>0</v>
      </c>
      <c r="AF118" s="847">
        <v>0</v>
      </c>
      <c r="AG118" s="847">
        <v>0</v>
      </c>
      <c r="AH118" s="847">
        <v>0</v>
      </c>
      <c r="AI118" s="847">
        <v>0</v>
      </c>
      <c r="AJ118" s="847">
        <v>0</v>
      </c>
      <c r="AK118" s="847">
        <v>0</v>
      </c>
      <c r="AL118" s="847">
        <v>0</v>
      </c>
      <c r="AM118" s="847">
        <v>0</v>
      </c>
      <c r="AN118" s="847">
        <v>0</v>
      </c>
      <c r="AO118" s="847">
        <v>0</v>
      </c>
      <c r="AP118" s="847">
        <v>0</v>
      </c>
      <c r="AQ118" s="847">
        <v>0</v>
      </c>
      <c r="AR118" s="847">
        <v>0</v>
      </c>
      <c r="AS118" s="847">
        <v>0</v>
      </c>
      <c r="AT118" s="847">
        <v>0</v>
      </c>
      <c r="AU118" s="847">
        <v>0</v>
      </c>
      <c r="AV118" s="847">
        <v>0</v>
      </c>
      <c r="AW118" s="847">
        <v>0</v>
      </c>
      <c r="AX118" s="847">
        <v>0</v>
      </c>
      <c r="AY118" s="847">
        <v>0</v>
      </c>
      <c r="AZ118" s="847">
        <v>0</v>
      </c>
      <c r="BA118" s="847">
        <v>0</v>
      </c>
      <c r="BB118" s="847">
        <v>0</v>
      </c>
      <c r="BC118" s="847">
        <v>0</v>
      </c>
      <c r="BD118" s="847">
        <v>0</v>
      </c>
      <c r="BE118" s="847">
        <v>0</v>
      </c>
      <c r="BF118" s="847">
        <v>0</v>
      </c>
      <c r="BG118" s="847">
        <v>0</v>
      </c>
      <c r="BH118" s="847">
        <v>0</v>
      </c>
      <c r="BI118" s="847">
        <v>0</v>
      </c>
      <c r="BJ118" s="847">
        <v>0</v>
      </c>
      <c r="BK118" s="847">
        <v>0</v>
      </c>
      <c r="BL118" s="847">
        <v>0</v>
      </c>
      <c r="BM118" s="847">
        <v>0</v>
      </c>
      <c r="BN118" s="847">
        <v>0</v>
      </c>
      <c r="BO118" s="847">
        <v>0</v>
      </c>
      <c r="BP118" s="847">
        <v>0</v>
      </c>
      <c r="BQ118" s="847">
        <v>0</v>
      </c>
      <c r="BR118" s="847">
        <v>0</v>
      </c>
      <c r="BS118" s="847">
        <v>0</v>
      </c>
      <c r="BT118" s="847">
        <v>0</v>
      </c>
      <c r="BU118" s="847">
        <v>0</v>
      </c>
      <c r="BV118" s="847">
        <v>0</v>
      </c>
      <c r="BW118" s="847">
        <v>0</v>
      </c>
      <c r="BX118" s="847">
        <v>0</v>
      </c>
      <c r="BY118" s="847">
        <v>0</v>
      </c>
      <c r="BZ118" s="847">
        <v>0</v>
      </c>
      <c r="CA118" s="847">
        <v>0</v>
      </c>
      <c r="CB118" s="847">
        <v>0</v>
      </c>
      <c r="CC118" s="847">
        <v>0</v>
      </c>
      <c r="CD118" s="847">
        <v>0</v>
      </c>
      <c r="CE118" s="847">
        <v>0</v>
      </c>
      <c r="CF118" s="847">
        <v>0</v>
      </c>
      <c r="CG118" s="847">
        <v>0</v>
      </c>
      <c r="CH118" s="847">
        <v>0</v>
      </c>
      <c r="CI118" s="847">
        <v>0</v>
      </c>
      <c r="CJ118" s="847">
        <v>0</v>
      </c>
      <c r="CK118" s="847">
        <v>0</v>
      </c>
      <c r="CL118" s="847">
        <v>0</v>
      </c>
      <c r="CM118" s="847">
        <v>0</v>
      </c>
      <c r="CN118" s="847">
        <v>0</v>
      </c>
      <c r="CO118" s="847">
        <v>0</v>
      </c>
      <c r="CP118" s="847">
        <v>0</v>
      </c>
      <c r="CQ118" s="847">
        <v>0</v>
      </c>
      <c r="CR118" s="847">
        <v>0</v>
      </c>
      <c r="CS118" s="847">
        <v>0</v>
      </c>
      <c r="CT118" s="847">
        <v>0</v>
      </c>
      <c r="CU118" s="847">
        <v>0</v>
      </c>
      <c r="CV118" s="847">
        <v>0</v>
      </c>
      <c r="CW118" s="847">
        <v>0</v>
      </c>
      <c r="CX118" s="847">
        <v>0</v>
      </c>
      <c r="CY118" s="847">
        <v>0</v>
      </c>
      <c r="CZ118" s="847">
        <v>0</v>
      </c>
      <c r="DA118" s="847">
        <v>0</v>
      </c>
      <c r="DB118" s="847">
        <v>0</v>
      </c>
      <c r="DC118" s="847">
        <v>0</v>
      </c>
      <c r="DD118" s="847">
        <v>0</v>
      </c>
      <c r="DE118" s="847">
        <v>0</v>
      </c>
      <c r="DF118" s="847">
        <v>0</v>
      </c>
      <c r="DG118" s="847">
        <v>0</v>
      </c>
      <c r="DH118" s="847">
        <v>0</v>
      </c>
      <c r="DI118" s="847">
        <v>0</v>
      </c>
      <c r="DJ118" s="847">
        <v>0</v>
      </c>
      <c r="DK118" s="847">
        <v>0</v>
      </c>
      <c r="DL118" s="847">
        <v>0</v>
      </c>
      <c r="DM118" s="847">
        <v>0</v>
      </c>
      <c r="DN118" s="847">
        <v>0</v>
      </c>
      <c r="DO118" s="847">
        <v>0</v>
      </c>
      <c r="DP118" s="847">
        <v>0</v>
      </c>
      <c r="DQ118" s="847">
        <v>0</v>
      </c>
      <c r="DR118" s="847">
        <v>0</v>
      </c>
      <c r="DS118" s="847">
        <v>0</v>
      </c>
      <c r="DT118" s="847">
        <v>0</v>
      </c>
      <c r="DU118" s="847">
        <v>0</v>
      </c>
      <c r="DV118" s="847">
        <v>0</v>
      </c>
      <c r="DW118" s="847">
        <v>0</v>
      </c>
      <c r="DY118" s="173"/>
      <c r="DZ118" s="173"/>
      <c r="EA118" s="173"/>
      <c r="EB118" s="174"/>
      <c r="EC118" s="175"/>
      <c r="ED118" s="174"/>
      <c r="EE118" s="174"/>
      <c r="EF118" s="174"/>
      <c r="EG118" s="174"/>
      <c r="EH118" s="174"/>
      <c r="EI118" s="174"/>
      <c r="EJ118" s="174"/>
      <c r="EK118" s="174"/>
      <c r="EL118" s="174"/>
      <c r="EM118" s="174"/>
      <c r="EN118" s="174"/>
      <c r="EO118" s="174"/>
      <c r="EP118" s="174"/>
      <c r="EQ118" s="174"/>
      <c r="ER118" s="174"/>
      <c r="ES118" s="174"/>
      <c r="ET118" s="174"/>
      <c r="EU118" s="174"/>
      <c r="EV118" s="174"/>
      <c r="EW118" s="174"/>
      <c r="EX118" s="174"/>
      <c r="EY118" s="174"/>
      <c r="EZ118" s="174"/>
      <c r="FA118" s="174"/>
      <c r="FB118" s="174"/>
      <c r="FC118" s="174"/>
      <c r="FD118" s="174"/>
      <c r="FE118" s="174"/>
      <c r="FF118" s="174"/>
      <c r="FG118" s="174"/>
      <c r="FH118" s="174"/>
      <c r="FI118" s="174"/>
      <c r="FJ118" s="174"/>
      <c r="FK118" s="174"/>
      <c r="FL118" s="174"/>
      <c r="FM118" s="174"/>
      <c r="FN118" s="174"/>
      <c r="FO118" s="174"/>
      <c r="FP118" s="174"/>
      <c r="FQ118" s="174"/>
      <c r="FR118" s="174"/>
      <c r="FS118" s="174"/>
      <c r="FT118" s="174"/>
      <c r="FU118" s="174"/>
      <c r="FV118" s="174"/>
      <c r="FW118" s="174"/>
      <c r="FX118" s="174"/>
      <c r="FY118" s="174"/>
      <c r="FZ118" s="174"/>
      <c r="GA118" s="174"/>
      <c r="GB118" s="174"/>
      <c r="GC118" s="174"/>
      <c r="GD118" s="174"/>
      <c r="GE118" s="174"/>
      <c r="GF118" s="174"/>
      <c r="GG118" s="174"/>
      <c r="GH118" s="174"/>
      <c r="GI118" s="174"/>
      <c r="GJ118" s="174"/>
      <c r="GK118" s="174"/>
      <c r="GL118" s="174"/>
      <c r="GM118" s="174"/>
      <c r="GN118" s="174"/>
      <c r="GO118" s="174"/>
      <c r="GP118" s="174"/>
      <c r="GQ118" s="174"/>
      <c r="GR118" s="174"/>
      <c r="GS118" s="176"/>
      <c r="GT118" s="176"/>
      <c r="GU118" s="176"/>
      <c r="GV118" s="176"/>
      <c r="GW118" s="176"/>
      <c r="GX118" s="176"/>
      <c r="GY118" s="176"/>
      <c r="GZ118" s="176"/>
      <c r="HA118" s="176"/>
      <c r="HB118" s="176"/>
      <c r="HC118" s="176"/>
      <c r="HD118" s="176"/>
      <c r="HE118" s="176"/>
      <c r="HF118" s="176"/>
      <c r="HG118" s="176"/>
      <c r="HH118" s="176"/>
      <c r="HI118" s="176"/>
      <c r="HJ118" s="176"/>
      <c r="HK118" s="176"/>
      <c r="HL118" s="176"/>
      <c r="HM118" s="176"/>
      <c r="HN118" s="176"/>
      <c r="HO118" s="176"/>
      <c r="HP118" s="176"/>
      <c r="HQ118" s="176"/>
      <c r="HR118" s="176"/>
      <c r="HS118" s="176"/>
      <c r="HT118" s="176"/>
      <c r="HU118" s="176"/>
      <c r="HV118" s="176"/>
      <c r="HW118" s="176"/>
      <c r="HX118" s="176"/>
      <c r="HY118" s="176"/>
      <c r="HZ118" s="176"/>
      <c r="IA118" s="176"/>
      <c r="IB118" s="176"/>
      <c r="IC118" s="176"/>
      <c r="ID118" s="176"/>
      <c r="IE118" s="176"/>
      <c r="IF118" s="176"/>
      <c r="IG118" s="176"/>
      <c r="IH118" s="176"/>
      <c r="II118" s="176"/>
      <c r="IJ118" s="176"/>
    </row>
    <row r="119" spans="1:244" ht="16.5" hidden="1">
      <c r="A119" s="846" t="s">
        <v>1060</v>
      </c>
      <c r="B119" s="846" t="s">
        <v>1382</v>
      </c>
      <c r="C119" s="846" t="s">
        <v>1171</v>
      </c>
      <c r="D119" s="847">
        <v>6</v>
      </c>
      <c r="E119" s="846" t="s">
        <v>1171</v>
      </c>
      <c r="F119" s="846" t="s">
        <v>97</v>
      </c>
      <c r="G119" s="851"/>
      <c r="H119" s="847">
        <v>40</v>
      </c>
      <c r="I119" s="780" t="str">
        <f t="shared" si="2"/>
        <v>IWT060240</v>
      </c>
      <c r="J119" s="847">
        <v>5034</v>
      </c>
      <c r="L119" s="846" t="s">
        <v>1060</v>
      </c>
      <c r="M119" s="846" t="s">
        <v>1382</v>
      </c>
      <c r="N119" s="846" t="s">
        <v>97</v>
      </c>
      <c r="O119" s="847">
        <v>40</v>
      </c>
      <c r="P119" s="780" t="str">
        <f t="shared" si="3"/>
        <v>IWT060240</v>
      </c>
      <c r="Q119" s="847">
        <v>1109</v>
      </c>
      <c r="R119" s="847">
        <v>2951</v>
      </c>
      <c r="S119" s="847">
        <v>4757</v>
      </c>
      <c r="T119" s="847">
        <v>6528</v>
      </c>
      <c r="U119" s="847">
        <v>8264</v>
      </c>
      <c r="V119" s="847">
        <v>0</v>
      </c>
      <c r="W119" s="847">
        <v>0</v>
      </c>
      <c r="X119" s="847">
        <v>0</v>
      </c>
      <c r="Y119" s="847">
        <v>0</v>
      </c>
      <c r="Z119" s="847">
        <v>0</v>
      </c>
      <c r="AA119" s="847">
        <v>0</v>
      </c>
      <c r="AB119" s="847">
        <v>0</v>
      </c>
      <c r="AC119" s="847">
        <v>0</v>
      </c>
      <c r="AD119" s="847">
        <v>0</v>
      </c>
      <c r="AE119" s="847">
        <v>0</v>
      </c>
      <c r="AF119" s="847">
        <v>0</v>
      </c>
      <c r="AG119" s="847">
        <v>0</v>
      </c>
      <c r="AH119" s="847">
        <v>0</v>
      </c>
      <c r="AI119" s="847">
        <v>0</v>
      </c>
      <c r="AJ119" s="847">
        <v>0</v>
      </c>
      <c r="AK119" s="847">
        <v>0</v>
      </c>
      <c r="AL119" s="847">
        <v>0</v>
      </c>
      <c r="AM119" s="847">
        <v>0</v>
      </c>
      <c r="AN119" s="847">
        <v>0</v>
      </c>
      <c r="AO119" s="847">
        <v>0</v>
      </c>
      <c r="AP119" s="847">
        <v>0</v>
      </c>
      <c r="AQ119" s="847">
        <v>0</v>
      </c>
      <c r="AR119" s="847">
        <v>0</v>
      </c>
      <c r="AS119" s="847">
        <v>0</v>
      </c>
      <c r="AT119" s="847">
        <v>0</v>
      </c>
      <c r="AU119" s="847">
        <v>0</v>
      </c>
      <c r="AV119" s="847">
        <v>0</v>
      </c>
      <c r="AW119" s="847">
        <v>0</v>
      </c>
      <c r="AX119" s="847">
        <v>0</v>
      </c>
      <c r="AY119" s="847">
        <v>0</v>
      </c>
      <c r="AZ119" s="847">
        <v>0</v>
      </c>
      <c r="BA119" s="847">
        <v>0</v>
      </c>
      <c r="BB119" s="847">
        <v>0</v>
      </c>
      <c r="BC119" s="847">
        <v>0</v>
      </c>
      <c r="BD119" s="847">
        <v>0</v>
      </c>
      <c r="BE119" s="847">
        <v>0</v>
      </c>
      <c r="BF119" s="847">
        <v>0</v>
      </c>
      <c r="BG119" s="847">
        <v>0</v>
      </c>
      <c r="BH119" s="847">
        <v>0</v>
      </c>
      <c r="BI119" s="847">
        <v>0</v>
      </c>
      <c r="BJ119" s="847">
        <v>0</v>
      </c>
      <c r="BK119" s="847">
        <v>0</v>
      </c>
      <c r="BL119" s="847">
        <v>0</v>
      </c>
      <c r="BM119" s="847">
        <v>0</v>
      </c>
      <c r="BN119" s="847">
        <v>0</v>
      </c>
      <c r="BO119" s="847">
        <v>0</v>
      </c>
      <c r="BP119" s="847">
        <v>0</v>
      </c>
      <c r="BQ119" s="847">
        <v>0</v>
      </c>
      <c r="BR119" s="847">
        <v>0</v>
      </c>
      <c r="BS119" s="847">
        <v>0</v>
      </c>
      <c r="BT119" s="847">
        <v>0</v>
      </c>
      <c r="BU119" s="847">
        <v>0</v>
      </c>
      <c r="BV119" s="847">
        <v>0</v>
      </c>
      <c r="BW119" s="847">
        <v>0</v>
      </c>
      <c r="BX119" s="847">
        <v>0</v>
      </c>
      <c r="BY119" s="847">
        <v>0</v>
      </c>
      <c r="BZ119" s="847">
        <v>0</v>
      </c>
      <c r="CA119" s="847">
        <v>0</v>
      </c>
      <c r="CB119" s="847">
        <v>0</v>
      </c>
      <c r="CC119" s="847">
        <v>0</v>
      </c>
      <c r="CD119" s="847">
        <v>0</v>
      </c>
      <c r="CE119" s="847">
        <v>0</v>
      </c>
      <c r="CF119" s="847">
        <v>0</v>
      </c>
      <c r="CG119" s="847">
        <v>0</v>
      </c>
      <c r="CH119" s="847">
        <v>0</v>
      </c>
      <c r="CI119" s="847">
        <v>0</v>
      </c>
      <c r="CJ119" s="847">
        <v>0</v>
      </c>
      <c r="CK119" s="847">
        <v>0</v>
      </c>
      <c r="CL119" s="847">
        <v>0</v>
      </c>
      <c r="CM119" s="847">
        <v>0</v>
      </c>
      <c r="CN119" s="847">
        <v>0</v>
      </c>
      <c r="CO119" s="847">
        <v>0</v>
      </c>
      <c r="CP119" s="847">
        <v>0</v>
      </c>
      <c r="CQ119" s="847">
        <v>0</v>
      </c>
      <c r="CR119" s="847">
        <v>0</v>
      </c>
      <c r="CS119" s="847">
        <v>0</v>
      </c>
      <c r="CT119" s="847">
        <v>0</v>
      </c>
      <c r="CU119" s="847">
        <v>0</v>
      </c>
      <c r="CV119" s="847">
        <v>0</v>
      </c>
      <c r="CW119" s="847">
        <v>0</v>
      </c>
      <c r="CX119" s="847">
        <v>0</v>
      </c>
      <c r="CY119" s="847">
        <v>0</v>
      </c>
      <c r="CZ119" s="847">
        <v>0</v>
      </c>
      <c r="DA119" s="847">
        <v>0</v>
      </c>
      <c r="DB119" s="847">
        <v>0</v>
      </c>
      <c r="DC119" s="847">
        <v>0</v>
      </c>
      <c r="DD119" s="847">
        <v>0</v>
      </c>
      <c r="DE119" s="847">
        <v>0</v>
      </c>
      <c r="DF119" s="847">
        <v>0</v>
      </c>
      <c r="DG119" s="847">
        <v>0</v>
      </c>
      <c r="DH119" s="847">
        <v>0</v>
      </c>
      <c r="DI119" s="847">
        <v>0</v>
      </c>
      <c r="DJ119" s="847">
        <v>0</v>
      </c>
      <c r="DK119" s="847">
        <v>0</v>
      </c>
      <c r="DL119" s="847">
        <v>0</v>
      </c>
      <c r="DM119" s="847">
        <v>0</v>
      </c>
      <c r="DN119" s="847">
        <v>0</v>
      </c>
      <c r="DO119" s="847">
        <v>0</v>
      </c>
      <c r="DP119" s="847">
        <v>0</v>
      </c>
      <c r="DQ119" s="847">
        <v>0</v>
      </c>
      <c r="DR119" s="847">
        <v>0</v>
      </c>
      <c r="DS119" s="847">
        <v>0</v>
      </c>
      <c r="DT119" s="847">
        <v>0</v>
      </c>
      <c r="DU119" s="847">
        <v>0</v>
      </c>
      <c r="DV119" s="847">
        <v>0</v>
      </c>
      <c r="DW119" s="847">
        <v>0</v>
      </c>
      <c r="DY119" s="173"/>
      <c r="DZ119" s="173"/>
      <c r="EA119" s="173"/>
      <c r="EB119" s="174"/>
      <c r="EC119" s="175"/>
      <c r="ED119" s="174"/>
      <c r="EE119" s="174"/>
      <c r="EF119" s="174"/>
      <c r="EG119" s="174"/>
      <c r="EH119" s="174"/>
      <c r="EI119" s="174"/>
      <c r="EJ119" s="174"/>
      <c r="EK119" s="174"/>
      <c r="EL119" s="174"/>
      <c r="EM119" s="174"/>
      <c r="EN119" s="174"/>
      <c r="EO119" s="174"/>
      <c r="EP119" s="174"/>
      <c r="EQ119" s="174"/>
      <c r="ER119" s="174"/>
      <c r="ES119" s="174"/>
      <c r="ET119" s="174"/>
      <c r="EU119" s="174"/>
      <c r="EV119" s="174"/>
      <c r="EW119" s="174"/>
      <c r="EX119" s="174"/>
      <c r="EY119" s="174"/>
      <c r="EZ119" s="174"/>
      <c r="FA119" s="174"/>
      <c r="FB119" s="174"/>
      <c r="FC119" s="174"/>
      <c r="FD119" s="174"/>
      <c r="FE119" s="174"/>
      <c r="FF119" s="174"/>
      <c r="FG119" s="174"/>
      <c r="FH119" s="174"/>
      <c r="FI119" s="174"/>
      <c r="FJ119" s="174"/>
      <c r="FK119" s="174"/>
      <c r="FL119" s="174"/>
      <c r="FM119" s="174"/>
      <c r="FN119" s="174"/>
      <c r="FO119" s="174"/>
      <c r="FP119" s="174"/>
      <c r="FQ119" s="174"/>
      <c r="FR119" s="174"/>
      <c r="FS119" s="174"/>
      <c r="FT119" s="174"/>
      <c r="FU119" s="174"/>
      <c r="FV119" s="174"/>
      <c r="FW119" s="174"/>
      <c r="FX119" s="174"/>
      <c r="FY119" s="174"/>
      <c r="FZ119" s="174"/>
      <c r="GA119" s="174"/>
      <c r="GB119" s="174"/>
      <c r="GC119" s="174"/>
      <c r="GD119" s="174"/>
      <c r="GE119" s="174"/>
      <c r="GF119" s="174"/>
      <c r="GG119" s="174"/>
      <c r="GH119" s="174"/>
      <c r="GI119" s="174"/>
      <c r="GJ119" s="174"/>
      <c r="GK119" s="174"/>
      <c r="GL119" s="174"/>
      <c r="GM119" s="174"/>
      <c r="GN119" s="174"/>
      <c r="GO119" s="174"/>
      <c r="GP119" s="174"/>
      <c r="GQ119" s="174"/>
      <c r="GR119" s="176"/>
      <c r="GS119" s="176"/>
      <c r="GT119" s="176"/>
      <c r="GU119" s="176"/>
      <c r="GV119" s="176"/>
      <c r="GW119" s="176"/>
      <c r="GX119" s="176"/>
      <c r="GY119" s="176"/>
      <c r="GZ119" s="176"/>
      <c r="HA119" s="176"/>
      <c r="HB119" s="176"/>
      <c r="HC119" s="176"/>
      <c r="HD119" s="176"/>
      <c r="HE119" s="176"/>
      <c r="HF119" s="176"/>
      <c r="HG119" s="176"/>
      <c r="HH119" s="176"/>
      <c r="HI119" s="176"/>
      <c r="HJ119" s="176"/>
      <c r="HK119" s="176"/>
      <c r="HL119" s="176"/>
      <c r="HM119" s="176"/>
      <c r="HN119" s="176"/>
      <c r="HO119" s="176"/>
      <c r="HP119" s="176"/>
      <c r="HQ119" s="176"/>
      <c r="HR119" s="176"/>
      <c r="HS119" s="176"/>
      <c r="HT119" s="176"/>
      <c r="HU119" s="176"/>
      <c r="HV119" s="176"/>
      <c r="HW119" s="176"/>
      <c r="HX119" s="176"/>
      <c r="HY119" s="176"/>
      <c r="HZ119" s="176"/>
      <c r="IA119" s="176"/>
      <c r="IB119" s="176"/>
      <c r="IC119" s="176"/>
      <c r="ID119" s="176"/>
      <c r="IE119" s="176"/>
      <c r="IF119" s="176"/>
      <c r="IG119" s="176"/>
      <c r="IH119" s="176"/>
      <c r="II119" s="176"/>
      <c r="IJ119" s="176"/>
    </row>
    <row r="120" spans="1:244" ht="16.5" hidden="1">
      <c r="A120" s="846" t="s">
        <v>1060</v>
      </c>
      <c r="B120" s="846" t="s">
        <v>1382</v>
      </c>
      <c r="C120" s="846" t="s">
        <v>1171</v>
      </c>
      <c r="D120" s="847">
        <v>6</v>
      </c>
      <c r="E120" s="846" t="s">
        <v>1171</v>
      </c>
      <c r="F120" s="846" t="s">
        <v>97</v>
      </c>
      <c r="G120" s="851"/>
      <c r="H120" s="847">
        <v>41</v>
      </c>
      <c r="I120" s="780" t="str">
        <f t="shared" si="2"/>
        <v>IWT060241</v>
      </c>
      <c r="J120" s="847">
        <v>5038</v>
      </c>
      <c r="L120" s="846" t="s">
        <v>1060</v>
      </c>
      <c r="M120" s="846" t="s">
        <v>1382</v>
      </c>
      <c r="N120" s="846" t="s">
        <v>97</v>
      </c>
      <c r="O120" s="847">
        <v>41</v>
      </c>
      <c r="P120" s="780" t="str">
        <f t="shared" si="3"/>
        <v>IWT060241</v>
      </c>
      <c r="Q120" s="847">
        <v>1108</v>
      </c>
      <c r="R120" s="847">
        <v>2951</v>
      </c>
      <c r="S120" s="847">
        <v>4757</v>
      </c>
      <c r="T120" s="847">
        <v>6528</v>
      </c>
      <c r="U120" s="847">
        <v>8264</v>
      </c>
      <c r="V120" s="847">
        <v>0</v>
      </c>
      <c r="W120" s="847">
        <v>0</v>
      </c>
      <c r="X120" s="847">
        <v>0</v>
      </c>
      <c r="Y120" s="847">
        <v>0</v>
      </c>
      <c r="Z120" s="847">
        <v>0</v>
      </c>
      <c r="AA120" s="847">
        <v>0</v>
      </c>
      <c r="AB120" s="847">
        <v>0</v>
      </c>
      <c r="AC120" s="847">
        <v>0</v>
      </c>
      <c r="AD120" s="847">
        <v>0</v>
      </c>
      <c r="AE120" s="847">
        <v>0</v>
      </c>
      <c r="AF120" s="847">
        <v>0</v>
      </c>
      <c r="AG120" s="847">
        <v>0</v>
      </c>
      <c r="AH120" s="847">
        <v>0</v>
      </c>
      <c r="AI120" s="847">
        <v>0</v>
      </c>
      <c r="AJ120" s="847">
        <v>0</v>
      </c>
      <c r="AK120" s="847">
        <v>0</v>
      </c>
      <c r="AL120" s="847">
        <v>0</v>
      </c>
      <c r="AM120" s="847">
        <v>0</v>
      </c>
      <c r="AN120" s="847">
        <v>0</v>
      </c>
      <c r="AO120" s="847">
        <v>0</v>
      </c>
      <c r="AP120" s="847">
        <v>0</v>
      </c>
      <c r="AQ120" s="847">
        <v>0</v>
      </c>
      <c r="AR120" s="847">
        <v>0</v>
      </c>
      <c r="AS120" s="847">
        <v>0</v>
      </c>
      <c r="AT120" s="847">
        <v>0</v>
      </c>
      <c r="AU120" s="847">
        <v>0</v>
      </c>
      <c r="AV120" s="847">
        <v>0</v>
      </c>
      <c r="AW120" s="847">
        <v>0</v>
      </c>
      <c r="AX120" s="847">
        <v>0</v>
      </c>
      <c r="AY120" s="847">
        <v>0</v>
      </c>
      <c r="AZ120" s="847">
        <v>0</v>
      </c>
      <c r="BA120" s="847">
        <v>0</v>
      </c>
      <c r="BB120" s="847">
        <v>0</v>
      </c>
      <c r="BC120" s="847">
        <v>0</v>
      </c>
      <c r="BD120" s="847">
        <v>0</v>
      </c>
      <c r="BE120" s="847">
        <v>0</v>
      </c>
      <c r="BF120" s="847">
        <v>0</v>
      </c>
      <c r="BG120" s="847">
        <v>0</v>
      </c>
      <c r="BH120" s="847">
        <v>0</v>
      </c>
      <c r="BI120" s="847">
        <v>0</v>
      </c>
      <c r="BJ120" s="847">
        <v>0</v>
      </c>
      <c r="BK120" s="847">
        <v>0</v>
      </c>
      <c r="BL120" s="847">
        <v>0</v>
      </c>
      <c r="BM120" s="847">
        <v>0</v>
      </c>
      <c r="BN120" s="847">
        <v>0</v>
      </c>
      <c r="BO120" s="847">
        <v>0</v>
      </c>
      <c r="BP120" s="847">
        <v>0</v>
      </c>
      <c r="BQ120" s="847">
        <v>0</v>
      </c>
      <c r="BR120" s="847">
        <v>0</v>
      </c>
      <c r="BS120" s="847">
        <v>0</v>
      </c>
      <c r="BT120" s="847">
        <v>0</v>
      </c>
      <c r="BU120" s="847">
        <v>0</v>
      </c>
      <c r="BV120" s="847">
        <v>0</v>
      </c>
      <c r="BW120" s="847">
        <v>0</v>
      </c>
      <c r="BX120" s="847">
        <v>0</v>
      </c>
      <c r="BY120" s="847">
        <v>0</v>
      </c>
      <c r="BZ120" s="847">
        <v>0</v>
      </c>
      <c r="CA120" s="847">
        <v>0</v>
      </c>
      <c r="CB120" s="847">
        <v>0</v>
      </c>
      <c r="CC120" s="847">
        <v>0</v>
      </c>
      <c r="CD120" s="847">
        <v>0</v>
      </c>
      <c r="CE120" s="847">
        <v>0</v>
      </c>
      <c r="CF120" s="847">
        <v>0</v>
      </c>
      <c r="CG120" s="847">
        <v>0</v>
      </c>
      <c r="CH120" s="847">
        <v>0</v>
      </c>
      <c r="CI120" s="847">
        <v>0</v>
      </c>
      <c r="CJ120" s="847">
        <v>0</v>
      </c>
      <c r="CK120" s="847">
        <v>0</v>
      </c>
      <c r="CL120" s="847">
        <v>0</v>
      </c>
      <c r="CM120" s="847">
        <v>0</v>
      </c>
      <c r="CN120" s="847">
        <v>0</v>
      </c>
      <c r="CO120" s="847">
        <v>0</v>
      </c>
      <c r="CP120" s="847">
        <v>0</v>
      </c>
      <c r="CQ120" s="847">
        <v>0</v>
      </c>
      <c r="CR120" s="847">
        <v>0</v>
      </c>
      <c r="CS120" s="847">
        <v>0</v>
      </c>
      <c r="CT120" s="847">
        <v>0</v>
      </c>
      <c r="CU120" s="847">
        <v>0</v>
      </c>
      <c r="CV120" s="847">
        <v>0</v>
      </c>
      <c r="CW120" s="847">
        <v>0</v>
      </c>
      <c r="CX120" s="847">
        <v>0</v>
      </c>
      <c r="CY120" s="847">
        <v>0</v>
      </c>
      <c r="CZ120" s="847">
        <v>0</v>
      </c>
      <c r="DA120" s="847">
        <v>0</v>
      </c>
      <c r="DB120" s="847">
        <v>0</v>
      </c>
      <c r="DC120" s="847">
        <v>0</v>
      </c>
      <c r="DD120" s="847">
        <v>0</v>
      </c>
      <c r="DE120" s="847">
        <v>0</v>
      </c>
      <c r="DF120" s="847">
        <v>0</v>
      </c>
      <c r="DG120" s="847">
        <v>0</v>
      </c>
      <c r="DH120" s="847">
        <v>0</v>
      </c>
      <c r="DI120" s="847">
        <v>0</v>
      </c>
      <c r="DJ120" s="847">
        <v>0</v>
      </c>
      <c r="DK120" s="847">
        <v>0</v>
      </c>
      <c r="DL120" s="847">
        <v>0</v>
      </c>
      <c r="DM120" s="847">
        <v>0</v>
      </c>
      <c r="DN120" s="847">
        <v>0</v>
      </c>
      <c r="DO120" s="847">
        <v>0</v>
      </c>
      <c r="DP120" s="847">
        <v>0</v>
      </c>
      <c r="DQ120" s="847">
        <v>0</v>
      </c>
      <c r="DR120" s="847">
        <v>0</v>
      </c>
      <c r="DS120" s="847">
        <v>0</v>
      </c>
      <c r="DT120" s="847">
        <v>0</v>
      </c>
      <c r="DU120" s="847">
        <v>0</v>
      </c>
      <c r="DV120" s="847">
        <v>0</v>
      </c>
      <c r="DW120" s="847">
        <v>0</v>
      </c>
      <c r="DY120" s="173"/>
      <c r="DZ120" s="173"/>
      <c r="EA120" s="173"/>
      <c r="EB120" s="174"/>
      <c r="EC120" s="175"/>
      <c r="ED120" s="174"/>
      <c r="EE120" s="174"/>
      <c r="EF120" s="174"/>
      <c r="EG120" s="174"/>
      <c r="EH120" s="174"/>
      <c r="EI120" s="174"/>
      <c r="EJ120" s="174"/>
      <c r="EK120" s="174"/>
      <c r="EL120" s="174"/>
      <c r="EM120" s="174"/>
      <c r="EN120" s="174"/>
      <c r="EO120" s="174"/>
      <c r="EP120" s="174"/>
      <c r="EQ120" s="174"/>
      <c r="ER120" s="174"/>
      <c r="ES120" s="174"/>
      <c r="ET120" s="174"/>
      <c r="EU120" s="174"/>
      <c r="EV120" s="174"/>
      <c r="EW120" s="174"/>
      <c r="EX120" s="174"/>
      <c r="EY120" s="174"/>
      <c r="EZ120" s="174"/>
      <c r="FA120" s="174"/>
      <c r="FB120" s="174"/>
      <c r="FC120" s="174"/>
      <c r="FD120" s="174"/>
      <c r="FE120" s="174"/>
      <c r="FF120" s="174"/>
      <c r="FG120" s="174"/>
      <c r="FH120" s="174"/>
      <c r="FI120" s="174"/>
      <c r="FJ120" s="174"/>
      <c r="FK120" s="174"/>
      <c r="FL120" s="174"/>
      <c r="FM120" s="174"/>
      <c r="FN120" s="174"/>
      <c r="FO120" s="174"/>
      <c r="FP120" s="174"/>
      <c r="FQ120" s="174"/>
      <c r="FR120" s="174"/>
      <c r="FS120" s="174"/>
      <c r="FT120" s="174"/>
      <c r="FU120" s="174"/>
      <c r="FV120" s="174"/>
      <c r="FW120" s="174"/>
      <c r="FX120" s="174"/>
      <c r="FY120" s="174"/>
      <c r="FZ120" s="174"/>
      <c r="GA120" s="174"/>
      <c r="GB120" s="174"/>
      <c r="GC120" s="174"/>
      <c r="GD120" s="174"/>
      <c r="GE120" s="174"/>
      <c r="GF120" s="174"/>
      <c r="GG120" s="174"/>
      <c r="GH120" s="174"/>
      <c r="GI120" s="174"/>
      <c r="GJ120" s="174"/>
      <c r="GK120" s="174"/>
      <c r="GL120" s="174"/>
      <c r="GM120" s="174"/>
      <c r="GN120" s="174"/>
      <c r="GO120" s="174"/>
      <c r="GP120" s="174"/>
      <c r="GQ120" s="176"/>
      <c r="GR120" s="176"/>
      <c r="GS120" s="176"/>
      <c r="GT120" s="176"/>
      <c r="GU120" s="176"/>
      <c r="GV120" s="176"/>
      <c r="GW120" s="176"/>
      <c r="GX120" s="176"/>
      <c r="GY120" s="176"/>
      <c r="GZ120" s="176"/>
      <c r="HA120" s="176"/>
      <c r="HB120" s="176"/>
      <c r="HC120" s="176"/>
      <c r="HD120" s="176"/>
      <c r="HE120" s="176"/>
      <c r="HF120" s="176"/>
      <c r="HG120" s="176"/>
      <c r="HH120" s="176"/>
      <c r="HI120" s="176"/>
      <c r="HJ120" s="176"/>
      <c r="HK120" s="176"/>
      <c r="HL120" s="176"/>
      <c r="HM120" s="176"/>
      <c r="HN120" s="176"/>
      <c r="HO120" s="176"/>
      <c r="HP120" s="176"/>
      <c r="HQ120" s="176"/>
      <c r="HR120" s="176"/>
      <c r="HS120" s="176"/>
      <c r="HT120" s="176"/>
      <c r="HU120" s="176"/>
      <c r="HV120" s="176"/>
      <c r="HW120" s="176"/>
      <c r="HX120" s="176"/>
      <c r="HY120" s="176"/>
      <c r="HZ120" s="176"/>
      <c r="IA120" s="176"/>
      <c r="IB120" s="176"/>
      <c r="IC120" s="176"/>
      <c r="ID120" s="176"/>
      <c r="IE120" s="176"/>
      <c r="IF120" s="176"/>
      <c r="IG120" s="176"/>
      <c r="IH120" s="176"/>
      <c r="II120" s="176"/>
      <c r="IJ120" s="176"/>
    </row>
    <row r="121" spans="1:244" ht="16.5" hidden="1">
      <c r="A121" s="846" t="s">
        <v>1060</v>
      </c>
      <c r="B121" s="846" t="s">
        <v>1382</v>
      </c>
      <c r="C121" s="846" t="s">
        <v>1171</v>
      </c>
      <c r="D121" s="847">
        <v>6</v>
      </c>
      <c r="E121" s="846" t="s">
        <v>1171</v>
      </c>
      <c r="F121" s="846" t="s">
        <v>97</v>
      </c>
      <c r="G121" s="851"/>
      <c r="H121" s="847">
        <v>42</v>
      </c>
      <c r="I121" s="780" t="str">
        <f t="shared" si="2"/>
        <v>IWT060242</v>
      </c>
      <c r="J121" s="847">
        <v>5042</v>
      </c>
      <c r="L121" s="846" t="s">
        <v>1060</v>
      </c>
      <c r="M121" s="846" t="s">
        <v>1382</v>
      </c>
      <c r="N121" s="846" t="s">
        <v>97</v>
      </c>
      <c r="O121" s="847">
        <v>42</v>
      </c>
      <c r="P121" s="780" t="str">
        <f t="shared" si="3"/>
        <v>IWT060242</v>
      </c>
      <c r="Q121" s="847">
        <v>1108</v>
      </c>
      <c r="R121" s="847">
        <v>2950</v>
      </c>
      <c r="S121" s="847">
        <v>4757</v>
      </c>
      <c r="T121" s="847">
        <v>6528</v>
      </c>
      <c r="U121" s="847">
        <v>8264</v>
      </c>
      <c r="V121" s="847">
        <v>0</v>
      </c>
      <c r="W121" s="847">
        <v>0</v>
      </c>
      <c r="X121" s="847">
        <v>0</v>
      </c>
      <c r="Y121" s="847">
        <v>0</v>
      </c>
      <c r="Z121" s="847">
        <v>0</v>
      </c>
      <c r="AA121" s="847">
        <v>0</v>
      </c>
      <c r="AB121" s="847">
        <v>0</v>
      </c>
      <c r="AC121" s="847">
        <v>0</v>
      </c>
      <c r="AD121" s="847">
        <v>0</v>
      </c>
      <c r="AE121" s="847">
        <v>0</v>
      </c>
      <c r="AF121" s="847">
        <v>0</v>
      </c>
      <c r="AG121" s="847">
        <v>0</v>
      </c>
      <c r="AH121" s="847">
        <v>0</v>
      </c>
      <c r="AI121" s="847">
        <v>0</v>
      </c>
      <c r="AJ121" s="847">
        <v>0</v>
      </c>
      <c r="AK121" s="847">
        <v>0</v>
      </c>
      <c r="AL121" s="847">
        <v>0</v>
      </c>
      <c r="AM121" s="847">
        <v>0</v>
      </c>
      <c r="AN121" s="847">
        <v>0</v>
      </c>
      <c r="AO121" s="847">
        <v>0</v>
      </c>
      <c r="AP121" s="847">
        <v>0</v>
      </c>
      <c r="AQ121" s="847">
        <v>0</v>
      </c>
      <c r="AR121" s="847">
        <v>0</v>
      </c>
      <c r="AS121" s="847">
        <v>0</v>
      </c>
      <c r="AT121" s="847">
        <v>0</v>
      </c>
      <c r="AU121" s="847">
        <v>0</v>
      </c>
      <c r="AV121" s="847">
        <v>0</v>
      </c>
      <c r="AW121" s="847">
        <v>0</v>
      </c>
      <c r="AX121" s="847">
        <v>0</v>
      </c>
      <c r="AY121" s="847">
        <v>0</v>
      </c>
      <c r="AZ121" s="847">
        <v>0</v>
      </c>
      <c r="BA121" s="847">
        <v>0</v>
      </c>
      <c r="BB121" s="847">
        <v>0</v>
      </c>
      <c r="BC121" s="847">
        <v>0</v>
      </c>
      <c r="BD121" s="847">
        <v>0</v>
      </c>
      <c r="BE121" s="847">
        <v>0</v>
      </c>
      <c r="BF121" s="847">
        <v>0</v>
      </c>
      <c r="BG121" s="847">
        <v>0</v>
      </c>
      <c r="BH121" s="847">
        <v>0</v>
      </c>
      <c r="BI121" s="847">
        <v>0</v>
      </c>
      <c r="BJ121" s="847">
        <v>0</v>
      </c>
      <c r="BK121" s="847">
        <v>0</v>
      </c>
      <c r="BL121" s="847">
        <v>0</v>
      </c>
      <c r="BM121" s="847">
        <v>0</v>
      </c>
      <c r="BN121" s="847">
        <v>0</v>
      </c>
      <c r="BO121" s="847">
        <v>0</v>
      </c>
      <c r="BP121" s="847">
        <v>0</v>
      </c>
      <c r="BQ121" s="847">
        <v>0</v>
      </c>
      <c r="BR121" s="847">
        <v>0</v>
      </c>
      <c r="BS121" s="847">
        <v>0</v>
      </c>
      <c r="BT121" s="847">
        <v>0</v>
      </c>
      <c r="BU121" s="847">
        <v>0</v>
      </c>
      <c r="BV121" s="847">
        <v>0</v>
      </c>
      <c r="BW121" s="847">
        <v>0</v>
      </c>
      <c r="BX121" s="847">
        <v>0</v>
      </c>
      <c r="BY121" s="847">
        <v>0</v>
      </c>
      <c r="BZ121" s="847">
        <v>0</v>
      </c>
      <c r="CA121" s="847">
        <v>0</v>
      </c>
      <c r="CB121" s="847">
        <v>0</v>
      </c>
      <c r="CC121" s="847">
        <v>0</v>
      </c>
      <c r="CD121" s="847">
        <v>0</v>
      </c>
      <c r="CE121" s="847">
        <v>0</v>
      </c>
      <c r="CF121" s="847">
        <v>0</v>
      </c>
      <c r="CG121" s="847">
        <v>0</v>
      </c>
      <c r="CH121" s="847">
        <v>0</v>
      </c>
      <c r="CI121" s="847">
        <v>0</v>
      </c>
      <c r="CJ121" s="847">
        <v>0</v>
      </c>
      <c r="CK121" s="847">
        <v>0</v>
      </c>
      <c r="CL121" s="847">
        <v>0</v>
      </c>
      <c r="CM121" s="847">
        <v>0</v>
      </c>
      <c r="CN121" s="847">
        <v>0</v>
      </c>
      <c r="CO121" s="847">
        <v>0</v>
      </c>
      <c r="CP121" s="847">
        <v>0</v>
      </c>
      <c r="CQ121" s="847">
        <v>0</v>
      </c>
      <c r="CR121" s="847">
        <v>0</v>
      </c>
      <c r="CS121" s="847">
        <v>0</v>
      </c>
      <c r="CT121" s="847">
        <v>0</v>
      </c>
      <c r="CU121" s="847">
        <v>0</v>
      </c>
      <c r="CV121" s="847">
        <v>0</v>
      </c>
      <c r="CW121" s="847">
        <v>0</v>
      </c>
      <c r="CX121" s="847">
        <v>0</v>
      </c>
      <c r="CY121" s="847">
        <v>0</v>
      </c>
      <c r="CZ121" s="847">
        <v>0</v>
      </c>
      <c r="DA121" s="847">
        <v>0</v>
      </c>
      <c r="DB121" s="847">
        <v>0</v>
      </c>
      <c r="DC121" s="847">
        <v>0</v>
      </c>
      <c r="DD121" s="847">
        <v>0</v>
      </c>
      <c r="DE121" s="847">
        <v>0</v>
      </c>
      <c r="DF121" s="847">
        <v>0</v>
      </c>
      <c r="DG121" s="847">
        <v>0</v>
      </c>
      <c r="DH121" s="847">
        <v>0</v>
      </c>
      <c r="DI121" s="847">
        <v>0</v>
      </c>
      <c r="DJ121" s="847">
        <v>0</v>
      </c>
      <c r="DK121" s="847">
        <v>0</v>
      </c>
      <c r="DL121" s="847">
        <v>0</v>
      </c>
      <c r="DM121" s="847">
        <v>0</v>
      </c>
      <c r="DN121" s="847">
        <v>0</v>
      </c>
      <c r="DO121" s="847">
        <v>0</v>
      </c>
      <c r="DP121" s="847">
        <v>0</v>
      </c>
      <c r="DQ121" s="847">
        <v>0</v>
      </c>
      <c r="DR121" s="847">
        <v>0</v>
      </c>
      <c r="DS121" s="847">
        <v>0</v>
      </c>
      <c r="DT121" s="847">
        <v>0</v>
      </c>
      <c r="DU121" s="847">
        <v>0</v>
      </c>
      <c r="DV121" s="847">
        <v>0</v>
      </c>
      <c r="DW121" s="847">
        <v>0</v>
      </c>
      <c r="DY121" s="173"/>
      <c r="DZ121" s="173"/>
      <c r="EA121" s="173"/>
      <c r="EB121" s="174"/>
      <c r="EC121" s="175"/>
      <c r="ED121" s="174"/>
      <c r="EE121" s="174"/>
      <c r="EF121" s="174"/>
      <c r="EG121" s="174"/>
      <c r="EH121" s="174"/>
      <c r="EI121" s="174"/>
      <c r="EJ121" s="174"/>
      <c r="EK121" s="174"/>
      <c r="EL121" s="174"/>
      <c r="EM121" s="174"/>
      <c r="EN121" s="174"/>
      <c r="EO121" s="174"/>
      <c r="EP121" s="174"/>
      <c r="EQ121" s="174"/>
      <c r="ER121" s="174"/>
      <c r="ES121" s="174"/>
      <c r="ET121" s="174"/>
      <c r="EU121" s="174"/>
      <c r="EV121" s="174"/>
      <c r="EW121" s="174"/>
      <c r="EX121" s="174"/>
      <c r="EY121" s="174"/>
      <c r="EZ121" s="174"/>
      <c r="FA121" s="174"/>
      <c r="FB121" s="174"/>
      <c r="FC121" s="174"/>
      <c r="FD121" s="174"/>
      <c r="FE121" s="174"/>
      <c r="FF121" s="174"/>
      <c r="FG121" s="174"/>
      <c r="FH121" s="174"/>
      <c r="FI121" s="174"/>
      <c r="FJ121" s="174"/>
      <c r="FK121" s="174"/>
      <c r="FL121" s="174"/>
      <c r="FM121" s="174"/>
      <c r="FN121" s="174"/>
      <c r="FO121" s="174"/>
      <c r="FP121" s="174"/>
      <c r="FQ121" s="174"/>
      <c r="FR121" s="174"/>
      <c r="FS121" s="174"/>
      <c r="FT121" s="174"/>
      <c r="FU121" s="174"/>
      <c r="FV121" s="174"/>
      <c r="FW121" s="174"/>
      <c r="FX121" s="174"/>
      <c r="FY121" s="174"/>
      <c r="FZ121" s="174"/>
      <c r="GA121" s="174"/>
      <c r="GB121" s="174"/>
      <c r="GC121" s="174"/>
      <c r="GD121" s="174"/>
      <c r="GE121" s="174"/>
      <c r="GF121" s="174"/>
      <c r="GG121" s="174"/>
      <c r="GH121" s="174"/>
      <c r="GI121" s="174"/>
      <c r="GJ121" s="174"/>
      <c r="GK121" s="174"/>
      <c r="GL121" s="174"/>
      <c r="GM121" s="174"/>
      <c r="GN121" s="174"/>
      <c r="GO121" s="174"/>
      <c r="GP121" s="176"/>
      <c r="GQ121" s="176"/>
      <c r="GR121" s="176"/>
      <c r="GS121" s="176"/>
      <c r="GT121" s="176"/>
      <c r="GU121" s="176"/>
      <c r="GV121" s="176"/>
      <c r="GW121" s="176"/>
      <c r="GX121" s="176"/>
      <c r="GY121" s="176"/>
      <c r="GZ121" s="176"/>
      <c r="HA121" s="176"/>
      <c r="HB121" s="176"/>
      <c r="HC121" s="176"/>
      <c r="HD121" s="176"/>
      <c r="HE121" s="176"/>
      <c r="HF121" s="176"/>
      <c r="HG121" s="176"/>
      <c r="HH121" s="176"/>
      <c r="HI121" s="176"/>
      <c r="HJ121" s="176"/>
      <c r="HK121" s="176"/>
      <c r="HL121" s="176"/>
      <c r="HM121" s="176"/>
      <c r="HN121" s="176"/>
      <c r="HO121" s="176"/>
      <c r="HP121" s="176"/>
      <c r="HQ121" s="176"/>
      <c r="HR121" s="176"/>
      <c r="HS121" s="176"/>
      <c r="HT121" s="176"/>
      <c r="HU121" s="176"/>
      <c r="HV121" s="176"/>
      <c r="HW121" s="176"/>
      <c r="HX121" s="176"/>
      <c r="HY121" s="176"/>
      <c r="HZ121" s="176"/>
      <c r="IA121" s="176"/>
      <c r="IB121" s="176"/>
      <c r="IC121" s="176"/>
      <c r="ID121" s="176"/>
      <c r="IE121" s="176"/>
      <c r="IF121" s="176"/>
      <c r="IG121" s="176"/>
      <c r="IH121" s="176"/>
      <c r="II121" s="176"/>
      <c r="IJ121" s="176"/>
    </row>
    <row r="122" spans="1:244" ht="16.5" hidden="1">
      <c r="A122" s="846" t="s">
        <v>1060</v>
      </c>
      <c r="B122" s="846" t="s">
        <v>1382</v>
      </c>
      <c r="C122" s="846" t="s">
        <v>1171</v>
      </c>
      <c r="D122" s="847">
        <v>6</v>
      </c>
      <c r="E122" s="846" t="s">
        <v>1171</v>
      </c>
      <c r="F122" s="846" t="s">
        <v>97</v>
      </c>
      <c r="G122" s="851"/>
      <c r="H122" s="847">
        <v>43</v>
      </c>
      <c r="I122" s="780" t="str">
        <f t="shared" si="2"/>
        <v>IWT060243</v>
      </c>
      <c r="J122" s="847">
        <v>5046</v>
      </c>
      <c r="L122" s="846" t="s">
        <v>1060</v>
      </c>
      <c r="M122" s="846" t="s">
        <v>1382</v>
      </c>
      <c r="N122" s="846" t="s">
        <v>97</v>
      </c>
      <c r="O122" s="847">
        <v>43</v>
      </c>
      <c r="P122" s="780" t="str">
        <f t="shared" si="3"/>
        <v>IWT060243</v>
      </c>
      <c r="Q122" s="847">
        <v>1107</v>
      </c>
      <c r="R122" s="847">
        <v>2950</v>
      </c>
      <c r="S122" s="847">
        <v>4756</v>
      </c>
      <c r="T122" s="847">
        <v>6527</v>
      </c>
      <c r="U122" s="847">
        <v>8264</v>
      </c>
      <c r="V122" s="847">
        <v>0</v>
      </c>
      <c r="W122" s="847">
        <v>0</v>
      </c>
      <c r="X122" s="847">
        <v>0</v>
      </c>
      <c r="Y122" s="847">
        <v>0</v>
      </c>
      <c r="Z122" s="847">
        <v>0</v>
      </c>
      <c r="AA122" s="847">
        <v>0</v>
      </c>
      <c r="AB122" s="847">
        <v>0</v>
      </c>
      <c r="AC122" s="847">
        <v>0</v>
      </c>
      <c r="AD122" s="847">
        <v>0</v>
      </c>
      <c r="AE122" s="847">
        <v>0</v>
      </c>
      <c r="AF122" s="847">
        <v>0</v>
      </c>
      <c r="AG122" s="847">
        <v>0</v>
      </c>
      <c r="AH122" s="847">
        <v>0</v>
      </c>
      <c r="AI122" s="847">
        <v>0</v>
      </c>
      <c r="AJ122" s="847">
        <v>0</v>
      </c>
      <c r="AK122" s="847">
        <v>0</v>
      </c>
      <c r="AL122" s="847">
        <v>0</v>
      </c>
      <c r="AM122" s="847">
        <v>0</v>
      </c>
      <c r="AN122" s="847">
        <v>0</v>
      </c>
      <c r="AO122" s="847">
        <v>0</v>
      </c>
      <c r="AP122" s="847">
        <v>0</v>
      </c>
      <c r="AQ122" s="847">
        <v>0</v>
      </c>
      <c r="AR122" s="847">
        <v>0</v>
      </c>
      <c r="AS122" s="847">
        <v>0</v>
      </c>
      <c r="AT122" s="847">
        <v>0</v>
      </c>
      <c r="AU122" s="847">
        <v>0</v>
      </c>
      <c r="AV122" s="847">
        <v>0</v>
      </c>
      <c r="AW122" s="847">
        <v>0</v>
      </c>
      <c r="AX122" s="847">
        <v>0</v>
      </c>
      <c r="AY122" s="847">
        <v>0</v>
      </c>
      <c r="AZ122" s="847">
        <v>0</v>
      </c>
      <c r="BA122" s="847">
        <v>0</v>
      </c>
      <c r="BB122" s="847">
        <v>0</v>
      </c>
      <c r="BC122" s="847">
        <v>0</v>
      </c>
      <c r="BD122" s="847">
        <v>0</v>
      </c>
      <c r="BE122" s="847">
        <v>0</v>
      </c>
      <c r="BF122" s="847">
        <v>0</v>
      </c>
      <c r="BG122" s="847">
        <v>0</v>
      </c>
      <c r="BH122" s="847">
        <v>0</v>
      </c>
      <c r="BI122" s="847">
        <v>0</v>
      </c>
      <c r="BJ122" s="847">
        <v>0</v>
      </c>
      <c r="BK122" s="847">
        <v>0</v>
      </c>
      <c r="BL122" s="847">
        <v>0</v>
      </c>
      <c r="BM122" s="847">
        <v>0</v>
      </c>
      <c r="BN122" s="847">
        <v>0</v>
      </c>
      <c r="BO122" s="847">
        <v>0</v>
      </c>
      <c r="BP122" s="847">
        <v>0</v>
      </c>
      <c r="BQ122" s="847">
        <v>0</v>
      </c>
      <c r="BR122" s="847">
        <v>0</v>
      </c>
      <c r="BS122" s="847">
        <v>0</v>
      </c>
      <c r="BT122" s="847">
        <v>0</v>
      </c>
      <c r="BU122" s="847">
        <v>0</v>
      </c>
      <c r="BV122" s="847">
        <v>0</v>
      </c>
      <c r="BW122" s="847">
        <v>0</v>
      </c>
      <c r="BX122" s="847">
        <v>0</v>
      </c>
      <c r="BY122" s="847">
        <v>0</v>
      </c>
      <c r="BZ122" s="847">
        <v>0</v>
      </c>
      <c r="CA122" s="847">
        <v>0</v>
      </c>
      <c r="CB122" s="847">
        <v>0</v>
      </c>
      <c r="CC122" s="847">
        <v>0</v>
      </c>
      <c r="CD122" s="847">
        <v>0</v>
      </c>
      <c r="CE122" s="847">
        <v>0</v>
      </c>
      <c r="CF122" s="847">
        <v>0</v>
      </c>
      <c r="CG122" s="847">
        <v>0</v>
      </c>
      <c r="CH122" s="847">
        <v>0</v>
      </c>
      <c r="CI122" s="847">
        <v>0</v>
      </c>
      <c r="CJ122" s="847">
        <v>0</v>
      </c>
      <c r="CK122" s="847">
        <v>0</v>
      </c>
      <c r="CL122" s="847">
        <v>0</v>
      </c>
      <c r="CM122" s="847">
        <v>0</v>
      </c>
      <c r="CN122" s="847">
        <v>0</v>
      </c>
      <c r="CO122" s="847">
        <v>0</v>
      </c>
      <c r="CP122" s="847">
        <v>0</v>
      </c>
      <c r="CQ122" s="847">
        <v>0</v>
      </c>
      <c r="CR122" s="847">
        <v>0</v>
      </c>
      <c r="CS122" s="847">
        <v>0</v>
      </c>
      <c r="CT122" s="847">
        <v>0</v>
      </c>
      <c r="CU122" s="847">
        <v>0</v>
      </c>
      <c r="CV122" s="847">
        <v>0</v>
      </c>
      <c r="CW122" s="847">
        <v>0</v>
      </c>
      <c r="CX122" s="847">
        <v>0</v>
      </c>
      <c r="CY122" s="847">
        <v>0</v>
      </c>
      <c r="CZ122" s="847">
        <v>0</v>
      </c>
      <c r="DA122" s="847">
        <v>0</v>
      </c>
      <c r="DB122" s="847">
        <v>0</v>
      </c>
      <c r="DC122" s="847">
        <v>0</v>
      </c>
      <c r="DD122" s="847">
        <v>0</v>
      </c>
      <c r="DE122" s="847">
        <v>0</v>
      </c>
      <c r="DF122" s="847">
        <v>0</v>
      </c>
      <c r="DG122" s="847">
        <v>0</v>
      </c>
      <c r="DH122" s="847">
        <v>0</v>
      </c>
      <c r="DI122" s="847">
        <v>0</v>
      </c>
      <c r="DJ122" s="847">
        <v>0</v>
      </c>
      <c r="DK122" s="847">
        <v>0</v>
      </c>
      <c r="DL122" s="847">
        <v>0</v>
      </c>
      <c r="DM122" s="847">
        <v>0</v>
      </c>
      <c r="DN122" s="847">
        <v>0</v>
      </c>
      <c r="DO122" s="847">
        <v>0</v>
      </c>
      <c r="DP122" s="847">
        <v>0</v>
      </c>
      <c r="DQ122" s="847">
        <v>0</v>
      </c>
      <c r="DR122" s="847">
        <v>0</v>
      </c>
      <c r="DS122" s="847">
        <v>0</v>
      </c>
      <c r="DT122" s="847">
        <v>0</v>
      </c>
      <c r="DU122" s="847">
        <v>0</v>
      </c>
      <c r="DV122" s="847">
        <v>0</v>
      </c>
      <c r="DW122" s="847">
        <v>0</v>
      </c>
      <c r="DY122" s="173"/>
      <c r="DZ122" s="173"/>
      <c r="EA122" s="173"/>
      <c r="EB122" s="174"/>
      <c r="EC122" s="175"/>
      <c r="ED122" s="174"/>
      <c r="EE122" s="174"/>
      <c r="EF122" s="174"/>
      <c r="EG122" s="174"/>
      <c r="EH122" s="174"/>
      <c r="EI122" s="174"/>
      <c r="EJ122" s="174"/>
      <c r="EK122" s="174"/>
      <c r="EL122" s="174"/>
      <c r="EM122" s="174"/>
      <c r="EN122" s="174"/>
      <c r="EO122" s="174"/>
      <c r="EP122" s="174"/>
      <c r="EQ122" s="174"/>
      <c r="ER122" s="174"/>
      <c r="ES122" s="174"/>
      <c r="ET122" s="174"/>
      <c r="EU122" s="174"/>
      <c r="EV122" s="174"/>
      <c r="EW122" s="174"/>
      <c r="EX122" s="174"/>
      <c r="EY122" s="174"/>
      <c r="EZ122" s="174"/>
      <c r="FA122" s="174"/>
      <c r="FB122" s="174"/>
      <c r="FC122" s="174"/>
      <c r="FD122" s="174"/>
      <c r="FE122" s="174"/>
      <c r="FF122" s="174"/>
      <c r="FG122" s="174"/>
      <c r="FH122" s="174"/>
      <c r="FI122" s="174"/>
      <c r="FJ122" s="174"/>
      <c r="FK122" s="174"/>
      <c r="FL122" s="174"/>
      <c r="FM122" s="174"/>
      <c r="FN122" s="174"/>
      <c r="FO122" s="174"/>
      <c r="FP122" s="174"/>
      <c r="FQ122" s="174"/>
      <c r="FR122" s="174"/>
      <c r="FS122" s="174"/>
      <c r="FT122" s="174"/>
      <c r="FU122" s="174"/>
      <c r="FV122" s="174"/>
      <c r="FW122" s="174"/>
      <c r="FX122" s="174"/>
      <c r="FY122" s="174"/>
      <c r="FZ122" s="174"/>
      <c r="GA122" s="174"/>
      <c r="GB122" s="174"/>
      <c r="GC122" s="174"/>
      <c r="GD122" s="174"/>
      <c r="GE122" s="174"/>
      <c r="GF122" s="174"/>
      <c r="GG122" s="174"/>
      <c r="GH122" s="174"/>
      <c r="GI122" s="174"/>
      <c r="GJ122" s="174"/>
      <c r="GK122" s="174"/>
      <c r="GL122" s="174"/>
      <c r="GM122" s="174"/>
      <c r="GN122" s="174"/>
      <c r="GO122" s="176"/>
      <c r="GP122" s="176"/>
      <c r="GQ122" s="176"/>
      <c r="GR122" s="176"/>
      <c r="GS122" s="176"/>
      <c r="GT122" s="176"/>
      <c r="GU122" s="176"/>
      <c r="GV122" s="176"/>
      <c r="GW122" s="176"/>
      <c r="GX122" s="176"/>
      <c r="GY122" s="176"/>
      <c r="GZ122" s="176"/>
      <c r="HA122" s="176"/>
      <c r="HB122" s="176"/>
      <c r="HC122" s="176"/>
      <c r="HD122" s="176"/>
      <c r="HE122" s="176"/>
      <c r="HF122" s="176"/>
      <c r="HG122" s="176"/>
      <c r="HH122" s="176"/>
      <c r="HI122" s="176"/>
      <c r="HJ122" s="176"/>
      <c r="HK122" s="176"/>
      <c r="HL122" s="176"/>
      <c r="HM122" s="176"/>
      <c r="HN122" s="176"/>
      <c r="HO122" s="176"/>
      <c r="HP122" s="176"/>
      <c r="HQ122" s="176"/>
      <c r="HR122" s="176"/>
      <c r="HS122" s="176"/>
      <c r="HT122" s="176"/>
      <c r="HU122" s="176"/>
      <c r="HV122" s="176"/>
      <c r="HW122" s="176"/>
      <c r="HX122" s="176"/>
      <c r="HY122" s="176"/>
      <c r="HZ122" s="176"/>
      <c r="IA122" s="176"/>
      <c r="IB122" s="176"/>
      <c r="IC122" s="176"/>
      <c r="ID122" s="176"/>
      <c r="IE122" s="176"/>
      <c r="IF122" s="176"/>
      <c r="IG122" s="176"/>
      <c r="IH122" s="176"/>
      <c r="II122" s="176"/>
      <c r="IJ122" s="176"/>
    </row>
    <row r="123" spans="1:244" ht="16.5" hidden="1">
      <c r="A123" s="846" t="s">
        <v>1060</v>
      </c>
      <c r="B123" s="846" t="s">
        <v>1382</v>
      </c>
      <c r="C123" s="846" t="s">
        <v>1171</v>
      </c>
      <c r="D123" s="847">
        <v>6</v>
      </c>
      <c r="E123" s="846" t="s">
        <v>1171</v>
      </c>
      <c r="F123" s="846" t="s">
        <v>97</v>
      </c>
      <c r="G123" s="851"/>
      <c r="H123" s="847">
        <v>44</v>
      </c>
      <c r="I123" s="780" t="str">
        <f t="shared" si="2"/>
        <v>IWT060244</v>
      </c>
      <c r="J123" s="847">
        <v>5049</v>
      </c>
      <c r="L123" s="846" t="s">
        <v>1060</v>
      </c>
      <c r="M123" s="846" t="s">
        <v>1382</v>
      </c>
      <c r="N123" s="846" t="s">
        <v>97</v>
      </c>
      <c r="O123" s="847">
        <v>44</v>
      </c>
      <c r="P123" s="780" t="str">
        <f t="shared" si="3"/>
        <v>IWT060244</v>
      </c>
      <c r="Q123" s="847">
        <v>1107</v>
      </c>
      <c r="R123" s="847">
        <v>2949</v>
      </c>
      <c r="S123" s="847">
        <v>4756</v>
      </c>
      <c r="T123" s="847">
        <v>6527</v>
      </c>
      <c r="U123" s="847">
        <v>8263</v>
      </c>
      <c r="V123" s="847">
        <v>0</v>
      </c>
      <c r="W123" s="847">
        <v>0</v>
      </c>
      <c r="X123" s="847">
        <v>0</v>
      </c>
      <c r="Y123" s="847">
        <v>0</v>
      </c>
      <c r="Z123" s="847">
        <v>0</v>
      </c>
      <c r="AA123" s="847">
        <v>0</v>
      </c>
      <c r="AB123" s="847">
        <v>0</v>
      </c>
      <c r="AC123" s="847">
        <v>0</v>
      </c>
      <c r="AD123" s="847">
        <v>0</v>
      </c>
      <c r="AE123" s="847">
        <v>0</v>
      </c>
      <c r="AF123" s="847">
        <v>0</v>
      </c>
      <c r="AG123" s="847">
        <v>0</v>
      </c>
      <c r="AH123" s="847">
        <v>0</v>
      </c>
      <c r="AI123" s="847">
        <v>0</v>
      </c>
      <c r="AJ123" s="847">
        <v>0</v>
      </c>
      <c r="AK123" s="847">
        <v>0</v>
      </c>
      <c r="AL123" s="847">
        <v>0</v>
      </c>
      <c r="AM123" s="847">
        <v>0</v>
      </c>
      <c r="AN123" s="847">
        <v>0</v>
      </c>
      <c r="AO123" s="847">
        <v>0</v>
      </c>
      <c r="AP123" s="847">
        <v>0</v>
      </c>
      <c r="AQ123" s="847">
        <v>0</v>
      </c>
      <c r="AR123" s="847">
        <v>0</v>
      </c>
      <c r="AS123" s="847">
        <v>0</v>
      </c>
      <c r="AT123" s="847">
        <v>0</v>
      </c>
      <c r="AU123" s="847">
        <v>0</v>
      </c>
      <c r="AV123" s="847">
        <v>0</v>
      </c>
      <c r="AW123" s="847">
        <v>0</v>
      </c>
      <c r="AX123" s="847">
        <v>0</v>
      </c>
      <c r="AY123" s="847">
        <v>0</v>
      </c>
      <c r="AZ123" s="847">
        <v>0</v>
      </c>
      <c r="BA123" s="847">
        <v>0</v>
      </c>
      <c r="BB123" s="847">
        <v>0</v>
      </c>
      <c r="BC123" s="847">
        <v>0</v>
      </c>
      <c r="BD123" s="847">
        <v>0</v>
      </c>
      <c r="BE123" s="847">
        <v>0</v>
      </c>
      <c r="BF123" s="847">
        <v>0</v>
      </c>
      <c r="BG123" s="847">
        <v>0</v>
      </c>
      <c r="BH123" s="847">
        <v>0</v>
      </c>
      <c r="BI123" s="847">
        <v>0</v>
      </c>
      <c r="BJ123" s="847">
        <v>0</v>
      </c>
      <c r="BK123" s="847">
        <v>0</v>
      </c>
      <c r="BL123" s="847">
        <v>0</v>
      </c>
      <c r="BM123" s="847">
        <v>0</v>
      </c>
      <c r="BN123" s="847">
        <v>0</v>
      </c>
      <c r="BO123" s="847">
        <v>0</v>
      </c>
      <c r="BP123" s="847">
        <v>0</v>
      </c>
      <c r="BQ123" s="847">
        <v>0</v>
      </c>
      <c r="BR123" s="847">
        <v>0</v>
      </c>
      <c r="BS123" s="847">
        <v>0</v>
      </c>
      <c r="BT123" s="847">
        <v>0</v>
      </c>
      <c r="BU123" s="847">
        <v>0</v>
      </c>
      <c r="BV123" s="847">
        <v>0</v>
      </c>
      <c r="BW123" s="847">
        <v>0</v>
      </c>
      <c r="BX123" s="847">
        <v>0</v>
      </c>
      <c r="BY123" s="847">
        <v>0</v>
      </c>
      <c r="BZ123" s="847">
        <v>0</v>
      </c>
      <c r="CA123" s="847">
        <v>0</v>
      </c>
      <c r="CB123" s="847">
        <v>0</v>
      </c>
      <c r="CC123" s="847">
        <v>0</v>
      </c>
      <c r="CD123" s="847">
        <v>0</v>
      </c>
      <c r="CE123" s="847">
        <v>0</v>
      </c>
      <c r="CF123" s="847">
        <v>0</v>
      </c>
      <c r="CG123" s="847">
        <v>0</v>
      </c>
      <c r="CH123" s="847">
        <v>0</v>
      </c>
      <c r="CI123" s="847">
        <v>0</v>
      </c>
      <c r="CJ123" s="847">
        <v>0</v>
      </c>
      <c r="CK123" s="847">
        <v>0</v>
      </c>
      <c r="CL123" s="847">
        <v>0</v>
      </c>
      <c r="CM123" s="847">
        <v>0</v>
      </c>
      <c r="CN123" s="847">
        <v>0</v>
      </c>
      <c r="CO123" s="847">
        <v>0</v>
      </c>
      <c r="CP123" s="847">
        <v>0</v>
      </c>
      <c r="CQ123" s="847">
        <v>0</v>
      </c>
      <c r="CR123" s="847">
        <v>0</v>
      </c>
      <c r="CS123" s="847">
        <v>0</v>
      </c>
      <c r="CT123" s="847">
        <v>0</v>
      </c>
      <c r="CU123" s="847">
        <v>0</v>
      </c>
      <c r="CV123" s="847">
        <v>0</v>
      </c>
      <c r="CW123" s="847">
        <v>0</v>
      </c>
      <c r="CX123" s="847">
        <v>0</v>
      </c>
      <c r="CY123" s="847">
        <v>0</v>
      </c>
      <c r="CZ123" s="847">
        <v>0</v>
      </c>
      <c r="DA123" s="847">
        <v>0</v>
      </c>
      <c r="DB123" s="847">
        <v>0</v>
      </c>
      <c r="DC123" s="847">
        <v>0</v>
      </c>
      <c r="DD123" s="847">
        <v>0</v>
      </c>
      <c r="DE123" s="847">
        <v>0</v>
      </c>
      <c r="DF123" s="847">
        <v>0</v>
      </c>
      <c r="DG123" s="847">
        <v>0</v>
      </c>
      <c r="DH123" s="847">
        <v>0</v>
      </c>
      <c r="DI123" s="847">
        <v>0</v>
      </c>
      <c r="DJ123" s="847">
        <v>0</v>
      </c>
      <c r="DK123" s="847">
        <v>0</v>
      </c>
      <c r="DL123" s="847">
        <v>0</v>
      </c>
      <c r="DM123" s="847">
        <v>0</v>
      </c>
      <c r="DN123" s="847">
        <v>0</v>
      </c>
      <c r="DO123" s="847">
        <v>0</v>
      </c>
      <c r="DP123" s="847">
        <v>0</v>
      </c>
      <c r="DQ123" s="847">
        <v>0</v>
      </c>
      <c r="DR123" s="847">
        <v>0</v>
      </c>
      <c r="DS123" s="847">
        <v>0</v>
      </c>
      <c r="DT123" s="847">
        <v>0</v>
      </c>
      <c r="DU123" s="847">
        <v>0</v>
      </c>
      <c r="DV123" s="847">
        <v>0</v>
      </c>
      <c r="DW123" s="847">
        <v>0</v>
      </c>
      <c r="DY123" s="173"/>
      <c r="DZ123" s="173"/>
      <c r="EA123" s="173"/>
      <c r="EB123" s="174"/>
      <c r="EC123" s="175"/>
      <c r="ED123" s="174"/>
      <c r="EE123" s="174"/>
      <c r="EF123" s="174"/>
      <c r="EG123" s="174"/>
      <c r="EH123" s="174"/>
      <c r="EI123" s="174"/>
      <c r="EJ123" s="174"/>
      <c r="EK123" s="174"/>
      <c r="EL123" s="174"/>
      <c r="EM123" s="174"/>
      <c r="EN123" s="174"/>
      <c r="EO123" s="174"/>
      <c r="EP123" s="174"/>
      <c r="EQ123" s="174"/>
      <c r="ER123" s="174"/>
      <c r="ES123" s="174"/>
      <c r="ET123" s="174"/>
      <c r="EU123" s="174"/>
      <c r="EV123" s="174"/>
      <c r="EW123" s="174"/>
      <c r="EX123" s="174"/>
      <c r="EY123" s="174"/>
      <c r="EZ123" s="174"/>
      <c r="FA123" s="174"/>
      <c r="FB123" s="174"/>
      <c r="FC123" s="174"/>
      <c r="FD123" s="174"/>
      <c r="FE123" s="174"/>
      <c r="FF123" s="174"/>
      <c r="FG123" s="174"/>
      <c r="FH123" s="174"/>
      <c r="FI123" s="174"/>
      <c r="FJ123" s="174"/>
      <c r="FK123" s="174"/>
      <c r="FL123" s="174"/>
      <c r="FM123" s="174"/>
      <c r="FN123" s="174"/>
      <c r="FO123" s="174"/>
      <c r="FP123" s="174"/>
      <c r="FQ123" s="174"/>
      <c r="FR123" s="174"/>
      <c r="FS123" s="174"/>
      <c r="FT123" s="174"/>
      <c r="FU123" s="174"/>
      <c r="FV123" s="174"/>
      <c r="FW123" s="174"/>
      <c r="FX123" s="174"/>
      <c r="FY123" s="174"/>
      <c r="FZ123" s="174"/>
      <c r="GA123" s="174"/>
      <c r="GB123" s="174"/>
      <c r="GC123" s="174"/>
      <c r="GD123" s="174"/>
      <c r="GE123" s="174"/>
      <c r="GF123" s="174"/>
      <c r="GG123" s="174"/>
      <c r="GH123" s="174"/>
      <c r="GI123" s="174"/>
      <c r="GJ123" s="174"/>
      <c r="GK123" s="174"/>
      <c r="GL123" s="174"/>
      <c r="GM123" s="174"/>
      <c r="GN123" s="176"/>
      <c r="GO123" s="176"/>
      <c r="GP123" s="176"/>
      <c r="GQ123" s="176"/>
      <c r="GR123" s="176"/>
      <c r="GS123" s="176"/>
      <c r="GT123" s="176"/>
      <c r="GU123" s="176"/>
      <c r="GV123" s="176"/>
      <c r="GW123" s="176"/>
      <c r="GX123" s="176"/>
      <c r="GY123" s="176"/>
      <c r="GZ123" s="176"/>
      <c r="HA123" s="176"/>
      <c r="HB123" s="176"/>
      <c r="HC123" s="176"/>
      <c r="HD123" s="176"/>
      <c r="HE123" s="176"/>
      <c r="HF123" s="176"/>
      <c r="HG123" s="176"/>
      <c r="HH123" s="176"/>
      <c r="HI123" s="176"/>
      <c r="HJ123" s="176"/>
      <c r="HK123" s="176"/>
      <c r="HL123" s="176"/>
      <c r="HM123" s="176"/>
      <c r="HN123" s="176"/>
      <c r="HO123" s="176"/>
      <c r="HP123" s="176"/>
      <c r="HQ123" s="176"/>
      <c r="HR123" s="176"/>
      <c r="HS123" s="176"/>
      <c r="HT123" s="176"/>
      <c r="HU123" s="176"/>
      <c r="HV123" s="176"/>
      <c r="HW123" s="176"/>
      <c r="HX123" s="176"/>
      <c r="HY123" s="176"/>
      <c r="HZ123" s="176"/>
      <c r="IA123" s="176"/>
      <c r="IB123" s="176"/>
      <c r="IC123" s="176"/>
      <c r="ID123" s="176"/>
      <c r="IE123" s="176"/>
      <c r="IF123" s="176"/>
      <c r="IG123" s="176"/>
      <c r="IH123" s="176"/>
      <c r="II123" s="176"/>
      <c r="IJ123" s="176"/>
    </row>
    <row r="124" spans="1:244" ht="16.5" hidden="1">
      <c r="A124" s="846" t="s">
        <v>1060</v>
      </c>
      <c r="B124" s="846" t="s">
        <v>1382</v>
      </c>
      <c r="C124" s="846" t="s">
        <v>1171</v>
      </c>
      <c r="D124" s="847">
        <v>6</v>
      </c>
      <c r="E124" s="846" t="s">
        <v>1171</v>
      </c>
      <c r="F124" s="846" t="s">
        <v>97</v>
      </c>
      <c r="G124" s="851"/>
      <c r="H124" s="847">
        <v>45</v>
      </c>
      <c r="I124" s="780" t="str">
        <f t="shared" si="2"/>
        <v>IWT060245</v>
      </c>
      <c r="J124" s="847">
        <v>5052</v>
      </c>
      <c r="L124" s="846" t="s">
        <v>1060</v>
      </c>
      <c r="M124" s="846" t="s">
        <v>1382</v>
      </c>
      <c r="N124" s="846" t="s">
        <v>97</v>
      </c>
      <c r="O124" s="847">
        <v>45</v>
      </c>
      <c r="P124" s="780" t="str">
        <f t="shared" si="3"/>
        <v>IWT060245</v>
      </c>
      <c r="Q124" s="847">
        <v>1106</v>
      </c>
      <c r="R124" s="847">
        <v>2949</v>
      </c>
      <c r="S124" s="847">
        <v>4756</v>
      </c>
      <c r="T124" s="847">
        <v>6527</v>
      </c>
      <c r="U124" s="847">
        <v>8263</v>
      </c>
      <c r="V124" s="847">
        <v>0</v>
      </c>
      <c r="W124" s="847">
        <v>0</v>
      </c>
      <c r="X124" s="847">
        <v>0</v>
      </c>
      <c r="Y124" s="847">
        <v>0</v>
      </c>
      <c r="Z124" s="847">
        <v>0</v>
      </c>
      <c r="AA124" s="847">
        <v>0</v>
      </c>
      <c r="AB124" s="847">
        <v>0</v>
      </c>
      <c r="AC124" s="847">
        <v>0</v>
      </c>
      <c r="AD124" s="847">
        <v>0</v>
      </c>
      <c r="AE124" s="847">
        <v>0</v>
      </c>
      <c r="AF124" s="847">
        <v>0</v>
      </c>
      <c r="AG124" s="847">
        <v>0</v>
      </c>
      <c r="AH124" s="847">
        <v>0</v>
      </c>
      <c r="AI124" s="847">
        <v>0</v>
      </c>
      <c r="AJ124" s="847">
        <v>0</v>
      </c>
      <c r="AK124" s="847">
        <v>0</v>
      </c>
      <c r="AL124" s="847">
        <v>0</v>
      </c>
      <c r="AM124" s="847">
        <v>0</v>
      </c>
      <c r="AN124" s="847">
        <v>0</v>
      </c>
      <c r="AO124" s="847">
        <v>0</v>
      </c>
      <c r="AP124" s="847">
        <v>0</v>
      </c>
      <c r="AQ124" s="847">
        <v>0</v>
      </c>
      <c r="AR124" s="847">
        <v>0</v>
      </c>
      <c r="AS124" s="847">
        <v>0</v>
      </c>
      <c r="AT124" s="847">
        <v>0</v>
      </c>
      <c r="AU124" s="847">
        <v>0</v>
      </c>
      <c r="AV124" s="847">
        <v>0</v>
      </c>
      <c r="AW124" s="847">
        <v>0</v>
      </c>
      <c r="AX124" s="847">
        <v>0</v>
      </c>
      <c r="AY124" s="847">
        <v>0</v>
      </c>
      <c r="AZ124" s="847">
        <v>0</v>
      </c>
      <c r="BA124" s="847">
        <v>0</v>
      </c>
      <c r="BB124" s="847">
        <v>0</v>
      </c>
      <c r="BC124" s="847">
        <v>0</v>
      </c>
      <c r="BD124" s="847">
        <v>0</v>
      </c>
      <c r="BE124" s="847">
        <v>0</v>
      </c>
      <c r="BF124" s="847">
        <v>0</v>
      </c>
      <c r="BG124" s="847">
        <v>0</v>
      </c>
      <c r="BH124" s="847">
        <v>0</v>
      </c>
      <c r="BI124" s="847">
        <v>0</v>
      </c>
      <c r="BJ124" s="847">
        <v>0</v>
      </c>
      <c r="BK124" s="847">
        <v>0</v>
      </c>
      <c r="BL124" s="847">
        <v>0</v>
      </c>
      <c r="BM124" s="847">
        <v>0</v>
      </c>
      <c r="BN124" s="847">
        <v>0</v>
      </c>
      <c r="BO124" s="847">
        <v>0</v>
      </c>
      <c r="BP124" s="847">
        <v>0</v>
      </c>
      <c r="BQ124" s="847">
        <v>0</v>
      </c>
      <c r="BR124" s="847">
        <v>0</v>
      </c>
      <c r="BS124" s="847">
        <v>0</v>
      </c>
      <c r="BT124" s="847">
        <v>0</v>
      </c>
      <c r="BU124" s="847">
        <v>0</v>
      </c>
      <c r="BV124" s="847">
        <v>0</v>
      </c>
      <c r="BW124" s="847">
        <v>0</v>
      </c>
      <c r="BX124" s="847">
        <v>0</v>
      </c>
      <c r="BY124" s="847">
        <v>0</v>
      </c>
      <c r="BZ124" s="847">
        <v>0</v>
      </c>
      <c r="CA124" s="847">
        <v>0</v>
      </c>
      <c r="CB124" s="847">
        <v>0</v>
      </c>
      <c r="CC124" s="847">
        <v>0</v>
      </c>
      <c r="CD124" s="847">
        <v>0</v>
      </c>
      <c r="CE124" s="847">
        <v>0</v>
      </c>
      <c r="CF124" s="847">
        <v>0</v>
      </c>
      <c r="CG124" s="847">
        <v>0</v>
      </c>
      <c r="CH124" s="847">
        <v>0</v>
      </c>
      <c r="CI124" s="847">
        <v>0</v>
      </c>
      <c r="CJ124" s="847">
        <v>0</v>
      </c>
      <c r="CK124" s="847">
        <v>0</v>
      </c>
      <c r="CL124" s="847">
        <v>0</v>
      </c>
      <c r="CM124" s="847">
        <v>0</v>
      </c>
      <c r="CN124" s="847">
        <v>0</v>
      </c>
      <c r="CO124" s="847">
        <v>0</v>
      </c>
      <c r="CP124" s="847">
        <v>0</v>
      </c>
      <c r="CQ124" s="847">
        <v>0</v>
      </c>
      <c r="CR124" s="847">
        <v>0</v>
      </c>
      <c r="CS124" s="847">
        <v>0</v>
      </c>
      <c r="CT124" s="847">
        <v>0</v>
      </c>
      <c r="CU124" s="847">
        <v>0</v>
      </c>
      <c r="CV124" s="847">
        <v>0</v>
      </c>
      <c r="CW124" s="847">
        <v>0</v>
      </c>
      <c r="CX124" s="847">
        <v>0</v>
      </c>
      <c r="CY124" s="847">
        <v>0</v>
      </c>
      <c r="CZ124" s="847">
        <v>0</v>
      </c>
      <c r="DA124" s="847">
        <v>0</v>
      </c>
      <c r="DB124" s="847">
        <v>0</v>
      </c>
      <c r="DC124" s="847">
        <v>0</v>
      </c>
      <c r="DD124" s="847">
        <v>0</v>
      </c>
      <c r="DE124" s="847">
        <v>0</v>
      </c>
      <c r="DF124" s="847">
        <v>0</v>
      </c>
      <c r="DG124" s="847">
        <v>0</v>
      </c>
      <c r="DH124" s="847">
        <v>0</v>
      </c>
      <c r="DI124" s="847">
        <v>0</v>
      </c>
      <c r="DJ124" s="847">
        <v>0</v>
      </c>
      <c r="DK124" s="847">
        <v>0</v>
      </c>
      <c r="DL124" s="847">
        <v>0</v>
      </c>
      <c r="DM124" s="847">
        <v>0</v>
      </c>
      <c r="DN124" s="847">
        <v>0</v>
      </c>
      <c r="DO124" s="847">
        <v>0</v>
      </c>
      <c r="DP124" s="847">
        <v>0</v>
      </c>
      <c r="DQ124" s="847">
        <v>0</v>
      </c>
      <c r="DR124" s="847">
        <v>0</v>
      </c>
      <c r="DS124" s="847">
        <v>0</v>
      </c>
      <c r="DT124" s="847">
        <v>0</v>
      </c>
      <c r="DU124" s="847">
        <v>0</v>
      </c>
      <c r="DV124" s="847">
        <v>0</v>
      </c>
      <c r="DW124" s="847">
        <v>0</v>
      </c>
      <c r="DY124" s="173"/>
      <c r="DZ124" s="173"/>
      <c r="EA124" s="173"/>
      <c r="EB124" s="174"/>
      <c r="EC124" s="175"/>
      <c r="ED124" s="174"/>
      <c r="EE124" s="174"/>
      <c r="EF124" s="174"/>
      <c r="EG124" s="174"/>
      <c r="EH124" s="174"/>
      <c r="EI124" s="174"/>
      <c r="EJ124" s="174"/>
      <c r="EK124" s="174"/>
      <c r="EL124" s="174"/>
      <c r="EM124" s="174"/>
      <c r="EN124" s="174"/>
      <c r="EO124" s="174"/>
      <c r="EP124" s="174"/>
      <c r="EQ124" s="174"/>
      <c r="ER124" s="174"/>
      <c r="ES124" s="174"/>
      <c r="ET124" s="174"/>
      <c r="EU124" s="174"/>
      <c r="EV124" s="174"/>
      <c r="EW124" s="174"/>
      <c r="EX124" s="174"/>
      <c r="EY124" s="174"/>
      <c r="EZ124" s="174"/>
      <c r="FA124" s="174"/>
      <c r="FB124" s="174"/>
      <c r="FC124" s="174"/>
      <c r="FD124" s="174"/>
      <c r="FE124" s="174"/>
      <c r="FF124" s="174"/>
      <c r="FG124" s="174"/>
      <c r="FH124" s="174"/>
      <c r="FI124" s="174"/>
      <c r="FJ124" s="174"/>
      <c r="FK124" s="174"/>
      <c r="FL124" s="174"/>
      <c r="FM124" s="174"/>
      <c r="FN124" s="174"/>
      <c r="FO124" s="174"/>
      <c r="FP124" s="174"/>
      <c r="FQ124" s="174"/>
      <c r="FR124" s="174"/>
      <c r="FS124" s="174"/>
      <c r="FT124" s="174"/>
      <c r="FU124" s="174"/>
      <c r="FV124" s="174"/>
      <c r="FW124" s="174"/>
      <c r="FX124" s="174"/>
      <c r="FY124" s="174"/>
      <c r="FZ124" s="174"/>
      <c r="GA124" s="174"/>
      <c r="GB124" s="174"/>
      <c r="GC124" s="174"/>
      <c r="GD124" s="174"/>
      <c r="GE124" s="174"/>
      <c r="GF124" s="174"/>
      <c r="GG124" s="174"/>
      <c r="GH124" s="174"/>
      <c r="GI124" s="174"/>
      <c r="GJ124" s="174"/>
      <c r="GK124" s="174"/>
      <c r="GL124" s="174"/>
      <c r="GM124" s="176"/>
      <c r="GN124" s="176"/>
      <c r="GO124" s="176"/>
      <c r="GP124" s="176"/>
      <c r="GQ124" s="176"/>
      <c r="GR124" s="176"/>
      <c r="GS124" s="176"/>
      <c r="GT124" s="176"/>
      <c r="GU124" s="176"/>
      <c r="GV124" s="176"/>
      <c r="GW124" s="176"/>
      <c r="GX124" s="176"/>
      <c r="GY124" s="176"/>
      <c r="GZ124" s="176"/>
      <c r="HA124" s="176"/>
      <c r="HB124" s="176"/>
      <c r="HC124" s="176"/>
      <c r="HD124" s="176"/>
      <c r="HE124" s="176"/>
      <c r="HF124" s="176"/>
      <c r="HG124" s="176"/>
      <c r="HH124" s="176"/>
      <c r="HI124" s="176"/>
      <c r="HJ124" s="176"/>
      <c r="HK124" s="176"/>
      <c r="HL124" s="176"/>
      <c r="HM124" s="176"/>
      <c r="HN124" s="176"/>
      <c r="HO124" s="176"/>
      <c r="HP124" s="176"/>
      <c r="HQ124" s="176"/>
      <c r="HR124" s="176"/>
      <c r="HS124" s="176"/>
      <c r="HT124" s="176"/>
      <c r="HU124" s="176"/>
      <c r="HV124" s="176"/>
      <c r="HW124" s="176"/>
      <c r="HX124" s="176"/>
      <c r="HY124" s="176"/>
      <c r="HZ124" s="176"/>
      <c r="IA124" s="176"/>
      <c r="IB124" s="176"/>
      <c r="IC124" s="176"/>
      <c r="ID124" s="176"/>
      <c r="IE124" s="176"/>
      <c r="IF124" s="176"/>
      <c r="IG124" s="176"/>
      <c r="IH124" s="176"/>
      <c r="II124" s="176"/>
      <c r="IJ124" s="176"/>
    </row>
    <row r="125" spans="1:244" ht="16.5" hidden="1">
      <c r="A125" s="846" t="s">
        <v>1060</v>
      </c>
      <c r="B125" s="846" t="s">
        <v>1382</v>
      </c>
      <c r="C125" s="846" t="s">
        <v>1171</v>
      </c>
      <c r="D125" s="847">
        <v>6</v>
      </c>
      <c r="E125" s="846" t="s">
        <v>1171</v>
      </c>
      <c r="F125" s="846" t="s">
        <v>97</v>
      </c>
      <c r="G125" s="851"/>
      <c r="H125" s="847">
        <v>46</v>
      </c>
      <c r="I125" s="780" t="str">
        <f t="shared" si="2"/>
        <v>IWT060246</v>
      </c>
      <c r="J125" s="847">
        <v>5054</v>
      </c>
      <c r="L125" s="846" t="s">
        <v>1060</v>
      </c>
      <c r="M125" s="846" t="s">
        <v>1382</v>
      </c>
      <c r="N125" s="846" t="s">
        <v>97</v>
      </c>
      <c r="O125" s="847">
        <v>46</v>
      </c>
      <c r="P125" s="780" t="str">
        <f t="shared" si="3"/>
        <v>IWT060246</v>
      </c>
      <c r="Q125" s="847">
        <v>1105</v>
      </c>
      <c r="R125" s="847">
        <v>2948</v>
      </c>
      <c r="S125" s="847">
        <v>4755</v>
      </c>
      <c r="T125" s="847">
        <v>6527</v>
      </c>
      <c r="U125" s="847">
        <v>8263</v>
      </c>
      <c r="V125" s="847">
        <v>0</v>
      </c>
      <c r="W125" s="847">
        <v>0</v>
      </c>
      <c r="X125" s="847">
        <v>0</v>
      </c>
      <c r="Y125" s="847">
        <v>0</v>
      </c>
      <c r="Z125" s="847">
        <v>0</v>
      </c>
      <c r="AA125" s="847">
        <v>0</v>
      </c>
      <c r="AB125" s="847">
        <v>0</v>
      </c>
      <c r="AC125" s="847">
        <v>0</v>
      </c>
      <c r="AD125" s="847">
        <v>0</v>
      </c>
      <c r="AE125" s="847">
        <v>0</v>
      </c>
      <c r="AF125" s="847">
        <v>0</v>
      </c>
      <c r="AG125" s="847">
        <v>0</v>
      </c>
      <c r="AH125" s="847">
        <v>0</v>
      </c>
      <c r="AI125" s="847">
        <v>0</v>
      </c>
      <c r="AJ125" s="847">
        <v>0</v>
      </c>
      <c r="AK125" s="847">
        <v>0</v>
      </c>
      <c r="AL125" s="847">
        <v>0</v>
      </c>
      <c r="AM125" s="847">
        <v>0</v>
      </c>
      <c r="AN125" s="847">
        <v>0</v>
      </c>
      <c r="AO125" s="847">
        <v>0</v>
      </c>
      <c r="AP125" s="847">
        <v>0</v>
      </c>
      <c r="AQ125" s="847">
        <v>0</v>
      </c>
      <c r="AR125" s="847">
        <v>0</v>
      </c>
      <c r="AS125" s="847">
        <v>0</v>
      </c>
      <c r="AT125" s="847">
        <v>0</v>
      </c>
      <c r="AU125" s="847">
        <v>0</v>
      </c>
      <c r="AV125" s="847">
        <v>0</v>
      </c>
      <c r="AW125" s="847">
        <v>0</v>
      </c>
      <c r="AX125" s="847">
        <v>0</v>
      </c>
      <c r="AY125" s="847">
        <v>0</v>
      </c>
      <c r="AZ125" s="847">
        <v>0</v>
      </c>
      <c r="BA125" s="847">
        <v>0</v>
      </c>
      <c r="BB125" s="847">
        <v>0</v>
      </c>
      <c r="BC125" s="847">
        <v>0</v>
      </c>
      <c r="BD125" s="847">
        <v>0</v>
      </c>
      <c r="BE125" s="847">
        <v>0</v>
      </c>
      <c r="BF125" s="847">
        <v>0</v>
      </c>
      <c r="BG125" s="847">
        <v>0</v>
      </c>
      <c r="BH125" s="847">
        <v>0</v>
      </c>
      <c r="BI125" s="847">
        <v>0</v>
      </c>
      <c r="BJ125" s="847">
        <v>0</v>
      </c>
      <c r="BK125" s="847">
        <v>0</v>
      </c>
      <c r="BL125" s="847">
        <v>0</v>
      </c>
      <c r="BM125" s="847">
        <v>0</v>
      </c>
      <c r="BN125" s="847">
        <v>0</v>
      </c>
      <c r="BO125" s="847">
        <v>0</v>
      </c>
      <c r="BP125" s="847">
        <v>0</v>
      </c>
      <c r="BQ125" s="847">
        <v>0</v>
      </c>
      <c r="BR125" s="847">
        <v>0</v>
      </c>
      <c r="BS125" s="847">
        <v>0</v>
      </c>
      <c r="BT125" s="847">
        <v>0</v>
      </c>
      <c r="BU125" s="847">
        <v>0</v>
      </c>
      <c r="BV125" s="847">
        <v>0</v>
      </c>
      <c r="BW125" s="847">
        <v>0</v>
      </c>
      <c r="BX125" s="847">
        <v>0</v>
      </c>
      <c r="BY125" s="847">
        <v>0</v>
      </c>
      <c r="BZ125" s="847">
        <v>0</v>
      </c>
      <c r="CA125" s="847">
        <v>0</v>
      </c>
      <c r="CB125" s="847">
        <v>0</v>
      </c>
      <c r="CC125" s="847">
        <v>0</v>
      </c>
      <c r="CD125" s="847">
        <v>0</v>
      </c>
      <c r="CE125" s="847">
        <v>0</v>
      </c>
      <c r="CF125" s="847">
        <v>0</v>
      </c>
      <c r="CG125" s="847">
        <v>0</v>
      </c>
      <c r="CH125" s="847">
        <v>0</v>
      </c>
      <c r="CI125" s="847">
        <v>0</v>
      </c>
      <c r="CJ125" s="847">
        <v>0</v>
      </c>
      <c r="CK125" s="847">
        <v>0</v>
      </c>
      <c r="CL125" s="847">
        <v>0</v>
      </c>
      <c r="CM125" s="847">
        <v>0</v>
      </c>
      <c r="CN125" s="847">
        <v>0</v>
      </c>
      <c r="CO125" s="847">
        <v>0</v>
      </c>
      <c r="CP125" s="847">
        <v>0</v>
      </c>
      <c r="CQ125" s="847">
        <v>0</v>
      </c>
      <c r="CR125" s="847">
        <v>0</v>
      </c>
      <c r="CS125" s="847">
        <v>0</v>
      </c>
      <c r="CT125" s="847">
        <v>0</v>
      </c>
      <c r="CU125" s="847">
        <v>0</v>
      </c>
      <c r="CV125" s="847">
        <v>0</v>
      </c>
      <c r="CW125" s="847">
        <v>0</v>
      </c>
      <c r="CX125" s="847">
        <v>0</v>
      </c>
      <c r="CY125" s="847">
        <v>0</v>
      </c>
      <c r="CZ125" s="847">
        <v>0</v>
      </c>
      <c r="DA125" s="847">
        <v>0</v>
      </c>
      <c r="DB125" s="847">
        <v>0</v>
      </c>
      <c r="DC125" s="847">
        <v>0</v>
      </c>
      <c r="DD125" s="847">
        <v>0</v>
      </c>
      <c r="DE125" s="847">
        <v>0</v>
      </c>
      <c r="DF125" s="847">
        <v>0</v>
      </c>
      <c r="DG125" s="847">
        <v>0</v>
      </c>
      <c r="DH125" s="847">
        <v>0</v>
      </c>
      <c r="DI125" s="847">
        <v>0</v>
      </c>
      <c r="DJ125" s="847">
        <v>0</v>
      </c>
      <c r="DK125" s="847">
        <v>0</v>
      </c>
      <c r="DL125" s="847">
        <v>0</v>
      </c>
      <c r="DM125" s="847">
        <v>0</v>
      </c>
      <c r="DN125" s="847">
        <v>0</v>
      </c>
      <c r="DO125" s="847">
        <v>0</v>
      </c>
      <c r="DP125" s="847">
        <v>0</v>
      </c>
      <c r="DQ125" s="847">
        <v>0</v>
      </c>
      <c r="DR125" s="847">
        <v>0</v>
      </c>
      <c r="DS125" s="847">
        <v>0</v>
      </c>
      <c r="DT125" s="847">
        <v>0</v>
      </c>
      <c r="DU125" s="847">
        <v>0</v>
      </c>
      <c r="DV125" s="847">
        <v>0</v>
      </c>
      <c r="DW125" s="847">
        <v>0</v>
      </c>
      <c r="DY125" s="173"/>
      <c r="DZ125" s="173"/>
      <c r="EA125" s="173"/>
      <c r="EB125" s="174"/>
      <c r="EC125" s="175"/>
      <c r="ED125" s="174"/>
      <c r="EE125" s="174"/>
      <c r="EF125" s="174"/>
      <c r="EG125" s="174"/>
      <c r="EH125" s="174"/>
      <c r="EI125" s="174"/>
      <c r="EJ125" s="174"/>
      <c r="EK125" s="174"/>
      <c r="EL125" s="174"/>
      <c r="EM125" s="174"/>
      <c r="EN125" s="174"/>
      <c r="EO125" s="174"/>
      <c r="EP125" s="174"/>
      <c r="EQ125" s="174"/>
      <c r="ER125" s="174"/>
      <c r="ES125" s="174"/>
      <c r="ET125" s="174"/>
      <c r="EU125" s="174"/>
      <c r="EV125" s="174"/>
      <c r="EW125" s="174"/>
      <c r="EX125" s="174"/>
      <c r="EY125" s="174"/>
      <c r="EZ125" s="174"/>
      <c r="FA125" s="174"/>
      <c r="FB125" s="174"/>
      <c r="FC125" s="174"/>
      <c r="FD125" s="174"/>
      <c r="FE125" s="174"/>
      <c r="FF125" s="174"/>
      <c r="FG125" s="174"/>
      <c r="FH125" s="174"/>
      <c r="FI125" s="174"/>
      <c r="FJ125" s="174"/>
      <c r="FK125" s="174"/>
      <c r="FL125" s="174"/>
      <c r="FM125" s="174"/>
      <c r="FN125" s="174"/>
      <c r="FO125" s="174"/>
      <c r="FP125" s="174"/>
      <c r="FQ125" s="174"/>
      <c r="FR125" s="174"/>
      <c r="FS125" s="174"/>
      <c r="FT125" s="174"/>
      <c r="FU125" s="174"/>
      <c r="FV125" s="174"/>
      <c r="FW125" s="174"/>
      <c r="FX125" s="174"/>
      <c r="FY125" s="174"/>
      <c r="FZ125" s="174"/>
      <c r="GA125" s="174"/>
      <c r="GB125" s="174"/>
      <c r="GC125" s="174"/>
      <c r="GD125" s="174"/>
      <c r="GE125" s="174"/>
      <c r="GF125" s="174"/>
      <c r="GG125" s="174"/>
      <c r="GH125" s="174"/>
      <c r="GI125" s="174"/>
      <c r="GJ125" s="174"/>
      <c r="GK125" s="174"/>
      <c r="GL125" s="176"/>
      <c r="GM125" s="176"/>
      <c r="GN125" s="176"/>
      <c r="GO125" s="176"/>
      <c r="GP125" s="176"/>
      <c r="GQ125" s="176"/>
      <c r="GR125" s="176"/>
      <c r="GS125" s="176"/>
      <c r="GT125" s="176"/>
      <c r="GU125" s="176"/>
      <c r="GV125" s="176"/>
      <c r="GW125" s="176"/>
      <c r="GX125" s="176"/>
      <c r="GY125" s="176"/>
      <c r="GZ125" s="176"/>
      <c r="HA125" s="176"/>
      <c r="HB125" s="176"/>
      <c r="HC125" s="176"/>
      <c r="HD125" s="176"/>
      <c r="HE125" s="176"/>
      <c r="HF125" s="176"/>
      <c r="HG125" s="176"/>
      <c r="HH125" s="176"/>
      <c r="HI125" s="176"/>
      <c r="HJ125" s="176"/>
      <c r="HK125" s="176"/>
      <c r="HL125" s="176"/>
      <c r="HM125" s="176"/>
      <c r="HN125" s="176"/>
      <c r="HO125" s="176"/>
      <c r="HP125" s="176"/>
      <c r="HQ125" s="176"/>
      <c r="HR125" s="176"/>
      <c r="HS125" s="176"/>
      <c r="HT125" s="176"/>
      <c r="HU125" s="176"/>
      <c r="HV125" s="176"/>
      <c r="HW125" s="176"/>
      <c r="HX125" s="176"/>
      <c r="HY125" s="176"/>
      <c r="HZ125" s="176"/>
      <c r="IA125" s="176"/>
      <c r="IB125" s="176"/>
      <c r="IC125" s="176"/>
      <c r="ID125" s="176"/>
      <c r="IE125" s="176"/>
      <c r="IF125" s="176"/>
      <c r="IG125" s="176"/>
      <c r="IH125" s="176"/>
      <c r="II125" s="176"/>
      <c r="IJ125" s="176"/>
    </row>
    <row r="126" spans="1:244" ht="16.5" hidden="1">
      <c r="A126" s="846" t="s">
        <v>1060</v>
      </c>
      <c r="B126" s="846" t="s">
        <v>1382</v>
      </c>
      <c r="C126" s="846" t="s">
        <v>1171</v>
      </c>
      <c r="D126" s="847">
        <v>6</v>
      </c>
      <c r="E126" s="846" t="s">
        <v>1171</v>
      </c>
      <c r="F126" s="846" t="s">
        <v>97</v>
      </c>
      <c r="G126" s="851"/>
      <c r="H126" s="847">
        <v>47</v>
      </c>
      <c r="I126" s="780" t="str">
        <f t="shared" si="2"/>
        <v>IWT060247</v>
      </c>
      <c r="J126" s="847">
        <v>5056</v>
      </c>
      <c r="L126" s="846" t="s">
        <v>1060</v>
      </c>
      <c r="M126" s="846" t="s">
        <v>1382</v>
      </c>
      <c r="N126" s="846" t="s">
        <v>97</v>
      </c>
      <c r="O126" s="847">
        <v>47</v>
      </c>
      <c r="P126" s="780" t="str">
        <f t="shared" si="3"/>
        <v>IWT060247</v>
      </c>
      <c r="Q126" s="847">
        <v>1104</v>
      </c>
      <c r="R126" s="847">
        <v>2948</v>
      </c>
      <c r="S126" s="847">
        <v>4755</v>
      </c>
      <c r="T126" s="847">
        <v>6526</v>
      </c>
      <c r="U126" s="847">
        <v>8263</v>
      </c>
      <c r="V126" s="847">
        <v>0</v>
      </c>
      <c r="W126" s="847">
        <v>0</v>
      </c>
      <c r="X126" s="847">
        <v>0</v>
      </c>
      <c r="Y126" s="847">
        <v>0</v>
      </c>
      <c r="Z126" s="847">
        <v>0</v>
      </c>
      <c r="AA126" s="847">
        <v>0</v>
      </c>
      <c r="AB126" s="847">
        <v>0</v>
      </c>
      <c r="AC126" s="847">
        <v>0</v>
      </c>
      <c r="AD126" s="847">
        <v>0</v>
      </c>
      <c r="AE126" s="847">
        <v>0</v>
      </c>
      <c r="AF126" s="847">
        <v>0</v>
      </c>
      <c r="AG126" s="847">
        <v>0</v>
      </c>
      <c r="AH126" s="847">
        <v>0</v>
      </c>
      <c r="AI126" s="847">
        <v>0</v>
      </c>
      <c r="AJ126" s="847">
        <v>0</v>
      </c>
      <c r="AK126" s="847">
        <v>0</v>
      </c>
      <c r="AL126" s="847">
        <v>0</v>
      </c>
      <c r="AM126" s="847">
        <v>0</v>
      </c>
      <c r="AN126" s="847">
        <v>0</v>
      </c>
      <c r="AO126" s="847">
        <v>0</v>
      </c>
      <c r="AP126" s="847">
        <v>0</v>
      </c>
      <c r="AQ126" s="847">
        <v>0</v>
      </c>
      <c r="AR126" s="847">
        <v>0</v>
      </c>
      <c r="AS126" s="847">
        <v>0</v>
      </c>
      <c r="AT126" s="847">
        <v>0</v>
      </c>
      <c r="AU126" s="847">
        <v>0</v>
      </c>
      <c r="AV126" s="847">
        <v>0</v>
      </c>
      <c r="AW126" s="847">
        <v>0</v>
      </c>
      <c r="AX126" s="847">
        <v>0</v>
      </c>
      <c r="AY126" s="847">
        <v>0</v>
      </c>
      <c r="AZ126" s="847">
        <v>0</v>
      </c>
      <c r="BA126" s="847">
        <v>0</v>
      </c>
      <c r="BB126" s="847">
        <v>0</v>
      </c>
      <c r="BC126" s="847">
        <v>0</v>
      </c>
      <c r="BD126" s="847">
        <v>0</v>
      </c>
      <c r="BE126" s="847">
        <v>0</v>
      </c>
      <c r="BF126" s="847">
        <v>0</v>
      </c>
      <c r="BG126" s="847">
        <v>0</v>
      </c>
      <c r="BH126" s="847">
        <v>0</v>
      </c>
      <c r="BI126" s="847">
        <v>0</v>
      </c>
      <c r="BJ126" s="847">
        <v>0</v>
      </c>
      <c r="BK126" s="847">
        <v>0</v>
      </c>
      <c r="BL126" s="847">
        <v>0</v>
      </c>
      <c r="BM126" s="847">
        <v>0</v>
      </c>
      <c r="BN126" s="847">
        <v>0</v>
      </c>
      <c r="BO126" s="847">
        <v>0</v>
      </c>
      <c r="BP126" s="847">
        <v>0</v>
      </c>
      <c r="BQ126" s="847">
        <v>0</v>
      </c>
      <c r="BR126" s="847">
        <v>0</v>
      </c>
      <c r="BS126" s="847">
        <v>0</v>
      </c>
      <c r="BT126" s="847">
        <v>0</v>
      </c>
      <c r="BU126" s="847">
        <v>0</v>
      </c>
      <c r="BV126" s="847">
        <v>0</v>
      </c>
      <c r="BW126" s="847">
        <v>0</v>
      </c>
      <c r="BX126" s="847">
        <v>0</v>
      </c>
      <c r="BY126" s="847">
        <v>0</v>
      </c>
      <c r="BZ126" s="847">
        <v>0</v>
      </c>
      <c r="CA126" s="847">
        <v>0</v>
      </c>
      <c r="CB126" s="847">
        <v>0</v>
      </c>
      <c r="CC126" s="847">
        <v>0</v>
      </c>
      <c r="CD126" s="847">
        <v>0</v>
      </c>
      <c r="CE126" s="847">
        <v>0</v>
      </c>
      <c r="CF126" s="847">
        <v>0</v>
      </c>
      <c r="CG126" s="847">
        <v>0</v>
      </c>
      <c r="CH126" s="847">
        <v>0</v>
      </c>
      <c r="CI126" s="847">
        <v>0</v>
      </c>
      <c r="CJ126" s="847">
        <v>0</v>
      </c>
      <c r="CK126" s="847">
        <v>0</v>
      </c>
      <c r="CL126" s="847">
        <v>0</v>
      </c>
      <c r="CM126" s="847">
        <v>0</v>
      </c>
      <c r="CN126" s="847">
        <v>0</v>
      </c>
      <c r="CO126" s="847">
        <v>0</v>
      </c>
      <c r="CP126" s="847">
        <v>0</v>
      </c>
      <c r="CQ126" s="847">
        <v>0</v>
      </c>
      <c r="CR126" s="847">
        <v>0</v>
      </c>
      <c r="CS126" s="847">
        <v>0</v>
      </c>
      <c r="CT126" s="847">
        <v>0</v>
      </c>
      <c r="CU126" s="847">
        <v>0</v>
      </c>
      <c r="CV126" s="847">
        <v>0</v>
      </c>
      <c r="CW126" s="847">
        <v>0</v>
      </c>
      <c r="CX126" s="847">
        <v>0</v>
      </c>
      <c r="CY126" s="847">
        <v>0</v>
      </c>
      <c r="CZ126" s="847">
        <v>0</v>
      </c>
      <c r="DA126" s="847">
        <v>0</v>
      </c>
      <c r="DB126" s="847">
        <v>0</v>
      </c>
      <c r="DC126" s="847">
        <v>0</v>
      </c>
      <c r="DD126" s="847">
        <v>0</v>
      </c>
      <c r="DE126" s="847">
        <v>0</v>
      </c>
      <c r="DF126" s="847">
        <v>0</v>
      </c>
      <c r="DG126" s="847">
        <v>0</v>
      </c>
      <c r="DH126" s="847">
        <v>0</v>
      </c>
      <c r="DI126" s="847">
        <v>0</v>
      </c>
      <c r="DJ126" s="847">
        <v>0</v>
      </c>
      <c r="DK126" s="847">
        <v>0</v>
      </c>
      <c r="DL126" s="847">
        <v>0</v>
      </c>
      <c r="DM126" s="847">
        <v>0</v>
      </c>
      <c r="DN126" s="847">
        <v>0</v>
      </c>
      <c r="DO126" s="847">
        <v>0</v>
      </c>
      <c r="DP126" s="847">
        <v>0</v>
      </c>
      <c r="DQ126" s="847">
        <v>0</v>
      </c>
      <c r="DR126" s="847">
        <v>0</v>
      </c>
      <c r="DS126" s="847">
        <v>0</v>
      </c>
      <c r="DT126" s="847">
        <v>0</v>
      </c>
      <c r="DU126" s="847">
        <v>0</v>
      </c>
      <c r="DV126" s="847">
        <v>0</v>
      </c>
      <c r="DW126" s="847">
        <v>0</v>
      </c>
      <c r="DY126" s="173"/>
      <c r="DZ126" s="173"/>
      <c r="EA126" s="173"/>
      <c r="EB126" s="174"/>
      <c r="EC126" s="175"/>
      <c r="ED126" s="174"/>
      <c r="EE126" s="174"/>
      <c r="EF126" s="174"/>
      <c r="EG126" s="174"/>
      <c r="EH126" s="174"/>
      <c r="EI126" s="174"/>
      <c r="EJ126" s="174"/>
      <c r="EK126" s="174"/>
      <c r="EL126" s="174"/>
      <c r="EM126" s="174"/>
      <c r="EN126" s="174"/>
      <c r="EO126" s="174"/>
      <c r="EP126" s="174"/>
      <c r="EQ126" s="174"/>
      <c r="ER126" s="174"/>
      <c r="ES126" s="174"/>
      <c r="ET126" s="174"/>
      <c r="EU126" s="174"/>
      <c r="EV126" s="174"/>
      <c r="EW126" s="174"/>
      <c r="EX126" s="174"/>
      <c r="EY126" s="174"/>
      <c r="EZ126" s="174"/>
      <c r="FA126" s="174"/>
      <c r="FB126" s="174"/>
      <c r="FC126" s="174"/>
      <c r="FD126" s="174"/>
      <c r="FE126" s="174"/>
      <c r="FF126" s="174"/>
      <c r="FG126" s="174"/>
      <c r="FH126" s="174"/>
      <c r="FI126" s="174"/>
      <c r="FJ126" s="174"/>
      <c r="FK126" s="174"/>
      <c r="FL126" s="174"/>
      <c r="FM126" s="174"/>
      <c r="FN126" s="174"/>
      <c r="FO126" s="174"/>
      <c r="FP126" s="174"/>
      <c r="FQ126" s="174"/>
      <c r="FR126" s="174"/>
      <c r="FS126" s="174"/>
      <c r="FT126" s="174"/>
      <c r="FU126" s="174"/>
      <c r="FV126" s="174"/>
      <c r="FW126" s="174"/>
      <c r="FX126" s="174"/>
      <c r="FY126" s="174"/>
      <c r="FZ126" s="174"/>
      <c r="GA126" s="174"/>
      <c r="GB126" s="174"/>
      <c r="GC126" s="174"/>
      <c r="GD126" s="174"/>
      <c r="GE126" s="174"/>
      <c r="GF126" s="174"/>
      <c r="GG126" s="174"/>
      <c r="GH126" s="174"/>
      <c r="GI126" s="174"/>
      <c r="GJ126" s="174"/>
      <c r="GK126" s="176"/>
      <c r="GL126" s="176"/>
      <c r="GM126" s="176"/>
      <c r="GN126" s="176"/>
      <c r="GO126" s="176"/>
      <c r="GP126" s="176"/>
      <c r="GQ126" s="176"/>
      <c r="GR126" s="176"/>
      <c r="GS126" s="176"/>
      <c r="GT126" s="176"/>
      <c r="GU126" s="176"/>
      <c r="GV126" s="176"/>
      <c r="GW126" s="176"/>
      <c r="GX126" s="176"/>
      <c r="GY126" s="176"/>
      <c r="GZ126" s="176"/>
      <c r="HA126" s="176"/>
      <c r="HB126" s="176"/>
      <c r="HC126" s="176"/>
      <c r="HD126" s="176"/>
      <c r="HE126" s="176"/>
      <c r="HF126" s="176"/>
      <c r="HG126" s="176"/>
      <c r="HH126" s="176"/>
      <c r="HI126" s="176"/>
      <c r="HJ126" s="176"/>
      <c r="HK126" s="176"/>
      <c r="HL126" s="176"/>
      <c r="HM126" s="176"/>
      <c r="HN126" s="176"/>
      <c r="HO126" s="176"/>
      <c r="HP126" s="176"/>
      <c r="HQ126" s="176"/>
      <c r="HR126" s="176"/>
      <c r="HS126" s="176"/>
      <c r="HT126" s="176"/>
      <c r="HU126" s="176"/>
      <c r="HV126" s="176"/>
      <c r="HW126" s="176"/>
      <c r="HX126" s="176"/>
      <c r="HY126" s="176"/>
      <c r="HZ126" s="176"/>
      <c r="IA126" s="176"/>
      <c r="IB126" s="176"/>
      <c r="IC126" s="176"/>
      <c r="ID126" s="176"/>
      <c r="IE126" s="176"/>
      <c r="IF126" s="176"/>
      <c r="IG126" s="176"/>
      <c r="IH126" s="176"/>
      <c r="II126" s="176"/>
      <c r="IJ126" s="176"/>
    </row>
    <row r="127" spans="1:244" ht="16.5" hidden="1">
      <c r="A127" s="846" t="s">
        <v>1060</v>
      </c>
      <c r="B127" s="846" t="s">
        <v>1382</v>
      </c>
      <c r="C127" s="846" t="s">
        <v>1171</v>
      </c>
      <c r="D127" s="847">
        <v>6</v>
      </c>
      <c r="E127" s="846" t="s">
        <v>1171</v>
      </c>
      <c r="F127" s="846" t="s">
        <v>97</v>
      </c>
      <c r="G127" s="851"/>
      <c r="H127" s="847">
        <v>48</v>
      </c>
      <c r="I127" s="780" t="str">
        <f t="shared" si="2"/>
        <v>IWT060248</v>
      </c>
      <c r="J127" s="847">
        <v>5058</v>
      </c>
      <c r="L127" s="846" t="s">
        <v>1060</v>
      </c>
      <c r="M127" s="846" t="s">
        <v>1382</v>
      </c>
      <c r="N127" s="846" t="s">
        <v>97</v>
      </c>
      <c r="O127" s="847">
        <v>48</v>
      </c>
      <c r="P127" s="780" t="str">
        <f t="shared" si="3"/>
        <v>IWT060248</v>
      </c>
      <c r="Q127" s="847">
        <v>1103</v>
      </c>
      <c r="R127" s="847">
        <v>2947</v>
      </c>
      <c r="S127" s="847">
        <v>4754</v>
      </c>
      <c r="T127" s="847">
        <v>6526</v>
      </c>
      <c r="U127" s="847">
        <v>8262</v>
      </c>
      <c r="V127" s="847">
        <v>0</v>
      </c>
      <c r="W127" s="847">
        <v>0</v>
      </c>
      <c r="X127" s="847">
        <v>0</v>
      </c>
      <c r="Y127" s="847">
        <v>0</v>
      </c>
      <c r="Z127" s="847">
        <v>0</v>
      </c>
      <c r="AA127" s="847">
        <v>0</v>
      </c>
      <c r="AB127" s="847">
        <v>0</v>
      </c>
      <c r="AC127" s="847">
        <v>0</v>
      </c>
      <c r="AD127" s="847">
        <v>0</v>
      </c>
      <c r="AE127" s="847">
        <v>0</v>
      </c>
      <c r="AF127" s="847">
        <v>0</v>
      </c>
      <c r="AG127" s="847">
        <v>0</v>
      </c>
      <c r="AH127" s="847">
        <v>0</v>
      </c>
      <c r="AI127" s="847">
        <v>0</v>
      </c>
      <c r="AJ127" s="847">
        <v>0</v>
      </c>
      <c r="AK127" s="847">
        <v>0</v>
      </c>
      <c r="AL127" s="847">
        <v>0</v>
      </c>
      <c r="AM127" s="847">
        <v>0</v>
      </c>
      <c r="AN127" s="847">
        <v>0</v>
      </c>
      <c r="AO127" s="847">
        <v>0</v>
      </c>
      <c r="AP127" s="847">
        <v>0</v>
      </c>
      <c r="AQ127" s="847">
        <v>0</v>
      </c>
      <c r="AR127" s="847">
        <v>0</v>
      </c>
      <c r="AS127" s="847">
        <v>0</v>
      </c>
      <c r="AT127" s="847">
        <v>0</v>
      </c>
      <c r="AU127" s="847">
        <v>0</v>
      </c>
      <c r="AV127" s="847">
        <v>0</v>
      </c>
      <c r="AW127" s="847">
        <v>0</v>
      </c>
      <c r="AX127" s="847">
        <v>0</v>
      </c>
      <c r="AY127" s="847">
        <v>0</v>
      </c>
      <c r="AZ127" s="847">
        <v>0</v>
      </c>
      <c r="BA127" s="847">
        <v>0</v>
      </c>
      <c r="BB127" s="847">
        <v>0</v>
      </c>
      <c r="BC127" s="847">
        <v>0</v>
      </c>
      <c r="BD127" s="847">
        <v>0</v>
      </c>
      <c r="BE127" s="847">
        <v>0</v>
      </c>
      <c r="BF127" s="847">
        <v>0</v>
      </c>
      <c r="BG127" s="847">
        <v>0</v>
      </c>
      <c r="BH127" s="847">
        <v>0</v>
      </c>
      <c r="BI127" s="847">
        <v>0</v>
      </c>
      <c r="BJ127" s="847">
        <v>0</v>
      </c>
      <c r="BK127" s="847">
        <v>0</v>
      </c>
      <c r="BL127" s="847">
        <v>0</v>
      </c>
      <c r="BM127" s="847">
        <v>0</v>
      </c>
      <c r="BN127" s="847">
        <v>0</v>
      </c>
      <c r="BO127" s="847">
        <v>0</v>
      </c>
      <c r="BP127" s="847">
        <v>0</v>
      </c>
      <c r="BQ127" s="847">
        <v>0</v>
      </c>
      <c r="BR127" s="847">
        <v>0</v>
      </c>
      <c r="BS127" s="847">
        <v>0</v>
      </c>
      <c r="BT127" s="847">
        <v>0</v>
      </c>
      <c r="BU127" s="847">
        <v>0</v>
      </c>
      <c r="BV127" s="847">
        <v>0</v>
      </c>
      <c r="BW127" s="847">
        <v>0</v>
      </c>
      <c r="BX127" s="847">
        <v>0</v>
      </c>
      <c r="BY127" s="847">
        <v>0</v>
      </c>
      <c r="BZ127" s="847">
        <v>0</v>
      </c>
      <c r="CA127" s="847">
        <v>0</v>
      </c>
      <c r="CB127" s="847">
        <v>0</v>
      </c>
      <c r="CC127" s="847">
        <v>0</v>
      </c>
      <c r="CD127" s="847">
        <v>0</v>
      </c>
      <c r="CE127" s="847">
        <v>0</v>
      </c>
      <c r="CF127" s="847">
        <v>0</v>
      </c>
      <c r="CG127" s="847">
        <v>0</v>
      </c>
      <c r="CH127" s="847">
        <v>0</v>
      </c>
      <c r="CI127" s="847">
        <v>0</v>
      </c>
      <c r="CJ127" s="847">
        <v>0</v>
      </c>
      <c r="CK127" s="847">
        <v>0</v>
      </c>
      <c r="CL127" s="847">
        <v>0</v>
      </c>
      <c r="CM127" s="847">
        <v>0</v>
      </c>
      <c r="CN127" s="847">
        <v>0</v>
      </c>
      <c r="CO127" s="847">
        <v>0</v>
      </c>
      <c r="CP127" s="847">
        <v>0</v>
      </c>
      <c r="CQ127" s="847">
        <v>0</v>
      </c>
      <c r="CR127" s="847">
        <v>0</v>
      </c>
      <c r="CS127" s="847">
        <v>0</v>
      </c>
      <c r="CT127" s="847">
        <v>0</v>
      </c>
      <c r="CU127" s="847">
        <v>0</v>
      </c>
      <c r="CV127" s="847">
        <v>0</v>
      </c>
      <c r="CW127" s="847">
        <v>0</v>
      </c>
      <c r="CX127" s="847">
        <v>0</v>
      </c>
      <c r="CY127" s="847">
        <v>0</v>
      </c>
      <c r="CZ127" s="847">
        <v>0</v>
      </c>
      <c r="DA127" s="847">
        <v>0</v>
      </c>
      <c r="DB127" s="847">
        <v>0</v>
      </c>
      <c r="DC127" s="847">
        <v>0</v>
      </c>
      <c r="DD127" s="847">
        <v>0</v>
      </c>
      <c r="DE127" s="847">
        <v>0</v>
      </c>
      <c r="DF127" s="847">
        <v>0</v>
      </c>
      <c r="DG127" s="847">
        <v>0</v>
      </c>
      <c r="DH127" s="847">
        <v>0</v>
      </c>
      <c r="DI127" s="847">
        <v>0</v>
      </c>
      <c r="DJ127" s="847">
        <v>0</v>
      </c>
      <c r="DK127" s="847">
        <v>0</v>
      </c>
      <c r="DL127" s="847">
        <v>0</v>
      </c>
      <c r="DM127" s="847">
        <v>0</v>
      </c>
      <c r="DN127" s="847">
        <v>0</v>
      </c>
      <c r="DO127" s="847">
        <v>0</v>
      </c>
      <c r="DP127" s="847">
        <v>0</v>
      </c>
      <c r="DQ127" s="847">
        <v>0</v>
      </c>
      <c r="DR127" s="847">
        <v>0</v>
      </c>
      <c r="DS127" s="847">
        <v>0</v>
      </c>
      <c r="DT127" s="847">
        <v>0</v>
      </c>
      <c r="DU127" s="847">
        <v>0</v>
      </c>
      <c r="DV127" s="847">
        <v>0</v>
      </c>
      <c r="DW127" s="847">
        <v>0</v>
      </c>
      <c r="DY127" s="173"/>
      <c r="DZ127" s="173"/>
      <c r="EA127" s="173"/>
      <c r="EB127" s="174"/>
      <c r="EC127" s="175"/>
      <c r="ED127" s="174"/>
      <c r="EE127" s="174"/>
      <c r="EF127" s="174"/>
      <c r="EG127" s="174"/>
      <c r="EH127" s="174"/>
      <c r="EI127" s="174"/>
      <c r="EJ127" s="174"/>
      <c r="EK127" s="174"/>
      <c r="EL127" s="174"/>
      <c r="EM127" s="174"/>
      <c r="EN127" s="174"/>
      <c r="EO127" s="174"/>
      <c r="EP127" s="174"/>
      <c r="EQ127" s="174"/>
      <c r="ER127" s="174"/>
      <c r="ES127" s="174"/>
      <c r="ET127" s="174"/>
      <c r="EU127" s="174"/>
      <c r="EV127" s="174"/>
      <c r="EW127" s="174"/>
      <c r="EX127" s="174"/>
      <c r="EY127" s="174"/>
      <c r="EZ127" s="174"/>
      <c r="FA127" s="174"/>
      <c r="FB127" s="174"/>
      <c r="FC127" s="174"/>
      <c r="FD127" s="174"/>
      <c r="FE127" s="174"/>
      <c r="FF127" s="174"/>
      <c r="FG127" s="174"/>
      <c r="FH127" s="174"/>
      <c r="FI127" s="174"/>
      <c r="FJ127" s="174"/>
      <c r="FK127" s="174"/>
      <c r="FL127" s="174"/>
      <c r="FM127" s="174"/>
      <c r="FN127" s="174"/>
      <c r="FO127" s="174"/>
      <c r="FP127" s="174"/>
      <c r="FQ127" s="174"/>
      <c r="FR127" s="174"/>
      <c r="FS127" s="174"/>
      <c r="FT127" s="174"/>
      <c r="FU127" s="174"/>
      <c r="FV127" s="174"/>
      <c r="FW127" s="174"/>
      <c r="FX127" s="174"/>
      <c r="FY127" s="174"/>
      <c r="FZ127" s="174"/>
      <c r="GA127" s="174"/>
      <c r="GB127" s="174"/>
      <c r="GC127" s="174"/>
      <c r="GD127" s="174"/>
      <c r="GE127" s="174"/>
      <c r="GF127" s="174"/>
      <c r="GG127" s="174"/>
      <c r="GH127" s="174"/>
      <c r="GI127" s="174"/>
      <c r="GJ127" s="176"/>
      <c r="GK127" s="176"/>
      <c r="GL127" s="176"/>
      <c r="GM127" s="176"/>
      <c r="GN127" s="176"/>
      <c r="GO127" s="176"/>
      <c r="GP127" s="176"/>
      <c r="GQ127" s="176"/>
      <c r="GR127" s="176"/>
      <c r="GS127" s="176"/>
      <c r="GT127" s="176"/>
      <c r="GU127" s="176"/>
      <c r="GV127" s="176"/>
      <c r="GW127" s="176"/>
      <c r="GX127" s="176"/>
      <c r="GY127" s="176"/>
      <c r="GZ127" s="176"/>
      <c r="HA127" s="176"/>
      <c r="HB127" s="176"/>
      <c r="HC127" s="176"/>
      <c r="HD127" s="176"/>
      <c r="HE127" s="176"/>
      <c r="HF127" s="176"/>
      <c r="HG127" s="176"/>
      <c r="HH127" s="176"/>
      <c r="HI127" s="176"/>
      <c r="HJ127" s="176"/>
      <c r="HK127" s="176"/>
      <c r="HL127" s="176"/>
      <c r="HM127" s="176"/>
      <c r="HN127" s="176"/>
      <c r="HO127" s="176"/>
      <c r="HP127" s="176"/>
      <c r="HQ127" s="176"/>
      <c r="HR127" s="176"/>
      <c r="HS127" s="176"/>
      <c r="HT127" s="176"/>
      <c r="HU127" s="176"/>
      <c r="HV127" s="176"/>
      <c r="HW127" s="176"/>
      <c r="HX127" s="176"/>
      <c r="HY127" s="176"/>
      <c r="HZ127" s="176"/>
      <c r="IA127" s="176"/>
      <c r="IB127" s="176"/>
      <c r="IC127" s="176"/>
      <c r="ID127" s="176"/>
      <c r="IE127" s="176"/>
      <c r="IF127" s="176"/>
      <c r="IG127" s="176"/>
      <c r="IH127" s="176"/>
      <c r="II127" s="176"/>
      <c r="IJ127" s="176"/>
    </row>
    <row r="128" spans="1:244" ht="16.5" hidden="1">
      <c r="A128" s="846" t="s">
        <v>1060</v>
      </c>
      <c r="B128" s="846" t="s">
        <v>1382</v>
      </c>
      <c r="C128" s="846" t="s">
        <v>1171</v>
      </c>
      <c r="D128" s="847">
        <v>6</v>
      </c>
      <c r="E128" s="846" t="s">
        <v>1171</v>
      </c>
      <c r="F128" s="846" t="s">
        <v>97</v>
      </c>
      <c r="G128" s="851"/>
      <c r="H128" s="847">
        <v>49</v>
      </c>
      <c r="I128" s="780" t="str">
        <f t="shared" si="2"/>
        <v>IWT060249</v>
      </c>
      <c r="J128" s="847">
        <v>5060</v>
      </c>
      <c r="L128" s="846" t="s">
        <v>1060</v>
      </c>
      <c r="M128" s="846" t="s">
        <v>1382</v>
      </c>
      <c r="N128" s="846" t="s">
        <v>97</v>
      </c>
      <c r="O128" s="847">
        <v>49</v>
      </c>
      <c r="P128" s="780" t="str">
        <f t="shared" si="3"/>
        <v>IWT060249</v>
      </c>
      <c r="Q128" s="847">
        <v>1102</v>
      </c>
      <c r="R128" s="847">
        <v>2946</v>
      </c>
      <c r="S128" s="847">
        <v>4753</v>
      </c>
      <c r="T128" s="847">
        <v>6525</v>
      </c>
      <c r="U128" s="847">
        <v>8262</v>
      </c>
      <c r="V128" s="847">
        <v>0</v>
      </c>
      <c r="W128" s="847">
        <v>0</v>
      </c>
      <c r="X128" s="847">
        <v>0</v>
      </c>
      <c r="Y128" s="847">
        <v>0</v>
      </c>
      <c r="Z128" s="847">
        <v>0</v>
      </c>
      <c r="AA128" s="847">
        <v>0</v>
      </c>
      <c r="AB128" s="847">
        <v>0</v>
      </c>
      <c r="AC128" s="847">
        <v>0</v>
      </c>
      <c r="AD128" s="847">
        <v>0</v>
      </c>
      <c r="AE128" s="847">
        <v>0</v>
      </c>
      <c r="AF128" s="847">
        <v>0</v>
      </c>
      <c r="AG128" s="847">
        <v>0</v>
      </c>
      <c r="AH128" s="847">
        <v>0</v>
      </c>
      <c r="AI128" s="847">
        <v>0</v>
      </c>
      <c r="AJ128" s="847">
        <v>0</v>
      </c>
      <c r="AK128" s="847">
        <v>0</v>
      </c>
      <c r="AL128" s="847">
        <v>0</v>
      </c>
      <c r="AM128" s="847">
        <v>0</v>
      </c>
      <c r="AN128" s="847">
        <v>0</v>
      </c>
      <c r="AO128" s="847">
        <v>0</v>
      </c>
      <c r="AP128" s="847">
        <v>0</v>
      </c>
      <c r="AQ128" s="847">
        <v>0</v>
      </c>
      <c r="AR128" s="847">
        <v>0</v>
      </c>
      <c r="AS128" s="847">
        <v>0</v>
      </c>
      <c r="AT128" s="847">
        <v>0</v>
      </c>
      <c r="AU128" s="847">
        <v>0</v>
      </c>
      <c r="AV128" s="847">
        <v>0</v>
      </c>
      <c r="AW128" s="847">
        <v>0</v>
      </c>
      <c r="AX128" s="847">
        <v>0</v>
      </c>
      <c r="AY128" s="847">
        <v>0</v>
      </c>
      <c r="AZ128" s="847">
        <v>0</v>
      </c>
      <c r="BA128" s="847">
        <v>0</v>
      </c>
      <c r="BB128" s="847">
        <v>0</v>
      </c>
      <c r="BC128" s="847">
        <v>0</v>
      </c>
      <c r="BD128" s="847">
        <v>0</v>
      </c>
      <c r="BE128" s="847">
        <v>0</v>
      </c>
      <c r="BF128" s="847">
        <v>0</v>
      </c>
      <c r="BG128" s="847">
        <v>0</v>
      </c>
      <c r="BH128" s="847">
        <v>0</v>
      </c>
      <c r="BI128" s="847">
        <v>0</v>
      </c>
      <c r="BJ128" s="847">
        <v>0</v>
      </c>
      <c r="BK128" s="847">
        <v>0</v>
      </c>
      <c r="BL128" s="847">
        <v>0</v>
      </c>
      <c r="BM128" s="847">
        <v>0</v>
      </c>
      <c r="BN128" s="847">
        <v>0</v>
      </c>
      <c r="BO128" s="847">
        <v>0</v>
      </c>
      <c r="BP128" s="847">
        <v>0</v>
      </c>
      <c r="BQ128" s="847">
        <v>0</v>
      </c>
      <c r="BR128" s="847">
        <v>0</v>
      </c>
      <c r="BS128" s="847">
        <v>0</v>
      </c>
      <c r="BT128" s="847">
        <v>0</v>
      </c>
      <c r="BU128" s="847">
        <v>0</v>
      </c>
      <c r="BV128" s="847">
        <v>0</v>
      </c>
      <c r="BW128" s="847">
        <v>0</v>
      </c>
      <c r="BX128" s="847">
        <v>0</v>
      </c>
      <c r="BY128" s="847">
        <v>0</v>
      </c>
      <c r="BZ128" s="847">
        <v>0</v>
      </c>
      <c r="CA128" s="847">
        <v>0</v>
      </c>
      <c r="CB128" s="847">
        <v>0</v>
      </c>
      <c r="CC128" s="847">
        <v>0</v>
      </c>
      <c r="CD128" s="847">
        <v>0</v>
      </c>
      <c r="CE128" s="847">
        <v>0</v>
      </c>
      <c r="CF128" s="847">
        <v>0</v>
      </c>
      <c r="CG128" s="847">
        <v>0</v>
      </c>
      <c r="CH128" s="847">
        <v>0</v>
      </c>
      <c r="CI128" s="847">
        <v>0</v>
      </c>
      <c r="CJ128" s="847">
        <v>0</v>
      </c>
      <c r="CK128" s="847">
        <v>0</v>
      </c>
      <c r="CL128" s="847">
        <v>0</v>
      </c>
      <c r="CM128" s="847">
        <v>0</v>
      </c>
      <c r="CN128" s="847">
        <v>0</v>
      </c>
      <c r="CO128" s="847">
        <v>0</v>
      </c>
      <c r="CP128" s="847">
        <v>0</v>
      </c>
      <c r="CQ128" s="847">
        <v>0</v>
      </c>
      <c r="CR128" s="847">
        <v>0</v>
      </c>
      <c r="CS128" s="847">
        <v>0</v>
      </c>
      <c r="CT128" s="847">
        <v>0</v>
      </c>
      <c r="CU128" s="847">
        <v>0</v>
      </c>
      <c r="CV128" s="847">
        <v>0</v>
      </c>
      <c r="CW128" s="847">
        <v>0</v>
      </c>
      <c r="CX128" s="847">
        <v>0</v>
      </c>
      <c r="CY128" s="847">
        <v>0</v>
      </c>
      <c r="CZ128" s="847">
        <v>0</v>
      </c>
      <c r="DA128" s="847">
        <v>0</v>
      </c>
      <c r="DB128" s="847">
        <v>0</v>
      </c>
      <c r="DC128" s="847">
        <v>0</v>
      </c>
      <c r="DD128" s="847">
        <v>0</v>
      </c>
      <c r="DE128" s="847">
        <v>0</v>
      </c>
      <c r="DF128" s="847">
        <v>0</v>
      </c>
      <c r="DG128" s="847">
        <v>0</v>
      </c>
      <c r="DH128" s="847">
        <v>0</v>
      </c>
      <c r="DI128" s="847">
        <v>0</v>
      </c>
      <c r="DJ128" s="847">
        <v>0</v>
      </c>
      <c r="DK128" s="847">
        <v>0</v>
      </c>
      <c r="DL128" s="847">
        <v>0</v>
      </c>
      <c r="DM128" s="847">
        <v>0</v>
      </c>
      <c r="DN128" s="847">
        <v>0</v>
      </c>
      <c r="DO128" s="847">
        <v>0</v>
      </c>
      <c r="DP128" s="847">
        <v>0</v>
      </c>
      <c r="DQ128" s="847">
        <v>0</v>
      </c>
      <c r="DR128" s="847">
        <v>0</v>
      </c>
      <c r="DS128" s="847">
        <v>0</v>
      </c>
      <c r="DT128" s="847">
        <v>0</v>
      </c>
      <c r="DU128" s="847">
        <v>0</v>
      </c>
      <c r="DV128" s="847">
        <v>0</v>
      </c>
      <c r="DW128" s="847">
        <v>0</v>
      </c>
      <c r="DY128" s="173"/>
      <c r="DZ128" s="173"/>
      <c r="EA128" s="173"/>
      <c r="EB128" s="174"/>
      <c r="EC128" s="175"/>
      <c r="ED128" s="174"/>
      <c r="EE128" s="174"/>
      <c r="EF128" s="174"/>
      <c r="EG128" s="174"/>
      <c r="EH128" s="174"/>
      <c r="EI128" s="174"/>
      <c r="EJ128" s="174"/>
      <c r="EK128" s="174"/>
      <c r="EL128" s="174"/>
      <c r="EM128" s="174"/>
      <c r="EN128" s="174"/>
      <c r="EO128" s="174"/>
      <c r="EP128" s="174"/>
      <c r="EQ128" s="174"/>
      <c r="ER128" s="174"/>
      <c r="ES128" s="174"/>
      <c r="ET128" s="174"/>
      <c r="EU128" s="174"/>
      <c r="EV128" s="174"/>
      <c r="EW128" s="174"/>
      <c r="EX128" s="174"/>
      <c r="EY128" s="174"/>
      <c r="EZ128" s="174"/>
      <c r="FA128" s="174"/>
      <c r="FB128" s="174"/>
      <c r="FC128" s="174"/>
      <c r="FD128" s="174"/>
      <c r="FE128" s="174"/>
      <c r="FF128" s="174"/>
      <c r="FG128" s="174"/>
      <c r="FH128" s="174"/>
      <c r="FI128" s="174"/>
      <c r="FJ128" s="174"/>
      <c r="FK128" s="174"/>
      <c r="FL128" s="174"/>
      <c r="FM128" s="174"/>
      <c r="FN128" s="174"/>
      <c r="FO128" s="174"/>
      <c r="FP128" s="174"/>
      <c r="FQ128" s="174"/>
      <c r="FR128" s="174"/>
      <c r="FS128" s="174"/>
      <c r="FT128" s="174"/>
      <c r="FU128" s="174"/>
      <c r="FV128" s="174"/>
      <c r="FW128" s="174"/>
      <c r="FX128" s="174"/>
      <c r="FY128" s="174"/>
      <c r="FZ128" s="174"/>
      <c r="GA128" s="174"/>
      <c r="GB128" s="174"/>
      <c r="GC128" s="174"/>
      <c r="GD128" s="174"/>
      <c r="GE128" s="174"/>
      <c r="GF128" s="174"/>
      <c r="GG128" s="174"/>
      <c r="GH128" s="174"/>
      <c r="GI128" s="176"/>
      <c r="GJ128" s="176"/>
      <c r="GK128" s="176"/>
      <c r="GL128" s="176"/>
      <c r="GM128" s="176"/>
      <c r="GN128" s="176"/>
      <c r="GO128" s="176"/>
      <c r="GP128" s="176"/>
      <c r="GQ128" s="176"/>
      <c r="GR128" s="176"/>
      <c r="GS128" s="176"/>
      <c r="GT128" s="176"/>
      <c r="GU128" s="176"/>
      <c r="GV128" s="176"/>
      <c r="GW128" s="176"/>
      <c r="GX128" s="176"/>
      <c r="GY128" s="176"/>
      <c r="GZ128" s="176"/>
      <c r="HA128" s="176"/>
      <c r="HB128" s="176"/>
      <c r="HC128" s="176"/>
      <c r="HD128" s="176"/>
      <c r="HE128" s="176"/>
      <c r="HF128" s="176"/>
      <c r="HG128" s="176"/>
      <c r="HH128" s="176"/>
      <c r="HI128" s="176"/>
      <c r="HJ128" s="176"/>
      <c r="HK128" s="176"/>
      <c r="HL128" s="176"/>
      <c r="HM128" s="176"/>
      <c r="HN128" s="176"/>
      <c r="HO128" s="176"/>
      <c r="HP128" s="176"/>
      <c r="HQ128" s="176"/>
      <c r="HR128" s="176"/>
      <c r="HS128" s="176"/>
      <c r="HT128" s="176"/>
      <c r="HU128" s="176"/>
      <c r="HV128" s="176"/>
      <c r="HW128" s="176"/>
      <c r="HX128" s="176"/>
      <c r="HY128" s="176"/>
      <c r="HZ128" s="176"/>
      <c r="IA128" s="176"/>
      <c r="IB128" s="176"/>
      <c r="IC128" s="176"/>
      <c r="ID128" s="176"/>
      <c r="IE128" s="176"/>
      <c r="IF128" s="176"/>
      <c r="IG128" s="176"/>
      <c r="IH128" s="176"/>
      <c r="II128" s="176"/>
      <c r="IJ128" s="176"/>
    </row>
    <row r="129" spans="1:244" ht="16.5" hidden="1">
      <c r="A129" s="846" t="s">
        <v>1060</v>
      </c>
      <c r="B129" s="846" t="s">
        <v>1382</v>
      </c>
      <c r="C129" s="846" t="s">
        <v>1171</v>
      </c>
      <c r="D129" s="847">
        <v>6</v>
      </c>
      <c r="E129" s="846" t="s">
        <v>1171</v>
      </c>
      <c r="F129" s="846" t="s">
        <v>97</v>
      </c>
      <c r="G129" s="851"/>
      <c r="H129" s="847">
        <v>50</v>
      </c>
      <c r="I129" s="780" t="str">
        <f t="shared" si="2"/>
        <v>IWT060250</v>
      </c>
      <c r="J129" s="847">
        <v>5062</v>
      </c>
      <c r="L129" s="846" t="s">
        <v>1060</v>
      </c>
      <c r="M129" s="846" t="s">
        <v>1382</v>
      </c>
      <c r="N129" s="846" t="s">
        <v>97</v>
      </c>
      <c r="O129" s="847">
        <v>50</v>
      </c>
      <c r="P129" s="780" t="str">
        <f t="shared" si="3"/>
        <v>IWT060250</v>
      </c>
      <c r="Q129" s="847">
        <v>1101</v>
      </c>
      <c r="R129" s="847">
        <v>2945</v>
      </c>
      <c r="S129" s="847">
        <v>4753</v>
      </c>
      <c r="T129" s="847">
        <v>6525</v>
      </c>
      <c r="U129" s="847">
        <v>8262</v>
      </c>
      <c r="V129" s="847">
        <v>0</v>
      </c>
      <c r="W129" s="847">
        <v>0</v>
      </c>
      <c r="X129" s="847">
        <v>0</v>
      </c>
      <c r="Y129" s="847">
        <v>0</v>
      </c>
      <c r="Z129" s="847">
        <v>0</v>
      </c>
      <c r="AA129" s="847">
        <v>0</v>
      </c>
      <c r="AB129" s="847">
        <v>0</v>
      </c>
      <c r="AC129" s="847">
        <v>0</v>
      </c>
      <c r="AD129" s="847">
        <v>0</v>
      </c>
      <c r="AE129" s="847">
        <v>0</v>
      </c>
      <c r="AF129" s="847">
        <v>0</v>
      </c>
      <c r="AG129" s="847">
        <v>0</v>
      </c>
      <c r="AH129" s="847">
        <v>0</v>
      </c>
      <c r="AI129" s="847">
        <v>0</v>
      </c>
      <c r="AJ129" s="847">
        <v>0</v>
      </c>
      <c r="AK129" s="847">
        <v>0</v>
      </c>
      <c r="AL129" s="847">
        <v>0</v>
      </c>
      <c r="AM129" s="847">
        <v>0</v>
      </c>
      <c r="AN129" s="847">
        <v>0</v>
      </c>
      <c r="AO129" s="847">
        <v>0</v>
      </c>
      <c r="AP129" s="847">
        <v>0</v>
      </c>
      <c r="AQ129" s="847">
        <v>0</v>
      </c>
      <c r="AR129" s="847">
        <v>0</v>
      </c>
      <c r="AS129" s="847">
        <v>0</v>
      </c>
      <c r="AT129" s="847">
        <v>0</v>
      </c>
      <c r="AU129" s="847">
        <v>0</v>
      </c>
      <c r="AV129" s="847">
        <v>0</v>
      </c>
      <c r="AW129" s="847">
        <v>0</v>
      </c>
      <c r="AX129" s="847">
        <v>0</v>
      </c>
      <c r="AY129" s="847">
        <v>0</v>
      </c>
      <c r="AZ129" s="847">
        <v>0</v>
      </c>
      <c r="BA129" s="847">
        <v>0</v>
      </c>
      <c r="BB129" s="847">
        <v>0</v>
      </c>
      <c r="BC129" s="847">
        <v>0</v>
      </c>
      <c r="BD129" s="847">
        <v>0</v>
      </c>
      <c r="BE129" s="847">
        <v>0</v>
      </c>
      <c r="BF129" s="847">
        <v>0</v>
      </c>
      <c r="BG129" s="847">
        <v>0</v>
      </c>
      <c r="BH129" s="847">
        <v>0</v>
      </c>
      <c r="BI129" s="847">
        <v>0</v>
      </c>
      <c r="BJ129" s="847">
        <v>0</v>
      </c>
      <c r="BK129" s="847">
        <v>0</v>
      </c>
      <c r="BL129" s="847">
        <v>0</v>
      </c>
      <c r="BM129" s="847">
        <v>0</v>
      </c>
      <c r="BN129" s="847">
        <v>0</v>
      </c>
      <c r="BO129" s="847">
        <v>0</v>
      </c>
      <c r="BP129" s="847">
        <v>0</v>
      </c>
      <c r="BQ129" s="847">
        <v>0</v>
      </c>
      <c r="BR129" s="847">
        <v>0</v>
      </c>
      <c r="BS129" s="847">
        <v>0</v>
      </c>
      <c r="BT129" s="847">
        <v>0</v>
      </c>
      <c r="BU129" s="847">
        <v>0</v>
      </c>
      <c r="BV129" s="847">
        <v>0</v>
      </c>
      <c r="BW129" s="847">
        <v>0</v>
      </c>
      <c r="BX129" s="847">
        <v>0</v>
      </c>
      <c r="BY129" s="847">
        <v>0</v>
      </c>
      <c r="BZ129" s="847">
        <v>0</v>
      </c>
      <c r="CA129" s="847">
        <v>0</v>
      </c>
      <c r="CB129" s="847">
        <v>0</v>
      </c>
      <c r="CC129" s="847">
        <v>0</v>
      </c>
      <c r="CD129" s="847">
        <v>0</v>
      </c>
      <c r="CE129" s="847">
        <v>0</v>
      </c>
      <c r="CF129" s="847">
        <v>0</v>
      </c>
      <c r="CG129" s="847">
        <v>0</v>
      </c>
      <c r="CH129" s="847">
        <v>0</v>
      </c>
      <c r="CI129" s="847">
        <v>0</v>
      </c>
      <c r="CJ129" s="847">
        <v>0</v>
      </c>
      <c r="CK129" s="847">
        <v>0</v>
      </c>
      <c r="CL129" s="847">
        <v>0</v>
      </c>
      <c r="CM129" s="847">
        <v>0</v>
      </c>
      <c r="CN129" s="847">
        <v>0</v>
      </c>
      <c r="CO129" s="847">
        <v>0</v>
      </c>
      <c r="CP129" s="847">
        <v>0</v>
      </c>
      <c r="CQ129" s="847">
        <v>0</v>
      </c>
      <c r="CR129" s="847">
        <v>0</v>
      </c>
      <c r="CS129" s="847">
        <v>0</v>
      </c>
      <c r="CT129" s="847">
        <v>0</v>
      </c>
      <c r="CU129" s="847">
        <v>0</v>
      </c>
      <c r="CV129" s="847">
        <v>0</v>
      </c>
      <c r="CW129" s="847">
        <v>0</v>
      </c>
      <c r="CX129" s="847">
        <v>0</v>
      </c>
      <c r="CY129" s="847">
        <v>0</v>
      </c>
      <c r="CZ129" s="847">
        <v>0</v>
      </c>
      <c r="DA129" s="847">
        <v>0</v>
      </c>
      <c r="DB129" s="847">
        <v>0</v>
      </c>
      <c r="DC129" s="847">
        <v>0</v>
      </c>
      <c r="DD129" s="847">
        <v>0</v>
      </c>
      <c r="DE129" s="847">
        <v>0</v>
      </c>
      <c r="DF129" s="847">
        <v>0</v>
      </c>
      <c r="DG129" s="847">
        <v>0</v>
      </c>
      <c r="DH129" s="847">
        <v>0</v>
      </c>
      <c r="DI129" s="847">
        <v>0</v>
      </c>
      <c r="DJ129" s="847">
        <v>0</v>
      </c>
      <c r="DK129" s="847">
        <v>0</v>
      </c>
      <c r="DL129" s="847">
        <v>0</v>
      </c>
      <c r="DM129" s="847">
        <v>0</v>
      </c>
      <c r="DN129" s="847">
        <v>0</v>
      </c>
      <c r="DO129" s="847">
        <v>0</v>
      </c>
      <c r="DP129" s="847">
        <v>0</v>
      </c>
      <c r="DQ129" s="847">
        <v>0</v>
      </c>
      <c r="DR129" s="847">
        <v>0</v>
      </c>
      <c r="DS129" s="847">
        <v>0</v>
      </c>
      <c r="DT129" s="847">
        <v>0</v>
      </c>
      <c r="DU129" s="847">
        <v>0</v>
      </c>
      <c r="DV129" s="847">
        <v>0</v>
      </c>
      <c r="DW129" s="847">
        <v>0</v>
      </c>
      <c r="DY129" s="173"/>
      <c r="DZ129" s="173"/>
      <c r="EA129" s="173"/>
      <c r="EB129" s="174"/>
      <c r="EC129" s="175"/>
      <c r="ED129" s="174"/>
      <c r="EE129" s="174"/>
      <c r="EF129" s="174"/>
      <c r="EG129" s="174"/>
      <c r="EH129" s="174"/>
      <c r="EI129" s="174"/>
      <c r="EJ129" s="174"/>
      <c r="EK129" s="174"/>
      <c r="EL129" s="174"/>
      <c r="EM129" s="174"/>
      <c r="EN129" s="174"/>
      <c r="EO129" s="174"/>
      <c r="EP129" s="174"/>
      <c r="EQ129" s="174"/>
      <c r="ER129" s="174"/>
      <c r="ES129" s="174"/>
      <c r="ET129" s="174"/>
      <c r="EU129" s="174"/>
      <c r="EV129" s="174"/>
      <c r="EW129" s="174"/>
      <c r="EX129" s="174"/>
      <c r="EY129" s="174"/>
      <c r="EZ129" s="174"/>
      <c r="FA129" s="174"/>
      <c r="FB129" s="174"/>
      <c r="FC129" s="174"/>
      <c r="FD129" s="174"/>
      <c r="FE129" s="174"/>
      <c r="FF129" s="174"/>
      <c r="FG129" s="174"/>
      <c r="FH129" s="174"/>
      <c r="FI129" s="174"/>
      <c r="FJ129" s="174"/>
      <c r="FK129" s="174"/>
      <c r="FL129" s="174"/>
      <c r="FM129" s="174"/>
      <c r="FN129" s="174"/>
      <c r="FO129" s="174"/>
      <c r="FP129" s="174"/>
      <c r="FQ129" s="174"/>
      <c r="FR129" s="174"/>
      <c r="FS129" s="174"/>
      <c r="FT129" s="174"/>
      <c r="FU129" s="174"/>
      <c r="FV129" s="174"/>
      <c r="FW129" s="174"/>
      <c r="FX129" s="174"/>
      <c r="FY129" s="174"/>
      <c r="FZ129" s="174"/>
      <c r="GA129" s="174"/>
      <c r="GB129" s="174"/>
      <c r="GC129" s="174"/>
      <c r="GD129" s="174"/>
      <c r="GE129" s="174"/>
      <c r="GF129" s="174"/>
      <c r="GG129" s="174"/>
      <c r="GH129" s="176"/>
      <c r="GI129" s="176"/>
      <c r="GJ129" s="176"/>
      <c r="GK129" s="176"/>
      <c r="GL129" s="176"/>
      <c r="GM129" s="176"/>
      <c r="GN129" s="176"/>
      <c r="GO129" s="176"/>
      <c r="GP129" s="176"/>
      <c r="GQ129" s="176"/>
      <c r="GR129" s="176"/>
      <c r="GS129" s="176"/>
      <c r="GT129" s="176"/>
      <c r="GU129" s="176"/>
      <c r="GV129" s="176"/>
      <c r="GW129" s="176"/>
      <c r="GX129" s="176"/>
      <c r="GY129" s="176"/>
      <c r="GZ129" s="176"/>
      <c r="HA129" s="176"/>
      <c r="HB129" s="176"/>
      <c r="HC129" s="176"/>
      <c r="HD129" s="176"/>
      <c r="HE129" s="176"/>
      <c r="HF129" s="176"/>
      <c r="HG129" s="176"/>
      <c r="HH129" s="176"/>
      <c r="HI129" s="176"/>
      <c r="HJ129" s="176"/>
      <c r="HK129" s="176"/>
      <c r="HL129" s="176"/>
      <c r="HM129" s="176"/>
      <c r="HN129" s="176"/>
      <c r="HO129" s="176"/>
      <c r="HP129" s="176"/>
      <c r="HQ129" s="176"/>
      <c r="HR129" s="176"/>
      <c r="HS129" s="176"/>
      <c r="HT129" s="176"/>
      <c r="HU129" s="176"/>
      <c r="HV129" s="176"/>
      <c r="HW129" s="176"/>
      <c r="HX129" s="176"/>
      <c r="HY129" s="176"/>
      <c r="HZ129" s="176"/>
      <c r="IA129" s="176"/>
      <c r="IB129" s="176"/>
      <c r="IC129" s="176"/>
      <c r="ID129" s="176"/>
      <c r="IE129" s="176"/>
      <c r="IF129" s="176"/>
      <c r="IG129" s="176"/>
      <c r="IH129" s="176"/>
      <c r="II129" s="176"/>
      <c r="IJ129" s="176"/>
    </row>
    <row r="130" spans="1:244" ht="16.5" hidden="1">
      <c r="A130" s="846" t="s">
        <v>1060</v>
      </c>
      <c r="B130" s="846" t="s">
        <v>1382</v>
      </c>
      <c r="C130" s="846" t="s">
        <v>1171</v>
      </c>
      <c r="D130" s="847">
        <v>6</v>
      </c>
      <c r="E130" s="846" t="s">
        <v>1171</v>
      </c>
      <c r="F130" s="846" t="s">
        <v>97</v>
      </c>
      <c r="G130" s="851"/>
      <c r="H130" s="847">
        <v>51</v>
      </c>
      <c r="I130" s="780" t="str">
        <f t="shared" ref="I130:I154" si="4">B130&amp;TEXT(F130,"00")&amp;TEXT(H130,"00")</f>
        <v>IWT060251</v>
      </c>
      <c r="J130" s="847">
        <v>5064</v>
      </c>
      <c r="L130" s="846" t="s">
        <v>1060</v>
      </c>
      <c r="M130" s="846" t="s">
        <v>1382</v>
      </c>
      <c r="N130" s="846" t="s">
        <v>97</v>
      </c>
      <c r="O130" s="847">
        <v>51</v>
      </c>
      <c r="P130" s="780" t="str">
        <f t="shared" ref="P130:P154" si="5">M130&amp;TEXT(N130,"00")&amp;TEXT(O130,"00")</f>
        <v>IWT060251</v>
      </c>
      <c r="Q130" s="847">
        <v>1100</v>
      </c>
      <c r="R130" s="847">
        <v>2944</v>
      </c>
      <c r="S130" s="847">
        <v>4752</v>
      </c>
      <c r="T130" s="847">
        <v>6524</v>
      </c>
      <c r="U130" s="847">
        <v>8261</v>
      </c>
      <c r="V130" s="847">
        <v>0</v>
      </c>
      <c r="W130" s="847">
        <v>0</v>
      </c>
      <c r="X130" s="847">
        <v>0</v>
      </c>
      <c r="Y130" s="847">
        <v>0</v>
      </c>
      <c r="Z130" s="847">
        <v>0</v>
      </c>
      <c r="AA130" s="847">
        <v>0</v>
      </c>
      <c r="AB130" s="847">
        <v>0</v>
      </c>
      <c r="AC130" s="847">
        <v>0</v>
      </c>
      <c r="AD130" s="847">
        <v>0</v>
      </c>
      <c r="AE130" s="847">
        <v>0</v>
      </c>
      <c r="AF130" s="847">
        <v>0</v>
      </c>
      <c r="AG130" s="847">
        <v>0</v>
      </c>
      <c r="AH130" s="847">
        <v>0</v>
      </c>
      <c r="AI130" s="847">
        <v>0</v>
      </c>
      <c r="AJ130" s="847">
        <v>0</v>
      </c>
      <c r="AK130" s="847">
        <v>0</v>
      </c>
      <c r="AL130" s="847">
        <v>0</v>
      </c>
      <c r="AM130" s="847">
        <v>0</v>
      </c>
      <c r="AN130" s="847">
        <v>0</v>
      </c>
      <c r="AO130" s="847">
        <v>0</v>
      </c>
      <c r="AP130" s="847">
        <v>0</v>
      </c>
      <c r="AQ130" s="847">
        <v>0</v>
      </c>
      <c r="AR130" s="847">
        <v>0</v>
      </c>
      <c r="AS130" s="847">
        <v>0</v>
      </c>
      <c r="AT130" s="847">
        <v>0</v>
      </c>
      <c r="AU130" s="847">
        <v>0</v>
      </c>
      <c r="AV130" s="847">
        <v>0</v>
      </c>
      <c r="AW130" s="847">
        <v>0</v>
      </c>
      <c r="AX130" s="847">
        <v>0</v>
      </c>
      <c r="AY130" s="847">
        <v>0</v>
      </c>
      <c r="AZ130" s="847">
        <v>0</v>
      </c>
      <c r="BA130" s="847">
        <v>0</v>
      </c>
      <c r="BB130" s="847">
        <v>0</v>
      </c>
      <c r="BC130" s="847">
        <v>0</v>
      </c>
      <c r="BD130" s="847">
        <v>0</v>
      </c>
      <c r="BE130" s="847">
        <v>0</v>
      </c>
      <c r="BF130" s="847">
        <v>0</v>
      </c>
      <c r="BG130" s="847">
        <v>0</v>
      </c>
      <c r="BH130" s="847">
        <v>0</v>
      </c>
      <c r="BI130" s="847">
        <v>0</v>
      </c>
      <c r="BJ130" s="847">
        <v>0</v>
      </c>
      <c r="BK130" s="847">
        <v>0</v>
      </c>
      <c r="BL130" s="847">
        <v>0</v>
      </c>
      <c r="BM130" s="847">
        <v>0</v>
      </c>
      <c r="BN130" s="847">
        <v>0</v>
      </c>
      <c r="BO130" s="847">
        <v>0</v>
      </c>
      <c r="BP130" s="847">
        <v>0</v>
      </c>
      <c r="BQ130" s="847">
        <v>0</v>
      </c>
      <c r="BR130" s="847">
        <v>0</v>
      </c>
      <c r="BS130" s="847">
        <v>0</v>
      </c>
      <c r="BT130" s="847">
        <v>0</v>
      </c>
      <c r="BU130" s="847">
        <v>0</v>
      </c>
      <c r="BV130" s="847">
        <v>0</v>
      </c>
      <c r="BW130" s="847">
        <v>0</v>
      </c>
      <c r="BX130" s="847">
        <v>0</v>
      </c>
      <c r="BY130" s="847">
        <v>0</v>
      </c>
      <c r="BZ130" s="847">
        <v>0</v>
      </c>
      <c r="CA130" s="847">
        <v>0</v>
      </c>
      <c r="CB130" s="847">
        <v>0</v>
      </c>
      <c r="CC130" s="847">
        <v>0</v>
      </c>
      <c r="CD130" s="847">
        <v>0</v>
      </c>
      <c r="CE130" s="847">
        <v>0</v>
      </c>
      <c r="CF130" s="847">
        <v>0</v>
      </c>
      <c r="CG130" s="847">
        <v>0</v>
      </c>
      <c r="CH130" s="847">
        <v>0</v>
      </c>
      <c r="CI130" s="847">
        <v>0</v>
      </c>
      <c r="CJ130" s="847">
        <v>0</v>
      </c>
      <c r="CK130" s="847">
        <v>0</v>
      </c>
      <c r="CL130" s="847">
        <v>0</v>
      </c>
      <c r="CM130" s="847">
        <v>0</v>
      </c>
      <c r="CN130" s="847">
        <v>0</v>
      </c>
      <c r="CO130" s="847">
        <v>0</v>
      </c>
      <c r="CP130" s="847">
        <v>0</v>
      </c>
      <c r="CQ130" s="847">
        <v>0</v>
      </c>
      <c r="CR130" s="847">
        <v>0</v>
      </c>
      <c r="CS130" s="847">
        <v>0</v>
      </c>
      <c r="CT130" s="847">
        <v>0</v>
      </c>
      <c r="CU130" s="847">
        <v>0</v>
      </c>
      <c r="CV130" s="847">
        <v>0</v>
      </c>
      <c r="CW130" s="847">
        <v>0</v>
      </c>
      <c r="CX130" s="847">
        <v>0</v>
      </c>
      <c r="CY130" s="847">
        <v>0</v>
      </c>
      <c r="CZ130" s="847">
        <v>0</v>
      </c>
      <c r="DA130" s="847">
        <v>0</v>
      </c>
      <c r="DB130" s="847">
        <v>0</v>
      </c>
      <c r="DC130" s="847">
        <v>0</v>
      </c>
      <c r="DD130" s="847">
        <v>0</v>
      </c>
      <c r="DE130" s="847">
        <v>0</v>
      </c>
      <c r="DF130" s="847">
        <v>0</v>
      </c>
      <c r="DG130" s="847">
        <v>0</v>
      </c>
      <c r="DH130" s="847">
        <v>0</v>
      </c>
      <c r="DI130" s="847">
        <v>0</v>
      </c>
      <c r="DJ130" s="847">
        <v>0</v>
      </c>
      <c r="DK130" s="847">
        <v>0</v>
      </c>
      <c r="DL130" s="847">
        <v>0</v>
      </c>
      <c r="DM130" s="847">
        <v>0</v>
      </c>
      <c r="DN130" s="847">
        <v>0</v>
      </c>
      <c r="DO130" s="847">
        <v>0</v>
      </c>
      <c r="DP130" s="847">
        <v>0</v>
      </c>
      <c r="DQ130" s="847">
        <v>0</v>
      </c>
      <c r="DR130" s="847">
        <v>0</v>
      </c>
      <c r="DS130" s="847">
        <v>0</v>
      </c>
      <c r="DT130" s="847">
        <v>0</v>
      </c>
      <c r="DU130" s="847">
        <v>0</v>
      </c>
      <c r="DV130" s="847">
        <v>0</v>
      </c>
      <c r="DW130" s="847">
        <v>0</v>
      </c>
      <c r="DY130" s="173"/>
      <c r="DZ130" s="173"/>
      <c r="EA130" s="173"/>
      <c r="EB130" s="174"/>
      <c r="EC130" s="175"/>
      <c r="ED130" s="174"/>
      <c r="EE130" s="174"/>
      <c r="EF130" s="174"/>
      <c r="EG130" s="174"/>
      <c r="EH130" s="174"/>
      <c r="EI130" s="174"/>
      <c r="EJ130" s="174"/>
      <c r="EK130" s="174"/>
      <c r="EL130" s="174"/>
      <c r="EM130" s="174"/>
      <c r="EN130" s="174"/>
      <c r="EO130" s="174"/>
      <c r="EP130" s="174"/>
      <c r="EQ130" s="174"/>
      <c r="ER130" s="174"/>
      <c r="ES130" s="174"/>
      <c r="ET130" s="174"/>
      <c r="EU130" s="174"/>
      <c r="EV130" s="174"/>
      <c r="EW130" s="174"/>
      <c r="EX130" s="174"/>
      <c r="EY130" s="174"/>
      <c r="EZ130" s="174"/>
      <c r="FA130" s="174"/>
      <c r="FB130" s="174"/>
      <c r="FC130" s="174"/>
      <c r="FD130" s="174"/>
      <c r="FE130" s="174"/>
      <c r="FF130" s="174"/>
      <c r="FG130" s="174"/>
      <c r="FH130" s="174"/>
      <c r="FI130" s="174"/>
      <c r="FJ130" s="174"/>
      <c r="FK130" s="174"/>
      <c r="FL130" s="174"/>
      <c r="FM130" s="174"/>
      <c r="FN130" s="174"/>
      <c r="FO130" s="174"/>
      <c r="FP130" s="174"/>
      <c r="FQ130" s="174"/>
      <c r="FR130" s="174"/>
      <c r="FS130" s="174"/>
      <c r="FT130" s="174"/>
      <c r="FU130" s="174"/>
      <c r="FV130" s="174"/>
      <c r="FW130" s="174"/>
      <c r="FX130" s="174"/>
      <c r="FY130" s="174"/>
      <c r="FZ130" s="174"/>
      <c r="GA130" s="174"/>
      <c r="GB130" s="174"/>
      <c r="GC130" s="174"/>
      <c r="GD130" s="174"/>
      <c r="GE130" s="174"/>
      <c r="GF130" s="174"/>
      <c r="GG130" s="176"/>
      <c r="GH130" s="176"/>
      <c r="GI130" s="176"/>
      <c r="GJ130" s="176"/>
      <c r="GK130" s="176"/>
      <c r="GL130" s="176"/>
      <c r="GM130" s="176"/>
      <c r="GN130" s="176"/>
      <c r="GO130" s="176"/>
      <c r="GP130" s="176"/>
      <c r="GQ130" s="176"/>
      <c r="GR130" s="176"/>
      <c r="GS130" s="176"/>
      <c r="GT130" s="176"/>
      <c r="GU130" s="176"/>
      <c r="GV130" s="176"/>
      <c r="GW130" s="176"/>
      <c r="GX130" s="176"/>
      <c r="GY130" s="176"/>
      <c r="GZ130" s="176"/>
      <c r="HA130" s="176"/>
      <c r="HB130" s="176"/>
      <c r="HC130" s="176"/>
      <c r="HD130" s="176"/>
      <c r="HE130" s="176"/>
      <c r="HF130" s="176"/>
      <c r="HG130" s="176"/>
      <c r="HH130" s="176"/>
      <c r="HI130" s="176"/>
      <c r="HJ130" s="176"/>
      <c r="HK130" s="176"/>
      <c r="HL130" s="176"/>
      <c r="HM130" s="176"/>
      <c r="HN130" s="176"/>
      <c r="HO130" s="176"/>
      <c r="HP130" s="176"/>
      <c r="HQ130" s="176"/>
      <c r="HR130" s="176"/>
      <c r="HS130" s="176"/>
      <c r="HT130" s="176"/>
      <c r="HU130" s="176"/>
      <c r="HV130" s="176"/>
      <c r="HW130" s="176"/>
      <c r="HX130" s="176"/>
      <c r="HY130" s="176"/>
      <c r="HZ130" s="176"/>
      <c r="IA130" s="176"/>
      <c r="IB130" s="176"/>
      <c r="IC130" s="176"/>
      <c r="ID130" s="176"/>
      <c r="IE130" s="176"/>
      <c r="IF130" s="176"/>
      <c r="IG130" s="176"/>
      <c r="IH130" s="176"/>
      <c r="II130" s="176"/>
      <c r="IJ130" s="176"/>
    </row>
    <row r="131" spans="1:244" ht="16.5" hidden="1">
      <c r="A131" s="846" t="s">
        <v>1060</v>
      </c>
      <c r="B131" s="846" t="s">
        <v>1382</v>
      </c>
      <c r="C131" s="846" t="s">
        <v>1171</v>
      </c>
      <c r="D131" s="847">
        <v>6</v>
      </c>
      <c r="E131" s="846" t="s">
        <v>1171</v>
      </c>
      <c r="F131" s="846" t="s">
        <v>97</v>
      </c>
      <c r="G131" s="851"/>
      <c r="H131" s="847">
        <v>52</v>
      </c>
      <c r="I131" s="780" t="str">
        <f t="shared" si="4"/>
        <v>IWT060252</v>
      </c>
      <c r="J131" s="847">
        <v>5065</v>
      </c>
      <c r="L131" s="846" t="s">
        <v>1060</v>
      </c>
      <c r="M131" s="846" t="s">
        <v>1382</v>
      </c>
      <c r="N131" s="846" t="s">
        <v>97</v>
      </c>
      <c r="O131" s="847">
        <v>52</v>
      </c>
      <c r="P131" s="780" t="str">
        <f t="shared" si="5"/>
        <v>IWT060252</v>
      </c>
      <c r="Q131" s="847">
        <v>1098</v>
      </c>
      <c r="R131" s="847">
        <v>2943</v>
      </c>
      <c r="S131" s="847">
        <v>4751</v>
      </c>
      <c r="T131" s="847">
        <v>6523</v>
      </c>
      <c r="U131" s="847">
        <v>8261</v>
      </c>
      <c r="V131" s="847">
        <v>0</v>
      </c>
      <c r="W131" s="847">
        <v>0</v>
      </c>
      <c r="X131" s="847">
        <v>0</v>
      </c>
      <c r="Y131" s="847">
        <v>0</v>
      </c>
      <c r="Z131" s="847">
        <v>0</v>
      </c>
      <c r="AA131" s="847">
        <v>0</v>
      </c>
      <c r="AB131" s="847">
        <v>0</v>
      </c>
      <c r="AC131" s="847">
        <v>0</v>
      </c>
      <c r="AD131" s="847">
        <v>0</v>
      </c>
      <c r="AE131" s="847">
        <v>0</v>
      </c>
      <c r="AF131" s="847">
        <v>0</v>
      </c>
      <c r="AG131" s="847">
        <v>0</v>
      </c>
      <c r="AH131" s="847">
        <v>0</v>
      </c>
      <c r="AI131" s="847">
        <v>0</v>
      </c>
      <c r="AJ131" s="847">
        <v>0</v>
      </c>
      <c r="AK131" s="847">
        <v>0</v>
      </c>
      <c r="AL131" s="847">
        <v>0</v>
      </c>
      <c r="AM131" s="847">
        <v>0</v>
      </c>
      <c r="AN131" s="847">
        <v>0</v>
      </c>
      <c r="AO131" s="847">
        <v>0</v>
      </c>
      <c r="AP131" s="847">
        <v>0</v>
      </c>
      <c r="AQ131" s="847">
        <v>0</v>
      </c>
      <c r="AR131" s="847">
        <v>0</v>
      </c>
      <c r="AS131" s="847">
        <v>0</v>
      </c>
      <c r="AT131" s="847">
        <v>0</v>
      </c>
      <c r="AU131" s="847">
        <v>0</v>
      </c>
      <c r="AV131" s="847">
        <v>0</v>
      </c>
      <c r="AW131" s="847">
        <v>0</v>
      </c>
      <c r="AX131" s="847">
        <v>0</v>
      </c>
      <c r="AY131" s="847">
        <v>0</v>
      </c>
      <c r="AZ131" s="847">
        <v>0</v>
      </c>
      <c r="BA131" s="847">
        <v>0</v>
      </c>
      <c r="BB131" s="847">
        <v>0</v>
      </c>
      <c r="BC131" s="847">
        <v>0</v>
      </c>
      <c r="BD131" s="847">
        <v>0</v>
      </c>
      <c r="BE131" s="847">
        <v>0</v>
      </c>
      <c r="BF131" s="847">
        <v>0</v>
      </c>
      <c r="BG131" s="847">
        <v>0</v>
      </c>
      <c r="BH131" s="847">
        <v>0</v>
      </c>
      <c r="BI131" s="847">
        <v>0</v>
      </c>
      <c r="BJ131" s="847">
        <v>0</v>
      </c>
      <c r="BK131" s="847">
        <v>0</v>
      </c>
      <c r="BL131" s="847">
        <v>0</v>
      </c>
      <c r="BM131" s="847">
        <v>0</v>
      </c>
      <c r="BN131" s="847">
        <v>0</v>
      </c>
      <c r="BO131" s="847">
        <v>0</v>
      </c>
      <c r="BP131" s="847">
        <v>0</v>
      </c>
      <c r="BQ131" s="847">
        <v>0</v>
      </c>
      <c r="BR131" s="847">
        <v>0</v>
      </c>
      <c r="BS131" s="847">
        <v>0</v>
      </c>
      <c r="BT131" s="847">
        <v>0</v>
      </c>
      <c r="BU131" s="847">
        <v>0</v>
      </c>
      <c r="BV131" s="847">
        <v>0</v>
      </c>
      <c r="BW131" s="847">
        <v>0</v>
      </c>
      <c r="BX131" s="847">
        <v>0</v>
      </c>
      <c r="BY131" s="847">
        <v>0</v>
      </c>
      <c r="BZ131" s="847">
        <v>0</v>
      </c>
      <c r="CA131" s="847">
        <v>0</v>
      </c>
      <c r="CB131" s="847">
        <v>0</v>
      </c>
      <c r="CC131" s="847">
        <v>0</v>
      </c>
      <c r="CD131" s="847">
        <v>0</v>
      </c>
      <c r="CE131" s="847">
        <v>0</v>
      </c>
      <c r="CF131" s="847">
        <v>0</v>
      </c>
      <c r="CG131" s="847">
        <v>0</v>
      </c>
      <c r="CH131" s="847">
        <v>0</v>
      </c>
      <c r="CI131" s="847">
        <v>0</v>
      </c>
      <c r="CJ131" s="847">
        <v>0</v>
      </c>
      <c r="CK131" s="847">
        <v>0</v>
      </c>
      <c r="CL131" s="847">
        <v>0</v>
      </c>
      <c r="CM131" s="847">
        <v>0</v>
      </c>
      <c r="CN131" s="847">
        <v>0</v>
      </c>
      <c r="CO131" s="847">
        <v>0</v>
      </c>
      <c r="CP131" s="847">
        <v>0</v>
      </c>
      <c r="CQ131" s="847">
        <v>0</v>
      </c>
      <c r="CR131" s="847">
        <v>0</v>
      </c>
      <c r="CS131" s="847">
        <v>0</v>
      </c>
      <c r="CT131" s="847">
        <v>0</v>
      </c>
      <c r="CU131" s="847">
        <v>0</v>
      </c>
      <c r="CV131" s="847">
        <v>0</v>
      </c>
      <c r="CW131" s="847">
        <v>0</v>
      </c>
      <c r="CX131" s="847">
        <v>0</v>
      </c>
      <c r="CY131" s="847">
        <v>0</v>
      </c>
      <c r="CZ131" s="847">
        <v>0</v>
      </c>
      <c r="DA131" s="847">
        <v>0</v>
      </c>
      <c r="DB131" s="847">
        <v>0</v>
      </c>
      <c r="DC131" s="847">
        <v>0</v>
      </c>
      <c r="DD131" s="847">
        <v>0</v>
      </c>
      <c r="DE131" s="847">
        <v>0</v>
      </c>
      <c r="DF131" s="847">
        <v>0</v>
      </c>
      <c r="DG131" s="847">
        <v>0</v>
      </c>
      <c r="DH131" s="847">
        <v>0</v>
      </c>
      <c r="DI131" s="847">
        <v>0</v>
      </c>
      <c r="DJ131" s="847">
        <v>0</v>
      </c>
      <c r="DK131" s="847">
        <v>0</v>
      </c>
      <c r="DL131" s="847">
        <v>0</v>
      </c>
      <c r="DM131" s="847">
        <v>0</v>
      </c>
      <c r="DN131" s="847">
        <v>0</v>
      </c>
      <c r="DO131" s="847">
        <v>0</v>
      </c>
      <c r="DP131" s="847">
        <v>0</v>
      </c>
      <c r="DQ131" s="847">
        <v>0</v>
      </c>
      <c r="DR131" s="847">
        <v>0</v>
      </c>
      <c r="DS131" s="847">
        <v>0</v>
      </c>
      <c r="DT131" s="847">
        <v>0</v>
      </c>
      <c r="DU131" s="847">
        <v>0</v>
      </c>
      <c r="DV131" s="847">
        <v>0</v>
      </c>
      <c r="DW131" s="847">
        <v>0</v>
      </c>
      <c r="DY131" s="173"/>
      <c r="DZ131" s="173"/>
      <c r="EA131" s="173"/>
      <c r="EB131" s="174"/>
      <c r="EC131" s="175"/>
      <c r="ED131" s="174"/>
      <c r="EE131" s="174"/>
      <c r="EF131" s="174"/>
      <c r="EG131" s="174"/>
      <c r="EH131" s="174"/>
      <c r="EI131" s="174"/>
      <c r="EJ131" s="174"/>
      <c r="EK131" s="174"/>
      <c r="EL131" s="174"/>
      <c r="EM131" s="174"/>
      <c r="EN131" s="174"/>
      <c r="EO131" s="174"/>
      <c r="EP131" s="174"/>
      <c r="EQ131" s="174"/>
      <c r="ER131" s="174"/>
      <c r="ES131" s="174"/>
      <c r="ET131" s="174"/>
      <c r="EU131" s="174"/>
      <c r="EV131" s="174"/>
      <c r="EW131" s="174"/>
      <c r="EX131" s="174"/>
      <c r="EY131" s="174"/>
      <c r="EZ131" s="174"/>
      <c r="FA131" s="174"/>
      <c r="FB131" s="174"/>
      <c r="FC131" s="174"/>
      <c r="FD131" s="174"/>
      <c r="FE131" s="174"/>
      <c r="FF131" s="174"/>
      <c r="FG131" s="174"/>
      <c r="FH131" s="174"/>
      <c r="FI131" s="174"/>
      <c r="FJ131" s="174"/>
      <c r="FK131" s="174"/>
      <c r="FL131" s="174"/>
      <c r="FM131" s="174"/>
      <c r="FN131" s="174"/>
      <c r="FO131" s="174"/>
      <c r="FP131" s="174"/>
      <c r="FQ131" s="174"/>
      <c r="FR131" s="174"/>
      <c r="FS131" s="174"/>
      <c r="FT131" s="174"/>
      <c r="FU131" s="174"/>
      <c r="FV131" s="174"/>
      <c r="FW131" s="174"/>
      <c r="FX131" s="174"/>
      <c r="FY131" s="174"/>
      <c r="FZ131" s="174"/>
      <c r="GA131" s="174"/>
      <c r="GB131" s="174"/>
      <c r="GC131" s="174"/>
      <c r="GD131" s="174"/>
      <c r="GE131" s="174"/>
      <c r="GF131" s="176"/>
      <c r="GG131" s="176"/>
      <c r="GH131" s="176"/>
      <c r="GI131" s="176"/>
      <c r="GJ131" s="176"/>
      <c r="GK131" s="176"/>
      <c r="GL131" s="176"/>
      <c r="GM131" s="176"/>
      <c r="GN131" s="176"/>
      <c r="GO131" s="176"/>
      <c r="GP131" s="176"/>
      <c r="GQ131" s="176"/>
      <c r="GR131" s="176"/>
      <c r="GS131" s="176"/>
      <c r="GT131" s="176"/>
      <c r="GU131" s="176"/>
      <c r="GV131" s="176"/>
      <c r="GW131" s="176"/>
      <c r="GX131" s="176"/>
      <c r="GY131" s="176"/>
      <c r="GZ131" s="176"/>
      <c r="HA131" s="176"/>
      <c r="HB131" s="176"/>
      <c r="HC131" s="176"/>
      <c r="HD131" s="176"/>
      <c r="HE131" s="176"/>
      <c r="HF131" s="176"/>
      <c r="HG131" s="176"/>
      <c r="HH131" s="176"/>
      <c r="HI131" s="176"/>
      <c r="HJ131" s="176"/>
      <c r="HK131" s="176"/>
      <c r="HL131" s="176"/>
      <c r="HM131" s="176"/>
      <c r="HN131" s="176"/>
      <c r="HO131" s="176"/>
      <c r="HP131" s="176"/>
      <c r="HQ131" s="176"/>
      <c r="HR131" s="176"/>
      <c r="HS131" s="176"/>
      <c r="HT131" s="176"/>
      <c r="HU131" s="176"/>
      <c r="HV131" s="176"/>
      <c r="HW131" s="176"/>
      <c r="HX131" s="176"/>
      <c r="HY131" s="176"/>
      <c r="HZ131" s="176"/>
      <c r="IA131" s="176"/>
      <c r="IB131" s="176"/>
      <c r="IC131" s="176"/>
      <c r="ID131" s="176"/>
      <c r="IE131" s="176"/>
      <c r="IF131" s="176"/>
      <c r="IG131" s="176"/>
      <c r="IH131" s="176"/>
      <c r="II131" s="176"/>
      <c r="IJ131" s="176"/>
    </row>
    <row r="132" spans="1:244" ht="16.5" hidden="1">
      <c r="A132" s="846" t="s">
        <v>1060</v>
      </c>
      <c r="B132" s="846" t="s">
        <v>1382</v>
      </c>
      <c r="C132" s="846" t="s">
        <v>1171</v>
      </c>
      <c r="D132" s="847">
        <v>6</v>
      </c>
      <c r="E132" s="846" t="s">
        <v>1171</v>
      </c>
      <c r="F132" s="846" t="s">
        <v>97</v>
      </c>
      <c r="G132" s="851"/>
      <c r="H132" s="847">
        <v>53</v>
      </c>
      <c r="I132" s="780" t="str">
        <f t="shared" si="4"/>
        <v>IWT060253</v>
      </c>
      <c r="J132" s="847">
        <v>5066</v>
      </c>
      <c r="L132" s="846" t="s">
        <v>1060</v>
      </c>
      <c r="M132" s="846" t="s">
        <v>1382</v>
      </c>
      <c r="N132" s="846" t="s">
        <v>97</v>
      </c>
      <c r="O132" s="847">
        <v>53</v>
      </c>
      <c r="P132" s="780" t="str">
        <f t="shared" si="5"/>
        <v>IWT060253</v>
      </c>
      <c r="Q132" s="847">
        <v>1096</v>
      </c>
      <c r="R132" s="847">
        <v>2941</v>
      </c>
      <c r="S132" s="847">
        <v>4750</v>
      </c>
      <c r="T132" s="847">
        <v>6522</v>
      </c>
      <c r="U132" s="847">
        <v>8260</v>
      </c>
      <c r="V132" s="847">
        <v>0</v>
      </c>
      <c r="W132" s="847">
        <v>0</v>
      </c>
      <c r="X132" s="847">
        <v>0</v>
      </c>
      <c r="Y132" s="847">
        <v>0</v>
      </c>
      <c r="Z132" s="847">
        <v>0</v>
      </c>
      <c r="AA132" s="847">
        <v>0</v>
      </c>
      <c r="AB132" s="847">
        <v>0</v>
      </c>
      <c r="AC132" s="847">
        <v>0</v>
      </c>
      <c r="AD132" s="847">
        <v>0</v>
      </c>
      <c r="AE132" s="847">
        <v>0</v>
      </c>
      <c r="AF132" s="847">
        <v>0</v>
      </c>
      <c r="AG132" s="847">
        <v>0</v>
      </c>
      <c r="AH132" s="847">
        <v>0</v>
      </c>
      <c r="AI132" s="847">
        <v>0</v>
      </c>
      <c r="AJ132" s="847">
        <v>0</v>
      </c>
      <c r="AK132" s="847">
        <v>0</v>
      </c>
      <c r="AL132" s="847">
        <v>0</v>
      </c>
      <c r="AM132" s="847">
        <v>0</v>
      </c>
      <c r="AN132" s="847">
        <v>0</v>
      </c>
      <c r="AO132" s="847">
        <v>0</v>
      </c>
      <c r="AP132" s="847">
        <v>0</v>
      </c>
      <c r="AQ132" s="847">
        <v>0</v>
      </c>
      <c r="AR132" s="847">
        <v>0</v>
      </c>
      <c r="AS132" s="847">
        <v>0</v>
      </c>
      <c r="AT132" s="847">
        <v>0</v>
      </c>
      <c r="AU132" s="847">
        <v>0</v>
      </c>
      <c r="AV132" s="847">
        <v>0</v>
      </c>
      <c r="AW132" s="847">
        <v>0</v>
      </c>
      <c r="AX132" s="847">
        <v>0</v>
      </c>
      <c r="AY132" s="847">
        <v>0</v>
      </c>
      <c r="AZ132" s="847">
        <v>0</v>
      </c>
      <c r="BA132" s="847">
        <v>0</v>
      </c>
      <c r="BB132" s="847">
        <v>0</v>
      </c>
      <c r="BC132" s="847">
        <v>0</v>
      </c>
      <c r="BD132" s="847">
        <v>0</v>
      </c>
      <c r="BE132" s="847">
        <v>0</v>
      </c>
      <c r="BF132" s="847">
        <v>0</v>
      </c>
      <c r="BG132" s="847">
        <v>0</v>
      </c>
      <c r="BH132" s="847">
        <v>0</v>
      </c>
      <c r="BI132" s="847">
        <v>0</v>
      </c>
      <c r="BJ132" s="847">
        <v>0</v>
      </c>
      <c r="BK132" s="847">
        <v>0</v>
      </c>
      <c r="BL132" s="847">
        <v>0</v>
      </c>
      <c r="BM132" s="847">
        <v>0</v>
      </c>
      <c r="BN132" s="847">
        <v>0</v>
      </c>
      <c r="BO132" s="847">
        <v>0</v>
      </c>
      <c r="BP132" s="847">
        <v>0</v>
      </c>
      <c r="BQ132" s="847">
        <v>0</v>
      </c>
      <c r="BR132" s="847">
        <v>0</v>
      </c>
      <c r="BS132" s="847">
        <v>0</v>
      </c>
      <c r="BT132" s="847">
        <v>0</v>
      </c>
      <c r="BU132" s="847">
        <v>0</v>
      </c>
      <c r="BV132" s="847">
        <v>0</v>
      </c>
      <c r="BW132" s="847">
        <v>0</v>
      </c>
      <c r="BX132" s="847">
        <v>0</v>
      </c>
      <c r="BY132" s="847">
        <v>0</v>
      </c>
      <c r="BZ132" s="847">
        <v>0</v>
      </c>
      <c r="CA132" s="847">
        <v>0</v>
      </c>
      <c r="CB132" s="847">
        <v>0</v>
      </c>
      <c r="CC132" s="847">
        <v>0</v>
      </c>
      <c r="CD132" s="847">
        <v>0</v>
      </c>
      <c r="CE132" s="847">
        <v>0</v>
      </c>
      <c r="CF132" s="847">
        <v>0</v>
      </c>
      <c r="CG132" s="847">
        <v>0</v>
      </c>
      <c r="CH132" s="847">
        <v>0</v>
      </c>
      <c r="CI132" s="847">
        <v>0</v>
      </c>
      <c r="CJ132" s="847">
        <v>0</v>
      </c>
      <c r="CK132" s="847">
        <v>0</v>
      </c>
      <c r="CL132" s="847">
        <v>0</v>
      </c>
      <c r="CM132" s="847">
        <v>0</v>
      </c>
      <c r="CN132" s="847">
        <v>0</v>
      </c>
      <c r="CO132" s="847">
        <v>0</v>
      </c>
      <c r="CP132" s="847">
        <v>0</v>
      </c>
      <c r="CQ132" s="847">
        <v>0</v>
      </c>
      <c r="CR132" s="847">
        <v>0</v>
      </c>
      <c r="CS132" s="847">
        <v>0</v>
      </c>
      <c r="CT132" s="847">
        <v>0</v>
      </c>
      <c r="CU132" s="847">
        <v>0</v>
      </c>
      <c r="CV132" s="847">
        <v>0</v>
      </c>
      <c r="CW132" s="847">
        <v>0</v>
      </c>
      <c r="CX132" s="847">
        <v>0</v>
      </c>
      <c r="CY132" s="847">
        <v>0</v>
      </c>
      <c r="CZ132" s="847">
        <v>0</v>
      </c>
      <c r="DA132" s="847">
        <v>0</v>
      </c>
      <c r="DB132" s="847">
        <v>0</v>
      </c>
      <c r="DC132" s="847">
        <v>0</v>
      </c>
      <c r="DD132" s="847">
        <v>0</v>
      </c>
      <c r="DE132" s="847">
        <v>0</v>
      </c>
      <c r="DF132" s="847">
        <v>0</v>
      </c>
      <c r="DG132" s="847">
        <v>0</v>
      </c>
      <c r="DH132" s="847">
        <v>0</v>
      </c>
      <c r="DI132" s="847">
        <v>0</v>
      </c>
      <c r="DJ132" s="847">
        <v>0</v>
      </c>
      <c r="DK132" s="847">
        <v>0</v>
      </c>
      <c r="DL132" s="847">
        <v>0</v>
      </c>
      <c r="DM132" s="847">
        <v>0</v>
      </c>
      <c r="DN132" s="847">
        <v>0</v>
      </c>
      <c r="DO132" s="847">
        <v>0</v>
      </c>
      <c r="DP132" s="847">
        <v>0</v>
      </c>
      <c r="DQ132" s="847">
        <v>0</v>
      </c>
      <c r="DR132" s="847">
        <v>0</v>
      </c>
      <c r="DS132" s="847">
        <v>0</v>
      </c>
      <c r="DT132" s="847">
        <v>0</v>
      </c>
      <c r="DU132" s="847">
        <v>0</v>
      </c>
      <c r="DV132" s="847">
        <v>0</v>
      </c>
      <c r="DW132" s="847">
        <v>0</v>
      </c>
      <c r="DY132" s="173"/>
      <c r="DZ132" s="173"/>
      <c r="EA132" s="173"/>
      <c r="EB132" s="174"/>
      <c r="EC132" s="175"/>
      <c r="ED132" s="174"/>
      <c r="EE132" s="174"/>
      <c r="EF132" s="174"/>
      <c r="EG132" s="174"/>
      <c r="EH132" s="174"/>
      <c r="EI132" s="174"/>
      <c r="EJ132" s="174"/>
      <c r="EK132" s="174"/>
      <c r="EL132" s="174"/>
      <c r="EM132" s="174"/>
      <c r="EN132" s="174"/>
      <c r="EO132" s="174"/>
      <c r="EP132" s="174"/>
      <c r="EQ132" s="174"/>
      <c r="ER132" s="174"/>
      <c r="ES132" s="174"/>
      <c r="ET132" s="174"/>
      <c r="EU132" s="174"/>
      <c r="EV132" s="174"/>
      <c r="EW132" s="174"/>
      <c r="EX132" s="174"/>
      <c r="EY132" s="174"/>
      <c r="EZ132" s="174"/>
      <c r="FA132" s="174"/>
      <c r="FB132" s="174"/>
      <c r="FC132" s="174"/>
      <c r="FD132" s="174"/>
      <c r="FE132" s="174"/>
      <c r="FF132" s="174"/>
      <c r="FG132" s="174"/>
      <c r="FH132" s="174"/>
      <c r="FI132" s="174"/>
      <c r="FJ132" s="174"/>
      <c r="FK132" s="174"/>
      <c r="FL132" s="174"/>
      <c r="FM132" s="174"/>
      <c r="FN132" s="174"/>
      <c r="FO132" s="174"/>
      <c r="FP132" s="174"/>
      <c r="FQ132" s="174"/>
      <c r="FR132" s="174"/>
      <c r="FS132" s="174"/>
      <c r="FT132" s="174"/>
      <c r="FU132" s="174"/>
      <c r="FV132" s="174"/>
      <c r="FW132" s="174"/>
      <c r="FX132" s="174"/>
      <c r="FY132" s="174"/>
      <c r="FZ132" s="174"/>
      <c r="GA132" s="174"/>
      <c r="GB132" s="174"/>
      <c r="GC132" s="174"/>
      <c r="GD132" s="174"/>
      <c r="GE132" s="176"/>
      <c r="GF132" s="176"/>
      <c r="GG132" s="176"/>
      <c r="GH132" s="176"/>
      <c r="GI132" s="176"/>
      <c r="GJ132" s="176"/>
      <c r="GK132" s="176"/>
      <c r="GL132" s="176"/>
      <c r="GM132" s="176"/>
      <c r="GN132" s="176"/>
      <c r="GO132" s="176"/>
      <c r="GP132" s="176"/>
      <c r="GQ132" s="176"/>
      <c r="GR132" s="176"/>
      <c r="GS132" s="176"/>
      <c r="GT132" s="176"/>
      <c r="GU132" s="176"/>
      <c r="GV132" s="176"/>
      <c r="GW132" s="176"/>
      <c r="GX132" s="176"/>
      <c r="GY132" s="176"/>
      <c r="GZ132" s="176"/>
      <c r="HA132" s="176"/>
      <c r="HB132" s="176"/>
      <c r="HC132" s="176"/>
      <c r="HD132" s="176"/>
      <c r="HE132" s="176"/>
      <c r="HF132" s="176"/>
      <c r="HG132" s="176"/>
      <c r="HH132" s="176"/>
      <c r="HI132" s="176"/>
      <c r="HJ132" s="176"/>
      <c r="HK132" s="176"/>
      <c r="HL132" s="176"/>
      <c r="HM132" s="176"/>
      <c r="HN132" s="176"/>
      <c r="HO132" s="176"/>
      <c r="HP132" s="176"/>
      <c r="HQ132" s="176"/>
      <c r="HR132" s="176"/>
      <c r="HS132" s="176"/>
      <c r="HT132" s="176"/>
      <c r="HU132" s="176"/>
      <c r="HV132" s="176"/>
      <c r="HW132" s="176"/>
      <c r="HX132" s="176"/>
      <c r="HY132" s="176"/>
      <c r="HZ132" s="176"/>
      <c r="IA132" s="176"/>
      <c r="IB132" s="176"/>
      <c r="IC132" s="176"/>
      <c r="ID132" s="176"/>
      <c r="IE132" s="176"/>
      <c r="IF132" s="176"/>
      <c r="IG132" s="176"/>
      <c r="IH132" s="176"/>
      <c r="II132" s="176"/>
      <c r="IJ132" s="176"/>
    </row>
    <row r="133" spans="1:244" ht="16.5" hidden="1">
      <c r="A133" s="846" t="s">
        <v>1060</v>
      </c>
      <c r="B133" s="846" t="s">
        <v>1382</v>
      </c>
      <c r="C133" s="846" t="s">
        <v>1171</v>
      </c>
      <c r="D133" s="847">
        <v>6</v>
      </c>
      <c r="E133" s="846" t="s">
        <v>1171</v>
      </c>
      <c r="F133" s="846" t="s">
        <v>97</v>
      </c>
      <c r="G133" s="851"/>
      <c r="H133" s="847">
        <v>54</v>
      </c>
      <c r="I133" s="780" t="str">
        <f t="shared" si="4"/>
        <v>IWT060254</v>
      </c>
      <c r="J133" s="847">
        <v>5068</v>
      </c>
      <c r="L133" s="846" t="s">
        <v>1060</v>
      </c>
      <c r="M133" s="846" t="s">
        <v>1382</v>
      </c>
      <c r="N133" s="846" t="s">
        <v>97</v>
      </c>
      <c r="O133" s="847">
        <v>54</v>
      </c>
      <c r="P133" s="780" t="str">
        <f t="shared" si="5"/>
        <v>IWT060254</v>
      </c>
      <c r="Q133" s="847">
        <v>1094</v>
      </c>
      <c r="R133" s="847">
        <v>2940</v>
      </c>
      <c r="S133" s="847">
        <v>4749</v>
      </c>
      <c r="T133" s="847">
        <v>6522</v>
      </c>
      <c r="U133" s="847">
        <v>8260</v>
      </c>
      <c r="V133" s="847">
        <v>0</v>
      </c>
      <c r="W133" s="847">
        <v>0</v>
      </c>
      <c r="X133" s="847">
        <v>0</v>
      </c>
      <c r="Y133" s="847">
        <v>0</v>
      </c>
      <c r="Z133" s="847">
        <v>0</v>
      </c>
      <c r="AA133" s="847">
        <v>0</v>
      </c>
      <c r="AB133" s="847">
        <v>0</v>
      </c>
      <c r="AC133" s="847">
        <v>0</v>
      </c>
      <c r="AD133" s="847">
        <v>0</v>
      </c>
      <c r="AE133" s="847">
        <v>0</v>
      </c>
      <c r="AF133" s="847">
        <v>0</v>
      </c>
      <c r="AG133" s="847">
        <v>0</v>
      </c>
      <c r="AH133" s="847">
        <v>0</v>
      </c>
      <c r="AI133" s="847">
        <v>0</v>
      </c>
      <c r="AJ133" s="847">
        <v>0</v>
      </c>
      <c r="AK133" s="847">
        <v>0</v>
      </c>
      <c r="AL133" s="847">
        <v>0</v>
      </c>
      <c r="AM133" s="847">
        <v>0</v>
      </c>
      <c r="AN133" s="847">
        <v>0</v>
      </c>
      <c r="AO133" s="847">
        <v>0</v>
      </c>
      <c r="AP133" s="847">
        <v>0</v>
      </c>
      <c r="AQ133" s="847">
        <v>0</v>
      </c>
      <c r="AR133" s="847">
        <v>0</v>
      </c>
      <c r="AS133" s="847">
        <v>0</v>
      </c>
      <c r="AT133" s="847">
        <v>0</v>
      </c>
      <c r="AU133" s="847">
        <v>0</v>
      </c>
      <c r="AV133" s="847">
        <v>0</v>
      </c>
      <c r="AW133" s="847">
        <v>0</v>
      </c>
      <c r="AX133" s="847">
        <v>0</v>
      </c>
      <c r="AY133" s="847">
        <v>0</v>
      </c>
      <c r="AZ133" s="847">
        <v>0</v>
      </c>
      <c r="BA133" s="847">
        <v>0</v>
      </c>
      <c r="BB133" s="847">
        <v>0</v>
      </c>
      <c r="BC133" s="847">
        <v>0</v>
      </c>
      <c r="BD133" s="847">
        <v>0</v>
      </c>
      <c r="BE133" s="847">
        <v>0</v>
      </c>
      <c r="BF133" s="847">
        <v>0</v>
      </c>
      <c r="BG133" s="847">
        <v>0</v>
      </c>
      <c r="BH133" s="847">
        <v>0</v>
      </c>
      <c r="BI133" s="847">
        <v>0</v>
      </c>
      <c r="BJ133" s="847">
        <v>0</v>
      </c>
      <c r="BK133" s="847">
        <v>0</v>
      </c>
      <c r="BL133" s="847">
        <v>0</v>
      </c>
      <c r="BM133" s="847">
        <v>0</v>
      </c>
      <c r="BN133" s="847">
        <v>0</v>
      </c>
      <c r="BO133" s="847">
        <v>0</v>
      </c>
      <c r="BP133" s="847">
        <v>0</v>
      </c>
      <c r="BQ133" s="847">
        <v>0</v>
      </c>
      <c r="BR133" s="847">
        <v>0</v>
      </c>
      <c r="BS133" s="847">
        <v>0</v>
      </c>
      <c r="BT133" s="847">
        <v>0</v>
      </c>
      <c r="BU133" s="847">
        <v>0</v>
      </c>
      <c r="BV133" s="847">
        <v>0</v>
      </c>
      <c r="BW133" s="847">
        <v>0</v>
      </c>
      <c r="BX133" s="847">
        <v>0</v>
      </c>
      <c r="BY133" s="847">
        <v>0</v>
      </c>
      <c r="BZ133" s="847">
        <v>0</v>
      </c>
      <c r="CA133" s="847">
        <v>0</v>
      </c>
      <c r="CB133" s="847">
        <v>0</v>
      </c>
      <c r="CC133" s="847">
        <v>0</v>
      </c>
      <c r="CD133" s="847">
        <v>0</v>
      </c>
      <c r="CE133" s="847">
        <v>0</v>
      </c>
      <c r="CF133" s="847">
        <v>0</v>
      </c>
      <c r="CG133" s="847">
        <v>0</v>
      </c>
      <c r="CH133" s="847">
        <v>0</v>
      </c>
      <c r="CI133" s="847">
        <v>0</v>
      </c>
      <c r="CJ133" s="847">
        <v>0</v>
      </c>
      <c r="CK133" s="847">
        <v>0</v>
      </c>
      <c r="CL133" s="847">
        <v>0</v>
      </c>
      <c r="CM133" s="847">
        <v>0</v>
      </c>
      <c r="CN133" s="847">
        <v>0</v>
      </c>
      <c r="CO133" s="847">
        <v>0</v>
      </c>
      <c r="CP133" s="847">
        <v>0</v>
      </c>
      <c r="CQ133" s="847">
        <v>0</v>
      </c>
      <c r="CR133" s="847">
        <v>0</v>
      </c>
      <c r="CS133" s="847">
        <v>0</v>
      </c>
      <c r="CT133" s="847">
        <v>0</v>
      </c>
      <c r="CU133" s="847">
        <v>0</v>
      </c>
      <c r="CV133" s="847">
        <v>0</v>
      </c>
      <c r="CW133" s="847">
        <v>0</v>
      </c>
      <c r="CX133" s="847">
        <v>0</v>
      </c>
      <c r="CY133" s="847">
        <v>0</v>
      </c>
      <c r="CZ133" s="847">
        <v>0</v>
      </c>
      <c r="DA133" s="847">
        <v>0</v>
      </c>
      <c r="DB133" s="847">
        <v>0</v>
      </c>
      <c r="DC133" s="847">
        <v>0</v>
      </c>
      <c r="DD133" s="847">
        <v>0</v>
      </c>
      <c r="DE133" s="847">
        <v>0</v>
      </c>
      <c r="DF133" s="847">
        <v>0</v>
      </c>
      <c r="DG133" s="847">
        <v>0</v>
      </c>
      <c r="DH133" s="847">
        <v>0</v>
      </c>
      <c r="DI133" s="847">
        <v>0</v>
      </c>
      <c r="DJ133" s="847">
        <v>0</v>
      </c>
      <c r="DK133" s="847">
        <v>0</v>
      </c>
      <c r="DL133" s="847">
        <v>0</v>
      </c>
      <c r="DM133" s="847">
        <v>0</v>
      </c>
      <c r="DN133" s="847">
        <v>0</v>
      </c>
      <c r="DO133" s="847">
        <v>0</v>
      </c>
      <c r="DP133" s="847">
        <v>0</v>
      </c>
      <c r="DQ133" s="847">
        <v>0</v>
      </c>
      <c r="DR133" s="847">
        <v>0</v>
      </c>
      <c r="DS133" s="847">
        <v>0</v>
      </c>
      <c r="DT133" s="847">
        <v>0</v>
      </c>
      <c r="DU133" s="847">
        <v>0</v>
      </c>
      <c r="DV133" s="847">
        <v>0</v>
      </c>
      <c r="DW133" s="847">
        <v>0</v>
      </c>
      <c r="DY133" s="173"/>
      <c r="DZ133" s="173"/>
      <c r="EA133" s="173"/>
      <c r="EB133" s="174"/>
      <c r="EC133" s="175"/>
      <c r="ED133" s="174"/>
      <c r="EE133" s="174"/>
      <c r="EF133" s="174"/>
      <c r="EG133" s="174"/>
      <c r="EH133" s="174"/>
      <c r="EI133" s="174"/>
      <c r="EJ133" s="174"/>
      <c r="EK133" s="174"/>
      <c r="EL133" s="174"/>
      <c r="EM133" s="174"/>
      <c r="EN133" s="174"/>
      <c r="EO133" s="174"/>
      <c r="EP133" s="174"/>
      <c r="EQ133" s="174"/>
      <c r="ER133" s="174"/>
      <c r="ES133" s="174"/>
      <c r="ET133" s="174"/>
      <c r="EU133" s="174"/>
      <c r="EV133" s="174"/>
      <c r="EW133" s="174"/>
      <c r="EX133" s="174"/>
      <c r="EY133" s="174"/>
      <c r="EZ133" s="174"/>
      <c r="FA133" s="174"/>
      <c r="FB133" s="174"/>
      <c r="FC133" s="174"/>
      <c r="FD133" s="174"/>
      <c r="FE133" s="174"/>
      <c r="FF133" s="174"/>
      <c r="FG133" s="174"/>
      <c r="FH133" s="174"/>
      <c r="FI133" s="174"/>
      <c r="FJ133" s="174"/>
      <c r="FK133" s="174"/>
      <c r="FL133" s="174"/>
      <c r="FM133" s="174"/>
      <c r="FN133" s="174"/>
      <c r="FO133" s="174"/>
      <c r="FP133" s="174"/>
      <c r="FQ133" s="174"/>
      <c r="FR133" s="174"/>
      <c r="FS133" s="174"/>
      <c r="FT133" s="174"/>
      <c r="FU133" s="174"/>
      <c r="FV133" s="174"/>
      <c r="FW133" s="174"/>
      <c r="FX133" s="174"/>
      <c r="FY133" s="174"/>
      <c r="FZ133" s="174"/>
      <c r="GA133" s="174"/>
      <c r="GB133" s="174"/>
      <c r="GC133" s="174"/>
      <c r="GD133" s="176"/>
      <c r="GE133" s="176"/>
      <c r="GF133" s="176"/>
      <c r="GG133" s="176"/>
      <c r="GH133" s="176"/>
      <c r="GI133" s="176"/>
      <c r="GJ133" s="176"/>
      <c r="GK133" s="176"/>
      <c r="GL133" s="176"/>
      <c r="GM133" s="176"/>
      <c r="GN133" s="176"/>
      <c r="GO133" s="176"/>
      <c r="GP133" s="176"/>
      <c r="GQ133" s="176"/>
      <c r="GR133" s="176"/>
      <c r="GS133" s="176"/>
      <c r="GT133" s="176"/>
      <c r="GU133" s="176"/>
      <c r="GV133" s="176"/>
      <c r="GW133" s="176"/>
      <c r="GX133" s="176"/>
      <c r="GY133" s="176"/>
      <c r="GZ133" s="176"/>
      <c r="HA133" s="176"/>
      <c r="HB133" s="176"/>
      <c r="HC133" s="176"/>
      <c r="HD133" s="176"/>
      <c r="HE133" s="176"/>
      <c r="HF133" s="176"/>
      <c r="HG133" s="176"/>
      <c r="HH133" s="176"/>
      <c r="HI133" s="176"/>
      <c r="HJ133" s="176"/>
      <c r="HK133" s="176"/>
      <c r="HL133" s="176"/>
      <c r="HM133" s="176"/>
      <c r="HN133" s="176"/>
      <c r="HO133" s="176"/>
      <c r="HP133" s="176"/>
      <c r="HQ133" s="176"/>
      <c r="HR133" s="176"/>
      <c r="HS133" s="176"/>
      <c r="HT133" s="176"/>
      <c r="HU133" s="176"/>
      <c r="HV133" s="176"/>
      <c r="HW133" s="176"/>
      <c r="HX133" s="176"/>
      <c r="HY133" s="176"/>
      <c r="HZ133" s="176"/>
      <c r="IA133" s="176"/>
      <c r="IB133" s="176"/>
      <c r="IC133" s="176"/>
      <c r="ID133" s="176"/>
      <c r="IE133" s="176"/>
      <c r="IF133" s="176"/>
      <c r="IG133" s="176"/>
      <c r="IH133" s="176"/>
      <c r="II133" s="176"/>
      <c r="IJ133" s="176"/>
    </row>
    <row r="134" spans="1:244" ht="16.5" hidden="1">
      <c r="A134" s="846" t="s">
        <v>1060</v>
      </c>
      <c r="B134" s="846" t="s">
        <v>1382</v>
      </c>
      <c r="C134" s="846" t="s">
        <v>1171</v>
      </c>
      <c r="D134" s="847">
        <v>6</v>
      </c>
      <c r="E134" s="846" t="s">
        <v>1171</v>
      </c>
      <c r="F134" s="846" t="s">
        <v>97</v>
      </c>
      <c r="G134" s="851"/>
      <c r="H134" s="847">
        <v>55</v>
      </c>
      <c r="I134" s="780" t="str">
        <f t="shared" si="4"/>
        <v>IWT060255</v>
      </c>
      <c r="J134" s="847">
        <v>5070</v>
      </c>
      <c r="L134" s="846" t="s">
        <v>1060</v>
      </c>
      <c r="M134" s="846" t="s">
        <v>1382</v>
      </c>
      <c r="N134" s="846" t="s">
        <v>97</v>
      </c>
      <c r="O134" s="847">
        <v>55</v>
      </c>
      <c r="P134" s="780" t="str">
        <f t="shared" si="5"/>
        <v>IWT060255</v>
      </c>
      <c r="Q134" s="847">
        <v>1092</v>
      </c>
      <c r="R134" s="847">
        <v>2938</v>
      </c>
      <c r="S134" s="847">
        <v>4747</v>
      </c>
      <c r="T134" s="847">
        <v>6520</v>
      </c>
      <c r="U134" s="847">
        <v>8259</v>
      </c>
      <c r="V134" s="847">
        <v>0</v>
      </c>
      <c r="W134" s="847">
        <v>0</v>
      </c>
      <c r="X134" s="847">
        <v>0</v>
      </c>
      <c r="Y134" s="847">
        <v>0</v>
      </c>
      <c r="Z134" s="847">
        <v>0</v>
      </c>
      <c r="AA134" s="847">
        <v>0</v>
      </c>
      <c r="AB134" s="847">
        <v>0</v>
      </c>
      <c r="AC134" s="847">
        <v>0</v>
      </c>
      <c r="AD134" s="847">
        <v>0</v>
      </c>
      <c r="AE134" s="847">
        <v>0</v>
      </c>
      <c r="AF134" s="847">
        <v>0</v>
      </c>
      <c r="AG134" s="847">
        <v>0</v>
      </c>
      <c r="AH134" s="847">
        <v>0</v>
      </c>
      <c r="AI134" s="847">
        <v>0</v>
      </c>
      <c r="AJ134" s="847">
        <v>0</v>
      </c>
      <c r="AK134" s="847">
        <v>0</v>
      </c>
      <c r="AL134" s="847">
        <v>0</v>
      </c>
      <c r="AM134" s="847">
        <v>0</v>
      </c>
      <c r="AN134" s="847">
        <v>0</v>
      </c>
      <c r="AO134" s="847">
        <v>0</v>
      </c>
      <c r="AP134" s="847">
        <v>0</v>
      </c>
      <c r="AQ134" s="847">
        <v>0</v>
      </c>
      <c r="AR134" s="847">
        <v>0</v>
      </c>
      <c r="AS134" s="847">
        <v>0</v>
      </c>
      <c r="AT134" s="847">
        <v>0</v>
      </c>
      <c r="AU134" s="847">
        <v>0</v>
      </c>
      <c r="AV134" s="847">
        <v>0</v>
      </c>
      <c r="AW134" s="847">
        <v>0</v>
      </c>
      <c r="AX134" s="847">
        <v>0</v>
      </c>
      <c r="AY134" s="847">
        <v>0</v>
      </c>
      <c r="AZ134" s="847">
        <v>0</v>
      </c>
      <c r="BA134" s="847">
        <v>0</v>
      </c>
      <c r="BB134" s="847">
        <v>0</v>
      </c>
      <c r="BC134" s="847">
        <v>0</v>
      </c>
      <c r="BD134" s="847">
        <v>0</v>
      </c>
      <c r="BE134" s="847">
        <v>0</v>
      </c>
      <c r="BF134" s="847">
        <v>0</v>
      </c>
      <c r="BG134" s="847">
        <v>0</v>
      </c>
      <c r="BH134" s="847">
        <v>0</v>
      </c>
      <c r="BI134" s="847">
        <v>0</v>
      </c>
      <c r="BJ134" s="847">
        <v>0</v>
      </c>
      <c r="BK134" s="847">
        <v>0</v>
      </c>
      <c r="BL134" s="847">
        <v>0</v>
      </c>
      <c r="BM134" s="847">
        <v>0</v>
      </c>
      <c r="BN134" s="847">
        <v>0</v>
      </c>
      <c r="BO134" s="847">
        <v>0</v>
      </c>
      <c r="BP134" s="847">
        <v>0</v>
      </c>
      <c r="BQ134" s="847">
        <v>0</v>
      </c>
      <c r="BR134" s="847">
        <v>0</v>
      </c>
      <c r="BS134" s="847">
        <v>0</v>
      </c>
      <c r="BT134" s="847">
        <v>0</v>
      </c>
      <c r="BU134" s="847">
        <v>0</v>
      </c>
      <c r="BV134" s="847">
        <v>0</v>
      </c>
      <c r="BW134" s="847">
        <v>0</v>
      </c>
      <c r="BX134" s="847">
        <v>0</v>
      </c>
      <c r="BY134" s="847">
        <v>0</v>
      </c>
      <c r="BZ134" s="847">
        <v>0</v>
      </c>
      <c r="CA134" s="847">
        <v>0</v>
      </c>
      <c r="CB134" s="847">
        <v>0</v>
      </c>
      <c r="CC134" s="847">
        <v>0</v>
      </c>
      <c r="CD134" s="847">
        <v>0</v>
      </c>
      <c r="CE134" s="847">
        <v>0</v>
      </c>
      <c r="CF134" s="847">
        <v>0</v>
      </c>
      <c r="CG134" s="847">
        <v>0</v>
      </c>
      <c r="CH134" s="847">
        <v>0</v>
      </c>
      <c r="CI134" s="847">
        <v>0</v>
      </c>
      <c r="CJ134" s="847">
        <v>0</v>
      </c>
      <c r="CK134" s="847">
        <v>0</v>
      </c>
      <c r="CL134" s="847">
        <v>0</v>
      </c>
      <c r="CM134" s="847">
        <v>0</v>
      </c>
      <c r="CN134" s="847">
        <v>0</v>
      </c>
      <c r="CO134" s="847">
        <v>0</v>
      </c>
      <c r="CP134" s="847">
        <v>0</v>
      </c>
      <c r="CQ134" s="847">
        <v>0</v>
      </c>
      <c r="CR134" s="847">
        <v>0</v>
      </c>
      <c r="CS134" s="847">
        <v>0</v>
      </c>
      <c r="CT134" s="847">
        <v>0</v>
      </c>
      <c r="CU134" s="847">
        <v>0</v>
      </c>
      <c r="CV134" s="847">
        <v>0</v>
      </c>
      <c r="CW134" s="847">
        <v>0</v>
      </c>
      <c r="CX134" s="847">
        <v>0</v>
      </c>
      <c r="CY134" s="847">
        <v>0</v>
      </c>
      <c r="CZ134" s="847">
        <v>0</v>
      </c>
      <c r="DA134" s="847">
        <v>0</v>
      </c>
      <c r="DB134" s="847">
        <v>0</v>
      </c>
      <c r="DC134" s="847">
        <v>0</v>
      </c>
      <c r="DD134" s="847">
        <v>0</v>
      </c>
      <c r="DE134" s="847">
        <v>0</v>
      </c>
      <c r="DF134" s="847">
        <v>0</v>
      </c>
      <c r="DG134" s="847">
        <v>0</v>
      </c>
      <c r="DH134" s="847">
        <v>0</v>
      </c>
      <c r="DI134" s="847">
        <v>0</v>
      </c>
      <c r="DJ134" s="847">
        <v>0</v>
      </c>
      <c r="DK134" s="847">
        <v>0</v>
      </c>
      <c r="DL134" s="847">
        <v>0</v>
      </c>
      <c r="DM134" s="847">
        <v>0</v>
      </c>
      <c r="DN134" s="847">
        <v>0</v>
      </c>
      <c r="DO134" s="847">
        <v>0</v>
      </c>
      <c r="DP134" s="847">
        <v>0</v>
      </c>
      <c r="DQ134" s="847">
        <v>0</v>
      </c>
      <c r="DR134" s="847">
        <v>0</v>
      </c>
      <c r="DS134" s="847">
        <v>0</v>
      </c>
      <c r="DT134" s="847">
        <v>0</v>
      </c>
      <c r="DU134" s="847">
        <v>0</v>
      </c>
      <c r="DV134" s="847">
        <v>0</v>
      </c>
      <c r="DW134" s="847">
        <v>0</v>
      </c>
      <c r="DY134" s="173"/>
      <c r="DZ134" s="173"/>
      <c r="EA134" s="173"/>
      <c r="EB134" s="174"/>
      <c r="EC134" s="175"/>
      <c r="ED134" s="174"/>
      <c r="EE134" s="174"/>
      <c r="EF134" s="174"/>
      <c r="EG134" s="174"/>
      <c r="EH134" s="174"/>
      <c r="EI134" s="174"/>
      <c r="EJ134" s="174"/>
      <c r="EK134" s="174"/>
      <c r="EL134" s="174"/>
      <c r="EM134" s="174"/>
      <c r="EN134" s="174"/>
      <c r="EO134" s="174"/>
      <c r="EP134" s="174"/>
      <c r="EQ134" s="174"/>
      <c r="ER134" s="174"/>
      <c r="ES134" s="174"/>
      <c r="ET134" s="174"/>
      <c r="EU134" s="174"/>
      <c r="EV134" s="174"/>
      <c r="EW134" s="174"/>
      <c r="EX134" s="174"/>
      <c r="EY134" s="174"/>
      <c r="EZ134" s="174"/>
      <c r="FA134" s="174"/>
      <c r="FB134" s="174"/>
      <c r="FC134" s="174"/>
      <c r="FD134" s="174"/>
      <c r="FE134" s="174"/>
      <c r="FF134" s="174"/>
      <c r="FG134" s="174"/>
      <c r="FH134" s="174"/>
      <c r="FI134" s="174"/>
      <c r="FJ134" s="174"/>
      <c r="FK134" s="174"/>
      <c r="FL134" s="174"/>
      <c r="FM134" s="174"/>
      <c r="FN134" s="174"/>
      <c r="FO134" s="174"/>
      <c r="FP134" s="174"/>
      <c r="FQ134" s="174"/>
      <c r="FR134" s="174"/>
      <c r="FS134" s="174"/>
      <c r="FT134" s="174"/>
      <c r="FU134" s="174"/>
      <c r="FV134" s="174"/>
      <c r="FW134" s="174"/>
      <c r="FX134" s="174"/>
      <c r="FY134" s="174"/>
      <c r="FZ134" s="174"/>
      <c r="GA134" s="174"/>
      <c r="GB134" s="174"/>
      <c r="GC134" s="176"/>
      <c r="GD134" s="176"/>
      <c r="GE134" s="176"/>
      <c r="GF134" s="176"/>
      <c r="GG134" s="176"/>
      <c r="GH134" s="176"/>
      <c r="GI134" s="176"/>
      <c r="GJ134" s="176"/>
      <c r="GK134" s="176"/>
      <c r="GL134" s="176"/>
      <c r="GM134" s="176"/>
      <c r="GN134" s="176"/>
      <c r="GO134" s="176"/>
      <c r="GP134" s="176"/>
      <c r="GQ134" s="176"/>
      <c r="GR134" s="176"/>
      <c r="GS134" s="176"/>
      <c r="GT134" s="176"/>
      <c r="GU134" s="176"/>
      <c r="GV134" s="176"/>
      <c r="GW134" s="176"/>
      <c r="GX134" s="176"/>
      <c r="GY134" s="176"/>
      <c r="GZ134" s="176"/>
      <c r="HA134" s="176"/>
      <c r="HB134" s="176"/>
      <c r="HC134" s="176"/>
      <c r="HD134" s="176"/>
      <c r="HE134" s="176"/>
      <c r="HF134" s="176"/>
      <c r="HG134" s="176"/>
      <c r="HH134" s="176"/>
      <c r="HI134" s="176"/>
      <c r="HJ134" s="176"/>
      <c r="HK134" s="176"/>
      <c r="HL134" s="176"/>
      <c r="HM134" s="176"/>
      <c r="HN134" s="176"/>
      <c r="HO134" s="176"/>
      <c r="HP134" s="176"/>
      <c r="HQ134" s="176"/>
      <c r="HR134" s="176"/>
      <c r="HS134" s="176"/>
      <c r="HT134" s="176"/>
      <c r="HU134" s="176"/>
      <c r="HV134" s="176"/>
      <c r="HW134" s="176"/>
      <c r="HX134" s="176"/>
      <c r="HY134" s="176"/>
      <c r="HZ134" s="176"/>
      <c r="IA134" s="176"/>
      <c r="IB134" s="176"/>
      <c r="IC134" s="176"/>
      <c r="ID134" s="176"/>
      <c r="IE134" s="176"/>
      <c r="IF134" s="176"/>
      <c r="IG134" s="176"/>
      <c r="IH134" s="176"/>
      <c r="II134" s="176"/>
      <c r="IJ134" s="176"/>
    </row>
    <row r="135" spans="1:244" ht="16.5" hidden="1">
      <c r="A135" s="846" t="s">
        <v>1060</v>
      </c>
      <c r="B135" s="846" t="s">
        <v>1382</v>
      </c>
      <c r="C135" s="846" t="s">
        <v>1171</v>
      </c>
      <c r="D135" s="847">
        <v>6</v>
      </c>
      <c r="E135" s="846" t="s">
        <v>1171</v>
      </c>
      <c r="F135" s="846" t="s">
        <v>97</v>
      </c>
      <c r="G135" s="851"/>
      <c r="H135" s="847">
        <v>56</v>
      </c>
      <c r="I135" s="780" t="str">
        <f t="shared" si="4"/>
        <v>IWT060256</v>
      </c>
      <c r="J135" s="847">
        <v>5071</v>
      </c>
      <c r="L135" s="846" t="s">
        <v>1060</v>
      </c>
      <c r="M135" s="846" t="s">
        <v>1382</v>
      </c>
      <c r="N135" s="846" t="s">
        <v>97</v>
      </c>
      <c r="O135" s="847">
        <v>56</v>
      </c>
      <c r="P135" s="780" t="str">
        <f t="shared" si="5"/>
        <v>IWT060256</v>
      </c>
      <c r="Q135" s="847">
        <v>1089</v>
      </c>
      <c r="R135" s="847">
        <v>2936</v>
      </c>
      <c r="S135" s="847">
        <v>4745</v>
      </c>
      <c r="T135" s="847">
        <v>6519</v>
      </c>
      <c r="U135" s="847">
        <v>8258</v>
      </c>
      <c r="V135" s="847">
        <v>0</v>
      </c>
      <c r="W135" s="847">
        <v>0</v>
      </c>
      <c r="X135" s="847">
        <v>0</v>
      </c>
      <c r="Y135" s="847">
        <v>0</v>
      </c>
      <c r="Z135" s="847">
        <v>0</v>
      </c>
      <c r="AA135" s="847">
        <v>0</v>
      </c>
      <c r="AB135" s="847">
        <v>0</v>
      </c>
      <c r="AC135" s="847">
        <v>0</v>
      </c>
      <c r="AD135" s="847">
        <v>0</v>
      </c>
      <c r="AE135" s="847">
        <v>0</v>
      </c>
      <c r="AF135" s="847">
        <v>0</v>
      </c>
      <c r="AG135" s="847">
        <v>0</v>
      </c>
      <c r="AH135" s="847">
        <v>0</v>
      </c>
      <c r="AI135" s="847">
        <v>0</v>
      </c>
      <c r="AJ135" s="847">
        <v>0</v>
      </c>
      <c r="AK135" s="847">
        <v>0</v>
      </c>
      <c r="AL135" s="847">
        <v>0</v>
      </c>
      <c r="AM135" s="847">
        <v>0</v>
      </c>
      <c r="AN135" s="847">
        <v>0</v>
      </c>
      <c r="AO135" s="847">
        <v>0</v>
      </c>
      <c r="AP135" s="847">
        <v>0</v>
      </c>
      <c r="AQ135" s="847">
        <v>0</v>
      </c>
      <c r="AR135" s="847">
        <v>0</v>
      </c>
      <c r="AS135" s="847">
        <v>0</v>
      </c>
      <c r="AT135" s="847">
        <v>0</v>
      </c>
      <c r="AU135" s="847">
        <v>0</v>
      </c>
      <c r="AV135" s="847">
        <v>0</v>
      </c>
      <c r="AW135" s="847">
        <v>0</v>
      </c>
      <c r="AX135" s="847">
        <v>0</v>
      </c>
      <c r="AY135" s="847">
        <v>0</v>
      </c>
      <c r="AZ135" s="847">
        <v>0</v>
      </c>
      <c r="BA135" s="847">
        <v>0</v>
      </c>
      <c r="BB135" s="847">
        <v>0</v>
      </c>
      <c r="BC135" s="847">
        <v>0</v>
      </c>
      <c r="BD135" s="847">
        <v>0</v>
      </c>
      <c r="BE135" s="847">
        <v>0</v>
      </c>
      <c r="BF135" s="847">
        <v>0</v>
      </c>
      <c r="BG135" s="847">
        <v>0</v>
      </c>
      <c r="BH135" s="847">
        <v>0</v>
      </c>
      <c r="BI135" s="847">
        <v>0</v>
      </c>
      <c r="BJ135" s="847">
        <v>0</v>
      </c>
      <c r="BK135" s="847">
        <v>0</v>
      </c>
      <c r="BL135" s="847">
        <v>0</v>
      </c>
      <c r="BM135" s="847">
        <v>0</v>
      </c>
      <c r="BN135" s="847">
        <v>0</v>
      </c>
      <c r="BO135" s="847">
        <v>0</v>
      </c>
      <c r="BP135" s="847">
        <v>0</v>
      </c>
      <c r="BQ135" s="847">
        <v>0</v>
      </c>
      <c r="BR135" s="847">
        <v>0</v>
      </c>
      <c r="BS135" s="847">
        <v>0</v>
      </c>
      <c r="BT135" s="847">
        <v>0</v>
      </c>
      <c r="BU135" s="847">
        <v>0</v>
      </c>
      <c r="BV135" s="847">
        <v>0</v>
      </c>
      <c r="BW135" s="847">
        <v>0</v>
      </c>
      <c r="BX135" s="847">
        <v>0</v>
      </c>
      <c r="BY135" s="847">
        <v>0</v>
      </c>
      <c r="BZ135" s="847">
        <v>0</v>
      </c>
      <c r="CA135" s="847">
        <v>0</v>
      </c>
      <c r="CB135" s="847">
        <v>0</v>
      </c>
      <c r="CC135" s="847">
        <v>0</v>
      </c>
      <c r="CD135" s="847">
        <v>0</v>
      </c>
      <c r="CE135" s="847">
        <v>0</v>
      </c>
      <c r="CF135" s="847">
        <v>0</v>
      </c>
      <c r="CG135" s="847">
        <v>0</v>
      </c>
      <c r="CH135" s="847">
        <v>0</v>
      </c>
      <c r="CI135" s="847">
        <v>0</v>
      </c>
      <c r="CJ135" s="847">
        <v>0</v>
      </c>
      <c r="CK135" s="847">
        <v>0</v>
      </c>
      <c r="CL135" s="847">
        <v>0</v>
      </c>
      <c r="CM135" s="847">
        <v>0</v>
      </c>
      <c r="CN135" s="847">
        <v>0</v>
      </c>
      <c r="CO135" s="847">
        <v>0</v>
      </c>
      <c r="CP135" s="847">
        <v>0</v>
      </c>
      <c r="CQ135" s="847">
        <v>0</v>
      </c>
      <c r="CR135" s="847">
        <v>0</v>
      </c>
      <c r="CS135" s="847">
        <v>0</v>
      </c>
      <c r="CT135" s="847">
        <v>0</v>
      </c>
      <c r="CU135" s="847">
        <v>0</v>
      </c>
      <c r="CV135" s="847">
        <v>0</v>
      </c>
      <c r="CW135" s="847">
        <v>0</v>
      </c>
      <c r="CX135" s="847">
        <v>0</v>
      </c>
      <c r="CY135" s="847">
        <v>0</v>
      </c>
      <c r="CZ135" s="847">
        <v>0</v>
      </c>
      <c r="DA135" s="847">
        <v>0</v>
      </c>
      <c r="DB135" s="847">
        <v>0</v>
      </c>
      <c r="DC135" s="847">
        <v>0</v>
      </c>
      <c r="DD135" s="847">
        <v>0</v>
      </c>
      <c r="DE135" s="847">
        <v>0</v>
      </c>
      <c r="DF135" s="847">
        <v>0</v>
      </c>
      <c r="DG135" s="847">
        <v>0</v>
      </c>
      <c r="DH135" s="847">
        <v>0</v>
      </c>
      <c r="DI135" s="847">
        <v>0</v>
      </c>
      <c r="DJ135" s="847">
        <v>0</v>
      </c>
      <c r="DK135" s="847">
        <v>0</v>
      </c>
      <c r="DL135" s="847">
        <v>0</v>
      </c>
      <c r="DM135" s="847">
        <v>0</v>
      </c>
      <c r="DN135" s="847">
        <v>0</v>
      </c>
      <c r="DO135" s="847">
        <v>0</v>
      </c>
      <c r="DP135" s="847">
        <v>0</v>
      </c>
      <c r="DQ135" s="847">
        <v>0</v>
      </c>
      <c r="DR135" s="847">
        <v>0</v>
      </c>
      <c r="DS135" s="847">
        <v>0</v>
      </c>
      <c r="DT135" s="847">
        <v>0</v>
      </c>
      <c r="DU135" s="847">
        <v>0</v>
      </c>
      <c r="DV135" s="847">
        <v>0</v>
      </c>
      <c r="DW135" s="847">
        <v>0</v>
      </c>
      <c r="DY135" s="173"/>
      <c r="DZ135" s="173"/>
      <c r="EA135" s="173"/>
      <c r="EB135" s="174"/>
      <c r="EC135" s="175"/>
      <c r="ED135" s="174"/>
      <c r="EE135" s="174"/>
      <c r="EF135" s="174"/>
      <c r="EG135" s="174"/>
      <c r="EH135" s="174"/>
      <c r="EI135" s="174"/>
      <c r="EJ135" s="174"/>
      <c r="EK135" s="174"/>
      <c r="EL135" s="174"/>
      <c r="EM135" s="174"/>
      <c r="EN135" s="174"/>
      <c r="EO135" s="174"/>
      <c r="EP135" s="174"/>
      <c r="EQ135" s="174"/>
      <c r="ER135" s="174"/>
      <c r="ES135" s="174"/>
      <c r="ET135" s="174"/>
      <c r="EU135" s="174"/>
      <c r="EV135" s="174"/>
      <c r="EW135" s="174"/>
      <c r="EX135" s="174"/>
      <c r="EY135" s="174"/>
      <c r="EZ135" s="174"/>
      <c r="FA135" s="174"/>
      <c r="FB135" s="174"/>
      <c r="FC135" s="174"/>
      <c r="FD135" s="174"/>
      <c r="FE135" s="174"/>
      <c r="FF135" s="174"/>
      <c r="FG135" s="174"/>
      <c r="FH135" s="174"/>
      <c r="FI135" s="174"/>
      <c r="FJ135" s="174"/>
      <c r="FK135" s="174"/>
      <c r="FL135" s="174"/>
      <c r="FM135" s="174"/>
      <c r="FN135" s="174"/>
      <c r="FO135" s="174"/>
      <c r="FP135" s="174"/>
      <c r="FQ135" s="174"/>
      <c r="FR135" s="174"/>
      <c r="FS135" s="174"/>
      <c r="FT135" s="174"/>
      <c r="FU135" s="174"/>
      <c r="FV135" s="174"/>
      <c r="FW135" s="174"/>
      <c r="FX135" s="174"/>
      <c r="FY135" s="174"/>
      <c r="FZ135" s="174"/>
      <c r="GA135" s="174"/>
      <c r="GB135" s="176"/>
      <c r="GC135" s="176"/>
      <c r="GD135" s="176"/>
      <c r="GE135" s="176"/>
      <c r="GF135" s="176"/>
      <c r="GG135" s="176"/>
      <c r="GH135" s="176"/>
      <c r="GI135" s="176"/>
      <c r="GJ135" s="176"/>
      <c r="GK135" s="176"/>
      <c r="GL135" s="176"/>
      <c r="GM135" s="176"/>
      <c r="GN135" s="176"/>
      <c r="GO135" s="176"/>
      <c r="GP135" s="176"/>
      <c r="GQ135" s="176"/>
      <c r="GR135" s="176"/>
      <c r="GS135" s="176"/>
      <c r="GT135" s="176"/>
      <c r="GU135" s="176"/>
      <c r="GV135" s="176"/>
      <c r="GW135" s="176"/>
      <c r="GX135" s="176"/>
      <c r="GY135" s="176"/>
      <c r="GZ135" s="176"/>
      <c r="HA135" s="176"/>
      <c r="HB135" s="176"/>
      <c r="HC135" s="176"/>
      <c r="HD135" s="176"/>
      <c r="HE135" s="176"/>
      <c r="HF135" s="176"/>
      <c r="HG135" s="176"/>
      <c r="HH135" s="176"/>
      <c r="HI135" s="176"/>
      <c r="HJ135" s="176"/>
      <c r="HK135" s="176"/>
      <c r="HL135" s="176"/>
      <c r="HM135" s="176"/>
      <c r="HN135" s="176"/>
      <c r="HO135" s="176"/>
      <c r="HP135" s="176"/>
      <c r="HQ135" s="176"/>
      <c r="HR135" s="176"/>
      <c r="HS135" s="176"/>
      <c r="HT135" s="176"/>
      <c r="HU135" s="176"/>
      <c r="HV135" s="176"/>
      <c r="HW135" s="176"/>
      <c r="HX135" s="176"/>
      <c r="HY135" s="176"/>
      <c r="HZ135" s="176"/>
      <c r="IA135" s="176"/>
      <c r="IB135" s="176"/>
      <c r="IC135" s="176"/>
      <c r="ID135" s="176"/>
      <c r="IE135" s="176"/>
      <c r="IF135" s="176"/>
      <c r="IG135" s="176"/>
      <c r="IH135" s="176"/>
      <c r="II135" s="176"/>
      <c r="IJ135" s="176"/>
    </row>
    <row r="136" spans="1:244" ht="16.5" hidden="1">
      <c r="A136" s="846" t="s">
        <v>1060</v>
      </c>
      <c r="B136" s="846" t="s">
        <v>1382</v>
      </c>
      <c r="C136" s="846" t="s">
        <v>1171</v>
      </c>
      <c r="D136" s="847">
        <v>6</v>
      </c>
      <c r="E136" s="846" t="s">
        <v>1171</v>
      </c>
      <c r="F136" s="846" t="s">
        <v>97</v>
      </c>
      <c r="G136" s="851"/>
      <c r="H136" s="847">
        <v>57</v>
      </c>
      <c r="I136" s="780" t="str">
        <f t="shared" si="4"/>
        <v>IWT060257</v>
      </c>
      <c r="J136" s="847">
        <v>5073</v>
      </c>
      <c r="L136" s="846" t="s">
        <v>1060</v>
      </c>
      <c r="M136" s="846" t="s">
        <v>1382</v>
      </c>
      <c r="N136" s="846" t="s">
        <v>97</v>
      </c>
      <c r="O136" s="847">
        <v>57</v>
      </c>
      <c r="P136" s="780" t="str">
        <f t="shared" si="5"/>
        <v>IWT060257</v>
      </c>
      <c r="Q136" s="847">
        <v>1087</v>
      </c>
      <c r="R136" s="847">
        <v>2934</v>
      </c>
      <c r="S136" s="847">
        <v>4744</v>
      </c>
      <c r="T136" s="847">
        <v>6518</v>
      </c>
      <c r="U136" s="847">
        <v>8257</v>
      </c>
      <c r="V136" s="847">
        <v>0</v>
      </c>
      <c r="W136" s="847">
        <v>0</v>
      </c>
      <c r="X136" s="847">
        <v>0</v>
      </c>
      <c r="Y136" s="847">
        <v>0</v>
      </c>
      <c r="Z136" s="847">
        <v>0</v>
      </c>
      <c r="AA136" s="847">
        <v>0</v>
      </c>
      <c r="AB136" s="847">
        <v>0</v>
      </c>
      <c r="AC136" s="847">
        <v>0</v>
      </c>
      <c r="AD136" s="847">
        <v>0</v>
      </c>
      <c r="AE136" s="847">
        <v>0</v>
      </c>
      <c r="AF136" s="847">
        <v>0</v>
      </c>
      <c r="AG136" s="847">
        <v>0</v>
      </c>
      <c r="AH136" s="847">
        <v>0</v>
      </c>
      <c r="AI136" s="847">
        <v>0</v>
      </c>
      <c r="AJ136" s="847">
        <v>0</v>
      </c>
      <c r="AK136" s="847">
        <v>0</v>
      </c>
      <c r="AL136" s="847">
        <v>0</v>
      </c>
      <c r="AM136" s="847">
        <v>0</v>
      </c>
      <c r="AN136" s="847">
        <v>0</v>
      </c>
      <c r="AO136" s="847">
        <v>0</v>
      </c>
      <c r="AP136" s="847">
        <v>0</v>
      </c>
      <c r="AQ136" s="847">
        <v>0</v>
      </c>
      <c r="AR136" s="847">
        <v>0</v>
      </c>
      <c r="AS136" s="847">
        <v>0</v>
      </c>
      <c r="AT136" s="847">
        <v>0</v>
      </c>
      <c r="AU136" s="847">
        <v>0</v>
      </c>
      <c r="AV136" s="847">
        <v>0</v>
      </c>
      <c r="AW136" s="847">
        <v>0</v>
      </c>
      <c r="AX136" s="847">
        <v>0</v>
      </c>
      <c r="AY136" s="847">
        <v>0</v>
      </c>
      <c r="AZ136" s="847">
        <v>0</v>
      </c>
      <c r="BA136" s="847">
        <v>0</v>
      </c>
      <c r="BB136" s="847">
        <v>0</v>
      </c>
      <c r="BC136" s="847">
        <v>0</v>
      </c>
      <c r="BD136" s="847">
        <v>0</v>
      </c>
      <c r="BE136" s="847">
        <v>0</v>
      </c>
      <c r="BF136" s="847">
        <v>0</v>
      </c>
      <c r="BG136" s="847">
        <v>0</v>
      </c>
      <c r="BH136" s="847">
        <v>0</v>
      </c>
      <c r="BI136" s="847">
        <v>0</v>
      </c>
      <c r="BJ136" s="847">
        <v>0</v>
      </c>
      <c r="BK136" s="847">
        <v>0</v>
      </c>
      <c r="BL136" s="847">
        <v>0</v>
      </c>
      <c r="BM136" s="847">
        <v>0</v>
      </c>
      <c r="BN136" s="847">
        <v>0</v>
      </c>
      <c r="BO136" s="847">
        <v>0</v>
      </c>
      <c r="BP136" s="847">
        <v>0</v>
      </c>
      <c r="BQ136" s="847">
        <v>0</v>
      </c>
      <c r="BR136" s="847">
        <v>0</v>
      </c>
      <c r="BS136" s="847">
        <v>0</v>
      </c>
      <c r="BT136" s="847">
        <v>0</v>
      </c>
      <c r="BU136" s="847">
        <v>0</v>
      </c>
      <c r="BV136" s="847">
        <v>0</v>
      </c>
      <c r="BW136" s="847">
        <v>0</v>
      </c>
      <c r="BX136" s="847">
        <v>0</v>
      </c>
      <c r="BY136" s="847">
        <v>0</v>
      </c>
      <c r="BZ136" s="847">
        <v>0</v>
      </c>
      <c r="CA136" s="847">
        <v>0</v>
      </c>
      <c r="CB136" s="847">
        <v>0</v>
      </c>
      <c r="CC136" s="847">
        <v>0</v>
      </c>
      <c r="CD136" s="847">
        <v>0</v>
      </c>
      <c r="CE136" s="847">
        <v>0</v>
      </c>
      <c r="CF136" s="847">
        <v>0</v>
      </c>
      <c r="CG136" s="847">
        <v>0</v>
      </c>
      <c r="CH136" s="847">
        <v>0</v>
      </c>
      <c r="CI136" s="847">
        <v>0</v>
      </c>
      <c r="CJ136" s="847">
        <v>0</v>
      </c>
      <c r="CK136" s="847">
        <v>0</v>
      </c>
      <c r="CL136" s="847">
        <v>0</v>
      </c>
      <c r="CM136" s="847">
        <v>0</v>
      </c>
      <c r="CN136" s="847">
        <v>0</v>
      </c>
      <c r="CO136" s="847">
        <v>0</v>
      </c>
      <c r="CP136" s="847">
        <v>0</v>
      </c>
      <c r="CQ136" s="847">
        <v>0</v>
      </c>
      <c r="CR136" s="847">
        <v>0</v>
      </c>
      <c r="CS136" s="847">
        <v>0</v>
      </c>
      <c r="CT136" s="847">
        <v>0</v>
      </c>
      <c r="CU136" s="847">
        <v>0</v>
      </c>
      <c r="CV136" s="847">
        <v>0</v>
      </c>
      <c r="CW136" s="847">
        <v>0</v>
      </c>
      <c r="CX136" s="847">
        <v>0</v>
      </c>
      <c r="CY136" s="847">
        <v>0</v>
      </c>
      <c r="CZ136" s="847">
        <v>0</v>
      </c>
      <c r="DA136" s="847">
        <v>0</v>
      </c>
      <c r="DB136" s="847">
        <v>0</v>
      </c>
      <c r="DC136" s="847">
        <v>0</v>
      </c>
      <c r="DD136" s="847">
        <v>0</v>
      </c>
      <c r="DE136" s="847">
        <v>0</v>
      </c>
      <c r="DF136" s="847">
        <v>0</v>
      </c>
      <c r="DG136" s="847">
        <v>0</v>
      </c>
      <c r="DH136" s="847">
        <v>0</v>
      </c>
      <c r="DI136" s="847">
        <v>0</v>
      </c>
      <c r="DJ136" s="847">
        <v>0</v>
      </c>
      <c r="DK136" s="847">
        <v>0</v>
      </c>
      <c r="DL136" s="847">
        <v>0</v>
      </c>
      <c r="DM136" s="847">
        <v>0</v>
      </c>
      <c r="DN136" s="847">
        <v>0</v>
      </c>
      <c r="DO136" s="847">
        <v>0</v>
      </c>
      <c r="DP136" s="847">
        <v>0</v>
      </c>
      <c r="DQ136" s="847">
        <v>0</v>
      </c>
      <c r="DR136" s="847">
        <v>0</v>
      </c>
      <c r="DS136" s="847">
        <v>0</v>
      </c>
      <c r="DT136" s="847">
        <v>0</v>
      </c>
      <c r="DU136" s="847">
        <v>0</v>
      </c>
      <c r="DV136" s="847">
        <v>0</v>
      </c>
      <c r="DW136" s="847">
        <v>0</v>
      </c>
      <c r="DY136" s="173"/>
      <c r="DZ136" s="173"/>
      <c r="EA136" s="173"/>
      <c r="EB136" s="174"/>
      <c r="EC136" s="175"/>
      <c r="ED136" s="174"/>
      <c r="EE136" s="174"/>
      <c r="EF136" s="174"/>
      <c r="EG136" s="174"/>
      <c r="EH136" s="174"/>
      <c r="EI136" s="174"/>
      <c r="EJ136" s="174"/>
      <c r="EK136" s="174"/>
      <c r="EL136" s="174"/>
      <c r="EM136" s="174"/>
      <c r="EN136" s="174"/>
      <c r="EO136" s="174"/>
      <c r="EP136" s="174"/>
      <c r="EQ136" s="174"/>
      <c r="ER136" s="174"/>
      <c r="ES136" s="174"/>
      <c r="ET136" s="174"/>
      <c r="EU136" s="174"/>
      <c r="EV136" s="174"/>
      <c r="EW136" s="174"/>
      <c r="EX136" s="174"/>
      <c r="EY136" s="174"/>
      <c r="EZ136" s="174"/>
      <c r="FA136" s="174"/>
      <c r="FB136" s="174"/>
      <c r="FC136" s="174"/>
      <c r="FD136" s="174"/>
      <c r="FE136" s="174"/>
      <c r="FF136" s="174"/>
      <c r="FG136" s="174"/>
      <c r="FH136" s="174"/>
      <c r="FI136" s="174"/>
      <c r="FJ136" s="174"/>
      <c r="FK136" s="174"/>
      <c r="FL136" s="174"/>
      <c r="FM136" s="174"/>
      <c r="FN136" s="174"/>
      <c r="FO136" s="174"/>
      <c r="FP136" s="174"/>
      <c r="FQ136" s="174"/>
      <c r="FR136" s="174"/>
      <c r="FS136" s="174"/>
      <c r="FT136" s="174"/>
      <c r="FU136" s="174"/>
      <c r="FV136" s="174"/>
      <c r="FW136" s="174"/>
      <c r="FX136" s="174"/>
      <c r="FY136" s="174"/>
      <c r="FZ136" s="174"/>
      <c r="GA136" s="176"/>
      <c r="GB136" s="176"/>
      <c r="GC136" s="176"/>
      <c r="GD136" s="176"/>
      <c r="GE136" s="176"/>
      <c r="GF136" s="176"/>
      <c r="GG136" s="176"/>
      <c r="GH136" s="176"/>
      <c r="GI136" s="176"/>
      <c r="GJ136" s="176"/>
      <c r="GK136" s="176"/>
      <c r="GL136" s="176"/>
      <c r="GM136" s="176"/>
      <c r="GN136" s="176"/>
      <c r="GO136" s="176"/>
      <c r="GP136" s="176"/>
      <c r="GQ136" s="176"/>
      <c r="GR136" s="176"/>
      <c r="GS136" s="176"/>
      <c r="GT136" s="176"/>
      <c r="GU136" s="176"/>
      <c r="GV136" s="176"/>
      <c r="GW136" s="176"/>
      <c r="GX136" s="176"/>
      <c r="GY136" s="176"/>
      <c r="GZ136" s="176"/>
      <c r="HA136" s="176"/>
      <c r="HB136" s="176"/>
      <c r="HC136" s="176"/>
      <c r="HD136" s="176"/>
      <c r="HE136" s="176"/>
      <c r="HF136" s="176"/>
      <c r="HG136" s="176"/>
      <c r="HH136" s="176"/>
      <c r="HI136" s="176"/>
      <c r="HJ136" s="176"/>
      <c r="HK136" s="176"/>
      <c r="HL136" s="176"/>
      <c r="HM136" s="176"/>
      <c r="HN136" s="176"/>
      <c r="HO136" s="176"/>
      <c r="HP136" s="176"/>
      <c r="HQ136" s="176"/>
      <c r="HR136" s="176"/>
      <c r="HS136" s="176"/>
      <c r="HT136" s="176"/>
      <c r="HU136" s="176"/>
      <c r="HV136" s="176"/>
      <c r="HW136" s="176"/>
      <c r="HX136" s="176"/>
      <c r="HY136" s="176"/>
      <c r="HZ136" s="176"/>
      <c r="IA136" s="176"/>
      <c r="IB136" s="176"/>
      <c r="IC136" s="176"/>
      <c r="ID136" s="176"/>
      <c r="IE136" s="176"/>
      <c r="IF136" s="176"/>
      <c r="IG136" s="176"/>
      <c r="IH136" s="176"/>
      <c r="II136" s="176"/>
      <c r="IJ136" s="176"/>
    </row>
    <row r="137" spans="1:244" ht="16.5" hidden="1">
      <c r="A137" s="846" t="s">
        <v>1060</v>
      </c>
      <c r="B137" s="846" t="s">
        <v>1382</v>
      </c>
      <c r="C137" s="846" t="s">
        <v>1171</v>
      </c>
      <c r="D137" s="847">
        <v>6</v>
      </c>
      <c r="E137" s="846" t="s">
        <v>1171</v>
      </c>
      <c r="F137" s="846" t="s">
        <v>97</v>
      </c>
      <c r="G137" s="851"/>
      <c r="H137" s="847">
        <v>58</v>
      </c>
      <c r="I137" s="780" t="str">
        <f t="shared" si="4"/>
        <v>IWT060258</v>
      </c>
      <c r="J137" s="847">
        <v>5075</v>
      </c>
      <c r="L137" s="846" t="s">
        <v>1060</v>
      </c>
      <c r="M137" s="846" t="s">
        <v>1382</v>
      </c>
      <c r="N137" s="846" t="s">
        <v>97</v>
      </c>
      <c r="O137" s="847">
        <v>58</v>
      </c>
      <c r="P137" s="780" t="str">
        <f t="shared" si="5"/>
        <v>IWT060258</v>
      </c>
      <c r="Q137" s="847">
        <v>1084</v>
      </c>
      <c r="R137" s="847">
        <v>2931</v>
      </c>
      <c r="S137" s="847">
        <v>4742</v>
      </c>
      <c r="T137" s="847">
        <v>6517</v>
      </c>
      <c r="U137" s="847">
        <v>8256</v>
      </c>
      <c r="V137" s="847">
        <v>0</v>
      </c>
      <c r="W137" s="847">
        <v>0</v>
      </c>
      <c r="X137" s="847">
        <v>0</v>
      </c>
      <c r="Y137" s="847">
        <v>0</v>
      </c>
      <c r="Z137" s="847">
        <v>0</v>
      </c>
      <c r="AA137" s="847">
        <v>0</v>
      </c>
      <c r="AB137" s="847">
        <v>0</v>
      </c>
      <c r="AC137" s="847">
        <v>0</v>
      </c>
      <c r="AD137" s="847">
        <v>0</v>
      </c>
      <c r="AE137" s="847">
        <v>0</v>
      </c>
      <c r="AF137" s="847">
        <v>0</v>
      </c>
      <c r="AG137" s="847">
        <v>0</v>
      </c>
      <c r="AH137" s="847">
        <v>0</v>
      </c>
      <c r="AI137" s="847">
        <v>0</v>
      </c>
      <c r="AJ137" s="847">
        <v>0</v>
      </c>
      <c r="AK137" s="847">
        <v>0</v>
      </c>
      <c r="AL137" s="847">
        <v>0</v>
      </c>
      <c r="AM137" s="847">
        <v>0</v>
      </c>
      <c r="AN137" s="847">
        <v>0</v>
      </c>
      <c r="AO137" s="847">
        <v>0</v>
      </c>
      <c r="AP137" s="847">
        <v>0</v>
      </c>
      <c r="AQ137" s="847">
        <v>0</v>
      </c>
      <c r="AR137" s="847">
        <v>0</v>
      </c>
      <c r="AS137" s="847">
        <v>0</v>
      </c>
      <c r="AT137" s="847">
        <v>0</v>
      </c>
      <c r="AU137" s="847">
        <v>0</v>
      </c>
      <c r="AV137" s="847">
        <v>0</v>
      </c>
      <c r="AW137" s="847">
        <v>0</v>
      </c>
      <c r="AX137" s="847">
        <v>0</v>
      </c>
      <c r="AY137" s="847">
        <v>0</v>
      </c>
      <c r="AZ137" s="847">
        <v>0</v>
      </c>
      <c r="BA137" s="847">
        <v>0</v>
      </c>
      <c r="BB137" s="847">
        <v>0</v>
      </c>
      <c r="BC137" s="847">
        <v>0</v>
      </c>
      <c r="BD137" s="847">
        <v>0</v>
      </c>
      <c r="BE137" s="847">
        <v>0</v>
      </c>
      <c r="BF137" s="847">
        <v>0</v>
      </c>
      <c r="BG137" s="847">
        <v>0</v>
      </c>
      <c r="BH137" s="847">
        <v>0</v>
      </c>
      <c r="BI137" s="847">
        <v>0</v>
      </c>
      <c r="BJ137" s="847">
        <v>0</v>
      </c>
      <c r="BK137" s="847">
        <v>0</v>
      </c>
      <c r="BL137" s="847">
        <v>0</v>
      </c>
      <c r="BM137" s="847">
        <v>0</v>
      </c>
      <c r="BN137" s="847">
        <v>0</v>
      </c>
      <c r="BO137" s="847">
        <v>0</v>
      </c>
      <c r="BP137" s="847">
        <v>0</v>
      </c>
      <c r="BQ137" s="847">
        <v>0</v>
      </c>
      <c r="BR137" s="847">
        <v>0</v>
      </c>
      <c r="BS137" s="847">
        <v>0</v>
      </c>
      <c r="BT137" s="847">
        <v>0</v>
      </c>
      <c r="BU137" s="847">
        <v>0</v>
      </c>
      <c r="BV137" s="847">
        <v>0</v>
      </c>
      <c r="BW137" s="847">
        <v>0</v>
      </c>
      <c r="BX137" s="847">
        <v>0</v>
      </c>
      <c r="BY137" s="847">
        <v>0</v>
      </c>
      <c r="BZ137" s="847">
        <v>0</v>
      </c>
      <c r="CA137" s="847">
        <v>0</v>
      </c>
      <c r="CB137" s="847">
        <v>0</v>
      </c>
      <c r="CC137" s="847">
        <v>0</v>
      </c>
      <c r="CD137" s="847">
        <v>0</v>
      </c>
      <c r="CE137" s="847">
        <v>0</v>
      </c>
      <c r="CF137" s="847">
        <v>0</v>
      </c>
      <c r="CG137" s="847">
        <v>0</v>
      </c>
      <c r="CH137" s="847">
        <v>0</v>
      </c>
      <c r="CI137" s="847">
        <v>0</v>
      </c>
      <c r="CJ137" s="847">
        <v>0</v>
      </c>
      <c r="CK137" s="847">
        <v>0</v>
      </c>
      <c r="CL137" s="847">
        <v>0</v>
      </c>
      <c r="CM137" s="847">
        <v>0</v>
      </c>
      <c r="CN137" s="847">
        <v>0</v>
      </c>
      <c r="CO137" s="847">
        <v>0</v>
      </c>
      <c r="CP137" s="847">
        <v>0</v>
      </c>
      <c r="CQ137" s="847">
        <v>0</v>
      </c>
      <c r="CR137" s="847">
        <v>0</v>
      </c>
      <c r="CS137" s="847">
        <v>0</v>
      </c>
      <c r="CT137" s="847">
        <v>0</v>
      </c>
      <c r="CU137" s="847">
        <v>0</v>
      </c>
      <c r="CV137" s="847">
        <v>0</v>
      </c>
      <c r="CW137" s="847">
        <v>0</v>
      </c>
      <c r="CX137" s="847">
        <v>0</v>
      </c>
      <c r="CY137" s="847">
        <v>0</v>
      </c>
      <c r="CZ137" s="847">
        <v>0</v>
      </c>
      <c r="DA137" s="847">
        <v>0</v>
      </c>
      <c r="DB137" s="847">
        <v>0</v>
      </c>
      <c r="DC137" s="847">
        <v>0</v>
      </c>
      <c r="DD137" s="847">
        <v>0</v>
      </c>
      <c r="DE137" s="847">
        <v>0</v>
      </c>
      <c r="DF137" s="847">
        <v>0</v>
      </c>
      <c r="DG137" s="847">
        <v>0</v>
      </c>
      <c r="DH137" s="847">
        <v>0</v>
      </c>
      <c r="DI137" s="847">
        <v>0</v>
      </c>
      <c r="DJ137" s="847">
        <v>0</v>
      </c>
      <c r="DK137" s="847">
        <v>0</v>
      </c>
      <c r="DL137" s="847">
        <v>0</v>
      </c>
      <c r="DM137" s="847">
        <v>0</v>
      </c>
      <c r="DN137" s="847">
        <v>0</v>
      </c>
      <c r="DO137" s="847">
        <v>0</v>
      </c>
      <c r="DP137" s="847">
        <v>0</v>
      </c>
      <c r="DQ137" s="847">
        <v>0</v>
      </c>
      <c r="DR137" s="847">
        <v>0</v>
      </c>
      <c r="DS137" s="847">
        <v>0</v>
      </c>
      <c r="DT137" s="847">
        <v>0</v>
      </c>
      <c r="DU137" s="847">
        <v>0</v>
      </c>
      <c r="DV137" s="847">
        <v>0</v>
      </c>
      <c r="DW137" s="847">
        <v>0</v>
      </c>
      <c r="DY137" s="173"/>
      <c r="DZ137" s="173"/>
      <c r="EA137" s="173"/>
      <c r="EB137" s="174"/>
      <c r="EC137" s="175"/>
      <c r="ED137" s="174"/>
      <c r="EE137" s="174"/>
      <c r="EF137" s="174"/>
      <c r="EG137" s="174"/>
      <c r="EH137" s="174"/>
      <c r="EI137" s="174"/>
      <c r="EJ137" s="174"/>
      <c r="EK137" s="174"/>
      <c r="EL137" s="174"/>
      <c r="EM137" s="174"/>
      <c r="EN137" s="174"/>
      <c r="EO137" s="174"/>
      <c r="EP137" s="174"/>
      <c r="EQ137" s="174"/>
      <c r="ER137" s="174"/>
      <c r="ES137" s="174"/>
      <c r="ET137" s="174"/>
      <c r="EU137" s="174"/>
      <c r="EV137" s="174"/>
      <c r="EW137" s="174"/>
      <c r="EX137" s="174"/>
      <c r="EY137" s="174"/>
      <c r="EZ137" s="174"/>
      <c r="FA137" s="174"/>
      <c r="FB137" s="174"/>
      <c r="FC137" s="174"/>
      <c r="FD137" s="174"/>
      <c r="FE137" s="174"/>
      <c r="FF137" s="174"/>
      <c r="FG137" s="174"/>
      <c r="FH137" s="174"/>
      <c r="FI137" s="174"/>
      <c r="FJ137" s="174"/>
      <c r="FK137" s="174"/>
      <c r="FL137" s="174"/>
      <c r="FM137" s="174"/>
      <c r="FN137" s="174"/>
      <c r="FO137" s="174"/>
      <c r="FP137" s="174"/>
      <c r="FQ137" s="174"/>
      <c r="FR137" s="174"/>
      <c r="FS137" s="174"/>
      <c r="FT137" s="174"/>
      <c r="FU137" s="174"/>
      <c r="FV137" s="174"/>
      <c r="FW137" s="174"/>
      <c r="FX137" s="174"/>
      <c r="FY137" s="174"/>
      <c r="FZ137" s="176"/>
      <c r="GA137" s="176"/>
      <c r="GB137" s="176"/>
      <c r="GC137" s="176"/>
      <c r="GD137" s="176"/>
      <c r="GE137" s="176"/>
      <c r="GF137" s="176"/>
      <c r="GG137" s="176"/>
      <c r="GH137" s="176"/>
      <c r="GI137" s="176"/>
      <c r="GJ137" s="176"/>
      <c r="GK137" s="176"/>
      <c r="GL137" s="176"/>
      <c r="GM137" s="176"/>
      <c r="GN137" s="176"/>
      <c r="GO137" s="176"/>
      <c r="GP137" s="176"/>
      <c r="GQ137" s="176"/>
      <c r="GR137" s="176"/>
      <c r="GS137" s="176"/>
      <c r="GT137" s="176"/>
      <c r="GU137" s="176"/>
      <c r="GV137" s="176"/>
      <c r="GW137" s="176"/>
      <c r="GX137" s="176"/>
      <c r="GY137" s="176"/>
      <c r="GZ137" s="176"/>
      <c r="HA137" s="176"/>
      <c r="HB137" s="176"/>
      <c r="HC137" s="176"/>
      <c r="HD137" s="176"/>
      <c r="HE137" s="176"/>
      <c r="HF137" s="176"/>
      <c r="HG137" s="176"/>
      <c r="HH137" s="176"/>
      <c r="HI137" s="176"/>
      <c r="HJ137" s="176"/>
      <c r="HK137" s="176"/>
      <c r="HL137" s="176"/>
      <c r="HM137" s="176"/>
      <c r="HN137" s="176"/>
      <c r="HO137" s="176"/>
      <c r="HP137" s="176"/>
      <c r="HQ137" s="176"/>
      <c r="HR137" s="176"/>
      <c r="HS137" s="176"/>
      <c r="HT137" s="176"/>
      <c r="HU137" s="176"/>
      <c r="HV137" s="176"/>
      <c r="HW137" s="176"/>
      <c r="HX137" s="176"/>
      <c r="HY137" s="176"/>
      <c r="HZ137" s="176"/>
      <c r="IA137" s="176"/>
      <c r="IB137" s="176"/>
      <c r="IC137" s="176"/>
      <c r="ID137" s="176"/>
      <c r="IE137" s="176"/>
      <c r="IF137" s="176"/>
      <c r="IG137" s="176"/>
      <c r="IH137" s="176"/>
      <c r="II137" s="176"/>
      <c r="IJ137" s="176"/>
    </row>
    <row r="138" spans="1:244" ht="16.5" hidden="1">
      <c r="A138" s="846" t="s">
        <v>1060</v>
      </c>
      <c r="B138" s="846" t="s">
        <v>1382</v>
      </c>
      <c r="C138" s="846" t="s">
        <v>1171</v>
      </c>
      <c r="D138" s="847">
        <v>6</v>
      </c>
      <c r="E138" s="846" t="s">
        <v>1171</v>
      </c>
      <c r="F138" s="846" t="s">
        <v>97</v>
      </c>
      <c r="G138" s="851"/>
      <c r="H138" s="847">
        <v>59</v>
      </c>
      <c r="I138" s="780" t="str">
        <f t="shared" si="4"/>
        <v>IWT060259</v>
      </c>
      <c r="J138" s="847">
        <v>5077</v>
      </c>
      <c r="L138" s="846" t="s">
        <v>1060</v>
      </c>
      <c r="M138" s="846" t="s">
        <v>1382</v>
      </c>
      <c r="N138" s="846" t="s">
        <v>97</v>
      </c>
      <c r="O138" s="847">
        <v>59</v>
      </c>
      <c r="P138" s="780" t="str">
        <f t="shared" si="5"/>
        <v>IWT060259</v>
      </c>
      <c r="Q138" s="847">
        <v>1080</v>
      </c>
      <c r="R138" s="847">
        <v>2928</v>
      </c>
      <c r="S138" s="847">
        <v>4740</v>
      </c>
      <c r="T138" s="847">
        <v>6515</v>
      </c>
      <c r="U138" s="847">
        <v>8255</v>
      </c>
      <c r="V138" s="847">
        <v>0</v>
      </c>
      <c r="W138" s="847">
        <v>0</v>
      </c>
      <c r="X138" s="847">
        <v>0</v>
      </c>
      <c r="Y138" s="847">
        <v>0</v>
      </c>
      <c r="Z138" s="847">
        <v>0</v>
      </c>
      <c r="AA138" s="847">
        <v>0</v>
      </c>
      <c r="AB138" s="847">
        <v>0</v>
      </c>
      <c r="AC138" s="847">
        <v>0</v>
      </c>
      <c r="AD138" s="847">
        <v>0</v>
      </c>
      <c r="AE138" s="847">
        <v>0</v>
      </c>
      <c r="AF138" s="847">
        <v>0</v>
      </c>
      <c r="AG138" s="847">
        <v>0</v>
      </c>
      <c r="AH138" s="847">
        <v>0</v>
      </c>
      <c r="AI138" s="847">
        <v>0</v>
      </c>
      <c r="AJ138" s="847">
        <v>0</v>
      </c>
      <c r="AK138" s="847">
        <v>0</v>
      </c>
      <c r="AL138" s="847">
        <v>0</v>
      </c>
      <c r="AM138" s="847">
        <v>0</v>
      </c>
      <c r="AN138" s="847">
        <v>0</v>
      </c>
      <c r="AO138" s="847">
        <v>0</v>
      </c>
      <c r="AP138" s="847">
        <v>0</v>
      </c>
      <c r="AQ138" s="847">
        <v>0</v>
      </c>
      <c r="AR138" s="847">
        <v>0</v>
      </c>
      <c r="AS138" s="847">
        <v>0</v>
      </c>
      <c r="AT138" s="847">
        <v>0</v>
      </c>
      <c r="AU138" s="847">
        <v>0</v>
      </c>
      <c r="AV138" s="847">
        <v>0</v>
      </c>
      <c r="AW138" s="847">
        <v>0</v>
      </c>
      <c r="AX138" s="847">
        <v>0</v>
      </c>
      <c r="AY138" s="847">
        <v>0</v>
      </c>
      <c r="AZ138" s="847">
        <v>0</v>
      </c>
      <c r="BA138" s="847">
        <v>0</v>
      </c>
      <c r="BB138" s="847">
        <v>0</v>
      </c>
      <c r="BC138" s="847">
        <v>0</v>
      </c>
      <c r="BD138" s="847">
        <v>0</v>
      </c>
      <c r="BE138" s="847">
        <v>0</v>
      </c>
      <c r="BF138" s="847">
        <v>0</v>
      </c>
      <c r="BG138" s="847">
        <v>0</v>
      </c>
      <c r="BH138" s="847">
        <v>0</v>
      </c>
      <c r="BI138" s="847">
        <v>0</v>
      </c>
      <c r="BJ138" s="847">
        <v>0</v>
      </c>
      <c r="BK138" s="847">
        <v>0</v>
      </c>
      <c r="BL138" s="847">
        <v>0</v>
      </c>
      <c r="BM138" s="847">
        <v>0</v>
      </c>
      <c r="BN138" s="847">
        <v>0</v>
      </c>
      <c r="BO138" s="847">
        <v>0</v>
      </c>
      <c r="BP138" s="847">
        <v>0</v>
      </c>
      <c r="BQ138" s="847">
        <v>0</v>
      </c>
      <c r="BR138" s="847">
        <v>0</v>
      </c>
      <c r="BS138" s="847">
        <v>0</v>
      </c>
      <c r="BT138" s="847">
        <v>0</v>
      </c>
      <c r="BU138" s="847">
        <v>0</v>
      </c>
      <c r="BV138" s="847">
        <v>0</v>
      </c>
      <c r="BW138" s="847">
        <v>0</v>
      </c>
      <c r="BX138" s="847">
        <v>0</v>
      </c>
      <c r="BY138" s="847">
        <v>0</v>
      </c>
      <c r="BZ138" s="847">
        <v>0</v>
      </c>
      <c r="CA138" s="847">
        <v>0</v>
      </c>
      <c r="CB138" s="847">
        <v>0</v>
      </c>
      <c r="CC138" s="847">
        <v>0</v>
      </c>
      <c r="CD138" s="847">
        <v>0</v>
      </c>
      <c r="CE138" s="847">
        <v>0</v>
      </c>
      <c r="CF138" s="847">
        <v>0</v>
      </c>
      <c r="CG138" s="847">
        <v>0</v>
      </c>
      <c r="CH138" s="847">
        <v>0</v>
      </c>
      <c r="CI138" s="847">
        <v>0</v>
      </c>
      <c r="CJ138" s="847">
        <v>0</v>
      </c>
      <c r="CK138" s="847">
        <v>0</v>
      </c>
      <c r="CL138" s="847">
        <v>0</v>
      </c>
      <c r="CM138" s="847">
        <v>0</v>
      </c>
      <c r="CN138" s="847">
        <v>0</v>
      </c>
      <c r="CO138" s="847">
        <v>0</v>
      </c>
      <c r="CP138" s="847">
        <v>0</v>
      </c>
      <c r="CQ138" s="847">
        <v>0</v>
      </c>
      <c r="CR138" s="847">
        <v>0</v>
      </c>
      <c r="CS138" s="847">
        <v>0</v>
      </c>
      <c r="CT138" s="847">
        <v>0</v>
      </c>
      <c r="CU138" s="847">
        <v>0</v>
      </c>
      <c r="CV138" s="847">
        <v>0</v>
      </c>
      <c r="CW138" s="847">
        <v>0</v>
      </c>
      <c r="CX138" s="847">
        <v>0</v>
      </c>
      <c r="CY138" s="847">
        <v>0</v>
      </c>
      <c r="CZ138" s="847">
        <v>0</v>
      </c>
      <c r="DA138" s="847">
        <v>0</v>
      </c>
      <c r="DB138" s="847">
        <v>0</v>
      </c>
      <c r="DC138" s="847">
        <v>0</v>
      </c>
      <c r="DD138" s="847">
        <v>0</v>
      </c>
      <c r="DE138" s="847">
        <v>0</v>
      </c>
      <c r="DF138" s="847">
        <v>0</v>
      </c>
      <c r="DG138" s="847">
        <v>0</v>
      </c>
      <c r="DH138" s="847">
        <v>0</v>
      </c>
      <c r="DI138" s="847">
        <v>0</v>
      </c>
      <c r="DJ138" s="847">
        <v>0</v>
      </c>
      <c r="DK138" s="847">
        <v>0</v>
      </c>
      <c r="DL138" s="847">
        <v>0</v>
      </c>
      <c r="DM138" s="847">
        <v>0</v>
      </c>
      <c r="DN138" s="847">
        <v>0</v>
      </c>
      <c r="DO138" s="847">
        <v>0</v>
      </c>
      <c r="DP138" s="847">
        <v>0</v>
      </c>
      <c r="DQ138" s="847">
        <v>0</v>
      </c>
      <c r="DR138" s="847">
        <v>0</v>
      </c>
      <c r="DS138" s="847">
        <v>0</v>
      </c>
      <c r="DT138" s="847">
        <v>0</v>
      </c>
      <c r="DU138" s="847">
        <v>0</v>
      </c>
      <c r="DV138" s="847">
        <v>0</v>
      </c>
      <c r="DW138" s="847">
        <v>0</v>
      </c>
      <c r="DY138" s="173"/>
      <c r="DZ138" s="173"/>
      <c r="EA138" s="173"/>
      <c r="EB138" s="174"/>
      <c r="EC138" s="175"/>
      <c r="ED138" s="174"/>
      <c r="EE138" s="174"/>
      <c r="EF138" s="174"/>
      <c r="EG138" s="174"/>
      <c r="EH138" s="174"/>
      <c r="EI138" s="174"/>
      <c r="EJ138" s="174"/>
      <c r="EK138" s="174"/>
      <c r="EL138" s="174"/>
      <c r="EM138" s="174"/>
      <c r="EN138" s="174"/>
      <c r="EO138" s="174"/>
      <c r="EP138" s="174"/>
      <c r="EQ138" s="174"/>
      <c r="ER138" s="174"/>
      <c r="ES138" s="174"/>
      <c r="ET138" s="174"/>
      <c r="EU138" s="174"/>
      <c r="EV138" s="174"/>
      <c r="EW138" s="174"/>
      <c r="EX138" s="174"/>
      <c r="EY138" s="174"/>
      <c r="EZ138" s="174"/>
      <c r="FA138" s="174"/>
      <c r="FB138" s="174"/>
      <c r="FC138" s="174"/>
      <c r="FD138" s="174"/>
      <c r="FE138" s="174"/>
      <c r="FF138" s="174"/>
      <c r="FG138" s="174"/>
      <c r="FH138" s="174"/>
      <c r="FI138" s="174"/>
      <c r="FJ138" s="174"/>
      <c r="FK138" s="174"/>
      <c r="FL138" s="174"/>
      <c r="FM138" s="174"/>
      <c r="FN138" s="174"/>
      <c r="FO138" s="174"/>
      <c r="FP138" s="174"/>
      <c r="FQ138" s="174"/>
      <c r="FR138" s="174"/>
      <c r="FS138" s="174"/>
      <c r="FT138" s="174"/>
      <c r="FU138" s="174"/>
      <c r="FV138" s="174"/>
      <c r="FW138" s="174"/>
      <c r="FX138" s="174"/>
      <c r="FY138" s="176"/>
      <c r="FZ138" s="176"/>
      <c r="GA138" s="176"/>
      <c r="GB138" s="176"/>
      <c r="GC138" s="176"/>
      <c r="GD138" s="176"/>
      <c r="GE138" s="176"/>
      <c r="GF138" s="176"/>
      <c r="GG138" s="176"/>
      <c r="GH138" s="176"/>
      <c r="GI138" s="176"/>
      <c r="GJ138" s="176"/>
      <c r="GK138" s="176"/>
      <c r="GL138" s="176"/>
      <c r="GM138" s="176"/>
      <c r="GN138" s="176"/>
      <c r="GO138" s="176"/>
      <c r="GP138" s="176"/>
      <c r="GQ138" s="176"/>
      <c r="GR138" s="176"/>
      <c r="GS138" s="176"/>
      <c r="GT138" s="176"/>
      <c r="GU138" s="176"/>
      <c r="GV138" s="176"/>
      <c r="GW138" s="176"/>
      <c r="GX138" s="176"/>
      <c r="GY138" s="176"/>
      <c r="GZ138" s="176"/>
      <c r="HA138" s="176"/>
      <c r="HB138" s="176"/>
      <c r="HC138" s="176"/>
      <c r="HD138" s="176"/>
      <c r="HE138" s="176"/>
      <c r="HF138" s="176"/>
      <c r="HG138" s="176"/>
      <c r="HH138" s="176"/>
      <c r="HI138" s="176"/>
      <c r="HJ138" s="176"/>
      <c r="HK138" s="176"/>
      <c r="HL138" s="176"/>
      <c r="HM138" s="176"/>
      <c r="HN138" s="176"/>
      <c r="HO138" s="176"/>
      <c r="HP138" s="176"/>
      <c r="HQ138" s="176"/>
      <c r="HR138" s="176"/>
      <c r="HS138" s="176"/>
      <c r="HT138" s="176"/>
      <c r="HU138" s="176"/>
      <c r="HV138" s="176"/>
      <c r="HW138" s="176"/>
      <c r="HX138" s="176"/>
      <c r="HY138" s="176"/>
      <c r="HZ138" s="176"/>
      <c r="IA138" s="176"/>
      <c r="IB138" s="176"/>
      <c r="IC138" s="176"/>
      <c r="ID138" s="176"/>
      <c r="IE138" s="176"/>
      <c r="IF138" s="176"/>
      <c r="IG138" s="176"/>
      <c r="IH138" s="176"/>
      <c r="II138" s="176"/>
      <c r="IJ138" s="176"/>
    </row>
    <row r="139" spans="1:244" ht="16.5" hidden="1">
      <c r="A139" s="846" t="s">
        <v>1060</v>
      </c>
      <c r="B139" s="846" t="s">
        <v>1382</v>
      </c>
      <c r="C139" s="846" t="s">
        <v>1171</v>
      </c>
      <c r="D139" s="847">
        <v>6</v>
      </c>
      <c r="E139" s="846" t="s">
        <v>1171</v>
      </c>
      <c r="F139" s="846" t="s">
        <v>97</v>
      </c>
      <c r="G139" s="851"/>
      <c r="H139" s="847">
        <v>60</v>
      </c>
      <c r="I139" s="780" t="str">
        <f t="shared" si="4"/>
        <v>IWT060260</v>
      </c>
      <c r="J139" s="847">
        <v>5080</v>
      </c>
      <c r="L139" s="846" t="s">
        <v>1060</v>
      </c>
      <c r="M139" s="846" t="s">
        <v>1382</v>
      </c>
      <c r="N139" s="846" t="s">
        <v>97</v>
      </c>
      <c r="O139" s="847">
        <v>60</v>
      </c>
      <c r="P139" s="780" t="str">
        <f t="shared" si="5"/>
        <v>IWT060260</v>
      </c>
      <c r="Q139" s="847">
        <v>1076</v>
      </c>
      <c r="R139" s="847">
        <v>2925</v>
      </c>
      <c r="S139" s="847">
        <v>4737</v>
      </c>
      <c r="T139" s="847">
        <v>6513</v>
      </c>
      <c r="U139" s="847">
        <v>8254</v>
      </c>
      <c r="V139" s="847">
        <v>0</v>
      </c>
      <c r="W139" s="847">
        <v>0</v>
      </c>
      <c r="X139" s="847">
        <v>0</v>
      </c>
      <c r="Y139" s="847">
        <v>0</v>
      </c>
      <c r="Z139" s="847">
        <v>0</v>
      </c>
      <c r="AA139" s="847">
        <v>0</v>
      </c>
      <c r="AB139" s="847">
        <v>0</v>
      </c>
      <c r="AC139" s="847">
        <v>0</v>
      </c>
      <c r="AD139" s="847">
        <v>0</v>
      </c>
      <c r="AE139" s="847">
        <v>0</v>
      </c>
      <c r="AF139" s="847">
        <v>0</v>
      </c>
      <c r="AG139" s="847">
        <v>0</v>
      </c>
      <c r="AH139" s="847">
        <v>0</v>
      </c>
      <c r="AI139" s="847">
        <v>0</v>
      </c>
      <c r="AJ139" s="847">
        <v>0</v>
      </c>
      <c r="AK139" s="847">
        <v>0</v>
      </c>
      <c r="AL139" s="847">
        <v>0</v>
      </c>
      <c r="AM139" s="847">
        <v>0</v>
      </c>
      <c r="AN139" s="847">
        <v>0</v>
      </c>
      <c r="AO139" s="847">
        <v>0</v>
      </c>
      <c r="AP139" s="847">
        <v>0</v>
      </c>
      <c r="AQ139" s="847">
        <v>0</v>
      </c>
      <c r="AR139" s="847">
        <v>0</v>
      </c>
      <c r="AS139" s="847">
        <v>0</v>
      </c>
      <c r="AT139" s="847">
        <v>0</v>
      </c>
      <c r="AU139" s="847">
        <v>0</v>
      </c>
      <c r="AV139" s="847">
        <v>0</v>
      </c>
      <c r="AW139" s="847">
        <v>0</v>
      </c>
      <c r="AX139" s="847">
        <v>0</v>
      </c>
      <c r="AY139" s="847">
        <v>0</v>
      </c>
      <c r="AZ139" s="847">
        <v>0</v>
      </c>
      <c r="BA139" s="847">
        <v>0</v>
      </c>
      <c r="BB139" s="847">
        <v>0</v>
      </c>
      <c r="BC139" s="847">
        <v>0</v>
      </c>
      <c r="BD139" s="847">
        <v>0</v>
      </c>
      <c r="BE139" s="847">
        <v>0</v>
      </c>
      <c r="BF139" s="847">
        <v>0</v>
      </c>
      <c r="BG139" s="847">
        <v>0</v>
      </c>
      <c r="BH139" s="847">
        <v>0</v>
      </c>
      <c r="BI139" s="847">
        <v>0</v>
      </c>
      <c r="BJ139" s="847">
        <v>0</v>
      </c>
      <c r="BK139" s="847">
        <v>0</v>
      </c>
      <c r="BL139" s="847">
        <v>0</v>
      </c>
      <c r="BM139" s="847">
        <v>0</v>
      </c>
      <c r="BN139" s="847">
        <v>0</v>
      </c>
      <c r="BO139" s="847">
        <v>0</v>
      </c>
      <c r="BP139" s="847">
        <v>0</v>
      </c>
      <c r="BQ139" s="847">
        <v>0</v>
      </c>
      <c r="BR139" s="847">
        <v>0</v>
      </c>
      <c r="BS139" s="847">
        <v>0</v>
      </c>
      <c r="BT139" s="847">
        <v>0</v>
      </c>
      <c r="BU139" s="847">
        <v>0</v>
      </c>
      <c r="BV139" s="847">
        <v>0</v>
      </c>
      <c r="BW139" s="847">
        <v>0</v>
      </c>
      <c r="BX139" s="847">
        <v>0</v>
      </c>
      <c r="BY139" s="847">
        <v>0</v>
      </c>
      <c r="BZ139" s="847">
        <v>0</v>
      </c>
      <c r="CA139" s="847">
        <v>0</v>
      </c>
      <c r="CB139" s="847">
        <v>0</v>
      </c>
      <c r="CC139" s="847">
        <v>0</v>
      </c>
      <c r="CD139" s="847">
        <v>0</v>
      </c>
      <c r="CE139" s="847">
        <v>0</v>
      </c>
      <c r="CF139" s="847">
        <v>0</v>
      </c>
      <c r="CG139" s="847">
        <v>0</v>
      </c>
      <c r="CH139" s="847">
        <v>0</v>
      </c>
      <c r="CI139" s="847">
        <v>0</v>
      </c>
      <c r="CJ139" s="847">
        <v>0</v>
      </c>
      <c r="CK139" s="847">
        <v>0</v>
      </c>
      <c r="CL139" s="847">
        <v>0</v>
      </c>
      <c r="CM139" s="847">
        <v>0</v>
      </c>
      <c r="CN139" s="847">
        <v>0</v>
      </c>
      <c r="CO139" s="847">
        <v>0</v>
      </c>
      <c r="CP139" s="847">
        <v>0</v>
      </c>
      <c r="CQ139" s="847">
        <v>0</v>
      </c>
      <c r="CR139" s="847">
        <v>0</v>
      </c>
      <c r="CS139" s="847">
        <v>0</v>
      </c>
      <c r="CT139" s="847">
        <v>0</v>
      </c>
      <c r="CU139" s="847">
        <v>0</v>
      </c>
      <c r="CV139" s="847">
        <v>0</v>
      </c>
      <c r="CW139" s="847">
        <v>0</v>
      </c>
      <c r="CX139" s="847">
        <v>0</v>
      </c>
      <c r="CY139" s="847">
        <v>0</v>
      </c>
      <c r="CZ139" s="847">
        <v>0</v>
      </c>
      <c r="DA139" s="847">
        <v>0</v>
      </c>
      <c r="DB139" s="847">
        <v>0</v>
      </c>
      <c r="DC139" s="847">
        <v>0</v>
      </c>
      <c r="DD139" s="847">
        <v>0</v>
      </c>
      <c r="DE139" s="847">
        <v>0</v>
      </c>
      <c r="DF139" s="847">
        <v>0</v>
      </c>
      <c r="DG139" s="847">
        <v>0</v>
      </c>
      <c r="DH139" s="847">
        <v>0</v>
      </c>
      <c r="DI139" s="847">
        <v>0</v>
      </c>
      <c r="DJ139" s="847">
        <v>0</v>
      </c>
      <c r="DK139" s="847">
        <v>0</v>
      </c>
      <c r="DL139" s="847">
        <v>0</v>
      </c>
      <c r="DM139" s="847">
        <v>0</v>
      </c>
      <c r="DN139" s="847">
        <v>0</v>
      </c>
      <c r="DO139" s="847">
        <v>0</v>
      </c>
      <c r="DP139" s="847">
        <v>0</v>
      </c>
      <c r="DQ139" s="847">
        <v>0</v>
      </c>
      <c r="DR139" s="847">
        <v>0</v>
      </c>
      <c r="DS139" s="847">
        <v>0</v>
      </c>
      <c r="DT139" s="847">
        <v>0</v>
      </c>
      <c r="DU139" s="847">
        <v>0</v>
      </c>
      <c r="DV139" s="847">
        <v>0</v>
      </c>
      <c r="DW139" s="847">
        <v>0</v>
      </c>
      <c r="DY139" s="173"/>
      <c r="DZ139" s="173"/>
      <c r="EA139" s="173"/>
      <c r="EB139" s="174"/>
      <c r="EC139" s="175"/>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4"/>
      <c r="FX139" s="176"/>
      <c r="FY139" s="176"/>
      <c r="FZ139" s="176"/>
      <c r="GA139" s="176"/>
      <c r="GB139" s="176"/>
      <c r="GC139" s="176"/>
      <c r="GD139" s="176"/>
      <c r="GE139" s="176"/>
      <c r="GF139" s="176"/>
      <c r="GG139" s="176"/>
      <c r="GH139" s="176"/>
      <c r="GI139" s="176"/>
      <c r="GJ139" s="176"/>
      <c r="GK139" s="176"/>
      <c r="GL139" s="176"/>
      <c r="GM139" s="176"/>
      <c r="GN139" s="176"/>
      <c r="GO139" s="176"/>
      <c r="GP139" s="176"/>
      <c r="GQ139" s="176"/>
      <c r="GR139" s="176"/>
      <c r="GS139" s="176"/>
      <c r="GT139" s="176"/>
      <c r="GU139" s="176"/>
      <c r="GV139" s="176"/>
      <c r="GW139" s="176"/>
      <c r="GX139" s="176"/>
      <c r="GY139" s="176"/>
      <c r="GZ139" s="176"/>
      <c r="HA139" s="176"/>
      <c r="HB139" s="176"/>
      <c r="HC139" s="176"/>
      <c r="HD139" s="176"/>
      <c r="HE139" s="176"/>
      <c r="HF139" s="176"/>
      <c r="HG139" s="176"/>
      <c r="HH139" s="176"/>
      <c r="HI139" s="176"/>
      <c r="HJ139" s="176"/>
      <c r="HK139" s="176"/>
      <c r="HL139" s="176"/>
      <c r="HM139" s="176"/>
      <c r="HN139" s="176"/>
      <c r="HO139" s="176"/>
      <c r="HP139" s="176"/>
      <c r="HQ139" s="176"/>
      <c r="HR139" s="176"/>
      <c r="HS139" s="176"/>
      <c r="HT139" s="176"/>
      <c r="HU139" s="176"/>
      <c r="HV139" s="176"/>
      <c r="HW139" s="176"/>
      <c r="HX139" s="176"/>
      <c r="HY139" s="176"/>
      <c r="HZ139" s="176"/>
      <c r="IA139" s="176"/>
      <c r="IB139" s="176"/>
      <c r="IC139" s="176"/>
      <c r="ID139" s="176"/>
      <c r="IE139" s="176"/>
      <c r="IF139" s="176"/>
      <c r="IG139" s="176"/>
      <c r="IH139" s="176"/>
      <c r="II139" s="176"/>
      <c r="IJ139" s="176"/>
    </row>
    <row r="140" spans="1:244" ht="16.5" hidden="1">
      <c r="A140" s="846" t="s">
        <v>1060</v>
      </c>
      <c r="B140" s="846" t="s">
        <v>1382</v>
      </c>
      <c r="C140" s="846" t="s">
        <v>1171</v>
      </c>
      <c r="D140" s="847">
        <v>6</v>
      </c>
      <c r="E140" s="846" t="s">
        <v>1171</v>
      </c>
      <c r="F140" s="846" t="s">
        <v>97</v>
      </c>
      <c r="G140" s="851"/>
      <c r="H140" s="847">
        <v>61</v>
      </c>
      <c r="I140" s="780" t="str">
        <f t="shared" si="4"/>
        <v>IWT060261</v>
      </c>
      <c r="J140" s="847">
        <v>5083</v>
      </c>
      <c r="L140" s="846" t="s">
        <v>1060</v>
      </c>
      <c r="M140" s="846" t="s">
        <v>1382</v>
      </c>
      <c r="N140" s="846" t="s">
        <v>97</v>
      </c>
      <c r="O140" s="847">
        <v>61</v>
      </c>
      <c r="P140" s="780" t="str">
        <f t="shared" si="5"/>
        <v>IWT060261</v>
      </c>
      <c r="Q140" s="847">
        <v>1072</v>
      </c>
      <c r="R140" s="847">
        <v>2921</v>
      </c>
      <c r="S140" s="847">
        <v>4734</v>
      </c>
      <c r="T140" s="847">
        <v>6511</v>
      </c>
      <c r="U140" s="847">
        <v>8253</v>
      </c>
      <c r="V140" s="847">
        <v>0</v>
      </c>
      <c r="W140" s="847">
        <v>0</v>
      </c>
      <c r="X140" s="847">
        <v>0</v>
      </c>
      <c r="Y140" s="847">
        <v>0</v>
      </c>
      <c r="Z140" s="847">
        <v>0</v>
      </c>
      <c r="AA140" s="847">
        <v>0</v>
      </c>
      <c r="AB140" s="847">
        <v>0</v>
      </c>
      <c r="AC140" s="847">
        <v>0</v>
      </c>
      <c r="AD140" s="847">
        <v>0</v>
      </c>
      <c r="AE140" s="847">
        <v>0</v>
      </c>
      <c r="AF140" s="847">
        <v>0</v>
      </c>
      <c r="AG140" s="847">
        <v>0</v>
      </c>
      <c r="AH140" s="847">
        <v>0</v>
      </c>
      <c r="AI140" s="847">
        <v>0</v>
      </c>
      <c r="AJ140" s="847">
        <v>0</v>
      </c>
      <c r="AK140" s="847">
        <v>0</v>
      </c>
      <c r="AL140" s="847">
        <v>0</v>
      </c>
      <c r="AM140" s="847">
        <v>0</v>
      </c>
      <c r="AN140" s="847">
        <v>0</v>
      </c>
      <c r="AO140" s="847">
        <v>0</v>
      </c>
      <c r="AP140" s="847">
        <v>0</v>
      </c>
      <c r="AQ140" s="847">
        <v>0</v>
      </c>
      <c r="AR140" s="847">
        <v>0</v>
      </c>
      <c r="AS140" s="847">
        <v>0</v>
      </c>
      <c r="AT140" s="847">
        <v>0</v>
      </c>
      <c r="AU140" s="847">
        <v>0</v>
      </c>
      <c r="AV140" s="847">
        <v>0</v>
      </c>
      <c r="AW140" s="847">
        <v>0</v>
      </c>
      <c r="AX140" s="847">
        <v>0</v>
      </c>
      <c r="AY140" s="847">
        <v>0</v>
      </c>
      <c r="AZ140" s="847">
        <v>0</v>
      </c>
      <c r="BA140" s="847">
        <v>0</v>
      </c>
      <c r="BB140" s="847">
        <v>0</v>
      </c>
      <c r="BC140" s="847">
        <v>0</v>
      </c>
      <c r="BD140" s="847">
        <v>0</v>
      </c>
      <c r="BE140" s="847">
        <v>0</v>
      </c>
      <c r="BF140" s="847">
        <v>0</v>
      </c>
      <c r="BG140" s="847">
        <v>0</v>
      </c>
      <c r="BH140" s="847">
        <v>0</v>
      </c>
      <c r="BI140" s="847">
        <v>0</v>
      </c>
      <c r="BJ140" s="847">
        <v>0</v>
      </c>
      <c r="BK140" s="847">
        <v>0</v>
      </c>
      <c r="BL140" s="847">
        <v>0</v>
      </c>
      <c r="BM140" s="847">
        <v>0</v>
      </c>
      <c r="BN140" s="847">
        <v>0</v>
      </c>
      <c r="BO140" s="847">
        <v>0</v>
      </c>
      <c r="BP140" s="847">
        <v>0</v>
      </c>
      <c r="BQ140" s="847">
        <v>0</v>
      </c>
      <c r="BR140" s="847">
        <v>0</v>
      </c>
      <c r="BS140" s="847">
        <v>0</v>
      </c>
      <c r="BT140" s="847">
        <v>0</v>
      </c>
      <c r="BU140" s="847">
        <v>0</v>
      </c>
      <c r="BV140" s="847">
        <v>0</v>
      </c>
      <c r="BW140" s="847">
        <v>0</v>
      </c>
      <c r="BX140" s="847">
        <v>0</v>
      </c>
      <c r="BY140" s="847">
        <v>0</v>
      </c>
      <c r="BZ140" s="847">
        <v>0</v>
      </c>
      <c r="CA140" s="847">
        <v>0</v>
      </c>
      <c r="CB140" s="847">
        <v>0</v>
      </c>
      <c r="CC140" s="847">
        <v>0</v>
      </c>
      <c r="CD140" s="847">
        <v>0</v>
      </c>
      <c r="CE140" s="847">
        <v>0</v>
      </c>
      <c r="CF140" s="847">
        <v>0</v>
      </c>
      <c r="CG140" s="847">
        <v>0</v>
      </c>
      <c r="CH140" s="847">
        <v>0</v>
      </c>
      <c r="CI140" s="847">
        <v>0</v>
      </c>
      <c r="CJ140" s="847">
        <v>0</v>
      </c>
      <c r="CK140" s="847">
        <v>0</v>
      </c>
      <c r="CL140" s="847">
        <v>0</v>
      </c>
      <c r="CM140" s="847">
        <v>0</v>
      </c>
      <c r="CN140" s="847">
        <v>0</v>
      </c>
      <c r="CO140" s="847">
        <v>0</v>
      </c>
      <c r="CP140" s="847">
        <v>0</v>
      </c>
      <c r="CQ140" s="847">
        <v>0</v>
      </c>
      <c r="CR140" s="847">
        <v>0</v>
      </c>
      <c r="CS140" s="847">
        <v>0</v>
      </c>
      <c r="CT140" s="847">
        <v>0</v>
      </c>
      <c r="CU140" s="847">
        <v>0</v>
      </c>
      <c r="CV140" s="847">
        <v>0</v>
      </c>
      <c r="CW140" s="847">
        <v>0</v>
      </c>
      <c r="CX140" s="847">
        <v>0</v>
      </c>
      <c r="CY140" s="847">
        <v>0</v>
      </c>
      <c r="CZ140" s="847">
        <v>0</v>
      </c>
      <c r="DA140" s="847">
        <v>0</v>
      </c>
      <c r="DB140" s="847">
        <v>0</v>
      </c>
      <c r="DC140" s="847">
        <v>0</v>
      </c>
      <c r="DD140" s="847">
        <v>0</v>
      </c>
      <c r="DE140" s="847">
        <v>0</v>
      </c>
      <c r="DF140" s="847">
        <v>0</v>
      </c>
      <c r="DG140" s="847">
        <v>0</v>
      </c>
      <c r="DH140" s="847">
        <v>0</v>
      </c>
      <c r="DI140" s="847">
        <v>0</v>
      </c>
      <c r="DJ140" s="847">
        <v>0</v>
      </c>
      <c r="DK140" s="847">
        <v>0</v>
      </c>
      <c r="DL140" s="847">
        <v>0</v>
      </c>
      <c r="DM140" s="847">
        <v>0</v>
      </c>
      <c r="DN140" s="847">
        <v>0</v>
      </c>
      <c r="DO140" s="847">
        <v>0</v>
      </c>
      <c r="DP140" s="847">
        <v>0</v>
      </c>
      <c r="DQ140" s="847">
        <v>0</v>
      </c>
      <c r="DR140" s="847">
        <v>0</v>
      </c>
      <c r="DS140" s="847">
        <v>0</v>
      </c>
      <c r="DT140" s="847">
        <v>0</v>
      </c>
      <c r="DU140" s="847">
        <v>0</v>
      </c>
      <c r="DV140" s="847">
        <v>0</v>
      </c>
      <c r="DW140" s="847">
        <v>0</v>
      </c>
      <c r="DY140" s="173"/>
      <c r="DZ140" s="173"/>
      <c r="EA140" s="173"/>
      <c r="EB140" s="174"/>
      <c r="EC140" s="175"/>
      <c r="ED140" s="174"/>
      <c r="EE140" s="174"/>
      <c r="EF140" s="174"/>
      <c r="EG140" s="174"/>
      <c r="EH140" s="174"/>
      <c r="EI140" s="174"/>
      <c r="EJ140" s="174"/>
      <c r="EK140" s="174"/>
      <c r="EL140" s="174"/>
      <c r="EM140" s="174"/>
      <c r="EN140" s="174"/>
      <c r="EO140" s="174"/>
      <c r="EP140" s="174"/>
      <c r="EQ140" s="174"/>
      <c r="ER140" s="174"/>
      <c r="ES140" s="174"/>
      <c r="ET140" s="174"/>
      <c r="EU140" s="174"/>
      <c r="EV140" s="174"/>
      <c r="EW140" s="174"/>
      <c r="EX140" s="174"/>
      <c r="EY140" s="174"/>
      <c r="EZ140" s="174"/>
      <c r="FA140" s="174"/>
      <c r="FB140" s="174"/>
      <c r="FC140" s="174"/>
      <c r="FD140" s="174"/>
      <c r="FE140" s="174"/>
      <c r="FF140" s="174"/>
      <c r="FG140" s="174"/>
      <c r="FH140" s="174"/>
      <c r="FI140" s="174"/>
      <c r="FJ140" s="174"/>
      <c r="FK140" s="174"/>
      <c r="FL140" s="174"/>
      <c r="FM140" s="174"/>
      <c r="FN140" s="174"/>
      <c r="FO140" s="174"/>
      <c r="FP140" s="174"/>
      <c r="FQ140" s="174"/>
      <c r="FR140" s="174"/>
      <c r="FS140" s="174"/>
      <c r="FT140" s="174"/>
      <c r="FU140" s="174"/>
      <c r="FV140" s="174"/>
      <c r="FW140" s="176"/>
      <c r="FX140" s="176"/>
      <c r="FY140" s="176"/>
      <c r="FZ140" s="176"/>
      <c r="GA140" s="176"/>
      <c r="GB140" s="176"/>
      <c r="GC140" s="176"/>
      <c r="GD140" s="176"/>
      <c r="GE140" s="176"/>
      <c r="GF140" s="176"/>
      <c r="GG140" s="176"/>
      <c r="GH140" s="176"/>
      <c r="GI140" s="176"/>
      <c r="GJ140" s="176"/>
      <c r="GK140" s="176"/>
      <c r="GL140" s="176"/>
      <c r="GM140" s="176"/>
      <c r="GN140" s="176"/>
      <c r="GO140" s="176"/>
      <c r="GP140" s="176"/>
      <c r="GQ140" s="176"/>
      <c r="GR140" s="176"/>
      <c r="GS140" s="176"/>
      <c r="GT140" s="176"/>
      <c r="GU140" s="176"/>
      <c r="GV140" s="176"/>
      <c r="GW140" s="176"/>
      <c r="GX140" s="176"/>
      <c r="GY140" s="176"/>
      <c r="GZ140" s="176"/>
      <c r="HA140" s="176"/>
      <c r="HB140" s="176"/>
      <c r="HC140" s="176"/>
      <c r="HD140" s="176"/>
      <c r="HE140" s="176"/>
      <c r="HF140" s="176"/>
      <c r="HG140" s="176"/>
      <c r="HH140" s="176"/>
      <c r="HI140" s="176"/>
      <c r="HJ140" s="176"/>
      <c r="HK140" s="176"/>
      <c r="HL140" s="176"/>
      <c r="HM140" s="176"/>
      <c r="HN140" s="176"/>
      <c r="HO140" s="176"/>
      <c r="HP140" s="176"/>
      <c r="HQ140" s="176"/>
      <c r="HR140" s="176"/>
      <c r="HS140" s="176"/>
      <c r="HT140" s="176"/>
      <c r="HU140" s="176"/>
      <c r="HV140" s="176"/>
      <c r="HW140" s="176"/>
      <c r="HX140" s="176"/>
      <c r="HY140" s="176"/>
      <c r="HZ140" s="176"/>
      <c r="IA140" s="176"/>
      <c r="IB140" s="176"/>
      <c r="IC140" s="176"/>
      <c r="ID140" s="176"/>
      <c r="IE140" s="176"/>
      <c r="IF140" s="176"/>
      <c r="IG140" s="176"/>
      <c r="IH140" s="176"/>
      <c r="II140" s="176"/>
      <c r="IJ140" s="176"/>
    </row>
    <row r="141" spans="1:244" ht="16.5" hidden="1">
      <c r="A141" s="846" t="s">
        <v>1060</v>
      </c>
      <c r="B141" s="846" t="s">
        <v>1382</v>
      </c>
      <c r="C141" s="846" t="s">
        <v>1171</v>
      </c>
      <c r="D141" s="847">
        <v>6</v>
      </c>
      <c r="E141" s="846" t="s">
        <v>1171</v>
      </c>
      <c r="F141" s="846" t="s">
        <v>97</v>
      </c>
      <c r="G141" s="851"/>
      <c r="H141" s="847">
        <v>62</v>
      </c>
      <c r="I141" s="780" t="str">
        <f t="shared" si="4"/>
        <v>IWT060262</v>
      </c>
      <c r="J141" s="847">
        <v>5086</v>
      </c>
      <c r="L141" s="846" t="s">
        <v>1060</v>
      </c>
      <c r="M141" s="846" t="s">
        <v>1382</v>
      </c>
      <c r="N141" s="846" t="s">
        <v>97</v>
      </c>
      <c r="O141" s="847">
        <v>62</v>
      </c>
      <c r="P141" s="780" t="str">
        <f t="shared" si="5"/>
        <v>IWT060262</v>
      </c>
      <c r="Q141" s="847">
        <v>1067</v>
      </c>
      <c r="R141" s="847">
        <v>2917</v>
      </c>
      <c r="S141" s="847">
        <v>4732</v>
      </c>
      <c r="T141" s="847">
        <v>6509</v>
      </c>
      <c r="U141" s="847">
        <v>8251</v>
      </c>
      <c r="V141" s="847">
        <v>0</v>
      </c>
      <c r="W141" s="847">
        <v>0</v>
      </c>
      <c r="X141" s="847">
        <v>0</v>
      </c>
      <c r="Y141" s="847">
        <v>0</v>
      </c>
      <c r="Z141" s="847">
        <v>0</v>
      </c>
      <c r="AA141" s="847">
        <v>0</v>
      </c>
      <c r="AB141" s="847">
        <v>0</v>
      </c>
      <c r="AC141" s="847">
        <v>0</v>
      </c>
      <c r="AD141" s="847">
        <v>0</v>
      </c>
      <c r="AE141" s="847">
        <v>0</v>
      </c>
      <c r="AF141" s="847">
        <v>0</v>
      </c>
      <c r="AG141" s="847">
        <v>0</v>
      </c>
      <c r="AH141" s="847">
        <v>0</v>
      </c>
      <c r="AI141" s="847">
        <v>0</v>
      </c>
      <c r="AJ141" s="847">
        <v>0</v>
      </c>
      <c r="AK141" s="847">
        <v>0</v>
      </c>
      <c r="AL141" s="847">
        <v>0</v>
      </c>
      <c r="AM141" s="847">
        <v>0</v>
      </c>
      <c r="AN141" s="847">
        <v>0</v>
      </c>
      <c r="AO141" s="847">
        <v>0</v>
      </c>
      <c r="AP141" s="847">
        <v>0</v>
      </c>
      <c r="AQ141" s="847">
        <v>0</v>
      </c>
      <c r="AR141" s="847">
        <v>0</v>
      </c>
      <c r="AS141" s="847">
        <v>0</v>
      </c>
      <c r="AT141" s="847">
        <v>0</v>
      </c>
      <c r="AU141" s="847">
        <v>0</v>
      </c>
      <c r="AV141" s="847">
        <v>0</v>
      </c>
      <c r="AW141" s="847">
        <v>0</v>
      </c>
      <c r="AX141" s="847">
        <v>0</v>
      </c>
      <c r="AY141" s="847">
        <v>0</v>
      </c>
      <c r="AZ141" s="847">
        <v>0</v>
      </c>
      <c r="BA141" s="847">
        <v>0</v>
      </c>
      <c r="BB141" s="847">
        <v>0</v>
      </c>
      <c r="BC141" s="847">
        <v>0</v>
      </c>
      <c r="BD141" s="847">
        <v>0</v>
      </c>
      <c r="BE141" s="847">
        <v>0</v>
      </c>
      <c r="BF141" s="847">
        <v>0</v>
      </c>
      <c r="BG141" s="847">
        <v>0</v>
      </c>
      <c r="BH141" s="847">
        <v>0</v>
      </c>
      <c r="BI141" s="847">
        <v>0</v>
      </c>
      <c r="BJ141" s="847">
        <v>0</v>
      </c>
      <c r="BK141" s="847">
        <v>0</v>
      </c>
      <c r="BL141" s="847">
        <v>0</v>
      </c>
      <c r="BM141" s="847">
        <v>0</v>
      </c>
      <c r="BN141" s="847">
        <v>0</v>
      </c>
      <c r="BO141" s="847">
        <v>0</v>
      </c>
      <c r="BP141" s="847">
        <v>0</v>
      </c>
      <c r="BQ141" s="847">
        <v>0</v>
      </c>
      <c r="BR141" s="847">
        <v>0</v>
      </c>
      <c r="BS141" s="847">
        <v>0</v>
      </c>
      <c r="BT141" s="847">
        <v>0</v>
      </c>
      <c r="BU141" s="847">
        <v>0</v>
      </c>
      <c r="BV141" s="847">
        <v>0</v>
      </c>
      <c r="BW141" s="847">
        <v>0</v>
      </c>
      <c r="BX141" s="847">
        <v>0</v>
      </c>
      <c r="BY141" s="847">
        <v>0</v>
      </c>
      <c r="BZ141" s="847">
        <v>0</v>
      </c>
      <c r="CA141" s="847">
        <v>0</v>
      </c>
      <c r="CB141" s="847">
        <v>0</v>
      </c>
      <c r="CC141" s="847">
        <v>0</v>
      </c>
      <c r="CD141" s="847">
        <v>0</v>
      </c>
      <c r="CE141" s="847">
        <v>0</v>
      </c>
      <c r="CF141" s="847">
        <v>0</v>
      </c>
      <c r="CG141" s="847">
        <v>0</v>
      </c>
      <c r="CH141" s="847">
        <v>0</v>
      </c>
      <c r="CI141" s="847">
        <v>0</v>
      </c>
      <c r="CJ141" s="847">
        <v>0</v>
      </c>
      <c r="CK141" s="847">
        <v>0</v>
      </c>
      <c r="CL141" s="847">
        <v>0</v>
      </c>
      <c r="CM141" s="847">
        <v>0</v>
      </c>
      <c r="CN141" s="847">
        <v>0</v>
      </c>
      <c r="CO141" s="847">
        <v>0</v>
      </c>
      <c r="CP141" s="847">
        <v>0</v>
      </c>
      <c r="CQ141" s="847">
        <v>0</v>
      </c>
      <c r="CR141" s="847">
        <v>0</v>
      </c>
      <c r="CS141" s="847">
        <v>0</v>
      </c>
      <c r="CT141" s="847">
        <v>0</v>
      </c>
      <c r="CU141" s="847">
        <v>0</v>
      </c>
      <c r="CV141" s="847">
        <v>0</v>
      </c>
      <c r="CW141" s="847">
        <v>0</v>
      </c>
      <c r="CX141" s="847">
        <v>0</v>
      </c>
      <c r="CY141" s="847">
        <v>0</v>
      </c>
      <c r="CZ141" s="847">
        <v>0</v>
      </c>
      <c r="DA141" s="847">
        <v>0</v>
      </c>
      <c r="DB141" s="847">
        <v>0</v>
      </c>
      <c r="DC141" s="847">
        <v>0</v>
      </c>
      <c r="DD141" s="847">
        <v>0</v>
      </c>
      <c r="DE141" s="847">
        <v>0</v>
      </c>
      <c r="DF141" s="847">
        <v>0</v>
      </c>
      <c r="DG141" s="847">
        <v>0</v>
      </c>
      <c r="DH141" s="847">
        <v>0</v>
      </c>
      <c r="DI141" s="847">
        <v>0</v>
      </c>
      <c r="DJ141" s="847">
        <v>0</v>
      </c>
      <c r="DK141" s="847">
        <v>0</v>
      </c>
      <c r="DL141" s="847">
        <v>0</v>
      </c>
      <c r="DM141" s="847">
        <v>0</v>
      </c>
      <c r="DN141" s="847">
        <v>0</v>
      </c>
      <c r="DO141" s="847">
        <v>0</v>
      </c>
      <c r="DP141" s="847">
        <v>0</v>
      </c>
      <c r="DQ141" s="847">
        <v>0</v>
      </c>
      <c r="DR141" s="847">
        <v>0</v>
      </c>
      <c r="DS141" s="847">
        <v>0</v>
      </c>
      <c r="DT141" s="847">
        <v>0</v>
      </c>
      <c r="DU141" s="847">
        <v>0</v>
      </c>
      <c r="DV141" s="847">
        <v>0</v>
      </c>
      <c r="DW141" s="847">
        <v>0</v>
      </c>
      <c r="DY141" s="173"/>
      <c r="DZ141" s="173"/>
      <c r="EA141" s="173"/>
      <c r="EB141" s="174"/>
      <c r="EC141" s="175"/>
      <c r="ED141" s="174"/>
      <c r="EE141" s="174"/>
      <c r="EF141" s="174"/>
      <c r="EG141" s="174"/>
      <c r="EH141" s="174"/>
      <c r="EI141" s="174"/>
      <c r="EJ141" s="174"/>
      <c r="EK141" s="174"/>
      <c r="EL141" s="174"/>
      <c r="EM141" s="174"/>
      <c r="EN141" s="174"/>
      <c r="EO141" s="174"/>
      <c r="EP141" s="174"/>
      <c r="EQ141" s="174"/>
      <c r="ER141" s="174"/>
      <c r="ES141" s="174"/>
      <c r="ET141" s="174"/>
      <c r="EU141" s="174"/>
      <c r="EV141" s="174"/>
      <c r="EW141" s="174"/>
      <c r="EX141" s="174"/>
      <c r="EY141" s="174"/>
      <c r="EZ141" s="174"/>
      <c r="FA141" s="174"/>
      <c r="FB141" s="174"/>
      <c r="FC141" s="174"/>
      <c r="FD141" s="174"/>
      <c r="FE141" s="174"/>
      <c r="FF141" s="174"/>
      <c r="FG141" s="174"/>
      <c r="FH141" s="174"/>
      <c r="FI141" s="174"/>
      <c r="FJ141" s="174"/>
      <c r="FK141" s="174"/>
      <c r="FL141" s="174"/>
      <c r="FM141" s="174"/>
      <c r="FN141" s="174"/>
      <c r="FO141" s="174"/>
      <c r="FP141" s="174"/>
      <c r="FQ141" s="174"/>
      <c r="FR141" s="174"/>
      <c r="FS141" s="174"/>
      <c r="FT141" s="174"/>
      <c r="FU141" s="174"/>
      <c r="FV141" s="176"/>
      <c r="FW141" s="176"/>
      <c r="FX141" s="176"/>
      <c r="FY141" s="176"/>
      <c r="FZ141" s="176"/>
      <c r="GA141" s="176"/>
      <c r="GB141" s="176"/>
      <c r="GC141" s="176"/>
      <c r="GD141" s="176"/>
      <c r="GE141" s="176"/>
      <c r="GF141" s="176"/>
      <c r="GG141" s="176"/>
      <c r="GH141" s="176"/>
      <c r="GI141" s="176"/>
      <c r="GJ141" s="176"/>
      <c r="GK141" s="176"/>
      <c r="GL141" s="176"/>
      <c r="GM141" s="176"/>
      <c r="GN141" s="176"/>
      <c r="GO141" s="176"/>
      <c r="GP141" s="176"/>
      <c r="GQ141" s="176"/>
      <c r="GR141" s="176"/>
      <c r="GS141" s="176"/>
      <c r="GT141" s="176"/>
      <c r="GU141" s="176"/>
      <c r="GV141" s="176"/>
      <c r="GW141" s="176"/>
      <c r="GX141" s="176"/>
      <c r="GY141" s="176"/>
      <c r="GZ141" s="176"/>
      <c r="HA141" s="176"/>
      <c r="HB141" s="176"/>
      <c r="HC141" s="176"/>
      <c r="HD141" s="176"/>
      <c r="HE141" s="176"/>
      <c r="HF141" s="176"/>
      <c r="HG141" s="176"/>
      <c r="HH141" s="176"/>
      <c r="HI141" s="176"/>
      <c r="HJ141" s="176"/>
      <c r="HK141" s="176"/>
      <c r="HL141" s="176"/>
      <c r="HM141" s="176"/>
      <c r="HN141" s="176"/>
      <c r="HO141" s="176"/>
      <c r="HP141" s="176"/>
      <c r="HQ141" s="176"/>
      <c r="HR141" s="176"/>
      <c r="HS141" s="176"/>
      <c r="HT141" s="176"/>
      <c r="HU141" s="176"/>
      <c r="HV141" s="176"/>
      <c r="HW141" s="176"/>
      <c r="HX141" s="176"/>
      <c r="HY141" s="176"/>
      <c r="HZ141" s="176"/>
      <c r="IA141" s="176"/>
      <c r="IB141" s="176"/>
      <c r="IC141" s="176"/>
      <c r="ID141" s="176"/>
      <c r="IE141" s="176"/>
      <c r="IF141" s="176"/>
      <c r="IG141" s="176"/>
      <c r="IH141" s="176"/>
      <c r="II141" s="176"/>
      <c r="IJ141" s="176"/>
    </row>
    <row r="142" spans="1:244" ht="16.5" hidden="1">
      <c r="A142" s="846" t="s">
        <v>1060</v>
      </c>
      <c r="B142" s="846" t="s">
        <v>1382</v>
      </c>
      <c r="C142" s="846" t="s">
        <v>1171</v>
      </c>
      <c r="D142" s="847">
        <v>6</v>
      </c>
      <c r="E142" s="846" t="s">
        <v>1171</v>
      </c>
      <c r="F142" s="846" t="s">
        <v>97</v>
      </c>
      <c r="G142" s="851"/>
      <c r="H142" s="847">
        <v>63</v>
      </c>
      <c r="I142" s="780" t="str">
        <f t="shared" si="4"/>
        <v>IWT060263</v>
      </c>
      <c r="J142" s="847">
        <v>5089</v>
      </c>
      <c r="L142" s="846" t="s">
        <v>1060</v>
      </c>
      <c r="M142" s="846" t="s">
        <v>1382</v>
      </c>
      <c r="N142" s="846" t="s">
        <v>97</v>
      </c>
      <c r="O142" s="847">
        <v>63</v>
      </c>
      <c r="P142" s="780" t="str">
        <f t="shared" si="5"/>
        <v>IWT060263</v>
      </c>
      <c r="Q142" s="847">
        <v>1061</v>
      </c>
      <c r="R142" s="847">
        <v>2913</v>
      </c>
      <c r="S142" s="847">
        <v>4728</v>
      </c>
      <c r="T142" s="847">
        <v>6507</v>
      </c>
      <c r="U142" s="847">
        <v>8249</v>
      </c>
      <c r="V142" s="847">
        <v>0</v>
      </c>
      <c r="W142" s="847">
        <v>0</v>
      </c>
      <c r="X142" s="847">
        <v>0</v>
      </c>
      <c r="Y142" s="847">
        <v>0</v>
      </c>
      <c r="Z142" s="847">
        <v>0</v>
      </c>
      <c r="AA142" s="847">
        <v>0</v>
      </c>
      <c r="AB142" s="847">
        <v>0</v>
      </c>
      <c r="AC142" s="847">
        <v>0</v>
      </c>
      <c r="AD142" s="847">
        <v>0</v>
      </c>
      <c r="AE142" s="847">
        <v>0</v>
      </c>
      <c r="AF142" s="847">
        <v>0</v>
      </c>
      <c r="AG142" s="847">
        <v>0</v>
      </c>
      <c r="AH142" s="847">
        <v>0</v>
      </c>
      <c r="AI142" s="847">
        <v>0</v>
      </c>
      <c r="AJ142" s="847">
        <v>0</v>
      </c>
      <c r="AK142" s="847">
        <v>0</v>
      </c>
      <c r="AL142" s="847">
        <v>0</v>
      </c>
      <c r="AM142" s="847">
        <v>0</v>
      </c>
      <c r="AN142" s="847">
        <v>0</v>
      </c>
      <c r="AO142" s="847">
        <v>0</v>
      </c>
      <c r="AP142" s="847">
        <v>0</v>
      </c>
      <c r="AQ142" s="847">
        <v>0</v>
      </c>
      <c r="AR142" s="847">
        <v>0</v>
      </c>
      <c r="AS142" s="847">
        <v>0</v>
      </c>
      <c r="AT142" s="847">
        <v>0</v>
      </c>
      <c r="AU142" s="847">
        <v>0</v>
      </c>
      <c r="AV142" s="847">
        <v>0</v>
      </c>
      <c r="AW142" s="847">
        <v>0</v>
      </c>
      <c r="AX142" s="847">
        <v>0</v>
      </c>
      <c r="AY142" s="847">
        <v>0</v>
      </c>
      <c r="AZ142" s="847">
        <v>0</v>
      </c>
      <c r="BA142" s="847">
        <v>0</v>
      </c>
      <c r="BB142" s="847">
        <v>0</v>
      </c>
      <c r="BC142" s="847">
        <v>0</v>
      </c>
      <c r="BD142" s="847">
        <v>0</v>
      </c>
      <c r="BE142" s="847">
        <v>0</v>
      </c>
      <c r="BF142" s="847">
        <v>0</v>
      </c>
      <c r="BG142" s="847">
        <v>0</v>
      </c>
      <c r="BH142" s="847">
        <v>0</v>
      </c>
      <c r="BI142" s="847">
        <v>0</v>
      </c>
      <c r="BJ142" s="847">
        <v>0</v>
      </c>
      <c r="BK142" s="847">
        <v>0</v>
      </c>
      <c r="BL142" s="847">
        <v>0</v>
      </c>
      <c r="BM142" s="847">
        <v>0</v>
      </c>
      <c r="BN142" s="847">
        <v>0</v>
      </c>
      <c r="BO142" s="847">
        <v>0</v>
      </c>
      <c r="BP142" s="847">
        <v>0</v>
      </c>
      <c r="BQ142" s="847">
        <v>0</v>
      </c>
      <c r="BR142" s="847">
        <v>0</v>
      </c>
      <c r="BS142" s="847">
        <v>0</v>
      </c>
      <c r="BT142" s="847">
        <v>0</v>
      </c>
      <c r="BU142" s="847">
        <v>0</v>
      </c>
      <c r="BV142" s="847">
        <v>0</v>
      </c>
      <c r="BW142" s="847">
        <v>0</v>
      </c>
      <c r="BX142" s="847">
        <v>0</v>
      </c>
      <c r="BY142" s="847">
        <v>0</v>
      </c>
      <c r="BZ142" s="847">
        <v>0</v>
      </c>
      <c r="CA142" s="847">
        <v>0</v>
      </c>
      <c r="CB142" s="847">
        <v>0</v>
      </c>
      <c r="CC142" s="847">
        <v>0</v>
      </c>
      <c r="CD142" s="847">
        <v>0</v>
      </c>
      <c r="CE142" s="847">
        <v>0</v>
      </c>
      <c r="CF142" s="847">
        <v>0</v>
      </c>
      <c r="CG142" s="847">
        <v>0</v>
      </c>
      <c r="CH142" s="847">
        <v>0</v>
      </c>
      <c r="CI142" s="847">
        <v>0</v>
      </c>
      <c r="CJ142" s="847">
        <v>0</v>
      </c>
      <c r="CK142" s="847">
        <v>0</v>
      </c>
      <c r="CL142" s="847">
        <v>0</v>
      </c>
      <c r="CM142" s="847">
        <v>0</v>
      </c>
      <c r="CN142" s="847">
        <v>0</v>
      </c>
      <c r="CO142" s="847">
        <v>0</v>
      </c>
      <c r="CP142" s="847">
        <v>0</v>
      </c>
      <c r="CQ142" s="847">
        <v>0</v>
      </c>
      <c r="CR142" s="847">
        <v>0</v>
      </c>
      <c r="CS142" s="847">
        <v>0</v>
      </c>
      <c r="CT142" s="847">
        <v>0</v>
      </c>
      <c r="CU142" s="847">
        <v>0</v>
      </c>
      <c r="CV142" s="847">
        <v>0</v>
      </c>
      <c r="CW142" s="847">
        <v>0</v>
      </c>
      <c r="CX142" s="847">
        <v>0</v>
      </c>
      <c r="CY142" s="847">
        <v>0</v>
      </c>
      <c r="CZ142" s="847">
        <v>0</v>
      </c>
      <c r="DA142" s="847">
        <v>0</v>
      </c>
      <c r="DB142" s="847">
        <v>0</v>
      </c>
      <c r="DC142" s="847">
        <v>0</v>
      </c>
      <c r="DD142" s="847">
        <v>0</v>
      </c>
      <c r="DE142" s="847">
        <v>0</v>
      </c>
      <c r="DF142" s="847">
        <v>0</v>
      </c>
      <c r="DG142" s="847">
        <v>0</v>
      </c>
      <c r="DH142" s="847">
        <v>0</v>
      </c>
      <c r="DI142" s="847">
        <v>0</v>
      </c>
      <c r="DJ142" s="847">
        <v>0</v>
      </c>
      <c r="DK142" s="847">
        <v>0</v>
      </c>
      <c r="DL142" s="847">
        <v>0</v>
      </c>
      <c r="DM142" s="847">
        <v>0</v>
      </c>
      <c r="DN142" s="847">
        <v>0</v>
      </c>
      <c r="DO142" s="847">
        <v>0</v>
      </c>
      <c r="DP142" s="847">
        <v>0</v>
      </c>
      <c r="DQ142" s="847">
        <v>0</v>
      </c>
      <c r="DR142" s="847">
        <v>0</v>
      </c>
      <c r="DS142" s="847">
        <v>0</v>
      </c>
      <c r="DT142" s="847">
        <v>0</v>
      </c>
      <c r="DU142" s="847">
        <v>0</v>
      </c>
      <c r="DV142" s="847">
        <v>0</v>
      </c>
      <c r="DW142" s="847">
        <v>0</v>
      </c>
      <c r="DY142" s="173"/>
      <c r="DZ142" s="173"/>
      <c r="EA142" s="173"/>
      <c r="EB142" s="174"/>
      <c r="EC142" s="175"/>
      <c r="ED142" s="174"/>
      <c r="EE142" s="174"/>
      <c r="EF142" s="174"/>
      <c r="EG142" s="174"/>
      <c r="EH142" s="174"/>
      <c r="EI142" s="174"/>
      <c r="EJ142" s="174"/>
      <c r="EK142" s="174"/>
      <c r="EL142" s="174"/>
      <c r="EM142" s="174"/>
      <c r="EN142" s="174"/>
      <c r="EO142" s="174"/>
      <c r="EP142" s="174"/>
      <c r="EQ142" s="174"/>
      <c r="ER142" s="174"/>
      <c r="ES142" s="174"/>
      <c r="ET142" s="174"/>
      <c r="EU142" s="174"/>
      <c r="EV142" s="174"/>
      <c r="EW142" s="174"/>
      <c r="EX142" s="174"/>
      <c r="EY142" s="174"/>
      <c r="EZ142" s="174"/>
      <c r="FA142" s="174"/>
      <c r="FB142" s="174"/>
      <c r="FC142" s="174"/>
      <c r="FD142" s="174"/>
      <c r="FE142" s="174"/>
      <c r="FF142" s="174"/>
      <c r="FG142" s="174"/>
      <c r="FH142" s="174"/>
      <c r="FI142" s="174"/>
      <c r="FJ142" s="174"/>
      <c r="FK142" s="174"/>
      <c r="FL142" s="174"/>
      <c r="FM142" s="174"/>
      <c r="FN142" s="174"/>
      <c r="FO142" s="174"/>
      <c r="FP142" s="174"/>
      <c r="FQ142" s="174"/>
      <c r="FR142" s="174"/>
      <c r="FS142" s="174"/>
      <c r="FT142" s="174"/>
      <c r="FU142" s="176"/>
      <c r="FV142" s="176"/>
      <c r="FW142" s="176"/>
      <c r="FX142" s="176"/>
      <c r="FY142" s="176"/>
      <c r="FZ142" s="176"/>
      <c r="GA142" s="176"/>
      <c r="GB142" s="176"/>
      <c r="GC142" s="176"/>
      <c r="GD142" s="176"/>
      <c r="GE142" s="176"/>
      <c r="GF142" s="176"/>
      <c r="GG142" s="176"/>
      <c r="GH142" s="176"/>
      <c r="GI142" s="176"/>
      <c r="GJ142" s="176"/>
      <c r="GK142" s="176"/>
      <c r="GL142" s="176"/>
      <c r="GM142" s="176"/>
      <c r="GN142" s="176"/>
      <c r="GO142" s="176"/>
      <c r="GP142" s="176"/>
      <c r="GQ142" s="176"/>
      <c r="GR142" s="176"/>
      <c r="GS142" s="176"/>
      <c r="GT142" s="176"/>
      <c r="GU142" s="176"/>
      <c r="GV142" s="176"/>
      <c r="GW142" s="176"/>
      <c r="GX142" s="176"/>
      <c r="GY142" s="176"/>
      <c r="GZ142" s="176"/>
      <c r="HA142" s="176"/>
      <c r="HB142" s="176"/>
      <c r="HC142" s="176"/>
      <c r="HD142" s="176"/>
      <c r="HE142" s="176"/>
      <c r="HF142" s="176"/>
      <c r="HG142" s="176"/>
      <c r="HH142" s="176"/>
      <c r="HI142" s="176"/>
      <c r="HJ142" s="176"/>
      <c r="HK142" s="176"/>
      <c r="HL142" s="176"/>
      <c r="HM142" s="176"/>
      <c r="HN142" s="176"/>
      <c r="HO142" s="176"/>
      <c r="HP142" s="176"/>
      <c r="HQ142" s="176"/>
      <c r="HR142" s="176"/>
      <c r="HS142" s="176"/>
      <c r="HT142" s="176"/>
      <c r="HU142" s="176"/>
      <c r="HV142" s="176"/>
      <c r="HW142" s="176"/>
      <c r="HX142" s="176"/>
      <c r="HY142" s="176"/>
      <c r="HZ142" s="176"/>
      <c r="IA142" s="176"/>
      <c r="IB142" s="176"/>
      <c r="IC142" s="176"/>
      <c r="ID142" s="176"/>
      <c r="IE142" s="176"/>
      <c r="IF142" s="176"/>
      <c r="IG142" s="176"/>
      <c r="IH142" s="176"/>
      <c r="II142" s="176"/>
      <c r="IJ142" s="176"/>
    </row>
    <row r="143" spans="1:244" ht="16.5" hidden="1">
      <c r="A143" s="846" t="s">
        <v>1060</v>
      </c>
      <c r="B143" s="846" t="s">
        <v>1382</v>
      </c>
      <c r="C143" s="846" t="s">
        <v>1171</v>
      </c>
      <c r="D143" s="847">
        <v>6</v>
      </c>
      <c r="E143" s="846" t="s">
        <v>1171</v>
      </c>
      <c r="F143" s="846" t="s">
        <v>97</v>
      </c>
      <c r="G143" s="851"/>
      <c r="H143" s="847">
        <v>64</v>
      </c>
      <c r="I143" s="780" t="str">
        <f t="shared" si="4"/>
        <v>IWT060264</v>
      </c>
      <c r="J143" s="847">
        <v>5092</v>
      </c>
      <c r="L143" s="846" t="s">
        <v>1060</v>
      </c>
      <c r="M143" s="846" t="s">
        <v>1382</v>
      </c>
      <c r="N143" s="846" t="s">
        <v>97</v>
      </c>
      <c r="O143" s="847">
        <v>64</v>
      </c>
      <c r="P143" s="780" t="str">
        <f t="shared" si="5"/>
        <v>IWT060264</v>
      </c>
      <c r="Q143" s="847">
        <v>1054</v>
      </c>
      <c r="R143" s="847">
        <v>2908</v>
      </c>
      <c r="S143" s="847">
        <v>4724</v>
      </c>
      <c r="T143" s="847">
        <v>6504</v>
      </c>
      <c r="U143" s="847">
        <v>8248</v>
      </c>
      <c r="V143" s="847">
        <v>0</v>
      </c>
      <c r="W143" s="847">
        <v>0</v>
      </c>
      <c r="X143" s="847">
        <v>0</v>
      </c>
      <c r="Y143" s="847">
        <v>0</v>
      </c>
      <c r="Z143" s="847">
        <v>0</v>
      </c>
      <c r="AA143" s="847">
        <v>0</v>
      </c>
      <c r="AB143" s="847">
        <v>0</v>
      </c>
      <c r="AC143" s="847">
        <v>0</v>
      </c>
      <c r="AD143" s="847">
        <v>0</v>
      </c>
      <c r="AE143" s="847">
        <v>0</v>
      </c>
      <c r="AF143" s="847">
        <v>0</v>
      </c>
      <c r="AG143" s="847">
        <v>0</v>
      </c>
      <c r="AH143" s="847">
        <v>0</v>
      </c>
      <c r="AI143" s="847">
        <v>0</v>
      </c>
      <c r="AJ143" s="847">
        <v>0</v>
      </c>
      <c r="AK143" s="847">
        <v>0</v>
      </c>
      <c r="AL143" s="847">
        <v>0</v>
      </c>
      <c r="AM143" s="847">
        <v>0</v>
      </c>
      <c r="AN143" s="847">
        <v>0</v>
      </c>
      <c r="AO143" s="847">
        <v>0</v>
      </c>
      <c r="AP143" s="847">
        <v>0</v>
      </c>
      <c r="AQ143" s="847">
        <v>0</v>
      </c>
      <c r="AR143" s="847">
        <v>0</v>
      </c>
      <c r="AS143" s="847">
        <v>0</v>
      </c>
      <c r="AT143" s="847">
        <v>0</v>
      </c>
      <c r="AU143" s="847">
        <v>0</v>
      </c>
      <c r="AV143" s="847">
        <v>0</v>
      </c>
      <c r="AW143" s="847">
        <v>0</v>
      </c>
      <c r="AX143" s="847">
        <v>0</v>
      </c>
      <c r="AY143" s="847">
        <v>0</v>
      </c>
      <c r="AZ143" s="847">
        <v>0</v>
      </c>
      <c r="BA143" s="847">
        <v>0</v>
      </c>
      <c r="BB143" s="847">
        <v>0</v>
      </c>
      <c r="BC143" s="847">
        <v>0</v>
      </c>
      <c r="BD143" s="847">
        <v>0</v>
      </c>
      <c r="BE143" s="847">
        <v>0</v>
      </c>
      <c r="BF143" s="847">
        <v>0</v>
      </c>
      <c r="BG143" s="847">
        <v>0</v>
      </c>
      <c r="BH143" s="847">
        <v>0</v>
      </c>
      <c r="BI143" s="847">
        <v>0</v>
      </c>
      <c r="BJ143" s="847">
        <v>0</v>
      </c>
      <c r="BK143" s="847">
        <v>0</v>
      </c>
      <c r="BL143" s="847">
        <v>0</v>
      </c>
      <c r="BM143" s="847">
        <v>0</v>
      </c>
      <c r="BN143" s="847">
        <v>0</v>
      </c>
      <c r="BO143" s="847">
        <v>0</v>
      </c>
      <c r="BP143" s="847">
        <v>0</v>
      </c>
      <c r="BQ143" s="847">
        <v>0</v>
      </c>
      <c r="BR143" s="847">
        <v>0</v>
      </c>
      <c r="BS143" s="847">
        <v>0</v>
      </c>
      <c r="BT143" s="847">
        <v>0</v>
      </c>
      <c r="BU143" s="847">
        <v>0</v>
      </c>
      <c r="BV143" s="847">
        <v>0</v>
      </c>
      <c r="BW143" s="847">
        <v>0</v>
      </c>
      <c r="BX143" s="847">
        <v>0</v>
      </c>
      <c r="BY143" s="847">
        <v>0</v>
      </c>
      <c r="BZ143" s="847">
        <v>0</v>
      </c>
      <c r="CA143" s="847">
        <v>0</v>
      </c>
      <c r="CB143" s="847">
        <v>0</v>
      </c>
      <c r="CC143" s="847">
        <v>0</v>
      </c>
      <c r="CD143" s="847">
        <v>0</v>
      </c>
      <c r="CE143" s="847">
        <v>0</v>
      </c>
      <c r="CF143" s="847">
        <v>0</v>
      </c>
      <c r="CG143" s="847">
        <v>0</v>
      </c>
      <c r="CH143" s="847">
        <v>0</v>
      </c>
      <c r="CI143" s="847">
        <v>0</v>
      </c>
      <c r="CJ143" s="847">
        <v>0</v>
      </c>
      <c r="CK143" s="847">
        <v>0</v>
      </c>
      <c r="CL143" s="847">
        <v>0</v>
      </c>
      <c r="CM143" s="847">
        <v>0</v>
      </c>
      <c r="CN143" s="847">
        <v>0</v>
      </c>
      <c r="CO143" s="847">
        <v>0</v>
      </c>
      <c r="CP143" s="847">
        <v>0</v>
      </c>
      <c r="CQ143" s="847">
        <v>0</v>
      </c>
      <c r="CR143" s="847">
        <v>0</v>
      </c>
      <c r="CS143" s="847">
        <v>0</v>
      </c>
      <c r="CT143" s="847">
        <v>0</v>
      </c>
      <c r="CU143" s="847">
        <v>0</v>
      </c>
      <c r="CV143" s="847">
        <v>0</v>
      </c>
      <c r="CW143" s="847">
        <v>0</v>
      </c>
      <c r="CX143" s="847">
        <v>0</v>
      </c>
      <c r="CY143" s="847">
        <v>0</v>
      </c>
      <c r="CZ143" s="847">
        <v>0</v>
      </c>
      <c r="DA143" s="847">
        <v>0</v>
      </c>
      <c r="DB143" s="847">
        <v>0</v>
      </c>
      <c r="DC143" s="847">
        <v>0</v>
      </c>
      <c r="DD143" s="847">
        <v>0</v>
      </c>
      <c r="DE143" s="847">
        <v>0</v>
      </c>
      <c r="DF143" s="847">
        <v>0</v>
      </c>
      <c r="DG143" s="847">
        <v>0</v>
      </c>
      <c r="DH143" s="847">
        <v>0</v>
      </c>
      <c r="DI143" s="847">
        <v>0</v>
      </c>
      <c r="DJ143" s="847">
        <v>0</v>
      </c>
      <c r="DK143" s="847">
        <v>0</v>
      </c>
      <c r="DL143" s="847">
        <v>0</v>
      </c>
      <c r="DM143" s="847">
        <v>0</v>
      </c>
      <c r="DN143" s="847">
        <v>0</v>
      </c>
      <c r="DO143" s="847">
        <v>0</v>
      </c>
      <c r="DP143" s="847">
        <v>0</v>
      </c>
      <c r="DQ143" s="847">
        <v>0</v>
      </c>
      <c r="DR143" s="847">
        <v>0</v>
      </c>
      <c r="DS143" s="847">
        <v>0</v>
      </c>
      <c r="DT143" s="847">
        <v>0</v>
      </c>
      <c r="DU143" s="847">
        <v>0</v>
      </c>
      <c r="DV143" s="847">
        <v>0</v>
      </c>
      <c r="DW143" s="847">
        <v>0</v>
      </c>
      <c r="DY143" s="173"/>
      <c r="DZ143" s="173"/>
      <c r="EA143" s="173"/>
      <c r="EB143" s="174"/>
      <c r="EC143" s="175"/>
      <c r="ED143" s="174"/>
      <c r="EE143" s="174"/>
      <c r="EF143" s="174"/>
      <c r="EG143" s="174"/>
      <c r="EH143" s="174"/>
      <c r="EI143" s="174"/>
      <c r="EJ143" s="174"/>
      <c r="EK143" s="174"/>
      <c r="EL143" s="174"/>
      <c r="EM143" s="174"/>
      <c r="EN143" s="174"/>
      <c r="EO143" s="174"/>
      <c r="EP143" s="174"/>
      <c r="EQ143" s="174"/>
      <c r="ER143" s="174"/>
      <c r="ES143" s="174"/>
      <c r="ET143" s="174"/>
      <c r="EU143" s="174"/>
      <c r="EV143" s="174"/>
      <c r="EW143" s="174"/>
      <c r="EX143" s="174"/>
      <c r="EY143" s="174"/>
      <c r="EZ143" s="174"/>
      <c r="FA143" s="174"/>
      <c r="FB143" s="174"/>
      <c r="FC143" s="174"/>
      <c r="FD143" s="174"/>
      <c r="FE143" s="174"/>
      <c r="FF143" s="174"/>
      <c r="FG143" s="174"/>
      <c r="FH143" s="174"/>
      <c r="FI143" s="174"/>
      <c r="FJ143" s="174"/>
      <c r="FK143" s="174"/>
      <c r="FL143" s="174"/>
      <c r="FM143" s="174"/>
      <c r="FN143" s="174"/>
      <c r="FO143" s="174"/>
      <c r="FP143" s="174"/>
      <c r="FQ143" s="174"/>
      <c r="FR143" s="174"/>
      <c r="FS143" s="174"/>
      <c r="FT143" s="176"/>
      <c r="FU143" s="176"/>
      <c r="FV143" s="176"/>
      <c r="FW143" s="176"/>
      <c r="FX143" s="176"/>
      <c r="FY143" s="176"/>
      <c r="FZ143" s="176"/>
      <c r="GA143" s="176"/>
      <c r="GB143" s="176"/>
      <c r="GC143" s="176"/>
      <c r="GD143" s="176"/>
      <c r="GE143" s="176"/>
      <c r="GF143" s="176"/>
      <c r="GG143" s="176"/>
      <c r="GH143" s="176"/>
      <c r="GI143" s="176"/>
      <c r="GJ143" s="176"/>
      <c r="GK143" s="176"/>
      <c r="GL143" s="176"/>
      <c r="GM143" s="176"/>
      <c r="GN143" s="176"/>
      <c r="GO143" s="176"/>
      <c r="GP143" s="176"/>
      <c r="GQ143" s="176"/>
      <c r="GR143" s="176"/>
      <c r="GS143" s="176"/>
      <c r="GT143" s="176"/>
      <c r="GU143" s="176"/>
      <c r="GV143" s="176"/>
      <c r="GW143" s="176"/>
      <c r="GX143" s="176"/>
      <c r="GY143" s="176"/>
      <c r="GZ143" s="176"/>
      <c r="HA143" s="176"/>
      <c r="HB143" s="176"/>
      <c r="HC143" s="176"/>
      <c r="HD143" s="176"/>
      <c r="HE143" s="176"/>
      <c r="HF143" s="176"/>
      <c r="HG143" s="176"/>
      <c r="HH143" s="176"/>
      <c r="HI143" s="176"/>
      <c r="HJ143" s="176"/>
      <c r="HK143" s="176"/>
      <c r="HL143" s="176"/>
      <c r="HM143" s="176"/>
      <c r="HN143" s="176"/>
      <c r="HO143" s="176"/>
      <c r="HP143" s="176"/>
      <c r="HQ143" s="176"/>
      <c r="HR143" s="176"/>
      <c r="HS143" s="176"/>
      <c r="HT143" s="176"/>
      <c r="HU143" s="176"/>
      <c r="HV143" s="176"/>
      <c r="HW143" s="176"/>
      <c r="HX143" s="176"/>
      <c r="HY143" s="176"/>
      <c r="HZ143" s="176"/>
      <c r="IA143" s="176"/>
      <c r="IB143" s="176"/>
      <c r="IC143" s="176"/>
      <c r="ID143" s="176"/>
      <c r="IE143" s="176"/>
      <c r="IF143" s="176"/>
      <c r="IG143" s="176"/>
      <c r="IH143" s="176"/>
      <c r="II143" s="176"/>
      <c r="IJ143" s="176"/>
    </row>
    <row r="144" spans="1:244" ht="16.5" hidden="1">
      <c r="A144" s="846" t="s">
        <v>1060</v>
      </c>
      <c r="B144" s="846" t="s">
        <v>1382</v>
      </c>
      <c r="C144" s="846" t="s">
        <v>1171</v>
      </c>
      <c r="D144" s="847">
        <v>6</v>
      </c>
      <c r="E144" s="846" t="s">
        <v>1171</v>
      </c>
      <c r="F144" s="846" t="s">
        <v>97</v>
      </c>
      <c r="G144" s="851"/>
      <c r="H144" s="847">
        <v>65</v>
      </c>
      <c r="I144" s="780" t="str">
        <f t="shared" si="4"/>
        <v>IWT060265</v>
      </c>
      <c r="J144" s="847">
        <v>5095</v>
      </c>
      <c r="L144" s="846" t="s">
        <v>1060</v>
      </c>
      <c r="M144" s="846" t="s">
        <v>1382</v>
      </c>
      <c r="N144" s="846" t="s">
        <v>97</v>
      </c>
      <c r="O144" s="847">
        <v>65</v>
      </c>
      <c r="P144" s="780" t="str">
        <f t="shared" si="5"/>
        <v>IWT060265</v>
      </c>
      <c r="Q144" s="847">
        <v>1047</v>
      </c>
      <c r="R144" s="847">
        <v>2902</v>
      </c>
      <c r="S144" s="847">
        <v>4720</v>
      </c>
      <c r="T144" s="847">
        <v>6501</v>
      </c>
      <c r="U144" s="847">
        <v>8245</v>
      </c>
      <c r="V144" s="847">
        <v>0</v>
      </c>
      <c r="W144" s="847">
        <v>0</v>
      </c>
      <c r="X144" s="847">
        <v>0</v>
      </c>
      <c r="Y144" s="847">
        <v>0</v>
      </c>
      <c r="Z144" s="847">
        <v>0</v>
      </c>
      <c r="AA144" s="847">
        <v>0</v>
      </c>
      <c r="AB144" s="847">
        <v>0</v>
      </c>
      <c r="AC144" s="847">
        <v>0</v>
      </c>
      <c r="AD144" s="847">
        <v>0</v>
      </c>
      <c r="AE144" s="847">
        <v>0</v>
      </c>
      <c r="AF144" s="847">
        <v>0</v>
      </c>
      <c r="AG144" s="847">
        <v>0</v>
      </c>
      <c r="AH144" s="847">
        <v>0</v>
      </c>
      <c r="AI144" s="847">
        <v>0</v>
      </c>
      <c r="AJ144" s="847">
        <v>0</v>
      </c>
      <c r="AK144" s="847">
        <v>0</v>
      </c>
      <c r="AL144" s="847">
        <v>0</v>
      </c>
      <c r="AM144" s="847">
        <v>0</v>
      </c>
      <c r="AN144" s="847">
        <v>0</v>
      </c>
      <c r="AO144" s="847">
        <v>0</v>
      </c>
      <c r="AP144" s="847">
        <v>0</v>
      </c>
      <c r="AQ144" s="847">
        <v>0</v>
      </c>
      <c r="AR144" s="847">
        <v>0</v>
      </c>
      <c r="AS144" s="847">
        <v>0</v>
      </c>
      <c r="AT144" s="847">
        <v>0</v>
      </c>
      <c r="AU144" s="847">
        <v>0</v>
      </c>
      <c r="AV144" s="847">
        <v>0</v>
      </c>
      <c r="AW144" s="847">
        <v>0</v>
      </c>
      <c r="AX144" s="847">
        <v>0</v>
      </c>
      <c r="AY144" s="847">
        <v>0</v>
      </c>
      <c r="AZ144" s="847">
        <v>0</v>
      </c>
      <c r="BA144" s="847">
        <v>0</v>
      </c>
      <c r="BB144" s="847">
        <v>0</v>
      </c>
      <c r="BC144" s="847">
        <v>0</v>
      </c>
      <c r="BD144" s="847">
        <v>0</v>
      </c>
      <c r="BE144" s="847">
        <v>0</v>
      </c>
      <c r="BF144" s="847">
        <v>0</v>
      </c>
      <c r="BG144" s="847">
        <v>0</v>
      </c>
      <c r="BH144" s="847">
        <v>0</v>
      </c>
      <c r="BI144" s="847">
        <v>0</v>
      </c>
      <c r="BJ144" s="847">
        <v>0</v>
      </c>
      <c r="BK144" s="847">
        <v>0</v>
      </c>
      <c r="BL144" s="847">
        <v>0</v>
      </c>
      <c r="BM144" s="847">
        <v>0</v>
      </c>
      <c r="BN144" s="847">
        <v>0</v>
      </c>
      <c r="BO144" s="847">
        <v>0</v>
      </c>
      <c r="BP144" s="847">
        <v>0</v>
      </c>
      <c r="BQ144" s="847">
        <v>0</v>
      </c>
      <c r="BR144" s="847">
        <v>0</v>
      </c>
      <c r="BS144" s="847">
        <v>0</v>
      </c>
      <c r="BT144" s="847">
        <v>0</v>
      </c>
      <c r="BU144" s="847">
        <v>0</v>
      </c>
      <c r="BV144" s="847">
        <v>0</v>
      </c>
      <c r="BW144" s="847">
        <v>0</v>
      </c>
      <c r="BX144" s="847">
        <v>0</v>
      </c>
      <c r="BY144" s="847">
        <v>0</v>
      </c>
      <c r="BZ144" s="847">
        <v>0</v>
      </c>
      <c r="CA144" s="847">
        <v>0</v>
      </c>
      <c r="CB144" s="847">
        <v>0</v>
      </c>
      <c r="CC144" s="847">
        <v>0</v>
      </c>
      <c r="CD144" s="847">
        <v>0</v>
      </c>
      <c r="CE144" s="847">
        <v>0</v>
      </c>
      <c r="CF144" s="847">
        <v>0</v>
      </c>
      <c r="CG144" s="847">
        <v>0</v>
      </c>
      <c r="CH144" s="847">
        <v>0</v>
      </c>
      <c r="CI144" s="847">
        <v>0</v>
      </c>
      <c r="CJ144" s="847">
        <v>0</v>
      </c>
      <c r="CK144" s="847">
        <v>0</v>
      </c>
      <c r="CL144" s="847">
        <v>0</v>
      </c>
      <c r="CM144" s="847">
        <v>0</v>
      </c>
      <c r="CN144" s="847">
        <v>0</v>
      </c>
      <c r="CO144" s="847">
        <v>0</v>
      </c>
      <c r="CP144" s="847">
        <v>0</v>
      </c>
      <c r="CQ144" s="847">
        <v>0</v>
      </c>
      <c r="CR144" s="847">
        <v>0</v>
      </c>
      <c r="CS144" s="847">
        <v>0</v>
      </c>
      <c r="CT144" s="847">
        <v>0</v>
      </c>
      <c r="CU144" s="847">
        <v>0</v>
      </c>
      <c r="CV144" s="847">
        <v>0</v>
      </c>
      <c r="CW144" s="847">
        <v>0</v>
      </c>
      <c r="CX144" s="847">
        <v>0</v>
      </c>
      <c r="CY144" s="847">
        <v>0</v>
      </c>
      <c r="CZ144" s="847">
        <v>0</v>
      </c>
      <c r="DA144" s="847">
        <v>0</v>
      </c>
      <c r="DB144" s="847">
        <v>0</v>
      </c>
      <c r="DC144" s="847">
        <v>0</v>
      </c>
      <c r="DD144" s="847">
        <v>0</v>
      </c>
      <c r="DE144" s="847">
        <v>0</v>
      </c>
      <c r="DF144" s="847">
        <v>0</v>
      </c>
      <c r="DG144" s="847">
        <v>0</v>
      </c>
      <c r="DH144" s="847">
        <v>0</v>
      </c>
      <c r="DI144" s="847">
        <v>0</v>
      </c>
      <c r="DJ144" s="847">
        <v>0</v>
      </c>
      <c r="DK144" s="847">
        <v>0</v>
      </c>
      <c r="DL144" s="847">
        <v>0</v>
      </c>
      <c r="DM144" s="847">
        <v>0</v>
      </c>
      <c r="DN144" s="847">
        <v>0</v>
      </c>
      <c r="DO144" s="847">
        <v>0</v>
      </c>
      <c r="DP144" s="847">
        <v>0</v>
      </c>
      <c r="DQ144" s="847">
        <v>0</v>
      </c>
      <c r="DR144" s="847">
        <v>0</v>
      </c>
      <c r="DS144" s="847">
        <v>0</v>
      </c>
      <c r="DT144" s="847">
        <v>0</v>
      </c>
      <c r="DU144" s="847">
        <v>0</v>
      </c>
      <c r="DV144" s="847">
        <v>0</v>
      </c>
      <c r="DW144" s="847">
        <v>0</v>
      </c>
      <c r="DY144" s="173"/>
      <c r="DZ144" s="173"/>
      <c r="EA144" s="173"/>
      <c r="EB144" s="174"/>
      <c r="EC144" s="175"/>
      <c r="ED144" s="174"/>
      <c r="EE144" s="174"/>
      <c r="EF144" s="174"/>
      <c r="EG144" s="174"/>
      <c r="EH144" s="174"/>
      <c r="EI144" s="174"/>
      <c r="EJ144" s="174"/>
      <c r="EK144" s="174"/>
      <c r="EL144" s="174"/>
      <c r="EM144" s="174"/>
      <c r="EN144" s="174"/>
      <c r="EO144" s="174"/>
      <c r="EP144" s="174"/>
      <c r="EQ144" s="174"/>
      <c r="ER144" s="174"/>
      <c r="ES144" s="174"/>
      <c r="ET144" s="174"/>
      <c r="EU144" s="174"/>
      <c r="EV144" s="174"/>
      <c r="EW144" s="174"/>
      <c r="EX144" s="174"/>
      <c r="EY144" s="174"/>
      <c r="EZ144" s="174"/>
      <c r="FA144" s="174"/>
      <c r="FB144" s="174"/>
      <c r="FC144" s="174"/>
      <c r="FD144" s="174"/>
      <c r="FE144" s="174"/>
      <c r="FF144" s="174"/>
      <c r="FG144" s="174"/>
      <c r="FH144" s="174"/>
      <c r="FI144" s="174"/>
      <c r="FJ144" s="174"/>
      <c r="FK144" s="174"/>
      <c r="FL144" s="174"/>
      <c r="FM144" s="174"/>
      <c r="FN144" s="174"/>
      <c r="FO144" s="174"/>
      <c r="FP144" s="174"/>
      <c r="FQ144" s="174"/>
      <c r="FR144" s="174"/>
      <c r="FS144" s="176"/>
      <c r="FT144" s="176"/>
      <c r="FU144" s="176"/>
      <c r="FV144" s="176"/>
      <c r="FW144" s="176"/>
      <c r="FX144" s="176"/>
      <c r="FY144" s="176"/>
      <c r="FZ144" s="176"/>
      <c r="GA144" s="176"/>
      <c r="GB144" s="176"/>
      <c r="GC144" s="176"/>
      <c r="GD144" s="176"/>
      <c r="GE144" s="176"/>
      <c r="GF144" s="176"/>
      <c r="GG144" s="176"/>
      <c r="GH144" s="176"/>
      <c r="GI144" s="176"/>
      <c r="GJ144" s="176"/>
      <c r="GK144" s="176"/>
      <c r="GL144" s="176"/>
      <c r="GM144" s="176"/>
      <c r="GN144" s="176"/>
      <c r="GO144" s="176"/>
      <c r="GP144" s="176"/>
      <c r="GQ144" s="176"/>
      <c r="GR144" s="176"/>
      <c r="GS144" s="176"/>
      <c r="GT144" s="176"/>
      <c r="GU144" s="176"/>
      <c r="GV144" s="176"/>
      <c r="GW144" s="176"/>
      <c r="GX144" s="176"/>
      <c r="GY144" s="176"/>
      <c r="GZ144" s="176"/>
      <c r="HA144" s="176"/>
      <c r="HB144" s="176"/>
      <c r="HC144" s="176"/>
      <c r="HD144" s="176"/>
      <c r="HE144" s="176"/>
      <c r="HF144" s="176"/>
      <c r="HG144" s="176"/>
      <c r="HH144" s="176"/>
      <c r="HI144" s="176"/>
      <c r="HJ144" s="176"/>
      <c r="HK144" s="176"/>
      <c r="HL144" s="176"/>
      <c r="HM144" s="176"/>
      <c r="HN144" s="176"/>
      <c r="HO144" s="176"/>
      <c r="HP144" s="176"/>
      <c r="HQ144" s="176"/>
      <c r="HR144" s="176"/>
      <c r="HS144" s="176"/>
      <c r="HT144" s="176"/>
      <c r="HU144" s="176"/>
      <c r="HV144" s="176"/>
      <c r="HW144" s="176"/>
      <c r="HX144" s="176"/>
      <c r="HY144" s="176"/>
      <c r="HZ144" s="176"/>
      <c r="IA144" s="176"/>
      <c r="IB144" s="176"/>
      <c r="IC144" s="176"/>
      <c r="ID144" s="176"/>
      <c r="IE144" s="176"/>
      <c r="IF144" s="176"/>
      <c r="IG144" s="176"/>
      <c r="IH144" s="176"/>
      <c r="II144" s="176"/>
      <c r="IJ144" s="176"/>
    </row>
    <row r="145" spans="1:244" ht="16.5" hidden="1">
      <c r="A145" s="846" t="s">
        <v>1060</v>
      </c>
      <c r="B145" s="846" t="s">
        <v>1382</v>
      </c>
      <c r="C145" s="846" t="s">
        <v>1171</v>
      </c>
      <c r="D145" s="847">
        <v>6</v>
      </c>
      <c r="E145" s="846" t="s">
        <v>1171</v>
      </c>
      <c r="F145" s="846" t="s">
        <v>97</v>
      </c>
      <c r="G145" s="851"/>
      <c r="H145" s="847">
        <v>66</v>
      </c>
      <c r="I145" s="780" t="str">
        <f t="shared" si="4"/>
        <v>IWT060266</v>
      </c>
      <c r="J145" s="847">
        <v>5098</v>
      </c>
      <c r="L145" s="846" t="s">
        <v>1060</v>
      </c>
      <c r="M145" s="846" t="s">
        <v>1382</v>
      </c>
      <c r="N145" s="846" t="s">
        <v>97</v>
      </c>
      <c r="O145" s="847">
        <v>66</v>
      </c>
      <c r="P145" s="780" t="str">
        <f t="shared" si="5"/>
        <v>IWT060266</v>
      </c>
      <c r="Q145" s="847">
        <v>1040</v>
      </c>
      <c r="R145" s="847">
        <v>2897</v>
      </c>
      <c r="S145" s="847">
        <v>4715</v>
      </c>
      <c r="T145" s="847">
        <v>6497</v>
      </c>
      <c r="U145" s="847">
        <v>8243</v>
      </c>
      <c r="V145" s="847">
        <v>0</v>
      </c>
      <c r="W145" s="847">
        <v>0</v>
      </c>
      <c r="X145" s="847">
        <v>0</v>
      </c>
      <c r="Y145" s="847">
        <v>0</v>
      </c>
      <c r="Z145" s="847">
        <v>0</v>
      </c>
      <c r="AA145" s="847">
        <v>0</v>
      </c>
      <c r="AB145" s="847">
        <v>0</v>
      </c>
      <c r="AC145" s="847">
        <v>0</v>
      </c>
      <c r="AD145" s="847">
        <v>0</v>
      </c>
      <c r="AE145" s="847">
        <v>0</v>
      </c>
      <c r="AF145" s="847">
        <v>0</v>
      </c>
      <c r="AG145" s="847">
        <v>0</v>
      </c>
      <c r="AH145" s="847">
        <v>0</v>
      </c>
      <c r="AI145" s="847">
        <v>0</v>
      </c>
      <c r="AJ145" s="847">
        <v>0</v>
      </c>
      <c r="AK145" s="847">
        <v>0</v>
      </c>
      <c r="AL145" s="847">
        <v>0</v>
      </c>
      <c r="AM145" s="847">
        <v>0</v>
      </c>
      <c r="AN145" s="847">
        <v>0</v>
      </c>
      <c r="AO145" s="847">
        <v>0</v>
      </c>
      <c r="AP145" s="847">
        <v>0</v>
      </c>
      <c r="AQ145" s="847">
        <v>0</v>
      </c>
      <c r="AR145" s="847">
        <v>0</v>
      </c>
      <c r="AS145" s="847">
        <v>0</v>
      </c>
      <c r="AT145" s="847">
        <v>0</v>
      </c>
      <c r="AU145" s="847">
        <v>0</v>
      </c>
      <c r="AV145" s="847">
        <v>0</v>
      </c>
      <c r="AW145" s="847">
        <v>0</v>
      </c>
      <c r="AX145" s="847">
        <v>0</v>
      </c>
      <c r="AY145" s="847">
        <v>0</v>
      </c>
      <c r="AZ145" s="847">
        <v>0</v>
      </c>
      <c r="BA145" s="847">
        <v>0</v>
      </c>
      <c r="BB145" s="847">
        <v>0</v>
      </c>
      <c r="BC145" s="847">
        <v>0</v>
      </c>
      <c r="BD145" s="847">
        <v>0</v>
      </c>
      <c r="BE145" s="847">
        <v>0</v>
      </c>
      <c r="BF145" s="847">
        <v>0</v>
      </c>
      <c r="BG145" s="847">
        <v>0</v>
      </c>
      <c r="BH145" s="847">
        <v>0</v>
      </c>
      <c r="BI145" s="847">
        <v>0</v>
      </c>
      <c r="BJ145" s="847">
        <v>0</v>
      </c>
      <c r="BK145" s="847">
        <v>0</v>
      </c>
      <c r="BL145" s="847">
        <v>0</v>
      </c>
      <c r="BM145" s="847">
        <v>0</v>
      </c>
      <c r="BN145" s="847">
        <v>0</v>
      </c>
      <c r="BO145" s="847">
        <v>0</v>
      </c>
      <c r="BP145" s="847">
        <v>0</v>
      </c>
      <c r="BQ145" s="847">
        <v>0</v>
      </c>
      <c r="BR145" s="847">
        <v>0</v>
      </c>
      <c r="BS145" s="847">
        <v>0</v>
      </c>
      <c r="BT145" s="847">
        <v>0</v>
      </c>
      <c r="BU145" s="847">
        <v>0</v>
      </c>
      <c r="BV145" s="847">
        <v>0</v>
      </c>
      <c r="BW145" s="847">
        <v>0</v>
      </c>
      <c r="BX145" s="847">
        <v>0</v>
      </c>
      <c r="BY145" s="847">
        <v>0</v>
      </c>
      <c r="BZ145" s="847">
        <v>0</v>
      </c>
      <c r="CA145" s="847">
        <v>0</v>
      </c>
      <c r="CB145" s="847">
        <v>0</v>
      </c>
      <c r="CC145" s="847">
        <v>0</v>
      </c>
      <c r="CD145" s="847">
        <v>0</v>
      </c>
      <c r="CE145" s="847">
        <v>0</v>
      </c>
      <c r="CF145" s="847">
        <v>0</v>
      </c>
      <c r="CG145" s="847">
        <v>0</v>
      </c>
      <c r="CH145" s="847">
        <v>0</v>
      </c>
      <c r="CI145" s="847">
        <v>0</v>
      </c>
      <c r="CJ145" s="847">
        <v>0</v>
      </c>
      <c r="CK145" s="847">
        <v>0</v>
      </c>
      <c r="CL145" s="847">
        <v>0</v>
      </c>
      <c r="CM145" s="847">
        <v>0</v>
      </c>
      <c r="CN145" s="847">
        <v>0</v>
      </c>
      <c r="CO145" s="847">
        <v>0</v>
      </c>
      <c r="CP145" s="847">
        <v>0</v>
      </c>
      <c r="CQ145" s="847">
        <v>0</v>
      </c>
      <c r="CR145" s="847">
        <v>0</v>
      </c>
      <c r="CS145" s="847">
        <v>0</v>
      </c>
      <c r="CT145" s="847">
        <v>0</v>
      </c>
      <c r="CU145" s="847">
        <v>0</v>
      </c>
      <c r="CV145" s="847">
        <v>0</v>
      </c>
      <c r="CW145" s="847">
        <v>0</v>
      </c>
      <c r="CX145" s="847">
        <v>0</v>
      </c>
      <c r="CY145" s="847">
        <v>0</v>
      </c>
      <c r="CZ145" s="847">
        <v>0</v>
      </c>
      <c r="DA145" s="847">
        <v>0</v>
      </c>
      <c r="DB145" s="847">
        <v>0</v>
      </c>
      <c r="DC145" s="847">
        <v>0</v>
      </c>
      <c r="DD145" s="847">
        <v>0</v>
      </c>
      <c r="DE145" s="847">
        <v>0</v>
      </c>
      <c r="DF145" s="847">
        <v>0</v>
      </c>
      <c r="DG145" s="847">
        <v>0</v>
      </c>
      <c r="DH145" s="847">
        <v>0</v>
      </c>
      <c r="DI145" s="847">
        <v>0</v>
      </c>
      <c r="DJ145" s="847">
        <v>0</v>
      </c>
      <c r="DK145" s="847">
        <v>0</v>
      </c>
      <c r="DL145" s="847">
        <v>0</v>
      </c>
      <c r="DM145" s="847">
        <v>0</v>
      </c>
      <c r="DN145" s="847">
        <v>0</v>
      </c>
      <c r="DO145" s="847">
        <v>0</v>
      </c>
      <c r="DP145" s="847">
        <v>0</v>
      </c>
      <c r="DQ145" s="847">
        <v>0</v>
      </c>
      <c r="DR145" s="847">
        <v>0</v>
      </c>
      <c r="DS145" s="847">
        <v>0</v>
      </c>
      <c r="DT145" s="847">
        <v>0</v>
      </c>
      <c r="DU145" s="847">
        <v>0</v>
      </c>
      <c r="DV145" s="847">
        <v>0</v>
      </c>
      <c r="DW145" s="847">
        <v>0</v>
      </c>
    </row>
    <row r="146" spans="1:244" ht="16.5" hidden="1">
      <c r="A146" s="846" t="s">
        <v>1060</v>
      </c>
      <c r="B146" s="846" t="s">
        <v>1382</v>
      </c>
      <c r="C146" s="846" t="s">
        <v>1171</v>
      </c>
      <c r="D146" s="847">
        <v>6</v>
      </c>
      <c r="E146" s="846" t="s">
        <v>1171</v>
      </c>
      <c r="F146" s="846" t="s">
        <v>97</v>
      </c>
      <c r="G146" s="851"/>
      <c r="H146" s="847">
        <v>67</v>
      </c>
      <c r="I146" s="780" t="str">
        <f t="shared" si="4"/>
        <v>IWT060267</v>
      </c>
      <c r="J146" s="847">
        <v>5101</v>
      </c>
      <c r="L146" s="846" t="s">
        <v>1060</v>
      </c>
      <c r="M146" s="846" t="s">
        <v>1382</v>
      </c>
      <c r="N146" s="846" t="s">
        <v>97</v>
      </c>
      <c r="O146" s="847">
        <v>67</v>
      </c>
      <c r="P146" s="780" t="str">
        <f t="shared" si="5"/>
        <v>IWT060267</v>
      </c>
      <c r="Q146" s="847">
        <v>1031</v>
      </c>
      <c r="R146" s="847">
        <v>2890</v>
      </c>
      <c r="S146" s="847">
        <v>4710</v>
      </c>
      <c r="T146" s="847">
        <v>6493</v>
      </c>
      <c r="U146" s="847">
        <v>8240</v>
      </c>
      <c r="V146" s="847">
        <v>0</v>
      </c>
      <c r="W146" s="847">
        <v>0</v>
      </c>
      <c r="X146" s="847">
        <v>0</v>
      </c>
      <c r="Y146" s="847">
        <v>0</v>
      </c>
      <c r="Z146" s="847">
        <v>0</v>
      </c>
      <c r="AA146" s="847">
        <v>0</v>
      </c>
      <c r="AB146" s="847">
        <v>0</v>
      </c>
      <c r="AC146" s="847">
        <v>0</v>
      </c>
      <c r="AD146" s="847">
        <v>0</v>
      </c>
      <c r="AE146" s="847">
        <v>0</v>
      </c>
      <c r="AF146" s="847">
        <v>0</v>
      </c>
      <c r="AG146" s="847">
        <v>0</v>
      </c>
      <c r="AH146" s="847">
        <v>0</v>
      </c>
      <c r="AI146" s="847">
        <v>0</v>
      </c>
      <c r="AJ146" s="847">
        <v>0</v>
      </c>
      <c r="AK146" s="847">
        <v>0</v>
      </c>
      <c r="AL146" s="847">
        <v>0</v>
      </c>
      <c r="AM146" s="847">
        <v>0</v>
      </c>
      <c r="AN146" s="847">
        <v>0</v>
      </c>
      <c r="AO146" s="847">
        <v>0</v>
      </c>
      <c r="AP146" s="847">
        <v>0</v>
      </c>
      <c r="AQ146" s="847">
        <v>0</v>
      </c>
      <c r="AR146" s="847">
        <v>0</v>
      </c>
      <c r="AS146" s="847">
        <v>0</v>
      </c>
      <c r="AT146" s="847">
        <v>0</v>
      </c>
      <c r="AU146" s="847">
        <v>0</v>
      </c>
      <c r="AV146" s="847">
        <v>0</v>
      </c>
      <c r="AW146" s="847">
        <v>0</v>
      </c>
      <c r="AX146" s="847">
        <v>0</v>
      </c>
      <c r="AY146" s="847">
        <v>0</v>
      </c>
      <c r="AZ146" s="847">
        <v>0</v>
      </c>
      <c r="BA146" s="847">
        <v>0</v>
      </c>
      <c r="BB146" s="847">
        <v>0</v>
      </c>
      <c r="BC146" s="847">
        <v>0</v>
      </c>
      <c r="BD146" s="847">
        <v>0</v>
      </c>
      <c r="BE146" s="847">
        <v>0</v>
      </c>
      <c r="BF146" s="847">
        <v>0</v>
      </c>
      <c r="BG146" s="847">
        <v>0</v>
      </c>
      <c r="BH146" s="847">
        <v>0</v>
      </c>
      <c r="BI146" s="847">
        <v>0</v>
      </c>
      <c r="BJ146" s="847">
        <v>0</v>
      </c>
      <c r="BK146" s="847">
        <v>0</v>
      </c>
      <c r="BL146" s="847">
        <v>0</v>
      </c>
      <c r="BM146" s="847">
        <v>0</v>
      </c>
      <c r="BN146" s="847">
        <v>0</v>
      </c>
      <c r="BO146" s="847">
        <v>0</v>
      </c>
      <c r="BP146" s="847">
        <v>0</v>
      </c>
      <c r="BQ146" s="847">
        <v>0</v>
      </c>
      <c r="BR146" s="847">
        <v>0</v>
      </c>
      <c r="BS146" s="847">
        <v>0</v>
      </c>
      <c r="BT146" s="847">
        <v>0</v>
      </c>
      <c r="BU146" s="847">
        <v>0</v>
      </c>
      <c r="BV146" s="847">
        <v>0</v>
      </c>
      <c r="BW146" s="847">
        <v>0</v>
      </c>
      <c r="BX146" s="847">
        <v>0</v>
      </c>
      <c r="BY146" s="847">
        <v>0</v>
      </c>
      <c r="BZ146" s="847">
        <v>0</v>
      </c>
      <c r="CA146" s="847">
        <v>0</v>
      </c>
      <c r="CB146" s="847">
        <v>0</v>
      </c>
      <c r="CC146" s="847">
        <v>0</v>
      </c>
      <c r="CD146" s="847">
        <v>0</v>
      </c>
      <c r="CE146" s="847">
        <v>0</v>
      </c>
      <c r="CF146" s="847">
        <v>0</v>
      </c>
      <c r="CG146" s="847">
        <v>0</v>
      </c>
      <c r="CH146" s="847">
        <v>0</v>
      </c>
      <c r="CI146" s="847">
        <v>0</v>
      </c>
      <c r="CJ146" s="847">
        <v>0</v>
      </c>
      <c r="CK146" s="847">
        <v>0</v>
      </c>
      <c r="CL146" s="847">
        <v>0</v>
      </c>
      <c r="CM146" s="847">
        <v>0</v>
      </c>
      <c r="CN146" s="847">
        <v>0</v>
      </c>
      <c r="CO146" s="847">
        <v>0</v>
      </c>
      <c r="CP146" s="847">
        <v>0</v>
      </c>
      <c r="CQ146" s="847">
        <v>0</v>
      </c>
      <c r="CR146" s="847">
        <v>0</v>
      </c>
      <c r="CS146" s="847">
        <v>0</v>
      </c>
      <c r="CT146" s="847">
        <v>0</v>
      </c>
      <c r="CU146" s="847">
        <v>0</v>
      </c>
      <c r="CV146" s="847">
        <v>0</v>
      </c>
      <c r="CW146" s="847">
        <v>0</v>
      </c>
      <c r="CX146" s="847">
        <v>0</v>
      </c>
      <c r="CY146" s="847">
        <v>0</v>
      </c>
      <c r="CZ146" s="847">
        <v>0</v>
      </c>
      <c r="DA146" s="847">
        <v>0</v>
      </c>
      <c r="DB146" s="847">
        <v>0</v>
      </c>
      <c r="DC146" s="847">
        <v>0</v>
      </c>
      <c r="DD146" s="847">
        <v>0</v>
      </c>
      <c r="DE146" s="847">
        <v>0</v>
      </c>
      <c r="DF146" s="847">
        <v>0</v>
      </c>
      <c r="DG146" s="847">
        <v>0</v>
      </c>
      <c r="DH146" s="847">
        <v>0</v>
      </c>
      <c r="DI146" s="847">
        <v>0</v>
      </c>
      <c r="DJ146" s="847">
        <v>0</v>
      </c>
      <c r="DK146" s="847">
        <v>0</v>
      </c>
      <c r="DL146" s="847">
        <v>0</v>
      </c>
      <c r="DM146" s="847">
        <v>0</v>
      </c>
      <c r="DN146" s="847">
        <v>0</v>
      </c>
      <c r="DO146" s="847">
        <v>0</v>
      </c>
      <c r="DP146" s="847">
        <v>0</v>
      </c>
      <c r="DQ146" s="847">
        <v>0</v>
      </c>
      <c r="DR146" s="847">
        <v>0</v>
      </c>
      <c r="DS146" s="847">
        <v>0</v>
      </c>
      <c r="DT146" s="847">
        <v>0</v>
      </c>
      <c r="DU146" s="847">
        <v>0</v>
      </c>
      <c r="DV146" s="847">
        <v>0</v>
      </c>
      <c r="DW146" s="847">
        <v>0</v>
      </c>
    </row>
    <row r="147" spans="1:244" ht="16.5" hidden="1">
      <c r="A147" s="846" t="s">
        <v>1060</v>
      </c>
      <c r="B147" s="846" t="s">
        <v>1382</v>
      </c>
      <c r="C147" s="846" t="s">
        <v>1171</v>
      </c>
      <c r="D147" s="847">
        <v>6</v>
      </c>
      <c r="E147" s="846" t="s">
        <v>1171</v>
      </c>
      <c r="F147" s="846" t="s">
        <v>97</v>
      </c>
      <c r="G147" s="851"/>
      <c r="H147" s="847">
        <v>68</v>
      </c>
      <c r="I147" s="780" t="str">
        <f t="shared" si="4"/>
        <v>IWT060268</v>
      </c>
      <c r="J147" s="847">
        <v>5104</v>
      </c>
      <c r="L147" s="846" t="s">
        <v>1060</v>
      </c>
      <c r="M147" s="846" t="s">
        <v>1382</v>
      </c>
      <c r="N147" s="846" t="s">
        <v>97</v>
      </c>
      <c r="O147" s="847">
        <v>68</v>
      </c>
      <c r="P147" s="780" t="str">
        <f t="shared" si="5"/>
        <v>IWT060268</v>
      </c>
      <c r="Q147" s="847">
        <v>1022</v>
      </c>
      <c r="R147" s="847">
        <v>2883</v>
      </c>
      <c r="S147" s="847">
        <v>4704</v>
      </c>
      <c r="T147" s="847">
        <v>6489</v>
      </c>
      <c r="U147" s="847">
        <v>8236</v>
      </c>
      <c r="V147" s="847">
        <v>0</v>
      </c>
      <c r="W147" s="847">
        <v>0</v>
      </c>
      <c r="X147" s="847">
        <v>0</v>
      </c>
      <c r="Y147" s="847">
        <v>0</v>
      </c>
      <c r="Z147" s="847">
        <v>0</v>
      </c>
      <c r="AA147" s="847">
        <v>0</v>
      </c>
      <c r="AB147" s="847">
        <v>0</v>
      </c>
      <c r="AC147" s="847">
        <v>0</v>
      </c>
      <c r="AD147" s="847">
        <v>0</v>
      </c>
      <c r="AE147" s="847">
        <v>0</v>
      </c>
      <c r="AF147" s="847">
        <v>0</v>
      </c>
      <c r="AG147" s="847">
        <v>0</v>
      </c>
      <c r="AH147" s="847">
        <v>0</v>
      </c>
      <c r="AI147" s="847">
        <v>0</v>
      </c>
      <c r="AJ147" s="847">
        <v>0</v>
      </c>
      <c r="AK147" s="847">
        <v>0</v>
      </c>
      <c r="AL147" s="847">
        <v>0</v>
      </c>
      <c r="AM147" s="847">
        <v>0</v>
      </c>
      <c r="AN147" s="847">
        <v>0</v>
      </c>
      <c r="AO147" s="847">
        <v>0</v>
      </c>
      <c r="AP147" s="847">
        <v>0</v>
      </c>
      <c r="AQ147" s="847">
        <v>0</v>
      </c>
      <c r="AR147" s="847">
        <v>0</v>
      </c>
      <c r="AS147" s="847">
        <v>0</v>
      </c>
      <c r="AT147" s="847">
        <v>0</v>
      </c>
      <c r="AU147" s="847">
        <v>0</v>
      </c>
      <c r="AV147" s="847">
        <v>0</v>
      </c>
      <c r="AW147" s="847">
        <v>0</v>
      </c>
      <c r="AX147" s="847">
        <v>0</v>
      </c>
      <c r="AY147" s="847">
        <v>0</v>
      </c>
      <c r="AZ147" s="847">
        <v>0</v>
      </c>
      <c r="BA147" s="847">
        <v>0</v>
      </c>
      <c r="BB147" s="847">
        <v>0</v>
      </c>
      <c r="BC147" s="847">
        <v>0</v>
      </c>
      <c r="BD147" s="847">
        <v>0</v>
      </c>
      <c r="BE147" s="847">
        <v>0</v>
      </c>
      <c r="BF147" s="847">
        <v>0</v>
      </c>
      <c r="BG147" s="847">
        <v>0</v>
      </c>
      <c r="BH147" s="847">
        <v>0</v>
      </c>
      <c r="BI147" s="847">
        <v>0</v>
      </c>
      <c r="BJ147" s="847">
        <v>0</v>
      </c>
      <c r="BK147" s="847">
        <v>0</v>
      </c>
      <c r="BL147" s="847">
        <v>0</v>
      </c>
      <c r="BM147" s="847">
        <v>0</v>
      </c>
      <c r="BN147" s="847">
        <v>0</v>
      </c>
      <c r="BO147" s="847">
        <v>0</v>
      </c>
      <c r="BP147" s="847">
        <v>0</v>
      </c>
      <c r="BQ147" s="847">
        <v>0</v>
      </c>
      <c r="BR147" s="847">
        <v>0</v>
      </c>
      <c r="BS147" s="847">
        <v>0</v>
      </c>
      <c r="BT147" s="847">
        <v>0</v>
      </c>
      <c r="BU147" s="847">
        <v>0</v>
      </c>
      <c r="BV147" s="847">
        <v>0</v>
      </c>
      <c r="BW147" s="847">
        <v>0</v>
      </c>
      <c r="BX147" s="847">
        <v>0</v>
      </c>
      <c r="BY147" s="847">
        <v>0</v>
      </c>
      <c r="BZ147" s="847">
        <v>0</v>
      </c>
      <c r="CA147" s="847">
        <v>0</v>
      </c>
      <c r="CB147" s="847">
        <v>0</v>
      </c>
      <c r="CC147" s="847">
        <v>0</v>
      </c>
      <c r="CD147" s="847">
        <v>0</v>
      </c>
      <c r="CE147" s="847">
        <v>0</v>
      </c>
      <c r="CF147" s="847">
        <v>0</v>
      </c>
      <c r="CG147" s="847">
        <v>0</v>
      </c>
      <c r="CH147" s="847">
        <v>0</v>
      </c>
      <c r="CI147" s="847">
        <v>0</v>
      </c>
      <c r="CJ147" s="847">
        <v>0</v>
      </c>
      <c r="CK147" s="847">
        <v>0</v>
      </c>
      <c r="CL147" s="847">
        <v>0</v>
      </c>
      <c r="CM147" s="847">
        <v>0</v>
      </c>
      <c r="CN147" s="847">
        <v>0</v>
      </c>
      <c r="CO147" s="847">
        <v>0</v>
      </c>
      <c r="CP147" s="847">
        <v>0</v>
      </c>
      <c r="CQ147" s="847">
        <v>0</v>
      </c>
      <c r="CR147" s="847">
        <v>0</v>
      </c>
      <c r="CS147" s="847">
        <v>0</v>
      </c>
      <c r="CT147" s="847">
        <v>0</v>
      </c>
      <c r="CU147" s="847">
        <v>0</v>
      </c>
      <c r="CV147" s="847">
        <v>0</v>
      </c>
      <c r="CW147" s="847">
        <v>0</v>
      </c>
      <c r="CX147" s="847">
        <v>0</v>
      </c>
      <c r="CY147" s="847">
        <v>0</v>
      </c>
      <c r="CZ147" s="847">
        <v>0</v>
      </c>
      <c r="DA147" s="847">
        <v>0</v>
      </c>
      <c r="DB147" s="847">
        <v>0</v>
      </c>
      <c r="DC147" s="847">
        <v>0</v>
      </c>
      <c r="DD147" s="847">
        <v>0</v>
      </c>
      <c r="DE147" s="847">
        <v>0</v>
      </c>
      <c r="DF147" s="847">
        <v>0</v>
      </c>
      <c r="DG147" s="847">
        <v>0</v>
      </c>
      <c r="DH147" s="847">
        <v>0</v>
      </c>
      <c r="DI147" s="847">
        <v>0</v>
      </c>
      <c r="DJ147" s="847">
        <v>0</v>
      </c>
      <c r="DK147" s="847">
        <v>0</v>
      </c>
      <c r="DL147" s="847">
        <v>0</v>
      </c>
      <c r="DM147" s="847">
        <v>0</v>
      </c>
      <c r="DN147" s="847">
        <v>0</v>
      </c>
      <c r="DO147" s="847">
        <v>0</v>
      </c>
      <c r="DP147" s="847">
        <v>0</v>
      </c>
      <c r="DQ147" s="847">
        <v>0</v>
      </c>
      <c r="DR147" s="847">
        <v>0</v>
      </c>
      <c r="DS147" s="847">
        <v>0</v>
      </c>
      <c r="DT147" s="847">
        <v>0</v>
      </c>
      <c r="DU147" s="847">
        <v>0</v>
      </c>
      <c r="DV147" s="847">
        <v>0</v>
      </c>
      <c r="DW147" s="847">
        <v>0</v>
      </c>
    </row>
    <row r="148" spans="1:244" ht="16.5" hidden="1">
      <c r="A148" s="846" t="s">
        <v>1060</v>
      </c>
      <c r="B148" s="846" t="s">
        <v>1382</v>
      </c>
      <c r="C148" s="846" t="s">
        <v>1171</v>
      </c>
      <c r="D148" s="847">
        <v>6</v>
      </c>
      <c r="E148" s="846" t="s">
        <v>1171</v>
      </c>
      <c r="F148" s="846" t="s">
        <v>97</v>
      </c>
      <c r="G148" s="851"/>
      <c r="H148" s="847">
        <v>69</v>
      </c>
      <c r="I148" s="780" t="str">
        <f t="shared" si="4"/>
        <v>IWT060269</v>
      </c>
      <c r="J148" s="847">
        <v>5107</v>
      </c>
      <c r="L148" s="846" t="s">
        <v>1060</v>
      </c>
      <c r="M148" s="846" t="s">
        <v>1382</v>
      </c>
      <c r="N148" s="846" t="s">
        <v>97</v>
      </c>
      <c r="O148" s="847">
        <v>69</v>
      </c>
      <c r="P148" s="780" t="str">
        <f t="shared" si="5"/>
        <v>IWT060269</v>
      </c>
      <c r="Q148" s="847">
        <v>1012</v>
      </c>
      <c r="R148" s="847">
        <v>2874</v>
      </c>
      <c r="S148" s="847">
        <v>4698</v>
      </c>
      <c r="T148" s="847">
        <v>6484</v>
      </c>
      <c r="U148" s="847">
        <v>8233</v>
      </c>
      <c r="V148" s="847">
        <v>0</v>
      </c>
      <c r="W148" s="847">
        <v>0</v>
      </c>
      <c r="X148" s="847">
        <v>0</v>
      </c>
      <c r="Y148" s="847">
        <v>0</v>
      </c>
      <c r="Z148" s="847">
        <v>0</v>
      </c>
      <c r="AA148" s="847">
        <v>0</v>
      </c>
      <c r="AB148" s="847">
        <v>0</v>
      </c>
      <c r="AC148" s="847">
        <v>0</v>
      </c>
      <c r="AD148" s="847">
        <v>0</v>
      </c>
      <c r="AE148" s="847">
        <v>0</v>
      </c>
      <c r="AF148" s="847">
        <v>0</v>
      </c>
      <c r="AG148" s="847">
        <v>0</v>
      </c>
      <c r="AH148" s="847">
        <v>0</v>
      </c>
      <c r="AI148" s="847">
        <v>0</v>
      </c>
      <c r="AJ148" s="847">
        <v>0</v>
      </c>
      <c r="AK148" s="847">
        <v>0</v>
      </c>
      <c r="AL148" s="847">
        <v>0</v>
      </c>
      <c r="AM148" s="847">
        <v>0</v>
      </c>
      <c r="AN148" s="847">
        <v>0</v>
      </c>
      <c r="AO148" s="847">
        <v>0</v>
      </c>
      <c r="AP148" s="847">
        <v>0</v>
      </c>
      <c r="AQ148" s="847">
        <v>0</v>
      </c>
      <c r="AR148" s="847">
        <v>0</v>
      </c>
      <c r="AS148" s="847">
        <v>0</v>
      </c>
      <c r="AT148" s="847">
        <v>0</v>
      </c>
      <c r="AU148" s="847">
        <v>0</v>
      </c>
      <c r="AV148" s="847">
        <v>0</v>
      </c>
      <c r="AW148" s="847">
        <v>0</v>
      </c>
      <c r="AX148" s="847">
        <v>0</v>
      </c>
      <c r="AY148" s="847">
        <v>0</v>
      </c>
      <c r="AZ148" s="847">
        <v>0</v>
      </c>
      <c r="BA148" s="847">
        <v>0</v>
      </c>
      <c r="BB148" s="847">
        <v>0</v>
      </c>
      <c r="BC148" s="847">
        <v>0</v>
      </c>
      <c r="BD148" s="847">
        <v>0</v>
      </c>
      <c r="BE148" s="847">
        <v>0</v>
      </c>
      <c r="BF148" s="847">
        <v>0</v>
      </c>
      <c r="BG148" s="847">
        <v>0</v>
      </c>
      <c r="BH148" s="847">
        <v>0</v>
      </c>
      <c r="BI148" s="847">
        <v>0</v>
      </c>
      <c r="BJ148" s="847">
        <v>0</v>
      </c>
      <c r="BK148" s="847">
        <v>0</v>
      </c>
      <c r="BL148" s="847">
        <v>0</v>
      </c>
      <c r="BM148" s="847">
        <v>0</v>
      </c>
      <c r="BN148" s="847">
        <v>0</v>
      </c>
      <c r="BO148" s="847">
        <v>0</v>
      </c>
      <c r="BP148" s="847">
        <v>0</v>
      </c>
      <c r="BQ148" s="847">
        <v>0</v>
      </c>
      <c r="BR148" s="847">
        <v>0</v>
      </c>
      <c r="BS148" s="847">
        <v>0</v>
      </c>
      <c r="BT148" s="847">
        <v>0</v>
      </c>
      <c r="BU148" s="847">
        <v>0</v>
      </c>
      <c r="BV148" s="847">
        <v>0</v>
      </c>
      <c r="BW148" s="847">
        <v>0</v>
      </c>
      <c r="BX148" s="847">
        <v>0</v>
      </c>
      <c r="BY148" s="847">
        <v>0</v>
      </c>
      <c r="BZ148" s="847">
        <v>0</v>
      </c>
      <c r="CA148" s="847">
        <v>0</v>
      </c>
      <c r="CB148" s="847">
        <v>0</v>
      </c>
      <c r="CC148" s="847">
        <v>0</v>
      </c>
      <c r="CD148" s="847">
        <v>0</v>
      </c>
      <c r="CE148" s="847">
        <v>0</v>
      </c>
      <c r="CF148" s="847">
        <v>0</v>
      </c>
      <c r="CG148" s="847">
        <v>0</v>
      </c>
      <c r="CH148" s="847">
        <v>0</v>
      </c>
      <c r="CI148" s="847">
        <v>0</v>
      </c>
      <c r="CJ148" s="847">
        <v>0</v>
      </c>
      <c r="CK148" s="847">
        <v>0</v>
      </c>
      <c r="CL148" s="847">
        <v>0</v>
      </c>
      <c r="CM148" s="847">
        <v>0</v>
      </c>
      <c r="CN148" s="847">
        <v>0</v>
      </c>
      <c r="CO148" s="847">
        <v>0</v>
      </c>
      <c r="CP148" s="847">
        <v>0</v>
      </c>
      <c r="CQ148" s="847">
        <v>0</v>
      </c>
      <c r="CR148" s="847">
        <v>0</v>
      </c>
      <c r="CS148" s="847">
        <v>0</v>
      </c>
      <c r="CT148" s="847">
        <v>0</v>
      </c>
      <c r="CU148" s="847">
        <v>0</v>
      </c>
      <c r="CV148" s="847">
        <v>0</v>
      </c>
      <c r="CW148" s="847">
        <v>0</v>
      </c>
      <c r="CX148" s="847">
        <v>0</v>
      </c>
      <c r="CY148" s="847">
        <v>0</v>
      </c>
      <c r="CZ148" s="847">
        <v>0</v>
      </c>
      <c r="DA148" s="847">
        <v>0</v>
      </c>
      <c r="DB148" s="847">
        <v>0</v>
      </c>
      <c r="DC148" s="847">
        <v>0</v>
      </c>
      <c r="DD148" s="847">
        <v>0</v>
      </c>
      <c r="DE148" s="847">
        <v>0</v>
      </c>
      <c r="DF148" s="847">
        <v>0</v>
      </c>
      <c r="DG148" s="847">
        <v>0</v>
      </c>
      <c r="DH148" s="847">
        <v>0</v>
      </c>
      <c r="DI148" s="847">
        <v>0</v>
      </c>
      <c r="DJ148" s="847">
        <v>0</v>
      </c>
      <c r="DK148" s="847">
        <v>0</v>
      </c>
      <c r="DL148" s="847">
        <v>0</v>
      </c>
      <c r="DM148" s="847">
        <v>0</v>
      </c>
      <c r="DN148" s="847">
        <v>0</v>
      </c>
      <c r="DO148" s="847">
        <v>0</v>
      </c>
      <c r="DP148" s="847">
        <v>0</v>
      </c>
      <c r="DQ148" s="847">
        <v>0</v>
      </c>
      <c r="DR148" s="847">
        <v>0</v>
      </c>
      <c r="DS148" s="847">
        <v>0</v>
      </c>
      <c r="DT148" s="847">
        <v>0</v>
      </c>
      <c r="DU148" s="847">
        <v>0</v>
      </c>
      <c r="DV148" s="847">
        <v>0</v>
      </c>
      <c r="DW148" s="847">
        <v>0</v>
      </c>
    </row>
    <row r="149" spans="1:244" ht="16.5" hidden="1">
      <c r="A149" s="846" t="s">
        <v>1060</v>
      </c>
      <c r="B149" s="846" t="s">
        <v>1382</v>
      </c>
      <c r="C149" s="846" t="s">
        <v>1171</v>
      </c>
      <c r="D149" s="847">
        <v>6</v>
      </c>
      <c r="E149" s="846" t="s">
        <v>1171</v>
      </c>
      <c r="F149" s="846" t="s">
        <v>97</v>
      </c>
      <c r="G149" s="851"/>
      <c r="H149" s="847">
        <v>70</v>
      </c>
      <c r="I149" s="780" t="str">
        <f t="shared" si="4"/>
        <v>IWT060270</v>
      </c>
      <c r="J149" s="847">
        <v>5110</v>
      </c>
      <c r="L149" s="846" t="s">
        <v>1060</v>
      </c>
      <c r="M149" s="846" t="s">
        <v>1382</v>
      </c>
      <c r="N149" s="846" t="s">
        <v>97</v>
      </c>
      <c r="O149" s="847">
        <v>70</v>
      </c>
      <c r="P149" s="780" t="str">
        <f t="shared" si="5"/>
        <v>IWT060270</v>
      </c>
      <c r="Q149" s="847">
        <v>1000</v>
      </c>
      <c r="R149" s="847">
        <v>2865</v>
      </c>
      <c r="S149" s="847">
        <v>4691</v>
      </c>
      <c r="T149" s="847">
        <v>6478</v>
      </c>
      <c r="U149" s="847">
        <v>8229</v>
      </c>
      <c r="V149" s="847">
        <v>0</v>
      </c>
      <c r="W149" s="847">
        <v>0</v>
      </c>
      <c r="X149" s="847">
        <v>0</v>
      </c>
      <c r="Y149" s="847">
        <v>0</v>
      </c>
      <c r="Z149" s="847">
        <v>0</v>
      </c>
      <c r="AA149" s="847">
        <v>0</v>
      </c>
      <c r="AB149" s="847">
        <v>0</v>
      </c>
      <c r="AC149" s="847">
        <v>0</v>
      </c>
      <c r="AD149" s="847">
        <v>0</v>
      </c>
      <c r="AE149" s="847">
        <v>0</v>
      </c>
      <c r="AF149" s="847">
        <v>0</v>
      </c>
      <c r="AG149" s="847">
        <v>0</v>
      </c>
      <c r="AH149" s="847">
        <v>0</v>
      </c>
      <c r="AI149" s="847">
        <v>0</v>
      </c>
      <c r="AJ149" s="847">
        <v>0</v>
      </c>
      <c r="AK149" s="847">
        <v>0</v>
      </c>
      <c r="AL149" s="847">
        <v>0</v>
      </c>
      <c r="AM149" s="847">
        <v>0</v>
      </c>
      <c r="AN149" s="847">
        <v>0</v>
      </c>
      <c r="AO149" s="847">
        <v>0</v>
      </c>
      <c r="AP149" s="847">
        <v>0</v>
      </c>
      <c r="AQ149" s="847">
        <v>0</v>
      </c>
      <c r="AR149" s="847">
        <v>0</v>
      </c>
      <c r="AS149" s="847">
        <v>0</v>
      </c>
      <c r="AT149" s="847">
        <v>0</v>
      </c>
      <c r="AU149" s="847">
        <v>0</v>
      </c>
      <c r="AV149" s="847">
        <v>0</v>
      </c>
      <c r="AW149" s="847">
        <v>0</v>
      </c>
      <c r="AX149" s="847">
        <v>0</v>
      </c>
      <c r="AY149" s="847">
        <v>0</v>
      </c>
      <c r="AZ149" s="847">
        <v>0</v>
      </c>
      <c r="BA149" s="847">
        <v>0</v>
      </c>
      <c r="BB149" s="847">
        <v>0</v>
      </c>
      <c r="BC149" s="847">
        <v>0</v>
      </c>
      <c r="BD149" s="847">
        <v>0</v>
      </c>
      <c r="BE149" s="847">
        <v>0</v>
      </c>
      <c r="BF149" s="847">
        <v>0</v>
      </c>
      <c r="BG149" s="847">
        <v>0</v>
      </c>
      <c r="BH149" s="847">
        <v>0</v>
      </c>
      <c r="BI149" s="847">
        <v>0</v>
      </c>
      <c r="BJ149" s="847">
        <v>0</v>
      </c>
      <c r="BK149" s="847">
        <v>0</v>
      </c>
      <c r="BL149" s="847">
        <v>0</v>
      </c>
      <c r="BM149" s="847">
        <v>0</v>
      </c>
      <c r="BN149" s="847">
        <v>0</v>
      </c>
      <c r="BO149" s="847">
        <v>0</v>
      </c>
      <c r="BP149" s="847">
        <v>0</v>
      </c>
      <c r="BQ149" s="847">
        <v>0</v>
      </c>
      <c r="BR149" s="847">
        <v>0</v>
      </c>
      <c r="BS149" s="847">
        <v>0</v>
      </c>
      <c r="BT149" s="847">
        <v>0</v>
      </c>
      <c r="BU149" s="847">
        <v>0</v>
      </c>
      <c r="BV149" s="847">
        <v>0</v>
      </c>
      <c r="BW149" s="847">
        <v>0</v>
      </c>
      <c r="BX149" s="847">
        <v>0</v>
      </c>
      <c r="BY149" s="847">
        <v>0</v>
      </c>
      <c r="BZ149" s="847">
        <v>0</v>
      </c>
      <c r="CA149" s="847">
        <v>0</v>
      </c>
      <c r="CB149" s="847">
        <v>0</v>
      </c>
      <c r="CC149" s="847">
        <v>0</v>
      </c>
      <c r="CD149" s="847">
        <v>0</v>
      </c>
      <c r="CE149" s="847">
        <v>0</v>
      </c>
      <c r="CF149" s="847">
        <v>0</v>
      </c>
      <c r="CG149" s="847">
        <v>0</v>
      </c>
      <c r="CH149" s="847">
        <v>0</v>
      </c>
      <c r="CI149" s="847">
        <v>0</v>
      </c>
      <c r="CJ149" s="847">
        <v>0</v>
      </c>
      <c r="CK149" s="847">
        <v>0</v>
      </c>
      <c r="CL149" s="847">
        <v>0</v>
      </c>
      <c r="CM149" s="847">
        <v>0</v>
      </c>
      <c r="CN149" s="847">
        <v>0</v>
      </c>
      <c r="CO149" s="847">
        <v>0</v>
      </c>
      <c r="CP149" s="847">
        <v>0</v>
      </c>
      <c r="CQ149" s="847">
        <v>0</v>
      </c>
      <c r="CR149" s="847">
        <v>0</v>
      </c>
      <c r="CS149" s="847">
        <v>0</v>
      </c>
      <c r="CT149" s="847">
        <v>0</v>
      </c>
      <c r="CU149" s="847">
        <v>0</v>
      </c>
      <c r="CV149" s="847">
        <v>0</v>
      </c>
      <c r="CW149" s="847">
        <v>0</v>
      </c>
      <c r="CX149" s="847">
        <v>0</v>
      </c>
      <c r="CY149" s="847">
        <v>0</v>
      </c>
      <c r="CZ149" s="847">
        <v>0</v>
      </c>
      <c r="DA149" s="847">
        <v>0</v>
      </c>
      <c r="DB149" s="847">
        <v>0</v>
      </c>
      <c r="DC149" s="847">
        <v>0</v>
      </c>
      <c r="DD149" s="847">
        <v>0</v>
      </c>
      <c r="DE149" s="847">
        <v>0</v>
      </c>
      <c r="DF149" s="847">
        <v>0</v>
      </c>
      <c r="DG149" s="847">
        <v>0</v>
      </c>
      <c r="DH149" s="847">
        <v>0</v>
      </c>
      <c r="DI149" s="847">
        <v>0</v>
      </c>
      <c r="DJ149" s="847">
        <v>0</v>
      </c>
      <c r="DK149" s="847">
        <v>0</v>
      </c>
      <c r="DL149" s="847">
        <v>0</v>
      </c>
      <c r="DM149" s="847">
        <v>0</v>
      </c>
      <c r="DN149" s="847">
        <v>0</v>
      </c>
      <c r="DO149" s="847">
        <v>0</v>
      </c>
      <c r="DP149" s="847">
        <v>0</v>
      </c>
      <c r="DQ149" s="847">
        <v>0</v>
      </c>
      <c r="DR149" s="847">
        <v>0</v>
      </c>
      <c r="DS149" s="847">
        <v>0</v>
      </c>
      <c r="DT149" s="847">
        <v>0</v>
      </c>
      <c r="DU149" s="847">
        <v>0</v>
      </c>
      <c r="DV149" s="847">
        <v>0</v>
      </c>
      <c r="DW149" s="847">
        <v>0</v>
      </c>
    </row>
    <row r="150" spans="1:244" ht="16.5" hidden="1">
      <c r="A150" s="846" t="s">
        <v>1060</v>
      </c>
      <c r="B150" s="846" t="s">
        <v>1382</v>
      </c>
      <c r="C150" s="846" t="s">
        <v>1171</v>
      </c>
      <c r="D150" s="847">
        <v>6</v>
      </c>
      <c r="E150" s="846" t="s">
        <v>1171</v>
      </c>
      <c r="F150" s="846" t="s">
        <v>97</v>
      </c>
      <c r="G150" s="851"/>
      <c r="H150" s="847">
        <v>71</v>
      </c>
      <c r="I150" s="780" t="str">
        <f t="shared" si="4"/>
        <v>IWT060271</v>
      </c>
      <c r="J150" s="847">
        <v>5115</v>
      </c>
      <c r="L150" s="846" t="s">
        <v>1060</v>
      </c>
      <c r="M150" s="846" t="s">
        <v>1382</v>
      </c>
      <c r="N150" s="846" t="s">
        <v>97</v>
      </c>
      <c r="O150" s="847">
        <v>71</v>
      </c>
      <c r="P150" s="780" t="str">
        <f t="shared" si="5"/>
        <v>IWT060271</v>
      </c>
      <c r="Q150" s="847">
        <v>988</v>
      </c>
      <c r="R150" s="847">
        <v>2856</v>
      </c>
      <c r="S150" s="847">
        <v>4683</v>
      </c>
      <c r="T150" s="847">
        <v>6472</v>
      </c>
      <c r="U150" s="847">
        <v>8224</v>
      </c>
      <c r="V150" s="847">
        <v>0</v>
      </c>
      <c r="W150" s="847">
        <v>0</v>
      </c>
      <c r="X150" s="847">
        <v>0</v>
      </c>
      <c r="Y150" s="847">
        <v>0</v>
      </c>
      <c r="Z150" s="847">
        <v>0</v>
      </c>
      <c r="AA150" s="847">
        <v>0</v>
      </c>
      <c r="AB150" s="847">
        <v>0</v>
      </c>
      <c r="AC150" s="847">
        <v>0</v>
      </c>
      <c r="AD150" s="847">
        <v>0</v>
      </c>
      <c r="AE150" s="847">
        <v>0</v>
      </c>
      <c r="AF150" s="847">
        <v>0</v>
      </c>
      <c r="AG150" s="847">
        <v>0</v>
      </c>
      <c r="AH150" s="847">
        <v>0</v>
      </c>
      <c r="AI150" s="847">
        <v>0</v>
      </c>
      <c r="AJ150" s="847">
        <v>0</v>
      </c>
      <c r="AK150" s="847">
        <v>0</v>
      </c>
      <c r="AL150" s="847">
        <v>0</v>
      </c>
      <c r="AM150" s="847">
        <v>0</v>
      </c>
      <c r="AN150" s="847">
        <v>0</v>
      </c>
      <c r="AO150" s="847">
        <v>0</v>
      </c>
      <c r="AP150" s="847">
        <v>0</v>
      </c>
      <c r="AQ150" s="847">
        <v>0</v>
      </c>
      <c r="AR150" s="847">
        <v>0</v>
      </c>
      <c r="AS150" s="847">
        <v>0</v>
      </c>
      <c r="AT150" s="847">
        <v>0</v>
      </c>
      <c r="AU150" s="847">
        <v>0</v>
      </c>
      <c r="AV150" s="847">
        <v>0</v>
      </c>
      <c r="AW150" s="847">
        <v>0</v>
      </c>
      <c r="AX150" s="847">
        <v>0</v>
      </c>
      <c r="AY150" s="847">
        <v>0</v>
      </c>
      <c r="AZ150" s="847">
        <v>0</v>
      </c>
      <c r="BA150" s="847">
        <v>0</v>
      </c>
      <c r="BB150" s="847">
        <v>0</v>
      </c>
      <c r="BC150" s="847">
        <v>0</v>
      </c>
      <c r="BD150" s="847">
        <v>0</v>
      </c>
      <c r="BE150" s="847">
        <v>0</v>
      </c>
      <c r="BF150" s="847">
        <v>0</v>
      </c>
      <c r="BG150" s="847">
        <v>0</v>
      </c>
      <c r="BH150" s="847">
        <v>0</v>
      </c>
      <c r="BI150" s="847">
        <v>0</v>
      </c>
      <c r="BJ150" s="847">
        <v>0</v>
      </c>
      <c r="BK150" s="847">
        <v>0</v>
      </c>
      <c r="BL150" s="847">
        <v>0</v>
      </c>
      <c r="BM150" s="847">
        <v>0</v>
      </c>
      <c r="BN150" s="847">
        <v>0</v>
      </c>
      <c r="BO150" s="847">
        <v>0</v>
      </c>
      <c r="BP150" s="847">
        <v>0</v>
      </c>
      <c r="BQ150" s="847">
        <v>0</v>
      </c>
      <c r="BR150" s="847">
        <v>0</v>
      </c>
      <c r="BS150" s="847">
        <v>0</v>
      </c>
      <c r="BT150" s="847">
        <v>0</v>
      </c>
      <c r="BU150" s="847">
        <v>0</v>
      </c>
      <c r="BV150" s="847">
        <v>0</v>
      </c>
      <c r="BW150" s="847">
        <v>0</v>
      </c>
      <c r="BX150" s="847">
        <v>0</v>
      </c>
      <c r="BY150" s="847">
        <v>0</v>
      </c>
      <c r="BZ150" s="847">
        <v>0</v>
      </c>
      <c r="CA150" s="847">
        <v>0</v>
      </c>
      <c r="CB150" s="847">
        <v>0</v>
      </c>
      <c r="CC150" s="847">
        <v>0</v>
      </c>
      <c r="CD150" s="847">
        <v>0</v>
      </c>
      <c r="CE150" s="847">
        <v>0</v>
      </c>
      <c r="CF150" s="847">
        <v>0</v>
      </c>
      <c r="CG150" s="847">
        <v>0</v>
      </c>
      <c r="CH150" s="847">
        <v>0</v>
      </c>
      <c r="CI150" s="847">
        <v>0</v>
      </c>
      <c r="CJ150" s="847">
        <v>0</v>
      </c>
      <c r="CK150" s="847">
        <v>0</v>
      </c>
      <c r="CL150" s="847">
        <v>0</v>
      </c>
      <c r="CM150" s="847">
        <v>0</v>
      </c>
      <c r="CN150" s="847">
        <v>0</v>
      </c>
      <c r="CO150" s="847">
        <v>0</v>
      </c>
      <c r="CP150" s="847">
        <v>0</v>
      </c>
      <c r="CQ150" s="847">
        <v>0</v>
      </c>
      <c r="CR150" s="847">
        <v>0</v>
      </c>
      <c r="CS150" s="847">
        <v>0</v>
      </c>
      <c r="CT150" s="847">
        <v>0</v>
      </c>
      <c r="CU150" s="847">
        <v>0</v>
      </c>
      <c r="CV150" s="847">
        <v>0</v>
      </c>
      <c r="CW150" s="847">
        <v>0</v>
      </c>
      <c r="CX150" s="847">
        <v>0</v>
      </c>
      <c r="CY150" s="847">
        <v>0</v>
      </c>
      <c r="CZ150" s="847">
        <v>0</v>
      </c>
      <c r="DA150" s="847">
        <v>0</v>
      </c>
      <c r="DB150" s="847">
        <v>0</v>
      </c>
      <c r="DC150" s="847">
        <v>0</v>
      </c>
      <c r="DD150" s="847">
        <v>0</v>
      </c>
      <c r="DE150" s="847">
        <v>0</v>
      </c>
      <c r="DF150" s="847">
        <v>0</v>
      </c>
      <c r="DG150" s="847">
        <v>0</v>
      </c>
      <c r="DH150" s="847">
        <v>0</v>
      </c>
      <c r="DI150" s="847">
        <v>0</v>
      </c>
      <c r="DJ150" s="847">
        <v>0</v>
      </c>
      <c r="DK150" s="847">
        <v>0</v>
      </c>
      <c r="DL150" s="847">
        <v>0</v>
      </c>
      <c r="DM150" s="847">
        <v>0</v>
      </c>
      <c r="DN150" s="847">
        <v>0</v>
      </c>
      <c r="DO150" s="847">
        <v>0</v>
      </c>
      <c r="DP150" s="847">
        <v>0</v>
      </c>
      <c r="DQ150" s="847">
        <v>0</v>
      </c>
      <c r="DR150" s="847">
        <v>0</v>
      </c>
      <c r="DS150" s="847">
        <v>0</v>
      </c>
      <c r="DT150" s="847">
        <v>0</v>
      </c>
      <c r="DU150" s="847">
        <v>0</v>
      </c>
      <c r="DV150" s="847">
        <v>0</v>
      </c>
      <c r="DW150" s="847">
        <v>0</v>
      </c>
    </row>
    <row r="151" spans="1:244" ht="16.5" hidden="1">
      <c r="A151" s="846" t="s">
        <v>1060</v>
      </c>
      <c r="B151" s="846" t="s">
        <v>1382</v>
      </c>
      <c r="C151" s="846" t="s">
        <v>1171</v>
      </c>
      <c r="D151" s="847">
        <v>6</v>
      </c>
      <c r="E151" s="846" t="s">
        <v>1171</v>
      </c>
      <c r="F151" s="846" t="s">
        <v>97</v>
      </c>
      <c r="G151" s="851"/>
      <c r="H151" s="847">
        <v>72</v>
      </c>
      <c r="I151" s="780" t="str">
        <f t="shared" si="4"/>
        <v>IWT060272</v>
      </c>
      <c r="J151" s="847">
        <v>5120</v>
      </c>
      <c r="L151" s="846" t="s">
        <v>1060</v>
      </c>
      <c r="M151" s="846" t="s">
        <v>1382</v>
      </c>
      <c r="N151" s="846" t="s">
        <v>97</v>
      </c>
      <c r="O151" s="847">
        <v>72</v>
      </c>
      <c r="P151" s="780" t="str">
        <f t="shared" si="5"/>
        <v>IWT060272</v>
      </c>
      <c r="Q151" s="847">
        <v>974</v>
      </c>
      <c r="R151" s="847">
        <v>2845</v>
      </c>
      <c r="S151" s="847">
        <v>4675</v>
      </c>
      <c r="T151" s="847">
        <v>6466</v>
      </c>
      <c r="U151" s="847">
        <v>8219</v>
      </c>
      <c r="V151" s="847">
        <v>0</v>
      </c>
      <c r="W151" s="847">
        <v>0</v>
      </c>
      <c r="X151" s="847">
        <v>0</v>
      </c>
      <c r="Y151" s="847">
        <v>0</v>
      </c>
      <c r="Z151" s="847">
        <v>0</v>
      </c>
      <c r="AA151" s="847">
        <v>0</v>
      </c>
      <c r="AB151" s="847">
        <v>0</v>
      </c>
      <c r="AC151" s="847">
        <v>0</v>
      </c>
      <c r="AD151" s="847">
        <v>0</v>
      </c>
      <c r="AE151" s="847">
        <v>0</v>
      </c>
      <c r="AF151" s="847">
        <v>0</v>
      </c>
      <c r="AG151" s="847">
        <v>0</v>
      </c>
      <c r="AH151" s="847">
        <v>0</v>
      </c>
      <c r="AI151" s="847">
        <v>0</v>
      </c>
      <c r="AJ151" s="847">
        <v>0</v>
      </c>
      <c r="AK151" s="847">
        <v>0</v>
      </c>
      <c r="AL151" s="847">
        <v>0</v>
      </c>
      <c r="AM151" s="847">
        <v>0</v>
      </c>
      <c r="AN151" s="847">
        <v>0</v>
      </c>
      <c r="AO151" s="847">
        <v>0</v>
      </c>
      <c r="AP151" s="847">
        <v>0</v>
      </c>
      <c r="AQ151" s="847">
        <v>0</v>
      </c>
      <c r="AR151" s="847">
        <v>0</v>
      </c>
      <c r="AS151" s="847">
        <v>0</v>
      </c>
      <c r="AT151" s="847">
        <v>0</v>
      </c>
      <c r="AU151" s="847">
        <v>0</v>
      </c>
      <c r="AV151" s="847">
        <v>0</v>
      </c>
      <c r="AW151" s="847">
        <v>0</v>
      </c>
      <c r="AX151" s="847">
        <v>0</v>
      </c>
      <c r="AY151" s="847">
        <v>0</v>
      </c>
      <c r="AZ151" s="847">
        <v>0</v>
      </c>
      <c r="BA151" s="847">
        <v>0</v>
      </c>
      <c r="BB151" s="847">
        <v>0</v>
      </c>
      <c r="BC151" s="847">
        <v>0</v>
      </c>
      <c r="BD151" s="847">
        <v>0</v>
      </c>
      <c r="BE151" s="847">
        <v>0</v>
      </c>
      <c r="BF151" s="847">
        <v>0</v>
      </c>
      <c r="BG151" s="847">
        <v>0</v>
      </c>
      <c r="BH151" s="847">
        <v>0</v>
      </c>
      <c r="BI151" s="847">
        <v>0</v>
      </c>
      <c r="BJ151" s="847">
        <v>0</v>
      </c>
      <c r="BK151" s="847">
        <v>0</v>
      </c>
      <c r="BL151" s="847">
        <v>0</v>
      </c>
      <c r="BM151" s="847">
        <v>0</v>
      </c>
      <c r="BN151" s="847">
        <v>0</v>
      </c>
      <c r="BO151" s="847">
        <v>0</v>
      </c>
      <c r="BP151" s="847">
        <v>0</v>
      </c>
      <c r="BQ151" s="847">
        <v>0</v>
      </c>
      <c r="BR151" s="847">
        <v>0</v>
      </c>
      <c r="BS151" s="847">
        <v>0</v>
      </c>
      <c r="BT151" s="847">
        <v>0</v>
      </c>
      <c r="BU151" s="847">
        <v>0</v>
      </c>
      <c r="BV151" s="847">
        <v>0</v>
      </c>
      <c r="BW151" s="847">
        <v>0</v>
      </c>
      <c r="BX151" s="847">
        <v>0</v>
      </c>
      <c r="BY151" s="847">
        <v>0</v>
      </c>
      <c r="BZ151" s="847">
        <v>0</v>
      </c>
      <c r="CA151" s="847">
        <v>0</v>
      </c>
      <c r="CB151" s="847">
        <v>0</v>
      </c>
      <c r="CC151" s="847">
        <v>0</v>
      </c>
      <c r="CD151" s="847">
        <v>0</v>
      </c>
      <c r="CE151" s="847">
        <v>0</v>
      </c>
      <c r="CF151" s="847">
        <v>0</v>
      </c>
      <c r="CG151" s="847">
        <v>0</v>
      </c>
      <c r="CH151" s="847">
        <v>0</v>
      </c>
      <c r="CI151" s="847">
        <v>0</v>
      </c>
      <c r="CJ151" s="847">
        <v>0</v>
      </c>
      <c r="CK151" s="847">
        <v>0</v>
      </c>
      <c r="CL151" s="847">
        <v>0</v>
      </c>
      <c r="CM151" s="847">
        <v>0</v>
      </c>
      <c r="CN151" s="847">
        <v>0</v>
      </c>
      <c r="CO151" s="847">
        <v>0</v>
      </c>
      <c r="CP151" s="847">
        <v>0</v>
      </c>
      <c r="CQ151" s="847">
        <v>0</v>
      </c>
      <c r="CR151" s="847">
        <v>0</v>
      </c>
      <c r="CS151" s="847">
        <v>0</v>
      </c>
      <c r="CT151" s="847">
        <v>0</v>
      </c>
      <c r="CU151" s="847">
        <v>0</v>
      </c>
      <c r="CV151" s="847">
        <v>0</v>
      </c>
      <c r="CW151" s="847">
        <v>0</v>
      </c>
      <c r="CX151" s="847">
        <v>0</v>
      </c>
      <c r="CY151" s="847">
        <v>0</v>
      </c>
      <c r="CZ151" s="847">
        <v>0</v>
      </c>
      <c r="DA151" s="847">
        <v>0</v>
      </c>
      <c r="DB151" s="847">
        <v>0</v>
      </c>
      <c r="DC151" s="847">
        <v>0</v>
      </c>
      <c r="DD151" s="847">
        <v>0</v>
      </c>
      <c r="DE151" s="847">
        <v>0</v>
      </c>
      <c r="DF151" s="847">
        <v>0</v>
      </c>
      <c r="DG151" s="847">
        <v>0</v>
      </c>
      <c r="DH151" s="847">
        <v>0</v>
      </c>
      <c r="DI151" s="847">
        <v>0</v>
      </c>
      <c r="DJ151" s="847">
        <v>0</v>
      </c>
      <c r="DK151" s="847">
        <v>0</v>
      </c>
      <c r="DL151" s="847">
        <v>0</v>
      </c>
      <c r="DM151" s="847">
        <v>0</v>
      </c>
      <c r="DN151" s="847">
        <v>0</v>
      </c>
      <c r="DO151" s="847">
        <v>0</v>
      </c>
      <c r="DP151" s="847">
        <v>0</v>
      </c>
      <c r="DQ151" s="847">
        <v>0</v>
      </c>
      <c r="DR151" s="847">
        <v>0</v>
      </c>
      <c r="DS151" s="847">
        <v>0</v>
      </c>
      <c r="DT151" s="847">
        <v>0</v>
      </c>
      <c r="DU151" s="847">
        <v>0</v>
      </c>
      <c r="DV151" s="847">
        <v>0</v>
      </c>
      <c r="DW151" s="847">
        <v>0</v>
      </c>
    </row>
    <row r="152" spans="1:244" ht="16.5" hidden="1">
      <c r="A152" s="846" t="s">
        <v>1060</v>
      </c>
      <c r="B152" s="846" t="s">
        <v>1382</v>
      </c>
      <c r="C152" s="846" t="s">
        <v>1171</v>
      </c>
      <c r="D152" s="847">
        <v>6</v>
      </c>
      <c r="E152" s="846" t="s">
        <v>1171</v>
      </c>
      <c r="F152" s="846" t="s">
        <v>97</v>
      </c>
      <c r="G152" s="851"/>
      <c r="H152" s="847">
        <v>73</v>
      </c>
      <c r="I152" s="780" t="str">
        <f t="shared" si="4"/>
        <v>IWT060273</v>
      </c>
      <c r="J152" s="847">
        <v>5125</v>
      </c>
      <c r="L152" s="846" t="s">
        <v>1060</v>
      </c>
      <c r="M152" s="846" t="s">
        <v>1382</v>
      </c>
      <c r="N152" s="846" t="s">
        <v>97</v>
      </c>
      <c r="O152" s="847">
        <v>73</v>
      </c>
      <c r="P152" s="780" t="str">
        <f t="shared" si="5"/>
        <v>IWT060273</v>
      </c>
      <c r="Q152" s="847">
        <v>959</v>
      </c>
      <c r="R152" s="847">
        <v>2833</v>
      </c>
      <c r="S152" s="847">
        <v>4666</v>
      </c>
      <c r="T152" s="847">
        <v>6459</v>
      </c>
      <c r="U152" s="847">
        <v>8213</v>
      </c>
      <c r="V152" s="847">
        <v>0</v>
      </c>
      <c r="W152" s="847">
        <v>0</v>
      </c>
      <c r="X152" s="847">
        <v>0</v>
      </c>
      <c r="Y152" s="847">
        <v>0</v>
      </c>
      <c r="Z152" s="847">
        <v>0</v>
      </c>
      <c r="AA152" s="847">
        <v>0</v>
      </c>
      <c r="AB152" s="847">
        <v>0</v>
      </c>
      <c r="AC152" s="847">
        <v>0</v>
      </c>
      <c r="AD152" s="847">
        <v>0</v>
      </c>
      <c r="AE152" s="847">
        <v>0</v>
      </c>
      <c r="AF152" s="847">
        <v>0</v>
      </c>
      <c r="AG152" s="847">
        <v>0</v>
      </c>
      <c r="AH152" s="847">
        <v>0</v>
      </c>
      <c r="AI152" s="847">
        <v>0</v>
      </c>
      <c r="AJ152" s="847">
        <v>0</v>
      </c>
      <c r="AK152" s="847">
        <v>0</v>
      </c>
      <c r="AL152" s="847">
        <v>0</v>
      </c>
      <c r="AM152" s="847">
        <v>0</v>
      </c>
      <c r="AN152" s="847">
        <v>0</v>
      </c>
      <c r="AO152" s="847">
        <v>0</v>
      </c>
      <c r="AP152" s="847">
        <v>0</v>
      </c>
      <c r="AQ152" s="847">
        <v>0</v>
      </c>
      <c r="AR152" s="847">
        <v>0</v>
      </c>
      <c r="AS152" s="847">
        <v>0</v>
      </c>
      <c r="AT152" s="847">
        <v>0</v>
      </c>
      <c r="AU152" s="847">
        <v>0</v>
      </c>
      <c r="AV152" s="847">
        <v>0</v>
      </c>
      <c r="AW152" s="847">
        <v>0</v>
      </c>
      <c r="AX152" s="847">
        <v>0</v>
      </c>
      <c r="AY152" s="847">
        <v>0</v>
      </c>
      <c r="AZ152" s="847">
        <v>0</v>
      </c>
      <c r="BA152" s="847">
        <v>0</v>
      </c>
      <c r="BB152" s="847">
        <v>0</v>
      </c>
      <c r="BC152" s="847">
        <v>0</v>
      </c>
      <c r="BD152" s="847">
        <v>0</v>
      </c>
      <c r="BE152" s="847">
        <v>0</v>
      </c>
      <c r="BF152" s="847">
        <v>0</v>
      </c>
      <c r="BG152" s="847">
        <v>0</v>
      </c>
      <c r="BH152" s="847">
        <v>0</v>
      </c>
      <c r="BI152" s="847">
        <v>0</v>
      </c>
      <c r="BJ152" s="847">
        <v>0</v>
      </c>
      <c r="BK152" s="847">
        <v>0</v>
      </c>
      <c r="BL152" s="847">
        <v>0</v>
      </c>
      <c r="BM152" s="847">
        <v>0</v>
      </c>
      <c r="BN152" s="847">
        <v>0</v>
      </c>
      <c r="BO152" s="847">
        <v>0</v>
      </c>
      <c r="BP152" s="847">
        <v>0</v>
      </c>
      <c r="BQ152" s="847">
        <v>0</v>
      </c>
      <c r="BR152" s="847">
        <v>0</v>
      </c>
      <c r="BS152" s="847">
        <v>0</v>
      </c>
      <c r="BT152" s="847">
        <v>0</v>
      </c>
      <c r="BU152" s="847">
        <v>0</v>
      </c>
      <c r="BV152" s="847">
        <v>0</v>
      </c>
      <c r="BW152" s="847">
        <v>0</v>
      </c>
      <c r="BX152" s="847">
        <v>0</v>
      </c>
      <c r="BY152" s="847">
        <v>0</v>
      </c>
      <c r="BZ152" s="847">
        <v>0</v>
      </c>
      <c r="CA152" s="847">
        <v>0</v>
      </c>
      <c r="CB152" s="847">
        <v>0</v>
      </c>
      <c r="CC152" s="847">
        <v>0</v>
      </c>
      <c r="CD152" s="847">
        <v>0</v>
      </c>
      <c r="CE152" s="847">
        <v>0</v>
      </c>
      <c r="CF152" s="847">
        <v>0</v>
      </c>
      <c r="CG152" s="847">
        <v>0</v>
      </c>
      <c r="CH152" s="847">
        <v>0</v>
      </c>
      <c r="CI152" s="847">
        <v>0</v>
      </c>
      <c r="CJ152" s="847">
        <v>0</v>
      </c>
      <c r="CK152" s="847">
        <v>0</v>
      </c>
      <c r="CL152" s="847">
        <v>0</v>
      </c>
      <c r="CM152" s="847">
        <v>0</v>
      </c>
      <c r="CN152" s="847">
        <v>0</v>
      </c>
      <c r="CO152" s="847">
        <v>0</v>
      </c>
      <c r="CP152" s="847">
        <v>0</v>
      </c>
      <c r="CQ152" s="847">
        <v>0</v>
      </c>
      <c r="CR152" s="847">
        <v>0</v>
      </c>
      <c r="CS152" s="847">
        <v>0</v>
      </c>
      <c r="CT152" s="847">
        <v>0</v>
      </c>
      <c r="CU152" s="847">
        <v>0</v>
      </c>
      <c r="CV152" s="847">
        <v>0</v>
      </c>
      <c r="CW152" s="847">
        <v>0</v>
      </c>
      <c r="CX152" s="847">
        <v>0</v>
      </c>
      <c r="CY152" s="847">
        <v>0</v>
      </c>
      <c r="CZ152" s="847">
        <v>0</v>
      </c>
      <c r="DA152" s="847">
        <v>0</v>
      </c>
      <c r="DB152" s="847">
        <v>0</v>
      </c>
      <c r="DC152" s="847">
        <v>0</v>
      </c>
      <c r="DD152" s="847">
        <v>0</v>
      </c>
      <c r="DE152" s="847">
        <v>0</v>
      </c>
      <c r="DF152" s="847">
        <v>0</v>
      </c>
      <c r="DG152" s="847">
        <v>0</v>
      </c>
      <c r="DH152" s="847">
        <v>0</v>
      </c>
      <c r="DI152" s="847">
        <v>0</v>
      </c>
      <c r="DJ152" s="847">
        <v>0</v>
      </c>
      <c r="DK152" s="847">
        <v>0</v>
      </c>
      <c r="DL152" s="847">
        <v>0</v>
      </c>
      <c r="DM152" s="847">
        <v>0</v>
      </c>
      <c r="DN152" s="847">
        <v>0</v>
      </c>
      <c r="DO152" s="847">
        <v>0</v>
      </c>
      <c r="DP152" s="847">
        <v>0</v>
      </c>
      <c r="DQ152" s="847">
        <v>0</v>
      </c>
      <c r="DR152" s="847">
        <v>0</v>
      </c>
      <c r="DS152" s="847">
        <v>0</v>
      </c>
      <c r="DT152" s="847">
        <v>0</v>
      </c>
      <c r="DU152" s="847">
        <v>0</v>
      </c>
      <c r="DV152" s="847">
        <v>0</v>
      </c>
      <c r="DW152" s="847">
        <v>0</v>
      </c>
    </row>
    <row r="153" spans="1:244" ht="16.5" hidden="1">
      <c r="A153" s="846" t="s">
        <v>1060</v>
      </c>
      <c r="B153" s="846" t="s">
        <v>1382</v>
      </c>
      <c r="C153" s="846" t="s">
        <v>1171</v>
      </c>
      <c r="D153" s="847">
        <v>6</v>
      </c>
      <c r="E153" s="846" t="s">
        <v>1171</v>
      </c>
      <c r="F153" s="846" t="s">
        <v>97</v>
      </c>
      <c r="G153" s="851"/>
      <c r="H153" s="847">
        <v>74</v>
      </c>
      <c r="I153" s="780" t="str">
        <f t="shared" si="4"/>
        <v>IWT060274</v>
      </c>
      <c r="J153" s="847">
        <v>5130</v>
      </c>
      <c r="L153" s="846" t="s">
        <v>1060</v>
      </c>
      <c r="M153" s="846" t="s">
        <v>1382</v>
      </c>
      <c r="N153" s="846" t="s">
        <v>97</v>
      </c>
      <c r="O153" s="847">
        <v>74</v>
      </c>
      <c r="P153" s="780" t="str">
        <f t="shared" si="5"/>
        <v>IWT060274</v>
      </c>
      <c r="Q153" s="847">
        <v>942</v>
      </c>
      <c r="R153" s="847">
        <v>2820</v>
      </c>
      <c r="S153" s="847">
        <v>4656</v>
      </c>
      <c r="T153" s="847">
        <v>6450</v>
      </c>
      <c r="U153" s="847">
        <v>8206</v>
      </c>
      <c r="V153" s="847">
        <v>0</v>
      </c>
      <c r="W153" s="847">
        <v>0</v>
      </c>
      <c r="X153" s="847">
        <v>0</v>
      </c>
      <c r="Y153" s="847">
        <v>0</v>
      </c>
      <c r="Z153" s="847">
        <v>0</v>
      </c>
      <c r="AA153" s="847">
        <v>0</v>
      </c>
      <c r="AB153" s="847">
        <v>0</v>
      </c>
      <c r="AC153" s="847">
        <v>0</v>
      </c>
      <c r="AD153" s="847">
        <v>0</v>
      </c>
      <c r="AE153" s="847">
        <v>0</v>
      </c>
      <c r="AF153" s="847">
        <v>0</v>
      </c>
      <c r="AG153" s="847">
        <v>0</v>
      </c>
      <c r="AH153" s="847">
        <v>0</v>
      </c>
      <c r="AI153" s="847">
        <v>0</v>
      </c>
      <c r="AJ153" s="847">
        <v>0</v>
      </c>
      <c r="AK153" s="847">
        <v>0</v>
      </c>
      <c r="AL153" s="847">
        <v>0</v>
      </c>
      <c r="AM153" s="847">
        <v>0</v>
      </c>
      <c r="AN153" s="847">
        <v>0</v>
      </c>
      <c r="AO153" s="847">
        <v>0</v>
      </c>
      <c r="AP153" s="847">
        <v>0</v>
      </c>
      <c r="AQ153" s="847">
        <v>0</v>
      </c>
      <c r="AR153" s="847">
        <v>0</v>
      </c>
      <c r="AS153" s="847">
        <v>0</v>
      </c>
      <c r="AT153" s="847">
        <v>0</v>
      </c>
      <c r="AU153" s="847">
        <v>0</v>
      </c>
      <c r="AV153" s="847">
        <v>0</v>
      </c>
      <c r="AW153" s="847">
        <v>0</v>
      </c>
      <c r="AX153" s="847">
        <v>0</v>
      </c>
      <c r="AY153" s="847">
        <v>0</v>
      </c>
      <c r="AZ153" s="847">
        <v>0</v>
      </c>
      <c r="BA153" s="847">
        <v>0</v>
      </c>
      <c r="BB153" s="847">
        <v>0</v>
      </c>
      <c r="BC153" s="847">
        <v>0</v>
      </c>
      <c r="BD153" s="847">
        <v>0</v>
      </c>
      <c r="BE153" s="847">
        <v>0</v>
      </c>
      <c r="BF153" s="847">
        <v>0</v>
      </c>
      <c r="BG153" s="847">
        <v>0</v>
      </c>
      <c r="BH153" s="847">
        <v>0</v>
      </c>
      <c r="BI153" s="847">
        <v>0</v>
      </c>
      <c r="BJ153" s="847">
        <v>0</v>
      </c>
      <c r="BK153" s="847">
        <v>0</v>
      </c>
      <c r="BL153" s="847">
        <v>0</v>
      </c>
      <c r="BM153" s="847">
        <v>0</v>
      </c>
      <c r="BN153" s="847">
        <v>0</v>
      </c>
      <c r="BO153" s="847">
        <v>0</v>
      </c>
      <c r="BP153" s="847">
        <v>0</v>
      </c>
      <c r="BQ153" s="847">
        <v>0</v>
      </c>
      <c r="BR153" s="847">
        <v>0</v>
      </c>
      <c r="BS153" s="847">
        <v>0</v>
      </c>
      <c r="BT153" s="847">
        <v>0</v>
      </c>
      <c r="BU153" s="847">
        <v>0</v>
      </c>
      <c r="BV153" s="847">
        <v>0</v>
      </c>
      <c r="BW153" s="847">
        <v>0</v>
      </c>
      <c r="BX153" s="847">
        <v>0</v>
      </c>
      <c r="BY153" s="847">
        <v>0</v>
      </c>
      <c r="BZ153" s="847">
        <v>0</v>
      </c>
      <c r="CA153" s="847">
        <v>0</v>
      </c>
      <c r="CB153" s="847">
        <v>0</v>
      </c>
      <c r="CC153" s="847">
        <v>0</v>
      </c>
      <c r="CD153" s="847">
        <v>0</v>
      </c>
      <c r="CE153" s="847">
        <v>0</v>
      </c>
      <c r="CF153" s="847">
        <v>0</v>
      </c>
      <c r="CG153" s="847">
        <v>0</v>
      </c>
      <c r="CH153" s="847">
        <v>0</v>
      </c>
      <c r="CI153" s="847">
        <v>0</v>
      </c>
      <c r="CJ153" s="847">
        <v>0</v>
      </c>
      <c r="CK153" s="847">
        <v>0</v>
      </c>
      <c r="CL153" s="847">
        <v>0</v>
      </c>
      <c r="CM153" s="847">
        <v>0</v>
      </c>
      <c r="CN153" s="847">
        <v>0</v>
      </c>
      <c r="CO153" s="847">
        <v>0</v>
      </c>
      <c r="CP153" s="847">
        <v>0</v>
      </c>
      <c r="CQ153" s="847">
        <v>0</v>
      </c>
      <c r="CR153" s="847">
        <v>0</v>
      </c>
      <c r="CS153" s="847">
        <v>0</v>
      </c>
      <c r="CT153" s="847">
        <v>0</v>
      </c>
      <c r="CU153" s="847">
        <v>0</v>
      </c>
      <c r="CV153" s="847">
        <v>0</v>
      </c>
      <c r="CW153" s="847">
        <v>0</v>
      </c>
      <c r="CX153" s="847">
        <v>0</v>
      </c>
      <c r="CY153" s="847">
        <v>0</v>
      </c>
      <c r="CZ153" s="847">
        <v>0</v>
      </c>
      <c r="DA153" s="847">
        <v>0</v>
      </c>
      <c r="DB153" s="847">
        <v>0</v>
      </c>
      <c r="DC153" s="847">
        <v>0</v>
      </c>
      <c r="DD153" s="847">
        <v>0</v>
      </c>
      <c r="DE153" s="847">
        <v>0</v>
      </c>
      <c r="DF153" s="847">
        <v>0</v>
      </c>
      <c r="DG153" s="847">
        <v>0</v>
      </c>
      <c r="DH153" s="847">
        <v>0</v>
      </c>
      <c r="DI153" s="847">
        <v>0</v>
      </c>
      <c r="DJ153" s="847">
        <v>0</v>
      </c>
      <c r="DK153" s="847">
        <v>0</v>
      </c>
      <c r="DL153" s="847">
        <v>0</v>
      </c>
      <c r="DM153" s="847">
        <v>0</v>
      </c>
      <c r="DN153" s="847">
        <v>0</v>
      </c>
      <c r="DO153" s="847">
        <v>0</v>
      </c>
      <c r="DP153" s="847">
        <v>0</v>
      </c>
      <c r="DQ153" s="847">
        <v>0</v>
      </c>
      <c r="DR153" s="847">
        <v>0</v>
      </c>
      <c r="DS153" s="847">
        <v>0</v>
      </c>
      <c r="DT153" s="847">
        <v>0</v>
      </c>
      <c r="DU153" s="847">
        <v>0</v>
      </c>
      <c r="DV153" s="847">
        <v>0</v>
      </c>
      <c r="DW153" s="847">
        <v>0</v>
      </c>
    </row>
    <row r="154" spans="1:244" ht="16.5" hidden="1">
      <c r="A154" s="846" t="s">
        <v>1060</v>
      </c>
      <c r="B154" s="846" t="s">
        <v>1382</v>
      </c>
      <c r="C154" s="846" t="s">
        <v>1171</v>
      </c>
      <c r="D154" s="847">
        <v>6</v>
      </c>
      <c r="E154" s="846" t="s">
        <v>1171</v>
      </c>
      <c r="F154" s="846" t="s">
        <v>97</v>
      </c>
      <c r="G154" s="851"/>
      <c r="H154" s="847">
        <v>75</v>
      </c>
      <c r="I154" s="780" t="str">
        <f t="shared" si="4"/>
        <v>IWT060275</v>
      </c>
      <c r="J154" s="847">
        <v>5135</v>
      </c>
      <c r="L154" s="846" t="s">
        <v>1060</v>
      </c>
      <c r="M154" s="846" t="s">
        <v>1382</v>
      </c>
      <c r="N154" s="846" t="s">
        <v>97</v>
      </c>
      <c r="O154" s="847">
        <v>75</v>
      </c>
      <c r="P154" s="780" t="str">
        <f t="shared" si="5"/>
        <v>IWT060275</v>
      </c>
      <c r="Q154" s="847">
        <v>924</v>
      </c>
      <c r="R154" s="847">
        <v>2805</v>
      </c>
      <c r="S154" s="847">
        <v>4644</v>
      </c>
      <c r="T154" s="847">
        <v>6442</v>
      </c>
      <c r="U154" s="847">
        <v>8199</v>
      </c>
      <c r="V154" s="847">
        <v>0</v>
      </c>
      <c r="W154" s="847">
        <v>0</v>
      </c>
      <c r="X154" s="847">
        <v>0</v>
      </c>
      <c r="Y154" s="847">
        <v>0</v>
      </c>
      <c r="Z154" s="847">
        <v>0</v>
      </c>
      <c r="AA154" s="847">
        <v>0</v>
      </c>
      <c r="AB154" s="847">
        <v>0</v>
      </c>
      <c r="AC154" s="847">
        <v>0</v>
      </c>
      <c r="AD154" s="847">
        <v>0</v>
      </c>
      <c r="AE154" s="847">
        <v>0</v>
      </c>
      <c r="AF154" s="847">
        <v>0</v>
      </c>
      <c r="AG154" s="847">
        <v>0</v>
      </c>
      <c r="AH154" s="847">
        <v>0</v>
      </c>
      <c r="AI154" s="847">
        <v>0</v>
      </c>
      <c r="AJ154" s="847">
        <v>0</v>
      </c>
      <c r="AK154" s="847">
        <v>0</v>
      </c>
      <c r="AL154" s="847">
        <v>0</v>
      </c>
      <c r="AM154" s="847">
        <v>0</v>
      </c>
      <c r="AN154" s="847">
        <v>0</v>
      </c>
      <c r="AO154" s="847">
        <v>0</v>
      </c>
      <c r="AP154" s="847">
        <v>0</v>
      </c>
      <c r="AQ154" s="847">
        <v>0</v>
      </c>
      <c r="AR154" s="847">
        <v>0</v>
      </c>
      <c r="AS154" s="847">
        <v>0</v>
      </c>
      <c r="AT154" s="847">
        <v>0</v>
      </c>
      <c r="AU154" s="847">
        <v>0</v>
      </c>
      <c r="AV154" s="847">
        <v>0</v>
      </c>
      <c r="AW154" s="847">
        <v>0</v>
      </c>
      <c r="AX154" s="847">
        <v>0</v>
      </c>
      <c r="AY154" s="847">
        <v>0</v>
      </c>
      <c r="AZ154" s="847">
        <v>0</v>
      </c>
      <c r="BA154" s="847">
        <v>0</v>
      </c>
      <c r="BB154" s="847">
        <v>0</v>
      </c>
      <c r="BC154" s="847">
        <v>0</v>
      </c>
      <c r="BD154" s="847">
        <v>0</v>
      </c>
      <c r="BE154" s="847">
        <v>0</v>
      </c>
      <c r="BF154" s="847">
        <v>0</v>
      </c>
      <c r="BG154" s="847">
        <v>0</v>
      </c>
      <c r="BH154" s="847">
        <v>0</v>
      </c>
      <c r="BI154" s="847">
        <v>0</v>
      </c>
      <c r="BJ154" s="847">
        <v>0</v>
      </c>
      <c r="BK154" s="847">
        <v>0</v>
      </c>
      <c r="BL154" s="847">
        <v>0</v>
      </c>
      <c r="BM154" s="847">
        <v>0</v>
      </c>
      <c r="BN154" s="847">
        <v>0</v>
      </c>
      <c r="BO154" s="847">
        <v>0</v>
      </c>
      <c r="BP154" s="847">
        <v>0</v>
      </c>
      <c r="BQ154" s="847">
        <v>0</v>
      </c>
      <c r="BR154" s="847">
        <v>0</v>
      </c>
      <c r="BS154" s="847">
        <v>0</v>
      </c>
      <c r="BT154" s="847">
        <v>0</v>
      </c>
      <c r="BU154" s="847">
        <v>0</v>
      </c>
      <c r="BV154" s="847">
        <v>0</v>
      </c>
      <c r="BW154" s="847">
        <v>0</v>
      </c>
      <c r="BX154" s="847">
        <v>0</v>
      </c>
      <c r="BY154" s="847">
        <v>0</v>
      </c>
      <c r="BZ154" s="847">
        <v>0</v>
      </c>
      <c r="CA154" s="847">
        <v>0</v>
      </c>
      <c r="CB154" s="847">
        <v>0</v>
      </c>
      <c r="CC154" s="847">
        <v>0</v>
      </c>
      <c r="CD154" s="847">
        <v>0</v>
      </c>
      <c r="CE154" s="847">
        <v>0</v>
      </c>
      <c r="CF154" s="847">
        <v>0</v>
      </c>
      <c r="CG154" s="847">
        <v>0</v>
      </c>
      <c r="CH154" s="847">
        <v>0</v>
      </c>
      <c r="CI154" s="847">
        <v>0</v>
      </c>
      <c r="CJ154" s="847">
        <v>0</v>
      </c>
      <c r="CK154" s="847">
        <v>0</v>
      </c>
      <c r="CL154" s="847">
        <v>0</v>
      </c>
      <c r="CM154" s="847">
        <v>0</v>
      </c>
      <c r="CN154" s="847">
        <v>0</v>
      </c>
      <c r="CO154" s="847">
        <v>0</v>
      </c>
      <c r="CP154" s="847">
        <v>0</v>
      </c>
      <c r="CQ154" s="847">
        <v>0</v>
      </c>
      <c r="CR154" s="847">
        <v>0</v>
      </c>
      <c r="CS154" s="847">
        <v>0</v>
      </c>
      <c r="CT154" s="847">
        <v>0</v>
      </c>
      <c r="CU154" s="847">
        <v>0</v>
      </c>
      <c r="CV154" s="847">
        <v>0</v>
      </c>
      <c r="CW154" s="847">
        <v>0</v>
      </c>
      <c r="CX154" s="847">
        <v>0</v>
      </c>
      <c r="CY154" s="847">
        <v>0</v>
      </c>
      <c r="CZ154" s="847">
        <v>0</v>
      </c>
      <c r="DA154" s="847">
        <v>0</v>
      </c>
      <c r="DB154" s="847">
        <v>0</v>
      </c>
      <c r="DC154" s="847">
        <v>0</v>
      </c>
      <c r="DD154" s="847">
        <v>0</v>
      </c>
      <c r="DE154" s="847">
        <v>0</v>
      </c>
      <c r="DF154" s="847">
        <v>0</v>
      </c>
      <c r="DG154" s="847">
        <v>0</v>
      </c>
      <c r="DH154" s="847">
        <v>0</v>
      </c>
      <c r="DI154" s="847">
        <v>0</v>
      </c>
      <c r="DJ154" s="847">
        <v>0</v>
      </c>
      <c r="DK154" s="847">
        <v>0</v>
      </c>
      <c r="DL154" s="847">
        <v>0</v>
      </c>
      <c r="DM154" s="847">
        <v>0</v>
      </c>
      <c r="DN154" s="847">
        <v>0</v>
      </c>
      <c r="DO154" s="847">
        <v>0</v>
      </c>
      <c r="DP154" s="847">
        <v>0</v>
      </c>
      <c r="DQ154" s="847">
        <v>0</v>
      </c>
      <c r="DR154" s="847">
        <v>0</v>
      </c>
      <c r="DS154" s="847">
        <v>0</v>
      </c>
      <c r="DT154" s="847">
        <v>0</v>
      </c>
      <c r="DU154" s="847">
        <v>0</v>
      </c>
      <c r="DV154" s="847">
        <v>0</v>
      </c>
      <c r="DW154" s="847">
        <v>0</v>
      </c>
    </row>
    <row r="155" spans="1:244" hidden="1">
      <c r="A155" s="429"/>
      <c r="B155" s="429"/>
      <c r="C155" s="429"/>
      <c r="D155" s="429"/>
      <c r="E155" s="429"/>
      <c r="F155" s="429"/>
      <c r="G155" s="429"/>
      <c r="H155" s="430"/>
      <c r="I155" s="414"/>
      <c r="J155" s="430"/>
      <c r="L155" s="429"/>
      <c r="M155" s="429"/>
      <c r="N155" s="429"/>
      <c r="O155" s="430"/>
      <c r="P155" s="431"/>
      <c r="Q155" s="430"/>
      <c r="R155" s="430"/>
      <c r="S155" s="430"/>
      <c r="T155" s="430"/>
      <c r="U155" s="430"/>
      <c r="V155" s="430"/>
      <c r="W155" s="430"/>
      <c r="X155" s="430"/>
      <c r="Y155" s="430"/>
      <c r="Z155" s="430"/>
      <c r="AA155" s="430"/>
      <c r="AB155" s="430"/>
      <c r="AC155" s="430"/>
      <c r="AD155" s="430"/>
      <c r="AE155" s="430"/>
      <c r="AF155" s="430"/>
      <c r="AG155" s="430"/>
      <c r="AH155" s="430"/>
      <c r="AI155" s="430"/>
      <c r="AJ155" s="430"/>
      <c r="AK155" s="430"/>
      <c r="AL155" s="430"/>
      <c r="AM155" s="430"/>
      <c r="AN155" s="430"/>
      <c r="AO155" s="430"/>
      <c r="AP155" s="430"/>
      <c r="AQ155" s="430"/>
      <c r="AR155" s="430"/>
      <c r="AS155" s="430"/>
      <c r="AT155" s="430"/>
      <c r="AU155" s="430"/>
      <c r="AV155" s="430"/>
      <c r="AW155" s="430"/>
      <c r="AX155" s="430"/>
      <c r="AY155" s="430"/>
      <c r="AZ155" s="430"/>
      <c r="BA155" s="430"/>
      <c r="BB155" s="430"/>
      <c r="BC155" s="430"/>
      <c r="BD155" s="430"/>
      <c r="BE155" s="430"/>
      <c r="BF155" s="430"/>
      <c r="BG155" s="430"/>
      <c r="BH155" s="430"/>
      <c r="BI155" s="430"/>
      <c r="BJ155" s="430"/>
      <c r="BK155" s="430"/>
      <c r="BL155" s="430"/>
      <c r="BM155" s="430"/>
      <c r="BN155" s="430"/>
      <c r="BO155" s="430"/>
      <c r="BP155" s="430"/>
      <c r="BQ155" s="430"/>
      <c r="BR155" s="430"/>
      <c r="BS155" s="430"/>
      <c r="BT155" s="430"/>
      <c r="BU155" s="430"/>
      <c r="BV155" s="430"/>
      <c r="BW155" s="430"/>
      <c r="BX155" s="430"/>
      <c r="BY155" s="430"/>
      <c r="BZ155" s="430"/>
      <c r="CA155" s="430"/>
      <c r="CB155" s="430"/>
      <c r="CC155" s="430"/>
      <c r="CD155" s="430"/>
      <c r="CE155" s="430"/>
      <c r="CF155" s="430"/>
      <c r="CG155" s="430"/>
      <c r="CH155" s="430"/>
      <c r="CI155" s="430"/>
      <c r="CJ155" s="430"/>
      <c r="CK155" s="430"/>
      <c r="CL155" s="430"/>
      <c r="CM155" s="430"/>
      <c r="CN155" s="430"/>
      <c r="CO155" s="430"/>
      <c r="CP155" s="430"/>
      <c r="CQ155" s="430"/>
      <c r="CR155" s="430"/>
      <c r="CS155" s="430"/>
      <c r="CT155" s="430"/>
      <c r="CU155" s="430"/>
      <c r="CV155" s="430"/>
      <c r="CW155" s="430"/>
      <c r="CX155" s="430"/>
      <c r="CY155" s="430"/>
      <c r="CZ155" s="430"/>
      <c r="DA155" s="430"/>
      <c r="DB155" s="430"/>
      <c r="DC155" s="430"/>
      <c r="DD155" s="430"/>
      <c r="DE155" s="430"/>
      <c r="DF155" s="430"/>
      <c r="DG155" s="430"/>
      <c r="DH155" s="430"/>
      <c r="DI155" s="430"/>
      <c r="DJ155" s="430"/>
      <c r="DK155" s="430"/>
      <c r="DL155" s="430"/>
      <c r="DM155" s="430"/>
      <c r="DN155" s="430"/>
      <c r="DO155" s="430"/>
      <c r="DP155" s="430"/>
      <c r="DQ155" s="430"/>
      <c r="DR155" s="430"/>
      <c r="DS155" s="430"/>
      <c r="DT155" s="430"/>
      <c r="DU155" s="430"/>
      <c r="DV155" s="430"/>
      <c r="DW155" s="430"/>
    </row>
    <row r="156" spans="1:244" hidden="1">
      <c r="A156" s="429"/>
      <c r="B156" s="429"/>
      <c r="C156" s="429"/>
      <c r="D156" s="429"/>
      <c r="E156" s="429"/>
      <c r="F156" s="429"/>
      <c r="G156" s="429"/>
      <c r="H156" s="430"/>
      <c r="I156" s="414"/>
      <c r="J156" s="430"/>
      <c r="L156" s="429"/>
      <c r="M156" s="429"/>
      <c r="N156" s="429"/>
      <c r="O156" s="430"/>
      <c r="P156" s="431"/>
      <c r="Q156" s="430"/>
      <c r="R156" s="430"/>
      <c r="S156" s="430"/>
      <c r="T156" s="430"/>
      <c r="U156" s="430"/>
      <c r="V156" s="430"/>
      <c r="W156" s="430"/>
      <c r="X156" s="430"/>
      <c r="Y156" s="430"/>
      <c r="Z156" s="430"/>
      <c r="AA156" s="430"/>
      <c r="AB156" s="430"/>
      <c r="AC156" s="430"/>
      <c r="AD156" s="430"/>
      <c r="AE156" s="430"/>
      <c r="AF156" s="430"/>
      <c r="AG156" s="430"/>
      <c r="AH156" s="430"/>
      <c r="AI156" s="430"/>
      <c r="AJ156" s="430"/>
      <c r="AK156" s="430"/>
      <c r="AL156" s="430"/>
      <c r="AM156" s="430"/>
      <c r="AN156" s="430"/>
      <c r="AO156" s="430"/>
      <c r="AP156" s="430"/>
      <c r="AQ156" s="430"/>
      <c r="AR156" s="430"/>
      <c r="AS156" s="430"/>
      <c r="AT156" s="430"/>
      <c r="AU156" s="430"/>
      <c r="AV156" s="430"/>
      <c r="AW156" s="430"/>
      <c r="AX156" s="430"/>
      <c r="AY156" s="430"/>
      <c r="AZ156" s="430"/>
      <c r="BA156" s="430"/>
      <c r="BB156" s="430"/>
      <c r="BC156" s="430"/>
      <c r="BD156" s="430"/>
      <c r="BE156" s="430"/>
      <c r="BF156" s="430"/>
      <c r="BG156" s="430"/>
      <c r="BH156" s="430"/>
      <c r="BI156" s="430"/>
      <c r="BJ156" s="430"/>
      <c r="BK156" s="430"/>
      <c r="BL156" s="430"/>
      <c r="BM156" s="430"/>
      <c r="BN156" s="430"/>
      <c r="BO156" s="430"/>
      <c r="BP156" s="430"/>
      <c r="BQ156" s="430"/>
      <c r="BR156" s="430"/>
      <c r="BS156" s="430"/>
      <c r="BT156" s="430"/>
      <c r="BU156" s="430"/>
      <c r="BV156" s="430"/>
      <c r="BW156" s="430"/>
      <c r="BX156" s="430"/>
      <c r="BY156" s="430"/>
      <c r="BZ156" s="430"/>
      <c r="CA156" s="430"/>
      <c r="CB156" s="430"/>
      <c r="CC156" s="430"/>
      <c r="CD156" s="430"/>
      <c r="CE156" s="430"/>
      <c r="CF156" s="430"/>
      <c r="CG156" s="430"/>
      <c r="CH156" s="430"/>
      <c r="CI156" s="430"/>
      <c r="CJ156" s="430"/>
      <c r="CK156" s="430"/>
      <c r="CL156" s="430"/>
      <c r="CM156" s="430"/>
      <c r="CN156" s="430"/>
      <c r="CO156" s="430"/>
      <c r="CP156" s="430"/>
      <c r="CQ156" s="430"/>
      <c r="CR156" s="430"/>
      <c r="CS156" s="430"/>
      <c r="CT156" s="430"/>
      <c r="CU156" s="430"/>
      <c r="CV156" s="430"/>
      <c r="CW156" s="430"/>
      <c r="CX156" s="430"/>
      <c r="CY156" s="430"/>
      <c r="CZ156" s="430"/>
      <c r="DA156" s="430"/>
      <c r="DB156" s="430"/>
      <c r="DC156" s="430"/>
      <c r="DD156" s="430"/>
      <c r="DE156" s="430"/>
      <c r="DF156" s="430"/>
      <c r="DG156" s="430"/>
      <c r="DH156" s="430"/>
      <c r="DI156" s="430"/>
      <c r="DJ156" s="430"/>
      <c r="DK156" s="430"/>
      <c r="DL156" s="430"/>
      <c r="DM156" s="430"/>
      <c r="DN156" s="430"/>
      <c r="DO156" s="430"/>
      <c r="DP156" s="430"/>
      <c r="DQ156" s="430"/>
      <c r="DR156" s="430"/>
      <c r="DS156" s="430"/>
      <c r="DT156" s="430"/>
      <c r="DU156" s="430"/>
      <c r="DV156" s="430"/>
      <c r="DW156" s="430"/>
    </row>
    <row r="157" spans="1:244" s="781" customFormat="1" hidden="1">
      <c r="I157" s="780"/>
      <c r="L157" s="781" t="s">
        <v>342</v>
      </c>
      <c r="P157" s="780" t="str">
        <f t="shared" ref="P157:P220" si="6">M157&amp;TEXT(N157,"00")&amp;TEXT(O157,"00")</f>
        <v>0000</v>
      </c>
      <c r="DY157" s="781" t="s">
        <v>343</v>
      </c>
      <c r="EC157" s="780" t="str">
        <f>DZ157&amp;TEXT(EA157,"00")&amp;TEXT(EB157,"00")</f>
        <v>0000</v>
      </c>
    </row>
    <row r="158" spans="1:244" ht="24" hidden="1">
      <c r="I158" s="156"/>
      <c r="L158" s="845" t="s">
        <v>91</v>
      </c>
      <c r="M158" s="845" t="s">
        <v>92</v>
      </c>
      <c r="N158" s="845" t="s">
        <v>93</v>
      </c>
      <c r="O158" s="845" t="s">
        <v>94</v>
      </c>
      <c r="P158" s="780" t="str">
        <f t="shared" si="6"/>
        <v>商品代號性別年齡</v>
      </c>
      <c r="Q158" s="845" t="s">
        <v>1172</v>
      </c>
      <c r="R158" s="845" t="s">
        <v>1173</v>
      </c>
      <c r="S158" s="845" t="s">
        <v>1174</v>
      </c>
      <c r="T158" s="845" t="s">
        <v>1175</v>
      </c>
      <c r="U158" s="845" t="s">
        <v>1176</v>
      </c>
      <c r="V158" s="845" t="s">
        <v>1177</v>
      </c>
      <c r="W158" s="845" t="s">
        <v>1178</v>
      </c>
      <c r="X158" s="845" t="s">
        <v>1179</v>
      </c>
      <c r="Y158" s="845" t="s">
        <v>1180</v>
      </c>
      <c r="Z158" s="845" t="s">
        <v>1181</v>
      </c>
      <c r="AA158" s="845" t="s">
        <v>1182</v>
      </c>
      <c r="AB158" s="845" t="s">
        <v>1183</v>
      </c>
      <c r="AC158" s="845" t="s">
        <v>1184</v>
      </c>
      <c r="AD158" s="845" t="s">
        <v>1185</v>
      </c>
      <c r="AE158" s="845" t="s">
        <v>1186</v>
      </c>
      <c r="AF158" s="845" t="s">
        <v>1187</v>
      </c>
      <c r="AG158" s="845" t="s">
        <v>1188</v>
      </c>
      <c r="AH158" s="845" t="s">
        <v>1189</v>
      </c>
      <c r="AI158" s="845" t="s">
        <v>1190</v>
      </c>
      <c r="AJ158" s="845" t="s">
        <v>1191</v>
      </c>
      <c r="AK158" s="845" t="s">
        <v>1192</v>
      </c>
      <c r="AL158" s="845" t="s">
        <v>1193</v>
      </c>
      <c r="AM158" s="845" t="s">
        <v>1194</v>
      </c>
      <c r="AN158" s="845" t="s">
        <v>1195</v>
      </c>
      <c r="AO158" s="845" t="s">
        <v>1196</v>
      </c>
      <c r="AP158" s="845" t="s">
        <v>1197</v>
      </c>
      <c r="AQ158" s="845" t="s">
        <v>1198</v>
      </c>
      <c r="AR158" s="845" t="s">
        <v>1199</v>
      </c>
      <c r="AS158" s="845" t="s">
        <v>1200</v>
      </c>
      <c r="AT158" s="845" t="s">
        <v>1201</v>
      </c>
      <c r="AU158" s="845" t="s">
        <v>1202</v>
      </c>
      <c r="AV158" s="845" t="s">
        <v>1203</v>
      </c>
      <c r="AW158" s="845" t="s">
        <v>1204</v>
      </c>
      <c r="AX158" s="845" t="s">
        <v>1205</v>
      </c>
      <c r="AY158" s="845" t="s">
        <v>1206</v>
      </c>
      <c r="AZ158" s="845" t="s">
        <v>1207</v>
      </c>
      <c r="BA158" s="845" t="s">
        <v>1208</v>
      </c>
      <c r="BB158" s="845" t="s">
        <v>1209</v>
      </c>
      <c r="BC158" s="845" t="s">
        <v>1210</v>
      </c>
      <c r="BD158" s="845" t="s">
        <v>1211</v>
      </c>
      <c r="BE158" s="845" t="s">
        <v>1212</v>
      </c>
      <c r="BF158" s="845" t="s">
        <v>1213</v>
      </c>
      <c r="BG158" s="845" t="s">
        <v>1214</v>
      </c>
      <c r="BH158" s="845" t="s">
        <v>1215</v>
      </c>
      <c r="BI158" s="845" t="s">
        <v>1216</v>
      </c>
      <c r="BJ158" s="845" t="s">
        <v>1217</v>
      </c>
      <c r="BK158" s="845" t="s">
        <v>1218</v>
      </c>
      <c r="BL158" s="845" t="s">
        <v>1219</v>
      </c>
      <c r="BM158" s="845" t="s">
        <v>1220</v>
      </c>
      <c r="BN158" s="845" t="s">
        <v>1221</v>
      </c>
      <c r="BO158" s="845" t="s">
        <v>1222</v>
      </c>
      <c r="BP158" s="845" t="s">
        <v>1223</v>
      </c>
      <c r="BQ158" s="845" t="s">
        <v>1224</v>
      </c>
      <c r="BR158" s="845" t="s">
        <v>1225</v>
      </c>
      <c r="BS158" s="845" t="s">
        <v>1226</v>
      </c>
      <c r="BT158" s="845" t="s">
        <v>1227</v>
      </c>
      <c r="BU158" s="845" t="s">
        <v>1228</v>
      </c>
      <c r="BV158" s="845" t="s">
        <v>1229</v>
      </c>
      <c r="BW158" s="845" t="s">
        <v>1230</v>
      </c>
      <c r="BX158" s="845" t="s">
        <v>1231</v>
      </c>
      <c r="BY158" s="845" t="s">
        <v>1232</v>
      </c>
      <c r="BZ158" s="845" t="s">
        <v>1233</v>
      </c>
      <c r="CA158" s="845" t="s">
        <v>1234</v>
      </c>
      <c r="CB158" s="845" t="s">
        <v>1235</v>
      </c>
      <c r="CC158" s="845" t="s">
        <v>1236</v>
      </c>
      <c r="CD158" s="845" t="s">
        <v>1237</v>
      </c>
      <c r="CE158" s="845" t="s">
        <v>1238</v>
      </c>
      <c r="CF158" s="845" t="s">
        <v>1239</v>
      </c>
      <c r="CG158" s="845" t="s">
        <v>1240</v>
      </c>
      <c r="CH158" s="845" t="s">
        <v>1241</v>
      </c>
      <c r="CI158" s="845" t="s">
        <v>1242</v>
      </c>
      <c r="CJ158" s="845" t="s">
        <v>1243</v>
      </c>
      <c r="CK158" s="845" t="s">
        <v>1244</v>
      </c>
      <c r="CL158" s="845" t="s">
        <v>1245</v>
      </c>
      <c r="CM158" s="845" t="s">
        <v>1246</v>
      </c>
      <c r="CN158" s="845" t="s">
        <v>1247</v>
      </c>
      <c r="CO158" s="845" t="s">
        <v>1248</v>
      </c>
      <c r="CP158" s="845" t="s">
        <v>1249</v>
      </c>
      <c r="CQ158" s="845" t="s">
        <v>1250</v>
      </c>
      <c r="CR158" s="845" t="s">
        <v>1251</v>
      </c>
      <c r="CS158" s="845" t="s">
        <v>1252</v>
      </c>
      <c r="CT158" s="845" t="s">
        <v>1253</v>
      </c>
      <c r="CU158" s="845" t="s">
        <v>1254</v>
      </c>
      <c r="CV158" s="845" t="s">
        <v>1255</v>
      </c>
      <c r="CW158" s="845" t="s">
        <v>1256</v>
      </c>
      <c r="CX158" s="845" t="s">
        <v>1257</v>
      </c>
      <c r="CY158" s="845" t="s">
        <v>1258</v>
      </c>
      <c r="CZ158" s="845" t="s">
        <v>1259</v>
      </c>
      <c r="DA158" s="845" t="s">
        <v>1260</v>
      </c>
      <c r="DB158" s="845" t="s">
        <v>1261</v>
      </c>
      <c r="DC158" s="845" t="s">
        <v>1262</v>
      </c>
      <c r="DD158" s="845" t="s">
        <v>1263</v>
      </c>
      <c r="DE158" s="845" t="s">
        <v>1264</v>
      </c>
      <c r="DF158" s="845" t="s">
        <v>1265</v>
      </c>
      <c r="DG158" s="845" t="s">
        <v>1266</v>
      </c>
      <c r="DH158" s="845" t="s">
        <v>1267</v>
      </c>
      <c r="DI158" s="845" t="s">
        <v>1268</v>
      </c>
      <c r="DJ158" s="845" t="s">
        <v>1269</v>
      </c>
      <c r="DK158" s="845" t="s">
        <v>1270</v>
      </c>
      <c r="DL158" s="845" t="s">
        <v>1271</v>
      </c>
      <c r="DM158" s="845" t="s">
        <v>1272</v>
      </c>
      <c r="DN158" s="845" t="s">
        <v>1273</v>
      </c>
      <c r="DO158" s="845" t="s">
        <v>1274</v>
      </c>
      <c r="DP158" s="845" t="s">
        <v>1275</v>
      </c>
      <c r="DQ158" s="845" t="s">
        <v>1276</v>
      </c>
      <c r="DR158" s="845" t="s">
        <v>1277</v>
      </c>
      <c r="DS158" s="845" t="s">
        <v>1278</v>
      </c>
      <c r="DT158" s="845" t="s">
        <v>1279</v>
      </c>
      <c r="DU158" s="845" t="s">
        <v>1280</v>
      </c>
      <c r="DV158" s="845" t="s">
        <v>1281</v>
      </c>
      <c r="DW158" s="845" t="s">
        <v>1282</v>
      </c>
      <c r="DY158" s="842" t="s">
        <v>91</v>
      </c>
      <c r="DZ158" s="842" t="s">
        <v>92</v>
      </c>
      <c r="EA158" s="842" t="s">
        <v>93</v>
      </c>
      <c r="EB158" s="842" t="s">
        <v>94</v>
      </c>
      <c r="EC158" s="780" t="str">
        <f t="shared" ref="EC158:EC221" si="7">DZ158&amp;TEXT(EA158,"00")&amp;TEXT(EB158,"00")</f>
        <v>商品代號性別年齡</v>
      </c>
      <c r="ED158" s="842" t="s">
        <v>98</v>
      </c>
      <c r="EE158" s="842" t="s">
        <v>99</v>
      </c>
      <c r="EF158" s="842" t="s">
        <v>100</v>
      </c>
      <c r="EG158" s="842" t="s">
        <v>101</v>
      </c>
      <c r="EH158" s="842" t="s">
        <v>102</v>
      </c>
      <c r="EI158" s="842" t="s">
        <v>103</v>
      </c>
      <c r="EJ158" s="842" t="s">
        <v>104</v>
      </c>
      <c r="EK158" s="842" t="s">
        <v>105</v>
      </c>
      <c r="EL158" s="842" t="s">
        <v>106</v>
      </c>
      <c r="EM158" s="842" t="s">
        <v>107</v>
      </c>
      <c r="EN158" s="842" t="s">
        <v>108</v>
      </c>
      <c r="EO158" s="842" t="s">
        <v>109</v>
      </c>
      <c r="EP158" s="842" t="s">
        <v>110</v>
      </c>
      <c r="EQ158" s="842" t="s">
        <v>111</v>
      </c>
      <c r="ER158" s="842" t="s">
        <v>112</v>
      </c>
      <c r="ES158" s="842" t="s">
        <v>113</v>
      </c>
      <c r="ET158" s="842" t="s">
        <v>114</v>
      </c>
      <c r="EU158" s="842" t="s">
        <v>115</v>
      </c>
      <c r="EV158" s="842" t="s">
        <v>116</v>
      </c>
      <c r="EW158" s="842" t="s">
        <v>117</v>
      </c>
      <c r="EX158" s="842" t="s">
        <v>118</v>
      </c>
      <c r="EY158" s="842" t="s">
        <v>119</v>
      </c>
      <c r="EZ158" s="842" t="s">
        <v>120</v>
      </c>
      <c r="FA158" s="842" t="s">
        <v>121</v>
      </c>
      <c r="FB158" s="842" t="s">
        <v>122</v>
      </c>
      <c r="FC158" s="842" t="s">
        <v>123</v>
      </c>
      <c r="FD158" s="842" t="s">
        <v>124</v>
      </c>
      <c r="FE158" s="842" t="s">
        <v>125</v>
      </c>
      <c r="FF158" s="842" t="s">
        <v>126</v>
      </c>
      <c r="FG158" s="842" t="s">
        <v>127</v>
      </c>
      <c r="FH158" s="842" t="s">
        <v>128</v>
      </c>
      <c r="FI158" s="842" t="s">
        <v>129</v>
      </c>
      <c r="FJ158" s="842" t="s">
        <v>130</v>
      </c>
      <c r="FK158" s="842" t="s">
        <v>131</v>
      </c>
      <c r="FL158" s="842" t="s">
        <v>132</v>
      </c>
      <c r="FM158" s="842" t="s">
        <v>133</v>
      </c>
      <c r="FN158" s="842" t="s">
        <v>134</v>
      </c>
      <c r="FO158" s="842" t="s">
        <v>135</v>
      </c>
      <c r="FP158" s="842" t="s">
        <v>136</v>
      </c>
      <c r="FQ158" s="842" t="s">
        <v>137</v>
      </c>
      <c r="FR158" s="842" t="s">
        <v>138</v>
      </c>
      <c r="FS158" s="842" t="s">
        <v>139</v>
      </c>
      <c r="FT158" s="842" t="s">
        <v>140</v>
      </c>
      <c r="FU158" s="842" t="s">
        <v>141</v>
      </c>
      <c r="FV158" s="842" t="s">
        <v>142</v>
      </c>
      <c r="FW158" s="842" t="s">
        <v>143</v>
      </c>
      <c r="FX158" s="842" t="s">
        <v>144</v>
      </c>
      <c r="FY158" s="842" t="s">
        <v>145</v>
      </c>
      <c r="FZ158" s="842" t="s">
        <v>146</v>
      </c>
      <c r="GA158" s="842" t="s">
        <v>147</v>
      </c>
      <c r="GB158" s="842" t="s">
        <v>148</v>
      </c>
      <c r="GC158" s="842" t="s">
        <v>149</v>
      </c>
      <c r="GD158" s="842" t="s">
        <v>150</v>
      </c>
      <c r="GE158" s="842" t="s">
        <v>151</v>
      </c>
      <c r="GF158" s="842" t="s">
        <v>152</v>
      </c>
      <c r="GG158" s="842" t="s">
        <v>153</v>
      </c>
      <c r="GH158" s="842" t="s">
        <v>154</v>
      </c>
      <c r="GI158" s="842" t="s">
        <v>155</v>
      </c>
      <c r="GJ158" s="842" t="s">
        <v>156</v>
      </c>
      <c r="GK158" s="842" t="s">
        <v>157</v>
      </c>
      <c r="GL158" s="842" t="s">
        <v>158</v>
      </c>
      <c r="GM158" s="842" t="s">
        <v>159</v>
      </c>
      <c r="GN158" s="842" t="s">
        <v>160</v>
      </c>
      <c r="GO158" s="842" t="s">
        <v>161</v>
      </c>
      <c r="GP158" s="842" t="s">
        <v>162</v>
      </c>
      <c r="GQ158" s="842" t="s">
        <v>163</v>
      </c>
      <c r="GR158" s="842" t="s">
        <v>164</v>
      </c>
      <c r="GS158" s="842" t="s">
        <v>165</v>
      </c>
      <c r="GT158" s="842" t="s">
        <v>166</v>
      </c>
      <c r="GU158" s="842" t="s">
        <v>167</v>
      </c>
      <c r="GV158" s="842" t="s">
        <v>168</v>
      </c>
      <c r="GW158" s="842" t="s">
        <v>169</v>
      </c>
      <c r="GX158" s="842" t="s">
        <v>170</v>
      </c>
      <c r="GY158" s="842" t="s">
        <v>171</v>
      </c>
      <c r="GZ158" s="842" t="s">
        <v>172</v>
      </c>
      <c r="HA158" s="842" t="s">
        <v>173</v>
      </c>
      <c r="HB158" s="842" t="s">
        <v>174</v>
      </c>
      <c r="HC158" s="842" t="s">
        <v>175</v>
      </c>
      <c r="HD158" s="842" t="s">
        <v>176</v>
      </c>
      <c r="HE158" s="842" t="s">
        <v>177</v>
      </c>
      <c r="HF158" s="842" t="s">
        <v>178</v>
      </c>
      <c r="HG158" s="842" t="s">
        <v>179</v>
      </c>
      <c r="HH158" s="842" t="s">
        <v>180</v>
      </c>
      <c r="HI158" s="842" t="s">
        <v>181</v>
      </c>
      <c r="HJ158" s="842" t="s">
        <v>182</v>
      </c>
      <c r="HK158" s="842" t="s">
        <v>183</v>
      </c>
      <c r="HL158" s="842" t="s">
        <v>184</v>
      </c>
      <c r="HM158" s="842" t="s">
        <v>185</v>
      </c>
      <c r="HN158" s="842" t="s">
        <v>186</v>
      </c>
      <c r="HO158" s="842" t="s">
        <v>187</v>
      </c>
      <c r="HP158" s="842" t="s">
        <v>188</v>
      </c>
      <c r="HQ158" s="842" t="s">
        <v>189</v>
      </c>
      <c r="HR158" s="842" t="s">
        <v>190</v>
      </c>
      <c r="HS158" s="842" t="s">
        <v>191</v>
      </c>
      <c r="HT158" s="842" t="s">
        <v>192</v>
      </c>
      <c r="HU158" s="842" t="s">
        <v>193</v>
      </c>
      <c r="HV158" s="842" t="s">
        <v>194</v>
      </c>
      <c r="HW158" s="842" t="s">
        <v>195</v>
      </c>
      <c r="HX158" s="842" t="s">
        <v>196</v>
      </c>
      <c r="HY158" s="842" t="s">
        <v>197</v>
      </c>
      <c r="HZ158" s="842" t="s">
        <v>198</v>
      </c>
      <c r="IA158" s="842" t="s">
        <v>199</v>
      </c>
      <c r="IB158" s="842" t="s">
        <v>200</v>
      </c>
      <c r="IC158" s="842" t="s">
        <v>201</v>
      </c>
      <c r="ID158" s="842" t="s">
        <v>202</v>
      </c>
      <c r="IE158" s="842" t="s">
        <v>203</v>
      </c>
      <c r="IF158" s="842" t="s">
        <v>204</v>
      </c>
      <c r="IG158" s="842" t="s">
        <v>205</v>
      </c>
      <c r="IH158" s="842" t="s">
        <v>206</v>
      </c>
      <c r="II158" s="842" t="s">
        <v>207</v>
      </c>
      <c r="IJ158" s="842" t="s">
        <v>208</v>
      </c>
    </row>
    <row r="159" spans="1:244" hidden="1">
      <c r="I159" s="156"/>
      <c r="L159" s="846" t="s">
        <v>1060</v>
      </c>
      <c r="M159" s="846" t="s">
        <v>1382</v>
      </c>
      <c r="N159" s="846" t="s">
        <v>96</v>
      </c>
      <c r="O159" s="847">
        <v>0</v>
      </c>
      <c r="P159" s="780" t="str">
        <f t="shared" si="6"/>
        <v>IWT060100</v>
      </c>
      <c r="Q159" s="847">
        <v>0</v>
      </c>
      <c r="R159" s="847">
        <v>0</v>
      </c>
      <c r="S159" s="847">
        <v>0</v>
      </c>
      <c r="T159" s="847">
        <v>0</v>
      </c>
      <c r="U159" s="847">
        <v>0</v>
      </c>
      <c r="V159" s="847">
        <v>0</v>
      </c>
      <c r="W159" s="847">
        <v>0</v>
      </c>
      <c r="X159" s="847">
        <v>0</v>
      </c>
      <c r="Y159" s="847">
        <v>0</v>
      </c>
      <c r="Z159" s="847">
        <v>0</v>
      </c>
      <c r="AA159" s="847">
        <v>0</v>
      </c>
      <c r="AB159" s="847">
        <v>0</v>
      </c>
      <c r="AC159" s="847">
        <v>0</v>
      </c>
      <c r="AD159" s="847">
        <v>0</v>
      </c>
      <c r="AE159" s="847">
        <v>0</v>
      </c>
      <c r="AF159" s="847">
        <v>0</v>
      </c>
      <c r="AG159" s="847">
        <v>0</v>
      </c>
      <c r="AH159" s="847">
        <v>0</v>
      </c>
      <c r="AI159" s="847">
        <v>0</v>
      </c>
      <c r="AJ159" s="847">
        <v>0</v>
      </c>
      <c r="AK159" s="847">
        <v>0</v>
      </c>
      <c r="AL159" s="847">
        <v>0</v>
      </c>
      <c r="AM159" s="847">
        <v>0</v>
      </c>
      <c r="AN159" s="847">
        <v>0</v>
      </c>
      <c r="AO159" s="847">
        <v>0</v>
      </c>
      <c r="AP159" s="847">
        <v>0</v>
      </c>
      <c r="AQ159" s="847">
        <v>0</v>
      </c>
      <c r="AR159" s="847">
        <v>0</v>
      </c>
      <c r="AS159" s="847">
        <v>0</v>
      </c>
      <c r="AT159" s="847">
        <v>0</v>
      </c>
      <c r="AU159" s="847">
        <v>0</v>
      </c>
      <c r="AV159" s="847">
        <v>0</v>
      </c>
      <c r="AW159" s="847">
        <v>0</v>
      </c>
      <c r="AX159" s="847">
        <v>0</v>
      </c>
      <c r="AY159" s="847">
        <v>0</v>
      </c>
      <c r="AZ159" s="847">
        <v>0</v>
      </c>
      <c r="BA159" s="847">
        <v>0</v>
      </c>
      <c r="BB159" s="847">
        <v>0</v>
      </c>
      <c r="BC159" s="847">
        <v>0</v>
      </c>
      <c r="BD159" s="847">
        <v>0</v>
      </c>
      <c r="BE159" s="847">
        <v>0</v>
      </c>
      <c r="BF159" s="847">
        <v>0</v>
      </c>
      <c r="BG159" s="847">
        <v>0</v>
      </c>
      <c r="BH159" s="847">
        <v>0</v>
      </c>
      <c r="BI159" s="847">
        <v>0</v>
      </c>
      <c r="BJ159" s="847">
        <v>0</v>
      </c>
      <c r="BK159" s="847">
        <v>0</v>
      </c>
      <c r="BL159" s="847">
        <v>0</v>
      </c>
      <c r="BM159" s="847">
        <v>0</v>
      </c>
      <c r="BN159" s="847">
        <v>0</v>
      </c>
      <c r="BO159" s="847">
        <v>0</v>
      </c>
      <c r="BP159" s="847">
        <v>0</v>
      </c>
      <c r="BQ159" s="847">
        <v>0</v>
      </c>
      <c r="BR159" s="847">
        <v>0</v>
      </c>
      <c r="BS159" s="847">
        <v>0</v>
      </c>
      <c r="BT159" s="847">
        <v>0</v>
      </c>
      <c r="BU159" s="847">
        <v>0</v>
      </c>
      <c r="BV159" s="847">
        <v>0</v>
      </c>
      <c r="BW159" s="847">
        <v>0</v>
      </c>
      <c r="BX159" s="847">
        <v>0</v>
      </c>
      <c r="BY159" s="847">
        <v>0</v>
      </c>
      <c r="BZ159" s="847">
        <v>0</v>
      </c>
      <c r="CA159" s="847">
        <v>0</v>
      </c>
      <c r="CB159" s="847">
        <v>0</v>
      </c>
      <c r="CC159" s="847">
        <v>0</v>
      </c>
      <c r="CD159" s="847">
        <v>0</v>
      </c>
      <c r="CE159" s="847">
        <v>0</v>
      </c>
      <c r="CF159" s="847">
        <v>0</v>
      </c>
      <c r="CG159" s="847">
        <v>0</v>
      </c>
      <c r="CH159" s="847">
        <v>0</v>
      </c>
      <c r="CI159" s="847">
        <v>0</v>
      </c>
      <c r="CJ159" s="847">
        <v>0</v>
      </c>
      <c r="CK159" s="847">
        <v>0</v>
      </c>
      <c r="CL159" s="847">
        <v>0</v>
      </c>
      <c r="CM159" s="847">
        <v>0</v>
      </c>
      <c r="CN159" s="847">
        <v>0</v>
      </c>
      <c r="CO159" s="847">
        <v>0</v>
      </c>
      <c r="CP159" s="847">
        <v>0</v>
      </c>
      <c r="CQ159" s="847">
        <v>0</v>
      </c>
      <c r="CR159" s="847">
        <v>0</v>
      </c>
      <c r="CS159" s="847">
        <v>0</v>
      </c>
      <c r="CT159" s="847">
        <v>0</v>
      </c>
      <c r="CU159" s="847">
        <v>0</v>
      </c>
      <c r="CV159" s="847">
        <v>0</v>
      </c>
      <c r="CW159" s="847">
        <v>0</v>
      </c>
      <c r="CX159" s="847">
        <v>0</v>
      </c>
      <c r="CY159" s="847">
        <v>0</v>
      </c>
      <c r="CZ159" s="847">
        <v>0</v>
      </c>
      <c r="DA159" s="847">
        <v>0</v>
      </c>
      <c r="DB159" s="847">
        <v>0</v>
      </c>
      <c r="DC159" s="847">
        <v>0</v>
      </c>
      <c r="DD159" s="847">
        <v>0</v>
      </c>
      <c r="DE159" s="847">
        <v>0</v>
      </c>
      <c r="DF159" s="847">
        <v>0</v>
      </c>
      <c r="DG159" s="847">
        <v>0</v>
      </c>
      <c r="DH159" s="847">
        <v>0</v>
      </c>
      <c r="DI159" s="847">
        <v>0</v>
      </c>
      <c r="DJ159" s="847">
        <v>0</v>
      </c>
      <c r="DK159" s="847">
        <v>0</v>
      </c>
      <c r="DL159" s="847">
        <v>0</v>
      </c>
      <c r="DM159" s="847">
        <v>0</v>
      </c>
      <c r="DN159" s="847">
        <v>0</v>
      </c>
      <c r="DO159" s="847">
        <v>0</v>
      </c>
      <c r="DP159" s="847">
        <v>0</v>
      </c>
      <c r="DQ159" s="847">
        <v>0</v>
      </c>
      <c r="DR159" s="847">
        <v>0</v>
      </c>
      <c r="DS159" s="847">
        <v>0</v>
      </c>
      <c r="DT159" s="847">
        <v>0</v>
      </c>
      <c r="DU159" s="847">
        <v>0</v>
      </c>
      <c r="DV159" s="847">
        <v>0</v>
      </c>
      <c r="DW159" s="847">
        <v>157000</v>
      </c>
      <c r="DY159" s="843" t="s">
        <v>1060</v>
      </c>
      <c r="DZ159" s="843" t="s">
        <v>1382</v>
      </c>
      <c r="EA159" s="843" t="s">
        <v>96</v>
      </c>
      <c r="EB159" s="844">
        <v>0</v>
      </c>
      <c r="EC159" s="780" t="str">
        <f t="shared" si="7"/>
        <v>IWT060100</v>
      </c>
      <c r="ED159" s="844">
        <v>4420</v>
      </c>
      <c r="EE159" s="844">
        <v>8840</v>
      </c>
      <c r="EF159" s="844">
        <v>13260</v>
      </c>
      <c r="EG159" s="844">
        <v>17680</v>
      </c>
      <c r="EH159" s="844">
        <v>22100</v>
      </c>
      <c r="EI159" s="844">
        <v>26520</v>
      </c>
      <c r="EJ159" s="844">
        <v>26520</v>
      </c>
      <c r="EK159" s="844">
        <v>26520</v>
      </c>
      <c r="EL159" s="844">
        <v>26520</v>
      </c>
      <c r="EM159" s="844">
        <v>26520</v>
      </c>
      <c r="EN159" s="844">
        <v>26520</v>
      </c>
      <c r="EO159" s="844">
        <v>26520</v>
      </c>
      <c r="EP159" s="844">
        <v>26520</v>
      </c>
      <c r="EQ159" s="844">
        <v>26520</v>
      </c>
      <c r="ER159" s="844">
        <v>26520</v>
      </c>
      <c r="ES159" s="844">
        <v>26520</v>
      </c>
      <c r="ET159" s="844">
        <v>32855</v>
      </c>
      <c r="EU159" s="844">
        <v>33512</v>
      </c>
      <c r="EV159" s="844">
        <v>34182</v>
      </c>
      <c r="EW159" s="844">
        <v>34866</v>
      </c>
      <c r="EX159" s="844">
        <v>35563</v>
      </c>
      <c r="EY159" s="844">
        <v>36274</v>
      </c>
      <c r="EZ159" s="844">
        <v>37000</v>
      </c>
      <c r="FA159" s="844">
        <v>37740</v>
      </c>
      <c r="FB159" s="844">
        <v>38494</v>
      </c>
      <c r="FC159" s="844">
        <v>39264</v>
      </c>
      <c r="FD159" s="844">
        <v>40050</v>
      </c>
      <c r="FE159" s="844">
        <v>40850</v>
      </c>
      <c r="FF159" s="844">
        <v>42200</v>
      </c>
      <c r="FG159" s="844">
        <v>43600</v>
      </c>
      <c r="FH159" s="844">
        <v>45000</v>
      </c>
      <c r="FI159" s="844">
        <v>46400</v>
      </c>
      <c r="FJ159" s="844">
        <v>47800</v>
      </c>
      <c r="FK159" s="844">
        <v>49200</v>
      </c>
      <c r="FL159" s="844">
        <v>50600</v>
      </c>
      <c r="FM159" s="844">
        <v>52000</v>
      </c>
      <c r="FN159" s="844">
        <v>53400</v>
      </c>
      <c r="FO159" s="844">
        <v>54800</v>
      </c>
      <c r="FP159" s="844">
        <v>56200</v>
      </c>
      <c r="FQ159" s="844">
        <v>57600</v>
      </c>
      <c r="FR159" s="844">
        <v>59000</v>
      </c>
      <c r="FS159" s="844">
        <v>60400</v>
      </c>
      <c r="FT159" s="844">
        <v>61800</v>
      </c>
      <c r="FU159" s="844">
        <v>63200</v>
      </c>
      <c r="FV159" s="844">
        <v>64600</v>
      </c>
      <c r="FW159" s="844">
        <v>66000</v>
      </c>
      <c r="FX159" s="844">
        <v>67400</v>
      </c>
      <c r="FY159" s="844">
        <v>68800</v>
      </c>
      <c r="FZ159" s="844">
        <v>70200</v>
      </c>
      <c r="GA159" s="844">
        <v>71600</v>
      </c>
      <c r="GB159" s="844">
        <v>73000</v>
      </c>
      <c r="GC159" s="844">
        <v>74400</v>
      </c>
      <c r="GD159" s="844">
        <v>75800</v>
      </c>
      <c r="GE159" s="844">
        <v>77200</v>
      </c>
      <c r="GF159" s="844">
        <v>78600</v>
      </c>
      <c r="GG159" s="844">
        <v>80000</v>
      </c>
      <c r="GH159" s="844">
        <v>81400</v>
      </c>
      <c r="GI159" s="844">
        <v>82800</v>
      </c>
      <c r="GJ159" s="844">
        <v>84200</v>
      </c>
      <c r="GK159" s="844">
        <v>85600</v>
      </c>
      <c r="GL159" s="844">
        <v>87000</v>
      </c>
      <c r="GM159" s="844">
        <v>88400</v>
      </c>
      <c r="GN159" s="844">
        <v>89800</v>
      </c>
      <c r="GO159" s="844">
        <v>91200</v>
      </c>
      <c r="GP159" s="844">
        <v>92600</v>
      </c>
      <c r="GQ159" s="844">
        <v>94000</v>
      </c>
      <c r="GR159" s="844">
        <v>95400</v>
      </c>
      <c r="GS159" s="844">
        <v>96800</v>
      </c>
      <c r="GT159" s="844">
        <v>98200</v>
      </c>
      <c r="GU159" s="844">
        <v>99600</v>
      </c>
      <c r="GV159" s="844">
        <v>101000</v>
      </c>
      <c r="GW159" s="844">
        <v>102400</v>
      </c>
      <c r="GX159" s="844">
        <v>103800</v>
      </c>
      <c r="GY159" s="844">
        <v>105200</v>
      </c>
      <c r="GZ159" s="844">
        <v>106600</v>
      </c>
      <c r="HA159" s="844">
        <v>108000</v>
      </c>
      <c r="HB159" s="844">
        <v>109400</v>
      </c>
      <c r="HC159" s="844">
        <v>110800</v>
      </c>
      <c r="HD159" s="844">
        <v>112200</v>
      </c>
      <c r="HE159" s="844">
        <v>113600</v>
      </c>
      <c r="HF159" s="844">
        <v>115000</v>
      </c>
      <c r="HG159" s="844">
        <v>116400</v>
      </c>
      <c r="HH159" s="844">
        <v>117800</v>
      </c>
      <c r="HI159" s="844">
        <v>119200</v>
      </c>
      <c r="HJ159" s="844">
        <v>120600</v>
      </c>
      <c r="HK159" s="844">
        <v>122000</v>
      </c>
      <c r="HL159" s="844">
        <v>123400</v>
      </c>
      <c r="HM159" s="844">
        <v>124800</v>
      </c>
      <c r="HN159" s="844">
        <v>126200</v>
      </c>
      <c r="HO159" s="844">
        <v>127600</v>
      </c>
      <c r="HP159" s="844">
        <v>129000</v>
      </c>
      <c r="HQ159" s="844">
        <v>130400</v>
      </c>
      <c r="HR159" s="844">
        <v>131800</v>
      </c>
      <c r="HS159" s="844">
        <v>133200</v>
      </c>
      <c r="HT159" s="844">
        <v>134600</v>
      </c>
      <c r="HU159" s="844">
        <v>136000</v>
      </c>
      <c r="HV159" s="844">
        <v>137400</v>
      </c>
      <c r="HW159" s="844">
        <v>138800</v>
      </c>
      <c r="HX159" s="844">
        <v>140200</v>
      </c>
      <c r="HY159" s="844">
        <v>141600</v>
      </c>
      <c r="HZ159" s="844">
        <v>143000</v>
      </c>
      <c r="IA159" s="844">
        <v>144400</v>
      </c>
      <c r="IB159" s="844">
        <v>145800</v>
      </c>
      <c r="IC159" s="844">
        <v>147200</v>
      </c>
      <c r="ID159" s="844">
        <v>148600</v>
      </c>
      <c r="IE159" s="844">
        <v>150000</v>
      </c>
      <c r="IF159" s="844">
        <v>151400</v>
      </c>
      <c r="IG159" s="844">
        <v>152800</v>
      </c>
      <c r="IH159" s="844">
        <v>154200</v>
      </c>
      <c r="II159" s="844">
        <v>155600</v>
      </c>
      <c r="IJ159" s="844">
        <v>157000</v>
      </c>
    </row>
    <row r="160" spans="1:244" hidden="1">
      <c r="I160" s="156"/>
      <c r="L160" s="846" t="s">
        <v>1060</v>
      </c>
      <c r="M160" s="846" t="s">
        <v>1382</v>
      </c>
      <c r="N160" s="846" t="s">
        <v>96</v>
      </c>
      <c r="O160" s="847">
        <v>1</v>
      </c>
      <c r="P160" s="780" t="str">
        <f t="shared" si="6"/>
        <v>IWT060101</v>
      </c>
      <c r="Q160" s="847">
        <v>0</v>
      </c>
      <c r="R160" s="847">
        <v>0</v>
      </c>
      <c r="S160" s="847">
        <v>0</v>
      </c>
      <c r="T160" s="847">
        <v>0</v>
      </c>
      <c r="U160" s="847">
        <v>0</v>
      </c>
      <c r="V160" s="847">
        <v>0</v>
      </c>
      <c r="W160" s="847">
        <v>0</v>
      </c>
      <c r="X160" s="847">
        <v>0</v>
      </c>
      <c r="Y160" s="847">
        <v>0</v>
      </c>
      <c r="Z160" s="847">
        <v>0</v>
      </c>
      <c r="AA160" s="847">
        <v>0</v>
      </c>
      <c r="AB160" s="847">
        <v>0</v>
      </c>
      <c r="AC160" s="847">
        <v>0</v>
      </c>
      <c r="AD160" s="847">
        <v>0</v>
      </c>
      <c r="AE160" s="847">
        <v>0</v>
      </c>
      <c r="AF160" s="847">
        <v>0</v>
      </c>
      <c r="AG160" s="847">
        <v>0</v>
      </c>
      <c r="AH160" s="847">
        <v>0</v>
      </c>
      <c r="AI160" s="847">
        <v>0</v>
      </c>
      <c r="AJ160" s="847">
        <v>0</v>
      </c>
      <c r="AK160" s="847">
        <v>0</v>
      </c>
      <c r="AL160" s="847">
        <v>0</v>
      </c>
      <c r="AM160" s="847">
        <v>0</v>
      </c>
      <c r="AN160" s="847">
        <v>0</v>
      </c>
      <c r="AO160" s="847">
        <v>0</v>
      </c>
      <c r="AP160" s="847">
        <v>0</v>
      </c>
      <c r="AQ160" s="847">
        <v>0</v>
      </c>
      <c r="AR160" s="847">
        <v>0</v>
      </c>
      <c r="AS160" s="847">
        <v>0</v>
      </c>
      <c r="AT160" s="847">
        <v>0</v>
      </c>
      <c r="AU160" s="847">
        <v>0</v>
      </c>
      <c r="AV160" s="847">
        <v>0</v>
      </c>
      <c r="AW160" s="847">
        <v>0</v>
      </c>
      <c r="AX160" s="847">
        <v>0</v>
      </c>
      <c r="AY160" s="847">
        <v>0</v>
      </c>
      <c r="AZ160" s="847">
        <v>0</v>
      </c>
      <c r="BA160" s="847">
        <v>0</v>
      </c>
      <c r="BB160" s="847">
        <v>0</v>
      </c>
      <c r="BC160" s="847">
        <v>0</v>
      </c>
      <c r="BD160" s="847">
        <v>0</v>
      </c>
      <c r="BE160" s="847">
        <v>0</v>
      </c>
      <c r="BF160" s="847">
        <v>0</v>
      </c>
      <c r="BG160" s="847">
        <v>0</v>
      </c>
      <c r="BH160" s="847">
        <v>0</v>
      </c>
      <c r="BI160" s="847">
        <v>0</v>
      </c>
      <c r="BJ160" s="847">
        <v>0</v>
      </c>
      <c r="BK160" s="847">
        <v>0</v>
      </c>
      <c r="BL160" s="847">
        <v>0</v>
      </c>
      <c r="BM160" s="847">
        <v>0</v>
      </c>
      <c r="BN160" s="847">
        <v>0</v>
      </c>
      <c r="BO160" s="847">
        <v>0</v>
      </c>
      <c r="BP160" s="847">
        <v>0</v>
      </c>
      <c r="BQ160" s="847">
        <v>0</v>
      </c>
      <c r="BR160" s="847">
        <v>0</v>
      </c>
      <c r="BS160" s="847">
        <v>0</v>
      </c>
      <c r="BT160" s="847">
        <v>0</v>
      </c>
      <c r="BU160" s="847">
        <v>0</v>
      </c>
      <c r="BV160" s="847">
        <v>0</v>
      </c>
      <c r="BW160" s="847">
        <v>0</v>
      </c>
      <c r="BX160" s="847">
        <v>0</v>
      </c>
      <c r="BY160" s="847">
        <v>0</v>
      </c>
      <c r="BZ160" s="847">
        <v>0</v>
      </c>
      <c r="CA160" s="847">
        <v>0</v>
      </c>
      <c r="CB160" s="847">
        <v>0</v>
      </c>
      <c r="CC160" s="847">
        <v>0</v>
      </c>
      <c r="CD160" s="847">
        <v>0</v>
      </c>
      <c r="CE160" s="847">
        <v>0</v>
      </c>
      <c r="CF160" s="847">
        <v>0</v>
      </c>
      <c r="CG160" s="847">
        <v>0</v>
      </c>
      <c r="CH160" s="847">
        <v>0</v>
      </c>
      <c r="CI160" s="847">
        <v>0</v>
      </c>
      <c r="CJ160" s="847">
        <v>0</v>
      </c>
      <c r="CK160" s="847">
        <v>0</v>
      </c>
      <c r="CL160" s="847">
        <v>0</v>
      </c>
      <c r="CM160" s="847">
        <v>0</v>
      </c>
      <c r="CN160" s="847">
        <v>0</v>
      </c>
      <c r="CO160" s="847">
        <v>0</v>
      </c>
      <c r="CP160" s="847">
        <v>0</v>
      </c>
      <c r="CQ160" s="847">
        <v>0</v>
      </c>
      <c r="CR160" s="847">
        <v>0</v>
      </c>
      <c r="CS160" s="847">
        <v>0</v>
      </c>
      <c r="CT160" s="847">
        <v>0</v>
      </c>
      <c r="CU160" s="847">
        <v>0</v>
      </c>
      <c r="CV160" s="847">
        <v>0</v>
      </c>
      <c r="CW160" s="847">
        <v>0</v>
      </c>
      <c r="CX160" s="847">
        <v>0</v>
      </c>
      <c r="CY160" s="847">
        <v>0</v>
      </c>
      <c r="CZ160" s="847">
        <v>0</v>
      </c>
      <c r="DA160" s="847">
        <v>0</v>
      </c>
      <c r="DB160" s="847">
        <v>0</v>
      </c>
      <c r="DC160" s="847">
        <v>0</v>
      </c>
      <c r="DD160" s="847">
        <v>0</v>
      </c>
      <c r="DE160" s="847">
        <v>0</v>
      </c>
      <c r="DF160" s="847">
        <v>0</v>
      </c>
      <c r="DG160" s="847">
        <v>0</v>
      </c>
      <c r="DH160" s="847">
        <v>0</v>
      </c>
      <c r="DI160" s="847">
        <v>0</v>
      </c>
      <c r="DJ160" s="847">
        <v>0</v>
      </c>
      <c r="DK160" s="847">
        <v>0</v>
      </c>
      <c r="DL160" s="847">
        <v>0</v>
      </c>
      <c r="DM160" s="847">
        <v>0</v>
      </c>
      <c r="DN160" s="847">
        <v>0</v>
      </c>
      <c r="DO160" s="847">
        <v>0</v>
      </c>
      <c r="DP160" s="847">
        <v>0</v>
      </c>
      <c r="DQ160" s="847">
        <v>0</v>
      </c>
      <c r="DR160" s="847">
        <v>0</v>
      </c>
      <c r="DS160" s="847">
        <v>0</v>
      </c>
      <c r="DT160" s="847">
        <v>0</v>
      </c>
      <c r="DU160" s="847">
        <v>0</v>
      </c>
      <c r="DV160" s="847">
        <v>155600</v>
      </c>
      <c r="DW160" s="847">
        <v>0</v>
      </c>
      <c r="DY160" s="843" t="s">
        <v>1060</v>
      </c>
      <c r="DZ160" s="843" t="s">
        <v>1382</v>
      </c>
      <c r="EA160" s="843" t="s">
        <v>96</v>
      </c>
      <c r="EB160" s="844">
        <v>1</v>
      </c>
      <c r="EC160" s="780" t="str">
        <f t="shared" si="7"/>
        <v>IWT060101</v>
      </c>
      <c r="ED160" s="844">
        <v>4448</v>
      </c>
      <c r="EE160" s="844">
        <v>8896</v>
      </c>
      <c r="EF160" s="844">
        <v>13344</v>
      </c>
      <c r="EG160" s="844">
        <v>17792</v>
      </c>
      <c r="EH160" s="844">
        <v>22240</v>
      </c>
      <c r="EI160" s="844">
        <v>26688</v>
      </c>
      <c r="EJ160" s="844">
        <v>26688</v>
      </c>
      <c r="EK160" s="844">
        <v>26688</v>
      </c>
      <c r="EL160" s="844">
        <v>26688</v>
      </c>
      <c r="EM160" s="844">
        <v>26688</v>
      </c>
      <c r="EN160" s="844">
        <v>26688</v>
      </c>
      <c r="EO160" s="844">
        <v>26688</v>
      </c>
      <c r="EP160" s="844">
        <v>26688</v>
      </c>
      <c r="EQ160" s="844">
        <v>26688</v>
      </c>
      <c r="ER160" s="844">
        <v>26688</v>
      </c>
      <c r="ES160" s="844">
        <v>32417</v>
      </c>
      <c r="ET160" s="844">
        <v>33065</v>
      </c>
      <c r="EU160" s="844">
        <v>33726</v>
      </c>
      <c r="EV160" s="844">
        <v>34401</v>
      </c>
      <c r="EW160" s="844">
        <v>35089</v>
      </c>
      <c r="EX160" s="844">
        <v>35791</v>
      </c>
      <c r="EY160" s="844">
        <v>36506</v>
      </c>
      <c r="EZ160" s="844">
        <v>37236</v>
      </c>
      <c r="FA160" s="844">
        <v>37981</v>
      </c>
      <c r="FB160" s="844">
        <v>38741</v>
      </c>
      <c r="FC160" s="844">
        <v>39516</v>
      </c>
      <c r="FD160" s="844">
        <v>40306</v>
      </c>
      <c r="FE160" s="844">
        <v>41112</v>
      </c>
      <c r="FF160" s="844">
        <v>42200</v>
      </c>
      <c r="FG160" s="844">
        <v>43600</v>
      </c>
      <c r="FH160" s="844">
        <v>45000</v>
      </c>
      <c r="FI160" s="844">
        <v>46400</v>
      </c>
      <c r="FJ160" s="844">
        <v>47800</v>
      </c>
      <c r="FK160" s="844">
        <v>49200</v>
      </c>
      <c r="FL160" s="844">
        <v>50600</v>
      </c>
      <c r="FM160" s="844">
        <v>52000</v>
      </c>
      <c r="FN160" s="844">
        <v>53400</v>
      </c>
      <c r="FO160" s="844">
        <v>54800</v>
      </c>
      <c r="FP160" s="844">
        <v>56200</v>
      </c>
      <c r="FQ160" s="844">
        <v>57600</v>
      </c>
      <c r="FR160" s="844">
        <v>59000</v>
      </c>
      <c r="FS160" s="844">
        <v>60400</v>
      </c>
      <c r="FT160" s="844">
        <v>61800</v>
      </c>
      <c r="FU160" s="844">
        <v>63200</v>
      </c>
      <c r="FV160" s="844">
        <v>64600</v>
      </c>
      <c r="FW160" s="844">
        <v>66000</v>
      </c>
      <c r="FX160" s="844">
        <v>67400</v>
      </c>
      <c r="FY160" s="844">
        <v>68800</v>
      </c>
      <c r="FZ160" s="844">
        <v>70200</v>
      </c>
      <c r="GA160" s="844">
        <v>71600</v>
      </c>
      <c r="GB160" s="844">
        <v>73000</v>
      </c>
      <c r="GC160" s="844">
        <v>74400</v>
      </c>
      <c r="GD160" s="844">
        <v>75800</v>
      </c>
      <c r="GE160" s="844">
        <v>77200</v>
      </c>
      <c r="GF160" s="844">
        <v>78600</v>
      </c>
      <c r="GG160" s="844">
        <v>80000</v>
      </c>
      <c r="GH160" s="844">
        <v>81400</v>
      </c>
      <c r="GI160" s="844">
        <v>82800</v>
      </c>
      <c r="GJ160" s="844">
        <v>84200</v>
      </c>
      <c r="GK160" s="844">
        <v>85600</v>
      </c>
      <c r="GL160" s="844">
        <v>87000</v>
      </c>
      <c r="GM160" s="844">
        <v>88400</v>
      </c>
      <c r="GN160" s="844">
        <v>89800</v>
      </c>
      <c r="GO160" s="844">
        <v>91200</v>
      </c>
      <c r="GP160" s="844">
        <v>92600</v>
      </c>
      <c r="GQ160" s="844">
        <v>94000</v>
      </c>
      <c r="GR160" s="844">
        <v>95400</v>
      </c>
      <c r="GS160" s="844">
        <v>96800</v>
      </c>
      <c r="GT160" s="844">
        <v>98200</v>
      </c>
      <c r="GU160" s="844">
        <v>99600</v>
      </c>
      <c r="GV160" s="844">
        <v>101000</v>
      </c>
      <c r="GW160" s="844">
        <v>102400</v>
      </c>
      <c r="GX160" s="844">
        <v>103800</v>
      </c>
      <c r="GY160" s="844">
        <v>105200</v>
      </c>
      <c r="GZ160" s="844">
        <v>106600</v>
      </c>
      <c r="HA160" s="844">
        <v>108000</v>
      </c>
      <c r="HB160" s="844">
        <v>109400</v>
      </c>
      <c r="HC160" s="844">
        <v>110800</v>
      </c>
      <c r="HD160" s="844">
        <v>112200</v>
      </c>
      <c r="HE160" s="844">
        <v>113600</v>
      </c>
      <c r="HF160" s="844">
        <v>115000</v>
      </c>
      <c r="HG160" s="844">
        <v>116400</v>
      </c>
      <c r="HH160" s="844">
        <v>117800</v>
      </c>
      <c r="HI160" s="844">
        <v>119200</v>
      </c>
      <c r="HJ160" s="844">
        <v>120600</v>
      </c>
      <c r="HK160" s="844">
        <v>122000</v>
      </c>
      <c r="HL160" s="844">
        <v>123400</v>
      </c>
      <c r="HM160" s="844">
        <v>124800</v>
      </c>
      <c r="HN160" s="844">
        <v>126200</v>
      </c>
      <c r="HO160" s="844">
        <v>127600</v>
      </c>
      <c r="HP160" s="844">
        <v>129000</v>
      </c>
      <c r="HQ160" s="844">
        <v>130400</v>
      </c>
      <c r="HR160" s="844">
        <v>131800</v>
      </c>
      <c r="HS160" s="844">
        <v>133200</v>
      </c>
      <c r="HT160" s="844">
        <v>134600</v>
      </c>
      <c r="HU160" s="844">
        <v>136000</v>
      </c>
      <c r="HV160" s="844">
        <v>137400</v>
      </c>
      <c r="HW160" s="844">
        <v>138800</v>
      </c>
      <c r="HX160" s="844">
        <v>140200</v>
      </c>
      <c r="HY160" s="844">
        <v>141600</v>
      </c>
      <c r="HZ160" s="844">
        <v>143000</v>
      </c>
      <c r="IA160" s="844">
        <v>144400</v>
      </c>
      <c r="IB160" s="844">
        <v>145800</v>
      </c>
      <c r="IC160" s="844">
        <v>147200</v>
      </c>
      <c r="ID160" s="844">
        <v>148600</v>
      </c>
      <c r="IE160" s="844">
        <v>150000</v>
      </c>
      <c r="IF160" s="844">
        <v>151400</v>
      </c>
      <c r="IG160" s="844">
        <v>152800</v>
      </c>
      <c r="IH160" s="844">
        <v>154200</v>
      </c>
      <c r="II160" s="844">
        <v>155600</v>
      </c>
      <c r="IJ160" s="844">
        <v>0</v>
      </c>
    </row>
    <row r="161" spans="9:244" hidden="1">
      <c r="I161" s="156"/>
      <c r="L161" s="846" t="s">
        <v>1060</v>
      </c>
      <c r="M161" s="846" t="s">
        <v>1382</v>
      </c>
      <c r="N161" s="846" t="s">
        <v>96</v>
      </c>
      <c r="O161" s="847">
        <v>2</v>
      </c>
      <c r="P161" s="780" t="str">
        <f t="shared" si="6"/>
        <v>IWT060102</v>
      </c>
      <c r="Q161" s="847">
        <v>0</v>
      </c>
      <c r="R161" s="847">
        <v>0</v>
      </c>
      <c r="S161" s="847">
        <v>0</v>
      </c>
      <c r="T161" s="847">
        <v>0</v>
      </c>
      <c r="U161" s="847">
        <v>0</v>
      </c>
      <c r="V161" s="847">
        <v>0</v>
      </c>
      <c r="W161" s="847">
        <v>0</v>
      </c>
      <c r="X161" s="847">
        <v>0</v>
      </c>
      <c r="Y161" s="847">
        <v>0</v>
      </c>
      <c r="Z161" s="847">
        <v>0</v>
      </c>
      <c r="AA161" s="847">
        <v>0</v>
      </c>
      <c r="AB161" s="847">
        <v>0</v>
      </c>
      <c r="AC161" s="847">
        <v>0</v>
      </c>
      <c r="AD161" s="847">
        <v>0</v>
      </c>
      <c r="AE161" s="847">
        <v>0</v>
      </c>
      <c r="AF161" s="847">
        <v>0</v>
      </c>
      <c r="AG161" s="847">
        <v>0</v>
      </c>
      <c r="AH161" s="847">
        <v>0</v>
      </c>
      <c r="AI161" s="847">
        <v>0</v>
      </c>
      <c r="AJ161" s="847">
        <v>0</v>
      </c>
      <c r="AK161" s="847">
        <v>0</v>
      </c>
      <c r="AL161" s="847">
        <v>0</v>
      </c>
      <c r="AM161" s="847">
        <v>0</v>
      </c>
      <c r="AN161" s="847">
        <v>0</v>
      </c>
      <c r="AO161" s="847">
        <v>0</v>
      </c>
      <c r="AP161" s="847">
        <v>0</v>
      </c>
      <c r="AQ161" s="847">
        <v>0</v>
      </c>
      <c r="AR161" s="847">
        <v>0</v>
      </c>
      <c r="AS161" s="847">
        <v>0</v>
      </c>
      <c r="AT161" s="847">
        <v>0</v>
      </c>
      <c r="AU161" s="847">
        <v>0</v>
      </c>
      <c r="AV161" s="847">
        <v>0</v>
      </c>
      <c r="AW161" s="847">
        <v>0</v>
      </c>
      <c r="AX161" s="847">
        <v>0</v>
      </c>
      <c r="AY161" s="847">
        <v>0</v>
      </c>
      <c r="AZ161" s="847">
        <v>0</v>
      </c>
      <c r="BA161" s="847">
        <v>0</v>
      </c>
      <c r="BB161" s="847">
        <v>0</v>
      </c>
      <c r="BC161" s="847">
        <v>0</v>
      </c>
      <c r="BD161" s="847">
        <v>0</v>
      </c>
      <c r="BE161" s="847">
        <v>0</v>
      </c>
      <c r="BF161" s="847">
        <v>0</v>
      </c>
      <c r="BG161" s="847">
        <v>0</v>
      </c>
      <c r="BH161" s="847">
        <v>0</v>
      </c>
      <c r="BI161" s="847">
        <v>0</v>
      </c>
      <c r="BJ161" s="847">
        <v>0</v>
      </c>
      <c r="BK161" s="847">
        <v>0</v>
      </c>
      <c r="BL161" s="847">
        <v>0</v>
      </c>
      <c r="BM161" s="847">
        <v>0</v>
      </c>
      <c r="BN161" s="847">
        <v>0</v>
      </c>
      <c r="BO161" s="847">
        <v>0</v>
      </c>
      <c r="BP161" s="847">
        <v>0</v>
      </c>
      <c r="BQ161" s="847">
        <v>0</v>
      </c>
      <c r="BR161" s="847">
        <v>0</v>
      </c>
      <c r="BS161" s="847">
        <v>0</v>
      </c>
      <c r="BT161" s="847">
        <v>0</v>
      </c>
      <c r="BU161" s="847">
        <v>0</v>
      </c>
      <c r="BV161" s="847">
        <v>0</v>
      </c>
      <c r="BW161" s="847">
        <v>0</v>
      </c>
      <c r="BX161" s="847">
        <v>0</v>
      </c>
      <c r="BY161" s="847">
        <v>0</v>
      </c>
      <c r="BZ161" s="847">
        <v>0</v>
      </c>
      <c r="CA161" s="847">
        <v>0</v>
      </c>
      <c r="CB161" s="847">
        <v>0</v>
      </c>
      <c r="CC161" s="847">
        <v>0</v>
      </c>
      <c r="CD161" s="847">
        <v>0</v>
      </c>
      <c r="CE161" s="847">
        <v>0</v>
      </c>
      <c r="CF161" s="847">
        <v>0</v>
      </c>
      <c r="CG161" s="847">
        <v>0</v>
      </c>
      <c r="CH161" s="847">
        <v>0</v>
      </c>
      <c r="CI161" s="847">
        <v>0</v>
      </c>
      <c r="CJ161" s="847">
        <v>0</v>
      </c>
      <c r="CK161" s="847">
        <v>0</v>
      </c>
      <c r="CL161" s="847">
        <v>0</v>
      </c>
      <c r="CM161" s="847">
        <v>0</v>
      </c>
      <c r="CN161" s="847">
        <v>0</v>
      </c>
      <c r="CO161" s="847">
        <v>0</v>
      </c>
      <c r="CP161" s="847">
        <v>0</v>
      </c>
      <c r="CQ161" s="847">
        <v>0</v>
      </c>
      <c r="CR161" s="847">
        <v>0</v>
      </c>
      <c r="CS161" s="847">
        <v>0</v>
      </c>
      <c r="CT161" s="847">
        <v>0</v>
      </c>
      <c r="CU161" s="847">
        <v>0</v>
      </c>
      <c r="CV161" s="847">
        <v>0</v>
      </c>
      <c r="CW161" s="847">
        <v>0</v>
      </c>
      <c r="CX161" s="847">
        <v>0</v>
      </c>
      <c r="CY161" s="847">
        <v>0</v>
      </c>
      <c r="CZ161" s="847">
        <v>0</v>
      </c>
      <c r="DA161" s="847">
        <v>0</v>
      </c>
      <c r="DB161" s="847">
        <v>0</v>
      </c>
      <c r="DC161" s="847">
        <v>0</v>
      </c>
      <c r="DD161" s="847">
        <v>0</v>
      </c>
      <c r="DE161" s="847">
        <v>0</v>
      </c>
      <c r="DF161" s="847">
        <v>0</v>
      </c>
      <c r="DG161" s="847">
        <v>0</v>
      </c>
      <c r="DH161" s="847">
        <v>0</v>
      </c>
      <c r="DI161" s="847">
        <v>0</v>
      </c>
      <c r="DJ161" s="847">
        <v>0</v>
      </c>
      <c r="DK161" s="847">
        <v>0</v>
      </c>
      <c r="DL161" s="847">
        <v>0</v>
      </c>
      <c r="DM161" s="847">
        <v>0</v>
      </c>
      <c r="DN161" s="847">
        <v>0</v>
      </c>
      <c r="DO161" s="847">
        <v>0</v>
      </c>
      <c r="DP161" s="847">
        <v>0</v>
      </c>
      <c r="DQ161" s="847">
        <v>0</v>
      </c>
      <c r="DR161" s="847">
        <v>0</v>
      </c>
      <c r="DS161" s="847">
        <v>0</v>
      </c>
      <c r="DT161" s="847">
        <v>0</v>
      </c>
      <c r="DU161" s="847">
        <v>154200</v>
      </c>
      <c r="DV161" s="847">
        <v>0</v>
      </c>
      <c r="DW161" s="847">
        <v>0</v>
      </c>
      <c r="DY161" s="843" t="s">
        <v>1060</v>
      </c>
      <c r="DZ161" s="843" t="s">
        <v>1382</v>
      </c>
      <c r="EA161" s="843" t="s">
        <v>96</v>
      </c>
      <c r="EB161" s="844">
        <v>2</v>
      </c>
      <c r="EC161" s="780" t="str">
        <f t="shared" si="7"/>
        <v>IWT060102</v>
      </c>
      <c r="ED161" s="844">
        <v>4475</v>
      </c>
      <c r="EE161" s="844">
        <v>8950</v>
      </c>
      <c r="EF161" s="844">
        <v>13425</v>
      </c>
      <c r="EG161" s="844">
        <v>17900</v>
      </c>
      <c r="EH161" s="844">
        <v>22375</v>
      </c>
      <c r="EI161" s="844">
        <v>26850</v>
      </c>
      <c r="EJ161" s="844">
        <v>26850</v>
      </c>
      <c r="EK161" s="844">
        <v>26850</v>
      </c>
      <c r="EL161" s="844">
        <v>26850</v>
      </c>
      <c r="EM161" s="844">
        <v>26850</v>
      </c>
      <c r="EN161" s="844">
        <v>26850</v>
      </c>
      <c r="EO161" s="844">
        <v>26850</v>
      </c>
      <c r="EP161" s="844">
        <v>26850</v>
      </c>
      <c r="EQ161" s="844">
        <v>26850</v>
      </c>
      <c r="ER161" s="844">
        <v>31980</v>
      </c>
      <c r="ES161" s="844">
        <v>32619</v>
      </c>
      <c r="ET161" s="844">
        <v>33271</v>
      </c>
      <c r="EU161" s="844">
        <v>33937</v>
      </c>
      <c r="EV161" s="844">
        <v>34616</v>
      </c>
      <c r="EW161" s="844">
        <v>35308</v>
      </c>
      <c r="EX161" s="844">
        <v>36014</v>
      </c>
      <c r="EY161" s="844">
        <v>36734</v>
      </c>
      <c r="EZ161" s="844">
        <v>37469</v>
      </c>
      <c r="FA161" s="844">
        <v>38218</v>
      </c>
      <c r="FB161" s="844">
        <v>38983</v>
      </c>
      <c r="FC161" s="844">
        <v>39762</v>
      </c>
      <c r="FD161" s="844">
        <v>40558</v>
      </c>
      <c r="FE161" s="844">
        <v>41369</v>
      </c>
      <c r="FF161" s="844">
        <v>42200</v>
      </c>
      <c r="FG161" s="844">
        <v>43600</v>
      </c>
      <c r="FH161" s="844">
        <v>45000</v>
      </c>
      <c r="FI161" s="844">
        <v>46400</v>
      </c>
      <c r="FJ161" s="844">
        <v>47800</v>
      </c>
      <c r="FK161" s="844">
        <v>49200</v>
      </c>
      <c r="FL161" s="844">
        <v>50600</v>
      </c>
      <c r="FM161" s="844">
        <v>52000</v>
      </c>
      <c r="FN161" s="844">
        <v>53400</v>
      </c>
      <c r="FO161" s="844">
        <v>54800</v>
      </c>
      <c r="FP161" s="844">
        <v>56200</v>
      </c>
      <c r="FQ161" s="844">
        <v>57600</v>
      </c>
      <c r="FR161" s="844">
        <v>59000</v>
      </c>
      <c r="FS161" s="844">
        <v>60400</v>
      </c>
      <c r="FT161" s="844">
        <v>61800</v>
      </c>
      <c r="FU161" s="844">
        <v>63200</v>
      </c>
      <c r="FV161" s="844">
        <v>64600</v>
      </c>
      <c r="FW161" s="844">
        <v>66000</v>
      </c>
      <c r="FX161" s="844">
        <v>67400</v>
      </c>
      <c r="FY161" s="844">
        <v>68800</v>
      </c>
      <c r="FZ161" s="844">
        <v>70200</v>
      </c>
      <c r="GA161" s="844">
        <v>71600</v>
      </c>
      <c r="GB161" s="844">
        <v>73000</v>
      </c>
      <c r="GC161" s="844">
        <v>74400</v>
      </c>
      <c r="GD161" s="844">
        <v>75800</v>
      </c>
      <c r="GE161" s="844">
        <v>77200</v>
      </c>
      <c r="GF161" s="844">
        <v>78600</v>
      </c>
      <c r="GG161" s="844">
        <v>80000</v>
      </c>
      <c r="GH161" s="844">
        <v>81400</v>
      </c>
      <c r="GI161" s="844">
        <v>82800</v>
      </c>
      <c r="GJ161" s="844">
        <v>84200</v>
      </c>
      <c r="GK161" s="844">
        <v>85600</v>
      </c>
      <c r="GL161" s="844">
        <v>87000</v>
      </c>
      <c r="GM161" s="844">
        <v>88400</v>
      </c>
      <c r="GN161" s="844">
        <v>89800</v>
      </c>
      <c r="GO161" s="844">
        <v>91200</v>
      </c>
      <c r="GP161" s="844">
        <v>92600</v>
      </c>
      <c r="GQ161" s="844">
        <v>94000</v>
      </c>
      <c r="GR161" s="844">
        <v>95400</v>
      </c>
      <c r="GS161" s="844">
        <v>96800</v>
      </c>
      <c r="GT161" s="844">
        <v>98200</v>
      </c>
      <c r="GU161" s="844">
        <v>99600</v>
      </c>
      <c r="GV161" s="844">
        <v>101000</v>
      </c>
      <c r="GW161" s="844">
        <v>102400</v>
      </c>
      <c r="GX161" s="844">
        <v>103800</v>
      </c>
      <c r="GY161" s="844">
        <v>105200</v>
      </c>
      <c r="GZ161" s="844">
        <v>106600</v>
      </c>
      <c r="HA161" s="844">
        <v>108000</v>
      </c>
      <c r="HB161" s="844">
        <v>109400</v>
      </c>
      <c r="HC161" s="844">
        <v>110800</v>
      </c>
      <c r="HD161" s="844">
        <v>112200</v>
      </c>
      <c r="HE161" s="844">
        <v>113600</v>
      </c>
      <c r="HF161" s="844">
        <v>115000</v>
      </c>
      <c r="HG161" s="844">
        <v>116400</v>
      </c>
      <c r="HH161" s="844">
        <v>117800</v>
      </c>
      <c r="HI161" s="844">
        <v>119200</v>
      </c>
      <c r="HJ161" s="844">
        <v>120600</v>
      </c>
      <c r="HK161" s="844">
        <v>122000</v>
      </c>
      <c r="HL161" s="844">
        <v>123400</v>
      </c>
      <c r="HM161" s="844">
        <v>124800</v>
      </c>
      <c r="HN161" s="844">
        <v>126200</v>
      </c>
      <c r="HO161" s="844">
        <v>127600</v>
      </c>
      <c r="HP161" s="844">
        <v>129000</v>
      </c>
      <c r="HQ161" s="844">
        <v>130400</v>
      </c>
      <c r="HR161" s="844">
        <v>131800</v>
      </c>
      <c r="HS161" s="844">
        <v>133200</v>
      </c>
      <c r="HT161" s="844">
        <v>134600</v>
      </c>
      <c r="HU161" s="844">
        <v>136000</v>
      </c>
      <c r="HV161" s="844">
        <v>137400</v>
      </c>
      <c r="HW161" s="844">
        <v>138800</v>
      </c>
      <c r="HX161" s="844">
        <v>140200</v>
      </c>
      <c r="HY161" s="844">
        <v>141600</v>
      </c>
      <c r="HZ161" s="844">
        <v>143000</v>
      </c>
      <c r="IA161" s="844">
        <v>144400</v>
      </c>
      <c r="IB161" s="844">
        <v>145800</v>
      </c>
      <c r="IC161" s="844">
        <v>147200</v>
      </c>
      <c r="ID161" s="844">
        <v>148600</v>
      </c>
      <c r="IE161" s="844">
        <v>150000</v>
      </c>
      <c r="IF161" s="844">
        <v>151400</v>
      </c>
      <c r="IG161" s="844">
        <v>152800</v>
      </c>
      <c r="IH161" s="844">
        <v>154200</v>
      </c>
      <c r="II161" s="844">
        <v>0</v>
      </c>
      <c r="IJ161" s="844">
        <v>0</v>
      </c>
    </row>
    <row r="162" spans="9:244" hidden="1">
      <c r="I162" s="156"/>
      <c r="L162" s="846" t="s">
        <v>1060</v>
      </c>
      <c r="M162" s="846" t="s">
        <v>1382</v>
      </c>
      <c r="N162" s="846" t="s">
        <v>96</v>
      </c>
      <c r="O162" s="847">
        <v>3</v>
      </c>
      <c r="P162" s="780" t="str">
        <f t="shared" si="6"/>
        <v>IWT060103</v>
      </c>
      <c r="Q162" s="847">
        <v>0</v>
      </c>
      <c r="R162" s="847">
        <v>0</v>
      </c>
      <c r="S162" s="847">
        <v>0</v>
      </c>
      <c r="T162" s="847">
        <v>0</v>
      </c>
      <c r="U162" s="847">
        <v>0</v>
      </c>
      <c r="V162" s="847">
        <v>0</v>
      </c>
      <c r="W162" s="847">
        <v>0</v>
      </c>
      <c r="X162" s="847">
        <v>0</v>
      </c>
      <c r="Y162" s="847">
        <v>0</v>
      </c>
      <c r="Z162" s="847">
        <v>0</v>
      </c>
      <c r="AA162" s="847">
        <v>0</v>
      </c>
      <c r="AB162" s="847">
        <v>0</v>
      </c>
      <c r="AC162" s="847">
        <v>0</v>
      </c>
      <c r="AD162" s="847">
        <v>0</v>
      </c>
      <c r="AE162" s="847">
        <v>0</v>
      </c>
      <c r="AF162" s="847">
        <v>0</v>
      </c>
      <c r="AG162" s="847">
        <v>0</v>
      </c>
      <c r="AH162" s="847">
        <v>0</v>
      </c>
      <c r="AI162" s="847">
        <v>0</v>
      </c>
      <c r="AJ162" s="847">
        <v>0</v>
      </c>
      <c r="AK162" s="847">
        <v>0</v>
      </c>
      <c r="AL162" s="847">
        <v>0</v>
      </c>
      <c r="AM162" s="847">
        <v>0</v>
      </c>
      <c r="AN162" s="847">
        <v>0</v>
      </c>
      <c r="AO162" s="847">
        <v>0</v>
      </c>
      <c r="AP162" s="847">
        <v>0</v>
      </c>
      <c r="AQ162" s="847">
        <v>0</v>
      </c>
      <c r="AR162" s="847">
        <v>0</v>
      </c>
      <c r="AS162" s="847">
        <v>0</v>
      </c>
      <c r="AT162" s="847">
        <v>0</v>
      </c>
      <c r="AU162" s="847">
        <v>0</v>
      </c>
      <c r="AV162" s="847">
        <v>0</v>
      </c>
      <c r="AW162" s="847">
        <v>0</v>
      </c>
      <c r="AX162" s="847">
        <v>0</v>
      </c>
      <c r="AY162" s="847">
        <v>0</v>
      </c>
      <c r="AZ162" s="847">
        <v>0</v>
      </c>
      <c r="BA162" s="847">
        <v>0</v>
      </c>
      <c r="BB162" s="847">
        <v>0</v>
      </c>
      <c r="BC162" s="847">
        <v>0</v>
      </c>
      <c r="BD162" s="847">
        <v>0</v>
      </c>
      <c r="BE162" s="847">
        <v>0</v>
      </c>
      <c r="BF162" s="847">
        <v>0</v>
      </c>
      <c r="BG162" s="847">
        <v>0</v>
      </c>
      <c r="BH162" s="847">
        <v>0</v>
      </c>
      <c r="BI162" s="847">
        <v>0</v>
      </c>
      <c r="BJ162" s="847">
        <v>0</v>
      </c>
      <c r="BK162" s="847">
        <v>0</v>
      </c>
      <c r="BL162" s="847">
        <v>0</v>
      </c>
      <c r="BM162" s="847">
        <v>0</v>
      </c>
      <c r="BN162" s="847">
        <v>0</v>
      </c>
      <c r="BO162" s="847">
        <v>0</v>
      </c>
      <c r="BP162" s="847">
        <v>0</v>
      </c>
      <c r="BQ162" s="847">
        <v>0</v>
      </c>
      <c r="BR162" s="847">
        <v>0</v>
      </c>
      <c r="BS162" s="847">
        <v>0</v>
      </c>
      <c r="BT162" s="847">
        <v>0</v>
      </c>
      <c r="BU162" s="847">
        <v>0</v>
      </c>
      <c r="BV162" s="847">
        <v>0</v>
      </c>
      <c r="BW162" s="847">
        <v>0</v>
      </c>
      <c r="BX162" s="847">
        <v>0</v>
      </c>
      <c r="BY162" s="847">
        <v>0</v>
      </c>
      <c r="BZ162" s="847">
        <v>0</v>
      </c>
      <c r="CA162" s="847">
        <v>0</v>
      </c>
      <c r="CB162" s="847">
        <v>0</v>
      </c>
      <c r="CC162" s="847">
        <v>0</v>
      </c>
      <c r="CD162" s="847">
        <v>0</v>
      </c>
      <c r="CE162" s="847">
        <v>0</v>
      </c>
      <c r="CF162" s="847">
        <v>0</v>
      </c>
      <c r="CG162" s="847">
        <v>0</v>
      </c>
      <c r="CH162" s="847">
        <v>0</v>
      </c>
      <c r="CI162" s="847">
        <v>0</v>
      </c>
      <c r="CJ162" s="847">
        <v>0</v>
      </c>
      <c r="CK162" s="847">
        <v>0</v>
      </c>
      <c r="CL162" s="847">
        <v>0</v>
      </c>
      <c r="CM162" s="847">
        <v>0</v>
      </c>
      <c r="CN162" s="847">
        <v>0</v>
      </c>
      <c r="CO162" s="847">
        <v>0</v>
      </c>
      <c r="CP162" s="847">
        <v>0</v>
      </c>
      <c r="CQ162" s="847">
        <v>0</v>
      </c>
      <c r="CR162" s="847">
        <v>0</v>
      </c>
      <c r="CS162" s="847">
        <v>0</v>
      </c>
      <c r="CT162" s="847">
        <v>0</v>
      </c>
      <c r="CU162" s="847">
        <v>0</v>
      </c>
      <c r="CV162" s="847">
        <v>0</v>
      </c>
      <c r="CW162" s="847">
        <v>0</v>
      </c>
      <c r="CX162" s="847">
        <v>0</v>
      </c>
      <c r="CY162" s="847">
        <v>0</v>
      </c>
      <c r="CZ162" s="847">
        <v>0</v>
      </c>
      <c r="DA162" s="847">
        <v>0</v>
      </c>
      <c r="DB162" s="847">
        <v>0</v>
      </c>
      <c r="DC162" s="847">
        <v>0</v>
      </c>
      <c r="DD162" s="847">
        <v>0</v>
      </c>
      <c r="DE162" s="847">
        <v>0</v>
      </c>
      <c r="DF162" s="847">
        <v>0</v>
      </c>
      <c r="DG162" s="847">
        <v>0</v>
      </c>
      <c r="DH162" s="847">
        <v>0</v>
      </c>
      <c r="DI162" s="847">
        <v>0</v>
      </c>
      <c r="DJ162" s="847">
        <v>0</v>
      </c>
      <c r="DK162" s="847">
        <v>0</v>
      </c>
      <c r="DL162" s="847">
        <v>0</v>
      </c>
      <c r="DM162" s="847">
        <v>0</v>
      </c>
      <c r="DN162" s="847">
        <v>0</v>
      </c>
      <c r="DO162" s="847">
        <v>0</v>
      </c>
      <c r="DP162" s="847">
        <v>0</v>
      </c>
      <c r="DQ162" s="847">
        <v>0</v>
      </c>
      <c r="DR162" s="847">
        <v>0</v>
      </c>
      <c r="DS162" s="847">
        <v>0</v>
      </c>
      <c r="DT162" s="847">
        <v>152800</v>
      </c>
      <c r="DU162" s="847">
        <v>0</v>
      </c>
      <c r="DV162" s="847">
        <v>0</v>
      </c>
      <c r="DW162" s="847">
        <v>0</v>
      </c>
      <c r="DY162" s="843" t="s">
        <v>1060</v>
      </c>
      <c r="DZ162" s="843" t="s">
        <v>1382</v>
      </c>
      <c r="EA162" s="843" t="s">
        <v>96</v>
      </c>
      <c r="EB162" s="844">
        <v>3</v>
      </c>
      <c r="EC162" s="780" t="str">
        <f t="shared" si="7"/>
        <v>IWT060103</v>
      </c>
      <c r="ED162" s="844">
        <v>4503</v>
      </c>
      <c r="EE162" s="844">
        <v>9006</v>
      </c>
      <c r="EF162" s="844">
        <v>13509</v>
      </c>
      <c r="EG162" s="844">
        <v>18012</v>
      </c>
      <c r="EH162" s="844">
        <v>22515</v>
      </c>
      <c r="EI162" s="844">
        <v>27018</v>
      </c>
      <c r="EJ162" s="844">
        <v>27018</v>
      </c>
      <c r="EK162" s="844">
        <v>27018</v>
      </c>
      <c r="EL162" s="844">
        <v>27018</v>
      </c>
      <c r="EM162" s="844">
        <v>27018</v>
      </c>
      <c r="EN162" s="844">
        <v>27018</v>
      </c>
      <c r="EO162" s="844">
        <v>27018</v>
      </c>
      <c r="EP162" s="844">
        <v>27018</v>
      </c>
      <c r="EQ162" s="844">
        <v>31543</v>
      </c>
      <c r="ER162" s="844">
        <v>32174</v>
      </c>
      <c r="ES162" s="844">
        <v>32818</v>
      </c>
      <c r="ET162" s="844">
        <v>33474</v>
      </c>
      <c r="EU162" s="844">
        <v>34144</v>
      </c>
      <c r="EV162" s="844">
        <v>34826</v>
      </c>
      <c r="EW162" s="844">
        <v>35523</v>
      </c>
      <c r="EX162" s="844">
        <v>36233</v>
      </c>
      <c r="EY162" s="844">
        <v>36958</v>
      </c>
      <c r="EZ162" s="844">
        <v>37697</v>
      </c>
      <c r="FA162" s="844">
        <v>38451</v>
      </c>
      <c r="FB162" s="844">
        <v>39220</v>
      </c>
      <c r="FC162" s="844">
        <v>40005</v>
      </c>
      <c r="FD162" s="844">
        <v>40805</v>
      </c>
      <c r="FE162" s="844">
        <v>41621</v>
      </c>
      <c r="FF162" s="844">
        <v>42453</v>
      </c>
      <c r="FG162" s="844">
        <v>43600</v>
      </c>
      <c r="FH162" s="844">
        <v>45000</v>
      </c>
      <c r="FI162" s="844">
        <v>46400</v>
      </c>
      <c r="FJ162" s="844">
        <v>47800</v>
      </c>
      <c r="FK162" s="844">
        <v>49200</v>
      </c>
      <c r="FL162" s="844">
        <v>50600</v>
      </c>
      <c r="FM162" s="844">
        <v>52000</v>
      </c>
      <c r="FN162" s="844">
        <v>53400</v>
      </c>
      <c r="FO162" s="844">
        <v>54800</v>
      </c>
      <c r="FP162" s="844">
        <v>56200</v>
      </c>
      <c r="FQ162" s="844">
        <v>57600</v>
      </c>
      <c r="FR162" s="844">
        <v>59000</v>
      </c>
      <c r="FS162" s="844">
        <v>60400</v>
      </c>
      <c r="FT162" s="844">
        <v>61800</v>
      </c>
      <c r="FU162" s="844">
        <v>63200</v>
      </c>
      <c r="FV162" s="844">
        <v>64600</v>
      </c>
      <c r="FW162" s="844">
        <v>66000</v>
      </c>
      <c r="FX162" s="844">
        <v>67400</v>
      </c>
      <c r="FY162" s="844">
        <v>68800</v>
      </c>
      <c r="FZ162" s="844">
        <v>70200</v>
      </c>
      <c r="GA162" s="844">
        <v>71600</v>
      </c>
      <c r="GB162" s="844">
        <v>73000</v>
      </c>
      <c r="GC162" s="844">
        <v>74400</v>
      </c>
      <c r="GD162" s="844">
        <v>75800</v>
      </c>
      <c r="GE162" s="844">
        <v>77200</v>
      </c>
      <c r="GF162" s="844">
        <v>78600</v>
      </c>
      <c r="GG162" s="844">
        <v>80000</v>
      </c>
      <c r="GH162" s="844">
        <v>81400</v>
      </c>
      <c r="GI162" s="844">
        <v>82800</v>
      </c>
      <c r="GJ162" s="844">
        <v>84200</v>
      </c>
      <c r="GK162" s="844">
        <v>85600</v>
      </c>
      <c r="GL162" s="844">
        <v>87000</v>
      </c>
      <c r="GM162" s="844">
        <v>88400</v>
      </c>
      <c r="GN162" s="844">
        <v>89800</v>
      </c>
      <c r="GO162" s="844">
        <v>91200</v>
      </c>
      <c r="GP162" s="844">
        <v>92600</v>
      </c>
      <c r="GQ162" s="844">
        <v>94000</v>
      </c>
      <c r="GR162" s="844">
        <v>95400</v>
      </c>
      <c r="GS162" s="844">
        <v>96800</v>
      </c>
      <c r="GT162" s="844">
        <v>98200</v>
      </c>
      <c r="GU162" s="844">
        <v>99600</v>
      </c>
      <c r="GV162" s="844">
        <v>101000</v>
      </c>
      <c r="GW162" s="844">
        <v>102400</v>
      </c>
      <c r="GX162" s="844">
        <v>103800</v>
      </c>
      <c r="GY162" s="844">
        <v>105200</v>
      </c>
      <c r="GZ162" s="844">
        <v>106600</v>
      </c>
      <c r="HA162" s="844">
        <v>108000</v>
      </c>
      <c r="HB162" s="844">
        <v>109400</v>
      </c>
      <c r="HC162" s="844">
        <v>110800</v>
      </c>
      <c r="HD162" s="844">
        <v>112200</v>
      </c>
      <c r="HE162" s="844">
        <v>113600</v>
      </c>
      <c r="HF162" s="844">
        <v>115000</v>
      </c>
      <c r="HG162" s="844">
        <v>116400</v>
      </c>
      <c r="HH162" s="844">
        <v>117800</v>
      </c>
      <c r="HI162" s="844">
        <v>119200</v>
      </c>
      <c r="HJ162" s="844">
        <v>120600</v>
      </c>
      <c r="HK162" s="844">
        <v>122000</v>
      </c>
      <c r="HL162" s="844">
        <v>123400</v>
      </c>
      <c r="HM162" s="844">
        <v>124800</v>
      </c>
      <c r="HN162" s="844">
        <v>126200</v>
      </c>
      <c r="HO162" s="844">
        <v>127600</v>
      </c>
      <c r="HP162" s="844">
        <v>129000</v>
      </c>
      <c r="HQ162" s="844">
        <v>130400</v>
      </c>
      <c r="HR162" s="844">
        <v>131800</v>
      </c>
      <c r="HS162" s="844">
        <v>133200</v>
      </c>
      <c r="HT162" s="844">
        <v>134600</v>
      </c>
      <c r="HU162" s="844">
        <v>136000</v>
      </c>
      <c r="HV162" s="844">
        <v>137400</v>
      </c>
      <c r="HW162" s="844">
        <v>138800</v>
      </c>
      <c r="HX162" s="844">
        <v>140200</v>
      </c>
      <c r="HY162" s="844">
        <v>141600</v>
      </c>
      <c r="HZ162" s="844">
        <v>143000</v>
      </c>
      <c r="IA162" s="844">
        <v>144400</v>
      </c>
      <c r="IB162" s="844">
        <v>145800</v>
      </c>
      <c r="IC162" s="844">
        <v>147200</v>
      </c>
      <c r="ID162" s="844">
        <v>148600</v>
      </c>
      <c r="IE162" s="844">
        <v>150000</v>
      </c>
      <c r="IF162" s="844">
        <v>151400</v>
      </c>
      <c r="IG162" s="844">
        <v>152800</v>
      </c>
      <c r="IH162" s="844">
        <v>0</v>
      </c>
      <c r="II162" s="844">
        <v>0</v>
      </c>
      <c r="IJ162" s="844">
        <v>0</v>
      </c>
    </row>
    <row r="163" spans="9:244" hidden="1">
      <c r="I163" s="156"/>
      <c r="L163" s="846" t="s">
        <v>1060</v>
      </c>
      <c r="M163" s="846" t="s">
        <v>1382</v>
      </c>
      <c r="N163" s="846" t="s">
        <v>96</v>
      </c>
      <c r="O163" s="847">
        <v>4</v>
      </c>
      <c r="P163" s="780" t="str">
        <f t="shared" si="6"/>
        <v>IWT060104</v>
      </c>
      <c r="Q163" s="847">
        <v>0</v>
      </c>
      <c r="R163" s="847">
        <v>0</v>
      </c>
      <c r="S163" s="847">
        <v>0</v>
      </c>
      <c r="T163" s="847">
        <v>0</v>
      </c>
      <c r="U163" s="847">
        <v>0</v>
      </c>
      <c r="V163" s="847">
        <v>0</v>
      </c>
      <c r="W163" s="847">
        <v>0</v>
      </c>
      <c r="X163" s="847">
        <v>0</v>
      </c>
      <c r="Y163" s="847">
        <v>0</v>
      </c>
      <c r="Z163" s="847">
        <v>0</v>
      </c>
      <c r="AA163" s="847">
        <v>0</v>
      </c>
      <c r="AB163" s="847">
        <v>0</v>
      </c>
      <c r="AC163" s="847">
        <v>0</v>
      </c>
      <c r="AD163" s="847">
        <v>0</v>
      </c>
      <c r="AE163" s="847">
        <v>0</v>
      </c>
      <c r="AF163" s="847">
        <v>0</v>
      </c>
      <c r="AG163" s="847">
        <v>0</v>
      </c>
      <c r="AH163" s="847">
        <v>0</v>
      </c>
      <c r="AI163" s="847">
        <v>0</v>
      </c>
      <c r="AJ163" s="847">
        <v>0</v>
      </c>
      <c r="AK163" s="847">
        <v>0</v>
      </c>
      <c r="AL163" s="847">
        <v>0</v>
      </c>
      <c r="AM163" s="847">
        <v>0</v>
      </c>
      <c r="AN163" s="847">
        <v>0</v>
      </c>
      <c r="AO163" s="847">
        <v>0</v>
      </c>
      <c r="AP163" s="847">
        <v>0</v>
      </c>
      <c r="AQ163" s="847">
        <v>0</v>
      </c>
      <c r="AR163" s="847">
        <v>0</v>
      </c>
      <c r="AS163" s="847">
        <v>0</v>
      </c>
      <c r="AT163" s="847">
        <v>0</v>
      </c>
      <c r="AU163" s="847">
        <v>0</v>
      </c>
      <c r="AV163" s="847">
        <v>0</v>
      </c>
      <c r="AW163" s="847">
        <v>0</v>
      </c>
      <c r="AX163" s="847">
        <v>0</v>
      </c>
      <c r="AY163" s="847">
        <v>0</v>
      </c>
      <c r="AZ163" s="847">
        <v>0</v>
      </c>
      <c r="BA163" s="847">
        <v>0</v>
      </c>
      <c r="BB163" s="847">
        <v>0</v>
      </c>
      <c r="BC163" s="847">
        <v>0</v>
      </c>
      <c r="BD163" s="847">
        <v>0</v>
      </c>
      <c r="BE163" s="847">
        <v>0</v>
      </c>
      <c r="BF163" s="847">
        <v>0</v>
      </c>
      <c r="BG163" s="847">
        <v>0</v>
      </c>
      <c r="BH163" s="847">
        <v>0</v>
      </c>
      <c r="BI163" s="847">
        <v>0</v>
      </c>
      <c r="BJ163" s="847">
        <v>0</v>
      </c>
      <c r="BK163" s="847">
        <v>0</v>
      </c>
      <c r="BL163" s="847">
        <v>0</v>
      </c>
      <c r="BM163" s="847">
        <v>0</v>
      </c>
      <c r="BN163" s="847">
        <v>0</v>
      </c>
      <c r="BO163" s="847">
        <v>0</v>
      </c>
      <c r="BP163" s="847">
        <v>0</v>
      </c>
      <c r="BQ163" s="847">
        <v>0</v>
      </c>
      <c r="BR163" s="847">
        <v>0</v>
      </c>
      <c r="BS163" s="847">
        <v>0</v>
      </c>
      <c r="BT163" s="847">
        <v>0</v>
      </c>
      <c r="BU163" s="847">
        <v>0</v>
      </c>
      <c r="BV163" s="847">
        <v>0</v>
      </c>
      <c r="BW163" s="847">
        <v>0</v>
      </c>
      <c r="BX163" s="847">
        <v>0</v>
      </c>
      <c r="BY163" s="847">
        <v>0</v>
      </c>
      <c r="BZ163" s="847">
        <v>0</v>
      </c>
      <c r="CA163" s="847">
        <v>0</v>
      </c>
      <c r="CB163" s="847">
        <v>0</v>
      </c>
      <c r="CC163" s="847">
        <v>0</v>
      </c>
      <c r="CD163" s="847">
        <v>0</v>
      </c>
      <c r="CE163" s="847">
        <v>0</v>
      </c>
      <c r="CF163" s="847">
        <v>0</v>
      </c>
      <c r="CG163" s="847">
        <v>0</v>
      </c>
      <c r="CH163" s="847">
        <v>0</v>
      </c>
      <c r="CI163" s="847">
        <v>0</v>
      </c>
      <c r="CJ163" s="847">
        <v>0</v>
      </c>
      <c r="CK163" s="847">
        <v>0</v>
      </c>
      <c r="CL163" s="847">
        <v>0</v>
      </c>
      <c r="CM163" s="847">
        <v>0</v>
      </c>
      <c r="CN163" s="847">
        <v>0</v>
      </c>
      <c r="CO163" s="847">
        <v>0</v>
      </c>
      <c r="CP163" s="847">
        <v>0</v>
      </c>
      <c r="CQ163" s="847">
        <v>0</v>
      </c>
      <c r="CR163" s="847">
        <v>0</v>
      </c>
      <c r="CS163" s="847">
        <v>0</v>
      </c>
      <c r="CT163" s="847">
        <v>0</v>
      </c>
      <c r="CU163" s="847">
        <v>0</v>
      </c>
      <c r="CV163" s="847">
        <v>0</v>
      </c>
      <c r="CW163" s="847">
        <v>0</v>
      </c>
      <c r="CX163" s="847">
        <v>0</v>
      </c>
      <c r="CY163" s="847">
        <v>0</v>
      </c>
      <c r="CZ163" s="847">
        <v>0</v>
      </c>
      <c r="DA163" s="847">
        <v>0</v>
      </c>
      <c r="DB163" s="847">
        <v>0</v>
      </c>
      <c r="DC163" s="847">
        <v>0</v>
      </c>
      <c r="DD163" s="847">
        <v>0</v>
      </c>
      <c r="DE163" s="847">
        <v>0</v>
      </c>
      <c r="DF163" s="847">
        <v>0</v>
      </c>
      <c r="DG163" s="847">
        <v>0</v>
      </c>
      <c r="DH163" s="847">
        <v>0</v>
      </c>
      <c r="DI163" s="847">
        <v>0</v>
      </c>
      <c r="DJ163" s="847">
        <v>0</v>
      </c>
      <c r="DK163" s="847">
        <v>0</v>
      </c>
      <c r="DL163" s="847">
        <v>0</v>
      </c>
      <c r="DM163" s="847">
        <v>0</v>
      </c>
      <c r="DN163" s="847">
        <v>0</v>
      </c>
      <c r="DO163" s="847">
        <v>0</v>
      </c>
      <c r="DP163" s="847">
        <v>0</v>
      </c>
      <c r="DQ163" s="847">
        <v>0</v>
      </c>
      <c r="DR163" s="847">
        <v>0</v>
      </c>
      <c r="DS163" s="847">
        <v>151400</v>
      </c>
      <c r="DT163" s="847">
        <v>0</v>
      </c>
      <c r="DU163" s="847">
        <v>0</v>
      </c>
      <c r="DV163" s="847">
        <v>0</v>
      </c>
      <c r="DW163" s="847">
        <v>0</v>
      </c>
      <c r="DY163" s="843" t="s">
        <v>1060</v>
      </c>
      <c r="DZ163" s="843" t="s">
        <v>1382</v>
      </c>
      <c r="EA163" s="843" t="s">
        <v>96</v>
      </c>
      <c r="EB163" s="844">
        <v>4</v>
      </c>
      <c r="EC163" s="780" t="str">
        <f t="shared" si="7"/>
        <v>IWT060104</v>
      </c>
      <c r="ED163" s="844">
        <v>4529</v>
      </c>
      <c r="EE163" s="844">
        <v>9058</v>
      </c>
      <c r="EF163" s="844">
        <v>13587</v>
      </c>
      <c r="EG163" s="844">
        <v>18116</v>
      </c>
      <c r="EH163" s="844">
        <v>22645</v>
      </c>
      <c r="EI163" s="844">
        <v>27174</v>
      </c>
      <c r="EJ163" s="844">
        <v>27174</v>
      </c>
      <c r="EK163" s="844">
        <v>27174</v>
      </c>
      <c r="EL163" s="844">
        <v>27174</v>
      </c>
      <c r="EM163" s="844">
        <v>27174</v>
      </c>
      <c r="EN163" s="844">
        <v>27174</v>
      </c>
      <c r="EO163" s="844">
        <v>27174</v>
      </c>
      <c r="EP163" s="844">
        <v>31108</v>
      </c>
      <c r="EQ163" s="844">
        <v>31730</v>
      </c>
      <c r="ER163" s="844">
        <v>32365</v>
      </c>
      <c r="ES163" s="844">
        <v>33012</v>
      </c>
      <c r="ET163" s="844">
        <v>33673</v>
      </c>
      <c r="EU163" s="844">
        <v>34346</v>
      </c>
      <c r="EV163" s="844">
        <v>35033</v>
      </c>
      <c r="EW163" s="844">
        <v>35734</v>
      </c>
      <c r="EX163" s="844">
        <v>36448</v>
      </c>
      <c r="EY163" s="844">
        <v>37177</v>
      </c>
      <c r="EZ163" s="844">
        <v>37921</v>
      </c>
      <c r="FA163" s="844">
        <v>38679</v>
      </c>
      <c r="FB163" s="844">
        <v>39453</v>
      </c>
      <c r="FC163" s="844">
        <v>40242</v>
      </c>
      <c r="FD163" s="844">
        <v>41047</v>
      </c>
      <c r="FE163" s="844">
        <v>41868</v>
      </c>
      <c r="FF163" s="844">
        <v>42705</v>
      </c>
      <c r="FG163" s="844">
        <v>43600</v>
      </c>
      <c r="FH163" s="844">
        <v>45000</v>
      </c>
      <c r="FI163" s="844">
        <v>46400</v>
      </c>
      <c r="FJ163" s="844">
        <v>47800</v>
      </c>
      <c r="FK163" s="844">
        <v>49200</v>
      </c>
      <c r="FL163" s="844">
        <v>50600</v>
      </c>
      <c r="FM163" s="844">
        <v>52000</v>
      </c>
      <c r="FN163" s="844">
        <v>53400</v>
      </c>
      <c r="FO163" s="844">
        <v>54800</v>
      </c>
      <c r="FP163" s="844">
        <v>56200</v>
      </c>
      <c r="FQ163" s="844">
        <v>57600</v>
      </c>
      <c r="FR163" s="844">
        <v>59000</v>
      </c>
      <c r="FS163" s="844">
        <v>60400</v>
      </c>
      <c r="FT163" s="844">
        <v>61800</v>
      </c>
      <c r="FU163" s="844">
        <v>63200</v>
      </c>
      <c r="FV163" s="844">
        <v>64600</v>
      </c>
      <c r="FW163" s="844">
        <v>66000</v>
      </c>
      <c r="FX163" s="844">
        <v>67400</v>
      </c>
      <c r="FY163" s="844">
        <v>68800</v>
      </c>
      <c r="FZ163" s="844">
        <v>70200</v>
      </c>
      <c r="GA163" s="844">
        <v>71600</v>
      </c>
      <c r="GB163" s="844">
        <v>73000</v>
      </c>
      <c r="GC163" s="844">
        <v>74400</v>
      </c>
      <c r="GD163" s="844">
        <v>75800</v>
      </c>
      <c r="GE163" s="844">
        <v>77200</v>
      </c>
      <c r="GF163" s="844">
        <v>78600</v>
      </c>
      <c r="GG163" s="844">
        <v>80000</v>
      </c>
      <c r="GH163" s="844">
        <v>81400</v>
      </c>
      <c r="GI163" s="844">
        <v>82800</v>
      </c>
      <c r="GJ163" s="844">
        <v>84200</v>
      </c>
      <c r="GK163" s="844">
        <v>85600</v>
      </c>
      <c r="GL163" s="844">
        <v>87000</v>
      </c>
      <c r="GM163" s="844">
        <v>88400</v>
      </c>
      <c r="GN163" s="844">
        <v>89800</v>
      </c>
      <c r="GO163" s="844">
        <v>91200</v>
      </c>
      <c r="GP163" s="844">
        <v>92600</v>
      </c>
      <c r="GQ163" s="844">
        <v>94000</v>
      </c>
      <c r="GR163" s="844">
        <v>95400</v>
      </c>
      <c r="GS163" s="844">
        <v>96800</v>
      </c>
      <c r="GT163" s="844">
        <v>98200</v>
      </c>
      <c r="GU163" s="844">
        <v>99600</v>
      </c>
      <c r="GV163" s="844">
        <v>101000</v>
      </c>
      <c r="GW163" s="844">
        <v>102400</v>
      </c>
      <c r="GX163" s="844">
        <v>103800</v>
      </c>
      <c r="GY163" s="844">
        <v>105200</v>
      </c>
      <c r="GZ163" s="844">
        <v>106600</v>
      </c>
      <c r="HA163" s="844">
        <v>108000</v>
      </c>
      <c r="HB163" s="844">
        <v>109400</v>
      </c>
      <c r="HC163" s="844">
        <v>110800</v>
      </c>
      <c r="HD163" s="844">
        <v>112200</v>
      </c>
      <c r="HE163" s="844">
        <v>113600</v>
      </c>
      <c r="HF163" s="844">
        <v>115000</v>
      </c>
      <c r="HG163" s="844">
        <v>116400</v>
      </c>
      <c r="HH163" s="844">
        <v>117800</v>
      </c>
      <c r="HI163" s="844">
        <v>119200</v>
      </c>
      <c r="HJ163" s="844">
        <v>120600</v>
      </c>
      <c r="HK163" s="844">
        <v>122000</v>
      </c>
      <c r="HL163" s="844">
        <v>123400</v>
      </c>
      <c r="HM163" s="844">
        <v>124800</v>
      </c>
      <c r="HN163" s="844">
        <v>126200</v>
      </c>
      <c r="HO163" s="844">
        <v>127600</v>
      </c>
      <c r="HP163" s="844">
        <v>129000</v>
      </c>
      <c r="HQ163" s="844">
        <v>130400</v>
      </c>
      <c r="HR163" s="844">
        <v>131800</v>
      </c>
      <c r="HS163" s="844">
        <v>133200</v>
      </c>
      <c r="HT163" s="844">
        <v>134600</v>
      </c>
      <c r="HU163" s="844">
        <v>136000</v>
      </c>
      <c r="HV163" s="844">
        <v>137400</v>
      </c>
      <c r="HW163" s="844">
        <v>138800</v>
      </c>
      <c r="HX163" s="844">
        <v>140200</v>
      </c>
      <c r="HY163" s="844">
        <v>141600</v>
      </c>
      <c r="HZ163" s="844">
        <v>143000</v>
      </c>
      <c r="IA163" s="844">
        <v>144400</v>
      </c>
      <c r="IB163" s="844">
        <v>145800</v>
      </c>
      <c r="IC163" s="844">
        <v>147200</v>
      </c>
      <c r="ID163" s="844">
        <v>148600</v>
      </c>
      <c r="IE163" s="844">
        <v>150000</v>
      </c>
      <c r="IF163" s="844">
        <v>151400</v>
      </c>
      <c r="IG163" s="844">
        <v>0</v>
      </c>
      <c r="IH163" s="844">
        <v>0</v>
      </c>
      <c r="II163" s="844">
        <v>0</v>
      </c>
      <c r="IJ163" s="844">
        <v>0</v>
      </c>
    </row>
    <row r="164" spans="9:244" hidden="1">
      <c r="I164" s="156"/>
      <c r="L164" s="846" t="s">
        <v>1060</v>
      </c>
      <c r="M164" s="846" t="s">
        <v>1382</v>
      </c>
      <c r="N164" s="846" t="s">
        <v>96</v>
      </c>
      <c r="O164" s="847">
        <v>5</v>
      </c>
      <c r="P164" s="780" t="str">
        <f t="shared" si="6"/>
        <v>IWT060105</v>
      </c>
      <c r="Q164" s="847">
        <v>0</v>
      </c>
      <c r="R164" s="847">
        <v>0</v>
      </c>
      <c r="S164" s="847">
        <v>0</v>
      </c>
      <c r="T164" s="847">
        <v>0</v>
      </c>
      <c r="U164" s="847">
        <v>0</v>
      </c>
      <c r="V164" s="847">
        <v>0</v>
      </c>
      <c r="W164" s="847">
        <v>0</v>
      </c>
      <c r="X164" s="847">
        <v>0</v>
      </c>
      <c r="Y164" s="847">
        <v>0</v>
      </c>
      <c r="Z164" s="847">
        <v>0</v>
      </c>
      <c r="AA164" s="847">
        <v>0</v>
      </c>
      <c r="AB164" s="847">
        <v>0</v>
      </c>
      <c r="AC164" s="847">
        <v>0</v>
      </c>
      <c r="AD164" s="847">
        <v>0</v>
      </c>
      <c r="AE164" s="847">
        <v>0</v>
      </c>
      <c r="AF164" s="847">
        <v>0</v>
      </c>
      <c r="AG164" s="847">
        <v>0</v>
      </c>
      <c r="AH164" s="847">
        <v>0</v>
      </c>
      <c r="AI164" s="847">
        <v>0</v>
      </c>
      <c r="AJ164" s="847">
        <v>0</v>
      </c>
      <c r="AK164" s="847">
        <v>0</v>
      </c>
      <c r="AL164" s="847">
        <v>0</v>
      </c>
      <c r="AM164" s="847">
        <v>0</v>
      </c>
      <c r="AN164" s="847">
        <v>0</v>
      </c>
      <c r="AO164" s="847">
        <v>0</v>
      </c>
      <c r="AP164" s="847">
        <v>0</v>
      </c>
      <c r="AQ164" s="847">
        <v>0</v>
      </c>
      <c r="AR164" s="847">
        <v>0</v>
      </c>
      <c r="AS164" s="847">
        <v>0</v>
      </c>
      <c r="AT164" s="847">
        <v>0</v>
      </c>
      <c r="AU164" s="847">
        <v>0</v>
      </c>
      <c r="AV164" s="847">
        <v>0</v>
      </c>
      <c r="AW164" s="847">
        <v>0</v>
      </c>
      <c r="AX164" s="847">
        <v>0</v>
      </c>
      <c r="AY164" s="847">
        <v>0</v>
      </c>
      <c r="AZ164" s="847">
        <v>0</v>
      </c>
      <c r="BA164" s="847">
        <v>0</v>
      </c>
      <c r="BB164" s="847">
        <v>0</v>
      </c>
      <c r="BC164" s="847">
        <v>0</v>
      </c>
      <c r="BD164" s="847">
        <v>0</v>
      </c>
      <c r="BE164" s="847">
        <v>0</v>
      </c>
      <c r="BF164" s="847">
        <v>0</v>
      </c>
      <c r="BG164" s="847">
        <v>0</v>
      </c>
      <c r="BH164" s="847">
        <v>0</v>
      </c>
      <c r="BI164" s="847">
        <v>0</v>
      </c>
      <c r="BJ164" s="847">
        <v>0</v>
      </c>
      <c r="BK164" s="847">
        <v>0</v>
      </c>
      <c r="BL164" s="847">
        <v>0</v>
      </c>
      <c r="BM164" s="847">
        <v>0</v>
      </c>
      <c r="BN164" s="847">
        <v>0</v>
      </c>
      <c r="BO164" s="847">
        <v>0</v>
      </c>
      <c r="BP164" s="847">
        <v>0</v>
      </c>
      <c r="BQ164" s="847">
        <v>0</v>
      </c>
      <c r="BR164" s="847">
        <v>0</v>
      </c>
      <c r="BS164" s="847">
        <v>0</v>
      </c>
      <c r="BT164" s="847">
        <v>0</v>
      </c>
      <c r="BU164" s="847">
        <v>0</v>
      </c>
      <c r="BV164" s="847">
        <v>0</v>
      </c>
      <c r="BW164" s="847">
        <v>0</v>
      </c>
      <c r="BX164" s="847">
        <v>0</v>
      </c>
      <c r="BY164" s="847">
        <v>0</v>
      </c>
      <c r="BZ164" s="847">
        <v>0</v>
      </c>
      <c r="CA164" s="847">
        <v>0</v>
      </c>
      <c r="CB164" s="847">
        <v>0</v>
      </c>
      <c r="CC164" s="847">
        <v>0</v>
      </c>
      <c r="CD164" s="847">
        <v>0</v>
      </c>
      <c r="CE164" s="847">
        <v>0</v>
      </c>
      <c r="CF164" s="847">
        <v>0</v>
      </c>
      <c r="CG164" s="847">
        <v>0</v>
      </c>
      <c r="CH164" s="847">
        <v>0</v>
      </c>
      <c r="CI164" s="847">
        <v>0</v>
      </c>
      <c r="CJ164" s="847">
        <v>0</v>
      </c>
      <c r="CK164" s="847">
        <v>0</v>
      </c>
      <c r="CL164" s="847">
        <v>0</v>
      </c>
      <c r="CM164" s="847">
        <v>0</v>
      </c>
      <c r="CN164" s="847">
        <v>0</v>
      </c>
      <c r="CO164" s="847">
        <v>0</v>
      </c>
      <c r="CP164" s="847">
        <v>0</v>
      </c>
      <c r="CQ164" s="847">
        <v>0</v>
      </c>
      <c r="CR164" s="847">
        <v>0</v>
      </c>
      <c r="CS164" s="847">
        <v>0</v>
      </c>
      <c r="CT164" s="847">
        <v>0</v>
      </c>
      <c r="CU164" s="847">
        <v>0</v>
      </c>
      <c r="CV164" s="847">
        <v>0</v>
      </c>
      <c r="CW164" s="847">
        <v>0</v>
      </c>
      <c r="CX164" s="847">
        <v>0</v>
      </c>
      <c r="CY164" s="847">
        <v>0</v>
      </c>
      <c r="CZ164" s="847">
        <v>0</v>
      </c>
      <c r="DA164" s="847">
        <v>0</v>
      </c>
      <c r="DB164" s="847">
        <v>0</v>
      </c>
      <c r="DC164" s="847">
        <v>0</v>
      </c>
      <c r="DD164" s="847">
        <v>0</v>
      </c>
      <c r="DE164" s="847">
        <v>0</v>
      </c>
      <c r="DF164" s="847">
        <v>0</v>
      </c>
      <c r="DG164" s="847">
        <v>0</v>
      </c>
      <c r="DH164" s="847">
        <v>0</v>
      </c>
      <c r="DI164" s="847">
        <v>0</v>
      </c>
      <c r="DJ164" s="847">
        <v>0</v>
      </c>
      <c r="DK164" s="847">
        <v>0</v>
      </c>
      <c r="DL164" s="847">
        <v>0</v>
      </c>
      <c r="DM164" s="847">
        <v>0</v>
      </c>
      <c r="DN164" s="847">
        <v>0</v>
      </c>
      <c r="DO164" s="847">
        <v>0</v>
      </c>
      <c r="DP164" s="847">
        <v>0</v>
      </c>
      <c r="DQ164" s="847">
        <v>0</v>
      </c>
      <c r="DR164" s="847">
        <v>150000</v>
      </c>
      <c r="DS164" s="847">
        <v>0</v>
      </c>
      <c r="DT164" s="847">
        <v>0</v>
      </c>
      <c r="DU164" s="847">
        <v>0</v>
      </c>
      <c r="DV164" s="847">
        <v>0</v>
      </c>
      <c r="DW164" s="847">
        <v>0</v>
      </c>
      <c r="DY164" s="843" t="s">
        <v>1060</v>
      </c>
      <c r="DZ164" s="843" t="s">
        <v>1382</v>
      </c>
      <c r="EA164" s="843" t="s">
        <v>96</v>
      </c>
      <c r="EB164" s="844">
        <v>5</v>
      </c>
      <c r="EC164" s="780" t="str">
        <f t="shared" si="7"/>
        <v>IWT060105</v>
      </c>
      <c r="ED164" s="844">
        <v>4555</v>
      </c>
      <c r="EE164" s="844">
        <v>9110</v>
      </c>
      <c r="EF164" s="844">
        <v>13665</v>
      </c>
      <c r="EG164" s="844">
        <v>18220</v>
      </c>
      <c r="EH164" s="844">
        <v>22775</v>
      </c>
      <c r="EI164" s="844">
        <v>27330</v>
      </c>
      <c r="EJ164" s="844">
        <v>27330</v>
      </c>
      <c r="EK164" s="844">
        <v>27330</v>
      </c>
      <c r="EL164" s="844">
        <v>27330</v>
      </c>
      <c r="EM164" s="844">
        <v>27330</v>
      </c>
      <c r="EN164" s="844">
        <v>27330</v>
      </c>
      <c r="EO164" s="844">
        <v>30674</v>
      </c>
      <c r="EP164" s="844">
        <v>31288</v>
      </c>
      <c r="EQ164" s="844">
        <v>31913</v>
      </c>
      <c r="ER164" s="844">
        <v>32552</v>
      </c>
      <c r="ES164" s="844">
        <v>33203</v>
      </c>
      <c r="ET164" s="844">
        <v>33867</v>
      </c>
      <c r="EU164" s="844">
        <v>34544</v>
      </c>
      <c r="EV164" s="844">
        <v>35235</v>
      </c>
      <c r="EW164" s="844">
        <v>35940</v>
      </c>
      <c r="EX164" s="844">
        <v>36658</v>
      </c>
      <c r="EY164" s="844">
        <v>37392</v>
      </c>
      <c r="EZ164" s="844">
        <v>38139</v>
      </c>
      <c r="FA164" s="844">
        <v>38902</v>
      </c>
      <c r="FB164" s="844">
        <v>39680</v>
      </c>
      <c r="FC164" s="844">
        <v>40474</v>
      </c>
      <c r="FD164" s="844">
        <v>41283</v>
      </c>
      <c r="FE164" s="844">
        <v>42109</v>
      </c>
      <c r="FF164" s="844">
        <v>42951</v>
      </c>
      <c r="FG164" s="844">
        <v>43810</v>
      </c>
      <c r="FH164" s="844">
        <v>45000</v>
      </c>
      <c r="FI164" s="844">
        <v>46400</v>
      </c>
      <c r="FJ164" s="844">
        <v>47800</v>
      </c>
      <c r="FK164" s="844">
        <v>49200</v>
      </c>
      <c r="FL164" s="844">
        <v>50600</v>
      </c>
      <c r="FM164" s="844">
        <v>52000</v>
      </c>
      <c r="FN164" s="844">
        <v>53400</v>
      </c>
      <c r="FO164" s="844">
        <v>54800</v>
      </c>
      <c r="FP164" s="844">
        <v>56200</v>
      </c>
      <c r="FQ164" s="844">
        <v>57600</v>
      </c>
      <c r="FR164" s="844">
        <v>59000</v>
      </c>
      <c r="FS164" s="844">
        <v>60400</v>
      </c>
      <c r="FT164" s="844">
        <v>61800</v>
      </c>
      <c r="FU164" s="844">
        <v>63200</v>
      </c>
      <c r="FV164" s="844">
        <v>64600</v>
      </c>
      <c r="FW164" s="844">
        <v>66000</v>
      </c>
      <c r="FX164" s="844">
        <v>67400</v>
      </c>
      <c r="FY164" s="844">
        <v>68800</v>
      </c>
      <c r="FZ164" s="844">
        <v>70200</v>
      </c>
      <c r="GA164" s="844">
        <v>71600</v>
      </c>
      <c r="GB164" s="844">
        <v>73000</v>
      </c>
      <c r="GC164" s="844">
        <v>74400</v>
      </c>
      <c r="GD164" s="844">
        <v>75800</v>
      </c>
      <c r="GE164" s="844">
        <v>77200</v>
      </c>
      <c r="GF164" s="844">
        <v>78600</v>
      </c>
      <c r="GG164" s="844">
        <v>80000</v>
      </c>
      <c r="GH164" s="844">
        <v>81400</v>
      </c>
      <c r="GI164" s="844">
        <v>82800</v>
      </c>
      <c r="GJ164" s="844">
        <v>84200</v>
      </c>
      <c r="GK164" s="844">
        <v>85600</v>
      </c>
      <c r="GL164" s="844">
        <v>87000</v>
      </c>
      <c r="GM164" s="844">
        <v>88400</v>
      </c>
      <c r="GN164" s="844">
        <v>89800</v>
      </c>
      <c r="GO164" s="844">
        <v>91200</v>
      </c>
      <c r="GP164" s="844">
        <v>92600</v>
      </c>
      <c r="GQ164" s="844">
        <v>94000</v>
      </c>
      <c r="GR164" s="844">
        <v>95400</v>
      </c>
      <c r="GS164" s="844">
        <v>96800</v>
      </c>
      <c r="GT164" s="844">
        <v>98200</v>
      </c>
      <c r="GU164" s="844">
        <v>99600</v>
      </c>
      <c r="GV164" s="844">
        <v>101000</v>
      </c>
      <c r="GW164" s="844">
        <v>102400</v>
      </c>
      <c r="GX164" s="844">
        <v>103800</v>
      </c>
      <c r="GY164" s="844">
        <v>105200</v>
      </c>
      <c r="GZ164" s="844">
        <v>106600</v>
      </c>
      <c r="HA164" s="844">
        <v>108000</v>
      </c>
      <c r="HB164" s="844">
        <v>109400</v>
      </c>
      <c r="HC164" s="844">
        <v>110800</v>
      </c>
      <c r="HD164" s="844">
        <v>112200</v>
      </c>
      <c r="HE164" s="844">
        <v>113600</v>
      </c>
      <c r="HF164" s="844">
        <v>115000</v>
      </c>
      <c r="HG164" s="844">
        <v>116400</v>
      </c>
      <c r="HH164" s="844">
        <v>117800</v>
      </c>
      <c r="HI164" s="844">
        <v>119200</v>
      </c>
      <c r="HJ164" s="844">
        <v>120600</v>
      </c>
      <c r="HK164" s="844">
        <v>122000</v>
      </c>
      <c r="HL164" s="844">
        <v>123400</v>
      </c>
      <c r="HM164" s="844">
        <v>124800</v>
      </c>
      <c r="HN164" s="844">
        <v>126200</v>
      </c>
      <c r="HO164" s="844">
        <v>127600</v>
      </c>
      <c r="HP164" s="844">
        <v>129000</v>
      </c>
      <c r="HQ164" s="844">
        <v>130400</v>
      </c>
      <c r="HR164" s="844">
        <v>131800</v>
      </c>
      <c r="HS164" s="844">
        <v>133200</v>
      </c>
      <c r="HT164" s="844">
        <v>134600</v>
      </c>
      <c r="HU164" s="844">
        <v>136000</v>
      </c>
      <c r="HV164" s="844">
        <v>137400</v>
      </c>
      <c r="HW164" s="844">
        <v>138800</v>
      </c>
      <c r="HX164" s="844">
        <v>140200</v>
      </c>
      <c r="HY164" s="844">
        <v>141600</v>
      </c>
      <c r="HZ164" s="844">
        <v>143000</v>
      </c>
      <c r="IA164" s="844">
        <v>144400</v>
      </c>
      <c r="IB164" s="844">
        <v>145800</v>
      </c>
      <c r="IC164" s="844">
        <v>147200</v>
      </c>
      <c r="ID164" s="844">
        <v>148600</v>
      </c>
      <c r="IE164" s="844">
        <v>150000</v>
      </c>
      <c r="IF164" s="844">
        <v>0</v>
      </c>
      <c r="IG164" s="844">
        <v>0</v>
      </c>
      <c r="IH164" s="844">
        <v>0</v>
      </c>
      <c r="II164" s="844">
        <v>0</v>
      </c>
      <c r="IJ164" s="844">
        <v>0</v>
      </c>
    </row>
    <row r="165" spans="9:244" hidden="1">
      <c r="I165" s="156"/>
      <c r="L165" s="846" t="s">
        <v>1060</v>
      </c>
      <c r="M165" s="846" t="s">
        <v>1382</v>
      </c>
      <c r="N165" s="846" t="s">
        <v>96</v>
      </c>
      <c r="O165" s="847">
        <v>6</v>
      </c>
      <c r="P165" s="780" t="str">
        <f t="shared" si="6"/>
        <v>IWT060106</v>
      </c>
      <c r="Q165" s="847">
        <v>0</v>
      </c>
      <c r="R165" s="847">
        <v>0</v>
      </c>
      <c r="S165" s="847">
        <v>0</v>
      </c>
      <c r="T165" s="847">
        <v>0</v>
      </c>
      <c r="U165" s="847">
        <v>0</v>
      </c>
      <c r="V165" s="847">
        <v>0</v>
      </c>
      <c r="W165" s="847">
        <v>0</v>
      </c>
      <c r="X165" s="847">
        <v>0</v>
      </c>
      <c r="Y165" s="847">
        <v>0</v>
      </c>
      <c r="Z165" s="847">
        <v>0</v>
      </c>
      <c r="AA165" s="847">
        <v>0</v>
      </c>
      <c r="AB165" s="847">
        <v>0</v>
      </c>
      <c r="AC165" s="847">
        <v>0</v>
      </c>
      <c r="AD165" s="847">
        <v>0</v>
      </c>
      <c r="AE165" s="847">
        <v>0</v>
      </c>
      <c r="AF165" s="847">
        <v>0</v>
      </c>
      <c r="AG165" s="847">
        <v>0</v>
      </c>
      <c r="AH165" s="847">
        <v>0</v>
      </c>
      <c r="AI165" s="847">
        <v>0</v>
      </c>
      <c r="AJ165" s="847">
        <v>0</v>
      </c>
      <c r="AK165" s="847">
        <v>0</v>
      </c>
      <c r="AL165" s="847">
        <v>0</v>
      </c>
      <c r="AM165" s="847">
        <v>0</v>
      </c>
      <c r="AN165" s="847">
        <v>0</v>
      </c>
      <c r="AO165" s="847">
        <v>0</v>
      </c>
      <c r="AP165" s="847">
        <v>0</v>
      </c>
      <c r="AQ165" s="847">
        <v>0</v>
      </c>
      <c r="AR165" s="847">
        <v>0</v>
      </c>
      <c r="AS165" s="847">
        <v>0</v>
      </c>
      <c r="AT165" s="847">
        <v>0</v>
      </c>
      <c r="AU165" s="847">
        <v>0</v>
      </c>
      <c r="AV165" s="847">
        <v>0</v>
      </c>
      <c r="AW165" s="847">
        <v>0</v>
      </c>
      <c r="AX165" s="847">
        <v>0</v>
      </c>
      <c r="AY165" s="847">
        <v>0</v>
      </c>
      <c r="AZ165" s="847">
        <v>0</v>
      </c>
      <c r="BA165" s="847">
        <v>0</v>
      </c>
      <c r="BB165" s="847">
        <v>0</v>
      </c>
      <c r="BC165" s="847">
        <v>0</v>
      </c>
      <c r="BD165" s="847">
        <v>0</v>
      </c>
      <c r="BE165" s="847">
        <v>0</v>
      </c>
      <c r="BF165" s="847">
        <v>0</v>
      </c>
      <c r="BG165" s="847">
        <v>0</v>
      </c>
      <c r="BH165" s="847">
        <v>0</v>
      </c>
      <c r="BI165" s="847">
        <v>0</v>
      </c>
      <c r="BJ165" s="847">
        <v>0</v>
      </c>
      <c r="BK165" s="847">
        <v>0</v>
      </c>
      <c r="BL165" s="847">
        <v>0</v>
      </c>
      <c r="BM165" s="847">
        <v>0</v>
      </c>
      <c r="BN165" s="847">
        <v>0</v>
      </c>
      <c r="BO165" s="847">
        <v>0</v>
      </c>
      <c r="BP165" s="847">
        <v>0</v>
      </c>
      <c r="BQ165" s="847">
        <v>0</v>
      </c>
      <c r="BR165" s="847">
        <v>0</v>
      </c>
      <c r="BS165" s="847">
        <v>0</v>
      </c>
      <c r="BT165" s="847">
        <v>0</v>
      </c>
      <c r="BU165" s="847">
        <v>0</v>
      </c>
      <c r="BV165" s="847">
        <v>0</v>
      </c>
      <c r="BW165" s="847">
        <v>0</v>
      </c>
      <c r="BX165" s="847">
        <v>0</v>
      </c>
      <c r="BY165" s="847">
        <v>0</v>
      </c>
      <c r="BZ165" s="847">
        <v>0</v>
      </c>
      <c r="CA165" s="847">
        <v>0</v>
      </c>
      <c r="CB165" s="847">
        <v>0</v>
      </c>
      <c r="CC165" s="847">
        <v>0</v>
      </c>
      <c r="CD165" s="847">
        <v>0</v>
      </c>
      <c r="CE165" s="847">
        <v>0</v>
      </c>
      <c r="CF165" s="847">
        <v>0</v>
      </c>
      <c r="CG165" s="847">
        <v>0</v>
      </c>
      <c r="CH165" s="847">
        <v>0</v>
      </c>
      <c r="CI165" s="847">
        <v>0</v>
      </c>
      <c r="CJ165" s="847">
        <v>0</v>
      </c>
      <c r="CK165" s="847">
        <v>0</v>
      </c>
      <c r="CL165" s="847">
        <v>0</v>
      </c>
      <c r="CM165" s="847">
        <v>0</v>
      </c>
      <c r="CN165" s="847">
        <v>0</v>
      </c>
      <c r="CO165" s="847">
        <v>0</v>
      </c>
      <c r="CP165" s="847">
        <v>0</v>
      </c>
      <c r="CQ165" s="847">
        <v>0</v>
      </c>
      <c r="CR165" s="847">
        <v>0</v>
      </c>
      <c r="CS165" s="847">
        <v>0</v>
      </c>
      <c r="CT165" s="847">
        <v>0</v>
      </c>
      <c r="CU165" s="847">
        <v>0</v>
      </c>
      <c r="CV165" s="847">
        <v>0</v>
      </c>
      <c r="CW165" s="847">
        <v>0</v>
      </c>
      <c r="CX165" s="847">
        <v>0</v>
      </c>
      <c r="CY165" s="847">
        <v>0</v>
      </c>
      <c r="CZ165" s="847">
        <v>0</v>
      </c>
      <c r="DA165" s="847">
        <v>0</v>
      </c>
      <c r="DB165" s="847">
        <v>0</v>
      </c>
      <c r="DC165" s="847">
        <v>0</v>
      </c>
      <c r="DD165" s="847">
        <v>0</v>
      </c>
      <c r="DE165" s="847">
        <v>0</v>
      </c>
      <c r="DF165" s="847">
        <v>0</v>
      </c>
      <c r="DG165" s="847">
        <v>0</v>
      </c>
      <c r="DH165" s="847">
        <v>0</v>
      </c>
      <c r="DI165" s="847">
        <v>0</v>
      </c>
      <c r="DJ165" s="847">
        <v>0</v>
      </c>
      <c r="DK165" s="847">
        <v>0</v>
      </c>
      <c r="DL165" s="847">
        <v>0</v>
      </c>
      <c r="DM165" s="847">
        <v>0</v>
      </c>
      <c r="DN165" s="847">
        <v>0</v>
      </c>
      <c r="DO165" s="847">
        <v>0</v>
      </c>
      <c r="DP165" s="847">
        <v>0</v>
      </c>
      <c r="DQ165" s="847">
        <v>148600</v>
      </c>
      <c r="DR165" s="847">
        <v>0</v>
      </c>
      <c r="DS165" s="847">
        <v>0</v>
      </c>
      <c r="DT165" s="847">
        <v>0</v>
      </c>
      <c r="DU165" s="847">
        <v>0</v>
      </c>
      <c r="DV165" s="847">
        <v>0</v>
      </c>
      <c r="DW165" s="847">
        <v>0</v>
      </c>
      <c r="DY165" s="843" t="s">
        <v>1060</v>
      </c>
      <c r="DZ165" s="843" t="s">
        <v>1382</v>
      </c>
      <c r="EA165" s="843" t="s">
        <v>96</v>
      </c>
      <c r="EB165" s="844">
        <v>6</v>
      </c>
      <c r="EC165" s="780" t="str">
        <f t="shared" si="7"/>
        <v>IWT060106</v>
      </c>
      <c r="ED165" s="844">
        <v>4581</v>
      </c>
      <c r="EE165" s="844">
        <v>9162</v>
      </c>
      <c r="EF165" s="844">
        <v>13743</v>
      </c>
      <c r="EG165" s="844">
        <v>18324</v>
      </c>
      <c r="EH165" s="844">
        <v>22905</v>
      </c>
      <c r="EI165" s="844">
        <v>27486</v>
      </c>
      <c r="EJ165" s="844">
        <v>27486</v>
      </c>
      <c r="EK165" s="844">
        <v>27486</v>
      </c>
      <c r="EL165" s="844">
        <v>27486</v>
      </c>
      <c r="EM165" s="844">
        <v>27486</v>
      </c>
      <c r="EN165" s="844">
        <v>30241</v>
      </c>
      <c r="EO165" s="844">
        <v>30846</v>
      </c>
      <c r="EP165" s="844">
        <v>31463</v>
      </c>
      <c r="EQ165" s="844">
        <v>32092</v>
      </c>
      <c r="ER165" s="844">
        <v>32734</v>
      </c>
      <c r="ES165" s="844">
        <v>33389</v>
      </c>
      <c r="ET165" s="844">
        <v>34056</v>
      </c>
      <c r="EU165" s="844">
        <v>34738</v>
      </c>
      <c r="EV165" s="844">
        <v>35432</v>
      </c>
      <c r="EW165" s="844">
        <v>36141</v>
      </c>
      <c r="EX165" s="844">
        <v>36864</v>
      </c>
      <c r="EY165" s="844">
        <v>37601</v>
      </c>
      <c r="EZ165" s="844">
        <v>38353</v>
      </c>
      <c r="FA165" s="844">
        <v>39120</v>
      </c>
      <c r="FB165" s="844">
        <v>39903</v>
      </c>
      <c r="FC165" s="844">
        <v>40701</v>
      </c>
      <c r="FD165" s="844">
        <v>41515</v>
      </c>
      <c r="FE165" s="844">
        <v>42345</v>
      </c>
      <c r="FF165" s="844">
        <v>43192</v>
      </c>
      <c r="FG165" s="844">
        <v>44056</v>
      </c>
      <c r="FH165" s="844">
        <v>45000</v>
      </c>
      <c r="FI165" s="844">
        <v>46400</v>
      </c>
      <c r="FJ165" s="844">
        <v>47800</v>
      </c>
      <c r="FK165" s="844">
        <v>49200</v>
      </c>
      <c r="FL165" s="844">
        <v>50600</v>
      </c>
      <c r="FM165" s="844">
        <v>52000</v>
      </c>
      <c r="FN165" s="844">
        <v>53400</v>
      </c>
      <c r="FO165" s="844">
        <v>54800</v>
      </c>
      <c r="FP165" s="844">
        <v>56200</v>
      </c>
      <c r="FQ165" s="844">
        <v>57600</v>
      </c>
      <c r="FR165" s="844">
        <v>59000</v>
      </c>
      <c r="FS165" s="844">
        <v>60400</v>
      </c>
      <c r="FT165" s="844">
        <v>61800</v>
      </c>
      <c r="FU165" s="844">
        <v>63200</v>
      </c>
      <c r="FV165" s="844">
        <v>64600</v>
      </c>
      <c r="FW165" s="844">
        <v>66000</v>
      </c>
      <c r="FX165" s="844">
        <v>67400</v>
      </c>
      <c r="FY165" s="844">
        <v>68800</v>
      </c>
      <c r="FZ165" s="844">
        <v>70200</v>
      </c>
      <c r="GA165" s="844">
        <v>71600</v>
      </c>
      <c r="GB165" s="844">
        <v>73000</v>
      </c>
      <c r="GC165" s="844">
        <v>74400</v>
      </c>
      <c r="GD165" s="844">
        <v>75800</v>
      </c>
      <c r="GE165" s="844">
        <v>77200</v>
      </c>
      <c r="GF165" s="844">
        <v>78600</v>
      </c>
      <c r="GG165" s="844">
        <v>80000</v>
      </c>
      <c r="GH165" s="844">
        <v>81400</v>
      </c>
      <c r="GI165" s="844">
        <v>82800</v>
      </c>
      <c r="GJ165" s="844">
        <v>84200</v>
      </c>
      <c r="GK165" s="844">
        <v>85600</v>
      </c>
      <c r="GL165" s="844">
        <v>87000</v>
      </c>
      <c r="GM165" s="844">
        <v>88400</v>
      </c>
      <c r="GN165" s="844">
        <v>89800</v>
      </c>
      <c r="GO165" s="844">
        <v>91200</v>
      </c>
      <c r="GP165" s="844">
        <v>92600</v>
      </c>
      <c r="GQ165" s="844">
        <v>94000</v>
      </c>
      <c r="GR165" s="844">
        <v>95400</v>
      </c>
      <c r="GS165" s="844">
        <v>96800</v>
      </c>
      <c r="GT165" s="844">
        <v>98200</v>
      </c>
      <c r="GU165" s="844">
        <v>99600</v>
      </c>
      <c r="GV165" s="844">
        <v>101000</v>
      </c>
      <c r="GW165" s="844">
        <v>102400</v>
      </c>
      <c r="GX165" s="844">
        <v>103800</v>
      </c>
      <c r="GY165" s="844">
        <v>105200</v>
      </c>
      <c r="GZ165" s="844">
        <v>106600</v>
      </c>
      <c r="HA165" s="844">
        <v>108000</v>
      </c>
      <c r="HB165" s="844">
        <v>109400</v>
      </c>
      <c r="HC165" s="844">
        <v>110800</v>
      </c>
      <c r="HD165" s="844">
        <v>112200</v>
      </c>
      <c r="HE165" s="844">
        <v>113600</v>
      </c>
      <c r="HF165" s="844">
        <v>115000</v>
      </c>
      <c r="HG165" s="844">
        <v>116400</v>
      </c>
      <c r="HH165" s="844">
        <v>117800</v>
      </c>
      <c r="HI165" s="844">
        <v>119200</v>
      </c>
      <c r="HJ165" s="844">
        <v>120600</v>
      </c>
      <c r="HK165" s="844">
        <v>122000</v>
      </c>
      <c r="HL165" s="844">
        <v>123400</v>
      </c>
      <c r="HM165" s="844">
        <v>124800</v>
      </c>
      <c r="HN165" s="844">
        <v>126200</v>
      </c>
      <c r="HO165" s="844">
        <v>127600</v>
      </c>
      <c r="HP165" s="844">
        <v>129000</v>
      </c>
      <c r="HQ165" s="844">
        <v>130400</v>
      </c>
      <c r="HR165" s="844">
        <v>131800</v>
      </c>
      <c r="HS165" s="844">
        <v>133200</v>
      </c>
      <c r="HT165" s="844">
        <v>134600</v>
      </c>
      <c r="HU165" s="844">
        <v>136000</v>
      </c>
      <c r="HV165" s="844">
        <v>137400</v>
      </c>
      <c r="HW165" s="844">
        <v>138800</v>
      </c>
      <c r="HX165" s="844">
        <v>140200</v>
      </c>
      <c r="HY165" s="844">
        <v>141600</v>
      </c>
      <c r="HZ165" s="844">
        <v>143000</v>
      </c>
      <c r="IA165" s="844">
        <v>144400</v>
      </c>
      <c r="IB165" s="844">
        <v>145800</v>
      </c>
      <c r="IC165" s="844">
        <v>147200</v>
      </c>
      <c r="ID165" s="844">
        <v>148600</v>
      </c>
      <c r="IE165" s="844">
        <v>0</v>
      </c>
      <c r="IF165" s="844">
        <v>0</v>
      </c>
      <c r="IG165" s="844">
        <v>0</v>
      </c>
      <c r="IH165" s="844">
        <v>0</v>
      </c>
      <c r="II165" s="844">
        <v>0</v>
      </c>
      <c r="IJ165" s="844">
        <v>0</v>
      </c>
    </row>
    <row r="166" spans="9:244" hidden="1">
      <c r="I166" s="156"/>
      <c r="L166" s="846" t="s">
        <v>1060</v>
      </c>
      <c r="M166" s="846" t="s">
        <v>1382</v>
      </c>
      <c r="N166" s="846" t="s">
        <v>96</v>
      </c>
      <c r="O166" s="847">
        <v>7</v>
      </c>
      <c r="P166" s="780" t="str">
        <f t="shared" si="6"/>
        <v>IWT060107</v>
      </c>
      <c r="Q166" s="847">
        <v>0</v>
      </c>
      <c r="R166" s="847">
        <v>0</v>
      </c>
      <c r="S166" s="847">
        <v>0</v>
      </c>
      <c r="T166" s="847">
        <v>0</v>
      </c>
      <c r="U166" s="847">
        <v>0</v>
      </c>
      <c r="V166" s="847">
        <v>0</v>
      </c>
      <c r="W166" s="847">
        <v>0</v>
      </c>
      <c r="X166" s="847">
        <v>0</v>
      </c>
      <c r="Y166" s="847">
        <v>0</v>
      </c>
      <c r="Z166" s="847">
        <v>0</v>
      </c>
      <c r="AA166" s="847">
        <v>0</v>
      </c>
      <c r="AB166" s="847">
        <v>0</v>
      </c>
      <c r="AC166" s="847">
        <v>0</v>
      </c>
      <c r="AD166" s="847">
        <v>0</v>
      </c>
      <c r="AE166" s="847">
        <v>0</v>
      </c>
      <c r="AF166" s="847">
        <v>0</v>
      </c>
      <c r="AG166" s="847">
        <v>0</v>
      </c>
      <c r="AH166" s="847">
        <v>0</v>
      </c>
      <c r="AI166" s="847">
        <v>0</v>
      </c>
      <c r="AJ166" s="847">
        <v>0</v>
      </c>
      <c r="AK166" s="847">
        <v>0</v>
      </c>
      <c r="AL166" s="847">
        <v>0</v>
      </c>
      <c r="AM166" s="847">
        <v>0</v>
      </c>
      <c r="AN166" s="847">
        <v>0</v>
      </c>
      <c r="AO166" s="847">
        <v>0</v>
      </c>
      <c r="AP166" s="847">
        <v>0</v>
      </c>
      <c r="AQ166" s="847">
        <v>0</v>
      </c>
      <c r="AR166" s="847">
        <v>0</v>
      </c>
      <c r="AS166" s="847">
        <v>0</v>
      </c>
      <c r="AT166" s="847">
        <v>0</v>
      </c>
      <c r="AU166" s="847">
        <v>0</v>
      </c>
      <c r="AV166" s="847">
        <v>0</v>
      </c>
      <c r="AW166" s="847">
        <v>0</v>
      </c>
      <c r="AX166" s="847">
        <v>0</v>
      </c>
      <c r="AY166" s="847">
        <v>0</v>
      </c>
      <c r="AZ166" s="847">
        <v>0</v>
      </c>
      <c r="BA166" s="847">
        <v>0</v>
      </c>
      <c r="BB166" s="847">
        <v>0</v>
      </c>
      <c r="BC166" s="847">
        <v>0</v>
      </c>
      <c r="BD166" s="847">
        <v>0</v>
      </c>
      <c r="BE166" s="847">
        <v>0</v>
      </c>
      <c r="BF166" s="847">
        <v>0</v>
      </c>
      <c r="BG166" s="847">
        <v>0</v>
      </c>
      <c r="BH166" s="847">
        <v>0</v>
      </c>
      <c r="BI166" s="847">
        <v>0</v>
      </c>
      <c r="BJ166" s="847">
        <v>0</v>
      </c>
      <c r="BK166" s="847">
        <v>0</v>
      </c>
      <c r="BL166" s="847">
        <v>0</v>
      </c>
      <c r="BM166" s="847">
        <v>0</v>
      </c>
      <c r="BN166" s="847">
        <v>0</v>
      </c>
      <c r="BO166" s="847">
        <v>0</v>
      </c>
      <c r="BP166" s="847">
        <v>0</v>
      </c>
      <c r="BQ166" s="847">
        <v>0</v>
      </c>
      <c r="BR166" s="847">
        <v>0</v>
      </c>
      <c r="BS166" s="847">
        <v>0</v>
      </c>
      <c r="BT166" s="847">
        <v>0</v>
      </c>
      <c r="BU166" s="847">
        <v>0</v>
      </c>
      <c r="BV166" s="847">
        <v>0</v>
      </c>
      <c r="BW166" s="847">
        <v>0</v>
      </c>
      <c r="BX166" s="847">
        <v>0</v>
      </c>
      <c r="BY166" s="847">
        <v>0</v>
      </c>
      <c r="BZ166" s="847">
        <v>0</v>
      </c>
      <c r="CA166" s="847">
        <v>0</v>
      </c>
      <c r="CB166" s="847">
        <v>0</v>
      </c>
      <c r="CC166" s="847">
        <v>0</v>
      </c>
      <c r="CD166" s="847">
        <v>0</v>
      </c>
      <c r="CE166" s="847">
        <v>0</v>
      </c>
      <c r="CF166" s="847">
        <v>0</v>
      </c>
      <c r="CG166" s="847">
        <v>0</v>
      </c>
      <c r="CH166" s="847">
        <v>0</v>
      </c>
      <c r="CI166" s="847">
        <v>0</v>
      </c>
      <c r="CJ166" s="847">
        <v>0</v>
      </c>
      <c r="CK166" s="847">
        <v>0</v>
      </c>
      <c r="CL166" s="847">
        <v>0</v>
      </c>
      <c r="CM166" s="847">
        <v>0</v>
      </c>
      <c r="CN166" s="847">
        <v>0</v>
      </c>
      <c r="CO166" s="847">
        <v>0</v>
      </c>
      <c r="CP166" s="847">
        <v>0</v>
      </c>
      <c r="CQ166" s="847">
        <v>0</v>
      </c>
      <c r="CR166" s="847">
        <v>0</v>
      </c>
      <c r="CS166" s="847">
        <v>0</v>
      </c>
      <c r="CT166" s="847">
        <v>0</v>
      </c>
      <c r="CU166" s="847">
        <v>0</v>
      </c>
      <c r="CV166" s="847">
        <v>0</v>
      </c>
      <c r="CW166" s="847">
        <v>0</v>
      </c>
      <c r="CX166" s="847">
        <v>0</v>
      </c>
      <c r="CY166" s="847">
        <v>0</v>
      </c>
      <c r="CZ166" s="847">
        <v>0</v>
      </c>
      <c r="DA166" s="847">
        <v>0</v>
      </c>
      <c r="DB166" s="847">
        <v>0</v>
      </c>
      <c r="DC166" s="847">
        <v>0</v>
      </c>
      <c r="DD166" s="847">
        <v>0</v>
      </c>
      <c r="DE166" s="847">
        <v>0</v>
      </c>
      <c r="DF166" s="847">
        <v>0</v>
      </c>
      <c r="DG166" s="847">
        <v>0</v>
      </c>
      <c r="DH166" s="847">
        <v>0</v>
      </c>
      <c r="DI166" s="847">
        <v>0</v>
      </c>
      <c r="DJ166" s="847">
        <v>0</v>
      </c>
      <c r="DK166" s="847">
        <v>0</v>
      </c>
      <c r="DL166" s="847">
        <v>0</v>
      </c>
      <c r="DM166" s="847">
        <v>0</v>
      </c>
      <c r="DN166" s="847">
        <v>0</v>
      </c>
      <c r="DO166" s="847">
        <v>0</v>
      </c>
      <c r="DP166" s="847">
        <v>147200</v>
      </c>
      <c r="DQ166" s="847">
        <v>0</v>
      </c>
      <c r="DR166" s="847">
        <v>0</v>
      </c>
      <c r="DS166" s="847">
        <v>0</v>
      </c>
      <c r="DT166" s="847">
        <v>0</v>
      </c>
      <c r="DU166" s="847">
        <v>0</v>
      </c>
      <c r="DV166" s="847">
        <v>0</v>
      </c>
      <c r="DW166" s="847">
        <v>0</v>
      </c>
      <c r="DY166" s="843" t="s">
        <v>1060</v>
      </c>
      <c r="DZ166" s="843" t="s">
        <v>1382</v>
      </c>
      <c r="EA166" s="843" t="s">
        <v>96</v>
      </c>
      <c r="EB166" s="844">
        <v>7</v>
      </c>
      <c r="EC166" s="780" t="str">
        <f t="shared" si="7"/>
        <v>IWT060107</v>
      </c>
      <c r="ED166" s="844">
        <v>4606</v>
      </c>
      <c r="EE166" s="844">
        <v>9212</v>
      </c>
      <c r="EF166" s="844">
        <v>13818</v>
      </c>
      <c r="EG166" s="844">
        <v>18424</v>
      </c>
      <c r="EH166" s="844">
        <v>23030</v>
      </c>
      <c r="EI166" s="844">
        <v>27636</v>
      </c>
      <c r="EJ166" s="844">
        <v>27636</v>
      </c>
      <c r="EK166" s="844">
        <v>27636</v>
      </c>
      <c r="EL166" s="844">
        <v>27636</v>
      </c>
      <c r="EM166" s="844">
        <v>29809</v>
      </c>
      <c r="EN166" s="844">
        <v>30406</v>
      </c>
      <c r="EO166" s="844">
        <v>31014</v>
      </c>
      <c r="EP166" s="844">
        <v>31634</v>
      </c>
      <c r="EQ166" s="844">
        <v>32267</v>
      </c>
      <c r="ER166" s="844">
        <v>32912</v>
      </c>
      <c r="ES166" s="844">
        <v>33570</v>
      </c>
      <c r="ET166" s="844">
        <v>34242</v>
      </c>
      <c r="EU166" s="844">
        <v>34926</v>
      </c>
      <c r="EV166" s="844">
        <v>35625</v>
      </c>
      <c r="EW166" s="844">
        <v>36337</v>
      </c>
      <c r="EX166" s="844">
        <v>37064</v>
      </c>
      <c r="EY166" s="844">
        <v>37806</v>
      </c>
      <c r="EZ166" s="844">
        <v>38562</v>
      </c>
      <c r="FA166" s="844">
        <v>39333</v>
      </c>
      <c r="FB166" s="844">
        <v>40120</v>
      </c>
      <c r="FC166" s="844">
        <v>40922</v>
      </c>
      <c r="FD166" s="844">
        <v>41740</v>
      </c>
      <c r="FE166" s="844">
        <v>42575</v>
      </c>
      <c r="FF166" s="844">
        <v>43427</v>
      </c>
      <c r="FG166" s="844">
        <v>44295</v>
      </c>
      <c r="FH166" s="844">
        <v>45181</v>
      </c>
      <c r="FI166" s="844">
        <v>46400</v>
      </c>
      <c r="FJ166" s="844">
        <v>47800</v>
      </c>
      <c r="FK166" s="844">
        <v>49200</v>
      </c>
      <c r="FL166" s="844">
        <v>50600</v>
      </c>
      <c r="FM166" s="844">
        <v>52000</v>
      </c>
      <c r="FN166" s="844">
        <v>53400</v>
      </c>
      <c r="FO166" s="844">
        <v>54800</v>
      </c>
      <c r="FP166" s="844">
        <v>56200</v>
      </c>
      <c r="FQ166" s="844">
        <v>57600</v>
      </c>
      <c r="FR166" s="844">
        <v>59000</v>
      </c>
      <c r="FS166" s="844">
        <v>60400</v>
      </c>
      <c r="FT166" s="844">
        <v>61800</v>
      </c>
      <c r="FU166" s="844">
        <v>63200</v>
      </c>
      <c r="FV166" s="844">
        <v>64600</v>
      </c>
      <c r="FW166" s="844">
        <v>66000</v>
      </c>
      <c r="FX166" s="844">
        <v>67400</v>
      </c>
      <c r="FY166" s="844">
        <v>68800</v>
      </c>
      <c r="FZ166" s="844">
        <v>70200</v>
      </c>
      <c r="GA166" s="844">
        <v>71600</v>
      </c>
      <c r="GB166" s="844">
        <v>73000</v>
      </c>
      <c r="GC166" s="844">
        <v>74400</v>
      </c>
      <c r="GD166" s="844">
        <v>75800</v>
      </c>
      <c r="GE166" s="844">
        <v>77200</v>
      </c>
      <c r="GF166" s="844">
        <v>78600</v>
      </c>
      <c r="GG166" s="844">
        <v>80000</v>
      </c>
      <c r="GH166" s="844">
        <v>81400</v>
      </c>
      <c r="GI166" s="844">
        <v>82800</v>
      </c>
      <c r="GJ166" s="844">
        <v>84200</v>
      </c>
      <c r="GK166" s="844">
        <v>85600</v>
      </c>
      <c r="GL166" s="844">
        <v>87000</v>
      </c>
      <c r="GM166" s="844">
        <v>88400</v>
      </c>
      <c r="GN166" s="844">
        <v>89800</v>
      </c>
      <c r="GO166" s="844">
        <v>91200</v>
      </c>
      <c r="GP166" s="844">
        <v>92600</v>
      </c>
      <c r="GQ166" s="844">
        <v>94000</v>
      </c>
      <c r="GR166" s="844">
        <v>95400</v>
      </c>
      <c r="GS166" s="844">
        <v>96800</v>
      </c>
      <c r="GT166" s="844">
        <v>98200</v>
      </c>
      <c r="GU166" s="844">
        <v>99600</v>
      </c>
      <c r="GV166" s="844">
        <v>101000</v>
      </c>
      <c r="GW166" s="844">
        <v>102400</v>
      </c>
      <c r="GX166" s="844">
        <v>103800</v>
      </c>
      <c r="GY166" s="844">
        <v>105200</v>
      </c>
      <c r="GZ166" s="844">
        <v>106600</v>
      </c>
      <c r="HA166" s="844">
        <v>108000</v>
      </c>
      <c r="HB166" s="844">
        <v>109400</v>
      </c>
      <c r="HC166" s="844">
        <v>110800</v>
      </c>
      <c r="HD166" s="844">
        <v>112200</v>
      </c>
      <c r="HE166" s="844">
        <v>113600</v>
      </c>
      <c r="HF166" s="844">
        <v>115000</v>
      </c>
      <c r="HG166" s="844">
        <v>116400</v>
      </c>
      <c r="HH166" s="844">
        <v>117800</v>
      </c>
      <c r="HI166" s="844">
        <v>119200</v>
      </c>
      <c r="HJ166" s="844">
        <v>120600</v>
      </c>
      <c r="HK166" s="844">
        <v>122000</v>
      </c>
      <c r="HL166" s="844">
        <v>123400</v>
      </c>
      <c r="HM166" s="844">
        <v>124800</v>
      </c>
      <c r="HN166" s="844">
        <v>126200</v>
      </c>
      <c r="HO166" s="844">
        <v>127600</v>
      </c>
      <c r="HP166" s="844">
        <v>129000</v>
      </c>
      <c r="HQ166" s="844">
        <v>130400</v>
      </c>
      <c r="HR166" s="844">
        <v>131800</v>
      </c>
      <c r="HS166" s="844">
        <v>133200</v>
      </c>
      <c r="HT166" s="844">
        <v>134600</v>
      </c>
      <c r="HU166" s="844">
        <v>136000</v>
      </c>
      <c r="HV166" s="844">
        <v>137400</v>
      </c>
      <c r="HW166" s="844">
        <v>138800</v>
      </c>
      <c r="HX166" s="844">
        <v>140200</v>
      </c>
      <c r="HY166" s="844">
        <v>141600</v>
      </c>
      <c r="HZ166" s="844">
        <v>143000</v>
      </c>
      <c r="IA166" s="844">
        <v>144400</v>
      </c>
      <c r="IB166" s="844">
        <v>145800</v>
      </c>
      <c r="IC166" s="844">
        <v>147200</v>
      </c>
      <c r="ID166" s="844">
        <v>0</v>
      </c>
      <c r="IE166" s="844">
        <v>0</v>
      </c>
      <c r="IF166" s="844">
        <v>0</v>
      </c>
      <c r="IG166" s="844">
        <v>0</v>
      </c>
      <c r="IH166" s="844">
        <v>0</v>
      </c>
      <c r="II166" s="844">
        <v>0</v>
      </c>
      <c r="IJ166" s="844">
        <v>0</v>
      </c>
    </row>
    <row r="167" spans="9:244" hidden="1">
      <c r="I167" s="156"/>
      <c r="L167" s="846" t="s">
        <v>1060</v>
      </c>
      <c r="M167" s="846" t="s">
        <v>1382</v>
      </c>
      <c r="N167" s="846" t="s">
        <v>96</v>
      </c>
      <c r="O167" s="847">
        <v>8</v>
      </c>
      <c r="P167" s="780" t="str">
        <f t="shared" si="6"/>
        <v>IWT060108</v>
      </c>
      <c r="Q167" s="847">
        <v>0</v>
      </c>
      <c r="R167" s="847">
        <v>0</v>
      </c>
      <c r="S167" s="847">
        <v>0</v>
      </c>
      <c r="T167" s="847">
        <v>0</v>
      </c>
      <c r="U167" s="847">
        <v>0</v>
      </c>
      <c r="V167" s="847">
        <v>0</v>
      </c>
      <c r="W167" s="847">
        <v>0</v>
      </c>
      <c r="X167" s="847">
        <v>0</v>
      </c>
      <c r="Y167" s="847">
        <v>0</v>
      </c>
      <c r="Z167" s="847">
        <v>0</v>
      </c>
      <c r="AA167" s="847">
        <v>0</v>
      </c>
      <c r="AB167" s="847">
        <v>0</v>
      </c>
      <c r="AC167" s="847">
        <v>0</v>
      </c>
      <c r="AD167" s="847">
        <v>0</v>
      </c>
      <c r="AE167" s="847">
        <v>0</v>
      </c>
      <c r="AF167" s="847">
        <v>0</v>
      </c>
      <c r="AG167" s="847">
        <v>0</v>
      </c>
      <c r="AH167" s="847">
        <v>0</v>
      </c>
      <c r="AI167" s="847">
        <v>0</v>
      </c>
      <c r="AJ167" s="847">
        <v>0</v>
      </c>
      <c r="AK167" s="847">
        <v>0</v>
      </c>
      <c r="AL167" s="847">
        <v>0</v>
      </c>
      <c r="AM167" s="847">
        <v>0</v>
      </c>
      <c r="AN167" s="847">
        <v>0</v>
      </c>
      <c r="AO167" s="847">
        <v>0</v>
      </c>
      <c r="AP167" s="847">
        <v>0</v>
      </c>
      <c r="AQ167" s="847">
        <v>0</v>
      </c>
      <c r="AR167" s="847">
        <v>0</v>
      </c>
      <c r="AS167" s="847">
        <v>0</v>
      </c>
      <c r="AT167" s="847">
        <v>0</v>
      </c>
      <c r="AU167" s="847">
        <v>0</v>
      </c>
      <c r="AV167" s="847">
        <v>0</v>
      </c>
      <c r="AW167" s="847">
        <v>0</v>
      </c>
      <c r="AX167" s="847">
        <v>0</v>
      </c>
      <c r="AY167" s="847">
        <v>0</v>
      </c>
      <c r="AZ167" s="847">
        <v>0</v>
      </c>
      <c r="BA167" s="847">
        <v>0</v>
      </c>
      <c r="BB167" s="847">
        <v>0</v>
      </c>
      <c r="BC167" s="847">
        <v>0</v>
      </c>
      <c r="BD167" s="847">
        <v>0</v>
      </c>
      <c r="BE167" s="847">
        <v>0</v>
      </c>
      <c r="BF167" s="847">
        <v>0</v>
      </c>
      <c r="BG167" s="847">
        <v>0</v>
      </c>
      <c r="BH167" s="847">
        <v>0</v>
      </c>
      <c r="BI167" s="847">
        <v>0</v>
      </c>
      <c r="BJ167" s="847">
        <v>0</v>
      </c>
      <c r="BK167" s="847">
        <v>0</v>
      </c>
      <c r="BL167" s="847">
        <v>0</v>
      </c>
      <c r="BM167" s="847">
        <v>0</v>
      </c>
      <c r="BN167" s="847">
        <v>0</v>
      </c>
      <c r="BO167" s="847">
        <v>0</v>
      </c>
      <c r="BP167" s="847">
        <v>0</v>
      </c>
      <c r="BQ167" s="847">
        <v>0</v>
      </c>
      <c r="BR167" s="847">
        <v>0</v>
      </c>
      <c r="BS167" s="847">
        <v>0</v>
      </c>
      <c r="BT167" s="847">
        <v>0</v>
      </c>
      <c r="BU167" s="847">
        <v>0</v>
      </c>
      <c r="BV167" s="847">
        <v>0</v>
      </c>
      <c r="BW167" s="847">
        <v>0</v>
      </c>
      <c r="BX167" s="847">
        <v>0</v>
      </c>
      <c r="BY167" s="847">
        <v>0</v>
      </c>
      <c r="BZ167" s="847">
        <v>0</v>
      </c>
      <c r="CA167" s="847">
        <v>0</v>
      </c>
      <c r="CB167" s="847">
        <v>0</v>
      </c>
      <c r="CC167" s="847">
        <v>0</v>
      </c>
      <c r="CD167" s="847">
        <v>0</v>
      </c>
      <c r="CE167" s="847">
        <v>0</v>
      </c>
      <c r="CF167" s="847">
        <v>0</v>
      </c>
      <c r="CG167" s="847">
        <v>0</v>
      </c>
      <c r="CH167" s="847">
        <v>0</v>
      </c>
      <c r="CI167" s="847">
        <v>0</v>
      </c>
      <c r="CJ167" s="847">
        <v>0</v>
      </c>
      <c r="CK167" s="847">
        <v>0</v>
      </c>
      <c r="CL167" s="847">
        <v>0</v>
      </c>
      <c r="CM167" s="847">
        <v>0</v>
      </c>
      <c r="CN167" s="847">
        <v>0</v>
      </c>
      <c r="CO167" s="847">
        <v>0</v>
      </c>
      <c r="CP167" s="847">
        <v>0</v>
      </c>
      <c r="CQ167" s="847">
        <v>0</v>
      </c>
      <c r="CR167" s="847">
        <v>0</v>
      </c>
      <c r="CS167" s="847">
        <v>0</v>
      </c>
      <c r="CT167" s="847">
        <v>0</v>
      </c>
      <c r="CU167" s="847">
        <v>0</v>
      </c>
      <c r="CV167" s="847">
        <v>0</v>
      </c>
      <c r="CW167" s="847">
        <v>0</v>
      </c>
      <c r="CX167" s="847">
        <v>0</v>
      </c>
      <c r="CY167" s="847">
        <v>0</v>
      </c>
      <c r="CZ167" s="847">
        <v>0</v>
      </c>
      <c r="DA167" s="847">
        <v>0</v>
      </c>
      <c r="DB167" s="847">
        <v>0</v>
      </c>
      <c r="DC167" s="847">
        <v>0</v>
      </c>
      <c r="DD167" s="847">
        <v>0</v>
      </c>
      <c r="DE167" s="847">
        <v>0</v>
      </c>
      <c r="DF167" s="847">
        <v>0</v>
      </c>
      <c r="DG167" s="847">
        <v>0</v>
      </c>
      <c r="DH167" s="847">
        <v>0</v>
      </c>
      <c r="DI167" s="847">
        <v>0</v>
      </c>
      <c r="DJ167" s="847">
        <v>0</v>
      </c>
      <c r="DK167" s="847">
        <v>0</v>
      </c>
      <c r="DL167" s="847">
        <v>0</v>
      </c>
      <c r="DM167" s="847">
        <v>0</v>
      </c>
      <c r="DN167" s="847">
        <v>0</v>
      </c>
      <c r="DO167" s="847">
        <v>145800</v>
      </c>
      <c r="DP167" s="847">
        <v>0</v>
      </c>
      <c r="DQ167" s="847">
        <v>0</v>
      </c>
      <c r="DR167" s="847">
        <v>0</v>
      </c>
      <c r="DS167" s="847">
        <v>0</v>
      </c>
      <c r="DT167" s="847">
        <v>0</v>
      </c>
      <c r="DU167" s="847">
        <v>0</v>
      </c>
      <c r="DV167" s="847">
        <v>0</v>
      </c>
      <c r="DW167" s="847">
        <v>0</v>
      </c>
      <c r="DY167" s="843" t="s">
        <v>1060</v>
      </c>
      <c r="DZ167" s="843" t="s">
        <v>1382</v>
      </c>
      <c r="EA167" s="843" t="s">
        <v>96</v>
      </c>
      <c r="EB167" s="844">
        <v>8</v>
      </c>
      <c r="EC167" s="780" t="str">
        <f t="shared" si="7"/>
        <v>IWT060108</v>
      </c>
      <c r="ED167" s="844">
        <v>4630</v>
      </c>
      <c r="EE167" s="844">
        <v>9260</v>
      </c>
      <c r="EF167" s="844">
        <v>13890</v>
      </c>
      <c r="EG167" s="844">
        <v>18520</v>
      </c>
      <c r="EH167" s="844">
        <v>23150</v>
      </c>
      <c r="EI167" s="844">
        <v>27780</v>
      </c>
      <c r="EJ167" s="844">
        <v>27780</v>
      </c>
      <c r="EK167" s="844">
        <v>27780</v>
      </c>
      <c r="EL167" s="844">
        <v>29446.799999999999</v>
      </c>
      <c r="EM167" s="844">
        <v>29966</v>
      </c>
      <c r="EN167" s="844">
        <v>30566</v>
      </c>
      <c r="EO167" s="844">
        <v>31177</v>
      </c>
      <c r="EP167" s="844">
        <v>31801</v>
      </c>
      <c r="EQ167" s="844">
        <v>32437</v>
      </c>
      <c r="ER167" s="844">
        <v>33085</v>
      </c>
      <c r="ES167" s="844">
        <v>33747</v>
      </c>
      <c r="ET167" s="844">
        <v>34422</v>
      </c>
      <c r="EU167" s="844">
        <v>35110</v>
      </c>
      <c r="EV167" s="844">
        <v>35813</v>
      </c>
      <c r="EW167" s="844">
        <v>36529</v>
      </c>
      <c r="EX167" s="844">
        <v>37259</v>
      </c>
      <c r="EY167" s="844">
        <v>38005</v>
      </c>
      <c r="EZ167" s="844">
        <v>38765</v>
      </c>
      <c r="FA167" s="844">
        <v>39540</v>
      </c>
      <c r="FB167" s="844">
        <v>40331</v>
      </c>
      <c r="FC167" s="844">
        <v>41137</v>
      </c>
      <c r="FD167" s="844">
        <v>41960</v>
      </c>
      <c r="FE167" s="844">
        <v>42799</v>
      </c>
      <c r="FF167" s="844">
        <v>43655</v>
      </c>
      <c r="FG167" s="844">
        <v>44529</v>
      </c>
      <c r="FH167" s="844">
        <v>45419</v>
      </c>
      <c r="FI167" s="844">
        <v>46400</v>
      </c>
      <c r="FJ167" s="844">
        <v>47800</v>
      </c>
      <c r="FK167" s="844">
        <v>49200</v>
      </c>
      <c r="FL167" s="844">
        <v>50600</v>
      </c>
      <c r="FM167" s="844">
        <v>52000</v>
      </c>
      <c r="FN167" s="844">
        <v>53400</v>
      </c>
      <c r="FO167" s="844">
        <v>54800</v>
      </c>
      <c r="FP167" s="844">
        <v>56200</v>
      </c>
      <c r="FQ167" s="844">
        <v>57600</v>
      </c>
      <c r="FR167" s="844">
        <v>59000</v>
      </c>
      <c r="FS167" s="844">
        <v>60400</v>
      </c>
      <c r="FT167" s="844">
        <v>61800</v>
      </c>
      <c r="FU167" s="844">
        <v>63200</v>
      </c>
      <c r="FV167" s="844">
        <v>64600</v>
      </c>
      <c r="FW167" s="844">
        <v>66000</v>
      </c>
      <c r="FX167" s="844">
        <v>67400</v>
      </c>
      <c r="FY167" s="844">
        <v>68800</v>
      </c>
      <c r="FZ167" s="844">
        <v>70200</v>
      </c>
      <c r="GA167" s="844">
        <v>71600</v>
      </c>
      <c r="GB167" s="844">
        <v>73000</v>
      </c>
      <c r="GC167" s="844">
        <v>74400</v>
      </c>
      <c r="GD167" s="844">
        <v>75800</v>
      </c>
      <c r="GE167" s="844">
        <v>77200</v>
      </c>
      <c r="GF167" s="844">
        <v>78600</v>
      </c>
      <c r="GG167" s="844">
        <v>80000</v>
      </c>
      <c r="GH167" s="844">
        <v>81400</v>
      </c>
      <c r="GI167" s="844">
        <v>82800</v>
      </c>
      <c r="GJ167" s="844">
        <v>84200</v>
      </c>
      <c r="GK167" s="844">
        <v>85600</v>
      </c>
      <c r="GL167" s="844">
        <v>87000</v>
      </c>
      <c r="GM167" s="844">
        <v>88400</v>
      </c>
      <c r="GN167" s="844">
        <v>89800</v>
      </c>
      <c r="GO167" s="844">
        <v>91200</v>
      </c>
      <c r="GP167" s="844">
        <v>92600</v>
      </c>
      <c r="GQ167" s="844">
        <v>94000</v>
      </c>
      <c r="GR167" s="844">
        <v>95400</v>
      </c>
      <c r="GS167" s="844">
        <v>96800</v>
      </c>
      <c r="GT167" s="844">
        <v>98200</v>
      </c>
      <c r="GU167" s="844">
        <v>99600</v>
      </c>
      <c r="GV167" s="844">
        <v>101000</v>
      </c>
      <c r="GW167" s="844">
        <v>102400</v>
      </c>
      <c r="GX167" s="844">
        <v>103800</v>
      </c>
      <c r="GY167" s="844">
        <v>105200</v>
      </c>
      <c r="GZ167" s="844">
        <v>106600</v>
      </c>
      <c r="HA167" s="844">
        <v>108000</v>
      </c>
      <c r="HB167" s="844">
        <v>109400</v>
      </c>
      <c r="HC167" s="844">
        <v>110800</v>
      </c>
      <c r="HD167" s="844">
        <v>112200</v>
      </c>
      <c r="HE167" s="844">
        <v>113600</v>
      </c>
      <c r="HF167" s="844">
        <v>115000</v>
      </c>
      <c r="HG167" s="844">
        <v>116400</v>
      </c>
      <c r="HH167" s="844">
        <v>117800</v>
      </c>
      <c r="HI167" s="844">
        <v>119200</v>
      </c>
      <c r="HJ167" s="844">
        <v>120600</v>
      </c>
      <c r="HK167" s="844">
        <v>122000</v>
      </c>
      <c r="HL167" s="844">
        <v>123400</v>
      </c>
      <c r="HM167" s="844">
        <v>124800</v>
      </c>
      <c r="HN167" s="844">
        <v>126200</v>
      </c>
      <c r="HO167" s="844">
        <v>127600</v>
      </c>
      <c r="HP167" s="844">
        <v>129000</v>
      </c>
      <c r="HQ167" s="844">
        <v>130400</v>
      </c>
      <c r="HR167" s="844">
        <v>131800</v>
      </c>
      <c r="HS167" s="844">
        <v>133200</v>
      </c>
      <c r="HT167" s="844">
        <v>134600</v>
      </c>
      <c r="HU167" s="844">
        <v>136000</v>
      </c>
      <c r="HV167" s="844">
        <v>137400</v>
      </c>
      <c r="HW167" s="844">
        <v>138800</v>
      </c>
      <c r="HX167" s="844">
        <v>140200</v>
      </c>
      <c r="HY167" s="844">
        <v>141600</v>
      </c>
      <c r="HZ167" s="844">
        <v>143000</v>
      </c>
      <c r="IA167" s="844">
        <v>144400</v>
      </c>
      <c r="IB167" s="844">
        <v>145800</v>
      </c>
      <c r="IC167" s="844">
        <v>0</v>
      </c>
      <c r="ID167" s="844">
        <v>0</v>
      </c>
      <c r="IE167" s="844">
        <v>0</v>
      </c>
      <c r="IF167" s="844">
        <v>0</v>
      </c>
      <c r="IG167" s="844">
        <v>0</v>
      </c>
      <c r="IH167" s="844">
        <v>0</v>
      </c>
      <c r="II167" s="844">
        <v>0</v>
      </c>
      <c r="IJ167" s="844">
        <v>0</v>
      </c>
    </row>
    <row r="168" spans="9:244" hidden="1">
      <c r="I168" s="156"/>
      <c r="L168" s="846" t="s">
        <v>1060</v>
      </c>
      <c r="M168" s="846" t="s">
        <v>1382</v>
      </c>
      <c r="N168" s="846" t="s">
        <v>96</v>
      </c>
      <c r="O168" s="847">
        <v>9</v>
      </c>
      <c r="P168" s="780" t="str">
        <f t="shared" si="6"/>
        <v>IWT060109</v>
      </c>
      <c r="Q168" s="847">
        <v>0</v>
      </c>
      <c r="R168" s="847">
        <v>0</v>
      </c>
      <c r="S168" s="847">
        <v>0</v>
      </c>
      <c r="T168" s="847">
        <v>0</v>
      </c>
      <c r="U168" s="847">
        <v>0</v>
      </c>
      <c r="V168" s="847">
        <v>0</v>
      </c>
      <c r="W168" s="847">
        <v>0</v>
      </c>
      <c r="X168" s="847">
        <v>0</v>
      </c>
      <c r="Y168" s="847">
        <v>0</v>
      </c>
      <c r="Z168" s="847">
        <v>0</v>
      </c>
      <c r="AA168" s="847">
        <v>0</v>
      </c>
      <c r="AB168" s="847">
        <v>0</v>
      </c>
      <c r="AC168" s="847">
        <v>0</v>
      </c>
      <c r="AD168" s="847">
        <v>0</v>
      </c>
      <c r="AE168" s="847">
        <v>0</v>
      </c>
      <c r="AF168" s="847">
        <v>0</v>
      </c>
      <c r="AG168" s="847">
        <v>0</v>
      </c>
      <c r="AH168" s="847">
        <v>0</v>
      </c>
      <c r="AI168" s="847">
        <v>0</v>
      </c>
      <c r="AJ168" s="847">
        <v>0</v>
      </c>
      <c r="AK168" s="847">
        <v>0</v>
      </c>
      <c r="AL168" s="847">
        <v>0</v>
      </c>
      <c r="AM168" s="847">
        <v>0</v>
      </c>
      <c r="AN168" s="847">
        <v>0</v>
      </c>
      <c r="AO168" s="847">
        <v>0</v>
      </c>
      <c r="AP168" s="847">
        <v>0</v>
      </c>
      <c r="AQ168" s="847">
        <v>0</v>
      </c>
      <c r="AR168" s="847">
        <v>0</v>
      </c>
      <c r="AS168" s="847">
        <v>0</v>
      </c>
      <c r="AT168" s="847">
        <v>0</v>
      </c>
      <c r="AU168" s="847">
        <v>0</v>
      </c>
      <c r="AV168" s="847">
        <v>0</v>
      </c>
      <c r="AW168" s="847">
        <v>0</v>
      </c>
      <c r="AX168" s="847">
        <v>0</v>
      </c>
      <c r="AY168" s="847">
        <v>0</v>
      </c>
      <c r="AZ168" s="847">
        <v>0</v>
      </c>
      <c r="BA168" s="847">
        <v>0</v>
      </c>
      <c r="BB168" s="847">
        <v>0</v>
      </c>
      <c r="BC168" s="847">
        <v>0</v>
      </c>
      <c r="BD168" s="847">
        <v>0</v>
      </c>
      <c r="BE168" s="847">
        <v>0</v>
      </c>
      <c r="BF168" s="847">
        <v>0</v>
      </c>
      <c r="BG168" s="847">
        <v>0</v>
      </c>
      <c r="BH168" s="847">
        <v>0</v>
      </c>
      <c r="BI168" s="847">
        <v>0</v>
      </c>
      <c r="BJ168" s="847">
        <v>0</v>
      </c>
      <c r="BK168" s="847">
        <v>0</v>
      </c>
      <c r="BL168" s="847">
        <v>0</v>
      </c>
      <c r="BM168" s="847">
        <v>0</v>
      </c>
      <c r="BN168" s="847">
        <v>0</v>
      </c>
      <c r="BO168" s="847">
        <v>0</v>
      </c>
      <c r="BP168" s="847">
        <v>0</v>
      </c>
      <c r="BQ168" s="847">
        <v>0</v>
      </c>
      <c r="BR168" s="847">
        <v>0</v>
      </c>
      <c r="BS168" s="847">
        <v>0</v>
      </c>
      <c r="BT168" s="847">
        <v>0</v>
      </c>
      <c r="BU168" s="847">
        <v>0</v>
      </c>
      <c r="BV168" s="847">
        <v>0</v>
      </c>
      <c r="BW168" s="847">
        <v>0</v>
      </c>
      <c r="BX168" s="847">
        <v>0</v>
      </c>
      <c r="BY168" s="847">
        <v>0</v>
      </c>
      <c r="BZ168" s="847">
        <v>0</v>
      </c>
      <c r="CA168" s="847">
        <v>0</v>
      </c>
      <c r="CB168" s="847">
        <v>0</v>
      </c>
      <c r="CC168" s="847">
        <v>0</v>
      </c>
      <c r="CD168" s="847">
        <v>0</v>
      </c>
      <c r="CE168" s="847">
        <v>0</v>
      </c>
      <c r="CF168" s="847">
        <v>0</v>
      </c>
      <c r="CG168" s="847">
        <v>0</v>
      </c>
      <c r="CH168" s="847">
        <v>0</v>
      </c>
      <c r="CI168" s="847">
        <v>0</v>
      </c>
      <c r="CJ168" s="847">
        <v>0</v>
      </c>
      <c r="CK168" s="847">
        <v>0</v>
      </c>
      <c r="CL168" s="847">
        <v>0</v>
      </c>
      <c r="CM168" s="847">
        <v>0</v>
      </c>
      <c r="CN168" s="847">
        <v>0</v>
      </c>
      <c r="CO168" s="847">
        <v>0</v>
      </c>
      <c r="CP168" s="847">
        <v>0</v>
      </c>
      <c r="CQ168" s="847">
        <v>0</v>
      </c>
      <c r="CR168" s="847">
        <v>0</v>
      </c>
      <c r="CS168" s="847">
        <v>0</v>
      </c>
      <c r="CT168" s="847">
        <v>0</v>
      </c>
      <c r="CU168" s="847">
        <v>0</v>
      </c>
      <c r="CV168" s="847">
        <v>0</v>
      </c>
      <c r="CW168" s="847">
        <v>0</v>
      </c>
      <c r="CX168" s="847">
        <v>0</v>
      </c>
      <c r="CY168" s="847">
        <v>0</v>
      </c>
      <c r="CZ168" s="847">
        <v>0</v>
      </c>
      <c r="DA168" s="847">
        <v>0</v>
      </c>
      <c r="DB168" s="847">
        <v>0</v>
      </c>
      <c r="DC168" s="847">
        <v>0</v>
      </c>
      <c r="DD168" s="847">
        <v>0</v>
      </c>
      <c r="DE168" s="847">
        <v>0</v>
      </c>
      <c r="DF168" s="847">
        <v>0</v>
      </c>
      <c r="DG168" s="847">
        <v>0</v>
      </c>
      <c r="DH168" s="847">
        <v>0</v>
      </c>
      <c r="DI168" s="847">
        <v>0</v>
      </c>
      <c r="DJ168" s="847">
        <v>0</v>
      </c>
      <c r="DK168" s="847">
        <v>0</v>
      </c>
      <c r="DL168" s="847">
        <v>0</v>
      </c>
      <c r="DM168" s="847">
        <v>0</v>
      </c>
      <c r="DN168" s="847">
        <v>144400</v>
      </c>
      <c r="DO168" s="847">
        <v>0</v>
      </c>
      <c r="DP168" s="847">
        <v>0</v>
      </c>
      <c r="DQ168" s="847">
        <v>0</v>
      </c>
      <c r="DR168" s="847">
        <v>0</v>
      </c>
      <c r="DS168" s="847">
        <v>0</v>
      </c>
      <c r="DT168" s="847">
        <v>0</v>
      </c>
      <c r="DU168" s="847">
        <v>0</v>
      </c>
      <c r="DV168" s="847">
        <v>0</v>
      </c>
      <c r="DW168" s="847">
        <v>0</v>
      </c>
      <c r="DY168" s="843" t="s">
        <v>1060</v>
      </c>
      <c r="DZ168" s="843" t="s">
        <v>1382</v>
      </c>
      <c r="EA168" s="843" t="s">
        <v>96</v>
      </c>
      <c r="EB168" s="844">
        <v>9</v>
      </c>
      <c r="EC168" s="780" t="str">
        <f t="shared" si="7"/>
        <v>IWT060109</v>
      </c>
      <c r="ED168" s="844">
        <v>4654</v>
      </c>
      <c r="EE168" s="844">
        <v>9308</v>
      </c>
      <c r="EF168" s="844">
        <v>13962</v>
      </c>
      <c r="EG168" s="844">
        <v>18616</v>
      </c>
      <c r="EH168" s="844">
        <v>23270</v>
      </c>
      <c r="EI168" s="844">
        <v>27924</v>
      </c>
      <c r="EJ168" s="844">
        <v>27924</v>
      </c>
      <c r="EK168" s="844">
        <v>29599.4</v>
      </c>
      <c r="EL168" s="844">
        <v>29599.4</v>
      </c>
      <c r="EM168" s="844">
        <v>30119</v>
      </c>
      <c r="EN168" s="844">
        <v>30722</v>
      </c>
      <c r="EO168" s="844">
        <v>31336</v>
      </c>
      <c r="EP168" s="844">
        <v>31963</v>
      </c>
      <c r="EQ168" s="844">
        <v>32602</v>
      </c>
      <c r="ER168" s="844">
        <v>33254</v>
      </c>
      <c r="ES168" s="844">
        <v>33919</v>
      </c>
      <c r="ET168" s="844">
        <v>34598</v>
      </c>
      <c r="EU168" s="844">
        <v>35290</v>
      </c>
      <c r="EV168" s="844">
        <v>35995</v>
      </c>
      <c r="EW168" s="844">
        <v>36715</v>
      </c>
      <c r="EX168" s="844">
        <v>37450</v>
      </c>
      <c r="EY168" s="844">
        <v>38199</v>
      </c>
      <c r="EZ168" s="844">
        <v>38963</v>
      </c>
      <c r="FA168" s="844">
        <v>39742</v>
      </c>
      <c r="FB168" s="844">
        <v>40537</v>
      </c>
      <c r="FC168" s="844">
        <v>41347</v>
      </c>
      <c r="FD168" s="844">
        <v>42174</v>
      </c>
      <c r="FE168" s="844">
        <v>43018</v>
      </c>
      <c r="FF168" s="844">
        <v>43878</v>
      </c>
      <c r="FG168" s="844">
        <v>44756</v>
      </c>
      <c r="FH168" s="844">
        <v>45651</v>
      </c>
      <c r="FI168" s="844">
        <v>46563</v>
      </c>
      <c r="FJ168" s="844">
        <v>47800</v>
      </c>
      <c r="FK168" s="844">
        <v>49200</v>
      </c>
      <c r="FL168" s="844">
        <v>50600</v>
      </c>
      <c r="FM168" s="844">
        <v>52000</v>
      </c>
      <c r="FN168" s="844">
        <v>53400</v>
      </c>
      <c r="FO168" s="844">
        <v>54800</v>
      </c>
      <c r="FP168" s="844">
        <v>56200</v>
      </c>
      <c r="FQ168" s="844">
        <v>57600</v>
      </c>
      <c r="FR168" s="844">
        <v>59000</v>
      </c>
      <c r="FS168" s="844">
        <v>60400</v>
      </c>
      <c r="FT168" s="844">
        <v>61800</v>
      </c>
      <c r="FU168" s="844">
        <v>63200</v>
      </c>
      <c r="FV168" s="844">
        <v>64600</v>
      </c>
      <c r="FW168" s="844">
        <v>66000</v>
      </c>
      <c r="FX168" s="844">
        <v>67400</v>
      </c>
      <c r="FY168" s="844">
        <v>68800</v>
      </c>
      <c r="FZ168" s="844">
        <v>70200</v>
      </c>
      <c r="GA168" s="844">
        <v>71600</v>
      </c>
      <c r="GB168" s="844">
        <v>73000</v>
      </c>
      <c r="GC168" s="844">
        <v>74400</v>
      </c>
      <c r="GD168" s="844">
        <v>75800</v>
      </c>
      <c r="GE168" s="844">
        <v>77200</v>
      </c>
      <c r="GF168" s="844">
        <v>78600</v>
      </c>
      <c r="GG168" s="844">
        <v>80000</v>
      </c>
      <c r="GH168" s="844">
        <v>81400</v>
      </c>
      <c r="GI168" s="844">
        <v>82800</v>
      </c>
      <c r="GJ168" s="844">
        <v>84200</v>
      </c>
      <c r="GK168" s="844">
        <v>85600</v>
      </c>
      <c r="GL168" s="844">
        <v>87000</v>
      </c>
      <c r="GM168" s="844">
        <v>88400</v>
      </c>
      <c r="GN168" s="844">
        <v>89800</v>
      </c>
      <c r="GO168" s="844">
        <v>91200</v>
      </c>
      <c r="GP168" s="844">
        <v>92600</v>
      </c>
      <c r="GQ168" s="844">
        <v>94000</v>
      </c>
      <c r="GR168" s="844">
        <v>95400</v>
      </c>
      <c r="GS168" s="844">
        <v>96800</v>
      </c>
      <c r="GT168" s="844">
        <v>98200</v>
      </c>
      <c r="GU168" s="844">
        <v>99600</v>
      </c>
      <c r="GV168" s="844">
        <v>101000</v>
      </c>
      <c r="GW168" s="844">
        <v>102400</v>
      </c>
      <c r="GX168" s="844">
        <v>103800</v>
      </c>
      <c r="GY168" s="844">
        <v>105200</v>
      </c>
      <c r="GZ168" s="844">
        <v>106600</v>
      </c>
      <c r="HA168" s="844">
        <v>108000</v>
      </c>
      <c r="HB168" s="844">
        <v>109400</v>
      </c>
      <c r="HC168" s="844">
        <v>110800</v>
      </c>
      <c r="HD168" s="844">
        <v>112200</v>
      </c>
      <c r="HE168" s="844">
        <v>113600</v>
      </c>
      <c r="HF168" s="844">
        <v>115000</v>
      </c>
      <c r="HG168" s="844">
        <v>116400</v>
      </c>
      <c r="HH168" s="844">
        <v>117800</v>
      </c>
      <c r="HI168" s="844">
        <v>119200</v>
      </c>
      <c r="HJ168" s="844">
        <v>120600</v>
      </c>
      <c r="HK168" s="844">
        <v>122000</v>
      </c>
      <c r="HL168" s="844">
        <v>123400</v>
      </c>
      <c r="HM168" s="844">
        <v>124800</v>
      </c>
      <c r="HN168" s="844">
        <v>126200</v>
      </c>
      <c r="HO168" s="844">
        <v>127600</v>
      </c>
      <c r="HP168" s="844">
        <v>129000</v>
      </c>
      <c r="HQ168" s="844">
        <v>130400</v>
      </c>
      <c r="HR168" s="844">
        <v>131800</v>
      </c>
      <c r="HS168" s="844">
        <v>133200</v>
      </c>
      <c r="HT168" s="844">
        <v>134600</v>
      </c>
      <c r="HU168" s="844">
        <v>136000</v>
      </c>
      <c r="HV168" s="844">
        <v>137400</v>
      </c>
      <c r="HW168" s="844">
        <v>138800</v>
      </c>
      <c r="HX168" s="844">
        <v>140200</v>
      </c>
      <c r="HY168" s="844">
        <v>141600</v>
      </c>
      <c r="HZ168" s="844">
        <v>143000</v>
      </c>
      <c r="IA168" s="844">
        <v>144400</v>
      </c>
      <c r="IB168" s="844">
        <v>0</v>
      </c>
      <c r="IC168" s="844">
        <v>0</v>
      </c>
      <c r="ID168" s="844">
        <v>0</v>
      </c>
      <c r="IE168" s="844">
        <v>0</v>
      </c>
      <c r="IF168" s="844">
        <v>0</v>
      </c>
      <c r="IG168" s="844">
        <v>0</v>
      </c>
      <c r="IH168" s="844">
        <v>0</v>
      </c>
      <c r="II168" s="844">
        <v>0</v>
      </c>
      <c r="IJ168" s="844">
        <v>0</v>
      </c>
    </row>
    <row r="169" spans="9:244" hidden="1">
      <c r="I169" s="156"/>
      <c r="L169" s="846" t="s">
        <v>1060</v>
      </c>
      <c r="M169" s="846" t="s">
        <v>1382</v>
      </c>
      <c r="N169" s="846" t="s">
        <v>96</v>
      </c>
      <c r="O169" s="847">
        <v>10</v>
      </c>
      <c r="P169" s="780" t="str">
        <f t="shared" si="6"/>
        <v>IWT060110</v>
      </c>
      <c r="Q169" s="847">
        <v>0</v>
      </c>
      <c r="R169" s="847">
        <v>0</v>
      </c>
      <c r="S169" s="847">
        <v>0</v>
      </c>
      <c r="T169" s="847">
        <v>0</v>
      </c>
      <c r="U169" s="847">
        <v>0</v>
      </c>
      <c r="V169" s="847">
        <v>0</v>
      </c>
      <c r="W169" s="847">
        <v>0</v>
      </c>
      <c r="X169" s="847">
        <v>0</v>
      </c>
      <c r="Y169" s="847">
        <v>0</v>
      </c>
      <c r="Z169" s="847">
        <v>0</v>
      </c>
      <c r="AA169" s="847">
        <v>0</v>
      </c>
      <c r="AB169" s="847">
        <v>0</v>
      </c>
      <c r="AC169" s="847">
        <v>0</v>
      </c>
      <c r="AD169" s="847">
        <v>0</v>
      </c>
      <c r="AE169" s="847">
        <v>0</v>
      </c>
      <c r="AF169" s="847">
        <v>0</v>
      </c>
      <c r="AG169" s="847">
        <v>0</v>
      </c>
      <c r="AH169" s="847">
        <v>0</v>
      </c>
      <c r="AI169" s="847">
        <v>0</v>
      </c>
      <c r="AJ169" s="847">
        <v>0</v>
      </c>
      <c r="AK169" s="847">
        <v>0</v>
      </c>
      <c r="AL169" s="847">
        <v>0</v>
      </c>
      <c r="AM169" s="847">
        <v>0</v>
      </c>
      <c r="AN169" s="847">
        <v>0</v>
      </c>
      <c r="AO169" s="847">
        <v>0</v>
      </c>
      <c r="AP169" s="847">
        <v>0</v>
      </c>
      <c r="AQ169" s="847">
        <v>0</v>
      </c>
      <c r="AR169" s="847">
        <v>0</v>
      </c>
      <c r="AS169" s="847">
        <v>0</v>
      </c>
      <c r="AT169" s="847">
        <v>0</v>
      </c>
      <c r="AU169" s="847">
        <v>0</v>
      </c>
      <c r="AV169" s="847">
        <v>0</v>
      </c>
      <c r="AW169" s="847">
        <v>0</v>
      </c>
      <c r="AX169" s="847">
        <v>0</v>
      </c>
      <c r="AY169" s="847">
        <v>0</v>
      </c>
      <c r="AZ169" s="847">
        <v>0</v>
      </c>
      <c r="BA169" s="847">
        <v>0</v>
      </c>
      <c r="BB169" s="847">
        <v>0</v>
      </c>
      <c r="BC169" s="847">
        <v>0</v>
      </c>
      <c r="BD169" s="847">
        <v>0</v>
      </c>
      <c r="BE169" s="847">
        <v>0</v>
      </c>
      <c r="BF169" s="847">
        <v>0</v>
      </c>
      <c r="BG169" s="847">
        <v>0</v>
      </c>
      <c r="BH169" s="847">
        <v>0</v>
      </c>
      <c r="BI169" s="847">
        <v>0</v>
      </c>
      <c r="BJ169" s="847">
        <v>0</v>
      </c>
      <c r="BK169" s="847">
        <v>0</v>
      </c>
      <c r="BL169" s="847">
        <v>0</v>
      </c>
      <c r="BM169" s="847">
        <v>0</v>
      </c>
      <c r="BN169" s="847">
        <v>0</v>
      </c>
      <c r="BO169" s="847">
        <v>0</v>
      </c>
      <c r="BP169" s="847">
        <v>0</v>
      </c>
      <c r="BQ169" s="847">
        <v>0</v>
      </c>
      <c r="BR169" s="847">
        <v>0</v>
      </c>
      <c r="BS169" s="847">
        <v>0</v>
      </c>
      <c r="BT169" s="847">
        <v>0</v>
      </c>
      <c r="BU169" s="847">
        <v>0</v>
      </c>
      <c r="BV169" s="847">
        <v>0</v>
      </c>
      <c r="BW169" s="847">
        <v>0</v>
      </c>
      <c r="BX169" s="847">
        <v>0</v>
      </c>
      <c r="BY169" s="847">
        <v>0</v>
      </c>
      <c r="BZ169" s="847">
        <v>0</v>
      </c>
      <c r="CA169" s="847">
        <v>0</v>
      </c>
      <c r="CB169" s="847">
        <v>0</v>
      </c>
      <c r="CC169" s="847">
        <v>0</v>
      </c>
      <c r="CD169" s="847">
        <v>0</v>
      </c>
      <c r="CE169" s="847">
        <v>0</v>
      </c>
      <c r="CF169" s="847">
        <v>0</v>
      </c>
      <c r="CG169" s="847">
        <v>0</v>
      </c>
      <c r="CH169" s="847">
        <v>0</v>
      </c>
      <c r="CI169" s="847">
        <v>0</v>
      </c>
      <c r="CJ169" s="847">
        <v>0</v>
      </c>
      <c r="CK169" s="847">
        <v>0</v>
      </c>
      <c r="CL169" s="847">
        <v>0</v>
      </c>
      <c r="CM169" s="847">
        <v>0</v>
      </c>
      <c r="CN169" s="847">
        <v>0</v>
      </c>
      <c r="CO169" s="847">
        <v>0</v>
      </c>
      <c r="CP169" s="847">
        <v>0</v>
      </c>
      <c r="CQ169" s="847">
        <v>0</v>
      </c>
      <c r="CR169" s="847">
        <v>0</v>
      </c>
      <c r="CS169" s="847">
        <v>0</v>
      </c>
      <c r="CT169" s="847">
        <v>0</v>
      </c>
      <c r="CU169" s="847">
        <v>0</v>
      </c>
      <c r="CV169" s="847">
        <v>0</v>
      </c>
      <c r="CW169" s="847">
        <v>0</v>
      </c>
      <c r="CX169" s="847">
        <v>0</v>
      </c>
      <c r="CY169" s="847">
        <v>0</v>
      </c>
      <c r="CZ169" s="847">
        <v>0</v>
      </c>
      <c r="DA169" s="847">
        <v>0</v>
      </c>
      <c r="DB169" s="847">
        <v>0</v>
      </c>
      <c r="DC169" s="847">
        <v>0</v>
      </c>
      <c r="DD169" s="847">
        <v>0</v>
      </c>
      <c r="DE169" s="847">
        <v>0</v>
      </c>
      <c r="DF169" s="847">
        <v>0</v>
      </c>
      <c r="DG169" s="847">
        <v>0</v>
      </c>
      <c r="DH169" s="847">
        <v>0</v>
      </c>
      <c r="DI169" s="847">
        <v>0</v>
      </c>
      <c r="DJ169" s="847">
        <v>0</v>
      </c>
      <c r="DK169" s="847">
        <v>0</v>
      </c>
      <c r="DL169" s="847">
        <v>0</v>
      </c>
      <c r="DM169" s="847">
        <v>143000</v>
      </c>
      <c r="DN169" s="847">
        <v>0</v>
      </c>
      <c r="DO169" s="847">
        <v>0</v>
      </c>
      <c r="DP169" s="847">
        <v>0</v>
      </c>
      <c r="DQ169" s="847">
        <v>0</v>
      </c>
      <c r="DR169" s="847">
        <v>0</v>
      </c>
      <c r="DS169" s="847">
        <v>0</v>
      </c>
      <c r="DT169" s="847">
        <v>0</v>
      </c>
      <c r="DU169" s="847">
        <v>0</v>
      </c>
      <c r="DV169" s="847">
        <v>0</v>
      </c>
      <c r="DW169" s="847">
        <v>0</v>
      </c>
      <c r="DY169" s="843" t="s">
        <v>1060</v>
      </c>
      <c r="DZ169" s="843" t="s">
        <v>1382</v>
      </c>
      <c r="EA169" s="843" t="s">
        <v>96</v>
      </c>
      <c r="EB169" s="844">
        <v>10</v>
      </c>
      <c r="EC169" s="780" t="str">
        <f t="shared" si="7"/>
        <v>IWT060110</v>
      </c>
      <c r="ED169" s="844">
        <v>4677</v>
      </c>
      <c r="EE169" s="844">
        <v>9354</v>
      </c>
      <c r="EF169" s="844">
        <v>14031</v>
      </c>
      <c r="EG169" s="844">
        <v>18708</v>
      </c>
      <c r="EH169" s="844">
        <v>23385</v>
      </c>
      <c r="EI169" s="844">
        <v>28062</v>
      </c>
      <c r="EJ169" s="844">
        <v>29745.7</v>
      </c>
      <c r="EK169" s="844">
        <v>29745.7</v>
      </c>
      <c r="EL169" s="844">
        <v>29745.7</v>
      </c>
      <c r="EM169" s="844">
        <v>30268</v>
      </c>
      <c r="EN169" s="844">
        <v>30873</v>
      </c>
      <c r="EO169" s="844">
        <v>31491</v>
      </c>
      <c r="EP169" s="844">
        <v>32120</v>
      </c>
      <c r="EQ169" s="844">
        <v>32763</v>
      </c>
      <c r="ER169" s="844">
        <v>33418</v>
      </c>
      <c r="ES169" s="844">
        <v>34087</v>
      </c>
      <c r="ET169" s="844">
        <v>34768</v>
      </c>
      <c r="EU169" s="844">
        <v>35464</v>
      </c>
      <c r="EV169" s="844">
        <v>36173</v>
      </c>
      <c r="EW169" s="844">
        <v>36896</v>
      </c>
      <c r="EX169" s="844">
        <v>37634</v>
      </c>
      <c r="EY169" s="844">
        <v>38387</v>
      </c>
      <c r="EZ169" s="844">
        <v>39155</v>
      </c>
      <c r="FA169" s="844">
        <v>39938</v>
      </c>
      <c r="FB169" s="844">
        <v>40737</v>
      </c>
      <c r="FC169" s="844">
        <v>41551</v>
      </c>
      <c r="FD169" s="844">
        <v>42382</v>
      </c>
      <c r="FE169" s="844">
        <v>43230</v>
      </c>
      <c r="FF169" s="844">
        <v>44095</v>
      </c>
      <c r="FG169" s="844">
        <v>44976</v>
      </c>
      <c r="FH169" s="844">
        <v>45876</v>
      </c>
      <c r="FI169" s="844">
        <v>46793</v>
      </c>
      <c r="FJ169" s="844">
        <v>47800</v>
      </c>
      <c r="FK169" s="844">
        <v>49200</v>
      </c>
      <c r="FL169" s="844">
        <v>50600</v>
      </c>
      <c r="FM169" s="844">
        <v>52000</v>
      </c>
      <c r="FN169" s="844">
        <v>53400</v>
      </c>
      <c r="FO169" s="844">
        <v>54800</v>
      </c>
      <c r="FP169" s="844">
        <v>56200</v>
      </c>
      <c r="FQ169" s="844">
        <v>57600</v>
      </c>
      <c r="FR169" s="844">
        <v>59000</v>
      </c>
      <c r="FS169" s="844">
        <v>60400</v>
      </c>
      <c r="FT169" s="844">
        <v>61800</v>
      </c>
      <c r="FU169" s="844">
        <v>63200</v>
      </c>
      <c r="FV169" s="844">
        <v>64600</v>
      </c>
      <c r="FW169" s="844">
        <v>66000</v>
      </c>
      <c r="FX169" s="844">
        <v>67400</v>
      </c>
      <c r="FY169" s="844">
        <v>68800</v>
      </c>
      <c r="FZ169" s="844">
        <v>70200</v>
      </c>
      <c r="GA169" s="844">
        <v>71600</v>
      </c>
      <c r="GB169" s="844">
        <v>73000</v>
      </c>
      <c r="GC169" s="844">
        <v>74400</v>
      </c>
      <c r="GD169" s="844">
        <v>75800</v>
      </c>
      <c r="GE169" s="844">
        <v>77200</v>
      </c>
      <c r="GF169" s="844">
        <v>78600</v>
      </c>
      <c r="GG169" s="844">
        <v>80000</v>
      </c>
      <c r="GH169" s="844">
        <v>81400</v>
      </c>
      <c r="GI169" s="844">
        <v>82800</v>
      </c>
      <c r="GJ169" s="844">
        <v>84200</v>
      </c>
      <c r="GK169" s="844">
        <v>85600</v>
      </c>
      <c r="GL169" s="844">
        <v>87000</v>
      </c>
      <c r="GM169" s="844">
        <v>88400</v>
      </c>
      <c r="GN169" s="844">
        <v>89800</v>
      </c>
      <c r="GO169" s="844">
        <v>91200</v>
      </c>
      <c r="GP169" s="844">
        <v>92600</v>
      </c>
      <c r="GQ169" s="844">
        <v>94000</v>
      </c>
      <c r="GR169" s="844">
        <v>95400</v>
      </c>
      <c r="GS169" s="844">
        <v>96800</v>
      </c>
      <c r="GT169" s="844">
        <v>98200</v>
      </c>
      <c r="GU169" s="844">
        <v>99600</v>
      </c>
      <c r="GV169" s="844">
        <v>101000</v>
      </c>
      <c r="GW169" s="844">
        <v>102400</v>
      </c>
      <c r="GX169" s="844">
        <v>103800</v>
      </c>
      <c r="GY169" s="844">
        <v>105200</v>
      </c>
      <c r="GZ169" s="844">
        <v>106600</v>
      </c>
      <c r="HA169" s="844">
        <v>108000</v>
      </c>
      <c r="HB169" s="844">
        <v>109400</v>
      </c>
      <c r="HC169" s="844">
        <v>110800</v>
      </c>
      <c r="HD169" s="844">
        <v>112200</v>
      </c>
      <c r="HE169" s="844">
        <v>113600</v>
      </c>
      <c r="HF169" s="844">
        <v>115000</v>
      </c>
      <c r="HG169" s="844">
        <v>116400</v>
      </c>
      <c r="HH169" s="844">
        <v>117800</v>
      </c>
      <c r="HI169" s="844">
        <v>119200</v>
      </c>
      <c r="HJ169" s="844">
        <v>120600</v>
      </c>
      <c r="HK169" s="844">
        <v>122000</v>
      </c>
      <c r="HL169" s="844">
        <v>123400</v>
      </c>
      <c r="HM169" s="844">
        <v>124800</v>
      </c>
      <c r="HN169" s="844">
        <v>126200</v>
      </c>
      <c r="HO169" s="844">
        <v>127600</v>
      </c>
      <c r="HP169" s="844">
        <v>129000</v>
      </c>
      <c r="HQ169" s="844">
        <v>130400</v>
      </c>
      <c r="HR169" s="844">
        <v>131800</v>
      </c>
      <c r="HS169" s="844">
        <v>133200</v>
      </c>
      <c r="HT169" s="844">
        <v>134600</v>
      </c>
      <c r="HU169" s="844">
        <v>136000</v>
      </c>
      <c r="HV169" s="844">
        <v>137400</v>
      </c>
      <c r="HW169" s="844">
        <v>138800</v>
      </c>
      <c r="HX169" s="844">
        <v>140200</v>
      </c>
      <c r="HY169" s="844">
        <v>141600</v>
      </c>
      <c r="HZ169" s="844">
        <v>143000</v>
      </c>
      <c r="IA169" s="844">
        <v>0</v>
      </c>
      <c r="IB169" s="844">
        <v>0</v>
      </c>
      <c r="IC169" s="844">
        <v>0</v>
      </c>
      <c r="ID169" s="844">
        <v>0</v>
      </c>
      <c r="IE169" s="844">
        <v>0</v>
      </c>
      <c r="IF169" s="844">
        <v>0</v>
      </c>
      <c r="IG169" s="844">
        <v>0</v>
      </c>
      <c r="IH169" s="844">
        <v>0</v>
      </c>
      <c r="II169" s="844">
        <v>0</v>
      </c>
      <c r="IJ169" s="844">
        <v>0</v>
      </c>
    </row>
    <row r="170" spans="9:244" hidden="1">
      <c r="I170" s="156"/>
      <c r="L170" s="846" t="s">
        <v>1060</v>
      </c>
      <c r="M170" s="846" t="s">
        <v>1382</v>
      </c>
      <c r="N170" s="846" t="s">
        <v>96</v>
      </c>
      <c r="O170" s="847">
        <v>11</v>
      </c>
      <c r="P170" s="780" t="str">
        <f t="shared" si="6"/>
        <v>IWT060111</v>
      </c>
      <c r="Q170" s="847">
        <v>0</v>
      </c>
      <c r="R170" s="847">
        <v>0</v>
      </c>
      <c r="S170" s="847">
        <v>0</v>
      </c>
      <c r="T170" s="847">
        <v>0</v>
      </c>
      <c r="U170" s="847">
        <v>0</v>
      </c>
      <c r="V170" s="847">
        <v>0</v>
      </c>
      <c r="W170" s="847">
        <v>0</v>
      </c>
      <c r="X170" s="847">
        <v>0</v>
      </c>
      <c r="Y170" s="847">
        <v>0</v>
      </c>
      <c r="Z170" s="847">
        <v>0</v>
      </c>
      <c r="AA170" s="847">
        <v>0</v>
      </c>
      <c r="AB170" s="847">
        <v>0</v>
      </c>
      <c r="AC170" s="847">
        <v>0</v>
      </c>
      <c r="AD170" s="847">
        <v>0</v>
      </c>
      <c r="AE170" s="847">
        <v>0</v>
      </c>
      <c r="AF170" s="847">
        <v>0</v>
      </c>
      <c r="AG170" s="847">
        <v>0</v>
      </c>
      <c r="AH170" s="847">
        <v>0</v>
      </c>
      <c r="AI170" s="847">
        <v>0</v>
      </c>
      <c r="AJ170" s="847">
        <v>0</v>
      </c>
      <c r="AK170" s="847">
        <v>0</v>
      </c>
      <c r="AL170" s="847">
        <v>0</v>
      </c>
      <c r="AM170" s="847">
        <v>0</v>
      </c>
      <c r="AN170" s="847">
        <v>0</v>
      </c>
      <c r="AO170" s="847">
        <v>0</v>
      </c>
      <c r="AP170" s="847">
        <v>0</v>
      </c>
      <c r="AQ170" s="847">
        <v>0</v>
      </c>
      <c r="AR170" s="847">
        <v>0</v>
      </c>
      <c r="AS170" s="847">
        <v>0</v>
      </c>
      <c r="AT170" s="847">
        <v>0</v>
      </c>
      <c r="AU170" s="847">
        <v>0</v>
      </c>
      <c r="AV170" s="847">
        <v>0</v>
      </c>
      <c r="AW170" s="847">
        <v>0</v>
      </c>
      <c r="AX170" s="847">
        <v>0</v>
      </c>
      <c r="AY170" s="847">
        <v>0</v>
      </c>
      <c r="AZ170" s="847">
        <v>0</v>
      </c>
      <c r="BA170" s="847">
        <v>0</v>
      </c>
      <c r="BB170" s="847">
        <v>0</v>
      </c>
      <c r="BC170" s="847">
        <v>0</v>
      </c>
      <c r="BD170" s="847">
        <v>0</v>
      </c>
      <c r="BE170" s="847">
        <v>0</v>
      </c>
      <c r="BF170" s="847">
        <v>0</v>
      </c>
      <c r="BG170" s="847">
        <v>0</v>
      </c>
      <c r="BH170" s="847">
        <v>0</v>
      </c>
      <c r="BI170" s="847">
        <v>0</v>
      </c>
      <c r="BJ170" s="847">
        <v>0</v>
      </c>
      <c r="BK170" s="847">
        <v>0</v>
      </c>
      <c r="BL170" s="847">
        <v>0</v>
      </c>
      <c r="BM170" s="847">
        <v>0</v>
      </c>
      <c r="BN170" s="847">
        <v>0</v>
      </c>
      <c r="BO170" s="847">
        <v>0</v>
      </c>
      <c r="BP170" s="847">
        <v>0</v>
      </c>
      <c r="BQ170" s="847">
        <v>0</v>
      </c>
      <c r="BR170" s="847">
        <v>0</v>
      </c>
      <c r="BS170" s="847">
        <v>0</v>
      </c>
      <c r="BT170" s="847">
        <v>0</v>
      </c>
      <c r="BU170" s="847">
        <v>0</v>
      </c>
      <c r="BV170" s="847">
        <v>0</v>
      </c>
      <c r="BW170" s="847">
        <v>0</v>
      </c>
      <c r="BX170" s="847">
        <v>0</v>
      </c>
      <c r="BY170" s="847">
        <v>0</v>
      </c>
      <c r="BZ170" s="847">
        <v>0</v>
      </c>
      <c r="CA170" s="847">
        <v>0</v>
      </c>
      <c r="CB170" s="847">
        <v>0</v>
      </c>
      <c r="CC170" s="847">
        <v>0</v>
      </c>
      <c r="CD170" s="847">
        <v>0</v>
      </c>
      <c r="CE170" s="847">
        <v>0</v>
      </c>
      <c r="CF170" s="847">
        <v>0</v>
      </c>
      <c r="CG170" s="847">
        <v>0</v>
      </c>
      <c r="CH170" s="847">
        <v>0</v>
      </c>
      <c r="CI170" s="847">
        <v>0</v>
      </c>
      <c r="CJ170" s="847">
        <v>0</v>
      </c>
      <c r="CK170" s="847">
        <v>0</v>
      </c>
      <c r="CL170" s="847">
        <v>0</v>
      </c>
      <c r="CM170" s="847">
        <v>0</v>
      </c>
      <c r="CN170" s="847">
        <v>0</v>
      </c>
      <c r="CO170" s="847">
        <v>0</v>
      </c>
      <c r="CP170" s="847">
        <v>0</v>
      </c>
      <c r="CQ170" s="847">
        <v>0</v>
      </c>
      <c r="CR170" s="847">
        <v>0</v>
      </c>
      <c r="CS170" s="847">
        <v>0</v>
      </c>
      <c r="CT170" s="847">
        <v>0</v>
      </c>
      <c r="CU170" s="847">
        <v>0</v>
      </c>
      <c r="CV170" s="847">
        <v>0</v>
      </c>
      <c r="CW170" s="847">
        <v>0</v>
      </c>
      <c r="CX170" s="847">
        <v>0</v>
      </c>
      <c r="CY170" s="847">
        <v>0</v>
      </c>
      <c r="CZ170" s="847">
        <v>0</v>
      </c>
      <c r="DA170" s="847">
        <v>0</v>
      </c>
      <c r="DB170" s="847">
        <v>0</v>
      </c>
      <c r="DC170" s="847">
        <v>0</v>
      </c>
      <c r="DD170" s="847">
        <v>0</v>
      </c>
      <c r="DE170" s="847">
        <v>0</v>
      </c>
      <c r="DF170" s="847">
        <v>0</v>
      </c>
      <c r="DG170" s="847">
        <v>0</v>
      </c>
      <c r="DH170" s="847">
        <v>0</v>
      </c>
      <c r="DI170" s="847">
        <v>0</v>
      </c>
      <c r="DJ170" s="847">
        <v>0</v>
      </c>
      <c r="DK170" s="847">
        <v>0</v>
      </c>
      <c r="DL170" s="847">
        <v>141600</v>
      </c>
      <c r="DM170" s="847">
        <v>0</v>
      </c>
      <c r="DN170" s="847">
        <v>0</v>
      </c>
      <c r="DO170" s="847">
        <v>0</v>
      </c>
      <c r="DP170" s="847">
        <v>0</v>
      </c>
      <c r="DQ170" s="847">
        <v>0</v>
      </c>
      <c r="DR170" s="847">
        <v>0</v>
      </c>
      <c r="DS170" s="847">
        <v>0</v>
      </c>
      <c r="DT170" s="847">
        <v>0</v>
      </c>
      <c r="DU170" s="847">
        <v>0</v>
      </c>
      <c r="DV170" s="847">
        <v>0</v>
      </c>
      <c r="DW170" s="847">
        <v>0</v>
      </c>
      <c r="DY170" s="843" t="s">
        <v>1060</v>
      </c>
      <c r="DZ170" s="843" t="s">
        <v>1382</v>
      </c>
      <c r="EA170" s="843" t="s">
        <v>96</v>
      </c>
      <c r="EB170" s="844">
        <v>11</v>
      </c>
      <c r="EC170" s="780" t="str">
        <f t="shared" si="7"/>
        <v>IWT060111</v>
      </c>
      <c r="ED170" s="844">
        <v>4699</v>
      </c>
      <c r="EE170" s="844">
        <v>9398</v>
      </c>
      <c r="EF170" s="844">
        <v>14097</v>
      </c>
      <c r="EG170" s="844">
        <v>18796</v>
      </c>
      <c r="EH170" s="844">
        <v>23495</v>
      </c>
      <c r="EI170" s="844">
        <v>29885.599999999999</v>
      </c>
      <c r="EJ170" s="844">
        <v>29885.599999999999</v>
      </c>
      <c r="EK170" s="844">
        <v>29885.599999999999</v>
      </c>
      <c r="EL170" s="844">
        <v>29885.599999999999</v>
      </c>
      <c r="EM170" s="844">
        <v>30412</v>
      </c>
      <c r="EN170" s="844">
        <v>31020</v>
      </c>
      <c r="EO170" s="844">
        <v>31641</v>
      </c>
      <c r="EP170" s="844">
        <v>32273</v>
      </c>
      <c r="EQ170" s="844">
        <v>32919</v>
      </c>
      <c r="ER170" s="844">
        <v>33577</v>
      </c>
      <c r="ES170" s="844">
        <v>34249</v>
      </c>
      <c r="ET170" s="844">
        <v>34934</v>
      </c>
      <c r="EU170" s="844">
        <v>35632</v>
      </c>
      <c r="EV170" s="844">
        <v>36345</v>
      </c>
      <c r="EW170" s="844">
        <v>37072</v>
      </c>
      <c r="EX170" s="844">
        <v>37813</v>
      </c>
      <c r="EY170" s="844">
        <v>38570</v>
      </c>
      <c r="EZ170" s="844">
        <v>39341</v>
      </c>
      <c r="FA170" s="844">
        <v>40128</v>
      </c>
      <c r="FB170" s="844">
        <v>40931</v>
      </c>
      <c r="FC170" s="844">
        <v>41749</v>
      </c>
      <c r="FD170" s="844">
        <v>42584</v>
      </c>
      <c r="FE170" s="844">
        <v>43436</v>
      </c>
      <c r="FF170" s="844">
        <v>44304</v>
      </c>
      <c r="FG170" s="844">
        <v>45191</v>
      </c>
      <c r="FH170" s="844">
        <v>46094</v>
      </c>
      <c r="FI170" s="844">
        <v>47016</v>
      </c>
      <c r="FJ170" s="844">
        <v>47956</v>
      </c>
      <c r="FK170" s="844">
        <v>49200</v>
      </c>
      <c r="FL170" s="844">
        <v>50600</v>
      </c>
      <c r="FM170" s="844">
        <v>52000</v>
      </c>
      <c r="FN170" s="844">
        <v>53400</v>
      </c>
      <c r="FO170" s="844">
        <v>54800</v>
      </c>
      <c r="FP170" s="844">
        <v>56200</v>
      </c>
      <c r="FQ170" s="844">
        <v>57600</v>
      </c>
      <c r="FR170" s="844">
        <v>59000</v>
      </c>
      <c r="FS170" s="844">
        <v>60400</v>
      </c>
      <c r="FT170" s="844">
        <v>61800</v>
      </c>
      <c r="FU170" s="844">
        <v>63200</v>
      </c>
      <c r="FV170" s="844">
        <v>64600</v>
      </c>
      <c r="FW170" s="844">
        <v>66000</v>
      </c>
      <c r="FX170" s="844">
        <v>67400</v>
      </c>
      <c r="FY170" s="844">
        <v>68800</v>
      </c>
      <c r="FZ170" s="844">
        <v>70200</v>
      </c>
      <c r="GA170" s="844">
        <v>71600</v>
      </c>
      <c r="GB170" s="844">
        <v>73000</v>
      </c>
      <c r="GC170" s="844">
        <v>74400</v>
      </c>
      <c r="GD170" s="844">
        <v>75800</v>
      </c>
      <c r="GE170" s="844">
        <v>77200</v>
      </c>
      <c r="GF170" s="844">
        <v>78600</v>
      </c>
      <c r="GG170" s="844">
        <v>80000</v>
      </c>
      <c r="GH170" s="844">
        <v>81400</v>
      </c>
      <c r="GI170" s="844">
        <v>82800</v>
      </c>
      <c r="GJ170" s="844">
        <v>84200</v>
      </c>
      <c r="GK170" s="844">
        <v>85600</v>
      </c>
      <c r="GL170" s="844">
        <v>87000</v>
      </c>
      <c r="GM170" s="844">
        <v>88400</v>
      </c>
      <c r="GN170" s="844">
        <v>89800</v>
      </c>
      <c r="GO170" s="844">
        <v>91200</v>
      </c>
      <c r="GP170" s="844">
        <v>92600</v>
      </c>
      <c r="GQ170" s="844">
        <v>94000</v>
      </c>
      <c r="GR170" s="844">
        <v>95400</v>
      </c>
      <c r="GS170" s="844">
        <v>96800</v>
      </c>
      <c r="GT170" s="844">
        <v>98200</v>
      </c>
      <c r="GU170" s="844">
        <v>99600</v>
      </c>
      <c r="GV170" s="844">
        <v>101000</v>
      </c>
      <c r="GW170" s="844">
        <v>102400</v>
      </c>
      <c r="GX170" s="844">
        <v>103800</v>
      </c>
      <c r="GY170" s="844">
        <v>105200</v>
      </c>
      <c r="GZ170" s="844">
        <v>106600</v>
      </c>
      <c r="HA170" s="844">
        <v>108000</v>
      </c>
      <c r="HB170" s="844">
        <v>109400</v>
      </c>
      <c r="HC170" s="844">
        <v>110800</v>
      </c>
      <c r="HD170" s="844">
        <v>112200</v>
      </c>
      <c r="HE170" s="844">
        <v>113600</v>
      </c>
      <c r="HF170" s="844">
        <v>115000</v>
      </c>
      <c r="HG170" s="844">
        <v>116400</v>
      </c>
      <c r="HH170" s="844">
        <v>117800</v>
      </c>
      <c r="HI170" s="844">
        <v>119200</v>
      </c>
      <c r="HJ170" s="844">
        <v>120600</v>
      </c>
      <c r="HK170" s="844">
        <v>122000</v>
      </c>
      <c r="HL170" s="844">
        <v>123400</v>
      </c>
      <c r="HM170" s="844">
        <v>124800</v>
      </c>
      <c r="HN170" s="844">
        <v>126200</v>
      </c>
      <c r="HO170" s="844">
        <v>127600</v>
      </c>
      <c r="HP170" s="844">
        <v>129000</v>
      </c>
      <c r="HQ170" s="844">
        <v>130400</v>
      </c>
      <c r="HR170" s="844">
        <v>131800</v>
      </c>
      <c r="HS170" s="844">
        <v>133200</v>
      </c>
      <c r="HT170" s="844">
        <v>134600</v>
      </c>
      <c r="HU170" s="844">
        <v>136000</v>
      </c>
      <c r="HV170" s="844">
        <v>137400</v>
      </c>
      <c r="HW170" s="844">
        <v>138800</v>
      </c>
      <c r="HX170" s="844">
        <v>140205</v>
      </c>
      <c r="HY170" s="844">
        <v>141600</v>
      </c>
      <c r="HZ170" s="844">
        <v>0</v>
      </c>
      <c r="IA170" s="844">
        <v>0</v>
      </c>
      <c r="IB170" s="844">
        <v>0</v>
      </c>
      <c r="IC170" s="844">
        <v>0</v>
      </c>
      <c r="ID170" s="844">
        <v>0</v>
      </c>
      <c r="IE170" s="844">
        <v>0</v>
      </c>
      <c r="IF170" s="844">
        <v>0</v>
      </c>
      <c r="IG170" s="844">
        <v>0</v>
      </c>
      <c r="IH170" s="844">
        <v>0</v>
      </c>
      <c r="II170" s="844">
        <v>0</v>
      </c>
      <c r="IJ170" s="844">
        <v>0</v>
      </c>
    </row>
    <row r="171" spans="9:244" hidden="1">
      <c r="I171" s="156"/>
      <c r="L171" s="846" t="s">
        <v>1060</v>
      </c>
      <c r="M171" s="846" t="s">
        <v>1382</v>
      </c>
      <c r="N171" s="846" t="s">
        <v>96</v>
      </c>
      <c r="O171" s="847">
        <v>12</v>
      </c>
      <c r="P171" s="780" t="str">
        <f t="shared" si="6"/>
        <v>IWT060112</v>
      </c>
      <c r="Q171" s="847">
        <v>0</v>
      </c>
      <c r="R171" s="847">
        <v>0</v>
      </c>
      <c r="S171" s="847">
        <v>0</v>
      </c>
      <c r="T171" s="847">
        <v>0</v>
      </c>
      <c r="U171" s="847">
        <v>0</v>
      </c>
      <c r="V171" s="847">
        <v>0</v>
      </c>
      <c r="W171" s="847">
        <v>0</v>
      </c>
      <c r="X171" s="847">
        <v>0</v>
      </c>
      <c r="Y171" s="847">
        <v>0</v>
      </c>
      <c r="Z171" s="847">
        <v>0</v>
      </c>
      <c r="AA171" s="847">
        <v>0</v>
      </c>
      <c r="AB171" s="847">
        <v>0</v>
      </c>
      <c r="AC171" s="847">
        <v>0</v>
      </c>
      <c r="AD171" s="847">
        <v>0</v>
      </c>
      <c r="AE171" s="847">
        <v>0</v>
      </c>
      <c r="AF171" s="847">
        <v>0</v>
      </c>
      <c r="AG171" s="847">
        <v>0</v>
      </c>
      <c r="AH171" s="847">
        <v>0</v>
      </c>
      <c r="AI171" s="847">
        <v>0</v>
      </c>
      <c r="AJ171" s="847">
        <v>0</v>
      </c>
      <c r="AK171" s="847">
        <v>0</v>
      </c>
      <c r="AL171" s="847">
        <v>0</v>
      </c>
      <c r="AM171" s="847">
        <v>0</v>
      </c>
      <c r="AN171" s="847">
        <v>0</v>
      </c>
      <c r="AO171" s="847">
        <v>0</v>
      </c>
      <c r="AP171" s="847">
        <v>0</v>
      </c>
      <c r="AQ171" s="847">
        <v>0</v>
      </c>
      <c r="AR171" s="847">
        <v>0</v>
      </c>
      <c r="AS171" s="847">
        <v>0</v>
      </c>
      <c r="AT171" s="847">
        <v>0</v>
      </c>
      <c r="AU171" s="847">
        <v>0</v>
      </c>
      <c r="AV171" s="847">
        <v>0</v>
      </c>
      <c r="AW171" s="847">
        <v>0</v>
      </c>
      <c r="AX171" s="847">
        <v>0</v>
      </c>
      <c r="AY171" s="847">
        <v>0</v>
      </c>
      <c r="AZ171" s="847">
        <v>0</v>
      </c>
      <c r="BA171" s="847">
        <v>0</v>
      </c>
      <c r="BB171" s="847">
        <v>0</v>
      </c>
      <c r="BC171" s="847">
        <v>0</v>
      </c>
      <c r="BD171" s="847">
        <v>0</v>
      </c>
      <c r="BE171" s="847">
        <v>0</v>
      </c>
      <c r="BF171" s="847">
        <v>0</v>
      </c>
      <c r="BG171" s="847">
        <v>0</v>
      </c>
      <c r="BH171" s="847">
        <v>0</v>
      </c>
      <c r="BI171" s="847">
        <v>0</v>
      </c>
      <c r="BJ171" s="847">
        <v>0</v>
      </c>
      <c r="BK171" s="847">
        <v>0</v>
      </c>
      <c r="BL171" s="847">
        <v>0</v>
      </c>
      <c r="BM171" s="847">
        <v>0</v>
      </c>
      <c r="BN171" s="847">
        <v>0</v>
      </c>
      <c r="BO171" s="847">
        <v>0</v>
      </c>
      <c r="BP171" s="847">
        <v>0</v>
      </c>
      <c r="BQ171" s="847">
        <v>0</v>
      </c>
      <c r="BR171" s="847">
        <v>0</v>
      </c>
      <c r="BS171" s="847">
        <v>0</v>
      </c>
      <c r="BT171" s="847">
        <v>0</v>
      </c>
      <c r="BU171" s="847">
        <v>0</v>
      </c>
      <c r="BV171" s="847">
        <v>0</v>
      </c>
      <c r="BW171" s="847">
        <v>0</v>
      </c>
      <c r="BX171" s="847">
        <v>0</v>
      </c>
      <c r="BY171" s="847">
        <v>0</v>
      </c>
      <c r="BZ171" s="847">
        <v>0</v>
      </c>
      <c r="CA171" s="847">
        <v>0</v>
      </c>
      <c r="CB171" s="847">
        <v>0</v>
      </c>
      <c r="CC171" s="847">
        <v>0</v>
      </c>
      <c r="CD171" s="847">
        <v>0</v>
      </c>
      <c r="CE171" s="847">
        <v>0</v>
      </c>
      <c r="CF171" s="847">
        <v>0</v>
      </c>
      <c r="CG171" s="847">
        <v>0</v>
      </c>
      <c r="CH171" s="847">
        <v>0</v>
      </c>
      <c r="CI171" s="847">
        <v>0</v>
      </c>
      <c r="CJ171" s="847">
        <v>0</v>
      </c>
      <c r="CK171" s="847">
        <v>0</v>
      </c>
      <c r="CL171" s="847">
        <v>0</v>
      </c>
      <c r="CM171" s="847">
        <v>0</v>
      </c>
      <c r="CN171" s="847">
        <v>0</v>
      </c>
      <c r="CO171" s="847">
        <v>0</v>
      </c>
      <c r="CP171" s="847">
        <v>0</v>
      </c>
      <c r="CQ171" s="847">
        <v>0</v>
      </c>
      <c r="CR171" s="847">
        <v>0</v>
      </c>
      <c r="CS171" s="847">
        <v>0</v>
      </c>
      <c r="CT171" s="847">
        <v>0</v>
      </c>
      <c r="CU171" s="847">
        <v>0</v>
      </c>
      <c r="CV171" s="847">
        <v>0</v>
      </c>
      <c r="CW171" s="847">
        <v>0</v>
      </c>
      <c r="CX171" s="847">
        <v>0</v>
      </c>
      <c r="CY171" s="847">
        <v>0</v>
      </c>
      <c r="CZ171" s="847">
        <v>0</v>
      </c>
      <c r="DA171" s="847">
        <v>0</v>
      </c>
      <c r="DB171" s="847">
        <v>0</v>
      </c>
      <c r="DC171" s="847">
        <v>0</v>
      </c>
      <c r="DD171" s="847">
        <v>0</v>
      </c>
      <c r="DE171" s="847">
        <v>0</v>
      </c>
      <c r="DF171" s="847">
        <v>0</v>
      </c>
      <c r="DG171" s="847">
        <v>0</v>
      </c>
      <c r="DH171" s="847">
        <v>0</v>
      </c>
      <c r="DI171" s="847">
        <v>0</v>
      </c>
      <c r="DJ171" s="847">
        <v>0</v>
      </c>
      <c r="DK171" s="847">
        <v>140200</v>
      </c>
      <c r="DL171" s="847">
        <v>0</v>
      </c>
      <c r="DM171" s="847">
        <v>0</v>
      </c>
      <c r="DN171" s="847">
        <v>0</v>
      </c>
      <c r="DO171" s="847">
        <v>0</v>
      </c>
      <c r="DP171" s="847">
        <v>0</v>
      </c>
      <c r="DQ171" s="847">
        <v>0</v>
      </c>
      <c r="DR171" s="847">
        <v>0</v>
      </c>
      <c r="DS171" s="847">
        <v>0</v>
      </c>
      <c r="DT171" s="847">
        <v>0</v>
      </c>
      <c r="DU171" s="847">
        <v>0</v>
      </c>
      <c r="DV171" s="847">
        <v>0</v>
      </c>
      <c r="DW171" s="847">
        <v>0</v>
      </c>
      <c r="DY171" s="843" t="s">
        <v>1060</v>
      </c>
      <c r="DZ171" s="843" t="s">
        <v>1382</v>
      </c>
      <c r="EA171" s="843" t="s">
        <v>96</v>
      </c>
      <c r="EB171" s="844">
        <v>12</v>
      </c>
      <c r="EC171" s="780" t="str">
        <f t="shared" si="7"/>
        <v>IWT060112</v>
      </c>
      <c r="ED171" s="844">
        <v>4721</v>
      </c>
      <c r="EE171" s="844">
        <v>9442</v>
      </c>
      <c r="EF171" s="844">
        <v>14163</v>
      </c>
      <c r="EG171" s="844">
        <v>18884</v>
      </c>
      <c r="EH171" s="844">
        <v>25021.3</v>
      </c>
      <c r="EI171" s="844">
        <v>30025.599999999999</v>
      </c>
      <c r="EJ171" s="844">
        <v>30025.599999999999</v>
      </c>
      <c r="EK171" s="844">
        <v>30025.599999999999</v>
      </c>
      <c r="EL171" s="844">
        <v>30025.599999999999</v>
      </c>
      <c r="EM171" s="844">
        <v>30552</v>
      </c>
      <c r="EN171" s="844">
        <v>31163</v>
      </c>
      <c r="EO171" s="844">
        <v>31786</v>
      </c>
      <c r="EP171" s="844">
        <v>32422</v>
      </c>
      <c r="EQ171" s="844">
        <v>33070</v>
      </c>
      <c r="ER171" s="844">
        <v>33731</v>
      </c>
      <c r="ES171" s="844">
        <v>34406</v>
      </c>
      <c r="ET171" s="844">
        <v>35094</v>
      </c>
      <c r="EU171" s="844">
        <v>35796</v>
      </c>
      <c r="EV171" s="844">
        <v>36512</v>
      </c>
      <c r="EW171" s="844">
        <v>37242</v>
      </c>
      <c r="EX171" s="844">
        <v>37987</v>
      </c>
      <c r="EY171" s="844">
        <v>38747</v>
      </c>
      <c r="EZ171" s="844">
        <v>39522</v>
      </c>
      <c r="FA171" s="844">
        <v>40312</v>
      </c>
      <c r="FB171" s="844">
        <v>41118</v>
      </c>
      <c r="FC171" s="844">
        <v>41941</v>
      </c>
      <c r="FD171" s="844">
        <v>42780</v>
      </c>
      <c r="FE171" s="844">
        <v>43635</v>
      </c>
      <c r="FF171" s="844">
        <v>44508</v>
      </c>
      <c r="FG171" s="844">
        <v>45398</v>
      </c>
      <c r="FH171" s="844">
        <v>46306</v>
      </c>
      <c r="FI171" s="844">
        <v>47232</v>
      </c>
      <c r="FJ171" s="844">
        <v>48176</v>
      </c>
      <c r="FK171" s="844">
        <v>49200</v>
      </c>
      <c r="FL171" s="844">
        <v>50600</v>
      </c>
      <c r="FM171" s="844">
        <v>52000</v>
      </c>
      <c r="FN171" s="844">
        <v>53400</v>
      </c>
      <c r="FO171" s="844">
        <v>54800</v>
      </c>
      <c r="FP171" s="844">
        <v>56200</v>
      </c>
      <c r="FQ171" s="844">
        <v>57600</v>
      </c>
      <c r="FR171" s="844">
        <v>59000</v>
      </c>
      <c r="FS171" s="844">
        <v>60400</v>
      </c>
      <c r="FT171" s="844">
        <v>61800</v>
      </c>
      <c r="FU171" s="844">
        <v>63200</v>
      </c>
      <c r="FV171" s="844">
        <v>64600</v>
      </c>
      <c r="FW171" s="844">
        <v>66000</v>
      </c>
      <c r="FX171" s="844">
        <v>67400</v>
      </c>
      <c r="FY171" s="844">
        <v>68800</v>
      </c>
      <c r="FZ171" s="844">
        <v>70200</v>
      </c>
      <c r="GA171" s="844">
        <v>71600</v>
      </c>
      <c r="GB171" s="844">
        <v>73000</v>
      </c>
      <c r="GC171" s="844">
        <v>74400</v>
      </c>
      <c r="GD171" s="844">
        <v>75800</v>
      </c>
      <c r="GE171" s="844">
        <v>77200</v>
      </c>
      <c r="GF171" s="844">
        <v>78600</v>
      </c>
      <c r="GG171" s="844">
        <v>80000</v>
      </c>
      <c r="GH171" s="844">
        <v>81400</v>
      </c>
      <c r="GI171" s="844">
        <v>82800</v>
      </c>
      <c r="GJ171" s="844">
        <v>84200</v>
      </c>
      <c r="GK171" s="844">
        <v>85600</v>
      </c>
      <c r="GL171" s="844">
        <v>87000</v>
      </c>
      <c r="GM171" s="844">
        <v>88400</v>
      </c>
      <c r="GN171" s="844">
        <v>89800</v>
      </c>
      <c r="GO171" s="844">
        <v>91200</v>
      </c>
      <c r="GP171" s="844">
        <v>92600</v>
      </c>
      <c r="GQ171" s="844">
        <v>94000</v>
      </c>
      <c r="GR171" s="844">
        <v>95400</v>
      </c>
      <c r="GS171" s="844">
        <v>96800</v>
      </c>
      <c r="GT171" s="844">
        <v>98200</v>
      </c>
      <c r="GU171" s="844">
        <v>99600</v>
      </c>
      <c r="GV171" s="844">
        <v>101000</v>
      </c>
      <c r="GW171" s="844">
        <v>102400</v>
      </c>
      <c r="GX171" s="844">
        <v>103800</v>
      </c>
      <c r="GY171" s="844">
        <v>105200</v>
      </c>
      <c r="GZ171" s="844">
        <v>106600</v>
      </c>
      <c r="HA171" s="844">
        <v>108000</v>
      </c>
      <c r="HB171" s="844">
        <v>109400</v>
      </c>
      <c r="HC171" s="844">
        <v>110800</v>
      </c>
      <c r="HD171" s="844">
        <v>112200</v>
      </c>
      <c r="HE171" s="844">
        <v>113600</v>
      </c>
      <c r="HF171" s="844">
        <v>115000</v>
      </c>
      <c r="HG171" s="844">
        <v>116400</v>
      </c>
      <c r="HH171" s="844">
        <v>117800</v>
      </c>
      <c r="HI171" s="844">
        <v>119200</v>
      </c>
      <c r="HJ171" s="844">
        <v>120600</v>
      </c>
      <c r="HK171" s="844">
        <v>122000</v>
      </c>
      <c r="HL171" s="844">
        <v>123400</v>
      </c>
      <c r="HM171" s="844">
        <v>124800</v>
      </c>
      <c r="HN171" s="844">
        <v>126200</v>
      </c>
      <c r="HO171" s="844">
        <v>127600</v>
      </c>
      <c r="HP171" s="844">
        <v>129000</v>
      </c>
      <c r="HQ171" s="844">
        <v>130400</v>
      </c>
      <c r="HR171" s="844">
        <v>131800</v>
      </c>
      <c r="HS171" s="844">
        <v>133200</v>
      </c>
      <c r="HT171" s="844">
        <v>134600</v>
      </c>
      <c r="HU171" s="844">
        <v>136000</v>
      </c>
      <c r="HV171" s="844">
        <v>137400</v>
      </c>
      <c r="HW171" s="844">
        <v>138819</v>
      </c>
      <c r="HX171" s="844">
        <v>140200</v>
      </c>
      <c r="HY171" s="844">
        <v>0</v>
      </c>
      <c r="HZ171" s="844">
        <v>0</v>
      </c>
      <c r="IA171" s="844">
        <v>0</v>
      </c>
      <c r="IB171" s="844">
        <v>0</v>
      </c>
      <c r="IC171" s="844">
        <v>0</v>
      </c>
      <c r="ID171" s="844">
        <v>0</v>
      </c>
      <c r="IE171" s="844">
        <v>0</v>
      </c>
      <c r="IF171" s="844">
        <v>0</v>
      </c>
      <c r="IG171" s="844">
        <v>0</v>
      </c>
      <c r="IH171" s="844">
        <v>0</v>
      </c>
      <c r="II171" s="844">
        <v>0</v>
      </c>
      <c r="IJ171" s="844">
        <v>0</v>
      </c>
    </row>
    <row r="172" spans="9:244" hidden="1">
      <c r="I172" s="156"/>
      <c r="L172" s="846" t="s">
        <v>1060</v>
      </c>
      <c r="M172" s="846" t="s">
        <v>1382</v>
      </c>
      <c r="N172" s="846" t="s">
        <v>96</v>
      </c>
      <c r="O172" s="847">
        <v>13</v>
      </c>
      <c r="P172" s="780" t="str">
        <f t="shared" si="6"/>
        <v>IWT060113</v>
      </c>
      <c r="Q172" s="847">
        <v>0</v>
      </c>
      <c r="R172" s="847">
        <v>0</v>
      </c>
      <c r="S172" s="847">
        <v>0</v>
      </c>
      <c r="T172" s="847">
        <v>0</v>
      </c>
      <c r="U172" s="847">
        <v>0</v>
      </c>
      <c r="V172" s="847">
        <v>0</v>
      </c>
      <c r="W172" s="847">
        <v>0</v>
      </c>
      <c r="X172" s="847">
        <v>0</v>
      </c>
      <c r="Y172" s="847">
        <v>0</v>
      </c>
      <c r="Z172" s="847">
        <v>0</v>
      </c>
      <c r="AA172" s="847">
        <v>0</v>
      </c>
      <c r="AB172" s="847">
        <v>0</v>
      </c>
      <c r="AC172" s="847">
        <v>0</v>
      </c>
      <c r="AD172" s="847">
        <v>0</v>
      </c>
      <c r="AE172" s="847">
        <v>0</v>
      </c>
      <c r="AF172" s="847">
        <v>0</v>
      </c>
      <c r="AG172" s="847">
        <v>0</v>
      </c>
      <c r="AH172" s="847">
        <v>0</v>
      </c>
      <c r="AI172" s="847">
        <v>0</v>
      </c>
      <c r="AJ172" s="847">
        <v>0</v>
      </c>
      <c r="AK172" s="847">
        <v>0</v>
      </c>
      <c r="AL172" s="847">
        <v>0</v>
      </c>
      <c r="AM172" s="847">
        <v>0</v>
      </c>
      <c r="AN172" s="847">
        <v>0</v>
      </c>
      <c r="AO172" s="847">
        <v>0</v>
      </c>
      <c r="AP172" s="847">
        <v>0</v>
      </c>
      <c r="AQ172" s="847">
        <v>0</v>
      </c>
      <c r="AR172" s="847">
        <v>0</v>
      </c>
      <c r="AS172" s="847">
        <v>0</v>
      </c>
      <c r="AT172" s="847">
        <v>0</v>
      </c>
      <c r="AU172" s="847">
        <v>0</v>
      </c>
      <c r="AV172" s="847">
        <v>0</v>
      </c>
      <c r="AW172" s="847">
        <v>0</v>
      </c>
      <c r="AX172" s="847">
        <v>0</v>
      </c>
      <c r="AY172" s="847">
        <v>0</v>
      </c>
      <c r="AZ172" s="847">
        <v>0</v>
      </c>
      <c r="BA172" s="847">
        <v>0</v>
      </c>
      <c r="BB172" s="847">
        <v>0</v>
      </c>
      <c r="BC172" s="847">
        <v>0</v>
      </c>
      <c r="BD172" s="847">
        <v>0</v>
      </c>
      <c r="BE172" s="847">
        <v>0</v>
      </c>
      <c r="BF172" s="847">
        <v>0</v>
      </c>
      <c r="BG172" s="847">
        <v>0</v>
      </c>
      <c r="BH172" s="847">
        <v>0</v>
      </c>
      <c r="BI172" s="847">
        <v>0</v>
      </c>
      <c r="BJ172" s="847">
        <v>0</v>
      </c>
      <c r="BK172" s="847">
        <v>0</v>
      </c>
      <c r="BL172" s="847">
        <v>0</v>
      </c>
      <c r="BM172" s="847">
        <v>0</v>
      </c>
      <c r="BN172" s="847">
        <v>0</v>
      </c>
      <c r="BO172" s="847">
        <v>0</v>
      </c>
      <c r="BP172" s="847">
        <v>0</v>
      </c>
      <c r="BQ172" s="847">
        <v>0</v>
      </c>
      <c r="BR172" s="847">
        <v>0</v>
      </c>
      <c r="BS172" s="847">
        <v>0</v>
      </c>
      <c r="BT172" s="847">
        <v>0</v>
      </c>
      <c r="BU172" s="847">
        <v>0</v>
      </c>
      <c r="BV172" s="847">
        <v>0</v>
      </c>
      <c r="BW172" s="847">
        <v>0</v>
      </c>
      <c r="BX172" s="847">
        <v>0</v>
      </c>
      <c r="BY172" s="847">
        <v>0</v>
      </c>
      <c r="BZ172" s="847">
        <v>0</v>
      </c>
      <c r="CA172" s="847">
        <v>0</v>
      </c>
      <c r="CB172" s="847">
        <v>0</v>
      </c>
      <c r="CC172" s="847">
        <v>0</v>
      </c>
      <c r="CD172" s="847">
        <v>0</v>
      </c>
      <c r="CE172" s="847">
        <v>0</v>
      </c>
      <c r="CF172" s="847">
        <v>0</v>
      </c>
      <c r="CG172" s="847">
        <v>0</v>
      </c>
      <c r="CH172" s="847">
        <v>0</v>
      </c>
      <c r="CI172" s="847">
        <v>0</v>
      </c>
      <c r="CJ172" s="847">
        <v>0</v>
      </c>
      <c r="CK172" s="847">
        <v>0</v>
      </c>
      <c r="CL172" s="847">
        <v>0</v>
      </c>
      <c r="CM172" s="847">
        <v>0</v>
      </c>
      <c r="CN172" s="847">
        <v>0</v>
      </c>
      <c r="CO172" s="847">
        <v>0</v>
      </c>
      <c r="CP172" s="847">
        <v>0</v>
      </c>
      <c r="CQ172" s="847">
        <v>0</v>
      </c>
      <c r="CR172" s="847">
        <v>0</v>
      </c>
      <c r="CS172" s="847">
        <v>0</v>
      </c>
      <c r="CT172" s="847">
        <v>0</v>
      </c>
      <c r="CU172" s="847">
        <v>0</v>
      </c>
      <c r="CV172" s="847">
        <v>0</v>
      </c>
      <c r="CW172" s="847">
        <v>0</v>
      </c>
      <c r="CX172" s="847">
        <v>0</v>
      </c>
      <c r="CY172" s="847">
        <v>0</v>
      </c>
      <c r="CZ172" s="847">
        <v>0</v>
      </c>
      <c r="DA172" s="847">
        <v>0</v>
      </c>
      <c r="DB172" s="847">
        <v>0</v>
      </c>
      <c r="DC172" s="847">
        <v>0</v>
      </c>
      <c r="DD172" s="847">
        <v>0</v>
      </c>
      <c r="DE172" s="847">
        <v>0</v>
      </c>
      <c r="DF172" s="847">
        <v>0</v>
      </c>
      <c r="DG172" s="847">
        <v>0</v>
      </c>
      <c r="DH172" s="847">
        <v>0</v>
      </c>
      <c r="DI172" s="847">
        <v>0</v>
      </c>
      <c r="DJ172" s="847">
        <v>138800</v>
      </c>
      <c r="DK172" s="847">
        <v>0</v>
      </c>
      <c r="DL172" s="847">
        <v>0</v>
      </c>
      <c r="DM172" s="847">
        <v>0</v>
      </c>
      <c r="DN172" s="847">
        <v>0</v>
      </c>
      <c r="DO172" s="847">
        <v>0</v>
      </c>
      <c r="DP172" s="847">
        <v>0</v>
      </c>
      <c r="DQ172" s="847">
        <v>0</v>
      </c>
      <c r="DR172" s="847">
        <v>0</v>
      </c>
      <c r="DS172" s="847">
        <v>0</v>
      </c>
      <c r="DT172" s="847">
        <v>0</v>
      </c>
      <c r="DU172" s="847">
        <v>0</v>
      </c>
      <c r="DV172" s="847">
        <v>0</v>
      </c>
      <c r="DW172" s="847">
        <v>0</v>
      </c>
      <c r="DY172" s="843" t="s">
        <v>1060</v>
      </c>
      <c r="DZ172" s="843" t="s">
        <v>1382</v>
      </c>
      <c r="EA172" s="843" t="s">
        <v>96</v>
      </c>
      <c r="EB172" s="844">
        <v>13</v>
      </c>
      <c r="EC172" s="780" t="str">
        <f t="shared" si="7"/>
        <v>IWT060113</v>
      </c>
      <c r="ED172" s="844">
        <v>4742</v>
      </c>
      <c r="EE172" s="844">
        <v>9484</v>
      </c>
      <c r="EF172" s="844">
        <v>14226</v>
      </c>
      <c r="EG172" s="844">
        <v>20106.099999999999</v>
      </c>
      <c r="EH172" s="844">
        <v>25132.6</v>
      </c>
      <c r="EI172" s="844">
        <v>30159.1</v>
      </c>
      <c r="EJ172" s="844">
        <v>30159.1</v>
      </c>
      <c r="EK172" s="844">
        <v>30159.1</v>
      </c>
      <c r="EL172" s="844">
        <v>30159.1</v>
      </c>
      <c r="EM172" s="844">
        <v>30687</v>
      </c>
      <c r="EN172" s="844">
        <v>31300</v>
      </c>
      <c r="EO172" s="844">
        <v>31926</v>
      </c>
      <c r="EP172" s="844">
        <v>32565</v>
      </c>
      <c r="EQ172" s="844">
        <v>33216</v>
      </c>
      <c r="ER172" s="844">
        <v>33880</v>
      </c>
      <c r="ES172" s="844">
        <v>34558</v>
      </c>
      <c r="ET172" s="844">
        <v>35249</v>
      </c>
      <c r="EU172" s="844">
        <v>35954</v>
      </c>
      <c r="EV172" s="844">
        <v>36673</v>
      </c>
      <c r="EW172" s="844">
        <v>37407</v>
      </c>
      <c r="EX172" s="844">
        <v>38155</v>
      </c>
      <c r="EY172" s="844">
        <v>38918</v>
      </c>
      <c r="EZ172" s="844">
        <v>39696</v>
      </c>
      <c r="FA172" s="844">
        <v>40490</v>
      </c>
      <c r="FB172" s="844">
        <v>41300</v>
      </c>
      <c r="FC172" s="844">
        <v>42126</v>
      </c>
      <c r="FD172" s="844">
        <v>42969</v>
      </c>
      <c r="FE172" s="844">
        <v>43828</v>
      </c>
      <c r="FF172" s="844">
        <v>44704</v>
      </c>
      <c r="FG172" s="844">
        <v>45599</v>
      </c>
      <c r="FH172" s="844">
        <v>46511</v>
      </c>
      <c r="FI172" s="844">
        <v>47441</v>
      </c>
      <c r="FJ172" s="844">
        <v>48390</v>
      </c>
      <c r="FK172" s="844">
        <v>49356</v>
      </c>
      <c r="FL172" s="844">
        <v>50600</v>
      </c>
      <c r="FM172" s="844">
        <v>52000</v>
      </c>
      <c r="FN172" s="844">
        <v>53400</v>
      </c>
      <c r="FO172" s="844">
        <v>54800</v>
      </c>
      <c r="FP172" s="844">
        <v>56200</v>
      </c>
      <c r="FQ172" s="844">
        <v>57600</v>
      </c>
      <c r="FR172" s="844">
        <v>59000</v>
      </c>
      <c r="FS172" s="844">
        <v>60400</v>
      </c>
      <c r="FT172" s="844">
        <v>61800</v>
      </c>
      <c r="FU172" s="844">
        <v>63200</v>
      </c>
      <c r="FV172" s="844">
        <v>64600</v>
      </c>
      <c r="FW172" s="844">
        <v>66000</v>
      </c>
      <c r="FX172" s="844">
        <v>67400</v>
      </c>
      <c r="FY172" s="844">
        <v>68800</v>
      </c>
      <c r="FZ172" s="844">
        <v>70200</v>
      </c>
      <c r="GA172" s="844">
        <v>71600</v>
      </c>
      <c r="GB172" s="844">
        <v>73000</v>
      </c>
      <c r="GC172" s="844">
        <v>74400</v>
      </c>
      <c r="GD172" s="844">
        <v>75800</v>
      </c>
      <c r="GE172" s="844">
        <v>77200</v>
      </c>
      <c r="GF172" s="844">
        <v>78600</v>
      </c>
      <c r="GG172" s="844">
        <v>80000</v>
      </c>
      <c r="GH172" s="844">
        <v>81400</v>
      </c>
      <c r="GI172" s="844">
        <v>82800</v>
      </c>
      <c r="GJ172" s="844">
        <v>84200</v>
      </c>
      <c r="GK172" s="844">
        <v>85600</v>
      </c>
      <c r="GL172" s="844">
        <v>87000</v>
      </c>
      <c r="GM172" s="844">
        <v>88400</v>
      </c>
      <c r="GN172" s="844">
        <v>89800</v>
      </c>
      <c r="GO172" s="844">
        <v>91200</v>
      </c>
      <c r="GP172" s="844">
        <v>92600</v>
      </c>
      <c r="GQ172" s="844">
        <v>94000</v>
      </c>
      <c r="GR172" s="844">
        <v>95400</v>
      </c>
      <c r="GS172" s="844">
        <v>96800</v>
      </c>
      <c r="GT172" s="844">
        <v>98200</v>
      </c>
      <c r="GU172" s="844">
        <v>99600</v>
      </c>
      <c r="GV172" s="844">
        <v>101000</v>
      </c>
      <c r="GW172" s="844">
        <v>102400</v>
      </c>
      <c r="GX172" s="844">
        <v>103800</v>
      </c>
      <c r="GY172" s="844">
        <v>105200</v>
      </c>
      <c r="GZ172" s="844">
        <v>106600</v>
      </c>
      <c r="HA172" s="844">
        <v>108000</v>
      </c>
      <c r="HB172" s="844">
        <v>109400</v>
      </c>
      <c r="HC172" s="844">
        <v>110800</v>
      </c>
      <c r="HD172" s="844">
        <v>112200</v>
      </c>
      <c r="HE172" s="844">
        <v>113600</v>
      </c>
      <c r="HF172" s="844">
        <v>115000</v>
      </c>
      <c r="HG172" s="844">
        <v>116400</v>
      </c>
      <c r="HH172" s="844">
        <v>117800</v>
      </c>
      <c r="HI172" s="844">
        <v>119200</v>
      </c>
      <c r="HJ172" s="844">
        <v>120600</v>
      </c>
      <c r="HK172" s="844">
        <v>122000</v>
      </c>
      <c r="HL172" s="844">
        <v>123400</v>
      </c>
      <c r="HM172" s="844">
        <v>124800</v>
      </c>
      <c r="HN172" s="844">
        <v>126200</v>
      </c>
      <c r="HO172" s="844">
        <v>127600</v>
      </c>
      <c r="HP172" s="844">
        <v>129000</v>
      </c>
      <c r="HQ172" s="844">
        <v>130400</v>
      </c>
      <c r="HR172" s="844">
        <v>131800</v>
      </c>
      <c r="HS172" s="844">
        <v>133200</v>
      </c>
      <c r="HT172" s="844">
        <v>134600</v>
      </c>
      <c r="HU172" s="844">
        <v>136000</v>
      </c>
      <c r="HV172" s="844">
        <v>137432</v>
      </c>
      <c r="HW172" s="844">
        <v>138800</v>
      </c>
      <c r="HX172" s="844">
        <v>0</v>
      </c>
      <c r="HY172" s="844">
        <v>0</v>
      </c>
      <c r="HZ172" s="844">
        <v>0</v>
      </c>
      <c r="IA172" s="844">
        <v>0</v>
      </c>
      <c r="IB172" s="844">
        <v>0</v>
      </c>
      <c r="IC172" s="844">
        <v>0</v>
      </c>
      <c r="ID172" s="844">
        <v>0</v>
      </c>
      <c r="IE172" s="844">
        <v>0</v>
      </c>
      <c r="IF172" s="844">
        <v>0</v>
      </c>
      <c r="IG172" s="844">
        <v>0</v>
      </c>
      <c r="IH172" s="844">
        <v>0</v>
      </c>
      <c r="II172" s="844">
        <v>0</v>
      </c>
      <c r="IJ172" s="844">
        <v>0</v>
      </c>
    </row>
    <row r="173" spans="9:244" hidden="1">
      <c r="I173" s="156"/>
      <c r="L173" s="846" t="s">
        <v>1060</v>
      </c>
      <c r="M173" s="846" t="s">
        <v>1382</v>
      </c>
      <c r="N173" s="846" t="s">
        <v>96</v>
      </c>
      <c r="O173" s="847">
        <v>14</v>
      </c>
      <c r="P173" s="780" t="str">
        <f t="shared" si="6"/>
        <v>IWT060114</v>
      </c>
      <c r="Q173" s="847">
        <v>0</v>
      </c>
      <c r="R173" s="847">
        <v>0</v>
      </c>
      <c r="S173" s="847">
        <v>0</v>
      </c>
      <c r="T173" s="847">
        <v>0</v>
      </c>
      <c r="U173" s="847">
        <v>0</v>
      </c>
      <c r="V173" s="847">
        <v>0</v>
      </c>
      <c r="W173" s="847">
        <v>0</v>
      </c>
      <c r="X173" s="847">
        <v>0</v>
      </c>
      <c r="Y173" s="847">
        <v>0</v>
      </c>
      <c r="Z173" s="847">
        <v>0</v>
      </c>
      <c r="AA173" s="847">
        <v>0</v>
      </c>
      <c r="AB173" s="847">
        <v>0</v>
      </c>
      <c r="AC173" s="847">
        <v>0</v>
      </c>
      <c r="AD173" s="847">
        <v>0</v>
      </c>
      <c r="AE173" s="847">
        <v>0</v>
      </c>
      <c r="AF173" s="847">
        <v>0</v>
      </c>
      <c r="AG173" s="847">
        <v>0</v>
      </c>
      <c r="AH173" s="847">
        <v>0</v>
      </c>
      <c r="AI173" s="847">
        <v>0</v>
      </c>
      <c r="AJ173" s="847">
        <v>0</v>
      </c>
      <c r="AK173" s="847">
        <v>0</v>
      </c>
      <c r="AL173" s="847">
        <v>0</v>
      </c>
      <c r="AM173" s="847">
        <v>0</v>
      </c>
      <c r="AN173" s="847">
        <v>0</v>
      </c>
      <c r="AO173" s="847">
        <v>0</v>
      </c>
      <c r="AP173" s="847">
        <v>0</v>
      </c>
      <c r="AQ173" s="847">
        <v>0</v>
      </c>
      <c r="AR173" s="847">
        <v>0</v>
      </c>
      <c r="AS173" s="847">
        <v>0</v>
      </c>
      <c r="AT173" s="847">
        <v>0</v>
      </c>
      <c r="AU173" s="847">
        <v>0</v>
      </c>
      <c r="AV173" s="847">
        <v>0</v>
      </c>
      <c r="AW173" s="847">
        <v>0</v>
      </c>
      <c r="AX173" s="847">
        <v>0</v>
      </c>
      <c r="AY173" s="847">
        <v>0</v>
      </c>
      <c r="AZ173" s="847">
        <v>0</v>
      </c>
      <c r="BA173" s="847">
        <v>0</v>
      </c>
      <c r="BB173" s="847">
        <v>0</v>
      </c>
      <c r="BC173" s="847">
        <v>0</v>
      </c>
      <c r="BD173" s="847">
        <v>0</v>
      </c>
      <c r="BE173" s="847">
        <v>0</v>
      </c>
      <c r="BF173" s="847">
        <v>0</v>
      </c>
      <c r="BG173" s="847">
        <v>0</v>
      </c>
      <c r="BH173" s="847">
        <v>0</v>
      </c>
      <c r="BI173" s="847">
        <v>0</v>
      </c>
      <c r="BJ173" s="847">
        <v>0</v>
      </c>
      <c r="BK173" s="847">
        <v>0</v>
      </c>
      <c r="BL173" s="847">
        <v>0</v>
      </c>
      <c r="BM173" s="847">
        <v>0</v>
      </c>
      <c r="BN173" s="847">
        <v>0</v>
      </c>
      <c r="BO173" s="847">
        <v>0</v>
      </c>
      <c r="BP173" s="847">
        <v>0</v>
      </c>
      <c r="BQ173" s="847">
        <v>0</v>
      </c>
      <c r="BR173" s="847">
        <v>0</v>
      </c>
      <c r="BS173" s="847">
        <v>0</v>
      </c>
      <c r="BT173" s="847">
        <v>0</v>
      </c>
      <c r="BU173" s="847">
        <v>0</v>
      </c>
      <c r="BV173" s="847">
        <v>0</v>
      </c>
      <c r="BW173" s="847">
        <v>0</v>
      </c>
      <c r="BX173" s="847">
        <v>0</v>
      </c>
      <c r="BY173" s="847">
        <v>0</v>
      </c>
      <c r="BZ173" s="847">
        <v>0</v>
      </c>
      <c r="CA173" s="847">
        <v>0</v>
      </c>
      <c r="CB173" s="847">
        <v>0</v>
      </c>
      <c r="CC173" s="847">
        <v>0</v>
      </c>
      <c r="CD173" s="847">
        <v>0</v>
      </c>
      <c r="CE173" s="847">
        <v>0</v>
      </c>
      <c r="CF173" s="847">
        <v>0</v>
      </c>
      <c r="CG173" s="847">
        <v>0</v>
      </c>
      <c r="CH173" s="847">
        <v>0</v>
      </c>
      <c r="CI173" s="847">
        <v>0</v>
      </c>
      <c r="CJ173" s="847">
        <v>0</v>
      </c>
      <c r="CK173" s="847">
        <v>0</v>
      </c>
      <c r="CL173" s="847">
        <v>0</v>
      </c>
      <c r="CM173" s="847">
        <v>0</v>
      </c>
      <c r="CN173" s="847">
        <v>0</v>
      </c>
      <c r="CO173" s="847">
        <v>0</v>
      </c>
      <c r="CP173" s="847">
        <v>0</v>
      </c>
      <c r="CQ173" s="847">
        <v>0</v>
      </c>
      <c r="CR173" s="847">
        <v>0</v>
      </c>
      <c r="CS173" s="847">
        <v>0</v>
      </c>
      <c r="CT173" s="847">
        <v>0</v>
      </c>
      <c r="CU173" s="847">
        <v>0</v>
      </c>
      <c r="CV173" s="847">
        <v>0</v>
      </c>
      <c r="CW173" s="847">
        <v>0</v>
      </c>
      <c r="CX173" s="847">
        <v>0</v>
      </c>
      <c r="CY173" s="847">
        <v>0</v>
      </c>
      <c r="CZ173" s="847">
        <v>0</v>
      </c>
      <c r="DA173" s="847">
        <v>0</v>
      </c>
      <c r="DB173" s="847">
        <v>0</v>
      </c>
      <c r="DC173" s="847">
        <v>0</v>
      </c>
      <c r="DD173" s="847">
        <v>0</v>
      </c>
      <c r="DE173" s="847">
        <v>0</v>
      </c>
      <c r="DF173" s="847">
        <v>0</v>
      </c>
      <c r="DG173" s="847">
        <v>0</v>
      </c>
      <c r="DH173" s="847">
        <v>0</v>
      </c>
      <c r="DI173" s="847">
        <v>137400</v>
      </c>
      <c r="DJ173" s="847">
        <v>0</v>
      </c>
      <c r="DK173" s="847">
        <v>0</v>
      </c>
      <c r="DL173" s="847">
        <v>0</v>
      </c>
      <c r="DM173" s="847">
        <v>0</v>
      </c>
      <c r="DN173" s="847">
        <v>0</v>
      </c>
      <c r="DO173" s="847">
        <v>0</v>
      </c>
      <c r="DP173" s="847">
        <v>0</v>
      </c>
      <c r="DQ173" s="847">
        <v>0</v>
      </c>
      <c r="DR173" s="847">
        <v>0</v>
      </c>
      <c r="DS173" s="847">
        <v>0</v>
      </c>
      <c r="DT173" s="847">
        <v>0</v>
      </c>
      <c r="DU173" s="847">
        <v>0</v>
      </c>
      <c r="DV173" s="847">
        <v>0</v>
      </c>
      <c r="DW173" s="847">
        <v>0</v>
      </c>
      <c r="DY173" s="843" t="s">
        <v>1060</v>
      </c>
      <c r="DZ173" s="843" t="s">
        <v>1382</v>
      </c>
      <c r="EA173" s="843" t="s">
        <v>96</v>
      </c>
      <c r="EB173" s="844">
        <v>14</v>
      </c>
      <c r="EC173" s="780" t="str">
        <f t="shared" si="7"/>
        <v>IWT060114</v>
      </c>
      <c r="ED173" s="844">
        <v>4762</v>
      </c>
      <c r="EE173" s="844">
        <v>9524</v>
      </c>
      <c r="EF173" s="844">
        <v>15143.2</v>
      </c>
      <c r="EG173" s="844">
        <v>20190.900000000001</v>
      </c>
      <c r="EH173" s="844">
        <v>25238.6</v>
      </c>
      <c r="EI173" s="844">
        <v>30286.3</v>
      </c>
      <c r="EJ173" s="844">
        <v>30286.3</v>
      </c>
      <c r="EK173" s="844">
        <v>30286.3</v>
      </c>
      <c r="EL173" s="844">
        <v>30286.3</v>
      </c>
      <c r="EM173" s="844">
        <v>30817</v>
      </c>
      <c r="EN173" s="844">
        <v>31433</v>
      </c>
      <c r="EO173" s="844">
        <v>32062</v>
      </c>
      <c r="EP173" s="844">
        <v>32703</v>
      </c>
      <c r="EQ173" s="844">
        <v>33357</v>
      </c>
      <c r="ER173" s="844">
        <v>34024</v>
      </c>
      <c r="ES173" s="844">
        <v>34705</v>
      </c>
      <c r="ET173" s="844">
        <v>35399</v>
      </c>
      <c r="EU173" s="844">
        <v>36107</v>
      </c>
      <c r="EV173" s="844">
        <v>36829</v>
      </c>
      <c r="EW173" s="844">
        <v>37566</v>
      </c>
      <c r="EX173" s="844">
        <v>38317</v>
      </c>
      <c r="EY173" s="844">
        <v>39083</v>
      </c>
      <c r="EZ173" s="844">
        <v>39865</v>
      </c>
      <c r="FA173" s="844">
        <v>40662</v>
      </c>
      <c r="FB173" s="844">
        <v>41475</v>
      </c>
      <c r="FC173" s="844">
        <v>42305</v>
      </c>
      <c r="FD173" s="844">
        <v>43151</v>
      </c>
      <c r="FE173" s="844">
        <v>44014</v>
      </c>
      <c r="FF173" s="844">
        <v>44894</v>
      </c>
      <c r="FG173" s="844">
        <v>45792</v>
      </c>
      <c r="FH173" s="844">
        <v>46708</v>
      </c>
      <c r="FI173" s="844">
        <v>47642</v>
      </c>
      <c r="FJ173" s="844">
        <v>48595</v>
      </c>
      <c r="FK173" s="844">
        <v>49566</v>
      </c>
      <c r="FL173" s="844">
        <v>50600</v>
      </c>
      <c r="FM173" s="844">
        <v>52000</v>
      </c>
      <c r="FN173" s="844">
        <v>53400</v>
      </c>
      <c r="FO173" s="844">
        <v>54800</v>
      </c>
      <c r="FP173" s="844">
        <v>56200</v>
      </c>
      <c r="FQ173" s="844">
        <v>57600</v>
      </c>
      <c r="FR173" s="844">
        <v>59000</v>
      </c>
      <c r="FS173" s="844">
        <v>60400</v>
      </c>
      <c r="FT173" s="844">
        <v>61800</v>
      </c>
      <c r="FU173" s="844">
        <v>63200</v>
      </c>
      <c r="FV173" s="844">
        <v>64600</v>
      </c>
      <c r="FW173" s="844">
        <v>66000</v>
      </c>
      <c r="FX173" s="844">
        <v>67400</v>
      </c>
      <c r="FY173" s="844">
        <v>68800</v>
      </c>
      <c r="FZ173" s="844">
        <v>70200</v>
      </c>
      <c r="GA173" s="844">
        <v>71600</v>
      </c>
      <c r="GB173" s="844">
        <v>73000</v>
      </c>
      <c r="GC173" s="844">
        <v>74400</v>
      </c>
      <c r="GD173" s="844">
        <v>75800</v>
      </c>
      <c r="GE173" s="844">
        <v>77200</v>
      </c>
      <c r="GF173" s="844">
        <v>78600</v>
      </c>
      <c r="GG173" s="844">
        <v>80000</v>
      </c>
      <c r="GH173" s="844">
        <v>81400</v>
      </c>
      <c r="GI173" s="844">
        <v>82800</v>
      </c>
      <c r="GJ173" s="844">
        <v>84200</v>
      </c>
      <c r="GK173" s="844">
        <v>85600</v>
      </c>
      <c r="GL173" s="844">
        <v>87000</v>
      </c>
      <c r="GM173" s="844">
        <v>88400</v>
      </c>
      <c r="GN173" s="844">
        <v>89800</v>
      </c>
      <c r="GO173" s="844">
        <v>91200</v>
      </c>
      <c r="GP173" s="844">
        <v>92600</v>
      </c>
      <c r="GQ173" s="844">
        <v>94000</v>
      </c>
      <c r="GR173" s="844">
        <v>95400</v>
      </c>
      <c r="GS173" s="844">
        <v>96800</v>
      </c>
      <c r="GT173" s="844">
        <v>98200</v>
      </c>
      <c r="GU173" s="844">
        <v>99600</v>
      </c>
      <c r="GV173" s="844">
        <v>101000</v>
      </c>
      <c r="GW173" s="844">
        <v>102400</v>
      </c>
      <c r="GX173" s="844">
        <v>103800</v>
      </c>
      <c r="GY173" s="844">
        <v>105200</v>
      </c>
      <c r="GZ173" s="844">
        <v>106600</v>
      </c>
      <c r="HA173" s="844">
        <v>108000</v>
      </c>
      <c r="HB173" s="844">
        <v>109400</v>
      </c>
      <c r="HC173" s="844">
        <v>110800</v>
      </c>
      <c r="HD173" s="844">
        <v>112200</v>
      </c>
      <c r="HE173" s="844">
        <v>113600</v>
      </c>
      <c r="HF173" s="844">
        <v>115000</v>
      </c>
      <c r="HG173" s="844">
        <v>116400</v>
      </c>
      <c r="HH173" s="844">
        <v>117800</v>
      </c>
      <c r="HI173" s="844">
        <v>119200</v>
      </c>
      <c r="HJ173" s="844">
        <v>120600</v>
      </c>
      <c r="HK173" s="844">
        <v>122000</v>
      </c>
      <c r="HL173" s="844">
        <v>123400</v>
      </c>
      <c r="HM173" s="844">
        <v>124800</v>
      </c>
      <c r="HN173" s="844">
        <v>126200</v>
      </c>
      <c r="HO173" s="844">
        <v>127600</v>
      </c>
      <c r="HP173" s="844">
        <v>129000</v>
      </c>
      <c r="HQ173" s="844">
        <v>130400</v>
      </c>
      <c r="HR173" s="844">
        <v>131800</v>
      </c>
      <c r="HS173" s="844">
        <v>133200</v>
      </c>
      <c r="HT173" s="844">
        <v>134600</v>
      </c>
      <c r="HU173" s="844">
        <v>136046</v>
      </c>
      <c r="HV173" s="844">
        <v>137400</v>
      </c>
      <c r="HW173" s="844">
        <v>0</v>
      </c>
      <c r="HX173" s="844">
        <v>0</v>
      </c>
      <c r="HY173" s="844">
        <v>0</v>
      </c>
      <c r="HZ173" s="844">
        <v>0</v>
      </c>
      <c r="IA173" s="844">
        <v>0</v>
      </c>
      <c r="IB173" s="844">
        <v>0</v>
      </c>
      <c r="IC173" s="844">
        <v>0</v>
      </c>
      <c r="ID173" s="844">
        <v>0</v>
      </c>
      <c r="IE173" s="844">
        <v>0</v>
      </c>
      <c r="IF173" s="844">
        <v>0</v>
      </c>
      <c r="IG173" s="844">
        <v>0</v>
      </c>
      <c r="IH173" s="844">
        <v>0</v>
      </c>
      <c r="II173" s="844">
        <v>0</v>
      </c>
      <c r="IJ173" s="844">
        <v>0</v>
      </c>
    </row>
    <row r="174" spans="9:244" hidden="1">
      <c r="I174" s="156"/>
      <c r="L174" s="846" t="s">
        <v>1060</v>
      </c>
      <c r="M174" s="846" t="s">
        <v>1382</v>
      </c>
      <c r="N174" s="846" t="s">
        <v>96</v>
      </c>
      <c r="O174" s="847">
        <v>15</v>
      </c>
      <c r="P174" s="780" t="str">
        <f t="shared" si="6"/>
        <v>IWT060115</v>
      </c>
      <c r="Q174" s="847">
        <v>0</v>
      </c>
      <c r="R174" s="847">
        <v>0</v>
      </c>
      <c r="S174" s="847">
        <v>0</v>
      </c>
      <c r="T174" s="847">
        <v>0</v>
      </c>
      <c r="U174" s="847">
        <v>0</v>
      </c>
      <c r="V174" s="847">
        <v>0</v>
      </c>
      <c r="W174" s="847">
        <v>0</v>
      </c>
      <c r="X174" s="847">
        <v>0</v>
      </c>
      <c r="Y174" s="847">
        <v>0</v>
      </c>
      <c r="Z174" s="847">
        <v>0</v>
      </c>
      <c r="AA174" s="847">
        <v>0</v>
      </c>
      <c r="AB174" s="847">
        <v>0</v>
      </c>
      <c r="AC174" s="847">
        <v>0</v>
      </c>
      <c r="AD174" s="847">
        <v>0</v>
      </c>
      <c r="AE174" s="847">
        <v>0</v>
      </c>
      <c r="AF174" s="847">
        <v>0</v>
      </c>
      <c r="AG174" s="847">
        <v>0</v>
      </c>
      <c r="AH174" s="847">
        <v>0</v>
      </c>
      <c r="AI174" s="847">
        <v>0</v>
      </c>
      <c r="AJ174" s="847">
        <v>0</v>
      </c>
      <c r="AK174" s="847">
        <v>0</v>
      </c>
      <c r="AL174" s="847">
        <v>0</v>
      </c>
      <c r="AM174" s="847">
        <v>0</v>
      </c>
      <c r="AN174" s="847">
        <v>0</v>
      </c>
      <c r="AO174" s="847">
        <v>0</v>
      </c>
      <c r="AP174" s="847">
        <v>0</v>
      </c>
      <c r="AQ174" s="847">
        <v>0</v>
      </c>
      <c r="AR174" s="847">
        <v>0</v>
      </c>
      <c r="AS174" s="847">
        <v>0</v>
      </c>
      <c r="AT174" s="847">
        <v>0</v>
      </c>
      <c r="AU174" s="847">
        <v>0</v>
      </c>
      <c r="AV174" s="847">
        <v>0</v>
      </c>
      <c r="AW174" s="847">
        <v>0</v>
      </c>
      <c r="AX174" s="847">
        <v>0</v>
      </c>
      <c r="AY174" s="847">
        <v>0</v>
      </c>
      <c r="AZ174" s="847">
        <v>0</v>
      </c>
      <c r="BA174" s="847">
        <v>0</v>
      </c>
      <c r="BB174" s="847">
        <v>0</v>
      </c>
      <c r="BC174" s="847">
        <v>0</v>
      </c>
      <c r="BD174" s="847">
        <v>0</v>
      </c>
      <c r="BE174" s="847">
        <v>0</v>
      </c>
      <c r="BF174" s="847">
        <v>0</v>
      </c>
      <c r="BG174" s="847">
        <v>0</v>
      </c>
      <c r="BH174" s="847">
        <v>0</v>
      </c>
      <c r="BI174" s="847">
        <v>0</v>
      </c>
      <c r="BJ174" s="847">
        <v>0</v>
      </c>
      <c r="BK174" s="847">
        <v>0</v>
      </c>
      <c r="BL174" s="847">
        <v>0</v>
      </c>
      <c r="BM174" s="847">
        <v>0</v>
      </c>
      <c r="BN174" s="847">
        <v>0</v>
      </c>
      <c r="BO174" s="847">
        <v>0</v>
      </c>
      <c r="BP174" s="847">
        <v>0</v>
      </c>
      <c r="BQ174" s="847">
        <v>0</v>
      </c>
      <c r="BR174" s="847">
        <v>0</v>
      </c>
      <c r="BS174" s="847">
        <v>0</v>
      </c>
      <c r="BT174" s="847">
        <v>0</v>
      </c>
      <c r="BU174" s="847">
        <v>0</v>
      </c>
      <c r="BV174" s="847">
        <v>0</v>
      </c>
      <c r="BW174" s="847">
        <v>0</v>
      </c>
      <c r="BX174" s="847">
        <v>0</v>
      </c>
      <c r="BY174" s="847">
        <v>0</v>
      </c>
      <c r="BZ174" s="847">
        <v>0</v>
      </c>
      <c r="CA174" s="847">
        <v>0</v>
      </c>
      <c r="CB174" s="847">
        <v>0</v>
      </c>
      <c r="CC174" s="847">
        <v>0</v>
      </c>
      <c r="CD174" s="847">
        <v>0</v>
      </c>
      <c r="CE174" s="847">
        <v>0</v>
      </c>
      <c r="CF174" s="847">
        <v>0</v>
      </c>
      <c r="CG174" s="847">
        <v>0</v>
      </c>
      <c r="CH174" s="847">
        <v>0</v>
      </c>
      <c r="CI174" s="847">
        <v>0</v>
      </c>
      <c r="CJ174" s="847">
        <v>0</v>
      </c>
      <c r="CK174" s="847">
        <v>0</v>
      </c>
      <c r="CL174" s="847">
        <v>0</v>
      </c>
      <c r="CM174" s="847">
        <v>0</v>
      </c>
      <c r="CN174" s="847">
        <v>0</v>
      </c>
      <c r="CO174" s="847">
        <v>0</v>
      </c>
      <c r="CP174" s="847">
        <v>0</v>
      </c>
      <c r="CQ174" s="847">
        <v>0</v>
      </c>
      <c r="CR174" s="847">
        <v>0</v>
      </c>
      <c r="CS174" s="847">
        <v>0</v>
      </c>
      <c r="CT174" s="847">
        <v>0</v>
      </c>
      <c r="CU174" s="847">
        <v>0</v>
      </c>
      <c r="CV174" s="847">
        <v>0</v>
      </c>
      <c r="CW174" s="847">
        <v>0</v>
      </c>
      <c r="CX174" s="847">
        <v>0</v>
      </c>
      <c r="CY174" s="847">
        <v>0</v>
      </c>
      <c r="CZ174" s="847">
        <v>0</v>
      </c>
      <c r="DA174" s="847">
        <v>0</v>
      </c>
      <c r="DB174" s="847">
        <v>0</v>
      </c>
      <c r="DC174" s="847">
        <v>0</v>
      </c>
      <c r="DD174" s="847">
        <v>0</v>
      </c>
      <c r="DE174" s="847">
        <v>0</v>
      </c>
      <c r="DF174" s="847">
        <v>0</v>
      </c>
      <c r="DG174" s="847">
        <v>0</v>
      </c>
      <c r="DH174" s="847">
        <v>136000</v>
      </c>
      <c r="DI174" s="847">
        <v>0</v>
      </c>
      <c r="DJ174" s="847">
        <v>0</v>
      </c>
      <c r="DK174" s="847">
        <v>0</v>
      </c>
      <c r="DL174" s="847">
        <v>0</v>
      </c>
      <c r="DM174" s="847">
        <v>0</v>
      </c>
      <c r="DN174" s="847">
        <v>0</v>
      </c>
      <c r="DO174" s="847">
        <v>0</v>
      </c>
      <c r="DP174" s="847">
        <v>0</v>
      </c>
      <c r="DQ174" s="847">
        <v>0</v>
      </c>
      <c r="DR174" s="847">
        <v>0</v>
      </c>
      <c r="DS174" s="847">
        <v>0</v>
      </c>
      <c r="DT174" s="847">
        <v>0</v>
      </c>
      <c r="DU174" s="847">
        <v>0</v>
      </c>
      <c r="DV174" s="847">
        <v>0</v>
      </c>
      <c r="DW174" s="847">
        <v>0</v>
      </c>
      <c r="DY174" s="843" t="s">
        <v>1060</v>
      </c>
      <c r="DZ174" s="843" t="s">
        <v>1382</v>
      </c>
      <c r="EA174" s="843" t="s">
        <v>96</v>
      </c>
      <c r="EB174" s="844">
        <v>15</v>
      </c>
      <c r="EC174" s="780" t="str">
        <f t="shared" si="7"/>
        <v>IWT060115</v>
      </c>
      <c r="ED174" s="844">
        <v>4781</v>
      </c>
      <c r="EE174" s="844">
        <v>10135.700000000001</v>
      </c>
      <c r="EF174" s="844">
        <v>15203.6</v>
      </c>
      <c r="EG174" s="844">
        <v>20271.400000000001</v>
      </c>
      <c r="EH174" s="844">
        <v>25339.3</v>
      </c>
      <c r="EI174" s="844">
        <v>30407.200000000001</v>
      </c>
      <c r="EJ174" s="844">
        <v>30407.200000000001</v>
      </c>
      <c r="EK174" s="844">
        <v>30407.200000000001</v>
      </c>
      <c r="EL174" s="844">
        <v>30407.200000000001</v>
      </c>
      <c r="EM174" s="844">
        <v>30943</v>
      </c>
      <c r="EN174" s="844">
        <v>31561</v>
      </c>
      <c r="EO174" s="844">
        <v>32193</v>
      </c>
      <c r="EP174" s="844">
        <v>32836</v>
      </c>
      <c r="EQ174" s="844">
        <v>33493</v>
      </c>
      <c r="ER174" s="844">
        <v>34163</v>
      </c>
      <c r="ES174" s="844">
        <v>34846</v>
      </c>
      <c r="ET174" s="844">
        <v>35543</v>
      </c>
      <c r="EU174" s="844">
        <v>36254</v>
      </c>
      <c r="EV174" s="844">
        <v>36979</v>
      </c>
      <c r="EW174" s="844">
        <v>37719</v>
      </c>
      <c r="EX174" s="844">
        <v>38473</v>
      </c>
      <c r="EY174" s="844">
        <v>39243</v>
      </c>
      <c r="EZ174" s="844">
        <v>40027</v>
      </c>
      <c r="FA174" s="844">
        <v>40828</v>
      </c>
      <c r="FB174" s="844">
        <v>41645</v>
      </c>
      <c r="FC174" s="844">
        <v>42477</v>
      </c>
      <c r="FD174" s="844">
        <v>43327</v>
      </c>
      <c r="FE174" s="844">
        <v>44194</v>
      </c>
      <c r="FF174" s="844">
        <v>45077</v>
      </c>
      <c r="FG174" s="844">
        <v>45979</v>
      </c>
      <c r="FH174" s="844">
        <v>46898</v>
      </c>
      <c r="FI174" s="844">
        <v>47836</v>
      </c>
      <c r="FJ174" s="844">
        <v>48793</v>
      </c>
      <c r="FK174" s="844">
        <v>49769</v>
      </c>
      <c r="FL174" s="844">
        <v>50763</v>
      </c>
      <c r="FM174" s="844">
        <v>52000</v>
      </c>
      <c r="FN174" s="844">
        <v>53400</v>
      </c>
      <c r="FO174" s="844">
        <v>54800</v>
      </c>
      <c r="FP174" s="844">
        <v>56200</v>
      </c>
      <c r="FQ174" s="844">
        <v>57600</v>
      </c>
      <c r="FR174" s="844">
        <v>59000</v>
      </c>
      <c r="FS174" s="844">
        <v>60400</v>
      </c>
      <c r="FT174" s="844">
        <v>61800</v>
      </c>
      <c r="FU174" s="844">
        <v>63200</v>
      </c>
      <c r="FV174" s="844">
        <v>64600</v>
      </c>
      <c r="FW174" s="844">
        <v>66000</v>
      </c>
      <c r="FX174" s="844">
        <v>67400</v>
      </c>
      <c r="FY174" s="844">
        <v>68800</v>
      </c>
      <c r="FZ174" s="844">
        <v>70200</v>
      </c>
      <c r="GA174" s="844">
        <v>71600</v>
      </c>
      <c r="GB174" s="844">
        <v>73000</v>
      </c>
      <c r="GC174" s="844">
        <v>74400</v>
      </c>
      <c r="GD174" s="844">
        <v>75800</v>
      </c>
      <c r="GE174" s="844">
        <v>77200</v>
      </c>
      <c r="GF174" s="844">
        <v>78600</v>
      </c>
      <c r="GG174" s="844">
        <v>80000</v>
      </c>
      <c r="GH174" s="844">
        <v>81400</v>
      </c>
      <c r="GI174" s="844">
        <v>82800</v>
      </c>
      <c r="GJ174" s="844">
        <v>84200</v>
      </c>
      <c r="GK174" s="844">
        <v>85600</v>
      </c>
      <c r="GL174" s="844">
        <v>87000</v>
      </c>
      <c r="GM174" s="844">
        <v>88400</v>
      </c>
      <c r="GN174" s="844">
        <v>89800</v>
      </c>
      <c r="GO174" s="844">
        <v>91200</v>
      </c>
      <c r="GP174" s="844">
        <v>92600</v>
      </c>
      <c r="GQ174" s="844">
        <v>94000</v>
      </c>
      <c r="GR174" s="844">
        <v>95400</v>
      </c>
      <c r="GS174" s="844">
        <v>96800</v>
      </c>
      <c r="GT174" s="844">
        <v>98200</v>
      </c>
      <c r="GU174" s="844">
        <v>99600</v>
      </c>
      <c r="GV174" s="844">
        <v>101000</v>
      </c>
      <c r="GW174" s="844">
        <v>102400</v>
      </c>
      <c r="GX174" s="844">
        <v>103800</v>
      </c>
      <c r="GY174" s="844">
        <v>105200</v>
      </c>
      <c r="GZ174" s="844">
        <v>106600</v>
      </c>
      <c r="HA174" s="844">
        <v>108000</v>
      </c>
      <c r="HB174" s="844">
        <v>109400</v>
      </c>
      <c r="HC174" s="844">
        <v>110800</v>
      </c>
      <c r="HD174" s="844">
        <v>112200</v>
      </c>
      <c r="HE174" s="844">
        <v>113600</v>
      </c>
      <c r="HF174" s="844">
        <v>115000</v>
      </c>
      <c r="HG174" s="844">
        <v>116400</v>
      </c>
      <c r="HH174" s="844">
        <v>117800</v>
      </c>
      <c r="HI174" s="844">
        <v>119200</v>
      </c>
      <c r="HJ174" s="844">
        <v>120600</v>
      </c>
      <c r="HK174" s="844">
        <v>122000</v>
      </c>
      <c r="HL174" s="844">
        <v>123400</v>
      </c>
      <c r="HM174" s="844">
        <v>124800</v>
      </c>
      <c r="HN174" s="844">
        <v>126200</v>
      </c>
      <c r="HO174" s="844">
        <v>127600</v>
      </c>
      <c r="HP174" s="844">
        <v>129000</v>
      </c>
      <c r="HQ174" s="844">
        <v>130400</v>
      </c>
      <c r="HR174" s="844">
        <v>131800</v>
      </c>
      <c r="HS174" s="844">
        <v>133200</v>
      </c>
      <c r="HT174" s="844">
        <v>134660</v>
      </c>
      <c r="HU174" s="844">
        <v>136000</v>
      </c>
      <c r="HV174" s="844">
        <v>0</v>
      </c>
      <c r="HW174" s="844">
        <v>0</v>
      </c>
      <c r="HX174" s="844">
        <v>0</v>
      </c>
      <c r="HY174" s="844">
        <v>0</v>
      </c>
      <c r="HZ174" s="844">
        <v>0</v>
      </c>
      <c r="IA174" s="844">
        <v>0</v>
      </c>
      <c r="IB174" s="844">
        <v>0</v>
      </c>
      <c r="IC174" s="844">
        <v>0</v>
      </c>
      <c r="ID174" s="844">
        <v>0</v>
      </c>
      <c r="IE174" s="844">
        <v>0</v>
      </c>
      <c r="IF174" s="844">
        <v>0</v>
      </c>
      <c r="IG174" s="844">
        <v>0</v>
      </c>
      <c r="IH174" s="844">
        <v>0</v>
      </c>
      <c r="II174" s="844">
        <v>0</v>
      </c>
      <c r="IJ174" s="844">
        <v>0</v>
      </c>
    </row>
    <row r="175" spans="9:244" hidden="1">
      <c r="I175" s="156"/>
      <c r="L175" s="846" t="s">
        <v>1060</v>
      </c>
      <c r="M175" s="846" t="s">
        <v>1382</v>
      </c>
      <c r="N175" s="846" t="s">
        <v>96</v>
      </c>
      <c r="O175" s="847">
        <v>16</v>
      </c>
      <c r="P175" s="780" t="str">
        <f t="shared" si="6"/>
        <v>IWT060116</v>
      </c>
      <c r="Q175" s="847">
        <v>0</v>
      </c>
      <c r="R175" s="847">
        <v>0</v>
      </c>
      <c r="S175" s="847">
        <v>0</v>
      </c>
      <c r="T175" s="847">
        <v>0</v>
      </c>
      <c r="U175" s="847">
        <v>0</v>
      </c>
      <c r="V175" s="847">
        <v>0</v>
      </c>
      <c r="W175" s="847">
        <v>0</v>
      </c>
      <c r="X175" s="847">
        <v>0</v>
      </c>
      <c r="Y175" s="847">
        <v>0</v>
      </c>
      <c r="Z175" s="847">
        <v>0</v>
      </c>
      <c r="AA175" s="847">
        <v>0</v>
      </c>
      <c r="AB175" s="847">
        <v>0</v>
      </c>
      <c r="AC175" s="847">
        <v>0</v>
      </c>
      <c r="AD175" s="847">
        <v>0</v>
      </c>
      <c r="AE175" s="847">
        <v>0</v>
      </c>
      <c r="AF175" s="847">
        <v>0</v>
      </c>
      <c r="AG175" s="847">
        <v>0</v>
      </c>
      <c r="AH175" s="847">
        <v>0</v>
      </c>
      <c r="AI175" s="847">
        <v>0</v>
      </c>
      <c r="AJ175" s="847">
        <v>0</v>
      </c>
      <c r="AK175" s="847">
        <v>0</v>
      </c>
      <c r="AL175" s="847">
        <v>0</v>
      </c>
      <c r="AM175" s="847">
        <v>0</v>
      </c>
      <c r="AN175" s="847">
        <v>0</v>
      </c>
      <c r="AO175" s="847">
        <v>0</v>
      </c>
      <c r="AP175" s="847">
        <v>0</v>
      </c>
      <c r="AQ175" s="847">
        <v>0</v>
      </c>
      <c r="AR175" s="847">
        <v>0</v>
      </c>
      <c r="AS175" s="847">
        <v>0</v>
      </c>
      <c r="AT175" s="847">
        <v>0</v>
      </c>
      <c r="AU175" s="847">
        <v>0</v>
      </c>
      <c r="AV175" s="847">
        <v>0</v>
      </c>
      <c r="AW175" s="847">
        <v>0</v>
      </c>
      <c r="AX175" s="847">
        <v>0</v>
      </c>
      <c r="AY175" s="847">
        <v>0</v>
      </c>
      <c r="AZ175" s="847">
        <v>0</v>
      </c>
      <c r="BA175" s="847">
        <v>0</v>
      </c>
      <c r="BB175" s="847">
        <v>0</v>
      </c>
      <c r="BC175" s="847">
        <v>0</v>
      </c>
      <c r="BD175" s="847">
        <v>0</v>
      </c>
      <c r="BE175" s="847">
        <v>0</v>
      </c>
      <c r="BF175" s="847">
        <v>0</v>
      </c>
      <c r="BG175" s="847">
        <v>0</v>
      </c>
      <c r="BH175" s="847">
        <v>0</v>
      </c>
      <c r="BI175" s="847">
        <v>0</v>
      </c>
      <c r="BJ175" s="847">
        <v>0</v>
      </c>
      <c r="BK175" s="847">
        <v>0</v>
      </c>
      <c r="BL175" s="847">
        <v>0</v>
      </c>
      <c r="BM175" s="847">
        <v>0</v>
      </c>
      <c r="BN175" s="847">
        <v>0</v>
      </c>
      <c r="BO175" s="847">
        <v>0</v>
      </c>
      <c r="BP175" s="847">
        <v>0</v>
      </c>
      <c r="BQ175" s="847">
        <v>0</v>
      </c>
      <c r="BR175" s="847">
        <v>0</v>
      </c>
      <c r="BS175" s="847">
        <v>0</v>
      </c>
      <c r="BT175" s="847">
        <v>0</v>
      </c>
      <c r="BU175" s="847">
        <v>0</v>
      </c>
      <c r="BV175" s="847">
        <v>0</v>
      </c>
      <c r="BW175" s="847">
        <v>0</v>
      </c>
      <c r="BX175" s="847">
        <v>0</v>
      </c>
      <c r="BY175" s="847">
        <v>0</v>
      </c>
      <c r="BZ175" s="847">
        <v>0</v>
      </c>
      <c r="CA175" s="847">
        <v>0</v>
      </c>
      <c r="CB175" s="847">
        <v>0</v>
      </c>
      <c r="CC175" s="847">
        <v>0</v>
      </c>
      <c r="CD175" s="847">
        <v>0</v>
      </c>
      <c r="CE175" s="847">
        <v>0</v>
      </c>
      <c r="CF175" s="847">
        <v>0</v>
      </c>
      <c r="CG175" s="847">
        <v>0</v>
      </c>
      <c r="CH175" s="847">
        <v>0</v>
      </c>
      <c r="CI175" s="847">
        <v>0</v>
      </c>
      <c r="CJ175" s="847">
        <v>0</v>
      </c>
      <c r="CK175" s="847">
        <v>0</v>
      </c>
      <c r="CL175" s="847">
        <v>0</v>
      </c>
      <c r="CM175" s="847">
        <v>0</v>
      </c>
      <c r="CN175" s="847">
        <v>0</v>
      </c>
      <c r="CO175" s="847">
        <v>0</v>
      </c>
      <c r="CP175" s="847">
        <v>0</v>
      </c>
      <c r="CQ175" s="847">
        <v>0</v>
      </c>
      <c r="CR175" s="847">
        <v>0</v>
      </c>
      <c r="CS175" s="847">
        <v>0</v>
      </c>
      <c r="CT175" s="847">
        <v>0</v>
      </c>
      <c r="CU175" s="847">
        <v>0</v>
      </c>
      <c r="CV175" s="847">
        <v>0</v>
      </c>
      <c r="CW175" s="847">
        <v>0</v>
      </c>
      <c r="CX175" s="847">
        <v>0</v>
      </c>
      <c r="CY175" s="847">
        <v>0</v>
      </c>
      <c r="CZ175" s="847">
        <v>0</v>
      </c>
      <c r="DA175" s="847">
        <v>0</v>
      </c>
      <c r="DB175" s="847">
        <v>0</v>
      </c>
      <c r="DC175" s="847">
        <v>0</v>
      </c>
      <c r="DD175" s="847">
        <v>0</v>
      </c>
      <c r="DE175" s="847">
        <v>0</v>
      </c>
      <c r="DF175" s="847">
        <v>0</v>
      </c>
      <c r="DG175" s="847">
        <v>134600</v>
      </c>
      <c r="DH175" s="847">
        <v>0</v>
      </c>
      <c r="DI175" s="847">
        <v>0</v>
      </c>
      <c r="DJ175" s="847">
        <v>0</v>
      </c>
      <c r="DK175" s="847">
        <v>0</v>
      </c>
      <c r="DL175" s="847">
        <v>0</v>
      </c>
      <c r="DM175" s="847">
        <v>0</v>
      </c>
      <c r="DN175" s="847">
        <v>0</v>
      </c>
      <c r="DO175" s="847">
        <v>0</v>
      </c>
      <c r="DP175" s="847">
        <v>0</v>
      </c>
      <c r="DQ175" s="847">
        <v>0</v>
      </c>
      <c r="DR175" s="847">
        <v>0</v>
      </c>
      <c r="DS175" s="847">
        <v>0</v>
      </c>
      <c r="DT175" s="847">
        <v>0</v>
      </c>
      <c r="DU175" s="847">
        <v>0</v>
      </c>
      <c r="DV175" s="847">
        <v>0</v>
      </c>
      <c r="DW175" s="847">
        <v>0</v>
      </c>
      <c r="DY175" s="843" t="s">
        <v>1060</v>
      </c>
      <c r="DZ175" s="843" t="s">
        <v>1382</v>
      </c>
      <c r="EA175" s="843" t="s">
        <v>96</v>
      </c>
      <c r="EB175" s="844">
        <v>16</v>
      </c>
      <c r="EC175" s="780" t="str">
        <f t="shared" si="7"/>
        <v>IWT060116</v>
      </c>
      <c r="ED175" s="844">
        <v>5088</v>
      </c>
      <c r="EE175" s="844">
        <v>10176</v>
      </c>
      <c r="EF175" s="844">
        <v>15264</v>
      </c>
      <c r="EG175" s="844">
        <v>20352</v>
      </c>
      <c r="EH175" s="844">
        <v>25440</v>
      </c>
      <c r="EI175" s="844">
        <v>30528</v>
      </c>
      <c r="EJ175" s="844">
        <v>30528</v>
      </c>
      <c r="EK175" s="844">
        <v>30528</v>
      </c>
      <c r="EL175" s="844">
        <v>30528</v>
      </c>
      <c r="EM175" s="844">
        <v>31064</v>
      </c>
      <c r="EN175" s="844">
        <v>31685</v>
      </c>
      <c r="EO175" s="844">
        <v>32319</v>
      </c>
      <c r="EP175" s="844">
        <v>32965</v>
      </c>
      <c r="EQ175" s="844">
        <v>33624</v>
      </c>
      <c r="ER175" s="844">
        <v>34297</v>
      </c>
      <c r="ES175" s="844">
        <v>34983</v>
      </c>
      <c r="ET175" s="844">
        <v>35682</v>
      </c>
      <c r="EU175" s="844">
        <v>36396</v>
      </c>
      <c r="EV175" s="844">
        <v>37124</v>
      </c>
      <c r="EW175" s="844">
        <v>37866</v>
      </c>
      <c r="EX175" s="844">
        <v>38624</v>
      </c>
      <c r="EY175" s="844">
        <v>39396</v>
      </c>
      <c r="EZ175" s="844">
        <v>40184</v>
      </c>
      <c r="FA175" s="844">
        <v>40988</v>
      </c>
      <c r="FB175" s="844">
        <v>41807</v>
      </c>
      <c r="FC175" s="844">
        <v>42644</v>
      </c>
      <c r="FD175" s="844">
        <v>43496</v>
      </c>
      <c r="FE175" s="844">
        <v>44366</v>
      </c>
      <c r="FF175" s="844">
        <v>45254</v>
      </c>
      <c r="FG175" s="844">
        <v>46159</v>
      </c>
      <c r="FH175" s="844">
        <v>47082</v>
      </c>
      <c r="FI175" s="844">
        <v>48023</v>
      </c>
      <c r="FJ175" s="844">
        <v>48984</v>
      </c>
      <c r="FK175" s="844">
        <v>49964</v>
      </c>
      <c r="FL175" s="844">
        <v>50962</v>
      </c>
      <c r="FM175" s="844">
        <v>52000</v>
      </c>
      <c r="FN175" s="844">
        <v>53400</v>
      </c>
      <c r="FO175" s="844">
        <v>54800</v>
      </c>
      <c r="FP175" s="844">
        <v>56200</v>
      </c>
      <c r="FQ175" s="844">
        <v>57600</v>
      </c>
      <c r="FR175" s="844">
        <v>59000</v>
      </c>
      <c r="FS175" s="844">
        <v>60400</v>
      </c>
      <c r="FT175" s="844">
        <v>61800</v>
      </c>
      <c r="FU175" s="844">
        <v>63200</v>
      </c>
      <c r="FV175" s="844">
        <v>64600</v>
      </c>
      <c r="FW175" s="844">
        <v>66000</v>
      </c>
      <c r="FX175" s="844">
        <v>67400</v>
      </c>
      <c r="FY175" s="844">
        <v>68800</v>
      </c>
      <c r="FZ175" s="844">
        <v>70200</v>
      </c>
      <c r="GA175" s="844">
        <v>71600</v>
      </c>
      <c r="GB175" s="844">
        <v>73000</v>
      </c>
      <c r="GC175" s="844">
        <v>74400</v>
      </c>
      <c r="GD175" s="844">
        <v>75800</v>
      </c>
      <c r="GE175" s="844">
        <v>77200</v>
      </c>
      <c r="GF175" s="844">
        <v>78600</v>
      </c>
      <c r="GG175" s="844">
        <v>80000</v>
      </c>
      <c r="GH175" s="844">
        <v>81400</v>
      </c>
      <c r="GI175" s="844">
        <v>82800</v>
      </c>
      <c r="GJ175" s="844">
        <v>84200</v>
      </c>
      <c r="GK175" s="844">
        <v>85600</v>
      </c>
      <c r="GL175" s="844">
        <v>87000</v>
      </c>
      <c r="GM175" s="844">
        <v>88400</v>
      </c>
      <c r="GN175" s="844">
        <v>89800</v>
      </c>
      <c r="GO175" s="844">
        <v>91200</v>
      </c>
      <c r="GP175" s="844">
        <v>92600</v>
      </c>
      <c r="GQ175" s="844">
        <v>94000</v>
      </c>
      <c r="GR175" s="844">
        <v>95400</v>
      </c>
      <c r="GS175" s="844">
        <v>96800</v>
      </c>
      <c r="GT175" s="844">
        <v>98200</v>
      </c>
      <c r="GU175" s="844">
        <v>99600</v>
      </c>
      <c r="GV175" s="844">
        <v>101000</v>
      </c>
      <c r="GW175" s="844">
        <v>102400</v>
      </c>
      <c r="GX175" s="844">
        <v>103800</v>
      </c>
      <c r="GY175" s="844">
        <v>105200</v>
      </c>
      <c r="GZ175" s="844">
        <v>106600</v>
      </c>
      <c r="HA175" s="844">
        <v>108000</v>
      </c>
      <c r="HB175" s="844">
        <v>109400</v>
      </c>
      <c r="HC175" s="844">
        <v>110800</v>
      </c>
      <c r="HD175" s="844">
        <v>112200</v>
      </c>
      <c r="HE175" s="844">
        <v>113600</v>
      </c>
      <c r="HF175" s="844">
        <v>115000</v>
      </c>
      <c r="HG175" s="844">
        <v>116400</v>
      </c>
      <c r="HH175" s="844">
        <v>117800</v>
      </c>
      <c r="HI175" s="844">
        <v>119200</v>
      </c>
      <c r="HJ175" s="844">
        <v>120600</v>
      </c>
      <c r="HK175" s="844">
        <v>122000</v>
      </c>
      <c r="HL175" s="844">
        <v>123400</v>
      </c>
      <c r="HM175" s="844">
        <v>124800</v>
      </c>
      <c r="HN175" s="844">
        <v>126200</v>
      </c>
      <c r="HO175" s="844">
        <v>127600</v>
      </c>
      <c r="HP175" s="844">
        <v>129000</v>
      </c>
      <c r="HQ175" s="844">
        <v>130400</v>
      </c>
      <c r="HR175" s="844">
        <v>131800</v>
      </c>
      <c r="HS175" s="844">
        <v>133274</v>
      </c>
      <c r="HT175" s="844">
        <v>134600</v>
      </c>
      <c r="HU175" s="844">
        <v>0</v>
      </c>
      <c r="HV175" s="844">
        <v>0</v>
      </c>
      <c r="HW175" s="844">
        <v>0</v>
      </c>
      <c r="HX175" s="844">
        <v>0</v>
      </c>
      <c r="HY175" s="844">
        <v>0</v>
      </c>
      <c r="HZ175" s="844">
        <v>0</v>
      </c>
      <c r="IA175" s="844">
        <v>0</v>
      </c>
      <c r="IB175" s="844">
        <v>0</v>
      </c>
      <c r="IC175" s="844">
        <v>0</v>
      </c>
      <c r="ID175" s="844">
        <v>0</v>
      </c>
      <c r="IE175" s="844">
        <v>0</v>
      </c>
      <c r="IF175" s="844">
        <v>0</v>
      </c>
      <c r="IG175" s="844">
        <v>0</v>
      </c>
      <c r="IH175" s="844">
        <v>0</v>
      </c>
      <c r="II175" s="844">
        <v>0</v>
      </c>
      <c r="IJ175" s="844">
        <v>0</v>
      </c>
    </row>
    <row r="176" spans="9:244" hidden="1">
      <c r="I176" s="156"/>
      <c r="L176" s="846" t="s">
        <v>1060</v>
      </c>
      <c r="M176" s="846" t="s">
        <v>1382</v>
      </c>
      <c r="N176" s="846" t="s">
        <v>96</v>
      </c>
      <c r="O176" s="847">
        <v>17</v>
      </c>
      <c r="P176" s="780" t="str">
        <f t="shared" si="6"/>
        <v>IWT060117</v>
      </c>
      <c r="Q176" s="847">
        <v>0</v>
      </c>
      <c r="R176" s="847">
        <v>0</v>
      </c>
      <c r="S176" s="847">
        <v>0</v>
      </c>
      <c r="T176" s="847">
        <v>0</v>
      </c>
      <c r="U176" s="847">
        <v>0</v>
      </c>
      <c r="V176" s="847">
        <v>0</v>
      </c>
      <c r="W176" s="847">
        <v>0</v>
      </c>
      <c r="X176" s="847">
        <v>0</v>
      </c>
      <c r="Y176" s="847">
        <v>0</v>
      </c>
      <c r="Z176" s="847">
        <v>0</v>
      </c>
      <c r="AA176" s="847">
        <v>0</v>
      </c>
      <c r="AB176" s="847">
        <v>0</v>
      </c>
      <c r="AC176" s="847">
        <v>0</v>
      </c>
      <c r="AD176" s="847">
        <v>0</v>
      </c>
      <c r="AE176" s="847">
        <v>0</v>
      </c>
      <c r="AF176" s="847">
        <v>0</v>
      </c>
      <c r="AG176" s="847">
        <v>0</v>
      </c>
      <c r="AH176" s="847">
        <v>0</v>
      </c>
      <c r="AI176" s="847">
        <v>0</v>
      </c>
      <c r="AJ176" s="847">
        <v>0</v>
      </c>
      <c r="AK176" s="847">
        <v>0</v>
      </c>
      <c r="AL176" s="847">
        <v>0</v>
      </c>
      <c r="AM176" s="847">
        <v>0</v>
      </c>
      <c r="AN176" s="847">
        <v>0</v>
      </c>
      <c r="AO176" s="847">
        <v>0</v>
      </c>
      <c r="AP176" s="847">
        <v>0</v>
      </c>
      <c r="AQ176" s="847">
        <v>0</v>
      </c>
      <c r="AR176" s="847">
        <v>0</v>
      </c>
      <c r="AS176" s="847">
        <v>0</v>
      </c>
      <c r="AT176" s="847">
        <v>0</v>
      </c>
      <c r="AU176" s="847">
        <v>0</v>
      </c>
      <c r="AV176" s="847">
        <v>0</v>
      </c>
      <c r="AW176" s="847">
        <v>0</v>
      </c>
      <c r="AX176" s="847">
        <v>0</v>
      </c>
      <c r="AY176" s="847">
        <v>0</v>
      </c>
      <c r="AZ176" s="847">
        <v>0</v>
      </c>
      <c r="BA176" s="847">
        <v>0</v>
      </c>
      <c r="BB176" s="847">
        <v>0</v>
      </c>
      <c r="BC176" s="847">
        <v>0</v>
      </c>
      <c r="BD176" s="847">
        <v>0</v>
      </c>
      <c r="BE176" s="847">
        <v>0</v>
      </c>
      <c r="BF176" s="847">
        <v>0</v>
      </c>
      <c r="BG176" s="847">
        <v>0</v>
      </c>
      <c r="BH176" s="847">
        <v>0</v>
      </c>
      <c r="BI176" s="847">
        <v>0</v>
      </c>
      <c r="BJ176" s="847">
        <v>0</v>
      </c>
      <c r="BK176" s="847">
        <v>0</v>
      </c>
      <c r="BL176" s="847">
        <v>0</v>
      </c>
      <c r="BM176" s="847">
        <v>0</v>
      </c>
      <c r="BN176" s="847">
        <v>0</v>
      </c>
      <c r="BO176" s="847">
        <v>0</v>
      </c>
      <c r="BP176" s="847">
        <v>0</v>
      </c>
      <c r="BQ176" s="847">
        <v>0</v>
      </c>
      <c r="BR176" s="847">
        <v>0</v>
      </c>
      <c r="BS176" s="847">
        <v>0</v>
      </c>
      <c r="BT176" s="847">
        <v>0</v>
      </c>
      <c r="BU176" s="847">
        <v>0</v>
      </c>
      <c r="BV176" s="847">
        <v>0</v>
      </c>
      <c r="BW176" s="847">
        <v>0</v>
      </c>
      <c r="BX176" s="847">
        <v>0</v>
      </c>
      <c r="BY176" s="847">
        <v>0</v>
      </c>
      <c r="BZ176" s="847">
        <v>0</v>
      </c>
      <c r="CA176" s="847">
        <v>0</v>
      </c>
      <c r="CB176" s="847">
        <v>0</v>
      </c>
      <c r="CC176" s="847">
        <v>0</v>
      </c>
      <c r="CD176" s="847">
        <v>0</v>
      </c>
      <c r="CE176" s="847">
        <v>0</v>
      </c>
      <c r="CF176" s="847">
        <v>0</v>
      </c>
      <c r="CG176" s="847">
        <v>0</v>
      </c>
      <c r="CH176" s="847">
        <v>0</v>
      </c>
      <c r="CI176" s="847">
        <v>0</v>
      </c>
      <c r="CJ176" s="847">
        <v>0</v>
      </c>
      <c r="CK176" s="847">
        <v>0</v>
      </c>
      <c r="CL176" s="847">
        <v>0</v>
      </c>
      <c r="CM176" s="847">
        <v>0</v>
      </c>
      <c r="CN176" s="847">
        <v>0</v>
      </c>
      <c r="CO176" s="847">
        <v>0</v>
      </c>
      <c r="CP176" s="847">
        <v>0</v>
      </c>
      <c r="CQ176" s="847">
        <v>0</v>
      </c>
      <c r="CR176" s="847">
        <v>0</v>
      </c>
      <c r="CS176" s="847">
        <v>0</v>
      </c>
      <c r="CT176" s="847">
        <v>0</v>
      </c>
      <c r="CU176" s="847">
        <v>0</v>
      </c>
      <c r="CV176" s="847">
        <v>0</v>
      </c>
      <c r="CW176" s="847">
        <v>0</v>
      </c>
      <c r="CX176" s="847">
        <v>0</v>
      </c>
      <c r="CY176" s="847">
        <v>0</v>
      </c>
      <c r="CZ176" s="847">
        <v>0</v>
      </c>
      <c r="DA176" s="847">
        <v>0</v>
      </c>
      <c r="DB176" s="847">
        <v>0</v>
      </c>
      <c r="DC176" s="847">
        <v>0</v>
      </c>
      <c r="DD176" s="847">
        <v>0</v>
      </c>
      <c r="DE176" s="847">
        <v>0</v>
      </c>
      <c r="DF176" s="847">
        <v>133200</v>
      </c>
      <c r="DG176" s="847">
        <v>0</v>
      </c>
      <c r="DH176" s="847">
        <v>0</v>
      </c>
      <c r="DI176" s="847">
        <v>0</v>
      </c>
      <c r="DJ176" s="847">
        <v>0</v>
      </c>
      <c r="DK176" s="847">
        <v>0</v>
      </c>
      <c r="DL176" s="847">
        <v>0</v>
      </c>
      <c r="DM176" s="847">
        <v>0</v>
      </c>
      <c r="DN176" s="847">
        <v>0</v>
      </c>
      <c r="DO176" s="847">
        <v>0</v>
      </c>
      <c r="DP176" s="847">
        <v>0</v>
      </c>
      <c r="DQ176" s="847">
        <v>0</v>
      </c>
      <c r="DR176" s="847">
        <v>0</v>
      </c>
      <c r="DS176" s="847">
        <v>0</v>
      </c>
      <c r="DT176" s="847">
        <v>0</v>
      </c>
      <c r="DU176" s="847">
        <v>0</v>
      </c>
      <c r="DV176" s="847">
        <v>0</v>
      </c>
      <c r="DW176" s="847">
        <v>0</v>
      </c>
      <c r="DY176" s="843" t="s">
        <v>1060</v>
      </c>
      <c r="DZ176" s="843" t="s">
        <v>1382</v>
      </c>
      <c r="EA176" s="843" t="s">
        <v>96</v>
      </c>
      <c r="EB176" s="844">
        <v>17</v>
      </c>
      <c r="EC176" s="780" t="str">
        <f t="shared" si="7"/>
        <v>IWT060117</v>
      </c>
      <c r="ED176" s="844">
        <v>5107.1000000000004</v>
      </c>
      <c r="EE176" s="844">
        <v>10214.200000000001</v>
      </c>
      <c r="EF176" s="844">
        <v>15321.2</v>
      </c>
      <c r="EG176" s="844">
        <v>20428.3</v>
      </c>
      <c r="EH176" s="844">
        <v>25535.4</v>
      </c>
      <c r="EI176" s="844">
        <v>30642.5</v>
      </c>
      <c r="EJ176" s="844">
        <v>30642.5</v>
      </c>
      <c r="EK176" s="844">
        <v>30642.5</v>
      </c>
      <c r="EL176" s="844">
        <v>30642.5</v>
      </c>
      <c r="EM176" s="844">
        <v>31180</v>
      </c>
      <c r="EN176" s="844">
        <v>31803</v>
      </c>
      <c r="EO176" s="844">
        <v>32439</v>
      </c>
      <c r="EP176" s="844">
        <v>33088</v>
      </c>
      <c r="EQ176" s="844">
        <v>33750</v>
      </c>
      <c r="ER176" s="844">
        <v>34425</v>
      </c>
      <c r="ES176" s="844">
        <v>35113</v>
      </c>
      <c r="ET176" s="844">
        <v>35816</v>
      </c>
      <c r="EU176" s="844">
        <v>36532</v>
      </c>
      <c r="EV176" s="844">
        <v>37263</v>
      </c>
      <c r="EW176" s="844">
        <v>38008</v>
      </c>
      <c r="EX176" s="844">
        <v>38768</v>
      </c>
      <c r="EY176" s="844">
        <v>39543</v>
      </c>
      <c r="EZ176" s="844">
        <v>40334</v>
      </c>
      <c r="FA176" s="844">
        <v>41141</v>
      </c>
      <c r="FB176" s="844">
        <v>41964</v>
      </c>
      <c r="FC176" s="844">
        <v>42803</v>
      </c>
      <c r="FD176" s="844">
        <v>43659</v>
      </c>
      <c r="FE176" s="844">
        <v>44532</v>
      </c>
      <c r="FF176" s="844">
        <v>45423</v>
      </c>
      <c r="FG176" s="844">
        <v>46331</v>
      </c>
      <c r="FH176" s="844">
        <v>47258</v>
      </c>
      <c r="FI176" s="844">
        <v>48203</v>
      </c>
      <c r="FJ176" s="844">
        <v>49167</v>
      </c>
      <c r="FK176" s="844">
        <v>50150</v>
      </c>
      <c r="FL176" s="844">
        <v>51153</v>
      </c>
      <c r="FM176" s="844">
        <v>52174</v>
      </c>
      <c r="FN176" s="844">
        <v>53400</v>
      </c>
      <c r="FO176" s="844">
        <v>54800</v>
      </c>
      <c r="FP176" s="844">
        <v>56200</v>
      </c>
      <c r="FQ176" s="844">
        <v>57600</v>
      </c>
      <c r="FR176" s="844">
        <v>59000</v>
      </c>
      <c r="FS176" s="844">
        <v>60400</v>
      </c>
      <c r="FT176" s="844">
        <v>61800</v>
      </c>
      <c r="FU176" s="844">
        <v>63200</v>
      </c>
      <c r="FV176" s="844">
        <v>64600</v>
      </c>
      <c r="FW176" s="844">
        <v>66000</v>
      </c>
      <c r="FX176" s="844">
        <v>67400</v>
      </c>
      <c r="FY176" s="844">
        <v>68800</v>
      </c>
      <c r="FZ176" s="844">
        <v>70200</v>
      </c>
      <c r="GA176" s="844">
        <v>71600</v>
      </c>
      <c r="GB176" s="844">
        <v>73000</v>
      </c>
      <c r="GC176" s="844">
        <v>74400</v>
      </c>
      <c r="GD176" s="844">
        <v>75800</v>
      </c>
      <c r="GE176" s="844">
        <v>77200</v>
      </c>
      <c r="GF176" s="844">
        <v>78600</v>
      </c>
      <c r="GG176" s="844">
        <v>80000</v>
      </c>
      <c r="GH176" s="844">
        <v>81400</v>
      </c>
      <c r="GI176" s="844">
        <v>82800</v>
      </c>
      <c r="GJ176" s="844">
        <v>84200</v>
      </c>
      <c r="GK176" s="844">
        <v>85600</v>
      </c>
      <c r="GL176" s="844">
        <v>87000</v>
      </c>
      <c r="GM176" s="844">
        <v>88400</v>
      </c>
      <c r="GN176" s="844">
        <v>89800</v>
      </c>
      <c r="GO176" s="844">
        <v>91200</v>
      </c>
      <c r="GP176" s="844">
        <v>92600</v>
      </c>
      <c r="GQ176" s="844">
        <v>94000</v>
      </c>
      <c r="GR176" s="844">
        <v>95400</v>
      </c>
      <c r="GS176" s="844">
        <v>96800</v>
      </c>
      <c r="GT176" s="844">
        <v>98200</v>
      </c>
      <c r="GU176" s="844">
        <v>99600</v>
      </c>
      <c r="GV176" s="844">
        <v>101000</v>
      </c>
      <c r="GW176" s="844">
        <v>102400</v>
      </c>
      <c r="GX176" s="844">
        <v>103800</v>
      </c>
      <c r="GY176" s="844">
        <v>105200</v>
      </c>
      <c r="GZ176" s="844">
        <v>106600</v>
      </c>
      <c r="HA176" s="844">
        <v>108000</v>
      </c>
      <c r="HB176" s="844">
        <v>109400</v>
      </c>
      <c r="HC176" s="844">
        <v>110800</v>
      </c>
      <c r="HD176" s="844">
        <v>112200</v>
      </c>
      <c r="HE176" s="844">
        <v>113600</v>
      </c>
      <c r="HF176" s="844">
        <v>115000</v>
      </c>
      <c r="HG176" s="844">
        <v>116400</v>
      </c>
      <c r="HH176" s="844">
        <v>117800</v>
      </c>
      <c r="HI176" s="844">
        <v>119200</v>
      </c>
      <c r="HJ176" s="844">
        <v>120600</v>
      </c>
      <c r="HK176" s="844">
        <v>122000</v>
      </c>
      <c r="HL176" s="844">
        <v>123400</v>
      </c>
      <c r="HM176" s="844">
        <v>124800</v>
      </c>
      <c r="HN176" s="844">
        <v>126200</v>
      </c>
      <c r="HO176" s="844">
        <v>127600</v>
      </c>
      <c r="HP176" s="844">
        <v>129000</v>
      </c>
      <c r="HQ176" s="844">
        <v>130400</v>
      </c>
      <c r="HR176" s="844">
        <v>131888</v>
      </c>
      <c r="HS176" s="844">
        <v>133200</v>
      </c>
      <c r="HT176" s="844">
        <v>0</v>
      </c>
      <c r="HU176" s="844">
        <v>0</v>
      </c>
      <c r="HV176" s="844">
        <v>0</v>
      </c>
      <c r="HW176" s="844">
        <v>0</v>
      </c>
      <c r="HX176" s="844">
        <v>0</v>
      </c>
      <c r="HY176" s="844">
        <v>0</v>
      </c>
      <c r="HZ176" s="844">
        <v>0</v>
      </c>
      <c r="IA176" s="844">
        <v>0</v>
      </c>
      <c r="IB176" s="844">
        <v>0</v>
      </c>
      <c r="IC176" s="844">
        <v>0</v>
      </c>
      <c r="ID176" s="844">
        <v>0</v>
      </c>
      <c r="IE176" s="844">
        <v>0</v>
      </c>
      <c r="IF176" s="844">
        <v>0</v>
      </c>
      <c r="IG176" s="844">
        <v>0</v>
      </c>
      <c r="IH176" s="844">
        <v>0</v>
      </c>
      <c r="II176" s="844">
        <v>0</v>
      </c>
      <c r="IJ176" s="844">
        <v>0</v>
      </c>
    </row>
    <row r="177" spans="9:244" hidden="1">
      <c r="I177" s="156"/>
      <c r="L177" s="846" t="s">
        <v>1060</v>
      </c>
      <c r="M177" s="846" t="s">
        <v>1382</v>
      </c>
      <c r="N177" s="846" t="s">
        <v>96</v>
      </c>
      <c r="O177" s="847">
        <v>18</v>
      </c>
      <c r="P177" s="780" t="str">
        <f t="shared" si="6"/>
        <v>IWT060118</v>
      </c>
      <c r="Q177" s="847">
        <v>0</v>
      </c>
      <c r="R177" s="847">
        <v>0</v>
      </c>
      <c r="S177" s="847">
        <v>0</v>
      </c>
      <c r="T177" s="847">
        <v>0</v>
      </c>
      <c r="U177" s="847">
        <v>0</v>
      </c>
      <c r="V177" s="847">
        <v>0</v>
      </c>
      <c r="W177" s="847">
        <v>0</v>
      </c>
      <c r="X177" s="847">
        <v>0</v>
      </c>
      <c r="Y177" s="847">
        <v>0</v>
      </c>
      <c r="Z177" s="847">
        <v>0</v>
      </c>
      <c r="AA177" s="847">
        <v>0</v>
      </c>
      <c r="AB177" s="847">
        <v>0</v>
      </c>
      <c r="AC177" s="847">
        <v>0</v>
      </c>
      <c r="AD177" s="847">
        <v>0</v>
      </c>
      <c r="AE177" s="847">
        <v>0</v>
      </c>
      <c r="AF177" s="847">
        <v>0</v>
      </c>
      <c r="AG177" s="847">
        <v>0</v>
      </c>
      <c r="AH177" s="847">
        <v>0</v>
      </c>
      <c r="AI177" s="847">
        <v>0</v>
      </c>
      <c r="AJ177" s="847">
        <v>0</v>
      </c>
      <c r="AK177" s="847">
        <v>0</v>
      </c>
      <c r="AL177" s="847">
        <v>0</v>
      </c>
      <c r="AM177" s="847">
        <v>0</v>
      </c>
      <c r="AN177" s="847">
        <v>0</v>
      </c>
      <c r="AO177" s="847">
        <v>0</v>
      </c>
      <c r="AP177" s="847">
        <v>0</v>
      </c>
      <c r="AQ177" s="847">
        <v>0</v>
      </c>
      <c r="AR177" s="847">
        <v>0</v>
      </c>
      <c r="AS177" s="847">
        <v>0</v>
      </c>
      <c r="AT177" s="847">
        <v>0</v>
      </c>
      <c r="AU177" s="847">
        <v>0</v>
      </c>
      <c r="AV177" s="847">
        <v>0</v>
      </c>
      <c r="AW177" s="847">
        <v>0</v>
      </c>
      <c r="AX177" s="847">
        <v>0</v>
      </c>
      <c r="AY177" s="847">
        <v>0</v>
      </c>
      <c r="AZ177" s="847">
        <v>0</v>
      </c>
      <c r="BA177" s="847">
        <v>0</v>
      </c>
      <c r="BB177" s="847">
        <v>0</v>
      </c>
      <c r="BC177" s="847">
        <v>0</v>
      </c>
      <c r="BD177" s="847">
        <v>0</v>
      </c>
      <c r="BE177" s="847">
        <v>0</v>
      </c>
      <c r="BF177" s="847">
        <v>0</v>
      </c>
      <c r="BG177" s="847">
        <v>0</v>
      </c>
      <c r="BH177" s="847">
        <v>0</v>
      </c>
      <c r="BI177" s="847">
        <v>0</v>
      </c>
      <c r="BJ177" s="847">
        <v>0</v>
      </c>
      <c r="BK177" s="847">
        <v>0</v>
      </c>
      <c r="BL177" s="847">
        <v>0</v>
      </c>
      <c r="BM177" s="847">
        <v>0</v>
      </c>
      <c r="BN177" s="847">
        <v>0</v>
      </c>
      <c r="BO177" s="847">
        <v>0</v>
      </c>
      <c r="BP177" s="847">
        <v>0</v>
      </c>
      <c r="BQ177" s="847">
        <v>0</v>
      </c>
      <c r="BR177" s="847">
        <v>0</v>
      </c>
      <c r="BS177" s="847">
        <v>0</v>
      </c>
      <c r="BT177" s="847">
        <v>0</v>
      </c>
      <c r="BU177" s="847">
        <v>0</v>
      </c>
      <c r="BV177" s="847">
        <v>0</v>
      </c>
      <c r="BW177" s="847">
        <v>0</v>
      </c>
      <c r="BX177" s="847">
        <v>0</v>
      </c>
      <c r="BY177" s="847">
        <v>0</v>
      </c>
      <c r="BZ177" s="847">
        <v>0</v>
      </c>
      <c r="CA177" s="847">
        <v>0</v>
      </c>
      <c r="CB177" s="847">
        <v>0</v>
      </c>
      <c r="CC177" s="847">
        <v>0</v>
      </c>
      <c r="CD177" s="847">
        <v>0</v>
      </c>
      <c r="CE177" s="847">
        <v>0</v>
      </c>
      <c r="CF177" s="847">
        <v>0</v>
      </c>
      <c r="CG177" s="847">
        <v>0</v>
      </c>
      <c r="CH177" s="847">
        <v>0</v>
      </c>
      <c r="CI177" s="847">
        <v>0</v>
      </c>
      <c r="CJ177" s="847">
        <v>0</v>
      </c>
      <c r="CK177" s="847">
        <v>0</v>
      </c>
      <c r="CL177" s="847">
        <v>0</v>
      </c>
      <c r="CM177" s="847">
        <v>0</v>
      </c>
      <c r="CN177" s="847">
        <v>0</v>
      </c>
      <c r="CO177" s="847">
        <v>0</v>
      </c>
      <c r="CP177" s="847">
        <v>0</v>
      </c>
      <c r="CQ177" s="847">
        <v>0</v>
      </c>
      <c r="CR177" s="847">
        <v>0</v>
      </c>
      <c r="CS177" s="847">
        <v>0</v>
      </c>
      <c r="CT177" s="847">
        <v>0</v>
      </c>
      <c r="CU177" s="847">
        <v>0</v>
      </c>
      <c r="CV177" s="847">
        <v>0</v>
      </c>
      <c r="CW177" s="847">
        <v>0</v>
      </c>
      <c r="CX177" s="847">
        <v>0</v>
      </c>
      <c r="CY177" s="847">
        <v>0</v>
      </c>
      <c r="CZ177" s="847">
        <v>0</v>
      </c>
      <c r="DA177" s="847">
        <v>0</v>
      </c>
      <c r="DB177" s="847">
        <v>0</v>
      </c>
      <c r="DC177" s="847">
        <v>0</v>
      </c>
      <c r="DD177" s="847">
        <v>0</v>
      </c>
      <c r="DE177" s="847">
        <v>131800</v>
      </c>
      <c r="DF177" s="847">
        <v>0</v>
      </c>
      <c r="DG177" s="847">
        <v>0</v>
      </c>
      <c r="DH177" s="847">
        <v>0</v>
      </c>
      <c r="DI177" s="847">
        <v>0</v>
      </c>
      <c r="DJ177" s="847">
        <v>0</v>
      </c>
      <c r="DK177" s="847">
        <v>0</v>
      </c>
      <c r="DL177" s="847">
        <v>0</v>
      </c>
      <c r="DM177" s="847">
        <v>0</v>
      </c>
      <c r="DN177" s="847">
        <v>0</v>
      </c>
      <c r="DO177" s="847">
        <v>0</v>
      </c>
      <c r="DP177" s="847">
        <v>0</v>
      </c>
      <c r="DQ177" s="847">
        <v>0</v>
      </c>
      <c r="DR177" s="847">
        <v>0</v>
      </c>
      <c r="DS177" s="847">
        <v>0</v>
      </c>
      <c r="DT177" s="847">
        <v>0</v>
      </c>
      <c r="DU177" s="847">
        <v>0</v>
      </c>
      <c r="DV177" s="847">
        <v>0</v>
      </c>
      <c r="DW177" s="847">
        <v>0</v>
      </c>
      <c r="DY177" s="843" t="s">
        <v>1060</v>
      </c>
      <c r="DZ177" s="843" t="s">
        <v>1382</v>
      </c>
      <c r="EA177" s="843" t="s">
        <v>96</v>
      </c>
      <c r="EB177" s="844">
        <v>18</v>
      </c>
      <c r="EC177" s="780" t="str">
        <f t="shared" si="7"/>
        <v>IWT060118</v>
      </c>
      <c r="ED177" s="844">
        <v>5126.2</v>
      </c>
      <c r="EE177" s="844">
        <v>10252.299999999999</v>
      </c>
      <c r="EF177" s="844">
        <v>15378.5</v>
      </c>
      <c r="EG177" s="844">
        <v>20504.599999999999</v>
      </c>
      <c r="EH177" s="844">
        <v>25630.799999999999</v>
      </c>
      <c r="EI177" s="844">
        <v>30757</v>
      </c>
      <c r="EJ177" s="844">
        <v>30757</v>
      </c>
      <c r="EK177" s="844">
        <v>30757</v>
      </c>
      <c r="EL177" s="844">
        <v>30757</v>
      </c>
      <c r="EM177" s="844">
        <v>31291</v>
      </c>
      <c r="EN177" s="844">
        <v>31917</v>
      </c>
      <c r="EO177" s="844">
        <v>32555</v>
      </c>
      <c r="EP177" s="844">
        <v>33206</v>
      </c>
      <c r="EQ177" s="844">
        <v>33871</v>
      </c>
      <c r="ER177" s="844">
        <v>34548</v>
      </c>
      <c r="ES177" s="844">
        <v>35239</v>
      </c>
      <c r="ET177" s="844">
        <v>35944</v>
      </c>
      <c r="EU177" s="844">
        <v>36663</v>
      </c>
      <c r="EV177" s="844">
        <v>37396</v>
      </c>
      <c r="EW177" s="844">
        <v>38144</v>
      </c>
      <c r="EX177" s="844">
        <v>38907</v>
      </c>
      <c r="EY177" s="844">
        <v>39685</v>
      </c>
      <c r="EZ177" s="844">
        <v>40478</v>
      </c>
      <c r="FA177" s="844">
        <v>41288</v>
      </c>
      <c r="FB177" s="844">
        <v>42114</v>
      </c>
      <c r="FC177" s="844">
        <v>42956</v>
      </c>
      <c r="FD177" s="844">
        <v>43815</v>
      </c>
      <c r="FE177" s="844">
        <v>44691</v>
      </c>
      <c r="FF177" s="844">
        <v>45585</v>
      </c>
      <c r="FG177" s="844">
        <v>46497</v>
      </c>
      <c r="FH177" s="844">
        <v>47427</v>
      </c>
      <c r="FI177" s="844">
        <v>48375</v>
      </c>
      <c r="FJ177" s="844">
        <v>49343</v>
      </c>
      <c r="FK177" s="844">
        <v>50330</v>
      </c>
      <c r="FL177" s="844">
        <v>51336</v>
      </c>
      <c r="FM177" s="844">
        <v>52362</v>
      </c>
      <c r="FN177" s="844">
        <v>53406</v>
      </c>
      <c r="FO177" s="844">
        <v>54800</v>
      </c>
      <c r="FP177" s="844">
        <v>56200</v>
      </c>
      <c r="FQ177" s="844">
        <v>57600</v>
      </c>
      <c r="FR177" s="844">
        <v>59000</v>
      </c>
      <c r="FS177" s="844">
        <v>60400</v>
      </c>
      <c r="FT177" s="844">
        <v>61800</v>
      </c>
      <c r="FU177" s="844">
        <v>63200</v>
      </c>
      <c r="FV177" s="844">
        <v>64600</v>
      </c>
      <c r="FW177" s="844">
        <v>66000</v>
      </c>
      <c r="FX177" s="844">
        <v>67400</v>
      </c>
      <c r="FY177" s="844">
        <v>68800</v>
      </c>
      <c r="FZ177" s="844">
        <v>70200</v>
      </c>
      <c r="GA177" s="844">
        <v>71600</v>
      </c>
      <c r="GB177" s="844">
        <v>73000</v>
      </c>
      <c r="GC177" s="844">
        <v>74400</v>
      </c>
      <c r="GD177" s="844">
        <v>75800</v>
      </c>
      <c r="GE177" s="844">
        <v>77200</v>
      </c>
      <c r="GF177" s="844">
        <v>78600</v>
      </c>
      <c r="GG177" s="844">
        <v>80000</v>
      </c>
      <c r="GH177" s="844">
        <v>81400</v>
      </c>
      <c r="GI177" s="844">
        <v>82800</v>
      </c>
      <c r="GJ177" s="844">
        <v>84200</v>
      </c>
      <c r="GK177" s="844">
        <v>85600</v>
      </c>
      <c r="GL177" s="844">
        <v>87000</v>
      </c>
      <c r="GM177" s="844">
        <v>88400</v>
      </c>
      <c r="GN177" s="844">
        <v>89800</v>
      </c>
      <c r="GO177" s="844">
        <v>91200</v>
      </c>
      <c r="GP177" s="844">
        <v>92600</v>
      </c>
      <c r="GQ177" s="844">
        <v>94000</v>
      </c>
      <c r="GR177" s="844">
        <v>95400</v>
      </c>
      <c r="GS177" s="844">
        <v>96800</v>
      </c>
      <c r="GT177" s="844">
        <v>98200</v>
      </c>
      <c r="GU177" s="844">
        <v>99600</v>
      </c>
      <c r="GV177" s="844">
        <v>101000</v>
      </c>
      <c r="GW177" s="844">
        <v>102400</v>
      </c>
      <c r="GX177" s="844">
        <v>103800</v>
      </c>
      <c r="GY177" s="844">
        <v>105200</v>
      </c>
      <c r="GZ177" s="844">
        <v>106600</v>
      </c>
      <c r="HA177" s="844">
        <v>108000</v>
      </c>
      <c r="HB177" s="844">
        <v>109400</v>
      </c>
      <c r="HC177" s="844">
        <v>110800</v>
      </c>
      <c r="HD177" s="844">
        <v>112200</v>
      </c>
      <c r="HE177" s="844">
        <v>113600</v>
      </c>
      <c r="HF177" s="844">
        <v>115000</v>
      </c>
      <c r="HG177" s="844">
        <v>116400</v>
      </c>
      <c r="HH177" s="844">
        <v>117800</v>
      </c>
      <c r="HI177" s="844">
        <v>119200</v>
      </c>
      <c r="HJ177" s="844">
        <v>120600</v>
      </c>
      <c r="HK177" s="844">
        <v>122000</v>
      </c>
      <c r="HL177" s="844">
        <v>123400</v>
      </c>
      <c r="HM177" s="844">
        <v>124800</v>
      </c>
      <c r="HN177" s="844">
        <v>126200</v>
      </c>
      <c r="HO177" s="844">
        <v>127600</v>
      </c>
      <c r="HP177" s="844">
        <v>129000</v>
      </c>
      <c r="HQ177" s="844">
        <v>130501</v>
      </c>
      <c r="HR177" s="844">
        <v>131800</v>
      </c>
      <c r="HS177" s="844">
        <v>0</v>
      </c>
      <c r="HT177" s="844">
        <v>0</v>
      </c>
      <c r="HU177" s="844">
        <v>0</v>
      </c>
      <c r="HV177" s="844">
        <v>0</v>
      </c>
      <c r="HW177" s="844">
        <v>0</v>
      </c>
      <c r="HX177" s="844">
        <v>0</v>
      </c>
      <c r="HY177" s="844">
        <v>0</v>
      </c>
      <c r="HZ177" s="844">
        <v>0</v>
      </c>
      <c r="IA177" s="844">
        <v>0</v>
      </c>
      <c r="IB177" s="844">
        <v>0</v>
      </c>
      <c r="IC177" s="844">
        <v>0</v>
      </c>
      <c r="ID177" s="844">
        <v>0</v>
      </c>
      <c r="IE177" s="844">
        <v>0</v>
      </c>
      <c r="IF177" s="844">
        <v>0</v>
      </c>
      <c r="IG177" s="844">
        <v>0</v>
      </c>
      <c r="IH177" s="844">
        <v>0</v>
      </c>
      <c r="II177" s="844">
        <v>0</v>
      </c>
      <c r="IJ177" s="844">
        <v>0</v>
      </c>
    </row>
    <row r="178" spans="9:244" hidden="1">
      <c r="I178" s="156"/>
      <c r="L178" s="846" t="s">
        <v>1060</v>
      </c>
      <c r="M178" s="846" t="s">
        <v>1382</v>
      </c>
      <c r="N178" s="846" t="s">
        <v>96</v>
      </c>
      <c r="O178" s="847">
        <v>19</v>
      </c>
      <c r="P178" s="780" t="str">
        <f t="shared" si="6"/>
        <v>IWT060119</v>
      </c>
      <c r="Q178" s="847">
        <v>0</v>
      </c>
      <c r="R178" s="847">
        <v>0</v>
      </c>
      <c r="S178" s="847">
        <v>0</v>
      </c>
      <c r="T178" s="847">
        <v>0</v>
      </c>
      <c r="U178" s="847">
        <v>0</v>
      </c>
      <c r="V178" s="847">
        <v>0</v>
      </c>
      <c r="W178" s="847">
        <v>0</v>
      </c>
      <c r="X178" s="847">
        <v>0</v>
      </c>
      <c r="Y178" s="847">
        <v>0</v>
      </c>
      <c r="Z178" s="847">
        <v>0</v>
      </c>
      <c r="AA178" s="847">
        <v>0</v>
      </c>
      <c r="AB178" s="847">
        <v>0</v>
      </c>
      <c r="AC178" s="847">
        <v>0</v>
      </c>
      <c r="AD178" s="847">
        <v>0</v>
      </c>
      <c r="AE178" s="847">
        <v>0</v>
      </c>
      <c r="AF178" s="847">
        <v>0</v>
      </c>
      <c r="AG178" s="847">
        <v>0</v>
      </c>
      <c r="AH178" s="847">
        <v>0</v>
      </c>
      <c r="AI178" s="847">
        <v>0</v>
      </c>
      <c r="AJ178" s="847">
        <v>0</v>
      </c>
      <c r="AK178" s="847">
        <v>0</v>
      </c>
      <c r="AL178" s="847">
        <v>0</v>
      </c>
      <c r="AM178" s="847">
        <v>0</v>
      </c>
      <c r="AN178" s="847">
        <v>0</v>
      </c>
      <c r="AO178" s="847">
        <v>0</v>
      </c>
      <c r="AP178" s="847">
        <v>0</v>
      </c>
      <c r="AQ178" s="847">
        <v>0</v>
      </c>
      <c r="AR178" s="847">
        <v>0</v>
      </c>
      <c r="AS178" s="847">
        <v>0</v>
      </c>
      <c r="AT178" s="847">
        <v>0</v>
      </c>
      <c r="AU178" s="847">
        <v>0</v>
      </c>
      <c r="AV178" s="847">
        <v>0</v>
      </c>
      <c r="AW178" s="847">
        <v>0</v>
      </c>
      <c r="AX178" s="847">
        <v>0</v>
      </c>
      <c r="AY178" s="847">
        <v>0</v>
      </c>
      <c r="AZ178" s="847">
        <v>0</v>
      </c>
      <c r="BA178" s="847">
        <v>0</v>
      </c>
      <c r="BB178" s="847">
        <v>0</v>
      </c>
      <c r="BC178" s="847">
        <v>0</v>
      </c>
      <c r="BD178" s="847">
        <v>0</v>
      </c>
      <c r="BE178" s="847">
        <v>0</v>
      </c>
      <c r="BF178" s="847">
        <v>0</v>
      </c>
      <c r="BG178" s="847">
        <v>0</v>
      </c>
      <c r="BH178" s="847">
        <v>0</v>
      </c>
      <c r="BI178" s="847">
        <v>0</v>
      </c>
      <c r="BJ178" s="847">
        <v>0</v>
      </c>
      <c r="BK178" s="847">
        <v>0</v>
      </c>
      <c r="BL178" s="847">
        <v>0</v>
      </c>
      <c r="BM178" s="847">
        <v>0</v>
      </c>
      <c r="BN178" s="847">
        <v>0</v>
      </c>
      <c r="BO178" s="847">
        <v>0</v>
      </c>
      <c r="BP178" s="847">
        <v>0</v>
      </c>
      <c r="BQ178" s="847">
        <v>0</v>
      </c>
      <c r="BR178" s="847">
        <v>0</v>
      </c>
      <c r="BS178" s="847">
        <v>0</v>
      </c>
      <c r="BT178" s="847">
        <v>0</v>
      </c>
      <c r="BU178" s="847">
        <v>0</v>
      </c>
      <c r="BV178" s="847">
        <v>0</v>
      </c>
      <c r="BW178" s="847">
        <v>0</v>
      </c>
      <c r="BX178" s="847">
        <v>0</v>
      </c>
      <c r="BY178" s="847">
        <v>0</v>
      </c>
      <c r="BZ178" s="847">
        <v>0</v>
      </c>
      <c r="CA178" s="847">
        <v>0</v>
      </c>
      <c r="CB178" s="847">
        <v>0</v>
      </c>
      <c r="CC178" s="847">
        <v>0</v>
      </c>
      <c r="CD178" s="847">
        <v>0</v>
      </c>
      <c r="CE178" s="847">
        <v>0</v>
      </c>
      <c r="CF178" s="847">
        <v>0</v>
      </c>
      <c r="CG178" s="847">
        <v>0</v>
      </c>
      <c r="CH178" s="847">
        <v>0</v>
      </c>
      <c r="CI178" s="847">
        <v>0</v>
      </c>
      <c r="CJ178" s="847">
        <v>0</v>
      </c>
      <c r="CK178" s="847">
        <v>0</v>
      </c>
      <c r="CL178" s="847">
        <v>0</v>
      </c>
      <c r="CM178" s="847">
        <v>0</v>
      </c>
      <c r="CN178" s="847">
        <v>0</v>
      </c>
      <c r="CO178" s="847">
        <v>0</v>
      </c>
      <c r="CP178" s="847">
        <v>0</v>
      </c>
      <c r="CQ178" s="847">
        <v>0</v>
      </c>
      <c r="CR178" s="847">
        <v>0</v>
      </c>
      <c r="CS178" s="847">
        <v>0</v>
      </c>
      <c r="CT178" s="847">
        <v>0</v>
      </c>
      <c r="CU178" s="847">
        <v>0</v>
      </c>
      <c r="CV178" s="847">
        <v>0</v>
      </c>
      <c r="CW178" s="847">
        <v>0</v>
      </c>
      <c r="CX178" s="847">
        <v>0</v>
      </c>
      <c r="CY178" s="847">
        <v>0</v>
      </c>
      <c r="CZ178" s="847">
        <v>0</v>
      </c>
      <c r="DA178" s="847">
        <v>0</v>
      </c>
      <c r="DB178" s="847">
        <v>0</v>
      </c>
      <c r="DC178" s="847">
        <v>0</v>
      </c>
      <c r="DD178" s="847">
        <v>130400</v>
      </c>
      <c r="DE178" s="847">
        <v>0</v>
      </c>
      <c r="DF178" s="847">
        <v>0</v>
      </c>
      <c r="DG178" s="847">
        <v>0</v>
      </c>
      <c r="DH178" s="847">
        <v>0</v>
      </c>
      <c r="DI178" s="847">
        <v>0</v>
      </c>
      <c r="DJ178" s="847">
        <v>0</v>
      </c>
      <c r="DK178" s="847">
        <v>0</v>
      </c>
      <c r="DL178" s="847">
        <v>0</v>
      </c>
      <c r="DM178" s="847">
        <v>0</v>
      </c>
      <c r="DN178" s="847">
        <v>0</v>
      </c>
      <c r="DO178" s="847">
        <v>0</v>
      </c>
      <c r="DP178" s="847">
        <v>0</v>
      </c>
      <c r="DQ178" s="847">
        <v>0</v>
      </c>
      <c r="DR178" s="847">
        <v>0</v>
      </c>
      <c r="DS178" s="847">
        <v>0</v>
      </c>
      <c r="DT178" s="847">
        <v>0</v>
      </c>
      <c r="DU178" s="847">
        <v>0</v>
      </c>
      <c r="DV178" s="847">
        <v>0</v>
      </c>
      <c r="DW178" s="847">
        <v>0</v>
      </c>
      <c r="DY178" s="843" t="s">
        <v>1060</v>
      </c>
      <c r="DZ178" s="843" t="s">
        <v>1382</v>
      </c>
      <c r="EA178" s="843" t="s">
        <v>96</v>
      </c>
      <c r="EB178" s="844">
        <v>19</v>
      </c>
      <c r="EC178" s="780" t="str">
        <f t="shared" si="7"/>
        <v>IWT060119</v>
      </c>
      <c r="ED178" s="844">
        <v>5143.1000000000004</v>
      </c>
      <c r="EE178" s="844">
        <v>10286.200000000001</v>
      </c>
      <c r="EF178" s="844">
        <v>15429.4</v>
      </c>
      <c r="EG178" s="844">
        <v>20572.5</v>
      </c>
      <c r="EH178" s="844">
        <v>25715.599999999999</v>
      </c>
      <c r="EI178" s="844">
        <v>30858.7</v>
      </c>
      <c r="EJ178" s="844">
        <v>30858.7</v>
      </c>
      <c r="EK178" s="844">
        <v>30858.7</v>
      </c>
      <c r="EL178" s="844">
        <v>30858.7</v>
      </c>
      <c r="EM178" s="844">
        <v>31398</v>
      </c>
      <c r="EN178" s="844">
        <v>32026</v>
      </c>
      <c r="EO178" s="844">
        <v>32666</v>
      </c>
      <c r="EP178" s="844">
        <v>33319</v>
      </c>
      <c r="EQ178" s="844">
        <v>33986</v>
      </c>
      <c r="ER178" s="844">
        <v>34665</v>
      </c>
      <c r="ES178" s="844">
        <v>35359</v>
      </c>
      <c r="ET178" s="844">
        <v>36066</v>
      </c>
      <c r="EU178" s="844">
        <v>36787</v>
      </c>
      <c r="EV178" s="844">
        <v>37523</v>
      </c>
      <c r="EW178" s="844">
        <v>38273</v>
      </c>
      <c r="EX178" s="844">
        <v>39039</v>
      </c>
      <c r="EY178" s="844">
        <v>39820</v>
      </c>
      <c r="EZ178" s="844">
        <v>40616</v>
      </c>
      <c r="FA178" s="844">
        <v>41428</v>
      </c>
      <c r="FB178" s="844">
        <v>42257</v>
      </c>
      <c r="FC178" s="844">
        <v>43102</v>
      </c>
      <c r="FD178" s="844">
        <v>43964</v>
      </c>
      <c r="FE178" s="844">
        <v>44843</v>
      </c>
      <c r="FF178" s="844">
        <v>45740</v>
      </c>
      <c r="FG178" s="844">
        <v>46655</v>
      </c>
      <c r="FH178" s="844">
        <v>47588</v>
      </c>
      <c r="FI178" s="844">
        <v>48540</v>
      </c>
      <c r="FJ178" s="844">
        <v>49511</v>
      </c>
      <c r="FK178" s="844">
        <v>50501</v>
      </c>
      <c r="FL178" s="844">
        <v>51511</v>
      </c>
      <c r="FM178" s="844">
        <v>52541</v>
      </c>
      <c r="FN178" s="844">
        <v>53589</v>
      </c>
      <c r="FO178" s="844">
        <v>54800</v>
      </c>
      <c r="FP178" s="844">
        <v>56200</v>
      </c>
      <c r="FQ178" s="844">
        <v>57600</v>
      </c>
      <c r="FR178" s="844">
        <v>59000</v>
      </c>
      <c r="FS178" s="844">
        <v>60400</v>
      </c>
      <c r="FT178" s="844">
        <v>61800</v>
      </c>
      <c r="FU178" s="844">
        <v>63200</v>
      </c>
      <c r="FV178" s="844">
        <v>64600</v>
      </c>
      <c r="FW178" s="844">
        <v>66000</v>
      </c>
      <c r="FX178" s="844">
        <v>67400</v>
      </c>
      <c r="FY178" s="844">
        <v>68800</v>
      </c>
      <c r="FZ178" s="844">
        <v>70200</v>
      </c>
      <c r="GA178" s="844">
        <v>71600</v>
      </c>
      <c r="GB178" s="844">
        <v>73000</v>
      </c>
      <c r="GC178" s="844">
        <v>74400</v>
      </c>
      <c r="GD178" s="844">
        <v>75800</v>
      </c>
      <c r="GE178" s="844">
        <v>77200</v>
      </c>
      <c r="GF178" s="844">
        <v>78600</v>
      </c>
      <c r="GG178" s="844">
        <v>80000</v>
      </c>
      <c r="GH178" s="844">
        <v>81400</v>
      </c>
      <c r="GI178" s="844">
        <v>82800</v>
      </c>
      <c r="GJ178" s="844">
        <v>84200</v>
      </c>
      <c r="GK178" s="844">
        <v>85600</v>
      </c>
      <c r="GL178" s="844">
        <v>87000</v>
      </c>
      <c r="GM178" s="844">
        <v>88400</v>
      </c>
      <c r="GN178" s="844">
        <v>89800</v>
      </c>
      <c r="GO178" s="844">
        <v>91200</v>
      </c>
      <c r="GP178" s="844">
        <v>92600</v>
      </c>
      <c r="GQ178" s="844">
        <v>94000</v>
      </c>
      <c r="GR178" s="844">
        <v>95400</v>
      </c>
      <c r="GS178" s="844">
        <v>96800</v>
      </c>
      <c r="GT178" s="844">
        <v>98200</v>
      </c>
      <c r="GU178" s="844">
        <v>99600</v>
      </c>
      <c r="GV178" s="844">
        <v>101000</v>
      </c>
      <c r="GW178" s="844">
        <v>102400</v>
      </c>
      <c r="GX178" s="844">
        <v>103800</v>
      </c>
      <c r="GY178" s="844">
        <v>105200</v>
      </c>
      <c r="GZ178" s="844">
        <v>106600</v>
      </c>
      <c r="HA178" s="844">
        <v>108000</v>
      </c>
      <c r="HB178" s="844">
        <v>109400</v>
      </c>
      <c r="HC178" s="844">
        <v>110800</v>
      </c>
      <c r="HD178" s="844">
        <v>112200</v>
      </c>
      <c r="HE178" s="844">
        <v>113600</v>
      </c>
      <c r="HF178" s="844">
        <v>115000</v>
      </c>
      <c r="HG178" s="844">
        <v>116400</v>
      </c>
      <c r="HH178" s="844">
        <v>117800</v>
      </c>
      <c r="HI178" s="844">
        <v>119200</v>
      </c>
      <c r="HJ178" s="844">
        <v>120600</v>
      </c>
      <c r="HK178" s="844">
        <v>122000</v>
      </c>
      <c r="HL178" s="844">
        <v>123400</v>
      </c>
      <c r="HM178" s="844">
        <v>124800</v>
      </c>
      <c r="HN178" s="844">
        <v>126200</v>
      </c>
      <c r="HO178" s="844">
        <v>127600</v>
      </c>
      <c r="HP178" s="844">
        <v>129115</v>
      </c>
      <c r="HQ178" s="844">
        <v>130400</v>
      </c>
      <c r="HR178" s="844">
        <v>0</v>
      </c>
      <c r="HS178" s="844">
        <v>0</v>
      </c>
      <c r="HT178" s="844">
        <v>0</v>
      </c>
      <c r="HU178" s="844">
        <v>0</v>
      </c>
      <c r="HV178" s="844">
        <v>0</v>
      </c>
      <c r="HW178" s="844">
        <v>0</v>
      </c>
      <c r="HX178" s="844">
        <v>0</v>
      </c>
      <c r="HY178" s="844">
        <v>0</v>
      </c>
      <c r="HZ178" s="844">
        <v>0</v>
      </c>
      <c r="IA178" s="844">
        <v>0</v>
      </c>
      <c r="IB178" s="844">
        <v>0</v>
      </c>
      <c r="IC178" s="844">
        <v>0</v>
      </c>
      <c r="ID178" s="844">
        <v>0</v>
      </c>
      <c r="IE178" s="844">
        <v>0</v>
      </c>
      <c r="IF178" s="844">
        <v>0</v>
      </c>
      <c r="IG178" s="844">
        <v>0</v>
      </c>
      <c r="IH178" s="844">
        <v>0</v>
      </c>
      <c r="II178" s="844">
        <v>0</v>
      </c>
      <c r="IJ178" s="844">
        <v>0</v>
      </c>
    </row>
    <row r="179" spans="9:244" hidden="1">
      <c r="I179" s="156"/>
      <c r="L179" s="846" t="s">
        <v>1060</v>
      </c>
      <c r="M179" s="846" t="s">
        <v>1382</v>
      </c>
      <c r="N179" s="846" t="s">
        <v>96</v>
      </c>
      <c r="O179" s="847">
        <v>20</v>
      </c>
      <c r="P179" s="780" t="str">
        <f t="shared" si="6"/>
        <v>IWT060120</v>
      </c>
      <c r="Q179" s="847">
        <v>0</v>
      </c>
      <c r="R179" s="847">
        <v>0</v>
      </c>
      <c r="S179" s="847">
        <v>0</v>
      </c>
      <c r="T179" s="847">
        <v>0</v>
      </c>
      <c r="U179" s="847">
        <v>0</v>
      </c>
      <c r="V179" s="847">
        <v>0</v>
      </c>
      <c r="W179" s="847">
        <v>0</v>
      </c>
      <c r="X179" s="847">
        <v>0</v>
      </c>
      <c r="Y179" s="847">
        <v>0</v>
      </c>
      <c r="Z179" s="847">
        <v>0</v>
      </c>
      <c r="AA179" s="847">
        <v>0</v>
      </c>
      <c r="AB179" s="847">
        <v>0</v>
      </c>
      <c r="AC179" s="847">
        <v>0</v>
      </c>
      <c r="AD179" s="847">
        <v>0</v>
      </c>
      <c r="AE179" s="847">
        <v>0</v>
      </c>
      <c r="AF179" s="847">
        <v>0</v>
      </c>
      <c r="AG179" s="847">
        <v>0</v>
      </c>
      <c r="AH179" s="847">
        <v>0</v>
      </c>
      <c r="AI179" s="847">
        <v>0</v>
      </c>
      <c r="AJ179" s="847">
        <v>0</v>
      </c>
      <c r="AK179" s="847">
        <v>0</v>
      </c>
      <c r="AL179" s="847">
        <v>0</v>
      </c>
      <c r="AM179" s="847">
        <v>0</v>
      </c>
      <c r="AN179" s="847">
        <v>0</v>
      </c>
      <c r="AO179" s="847">
        <v>0</v>
      </c>
      <c r="AP179" s="847">
        <v>0</v>
      </c>
      <c r="AQ179" s="847">
        <v>0</v>
      </c>
      <c r="AR179" s="847">
        <v>0</v>
      </c>
      <c r="AS179" s="847">
        <v>0</v>
      </c>
      <c r="AT179" s="847">
        <v>0</v>
      </c>
      <c r="AU179" s="847">
        <v>0</v>
      </c>
      <c r="AV179" s="847">
        <v>0</v>
      </c>
      <c r="AW179" s="847">
        <v>0</v>
      </c>
      <c r="AX179" s="847">
        <v>0</v>
      </c>
      <c r="AY179" s="847">
        <v>0</v>
      </c>
      <c r="AZ179" s="847">
        <v>0</v>
      </c>
      <c r="BA179" s="847">
        <v>0</v>
      </c>
      <c r="BB179" s="847">
        <v>0</v>
      </c>
      <c r="BC179" s="847">
        <v>0</v>
      </c>
      <c r="BD179" s="847">
        <v>0</v>
      </c>
      <c r="BE179" s="847">
        <v>0</v>
      </c>
      <c r="BF179" s="847">
        <v>0</v>
      </c>
      <c r="BG179" s="847">
        <v>0</v>
      </c>
      <c r="BH179" s="847">
        <v>0</v>
      </c>
      <c r="BI179" s="847">
        <v>0</v>
      </c>
      <c r="BJ179" s="847">
        <v>0</v>
      </c>
      <c r="BK179" s="847">
        <v>0</v>
      </c>
      <c r="BL179" s="847">
        <v>0</v>
      </c>
      <c r="BM179" s="847">
        <v>0</v>
      </c>
      <c r="BN179" s="847">
        <v>0</v>
      </c>
      <c r="BO179" s="847">
        <v>0</v>
      </c>
      <c r="BP179" s="847">
        <v>0</v>
      </c>
      <c r="BQ179" s="847">
        <v>0</v>
      </c>
      <c r="BR179" s="847">
        <v>0</v>
      </c>
      <c r="BS179" s="847">
        <v>0</v>
      </c>
      <c r="BT179" s="847">
        <v>0</v>
      </c>
      <c r="BU179" s="847">
        <v>0</v>
      </c>
      <c r="BV179" s="847">
        <v>0</v>
      </c>
      <c r="BW179" s="847">
        <v>0</v>
      </c>
      <c r="BX179" s="847">
        <v>0</v>
      </c>
      <c r="BY179" s="847">
        <v>0</v>
      </c>
      <c r="BZ179" s="847">
        <v>0</v>
      </c>
      <c r="CA179" s="847">
        <v>0</v>
      </c>
      <c r="CB179" s="847">
        <v>0</v>
      </c>
      <c r="CC179" s="847">
        <v>0</v>
      </c>
      <c r="CD179" s="847">
        <v>0</v>
      </c>
      <c r="CE179" s="847">
        <v>0</v>
      </c>
      <c r="CF179" s="847">
        <v>0</v>
      </c>
      <c r="CG179" s="847">
        <v>0</v>
      </c>
      <c r="CH179" s="847">
        <v>0</v>
      </c>
      <c r="CI179" s="847">
        <v>0</v>
      </c>
      <c r="CJ179" s="847">
        <v>0</v>
      </c>
      <c r="CK179" s="847">
        <v>0</v>
      </c>
      <c r="CL179" s="847">
        <v>0</v>
      </c>
      <c r="CM179" s="847">
        <v>0</v>
      </c>
      <c r="CN179" s="847">
        <v>0</v>
      </c>
      <c r="CO179" s="847">
        <v>0</v>
      </c>
      <c r="CP179" s="847">
        <v>0</v>
      </c>
      <c r="CQ179" s="847">
        <v>0</v>
      </c>
      <c r="CR179" s="847">
        <v>0</v>
      </c>
      <c r="CS179" s="847">
        <v>0</v>
      </c>
      <c r="CT179" s="847">
        <v>0</v>
      </c>
      <c r="CU179" s="847">
        <v>0</v>
      </c>
      <c r="CV179" s="847">
        <v>0</v>
      </c>
      <c r="CW179" s="847">
        <v>0</v>
      </c>
      <c r="CX179" s="847">
        <v>0</v>
      </c>
      <c r="CY179" s="847">
        <v>0</v>
      </c>
      <c r="CZ179" s="847">
        <v>0</v>
      </c>
      <c r="DA179" s="847">
        <v>0</v>
      </c>
      <c r="DB179" s="847">
        <v>0</v>
      </c>
      <c r="DC179" s="847">
        <v>129000</v>
      </c>
      <c r="DD179" s="847">
        <v>0</v>
      </c>
      <c r="DE179" s="847">
        <v>0</v>
      </c>
      <c r="DF179" s="847">
        <v>0</v>
      </c>
      <c r="DG179" s="847">
        <v>0</v>
      </c>
      <c r="DH179" s="847">
        <v>0</v>
      </c>
      <c r="DI179" s="847">
        <v>0</v>
      </c>
      <c r="DJ179" s="847">
        <v>0</v>
      </c>
      <c r="DK179" s="847">
        <v>0</v>
      </c>
      <c r="DL179" s="847">
        <v>0</v>
      </c>
      <c r="DM179" s="847">
        <v>0</v>
      </c>
      <c r="DN179" s="847">
        <v>0</v>
      </c>
      <c r="DO179" s="847">
        <v>0</v>
      </c>
      <c r="DP179" s="847">
        <v>0</v>
      </c>
      <c r="DQ179" s="847">
        <v>0</v>
      </c>
      <c r="DR179" s="847">
        <v>0</v>
      </c>
      <c r="DS179" s="847">
        <v>0</v>
      </c>
      <c r="DT179" s="847">
        <v>0</v>
      </c>
      <c r="DU179" s="847">
        <v>0</v>
      </c>
      <c r="DV179" s="847">
        <v>0</v>
      </c>
      <c r="DW179" s="847">
        <v>0</v>
      </c>
      <c r="DY179" s="843" t="s">
        <v>1060</v>
      </c>
      <c r="DZ179" s="843" t="s">
        <v>1382</v>
      </c>
      <c r="EA179" s="843" t="s">
        <v>96</v>
      </c>
      <c r="EB179" s="844">
        <v>20</v>
      </c>
      <c r="EC179" s="780" t="str">
        <f t="shared" si="7"/>
        <v>IWT060120</v>
      </c>
      <c r="ED179" s="844">
        <v>5160.1000000000004</v>
      </c>
      <c r="EE179" s="844">
        <v>10320.200000000001</v>
      </c>
      <c r="EF179" s="844">
        <v>15480.2</v>
      </c>
      <c r="EG179" s="844">
        <v>20640.3</v>
      </c>
      <c r="EH179" s="844">
        <v>25800.400000000001</v>
      </c>
      <c r="EI179" s="844">
        <v>30960.5</v>
      </c>
      <c r="EJ179" s="844">
        <v>30960.5</v>
      </c>
      <c r="EK179" s="844">
        <v>30960.5</v>
      </c>
      <c r="EL179" s="844">
        <v>30960.5</v>
      </c>
      <c r="EM179" s="844">
        <v>31499</v>
      </c>
      <c r="EN179" s="844">
        <v>32129</v>
      </c>
      <c r="EO179" s="844">
        <v>32772</v>
      </c>
      <c r="EP179" s="844">
        <v>33427</v>
      </c>
      <c r="EQ179" s="844">
        <v>34096</v>
      </c>
      <c r="ER179" s="844">
        <v>34778</v>
      </c>
      <c r="ES179" s="844">
        <v>35473</v>
      </c>
      <c r="ET179" s="844">
        <v>36183</v>
      </c>
      <c r="EU179" s="844">
        <v>36907</v>
      </c>
      <c r="EV179" s="844">
        <v>37645</v>
      </c>
      <c r="EW179" s="844">
        <v>38398</v>
      </c>
      <c r="EX179" s="844">
        <v>39165</v>
      </c>
      <c r="EY179" s="844">
        <v>39949</v>
      </c>
      <c r="EZ179" s="844">
        <v>40748</v>
      </c>
      <c r="FA179" s="844">
        <v>41563</v>
      </c>
      <c r="FB179" s="844">
        <v>42394</v>
      </c>
      <c r="FC179" s="844">
        <v>43242</v>
      </c>
      <c r="FD179" s="844">
        <v>44107</v>
      </c>
      <c r="FE179" s="844">
        <v>44989</v>
      </c>
      <c r="FF179" s="844">
        <v>45889</v>
      </c>
      <c r="FG179" s="844">
        <v>46806</v>
      </c>
      <c r="FH179" s="844">
        <v>47742</v>
      </c>
      <c r="FI179" s="844">
        <v>48697</v>
      </c>
      <c r="FJ179" s="844">
        <v>49671</v>
      </c>
      <c r="FK179" s="844">
        <v>50665</v>
      </c>
      <c r="FL179" s="844">
        <v>51678</v>
      </c>
      <c r="FM179" s="844">
        <v>52711</v>
      </c>
      <c r="FN179" s="844">
        <v>53764</v>
      </c>
      <c r="FO179" s="844">
        <v>54835</v>
      </c>
      <c r="FP179" s="844">
        <v>56200</v>
      </c>
      <c r="FQ179" s="844">
        <v>57600</v>
      </c>
      <c r="FR179" s="844">
        <v>59000</v>
      </c>
      <c r="FS179" s="844">
        <v>60400</v>
      </c>
      <c r="FT179" s="844">
        <v>61800</v>
      </c>
      <c r="FU179" s="844">
        <v>63200</v>
      </c>
      <c r="FV179" s="844">
        <v>64600</v>
      </c>
      <c r="FW179" s="844">
        <v>66000</v>
      </c>
      <c r="FX179" s="844">
        <v>67400</v>
      </c>
      <c r="FY179" s="844">
        <v>68800</v>
      </c>
      <c r="FZ179" s="844">
        <v>70200</v>
      </c>
      <c r="GA179" s="844">
        <v>71600</v>
      </c>
      <c r="GB179" s="844">
        <v>73000</v>
      </c>
      <c r="GC179" s="844">
        <v>74400</v>
      </c>
      <c r="GD179" s="844">
        <v>75800</v>
      </c>
      <c r="GE179" s="844">
        <v>77200</v>
      </c>
      <c r="GF179" s="844">
        <v>78600</v>
      </c>
      <c r="GG179" s="844">
        <v>80000</v>
      </c>
      <c r="GH179" s="844">
        <v>81400</v>
      </c>
      <c r="GI179" s="844">
        <v>82800</v>
      </c>
      <c r="GJ179" s="844">
        <v>84200</v>
      </c>
      <c r="GK179" s="844">
        <v>85600</v>
      </c>
      <c r="GL179" s="844">
        <v>87000</v>
      </c>
      <c r="GM179" s="844">
        <v>88400</v>
      </c>
      <c r="GN179" s="844">
        <v>89800</v>
      </c>
      <c r="GO179" s="844">
        <v>91200</v>
      </c>
      <c r="GP179" s="844">
        <v>92600</v>
      </c>
      <c r="GQ179" s="844">
        <v>94000</v>
      </c>
      <c r="GR179" s="844">
        <v>95400</v>
      </c>
      <c r="GS179" s="844">
        <v>96800</v>
      </c>
      <c r="GT179" s="844">
        <v>98200</v>
      </c>
      <c r="GU179" s="844">
        <v>99600</v>
      </c>
      <c r="GV179" s="844">
        <v>101000</v>
      </c>
      <c r="GW179" s="844">
        <v>102400</v>
      </c>
      <c r="GX179" s="844">
        <v>103800</v>
      </c>
      <c r="GY179" s="844">
        <v>105200</v>
      </c>
      <c r="GZ179" s="844">
        <v>106600</v>
      </c>
      <c r="HA179" s="844">
        <v>108000</v>
      </c>
      <c r="HB179" s="844">
        <v>109400</v>
      </c>
      <c r="HC179" s="844">
        <v>110800</v>
      </c>
      <c r="HD179" s="844">
        <v>112200</v>
      </c>
      <c r="HE179" s="844">
        <v>113600</v>
      </c>
      <c r="HF179" s="844">
        <v>115000</v>
      </c>
      <c r="HG179" s="844">
        <v>116400</v>
      </c>
      <c r="HH179" s="844">
        <v>117800</v>
      </c>
      <c r="HI179" s="844">
        <v>119200</v>
      </c>
      <c r="HJ179" s="844">
        <v>120600</v>
      </c>
      <c r="HK179" s="844">
        <v>122000</v>
      </c>
      <c r="HL179" s="844">
        <v>123400</v>
      </c>
      <c r="HM179" s="844">
        <v>124800</v>
      </c>
      <c r="HN179" s="844">
        <v>126200</v>
      </c>
      <c r="HO179" s="844">
        <v>127729</v>
      </c>
      <c r="HP179" s="844">
        <v>129000</v>
      </c>
      <c r="HQ179" s="844">
        <v>0</v>
      </c>
      <c r="HR179" s="844">
        <v>0</v>
      </c>
      <c r="HS179" s="844">
        <v>0</v>
      </c>
      <c r="HT179" s="844">
        <v>0</v>
      </c>
      <c r="HU179" s="844">
        <v>0</v>
      </c>
      <c r="HV179" s="844">
        <v>0</v>
      </c>
      <c r="HW179" s="844">
        <v>0</v>
      </c>
      <c r="HX179" s="844">
        <v>0</v>
      </c>
      <c r="HY179" s="844">
        <v>0</v>
      </c>
      <c r="HZ179" s="844">
        <v>0</v>
      </c>
      <c r="IA179" s="844">
        <v>0</v>
      </c>
      <c r="IB179" s="844">
        <v>0</v>
      </c>
      <c r="IC179" s="844">
        <v>0</v>
      </c>
      <c r="ID179" s="844">
        <v>0</v>
      </c>
      <c r="IE179" s="844">
        <v>0</v>
      </c>
      <c r="IF179" s="844">
        <v>0</v>
      </c>
      <c r="IG179" s="844">
        <v>0</v>
      </c>
      <c r="IH179" s="844">
        <v>0</v>
      </c>
      <c r="II179" s="844">
        <v>0</v>
      </c>
      <c r="IJ179" s="844">
        <v>0</v>
      </c>
    </row>
    <row r="180" spans="9:244" hidden="1">
      <c r="I180" s="156"/>
      <c r="L180" s="846" t="s">
        <v>1060</v>
      </c>
      <c r="M180" s="846" t="s">
        <v>1382</v>
      </c>
      <c r="N180" s="846" t="s">
        <v>96</v>
      </c>
      <c r="O180" s="847">
        <v>21</v>
      </c>
      <c r="P180" s="780" t="str">
        <f t="shared" si="6"/>
        <v>IWT060121</v>
      </c>
      <c r="Q180" s="847">
        <v>0</v>
      </c>
      <c r="R180" s="847">
        <v>0</v>
      </c>
      <c r="S180" s="847">
        <v>0</v>
      </c>
      <c r="T180" s="847">
        <v>0</v>
      </c>
      <c r="U180" s="847">
        <v>0</v>
      </c>
      <c r="V180" s="847">
        <v>0</v>
      </c>
      <c r="W180" s="847">
        <v>0</v>
      </c>
      <c r="X180" s="847">
        <v>0</v>
      </c>
      <c r="Y180" s="847">
        <v>0</v>
      </c>
      <c r="Z180" s="847">
        <v>0</v>
      </c>
      <c r="AA180" s="847">
        <v>0</v>
      </c>
      <c r="AB180" s="847">
        <v>0</v>
      </c>
      <c r="AC180" s="847">
        <v>0</v>
      </c>
      <c r="AD180" s="847">
        <v>0</v>
      </c>
      <c r="AE180" s="847">
        <v>0</v>
      </c>
      <c r="AF180" s="847">
        <v>0</v>
      </c>
      <c r="AG180" s="847">
        <v>0</v>
      </c>
      <c r="AH180" s="847">
        <v>0</v>
      </c>
      <c r="AI180" s="847">
        <v>0</v>
      </c>
      <c r="AJ180" s="847">
        <v>0</v>
      </c>
      <c r="AK180" s="847">
        <v>0</v>
      </c>
      <c r="AL180" s="847">
        <v>0</v>
      </c>
      <c r="AM180" s="847">
        <v>0</v>
      </c>
      <c r="AN180" s="847">
        <v>0</v>
      </c>
      <c r="AO180" s="847">
        <v>0</v>
      </c>
      <c r="AP180" s="847">
        <v>0</v>
      </c>
      <c r="AQ180" s="847">
        <v>0</v>
      </c>
      <c r="AR180" s="847">
        <v>0</v>
      </c>
      <c r="AS180" s="847">
        <v>0</v>
      </c>
      <c r="AT180" s="847">
        <v>0</v>
      </c>
      <c r="AU180" s="847">
        <v>0</v>
      </c>
      <c r="AV180" s="847">
        <v>0</v>
      </c>
      <c r="AW180" s="847">
        <v>0</v>
      </c>
      <c r="AX180" s="847">
        <v>0</v>
      </c>
      <c r="AY180" s="847">
        <v>0</v>
      </c>
      <c r="AZ180" s="847">
        <v>0</v>
      </c>
      <c r="BA180" s="847">
        <v>0</v>
      </c>
      <c r="BB180" s="847">
        <v>0</v>
      </c>
      <c r="BC180" s="847">
        <v>0</v>
      </c>
      <c r="BD180" s="847">
        <v>0</v>
      </c>
      <c r="BE180" s="847">
        <v>0</v>
      </c>
      <c r="BF180" s="847">
        <v>0</v>
      </c>
      <c r="BG180" s="847">
        <v>0</v>
      </c>
      <c r="BH180" s="847">
        <v>0</v>
      </c>
      <c r="BI180" s="847">
        <v>0</v>
      </c>
      <c r="BJ180" s="847">
        <v>0</v>
      </c>
      <c r="BK180" s="847">
        <v>0</v>
      </c>
      <c r="BL180" s="847">
        <v>0</v>
      </c>
      <c r="BM180" s="847">
        <v>0</v>
      </c>
      <c r="BN180" s="847">
        <v>0</v>
      </c>
      <c r="BO180" s="847">
        <v>0</v>
      </c>
      <c r="BP180" s="847">
        <v>0</v>
      </c>
      <c r="BQ180" s="847">
        <v>0</v>
      </c>
      <c r="BR180" s="847">
        <v>0</v>
      </c>
      <c r="BS180" s="847">
        <v>0</v>
      </c>
      <c r="BT180" s="847">
        <v>0</v>
      </c>
      <c r="BU180" s="847">
        <v>0</v>
      </c>
      <c r="BV180" s="847">
        <v>0</v>
      </c>
      <c r="BW180" s="847">
        <v>0</v>
      </c>
      <c r="BX180" s="847">
        <v>0</v>
      </c>
      <c r="BY180" s="847">
        <v>0</v>
      </c>
      <c r="BZ180" s="847">
        <v>0</v>
      </c>
      <c r="CA180" s="847">
        <v>0</v>
      </c>
      <c r="CB180" s="847">
        <v>0</v>
      </c>
      <c r="CC180" s="847">
        <v>0</v>
      </c>
      <c r="CD180" s="847">
        <v>0</v>
      </c>
      <c r="CE180" s="847">
        <v>0</v>
      </c>
      <c r="CF180" s="847">
        <v>0</v>
      </c>
      <c r="CG180" s="847">
        <v>0</v>
      </c>
      <c r="CH180" s="847">
        <v>0</v>
      </c>
      <c r="CI180" s="847">
        <v>0</v>
      </c>
      <c r="CJ180" s="847">
        <v>0</v>
      </c>
      <c r="CK180" s="847">
        <v>0</v>
      </c>
      <c r="CL180" s="847">
        <v>0</v>
      </c>
      <c r="CM180" s="847">
        <v>0</v>
      </c>
      <c r="CN180" s="847">
        <v>0</v>
      </c>
      <c r="CO180" s="847">
        <v>0</v>
      </c>
      <c r="CP180" s="847">
        <v>0</v>
      </c>
      <c r="CQ180" s="847">
        <v>0</v>
      </c>
      <c r="CR180" s="847">
        <v>0</v>
      </c>
      <c r="CS180" s="847">
        <v>0</v>
      </c>
      <c r="CT180" s="847">
        <v>0</v>
      </c>
      <c r="CU180" s="847">
        <v>0</v>
      </c>
      <c r="CV180" s="847">
        <v>0</v>
      </c>
      <c r="CW180" s="847">
        <v>0</v>
      </c>
      <c r="CX180" s="847">
        <v>0</v>
      </c>
      <c r="CY180" s="847">
        <v>0</v>
      </c>
      <c r="CZ180" s="847">
        <v>0</v>
      </c>
      <c r="DA180" s="847">
        <v>0</v>
      </c>
      <c r="DB180" s="847">
        <v>127600</v>
      </c>
      <c r="DC180" s="847">
        <v>0</v>
      </c>
      <c r="DD180" s="847">
        <v>0</v>
      </c>
      <c r="DE180" s="847">
        <v>0</v>
      </c>
      <c r="DF180" s="847">
        <v>0</v>
      </c>
      <c r="DG180" s="847">
        <v>0</v>
      </c>
      <c r="DH180" s="847">
        <v>0</v>
      </c>
      <c r="DI180" s="847">
        <v>0</v>
      </c>
      <c r="DJ180" s="847">
        <v>0</v>
      </c>
      <c r="DK180" s="847">
        <v>0</v>
      </c>
      <c r="DL180" s="847">
        <v>0</v>
      </c>
      <c r="DM180" s="847">
        <v>0</v>
      </c>
      <c r="DN180" s="847">
        <v>0</v>
      </c>
      <c r="DO180" s="847">
        <v>0</v>
      </c>
      <c r="DP180" s="847">
        <v>0</v>
      </c>
      <c r="DQ180" s="847">
        <v>0</v>
      </c>
      <c r="DR180" s="847">
        <v>0</v>
      </c>
      <c r="DS180" s="847">
        <v>0</v>
      </c>
      <c r="DT180" s="847">
        <v>0</v>
      </c>
      <c r="DU180" s="847">
        <v>0</v>
      </c>
      <c r="DV180" s="847">
        <v>0</v>
      </c>
      <c r="DW180" s="847">
        <v>0</v>
      </c>
      <c r="DY180" s="843" t="s">
        <v>1060</v>
      </c>
      <c r="DZ180" s="843" t="s">
        <v>1382</v>
      </c>
      <c r="EA180" s="843" t="s">
        <v>96</v>
      </c>
      <c r="EB180" s="844">
        <v>21</v>
      </c>
      <c r="EC180" s="780" t="str">
        <f t="shared" si="7"/>
        <v>IWT060121</v>
      </c>
      <c r="ED180" s="844">
        <v>5176</v>
      </c>
      <c r="EE180" s="844">
        <v>10352</v>
      </c>
      <c r="EF180" s="844">
        <v>15527.9</v>
      </c>
      <c r="EG180" s="844">
        <v>20703.900000000001</v>
      </c>
      <c r="EH180" s="844">
        <v>25879.9</v>
      </c>
      <c r="EI180" s="844">
        <v>31055.9</v>
      </c>
      <c r="EJ180" s="844">
        <v>31055.9</v>
      </c>
      <c r="EK180" s="844">
        <v>31055.9</v>
      </c>
      <c r="EL180" s="844">
        <v>31055.9</v>
      </c>
      <c r="EM180" s="844">
        <v>31596</v>
      </c>
      <c r="EN180" s="844">
        <v>32228</v>
      </c>
      <c r="EO180" s="844">
        <v>32872</v>
      </c>
      <c r="EP180" s="844">
        <v>33530</v>
      </c>
      <c r="EQ180" s="844">
        <v>34200</v>
      </c>
      <c r="ER180" s="844">
        <v>34884</v>
      </c>
      <c r="ES180" s="844">
        <v>35582</v>
      </c>
      <c r="ET180" s="844">
        <v>36294</v>
      </c>
      <c r="EU180" s="844">
        <v>37019</v>
      </c>
      <c r="EV180" s="844">
        <v>37760</v>
      </c>
      <c r="EW180" s="844">
        <v>38515</v>
      </c>
      <c r="EX180" s="844">
        <v>39285</v>
      </c>
      <c r="EY180" s="844">
        <v>40071</v>
      </c>
      <c r="EZ180" s="844">
        <v>40872</v>
      </c>
      <c r="FA180" s="844">
        <v>41690</v>
      </c>
      <c r="FB180" s="844">
        <v>42524</v>
      </c>
      <c r="FC180" s="844">
        <v>43374</v>
      </c>
      <c r="FD180" s="844">
        <v>44242</v>
      </c>
      <c r="FE180" s="844">
        <v>45126</v>
      </c>
      <c r="FF180" s="844">
        <v>46029</v>
      </c>
      <c r="FG180" s="844">
        <v>46950</v>
      </c>
      <c r="FH180" s="844">
        <v>47889</v>
      </c>
      <c r="FI180" s="844">
        <v>48846</v>
      </c>
      <c r="FJ180" s="844">
        <v>49823</v>
      </c>
      <c r="FK180" s="844">
        <v>50820</v>
      </c>
      <c r="FL180" s="844">
        <v>51836</v>
      </c>
      <c r="FM180" s="844">
        <v>52873</v>
      </c>
      <c r="FN180" s="844">
        <v>53930</v>
      </c>
      <c r="FO180" s="844">
        <v>55006</v>
      </c>
      <c r="FP180" s="844">
        <v>56200</v>
      </c>
      <c r="FQ180" s="844">
        <v>57600</v>
      </c>
      <c r="FR180" s="844">
        <v>59000</v>
      </c>
      <c r="FS180" s="844">
        <v>60400</v>
      </c>
      <c r="FT180" s="844">
        <v>61800</v>
      </c>
      <c r="FU180" s="844">
        <v>63200</v>
      </c>
      <c r="FV180" s="844">
        <v>64600</v>
      </c>
      <c r="FW180" s="844">
        <v>66000</v>
      </c>
      <c r="FX180" s="844">
        <v>67400</v>
      </c>
      <c r="FY180" s="844">
        <v>68800</v>
      </c>
      <c r="FZ180" s="844">
        <v>70200</v>
      </c>
      <c r="GA180" s="844">
        <v>71600</v>
      </c>
      <c r="GB180" s="844">
        <v>73000</v>
      </c>
      <c r="GC180" s="844">
        <v>74400</v>
      </c>
      <c r="GD180" s="844">
        <v>75800</v>
      </c>
      <c r="GE180" s="844">
        <v>77200</v>
      </c>
      <c r="GF180" s="844">
        <v>78600</v>
      </c>
      <c r="GG180" s="844">
        <v>80000</v>
      </c>
      <c r="GH180" s="844">
        <v>81400</v>
      </c>
      <c r="GI180" s="844">
        <v>82800</v>
      </c>
      <c r="GJ180" s="844">
        <v>84200</v>
      </c>
      <c r="GK180" s="844">
        <v>85600</v>
      </c>
      <c r="GL180" s="844">
        <v>87000</v>
      </c>
      <c r="GM180" s="844">
        <v>88400</v>
      </c>
      <c r="GN180" s="844">
        <v>89800</v>
      </c>
      <c r="GO180" s="844">
        <v>91200</v>
      </c>
      <c r="GP180" s="844">
        <v>92600</v>
      </c>
      <c r="GQ180" s="844">
        <v>94000</v>
      </c>
      <c r="GR180" s="844">
        <v>95400</v>
      </c>
      <c r="GS180" s="844">
        <v>96800</v>
      </c>
      <c r="GT180" s="844">
        <v>98200</v>
      </c>
      <c r="GU180" s="844">
        <v>99600</v>
      </c>
      <c r="GV180" s="844">
        <v>101000</v>
      </c>
      <c r="GW180" s="844">
        <v>102400</v>
      </c>
      <c r="GX180" s="844">
        <v>103800</v>
      </c>
      <c r="GY180" s="844">
        <v>105200</v>
      </c>
      <c r="GZ180" s="844">
        <v>106600</v>
      </c>
      <c r="HA180" s="844">
        <v>108000</v>
      </c>
      <c r="HB180" s="844">
        <v>109400</v>
      </c>
      <c r="HC180" s="844">
        <v>110800</v>
      </c>
      <c r="HD180" s="844">
        <v>112200</v>
      </c>
      <c r="HE180" s="844">
        <v>113600</v>
      </c>
      <c r="HF180" s="844">
        <v>115000</v>
      </c>
      <c r="HG180" s="844">
        <v>116400</v>
      </c>
      <c r="HH180" s="844">
        <v>117800</v>
      </c>
      <c r="HI180" s="844">
        <v>119200</v>
      </c>
      <c r="HJ180" s="844">
        <v>120600</v>
      </c>
      <c r="HK180" s="844">
        <v>122000</v>
      </c>
      <c r="HL180" s="844">
        <v>123400</v>
      </c>
      <c r="HM180" s="844">
        <v>124800</v>
      </c>
      <c r="HN180" s="844">
        <v>126343</v>
      </c>
      <c r="HO180" s="844">
        <v>127600</v>
      </c>
      <c r="HP180" s="844">
        <v>0</v>
      </c>
      <c r="HQ180" s="844">
        <v>0</v>
      </c>
      <c r="HR180" s="844">
        <v>0</v>
      </c>
      <c r="HS180" s="844">
        <v>0</v>
      </c>
      <c r="HT180" s="844">
        <v>0</v>
      </c>
      <c r="HU180" s="844">
        <v>0</v>
      </c>
      <c r="HV180" s="844">
        <v>0</v>
      </c>
      <c r="HW180" s="844">
        <v>0</v>
      </c>
      <c r="HX180" s="844">
        <v>0</v>
      </c>
      <c r="HY180" s="844">
        <v>0</v>
      </c>
      <c r="HZ180" s="844">
        <v>0</v>
      </c>
      <c r="IA180" s="844">
        <v>0</v>
      </c>
      <c r="IB180" s="844">
        <v>0</v>
      </c>
      <c r="IC180" s="844">
        <v>0</v>
      </c>
      <c r="ID180" s="844">
        <v>0</v>
      </c>
      <c r="IE180" s="844">
        <v>0</v>
      </c>
      <c r="IF180" s="844">
        <v>0</v>
      </c>
      <c r="IG180" s="844">
        <v>0</v>
      </c>
      <c r="IH180" s="844">
        <v>0</v>
      </c>
      <c r="II180" s="844">
        <v>0</v>
      </c>
      <c r="IJ180" s="844">
        <v>0</v>
      </c>
    </row>
    <row r="181" spans="9:244" hidden="1">
      <c r="I181" s="156"/>
      <c r="L181" s="846" t="s">
        <v>1060</v>
      </c>
      <c r="M181" s="846" t="s">
        <v>1382</v>
      </c>
      <c r="N181" s="846" t="s">
        <v>96</v>
      </c>
      <c r="O181" s="847">
        <v>22</v>
      </c>
      <c r="P181" s="780" t="str">
        <f t="shared" si="6"/>
        <v>IWT060122</v>
      </c>
      <c r="Q181" s="847">
        <v>0</v>
      </c>
      <c r="R181" s="847">
        <v>0</v>
      </c>
      <c r="S181" s="847">
        <v>0</v>
      </c>
      <c r="T181" s="847">
        <v>0</v>
      </c>
      <c r="U181" s="847">
        <v>0</v>
      </c>
      <c r="V181" s="847">
        <v>0</v>
      </c>
      <c r="W181" s="847">
        <v>0</v>
      </c>
      <c r="X181" s="847">
        <v>0</v>
      </c>
      <c r="Y181" s="847">
        <v>0</v>
      </c>
      <c r="Z181" s="847">
        <v>0</v>
      </c>
      <c r="AA181" s="847">
        <v>0</v>
      </c>
      <c r="AB181" s="847">
        <v>0</v>
      </c>
      <c r="AC181" s="847">
        <v>0</v>
      </c>
      <c r="AD181" s="847">
        <v>0</v>
      </c>
      <c r="AE181" s="847">
        <v>0</v>
      </c>
      <c r="AF181" s="847">
        <v>0</v>
      </c>
      <c r="AG181" s="847">
        <v>0</v>
      </c>
      <c r="AH181" s="847">
        <v>0</v>
      </c>
      <c r="AI181" s="847">
        <v>0</v>
      </c>
      <c r="AJ181" s="847">
        <v>0</v>
      </c>
      <c r="AK181" s="847">
        <v>0</v>
      </c>
      <c r="AL181" s="847">
        <v>0</v>
      </c>
      <c r="AM181" s="847">
        <v>0</v>
      </c>
      <c r="AN181" s="847">
        <v>0</v>
      </c>
      <c r="AO181" s="847">
        <v>0</v>
      </c>
      <c r="AP181" s="847">
        <v>0</v>
      </c>
      <c r="AQ181" s="847">
        <v>0</v>
      </c>
      <c r="AR181" s="847">
        <v>0</v>
      </c>
      <c r="AS181" s="847">
        <v>0</v>
      </c>
      <c r="AT181" s="847">
        <v>0</v>
      </c>
      <c r="AU181" s="847">
        <v>0</v>
      </c>
      <c r="AV181" s="847">
        <v>0</v>
      </c>
      <c r="AW181" s="847">
        <v>0</v>
      </c>
      <c r="AX181" s="847">
        <v>0</v>
      </c>
      <c r="AY181" s="847">
        <v>0</v>
      </c>
      <c r="AZ181" s="847">
        <v>0</v>
      </c>
      <c r="BA181" s="847">
        <v>0</v>
      </c>
      <c r="BB181" s="847">
        <v>0</v>
      </c>
      <c r="BC181" s="847">
        <v>0</v>
      </c>
      <c r="BD181" s="847">
        <v>0</v>
      </c>
      <c r="BE181" s="847">
        <v>0</v>
      </c>
      <c r="BF181" s="847">
        <v>0</v>
      </c>
      <c r="BG181" s="847">
        <v>0</v>
      </c>
      <c r="BH181" s="847">
        <v>0</v>
      </c>
      <c r="BI181" s="847">
        <v>0</v>
      </c>
      <c r="BJ181" s="847">
        <v>0</v>
      </c>
      <c r="BK181" s="847">
        <v>0</v>
      </c>
      <c r="BL181" s="847">
        <v>0</v>
      </c>
      <c r="BM181" s="847">
        <v>0</v>
      </c>
      <c r="BN181" s="847">
        <v>0</v>
      </c>
      <c r="BO181" s="847">
        <v>0</v>
      </c>
      <c r="BP181" s="847">
        <v>0</v>
      </c>
      <c r="BQ181" s="847">
        <v>0</v>
      </c>
      <c r="BR181" s="847">
        <v>0</v>
      </c>
      <c r="BS181" s="847">
        <v>0</v>
      </c>
      <c r="BT181" s="847">
        <v>0</v>
      </c>
      <c r="BU181" s="847">
        <v>0</v>
      </c>
      <c r="BV181" s="847">
        <v>0</v>
      </c>
      <c r="BW181" s="847">
        <v>0</v>
      </c>
      <c r="BX181" s="847">
        <v>0</v>
      </c>
      <c r="BY181" s="847">
        <v>0</v>
      </c>
      <c r="BZ181" s="847">
        <v>0</v>
      </c>
      <c r="CA181" s="847">
        <v>0</v>
      </c>
      <c r="CB181" s="847">
        <v>0</v>
      </c>
      <c r="CC181" s="847">
        <v>0</v>
      </c>
      <c r="CD181" s="847">
        <v>0</v>
      </c>
      <c r="CE181" s="847">
        <v>0</v>
      </c>
      <c r="CF181" s="847">
        <v>0</v>
      </c>
      <c r="CG181" s="847">
        <v>0</v>
      </c>
      <c r="CH181" s="847">
        <v>0</v>
      </c>
      <c r="CI181" s="847">
        <v>0</v>
      </c>
      <c r="CJ181" s="847">
        <v>0</v>
      </c>
      <c r="CK181" s="847">
        <v>0</v>
      </c>
      <c r="CL181" s="847">
        <v>0</v>
      </c>
      <c r="CM181" s="847">
        <v>0</v>
      </c>
      <c r="CN181" s="847">
        <v>0</v>
      </c>
      <c r="CO181" s="847">
        <v>0</v>
      </c>
      <c r="CP181" s="847">
        <v>0</v>
      </c>
      <c r="CQ181" s="847">
        <v>0</v>
      </c>
      <c r="CR181" s="847">
        <v>0</v>
      </c>
      <c r="CS181" s="847">
        <v>0</v>
      </c>
      <c r="CT181" s="847">
        <v>0</v>
      </c>
      <c r="CU181" s="847">
        <v>0</v>
      </c>
      <c r="CV181" s="847">
        <v>0</v>
      </c>
      <c r="CW181" s="847">
        <v>0</v>
      </c>
      <c r="CX181" s="847">
        <v>0</v>
      </c>
      <c r="CY181" s="847">
        <v>0</v>
      </c>
      <c r="CZ181" s="847">
        <v>0</v>
      </c>
      <c r="DA181" s="847">
        <v>126200</v>
      </c>
      <c r="DB181" s="847">
        <v>0</v>
      </c>
      <c r="DC181" s="847">
        <v>0</v>
      </c>
      <c r="DD181" s="847">
        <v>0</v>
      </c>
      <c r="DE181" s="847">
        <v>0</v>
      </c>
      <c r="DF181" s="847">
        <v>0</v>
      </c>
      <c r="DG181" s="847">
        <v>0</v>
      </c>
      <c r="DH181" s="847">
        <v>0</v>
      </c>
      <c r="DI181" s="847">
        <v>0</v>
      </c>
      <c r="DJ181" s="847">
        <v>0</v>
      </c>
      <c r="DK181" s="847">
        <v>0</v>
      </c>
      <c r="DL181" s="847">
        <v>0</v>
      </c>
      <c r="DM181" s="847">
        <v>0</v>
      </c>
      <c r="DN181" s="847">
        <v>0</v>
      </c>
      <c r="DO181" s="847">
        <v>0</v>
      </c>
      <c r="DP181" s="847">
        <v>0</v>
      </c>
      <c r="DQ181" s="847">
        <v>0</v>
      </c>
      <c r="DR181" s="847">
        <v>0</v>
      </c>
      <c r="DS181" s="847">
        <v>0</v>
      </c>
      <c r="DT181" s="847">
        <v>0</v>
      </c>
      <c r="DU181" s="847">
        <v>0</v>
      </c>
      <c r="DV181" s="847">
        <v>0</v>
      </c>
      <c r="DW181" s="847">
        <v>0</v>
      </c>
      <c r="DY181" s="843" t="s">
        <v>1060</v>
      </c>
      <c r="DZ181" s="843" t="s">
        <v>1382</v>
      </c>
      <c r="EA181" s="843" t="s">
        <v>96</v>
      </c>
      <c r="EB181" s="844">
        <v>22</v>
      </c>
      <c r="EC181" s="780" t="str">
        <f t="shared" si="7"/>
        <v>IWT060122</v>
      </c>
      <c r="ED181" s="844">
        <v>5190.8</v>
      </c>
      <c r="EE181" s="844">
        <v>10381.6</v>
      </c>
      <c r="EF181" s="844">
        <v>15572.5</v>
      </c>
      <c r="EG181" s="844">
        <v>20763.3</v>
      </c>
      <c r="EH181" s="844">
        <v>25954.1</v>
      </c>
      <c r="EI181" s="844">
        <v>31144.9</v>
      </c>
      <c r="EJ181" s="844">
        <v>31144.9</v>
      </c>
      <c r="EK181" s="844">
        <v>31144.9</v>
      </c>
      <c r="EL181" s="844">
        <v>31144.9</v>
      </c>
      <c r="EM181" s="844">
        <v>31688</v>
      </c>
      <c r="EN181" s="844">
        <v>32321</v>
      </c>
      <c r="EO181" s="844">
        <v>32968</v>
      </c>
      <c r="EP181" s="844">
        <v>33627</v>
      </c>
      <c r="EQ181" s="844">
        <v>34300</v>
      </c>
      <c r="ER181" s="844">
        <v>34986</v>
      </c>
      <c r="ES181" s="844">
        <v>35685</v>
      </c>
      <c r="ET181" s="844">
        <v>36399</v>
      </c>
      <c r="EU181" s="844">
        <v>37127</v>
      </c>
      <c r="EV181" s="844">
        <v>37870</v>
      </c>
      <c r="EW181" s="844">
        <v>38627</v>
      </c>
      <c r="EX181" s="844">
        <v>39400</v>
      </c>
      <c r="EY181" s="844">
        <v>40187</v>
      </c>
      <c r="EZ181" s="844">
        <v>40991</v>
      </c>
      <c r="FA181" s="844">
        <v>41811</v>
      </c>
      <c r="FB181" s="844">
        <v>42647</v>
      </c>
      <c r="FC181" s="844">
        <v>43500</v>
      </c>
      <c r="FD181" s="844">
        <v>44370</v>
      </c>
      <c r="FE181" s="844">
        <v>45258</v>
      </c>
      <c r="FF181" s="844">
        <v>46163</v>
      </c>
      <c r="FG181" s="844">
        <v>47086</v>
      </c>
      <c r="FH181" s="844">
        <v>48028</v>
      </c>
      <c r="FI181" s="844">
        <v>48988</v>
      </c>
      <c r="FJ181" s="844">
        <v>49968</v>
      </c>
      <c r="FK181" s="844">
        <v>50967</v>
      </c>
      <c r="FL181" s="844">
        <v>51987</v>
      </c>
      <c r="FM181" s="844">
        <v>53026</v>
      </c>
      <c r="FN181" s="844">
        <v>54087</v>
      </c>
      <c r="FO181" s="844">
        <v>55167</v>
      </c>
      <c r="FP181" s="844">
        <v>56265</v>
      </c>
      <c r="FQ181" s="844">
        <v>57600</v>
      </c>
      <c r="FR181" s="844">
        <v>59000</v>
      </c>
      <c r="FS181" s="844">
        <v>60400</v>
      </c>
      <c r="FT181" s="844">
        <v>61800</v>
      </c>
      <c r="FU181" s="844">
        <v>63200</v>
      </c>
      <c r="FV181" s="844">
        <v>64600</v>
      </c>
      <c r="FW181" s="844">
        <v>66000</v>
      </c>
      <c r="FX181" s="844">
        <v>67400</v>
      </c>
      <c r="FY181" s="844">
        <v>68800</v>
      </c>
      <c r="FZ181" s="844">
        <v>70200</v>
      </c>
      <c r="GA181" s="844">
        <v>71600</v>
      </c>
      <c r="GB181" s="844">
        <v>73000</v>
      </c>
      <c r="GC181" s="844">
        <v>74400</v>
      </c>
      <c r="GD181" s="844">
        <v>75800</v>
      </c>
      <c r="GE181" s="844">
        <v>77200</v>
      </c>
      <c r="GF181" s="844">
        <v>78600</v>
      </c>
      <c r="GG181" s="844">
        <v>80000</v>
      </c>
      <c r="GH181" s="844">
        <v>81400</v>
      </c>
      <c r="GI181" s="844">
        <v>82800</v>
      </c>
      <c r="GJ181" s="844">
        <v>84200</v>
      </c>
      <c r="GK181" s="844">
        <v>85600</v>
      </c>
      <c r="GL181" s="844">
        <v>87000</v>
      </c>
      <c r="GM181" s="844">
        <v>88400</v>
      </c>
      <c r="GN181" s="844">
        <v>89800</v>
      </c>
      <c r="GO181" s="844">
        <v>91200</v>
      </c>
      <c r="GP181" s="844">
        <v>92600</v>
      </c>
      <c r="GQ181" s="844">
        <v>94000</v>
      </c>
      <c r="GR181" s="844">
        <v>95400</v>
      </c>
      <c r="GS181" s="844">
        <v>96800</v>
      </c>
      <c r="GT181" s="844">
        <v>98200</v>
      </c>
      <c r="GU181" s="844">
        <v>99600</v>
      </c>
      <c r="GV181" s="844">
        <v>101000</v>
      </c>
      <c r="GW181" s="844">
        <v>102400</v>
      </c>
      <c r="GX181" s="844">
        <v>103800</v>
      </c>
      <c r="GY181" s="844">
        <v>105200</v>
      </c>
      <c r="GZ181" s="844">
        <v>106600</v>
      </c>
      <c r="HA181" s="844">
        <v>108000</v>
      </c>
      <c r="HB181" s="844">
        <v>109400</v>
      </c>
      <c r="HC181" s="844">
        <v>110800</v>
      </c>
      <c r="HD181" s="844">
        <v>112200</v>
      </c>
      <c r="HE181" s="844">
        <v>113600</v>
      </c>
      <c r="HF181" s="844">
        <v>115000</v>
      </c>
      <c r="HG181" s="844">
        <v>116400</v>
      </c>
      <c r="HH181" s="844">
        <v>117800</v>
      </c>
      <c r="HI181" s="844">
        <v>119200</v>
      </c>
      <c r="HJ181" s="844">
        <v>120600</v>
      </c>
      <c r="HK181" s="844">
        <v>122000</v>
      </c>
      <c r="HL181" s="844">
        <v>123400</v>
      </c>
      <c r="HM181" s="844">
        <v>124957</v>
      </c>
      <c r="HN181" s="844">
        <v>126200</v>
      </c>
      <c r="HO181" s="844">
        <v>0</v>
      </c>
      <c r="HP181" s="844">
        <v>0</v>
      </c>
      <c r="HQ181" s="844">
        <v>0</v>
      </c>
      <c r="HR181" s="844">
        <v>0</v>
      </c>
      <c r="HS181" s="844">
        <v>0</v>
      </c>
      <c r="HT181" s="844">
        <v>0</v>
      </c>
      <c r="HU181" s="844">
        <v>0</v>
      </c>
      <c r="HV181" s="844">
        <v>0</v>
      </c>
      <c r="HW181" s="844">
        <v>0</v>
      </c>
      <c r="HX181" s="844">
        <v>0</v>
      </c>
      <c r="HY181" s="844">
        <v>0</v>
      </c>
      <c r="HZ181" s="844">
        <v>0</v>
      </c>
      <c r="IA181" s="844">
        <v>0</v>
      </c>
      <c r="IB181" s="844">
        <v>0</v>
      </c>
      <c r="IC181" s="844">
        <v>0</v>
      </c>
      <c r="ID181" s="844">
        <v>0</v>
      </c>
      <c r="IE181" s="844">
        <v>0</v>
      </c>
      <c r="IF181" s="844">
        <v>0</v>
      </c>
      <c r="IG181" s="844">
        <v>0</v>
      </c>
      <c r="IH181" s="844">
        <v>0</v>
      </c>
      <c r="II181" s="844">
        <v>0</v>
      </c>
      <c r="IJ181" s="844">
        <v>0</v>
      </c>
    </row>
    <row r="182" spans="9:244" hidden="1">
      <c r="I182" s="156"/>
      <c r="L182" s="846" t="s">
        <v>1060</v>
      </c>
      <c r="M182" s="846" t="s">
        <v>1382</v>
      </c>
      <c r="N182" s="846" t="s">
        <v>96</v>
      </c>
      <c r="O182" s="847">
        <v>23</v>
      </c>
      <c r="P182" s="780" t="str">
        <f t="shared" si="6"/>
        <v>IWT060123</v>
      </c>
      <c r="Q182" s="847">
        <v>0</v>
      </c>
      <c r="R182" s="847">
        <v>0</v>
      </c>
      <c r="S182" s="847">
        <v>0</v>
      </c>
      <c r="T182" s="847">
        <v>0</v>
      </c>
      <c r="U182" s="847">
        <v>0</v>
      </c>
      <c r="V182" s="847">
        <v>0</v>
      </c>
      <c r="W182" s="847">
        <v>0</v>
      </c>
      <c r="X182" s="847">
        <v>0</v>
      </c>
      <c r="Y182" s="847">
        <v>0</v>
      </c>
      <c r="Z182" s="847">
        <v>0</v>
      </c>
      <c r="AA182" s="847">
        <v>0</v>
      </c>
      <c r="AB182" s="847">
        <v>0</v>
      </c>
      <c r="AC182" s="847">
        <v>0</v>
      </c>
      <c r="AD182" s="847">
        <v>0</v>
      </c>
      <c r="AE182" s="847">
        <v>0</v>
      </c>
      <c r="AF182" s="847">
        <v>0</v>
      </c>
      <c r="AG182" s="847">
        <v>0</v>
      </c>
      <c r="AH182" s="847">
        <v>0</v>
      </c>
      <c r="AI182" s="847">
        <v>0</v>
      </c>
      <c r="AJ182" s="847">
        <v>0</v>
      </c>
      <c r="AK182" s="847">
        <v>0</v>
      </c>
      <c r="AL182" s="847">
        <v>0</v>
      </c>
      <c r="AM182" s="847">
        <v>0</v>
      </c>
      <c r="AN182" s="847">
        <v>0</v>
      </c>
      <c r="AO182" s="847">
        <v>0</v>
      </c>
      <c r="AP182" s="847">
        <v>0</v>
      </c>
      <c r="AQ182" s="847">
        <v>0</v>
      </c>
      <c r="AR182" s="847">
        <v>0</v>
      </c>
      <c r="AS182" s="847">
        <v>0</v>
      </c>
      <c r="AT182" s="847">
        <v>0</v>
      </c>
      <c r="AU182" s="847">
        <v>0</v>
      </c>
      <c r="AV182" s="847">
        <v>0</v>
      </c>
      <c r="AW182" s="847">
        <v>0</v>
      </c>
      <c r="AX182" s="847">
        <v>0</v>
      </c>
      <c r="AY182" s="847">
        <v>0</v>
      </c>
      <c r="AZ182" s="847">
        <v>0</v>
      </c>
      <c r="BA182" s="847">
        <v>0</v>
      </c>
      <c r="BB182" s="847">
        <v>0</v>
      </c>
      <c r="BC182" s="847">
        <v>0</v>
      </c>
      <c r="BD182" s="847">
        <v>0</v>
      </c>
      <c r="BE182" s="847">
        <v>0</v>
      </c>
      <c r="BF182" s="847">
        <v>0</v>
      </c>
      <c r="BG182" s="847">
        <v>0</v>
      </c>
      <c r="BH182" s="847">
        <v>0</v>
      </c>
      <c r="BI182" s="847">
        <v>0</v>
      </c>
      <c r="BJ182" s="847">
        <v>0</v>
      </c>
      <c r="BK182" s="847">
        <v>0</v>
      </c>
      <c r="BL182" s="847">
        <v>0</v>
      </c>
      <c r="BM182" s="847">
        <v>0</v>
      </c>
      <c r="BN182" s="847">
        <v>0</v>
      </c>
      <c r="BO182" s="847">
        <v>0</v>
      </c>
      <c r="BP182" s="847">
        <v>0</v>
      </c>
      <c r="BQ182" s="847">
        <v>0</v>
      </c>
      <c r="BR182" s="847">
        <v>0</v>
      </c>
      <c r="BS182" s="847">
        <v>0</v>
      </c>
      <c r="BT182" s="847">
        <v>0</v>
      </c>
      <c r="BU182" s="847">
        <v>0</v>
      </c>
      <c r="BV182" s="847">
        <v>0</v>
      </c>
      <c r="BW182" s="847">
        <v>0</v>
      </c>
      <c r="BX182" s="847">
        <v>0</v>
      </c>
      <c r="BY182" s="847">
        <v>0</v>
      </c>
      <c r="BZ182" s="847">
        <v>0</v>
      </c>
      <c r="CA182" s="847">
        <v>0</v>
      </c>
      <c r="CB182" s="847">
        <v>0</v>
      </c>
      <c r="CC182" s="847">
        <v>0</v>
      </c>
      <c r="CD182" s="847">
        <v>0</v>
      </c>
      <c r="CE182" s="847">
        <v>0</v>
      </c>
      <c r="CF182" s="847">
        <v>0</v>
      </c>
      <c r="CG182" s="847">
        <v>0</v>
      </c>
      <c r="CH182" s="847">
        <v>0</v>
      </c>
      <c r="CI182" s="847">
        <v>0</v>
      </c>
      <c r="CJ182" s="847">
        <v>0</v>
      </c>
      <c r="CK182" s="847">
        <v>0</v>
      </c>
      <c r="CL182" s="847">
        <v>0</v>
      </c>
      <c r="CM182" s="847">
        <v>0</v>
      </c>
      <c r="CN182" s="847">
        <v>0</v>
      </c>
      <c r="CO182" s="847">
        <v>0</v>
      </c>
      <c r="CP182" s="847">
        <v>0</v>
      </c>
      <c r="CQ182" s="847">
        <v>0</v>
      </c>
      <c r="CR182" s="847">
        <v>0</v>
      </c>
      <c r="CS182" s="847">
        <v>0</v>
      </c>
      <c r="CT182" s="847">
        <v>0</v>
      </c>
      <c r="CU182" s="847">
        <v>0</v>
      </c>
      <c r="CV182" s="847">
        <v>0</v>
      </c>
      <c r="CW182" s="847">
        <v>0</v>
      </c>
      <c r="CX182" s="847">
        <v>0</v>
      </c>
      <c r="CY182" s="847">
        <v>0</v>
      </c>
      <c r="CZ182" s="847">
        <v>124800</v>
      </c>
      <c r="DA182" s="847">
        <v>0</v>
      </c>
      <c r="DB182" s="847">
        <v>0</v>
      </c>
      <c r="DC182" s="847">
        <v>0</v>
      </c>
      <c r="DD182" s="847">
        <v>0</v>
      </c>
      <c r="DE182" s="847">
        <v>0</v>
      </c>
      <c r="DF182" s="847">
        <v>0</v>
      </c>
      <c r="DG182" s="847">
        <v>0</v>
      </c>
      <c r="DH182" s="847">
        <v>0</v>
      </c>
      <c r="DI182" s="847">
        <v>0</v>
      </c>
      <c r="DJ182" s="847">
        <v>0</v>
      </c>
      <c r="DK182" s="847">
        <v>0</v>
      </c>
      <c r="DL182" s="847">
        <v>0</v>
      </c>
      <c r="DM182" s="847">
        <v>0</v>
      </c>
      <c r="DN182" s="847">
        <v>0</v>
      </c>
      <c r="DO182" s="847">
        <v>0</v>
      </c>
      <c r="DP182" s="847">
        <v>0</v>
      </c>
      <c r="DQ182" s="847">
        <v>0</v>
      </c>
      <c r="DR182" s="847">
        <v>0</v>
      </c>
      <c r="DS182" s="847">
        <v>0</v>
      </c>
      <c r="DT182" s="847">
        <v>0</v>
      </c>
      <c r="DU182" s="847">
        <v>0</v>
      </c>
      <c r="DV182" s="847">
        <v>0</v>
      </c>
      <c r="DW182" s="847">
        <v>0</v>
      </c>
      <c r="DY182" s="843" t="s">
        <v>1060</v>
      </c>
      <c r="DZ182" s="843" t="s">
        <v>1382</v>
      </c>
      <c r="EA182" s="843" t="s">
        <v>96</v>
      </c>
      <c r="EB182" s="844">
        <v>23</v>
      </c>
      <c r="EC182" s="780" t="str">
        <f t="shared" si="7"/>
        <v>IWT060123</v>
      </c>
      <c r="ED182" s="844">
        <v>5205.7</v>
      </c>
      <c r="EE182" s="844">
        <v>10411.299999999999</v>
      </c>
      <c r="EF182" s="844">
        <v>15617</v>
      </c>
      <c r="EG182" s="844">
        <v>20822.599999999999</v>
      </c>
      <c r="EH182" s="844">
        <v>26028.3</v>
      </c>
      <c r="EI182" s="844">
        <v>31234</v>
      </c>
      <c r="EJ182" s="844">
        <v>31234</v>
      </c>
      <c r="EK182" s="844">
        <v>31234</v>
      </c>
      <c r="EL182" s="844">
        <v>31234</v>
      </c>
      <c r="EM182" s="844">
        <v>31774</v>
      </c>
      <c r="EN182" s="844">
        <v>32410</v>
      </c>
      <c r="EO182" s="844">
        <v>33058</v>
      </c>
      <c r="EP182" s="844">
        <v>33719</v>
      </c>
      <c r="EQ182" s="844">
        <v>34393</v>
      </c>
      <c r="ER182" s="844">
        <v>35081</v>
      </c>
      <c r="ES182" s="844">
        <v>35783</v>
      </c>
      <c r="ET182" s="844">
        <v>36498</v>
      </c>
      <c r="EU182" s="844">
        <v>37228</v>
      </c>
      <c r="EV182" s="844">
        <v>37973</v>
      </c>
      <c r="EW182" s="844">
        <v>38732</v>
      </c>
      <c r="EX182" s="844">
        <v>39507</v>
      </c>
      <c r="EY182" s="844">
        <v>40297</v>
      </c>
      <c r="EZ182" s="844">
        <v>41103</v>
      </c>
      <c r="FA182" s="844">
        <v>41925</v>
      </c>
      <c r="FB182" s="844">
        <v>42764</v>
      </c>
      <c r="FC182" s="844">
        <v>43619</v>
      </c>
      <c r="FD182" s="844">
        <v>44491</v>
      </c>
      <c r="FE182" s="844">
        <v>45381</v>
      </c>
      <c r="FF182" s="844">
        <v>46289</v>
      </c>
      <c r="FG182" s="844">
        <v>47214</v>
      </c>
      <c r="FH182" s="844">
        <v>48159</v>
      </c>
      <c r="FI182" s="844">
        <v>49122</v>
      </c>
      <c r="FJ182" s="844">
        <v>50104</v>
      </c>
      <c r="FK182" s="844">
        <v>51106</v>
      </c>
      <c r="FL182" s="844">
        <v>52128</v>
      </c>
      <c r="FM182" s="844">
        <v>53171</v>
      </c>
      <c r="FN182" s="844">
        <v>54234</v>
      </c>
      <c r="FO182" s="844">
        <v>55319</v>
      </c>
      <c r="FP182" s="844">
        <v>56421</v>
      </c>
      <c r="FQ182" s="844">
        <v>57600</v>
      </c>
      <c r="FR182" s="844">
        <v>59000</v>
      </c>
      <c r="FS182" s="844">
        <v>60400</v>
      </c>
      <c r="FT182" s="844">
        <v>61800</v>
      </c>
      <c r="FU182" s="844">
        <v>63200</v>
      </c>
      <c r="FV182" s="844">
        <v>64600</v>
      </c>
      <c r="FW182" s="844">
        <v>66000</v>
      </c>
      <c r="FX182" s="844">
        <v>67400</v>
      </c>
      <c r="FY182" s="844">
        <v>68800</v>
      </c>
      <c r="FZ182" s="844">
        <v>70200</v>
      </c>
      <c r="GA182" s="844">
        <v>71600</v>
      </c>
      <c r="GB182" s="844">
        <v>73000</v>
      </c>
      <c r="GC182" s="844">
        <v>74400</v>
      </c>
      <c r="GD182" s="844">
        <v>75800</v>
      </c>
      <c r="GE182" s="844">
        <v>77200</v>
      </c>
      <c r="GF182" s="844">
        <v>78600</v>
      </c>
      <c r="GG182" s="844">
        <v>80000</v>
      </c>
      <c r="GH182" s="844">
        <v>81400</v>
      </c>
      <c r="GI182" s="844">
        <v>82800</v>
      </c>
      <c r="GJ182" s="844">
        <v>84200</v>
      </c>
      <c r="GK182" s="844">
        <v>85600</v>
      </c>
      <c r="GL182" s="844">
        <v>87000</v>
      </c>
      <c r="GM182" s="844">
        <v>88400</v>
      </c>
      <c r="GN182" s="844">
        <v>89800</v>
      </c>
      <c r="GO182" s="844">
        <v>91200</v>
      </c>
      <c r="GP182" s="844">
        <v>92600</v>
      </c>
      <c r="GQ182" s="844">
        <v>94000</v>
      </c>
      <c r="GR182" s="844">
        <v>95400</v>
      </c>
      <c r="GS182" s="844">
        <v>96800</v>
      </c>
      <c r="GT182" s="844">
        <v>98200</v>
      </c>
      <c r="GU182" s="844">
        <v>99600</v>
      </c>
      <c r="GV182" s="844">
        <v>101000</v>
      </c>
      <c r="GW182" s="844">
        <v>102400</v>
      </c>
      <c r="GX182" s="844">
        <v>103800</v>
      </c>
      <c r="GY182" s="844">
        <v>105200</v>
      </c>
      <c r="GZ182" s="844">
        <v>106600</v>
      </c>
      <c r="HA182" s="844">
        <v>108000</v>
      </c>
      <c r="HB182" s="844">
        <v>109400</v>
      </c>
      <c r="HC182" s="844">
        <v>110800</v>
      </c>
      <c r="HD182" s="844">
        <v>112200</v>
      </c>
      <c r="HE182" s="844">
        <v>113600</v>
      </c>
      <c r="HF182" s="844">
        <v>115000</v>
      </c>
      <c r="HG182" s="844">
        <v>116400</v>
      </c>
      <c r="HH182" s="844">
        <v>117800</v>
      </c>
      <c r="HI182" s="844">
        <v>119200</v>
      </c>
      <c r="HJ182" s="844">
        <v>120600</v>
      </c>
      <c r="HK182" s="844">
        <v>122000</v>
      </c>
      <c r="HL182" s="844">
        <v>123570</v>
      </c>
      <c r="HM182" s="844">
        <v>124800</v>
      </c>
      <c r="HN182" s="844">
        <v>0</v>
      </c>
      <c r="HO182" s="844">
        <v>0</v>
      </c>
      <c r="HP182" s="844">
        <v>0</v>
      </c>
      <c r="HQ182" s="844">
        <v>0</v>
      </c>
      <c r="HR182" s="844">
        <v>0</v>
      </c>
      <c r="HS182" s="844">
        <v>0</v>
      </c>
      <c r="HT182" s="844">
        <v>0</v>
      </c>
      <c r="HU182" s="844">
        <v>0</v>
      </c>
      <c r="HV182" s="844">
        <v>0</v>
      </c>
      <c r="HW182" s="844">
        <v>0</v>
      </c>
      <c r="HX182" s="844">
        <v>0</v>
      </c>
      <c r="HY182" s="844">
        <v>0</v>
      </c>
      <c r="HZ182" s="844">
        <v>0</v>
      </c>
      <c r="IA182" s="844">
        <v>0</v>
      </c>
      <c r="IB182" s="844">
        <v>0</v>
      </c>
      <c r="IC182" s="844">
        <v>0</v>
      </c>
      <c r="ID182" s="844">
        <v>0</v>
      </c>
      <c r="IE182" s="844">
        <v>0</v>
      </c>
      <c r="IF182" s="844">
        <v>0</v>
      </c>
      <c r="IG182" s="844">
        <v>0</v>
      </c>
      <c r="IH182" s="844">
        <v>0</v>
      </c>
      <c r="II182" s="844">
        <v>0</v>
      </c>
      <c r="IJ182" s="844">
        <v>0</v>
      </c>
    </row>
    <row r="183" spans="9:244" hidden="1">
      <c r="I183" s="156"/>
      <c r="L183" s="846" t="s">
        <v>1060</v>
      </c>
      <c r="M183" s="846" t="s">
        <v>1382</v>
      </c>
      <c r="N183" s="846" t="s">
        <v>96</v>
      </c>
      <c r="O183" s="847">
        <v>24</v>
      </c>
      <c r="P183" s="780" t="str">
        <f t="shared" si="6"/>
        <v>IWT060124</v>
      </c>
      <c r="Q183" s="847">
        <v>0</v>
      </c>
      <c r="R183" s="847">
        <v>0</v>
      </c>
      <c r="S183" s="847">
        <v>0</v>
      </c>
      <c r="T183" s="847">
        <v>0</v>
      </c>
      <c r="U183" s="847">
        <v>0</v>
      </c>
      <c r="V183" s="847">
        <v>0</v>
      </c>
      <c r="W183" s="847">
        <v>0</v>
      </c>
      <c r="X183" s="847">
        <v>0</v>
      </c>
      <c r="Y183" s="847">
        <v>0</v>
      </c>
      <c r="Z183" s="847">
        <v>0</v>
      </c>
      <c r="AA183" s="847">
        <v>0</v>
      </c>
      <c r="AB183" s="847">
        <v>0</v>
      </c>
      <c r="AC183" s="847">
        <v>0</v>
      </c>
      <c r="AD183" s="847">
        <v>0</v>
      </c>
      <c r="AE183" s="847">
        <v>0</v>
      </c>
      <c r="AF183" s="847">
        <v>0</v>
      </c>
      <c r="AG183" s="847">
        <v>0</v>
      </c>
      <c r="AH183" s="847">
        <v>0</v>
      </c>
      <c r="AI183" s="847">
        <v>0</v>
      </c>
      <c r="AJ183" s="847">
        <v>0</v>
      </c>
      <c r="AK183" s="847">
        <v>0</v>
      </c>
      <c r="AL183" s="847">
        <v>0</v>
      </c>
      <c r="AM183" s="847">
        <v>0</v>
      </c>
      <c r="AN183" s="847">
        <v>0</v>
      </c>
      <c r="AO183" s="847">
        <v>0</v>
      </c>
      <c r="AP183" s="847">
        <v>0</v>
      </c>
      <c r="AQ183" s="847">
        <v>0</v>
      </c>
      <c r="AR183" s="847">
        <v>0</v>
      </c>
      <c r="AS183" s="847">
        <v>0</v>
      </c>
      <c r="AT183" s="847">
        <v>0</v>
      </c>
      <c r="AU183" s="847">
        <v>0</v>
      </c>
      <c r="AV183" s="847">
        <v>0</v>
      </c>
      <c r="AW183" s="847">
        <v>0</v>
      </c>
      <c r="AX183" s="847">
        <v>0</v>
      </c>
      <c r="AY183" s="847">
        <v>0</v>
      </c>
      <c r="AZ183" s="847">
        <v>0</v>
      </c>
      <c r="BA183" s="847">
        <v>0</v>
      </c>
      <c r="BB183" s="847">
        <v>0</v>
      </c>
      <c r="BC183" s="847">
        <v>0</v>
      </c>
      <c r="BD183" s="847">
        <v>0</v>
      </c>
      <c r="BE183" s="847">
        <v>0</v>
      </c>
      <c r="BF183" s="847">
        <v>0</v>
      </c>
      <c r="BG183" s="847">
        <v>0</v>
      </c>
      <c r="BH183" s="847">
        <v>0</v>
      </c>
      <c r="BI183" s="847">
        <v>0</v>
      </c>
      <c r="BJ183" s="847">
        <v>0</v>
      </c>
      <c r="BK183" s="847">
        <v>0</v>
      </c>
      <c r="BL183" s="847">
        <v>0</v>
      </c>
      <c r="BM183" s="847">
        <v>0</v>
      </c>
      <c r="BN183" s="847">
        <v>0</v>
      </c>
      <c r="BO183" s="847">
        <v>0</v>
      </c>
      <c r="BP183" s="847">
        <v>0</v>
      </c>
      <c r="BQ183" s="847">
        <v>0</v>
      </c>
      <c r="BR183" s="847">
        <v>0</v>
      </c>
      <c r="BS183" s="847">
        <v>0</v>
      </c>
      <c r="BT183" s="847">
        <v>0</v>
      </c>
      <c r="BU183" s="847">
        <v>0</v>
      </c>
      <c r="BV183" s="847">
        <v>0</v>
      </c>
      <c r="BW183" s="847">
        <v>0</v>
      </c>
      <c r="BX183" s="847">
        <v>0</v>
      </c>
      <c r="BY183" s="847">
        <v>0</v>
      </c>
      <c r="BZ183" s="847">
        <v>0</v>
      </c>
      <c r="CA183" s="847">
        <v>0</v>
      </c>
      <c r="CB183" s="847">
        <v>0</v>
      </c>
      <c r="CC183" s="847">
        <v>0</v>
      </c>
      <c r="CD183" s="847">
        <v>0</v>
      </c>
      <c r="CE183" s="847">
        <v>0</v>
      </c>
      <c r="CF183" s="847">
        <v>0</v>
      </c>
      <c r="CG183" s="847">
        <v>0</v>
      </c>
      <c r="CH183" s="847">
        <v>0</v>
      </c>
      <c r="CI183" s="847">
        <v>0</v>
      </c>
      <c r="CJ183" s="847">
        <v>0</v>
      </c>
      <c r="CK183" s="847">
        <v>0</v>
      </c>
      <c r="CL183" s="847">
        <v>0</v>
      </c>
      <c r="CM183" s="847">
        <v>0</v>
      </c>
      <c r="CN183" s="847">
        <v>0</v>
      </c>
      <c r="CO183" s="847">
        <v>0</v>
      </c>
      <c r="CP183" s="847">
        <v>0</v>
      </c>
      <c r="CQ183" s="847">
        <v>0</v>
      </c>
      <c r="CR183" s="847">
        <v>0</v>
      </c>
      <c r="CS183" s="847">
        <v>0</v>
      </c>
      <c r="CT183" s="847">
        <v>0</v>
      </c>
      <c r="CU183" s="847">
        <v>0</v>
      </c>
      <c r="CV183" s="847">
        <v>0</v>
      </c>
      <c r="CW183" s="847">
        <v>0</v>
      </c>
      <c r="CX183" s="847">
        <v>0</v>
      </c>
      <c r="CY183" s="847">
        <v>123400</v>
      </c>
      <c r="CZ183" s="847">
        <v>0</v>
      </c>
      <c r="DA183" s="847">
        <v>0</v>
      </c>
      <c r="DB183" s="847">
        <v>0</v>
      </c>
      <c r="DC183" s="847">
        <v>0</v>
      </c>
      <c r="DD183" s="847">
        <v>0</v>
      </c>
      <c r="DE183" s="847">
        <v>0</v>
      </c>
      <c r="DF183" s="847">
        <v>0</v>
      </c>
      <c r="DG183" s="847">
        <v>0</v>
      </c>
      <c r="DH183" s="847">
        <v>0</v>
      </c>
      <c r="DI183" s="847">
        <v>0</v>
      </c>
      <c r="DJ183" s="847">
        <v>0</v>
      </c>
      <c r="DK183" s="847">
        <v>0</v>
      </c>
      <c r="DL183" s="847">
        <v>0</v>
      </c>
      <c r="DM183" s="847">
        <v>0</v>
      </c>
      <c r="DN183" s="847">
        <v>0</v>
      </c>
      <c r="DO183" s="847">
        <v>0</v>
      </c>
      <c r="DP183" s="847">
        <v>0</v>
      </c>
      <c r="DQ183" s="847">
        <v>0</v>
      </c>
      <c r="DR183" s="847">
        <v>0</v>
      </c>
      <c r="DS183" s="847">
        <v>0</v>
      </c>
      <c r="DT183" s="847">
        <v>0</v>
      </c>
      <c r="DU183" s="847">
        <v>0</v>
      </c>
      <c r="DV183" s="847">
        <v>0</v>
      </c>
      <c r="DW183" s="847">
        <v>0</v>
      </c>
      <c r="DY183" s="843" t="s">
        <v>1060</v>
      </c>
      <c r="DZ183" s="843" t="s">
        <v>1382</v>
      </c>
      <c r="EA183" s="843" t="s">
        <v>96</v>
      </c>
      <c r="EB183" s="844">
        <v>24</v>
      </c>
      <c r="EC183" s="780" t="str">
        <f t="shared" si="7"/>
        <v>IWT060124</v>
      </c>
      <c r="ED183" s="844">
        <v>5218.3999999999996</v>
      </c>
      <c r="EE183" s="844">
        <v>10436.799999999999</v>
      </c>
      <c r="EF183" s="844">
        <v>15655.1</v>
      </c>
      <c r="EG183" s="844">
        <v>20873.5</v>
      </c>
      <c r="EH183" s="844">
        <v>26091.9</v>
      </c>
      <c r="EI183" s="844">
        <v>31310.3</v>
      </c>
      <c r="EJ183" s="844">
        <v>31310.3</v>
      </c>
      <c r="EK183" s="844">
        <v>31310.3</v>
      </c>
      <c r="EL183" s="844">
        <v>31310.3</v>
      </c>
      <c r="EM183" s="844">
        <v>31856</v>
      </c>
      <c r="EN183" s="844">
        <v>32493</v>
      </c>
      <c r="EO183" s="844">
        <v>33143</v>
      </c>
      <c r="EP183" s="844">
        <v>33806</v>
      </c>
      <c r="EQ183" s="844">
        <v>34482</v>
      </c>
      <c r="ER183" s="844">
        <v>35172</v>
      </c>
      <c r="ES183" s="844">
        <v>35875</v>
      </c>
      <c r="ET183" s="844">
        <v>36593</v>
      </c>
      <c r="EU183" s="844">
        <v>37324</v>
      </c>
      <c r="EV183" s="844">
        <v>38071</v>
      </c>
      <c r="EW183" s="844">
        <v>38832</v>
      </c>
      <c r="EX183" s="844">
        <v>39609</v>
      </c>
      <c r="EY183" s="844">
        <v>40401</v>
      </c>
      <c r="EZ183" s="844">
        <v>41209</v>
      </c>
      <c r="FA183" s="844">
        <v>42033</v>
      </c>
      <c r="FB183" s="844">
        <v>42874</v>
      </c>
      <c r="FC183" s="844">
        <v>43731</v>
      </c>
      <c r="FD183" s="844">
        <v>44606</v>
      </c>
      <c r="FE183" s="844">
        <v>45498</v>
      </c>
      <c r="FF183" s="844">
        <v>46408</v>
      </c>
      <c r="FG183" s="844">
        <v>47336</v>
      </c>
      <c r="FH183" s="844">
        <v>48283</v>
      </c>
      <c r="FI183" s="844">
        <v>49249</v>
      </c>
      <c r="FJ183" s="844">
        <v>50234</v>
      </c>
      <c r="FK183" s="844">
        <v>51238</v>
      </c>
      <c r="FL183" s="844">
        <v>52263</v>
      </c>
      <c r="FM183" s="844">
        <v>53308</v>
      </c>
      <c r="FN183" s="844">
        <v>54374</v>
      </c>
      <c r="FO183" s="844">
        <v>55462</v>
      </c>
      <c r="FP183" s="844">
        <v>56569</v>
      </c>
      <c r="FQ183" s="844">
        <v>57693</v>
      </c>
      <c r="FR183" s="844">
        <v>59000</v>
      </c>
      <c r="FS183" s="844">
        <v>60400</v>
      </c>
      <c r="FT183" s="844">
        <v>61800</v>
      </c>
      <c r="FU183" s="844">
        <v>63200</v>
      </c>
      <c r="FV183" s="844">
        <v>64600</v>
      </c>
      <c r="FW183" s="844">
        <v>66000</v>
      </c>
      <c r="FX183" s="844">
        <v>67400</v>
      </c>
      <c r="FY183" s="844">
        <v>68800</v>
      </c>
      <c r="FZ183" s="844">
        <v>70200</v>
      </c>
      <c r="GA183" s="844">
        <v>71600</v>
      </c>
      <c r="GB183" s="844">
        <v>73000</v>
      </c>
      <c r="GC183" s="844">
        <v>74400</v>
      </c>
      <c r="GD183" s="844">
        <v>75800</v>
      </c>
      <c r="GE183" s="844">
        <v>77200</v>
      </c>
      <c r="GF183" s="844">
        <v>78600</v>
      </c>
      <c r="GG183" s="844">
        <v>80000</v>
      </c>
      <c r="GH183" s="844">
        <v>81400</v>
      </c>
      <c r="GI183" s="844">
        <v>82800</v>
      </c>
      <c r="GJ183" s="844">
        <v>84200</v>
      </c>
      <c r="GK183" s="844">
        <v>85600</v>
      </c>
      <c r="GL183" s="844">
        <v>87000</v>
      </c>
      <c r="GM183" s="844">
        <v>88400</v>
      </c>
      <c r="GN183" s="844">
        <v>89800</v>
      </c>
      <c r="GO183" s="844">
        <v>91200</v>
      </c>
      <c r="GP183" s="844">
        <v>92600</v>
      </c>
      <c r="GQ183" s="844">
        <v>94000</v>
      </c>
      <c r="GR183" s="844">
        <v>95400</v>
      </c>
      <c r="GS183" s="844">
        <v>96800</v>
      </c>
      <c r="GT183" s="844">
        <v>98200</v>
      </c>
      <c r="GU183" s="844">
        <v>99600</v>
      </c>
      <c r="GV183" s="844">
        <v>101000</v>
      </c>
      <c r="GW183" s="844">
        <v>102400</v>
      </c>
      <c r="GX183" s="844">
        <v>103800</v>
      </c>
      <c r="GY183" s="844">
        <v>105200</v>
      </c>
      <c r="GZ183" s="844">
        <v>106600</v>
      </c>
      <c r="HA183" s="844">
        <v>108000</v>
      </c>
      <c r="HB183" s="844">
        <v>109400</v>
      </c>
      <c r="HC183" s="844">
        <v>110800</v>
      </c>
      <c r="HD183" s="844">
        <v>112200</v>
      </c>
      <c r="HE183" s="844">
        <v>113600</v>
      </c>
      <c r="HF183" s="844">
        <v>115000</v>
      </c>
      <c r="HG183" s="844">
        <v>116400</v>
      </c>
      <c r="HH183" s="844">
        <v>117800</v>
      </c>
      <c r="HI183" s="844">
        <v>119200</v>
      </c>
      <c r="HJ183" s="844">
        <v>120600</v>
      </c>
      <c r="HK183" s="844">
        <v>122184</v>
      </c>
      <c r="HL183" s="844">
        <v>123400</v>
      </c>
      <c r="HM183" s="844">
        <v>0</v>
      </c>
      <c r="HN183" s="844">
        <v>0</v>
      </c>
      <c r="HO183" s="844">
        <v>0</v>
      </c>
      <c r="HP183" s="844">
        <v>0</v>
      </c>
      <c r="HQ183" s="844">
        <v>0</v>
      </c>
      <c r="HR183" s="844">
        <v>0</v>
      </c>
      <c r="HS183" s="844">
        <v>0</v>
      </c>
      <c r="HT183" s="844">
        <v>0</v>
      </c>
      <c r="HU183" s="844">
        <v>0</v>
      </c>
      <c r="HV183" s="844">
        <v>0</v>
      </c>
      <c r="HW183" s="844">
        <v>0</v>
      </c>
      <c r="HX183" s="844">
        <v>0</v>
      </c>
      <c r="HY183" s="844">
        <v>0</v>
      </c>
      <c r="HZ183" s="844">
        <v>0</v>
      </c>
      <c r="IA183" s="844">
        <v>0</v>
      </c>
      <c r="IB183" s="844">
        <v>0</v>
      </c>
      <c r="IC183" s="844">
        <v>0</v>
      </c>
      <c r="ID183" s="844">
        <v>0</v>
      </c>
      <c r="IE183" s="844">
        <v>0</v>
      </c>
      <c r="IF183" s="844">
        <v>0</v>
      </c>
      <c r="IG183" s="844">
        <v>0</v>
      </c>
      <c r="IH183" s="844">
        <v>0</v>
      </c>
      <c r="II183" s="844">
        <v>0</v>
      </c>
      <c r="IJ183" s="844">
        <v>0</v>
      </c>
    </row>
    <row r="184" spans="9:244" hidden="1">
      <c r="I184" s="156"/>
      <c r="L184" s="846" t="s">
        <v>1060</v>
      </c>
      <c r="M184" s="846" t="s">
        <v>1382</v>
      </c>
      <c r="N184" s="846" t="s">
        <v>96</v>
      </c>
      <c r="O184" s="847">
        <v>25</v>
      </c>
      <c r="P184" s="780" t="str">
        <f t="shared" si="6"/>
        <v>IWT060125</v>
      </c>
      <c r="Q184" s="847">
        <v>0</v>
      </c>
      <c r="R184" s="847">
        <v>0</v>
      </c>
      <c r="S184" s="847">
        <v>0</v>
      </c>
      <c r="T184" s="847">
        <v>0</v>
      </c>
      <c r="U184" s="847">
        <v>0</v>
      </c>
      <c r="V184" s="847">
        <v>0</v>
      </c>
      <c r="W184" s="847">
        <v>0</v>
      </c>
      <c r="X184" s="847">
        <v>0</v>
      </c>
      <c r="Y184" s="847">
        <v>0</v>
      </c>
      <c r="Z184" s="847">
        <v>0</v>
      </c>
      <c r="AA184" s="847">
        <v>0</v>
      </c>
      <c r="AB184" s="847">
        <v>0</v>
      </c>
      <c r="AC184" s="847">
        <v>0</v>
      </c>
      <c r="AD184" s="847">
        <v>0</v>
      </c>
      <c r="AE184" s="847">
        <v>0</v>
      </c>
      <c r="AF184" s="847">
        <v>0</v>
      </c>
      <c r="AG184" s="847">
        <v>0</v>
      </c>
      <c r="AH184" s="847">
        <v>0</v>
      </c>
      <c r="AI184" s="847">
        <v>0</v>
      </c>
      <c r="AJ184" s="847">
        <v>0</v>
      </c>
      <c r="AK184" s="847">
        <v>0</v>
      </c>
      <c r="AL184" s="847">
        <v>0</v>
      </c>
      <c r="AM184" s="847">
        <v>0</v>
      </c>
      <c r="AN184" s="847">
        <v>0</v>
      </c>
      <c r="AO184" s="847">
        <v>0</v>
      </c>
      <c r="AP184" s="847">
        <v>0</v>
      </c>
      <c r="AQ184" s="847">
        <v>0</v>
      </c>
      <c r="AR184" s="847">
        <v>0</v>
      </c>
      <c r="AS184" s="847">
        <v>0</v>
      </c>
      <c r="AT184" s="847">
        <v>0</v>
      </c>
      <c r="AU184" s="847">
        <v>0</v>
      </c>
      <c r="AV184" s="847">
        <v>0</v>
      </c>
      <c r="AW184" s="847">
        <v>0</v>
      </c>
      <c r="AX184" s="847">
        <v>0</v>
      </c>
      <c r="AY184" s="847">
        <v>0</v>
      </c>
      <c r="AZ184" s="847">
        <v>0</v>
      </c>
      <c r="BA184" s="847">
        <v>0</v>
      </c>
      <c r="BB184" s="847">
        <v>0</v>
      </c>
      <c r="BC184" s="847">
        <v>0</v>
      </c>
      <c r="BD184" s="847">
        <v>0</v>
      </c>
      <c r="BE184" s="847">
        <v>0</v>
      </c>
      <c r="BF184" s="847">
        <v>0</v>
      </c>
      <c r="BG184" s="847">
        <v>0</v>
      </c>
      <c r="BH184" s="847">
        <v>0</v>
      </c>
      <c r="BI184" s="847">
        <v>0</v>
      </c>
      <c r="BJ184" s="847">
        <v>0</v>
      </c>
      <c r="BK184" s="847">
        <v>0</v>
      </c>
      <c r="BL184" s="847">
        <v>0</v>
      </c>
      <c r="BM184" s="847">
        <v>0</v>
      </c>
      <c r="BN184" s="847">
        <v>0</v>
      </c>
      <c r="BO184" s="847">
        <v>0</v>
      </c>
      <c r="BP184" s="847">
        <v>0</v>
      </c>
      <c r="BQ184" s="847">
        <v>0</v>
      </c>
      <c r="BR184" s="847">
        <v>0</v>
      </c>
      <c r="BS184" s="847">
        <v>0</v>
      </c>
      <c r="BT184" s="847">
        <v>0</v>
      </c>
      <c r="BU184" s="847">
        <v>0</v>
      </c>
      <c r="BV184" s="847">
        <v>0</v>
      </c>
      <c r="BW184" s="847">
        <v>0</v>
      </c>
      <c r="BX184" s="847">
        <v>0</v>
      </c>
      <c r="BY184" s="847">
        <v>0</v>
      </c>
      <c r="BZ184" s="847">
        <v>0</v>
      </c>
      <c r="CA184" s="847">
        <v>0</v>
      </c>
      <c r="CB184" s="847">
        <v>0</v>
      </c>
      <c r="CC184" s="847">
        <v>0</v>
      </c>
      <c r="CD184" s="847">
        <v>0</v>
      </c>
      <c r="CE184" s="847">
        <v>0</v>
      </c>
      <c r="CF184" s="847">
        <v>0</v>
      </c>
      <c r="CG184" s="847">
        <v>0</v>
      </c>
      <c r="CH184" s="847">
        <v>0</v>
      </c>
      <c r="CI184" s="847">
        <v>0</v>
      </c>
      <c r="CJ184" s="847">
        <v>0</v>
      </c>
      <c r="CK184" s="847">
        <v>0</v>
      </c>
      <c r="CL184" s="847">
        <v>0</v>
      </c>
      <c r="CM184" s="847">
        <v>0</v>
      </c>
      <c r="CN184" s="847">
        <v>0</v>
      </c>
      <c r="CO184" s="847">
        <v>0</v>
      </c>
      <c r="CP184" s="847">
        <v>0</v>
      </c>
      <c r="CQ184" s="847">
        <v>0</v>
      </c>
      <c r="CR184" s="847">
        <v>0</v>
      </c>
      <c r="CS184" s="847">
        <v>0</v>
      </c>
      <c r="CT184" s="847">
        <v>0</v>
      </c>
      <c r="CU184" s="847">
        <v>0</v>
      </c>
      <c r="CV184" s="847">
        <v>0</v>
      </c>
      <c r="CW184" s="847">
        <v>0</v>
      </c>
      <c r="CX184" s="847">
        <v>122000</v>
      </c>
      <c r="CY184" s="847">
        <v>0</v>
      </c>
      <c r="CZ184" s="847">
        <v>0</v>
      </c>
      <c r="DA184" s="847">
        <v>0</v>
      </c>
      <c r="DB184" s="847">
        <v>0</v>
      </c>
      <c r="DC184" s="847">
        <v>0</v>
      </c>
      <c r="DD184" s="847">
        <v>0</v>
      </c>
      <c r="DE184" s="847">
        <v>0</v>
      </c>
      <c r="DF184" s="847">
        <v>0</v>
      </c>
      <c r="DG184" s="847">
        <v>0</v>
      </c>
      <c r="DH184" s="847">
        <v>0</v>
      </c>
      <c r="DI184" s="847">
        <v>0</v>
      </c>
      <c r="DJ184" s="847">
        <v>0</v>
      </c>
      <c r="DK184" s="847">
        <v>0</v>
      </c>
      <c r="DL184" s="847">
        <v>0</v>
      </c>
      <c r="DM184" s="847">
        <v>0</v>
      </c>
      <c r="DN184" s="847">
        <v>0</v>
      </c>
      <c r="DO184" s="847">
        <v>0</v>
      </c>
      <c r="DP184" s="847">
        <v>0</v>
      </c>
      <c r="DQ184" s="847">
        <v>0</v>
      </c>
      <c r="DR184" s="847">
        <v>0</v>
      </c>
      <c r="DS184" s="847">
        <v>0</v>
      </c>
      <c r="DT184" s="847">
        <v>0</v>
      </c>
      <c r="DU184" s="847">
        <v>0</v>
      </c>
      <c r="DV184" s="847">
        <v>0</v>
      </c>
      <c r="DW184" s="847">
        <v>0</v>
      </c>
      <c r="DY184" s="843" t="s">
        <v>1060</v>
      </c>
      <c r="DZ184" s="843" t="s">
        <v>1382</v>
      </c>
      <c r="EA184" s="843" t="s">
        <v>96</v>
      </c>
      <c r="EB184" s="844">
        <v>25</v>
      </c>
      <c r="EC184" s="780" t="str">
        <f t="shared" si="7"/>
        <v>IWT060125</v>
      </c>
      <c r="ED184" s="844">
        <v>5231.1000000000004</v>
      </c>
      <c r="EE184" s="844">
        <v>10462.200000000001</v>
      </c>
      <c r="EF184" s="844">
        <v>15693.3</v>
      </c>
      <c r="EG184" s="844">
        <v>20924.400000000001</v>
      </c>
      <c r="EH184" s="844">
        <v>26155.5</v>
      </c>
      <c r="EI184" s="844">
        <v>31386.6</v>
      </c>
      <c r="EJ184" s="844">
        <v>31386.6</v>
      </c>
      <c r="EK184" s="844">
        <v>31386.6</v>
      </c>
      <c r="EL184" s="844">
        <v>31386.6</v>
      </c>
      <c r="EM184" s="844">
        <v>31933</v>
      </c>
      <c r="EN184" s="844">
        <v>32571</v>
      </c>
      <c r="EO184" s="844">
        <v>33223</v>
      </c>
      <c r="EP184" s="844">
        <v>33887</v>
      </c>
      <c r="EQ184" s="844">
        <v>34565</v>
      </c>
      <c r="ER184" s="844">
        <v>35256</v>
      </c>
      <c r="ES184" s="844">
        <v>35962</v>
      </c>
      <c r="ET184" s="844">
        <v>36681</v>
      </c>
      <c r="EU184" s="844">
        <v>37414</v>
      </c>
      <c r="EV184" s="844">
        <v>38163</v>
      </c>
      <c r="EW184" s="844">
        <v>38926</v>
      </c>
      <c r="EX184" s="844">
        <v>39704</v>
      </c>
      <c r="EY184" s="844">
        <v>40499</v>
      </c>
      <c r="EZ184" s="844">
        <v>41308</v>
      </c>
      <c r="FA184" s="844">
        <v>42135</v>
      </c>
      <c r="FB184" s="844">
        <v>42977</v>
      </c>
      <c r="FC184" s="844">
        <v>43837</v>
      </c>
      <c r="FD184" s="844">
        <v>44714</v>
      </c>
      <c r="FE184" s="844">
        <v>45608</v>
      </c>
      <c r="FF184" s="844">
        <v>46520</v>
      </c>
      <c r="FG184" s="844">
        <v>47450</v>
      </c>
      <c r="FH184" s="844">
        <v>48399</v>
      </c>
      <c r="FI184" s="844">
        <v>49367</v>
      </c>
      <c r="FJ184" s="844">
        <v>50355</v>
      </c>
      <c r="FK184" s="844">
        <v>51362</v>
      </c>
      <c r="FL184" s="844">
        <v>52389</v>
      </c>
      <c r="FM184" s="844">
        <v>53437</v>
      </c>
      <c r="FN184" s="844">
        <v>54505</v>
      </c>
      <c r="FO184" s="844">
        <v>55595</v>
      </c>
      <c r="FP184" s="844">
        <v>56707</v>
      </c>
      <c r="FQ184" s="844">
        <v>57836</v>
      </c>
      <c r="FR184" s="844">
        <v>59000</v>
      </c>
      <c r="FS184" s="844">
        <v>60400</v>
      </c>
      <c r="FT184" s="844">
        <v>61800</v>
      </c>
      <c r="FU184" s="844">
        <v>63200</v>
      </c>
      <c r="FV184" s="844">
        <v>64600</v>
      </c>
      <c r="FW184" s="844">
        <v>66000</v>
      </c>
      <c r="FX184" s="844">
        <v>67400</v>
      </c>
      <c r="FY184" s="844">
        <v>68800</v>
      </c>
      <c r="FZ184" s="844">
        <v>70200</v>
      </c>
      <c r="GA184" s="844">
        <v>71600</v>
      </c>
      <c r="GB184" s="844">
        <v>73000</v>
      </c>
      <c r="GC184" s="844">
        <v>74400</v>
      </c>
      <c r="GD184" s="844">
        <v>75800</v>
      </c>
      <c r="GE184" s="844">
        <v>77200</v>
      </c>
      <c r="GF184" s="844">
        <v>78600</v>
      </c>
      <c r="GG184" s="844">
        <v>80000</v>
      </c>
      <c r="GH184" s="844">
        <v>81400</v>
      </c>
      <c r="GI184" s="844">
        <v>82800</v>
      </c>
      <c r="GJ184" s="844">
        <v>84200</v>
      </c>
      <c r="GK184" s="844">
        <v>85600</v>
      </c>
      <c r="GL184" s="844">
        <v>87000</v>
      </c>
      <c r="GM184" s="844">
        <v>88400</v>
      </c>
      <c r="GN184" s="844">
        <v>89800</v>
      </c>
      <c r="GO184" s="844">
        <v>91200</v>
      </c>
      <c r="GP184" s="844">
        <v>92600</v>
      </c>
      <c r="GQ184" s="844">
        <v>94000</v>
      </c>
      <c r="GR184" s="844">
        <v>95400</v>
      </c>
      <c r="GS184" s="844">
        <v>96800</v>
      </c>
      <c r="GT184" s="844">
        <v>98200</v>
      </c>
      <c r="GU184" s="844">
        <v>99600</v>
      </c>
      <c r="GV184" s="844">
        <v>101000</v>
      </c>
      <c r="GW184" s="844">
        <v>102400</v>
      </c>
      <c r="GX184" s="844">
        <v>103800</v>
      </c>
      <c r="GY184" s="844">
        <v>105200</v>
      </c>
      <c r="GZ184" s="844">
        <v>106600</v>
      </c>
      <c r="HA184" s="844">
        <v>108000</v>
      </c>
      <c r="HB184" s="844">
        <v>109400</v>
      </c>
      <c r="HC184" s="844">
        <v>110800</v>
      </c>
      <c r="HD184" s="844">
        <v>112200</v>
      </c>
      <c r="HE184" s="844">
        <v>113600</v>
      </c>
      <c r="HF184" s="844">
        <v>115000</v>
      </c>
      <c r="HG184" s="844">
        <v>116400</v>
      </c>
      <c r="HH184" s="844">
        <v>117800</v>
      </c>
      <c r="HI184" s="844">
        <v>119200</v>
      </c>
      <c r="HJ184" s="844">
        <v>120798</v>
      </c>
      <c r="HK184" s="844">
        <v>122000</v>
      </c>
      <c r="HL184" s="844">
        <v>0</v>
      </c>
      <c r="HM184" s="844">
        <v>0</v>
      </c>
      <c r="HN184" s="844">
        <v>0</v>
      </c>
      <c r="HO184" s="844">
        <v>0</v>
      </c>
      <c r="HP184" s="844">
        <v>0</v>
      </c>
      <c r="HQ184" s="844">
        <v>0</v>
      </c>
      <c r="HR184" s="844">
        <v>0</v>
      </c>
      <c r="HS184" s="844">
        <v>0</v>
      </c>
      <c r="HT184" s="844">
        <v>0</v>
      </c>
      <c r="HU184" s="844">
        <v>0</v>
      </c>
      <c r="HV184" s="844">
        <v>0</v>
      </c>
      <c r="HW184" s="844">
        <v>0</v>
      </c>
      <c r="HX184" s="844">
        <v>0</v>
      </c>
      <c r="HY184" s="844">
        <v>0</v>
      </c>
      <c r="HZ184" s="844">
        <v>0</v>
      </c>
      <c r="IA184" s="844">
        <v>0</v>
      </c>
      <c r="IB184" s="844">
        <v>0</v>
      </c>
      <c r="IC184" s="844">
        <v>0</v>
      </c>
      <c r="ID184" s="844">
        <v>0</v>
      </c>
      <c r="IE184" s="844">
        <v>0</v>
      </c>
      <c r="IF184" s="844">
        <v>0</v>
      </c>
      <c r="IG184" s="844">
        <v>0</v>
      </c>
      <c r="IH184" s="844">
        <v>0</v>
      </c>
      <c r="II184" s="844">
        <v>0</v>
      </c>
      <c r="IJ184" s="844">
        <v>0</v>
      </c>
    </row>
    <row r="185" spans="9:244" hidden="1">
      <c r="I185" s="156"/>
      <c r="L185" s="846" t="s">
        <v>1060</v>
      </c>
      <c r="M185" s="846" t="s">
        <v>1382</v>
      </c>
      <c r="N185" s="846" t="s">
        <v>96</v>
      </c>
      <c r="O185" s="847">
        <v>26</v>
      </c>
      <c r="P185" s="780" t="str">
        <f t="shared" si="6"/>
        <v>IWT060126</v>
      </c>
      <c r="Q185" s="847">
        <v>0</v>
      </c>
      <c r="R185" s="847">
        <v>0</v>
      </c>
      <c r="S185" s="847">
        <v>0</v>
      </c>
      <c r="T185" s="847">
        <v>0</v>
      </c>
      <c r="U185" s="847">
        <v>0</v>
      </c>
      <c r="V185" s="847">
        <v>0</v>
      </c>
      <c r="W185" s="847">
        <v>0</v>
      </c>
      <c r="X185" s="847">
        <v>0</v>
      </c>
      <c r="Y185" s="847">
        <v>0</v>
      </c>
      <c r="Z185" s="847">
        <v>0</v>
      </c>
      <c r="AA185" s="847">
        <v>0</v>
      </c>
      <c r="AB185" s="847">
        <v>0</v>
      </c>
      <c r="AC185" s="847">
        <v>0</v>
      </c>
      <c r="AD185" s="847">
        <v>0</v>
      </c>
      <c r="AE185" s="847">
        <v>0</v>
      </c>
      <c r="AF185" s="847">
        <v>0</v>
      </c>
      <c r="AG185" s="847">
        <v>0</v>
      </c>
      <c r="AH185" s="847">
        <v>0</v>
      </c>
      <c r="AI185" s="847">
        <v>0</v>
      </c>
      <c r="AJ185" s="847">
        <v>0</v>
      </c>
      <c r="AK185" s="847">
        <v>0</v>
      </c>
      <c r="AL185" s="847">
        <v>0</v>
      </c>
      <c r="AM185" s="847">
        <v>0</v>
      </c>
      <c r="AN185" s="847">
        <v>0</v>
      </c>
      <c r="AO185" s="847">
        <v>0</v>
      </c>
      <c r="AP185" s="847">
        <v>0</v>
      </c>
      <c r="AQ185" s="847">
        <v>0</v>
      </c>
      <c r="AR185" s="847">
        <v>0</v>
      </c>
      <c r="AS185" s="847">
        <v>0</v>
      </c>
      <c r="AT185" s="847">
        <v>0</v>
      </c>
      <c r="AU185" s="847">
        <v>0</v>
      </c>
      <c r="AV185" s="847">
        <v>0</v>
      </c>
      <c r="AW185" s="847">
        <v>0</v>
      </c>
      <c r="AX185" s="847">
        <v>0</v>
      </c>
      <c r="AY185" s="847">
        <v>0</v>
      </c>
      <c r="AZ185" s="847">
        <v>0</v>
      </c>
      <c r="BA185" s="847">
        <v>0</v>
      </c>
      <c r="BB185" s="847">
        <v>0</v>
      </c>
      <c r="BC185" s="847">
        <v>0</v>
      </c>
      <c r="BD185" s="847">
        <v>0</v>
      </c>
      <c r="BE185" s="847">
        <v>0</v>
      </c>
      <c r="BF185" s="847">
        <v>0</v>
      </c>
      <c r="BG185" s="847">
        <v>0</v>
      </c>
      <c r="BH185" s="847">
        <v>0</v>
      </c>
      <c r="BI185" s="847">
        <v>0</v>
      </c>
      <c r="BJ185" s="847">
        <v>0</v>
      </c>
      <c r="BK185" s="847">
        <v>0</v>
      </c>
      <c r="BL185" s="847">
        <v>0</v>
      </c>
      <c r="BM185" s="847">
        <v>0</v>
      </c>
      <c r="BN185" s="847">
        <v>0</v>
      </c>
      <c r="BO185" s="847">
        <v>0</v>
      </c>
      <c r="BP185" s="847">
        <v>0</v>
      </c>
      <c r="BQ185" s="847">
        <v>0</v>
      </c>
      <c r="BR185" s="847">
        <v>0</v>
      </c>
      <c r="BS185" s="847">
        <v>0</v>
      </c>
      <c r="BT185" s="847">
        <v>0</v>
      </c>
      <c r="BU185" s="847">
        <v>0</v>
      </c>
      <c r="BV185" s="847">
        <v>0</v>
      </c>
      <c r="BW185" s="847">
        <v>0</v>
      </c>
      <c r="BX185" s="847">
        <v>0</v>
      </c>
      <c r="BY185" s="847">
        <v>0</v>
      </c>
      <c r="BZ185" s="847">
        <v>0</v>
      </c>
      <c r="CA185" s="847">
        <v>0</v>
      </c>
      <c r="CB185" s="847">
        <v>0</v>
      </c>
      <c r="CC185" s="847">
        <v>0</v>
      </c>
      <c r="CD185" s="847">
        <v>0</v>
      </c>
      <c r="CE185" s="847">
        <v>0</v>
      </c>
      <c r="CF185" s="847">
        <v>0</v>
      </c>
      <c r="CG185" s="847">
        <v>0</v>
      </c>
      <c r="CH185" s="847">
        <v>0</v>
      </c>
      <c r="CI185" s="847">
        <v>0</v>
      </c>
      <c r="CJ185" s="847">
        <v>0</v>
      </c>
      <c r="CK185" s="847">
        <v>0</v>
      </c>
      <c r="CL185" s="847">
        <v>0</v>
      </c>
      <c r="CM185" s="847">
        <v>0</v>
      </c>
      <c r="CN185" s="847">
        <v>0</v>
      </c>
      <c r="CO185" s="847">
        <v>0</v>
      </c>
      <c r="CP185" s="847">
        <v>0</v>
      </c>
      <c r="CQ185" s="847">
        <v>0</v>
      </c>
      <c r="CR185" s="847">
        <v>0</v>
      </c>
      <c r="CS185" s="847">
        <v>0</v>
      </c>
      <c r="CT185" s="847">
        <v>0</v>
      </c>
      <c r="CU185" s="847">
        <v>0</v>
      </c>
      <c r="CV185" s="847">
        <v>0</v>
      </c>
      <c r="CW185" s="847">
        <v>120600</v>
      </c>
      <c r="CX185" s="847">
        <v>0</v>
      </c>
      <c r="CY185" s="847">
        <v>0</v>
      </c>
      <c r="CZ185" s="847">
        <v>0</v>
      </c>
      <c r="DA185" s="847">
        <v>0</v>
      </c>
      <c r="DB185" s="847">
        <v>0</v>
      </c>
      <c r="DC185" s="847">
        <v>0</v>
      </c>
      <c r="DD185" s="847">
        <v>0</v>
      </c>
      <c r="DE185" s="847">
        <v>0</v>
      </c>
      <c r="DF185" s="847">
        <v>0</v>
      </c>
      <c r="DG185" s="847">
        <v>0</v>
      </c>
      <c r="DH185" s="847">
        <v>0</v>
      </c>
      <c r="DI185" s="847">
        <v>0</v>
      </c>
      <c r="DJ185" s="847">
        <v>0</v>
      </c>
      <c r="DK185" s="847">
        <v>0</v>
      </c>
      <c r="DL185" s="847">
        <v>0</v>
      </c>
      <c r="DM185" s="847">
        <v>0</v>
      </c>
      <c r="DN185" s="847">
        <v>0</v>
      </c>
      <c r="DO185" s="847">
        <v>0</v>
      </c>
      <c r="DP185" s="847">
        <v>0</v>
      </c>
      <c r="DQ185" s="847">
        <v>0</v>
      </c>
      <c r="DR185" s="847">
        <v>0</v>
      </c>
      <c r="DS185" s="847">
        <v>0</v>
      </c>
      <c r="DT185" s="847">
        <v>0</v>
      </c>
      <c r="DU185" s="847">
        <v>0</v>
      </c>
      <c r="DV185" s="847">
        <v>0</v>
      </c>
      <c r="DW185" s="847">
        <v>0</v>
      </c>
      <c r="DY185" s="843" t="s">
        <v>1060</v>
      </c>
      <c r="DZ185" s="843" t="s">
        <v>1382</v>
      </c>
      <c r="EA185" s="843" t="s">
        <v>96</v>
      </c>
      <c r="EB185" s="844">
        <v>26</v>
      </c>
      <c r="EC185" s="780" t="str">
        <f t="shared" si="7"/>
        <v>IWT060126</v>
      </c>
      <c r="ED185" s="844">
        <v>5243.8</v>
      </c>
      <c r="EE185" s="844">
        <v>10487.6</v>
      </c>
      <c r="EF185" s="844">
        <v>15731.5</v>
      </c>
      <c r="EG185" s="844">
        <v>20975.3</v>
      </c>
      <c r="EH185" s="844">
        <v>26219.1</v>
      </c>
      <c r="EI185" s="844">
        <v>31462.9</v>
      </c>
      <c r="EJ185" s="844">
        <v>31462.9</v>
      </c>
      <c r="EK185" s="844">
        <v>31462.9</v>
      </c>
      <c r="EL185" s="844">
        <v>31462.9</v>
      </c>
      <c r="EM185" s="844">
        <v>32005</v>
      </c>
      <c r="EN185" s="844">
        <v>32645</v>
      </c>
      <c r="EO185" s="844">
        <v>33298</v>
      </c>
      <c r="EP185" s="844">
        <v>33964</v>
      </c>
      <c r="EQ185" s="844">
        <v>34643</v>
      </c>
      <c r="ER185" s="844">
        <v>35336</v>
      </c>
      <c r="ES185" s="844">
        <v>36043</v>
      </c>
      <c r="ET185" s="844">
        <v>36764</v>
      </c>
      <c r="EU185" s="844">
        <v>37499</v>
      </c>
      <c r="EV185" s="844">
        <v>38249</v>
      </c>
      <c r="EW185" s="844">
        <v>39014</v>
      </c>
      <c r="EX185" s="844">
        <v>39794</v>
      </c>
      <c r="EY185" s="844">
        <v>40590</v>
      </c>
      <c r="EZ185" s="844">
        <v>41402</v>
      </c>
      <c r="FA185" s="844">
        <v>42230</v>
      </c>
      <c r="FB185" s="844">
        <v>43074</v>
      </c>
      <c r="FC185" s="844">
        <v>43936</v>
      </c>
      <c r="FD185" s="844">
        <v>44815</v>
      </c>
      <c r="FE185" s="844">
        <v>45711</v>
      </c>
      <c r="FF185" s="844">
        <v>46625</v>
      </c>
      <c r="FG185" s="844">
        <v>47558</v>
      </c>
      <c r="FH185" s="844">
        <v>48509</v>
      </c>
      <c r="FI185" s="844">
        <v>49479</v>
      </c>
      <c r="FJ185" s="844">
        <v>50468</v>
      </c>
      <c r="FK185" s="844">
        <v>51478</v>
      </c>
      <c r="FL185" s="844">
        <v>52507</v>
      </c>
      <c r="FM185" s="844">
        <v>53557</v>
      </c>
      <c r="FN185" s="844">
        <v>54629</v>
      </c>
      <c r="FO185" s="844">
        <v>55721</v>
      </c>
      <c r="FP185" s="844">
        <v>56835</v>
      </c>
      <c r="FQ185" s="844">
        <v>57969</v>
      </c>
      <c r="FR185" s="844">
        <v>59120</v>
      </c>
      <c r="FS185" s="844">
        <v>60400</v>
      </c>
      <c r="FT185" s="844">
        <v>61800</v>
      </c>
      <c r="FU185" s="844">
        <v>63200</v>
      </c>
      <c r="FV185" s="844">
        <v>64600</v>
      </c>
      <c r="FW185" s="844">
        <v>66000</v>
      </c>
      <c r="FX185" s="844">
        <v>67400</v>
      </c>
      <c r="FY185" s="844">
        <v>68800</v>
      </c>
      <c r="FZ185" s="844">
        <v>70200</v>
      </c>
      <c r="GA185" s="844">
        <v>71600</v>
      </c>
      <c r="GB185" s="844">
        <v>73000</v>
      </c>
      <c r="GC185" s="844">
        <v>74400</v>
      </c>
      <c r="GD185" s="844">
        <v>75800</v>
      </c>
      <c r="GE185" s="844">
        <v>77200</v>
      </c>
      <c r="GF185" s="844">
        <v>78600</v>
      </c>
      <c r="GG185" s="844">
        <v>80000</v>
      </c>
      <c r="GH185" s="844">
        <v>81400</v>
      </c>
      <c r="GI185" s="844">
        <v>82800</v>
      </c>
      <c r="GJ185" s="844">
        <v>84200</v>
      </c>
      <c r="GK185" s="844">
        <v>85600</v>
      </c>
      <c r="GL185" s="844">
        <v>87000</v>
      </c>
      <c r="GM185" s="844">
        <v>88400</v>
      </c>
      <c r="GN185" s="844">
        <v>89800</v>
      </c>
      <c r="GO185" s="844">
        <v>91200</v>
      </c>
      <c r="GP185" s="844">
        <v>92600</v>
      </c>
      <c r="GQ185" s="844">
        <v>94000</v>
      </c>
      <c r="GR185" s="844">
        <v>95400</v>
      </c>
      <c r="GS185" s="844">
        <v>96800</v>
      </c>
      <c r="GT185" s="844">
        <v>98200</v>
      </c>
      <c r="GU185" s="844">
        <v>99600</v>
      </c>
      <c r="GV185" s="844">
        <v>101000</v>
      </c>
      <c r="GW185" s="844">
        <v>102400</v>
      </c>
      <c r="GX185" s="844">
        <v>103800</v>
      </c>
      <c r="GY185" s="844">
        <v>105200</v>
      </c>
      <c r="GZ185" s="844">
        <v>106600</v>
      </c>
      <c r="HA185" s="844">
        <v>108000</v>
      </c>
      <c r="HB185" s="844">
        <v>109400</v>
      </c>
      <c r="HC185" s="844">
        <v>110800</v>
      </c>
      <c r="HD185" s="844">
        <v>112200</v>
      </c>
      <c r="HE185" s="844">
        <v>113600</v>
      </c>
      <c r="HF185" s="844">
        <v>115000</v>
      </c>
      <c r="HG185" s="844">
        <v>116400</v>
      </c>
      <c r="HH185" s="844">
        <v>117800</v>
      </c>
      <c r="HI185" s="844">
        <v>119412</v>
      </c>
      <c r="HJ185" s="844">
        <v>120600</v>
      </c>
      <c r="HK185" s="844">
        <v>0</v>
      </c>
      <c r="HL185" s="844">
        <v>0</v>
      </c>
      <c r="HM185" s="844">
        <v>0</v>
      </c>
      <c r="HN185" s="844">
        <v>0</v>
      </c>
      <c r="HO185" s="844">
        <v>0</v>
      </c>
      <c r="HP185" s="844">
        <v>0</v>
      </c>
      <c r="HQ185" s="844">
        <v>0</v>
      </c>
      <c r="HR185" s="844">
        <v>0</v>
      </c>
      <c r="HS185" s="844">
        <v>0</v>
      </c>
      <c r="HT185" s="844">
        <v>0</v>
      </c>
      <c r="HU185" s="844">
        <v>0</v>
      </c>
      <c r="HV185" s="844">
        <v>0</v>
      </c>
      <c r="HW185" s="844">
        <v>0</v>
      </c>
      <c r="HX185" s="844">
        <v>0</v>
      </c>
      <c r="HY185" s="844">
        <v>0</v>
      </c>
      <c r="HZ185" s="844">
        <v>0</v>
      </c>
      <c r="IA185" s="844">
        <v>0</v>
      </c>
      <c r="IB185" s="844">
        <v>0</v>
      </c>
      <c r="IC185" s="844">
        <v>0</v>
      </c>
      <c r="ID185" s="844">
        <v>0</v>
      </c>
      <c r="IE185" s="844">
        <v>0</v>
      </c>
      <c r="IF185" s="844">
        <v>0</v>
      </c>
      <c r="IG185" s="844">
        <v>0</v>
      </c>
      <c r="IH185" s="844">
        <v>0</v>
      </c>
      <c r="II185" s="844">
        <v>0</v>
      </c>
      <c r="IJ185" s="844">
        <v>0</v>
      </c>
    </row>
    <row r="186" spans="9:244" hidden="1">
      <c r="I186" s="156"/>
      <c r="L186" s="846" t="s">
        <v>1060</v>
      </c>
      <c r="M186" s="846" t="s">
        <v>1382</v>
      </c>
      <c r="N186" s="846" t="s">
        <v>96</v>
      </c>
      <c r="O186" s="847">
        <v>27</v>
      </c>
      <c r="P186" s="780" t="str">
        <f t="shared" si="6"/>
        <v>IWT060127</v>
      </c>
      <c r="Q186" s="847">
        <v>0</v>
      </c>
      <c r="R186" s="847">
        <v>0</v>
      </c>
      <c r="S186" s="847">
        <v>0</v>
      </c>
      <c r="T186" s="847">
        <v>0</v>
      </c>
      <c r="U186" s="847">
        <v>0</v>
      </c>
      <c r="V186" s="847">
        <v>0</v>
      </c>
      <c r="W186" s="847">
        <v>0</v>
      </c>
      <c r="X186" s="847">
        <v>0</v>
      </c>
      <c r="Y186" s="847">
        <v>0</v>
      </c>
      <c r="Z186" s="847">
        <v>0</v>
      </c>
      <c r="AA186" s="847">
        <v>0</v>
      </c>
      <c r="AB186" s="847">
        <v>0</v>
      </c>
      <c r="AC186" s="847">
        <v>0</v>
      </c>
      <c r="AD186" s="847">
        <v>0</v>
      </c>
      <c r="AE186" s="847">
        <v>0</v>
      </c>
      <c r="AF186" s="847">
        <v>0</v>
      </c>
      <c r="AG186" s="847">
        <v>0</v>
      </c>
      <c r="AH186" s="847">
        <v>0</v>
      </c>
      <c r="AI186" s="847">
        <v>0</v>
      </c>
      <c r="AJ186" s="847">
        <v>0</v>
      </c>
      <c r="AK186" s="847">
        <v>0</v>
      </c>
      <c r="AL186" s="847">
        <v>0</v>
      </c>
      <c r="AM186" s="847">
        <v>0</v>
      </c>
      <c r="AN186" s="847">
        <v>0</v>
      </c>
      <c r="AO186" s="847">
        <v>0</v>
      </c>
      <c r="AP186" s="847">
        <v>0</v>
      </c>
      <c r="AQ186" s="847">
        <v>0</v>
      </c>
      <c r="AR186" s="847">
        <v>0</v>
      </c>
      <c r="AS186" s="847">
        <v>0</v>
      </c>
      <c r="AT186" s="847">
        <v>0</v>
      </c>
      <c r="AU186" s="847">
        <v>0</v>
      </c>
      <c r="AV186" s="847">
        <v>0</v>
      </c>
      <c r="AW186" s="847">
        <v>0</v>
      </c>
      <c r="AX186" s="847">
        <v>0</v>
      </c>
      <c r="AY186" s="847">
        <v>0</v>
      </c>
      <c r="AZ186" s="847">
        <v>0</v>
      </c>
      <c r="BA186" s="847">
        <v>0</v>
      </c>
      <c r="BB186" s="847">
        <v>0</v>
      </c>
      <c r="BC186" s="847">
        <v>0</v>
      </c>
      <c r="BD186" s="847">
        <v>0</v>
      </c>
      <c r="BE186" s="847">
        <v>0</v>
      </c>
      <c r="BF186" s="847">
        <v>0</v>
      </c>
      <c r="BG186" s="847">
        <v>0</v>
      </c>
      <c r="BH186" s="847">
        <v>0</v>
      </c>
      <c r="BI186" s="847">
        <v>0</v>
      </c>
      <c r="BJ186" s="847">
        <v>0</v>
      </c>
      <c r="BK186" s="847">
        <v>0</v>
      </c>
      <c r="BL186" s="847">
        <v>0</v>
      </c>
      <c r="BM186" s="847">
        <v>0</v>
      </c>
      <c r="BN186" s="847">
        <v>0</v>
      </c>
      <c r="BO186" s="847">
        <v>0</v>
      </c>
      <c r="BP186" s="847">
        <v>0</v>
      </c>
      <c r="BQ186" s="847">
        <v>0</v>
      </c>
      <c r="BR186" s="847">
        <v>0</v>
      </c>
      <c r="BS186" s="847">
        <v>0</v>
      </c>
      <c r="BT186" s="847">
        <v>0</v>
      </c>
      <c r="BU186" s="847">
        <v>0</v>
      </c>
      <c r="BV186" s="847">
        <v>0</v>
      </c>
      <c r="BW186" s="847">
        <v>0</v>
      </c>
      <c r="BX186" s="847">
        <v>0</v>
      </c>
      <c r="BY186" s="847">
        <v>0</v>
      </c>
      <c r="BZ186" s="847">
        <v>0</v>
      </c>
      <c r="CA186" s="847">
        <v>0</v>
      </c>
      <c r="CB186" s="847">
        <v>0</v>
      </c>
      <c r="CC186" s="847">
        <v>0</v>
      </c>
      <c r="CD186" s="847">
        <v>0</v>
      </c>
      <c r="CE186" s="847">
        <v>0</v>
      </c>
      <c r="CF186" s="847">
        <v>0</v>
      </c>
      <c r="CG186" s="847">
        <v>0</v>
      </c>
      <c r="CH186" s="847">
        <v>0</v>
      </c>
      <c r="CI186" s="847">
        <v>0</v>
      </c>
      <c r="CJ186" s="847">
        <v>0</v>
      </c>
      <c r="CK186" s="847">
        <v>0</v>
      </c>
      <c r="CL186" s="847">
        <v>0</v>
      </c>
      <c r="CM186" s="847">
        <v>0</v>
      </c>
      <c r="CN186" s="847">
        <v>0</v>
      </c>
      <c r="CO186" s="847">
        <v>0</v>
      </c>
      <c r="CP186" s="847">
        <v>0</v>
      </c>
      <c r="CQ186" s="847">
        <v>0</v>
      </c>
      <c r="CR186" s="847">
        <v>0</v>
      </c>
      <c r="CS186" s="847">
        <v>0</v>
      </c>
      <c r="CT186" s="847">
        <v>0</v>
      </c>
      <c r="CU186" s="847">
        <v>0</v>
      </c>
      <c r="CV186" s="847">
        <v>119200</v>
      </c>
      <c r="CW186" s="847">
        <v>0</v>
      </c>
      <c r="CX186" s="847">
        <v>0</v>
      </c>
      <c r="CY186" s="847">
        <v>0</v>
      </c>
      <c r="CZ186" s="847">
        <v>0</v>
      </c>
      <c r="DA186" s="847">
        <v>0</v>
      </c>
      <c r="DB186" s="847">
        <v>0</v>
      </c>
      <c r="DC186" s="847">
        <v>0</v>
      </c>
      <c r="DD186" s="847">
        <v>0</v>
      </c>
      <c r="DE186" s="847">
        <v>0</v>
      </c>
      <c r="DF186" s="847">
        <v>0</v>
      </c>
      <c r="DG186" s="847">
        <v>0</v>
      </c>
      <c r="DH186" s="847">
        <v>0</v>
      </c>
      <c r="DI186" s="847">
        <v>0</v>
      </c>
      <c r="DJ186" s="847">
        <v>0</v>
      </c>
      <c r="DK186" s="847">
        <v>0</v>
      </c>
      <c r="DL186" s="847">
        <v>0</v>
      </c>
      <c r="DM186" s="847">
        <v>0</v>
      </c>
      <c r="DN186" s="847">
        <v>0</v>
      </c>
      <c r="DO186" s="847">
        <v>0</v>
      </c>
      <c r="DP186" s="847">
        <v>0</v>
      </c>
      <c r="DQ186" s="847">
        <v>0</v>
      </c>
      <c r="DR186" s="847">
        <v>0</v>
      </c>
      <c r="DS186" s="847">
        <v>0</v>
      </c>
      <c r="DT186" s="847">
        <v>0</v>
      </c>
      <c r="DU186" s="847">
        <v>0</v>
      </c>
      <c r="DV186" s="847">
        <v>0</v>
      </c>
      <c r="DW186" s="847">
        <v>0</v>
      </c>
      <c r="DY186" s="843" t="s">
        <v>1060</v>
      </c>
      <c r="DZ186" s="843" t="s">
        <v>1382</v>
      </c>
      <c r="EA186" s="843" t="s">
        <v>96</v>
      </c>
      <c r="EB186" s="844">
        <v>27</v>
      </c>
      <c r="EC186" s="780" t="str">
        <f t="shared" si="7"/>
        <v>IWT060127</v>
      </c>
      <c r="ED186" s="844">
        <v>5254.4</v>
      </c>
      <c r="EE186" s="844">
        <v>10508.8</v>
      </c>
      <c r="EF186" s="844">
        <v>15763.3</v>
      </c>
      <c r="EG186" s="844">
        <v>21017.7</v>
      </c>
      <c r="EH186" s="844">
        <v>26272.1</v>
      </c>
      <c r="EI186" s="844">
        <v>31526.5</v>
      </c>
      <c r="EJ186" s="844">
        <v>31526.5</v>
      </c>
      <c r="EK186" s="844">
        <v>31526.5</v>
      </c>
      <c r="EL186" s="844">
        <v>31526.5</v>
      </c>
      <c r="EM186" s="844">
        <v>32072</v>
      </c>
      <c r="EN186" s="844">
        <v>32714</v>
      </c>
      <c r="EO186" s="844">
        <v>33368</v>
      </c>
      <c r="EP186" s="844">
        <v>34035</v>
      </c>
      <c r="EQ186" s="844">
        <v>34716</v>
      </c>
      <c r="ER186" s="844">
        <v>35410</v>
      </c>
      <c r="ES186" s="844">
        <v>36119</v>
      </c>
      <c r="ET186" s="844">
        <v>36841</v>
      </c>
      <c r="EU186" s="844">
        <v>37578</v>
      </c>
      <c r="EV186" s="844">
        <v>38329</v>
      </c>
      <c r="EW186" s="844">
        <v>39096</v>
      </c>
      <c r="EX186" s="844">
        <v>39878</v>
      </c>
      <c r="EY186" s="844">
        <v>40675</v>
      </c>
      <c r="EZ186" s="844">
        <v>41489</v>
      </c>
      <c r="FA186" s="844">
        <v>42319</v>
      </c>
      <c r="FB186" s="844">
        <v>43165</v>
      </c>
      <c r="FC186" s="844">
        <v>44028</v>
      </c>
      <c r="FD186" s="844">
        <v>44909</v>
      </c>
      <c r="FE186" s="844">
        <v>45807</v>
      </c>
      <c r="FF186" s="844">
        <v>46723</v>
      </c>
      <c r="FG186" s="844">
        <v>47658</v>
      </c>
      <c r="FH186" s="844">
        <v>48611</v>
      </c>
      <c r="FI186" s="844">
        <v>49583</v>
      </c>
      <c r="FJ186" s="844">
        <v>50575</v>
      </c>
      <c r="FK186" s="844">
        <v>51586</v>
      </c>
      <c r="FL186" s="844">
        <v>52618</v>
      </c>
      <c r="FM186" s="844">
        <v>53670</v>
      </c>
      <c r="FN186" s="844">
        <v>54743</v>
      </c>
      <c r="FO186" s="844">
        <v>55838</v>
      </c>
      <c r="FP186" s="844">
        <v>56955</v>
      </c>
      <c r="FQ186" s="844">
        <v>58093</v>
      </c>
      <c r="FR186" s="844">
        <v>59248</v>
      </c>
      <c r="FS186" s="844">
        <v>60421</v>
      </c>
      <c r="FT186" s="844">
        <v>61800</v>
      </c>
      <c r="FU186" s="844">
        <v>63200</v>
      </c>
      <c r="FV186" s="844">
        <v>64600</v>
      </c>
      <c r="FW186" s="844">
        <v>66000</v>
      </c>
      <c r="FX186" s="844">
        <v>67400</v>
      </c>
      <c r="FY186" s="844">
        <v>68800</v>
      </c>
      <c r="FZ186" s="844">
        <v>70200</v>
      </c>
      <c r="GA186" s="844">
        <v>71600</v>
      </c>
      <c r="GB186" s="844">
        <v>73000</v>
      </c>
      <c r="GC186" s="844">
        <v>74400</v>
      </c>
      <c r="GD186" s="844">
        <v>75800</v>
      </c>
      <c r="GE186" s="844">
        <v>77200</v>
      </c>
      <c r="GF186" s="844">
        <v>78600</v>
      </c>
      <c r="GG186" s="844">
        <v>80000</v>
      </c>
      <c r="GH186" s="844">
        <v>81400</v>
      </c>
      <c r="GI186" s="844">
        <v>82800</v>
      </c>
      <c r="GJ186" s="844">
        <v>84200</v>
      </c>
      <c r="GK186" s="844">
        <v>85600</v>
      </c>
      <c r="GL186" s="844">
        <v>87000</v>
      </c>
      <c r="GM186" s="844">
        <v>88400</v>
      </c>
      <c r="GN186" s="844">
        <v>89800</v>
      </c>
      <c r="GO186" s="844">
        <v>91200</v>
      </c>
      <c r="GP186" s="844">
        <v>92600</v>
      </c>
      <c r="GQ186" s="844">
        <v>94000</v>
      </c>
      <c r="GR186" s="844">
        <v>95400</v>
      </c>
      <c r="GS186" s="844">
        <v>96800</v>
      </c>
      <c r="GT186" s="844">
        <v>98200</v>
      </c>
      <c r="GU186" s="844">
        <v>99600</v>
      </c>
      <c r="GV186" s="844">
        <v>101000</v>
      </c>
      <c r="GW186" s="844">
        <v>102400</v>
      </c>
      <c r="GX186" s="844">
        <v>103800</v>
      </c>
      <c r="GY186" s="844">
        <v>105200</v>
      </c>
      <c r="GZ186" s="844">
        <v>106600</v>
      </c>
      <c r="HA186" s="844">
        <v>108000</v>
      </c>
      <c r="HB186" s="844">
        <v>109400</v>
      </c>
      <c r="HC186" s="844">
        <v>110800</v>
      </c>
      <c r="HD186" s="844">
        <v>112200</v>
      </c>
      <c r="HE186" s="844">
        <v>113600</v>
      </c>
      <c r="HF186" s="844">
        <v>115000</v>
      </c>
      <c r="HG186" s="844">
        <v>116400</v>
      </c>
      <c r="HH186" s="844">
        <v>118026</v>
      </c>
      <c r="HI186" s="844">
        <v>119200</v>
      </c>
      <c r="HJ186" s="844">
        <v>0</v>
      </c>
      <c r="HK186" s="844">
        <v>0</v>
      </c>
      <c r="HL186" s="844">
        <v>0</v>
      </c>
      <c r="HM186" s="844">
        <v>0</v>
      </c>
      <c r="HN186" s="844">
        <v>0</v>
      </c>
      <c r="HO186" s="844">
        <v>0</v>
      </c>
      <c r="HP186" s="844">
        <v>0</v>
      </c>
      <c r="HQ186" s="844">
        <v>0</v>
      </c>
      <c r="HR186" s="844">
        <v>0</v>
      </c>
      <c r="HS186" s="844">
        <v>0</v>
      </c>
      <c r="HT186" s="844">
        <v>0</v>
      </c>
      <c r="HU186" s="844">
        <v>0</v>
      </c>
      <c r="HV186" s="844">
        <v>0</v>
      </c>
      <c r="HW186" s="844">
        <v>0</v>
      </c>
      <c r="HX186" s="844">
        <v>0</v>
      </c>
      <c r="HY186" s="844">
        <v>0</v>
      </c>
      <c r="HZ186" s="844">
        <v>0</v>
      </c>
      <c r="IA186" s="844">
        <v>0</v>
      </c>
      <c r="IB186" s="844">
        <v>0</v>
      </c>
      <c r="IC186" s="844">
        <v>0</v>
      </c>
      <c r="ID186" s="844">
        <v>0</v>
      </c>
      <c r="IE186" s="844">
        <v>0</v>
      </c>
      <c r="IF186" s="844">
        <v>0</v>
      </c>
      <c r="IG186" s="844">
        <v>0</v>
      </c>
      <c r="IH186" s="844">
        <v>0</v>
      </c>
      <c r="II186" s="844">
        <v>0</v>
      </c>
      <c r="IJ186" s="844">
        <v>0</v>
      </c>
    </row>
    <row r="187" spans="9:244" hidden="1">
      <c r="I187" s="156"/>
      <c r="L187" s="846" t="s">
        <v>1060</v>
      </c>
      <c r="M187" s="846" t="s">
        <v>1382</v>
      </c>
      <c r="N187" s="846" t="s">
        <v>96</v>
      </c>
      <c r="O187" s="847">
        <v>28</v>
      </c>
      <c r="P187" s="780" t="str">
        <f t="shared" si="6"/>
        <v>IWT060128</v>
      </c>
      <c r="Q187" s="847">
        <v>0</v>
      </c>
      <c r="R187" s="847">
        <v>0</v>
      </c>
      <c r="S187" s="847">
        <v>0</v>
      </c>
      <c r="T187" s="847">
        <v>0</v>
      </c>
      <c r="U187" s="847">
        <v>0</v>
      </c>
      <c r="V187" s="847">
        <v>0</v>
      </c>
      <c r="W187" s="847">
        <v>0</v>
      </c>
      <c r="X187" s="847">
        <v>0</v>
      </c>
      <c r="Y187" s="847">
        <v>0</v>
      </c>
      <c r="Z187" s="847">
        <v>0</v>
      </c>
      <c r="AA187" s="847">
        <v>0</v>
      </c>
      <c r="AB187" s="847">
        <v>0</v>
      </c>
      <c r="AC187" s="847">
        <v>0</v>
      </c>
      <c r="AD187" s="847">
        <v>0</v>
      </c>
      <c r="AE187" s="847">
        <v>0</v>
      </c>
      <c r="AF187" s="847">
        <v>0</v>
      </c>
      <c r="AG187" s="847">
        <v>0</v>
      </c>
      <c r="AH187" s="847">
        <v>0</v>
      </c>
      <c r="AI187" s="847">
        <v>0</v>
      </c>
      <c r="AJ187" s="847">
        <v>0</v>
      </c>
      <c r="AK187" s="847">
        <v>0</v>
      </c>
      <c r="AL187" s="847">
        <v>0</v>
      </c>
      <c r="AM187" s="847">
        <v>0</v>
      </c>
      <c r="AN187" s="847">
        <v>0</v>
      </c>
      <c r="AO187" s="847">
        <v>0</v>
      </c>
      <c r="AP187" s="847">
        <v>0</v>
      </c>
      <c r="AQ187" s="847">
        <v>0</v>
      </c>
      <c r="AR187" s="847">
        <v>0</v>
      </c>
      <c r="AS187" s="847">
        <v>0</v>
      </c>
      <c r="AT187" s="847">
        <v>0</v>
      </c>
      <c r="AU187" s="847">
        <v>0</v>
      </c>
      <c r="AV187" s="847">
        <v>0</v>
      </c>
      <c r="AW187" s="847">
        <v>0</v>
      </c>
      <c r="AX187" s="847">
        <v>0</v>
      </c>
      <c r="AY187" s="847">
        <v>0</v>
      </c>
      <c r="AZ187" s="847">
        <v>0</v>
      </c>
      <c r="BA187" s="847">
        <v>0</v>
      </c>
      <c r="BB187" s="847">
        <v>0</v>
      </c>
      <c r="BC187" s="847">
        <v>0</v>
      </c>
      <c r="BD187" s="847">
        <v>0</v>
      </c>
      <c r="BE187" s="847">
        <v>0</v>
      </c>
      <c r="BF187" s="847">
        <v>0</v>
      </c>
      <c r="BG187" s="847">
        <v>0</v>
      </c>
      <c r="BH187" s="847">
        <v>0</v>
      </c>
      <c r="BI187" s="847">
        <v>0</v>
      </c>
      <c r="BJ187" s="847">
        <v>0</v>
      </c>
      <c r="BK187" s="847">
        <v>0</v>
      </c>
      <c r="BL187" s="847">
        <v>0</v>
      </c>
      <c r="BM187" s="847">
        <v>0</v>
      </c>
      <c r="BN187" s="847">
        <v>0</v>
      </c>
      <c r="BO187" s="847">
        <v>0</v>
      </c>
      <c r="BP187" s="847">
        <v>0</v>
      </c>
      <c r="BQ187" s="847">
        <v>0</v>
      </c>
      <c r="BR187" s="847">
        <v>0</v>
      </c>
      <c r="BS187" s="847">
        <v>0</v>
      </c>
      <c r="BT187" s="847">
        <v>0</v>
      </c>
      <c r="BU187" s="847">
        <v>0</v>
      </c>
      <c r="BV187" s="847">
        <v>0</v>
      </c>
      <c r="BW187" s="847">
        <v>0</v>
      </c>
      <c r="BX187" s="847">
        <v>0</v>
      </c>
      <c r="BY187" s="847">
        <v>0</v>
      </c>
      <c r="BZ187" s="847">
        <v>0</v>
      </c>
      <c r="CA187" s="847">
        <v>0</v>
      </c>
      <c r="CB187" s="847">
        <v>0</v>
      </c>
      <c r="CC187" s="847">
        <v>0</v>
      </c>
      <c r="CD187" s="847">
        <v>0</v>
      </c>
      <c r="CE187" s="847">
        <v>0</v>
      </c>
      <c r="CF187" s="847">
        <v>0</v>
      </c>
      <c r="CG187" s="847">
        <v>0</v>
      </c>
      <c r="CH187" s="847">
        <v>0</v>
      </c>
      <c r="CI187" s="847">
        <v>0</v>
      </c>
      <c r="CJ187" s="847">
        <v>0</v>
      </c>
      <c r="CK187" s="847">
        <v>0</v>
      </c>
      <c r="CL187" s="847">
        <v>0</v>
      </c>
      <c r="CM187" s="847">
        <v>0</v>
      </c>
      <c r="CN187" s="847">
        <v>0</v>
      </c>
      <c r="CO187" s="847">
        <v>0</v>
      </c>
      <c r="CP187" s="847">
        <v>0</v>
      </c>
      <c r="CQ187" s="847">
        <v>0</v>
      </c>
      <c r="CR187" s="847">
        <v>0</v>
      </c>
      <c r="CS187" s="847">
        <v>0</v>
      </c>
      <c r="CT187" s="847">
        <v>0</v>
      </c>
      <c r="CU187" s="847">
        <v>117800</v>
      </c>
      <c r="CV187" s="847">
        <v>0</v>
      </c>
      <c r="CW187" s="847">
        <v>0</v>
      </c>
      <c r="CX187" s="847">
        <v>0</v>
      </c>
      <c r="CY187" s="847">
        <v>0</v>
      </c>
      <c r="CZ187" s="847">
        <v>0</v>
      </c>
      <c r="DA187" s="847">
        <v>0</v>
      </c>
      <c r="DB187" s="847">
        <v>0</v>
      </c>
      <c r="DC187" s="847">
        <v>0</v>
      </c>
      <c r="DD187" s="847">
        <v>0</v>
      </c>
      <c r="DE187" s="847">
        <v>0</v>
      </c>
      <c r="DF187" s="847">
        <v>0</v>
      </c>
      <c r="DG187" s="847">
        <v>0</v>
      </c>
      <c r="DH187" s="847">
        <v>0</v>
      </c>
      <c r="DI187" s="847">
        <v>0</v>
      </c>
      <c r="DJ187" s="847">
        <v>0</v>
      </c>
      <c r="DK187" s="847">
        <v>0</v>
      </c>
      <c r="DL187" s="847">
        <v>0</v>
      </c>
      <c r="DM187" s="847">
        <v>0</v>
      </c>
      <c r="DN187" s="847">
        <v>0</v>
      </c>
      <c r="DO187" s="847">
        <v>0</v>
      </c>
      <c r="DP187" s="847">
        <v>0</v>
      </c>
      <c r="DQ187" s="847">
        <v>0</v>
      </c>
      <c r="DR187" s="847">
        <v>0</v>
      </c>
      <c r="DS187" s="847">
        <v>0</v>
      </c>
      <c r="DT187" s="847">
        <v>0</v>
      </c>
      <c r="DU187" s="847">
        <v>0</v>
      </c>
      <c r="DV187" s="847">
        <v>0</v>
      </c>
      <c r="DW187" s="847">
        <v>0</v>
      </c>
      <c r="DY187" s="843" t="s">
        <v>1060</v>
      </c>
      <c r="DZ187" s="843" t="s">
        <v>1382</v>
      </c>
      <c r="EA187" s="843" t="s">
        <v>96</v>
      </c>
      <c r="EB187" s="844">
        <v>28</v>
      </c>
      <c r="EC187" s="780" t="str">
        <f t="shared" si="7"/>
        <v>IWT060128</v>
      </c>
      <c r="ED187" s="844">
        <v>5265</v>
      </c>
      <c r="EE187" s="844">
        <v>10530</v>
      </c>
      <c r="EF187" s="844">
        <v>15795.1</v>
      </c>
      <c r="EG187" s="844">
        <v>21060.1</v>
      </c>
      <c r="EH187" s="844">
        <v>26325.1</v>
      </c>
      <c r="EI187" s="844">
        <v>31590.1</v>
      </c>
      <c r="EJ187" s="844">
        <v>31590.1</v>
      </c>
      <c r="EK187" s="844">
        <v>31590.1</v>
      </c>
      <c r="EL187" s="844">
        <v>31590.1</v>
      </c>
      <c r="EM187" s="844">
        <v>32135</v>
      </c>
      <c r="EN187" s="844">
        <v>32778</v>
      </c>
      <c r="EO187" s="844">
        <v>33433</v>
      </c>
      <c r="EP187" s="844">
        <v>34102</v>
      </c>
      <c r="EQ187" s="844">
        <v>34784</v>
      </c>
      <c r="ER187" s="844">
        <v>35480</v>
      </c>
      <c r="ES187" s="844">
        <v>36189</v>
      </c>
      <c r="ET187" s="844">
        <v>36913</v>
      </c>
      <c r="EU187" s="844">
        <v>37651</v>
      </c>
      <c r="EV187" s="844">
        <v>38404</v>
      </c>
      <c r="EW187" s="844">
        <v>39172</v>
      </c>
      <c r="EX187" s="844">
        <v>39956</v>
      </c>
      <c r="EY187" s="844">
        <v>40755</v>
      </c>
      <c r="EZ187" s="844">
        <v>41570</v>
      </c>
      <c r="FA187" s="844">
        <v>42401</v>
      </c>
      <c r="FB187" s="844">
        <v>43249</v>
      </c>
      <c r="FC187" s="844">
        <v>44114</v>
      </c>
      <c r="FD187" s="844">
        <v>44997</v>
      </c>
      <c r="FE187" s="844">
        <v>45897</v>
      </c>
      <c r="FF187" s="844">
        <v>46815</v>
      </c>
      <c r="FG187" s="844">
        <v>47751</v>
      </c>
      <c r="FH187" s="844">
        <v>48706</v>
      </c>
      <c r="FI187" s="844">
        <v>49680</v>
      </c>
      <c r="FJ187" s="844">
        <v>50673</v>
      </c>
      <c r="FK187" s="844">
        <v>51687</v>
      </c>
      <c r="FL187" s="844">
        <v>52721</v>
      </c>
      <c r="FM187" s="844">
        <v>53775</v>
      </c>
      <c r="FN187" s="844">
        <v>54850</v>
      </c>
      <c r="FO187" s="844">
        <v>55947</v>
      </c>
      <c r="FP187" s="844">
        <v>57066</v>
      </c>
      <c r="FQ187" s="844">
        <v>58208</v>
      </c>
      <c r="FR187" s="844">
        <v>59367</v>
      </c>
      <c r="FS187" s="844">
        <v>60544</v>
      </c>
      <c r="FT187" s="844">
        <v>61800</v>
      </c>
      <c r="FU187" s="844">
        <v>63200</v>
      </c>
      <c r="FV187" s="844">
        <v>64600</v>
      </c>
      <c r="FW187" s="844">
        <v>66000</v>
      </c>
      <c r="FX187" s="844">
        <v>67400</v>
      </c>
      <c r="FY187" s="844">
        <v>68800</v>
      </c>
      <c r="FZ187" s="844">
        <v>70200</v>
      </c>
      <c r="GA187" s="844">
        <v>71600</v>
      </c>
      <c r="GB187" s="844">
        <v>73000</v>
      </c>
      <c r="GC187" s="844">
        <v>74400</v>
      </c>
      <c r="GD187" s="844">
        <v>75800</v>
      </c>
      <c r="GE187" s="844">
        <v>77200</v>
      </c>
      <c r="GF187" s="844">
        <v>78600</v>
      </c>
      <c r="GG187" s="844">
        <v>80000</v>
      </c>
      <c r="GH187" s="844">
        <v>81400</v>
      </c>
      <c r="GI187" s="844">
        <v>82800</v>
      </c>
      <c r="GJ187" s="844">
        <v>84200</v>
      </c>
      <c r="GK187" s="844">
        <v>85600</v>
      </c>
      <c r="GL187" s="844">
        <v>87000</v>
      </c>
      <c r="GM187" s="844">
        <v>88400</v>
      </c>
      <c r="GN187" s="844">
        <v>89800</v>
      </c>
      <c r="GO187" s="844">
        <v>91200</v>
      </c>
      <c r="GP187" s="844">
        <v>92600</v>
      </c>
      <c r="GQ187" s="844">
        <v>94000</v>
      </c>
      <c r="GR187" s="844">
        <v>95400</v>
      </c>
      <c r="GS187" s="844">
        <v>96800</v>
      </c>
      <c r="GT187" s="844">
        <v>98200</v>
      </c>
      <c r="GU187" s="844">
        <v>99600</v>
      </c>
      <c r="GV187" s="844">
        <v>101000</v>
      </c>
      <c r="GW187" s="844">
        <v>102400</v>
      </c>
      <c r="GX187" s="844">
        <v>103800</v>
      </c>
      <c r="GY187" s="844">
        <v>105200</v>
      </c>
      <c r="GZ187" s="844">
        <v>106600</v>
      </c>
      <c r="HA187" s="844">
        <v>108000</v>
      </c>
      <c r="HB187" s="844">
        <v>109400</v>
      </c>
      <c r="HC187" s="844">
        <v>110800</v>
      </c>
      <c r="HD187" s="844">
        <v>112200</v>
      </c>
      <c r="HE187" s="844">
        <v>113600</v>
      </c>
      <c r="HF187" s="844">
        <v>115004</v>
      </c>
      <c r="HG187" s="844">
        <v>116639</v>
      </c>
      <c r="HH187" s="844">
        <v>117800</v>
      </c>
      <c r="HI187" s="844">
        <v>0</v>
      </c>
      <c r="HJ187" s="844">
        <v>0</v>
      </c>
      <c r="HK187" s="844">
        <v>0</v>
      </c>
      <c r="HL187" s="844">
        <v>0</v>
      </c>
      <c r="HM187" s="844">
        <v>0</v>
      </c>
      <c r="HN187" s="844">
        <v>0</v>
      </c>
      <c r="HO187" s="844">
        <v>0</v>
      </c>
      <c r="HP187" s="844">
        <v>0</v>
      </c>
      <c r="HQ187" s="844">
        <v>0</v>
      </c>
      <c r="HR187" s="844">
        <v>0</v>
      </c>
      <c r="HS187" s="844">
        <v>0</v>
      </c>
      <c r="HT187" s="844">
        <v>0</v>
      </c>
      <c r="HU187" s="844">
        <v>0</v>
      </c>
      <c r="HV187" s="844">
        <v>0</v>
      </c>
      <c r="HW187" s="844">
        <v>0</v>
      </c>
      <c r="HX187" s="844">
        <v>0</v>
      </c>
      <c r="HY187" s="844">
        <v>0</v>
      </c>
      <c r="HZ187" s="844">
        <v>0</v>
      </c>
      <c r="IA187" s="844">
        <v>0</v>
      </c>
      <c r="IB187" s="844">
        <v>0</v>
      </c>
      <c r="IC187" s="844">
        <v>0</v>
      </c>
      <c r="ID187" s="844">
        <v>0</v>
      </c>
      <c r="IE187" s="844">
        <v>0</v>
      </c>
      <c r="IF187" s="844">
        <v>0</v>
      </c>
      <c r="IG187" s="844">
        <v>0</v>
      </c>
      <c r="IH187" s="844">
        <v>0</v>
      </c>
      <c r="II187" s="844">
        <v>0</v>
      </c>
      <c r="IJ187" s="844">
        <v>0</v>
      </c>
    </row>
    <row r="188" spans="9:244" hidden="1">
      <c r="I188" s="156"/>
      <c r="L188" s="846" t="s">
        <v>1060</v>
      </c>
      <c r="M188" s="846" t="s">
        <v>1382</v>
      </c>
      <c r="N188" s="846" t="s">
        <v>96</v>
      </c>
      <c r="O188" s="847">
        <v>29</v>
      </c>
      <c r="P188" s="780" t="str">
        <f t="shared" si="6"/>
        <v>IWT060129</v>
      </c>
      <c r="Q188" s="847">
        <v>0</v>
      </c>
      <c r="R188" s="847">
        <v>0</v>
      </c>
      <c r="S188" s="847">
        <v>0</v>
      </c>
      <c r="T188" s="847">
        <v>0</v>
      </c>
      <c r="U188" s="847">
        <v>0</v>
      </c>
      <c r="V188" s="847">
        <v>0</v>
      </c>
      <c r="W188" s="847">
        <v>0</v>
      </c>
      <c r="X188" s="847">
        <v>0</v>
      </c>
      <c r="Y188" s="847">
        <v>0</v>
      </c>
      <c r="Z188" s="847">
        <v>0</v>
      </c>
      <c r="AA188" s="847">
        <v>0</v>
      </c>
      <c r="AB188" s="847">
        <v>0</v>
      </c>
      <c r="AC188" s="847">
        <v>0</v>
      </c>
      <c r="AD188" s="847">
        <v>0</v>
      </c>
      <c r="AE188" s="847">
        <v>0</v>
      </c>
      <c r="AF188" s="847">
        <v>0</v>
      </c>
      <c r="AG188" s="847">
        <v>0</v>
      </c>
      <c r="AH188" s="847">
        <v>0</v>
      </c>
      <c r="AI188" s="847">
        <v>0</v>
      </c>
      <c r="AJ188" s="847">
        <v>0</v>
      </c>
      <c r="AK188" s="847">
        <v>0</v>
      </c>
      <c r="AL188" s="847">
        <v>0</v>
      </c>
      <c r="AM188" s="847">
        <v>0</v>
      </c>
      <c r="AN188" s="847">
        <v>0</v>
      </c>
      <c r="AO188" s="847">
        <v>0</v>
      </c>
      <c r="AP188" s="847">
        <v>0</v>
      </c>
      <c r="AQ188" s="847">
        <v>0</v>
      </c>
      <c r="AR188" s="847">
        <v>0</v>
      </c>
      <c r="AS188" s="847">
        <v>0</v>
      </c>
      <c r="AT188" s="847">
        <v>0</v>
      </c>
      <c r="AU188" s="847">
        <v>0</v>
      </c>
      <c r="AV188" s="847">
        <v>0</v>
      </c>
      <c r="AW188" s="847">
        <v>0</v>
      </c>
      <c r="AX188" s="847">
        <v>0</v>
      </c>
      <c r="AY188" s="847">
        <v>0</v>
      </c>
      <c r="AZ188" s="847">
        <v>0</v>
      </c>
      <c r="BA188" s="847">
        <v>0</v>
      </c>
      <c r="BB188" s="847">
        <v>0</v>
      </c>
      <c r="BC188" s="847">
        <v>0</v>
      </c>
      <c r="BD188" s="847">
        <v>0</v>
      </c>
      <c r="BE188" s="847">
        <v>0</v>
      </c>
      <c r="BF188" s="847">
        <v>0</v>
      </c>
      <c r="BG188" s="847">
        <v>0</v>
      </c>
      <c r="BH188" s="847">
        <v>0</v>
      </c>
      <c r="BI188" s="847">
        <v>0</v>
      </c>
      <c r="BJ188" s="847">
        <v>0</v>
      </c>
      <c r="BK188" s="847">
        <v>0</v>
      </c>
      <c r="BL188" s="847">
        <v>0</v>
      </c>
      <c r="BM188" s="847">
        <v>0</v>
      </c>
      <c r="BN188" s="847">
        <v>0</v>
      </c>
      <c r="BO188" s="847">
        <v>0</v>
      </c>
      <c r="BP188" s="847">
        <v>0</v>
      </c>
      <c r="BQ188" s="847">
        <v>0</v>
      </c>
      <c r="BR188" s="847">
        <v>0</v>
      </c>
      <c r="BS188" s="847">
        <v>0</v>
      </c>
      <c r="BT188" s="847">
        <v>0</v>
      </c>
      <c r="BU188" s="847">
        <v>0</v>
      </c>
      <c r="BV188" s="847">
        <v>0</v>
      </c>
      <c r="BW188" s="847">
        <v>0</v>
      </c>
      <c r="BX188" s="847">
        <v>0</v>
      </c>
      <c r="BY188" s="847">
        <v>0</v>
      </c>
      <c r="BZ188" s="847">
        <v>0</v>
      </c>
      <c r="CA188" s="847">
        <v>0</v>
      </c>
      <c r="CB188" s="847">
        <v>0</v>
      </c>
      <c r="CC188" s="847">
        <v>0</v>
      </c>
      <c r="CD188" s="847">
        <v>0</v>
      </c>
      <c r="CE188" s="847">
        <v>0</v>
      </c>
      <c r="CF188" s="847">
        <v>0</v>
      </c>
      <c r="CG188" s="847">
        <v>0</v>
      </c>
      <c r="CH188" s="847">
        <v>0</v>
      </c>
      <c r="CI188" s="847">
        <v>0</v>
      </c>
      <c r="CJ188" s="847">
        <v>0</v>
      </c>
      <c r="CK188" s="847">
        <v>0</v>
      </c>
      <c r="CL188" s="847">
        <v>0</v>
      </c>
      <c r="CM188" s="847">
        <v>0</v>
      </c>
      <c r="CN188" s="847">
        <v>0</v>
      </c>
      <c r="CO188" s="847">
        <v>0</v>
      </c>
      <c r="CP188" s="847">
        <v>0</v>
      </c>
      <c r="CQ188" s="847">
        <v>0</v>
      </c>
      <c r="CR188" s="847">
        <v>0</v>
      </c>
      <c r="CS188" s="847">
        <v>0</v>
      </c>
      <c r="CT188" s="847">
        <v>116400</v>
      </c>
      <c r="CU188" s="847">
        <v>0</v>
      </c>
      <c r="CV188" s="847">
        <v>0</v>
      </c>
      <c r="CW188" s="847">
        <v>0</v>
      </c>
      <c r="CX188" s="847">
        <v>0</v>
      </c>
      <c r="CY188" s="847">
        <v>0</v>
      </c>
      <c r="CZ188" s="847">
        <v>0</v>
      </c>
      <c r="DA188" s="847">
        <v>0</v>
      </c>
      <c r="DB188" s="847">
        <v>0</v>
      </c>
      <c r="DC188" s="847">
        <v>0</v>
      </c>
      <c r="DD188" s="847">
        <v>0</v>
      </c>
      <c r="DE188" s="847">
        <v>0</v>
      </c>
      <c r="DF188" s="847">
        <v>0</v>
      </c>
      <c r="DG188" s="847">
        <v>0</v>
      </c>
      <c r="DH188" s="847">
        <v>0</v>
      </c>
      <c r="DI188" s="847">
        <v>0</v>
      </c>
      <c r="DJ188" s="847">
        <v>0</v>
      </c>
      <c r="DK188" s="847">
        <v>0</v>
      </c>
      <c r="DL188" s="847">
        <v>0</v>
      </c>
      <c r="DM188" s="847">
        <v>0</v>
      </c>
      <c r="DN188" s="847">
        <v>0</v>
      </c>
      <c r="DO188" s="847">
        <v>0</v>
      </c>
      <c r="DP188" s="847">
        <v>0</v>
      </c>
      <c r="DQ188" s="847">
        <v>0</v>
      </c>
      <c r="DR188" s="847">
        <v>0</v>
      </c>
      <c r="DS188" s="847">
        <v>0</v>
      </c>
      <c r="DT188" s="847">
        <v>0</v>
      </c>
      <c r="DU188" s="847">
        <v>0</v>
      </c>
      <c r="DV188" s="847">
        <v>0</v>
      </c>
      <c r="DW188" s="847">
        <v>0</v>
      </c>
      <c r="DY188" s="843" t="s">
        <v>1060</v>
      </c>
      <c r="DZ188" s="843" t="s">
        <v>1382</v>
      </c>
      <c r="EA188" s="843" t="s">
        <v>96</v>
      </c>
      <c r="EB188" s="844">
        <v>29</v>
      </c>
      <c r="EC188" s="780" t="str">
        <f t="shared" si="7"/>
        <v>IWT060129</v>
      </c>
      <c r="ED188" s="844">
        <v>5274.6</v>
      </c>
      <c r="EE188" s="844">
        <v>10549.1</v>
      </c>
      <c r="EF188" s="844">
        <v>15823.7</v>
      </c>
      <c r="EG188" s="844">
        <v>21098.2</v>
      </c>
      <c r="EH188" s="844">
        <v>26372.799999999999</v>
      </c>
      <c r="EI188" s="844">
        <v>31647.4</v>
      </c>
      <c r="EJ188" s="844">
        <v>31647.4</v>
      </c>
      <c r="EK188" s="844">
        <v>31647.4</v>
      </c>
      <c r="EL188" s="844">
        <v>31647.4</v>
      </c>
      <c r="EM188" s="844">
        <v>32194</v>
      </c>
      <c r="EN188" s="844">
        <v>32838</v>
      </c>
      <c r="EO188" s="844">
        <v>33494</v>
      </c>
      <c r="EP188" s="844">
        <v>34164</v>
      </c>
      <c r="EQ188" s="844">
        <v>34847</v>
      </c>
      <c r="ER188" s="844">
        <v>35544</v>
      </c>
      <c r="ES188" s="844">
        <v>36255</v>
      </c>
      <c r="ET188" s="844">
        <v>36980</v>
      </c>
      <c r="EU188" s="844">
        <v>37720</v>
      </c>
      <c r="EV188" s="844">
        <v>38474</v>
      </c>
      <c r="EW188" s="844">
        <v>39244</v>
      </c>
      <c r="EX188" s="844">
        <v>40029</v>
      </c>
      <c r="EY188" s="844">
        <v>40829</v>
      </c>
      <c r="EZ188" s="844">
        <v>41646</v>
      </c>
      <c r="FA188" s="844">
        <v>42479</v>
      </c>
      <c r="FB188" s="844">
        <v>43328</v>
      </c>
      <c r="FC188" s="844">
        <v>44195</v>
      </c>
      <c r="FD188" s="844">
        <v>45079</v>
      </c>
      <c r="FE188" s="844">
        <v>45980</v>
      </c>
      <c r="FF188" s="844">
        <v>46900</v>
      </c>
      <c r="FG188" s="844">
        <v>47838</v>
      </c>
      <c r="FH188" s="844">
        <v>48795</v>
      </c>
      <c r="FI188" s="844">
        <v>49770</v>
      </c>
      <c r="FJ188" s="844">
        <v>50766</v>
      </c>
      <c r="FK188" s="844">
        <v>51781</v>
      </c>
      <c r="FL188" s="844">
        <v>52817</v>
      </c>
      <c r="FM188" s="844">
        <v>53873</v>
      </c>
      <c r="FN188" s="844">
        <v>54950</v>
      </c>
      <c r="FO188" s="844">
        <v>56049</v>
      </c>
      <c r="FP188" s="844">
        <v>57170</v>
      </c>
      <c r="FQ188" s="844">
        <v>58314</v>
      </c>
      <c r="FR188" s="844">
        <v>59477</v>
      </c>
      <c r="FS188" s="844">
        <v>60658</v>
      </c>
      <c r="FT188" s="844">
        <v>61856</v>
      </c>
      <c r="FU188" s="844">
        <v>63200</v>
      </c>
      <c r="FV188" s="844">
        <v>64600</v>
      </c>
      <c r="FW188" s="844">
        <v>66000</v>
      </c>
      <c r="FX188" s="844">
        <v>67400</v>
      </c>
      <c r="FY188" s="844">
        <v>68800</v>
      </c>
      <c r="FZ188" s="844">
        <v>70200</v>
      </c>
      <c r="GA188" s="844">
        <v>71600</v>
      </c>
      <c r="GB188" s="844">
        <v>73000</v>
      </c>
      <c r="GC188" s="844">
        <v>74400</v>
      </c>
      <c r="GD188" s="844">
        <v>75800</v>
      </c>
      <c r="GE188" s="844">
        <v>77200</v>
      </c>
      <c r="GF188" s="844">
        <v>78600</v>
      </c>
      <c r="GG188" s="844">
        <v>80000</v>
      </c>
      <c r="GH188" s="844">
        <v>81400</v>
      </c>
      <c r="GI188" s="844">
        <v>82800</v>
      </c>
      <c r="GJ188" s="844">
        <v>84200</v>
      </c>
      <c r="GK188" s="844">
        <v>85600</v>
      </c>
      <c r="GL188" s="844">
        <v>87000</v>
      </c>
      <c r="GM188" s="844">
        <v>88400</v>
      </c>
      <c r="GN188" s="844">
        <v>89800</v>
      </c>
      <c r="GO188" s="844">
        <v>91200</v>
      </c>
      <c r="GP188" s="844">
        <v>92600</v>
      </c>
      <c r="GQ188" s="844">
        <v>94000</v>
      </c>
      <c r="GR188" s="844">
        <v>95400</v>
      </c>
      <c r="GS188" s="844">
        <v>96800</v>
      </c>
      <c r="GT188" s="844">
        <v>98200</v>
      </c>
      <c r="GU188" s="844">
        <v>99600</v>
      </c>
      <c r="GV188" s="844">
        <v>101000</v>
      </c>
      <c r="GW188" s="844">
        <v>102400</v>
      </c>
      <c r="GX188" s="844">
        <v>103800</v>
      </c>
      <c r="GY188" s="844">
        <v>105200</v>
      </c>
      <c r="GZ188" s="844">
        <v>106600</v>
      </c>
      <c r="HA188" s="844">
        <v>108000</v>
      </c>
      <c r="HB188" s="844">
        <v>109400</v>
      </c>
      <c r="HC188" s="844">
        <v>110800</v>
      </c>
      <c r="HD188" s="844">
        <v>112200</v>
      </c>
      <c r="HE188" s="844">
        <v>113626</v>
      </c>
      <c r="HF188" s="844">
        <v>115253</v>
      </c>
      <c r="HG188" s="844">
        <v>116400</v>
      </c>
      <c r="HH188" s="844">
        <v>0</v>
      </c>
      <c r="HI188" s="844">
        <v>0</v>
      </c>
      <c r="HJ188" s="844">
        <v>0</v>
      </c>
      <c r="HK188" s="844">
        <v>0</v>
      </c>
      <c r="HL188" s="844">
        <v>0</v>
      </c>
      <c r="HM188" s="844">
        <v>0</v>
      </c>
      <c r="HN188" s="844">
        <v>0</v>
      </c>
      <c r="HO188" s="844">
        <v>0</v>
      </c>
      <c r="HP188" s="844">
        <v>0</v>
      </c>
      <c r="HQ188" s="844">
        <v>0</v>
      </c>
      <c r="HR188" s="844">
        <v>0</v>
      </c>
      <c r="HS188" s="844">
        <v>0</v>
      </c>
      <c r="HT188" s="844">
        <v>0</v>
      </c>
      <c r="HU188" s="844">
        <v>0</v>
      </c>
      <c r="HV188" s="844">
        <v>0</v>
      </c>
      <c r="HW188" s="844">
        <v>0</v>
      </c>
      <c r="HX188" s="844">
        <v>0</v>
      </c>
      <c r="HY188" s="844">
        <v>0</v>
      </c>
      <c r="HZ188" s="844">
        <v>0</v>
      </c>
      <c r="IA188" s="844">
        <v>0</v>
      </c>
      <c r="IB188" s="844">
        <v>0</v>
      </c>
      <c r="IC188" s="844">
        <v>0</v>
      </c>
      <c r="ID188" s="844">
        <v>0</v>
      </c>
      <c r="IE188" s="844">
        <v>0</v>
      </c>
      <c r="IF188" s="844">
        <v>0</v>
      </c>
      <c r="IG188" s="844">
        <v>0</v>
      </c>
      <c r="IH188" s="844">
        <v>0</v>
      </c>
      <c r="II188" s="844">
        <v>0</v>
      </c>
      <c r="IJ188" s="844">
        <v>0</v>
      </c>
    </row>
    <row r="189" spans="9:244" hidden="1">
      <c r="I189" s="156"/>
      <c r="L189" s="846" t="s">
        <v>1060</v>
      </c>
      <c r="M189" s="846" t="s">
        <v>1382</v>
      </c>
      <c r="N189" s="846" t="s">
        <v>96</v>
      </c>
      <c r="O189" s="847">
        <v>30</v>
      </c>
      <c r="P189" s="780" t="str">
        <f t="shared" si="6"/>
        <v>IWT060130</v>
      </c>
      <c r="Q189" s="847">
        <v>0</v>
      </c>
      <c r="R189" s="847">
        <v>0</v>
      </c>
      <c r="S189" s="847">
        <v>0</v>
      </c>
      <c r="T189" s="847">
        <v>0</v>
      </c>
      <c r="U189" s="847">
        <v>0</v>
      </c>
      <c r="V189" s="847">
        <v>0</v>
      </c>
      <c r="W189" s="847">
        <v>0</v>
      </c>
      <c r="X189" s="847">
        <v>0</v>
      </c>
      <c r="Y189" s="847">
        <v>0</v>
      </c>
      <c r="Z189" s="847">
        <v>0</v>
      </c>
      <c r="AA189" s="847">
        <v>0</v>
      </c>
      <c r="AB189" s="847">
        <v>0</v>
      </c>
      <c r="AC189" s="847">
        <v>0</v>
      </c>
      <c r="AD189" s="847">
        <v>0</v>
      </c>
      <c r="AE189" s="847">
        <v>0</v>
      </c>
      <c r="AF189" s="847">
        <v>0</v>
      </c>
      <c r="AG189" s="847">
        <v>0</v>
      </c>
      <c r="AH189" s="847">
        <v>0</v>
      </c>
      <c r="AI189" s="847">
        <v>0</v>
      </c>
      <c r="AJ189" s="847">
        <v>0</v>
      </c>
      <c r="AK189" s="847">
        <v>0</v>
      </c>
      <c r="AL189" s="847">
        <v>0</v>
      </c>
      <c r="AM189" s="847">
        <v>0</v>
      </c>
      <c r="AN189" s="847">
        <v>0</v>
      </c>
      <c r="AO189" s="847">
        <v>0</v>
      </c>
      <c r="AP189" s="847">
        <v>0</v>
      </c>
      <c r="AQ189" s="847">
        <v>0</v>
      </c>
      <c r="AR189" s="847">
        <v>0</v>
      </c>
      <c r="AS189" s="847">
        <v>0</v>
      </c>
      <c r="AT189" s="847">
        <v>0</v>
      </c>
      <c r="AU189" s="847">
        <v>0</v>
      </c>
      <c r="AV189" s="847">
        <v>0</v>
      </c>
      <c r="AW189" s="847">
        <v>0</v>
      </c>
      <c r="AX189" s="847">
        <v>0</v>
      </c>
      <c r="AY189" s="847">
        <v>0</v>
      </c>
      <c r="AZ189" s="847">
        <v>0</v>
      </c>
      <c r="BA189" s="847">
        <v>0</v>
      </c>
      <c r="BB189" s="847">
        <v>0</v>
      </c>
      <c r="BC189" s="847">
        <v>0</v>
      </c>
      <c r="BD189" s="847">
        <v>0</v>
      </c>
      <c r="BE189" s="847">
        <v>0</v>
      </c>
      <c r="BF189" s="847">
        <v>0</v>
      </c>
      <c r="BG189" s="847">
        <v>0</v>
      </c>
      <c r="BH189" s="847">
        <v>0</v>
      </c>
      <c r="BI189" s="847">
        <v>0</v>
      </c>
      <c r="BJ189" s="847">
        <v>0</v>
      </c>
      <c r="BK189" s="847">
        <v>0</v>
      </c>
      <c r="BL189" s="847">
        <v>0</v>
      </c>
      <c r="BM189" s="847">
        <v>0</v>
      </c>
      <c r="BN189" s="847">
        <v>0</v>
      </c>
      <c r="BO189" s="847">
        <v>0</v>
      </c>
      <c r="BP189" s="847">
        <v>0</v>
      </c>
      <c r="BQ189" s="847">
        <v>0</v>
      </c>
      <c r="BR189" s="847">
        <v>0</v>
      </c>
      <c r="BS189" s="847">
        <v>0</v>
      </c>
      <c r="BT189" s="847">
        <v>0</v>
      </c>
      <c r="BU189" s="847">
        <v>0</v>
      </c>
      <c r="BV189" s="847">
        <v>0</v>
      </c>
      <c r="BW189" s="847">
        <v>0</v>
      </c>
      <c r="BX189" s="847">
        <v>0</v>
      </c>
      <c r="BY189" s="847">
        <v>0</v>
      </c>
      <c r="BZ189" s="847">
        <v>0</v>
      </c>
      <c r="CA189" s="847">
        <v>0</v>
      </c>
      <c r="CB189" s="847">
        <v>0</v>
      </c>
      <c r="CC189" s="847">
        <v>0</v>
      </c>
      <c r="CD189" s="847">
        <v>0</v>
      </c>
      <c r="CE189" s="847">
        <v>0</v>
      </c>
      <c r="CF189" s="847">
        <v>0</v>
      </c>
      <c r="CG189" s="847">
        <v>0</v>
      </c>
      <c r="CH189" s="847">
        <v>0</v>
      </c>
      <c r="CI189" s="847">
        <v>0</v>
      </c>
      <c r="CJ189" s="847">
        <v>0</v>
      </c>
      <c r="CK189" s="847">
        <v>0</v>
      </c>
      <c r="CL189" s="847">
        <v>0</v>
      </c>
      <c r="CM189" s="847">
        <v>0</v>
      </c>
      <c r="CN189" s="847">
        <v>0</v>
      </c>
      <c r="CO189" s="847">
        <v>0</v>
      </c>
      <c r="CP189" s="847">
        <v>0</v>
      </c>
      <c r="CQ189" s="847">
        <v>0</v>
      </c>
      <c r="CR189" s="847">
        <v>0</v>
      </c>
      <c r="CS189" s="847">
        <v>115000</v>
      </c>
      <c r="CT189" s="847">
        <v>0</v>
      </c>
      <c r="CU189" s="847">
        <v>0</v>
      </c>
      <c r="CV189" s="847">
        <v>0</v>
      </c>
      <c r="CW189" s="847">
        <v>0</v>
      </c>
      <c r="CX189" s="847">
        <v>0</v>
      </c>
      <c r="CY189" s="847">
        <v>0</v>
      </c>
      <c r="CZ189" s="847">
        <v>0</v>
      </c>
      <c r="DA189" s="847">
        <v>0</v>
      </c>
      <c r="DB189" s="847">
        <v>0</v>
      </c>
      <c r="DC189" s="847">
        <v>0</v>
      </c>
      <c r="DD189" s="847">
        <v>0</v>
      </c>
      <c r="DE189" s="847">
        <v>0</v>
      </c>
      <c r="DF189" s="847">
        <v>0</v>
      </c>
      <c r="DG189" s="847">
        <v>0</v>
      </c>
      <c r="DH189" s="847">
        <v>0</v>
      </c>
      <c r="DI189" s="847">
        <v>0</v>
      </c>
      <c r="DJ189" s="847">
        <v>0</v>
      </c>
      <c r="DK189" s="847">
        <v>0</v>
      </c>
      <c r="DL189" s="847">
        <v>0</v>
      </c>
      <c r="DM189" s="847">
        <v>0</v>
      </c>
      <c r="DN189" s="847">
        <v>0</v>
      </c>
      <c r="DO189" s="847">
        <v>0</v>
      </c>
      <c r="DP189" s="847">
        <v>0</v>
      </c>
      <c r="DQ189" s="847">
        <v>0</v>
      </c>
      <c r="DR189" s="847">
        <v>0</v>
      </c>
      <c r="DS189" s="847">
        <v>0</v>
      </c>
      <c r="DT189" s="847">
        <v>0</v>
      </c>
      <c r="DU189" s="847">
        <v>0</v>
      </c>
      <c r="DV189" s="847">
        <v>0</v>
      </c>
      <c r="DW189" s="847">
        <v>0</v>
      </c>
      <c r="DY189" s="843" t="s">
        <v>1060</v>
      </c>
      <c r="DZ189" s="843" t="s">
        <v>1382</v>
      </c>
      <c r="EA189" s="843" t="s">
        <v>96</v>
      </c>
      <c r="EB189" s="844">
        <v>30</v>
      </c>
      <c r="EC189" s="780" t="str">
        <f t="shared" si="7"/>
        <v>IWT060130</v>
      </c>
      <c r="ED189" s="844">
        <v>5284.1</v>
      </c>
      <c r="EE189" s="844">
        <v>10568.2</v>
      </c>
      <c r="EF189" s="844">
        <v>15852.3</v>
      </c>
      <c r="EG189" s="844">
        <v>21136.400000000001</v>
      </c>
      <c r="EH189" s="844">
        <v>26420.5</v>
      </c>
      <c r="EI189" s="844">
        <v>31704.6</v>
      </c>
      <c r="EJ189" s="844">
        <v>31704.6</v>
      </c>
      <c r="EK189" s="844">
        <v>31704.6</v>
      </c>
      <c r="EL189" s="844">
        <v>31704.6</v>
      </c>
      <c r="EM189" s="844">
        <v>32247</v>
      </c>
      <c r="EN189" s="844">
        <v>32892</v>
      </c>
      <c r="EO189" s="844">
        <v>33550</v>
      </c>
      <c r="EP189" s="844">
        <v>34221</v>
      </c>
      <c r="EQ189" s="844">
        <v>34906</v>
      </c>
      <c r="ER189" s="844">
        <v>35604</v>
      </c>
      <c r="ES189" s="844">
        <v>36316</v>
      </c>
      <c r="ET189" s="844">
        <v>37042</v>
      </c>
      <c r="EU189" s="844">
        <v>37783</v>
      </c>
      <c r="EV189" s="844">
        <v>38539</v>
      </c>
      <c r="EW189" s="844">
        <v>39309</v>
      </c>
      <c r="EX189" s="844">
        <v>40096</v>
      </c>
      <c r="EY189" s="844">
        <v>40897</v>
      </c>
      <c r="EZ189" s="844">
        <v>41715</v>
      </c>
      <c r="FA189" s="844">
        <v>42550</v>
      </c>
      <c r="FB189" s="844">
        <v>43401</v>
      </c>
      <c r="FC189" s="844">
        <v>44269</v>
      </c>
      <c r="FD189" s="844">
        <v>45154</v>
      </c>
      <c r="FE189" s="844">
        <v>46057</v>
      </c>
      <c r="FF189" s="844">
        <v>46978</v>
      </c>
      <c r="FG189" s="844">
        <v>47918</v>
      </c>
      <c r="FH189" s="844">
        <v>48876</v>
      </c>
      <c r="FI189" s="844">
        <v>49854</v>
      </c>
      <c r="FJ189" s="844">
        <v>50851</v>
      </c>
      <c r="FK189" s="844">
        <v>51868</v>
      </c>
      <c r="FL189" s="844">
        <v>52905</v>
      </c>
      <c r="FM189" s="844">
        <v>53963</v>
      </c>
      <c r="FN189" s="844">
        <v>55042</v>
      </c>
      <c r="FO189" s="844">
        <v>56143</v>
      </c>
      <c r="FP189" s="844">
        <v>57266</v>
      </c>
      <c r="FQ189" s="844">
        <v>58411</v>
      </c>
      <c r="FR189" s="844">
        <v>59579</v>
      </c>
      <c r="FS189" s="844">
        <v>60764</v>
      </c>
      <c r="FT189" s="844">
        <v>61965</v>
      </c>
      <c r="FU189" s="844">
        <v>63200</v>
      </c>
      <c r="FV189" s="844">
        <v>64600</v>
      </c>
      <c r="FW189" s="844">
        <v>66000</v>
      </c>
      <c r="FX189" s="844">
        <v>67400</v>
      </c>
      <c r="FY189" s="844">
        <v>68800</v>
      </c>
      <c r="FZ189" s="844">
        <v>70200</v>
      </c>
      <c r="GA189" s="844">
        <v>71600</v>
      </c>
      <c r="GB189" s="844">
        <v>73000</v>
      </c>
      <c r="GC189" s="844">
        <v>74400</v>
      </c>
      <c r="GD189" s="844">
        <v>75800</v>
      </c>
      <c r="GE189" s="844">
        <v>77200</v>
      </c>
      <c r="GF189" s="844">
        <v>78600</v>
      </c>
      <c r="GG189" s="844">
        <v>80000</v>
      </c>
      <c r="GH189" s="844">
        <v>81400</v>
      </c>
      <c r="GI189" s="844">
        <v>82800</v>
      </c>
      <c r="GJ189" s="844">
        <v>84200</v>
      </c>
      <c r="GK189" s="844">
        <v>85600</v>
      </c>
      <c r="GL189" s="844">
        <v>87000</v>
      </c>
      <c r="GM189" s="844">
        <v>88400</v>
      </c>
      <c r="GN189" s="844">
        <v>89800</v>
      </c>
      <c r="GO189" s="844">
        <v>91200</v>
      </c>
      <c r="GP189" s="844">
        <v>92600</v>
      </c>
      <c r="GQ189" s="844">
        <v>94000</v>
      </c>
      <c r="GR189" s="844">
        <v>95400</v>
      </c>
      <c r="GS189" s="844">
        <v>96800</v>
      </c>
      <c r="GT189" s="844">
        <v>98200</v>
      </c>
      <c r="GU189" s="844">
        <v>99600</v>
      </c>
      <c r="GV189" s="844">
        <v>101000</v>
      </c>
      <c r="GW189" s="844">
        <v>102400</v>
      </c>
      <c r="GX189" s="844">
        <v>103800</v>
      </c>
      <c r="GY189" s="844">
        <v>105200</v>
      </c>
      <c r="GZ189" s="844">
        <v>106600</v>
      </c>
      <c r="HA189" s="844">
        <v>108000</v>
      </c>
      <c r="HB189" s="844">
        <v>109400</v>
      </c>
      <c r="HC189" s="844">
        <v>110800</v>
      </c>
      <c r="HD189" s="844">
        <v>112247</v>
      </c>
      <c r="HE189" s="844">
        <v>113867</v>
      </c>
      <c r="HF189" s="844">
        <v>115000</v>
      </c>
      <c r="HG189" s="844">
        <v>0</v>
      </c>
      <c r="HH189" s="844">
        <v>0</v>
      </c>
      <c r="HI189" s="844">
        <v>0</v>
      </c>
      <c r="HJ189" s="844">
        <v>0</v>
      </c>
      <c r="HK189" s="844">
        <v>0</v>
      </c>
      <c r="HL189" s="844">
        <v>0</v>
      </c>
      <c r="HM189" s="844">
        <v>0</v>
      </c>
      <c r="HN189" s="844">
        <v>0</v>
      </c>
      <c r="HO189" s="844">
        <v>0</v>
      </c>
      <c r="HP189" s="844">
        <v>0</v>
      </c>
      <c r="HQ189" s="844">
        <v>0</v>
      </c>
      <c r="HR189" s="844">
        <v>0</v>
      </c>
      <c r="HS189" s="844">
        <v>0</v>
      </c>
      <c r="HT189" s="844">
        <v>0</v>
      </c>
      <c r="HU189" s="844">
        <v>0</v>
      </c>
      <c r="HV189" s="844">
        <v>0</v>
      </c>
      <c r="HW189" s="844">
        <v>0</v>
      </c>
      <c r="HX189" s="844">
        <v>0</v>
      </c>
      <c r="HY189" s="844">
        <v>0</v>
      </c>
      <c r="HZ189" s="844">
        <v>0</v>
      </c>
      <c r="IA189" s="844">
        <v>0</v>
      </c>
      <c r="IB189" s="844">
        <v>0</v>
      </c>
      <c r="IC189" s="844">
        <v>0</v>
      </c>
      <c r="ID189" s="844">
        <v>0</v>
      </c>
      <c r="IE189" s="844">
        <v>0</v>
      </c>
      <c r="IF189" s="844">
        <v>0</v>
      </c>
      <c r="IG189" s="844">
        <v>0</v>
      </c>
      <c r="IH189" s="844">
        <v>0</v>
      </c>
      <c r="II189" s="844">
        <v>0</v>
      </c>
      <c r="IJ189" s="844">
        <v>0</v>
      </c>
    </row>
    <row r="190" spans="9:244" hidden="1">
      <c r="I190" s="156"/>
      <c r="L190" s="846" t="s">
        <v>1060</v>
      </c>
      <c r="M190" s="846" t="s">
        <v>1382</v>
      </c>
      <c r="N190" s="846" t="s">
        <v>96</v>
      </c>
      <c r="O190" s="847">
        <v>31</v>
      </c>
      <c r="P190" s="780" t="str">
        <f t="shared" si="6"/>
        <v>IWT060131</v>
      </c>
      <c r="Q190" s="847">
        <v>0</v>
      </c>
      <c r="R190" s="847">
        <v>0</v>
      </c>
      <c r="S190" s="847">
        <v>0</v>
      </c>
      <c r="T190" s="847">
        <v>0</v>
      </c>
      <c r="U190" s="847">
        <v>0</v>
      </c>
      <c r="V190" s="847">
        <v>0</v>
      </c>
      <c r="W190" s="847">
        <v>0</v>
      </c>
      <c r="X190" s="847">
        <v>0</v>
      </c>
      <c r="Y190" s="847">
        <v>0</v>
      </c>
      <c r="Z190" s="847">
        <v>0</v>
      </c>
      <c r="AA190" s="847">
        <v>0</v>
      </c>
      <c r="AB190" s="847">
        <v>0</v>
      </c>
      <c r="AC190" s="847">
        <v>0</v>
      </c>
      <c r="AD190" s="847">
        <v>0</v>
      </c>
      <c r="AE190" s="847">
        <v>0</v>
      </c>
      <c r="AF190" s="847">
        <v>0</v>
      </c>
      <c r="AG190" s="847">
        <v>0</v>
      </c>
      <c r="AH190" s="847">
        <v>0</v>
      </c>
      <c r="AI190" s="847">
        <v>0</v>
      </c>
      <c r="AJ190" s="847">
        <v>0</v>
      </c>
      <c r="AK190" s="847">
        <v>0</v>
      </c>
      <c r="AL190" s="847">
        <v>0</v>
      </c>
      <c r="AM190" s="847">
        <v>0</v>
      </c>
      <c r="AN190" s="847">
        <v>0</v>
      </c>
      <c r="AO190" s="847">
        <v>0</v>
      </c>
      <c r="AP190" s="847">
        <v>0</v>
      </c>
      <c r="AQ190" s="847">
        <v>0</v>
      </c>
      <c r="AR190" s="847">
        <v>0</v>
      </c>
      <c r="AS190" s="847">
        <v>0</v>
      </c>
      <c r="AT190" s="847">
        <v>0</v>
      </c>
      <c r="AU190" s="847">
        <v>0</v>
      </c>
      <c r="AV190" s="847">
        <v>0</v>
      </c>
      <c r="AW190" s="847">
        <v>0</v>
      </c>
      <c r="AX190" s="847">
        <v>0</v>
      </c>
      <c r="AY190" s="847">
        <v>0</v>
      </c>
      <c r="AZ190" s="847">
        <v>0</v>
      </c>
      <c r="BA190" s="847">
        <v>0</v>
      </c>
      <c r="BB190" s="847">
        <v>0</v>
      </c>
      <c r="BC190" s="847">
        <v>0</v>
      </c>
      <c r="BD190" s="847">
        <v>0</v>
      </c>
      <c r="BE190" s="847">
        <v>0</v>
      </c>
      <c r="BF190" s="847">
        <v>0</v>
      </c>
      <c r="BG190" s="847">
        <v>0</v>
      </c>
      <c r="BH190" s="847">
        <v>0</v>
      </c>
      <c r="BI190" s="847">
        <v>0</v>
      </c>
      <c r="BJ190" s="847">
        <v>0</v>
      </c>
      <c r="BK190" s="847">
        <v>0</v>
      </c>
      <c r="BL190" s="847">
        <v>0</v>
      </c>
      <c r="BM190" s="847">
        <v>0</v>
      </c>
      <c r="BN190" s="847">
        <v>0</v>
      </c>
      <c r="BO190" s="847">
        <v>0</v>
      </c>
      <c r="BP190" s="847">
        <v>0</v>
      </c>
      <c r="BQ190" s="847">
        <v>0</v>
      </c>
      <c r="BR190" s="847">
        <v>0</v>
      </c>
      <c r="BS190" s="847">
        <v>0</v>
      </c>
      <c r="BT190" s="847">
        <v>0</v>
      </c>
      <c r="BU190" s="847">
        <v>0</v>
      </c>
      <c r="BV190" s="847">
        <v>0</v>
      </c>
      <c r="BW190" s="847">
        <v>0</v>
      </c>
      <c r="BX190" s="847">
        <v>0</v>
      </c>
      <c r="BY190" s="847">
        <v>0</v>
      </c>
      <c r="BZ190" s="847">
        <v>0</v>
      </c>
      <c r="CA190" s="847">
        <v>0</v>
      </c>
      <c r="CB190" s="847">
        <v>0</v>
      </c>
      <c r="CC190" s="847">
        <v>0</v>
      </c>
      <c r="CD190" s="847">
        <v>0</v>
      </c>
      <c r="CE190" s="847">
        <v>0</v>
      </c>
      <c r="CF190" s="847">
        <v>0</v>
      </c>
      <c r="CG190" s="847">
        <v>0</v>
      </c>
      <c r="CH190" s="847">
        <v>0</v>
      </c>
      <c r="CI190" s="847">
        <v>0</v>
      </c>
      <c r="CJ190" s="847">
        <v>0</v>
      </c>
      <c r="CK190" s="847">
        <v>0</v>
      </c>
      <c r="CL190" s="847">
        <v>0</v>
      </c>
      <c r="CM190" s="847">
        <v>0</v>
      </c>
      <c r="CN190" s="847">
        <v>0</v>
      </c>
      <c r="CO190" s="847">
        <v>0</v>
      </c>
      <c r="CP190" s="847">
        <v>0</v>
      </c>
      <c r="CQ190" s="847">
        <v>0</v>
      </c>
      <c r="CR190" s="847">
        <v>113600</v>
      </c>
      <c r="CS190" s="847">
        <v>0</v>
      </c>
      <c r="CT190" s="847">
        <v>0</v>
      </c>
      <c r="CU190" s="847">
        <v>0</v>
      </c>
      <c r="CV190" s="847">
        <v>0</v>
      </c>
      <c r="CW190" s="847">
        <v>0</v>
      </c>
      <c r="CX190" s="847">
        <v>0</v>
      </c>
      <c r="CY190" s="847">
        <v>0</v>
      </c>
      <c r="CZ190" s="847">
        <v>0</v>
      </c>
      <c r="DA190" s="847">
        <v>0</v>
      </c>
      <c r="DB190" s="847">
        <v>0</v>
      </c>
      <c r="DC190" s="847">
        <v>0</v>
      </c>
      <c r="DD190" s="847">
        <v>0</v>
      </c>
      <c r="DE190" s="847">
        <v>0</v>
      </c>
      <c r="DF190" s="847">
        <v>0</v>
      </c>
      <c r="DG190" s="847">
        <v>0</v>
      </c>
      <c r="DH190" s="847">
        <v>0</v>
      </c>
      <c r="DI190" s="847">
        <v>0</v>
      </c>
      <c r="DJ190" s="847">
        <v>0</v>
      </c>
      <c r="DK190" s="847">
        <v>0</v>
      </c>
      <c r="DL190" s="847">
        <v>0</v>
      </c>
      <c r="DM190" s="847">
        <v>0</v>
      </c>
      <c r="DN190" s="847">
        <v>0</v>
      </c>
      <c r="DO190" s="847">
        <v>0</v>
      </c>
      <c r="DP190" s="847">
        <v>0</v>
      </c>
      <c r="DQ190" s="847">
        <v>0</v>
      </c>
      <c r="DR190" s="847">
        <v>0</v>
      </c>
      <c r="DS190" s="847">
        <v>0</v>
      </c>
      <c r="DT190" s="847">
        <v>0</v>
      </c>
      <c r="DU190" s="847">
        <v>0</v>
      </c>
      <c r="DV190" s="847">
        <v>0</v>
      </c>
      <c r="DW190" s="847">
        <v>0</v>
      </c>
      <c r="DY190" s="843" t="s">
        <v>1060</v>
      </c>
      <c r="DZ190" s="843" t="s">
        <v>1382</v>
      </c>
      <c r="EA190" s="843" t="s">
        <v>96</v>
      </c>
      <c r="EB190" s="844">
        <v>31</v>
      </c>
      <c r="EC190" s="780" t="str">
        <f t="shared" si="7"/>
        <v>IWT060131</v>
      </c>
      <c r="ED190" s="844">
        <v>5292.6</v>
      </c>
      <c r="EE190" s="844">
        <v>10585.2</v>
      </c>
      <c r="EF190" s="844">
        <v>15877.7</v>
      </c>
      <c r="EG190" s="844">
        <v>21170.3</v>
      </c>
      <c r="EH190" s="844">
        <v>26462.9</v>
      </c>
      <c r="EI190" s="844">
        <v>31755.5</v>
      </c>
      <c r="EJ190" s="844">
        <v>31755.5</v>
      </c>
      <c r="EK190" s="844">
        <v>31755.5</v>
      </c>
      <c r="EL190" s="844">
        <v>31755.5</v>
      </c>
      <c r="EM190" s="844">
        <v>32298</v>
      </c>
      <c r="EN190" s="844">
        <v>32944</v>
      </c>
      <c r="EO190" s="844">
        <v>33603</v>
      </c>
      <c r="EP190" s="844">
        <v>34275</v>
      </c>
      <c r="EQ190" s="844">
        <v>34960</v>
      </c>
      <c r="ER190" s="844">
        <v>35659</v>
      </c>
      <c r="ES190" s="844">
        <v>36373</v>
      </c>
      <c r="ET190" s="844">
        <v>37100</v>
      </c>
      <c r="EU190" s="844">
        <v>37842</v>
      </c>
      <c r="EV190" s="844">
        <v>38599</v>
      </c>
      <c r="EW190" s="844">
        <v>39371</v>
      </c>
      <c r="EX190" s="844">
        <v>40158</v>
      </c>
      <c r="EY190" s="844">
        <v>40961</v>
      </c>
      <c r="EZ190" s="844">
        <v>41781</v>
      </c>
      <c r="FA190" s="844">
        <v>42616</v>
      </c>
      <c r="FB190" s="844">
        <v>43468</v>
      </c>
      <c r="FC190" s="844">
        <v>44338</v>
      </c>
      <c r="FD190" s="844">
        <v>45225</v>
      </c>
      <c r="FE190" s="844">
        <v>46129</v>
      </c>
      <c r="FF190" s="844">
        <v>47052</v>
      </c>
      <c r="FG190" s="844">
        <v>47993</v>
      </c>
      <c r="FH190" s="844">
        <v>48952</v>
      </c>
      <c r="FI190" s="844">
        <v>49931</v>
      </c>
      <c r="FJ190" s="844">
        <v>50930</v>
      </c>
      <c r="FK190" s="844">
        <v>51949</v>
      </c>
      <c r="FL190" s="844">
        <v>52987</v>
      </c>
      <c r="FM190" s="844">
        <v>54047</v>
      </c>
      <c r="FN190" s="844">
        <v>55128</v>
      </c>
      <c r="FO190" s="844">
        <v>56231</v>
      </c>
      <c r="FP190" s="844">
        <v>57355</v>
      </c>
      <c r="FQ190" s="844">
        <v>58502</v>
      </c>
      <c r="FR190" s="844">
        <v>59672</v>
      </c>
      <c r="FS190" s="844">
        <v>60861</v>
      </c>
      <c r="FT190" s="844">
        <v>62067</v>
      </c>
      <c r="FU190" s="844">
        <v>63289</v>
      </c>
      <c r="FV190" s="844">
        <v>64600</v>
      </c>
      <c r="FW190" s="844">
        <v>66000</v>
      </c>
      <c r="FX190" s="844">
        <v>67400</v>
      </c>
      <c r="FY190" s="844">
        <v>68800</v>
      </c>
      <c r="FZ190" s="844">
        <v>70200</v>
      </c>
      <c r="GA190" s="844">
        <v>71600</v>
      </c>
      <c r="GB190" s="844">
        <v>73000</v>
      </c>
      <c r="GC190" s="844">
        <v>74400</v>
      </c>
      <c r="GD190" s="844">
        <v>75800</v>
      </c>
      <c r="GE190" s="844">
        <v>77200</v>
      </c>
      <c r="GF190" s="844">
        <v>78600</v>
      </c>
      <c r="GG190" s="844">
        <v>80000</v>
      </c>
      <c r="GH190" s="844">
        <v>81400</v>
      </c>
      <c r="GI190" s="844">
        <v>82800</v>
      </c>
      <c r="GJ190" s="844">
        <v>84200</v>
      </c>
      <c r="GK190" s="844">
        <v>85600</v>
      </c>
      <c r="GL190" s="844">
        <v>87000</v>
      </c>
      <c r="GM190" s="844">
        <v>88400</v>
      </c>
      <c r="GN190" s="844">
        <v>89800</v>
      </c>
      <c r="GO190" s="844">
        <v>91200</v>
      </c>
      <c r="GP190" s="844">
        <v>92600</v>
      </c>
      <c r="GQ190" s="844">
        <v>94000</v>
      </c>
      <c r="GR190" s="844">
        <v>95400</v>
      </c>
      <c r="GS190" s="844">
        <v>96800</v>
      </c>
      <c r="GT190" s="844">
        <v>98200</v>
      </c>
      <c r="GU190" s="844">
        <v>99600</v>
      </c>
      <c r="GV190" s="844">
        <v>101000</v>
      </c>
      <c r="GW190" s="844">
        <v>102400</v>
      </c>
      <c r="GX190" s="844">
        <v>103800</v>
      </c>
      <c r="GY190" s="844">
        <v>105200</v>
      </c>
      <c r="GZ190" s="844">
        <v>106600</v>
      </c>
      <c r="HA190" s="844">
        <v>108000</v>
      </c>
      <c r="HB190" s="844">
        <v>109400</v>
      </c>
      <c r="HC190" s="844">
        <v>110868</v>
      </c>
      <c r="HD190" s="844">
        <v>112481</v>
      </c>
      <c r="HE190" s="844">
        <v>113600</v>
      </c>
      <c r="HF190" s="844">
        <v>0</v>
      </c>
      <c r="HG190" s="844">
        <v>0</v>
      </c>
      <c r="HH190" s="844">
        <v>0</v>
      </c>
      <c r="HI190" s="844">
        <v>0</v>
      </c>
      <c r="HJ190" s="844">
        <v>0</v>
      </c>
      <c r="HK190" s="844">
        <v>0</v>
      </c>
      <c r="HL190" s="844">
        <v>0</v>
      </c>
      <c r="HM190" s="844">
        <v>0</v>
      </c>
      <c r="HN190" s="844">
        <v>0</v>
      </c>
      <c r="HO190" s="844">
        <v>0</v>
      </c>
      <c r="HP190" s="844">
        <v>0</v>
      </c>
      <c r="HQ190" s="844">
        <v>0</v>
      </c>
      <c r="HR190" s="844">
        <v>0</v>
      </c>
      <c r="HS190" s="844">
        <v>0</v>
      </c>
      <c r="HT190" s="844">
        <v>0</v>
      </c>
      <c r="HU190" s="844">
        <v>0</v>
      </c>
      <c r="HV190" s="844">
        <v>0</v>
      </c>
      <c r="HW190" s="844">
        <v>0</v>
      </c>
      <c r="HX190" s="844">
        <v>0</v>
      </c>
      <c r="HY190" s="844">
        <v>0</v>
      </c>
      <c r="HZ190" s="844">
        <v>0</v>
      </c>
      <c r="IA190" s="844">
        <v>0</v>
      </c>
      <c r="IB190" s="844">
        <v>0</v>
      </c>
      <c r="IC190" s="844">
        <v>0</v>
      </c>
      <c r="ID190" s="844">
        <v>0</v>
      </c>
      <c r="IE190" s="844">
        <v>0</v>
      </c>
      <c r="IF190" s="844">
        <v>0</v>
      </c>
      <c r="IG190" s="844">
        <v>0</v>
      </c>
      <c r="IH190" s="844">
        <v>0</v>
      </c>
      <c r="II190" s="844">
        <v>0</v>
      </c>
      <c r="IJ190" s="844">
        <v>0</v>
      </c>
    </row>
    <row r="191" spans="9:244" hidden="1">
      <c r="I191" s="156"/>
      <c r="L191" s="846" t="s">
        <v>1060</v>
      </c>
      <c r="M191" s="846" t="s">
        <v>1382</v>
      </c>
      <c r="N191" s="846" t="s">
        <v>96</v>
      </c>
      <c r="O191" s="847">
        <v>32</v>
      </c>
      <c r="P191" s="780" t="str">
        <f t="shared" si="6"/>
        <v>IWT060132</v>
      </c>
      <c r="Q191" s="847">
        <v>0</v>
      </c>
      <c r="R191" s="847">
        <v>0</v>
      </c>
      <c r="S191" s="847">
        <v>0</v>
      </c>
      <c r="T191" s="847">
        <v>0</v>
      </c>
      <c r="U191" s="847">
        <v>0</v>
      </c>
      <c r="V191" s="847">
        <v>0</v>
      </c>
      <c r="W191" s="847">
        <v>0</v>
      </c>
      <c r="X191" s="847">
        <v>0</v>
      </c>
      <c r="Y191" s="847">
        <v>0</v>
      </c>
      <c r="Z191" s="847">
        <v>0</v>
      </c>
      <c r="AA191" s="847">
        <v>0</v>
      </c>
      <c r="AB191" s="847">
        <v>0</v>
      </c>
      <c r="AC191" s="847">
        <v>0</v>
      </c>
      <c r="AD191" s="847">
        <v>0</v>
      </c>
      <c r="AE191" s="847">
        <v>0</v>
      </c>
      <c r="AF191" s="847">
        <v>0</v>
      </c>
      <c r="AG191" s="847">
        <v>0</v>
      </c>
      <c r="AH191" s="847">
        <v>0</v>
      </c>
      <c r="AI191" s="847">
        <v>0</v>
      </c>
      <c r="AJ191" s="847">
        <v>0</v>
      </c>
      <c r="AK191" s="847">
        <v>0</v>
      </c>
      <c r="AL191" s="847">
        <v>0</v>
      </c>
      <c r="AM191" s="847">
        <v>0</v>
      </c>
      <c r="AN191" s="847">
        <v>0</v>
      </c>
      <c r="AO191" s="847">
        <v>0</v>
      </c>
      <c r="AP191" s="847">
        <v>0</v>
      </c>
      <c r="AQ191" s="847">
        <v>0</v>
      </c>
      <c r="AR191" s="847">
        <v>0</v>
      </c>
      <c r="AS191" s="847">
        <v>0</v>
      </c>
      <c r="AT191" s="847">
        <v>0</v>
      </c>
      <c r="AU191" s="847">
        <v>0</v>
      </c>
      <c r="AV191" s="847">
        <v>0</v>
      </c>
      <c r="AW191" s="847">
        <v>0</v>
      </c>
      <c r="AX191" s="847">
        <v>0</v>
      </c>
      <c r="AY191" s="847">
        <v>0</v>
      </c>
      <c r="AZ191" s="847">
        <v>0</v>
      </c>
      <c r="BA191" s="847">
        <v>0</v>
      </c>
      <c r="BB191" s="847">
        <v>0</v>
      </c>
      <c r="BC191" s="847">
        <v>0</v>
      </c>
      <c r="BD191" s="847">
        <v>0</v>
      </c>
      <c r="BE191" s="847">
        <v>0</v>
      </c>
      <c r="BF191" s="847">
        <v>0</v>
      </c>
      <c r="BG191" s="847">
        <v>0</v>
      </c>
      <c r="BH191" s="847">
        <v>0</v>
      </c>
      <c r="BI191" s="847">
        <v>0</v>
      </c>
      <c r="BJ191" s="847">
        <v>0</v>
      </c>
      <c r="BK191" s="847">
        <v>0</v>
      </c>
      <c r="BL191" s="847">
        <v>0</v>
      </c>
      <c r="BM191" s="847">
        <v>0</v>
      </c>
      <c r="BN191" s="847">
        <v>0</v>
      </c>
      <c r="BO191" s="847">
        <v>0</v>
      </c>
      <c r="BP191" s="847">
        <v>0</v>
      </c>
      <c r="BQ191" s="847">
        <v>0</v>
      </c>
      <c r="BR191" s="847">
        <v>0</v>
      </c>
      <c r="BS191" s="847">
        <v>0</v>
      </c>
      <c r="BT191" s="847">
        <v>0</v>
      </c>
      <c r="BU191" s="847">
        <v>0</v>
      </c>
      <c r="BV191" s="847">
        <v>0</v>
      </c>
      <c r="BW191" s="847">
        <v>0</v>
      </c>
      <c r="BX191" s="847">
        <v>0</v>
      </c>
      <c r="BY191" s="847">
        <v>0</v>
      </c>
      <c r="BZ191" s="847">
        <v>0</v>
      </c>
      <c r="CA191" s="847">
        <v>0</v>
      </c>
      <c r="CB191" s="847">
        <v>0</v>
      </c>
      <c r="CC191" s="847">
        <v>0</v>
      </c>
      <c r="CD191" s="847">
        <v>0</v>
      </c>
      <c r="CE191" s="847">
        <v>0</v>
      </c>
      <c r="CF191" s="847">
        <v>0</v>
      </c>
      <c r="CG191" s="847">
        <v>0</v>
      </c>
      <c r="CH191" s="847">
        <v>0</v>
      </c>
      <c r="CI191" s="847">
        <v>0</v>
      </c>
      <c r="CJ191" s="847">
        <v>0</v>
      </c>
      <c r="CK191" s="847">
        <v>0</v>
      </c>
      <c r="CL191" s="847">
        <v>0</v>
      </c>
      <c r="CM191" s="847">
        <v>0</v>
      </c>
      <c r="CN191" s="847">
        <v>0</v>
      </c>
      <c r="CO191" s="847">
        <v>0</v>
      </c>
      <c r="CP191" s="847">
        <v>0</v>
      </c>
      <c r="CQ191" s="847">
        <v>112200</v>
      </c>
      <c r="CR191" s="847">
        <v>0</v>
      </c>
      <c r="CS191" s="847">
        <v>0</v>
      </c>
      <c r="CT191" s="847">
        <v>0</v>
      </c>
      <c r="CU191" s="847">
        <v>0</v>
      </c>
      <c r="CV191" s="847">
        <v>0</v>
      </c>
      <c r="CW191" s="847">
        <v>0</v>
      </c>
      <c r="CX191" s="847">
        <v>0</v>
      </c>
      <c r="CY191" s="847">
        <v>0</v>
      </c>
      <c r="CZ191" s="847">
        <v>0</v>
      </c>
      <c r="DA191" s="847">
        <v>0</v>
      </c>
      <c r="DB191" s="847">
        <v>0</v>
      </c>
      <c r="DC191" s="847">
        <v>0</v>
      </c>
      <c r="DD191" s="847">
        <v>0</v>
      </c>
      <c r="DE191" s="847">
        <v>0</v>
      </c>
      <c r="DF191" s="847">
        <v>0</v>
      </c>
      <c r="DG191" s="847">
        <v>0</v>
      </c>
      <c r="DH191" s="847">
        <v>0</v>
      </c>
      <c r="DI191" s="847">
        <v>0</v>
      </c>
      <c r="DJ191" s="847">
        <v>0</v>
      </c>
      <c r="DK191" s="847">
        <v>0</v>
      </c>
      <c r="DL191" s="847">
        <v>0</v>
      </c>
      <c r="DM191" s="847">
        <v>0</v>
      </c>
      <c r="DN191" s="847">
        <v>0</v>
      </c>
      <c r="DO191" s="847">
        <v>0</v>
      </c>
      <c r="DP191" s="847">
        <v>0</v>
      </c>
      <c r="DQ191" s="847">
        <v>0</v>
      </c>
      <c r="DR191" s="847">
        <v>0</v>
      </c>
      <c r="DS191" s="847">
        <v>0</v>
      </c>
      <c r="DT191" s="847">
        <v>0</v>
      </c>
      <c r="DU191" s="847">
        <v>0</v>
      </c>
      <c r="DV191" s="847">
        <v>0</v>
      </c>
      <c r="DW191" s="847">
        <v>0</v>
      </c>
      <c r="DY191" s="843" t="s">
        <v>1060</v>
      </c>
      <c r="DZ191" s="843" t="s">
        <v>1382</v>
      </c>
      <c r="EA191" s="843" t="s">
        <v>96</v>
      </c>
      <c r="EB191" s="844">
        <v>32</v>
      </c>
      <c r="EC191" s="780" t="str">
        <f t="shared" si="7"/>
        <v>IWT060132</v>
      </c>
      <c r="ED191" s="844">
        <v>5300</v>
      </c>
      <c r="EE191" s="844">
        <v>10600</v>
      </c>
      <c r="EF191" s="844">
        <v>15900</v>
      </c>
      <c r="EG191" s="844">
        <v>21200</v>
      </c>
      <c r="EH191" s="844">
        <v>26500</v>
      </c>
      <c r="EI191" s="844">
        <v>31800</v>
      </c>
      <c r="EJ191" s="844">
        <v>31800</v>
      </c>
      <c r="EK191" s="844">
        <v>31800</v>
      </c>
      <c r="EL191" s="844">
        <v>31800</v>
      </c>
      <c r="EM191" s="844">
        <v>32344</v>
      </c>
      <c r="EN191" s="844">
        <v>32991</v>
      </c>
      <c r="EO191" s="844">
        <v>33651</v>
      </c>
      <c r="EP191" s="844">
        <v>34324</v>
      </c>
      <c r="EQ191" s="844">
        <v>35010</v>
      </c>
      <c r="ER191" s="844">
        <v>35710</v>
      </c>
      <c r="ES191" s="844">
        <v>36424</v>
      </c>
      <c r="ET191" s="844">
        <v>37153</v>
      </c>
      <c r="EU191" s="844">
        <v>37896</v>
      </c>
      <c r="EV191" s="844">
        <v>38654</v>
      </c>
      <c r="EW191" s="844">
        <v>39427</v>
      </c>
      <c r="EX191" s="844">
        <v>40215</v>
      </c>
      <c r="EY191" s="844">
        <v>41020</v>
      </c>
      <c r="EZ191" s="844">
        <v>41840</v>
      </c>
      <c r="FA191" s="844">
        <v>42677</v>
      </c>
      <c r="FB191" s="844">
        <v>43530</v>
      </c>
      <c r="FC191" s="844">
        <v>44401</v>
      </c>
      <c r="FD191" s="844">
        <v>45289</v>
      </c>
      <c r="FE191" s="844">
        <v>46195</v>
      </c>
      <c r="FF191" s="844">
        <v>47119</v>
      </c>
      <c r="FG191" s="844">
        <v>48061</v>
      </c>
      <c r="FH191" s="844">
        <v>49022</v>
      </c>
      <c r="FI191" s="844">
        <v>50003</v>
      </c>
      <c r="FJ191" s="844">
        <v>51003</v>
      </c>
      <c r="FK191" s="844">
        <v>52023</v>
      </c>
      <c r="FL191" s="844">
        <v>53063</v>
      </c>
      <c r="FM191" s="844">
        <v>54124</v>
      </c>
      <c r="FN191" s="844">
        <v>55207</v>
      </c>
      <c r="FO191" s="844">
        <v>56311</v>
      </c>
      <c r="FP191" s="844">
        <v>57437</v>
      </c>
      <c r="FQ191" s="844">
        <v>58585</v>
      </c>
      <c r="FR191" s="844">
        <v>59757</v>
      </c>
      <c r="FS191" s="844">
        <v>60951</v>
      </c>
      <c r="FT191" s="844">
        <v>62160</v>
      </c>
      <c r="FU191" s="844">
        <v>63386</v>
      </c>
      <c r="FV191" s="844">
        <v>64627</v>
      </c>
      <c r="FW191" s="844">
        <v>66000</v>
      </c>
      <c r="FX191" s="844">
        <v>67400</v>
      </c>
      <c r="FY191" s="844">
        <v>68800</v>
      </c>
      <c r="FZ191" s="844">
        <v>70200</v>
      </c>
      <c r="GA191" s="844">
        <v>71600</v>
      </c>
      <c r="GB191" s="844">
        <v>73000</v>
      </c>
      <c r="GC191" s="844">
        <v>74400</v>
      </c>
      <c r="GD191" s="844">
        <v>75800</v>
      </c>
      <c r="GE191" s="844">
        <v>77200</v>
      </c>
      <c r="GF191" s="844">
        <v>78600</v>
      </c>
      <c r="GG191" s="844">
        <v>80000</v>
      </c>
      <c r="GH191" s="844">
        <v>81400</v>
      </c>
      <c r="GI191" s="844">
        <v>82800</v>
      </c>
      <c r="GJ191" s="844">
        <v>84200</v>
      </c>
      <c r="GK191" s="844">
        <v>85600</v>
      </c>
      <c r="GL191" s="844">
        <v>87000</v>
      </c>
      <c r="GM191" s="844">
        <v>88400</v>
      </c>
      <c r="GN191" s="844">
        <v>89800</v>
      </c>
      <c r="GO191" s="844">
        <v>91200</v>
      </c>
      <c r="GP191" s="844">
        <v>92600</v>
      </c>
      <c r="GQ191" s="844">
        <v>94000</v>
      </c>
      <c r="GR191" s="844">
        <v>95400</v>
      </c>
      <c r="GS191" s="844">
        <v>96800</v>
      </c>
      <c r="GT191" s="844">
        <v>98200</v>
      </c>
      <c r="GU191" s="844">
        <v>99600</v>
      </c>
      <c r="GV191" s="844">
        <v>101000</v>
      </c>
      <c r="GW191" s="844">
        <v>102400</v>
      </c>
      <c r="GX191" s="844">
        <v>103800</v>
      </c>
      <c r="GY191" s="844">
        <v>105200</v>
      </c>
      <c r="GZ191" s="844">
        <v>106600</v>
      </c>
      <c r="HA191" s="844">
        <v>108000</v>
      </c>
      <c r="HB191" s="844">
        <v>109490</v>
      </c>
      <c r="HC191" s="844">
        <v>111095</v>
      </c>
      <c r="HD191" s="844">
        <v>112200</v>
      </c>
      <c r="HE191" s="844">
        <v>0</v>
      </c>
      <c r="HF191" s="844">
        <v>0</v>
      </c>
      <c r="HG191" s="844">
        <v>0</v>
      </c>
      <c r="HH191" s="844">
        <v>0</v>
      </c>
      <c r="HI191" s="844">
        <v>0</v>
      </c>
      <c r="HJ191" s="844">
        <v>0</v>
      </c>
      <c r="HK191" s="844">
        <v>0</v>
      </c>
      <c r="HL191" s="844">
        <v>0</v>
      </c>
      <c r="HM191" s="844">
        <v>0</v>
      </c>
      <c r="HN191" s="844">
        <v>0</v>
      </c>
      <c r="HO191" s="844">
        <v>0</v>
      </c>
      <c r="HP191" s="844">
        <v>0</v>
      </c>
      <c r="HQ191" s="844">
        <v>0</v>
      </c>
      <c r="HR191" s="844">
        <v>0</v>
      </c>
      <c r="HS191" s="844">
        <v>0</v>
      </c>
      <c r="HT191" s="844">
        <v>0</v>
      </c>
      <c r="HU191" s="844">
        <v>0</v>
      </c>
      <c r="HV191" s="844">
        <v>0</v>
      </c>
      <c r="HW191" s="844">
        <v>0</v>
      </c>
      <c r="HX191" s="844">
        <v>0</v>
      </c>
      <c r="HY191" s="844">
        <v>0</v>
      </c>
      <c r="HZ191" s="844">
        <v>0</v>
      </c>
      <c r="IA191" s="844">
        <v>0</v>
      </c>
      <c r="IB191" s="844">
        <v>0</v>
      </c>
      <c r="IC191" s="844">
        <v>0</v>
      </c>
      <c r="ID191" s="844">
        <v>0</v>
      </c>
      <c r="IE191" s="844">
        <v>0</v>
      </c>
      <c r="IF191" s="844">
        <v>0</v>
      </c>
      <c r="IG191" s="844">
        <v>0</v>
      </c>
      <c r="IH191" s="844">
        <v>0</v>
      </c>
      <c r="II191" s="844">
        <v>0</v>
      </c>
      <c r="IJ191" s="844">
        <v>0</v>
      </c>
    </row>
    <row r="192" spans="9:244" hidden="1">
      <c r="I192" s="156"/>
      <c r="L192" s="846" t="s">
        <v>1060</v>
      </c>
      <c r="M192" s="846" t="s">
        <v>1382</v>
      </c>
      <c r="N192" s="846" t="s">
        <v>96</v>
      </c>
      <c r="O192" s="847">
        <v>33</v>
      </c>
      <c r="P192" s="780" t="str">
        <f t="shared" si="6"/>
        <v>IWT060133</v>
      </c>
      <c r="Q192" s="847">
        <v>0</v>
      </c>
      <c r="R192" s="847">
        <v>0</v>
      </c>
      <c r="S192" s="847">
        <v>0</v>
      </c>
      <c r="T192" s="847">
        <v>0</v>
      </c>
      <c r="U192" s="847">
        <v>0</v>
      </c>
      <c r="V192" s="847">
        <v>0</v>
      </c>
      <c r="W192" s="847">
        <v>0</v>
      </c>
      <c r="X192" s="847">
        <v>0</v>
      </c>
      <c r="Y192" s="847">
        <v>0</v>
      </c>
      <c r="Z192" s="847">
        <v>0</v>
      </c>
      <c r="AA192" s="847">
        <v>0</v>
      </c>
      <c r="AB192" s="847">
        <v>0</v>
      </c>
      <c r="AC192" s="847">
        <v>0</v>
      </c>
      <c r="AD192" s="847">
        <v>0</v>
      </c>
      <c r="AE192" s="847">
        <v>0</v>
      </c>
      <c r="AF192" s="847">
        <v>0</v>
      </c>
      <c r="AG192" s="847">
        <v>0</v>
      </c>
      <c r="AH192" s="847">
        <v>0</v>
      </c>
      <c r="AI192" s="847">
        <v>0</v>
      </c>
      <c r="AJ192" s="847">
        <v>0</v>
      </c>
      <c r="AK192" s="847">
        <v>0</v>
      </c>
      <c r="AL192" s="847">
        <v>0</v>
      </c>
      <c r="AM192" s="847">
        <v>0</v>
      </c>
      <c r="AN192" s="847">
        <v>0</v>
      </c>
      <c r="AO192" s="847">
        <v>0</v>
      </c>
      <c r="AP192" s="847">
        <v>0</v>
      </c>
      <c r="AQ192" s="847">
        <v>0</v>
      </c>
      <c r="AR192" s="847">
        <v>0</v>
      </c>
      <c r="AS192" s="847">
        <v>0</v>
      </c>
      <c r="AT192" s="847">
        <v>0</v>
      </c>
      <c r="AU192" s="847">
        <v>0</v>
      </c>
      <c r="AV192" s="847">
        <v>0</v>
      </c>
      <c r="AW192" s="847">
        <v>0</v>
      </c>
      <c r="AX192" s="847">
        <v>0</v>
      </c>
      <c r="AY192" s="847">
        <v>0</v>
      </c>
      <c r="AZ192" s="847">
        <v>0</v>
      </c>
      <c r="BA192" s="847">
        <v>0</v>
      </c>
      <c r="BB192" s="847">
        <v>0</v>
      </c>
      <c r="BC192" s="847">
        <v>0</v>
      </c>
      <c r="BD192" s="847">
        <v>0</v>
      </c>
      <c r="BE192" s="847">
        <v>0</v>
      </c>
      <c r="BF192" s="847">
        <v>0</v>
      </c>
      <c r="BG192" s="847">
        <v>0</v>
      </c>
      <c r="BH192" s="847">
        <v>0</v>
      </c>
      <c r="BI192" s="847">
        <v>0</v>
      </c>
      <c r="BJ192" s="847">
        <v>0</v>
      </c>
      <c r="BK192" s="847">
        <v>0</v>
      </c>
      <c r="BL192" s="847">
        <v>0</v>
      </c>
      <c r="BM192" s="847">
        <v>0</v>
      </c>
      <c r="BN192" s="847">
        <v>0</v>
      </c>
      <c r="BO192" s="847">
        <v>0</v>
      </c>
      <c r="BP192" s="847">
        <v>0</v>
      </c>
      <c r="BQ192" s="847">
        <v>0</v>
      </c>
      <c r="BR192" s="847">
        <v>0</v>
      </c>
      <c r="BS192" s="847">
        <v>0</v>
      </c>
      <c r="BT192" s="847">
        <v>0</v>
      </c>
      <c r="BU192" s="847">
        <v>0</v>
      </c>
      <c r="BV192" s="847">
        <v>0</v>
      </c>
      <c r="BW192" s="847">
        <v>0</v>
      </c>
      <c r="BX192" s="847">
        <v>0</v>
      </c>
      <c r="BY192" s="847">
        <v>0</v>
      </c>
      <c r="BZ192" s="847">
        <v>0</v>
      </c>
      <c r="CA192" s="847">
        <v>0</v>
      </c>
      <c r="CB192" s="847">
        <v>0</v>
      </c>
      <c r="CC192" s="847">
        <v>0</v>
      </c>
      <c r="CD192" s="847">
        <v>0</v>
      </c>
      <c r="CE192" s="847">
        <v>0</v>
      </c>
      <c r="CF192" s="847">
        <v>0</v>
      </c>
      <c r="CG192" s="847">
        <v>0</v>
      </c>
      <c r="CH192" s="847">
        <v>0</v>
      </c>
      <c r="CI192" s="847">
        <v>0</v>
      </c>
      <c r="CJ192" s="847">
        <v>0</v>
      </c>
      <c r="CK192" s="847">
        <v>0</v>
      </c>
      <c r="CL192" s="847">
        <v>0</v>
      </c>
      <c r="CM192" s="847">
        <v>0</v>
      </c>
      <c r="CN192" s="847">
        <v>0</v>
      </c>
      <c r="CO192" s="847">
        <v>0</v>
      </c>
      <c r="CP192" s="847">
        <v>110800</v>
      </c>
      <c r="CQ192" s="847">
        <v>0</v>
      </c>
      <c r="CR192" s="847">
        <v>0</v>
      </c>
      <c r="CS192" s="847">
        <v>0</v>
      </c>
      <c r="CT192" s="847">
        <v>0</v>
      </c>
      <c r="CU192" s="847">
        <v>0</v>
      </c>
      <c r="CV192" s="847">
        <v>0</v>
      </c>
      <c r="CW192" s="847">
        <v>0</v>
      </c>
      <c r="CX192" s="847">
        <v>0</v>
      </c>
      <c r="CY192" s="847">
        <v>0</v>
      </c>
      <c r="CZ192" s="847">
        <v>0</v>
      </c>
      <c r="DA192" s="847">
        <v>0</v>
      </c>
      <c r="DB192" s="847">
        <v>0</v>
      </c>
      <c r="DC192" s="847">
        <v>0</v>
      </c>
      <c r="DD192" s="847">
        <v>0</v>
      </c>
      <c r="DE192" s="847">
        <v>0</v>
      </c>
      <c r="DF192" s="847">
        <v>0</v>
      </c>
      <c r="DG192" s="847">
        <v>0</v>
      </c>
      <c r="DH192" s="847">
        <v>0</v>
      </c>
      <c r="DI192" s="847">
        <v>0</v>
      </c>
      <c r="DJ192" s="847">
        <v>0</v>
      </c>
      <c r="DK192" s="847">
        <v>0</v>
      </c>
      <c r="DL192" s="847">
        <v>0</v>
      </c>
      <c r="DM192" s="847">
        <v>0</v>
      </c>
      <c r="DN192" s="847">
        <v>0</v>
      </c>
      <c r="DO192" s="847">
        <v>0</v>
      </c>
      <c r="DP192" s="847">
        <v>0</v>
      </c>
      <c r="DQ192" s="847">
        <v>0</v>
      </c>
      <c r="DR192" s="847">
        <v>0</v>
      </c>
      <c r="DS192" s="847">
        <v>0</v>
      </c>
      <c r="DT192" s="847">
        <v>0</v>
      </c>
      <c r="DU192" s="847">
        <v>0</v>
      </c>
      <c r="DV192" s="847">
        <v>0</v>
      </c>
      <c r="DW192" s="847">
        <v>0</v>
      </c>
      <c r="DY192" s="843" t="s">
        <v>1060</v>
      </c>
      <c r="DZ192" s="843" t="s">
        <v>1382</v>
      </c>
      <c r="EA192" s="843" t="s">
        <v>96</v>
      </c>
      <c r="EB192" s="844">
        <v>33</v>
      </c>
      <c r="EC192" s="780" t="str">
        <f t="shared" si="7"/>
        <v>IWT060133</v>
      </c>
      <c r="ED192" s="844">
        <v>5307.4</v>
      </c>
      <c r="EE192" s="844">
        <v>10614.8</v>
      </c>
      <c r="EF192" s="844">
        <v>15922.3</v>
      </c>
      <c r="EG192" s="844">
        <v>21229.7</v>
      </c>
      <c r="EH192" s="844">
        <v>26537.1</v>
      </c>
      <c r="EI192" s="844">
        <v>31844.5</v>
      </c>
      <c r="EJ192" s="844">
        <v>31844.5</v>
      </c>
      <c r="EK192" s="844">
        <v>31844.5</v>
      </c>
      <c r="EL192" s="844">
        <v>31844.5</v>
      </c>
      <c r="EM192" s="844">
        <v>32386</v>
      </c>
      <c r="EN192" s="844">
        <v>33034</v>
      </c>
      <c r="EO192" s="844">
        <v>33695</v>
      </c>
      <c r="EP192" s="844">
        <v>34369</v>
      </c>
      <c r="EQ192" s="844">
        <v>35056</v>
      </c>
      <c r="ER192" s="844">
        <v>35757</v>
      </c>
      <c r="ES192" s="844">
        <v>36472</v>
      </c>
      <c r="ET192" s="844">
        <v>37202</v>
      </c>
      <c r="EU192" s="844">
        <v>37946</v>
      </c>
      <c r="EV192" s="844">
        <v>38705</v>
      </c>
      <c r="EW192" s="844">
        <v>39479</v>
      </c>
      <c r="EX192" s="844">
        <v>40268</v>
      </c>
      <c r="EY192" s="844">
        <v>41074</v>
      </c>
      <c r="EZ192" s="844">
        <v>41895</v>
      </c>
      <c r="FA192" s="844">
        <v>42733</v>
      </c>
      <c r="FB192" s="844">
        <v>43588</v>
      </c>
      <c r="FC192" s="844">
        <v>44459</v>
      </c>
      <c r="FD192" s="844">
        <v>45348</v>
      </c>
      <c r="FE192" s="844">
        <v>46255</v>
      </c>
      <c r="FF192" s="844">
        <v>47180</v>
      </c>
      <c r="FG192" s="844">
        <v>48124</v>
      </c>
      <c r="FH192" s="844">
        <v>49086</v>
      </c>
      <c r="FI192" s="844">
        <v>50068</v>
      </c>
      <c r="FJ192" s="844">
        <v>51069</v>
      </c>
      <c r="FK192" s="844">
        <v>52091</v>
      </c>
      <c r="FL192" s="844">
        <v>53133</v>
      </c>
      <c r="FM192" s="844">
        <v>54195</v>
      </c>
      <c r="FN192" s="844">
        <v>55279</v>
      </c>
      <c r="FO192" s="844">
        <v>56385</v>
      </c>
      <c r="FP192" s="844">
        <v>57512</v>
      </c>
      <c r="FQ192" s="844">
        <v>58662</v>
      </c>
      <c r="FR192" s="844">
        <v>59835</v>
      </c>
      <c r="FS192" s="844">
        <v>61032</v>
      </c>
      <c r="FT192" s="844">
        <v>62246</v>
      </c>
      <c r="FU192" s="844">
        <v>63476</v>
      </c>
      <c r="FV192" s="844">
        <v>64721</v>
      </c>
      <c r="FW192" s="844">
        <v>66000</v>
      </c>
      <c r="FX192" s="844">
        <v>67400</v>
      </c>
      <c r="FY192" s="844">
        <v>68800</v>
      </c>
      <c r="FZ192" s="844">
        <v>70200</v>
      </c>
      <c r="GA192" s="844">
        <v>71600</v>
      </c>
      <c r="GB192" s="844">
        <v>73000</v>
      </c>
      <c r="GC192" s="844">
        <v>74400</v>
      </c>
      <c r="GD192" s="844">
        <v>75800</v>
      </c>
      <c r="GE192" s="844">
        <v>77200</v>
      </c>
      <c r="GF192" s="844">
        <v>78600</v>
      </c>
      <c r="GG192" s="844">
        <v>80000</v>
      </c>
      <c r="GH192" s="844">
        <v>81400</v>
      </c>
      <c r="GI192" s="844">
        <v>82800</v>
      </c>
      <c r="GJ192" s="844">
        <v>84200</v>
      </c>
      <c r="GK192" s="844">
        <v>85600</v>
      </c>
      <c r="GL192" s="844">
        <v>87000</v>
      </c>
      <c r="GM192" s="844">
        <v>88400</v>
      </c>
      <c r="GN192" s="844">
        <v>89800</v>
      </c>
      <c r="GO192" s="844">
        <v>91200</v>
      </c>
      <c r="GP192" s="844">
        <v>92600</v>
      </c>
      <c r="GQ192" s="844">
        <v>94000</v>
      </c>
      <c r="GR192" s="844">
        <v>95400</v>
      </c>
      <c r="GS192" s="844">
        <v>96800</v>
      </c>
      <c r="GT192" s="844">
        <v>98200</v>
      </c>
      <c r="GU192" s="844">
        <v>99600</v>
      </c>
      <c r="GV192" s="844">
        <v>101000</v>
      </c>
      <c r="GW192" s="844">
        <v>102400</v>
      </c>
      <c r="GX192" s="844">
        <v>103800</v>
      </c>
      <c r="GY192" s="844">
        <v>105200</v>
      </c>
      <c r="GZ192" s="844">
        <v>106619</v>
      </c>
      <c r="HA192" s="844">
        <v>108111</v>
      </c>
      <c r="HB192" s="844">
        <v>109708</v>
      </c>
      <c r="HC192" s="844">
        <v>110800</v>
      </c>
      <c r="HD192" s="844">
        <v>0</v>
      </c>
      <c r="HE192" s="844">
        <v>0</v>
      </c>
      <c r="HF192" s="844">
        <v>0</v>
      </c>
      <c r="HG192" s="844">
        <v>0</v>
      </c>
      <c r="HH192" s="844">
        <v>0</v>
      </c>
      <c r="HI192" s="844">
        <v>0</v>
      </c>
      <c r="HJ192" s="844">
        <v>0</v>
      </c>
      <c r="HK192" s="844">
        <v>0</v>
      </c>
      <c r="HL192" s="844">
        <v>0</v>
      </c>
      <c r="HM192" s="844">
        <v>0</v>
      </c>
      <c r="HN192" s="844">
        <v>0</v>
      </c>
      <c r="HO192" s="844">
        <v>0</v>
      </c>
      <c r="HP192" s="844">
        <v>0</v>
      </c>
      <c r="HQ192" s="844">
        <v>0</v>
      </c>
      <c r="HR192" s="844">
        <v>0</v>
      </c>
      <c r="HS192" s="844">
        <v>0</v>
      </c>
      <c r="HT192" s="844">
        <v>0</v>
      </c>
      <c r="HU192" s="844">
        <v>0</v>
      </c>
      <c r="HV192" s="844">
        <v>0</v>
      </c>
      <c r="HW192" s="844">
        <v>0</v>
      </c>
      <c r="HX192" s="844">
        <v>0</v>
      </c>
      <c r="HY192" s="844">
        <v>0</v>
      </c>
      <c r="HZ192" s="844">
        <v>0</v>
      </c>
      <c r="IA192" s="844">
        <v>0</v>
      </c>
      <c r="IB192" s="844">
        <v>0</v>
      </c>
      <c r="IC192" s="844">
        <v>0</v>
      </c>
      <c r="ID192" s="844">
        <v>0</v>
      </c>
      <c r="IE192" s="844">
        <v>0</v>
      </c>
      <c r="IF192" s="844">
        <v>0</v>
      </c>
      <c r="IG192" s="844">
        <v>0</v>
      </c>
      <c r="IH192" s="844">
        <v>0</v>
      </c>
      <c r="II192" s="844">
        <v>0</v>
      </c>
      <c r="IJ192" s="844">
        <v>0</v>
      </c>
    </row>
    <row r="193" spans="9:244" hidden="1">
      <c r="I193" s="156"/>
      <c r="L193" s="846" t="s">
        <v>1060</v>
      </c>
      <c r="M193" s="846" t="s">
        <v>1382</v>
      </c>
      <c r="N193" s="846" t="s">
        <v>96</v>
      </c>
      <c r="O193" s="847">
        <v>34</v>
      </c>
      <c r="P193" s="780" t="str">
        <f t="shared" si="6"/>
        <v>IWT060134</v>
      </c>
      <c r="Q193" s="847">
        <v>0</v>
      </c>
      <c r="R193" s="847">
        <v>0</v>
      </c>
      <c r="S193" s="847">
        <v>0</v>
      </c>
      <c r="T193" s="847">
        <v>0</v>
      </c>
      <c r="U193" s="847">
        <v>0</v>
      </c>
      <c r="V193" s="847">
        <v>0</v>
      </c>
      <c r="W193" s="847">
        <v>0</v>
      </c>
      <c r="X193" s="847">
        <v>0</v>
      </c>
      <c r="Y193" s="847">
        <v>0</v>
      </c>
      <c r="Z193" s="847">
        <v>0</v>
      </c>
      <c r="AA193" s="847">
        <v>0</v>
      </c>
      <c r="AB193" s="847">
        <v>0</v>
      </c>
      <c r="AC193" s="847">
        <v>0</v>
      </c>
      <c r="AD193" s="847">
        <v>0</v>
      </c>
      <c r="AE193" s="847">
        <v>0</v>
      </c>
      <c r="AF193" s="847">
        <v>0</v>
      </c>
      <c r="AG193" s="847">
        <v>0</v>
      </c>
      <c r="AH193" s="847">
        <v>0</v>
      </c>
      <c r="AI193" s="847">
        <v>0</v>
      </c>
      <c r="AJ193" s="847">
        <v>0</v>
      </c>
      <c r="AK193" s="847">
        <v>0</v>
      </c>
      <c r="AL193" s="847">
        <v>0</v>
      </c>
      <c r="AM193" s="847">
        <v>0</v>
      </c>
      <c r="AN193" s="847">
        <v>0</v>
      </c>
      <c r="AO193" s="847">
        <v>0</v>
      </c>
      <c r="AP193" s="847">
        <v>0</v>
      </c>
      <c r="AQ193" s="847">
        <v>0</v>
      </c>
      <c r="AR193" s="847">
        <v>0</v>
      </c>
      <c r="AS193" s="847">
        <v>0</v>
      </c>
      <c r="AT193" s="847">
        <v>0</v>
      </c>
      <c r="AU193" s="847">
        <v>0</v>
      </c>
      <c r="AV193" s="847">
        <v>0</v>
      </c>
      <c r="AW193" s="847">
        <v>0</v>
      </c>
      <c r="AX193" s="847">
        <v>0</v>
      </c>
      <c r="AY193" s="847">
        <v>0</v>
      </c>
      <c r="AZ193" s="847">
        <v>0</v>
      </c>
      <c r="BA193" s="847">
        <v>0</v>
      </c>
      <c r="BB193" s="847">
        <v>0</v>
      </c>
      <c r="BC193" s="847">
        <v>0</v>
      </c>
      <c r="BD193" s="847">
        <v>0</v>
      </c>
      <c r="BE193" s="847">
        <v>0</v>
      </c>
      <c r="BF193" s="847">
        <v>0</v>
      </c>
      <c r="BG193" s="847">
        <v>0</v>
      </c>
      <c r="BH193" s="847">
        <v>0</v>
      </c>
      <c r="BI193" s="847">
        <v>0</v>
      </c>
      <c r="BJ193" s="847">
        <v>0</v>
      </c>
      <c r="BK193" s="847">
        <v>0</v>
      </c>
      <c r="BL193" s="847">
        <v>0</v>
      </c>
      <c r="BM193" s="847">
        <v>0</v>
      </c>
      <c r="BN193" s="847">
        <v>0</v>
      </c>
      <c r="BO193" s="847">
        <v>0</v>
      </c>
      <c r="BP193" s="847">
        <v>0</v>
      </c>
      <c r="BQ193" s="847">
        <v>0</v>
      </c>
      <c r="BR193" s="847">
        <v>0</v>
      </c>
      <c r="BS193" s="847">
        <v>0</v>
      </c>
      <c r="BT193" s="847">
        <v>0</v>
      </c>
      <c r="BU193" s="847">
        <v>0</v>
      </c>
      <c r="BV193" s="847">
        <v>0</v>
      </c>
      <c r="BW193" s="847">
        <v>0</v>
      </c>
      <c r="BX193" s="847">
        <v>0</v>
      </c>
      <c r="BY193" s="847">
        <v>0</v>
      </c>
      <c r="BZ193" s="847">
        <v>0</v>
      </c>
      <c r="CA193" s="847">
        <v>0</v>
      </c>
      <c r="CB193" s="847">
        <v>0</v>
      </c>
      <c r="CC193" s="847">
        <v>0</v>
      </c>
      <c r="CD193" s="847">
        <v>0</v>
      </c>
      <c r="CE193" s="847">
        <v>0</v>
      </c>
      <c r="CF193" s="847">
        <v>0</v>
      </c>
      <c r="CG193" s="847">
        <v>0</v>
      </c>
      <c r="CH193" s="847">
        <v>0</v>
      </c>
      <c r="CI193" s="847">
        <v>0</v>
      </c>
      <c r="CJ193" s="847">
        <v>0</v>
      </c>
      <c r="CK193" s="847">
        <v>0</v>
      </c>
      <c r="CL193" s="847">
        <v>0</v>
      </c>
      <c r="CM193" s="847">
        <v>0</v>
      </c>
      <c r="CN193" s="847">
        <v>0</v>
      </c>
      <c r="CO193" s="847">
        <v>109400</v>
      </c>
      <c r="CP193" s="847">
        <v>0</v>
      </c>
      <c r="CQ193" s="847">
        <v>0</v>
      </c>
      <c r="CR193" s="847">
        <v>0</v>
      </c>
      <c r="CS193" s="847">
        <v>0</v>
      </c>
      <c r="CT193" s="847">
        <v>0</v>
      </c>
      <c r="CU193" s="847">
        <v>0</v>
      </c>
      <c r="CV193" s="847">
        <v>0</v>
      </c>
      <c r="CW193" s="847">
        <v>0</v>
      </c>
      <c r="CX193" s="847">
        <v>0</v>
      </c>
      <c r="CY193" s="847">
        <v>0</v>
      </c>
      <c r="CZ193" s="847">
        <v>0</v>
      </c>
      <c r="DA193" s="847">
        <v>0</v>
      </c>
      <c r="DB193" s="847">
        <v>0</v>
      </c>
      <c r="DC193" s="847">
        <v>0</v>
      </c>
      <c r="DD193" s="847">
        <v>0</v>
      </c>
      <c r="DE193" s="847">
        <v>0</v>
      </c>
      <c r="DF193" s="847">
        <v>0</v>
      </c>
      <c r="DG193" s="847">
        <v>0</v>
      </c>
      <c r="DH193" s="847">
        <v>0</v>
      </c>
      <c r="DI193" s="847">
        <v>0</v>
      </c>
      <c r="DJ193" s="847">
        <v>0</v>
      </c>
      <c r="DK193" s="847">
        <v>0</v>
      </c>
      <c r="DL193" s="847">
        <v>0</v>
      </c>
      <c r="DM193" s="847">
        <v>0</v>
      </c>
      <c r="DN193" s="847">
        <v>0</v>
      </c>
      <c r="DO193" s="847">
        <v>0</v>
      </c>
      <c r="DP193" s="847">
        <v>0</v>
      </c>
      <c r="DQ193" s="847">
        <v>0</v>
      </c>
      <c r="DR193" s="847">
        <v>0</v>
      </c>
      <c r="DS193" s="847">
        <v>0</v>
      </c>
      <c r="DT193" s="847">
        <v>0</v>
      </c>
      <c r="DU193" s="847">
        <v>0</v>
      </c>
      <c r="DV193" s="847">
        <v>0</v>
      </c>
      <c r="DW193" s="847">
        <v>0</v>
      </c>
      <c r="DY193" s="843" t="s">
        <v>1060</v>
      </c>
      <c r="DZ193" s="843" t="s">
        <v>1382</v>
      </c>
      <c r="EA193" s="843" t="s">
        <v>96</v>
      </c>
      <c r="EB193" s="844">
        <v>34</v>
      </c>
      <c r="EC193" s="780" t="str">
        <f t="shared" si="7"/>
        <v>IWT060134</v>
      </c>
      <c r="ED193" s="844">
        <v>5314.8</v>
      </c>
      <c r="EE193" s="844">
        <v>10629.7</v>
      </c>
      <c r="EF193" s="844">
        <v>15944.5</v>
      </c>
      <c r="EG193" s="844">
        <v>21259.4</v>
      </c>
      <c r="EH193" s="844">
        <v>26574.2</v>
      </c>
      <c r="EI193" s="844">
        <v>31889</v>
      </c>
      <c r="EJ193" s="844">
        <v>31889</v>
      </c>
      <c r="EK193" s="844">
        <v>31889</v>
      </c>
      <c r="EL193" s="844">
        <v>31889</v>
      </c>
      <c r="EM193" s="844">
        <v>32426</v>
      </c>
      <c r="EN193" s="844">
        <v>33074</v>
      </c>
      <c r="EO193" s="844">
        <v>33736</v>
      </c>
      <c r="EP193" s="844">
        <v>34410</v>
      </c>
      <c r="EQ193" s="844">
        <v>35098</v>
      </c>
      <c r="ER193" s="844">
        <v>35800</v>
      </c>
      <c r="ES193" s="844">
        <v>36516</v>
      </c>
      <c r="ET193" s="844">
        <v>37247</v>
      </c>
      <c r="EU193" s="844">
        <v>37992</v>
      </c>
      <c r="EV193" s="844">
        <v>38752</v>
      </c>
      <c r="EW193" s="844">
        <v>39527</v>
      </c>
      <c r="EX193" s="844">
        <v>40317</v>
      </c>
      <c r="EY193" s="844">
        <v>41123</v>
      </c>
      <c r="EZ193" s="844">
        <v>41946</v>
      </c>
      <c r="FA193" s="844">
        <v>42785</v>
      </c>
      <c r="FB193" s="844">
        <v>43640</v>
      </c>
      <c r="FC193" s="844">
        <v>44513</v>
      </c>
      <c r="FD193" s="844">
        <v>45403</v>
      </c>
      <c r="FE193" s="844">
        <v>46311</v>
      </c>
      <c r="FF193" s="844">
        <v>47238</v>
      </c>
      <c r="FG193" s="844">
        <v>48182</v>
      </c>
      <c r="FH193" s="844">
        <v>49146</v>
      </c>
      <c r="FI193" s="844">
        <v>50129</v>
      </c>
      <c r="FJ193" s="844">
        <v>51131</v>
      </c>
      <c r="FK193" s="844">
        <v>52154</v>
      </c>
      <c r="FL193" s="844">
        <v>53197</v>
      </c>
      <c r="FM193" s="844">
        <v>54261</v>
      </c>
      <c r="FN193" s="844">
        <v>55346</v>
      </c>
      <c r="FO193" s="844">
        <v>56453</v>
      </c>
      <c r="FP193" s="844">
        <v>57582</v>
      </c>
      <c r="FQ193" s="844">
        <v>58733</v>
      </c>
      <c r="FR193" s="844">
        <v>59908</v>
      </c>
      <c r="FS193" s="844">
        <v>61106</v>
      </c>
      <c r="FT193" s="844">
        <v>62324</v>
      </c>
      <c r="FU193" s="844">
        <v>63558</v>
      </c>
      <c r="FV193" s="844">
        <v>64807</v>
      </c>
      <c r="FW193" s="844">
        <v>66071</v>
      </c>
      <c r="FX193" s="844">
        <v>67400</v>
      </c>
      <c r="FY193" s="844">
        <v>68800</v>
      </c>
      <c r="FZ193" s="844">
        <v>70200</v>
      </c>
      <c r="GA193" s="844">
        <v>71600</v>
      </c>
      <c r="GB193" s="844">
        <v>73000</v>
      </c>
      <c r="GC193" s="844">
        <v>74400</v>
      </c>
      <c r="GD193" s="844">
        <v>75800</v>
      </c>
      <c r="GE193" s="844">
        <v>77200</v>
      </c>
      <c r="GF193" s="844">
        <v>78600</v>
      </c>
      <c r="GG193" s="844">
        <v>80000</v>
      </c>
      <c r="GH193" s="844">
        <v>81400</v>
      </c>
      <c r="GI193" s="844">
        <v>82800</v>
      </c>
      <c r="GJ193" s="844">
        <v>84200</v>
      </c>
      <c r="GK193" s="844">
        <v>85600</v>
      </c>
      <c r="GL193" s="844">
        <v>87000</v>
      </c>
      <c r="GM193" s="844">
        <v>88400</v>
      </c>
      <c r="GN193" s="844">
        <v>89800</v>
      </c>
      <c r="GO193" s="844">
        <v>91200</v>
      </c>
      <c r="GP193" s="844">
        <v>92600</v>
      </c>
      <c r="GQ193" s="844">
        <v>94000</v>
      </c>
      <c r="GR193" s="844">
        <v>95400</v>
      </c>
      <c r="GS193" s="844">
        <v>96800</v>
      </c>
      <c r="GT193" s="844">
        <v>98200</v>
      </c>
      <c r="GU193" s="844">
        <v>99600</v>
      </c>
      <c r="GV193" s="844">
        <v>101000</v>
      </c>
      <c r="GW193" s="844">
        <v>102400</v>
      </c>
      <c r="GX193" s="844">
        <v>103800</v>
      </c>
      <c r="GY193" s="844">
        <v>105244</v>
      </c>
      <c r="GZ193" s="844">
        <v>106732</v>
      </c>
      <c r="HA193" s="844">
        <v>108322</v>
      </c>
      <c r="HB193" s="844">
        <v>109400</v>
      </c>
      <c r="HC193" s="844">
        <v>0</v>
      </c>
      <c r="HD193" s="844">
        <v>0</v>
      </c>
      <c r="HE193" s="844">
        <v>0</v>
      </c>
      <c r="HF193" s="844">
        <v>0</v>
      </c>
      <c r="HG193" s="844">
        <v>0</v>
      </c>
      <c r="HH193" s="844">
        <v>0</v>
      </c>
      <c r="HI193" s="844">
        <v>0</v>
      </c>
      <c r="HJ193" s="844">
        <v>0</v>
      </c>
      <c r="HK193" s="844">
        <v>0</v>
      </c>
      <c r="HL193" s="844">
        <v>0</v>
      </c>
      <c r="HM193" s="844">
        <v>0</v>
      </c>
      <c r="HN193" s="844">
        <v>0</v>
      </c>
      <c r="HO193" s="844">
        <v>0</v>
      </c>
      <c r="HP193" s="844">
        <v>0</v>
      </c>
      <c r="HQ193" s="844">
        <v>0</v>
      </c>
      <c r="HR193" s="844">
        <v>0</v>
      </c>
      <c r="HS193" s="844">
        <v>0</v>
      </c>
      <c r="HT193" s="844">
        <v>0</v>
      </c>
      <c r="HU193" s="844">
        <v>0</v>
      </c>
      <c r="HV193" s="844">
        <v>0</v>
      </c>
      <c r="HW193" s="844">
        <v>0</v>
      </c>
      <c r="HX193" s="844">
        <v>0</v>
      </c>
      <c r="HY193" s="844">
        <v>0</v>
      </c>
      <c r="HZ193" s="844">
        <v>0</v>
      </c>
      <c r="IA193" s="844">
        <v>0</v>
      </c>
      <c r="IB193" s="844">
        <v>0</v>
      </c>
      <c r="IC193" s="844">
        <v>0</v>
      </c>
      <c r="ID193" s="844">
        <v>0</v>
      </c>
      <c r="IE193" s="844">
        <v>0</v>
      </c>
      <c r="IF193" s="844">
        <v>0</v>
      </c>
      <c r="IG193" s="844">
        <v>0</v>
      </c>
      <c r="IH193" s="844">
        <v>0</v>
      </c>
      <c r="II193" s="844">
        <v>0</v>
      </c>
      <c r="IJ193" s="844">
        <v>0</v>
      </c>
    </row>
    <row r="194" spans="9:244" hidden="1">
      <c r="I194" s="156"/>
      <c r="L194" s="846" t="s">
        <v>1060</v>
      </c>
      <c r="M194" s="846" t="s">
        <v>1382</v>
      </c>
      <c r="N194" s="846" t="s">
        <v>96</v>
      </c>
      <c r="O194" s="847">
        <v>35</v>
      </c>
      <c r="P194" s="780" t="str">
        <f t="shared" si="6"/>
        <v>IWT060135</v>
      </c>
      <c r="Q194" s="847">
        <v>0</v>
      </c>
      <c r="R194" s="847">
        <v>0</v>
      </c>
      <c r="S194" s="847">
        <v>0</v>
      </c>
      <c r="T194" s="847">
        <v>0</v>
      </c>
      <c r="U194" s="847">
        <v>0</v>
      </c>
      <c r="V194" s="847">
        <v>0</v>
      </c>
      <c r="W194" s="847">
        <v>0</v>
      </c>
      <c r="X194" s="847">
        <v>0</v>
      </c>
      <c r="Y194" s="847">
        <v>0</v>
      </c>
      <c r="Z194" s="847">
        <v>0</v>
      </c>
      <c r="AA194" s="847">
        <v>0</v>
      </c>
      <c r="AB194" s="847">
        <v>0</v>
      </c>
      <c r="AC194" s="847">
        <v>0</v>
      </c>
      <c r="AD194" s="847">
        <v>0</v>
      </c>
      <c r="AE194" s="847">
        <v>0</v>
      </c>
      <c r="AF194" s="847">
        <v>0</v>
      </c>
      <c r="AG194" s="847">
        <v>0</v>
      </c>
      <c r="AH194" s="847">
        <v>0</v>
      </c>
      <c r="AI194" s="847">
        <v>0</v>
      </c>
      <c r="AJ194" s="847">
        <v>0</v>
      </c>
      <c r="AK194" s="847">
        <v>0</v>
      </c>
      <c r="AL194" s="847">
        <v>0</v>
      </c>
      <c r="AM194" s="847">
        <v>0</v>
      </c>
      <c r="AN194" s="847">
        <v>0</v>
      </c>
      <c r="AO194" s="847">
        <v>0</v>
      </c>
      <c r="AP194" s="847">
        <v>0</v>
      </c>
      <c r="AQ194" s="847">
        <v>0</v>
      </c>
      <c r="AR194" s="847">
        <v>0</v>
      </c>
      <c r="AS194" s="847">
        <v>0</v>
      </c>
      <c r="AT194" s="847">
        <v>0</v>
      </c>
      <c r="AU194" s="847">
        <v>0</v>
      </c>
      <c r="AV194" s="847">
        <v>0</v>
      </c>
      <c r="AW194" s="847">
        <v>0</v>
      </c>
      <c r="AX194" s="847">
        <v>0</v>
      </c>
      <c r="AY194" s="847">
        <v>0</v>
      </c>
      <c r="AZ194" s="847">
        <v>0</v>
      </c>
      <c r="BA194" s="847">
        <v>0</v>
      </c>
      <c r="BB194" s="847">
        <v>0</v>
      </c>
      <c r="BC194" s="847">
        <v>0</v>
      </c>
      <c r="BD194" s="847">
        <v>0</v>
      </c>
      <c r="BE194" s="847">
        <v>0</v>
      </c>
      <c r="BF194" s="847">
        <v>0</v>
      </c>
      <c r="BG194" s="847">
        <v>0</v>
      </c>
      <c r="BH194" s="847">
        <v>0</v>
      </c>
      <c r="BI194" s="847">
        <v>0</v>
      </c>
      <c r="BJ194" s="847">
        <v>0</v>
      </c>
      <c r="BK194" s="847">
        <v>0</v>
      </c>
      <c r="BL194" s="847">
        <v>0</v>
      </c>
      <c r="BM194" s="847">
        <v>0</v>
      </c>
      <c r="BN194" s="847">
        <v>0</v>
      </c>
      <c r="BO194" s="847">
        <v>0</v>
      </c>
      <c r="BP194" s="847">
        <v>0</v>
      </c>
      <c r="BQ194" s="847">
        <v>0</v>
      </c>
      <c r="BR194" s="847">
        <v>0</v>
      </c>
      <c r="BS194" s="847">
        <v>0</v>
      </c>
      <c r="BT194" s="847">
        <v>0</v>
      </c>
      <c r="BU194" s="847">
        <v>0</v>
      </c>
      <c r="BV194" s="847">
        <v>0</v>
      </c>
      <c r="BW194" s="847">
        <v>0</v>
      </c>
      <c r="BX194" s="847">
        <v>0</v>
      </c>
      <c r="BY194" s="847">
        <v>0</v>
      </c>
      <c r="BZ194" s="847">
        <v>0</v>
      </c>
      <c r="CA194" s="847">
        <v>0</v>
      </c>
      <c r="CB194" s="847">
        <v>0</v>
      </c>
      <c r="CC194" s="847">
        <v>0</v>
      </c>
      <c r="CD194" s="847">
        <v>0</v>
      </c>
      <c r="CE194" s="847">
        <v>0</v>
      </c>
      <c r="CF194" s="847">
        <v>0</v>
      </c>
      <c r="CG194" s="847">
        <v>0</v>
      </c>
      <c r="CH194" s="847">
        <v>0</v>
      </c>
      <c r="CI194" s="847">
        <v>0</v>
      </c>
      <c r="CJ194" s="847">
        <v>0</v>
      </c>
      <c r="CK194" s="847">
        <v>0</v>
      </c>
      <c r="CL194" s="847">
        <v>0</v>
      </c>
      <c r="CM194" s="847">
        <v>0</v>
      </c>
      <c r="CN194" s="847">
        <v>108000</v>
      </c>
      <c r="CO194" s="847">
        <v>0</v>
      </c>
      <c r="CP194" s="847">
        <v>0</v>
      </c>
      <c r="CQ194" s="847">
        <v>0</v>
      </c>
      <c r="CR194" s="847">
        <v>0</v>
      </c>
      <c r="CS194" s="847">
        <v>0</v>
      </c>
      <c r="CT194" s="847">
        <v>0</v>
      </c>
      <c r="CU194" s="847">
        <v>0</v>
      </c>
      <c r="CV194" s="847">
        <v>0</v>
      </c>
      <c r="CW194" s="847">
        <v>0</v>
      </c>
      <c r="CX194" s="847">
        <v>0</v>
      </c>
      <c r="CY194" s="847">
        <v>0</v>
      </c>
      <c r="CZ194" s="847">
        <v>0</v>
      </c>
      <c r="DA194" s="847">
        <v>0</v>
      </c>
      <c r="DB194" s="847">
        <v>0</v>
      </c>
      <c r="DC194" s="847">
        <v>0</v>
      </c>
      <c r="DD194" s="847">
        <v>0</v>
      </c>
      <c r="DE194" s="847">
        <v>0</v>
      </c>
      <c r="DF194" s="847">
        <v>0</v>
      </c>
      <c r="DG194" s="847">
        <v>0</v>
      </c>
      <c r="DH194" s="847">
        <v>0</v>
      </c>
      <c r="DI194" s="847">
        <v>0</v>
      </c>
      <c r="DJ194" s="847">
        <v>0</v>
      </c>
      <c r="DK194" s="847">
        <v>0</v>
      </c>
      <c r="DL194" s="847">
        <v>0</v>
      </c>
      <c r="DM194" s="847">
        <v>0</v>
      </c>
      <c r="DN194" s="847">
        <v>0</v>
      </c>
      <c r="DO194" s="847">
        <v>0</v>
      </c>
      <c r="DP194" s="847">
        <v>0</v>
      </c>
      <c r="DQ194" s="847">
        <v>0</v>
      </c>
      <c r="DR194" s="847">
        <v>0</v>
      </c>
      <c r="DS194" s="847">
        <v>0</v>
      </c>
      <c r="DT194" s="847">
        <v>0</v>
      </c>
      <c r="DU194" s="847">
        <v>0</v>
      </c>
      <c r="DV194" s="847">
        <v>0</v>
      </c>
      <c r="DW194" s="847">
        <v>0</v>
      </c>
      <c r="DY194" s="843" t="s">
        <v>1060</v>
      </c>
      <c r="DZ194" s="843" t="s">
        <v>1382</v>
      </c>
      <c r="EA194" s="843" t="s">
        <v>96</v>
      </c>
      <c r="EB194" s="844">
        <v>35</v>
      </c>
      <c r="EC194" s="780" t="str">
        <f t="shared" si="7"/>
        <v>IWT060135</v>
      </c>
      <c r="ED194" s="844">
        <v>5320.1</v>
      </c>
      <c r="EE194" s="844">
        <v>10640.3</v>
      </c>
      <c r="EF194" s="844">
        <v>15960.4</v>
      </c>
      <c r="EG194" s="844">
        <v>21280.6</v>
      </c>
      <c r="EH194" s="844">
        <v>26600.7</v>
      </c>
      <c r="EI194" s="844">
        <v>31920.799999999999</v>
      </c>
      <c r="EJ194" s="844">
        <v>31920.799999999999</v>
      </c>
      <c r="EK194" s="844">
        <v>31920.799999999999</v>
      </c>
      <c r="EL194" s="844">
        <v>31920.799999999999</v>
      </c>
      <c r="EM194" s="844">
        <v>32461</v>
      </c>
      <c r="EN194" s="844">
        <v>33110</v>
      </c>
      <c r="EO194" s="844">
        <v>33772</v>
      </c>
      <c r="EP194" s="844">
        <v>34448</v>
      </c>
      <c r="EQ194" s="844">
        <v>35137</v>
      </c>
      <c r="ER194" s="844">
        <v>35840</v>
      </c>
      <c r="ES194" s="844">
        <v>36556</v>
      </c>
      <c r="ET194" s="844">
        <v>37287</v>
      </c>
      <c r="EU194" s="844">
        <v>38033</v>
      </c>
      <c r="EV194" s="844">
        <v>38794</v>
      </c>
      <c r="EW194" s="844">
        <v>39570</v>
      </c>
      <c r="EX194" s="844">
        <v>40361</v>
      </c>
      <c r="EY194" s="844">
        <v>41168</v>
      </c>
      <c r="EZ194" s="844">
        <v>41992</v>
      </c>
      <c r="FA194" s="844">
        <v>42831</v>
      </c>
      <c r="FB194" s="844">
        <v>43688</v>
      </c>
      <c r="FC194" s="844">
        <v>44562</v>
      </c>
      <c r="FD194" s="844">
        <v>45453</v>
      </c>
      <c r="FE194" s="844">
        <v>46362</v>
      </c>
      <c r="FF194" s="844">
        <v>47289</v>
      </c>
      <c r="FG194" s="844">
        <v>48235</v>
      </c>
      <c r="FH194" s="844">
        <v>49200</v>
      </c>
      <c r="FI194" s="844">
        <v>50184</v>
      </c>
      <c r="FJ194" s="844">
        <v>51187</v>
      </c>
      <c r="FK194" s="844">
        <v>52211</v>
      </c>
      <c r="FL194" s="844">
        <v>53255</v>
      </c>
      <c r="FM194" s="844">
        <v>54320</v>
      </c>
      <c r="FN194" s="844">
        <v>55406</v>
      </c>
      <c r="FO194" s="844">
        <v>56514</v>
      </c>
      <c r="FP194" s="844">
        <v>57645</v>
      </c>
      <c r="FQ194" s="844">
        <v>58797</v>
      </c>
      <c r="FR194" s="844">
        <v>59973</v>
      </c>
      <c r="FS194" s="844">
        <v>61173</v>
      </c>
      <c r="FT194" s="844">
        <v>62395</v>
      </c>
      <c r="FU194" s="844">
        <v>63633</v>
      </c>
      <c r="FV194" s="844">
        <v>64886</v>
      </c>
      <c r="FW194" s="844">
        <v>66154</v>
      </c>
      <c r="FX194" s="844">
        <v>67435</v>
      </c>
      <c r="FY194" s="844">
        <v>68800</v>
      </c>
      <c r="FZ194" s="844">
        <v>70200</v>
      </c>
      <c r="GA194" s="844">
        <v>71600</v>
      </c>
      <c r="GB194" s="844">
        <v>73000</v>
      </c>
      <c r="GC194" s="844">
        <v>74400</v>
      </c>
      <c r="GD194" s="844">
        <v>75800</v>
      </c>
      <c r="GE194" s="844">
        <v>77200</v>
      </c>
      <c r="GF194" s="844">
        <v>78600</v>
      </c>
      <c r="GG194" s="844">
        <v>80000</v>
      </c>
      <c r="GH194" s="844">
        <v>81400</v>
      </c>
      <c r="GI194" s="844">
        <v>82800</v>
      </c>
      <c r="GJ194" s="844">
        <v>84200</v>
      </c>
      <c r="GK194" s="844">
        <v>85600</v>
      </c>
      <c r="GL194" s="844">
        <v>87000</v>
      </c>
      <c r="GM194" s="844">
        <v>88400</v>
      </c>
      <c r="GN194" s="844">
        <v>89800</v>
      </c>
      <c r="GO194" s="844">
        <v>91200</v>
      </c>
      <c r="GP194" s="844">
        <v>92600</v>
      </c>
      <c r="GQ194" s="844">
        <v>94000</v>
      </c>
      <c r="GR194" s="844">
        <v>95400</v>
      </c>
      <c r="GS194" s="844">
        <v>96800</v>
      </c>
      <c r="GT194" s="844">
        <v>98200</v>
      </c>
      <c r="GU194" s="844">
        <v>99600</v>
      </c>
      <c r="GV194" s="844">
        <v>101000</v>
      </c>
      <c r="GW194" s="844">
        <v>102408</v>
      </c>
      <c r="GX194" s="844">
        <v>103869</v>
      </c>
      <c r="GY194" s="844">
        <v>105354</v>
      </c>
      <c r="GZ194" s="844">
        <v>106936</v>
      </c>
      <c r="HA194" s="844">
        <v>108000</v>
      </c>
      <c r="HB194" s="844">
        <v>0</v>
      </c>
      <c r="HC194" s="844">
        <v>0</v>
      </c>
      <c r="HD194" s="844">
        <v>0</v>
      </c>
      <c r="HE194" s="844">
        <v>0</v>
      </c>
      <c r="HF194" s="844">
        <v>0</v>
      </c>
      <c r="HG194" s="844">
        <v>0</v>
      </c>
      <c r="HH194" s="844">
        <v>0</v>
      </c>
      <c r="HI194" s="844">
        <v>0</v>
      </c>
      <c r="HJ194" s="844">
        <v>0</v>
      </c>
      <c r="HK194" s="844">
        <v>0</v>
      </c>
      <c r="HL194" s="844">
        <v>0</v>
      </c>
      <c r="HM194" s="844">
        <v>0</v>
      </c>
      <c r="HN194" s="844">
        <v>0</v>
      </c>
      <c r="HO194" s="844">
        <v>0</v>
      </c>
      <c r="HP194" s="844">
        <v>0</v>
      </c>
      <c r="HQ194" s="844">
        <v>0</v>
      </c>
      <c r="HR194" s="844">
        <v>0</v>
      </c>
      <c r="HS194" s="844">
        <v>0</v>
      </c>
      <c r="HT194" s="844">
        <v>0</v>
      </c>
      <c r="HU194" s="844">
        <v>0</v>
      </c>
      <c r="HV194" s="844">
        <v>0</v>
      </c>
      <c r="HW194" s="844">
        <v>0</v>
      </c>
      <c r="HX194" s="844">
        <v>0</v>
      </c>
      <c r="HY194" s="844">
        <v>0</v>
      </c>
      <c r="HZ194" s="844">
        <v>0</v>
      </c>
      <c r="IA194" s="844">
        <v>0</v>
      </c>
      <c r="IB194" s="844">
        <v>0</v>
      </c>
      <c r="IC194" s="844">
        <v>0</v>
      </c>
      <c r="ID194" s="844">
        <v>0</v>
      </c>
      <c r="IE194" s="844">
        <v>0</v>
      </c>
      <c r="IF194" s="844">
        <v>0</v>
      </c>
      <c r="IG194" s="844">
        <v>0</v>
      </c>
      <c r="IH194" s="844">
        <v>0</v>
      </c>
      <c r="II194" s="844">
        <v>0</v>
      </c>
      <c r="IJ194" s="844">
        <v>0</v>
      </c>
    </row>
    <row r="195" spans="9:244" hidden="1">
      <c r="I195" s="156"/>
      <c r="L195" s="846" t="s">
        <v>1060</v>
      </c>
      <c r="M195" s="846" t="s">
        <v>1382</v>
      </c>
      <c r="N195" s="846" t="s">
        <v>96</v>
      </c>
      <c r="O195" s="847">
        <v>36</v>
      </c>
      <c r="P195" s="780" t="str">
        <f t="shared" si="6"/>
        <v>IWT060136</v>
      </c>
      <c r="Q195" s="847">
        <v>0</v>
      </c>
      <c r="R195" s="847">
        <v>0</v>
      </c>
      <c r="S195" s="847">
        <v>0</v>
      </c>
      <c r="T195" s="847">
        <v>0</v>
      </c>
      <c r="U195" s="847">
        <v>0</v>
      </c>
      <c r="V195" s="847">
        <v>0</v>
      </c>
      <c r="W195" s="847">
        <v>0</v>
      </c>
      <c r="X195" s="847">
        <v>0</v>
      </c>
      <c r="Y195" s="847">
        <v>0</v>
      </c>
      <c r="Z195" s="847">
        <v>0</v>
      </c>
      <c r="AA195" s="847">
        <v>0</v>
      </c>
      <c r="AB195" s="847">
        <v>0</v>
      </c>
      <c r="AC195" s="847">
        <v>0</v>
      </c>
      <c r="AD195" s="847">
        <v>0</v>
      </c>
      <c r="AE195" s="847">
        <v>0</v>
      </c>
      <c r="AF195" s="847">
        <v>0</v>
      </c>
      <c r="AG195" s="847">
        <v>0</v>
      </c>
      <c r="AH195" s="847">
        <v>0</v>
      </c>
      <c r="AI195" s="847">
        <v>0</v>
      </c>
      <c r="AJ195" s="847">
        <v>0</v>
      </c>
      <c r="AK195" s="847">
        <v>0</v>
      </c>
      <c r="AL195" s="847">
        <v>0</v>
      </c>
      <c r="AM195" s="847">
        <v>0</v>
      </c>
      <c r="AN195" s="847">
        <v>0</v>
      </c>
      <c r="AO195" s="847">
        <v>0</v>
      </c>
      <c r="AP195" s="847">
        <v>0</v>
      </c>
      <c r="AQ195" s="847">
        <v>0</v>
      </c>
      <c r="AR195" s="847">
        <v>0</v>
      </c>
      <c r="AS195" s="847">
        <v>0</v>
      </c>
      <c r="AT195" s="847">
        <v>0</v>
      </c>
      <c r="AU195" s="847">
        <v>0</v>
      </c>
      <c r="AV195" s="847">
        <v>0</v>
      </c>
      <c r="AW195" s="847">
        <v>0</v>
      </c>
      <c r="AX195" s="847">
        <v>0</v>
      </c>
      <c r="AY195" s="847">
        <v>0</v>
      </c>
      <c r="AZ195" s="847">
        <v>0</v>
      </c>
      <c r="BA195" s="847">
        <v>0</v>
      </c>
      <c r="BB195" s="847">
        <v>0</v>
      </c>
      <c r="BC195" s="847">
        <v>0</v>
      </c>
      <c r="BD195" s="847">
        <v>0</v>
      </c>
      <c r="BE195" s="847">
        <v>0</v>
      </c>
      <c r="BF195" s="847">
        <v>0</v>
      </c>
      <c r="BG195" s="847">
        <v>0</v>
      </c>
      <c r="BH195" s="847">
        <v>0</v>
      </c>
      <c r="BI195" s="847">
        <v>0</v>
      </c>
      <c r="BJ195" s="847">
        <v>0</v>
      </c>
      <c r="BK195" s="847">
        <v>0</v>
      </c>
      <c r="BL195" s="847">
        <v>0</v>
      </c>
      <c r="BM195" s="847">
        <v>0</v>
      </c>
      <c r="BN195" s="847">
        <v>0</v>
      </c>
      <c r="BO195" s="847">
        <v>0</v>
      </c>
      <c r="BP195" s="847">
        <v>0</v>
      </c>
      <c r="BQ195" s="847">
        <v>0</v>
      </c>
      <c r="BR195" s="847">
        <v>0</v>
      </c>
      <c r="BS195" s="847">
        <v>0</v>
      </c>
      <c r="BT195" s="847">
        <v>0</v>
      </c>
      <c r="BU195" s="847">
        <v>0</v>
      </c>
      <c r="BV195" s="847">
        <v>0</v>
      </c>
      <c r="BW195" s="847">
        <v>0</v>
      </c>
      <c r="BX195" s="847">
        <v>0</v>
      </c>
      <c r="BY195" s="847">
        <v>0</v>
      </c>
      <c r="BZ195" s="847">
        <v>0</v>
      </c>
      <c r="CA195" s="847">
        <v>0</v>
      </c>
      <c r="CB195" s="847">
        <v>0</v>
      </c>
      <c r="CC195" s="847">
        <v>0</v>
      </c>
      <c r="CD195" s="847">
        <v>0</v>
      </c>
      <c r="CE195" s="847">
        <v>0</v>
      </c>
      <c r="CF195" s="847">
        <v>0</v>
      </c>
      <c r="CG195" s="847">
        <v>0</v>
      </c>
      <c r="CH195" s="847">
        <v>0</v>
      </c>
      <c r="CI195" s="847">
        <v>0</v>
      </c>
      <c r="CJ195" s="847">
        <v>0</v>
      </c>
      <c r="CK195" s="847">
        <v>0</v>
      </c>
      <c r="CL195" s="847">
        <v>0</v>
      </c>
      <c r="CM195" s="847">
        <v>106600</v>
      </c>
      <c r="CN195" s="847">
        <v>0</v>
      </c>
      <c r="CO195" s="847">
        <v>0</v>
      </c>
      <c r="CP195" s="847">
        <v>0</v>
      </c>
      <c r="CQ195" s="847">
        <v>0</v>
      </c>
      <c r="CR195" s="847">
        <v>0</v>
      </c>
      <c r="CS195" s="847">
        <v>0</v>
      </c>
      <c r="CT195" s="847">
        <v>0</v>
      </c>
      <c r="CU195" s="847">
        <v>0</v>
      </c>
      <c r="CV195" s="847">
        <v>0</v>
      </c>
      <c r="CW195" s="847">
        <v>0</v>
      </c>
      <c r="CX195" s="847">
        <v>0</v>
      </c>
      <c r="CY195" s="847">
        <v>0</v>
      </c>
      <c r="CZ195" s="847">
        <v>0</v>
      </c>
      <c r="DA195" s="847">
        <v>0</v>
      </c>
      <c r="DB195" s="847">
        <v>0</v>
      </c>
      <c r="DC195" s="847">
        <v>0</v>
      </c>
      <c r="DD195" s="847">
        <v>0</v>
      </c>
      <c r="DE195" s="847">
        <v>0</v>
      </c>
      <c r="DF195" s="847">
        <v>0</v>
      </c>
      <c r="DG195" s="847">
        <v>0</v>
      </c>
      <c r="DH195" s="847">
        <v>0</v>
      </c>
      <c r="DI195" s="847">
        <v>0</v>
      </c>
      <c r="DJ195" s="847">
        <v>0</v>
      </c>
      <c r="DK195" s="847">
        <v>0</v>
      </c>
      <c r="DL195" s="847">
        <v>0</v>
      </c>
      <c r="DM195" s="847">
        <v>0</v>
      </c>
      <c r="DN195" s="847">
        <v>0</v>
      </c>
      <c r="DO195" s="847">
        <v>0</v>
      </c>
      <c r="DP195" s="847">
        <v>0</v>
      </c>
      <c r="DQ195" s="847">
        <v>0</v>
      </c>
      <c r="DR195" s="847">
        <v>0</v>
      </c>
      <c r="DS195" s="847">
        <v>0</v>
      </c>
      <c r="DT195" s="847">
        <v>0</v>
      </c>
      <c r="DU195" s="847">
        <v>0</v>
      </c>
      <c r="DV195" s="847">
        <v>0</v>
      </c>
      <c r="DW195" s="847">
        <v>0</v>
      </c>
      <c r="DY195" s="843" t="s">
        <v>1060</v>
      </c>
      <c r="DZ195" s="843" t="s">
        <v>1382</v>
      </c>
      <c r="EA195" s="843" t="s">
        <v>96</v>
      </c>
      <c r="EB195" s="844">
        <v>36</v>
      </c>
      <c r="EC195" s="780" t="str">
        <f t="shared" si="7"/>
        <v>IWT060136</v>
      </c>
      <c r="ED195" s="844">
        <v>5326.5</v>
      </c>
      <c r="EE195" s="844">
        <v>10653</v>
      </c>
      <c r="EF195" s="844">
        <v>15979.5</v>
      </c>
      <c r="EG195" s="844">
        <v>21306</v>
      </c>
      <c r="EH195" s="844">
        <v>26632.5</v>
      </c>
      <c r="EI195" s="844">
        <v>31959</v>
      </c>
      <c r="EJ195" s="844">
        <v>31959</v>
      </c>
      <c r="EK195" s="844">
        <v>31959</v>
      </c>
      <c r="EL195" s="844">
        <v>31959</v>
      </c>
      <c r="EM195" s="844">
        <v>32494</v>
      </c>
      <c r="EN195" s="844">
        <v>33144</v>
      </c>
      <c r="EO195" s="844">
        <v>33807</v>
      </c>
      <c r="EP195" s="844">
        <v>34483</v>
      </c>
      <c r="EQ195" s="844">
        <v>35173</v>
      </c>
      <c r="ER195" s="844">
        <v>35876</v>
      </c>
      <c r="ES195" s="844">
        <v>36593</v>
      </c>
      <c r="ET195" s="844">
        <v>37325</v>
      </c>
      <c r="EU195" s="844">
        <v>38072</v>
      </c>
      <c r="EV195" s="844">
        <v>38833</v>
      </c>
      <c r="EW195" s="844">
        <v>39610</v>
      </c>
      <c r="EX195" s="844">
        <v>40402</v>
      </c>
      <c r="EY195" s="844">
        <v>41210</v>
      </c>
      <c r="EZ195" s="844">
        <v>42034</v>
      </c>
      <c r="FA195" s="844">
        <v>42875</v>
      </c>
      <c r="FB195" s="844">
        <v>43732</v>
      </c>
      <c r="FC195" s="844">
        <v>44607</v>
      </c>
      <c r="FD195" s="844">
        <v>45499</v>
      </c>
      <c r="FE195" s="844">
        <v>46409</v>
      </c>
      <c r="FF195" s="844">
        <v>47337</v>
      </c>
      <c r="FG195" s="844">
        <v>48284</v>
      </c>
      <c r="FH195" s="844">
        <v>49250</v>
      </c>
      <c r="FI195" s="844">
        <v>50235</v>
      </c>
      <c r="FJ195" s="844">
        <v>51239</v>
      </c>
      <c r="FK195" s="844">
        <v>52264</v>
      </c>
      <c r="FL195" s="844">
        <v>53309</v>
      </c>
      <c r="FM195" s="844">
        <v>54375</v>
      </c>
      <c r="FN195" s="844">
        <v>55463</v>
      </c>
      <c r="FO195" s="844">
        <v>56572</v>
      </c>
      <c r="FP195" s="844">
        <v>57703</v>
      </c>
      <c r="FQ195" s="844">
        <v>58857</v>
      </c>
      <c r="FR195" s="844">
        <v>60034</v>
      </c>
      <c r="FS195" s="844">
        <v>61235</v>
      </c>
      <c r="FT195" s="844">
        <v>62459</v>
      </c>
      <c r="FU195" s="844">
        <v>63701</v>
      </c>
      <c r="FV195" s="844">
        <v>64958</v>
      </c>
      <c r="FW195" s="844">
        <v>66230</v>
      </c>
      <c r="FX195" s="844">
        <v>67515</v>
      </c>
      <c r="FY195" s="844">
        <v>68813</v>
      </c>
      <c r="FZ195" s="844">
        <v>70200</v>
      </c>
      <c r="GA195" s="844">
        <v>71600</v>
      </c>
      <c r="GB195" s="844">
        <v>73000</v>
      </c>
      <c r="GC195" s="844">
        <v>74400</v>
      </c>
      <c r="GD195" s="844">
        <v>75800</v>
      </c>
      <c r="GE195" s="844">
        <v>77200</v>
      </c>
      <c r="GF195" s="844">
        <v>78600</v>
      </c>
      <c r="GG195" s="844">
        <v>80000</v>
      </c>
      <c r="GH195" s="844">
        <v>81400</v>
      </c>
      <c r="GI195" s="844">
        <v>82800</v>
      </c>
      <c r="GJ195" s="844">
        <v>84200</v>
      </c>
      <c r="GK195" s="844">
        <v>85600</v>
      </c>
      <c r="GL195" s="844">
        <v>87000</v>
      </c>
      <c r="GM195" s="844">
        <v>88400</v>
      </c>
      <c r="GN195" s="844">
        <v>89800</v>
      </c>
      <c r="GO195" s="844">
        <v>91200</v>
      </c>
      <c r="GP195" s="844">
        <v>92600</v>
      </c>
      <c r="GQ195" s="844">
        <v>94000</v>
      </c>
      <c r="GR195" s="844">
        <v>95400</v>
      </c>
      <c r="GS195" s="844">
        <v>96800</v>
      </c>
      <c r="GT195" s="844">
        <v>98200</v>
      </c>
      <c r="GU195" s="844">
        <v>99600</v>
      </c>
      <c r="GV195" s="844">
        <v>101037</v>
      </c>
      <c r="GW195" s="844">
        <v>102495</v>
      </c>
      <c r="GX195" s="844">
        <v>103975</v>
      </c>
      <c r="GY195" s="844">
        <v>105550</v>
      </c>
      <c r="GZ195" s="844">
        <v>106600</v>
      </c>
      <c r="HA195" s="844">
        <v>0</v>
      </c>
      <c r="HB195" s="844">
        <v>0</v>
      </c>
      <c r="HC195" s="844">
        <v>0</v>
      </c>
      <c r="HD195" s="844">
        <v>0</v>
      </c>
      <c r="HE195" s="844">
        <v>0</v>
      </c>
      <c r="HF195" s="844">
        <v>0</v>
      </c>
      <c r="HG195" s="844">
        <v>0</v>
      </c>
      <c r="HH195" s="844">
        <v>0</v>
      </c>
      <c r="HI195" s="844">
        <v>0</v>
      </c>
      <c r="HJ195" s="844">
        <v>0</v>
      </c>
      <c r="HK195" s="844">
        <v>0</v>
      </c>
      <c r="HL195" s="844">
        <v>0</v>
      </c>
      <c r="HM195" s="844">
        <v>0</v>
      </c>
      <c r="HN195" s="844">
        <v>0</v>
      </c>
      <c r="HO195" s="844">
        <v>0</v>
      </c>
      <c r="HP195" s="844">
        <v>0</v>
      </c>
      <c r="HQ195" s="844">
        <v>0</v>
      </c>
      <c r="HR195" s="844">
        <v>0</v>
      </c>
      <c r="HS195" s="844">
        <v>0</v>
      </c>
      <c r="HT195" s="844">
        <v>0</v>
      </c>
      <c r="HU195" s="844">
        <v>0</v>
      </c>
      <c r="HV195" s="844">
        <v>0</v>
      </c>
      <c r="HW195" s="844">
        <v>0</v>
      </c>
      <c r="HX195" s="844">
        <v>0</v>
      </c>
      <c r="HY195" s="844">
        <v>0</v>
      </c>
      <c r="HZ195" s="844">
        <v>0</v>
      </c>
      <c r="IA195" s="844">
        <v>0</v>
      </c>
      <c r="IB195" s="844">
        <v>0</v>
      </c>
      <c r="IC195" s="844">
        <v>0</v>
      </c>
      <c r="ID195" s="844">
        <v>0</v>
      </c>
      <c r="IE195" s="844">
        <v>0</v>
      </c>
      <c r="IF195" s="844">
        <v>0</v>
      </c>
      <c r="IG195" s="844">
        <v>0</v>
      </c>
      <c r="IH195" s="844">
        <v>0</v>
      </c>
      <c r="II195" s="844">
        <v>0</v>
      </c>
      <c r="IJ195" s="844">
        <v>0</v>
      </c>
    </row>
    <row r="196" spans="9:244" hidden="1">
      <c r="I196" s="156"/>
      <c r="L196" s="846" t="s">
        <v>1060</v>
      </c>
      <c r="M196" s="846" t="s">
        <v>1382</v>
      </c>
      <c r="N196" s="846" t="s">
        <v>96</v>
      </c>
      <c r="O196" s="847">
        <v>37</v>
      </c>
      <c r="P196" s="780" t="str">
        <f t="shared" si="6"/>
        <v>IWT060137</v>
      </c>
      <c r="Q196" s="847">
        <v>0</v>
      </c>
      <c r="R196" s="847">
        <v>0</v>
      </c>
      <c r="S196" s="847">
        <v>0</v>
      </c>
      <c r="T196" s="847">
        <v>0</v>
      </c>
      <c r="U196" s="847">
        <v>0</v>
      </c>
      <c r="V196" s="847">
        <v>0</v>
      </c>
      <c r="W196" s="847">
        <v>0</v>
      </c>
      <c r="X196" s="847">
        <v>0</v>
      </c>
      <c r="Y196" s="847">
        <v>0</v>
      </c>
      <c r="Z196" s="847">
        <v>0</v>
      </c>
      <c r="AA196" s="847">
        <v>0</v>
      </c>
      <c r="AB196" s="847">
        <v>0</v>
      </c>
      <c r="AC196" s="847">
        <v>0</v>
      </c>
      <c r="AD196" s="847">
        <v>0</v>
      </c>
      <c r="AE196" s="847">
        <v>0</v>
      </c>
      <c r="AF196" s="847">
        <v>0</v>
      </c>
      <c r="AG196" s="847">
        <v>0</v>
      </c>
      <c r="AH196" s="847">
        <v>0</v>
      </c>
      <c r="AI196" s="847">
        <v>0</v>
      </c>
      <c r="AJ196" s="847">
        <v>0</v>
      </c>
      <c r="AK196" s="847">
        <v>0</v>
      </c>
      <c r="AL196" s="847">
        <v>0</v>
      </c>
      <c r="AM196" s="847">
        <v>0</v>
      </c>
      <c r="AN196" s="847">
        <v>0</v>
      </c>
      <c r="AO196" s="847">
        <v>0</v>
      </c>
      <c r="AP196" s="847">
        <v>0</v>
      </c>
      <c r="AQ196" s="847">
        <v>0</v>
      </c>
      <c r="AR196" s="847">
        <v>0</v>
      </c>
      <c r="AS196" s="847">
        <v>0</v>
      </c>
      <c r="AT196" s="847">
        <v>0</v>
      </c>
      <c r="AU196" s="847">
        <v>0</v>
      </c>
      <c r="AV196" s="847">
        <v>0</v>
      </c>
      <c r="AW196" s="847">
        <v>0</v>
      </c>
      <c r="AX196" s="847">
        <v>0</v>
      </c>
      <c r="AY196" s="847">
        <v>0</v>
      </c>
      <c r="AZ196" s="847">
        <v>0</v>
      </c>
      <c r="BA196" s="847">
        <v>0</v>
      </c>
      <c r="BB196" s="847">
        <v>0</v>
      </c>
      <c r="BC196" s="847">
        <v>0</v>
      </c>
      <c r="BD196" s="847">
        <v>0</v>
      </c>
      <c r="BE196" s="847">
        <v>0</v>
      </c>
      <c r="BF196" s="847">
        <v>0</v>
      </c>
      <c r="BG196" s="847">
        <v>0</v>
      </c>
      <c r="BH196" s="847">
        <v>0</v>
      </c>
      <c r="BI196" s="847">
        <v>0</v>
      </c>
      <c r="BJ196" s="847">
        <v>0</v>
      </c>
      <c r="BK196" s="847">
        <v>0</v>
      </c>
      <c r="BL196" s="847">
        <v>0</v>
      </c>
      <c r="BM196" s="847">
        <v>0</v>
      </c>
      <c r="BN196" s="847">
        <v>0</v>
      </c>
      <c r="BO196" s="847">
        <v>0</v>
      </c>
      <c r="BP196" s="847">
        <v>0</v>
      </c>
      <c r="BQ196" s="847">
        <v>0</v>
      </c>
      <c r="BR196" s="847">
        <v>0</v>
      </c>
      <c r="BS196" s="847">
        <v>0</v>
      </c>
      <c r="BT196" s="847">
        <v>0</v>
      </c>
      <c r="BU196" s="847">
        <v>0</v>
      </c>
      <c r="BV196" s="847">
        <v>0</v>
      </c>
      <c r="BW196" s="847">
        <v>0</v>
      </c>
      <c r="BX196" s="847">
        <v>0</v>
      </c>
      <c r="BY196" s="847">
        <v>0</v>
      </c>
      <c r="BZ196" s="847">
        <v>0</v>
      </c>
      <c r="CA196" s="847">
        <v>0</v>
      </c>
      <c r="CB196" s="847">
        <v>0</v>
      </c>
      <c r="CC196" s="847">
        <v>0</v>
      </c>
      <c r="CD196" s="847">
        <v>0</v>
      </c>
      <c r="CE196" s="847">
        <v>0</v>
      </c>
      <c r="CF196" s="847">
        <v>0</v>
      </c>
      <c r="CG196" s="847">
        <v>0</v>
      </c>
      <c r="CH196" s="847">
        <v>0</v>
      </c>
      <c r="CI196" s="847">
        <v>0</v>
      </c>
      <c r="CJ196" s="847">
        <v>0</v>
      </c>
      <c r="CK196" s="847">
        <v>0</v>
      </c>
      <c r="CL196" s="847">
        <v>105200</v>
      </c>
      <c r="CM196" s="847">
        <v>0</v>
      </c>
      <c r="CN196" s="847">
        <v>0</v>
      </c>
      <c r="CO196" s="847">
        <v>0</v>
      </c>
      <c r="CP196" s="847">
        <v>0</v>
      </c>
      <c r="CQ196" s="847">
        <v>0</v>
      </c>
      <c r="CR196" s="847">
        <v>0</v>
      </c>
      <c r="CS196" s="847">
        <v>0</v>
      </c>
      <c r="CT196" s="847">
        <v>0</v>
      </c>
      <c r="CU196" s="847">
        <v>0</v>
      </c>
      <c r="CV196" s="847">
        <v>0</v>
      </c>
      <c r="CW196" s="847">
        <v>0</v>
      </c>
      <c r="CX196" s="847">
        <v>0</v>
      </c>
      <c r="CY196" s="847">
        <v>0</v>
      </c>
      <c r="CZ196" s="847">
        <v>0</v>
      </c>
      <c r="DA196" s="847">
        <v>0</v>
      </c>
      <c r="DB196" s="847">
        <v>0</v>
      </c>
      <c r="DC196" s="847">
        <v>0</v>
      </c>
      <c r="DD196" s="847">
        <v>0</v>
      </c>
      <c r="DE196" s="847">
        <v>0</v>
      </c>
      <c r="DF196" s="847">
        <v>0</v>
      </c>
      <c r="DG196" s="847">
        <v>0</v>
      </c>
      <c r="DH196" s="847">
        <v>0</v>
      </c>
      <c r="DI196" s="847">
        <v>0</v>
      </c>
      <c r="DJ196" s="847">
        <v>0</v>
      </c>
      <c r="DK196" s="847">
        <v>0</v>
      </c>
      <c r="DL196" s="847">
        <v>0</v>
      </c>
      <c r="DM196" s="847">
        <v>0</v>
      </c>
      <c r="DN196" s="847">
        <v>0</v>
      </c>
      <c r="DO196" s="847">
        <v>0</v>
      </c>
      <c r="DP196" s="847">
        <v>0</v>
      </c>
      <c r="DQ196" s="847">
        <v>0</v>
      </c>
      <c r="DR196" s="847">
        <v>0</v>
      </c>
      <c r="DS196" s="847">
        <v>0</v>
      </c>
      <c r="DT196" s="847">
        <v>0</v>
      </c>
      <c r="DU196" s="847">
        <v>0</v>
      </c>
      <c r="DV196" s="847">
        <v>0</v>
      </c>
      <c r="DW196" s="847">
        <v>0</v>
      </c>
      <c r="DY196" s="843" t="s">
        <v>1060</v>
      </c>
      <c r="DZ196" s="843" t="s">
        <v>1382</v>
      </c>
      <c r="EA196" s="843" t="s">
        <v>96</v>
      </c>
      <c r="EB196" s="844">
        <v>37</v>
      </c>
      <c r="EC196" s="780" t="str">
        <f t="shared" si="7"/>
        <v>IWT060137</v>
      </c>
      <c r="ED196" s="844">
        <v>5331.8</v>
      </c>
      <c r="EE196" s="844">
        <v>10663.6</v>
      </c>
      <c r="EF196" s="844">
        <v>15995.4</v>
      </c>
      <c r="EG196" s="844">
        <v>21327.200000000001</v>
      </c>
      <c r="EH196" s="844">
        <v>26659</v>
      </c>
      <c r="EI196" s="844">
        <v>31990.799999999999</v>
      </c>
      <c r="EJ196" s="844">
        <v>31990.799999999999</v>
      </c>
      <c r="EK196" s="844">
        <v>31990.799999999999</v>
      </c>
      <c r="EL196" s="844">
        <v>31990.799999999999</v>
      </c>
      <c r="EM196" s="844">
        <v>32524</v>
      </c>
      <c r="EN196" s="844">
        <v>33174</v>
      </c>
      <c r="EO196" s="844">
        <v>33838</v>
      </c>
      <c r="EP196" s="844">
        <v>34515</v>
      </c>
      <c r="EQ196" s="844">
        <v>35205</v>
      </c>
      <c r="ER196" s="844">
        <v>35909</v>
      </c>
      <c r="ES196" s="844">
        <v>36627</v>
      </c>
      <c r="ET196" s="844">
        <v>37360</v>
      </c>
      <c r="EU196" s="844">
        <v>38107</v>
      </c>
      <c r="EV196" s="844">
        <v>38869</v>
      </c>
      <c r="EW196" s="844">
        <v>39646</v>
      </c>
      <c r="EX196" s="844">
        <v>40439</v>
      </c>
      <c r="EY196" s="844">
        <v>41248</v>
      </c>
      <c r="EZ196" s="844">
        <v>42073</v>
      </c>
      <c r="FA196" s="844">
        <v>42914</v>
      </c>
      <c r="FB196" s="844">
        <v>43773</v>
      </c>
      <c r="FC196" s="844">
        <v>44648</v>
      </c>
      <c r="FD196" s="844">
        <v>45541</v>
      </c>
      <c r="FE196" s="844">
        <v>46452</v>
      </c>
      <c r="FF196" s="844">
        <v>47381</v>
      </c>
      <c r="FG196" s="844">
        <v>48328</v>
      </c>
      <c r="FH196" s="844">
        <v>49295</v>
      </c>
      <c r="FI196" s="844">
        <v>50281</v>
      </c>
      <c r="FJ196" s="844">
        <v>51286</v>
      </c>
      <c r="FK196" s="844">
        <v>52312</v>
      </c>
      <c r="FL196" s="844">
        <v>53358</v>
      </c>
      <c r="FM196" s="844">
        <v>54425</v>
      </c>
      <c r="FN196" s="844">
        <v>55514</v>
      </c>
      <c r="FO196" s="844">
        <v>56624</v>
      </c>
      <c r="FP196" s="844">
        <v>57756</v>
      </c>
      <c r="FQ196" s="844">
        <v>58911</v>
      </c>
      <c r="FR196" s="844">
        <v>60089</v>
      </c>
      <c r="FS196" s="844">
        <v>61291</v>
      </c>
      <c r="FT196" s="844">
        <v>62516</v>
      </c>
      <c r="FU196" s="844">
        <v>63763</v>
      </c>
      <c r="FV196" s="844">
        <v>65024</v>
      </c>
      <c r="FW196" s="844">
        <v>66299</v>
      </c>
      <c r="FX196" s="844">
        <v>67588</v>
      </c>
      <c r="FY196" s="844">
        <v>68889</v>
      </c>
      <c r="FZ196" s="844">
        <v>70204</v>
      </c>
      <c r="GA196" s="844">
        <v>71600</v>
      </c>
      <c r="GB196" s="844">
        <v>73000</v>
      </c>
      <c r="GC196" s="844">
        <v>74400</v>
      </c>
      <c r="GD196" s="844">
        <v>75800</v>
      </c>
      <c r="GE196" s="844">
        <v>77200</v>
      </c>
      <c r="GF196" s="844">
        <v>78600</v>
      </c>
      <c r="GG196" s="844">
        <v>80000</v>
      </c>
      <c r="GH196" s="844">
        <v>81400</v>
      </c>
      <c r="GI196" s="844">
        <v>82800</v>
      </c>
      <c r="GJ196" s="844">
        <v>84200</v>
      </c>
      <c r="GK196" s="844">
        <v>85600</v>
      </c>
      <c r="GL196" s="844">
        <v>87000</v>
      </c>
      <c r="GM196" s="844">
        <v>88400</v>
      </c>
      <c r="GN196" s="844">
        <v>89800</v>
      </c>
      <c r="GO196" s="844">
        <v>91200</v>
      </c>
      <c r="GP196" s="844">
        <v>92600</v>
      </c>
      <c r="GQ196" s="844">
        <v>94000</v>
      </c>
      <c r="GR196" s="844">
        <v>95400</v>
      </c>
      <c r="GS196" s="844">
        <v>96800</v>
      </c>
      <c r="GT196" s="844">
        <v>98219</v>
      </c>
      <c r="GU196" s="844">
        <v>99666</v>
      </c>
      <c r="GV196" s="844">
        <v>101120</v>
      </c>
      <c r="GW196" s="844">
        <v>102596</v>
      </c>
      <c r="GX196" s="844">
        <v>104164</v>
      </c>
      <c r="GY196" s="844">
        <v>105200</v>
      </c>
      <c r="GZ196" s="844">
        <v>0</v>
      </c>
      <c r="HA196" s="844">
        <v>0</v>
      </c>
      <c r="HB196" s="844">
        <v>0</v>
      </c>
      <c r="HC196" s="844">
        <v>0</v>
      </c>
      <c r="HD196" s="844">
        <v>0</v>
      </c>
      <c r="HE196" s="844">
        <v>0</v>
      </c>
      <c r="HF196" s="844">
        <v>0</v>
      </c>
      <c r="HG196" s="844">
        <v>0</v>
      </c>
      <c r="HH196" s="844">
        <v>0</v>
      </c>
      <c r="HI196" s="844">
        <v>0</v>
      </c>
      <c r="HJ196" s="844">
        <v>0</v>
      </c>
      <c r="HK196" s="844">
        <v>0</v>
      </c>
      <c r="HL196" s="844">
        <v>0</v>
      </c>
      <c r="HM196" s="844">
        <v>0</v>
      </c>
      <c r="HN196" s="844">
        <v>0</v>
      </c>
      <c r="HO196" s="844">
        <v>0</v>
      </c>
      <c r="HP196" s="844">
        <v>0</v>
      </c>
      <c r="HQ196" s="844">
        <v>0</v>
      </c>
      <c r="HR196" s="844">
        <v>0</v>
      </c>
      <c r="HS196" s="844">
        <v>0</v>
      </c>
      <c r="HT196" s="844">
        <v>0</v>
      </c>
      <c r="HU196" s="844">
        <v>0</v>
      </c>
      <c r="HV196" s="844">
        <v>0</v>
      </c>
      <c r="HW196" s="844">
        <v>0</v>
      </c>
      <c r="HX196" s="844">
        <v>0</v>
      </c>
      <c r="HY196" s="844">
        <v>0</v>
      </c>
      <c r="HZ196" s="844">
        <v>0</v>
      </c>
      <c r="IA196" s="844">
        <v>0</v>
      </c>
      <c r="IB196" s="844">
        <v>0</v>
      </c>
      <c r="IC196" s="844">
        <v>0</v>
      </c>
      <c r="ID196" s="844">
        <v>0</v>
      </c>
      <c r="IE196" s="844">
        <v>0</v>
      </c>
      <c r="IF196" s="844">
        <v>0</v>
      </c>
      <c r="IG196" s="844">
        <v>0</v>
      </c>
      <c r="IH196" s="844">
        <v>0</v>
      </c>
      <c r="II196" s="844">
        <v>0</v>
      </c>
      <c r="IJ196" s="844">
        <v>0</v>
      </c>
    </row>
    <row r="197" spans="9:244" hidden="1">
      <c r="I197" s="156"/>
      <c r="L197" s="846" t="s">
        <v>1060</v>
      </c>
      <c r="M197" s="846" t="s">
        <v>1382</v>
      </c>
      <c r="N197" s="846" t="s">
        <v>96</v>
      </c>
      <c r="O197" s="847">
        <v>38</v>
      </c>
      <c r="P197" s="780" t="str">
        <f t="shared" si="6"/>
        <v>IWT060138</v>
      </c>
      <c r="Q197" s="847">
        <v>0</v>
      </c>
      <c r="R197" s="847">
        <v>0</v>
      </c>
      <c r="S197" s="847">
        <v>0</v>
      </c>
      <c r="T197" s="847">
        <v>0</v>
      </c>
      <c r="U197" s="847">
        <v>0</v>
      </c>
      <c r="V197" s="847">
        <v>0</v>
      </c>
      <c r="W197" s="847">
        <v>0</v>
      </c>
      <c r="X197" s="847">
        <v>0</v>
      </c>
      <c r="Y197" s="847">
        <v>0</v>
      </c>
      <c r="Z197" s="847">
        <v>0</v>
      </c>
      <c r="AA197" s="847">
        <v>0</v>
      </c>
      <c r="AB197" s="847">
        <v>0</v>
      </c>
      <c r="AC197" s="847">
        <v>0</v>
      </c>
      <c r="AD197" s="847">
        <v>0</v>
      </c>
      <c r="AE197" s="847">
        <v>0</v>
      </c>
      <c r="AF197" s="847">
        <v>0</v>
      </c>
      <c r="AG197" s="847">
        <v>0</v>
      </c>
      <c r="AH197" s="847">
        <v>0</v>
      </c>
      <c r="AI197" s="847">
        <v>0</v>
      </c>
      <c r="AJ197" s="847">
        <v>0</v>
      </c>
      <c r="AK197" s="847">
        <v>0</v>
      </c>
      <c r="AL197" s="847">
        <v>0</v>
      </c>
      <c r="AM197" s="847">
        <v>0</v>
      </c>
      <c r="AN197" s="847">
        <v>0</v>
      </c>
      <c r="AO197" s="847">
        <v>0</v>
      </c>
      <c r="AP197" s="847">
        <v>0</v>
      </c>
      <c r="AQ197" s="847">
        <v>0</v>
      </c>
      <c r="AR197" s="847">
        <v>0</v>
      </c>
      <c r="AS197" s="847">
        <v>0</v>
      </c>
      <c r="AT197" s="847">
        <v>0</v>
      </c>
      <c r="AU197" s="847">
        <v>0</v>
      </c>
      <c r="AV197" s="847">
        <v>0</v>
      </c>
      <c r="AW197" s="847">
        <v>0</v>
      </c>
      <c r="AX197" s="847">
        <v>0</v>
      </c>
      <c r="AY197" s="847">
        <v>0</v>
      </c>
      <c r="AZ197" s="847">
        <v>0</v>
      </c>
      <c r="BA197" s="847">
        <v>0</v>
      </c>
      <c r="BB197" s="847">
        <v>0</v>
      </c>
      <c r="BC197" s="847">
        <v>0</v>
      </c>
      <c r="BD197" s="847">
        <v>0</v>
      </c>
      <c r="BE197" s="847">
        <v>0</v>
      </c>
      <c r="BF197" s="847">
        <v>0</v>
      </c>
      <c r="BG197" s="847">
        <v>0</v>
      </c>
      <c r="BH197" s="847">
        <v>0</v>
      </c>
      <c r="BI197" s="847">
        <v>0</v>
      </c>
      <c r="BJ197" s="847">
        <v>0</v>
      </c>
      <c r="BK197" s="847">
        <v>0</v>
      </c>
      <c r="BL197" s="847">
        <v>0</v>
      </c>
      <c r="BM197" s="847">
        <v>0</v>
      </c>
      <c r="BN197" s="847">
        <v>0</v>
      </c>
      <c r="BO197" s="847">
        <v>0</v>
      </c>
      <c r="BP197" s="847">
        <v>0</v>
      </c>
      <c r="BQ197" s="847">
        <v>0</v>
      </c>
      <c r="BR197" s="847">
        <v>0</v>
      </c>
      <c r="BS197" s="847">
        <v>0</v>
      </c>
      <c r="BT197" s="847">
        <v>0</v>
      </c>
      <c r="BU197" s="847">
        <v>0</v>
      </c>
      <c r="BV197" s="847">
        <v>0</v>
      </c>
      <c r="BW197" s="847">
        <v>0</v>
      </c>
      <c r="BX197" s="847">
        <v>0</v>
      </c>
      <c r="BY197" s="847">
        <v>0</v>
      </c>
      <c r="BZ197" s="847">
        <v>0</v>
      </c>
      <c r="CA197" s="847">
        <v>0</v>
      </c>
      <c r="CB197" s="847">
        <v>0</v>
      </c>
      <c r="CC197" s="847">
        <v>0</v>
      </c>
      <c r="CD197" s="847">
        <v>0</v>
      </c>
      <c r="CE197" s="847">
        <v>0</v>
      </c>
      <c r="CF197" s="847">
        <v>0</v>
      </c>
      <c r="CG197" s="847">
        <v>0</v>
      </c>
      <c r="CH197" s="847">
        <v>0</v>
      </c>
      <c r="CI197" s="847">
        <v>0</v>
      </c>
      <c r="CJ197" s="847">
        <v>0</v>
      </c>
      <c r="CK197" s="847">
        <v>103800</v>
      </c>
      <c r="CL197" s="847">
        <v>0</v>
      </c>
      <c r="CM197" s="847">
        <v>0</v>
      </c>
      <c r="CN197" s="847">
        <v>0</v>
      </c>
      <c r="CO197" s="847">
        <v>0</v>
      </c>
      <c r="CP197" s="847">
        <v>0</v>
      </c>
      <c r="CQ197" s="847">
        <v>0</v>
      </c>
      <c r="CR197" s="847">
        <v>0</v>
      </c>
      <c r="CS197" s="847">
        <v>0</v>
      </c>
      <c r="CT197" s="847">
        <v>0</v>
      </c>
      <c r="CU197" s="847">
        <v>0</v>
      </c>
      <c r="CV197" s="847">
        <v>0</v>
      </c>
      <c r="CW197" s="847">
        <v>0</v>
      </c>
      <c r="CX197" s="847">
        <v>0</v>
      </c>
      <c r="CY197" s="847">
        <v>0</v>
      </c>
      <c r="CZ197" s="847">
        <v>0</v>
      </c>
      <c r="DA197" s="847">
        <v>0</v>
      </c>
      <c r="DB197" s="847">
        <v>0</v>
      </c>
      <c r="DC197" s="847">
        <v>0</v>
      </c>
      <c r="DD197" s="847">
        <v>0</v>
      </c>
      <c r="DE197" s="847">
        <v>0</v>
      </c>
      <c r="DF197" s="847">
        <v>0</v>
      </c>
      <c r="DG197" s="847">
        <v>0</v>
      </c>
      <c r="DH197" s="847">
        <v>0</v>
      </c>
      <c r="DI197" s="847">
        <v>0</v>
      </c>
      <c r="DJ197" s="847">
        <v>0</v>
      </c>
      <c r="DK197" s="847">
        <v>0</v>
      </c>
      <c r="DL197" s="847">
        <v>0</v>
      </c>
      <c r="DM197" s="847">
        <v>0</v>
      </c>
      <c r="DN197" s="847">
        <v>0</v>
      </c>
      <c r="DO197" s="847">
        <v>0</v>
      </c>
      <c r="DP197" s="847">
        <v>0</v>
      </c>
      <c r="DQ197" s="847">
        <v>0</v>
      </c>
      <c r="DR197" s="847">
        <v>0</v>
      </c>
      <c r="DS197" s="847">
        <v>0</v>
      </c>
      <c r="DT197" s="847">
        <v>0</v>
      </c>
      <c r="DU197" s="847">
        <v>0</v>
      </c>
      <c r="DV197" s="847">
        <v>0</v>
      </c>
      <c r="DW197" s="847">
        <v>0</v>
      </c>
      <c r="DY197" s="843" t="s">
        <v>1060</v>
      </c>
      <c r="DZ197" s="843" t="s">
        <v>1382</v>
      </c>
      <c r="EA197" s="843" t="s">
        <v>96</v>
      </c>
      <c r="EB197" s="844">
        <v>38</v>
      </c>
      <c r="EC197" s="780" t="str">
        <f t="shared" si="7"/>
        <v>IWT060138</v>
      </c>
      <c r="ED197" s="844">
        <v>5336</v>
      </c>
      <c r="EE197" s="844">
        <v>10672.1</v>
      </c>
      <c r="EF197" s="844">
        <v>16008.1</v>
      </c>
      <c r="EG197" s="844">
        <v>21344.2</v>
      </c>
      <c r="EH197" s="844">
        <v>26680.2</v>
      </c>
      <c r="EI197" s="844">
        <v>32016.2</v>
      </c>
      <c r="EJ197" s="844">
        <v>32016.2</v>
      </c>
      <c r="EK197" s="844">
        <v>32016.2</v>
      </c>
      <c r="EL197" s="844">
        <v>32016.2</v>
      </c>
      <c r="EM197" s="844">
        <v>32550</v>
      </c>
      <c r="EN197" s="844">
        <v>33201</v>
      </c>
      <c r="EO197" s="844">
        <v>33865</v>
      </c>
      <c r="EP197" s="844">
        <v>34543</v>
      </c>
      <c r="EQ197" s="844">
        <v>35234</v>
      </c>
      <c r="ER197" s="844">
        <v>35938</v>
      </c>
      <c r="ES197" s="844">
        <v>36657</v>
      </c>
      <c r="ET197" s="844">
        <v>37390</v>
      </c>
      <c r="EU197" s="844">
        <v>38138</v>
      </c>
      <c r="EV197" s="844">
        <v>38901</v>
      </c>
      <c r="EW197" s="844">
        <v>39679</v>
      </c>
      <c r="EX197" s="844">
        <v>40472</v>
      </c>
      <c r="EY197" s="844">
        <v>41282</v>
      </c>
      <c r="EZ197" s="844">
        <v>42107</v>
      </c>
      <c r="FA197" s="844">
        <v>42949</v>
      </c>
      <c r="FB197" s="844">
        <v>43808</v>
      </c>
      <c r="FC197" s="844">
        <v>44685</v>
      </c>
      <c r="FD197" s="844">
        <v>45578</v>
      </c>
      <c r="FE197" s="844">
        <v>46490</v>
      </c>
      <c r="FF197" s="844">
        <v>47419</v>
      </c>
      <c r="FG197" s="844">
        <v>48368</v>
      </c>
      <c r="FH197" s="844">
        <v>49335</v>
      </c>
      <c r="FI197" s="844">
        <v>50322</v>
      </c>
      <c r="FJ197" s="844">
        <v>51328</v>
      </c>
      <c r="FK197" s="844">
        <v>52355</v>
      </c>
      <c r="FL197" s="844">
        <v>53402</v>
      </c>
      <c r="FM197" s="844">
        <v>54470</v>
      </c>
      <c r="FN197" s="844">
        <v>55559</v>
      </c>
      <c r="FO197" s="844">
        <v>56670</v>
      </c>
      <c r="FP197" s="844">
        <v>57803</v>
      </c>
      <c r="FQ197" s="844">
        <v>58959</v>
      </c>
      <c r="FR197" s="844">
        <v>60138</v>
      </c>
      <c r="FS197" s="844">
        <v>61341</v>
      </c>
      <c r="FT197" s="844">
        <v>62567</v>
      </c>
      <c r="FU197" s="844">
        <v>63818</v>
      </c>
      <c r="FV197" s="844">
        <v>65083</v>
      </c>
      <c r="FW197" s="844">
        <v>66362</v>
      </c>
      <c r="FX197" s="844">
        <v>67654</v>
      </c>
      <c r="FY197" s="844">
        <v>68959</v>
      </c>
      <c r="FZ197" s="844">
        <v>70277</v>
      </c>
      <c r="GA197" s="844">
        <v>71607</v>
      </c>
      <c r="GB197" s="844">
        <v>73000</v>
      </c>
      <c r="GC197" s="844">
        <v>74400</v>
      </c>
      <c r="GD197" s="844">
        <v>75800</v>
      </c>
      <c r="GE197" s="844">
        <v>77200</v>
      </c>
      <c r="GF197" s="844">
        <v>78600</v>
      </c>
      <c r="GG197" s="844">
        <v>80000</v>
      </c>
      <c r="GH197" s="844">
        <v>81400</v>
      </c>
      <c r="GI197" s="844">
        <v>82800</v>
      </c>
      <c r="GJ197" s="844">
        <v>84200</v>
      </c>
      <c r="GK197" s="844">
        <v>85600</v>
      </c>
      <c r="GL197" s="844">
        <v>87000</v>
      </c>
      <c r="GM197" s="844">
        <v>88400</v>
      </c>
      <c r="GN197" s="844">
        <v>89800</v>
      </c>
      <c r="GO197" s="844">
        <v>91200</v>
      </c>
      <c r="GP197" s="844">
        <v>92600</v>
      </c>
      <c r="GQ197" s="844">
        <v>94000</v>
      </c>
      <c r="GR197" s="844">
        <v>95410</v>
      </c>
      <c r="GS197" s="844">
        <v>96851</v>
      </c>
      <c r="GT197" s="844">
        <v>98295</v>
      </c>
      <c r="GU197" s="844">
        <v>99746</v>
      </c>
      <c r="GV197" s="844">
        <v>101217</v>
      </c>
      <c r="GW197" s="844">
        <v>102777</v>
      </c>
      <c r="GX197" s="844">
        <v>103800</v>
      </c>
      <c r="GY197" s="844">
        <v>0</v>
      </c>
      <c r="GZ197" s="844">
        <v>0</v>
      </c>
      <c r="HA197" s="844">
        <v>0</v>
      </c>
      <c r="HB197" s="844">
        <v>0</v>
      </c>
      <c r="HC197" s="844">
        <v>0</v>
      </c>
      <c r="HD197" s="844">
        <v>0</v>
      </c>
      <c r="HE197" s="844">
        <v>0</v>
      </c>
      <c r="HF197" s="844">
        <v>0</v>
      </c>
      <c r="HG197" s="844">
        <v>0</v>
      </c>
      <c r="HH197" s="844">
        <v>0</v>
      </c>
      <c r="HI197" s="844">
        <v>0</v>
      </c>
      <c r="HJ197" s="844">
        <v>0</v>
      </c>
      <c r="HK197" s="844">
        <v>0</v>
      </c>
      <c r="HL197" s="844">
        <v>0</v>
      </c>
      <c r="HM197" s="844">
        <v>0</v>
      </c>
      <c r="HN197" s="844">
        <v>0</v>
      </c>
      <c r="HO197" s="844">
        <v>0</v>
      </c>
      <c r="HP197" s="844">
        <v>0</v>
      </c>
      <c r="HQ197" s="844">
        <v>0</v>
      </c>
      <c r="HR197" s="844">
        <v>0</v>
      </c>
      <c r="HS197" s="844">
        <v>0</v>
      </c>
      <c r="HT197" s="844">
        <v>0</v>
      </c>
      <c r="HU197" s="844">
        <v>0</v>
      </c>
      <c r="HV197" s="844">
        <v>0</v>
      </c>
      <c r="HW197" s="844">
        <v>0</v>
      </c>
      <c r="HX197" s="844">
        <v>0</v>
      </c>
      <c r="HY197" s="844">
        <v>0</v>
      </c>
      <c r="HZ197" s="844">
        <v>0</v>
      </c>
      <c r="IA197" s="844">
        <v>0</v>
      </c>
      <c r="IB197" s="844">
        <v>0</v>
      </c>
      <c r="IC197" s="844">
        <v>0</v>
      </c>
      <c r="ID197" s="844">
        <v>0</v>
      </c>
      <c r="IE197" s="844">
        <v>0</v>
      </c>
      <c r="IF197" s="844">
        <v>0</v>
      </c>
      <c r="IG197" s="844">
        <v>0</v>
      </c>
      <c r="IH197" s="844">
        <v>0</v>
      </c>
      <c r="II197" s="844">
        <v>0</v>
      </c>
      <c r="IJ197" s="844">
        <v>0</v>
      </c>
    </row>
    <row r="198" spans="9:244" hidden="1">
      <c r="I198" s="156"/>
      <c r="L198" s="846" t="s">
        <v>1060</v>
      </c>
      <c r="M198" s="846" t="s">
        <v>1382</v>
      </c>
      <c r="N198" s="846" t="s">
        <v>96</v>
      </c>
      <c r="O198" s="847">
        <v>39</v>
      </c>
      <c r="P198" s="780" t="str">
        <f t="shared" si="6"/>
        <v>IWT060139</v>
      </c>
      <c r="Q198" s="847">
        <v>0</v>
      </c>
      <c r="R198" s="847">
        <v>0</v>
      </c>
      <c r="S198" s="847">
        <v>0</v>
      </c>
      <c r="T198" s="847">
        <v>0</v>
      </c>
      <c r="U198" s="847">
        <v>0</v>
      </c>
      <c r="V198" s="847">
        <v>0</v>
      </c>
      <c r="W198" s="847">
        <v>0</v>
      </c>
      <c r="X198" s="847">
        <v>0</v>
      </c>
      <c r="Y198" s="847">
        <v>0</v>
      </c>
      <c r="Z198" s="847">
        <v>0</v>
      </c>
      <c r="AA198" s="847">
        <v>0</v>
      </c>
      <c r="AB198" s="847">
        <v>0</v>
      </c>
      <c r="AC198" s="847">
        <v>0</v>
      </c>
      <c r="AD198" s="847">
        <v>0</v>
      </c>
      <c r="AE198" s="847">
        <v>0</v>
      </c>
      <c r="AF198" s="847">
        <v>0</v>
      </c>
      <c r="AG198" s="847">
        <v>0</v>
      </c>
      <c r="AH198" s="847">
        <v>0</v>
      </c>
      <c r="AI198" s="847">
        <v>0</v>
      </c>
      <c r="AJ198" s="847">
        <v>0</v>
      </c>
      <c r="AK198" s="847">
        <v>0</v>
      </c>
      <c r="AL198" s="847">
        <v>0</v>
      </c>
      <c r="AM198" s="847">
        <v>0</v>
      </c>
      <c r="AN198" s="847">
        <v>0</v>
      </c>
      <c r="AO198" s="847">
        <v>0</v>
      </c>
      <c r="AP198" s="847">
        <v>0</v>
      </c>
      <c r="AQ198" s="847">
        <v>0</v>
      </c>
      <c r="AR198" s="847">
        <v>0</v>
      </c>
      <c r="AS198" s="847">
        <v>0</v>
      </c>
      <c r="AT198" s="847">
        <v>0</v>
      </c>
      <c r="AU198" s="847">
        <v>0</v>
      </c>
      <c r="AV198" s="847">
        <v>0</v>
      </c>
      <c r="AW198" s="847">
        <v>0</v>
      </c>
      <c r="AX198" s="847">
        <v>0</v>
      </c>
      <c r="AY198" s="847">
        <v>0</v>
      </c>
      <c r="AZ198" s="847">
        <v>0</v>
      </c>
      <c r="BA198" s="847">
        <v>0</v>
      </c>
      <c r="BB198" s="847">
        <v>0</v>
      </c>
      <c r="BC198" s="847">
        <v>0</v>
      </c>
      <c r="BD198" s="847">
        <v>0</v>
      </c>
      <c r="BE198" s="847">
        <v>0</v>
      </c>
      <c r="BF198" s="847">
        <v>0</v>
      </c>
      <c r="BG198" s="847">
        <v>0</v>
      </c>
      <c r="BH198" s="847">
        <v>0</v>
      </c>
      <c r="BI198" s="847">
        <v>0</v>
      </c>
      <c r="BJ198" s="847">
        <v>0</v>
      </c>
      <c r="BK198" s="847">
        <v>0</v>
      </c>
      <c r="BL198" s="847">
        <v>0</v>
      </c>
      <c r="BM198" s="847">
        <v>0</v>
      </c>
      <c r="BN198" s="847">
        <v>0</v>
      </c>
      <c r="BO198" s="847">
        <v>0</v>
      </c>
      <c r="BP198" s="847">
        <v>0</v>
      </c>
      <c r="BQ198" s="847">
        <v>0</v>
      </c>
      <c r="BR198" s="847">
        <v>0</v>
      </c>
      <c r="BS198" s="847">
        <v>0</v>
      </c>
      <c r="BT198" s="847">
        <v>0</v>
      </c>
      <c r="BU198" s="847">
        <v>0</v>
      </c>
      <c r="BV198" s="847">
        <v>0</v>
      </c>
      <c r="BW198" s="847">
        <v>0</v>
      </c>
      <c r="BX198" s="847">
        <v>0</v>
      </c>
      <c r="BY198" s="847">
        <v>0</v>
      </c>
      <c r="BZ198" s="847">
        <v>0</v>
      </c>
      <c r="CA198" s="847">
        <v>0</v>
      </c>
      <c r="CB198" s="847">
        <v>0</v>
      </c>
      <c r="CC198" s="847">
        <v>0</v>
      </c>
      <c r="CD198" s="847">
        <v>0</v>
      </c>
      <c r="CE198" s="847">
        <v>0</v>
      </c>
      <c r="CF198" s="847">
        <v>0</v>
      </c>
      <c r="CG198" s="847">
        <v>0</v>
      </c>
      <c r="CH198" s="847">
        <v>0</v>
      </c>
      <c r="CI198" s="847">
        <v>0</v>
      </c>
      <c r="CJ198" s="847">
        <v>102400</v>
      </c>
      <c r="CK198" s="847">
        <v>0</v>
      </c>
      <c r="CL198" s="847">
        <v>0</v>
      </c>
      <c r="CM198" s="847">
        <v>0</v>
      </c>
      <c r="CN198" s="847">
        <v>0</v>
      </c>
      <c r="CO198" s="847">
        <v>0</v>
      </c>
      <c r="CP198" s="847">
        <v>0</v>
      </c>
      <c r="CQ198" s="847">
        <v>0</v>
      </c>
      <c r="CR198" s="847">
        <v>0</v>
      </c>
      <c r="CS198" s="847">
        <v>0</v>
      </c>
      <c r="CT198" s="847">
        <v>0</v>
      </c>
      <c r="CU198" s="847">
        <v>0</v>
      </c>
      <c r="CV198" s="847">
        <v>0</v>
      </c>
      <c r="CW198" s="847">
        <v>0</v>
      </c>
      <c r="CX198" s="847">
        <v>0</v>
      </c>
      <c r="CY198" s="847">
        <v>0</v>
      </c>
      <c r="CZ198" s="847">
        <v>0</v>
      </c>
      <c r="DA198" s="847">
        <v>0</v>
      </c>
      <c r="DB198" s="847">
        <v>0</v>
      </c>
      <c r="DC198" s="847">
        <v>0</v>
      </c>
      <c r="DD198" s="847">
        <v>0</v>
      </c>
      <c r="DE198" s="847">
        <v>0</v>
      </c>
      <c r="DF198" s="847">
        <v>0</v>
      </c>
      <c r="DG198" s="847">
        <v>0</v>
      </c>
      <c r="DH198" s="847">
        <v>0</v>
      </c>
      <c r="DI198" s="847">
        <v>0</v>
      </c>
      <c r="DJ198" s="847">
        <v>0</v>
      </c>
      <c r="DK198" s="847">
        <v>0</v>
      </c>
      <c r="DL198" s="847">
        <v>0</v>
      </c>
      <c r="DM198" s="847">
        <v>0</v>
      </c>
      <c r="DN198" s="847">
        <v>0</v>
      </c>
      <c r="DO198" s="847">
        <v>0</v>
      </c>
      <c r="DP198" s="847">
        <v>0</v>
      </c>
      <c r="DQ198" s="847">
        <v>0</v>
      </c>
      <c r="DR198" s="847">
        <v>0</v>
      </c>
      <c r="DS198" s="847">
        <v>0</v>
      </c>
      <c r="DT198" s="847">
        <v>0</v>
      </c>
      <c r="DU198" s="847">
        <v>0</v>
      </c>
      <c r="DV198" s="847">
        <v>0</v>
      </c>
      <c r="DW198" s="847">
        <v>0</v>
      </c>
      <c r="DY198" s="843" t="s">
        <v>1060</v>
      </c>
      <c r="DZ198" s="843" t="s">
        <v>1382</v>
      </c>
      <c r="EA198" s="843" t="s">
        <v>96</v>
      </c>
      <c r="EB198" s="844">
        <v>39</v>
      </c>
      <c r="EC198" s="780" t="str">
        <f t="shared" si="7"/>
        <v>IWT060139</v>
      </c>
      <c r="ED198" s="844">
        <v>5341.3</v>
      </c>
      <c r="EE198" s="844">
        <v>10682.7</v>
      </c>
      <c r="EF198" s="844">
        <v>16024</v>
      </c>
      <c r="EG198" s="844">
        <v>21365.4</v>
      </c>
      <c r="EH198" s="844">
        <v>26706.7</v>
      </c>
      <c r="EI198" s="844">
        <v>32048</v>
      </c>
      <c r="EJ198" s="844">
        <v>32048</v>
      </c>
      <c r="EK198" s="844">
        <v>32048</v>
      </c>
      <c r="EL198" s="844">
        <v>32048</v>
      </c>
      <c r="EM198" s="844">
        <v>32575</v>
      </c>
      <c r="EN198" s="844">
        <v>33227</v>
      </c>
      <c r="EO198" s="844">
        <v>33891</v>
      </c>
      <c r="EP198" s="844">
        <v>34569</v>
      </c>
      <c r="EQ198" s="844">
        <v>35261</v>
      </c>
      <c r="ER198" s="844">
        <v>35966</v>
      </c>
      <c r="ES198" s="844">
        <v>36685</v>
      </c>
      <c r="ET198" s="844">
        <v>37419</v>
      </c>
      <c r="EU198" s="844">
        <v>38167</v>
      </c>
      <c r="EV198" s="844">
        <v>38930</v>
      </c>
      <c r="EW198" s="844">
        <v>39709</v>
      </c>
      <c r="EX198" s="844">
        <v>40503</v>
      </c>
      <c r="EY198" s="844">
        <v>41313</v>
      </c>
      <c r="EZ198" s="844">
        <v>42139</v>
      </c>
      <c r="FA198" s="844">
        <v>42982</v>
      </c>
      <c r="FB198" s="844">
        <v>43842</v>
      </c>
      <c r="FC198" s="844">
        <v>44719</v>
      </c>
      <c r="FD198" s="844">
        <v>45613</v>
      </c>
      <c r="FE198" s="844">
        <v>46525</v>
      </c>
      <c r="FF198" s="844">
        <v>47456</v>
      </c>
      <c r="FG198" s="844">
        <v>48405</v>
      </c>
      <c r="FH198" s="844">
        <v>49373</v>
      </c>
      <c r="FI198" s="844">
        <v>50360</v>
      </c>
      <c r="FJ198" s="844">
        <v>51367</v>
      </c>
      <c r="FK198" s="844">
        <v>52395</v>
      </c>
      <c r="FL198" s="844">
        <v>53442</v>
      </c>
      <c r="FM198" s="844">
        <v>54511</v>
      </c>
      <c r="FN198" s="844">
        <v>55601</v>
      </c>
      <c r="FO198" s="844">
        <v>56713</v>
      </c>
      <c r="FP198" s="844">
        <v>57847</v>
      </c>
      <c r="FQ198" s="844">
        <v>59004</v>
      </c>
      <c r="FR198" s="844">
        <v>60184</v>
      </c>
      <c r="FS198" s="844">
        <v>61387</v>
      </c>
      <c r="FT198" s="844">
        <v>62615</v>
      </c>
      <c r="FU198" s="844">
        <v>63867</v>
      </c>
      <c r="FV198" s="844">
        <v>65136</v>
      </c>
      <c r="FW198" s="844">
        <v>66419</v>
      </c>
      <c r="FX198" s="844">
        <v>67715</v>
      </c>
      <c r="FY198" s="844">
        <v>69024</v>
      </c>
      <c r="FZ198" s="844">
        <v>70345</v>
      </c>
      <c r="GA198" s="844">
        <v>71678</v>
      </c>
      <c r="GB198" s="844">
        <v>73021</v>
      </c>
      <c r="GC198" s="844">
        <v>74400</v>
      </c>
      <c r="GD198" s="844">
        <v>75800</v>
      </c>
      <c r="GE198" s="844">
        <v>77200</v>
      </c>
      <c r="GF198" s="844">
        <v>78600</v>
      </c>
      <c r="GG198" s="844">
        <v>80000</v>
      </c>
      <c r="GH198" s="844">
        <v>81400</v>
      </c>
      <c r="GI198" s="844">
        <v>82800</v>
      </c>
      <c r="GJ198" s="844">
        <v>84200</v>
      </c>
      <c r="GK198" s="844">
        <v>85600</v>
      </c>
      <c r="GL198" s="844">
        <v>87000</v>
      </c>
      <c r="GM198" s="844">
        <v>88400</v>
      </c>
      <c r="GN198" s="844">
        <v>89800</v>
      </c>
      <c r="GO198" s="844">
        <v>91200</v>
      </c>
      <c r="GP198" s="844">
        <v>92612</v>
      </c>
      <c r="GQ198" s="844">
        <v>94046</v>
      </c>
      <c r="GR198" s="844">
        <v>95483</v>
      </c>
      <c r="GS198" s="844">
        <v>96924</v>
      </c>
      <c r="GT198" s="844">
        <v>98371</v>
      </c>
      <c r="GU198" s="844">
        <v>99839</v>
      </c>
      <c r="GV198" s="844">
        <v>101391</v>
      </c>
      <c r="GW198" s="844">
        <v>102400</v>
      </c>
      <c r="GX198" s="844">
        <v>0</v>
      </c>
      <c r="GY198" s="844">
        <v>0</v>
      </c>
      <c r="GZ198" s="844">
        <v>0</v>
      </c>
      <c r="HA198" s="844">
        <v>0</v>
      </c>
      <c r="HB198" s="844">
        <v>0</v>
      </c>
      <c r="HC198" s="844">
        <v>0</v>
      </c>
      <c r="HD198" s="844">
        <v>0</v>
      </c>
      <c r="HE198" s="844">
        <v>0</v>
      </c>
      <c r="HF198" s="844">
        <v>0</v>
      </c>
      <c r="HG198" s="844">
        <v>0</v>
      </c>
      <c r="HH198" s="844">
        <v>0</v>
      </c>
      <c r="HI198" s="844">
        <v>0</v>
      </c>
      <c r="HJ198" s="844">
        <v>0</v>
      </c>
      <c r="HK198" s="844">
        <v>0</v>
      </c>
      <c r="HL198" s="844">
        <v>0</v>
      </c>
      <c r="HM198" s="844">
        <v>0</v>
      </c>
      <c r="HN198" s="844">
        <v>0</v>
      </c>
      <c r="HO198" s="844">
        <v>0</v>
      </c>
      <c r="HP198" s="844">
        <v>0</v>
      </c>
      <c r="HQ198" s="844">
        <v>0</v>
      </c>
      <c r="HR198" s="844">
        <v>0</v>
      </c>
      <c r="HS198" s="844">
        <v>0</v>
      </c>
      <c r="HT198" s="844">
        <v>0</v>
      </c>
      <c r="HU198" s="844">
        <v>0</v>
      </c>
      <c r="HV198" s="844">
        <v>0</v>
      </c>
      <c r="HW198" s="844">
        <v>0</v>
      </c>
      <c r="HX198" s="844">
        <v>0</v>
      </c>
      <c r="HY198" s="844">
        <v>0</v>
      </c>
      <c r="HZ198" s="844">
        <v>0</v>
      </c>
      <c r="IA198" s="844">
        <v>0</v>
      </c>
      <c r="IB198" s="844">
        <v>0</v>
      </c>
      <c r="IC198" s="844">
        <v>0</v>
      </c>
      <c r="ID198" s="844">
        <v>0</v>
      </c>
      <c r="IE198" s="844">
        <v>0</v>
      </c>
      <c r="IF198" s="844">
        <v>0</v>
      </c>
      <c r="IG198" s="844">
        <v>0</v>
      </c>
      <c r="IH198" s="844">
        <v>0</v>
      </c>
      <c r="II198" s="844">
        <v>0</v>
      </c>
      <c r="IJ198" s="844">
        <v>0</v>
      </c>
    </row>
    <row r="199" spans="9:244" hidden="1">
      <c r="I199" s="156"/>
      <c r="L199" s="846" t="s">
        <v>1060</v>
      </c>
      <c r="M199" s="846" t="s">
        <v>1382</v>
      </c>
      <c r="N199" s="846" t="s">
        <v>96</v>
      </c>
      <c r="O199" s="847">
        <v>40</v>
      </c>
      <c r="P199" s="780" t="str">
        <f t="shared" si="6"/>
        <v>IWT060140</v>
      </c>
      <c r="Q199" s="847">
        <v>0</v>
      </c>
      <c r="R199" s="847">
        <v>0</v>
      </c>
      <c r="S199" s="847">
        <v>0</v>
      </c>
      <c r="T199" s="847">
        <v>0</v>
      </c>
      <c r="U199" s="847">
        <v>0</v>
      </c>
      <c r="V199" s="847">
        <v>0</v>
      </c>
      <c r="W199" s="847">
        <v>0</v>
      </c>
      <c r="X199" s="847">
        <v>0</v>
      </c>
      <c r="Y199" s="847">
        <v>0</v>
      </c>
      <c r="Z199" s="847">
        <v>0</v>
      </c>
      <c r="AA199" s="847">
        <v>0</v>
      </c>
      <c r="AB199" s="847">
        <v>0</v>
      </c>
      <c r="AC199" s="847">
        <v>0</v>
      </c>
      <c r="AD199" s="847">
        <v>0</v>
      </c>
      <c r="AE199" s="847">
        <v>0</v>
      </c>
      <c r="AF199" s="847">
        <v>0</v>
      </c>
      <c r="AG199" s="847">
        <v>0</v>
      </c>
      <c r="AH199" s="847">
        <v>0</v>
      </c>
      <c r="AI199" s="847">
        <v>0</v>
      </c>
      <c r="AJ199" s="847">
        <v>0</v>
      </c>
      <c r="AK199" s="847">
        <v>0</v>
      </c>
      <c r="AL199" s="847">
        <v>0</v>
      </c>
      <c r="AM199" s="847">
        <v>0</v>
      </c>
      <c r="AN199" s="847">
        <v>0</v>
      </c>
      <c r="AO199" s="847">
        <v>0</v>
      </c>
      <c r="AP199" s="847">
        <v>0</v>
      </c>
      <c r="AQ199" s="847">
        <v>0</v>
      </c>
      <c r="AR199" s="847">
        <v>0</v>
      </c>
      <c r="AS199" s="847">
        <v>0</v>
      </c>
      <c r="AT199" s="847">
        <v>0</v>
      </c>
      <c r="AU199" s="847">
        <v>0</v>
      </c>
      <c r="AV199" s="847">
        <v>0</v>
      </c>
      <c r="AW199" s="847">
        <v>0</v>
      </c>
      <c r="AX199" s="847">
        <v>0</v>
      </c>
      <c r="AY199" s="847">
        <v>0</v>
      </c>
      <c r="AZ199" s="847">
        <v>0</v>
      </c>
      <c r="BA199" s="847">
        <v>0</v>
      </c>
      <c r="BB199" s="847">
        <v>0</v>
      </c>
      <c r="BC199" s="847">
        <v>0</v>
      </c>
      <c r="BD199" s="847">
        <v>0</v>
      </c>
      <c r="BE199" s="847">
        <v>0</v>
      </c>
      <c r="BF199" s="847">
        <v>0</v>
      </c>
      <c r="BG199" s="847">
        <v>0</v>
      </c>
      <c r="BH199" s="847">
        <v>0</v>
      </c>
      <c r="BI199" s="847">
        <v>0</v>
      </c>
      <c r="BJ199" s="847">
        <v>0</v>
      </c>
      <c r="BK199" s="847">
        <v>0</v>
      </c>
      <c r="BL199" s="847">
        <v>0</v>
      </c>
      <c r="BM199" s="847">
        <v>0</v>
      </c>
      <c r="BN199" s="847">
        <v>0</v>
      </c>
      <c r="BO199" s="847">
        <v>0</v>
      </c>
      <c r="BP199" s="847">
        <v>0</v>
      </c>
      <c r="BQ199" s="847">
        <v>0</v>
      </c>
      <c r="BR199" s="847">
        <v>0</v>
      </c>
      <c r="BS199" s="847">
        <v>0</v>
      </c>
      <c r="BT199" s="847">
        <v>0</v>
      </c>
      <c r="BU199" s="847">
        <v>0</v>
      </c>
      <c r="BV199" s="847">
        <v>0</v>
      </c>
      <c r="BW199" s="847">
        <v>0</v>
      </c>
      <c r="BX199" s="847">
        <v>0</v>
      </c>
      <c r="BY199" s="847">
        <v>0</v>
      </c>
      <c r="BZ199" s="847">
        <v>0</v>
      </c>
      <c r="CA199" s="847">
        <v>0</v>
      </c>
      <c r="CB199" s="847">
        <v>0</v>
      </c>
      <c r="CC199" s="847">
        <v>0</v>
      </c>
      <c r="CD199" s="847">
        <v>0</v>
      </c>
      <c r="CE199" s="847">
        <v>0</v>
      </c>
      <c r="CF199" s="847">
        <v>0</v>
      </c>
      <c r="CG199" s="847">
        <v>0</v>
      </c>
      <c r="CH199" s="847">
        <v>0</v>
      </c>
      <c r="CI199" s="847">
        <v>101000</v>
      </c>
      <c r="CJ199" s="847">
        <v>0</v>
      </c>
      <c r="CK199" s="847">
        <v>0</v>
      </c>
      <c r="CL199" s="847">
        <v>0</v>
      </c>
      <c r="CM199" s="847">
        <v>0</v>
      </c>
      <c r="CN199" s="847">
        <v>0</v>
      </c>
      <c r="CO199" s="847">
        <v>0</v>
      </c>
      <c r="CP199" s="847">
        <v>0</v>
      </c>
      <c r="CQ199" s="847">
        <v>0</v>
      </c>
      <c r="CR199" s="847">
        <v>0</v>
      </c>
      <c r="CS199" s="847">
        <v>0</v>
      </c>
      <c r="CT199" s="847">
        <v>0</v>
      </c>
      <c r="CU199" s="847">
        <v>0</v>
      </c>
      <c r="CV199" s="847">
        <v>0</v>
      </c>
      <c r="CW199" s="847">
        <v>0</v>
      </c>
      <c r="CX199" s="847">
        <v>0</v>
      </c>
      <c r="CY199" s="847">
        <v>0</v>
      </c>
      <c r="CZ199" s="847">
        <v>0</v>
      </c>
      <c r="DA199" s="847">
        <v>0</v>
      </c>
      <c r="DB199" s="847">
        <v>0</v>
      </c>
      <c r="DC199" s="847">
        <v>0</v>
      </c>
      <c r="DD199" s="847">
        <v>0</v>
      </c>
      <c r="DE199" s="847">
        <v>0</v>
      </c>
      <c r="DF199" s="847">
        <v>0</v>
      </c>
      <c r="DG199" s="847">
        <v>0</v>
      </c>
      <c r="DH199" s="847">
        <v>0</v>
      </c>
      <c r="DI199" s="847">
        <v>0</v>
      </c>
      <c r="DJ199" s="847">
        <v>0</v>
      </c>
      <c r="DK199" s="847">
        <v>0</v>
      </c>
      <c r="DL199" s="847">
        <v>0</v>
      </c>
      <c r="DM199" s="847">
        <v>0</v>
      </c>
      <c r="DN199" s="847">
        <v>0</v>
      </c>
      <c r="DO199" s="847">
        <v>0</v>
      </c>
      <c r="DP199" s="847">
        <v>0</v>
      </c>
      <c r="DQ199" s="847">
        <v>0</v>
      </c>
      <c r="DR199" s="847">
        <v>0</v>
      </c>
      <c r="DS199" s="847">
        <v>0</v>
      </c>
      <c r="DT199" s="847">
        <v>0</v>
      </c>
      <c r="DU199" s="847">
        <v>0</v>
      </c>
      <c r="DV199" s="847">
        <v>0</v>
      </c>
      <c r="DW199" s="847">
        <v>0</v>
      </c>
      <c r="DY199" s="843" t="s">
        <v>1060</v>
      </c>
      <c r="DZ199" s="843" t="s">
        <v>1382</v>
      </c>
      <c r="EA199" s="843" t="s">
        <v>96</v>
      </c>
      <c r="EB199" s="844">
        <v>40</v>
      </c>
      <c r="EC199" s="780" t="str">
        <f t="shared" si="7"/>
        <v>IWT060140</v>
      </c>
      <c r="ED199" s="844">
        <v>5345.6</v>
      </c>
      <c r="EE199" s="844">
        <v>10691.2</v>
      </c>
      <c r="EF199" s="844">
        <v>16036.7</v>
      </c>
      <c r="EG199" s="844">
        <v>21382.3</v>
      </c>
      <c r="EH199" s="844">
        <v>26727.9</v>
      </c>
      <c r="EI199" s="844">
        <v>32073.5</v>
      </c>
      <c r="EJ199" s="844">
        <v>32073.5</v>
      </c>
      <c r="EK199" s="844">
        <v>32073.5</v>
      </c>
      <c r="EL199" s="844">
        <v>32073.5</v>
      </c>
      <c r="EM199" s="844">
        <v>32598</v>
      </c>
      <c r="EN199" s="844">
        <v>33250</v>
      </c>
      <c r="EO199" s="844">
        <v>33915</v>
      </c>
      <c r="EP199" s="844">
        <v>34593</v>
      </c>
      <c r="EQ199" s="844">
        <v>35285</v>
      </c>
      <c r="ER199" s="844">
        <v>35990</v>
      </c>
      <c r="ES199" s="844">
        <v>36710</v>
      </c>
      <c r="ET199" s="844">
        <v>37444</v>
      </c>
      <c r="EU199" s="844">
        <v>38193</v>
      </c>
      <c r="EV199" s="844">
        <v>38957</v>
      </c>
      <c r="EW199" s="844">
        <v>39736</v>
      </c>
      <c r="EX199" s="844">
        <v>40531</v>
      </c>
      <c r="EY199" s="844">
        <v>41342</v>
      </c>
      <c r="EZ199" s="844">
        <v>42168</v>
      </c>
      <c r="FA199" s="844">
        <v>43012</v>
      </c>
      <c r="FB199" s="844">
        <v>43872</v>
      </c>
      <c r="FC199" s="844">
        <v>44749</v>
      </c>
      <c r="FD199" s="844">
        <v>45644</v>
      </c>
      <c r="FE199" s="844">
        <v>46557</v>
      </c>
      <c r="FF199" s="844">
        <v>47488</v>
      </c>
      <c r="FG199" s="844">
        <v>48438</v>
      </c>
      <c r="FH199" s="844">
        <v>49407</v>
      </c>
      <c r="FI199" s="844">
        <v>50395</v>
      </c>
      <c r="FJ199" s="844">
        <v>51402</v>
      </c>
      <c r="FK199" s="844">
        <v>52430</v>
      </c>
      <c r="FL199" s="844">
        <v>53479</v>
      </c>
      <c r="FM199" s="844">
        <v>54548</v>
      </c>
      <c r="FN199" s="844">
        <v>55639</v>
      </c>
      <c r="FO199" s="844">
        <v>56752</v>
      </c>
      <c r="FP199" s="844">
        <v>57887</v>
      </c>
      <c r="FQ199" s="844">
        <v>59044</v>
      </c>
      <c r="FR199" s="844">
        <v>60225</v>
      </c>
      <c r="FS199" s="844">
        <v>61429</v>
      </c>
      <c r="FT199" s="844">
        <v>62658</v>
      </c>
      <c r="FU199" s="844">
        <v>63911</v>
      </c>
      <c r="FV199" s="844">
        <v>65184</v>
      </c>
      <c r="FW199" s="844">
        <v>66471</v>
      </c>
      <c r="FX199" s="844">
        <v>67770</v>
      </c>
      <c r="FY199" s="844">
        <v>69083</v>
      </c>
      <c r="FZ199" s="844">
        <v>70407</v>
      </c>
      <c r="GA199" s="844">
        <v>71742</v>
      </c>
      <c r="GB199" s="844">
        <v>73088</v>
      </c>
      <c r="GC199" s="844">
        <v>74443</v>
      </c>
      <c r="GD199" s="844">
        <v>75808</v>
      </c>
      <c r="GE199" s="844">
        <v>77200</v>
      </c>
      <c r="GF199" s="844">
        <v>78600</v>
      </c>
      <c r="GG199" s="844">
        <v>80000</v>
      </c>
      <c r="GH199" s="844">
        <v>81400</v>
      </c>
      <c r="GI199" s="844">
        <v>82800</v>
      </c>
      <c r="GJ199" s="844">
        <v>84200</v>
      </c>
      <c r="GK199" s="844">
        <v>85600</v>
      </c>
      <c r="GL199" s="844">
        <v>87000</v>
      </c>
      <c r="GM199" s="844">
        <v>88400</v>
      </c>
      <c r="GN199" s="844">
        <v>89824</v>
      </c>
      <c r="GO199" s="844">
        <v>91252</v>
      </c>
      <c r="GP199" s="844">
        <v>92682</v>
      </c>
      <c r="GQ199" s="844">
        <v>94115</v>
      </c>
      <c r="GR199" s="844">
        <v>95552</v>
      </c>
      <c r="GS199" s="844">
        <v>96996</v>
      </c>
      <c r="GT199" s="844">
        <v>98460</v>
      </c>
      <c r="GU199" s="844">
        <v>100005</v>
      </c>
      <c r="GV199" s="844">
        <v>101000</v>
      </c>
      <c r="GW199" s="844">
        <v>0</v>
      </c>
      <c r="GX199" s="844">
        <v>0</v>
      </c>
      <c r="GY199" s="844">
        <v>0</v>
      </c>
      <c r="GZ199" s="844">
        <v>0</v>
      </c>
      <c r="HA199" s="844">
        <v>0</v>
      </c>
      <c r="HB199" s="844">
        <v>0</v>
      </c>
      <c r="HC199" s="844">
        <v>0</v>
      </c>
      <c r="HD199" s="844">
        <v>0</v>
      </c>
      <c r="HE199" s="844">
        <v>0</v>
      </c>
      <c r="HF199" s="844">
        <v>0</v>
      </c>
      <c r="HG199" s="844">
        <v>0</v>
      </c>
      <c r="HH199" s="844">
        <v>0</v>
      </c>
      <c r="HI199" s="844">
        <v>0</v>
      </c>
      <c r="HJ199" s="844">
        <v>0</v>
      </c>
      <c r="HK199" s="844">
        <v>0</v>
      </c>
      <c r="HL199" s="844">
        <v>0</v>
      </c>
      <c r="HM199" s="844">
        <v>0</v>
      </c>
      <c r="HN199" s="844">
        <v>0</v>
      </c>
      <c r="HO199" s="844">
        <v>0</v>
      </c>
      <c r="HP199" s="844">
        <v>0</v>
      </c>
      <c r="HQ199" s="844">
        <v>0</v>
      </c>
      <c r="HR199" s="844">
        <v>0</v>
      </c>
      <c r="HS199" s="844">
        <v>0</v>
      </c>
      <c r="HT199" s="844">
        <v>0</v>
      </c>
      <c r="HU199" s="844">
        <v>0</v>
      </c>
      <c r="HV199" s="844">
        <v>0</v>
      </c>
      <c r="HW199" s="844">
        <v>0</v>
      </c>
      <c r="HX199" s="844">
        <v>0</v>
      </c>
      <c r="HY199" s="844">
        <v>0</v>
      </c>
      <c r="HZ199" s="844">
        <v>0</v>
      </c>
      <c r="IA199" s="844">
        <v>0</v>
      </c>
      <c r="IB199" s="844">
        <v>0</v>
      </c>
      <c r="IC199" s="844">
        <v>0</v>
      </c>
      <c r="ID199" s="844">
        <v>0</v>
      </c>
      <c r="IE199" s="844">
        <v>0</v>
      </c>
      <c r="IF199" s="844">
        <v>0</v>
      </c>
      <c r="IG199" s="844">
        <v>0</v>
      </c>
      <c r="IH199" s="844">
        <v>0</v>
      </c>
      <c r="II199" s="844">
        <v>0</v>
      </c>
      <c r="IJ199" s="844">
        <v>0</v>
      </c>
    </row>
    <row r="200" spans="9:244" hidden="1">
      <c r="I200" s="156"/>
      <c r="L200" s="846" t="s">
        <v>1060</v>
      </c>
      <c r="M200" s="846" t="s">
        <v>1382</v>
      </c>
      <c r="N200" s="846" t="s">
        <v>96</v>
      </c>
      <c r="O200" s="847">
        <v>41</v>
      </c>
      <c r="P200" s="780" t="str">
        <f t="shared" si="6"/>
        <v>IWT060141</v>
      </c>
      <c r="Q200" s="847">
        <v>0</v>
      </c>
      <c r="R200" s="847">
        <v>0</v>
      </c>
      <c r="S200" s="847">
        <v>0</v>
      </c>
      <c r="T200" s="847">
        <v>0</v>
      </c>
      <c r="U200" s="847">
        <v>0</v>
      </c>
      <c r="V200" s="847">
        <v>0</v>
      </c>
      <c r="W200" s="847">
        <v>0</v>
      </c>
      <c r="X200" s="847">
        <v>0</v>
      </c>
      <c r="Y200" s="847">
        <v>0</v>
      </c>
      <c r="Z200" s="847">
        <v>0</v>
      </c>
      <c r="AA200" s="847">
        <v>0</v>
      </c>
      <c r="AB200" s="847">
        <v>0</v>
      </c>
      <c r="AC200" s="847">
        <v>0</v>
      </c>
      <c r="AD200" s="847">
        <v>0</v>
      </c>
      <c r="AE200" s="847">
        <v>0</v>
      </c>
      <c r="AF200" s="847">
        <v>0</v>
      </c>
      <c r="AG200" s="847">
        <v>0</v>
      </c>
      <c r="AH200" s="847">
        <v>0</v>
      </c>
      <c r="AI200" s="847">
        <v>0</v>
      </c>
      <c r="AJ200" s="847">
        <v>0</v>
      </c>
      <c r="AK200" s="847">
        <v>0</v>
      </c>
      <c r="AL200" s="847">
        <v>0</v>
      </c>
      <c r="AM200" s="847">
        <v>0</v>
      </c>
      <c r="AN200" s="847">
        <v>0</v>
      </c>
      <c r="AO200" s="847">
        <v>0</v>
      </c>
      <c r="AP200" s="847">
        <v>0</v>
      </c>
      <c r="AQ200" s="847">
        <v>0</v>
      </c>
      <c r="AR200" s="847">
        <v>0</v>
      </c>
      <c r="AS200" s="847">
        <v>0</v>
      </c>
      <c r="AT200" s="847">
        <v>0</v>
      </c>
      <c r="AU200" s="847">
        <v>0</v>
      </c>
      <c r="AV200" s="847">
        <v>0</v>
      </c>
      <c r="AW200" s="847">
        <v>0</v>
      </c>
      <c r="AX200" s="847">
        <v>0</v>
      </c>
      <c r="AY200" s="847">
        <v>0</v>
      </c>
      <c r="AZ200" s="847">
        <v>0</v>
      </c>
      <c r="BA200" s="847">
        <v>0</v>
      </c>
      <c r="BB200" s="847">
        <v>0</v>
      </c>
      <c r="BC200" s="847">
        <v>0</v>
      </c>
      <c r="BD200" s="847">
        <v>0</v>
      </c>
      <c r="BE200" s="847">
        <v>0</v>
      </c>
      <c r="BF200" s="847">
        <v>0</v>
      </c>
      <c r="BG200" s="847">
        <v>0</v>
      </c>
      <c r="BH200" s="847">
        <v>0</v>
      </c>
      <c r="BI200" s="847">
        <v>0</v>
      </c>
      <c r="BJ200" s="847">
        <v>0</v>
      </c>
      <c r="BK200" s="847">
        <v>0</v>
      </c>
      <c r="BL200" s="847">
        <v>0</v>
      </c>
      <c r="BM200" s="847">
        <v>0</v>
      </c>
      <c r="BN200" s="847">
        <v>0</v>
      </c>
      <c r="BO200" s="847">
        <v>0</v>
      </c>
      <c r="BP200" s="847">
        <v>0</v>
      </c>
      <c r="BQ200" s="847">
        <v>0</v>
      </c>
      <c r="BR200" s="847">
        <v>0</v>
      </c>
      <c r="BS200" s="847">
        <v>0</v>
      </c>
      <c r="BT200" s="847">
        <v>0</v>
      </c>
      <c r="BU200" s="847">
        <v>0</v>
      </c>
      <c r="BV200" s="847">
        <v>0</v>
      </c>
      <c r="BW200" s="847">
        <v>0</v>
      </c>
      <c r="BX200" s="847">
        <v>0</v>
      </c>
      <c r="BY200" s="847">
        <v>0</v>
      </c>
      <c r="BZ200" s="847">
        <v>0</v>
      </c>
      <c r="CA200" s="847">
        <v>0</v>
      </c>
      <c r="CB200" s="847">
        <v>0</v>
      </c>
      <c r="CC200" s="847">
        <v>0</v>
      </c>
      <c r="CD200" s="847">
        <v>0</v>
      </c>
      <c r="CE200" s="847">
        <v>0</v>
      </c>
      <c r="CF200" s="847">
        <v>0</v>
      </c>
      <c r="CG200" s="847">
        <v>0</v>
      </c>
      <c r="CH200" s="847">
        <v>99600</v>
      </c>
      <c r="CI200" s="847">
        <v>0</v>
      </c>
      <c r="CJ200" s="847">
        <v>0</v>
      </c>
      <c r="CK200" s="847">
        <v>0</v>
      </c>
      <c r="CL200" s="847">
        <v>0</v>
      </c>
      <c r="CM200" s="847">
        <v>0</v>
      </c>
      <c r="CN200" s="847">
        <v>0</v>
      </c>
      <c r="CO200" s="847">
        <v>0</v>
      </c>
      <c r="CP200" s="847">
        <v>0</v>
      </c>
      <c r="CQ200" s="847">
        <v>0</v>
      </c>
      <c r="CR200" s="847">
        <v>0</v>
      </c>
      <c r="CS200" s="847">
        <v>0</v>
      </c>
      <c r="CT200" s="847">
        <v>0</v>
      </c>
      <c r="CU200" s="847">
        <v>0</v>
      </c>
      <c r="CV200" s="847">
        <v>0</v>
      </c>
      <c r="CW200" s="847">
        <v>0</v>
      </c>
      <c r="CX200" s="847">
        <v>0</v>
      </c>
      <c r="CY200" s="847">
        <v>0</v>
      </c>
      <c r="CZ200" s="847">
        <v>0</v>
      </c>
      <c r="DA200" s="847">
        <v>0</v>
      </c>
      <c r="DB200" s="847">
        <v>0</v>
      </c>
      <c r="DC200" s="847">
        <v>0</v>
      </c>
      <c r="DD200" s="847">
        <v>0</v>
      </c>
      <c r="DE200" s="847">
        <v>0</v>
      </c>
      <c r="DF200" s="847">
        <v>0</v>
      </c>
      <c r="DG200" s="847">
        <v>0</v>
      </c>
      <c r="DH200" s="847">
        <v>0</v>
      </c>
      <c r="DI200" s="847">
        <v>0</v>
      </c>
      <c r="DJ200" s="847">
        <v>0</v>
      </c>
      <c r="DK200" s="847">
        <v>0</v>
      </c>
      <c r="DL200" s="847">
        <v>0</v>
      </c>
      <c r="DM200" s="847">
        <v>0</v>
      </c>
      <c r="DN200" s="847">
        <v>0</v>
      </c>
      <c r="DO200" s="847">
        <v>0</v>
      </c>
      <c r="DP200" s="847">
        <v>0</v>
      </c>
      <c r="DQ200" s="847">
        <v>0</v>
      </c>
      <c r="DR200" s="847">
        <v>0</v>
      </c>
      <c r="DS200" s="847">
        <v>0</v>
      </c>
      <c r="DT200" s="847">
        <v>0</v>
      </c>
      <c r="DU200" s="847">
        <v>0</v>
      </c>
      <c r="DV200" s="847">
        <v>0</v>
      </c>
      <c r="DW200" s="847">
        <v>0</v>
      </c>
      <c r="DY200" s="843" t="s">
        <v>1060</v>
      </c>
      <c r="DZ200" s="843" t="s">
        <v>1382</v>
      </c>
      <c r="EA200" s="843" t="s">
        <v>96</v>
      </c>
      <c r="EB200" s="844">
        <v>41</v>
      </c>
      <c r="EC200" s="780" t="str">
        <f t="shared" si="7"/>
        <v>IWT060141</v>
      </c>
      <c r="ED200" s="844">
        <v>5349.8</v>
      </c>
      <c r="EE200" s="844">
        <v>10699.6</v>
      </c>
      <c r="EF200" s="844">
        <v>16049.5</v>
      </c>
      <c r="EG200" s="844">
        <v>21399.3</v>
      </c>
      <c r="EH200" s="844">
        <v>26749.1</v>
      </c>
      <c r="EI200" s="844">
        <v>32098.9</v>
      </c>
      <c r="EJ200" s="844">
        <v>32098.9</v>
      </c>
      <c r="EK200" s="844">
        <v>32098.9</v>
      </c>
      <c r="EL200" s="844">
        <v>32098.9</v>
      </c>
      <c r="EM200" s="844">
        <v>32617</v>
      </c>
      <c r="EN200" s="844">
        <v>33270</v>
      </c>
      <c r="EO200" s="844">
        <v>33935</v>
      </c>
      <c r="EP200" s="844">
        <v>34614</v>
      </c>
      <c r="EQ200" s="844">
        <v>35306</v>
      </c>
      <c r="ER200" s="844">
        <v>36012</v>
      </c>
      <c r="ES200" s="844">
        <v>36732</v>
      </c>
      <c r="ET200" s="844">
        <v>37467</v>
      </c>
      <c r="EU200" s="844">
        <v>38216</v>
      </c>
      <c r="EV200" s="844">
        <v>38980</v>
      </c>
      <c r="EW200" s="844">
        <v>39760</v>
      </c>
      <c r="EX200" s="844">
        <v>40555</v>
      </c>
      <c r="EY200" s="844">
        <v>41366</v>
      </c>
      <c r="EZ200" s="844">
        <v>42194</v>
      </c>
      <c r="FA200" s="844">
        <v>43037</v>
      </c>
      <c r="FB200" s="844">
        <v>43898</v>
      </c>
      <c r="FC200" s="844">
        <v>44776</v>
      </c>
      <c r="FD200" s="844">
        <v>45672</v>
      </c>
      <c r="FE200" s="844">
        <v>46585</v>
      </c>
      <c r="FF200" s="844">
        <v>47517</v>
      </c>
      <c r="FG200" s="844">
        <v>48467</v>
      </c>
      <c r="FH200" s="844">
        <v>49436</v>
      </c>
      <c r="FI200" s="844">
        <v>50425</v>
      </c>
      <c r="FJ200" s="844">
        <v>51433</v>
      </c>
      <c r="FK200" s="844">
        <v>52462</v>
      </c>
      <c r="FL200" s="844">
        <v>53511</v>
      </c>
      <c r="FM200" s="844">
        <v>54581</v>
      </c>
      <c r="FN200" s="844">
        <v>55672</v>
      </c>
      <c r="FO200" s="844">
        <v>56786</v>
      </c>
      <c r="FP200" s="844">
        <v>57921</v>
      </c>
      <c r="FQ200" s="844">
        <v>59080</v>
      </c>
      <c r="FR200" s="844">
        <v>60261</v>
      </c>
      <c r="FS200" s="844">
        <v>61466</v>
      </c>
      <c r="FT200" s="844">
        <v>62695</v>
      </c>
      <c r="FU200" s="844">
        <v>63949</v>
      </c>
      <c r="FV200" s="844">
        <v>65226</v>
      </c>
      <c r="FW200" s="844">
        <v>66517</v>
      </c>
      <c r="FX200" s="844">
        <v>67820</v>
      </c>
      <c r="FY200" s="844">
        <v>69136</v>
      </c>
      <c r="FZ200" s="844">
        <v>70463</v>
      </c>
      <c r="GA200" s="844">
        <v>71801</v>
      </c>
      <c r="GB200" s="844">
        <v>73149</v>
      </c>
      <c r="GC200" s="844">
        <v>74506</v>
      </c>
      <c r="GD200" s="844">
        <v>75872</v>
      </c>
      <c r="GE200" s="844">
        <v>77246</v>
      </c>
      <c r="GF200" s="844">
        <v>78628</v>
      </c>
      <c r="GG200" s="844">
        <v>80017</v>
      </c>
      <c r="GH200" s="844">
        <v>81413</v>
      </c>
      <c r="GI200" s="844">
        <v>82814</v>
      </c>
      <c r="GJ200" s="844">
        <v>84221</v>
      </c>
      <c r="GK200" s="844">
        <v>85632</v>
      </c>
      <c r="GL200" s="844">
        <v>87048</v>
      </c>
      <c r="GM200" s="844">
        <v>88468</v>
      </c>
      <c r="GN200" s="844">
        <v>89891</v>
      </c>
      <c r="GO200" s="844">
        <v>91318</v>
      </c>
      <c r="GP200" s="844">
        <v>92748</v>
      </c>
      <c r="GQ200" s="844">
        <v>94181</v>
      </c>
      <c r="GR200" s="844">
        <v>95622</v>
      </c>
      <c r="GS200" s="844">
        <v>97081</v>
      </c>
      <c r="GT200" s="844">
        <v>98619</v>
      </c>
      <c r="GU200" s="844">
        <v>99600</v>
      </c>
      <c r="GV200" s="844">
        <v>0</v>
      </c>
      <c r="GW200" s="844">
        <v>0</v>
      </c>
      <c r="GX200" s="844">
        <v>0</v>
      </c>
      <c r="GY200" s="844">
        <v>0</v>
      </c>
      <c r="GZ200" s="844">
        <v>0</v>
      </c>
      <c r="HA200" s="844">
        <v>0</v>
      </c>
      <c r="HB200" s="844">
        <v>0</v>
      </c>
      <c r="HC200" s="844">
        <v>0</v>
      </c>
      <c r="HD200" s="844">
        <v>0</v>
      </c>
      <c r="HE200" s="844">
        <v>0</v>
      </c>
      <c r="HF200" s="844">
        <v>0</v>
      </c>
      <c r="HG200" s="844">
        <v>0</v>
      </c>
      <c r="HH200" s="844">
        <v>0</v>
      </c>
      <c r="HI200" s="844">
        <v>0</v>
      </c>
      <c r="HJ200" s="844">
        <v>0</v>
      </c>
      <c r="HK200" s="844">
        <v>0</v>
      </c>
      <c r="HL200" s="844">
        <v>0</v>
      </c>
      <c r="HM200" s="844">
        <v>0</v>
      </c>
      <c r="HN200" s="844">
        <v>0</v>
      </c>
      <c r="HO200" s="844">
        <v>0</v>
      </c>
      <c r="HP200" s="844">
        <v>0</v>
      </c>
      <c r="HQ200" s="844">
        <v>0</v>
      </c>
      <c r="HR200" s="844">
        <v>0</v>
      </c>
      <c r="HS200" s="844">
        <v>0</v>
      </c>
      <c r="HT200" s="844">
        <v>0</v>
      </c>
      <c r="HU200" s="844">
        <v>0</v>
      </c>
      <c r="HV200" s="844">
        <v>0</v>
      </c>
      <c r="HW200" s="844">
        <v>0</v>
      </c>
      <c r="HX200" s="844">
        <v>0</v>
      </c>
      <c r="HY200" s="844">
        <v>0</v>
      </c>
      <c r="HZ200" s="844">
        <v>0</v>
      </c>
      <c r="IA200" s="844">
        <v>0</v>
      </c>
      <c r="IB200" s="844">
        <v>0</v>
      </c>
      <c r="IC200" s="844">
        <v>0</v>
      </c>
      <c r="ID200" s="844">
        <v>0</v>
      </c>
      <c r="IE200" s="844">
        <v>0</v>
      </c>
      <c r="IF200" s="844">
        <v>0</v>
      </c>
      <c r="IG200" s="844">
        <v>0</v>
      </c>
      <c r="IH200" s="844">
        <v>0</v>
      </c>
      <c r="II200" s="844">
        <v>0</v>
      </c>
      <c r="IJ200" s="844">
        <v>0</v>
      </c>
    </row>
    <row r="201" spans="9:244" hidden="1">
      <c r="I201" s="156"/>
      <c r="L201" s="846" t="s">
        <v>1060</v>
      </c>
      <c r="M201" s="846" t="s">
        <v>1382</v>
      </c>
      <c r="N201" s="846" t="s">
        <v>96</v>
      </c>
      <c r="O201" s="847">
        <v>42</v>
      </c>
      <c r="P201" s="780" t="str">
        <f t="shared" si="6"/>
        <v>IWT060142</v>
      </c>
      <c r="Q201" s="847">
        <v>0</v>
      </c>
      <c r="R201" s="847">
        <v>0</v>
      </c>
      <c r="S201" s="847">
        <v>0</v>
      </c>
      <c r="T201" s="847">
        <v>0</v>
      </c>
      <c r="U201" s="847">
        <v>0</v>
      </c>
      <c r="V201" s="847">
        <v>0</v>
      </c>
      <c r="W201" s="847">
        <v>0</v>
      </c>
      <c r="X201" s="847">
        <v>0</v>
      </c>
      <c r="Y201" s="847">
        <v>0</v>
      </c>
      <c r="Z201" s="847">
        <v>0</v>
      </c>
      <c r="AA201" s="847">
        <v>0</v>
      </c>
      <c r="AB201" s="847">
        <v>0</v>
      </c>
      <c r="AC201" s="847">
        <v>0</v>
      </c>
      <c r="AD201" s="847">
        <v>0</v>
      </c>
      <c r="AE201" s="847">
        <v>0</v>
      </c>
      <c r="AF201" s="847">
        <v>0</v>
      </c>
      <c r="AG201" s="847">
        <v>0</v>
      </c>
      <c r="AH201" s="847">
        <v>0</v>
      </c>
      <c r="AI201" s="847">
        <v>0</v>
      </c>
      <c r="AJ201" s="847">
        <v>0</v>
      </c>
      <c r="AK201" s="847">
        <v>0</v>
      </c>
      <c r="AL201" s="847">
        <v>0</v>
      </c>
      <c r="AM201" s="847">
        <v>0</v>
      </c>
      <c r="AN201" s="847">
        <v>0</v>
      </c>
      <c r="AO201" s="847">
        <v>0</v>
      </c>
      <c r="AP201" s="847">
        <v>0</v>
      </c>
      <c r="AQ201" s="847">
        <v>0</v>
      </c>
      <c r="AR201" s="847">
        <v>0</v>
      </c>
      <c r="AS201" s="847">
        <v>0</v>
      </c>
      <c r="AT201" s="847">
        <v>0</v>
      </c>
      <c r="AU201" s="847">
        <v>0</v>
      </c>
      <c r="AV201" s="847">
        <v>0</v>
      </c>
      <c r="AW201" s="847">
        <v>0</v>
      </c>
      <c r="AX201" s="847">
        <v>0</v>
      </c>
      <c r="AY201" s="847">
        <v>0</v>
      </c>
      <c r="AZ201" s="847">
        <v>0</v>
      </c>
      <c r="BA201" s="847">
        <v>0</v>
      </c>
      <c r="BB201" s="847">
        <v>0</v>
      </c>
      <c r="BC201" s="847">
        <v>0</v>
      </c>
      <c r="BD201" s="847">
        <v>0</v>
      </c>
      <c r="BE201" s="847">
        <v>0</v>
      </c>
      <c r="BF201" s="847">
        <v>0</v>
      </c>
      <c r="BG201" s="847">
        <v>0</v>
      </c>
      <c r="BH201" s="847">
        <v>0</v>
      </c>
      <c r="BI201" s="847">
        <v>0</v>
      </c>
      <c r="BJ201" s="847">
        <v>0</v>
      </c>
      <c r="BK201" s="847">
        <v>0</v>
      </c>
      <c r="BL201" s="847">
        <v>0</v>
      </c>
      <c r="BM201" s="847">
        <v>0</v>
      </c>
      <c r="BN201" s="847">
        <v>0</v>
      </c>
      <c r="BO201" s="847">
        <v>0</v>
      </c>
      <c r="BP201" s="847">
        <v>0</v>
      </c>
      <c r="BQ201" s="847">
        <v>0</v>
      </c>
      <c r="BR201" s="847">
        <v>0</v>
      </c>
      <c r="BS201" s="847">
        <v>0</v>
      </c>
      <c r="BT201" s="847">
        <v>0</v>
      </c>
      <c r="BU201" s="847">
        <v>0</v>
      </c>
      <c r="BV201" s="847">
        <v>0</v>
      </c>
      <c r="BW201" s="847">
        <v>0</v>
      </c>
      <c r="BX201" s="847">
        <v>0</v>
      </c>
      <c r="BY201" s="847">
        <v>0</v>
      </c>
      <c r="BZ201" s="847">
        <v>0</v>
      </c>
      <c r="CA201" s="847">
        <v>0</v>
      </c>
      <c r="CB201" s="847">
        <v>0</v>
      </c>
      <c r="CC201" s="847">
        <v>0</v>
      </c>
      <c r="CD201" s="847">
        <v>0</v>
      </c>
      <c r="CE201" s="847">
        <v>0</v>
      </c>
      <c r="CF201" s="847">
        <v>0</v>
      </c>
      <c r="CG201" s="847">
        <v>98200</v>
      </c>
      <c r="CH201" s="847">
        <v>0</v>
      </c>
      <c r="CI201" s="847">
        <v>0</v>
      </c>
      <c r="CJ201" s="847">
        <v>0</v>
      </c>
      <c r="CK201" s="847">
        <v>0</v>
      </c>
      <c r="CL201" s="847">
        <v>0</v>
      </c>
      <c r="CM201" s="847">
        <v>0</v>
      </c>
      <c r="CN201" s="847">
        <v>0</v>
      </c>
      <c r="CO201" s="847">
        <v>0</v>
      </c>
      <c r="CP201" s="847">
        <v>0</v>
      </c>
      <c r="CQ201" s="847">
        <v>0</v>
      </c>
      <c r="CR201" s="847">
        <v>0</v>
      </c>
      <c r="CS201" s="847">
        <v>0</v>
      </c>
      <c r="CT201" s="847">
        <v>0</v>
      </c>
      <c r="CU201" s="847">
        <v>0</v>
      </c>
      <c r="CV201" s="847">
        <v>0</v>
      </c>
      <c r="CW201" s="847">
        <v>0</v>
      </c>
      <c r="CX201" s="847">
        <v>0</v>
      </c>
      <c r="CY201" s="847">
        <v>0</v>
      </c>
      <c r="CZ201" s="847">
        <v>0</v>
      </c>
      <c r="DA201" s="847">
        <v>0</v>
      </c>
      <c r="DB201" s="847">
        <v>0</v>
      </c>
      <c r="DC201" s="847">
        <v>0</v>
      </c>
      <c r="DD201" s="847">
        <v>0</v>
      </c>
      <c r="DE201" s="847">
        <v>0</v>
      </c>
      <c r="DF201" s="847">
        <v>0</v>
      </c>
      <c r="DG201" s="847">
        <v>0</v>
      </c>
      <c r="DH201" s="847">
        <v>0</v>
      </c>
      <c r="DI201" s="847">
        <v>0</v>
      </c>
      <c r="DJ201" s="847">
        <v>0</v>
      </c>
      <c r="DK201" s="847">
        <v>0</v>
      </c>
      <c r="DL201" s="847">
        <v>0</v>
      </c>
      <c r="DM201" s="847">
        <v>0</v>
      </c>
      <c r="DN201" s="847">
        <v>0</v>
      </c>
      <c r="DO201" s="847">
        <v>0</v>
      </c>
      <c r="DP201" s="847">
        <v>0</v>
      </c>
      <c r="DQ201" s="847">
        <v>0</v>
      </c>
      <c r="DR201" s="847">
        <v>0</v>
      </c>
      <c r="DS201" s="847">
        <v>0</v>
      </c>
      <c r="DT201" s="847">
        <v>0</v>
      </c>
      <c r="DU201" s="847">
        <v>0</v>
      </c>
      <c r="DV201" s="847">
        <v>0</v>
      </c>
      <c r="DW201" s="847">
        <v>0</v>
      </c>
      <c r="DY201" s="843" t="s">
        <v>1060</v>
      </c>
      <c r="DZ201" s="843" t="s">
        <v>1382</v>
      </c>
      <c r="EA201" s="843" t="s">
        <v>96</v>
      </c>
      <c r="EB201" s="844">
        <v>42</v>
      </c>
      <c r="EC201" s="780" t="str">
        <f t="shared" si="7"/>
        <v>IWT060142</v>
      </c>
      <c r="ED201" s="844">
        <v>5353</v>
      </c>
      <c r="EE201" s="844">
        <v>10706</v>
      </c>
      <c r="EF201" s="844">
        <v>16059</v>
      </c>
      <c r="EG201" s="844">
        <v>21412</v>
      </c>
      <c r="EH201" s="844">
        <v>26765</v>
      </c>
      <c r="EI201" s="844">
        <v>32118</v>
      </c>
      <c r="EJ201" s="844">
        <v>32118</v>
      </c>
      <c r="EK201" s="844">
        <v>32118</v>
      </c>
      <c r="EL201" s="844">
        <v>32118</v>
      </c>
      <c r="EM201" s="844">
        <v>32635</v>
      </c>
      <c r="EN201" s="844">
        <v>33288</v>
      </c>
      <c r="EO201" s="844">
        <v>33954</v>
      </c>
      <c r="EP201" s="844">
        <v>34633</v>
      </c>
      <c r="EQ201" s="844">
        <v>35326</v>
      </c>
      <c r="ER201" s="844">
        <v>36032</v>
      </c>
      <c r="ES201" s="844">
        <v>36753</v>
      </c>
      <c r="ET201" s="844">
        <v>37488</v>
      </c>
      <c r="EU201" s="844">
        <v>38237</v>
      </c>
      <c r="EV201" s="844">
        <v>39002</v>
      </c>
      <c r="EW201" s="844">
        <v>39782</v>
      </c>
      <c r="EX201" s="844">
        <v>40578</v>
      </c>
      <c r="EY201" s="844">
        <v>41389</v>
      </c>
      <c r="EZ201" s="844">
        <v>42217</v>
      </c>
      <c r="FA201" s="844">
        <v>43061</v>
      </c>
      <c r="FB201" s="844">
        <v>43923</v>
      </c>
      <c r="FC201" s="844">
        <v>44801</v>
      </c>
      <c r="FD201" s="844">
        <v>45697</v>
      </c>
      <c r="FE201" s="844">
        <v>46611</v>
      </c>
      <c r="FF201" s="844">
        <v>47543</v>
      </c>
      <c r="FG201" s="844">
        <v>48494</v>
      </c>
      <c r="FH201" s="844">
        <v>49464</v>
      </c>
      <c r="FI201" s="844">
        <v>50453</v>
      </c>
      <c r="FJ201" s="844">
        <v>51462</v>
      </c>
      <c r="FK201" s="844">
        <v>52491</v>
      </c>
      <c r="FL201" s="844">
        <v>53540</v>
      </c>
      <c r="FM201" s="844">
        <v>54611</v>
      </c>
      <c r="FN201" s="844">
        <v>55703</v>
      </c>
      <c r="FO201" s="844">
        <v>56817</v>
      </c>
      <c r="FP201" s="844">
        <v>57953</v>
      </c>
      <c r="FQ201" s="844">
        <v>59112</v>
      </c>
      <c r="FR201" s="844">
        <v>60294</v>
      </c>
      <c r="FS201" s="844">
        <v>61500</v>
      </c>
      <c r="FT201" s="844">
        <v>62730</v>
      </c>
      <c r="FU201" s="844">
        <v>63984</v>
      </c>
      <c r="FV201" s="844">
        <v>65263</v>
      </c>
      <c r="FW201" s="844">
        <v>66558</v>
      </c>
      <c r="FX201" s="844">
        <v>67865</v>
      </c>
      <c r="FY201" s="844">
        <v>69184</v>
      </c>
      <c r="FZ201" s="844">
        <v>70515</v>
      </c>
      <c r="GA201" s="844">
        <v>71855</v>
      </c>
      <c r="GB201" s="844">
        <v>73205</v>
      </c>
      <c r="GC201" s="844">
        <v>74564</v>
      </c>
      <c r="GD201" s="844">
        <v>75932</v>
      </c>
      <c r="GE201" s="844">
        <v>77307</v>
      </c>
      <c r="GF201" s="844">
        <v>78690</v>
      </c>
      <c r="GG201" s="844">
        <v>80080</v>
      </c>
      <c r="GH201" s="844">
        <v>81476</v>
      </c>
      <c r="GI201" s="844">
        <v>82878</v>
      </c>
      <c r="GJ201" s="844">
        <v>84285</v>
      </c>
      <c r="GK201" s="844">
        <v>85696</v>
      </c>
      <c r="GL201" s="844">
        <v>87112</v>
      </c>
      <c r="GM201" s="844">
        <v>88531</v>
      </c>
      <c r="GN201" s="844">
        <v>89954</v>
      </c>
      <c r="GO201" s="844">
        <v>91380</v>
      </c>
      <c r="GP201" s="844">
        <v>92810</v>
      </c>
      <c r="GQ201" s="844">
        <v>94247</v>
      </c>
      <c r="GR201" s="844">
        <v>95703</v>
      </c>
      <c r="GS201" s="844">
        <v>97232</v>
      </c>
      <c r="GT201" s="844">
        <v>98200</v>
      </c>
      <c r="GU201" s="844">
        <v>0</v>
      </c>
      <c r="GV201" s="844">
        <v>0</v>
      </c>
      <c r="GW201" s="844">
        <v>0</v>
      </c>
      <c r="GX201" s="844">
        <v>0</v>
      </c>
      <c r="GY201" s="844">
        <v>0</v>
      </c>
      <c r="GZ201" s="844">
        <v>0</v>
      </c>
      <c r="HA201" s="844">
        <v>0</v>
      </c>
      <c r="HB201" s="844">
        <v>0</v>
      </c>
      <c r="HC201" s="844">
        <v>0</v>
      </c>
      <c r="HD201" s="844">
        <v>0</v>
      </c>
      <c r="HE201" s="844">
        <v>0</v>
      </c>
      <c r="HF201" s="844">
        <v>0</v>
      </c>
      <c r="HG201" s="844">
        <v>0</v>
      </c>
      <c r="HH201" s="844">
        <v>0</v>
      </c>
      <c r="HI201" s="844">
        <v>0</v>
      </c>
      <c r="HJ201" s="844">
        <v>0</v>
      </c>
      <c r="HK201" s="844">
        <v>0</v>
      </c>
      <c r="HL201" s="844">
        <v>0</v>
      </c>
      <c r="HM201" s="844">
        <v>0</v>
      </c>
      <c r="HN201" s="844">
        <v>0</v>
      </c>
      <c r="HO201" s="844">
        <v>0</v>
      </c>
      <c r="HP201" s="844">
        <v>0</v>
      </c>
      <c r="HQ201" s="844">
        <v>0</v>
      </c>
      <c r="HR201" s="844">
        <v>0</v>
      </c>
      <c r="HS201" s="844">
        <v>0</v>
      </c>
      <c r="HT201" s="844">
        <v>0</v>
      </c>
      <c r="HU201" s="844">
        <v>0</v>
      </c>
      <c r="HV201" s="844">
        <v>0</v>
      </c>
      <c r="HW201" s="844">
        <v>0</v>
      </c>
      <c r="HX201" s="844">
        <v>0</v>
      </c>
      <c r="HY201" s="844">
        <v>0</v>
      </c>
      <c r="HZ201" s="844">
        <v>0</v>
      </c>
      <c r="IA201" s="844">
        <v>0</v>
      </c>
      <c r="IB201" s="844">
        <v>0</v>
      </c>
      <c r="IC201" s="844">
        <v>0</v>
      </c>
      <c r="ID201" s="844">
        <v>0</v>
      </c>
      <c r="IE201" s="844">
        <v>0</v>
      </c>
      <c r="IF201" s="844">
        <v>0</v>
      </c>
      <c r="IG201" s="844">
        <v>0</v>
      </c>
      <c r="IH201" s="844">
        <v>0</v>
      </c>
      <c r="II201" s="844">
        <v>0</v>
      </c>
      <c r="IJ201" s="844">
        <v>0</v>
      </c>
    </row>
    <row r="202" spans="9:244" hidden="1">
      <c r="I202" s="156"/>
      <c r="L202" s="846" t="s">
        <v>1060</v>
      </c>
      <c r="M202" s="846" t="s">
        <v>1382</v>
      </c>
      <c r="N202" s="846" t="s">
        <v>96</v>
      </c>
      <c r="O202" s="847">
        <v>43</v>
      </c>
      <c r="P202" s="780" t="str">
        <f t="shared" si="6"/>
        <v>IWT060143</v>
      </c>
      <c r="Q202" s="847">
        <v>0</v>
      </c>
      <c r="R202" s="847">
        <v>0</v>
      </c>
      <c r="S202" s="847">
        <v>0</v>
      </c>
      <c r="T202" s="847">
        <v>0</v>
      </c>
      <c r="U202" s="847">
        <v>0</v>
      </c>
      <c r="V202" s="847">
        <v>0</v>
      </c>
      <c r="W202" s="847">
        <v>0</v>
      </c>
      <c r="X202" s="847">
        <v>0</v>
      </c>
      <c r="Y202" s="847">
        <v>0</v>
      </c>
      <c r="Z202" s="847">
        <v>0</v>
      </c>
      <c r="AA202" s="847">
        <v>0</v>
      </c>
      <c r="AB202" s="847">
        <v>0</v>
      </c>
      <c r="AC202" s="847">
        <v>0</v>
      </c>
      <c r="AD202" s="847">
        <v>0</v>
      </c>
      <c r="AE202" s="847">
        <v>0</v>
      </c>
      <c r="AF202" s="847">
        <v>0</v>
      </c>
      <c r="AG202" s="847">
        <v>0</v>
      </c>
      <c r="AH202" s="847">
        <v>0</v>
      </c>
      <c r="AI202" s="847">
        <v>0</v>
      </c>
      <c r="AJ202" s="847">
        <v>0</v>
      </c>
      <c r="AK202" s="847">
        <v>0</v>
      </c>
      <c r="AL202" s="847">
        <v>0</v>
      </c>
      <c r="AM202" s="847">
        <v>0</v>
      </c>
      <c r="AN202" s="847">
        <v>0</v>
      </c>
      <c r="AO202" s="847">
        <v>0</v>
      </c>
      <c r="AP202" s="847">
        <v>0</v>
      </c>
      <c r="AQ202" s="847">
        <v>0</v>
      </c>
      <c r="AR202" s="847">
        <v>0</v>
      </c>
      <c r="AS202" s="847">
        <v>0</v>
      </c>
      <c r="AT202" s="847">
        <v>0</v>
      </c>
      <c r="AU202" s="847">
        <v>0</v>
      </c>
      <c r="AV202" s="847">
        <v>0</v>
      </c>
      <c r="AW202" s="847">
        <v>0</v>
      </c>
      <c r="AX202" s="847">
        <v>0</v>
      </c>
      <c r="AY202" s="847">
        <v>0</v>
      </c>
      <c r="AZ202" s="847">
        <v>0</v>
      </c>
      <c r="BA202" s="847">
        <v>0</v>
      </c>
      <c r="BB202" s="847">
        <v>0</v>
      </c>
      <c r="BC202" s="847">
        <v>0</v>
      </c>
      <c r="BD202" s="847">
        <v>0</v>
      </c>
      <c r="BE202" s="847">
        <v>0</v>
      </c>
      <c r="BF202" s="847">
        <v>0</v>
      </c>
      <c r="BG202" s="847">
        <v>0</v>
      </c>
      <c r="BH202" s="847">
        <v>0</v>
      </c>
      <c r="BI202" s="847">
        <v>0</v>
      </c>
      <c r="BJ202" s="847">
        <v>0</v>
      </c>
      <c r="BK202" s="847">
        <v>0</v>
      </c>
      <c r="BL202" s="847">
        <v>0</v>
      </c>
      <c r="BM202" s="847">
        <v>0</v>
      </c>
      <c r="BN202" s="847">
        <v>0</v>
      </c>
      <c r="BO202" s="847">
        <v>0</v>
      </c>
      <c r="BP202" s="847">
        <v>0</v>
      </c>
      <c r="BQ202" s="847">
        <v>0</v>
      </c>
      <c r="BR202" s="847">
        <v>0</v>
      </c>
      <c r="BS202" s="847">
        <v>0</v>
      </c>
      <c r="BT202" s="847">
        <v>0</v>
      </c>
      <c r="BU202" s="847">
        <v>0</v>
      </c>
      <c r="BV202" s="847">
        <v>0</v>
      </c>
      <c r="BW202" s="847">
        <v>0</v>
      </c>
      <c r="BX202" s="847">
        <v>0</v>
      </c>
      <c r="BY202" s="847">
        <v>0</v>
      </c>
      <c r="BZ202" s="847">
        <v>0</v>
      </c>
      <c r="CA202" s="847">
        <v>0</v>
      </c>
      <c r="CB202" s="847">
        <v>0</v>
      </c>
      <c r="CC202" s="847">
        <v>0</v>
      </c>
      <c r="CD202" s="847">
        <v>0</v>
      </c>
      <c r="CE202" s="847">
        <v>0</v>
      </c>
      <c r="CF202" s="847">
        <v>96800</v>
      </c>
      <c r="CG202" s="847">
        <v>0</v>
      </c>
      <c r="CH202" s="847">
        <v>0</v>
      </c>
      <c r="CI202" s="847">
        <v>0</v>
      </c>
      <c r="CJ202" s="847">
        <v>0</v>
      </c>
      <c r="CK202" s="847">
        <v>0</v>
      </c>
      <c r="CL202" s="847">
        <v>0</v>
      </c>
      <c r="CM202" s="847">
        <v>0</v>
      </c>
      <c r="CN202" s="847">
        <v>0</v>
      </c>
      <c r="CO202" s="847">
        <v>0</v>
      </c>
      <c r="CP202" s="847">
        <v>0</v>
      </c>
      <c r="CQ202" s="847">
        <v>0</v>
      </c>
      <c r="CR202" s="847">
        <v>0</v>
      </c>
      <c r="CS202" s="847">
        <v>0</v>
      </c>
      <c r="CT202" s="847">
        <v>0</v>
      </c>
      <c r="CU202" s="847">
        <v>0</v>
      </c>
      <c r="CV202" s="847">
        <v>0</v>
      </c>
      <c r="CW202" s="847">
        <v>0</v>
      </c>
      <c r="CX202" s="847">
        <v>0</v>
      </c>
      <c r="CY202" s="847">
        <v>0</v>
      </c>
      <c r="CZ202" s="847">
        <v>0</v>
      </c>
      <c r="DA202" s="847">
        <v>0</v>
      </c>
      <c r="DB202" s="847">
        <v>0</v>
      </c>
      <c r="DC202" s="847">
        <v>0</v>
      </c>
      <c r="DD202" s="847">
        <v>0</v>
      </c>
      <c r="DE202" s="847">
        <v>0</v>
      </c>
      <c r="DF202" s="847">
        <v>0</v>
      </c>
      <c r="DG202" s="847">
        <v>0</v>
      </c>
      <c r="DH202" s="847">
        <v>0</v>
      </c>
      <c r="DI202" s="847">
        <v>0</v>
      </c>
      <c r="DJ202" s="847">
        <v>0</v>
      </c>
      <c r="DK202" s="847">
        <v>0</v>
      </c>
      <c r="DL202" s="847">
        <v>0</v>
      </c>
      <c r="DM202" s="847">
        <v>0</v>
      </c>
      <c r="DN202" s="847">
        <v>0</v>
      </c>
      <c r="DO202" s="847">
        <v>0</v>
      </c>
      <c r="DP202" s="847">
        <v>0</v>
      </c>
      <c r="DQ202" s="847">
        <v>0</v>
      </c>
      <c r="DR202" s="847">
        <v>0</v>
      </c>
      <c r="DS202" s="847">
        <v>0</v>
      </c>
      <c r="DT202" s="847">
        <v>0</v>
      </c>
      <c r="DU202" s="847">
        <v>0</v>
      </c>
      <c r="DV202" s="847">
        <v>0</v>
      </c>
      <c r="DW202" s="847">
        <v>0</v>
      </c>
      <c r="DY202" s="843" t="s">
        <v>1060</v>
      </c>
      <c r="DZ202" s="843" t="s">
        <v>1382</v>
      </c>
      <c r="EA202" s="843" t="s">
        <v>96</v>
      </c>
      <c r="EB202" s="844">
        <v>43</v>
      </c>
      <c r="EC202" s="780" t="str">
        <f t="shared" si="7"/>
        <v>IWT060143</v>
      </c>
      <c r="ED202" s="844">
        <v>5356.2</v>
      </c>
      <c r="EE202" s="844">
        <v>10712.4</v>
      </c>
      <c r="EF202" s="844">
        <v>16068.5</v>
      </c>
      <c r="EG202" s="844">
        <v>21424.7</v>
      </c>
      <c r="EH202" s="844">
        <v>26780.9</v>
      </c>
      <c r="EI202" s="844">
        <v>32137.1</v>
      </c>
      <c r="EJ202" s="844">
        <v>32137.1</v>
      </c>
      <c r="EK202" s="844">
        <v>32137.1</v>
      </c>
      <c r="EL202" s="844">
        <v>32137.1</v>
      </c>
      <c r="EM202" s="844">
        <v>32652</v>
      </c>
      <c r="EN202" s="844">
        <v>33305</v>
      </c>
      <c r="EO202" s="844">
        <v>33971</v>
      </c>
      <c r="EP202" s="844">
        <v>34650</v>
      </c>
      <c r="EQ202" s="844">
        <v>35343</v>
      </c>
      <c r="ER202" s="844">
        <v>36050</v>
      </c>
      <c r="ES202" s="844">
        <v>36771</v>
      </c>
      <c r="ET202" s="844">
        <v>37507</v>
      </c>
      <c r="EU202" s="844">
        <v>38257</v>
      </c>
      <c r="EV202" s="844">
        <v>39022</v>
      </c>
      <c r="EW202" s="844">
        <v>39802</v>
      </c>
      <c r="EX202" s="844">
        <v>40598</v>
      </c>
      <c r="EY202" s="844">
        <v>41410</v>
      </c>
      <c r="EZ202" s="844">
        <v>42238</v>
      </c>
      <c r="FA202" s="844">
        <v>43083</v>
      </c>
      <c r="FB202" s="844">
        <v>43945</v>
      </c>
      <c r="FC202" s="844">
        <v>44823</v>
      </c>
      <c r="FD202" s="844">
        <v>45720</v>
      </c>
      <c r="FE202" s="844">
        <v>46634</v>
      </c>
      <c r="FF202" s="844">
        <v>47567</v>
      </c>
      <c r="FG202" s="844">
        <v>48518</v>
      </c>
      <c r="FH202" s="844">
        <v>49488</v>
      </c>
      <c r="FI202" s="844">
        <v>50478</v>
      </c>
      <c r="FJ202" s="844">
        <v>51488</v>
      </c>
      <c r="FK202" s="844">
        <v>52517</v>
      </c>
      <c r="FL202" s="844">
        <v>53567</v>
      </c>
      <c r="FM202" s="844">
        <v>54639</v>
      </c>
      <c r="FN202" s="844">
        <v>55731</v>
      </c>
      <c r="FO202" s="844">
        <v>56846</v>
      </c>
      <c r="FP202" s="844">
        <v>57982</v>
      </c>
      <c r="FQ202" s="844">
        <v>59142</v>
      </c>
      <c r="FR202" s="844">
        <v>60324</v>
      </c>
      <c r="FS202" s="844">
        <v>61531</v>
      </c>
      <c r="FT202" s="844">
        <v>62761</v>
      </c>
      <c r="FU202" s="844">
        <v>64016</v>
      </c>
      <c r="FV202" s="844">
        <v>65296</v>
      </c>
      <c r="FW202" s="844">
        <v>66594</v>
      </c>
      <c r="FX202" s="844">
        <v>67905</v>
      </c>
      <c r="FY202" s="844">
        <v>69228</v>
      </c>
      <c r="FZ202" s="844">
        <v>70560</v>
      </c>
      <c r="GA202" s="844">
        <v>71903</v>
      </c>
      <c r="GB202" s="844">
        <v>73256</v>
      </c>
      <c r="GC202" s="844">
        <v>74617</v>
      </c>
      <c r="GD202" s="844">
        <v>75986</v>
      </c>
      <c r="GE202" s="844">
        <v>77364</v>
      </c>
      <c r="GF202" s="844">
        <v>78748</v>
      </c>
      <c r="GG202" s="844">
        <v>80138</v>
      </c>
      <c r="GH202" s="844">
        <v>81535</v>
      </c>
      <c r="GI202" s="844">
        <v>82937</v>
      </c>
      <c r="GJ202" s="844">
        <v>84344</v>
      </c>
      <c r="GK202" s="844">
        <v>85755</v>
      </c>
      <c r="GL202" s="844">
        <v>87171</v>
      </c>
      <c r="GM202" s="844">
        <v>88590</v>
      </c>
      <c r="GN202" s="844">
        <v>90012</v>
      </c>
      <c r="GO202" s="844">
        <v>91439</v>
      </c>
      <c r="GP202" s="844">
        <v>92873</v>
      </c>
      <c r="GQ202" s="844">
        <v>94324</v>
      </c>
      <c r="GR202" s="844">
        <v>95846</v>
      </c>
      <c r="GS202" s="844">
        <v>96800</v>
      </c>
      <c r="GT202" s="844">
        <v>0</v>
      </c>
      <c r="GU202" s="844">
        <v>0</v>
      </c>
      <c r="GV202" s="844">
        <v>0</v>
      </c>
      <c r="GW202" s="844">
        <v>0</v>
      </c>
      <c r="GX202" s="844">
        <v>0</v>
      </c>
      <c r="GY202" s="844">
        <v>0</v>
      </c>
      <c r="GZ202" s="844">
        <v>0</v>
      </c>
      <c r="HA202" s="844">
        <v>0</v>
      </c>
      <c r="HB202" s="844">
        <v>0</v>
      </c>
      <c r="HC202" s="844">
        <v>0</v>
      </c>
      <c r="HD202" s="844">
        <v>0</v>
      </c>
      <c r="HE202" s="844">
        <v>0</v>
      </c>
      <c r="HF202" s="844">
        <v>0</v>
      </c>
      <c r="HG202" s="844">
        <v>0</v>
      </c>
      <c r="HH202" s="844">
        <v>0</v>
      </c>
      <c r="HI202" s="844">
        <v>0</v>
      </c>
      <c r="HJ202" s="844">
        <v>0</v>
      </c>
      <c r="HK202" s="844">
        <v>0</v>
      </c>
      <c r="HL202" s="844">
        <v>0</v>
      </c>
      <c r="HM202" s="844">
        <v>0</v>
      </c>
      <c r="HN202" s="844">
        <v>0</v>
      </c>
      <c r="HO202" s="844">
        <v>0</v>
      </c>
      <c r="HP202" s="844">
        <v>0</v>
      </c>
      <c r="HQ202" s="844">
        <v>0</v>
      </c>
      <c r="HR202" s="844">
        <v>0</v>
      </c>
      <c r="HS202" s="844">
        <v>0</v>
      </c>
      <c r="HT202" s="844">
        <v>0</v>
      </c>
      <c r="HU202" s="844">
        <v>0</v>
      </c>
      <c r="HV202" s="844">
        <v>0</v>
      </c>
      <c r="HW202" s="844">
        <v>0</v>
      </c>
      <c r="HX202" s="844">
        <v>0</v>
      </c>
      <c r="HY202" s="844">
        <v>0</v>
      </c>
      <c r="HZ202" s="844">
        <v>0</v>
      </c>
      <c r="IA202" s="844">
        <v>0</v>
      </c>
      <c r="IB202" s="844">
        <v>0</v>
      </c>
      <c r="IC202" s="844">
        <v>0</v>
      </c>
      <c r="ID202" s="844">
        <v>0</v>
      </c>
      <c r="IE202" s="844">
        <v>0</v>
      </c>
      <c r="IF202" s="844">
        <v>0</v>
      </c>
      <c r="IG202" s="844">
        <v>0</v>
      </c>
      <c r="IH202" s="844">
        <v>0</v>
      </c>
      <c r="II202" s="844">
        <v>0</v>
      </c>
      <c r="IJ202" s="844">
        <v>0</v>
      </c>
    </row>
    <row r="203" spans="9:244" hidden="1">
      <c r="I203" s="156"/>
      <c r="L203" s="846" t="s">
        <v>1060</v>
      </c>
      <c r="M203" s="846" t="s">
        <v>1382</v>
      </c>
      <c r="N203" s="846" t="s">
        <v>96</v>
      </c>
      <c r="O203" s="847">
        <v>44</v>
      </c>
      <c r="P203" s="780" t="str">
        <f t="shared" si="6"/>
        <v>IWT060144</v>
      </c>
      <c r="Q203" s="847">
        <v>0</v>
      </c>
      <c r="R203" s="847">
        <v>0</v>
      </c>
      <c r="S203" s="847">
        <v>0</v>
      </c>
      <c r="T203" s="847">
        <v>0</v>
      </c>
      <c r="U203" s="847">
        <v>0</v>
      </c>
      <c r="V203" s="847">
        <v>0</v>
      </c>
      <c r="W203" s="847">
        <v>0</v>
      </c>
      <c r="X203" s="847">
        <v>0</v>
      </c>
      <c r="Y203" s="847">
        <v>0</v>
      </c>
      <c r="Z203" s="847">
        <v>0</v>
      </c>
      <c r="AA203" s="847">
        <v>0</v>
      </c>
      <c r="AB203" s="847">
        <v>0</v>
      </c>
      <c r="AC203" s="847">
        <v>0</v>
      </c>
      <c r="AD203" s="847">
        <v>0</v>
      </c>
      <c r="AE203" s="847">
        <v>0</v>
      </c>
      <c r="AF203" s="847">
        <v>0</v>
      </c>
      <c r="AG203" s="847">
        <v>0</v>
      </c>
      <c r="AH203" s="847">
        <v>0</v>
      </c>
      <c r="AI203" s="847">
        <v>0</v>
      </c>
      <c r="AJ203" s="847">
        <v>0</v>
      </c>
      <c r="AK203" s="847">
        <v>0</v>
      </c>
      <c r="AL203" s="847">
        <v>0</v>
      </c>
      <c r="AM203" s="847">
        <v>0</v>
      </c>
      <c r="AN203" s="847">
        <v>0</v>
      </c>
      <c r="AO203" s="847">
        <v>0</v>
      </c>
      <c r="AP203" s="847">
        <v>0</v>
      </c>
      <c r="AQ203" s="847">
        <v>0</v>
      </c>
      <c r="AR203" s="847">
        <v>0</v>
      </c>
      <c r="AS203" s="847">
        <v>0</v>
      </c>
      <c r="AT203" s="847">
        <v>0</v>
      </c>
      <c r="AU203" s="847">
        <v>0</v>
      </c>
      <c r="AV203" s="847">
        <v>0</v>
      </c>
      <c r="AW203" s="847">
        <v>0</v>
      </c>
      <c r="AX203" s="847">
        <v>0</v>
      </c>
      <c r="AY203" s="847">
        <v>0</v>
      </c>
      <c r="AZ203" s="847">
        <v>0</v>
      </c>
      <c r="BA203" s="847">
        <v>0</v>
      </c>
      <c r="BB203" s="847">
        <v>0</v>
      </c>
      <c r="BC203" s="847">
        <v>0</v>
      </c>
      <c r="BD203" s="847">
        <v>0</v>
      </c>
      <c r="BE203" s="847">
        <v>0</v>
      </c>
      <c r="BF203" s="847">
        <v>0</v>
      </c>
      <c r="BG203" s="847">
        <v>0</v>
      </c>
      <c r="BH203" s="847">
        <v>0</v>
      </c>
      <c r="BI203" s="847">
        <v>0</v>
      </c>
      <c r="BJ203" s="847">
        <v>0</v>
      </c>
      <c r="BK203" s="847">
        <v>0</v>
      </c>
      <c r="BL203" s="847">
        <v>0</v>
      </c>
      <c r="BM203" s="847">
        <v>0</v>
      </c>
      <c r="BN203" s="847">
        <v>0</v>
      </c>
      <c r="BO203" s="847">
        <v>0</v>
      </c>
      <c r="BP203" s="847">
        <v>0</v>
      </c>
      <c r="BQ203" s="847">
        <v>0</v>
      </c>
      <c r="BR203" s="847">
        <v>0</v>
      </c>
      <c r="BS203" s="847">
        <v>0</v>
      </c>
      <c r="BT203" s="847">
        <v>0</v>
      </c>
      <c r="BU203" s="847">
        <v>0</v>
      </c>
      <c r="BV203" s="847">
        <v>0</v>
      </c>
      <c r="BW203" s="847">
        <v>0</v>
      </c>
      <c r="BX203" s="847">
        <v>0</v>
      </c>
      <c r="BY203" s="847">
        <v>0</v>
      </c>
      <c r="BZ203" s="847">
        <v>0</v>
      </c>
      <c r="CA203" s="847">
        <v>0</v>
      </c>
      <c r="CB203" s="847">
        <v>0</v>
      </c>
      <c r="CC203" s="847">
        <v>0</v>
      </c>
      <c r="CD203" s="847">
        <v>0</v>
      </c>
      <c r="CE203" s="847">
        <v>95400</v>
      </c>
      <c r="CF203" s="847">
        <v>0</v>
      </c>
      <c r="CG203" s="847">
        <v>0</v>
      </c>
      <c r="CH203" s="847">
        <v>0</v>
      </c>
      <c r="CI203" s="847">
        <v>0</v>
      </c>
      <c r="CJ203" s="847">
        <v>0</v>
      </c>
      <c r="CK203" s="847">
        <v>0</v>
      </c>
      <c r="CL203" s="847">
        <v>0</v>
      </c>
      <c r="CM203" s="847">
        <v>0</v>
      </c>
      <c r="CN203" s="847">
        <v>0</v>
      </c>
      <c r="CO203" s="847">
        <v>0</v>
      </c>
      <c r="CP203" s="847">
        <v>0</v>
      </c>
      <c r="CQ203" s="847">
        <v>0</v>
      </c>
      <c r="CR203" s="847">
        <v>0</v>
      </c>
      <c r="CS203" s="847">
        <v>0</v>
      </c>
      <c r="CT203" s="847">
        <v>0</v>
      </c>
      <c r="CU203" s="847">
        <v>0</v>
      </c>
      <c r="CV203" s="847">
        <v>0</v>
      </c>
      <c r="CW203" s="847">
        <v>0</v>
      </c>
      <c r="CX203" s="847">
        <v>0</v>
      </c>
      <c r="CY203" s="847">
        <v>0</v>
      </c>
      <c r="CZ203" s="847">
        <v>0</v>
      </c>
      <c r="DA203" s="847">
        <v>0</v>
      </c>
      <c r="DB203" s="847">
        <v>0</v>
      </c>
      <c r="DC203" s="847">
        <v>0</v>
      </c>
      <c r="DD203" s="847">
        <v>0</v>
      </c>
      <c r="DE203" s="847">
        <v>0</v>
      </c>
      <c r="DF203" s="847">
        <v>0</v>
      </c>
      <c r="DG203" s="847">
        <v>0</v>
      </c>
      <c r="DH203" s="847">
        <v>0</v>
      </c>
      <c r="DI203" s="847">
        <v>0</v>
      </c>
      <c r="DJ203" s="847">
        <v>0</v>
      </c>
      <c r="DK203" s="847">
        <v>0</v>
      </c>
      <c r="DL203" s="847">
        <v>0</v>
      </c>
      <c r="DM203" s="847">
        <v>0</v>
      </c>
      <c r="DN203" s="847">
        <v>0</v>
      </c>
      <c r="DO203" s="847">
        <v>0</v>
      </c>
      <c r="DP203" s="847">
        <v>0</v>
      </c>
      <c r="DQ203" s="847">
        <v>0</v>
      </c>
      <c r="DR203" s="847">
        <v>0</v>
      </c>
      <c r="DS203" s="847">
        <v>0</v>
      </c>
      <c r="DT203" s="847">
        <v>0</v>
      </c>
      <c r="DU203" s="847">
        <v>0</v>
      </c>
      <c r="DV203" s="847">
        <v>0</v>
      </c>
      <c r="DW203" s="847">
        <v>0</v>
      </c>
      <c r="DY203" s="843" t="s">
        <v>1060</v>
      </c>
      <c r="DZ203" s="843" t="s">
        <v>1382</v>
      </c>
      <c r="EA203" s="843" t="s">
        <v>96</v>
      </c>
      <c r="EB203" s="844">
        <v>44</v>
      </c>
      <c r="EC203" s="780" t="str">
        <f t="shared" si="7"/>
        <v>IWT060144</v>
      </c>
      <c r="ED203" s="844">
        <v>5359.4</v>
      </c>
      <c r="EE203" s="844">
        <v>10718.7</v>
      </c>
      <c r="EF203" s="844">
        <v>16078.1</v>
      </c>
      <c r="EG203" s="844">
        <v>21437.4</v>
      </c>
      <c r="EH203" s="844">
        <v>26796.799999999999</v>
      </c>
      <c r="EI203" s="844">
        <v>32156.2</v>
      </c>
      <c r="EJ203" s="844">
        <v>32156.2</v>
      </c>
      <c r="EK203" s="844">
        <v>32156.2</v>
      </c>
      <c r="EL203" s="844">
        <v>32156.2</v>
      </c>
      <c r="EM203" s="844">
        <v>32666</v>
      </c>
      <c r="EN203" s="844">
        <v>33319</v>
      </c>
      <c r="EO203" s="844">
        <v>33986</v>
      </c>
      <c r="EP203" s="844">
        <v>34665</v>
      </c>
      <c r="EQ203" s="844">
        <v>35359</v>
      </c>
      <c r="ER203" s="844">
        <v>36066</v>
      </c>
      <c r="ES203" s="844">
        <v>36787</v>
      </c>
      <c r="ET203" s="844">
        <v>37523</v>
      </c>
      <c r="EU203" s="844">
        <v>38273</v>
      </c>
      <c r="EV203" s="844">
        <v>39039</v>
      </c>
      <c r="EW203" s="844">
        <v>39819</v>
      </c>
      <c r="EX203" s="844">
        <v>40616</v>
      </c>
      <c r="EY203" s="844">
        <v>41428</v>
      </c>
      <c r="EZ203" s="844">
        <v>42257</v>
      </c>
      <c r="FA203" s="844">
        <v>43102</v>
      </c>
      <c r="FB203" s="844">
        <v>43964</v>
      </c>
      <c r="FC203" s="844">
        <v>44843</v>
      </c>
      <c r="FD203" s="844">
        <v>45740</v>
      </c>
      <c r="FE203" s="844">
        <v>46654</v>
      </c>
      <c r="FF203" s="844">
        <v>47587</v>
      </c>
      <c r="FG203" s="844">
        <v>48539</v>
      </c>
      <c r="FH203" s="844">
        <v>49510</v>
      </c>
      <c r="FI203" s="844">
        <v>50500</v>
      </c>
      <c r="FJ203" s="844">
        <v>51510</v>
      </c>
      <c r="FK203" s="844">
        <v>52540</v>
      </c>
      <c r="FL203" s="844">
        <v>53590</v>
      </c>
      <c r="FM203" s="844">
        <v>54662</v>
      </c>
      <c r="FN203" s="844">
        <v>55755</v>
      </c>
      <c r="FO203" s="844">
        <v>56870</v>
      </c>
      <c r="FP203" s="844">
        <v>58007</v>
      </c>
      <c r="FQ203" s="844">
        <v>59167</v>
      </c>
      <c r="FR203" s="844">
        <v>60350</v>
      </c>
      <c r="FS203" s="844">
        <v>61557</v>
      </c>
      <c r="FT203" s="844">
        <v>62788</v>
      </c>
      <c r="FU203" s="844">
        <v>64043</v>
      </c>
      <c r="FV203" s="844">
        <v>65324</v>
      </c>
      <c r="FW203" s="844">
        <v>66626</v>
      </c>
      <c r="FX203" s="844">
        <v>67941</v>
      </c>
      <c r="FY203" s="844">
        <v>69266</v>
      </c>
      <c r="FZ203" s="844">
        <v>70602</v>
      </c>
      <c r="GA203" s="844">
        <v>71947</v>
      </c>
      <c r="GB203" s="844">
        <v>73302</v>
      </c>
      <c r="GC203" s="844">
        <v>74665</v>
      </c>
      <c r="GD203" s="844">
        <v>76037</v>
      </c>
      <c r="GE203" s="844">
        <v>77415</v>
      </c>
      <c r="GF203" s="844">
        <v>78801</v>
      </c>
      <c r="GG203" s="844">
        <v>80192</v>
      </c>
      <c r="GH203" s="844">
        <v>81590</v>
      </c>
      <c r="GI203" s="844">
        <v>82992</v>
      </c>
      <c r="GJ203" s="844">
        <v>84399</v>
      </c>
      <c r="GK203" s="844">
        <v>85810</v>
      </c>
      <c r="GL203" s="844">
        <v>87226</v>
      </c>
      <c r="GM203" s="844">
        <v>88645</v>
      </c>
      <c r="GN203" s="844">
        <v>90068</v>
      </c>
      <c r="GO203" s="844">
        <v>91498</v>
      </c>
      <c r="GP203" s="844">
        <v>92945</v>
      </c>
      <c r="GQ203" s="844">
        <v>94460</v>
      </c>
      <c r="GR203" s="844">
        <v>95400</v>
      </c>
      <c r="GS203" s="844">
        <v>0</v>
      </c>
      <c r="GT203" s="844">
        <v>0</v>
      </c>
      <c r="GU203" s="844">
        <v>0</v>
      </c>
      <c r="GV203" s="844">
        <v>0</v>
      </c>
      <c r="GW203" s="844">
        <v>0</v>
      </c>
      <c r="GX203" s="844">
        <v>0</v>
      </c>
      <c r="GY203" s="844">
        <v>0</v>
      </c>
      <c r="GZ203" s="844">
        <v>0</v>
      </c>
      <c r="HA203" s="844">
        <v>0</v>
      </c>
      <c r="HB203" s="844">
        <v>0</v>
      </c>
      <c r="HC203" s="844">
        <v>0</v>
      </c>
      <c r="HD203" s="844">
        <v>0</v>
      </c>
      <c r="HE203" s="844">
        <v>0</v>
      </c>
      <c r="HF203" s="844">
        <v>0</v>
      </c>
      <c r="HG203" s="844">
        <v>0</v>
      </c>
      <c r="HH203" s="844">
        <v>0</v>
      </c>
      <c r="HI203" s="844">
        <v>0</v>
      </c>
      <c r="HJ203" s="844">
        <v>0</v>
      </c>
      <c r="HK203" s="844">
        <v>0</v>
      </c>
      <c r="HL203" s="844">
        <v>0</v>
      </c>
      <c r="HM203" s="844">
        <v>0</v>
      </c>
      <c r="HN203" s="844">
        <v>0</v>
      </c>
      <c r="HO203" s="844">
        <v>0</v>
      </c>
      <c r="HP203" s="844">
        <v>0</v>
      </c>
      <c r="HQ203" s="844">
        <v>0</v>
      </c>
      <c r="HR203" s="844">
        <v>0</v>
      </c>
      <c r="HS203" s="844">
        <v>0</v>
      </c>
      <c r="HT203" s="844">
        <v>0</v>
      </c>
      <c r="HU203" s="844">
        <v>0</v>
      </c>
      <c r="HV203" s="844">
        <v>0</v>
      </c>
      <c r="HW203" s="844">
        <v>0</v>
      </c>
      <c r="HX203" s="844">
        <v>0</v>
      </c>
      <c r="HY203" s="844">
        <v>0</v>
      </c>
      <c r="HZ203" s="844">
        <v>0</v>
      </c>
      <c r="IA203" s="844">
        <v>0</v>
      </c>
      <c r="IB203" s="844">
        <v>0</v>
      </c>
      <c r="IC203" s="844">
        <v>0</v>
      </c>
      <c r="ID203" s="844">
        <v>0</v>
      </c>
      <c r="IE203" s="844">
        <v>0</v>
      </c>
      <c r="IF203" s="844">
        <v>0</v>
      </c>
      <c r="IG203" s="844">
        <v>0</v>
      </c>
      <c r="IH203" s="844">
        <v>0</v>
      </c>
      <c r="II203" s="844">
        <v>0</v>
      </c>
      <c r="IJ203" s="844">
        <v>0</v>
      </c>
    </row>
    <row r="204" spans="9:244" hidden="1">
      <c r="I204" s="156"/>
      <c r="L204" s="846" t="s">
        <v>1060</v>
      </c>
      <c r="M204" s="846" t="s">
        <v>1382</v>
      </c>
      <c r="N204" s="846" t="s">
        <v>96</v>
      </c>
      <c r="O204" s="847">
        <v>45</v>
      </c>
      <c r="P204" s="780" t="str">
        <f t="shared" si="6"/>
        <v>IWT060145</v>
      </c>
      <c r="Q204" s="847">
        <v>0</v>
      </c>
      <c r="R204" s="847">
        <v>0</v>
      </c>
      <c r="S204" s="847">
        <v>0</v>
      </c>
      <c r="T204" s="847">
        <v>0</v>
      </c>
      <c r="U204" s="847">
        <v>0</v>
      </c>
      <c r="V204" s="847">
        <v>0</v>
      </c>
      <c r="W204" s="847">
        <v>0</v>
      </c>
      <c r="X204" s="847">
        <v>0</v>
      </c>
      <c r="Y204" s="847">
        <v>0</v>
      </c>
      <c r="Z204" s="847">
        <v>0</v>
      </c>
      <c r="AA204" s="847">
        <v>0</v>
      </c>
      <c r="AB204" s="847">
        <v>0</v>
      </c>
      <c r="AC204" s="847">
        <v>0</v>
      </c>
      <c r="AD204" s="847">
        <v>0</v>
      </c>
      <c r="AE204" s="847">
        <v>0</v>
      </c>
      <c r="AF204" s="847">
        <v>0</v>
      </c>
      <c r="AG204" s="847">
        <v>0</v>
      </c>
      <c r="AH204" s="847">
        <v>0</v>
      </c>
      <c r="AI204" s="847">
        <v>0</v>
      </c>
      <c r="AJ204" s="847">
        <v>0</v>
      </c>
      <c r="AK204" s="847">
        <v>0</v>
      </c>
      <c r="AL204" s="847">
        <v>0</v>
      </c>
      <c r="AM204" s="847">
        <v>0</v>
      </c>
      <c r="AN204" s="847">
        <v>0</v>
      </c>
      <c r="AO204" s="847">
        <v>0</v>
      </c>
      <c r="AP204" s="847">
        <v>0</v>
      </c>
      <c r="AQ204" s="847">
        <v>0</v>
      </c>
      <c r="AR204" s="847">
        <v>0</v>
      </c>
      <c r="AS204" s="847">
        <v>0</v>
      </c>
      <c r="AT204" s="847">
        <v>0</v>
      </c>
      <c r="AU204" s="847">
        <v>0</v>
      </c>
      <c r="AV204" s="847">
        <v>0</v>
      </c>
      <c r="AW204" s="847">
        <v>0</v>
      </c>
      <c r="AX204" s="847">
        <v>0</v>
      </c>
      <c r="AY204" s="847">
        <v>0</v>
      </c>
      <c r="AZ204" s="847">
        <v>0</v>
      </c>
      <c r="BA204" s="847">
        <v>0</v>
      </c>
      <c r="BB204" s="847">
        <v>0</v>
      </c>
      <c r="BC204" s="847">
        <v>0</v>
      </c>
      <c r="BD204" s="847">
        <v>0</v>
      </c>
      <c r="BE204" s="847">
        <v>0</v>
      </c>
      <c r="BF204" s="847">
        <v>0</v>
      </c>
      <c r="BG204" s="847">
        <v>0</v>
      </c>
      <c r="BH204" s="847">
        <v>0</v>
      </c>
      <c r="BI204" s="847">
        <v>0</v>
      </c>
      <c r="BJ204" s="847">
        <v>0</v>
      </c>
      <c r="BK204" s="847">
        <v>0</v>
      </c>
      <c r="BL204" s="847">
        <v>0</v>
      </c>
      <c r="BM204" s="847">
        <v>0</v>
      </c>
      <c r="BN204" s="847">
        <v>0</v>
      </c>
      <c r="BO204" s="847">
        <v>0</v>
      </c>
      <c r="BP204" s="847">
        <v>0</v>
      </c>
      <c r="BQ204" s="847">
        <v>0</v>
      </c>
      <c r="BR204" s="847">
        <v>0</v>
      </c>
      <c r="BS204" s="847">
        <v>0</v>
      </c>
      <c r="BT204" s="847">
        <v>0</v>
      </c>
      <c r="BU204" s="847">
        <v>0</v>
      </c>
      <c r="BV204" s="847">
        <v>0</v>
      </c>
      <c r="BW204" s="847">
        <v>0</v>
      </c>
      <c r="BX204" s="847">
        <v>0</v>
      </c>
      <c r="BY204" s="847">
        <v>0</v>
      </c>
      <c r="BZ204" s="847">
        <v>0</v>
      </c>
      <c r="CA204" s="847">
        <v>0</v>
      </c>
      <c r="CB204" s="847">
        <v>0</v>
      </c>
      <c r="CC204" s="847">
        <v>0</v>
      </c>
      <c r="CD204" s="847">
        <v>94000</v>
      </c>
      <c r="CE204" s="847">
        <v>0</v>
      </c>
      <c r="CF204" s="847">
        <v>0</v>
      </c>
      <c r="CG204" s="847">
        <v>0</v>
      </c>
      <c r="CH204" s="847">
        <v>0</v>
      </c>
      <c r="CI204" s="847">
        <v>0</v>
      </c>
      <c r="CJ204" s="847">
        <v>0</v>
      </c>
      <c r="CK204" s="847">
        <v>0</v>
      </c>
      <c r="CL204" s="847">
        <v>0</v>
      </c>
      <c r="CM204" s="847">
        <v>0</v>
      </c>
      <c r="CN204" s="847">
        <v>0</v>
      </c>
      <c r="CO204" s="847">
        <v>0</v>
      </c>
      <c r="CP204" s="847">
        <v>0</v>
      </c>
      <c r="CQ204" s="847">
        <v>0</v>
      </c>
      <c r="CR204" s="847">
        <v>0</v>
      </c>
      <c r="CS204" s="847">
        <v>0</v>
      </c>
      <c r="CT204" s="847">
        <v>0</v>
      </c>
      <c r="CU204" s="847">
        <v>0</v>
      </c>
      <c r="CV204" s="847">
        <v>0</v>
      </c>
      <c r="CW204" s="847">
        <v>0</v>
      </c>
      <c r="CX204" s="847">
        <v>0</v>
      </c>
      <c r="CY204" s="847">
        <v>0</v>
      </c>
      <c r="CZ204" s="847">
        <v>0</v>
      </c>
      <c r="DA204" s="847">
        <v>0</v>
      </c>
      <c r="DB204" s="847">
        <v>0</v>
      </c>
      <c r="DC204" s="847">
        <v>0</v>
      </c>
      <c r="DD204" s="847">
        <v>0</v>
      </c>
      <c r="DE204" s="847">
        <v>0</v>
      </c>
      <c r="DF204" s="847">
        <v>0</v>
      </c>
      <c r="DG204" s="847">
        <v>0</v>
      </c>
      <c r="DH204" s="847">
        <v>0</v>
      </c>
      <c r="DI204" s="847">
        <v>0</v>
      </c>
      <c r="DJ204" s="847">
        <v>0</v>
      </c>
      <c r="DK204" s="847">
        <v>0</v>
      </c>
      <c r="DL204" s="847">
        <v>0</v>
      </c>
      <c r="DM204" s="847">
        <v>0</v>
      </c>
      <c r="DN204" s="847">
        <v>0</v>
      </c>
      <c r="DO204" s="847">
        <v>0</v>
      </c>
      <c r="DP204" s="847">
        <v>0</v>
      </c>
      <c r="DQ204" s="847">
        <v>0</v>
      </c>
      <c r="DR204" s="847">
        <v>0</v>
      </c>
      <c r="DS204" s="847">
        <v>0</v>
      </c>
      <c r="DT204" s="847">
        <v>0</v>
      </c>
      <c r="DU204" s="847">
        <v>0</v>
      </c>
      <c r="DV204" s="847">
        <v>0</v>
      </c>
      <c r="DW204" s="847">
        <v>0</v>
      </c>
      <c r="DY204" s="843" t="s">
        <v>1060</v>
      </c>
      <c r="DZ204" s="843" t="s">
        <v>1382</v>
      </c>
      <c r="EA204" s="843" t="s">
        <v>96</v>
      </c>
      <c r="EB204" s="844">
        <v>45</v>
      </c>
      <c r="EC204" s="780" t="str">
        <f t="shared" si="7"/>
        <v>IWT060145</v>
      </c>
      <c r="ED204" s="844">
        <v>5362.5</v>
      </c>
      <c r="EE204" s="844">
        <v>10725.1</v>
      </c>
      <c r="EF204" s="844">
        <v>16087.6</v>
      </c>
      <c r="EG204" s="844">
        <v>21450.2</v>
      </c>
      <c r="EH204" s="844">
        <v>26812.7</v>
      </c>
      <c r="EI204" s="844">
        <v>32175.200000000001</v>
      </c>
      <c r="EJ204" s="844">
        <v>32175.200000000001</v>
      </c>
      <c r="EK204" s="844">
        <v>32175.200000000001</v>
      </c>
      <c r="EL204" s="844">
        <v>32175.200000000001</v>
      </c>
      <c r="EM204" s="844">
        <v>32678</v>
      </c>
      <c r="EN204" s="844">
        <v>33331</v>
      </c>
      <c r="EO204" s="844">
        <v>33998</v>
      </c>
      <c r="EP204" s="844">
        <v>34678</v>
      </c>
      <c r="EQ204" s="844">
        <v>35371</v>
      </c>
      <c r="ER204" s="844">
        <v>36079</v>
      </c>
      <c r="ES204" s="844">
        <v>36800</v>
      </c>
      <c r="ET204" s="844">
        <v>37536</v>
      </c>
      <c r="EU204" s="844">
        <v>38287</v>
      </c>
      <c r="EV204" s="844">
        <v>39053</v>
      </c>
      <c r="EW204" s="844">
        <v>39834</v>
      </c>
      <c r="EX204" s="844">
        <v>40631</v>
      </c>
      <c r="EY204" s="844">
        <v>41443</v>
      </c>
      <c r="EZ204" s="844">
        <v>42272</v>
      </c>
      <c r="FA204" s="844">
        <v>43117</v>
      </c>
      <c r="FB204" s="844">
        <v>43980</v>
      </c>
      <c r="FC204" s="844">
        <v>44859</v>
      </c>
      <c r="FD204" s="844">
        <v>45756</v>
      </c>
      <c r="FE204" s="844">
        <v>46671</v>
      </c>
      <c r="FF204" s="844">
        <v>47605</v>
      </c>
      <c r="FG204" s="844">
        <v>48557</v>
      </c>
      <c r="FH204" s="844">
        <v>49528</v>
      </c>
      <c r="FI204" s="844">
        <v>50518</v>
      </c>
      <c r="FJ204" s="844">
        <v>51528</v>
      </c>
      <c r="FK204" s="844">
        <v>52559</v>
      </c>
      <c r="FL204" s="844">
        <v>53610</v>
      </c>
      <c r="FM204" s="844">
        <v>54682</v>
      </c>
      <c r="FN204" s="844">
        <v>55775</v>
      </c>
      <c r="FO204" s="844">
        <v>56891</v>
      </c>
      <c r="FP204" s="844">
        <v>58028</v>
      </c>
      <c r="FQ204" s="844">
        <v>59189</v>
      </c>
      <c r="FR204" s="844">
        <v>60372</v>
      </c>
      <c r="FS204" s="844">
        <v>61579</v>
      </c>
      <c r="FT204" s="844">
        <v>62810</v>
      </c>
      <c r="FU204" s="844">
        <v>64066</v>
      </c>
      <c r="FV204" s="844">
        <v>65347</v>
      </c>
      <c r="FW204" s="844">
        <v>66654</v>
      </c>
      <c r="FX204" s="844">
        <v>67972</v>
      </c>
      <c r="FY204" s="844">
        <v>69300</v>
      </c>
      <c r="FZ204" s="844">
        <v>70639</v>
      </c>
      <c r="GA204" s="844">
        <v>71987</v>
      </c>
      <c r="GB204" s="844">
        <v>73344</v>
      </c>
      <c r="GC204" s="844">
        <v>74710</v>
      </c>
      <c r="GD204" s="844">
        <v>76083</v>
      </c>
      <c r="GE204" s="844">
        <v>77463</v>
      </c>
      <c r="GF204" s="844">
        <v>78849</v>
      </c>
      <c r="GG204" s="844">
        <v>80242</v>
      </c>
      <c r="GH204" s="844">
        <v>81640</v>
      </c>
      <c r="GI204" s="844">
        <v>83043</v>
      </c>
      <c r="GJ204" s="844">
        <v>84450</v>
      </c>
      <c r="GK204" s="844">
        <v>85862</v>
      </c>
      <c r="GL204" s="844">
        <v>87277</v>
      </c>
      <c r="GM204" s="844">
        <v>88697</v>
      </c>
      <c r="GN204" s="844">
        <v>90123</v>
      </c>
      <c r="GO204" s="844">
        <v>91567</v>
      </c>
      <c r="GP204" s="844">
        <v>93074</v>
      </c>
      <c r="GQ204" s="844">
        <v>94000</v>
      </c>
      <c r="GR204" s="844">
        <v>0</v>
      </c>
      <c r="GS204" s="844">
        <v>0</v>
      </c>
      <c r="GT204" s="844">
        <v>0</v>
      </c>
      <c r="GU204" s="844">
        <v>0</v>
      </c>
      <c r="GV204" s="844">
        <v>0</v>
      </c>
      <c r="GW204" s="844">
        <v>0</v>
      </c>
      <c r="GX204" s="844">
        <v>0</v>
      </c>
      <c r="GY204" s="844">
        <v>0</v>
      </c>
      <c r="GZ204" s="844">
        <v>0</v>
      </c>
      <c r="HA204" s="844">
        <v>0</v>
      </c>
      <c r="HB204" s="844">
        <v>0</v>
      </c>
      <c r="HC204" s="844">
        <v>0</v>
      </c>
      <c r="HD204" s="844">
        <v>0</v>
      </c>
      <c r="HE204" s="844">
        <v>0</v>
      </c>
      <c r="HF204" s="844">
        <v>0</v>
      </c>
      <c r="HG204" s="844">
        <v>0</v>
      </c>
      <c r="HH204" s="844">
        <v>0</v>
      </c>
      <c r="HI204" s="844">
        <v>0</v>
      </c>
      <c r="HJ204" s="844">
        <v>0</v>
      </c>
      <c r="HK204" s="844">
        <v>0</v>
      </c>
      <c r="HL204" s="844">
        <v>0</v>
      </c>
      <c r="HM204" s="844">
        <v>0</v>
      </c>
      <c r="HN204" s="844">
        <v>0</v>
      </c>
      <c r="HO204" s="844">
        <v>0</v>
      </c>
      <c r="HP204" s="844">
        <v>0</v>
      </c>
      <c r="HQ204" s="844">
        <v>0</v>
      </c>
      <c r="HR204" s="844">
        <v>0</v>
      </c>
      <c r="HS204" s="844">
        <v>0</v>
      </c>
      <c r="HT204" s="844">
        <v>0</v>
      </c>
      <c r="HU204" s="844">
        <v>0</v>
      </c>
      <c r="HV204" s="844">
        <v>0</v>
      </c>
      <c r="HW204" s="844">
        <v>0</v>
      </c>
      <c r="HX204" s="844">
        <v>0</v>
      </c>
      <c r="HY204" s="844">
        <v>0</v>
      </c>
      <c r="HZ204" s="844">
        <v>0</v>
      </c>
      <c r="IA204" s="844">
        <v>0</v>
      </c>
      <c r="IB204" s="844">
        <v>0</v>
      </c>
      <c r="IC204" s="844">
        <v>0</v>
      </c>
      <c r="ID204" s="844">
        <v>0</v>
      </c>
      <c r="IE204" s="844">
        <v>0</v>
      </c>
      <c r="IF204" s="844">
        <v>0</v>
      </c>
      <c r="IG204" s="844">
        <v>0</v>
      </c>
      <c r="IH204" s="844">
        <v>0</v>
      </c>
      <c r="II204" s="844">
        <v>0</v>
      </c>
      <c r="IJ204" s="844">
        <v>0</v>
      </c>
    </row>
    <row r="205" spans="9:244" hidden="1">
      <c r="I205" s="156"/>
      <c r="L205" s="846" t="s">
        <v>1060</v>
      </c>
      <c r="M205" s="846" t="s">
        <v>1382</v>
      </c>
      <c r="N205" s="846" t="s">
        <v>96</v>
      </c>
      <c r="O205" s="847">
        <v>46</v>
      </c>
      <c r="P205" s="780" t="str">
        <f t="shared" si="6"/>
        <v>IWT060146</v>
      </c>
      <c r="Q205" s="847">
        <v>0</v>
      </c>
      <c r="R205" s="847">
        <v>0</v>
      </c>
      <c r="S205" s="847">
        <v>0</v>
      </c>
      <c r="T205" s="847">
        <v>0</v>
      </c>
      <c r="U205" s="847">
        <v>0</v>
      </c>
      <c r="V205" s="847">
        <v>0</v>
      </c>
      <c r="W205" s="847">
        <v>0</v>
      </c>
      <c r="X205" s="847">
        <v>0</v>
      </c>
      <c r="Y205" s="847">
        <v>0</v>
      </c>
      <c r="Z205" s="847">
        <v>0</v>
      </c>
      <c r="AA205" s="847">
        <v>0</v>
      </c>
      <c r="AB205" s="847">
        <v>0</v>
      </c>
      <c r="AC205" s="847">
        <v>0</v>
      </c>
      <c r="AD205" s="847">
        <v>0</v>
      </c>
      <c r="AE205" s="847">
        <v>0</v>
      </c>
      <c r="AF205" s="847">
        <v>0</v>
      </c>
      <c r="AG205" s="847">
        <v>0</v>
      </c>
      <c r="AH205" s="847">
        <v>0</v>
      </c>
      <c r="AI205" s="847">
        <v>0</v>
      </c>
      <c r="AJ205" s="847">
        <v>0</v>
      </c>
      <c r="AK205" s="847">
        <v>0</v>
      </c>
      <c r="AL205" s="847">
        <v>0</v>
      </c>
      <c r="AM205" s="847">
        <v>0</v>
      </c>
      <c r="AN205" s="847">
        <v>0</v>
      </c>
      <c r="AO205" s="847">
        <v>0</v>
      </c>
      <c r="AP205" s="847">
        <v>0</v>
      </c>
      <c r="AQ205" s="847">
        <v>0</v>
      </c>
      <c r="AR205" s="847">
        <v>0</v>
      </c>
      <c r="AS205" s="847">
        <v>0</v>
      </c>
      <c r="AT205" s="847">
        <v>0</v>
      </c>
      <c r="AU205" s="847">
        <v>0</v>
      </c>
      <c r="AV205" s="847">
        <v>0</v>
      </c>
      <c r="AW205" s="847">
        <v>0</v>
      </c>
      <c r="AX205" s="847">
        <v>0</v>
      </c>
      <c r="AY205" s="847">
        <v>0</v>
      </c>
      <c r="AZ205" s="847">
        <v>0</v>
      </c>
      <c r="BA205" s="847">
        <v>0</v>
      </c>
      <c r="BB205" s="847">
        <v>0</v>
      </c>
      <c r="BC205" s="847">
        <v>0</v>
      </c>
      <c r="BD205" s="847">
        <v>0</v>
      </c>
      <c r="BE205" s="847">
        <v>0</v>
      </c>
      <c r="BF205" s="847">
        <v>0</v>
      </c>
      <c r="BG205" s="847">
        <v>0</v>
      </c>
      <c r="BH205" s="847">
        <v>0</v>
      </c>
      <c r="BI205" s="847">
        <v>0</v>
      </c>
      <c r="BJ205" s="847">
        <v>0</v>
      </c>
      <c r="BK205" s="847">
        <v>0</v>
      </c>
      <c r="BL205" s="847">
        <v>0</v>
      </c>
      <c r="BM205" s="847">
        <v>0</v>
      </c>
      <c r="BN205" s="847">
        <v>0</v>
      </c>
      <c r="BO205" s="847">
        <v>0</v>
      </c>
      <c r="BP205" s="847">
        <v>0</v>
      </c>
      <c r="BQ205" s="847">
        <v>0</v>
      </c>
      <c r="BR205" s="847">
        <v>0</v>
      </c>
      <c r="BS205" s="847">
        <v>0</v>
      </c>
      <c r="BT205" s="847">
        <v>0</v>
      </c>
      <c r="BU205" s="847">
        <v>0</v>
      </c>
      <c r="BV205" s="847">
        <v>0</v>
      </c>
      <c r="BW205" s="847">
        <v>0</v>
      </c>
      <c r="BX205" s="847">
        <v>0</v>
      </c>
      <c r="BY205" s="847">
        <v>0</v>
      </c>
      <c r="BZ205" s="847">
        <v>0</v>
      </c>
      <c r="CA205" s="847">
        <v>0</v>
      </c>
      <c r="CB205" s="847">
        <v>0</v>
      </c>
      <c r="CC205" s="847">
        <v>92600</v>
      </c>
      <c r="CD205" s="847">
        <v>0</v>
      </c>
      <c r="CE205" s="847">
        <v>0</v>
      </c>
      <c r="CF205" s="847">
        <v>0</v>
      </c>
      <c r="CG205" s="847">
        <v>0</v>
      </c>
      <c r="CH205" s="847">
        <v>0</v>
      </c>
      <c r="CI205" s="847">
        <v>0</v>
      </c>
      <c r="CJ205" s="847">
        <v>0</v>
      </c>
      <c r="CK205" s="847">
        <v>0</v>
      </c>
      <c r="CL205" s="847">
        <v>0</v>
      </c>
      <c r="CM205" s="847">
        <v>0</v>
      </c>
      <c r="CN205" s="847">
        <v>0</v>
      </c>
      <c r="CO205" s="847">
        <v>0</v>
      </c>
      <c r="CP205" s="847">
        <v>0</v>
      </c>
      <c r="CQ205" s="847">
        <v>0</v>
      </c>
      <c r="CR205" s="847">
        <v>0</v>
      </c>
      <c r="CS205" s="847">
        <v>0</v>
      </c>
      <c r="CT205" s="847">
        <v>0</v>
      </c>
      <c r="CU205" s="847">
        <v>0</v>
      </c>
      <c r="CV205" s="847">
        <v>0</v>
      </c>
      <c r="CW205" s="847">
        <v>0</v>
      </c>
      <c r="CX205" s="847">
        <v>0</v>
      </c>
      <c r="CY205" s="847">
        <v>0</v>
      </c>
      <c r="CZ205" s="847">
        <v>0</v>
      </c>
      <c r="DA205" s="847">
        <v>0</v>
      </c>
      <c r="DB205" s="847">
        <v>0</v>
      </c>
      <c r="DC205" s="847">
        <v>0</v>
      </c>
      <c r="DD205" s="847">
        <v>0</v>
      </c>
      <c r="DE205" s="847">
        <v>0</v>
      </c>
      <c r="DF205" s="847">
        <v>0</v>
      </c>
      <c r="DG205" s="847">
        <v>0</v>
      </c>
      <c r="DH205" s="847">
        <v>0</v>
      </c>
      <c r="DI205" s="847">
        <v>0</v>
      </c>
      <c r="DJ205" s="847">
        <v>0</v>
      </c>
      <c r="DK205" s="847">
        <v>0</v>
      </c>
      <c r="DL205" s="847">
        <v>0</v>
      </c>
      <c r="DM205" s="847">
        <v>0</v>
      </c>
      <c r="DN205" s="847">
        <v>0</v>
      </c>
      <c r="DO205" s="847">
        <v>0</v>
      </c>
      <c r="DP205" s="847">
        <v>0</v>
      </c>
      <c r="DQ205" s="847">
        <v>0</v>
      </c>
      <c r="DR205" s="847">
        <v>0</v>
      </c>
      <c r="DS205" s="847">
        <v>0</v>
      </c>
      <c r="DT205" s="847">
        <v>0</v>
      </c>
      <c r="DU205" s="847">
        <v>0</v>
      </c>
      <c r="DV205" s="847">
        <v>0</v>
      </c>
      <c r="DW205" s="847">
        <v>0</v>
      </c>
      <c r="DY205" s="843" t="s">
        <v>1060</v>
      </c>
      <c r="DZ205" s="843" t="s">
        <v>1382</v>
      </c>
      <c r="EA205" s="843" t="s">
        <v>96</v>
      </c>
      <c r="EB205" s="844">
        <v>46</v>
      </c>
      <c r="EC205" s="780" t="str">
        <f t="shared" si="7"/>
        <v>IWT060146</v>
      </c>
      <c r="ED205" s="844">
        <v>5365.7</v>
      </c>
      <c r="EE205" s="844">
        <v>10731.4</v>
      </c>
      <c r="EF205" s="844">
        <v>16097.2</v>
      </c>
      <c r="EG205" s="844">
        <v>21462.9</v>
      </c>
      <c r="EH205" s="844">
        <v>26828.6</v>
      </c>
      <c r="EI205" s="844">
        <v>32194.3</v>
      </c>
      <c r="EJ205" s="844">
        <v>32194.3</v>
      </c>
      <c r="EK205" s="844">
        <v>32194.3</v>
      </c>
      <c r="EL205" s="844">
        <v>32194.3</v>
      </c>
      <c r="EM205" s="844">
        <v>32690</v>
      </c>
      <c r="EN205" s="844">
        <v>33343</v>
      </c>
      <c r="EO205" s="844">
        <v>34010</v>
      </c>
      <c r="EP205" s="844">
        <v>34691</v>
      </c>
      <c r="EQ205" s="844">
        <v>35384</v>
      </c>
      <c r="ER205" s="844">
        <v>36092</v>
      </c>
      <c r="ES205" s="844">
        <v>36814</v>
      </c>
      <c r="ET205" s="844">
        <v>37550</v>
      </c>
      <c r="EU205" s="844">
        <v>38301</v>
      </c>
      <c r="EV205" s="844">
        <v>39067</v>
      </c>
      <c r="EW205" s="844">
        <v>39848</v>
      </c>
      <c r="EX205" s="844">
        <v>40645</v>
      </c>
      <c r="EY205" s="844">
        <v>41458</v>
      </c>
      <c r="EZ205" s="844">
        <v>42287</v>
      </c>
      <c r="FA205" s="844">
        <v>43133</v>
      </c>
      <c r="FB205" s="844">
        <v>43996</v>
      </c>
      <c r="FC205" s="844">
        <v>44875</v>
      </c>
      <c r="FD205" s="844">
        <v>45773</v>
      </c>
      <c r="FE205" s="844">
        <v>46688</v>
      </c>
      <c r="FF205" s="844">
        <v>47622</v>
      </c>
      <c r="FG205" s="844">
        <v>48574</v>
      </c>
      <c r="FH205" s="844">
        <v>49546</v>
      </c>
      <c r="FI205" s="844">
        <v>50536</v>
      </c>
      <c r="FJ205" s="844">
        <v>51547</v>
      </c>
      <c r="FK205" s="844">
        <v>52578</v>
      </c>
      <c r="FL205" s="844">
        <v>53629</v>
      </c>
      <c r="FM205" s="844">
        <v>54702</v>
      </c>
      <c r="FN205" s="844">
        <v>55795</v>
      </c>
      <c r="FO205" s="844">
        <v>56911</v>
      </c>
      <c r="FP205" s="844">
        <v>58049</v>
      </c>
      <c r="FQ205" s="844">
        <v>59210</v>
      </c>
      <c r="FR205" s="844">
        <v>60394</v>
      </c>
      <c r="FS205" s="844">
        <v>61601</v>
      </c>
      <c r="FT205" s="844">
        <v>62833</v>
      </c>
      <c r="FU205" s="844">
        <v>64089</v>
      </c>
      <c r="FV205" s="844">
        <v>65370</v>
      </c>
      <c r="FW205" s="844">
        <v>66677</v>
      </c>
      <c r="FX205" s="844">
        <v>67999</v>
      </c>
      <c r="FY205" s="844">
        <v>69331</v>
      </c>
      <c r="FZ205" s="844">
        <v>70673</v>
      </c>
      <c r="GA205" s="844">
        <v>72023</v>
      </c>
      <c r="GB205" s="844">
        <v>73383</v>
      </c>
      <c r="GC205" s="844">
        <v>74750</v>
      </c>
      <c r="GD205" s="844">
        <v>76125</v>
      </c>
      <c r="GE205" s="844">
        <v>77507</v>
      </c>
      <c r="GF205" s="844">
        <v>78894</v>
      </c>
      <c r="GG205" s="844">
        <v>80288</v>
      </c>
      <c r="GH205" s="844">
        <v>81686</v>
      </c>
      <c r="GI205" s="844">
        <v>83090</v>
      </c>
      <c r="GJ205" s="844">
        <v>84497</v>
      </c>
      <c r="GK205" s="844">
        <v>85909</v>
      </c>
      <c r="GL205" s="844">
        <v>87326</v>
      </c>
      <c r="GM205" s="844">
        <v>88749</v>
      </c>
      <c r="GN205" s="844">
        <v>90188</v>
      </c>
      <c r="GO205" s="844">
        <v>91688</v>
      </c>
      <c r="GP205" s="844">
        <v>92600</v>
      </c>
      <c r="GQ205" s="844">
        <v>0</v>
      </c>
      <c r="GR205" s="844">
        <v>0</v>
      </c>
      <c r="GS205" s="844">
        <v>0</v>
      </c>
      <c r="GT205" s="844">
        <v>0</v>
      </c>
      <c r="GU205" s="844">
        <v>0</v>
      </c>
      <c r="GV205" s="844">
        <v>0</v>
      </c>
      <c r="GW205" s="844">
        <v>0</v>
      </c>
      <c r="GX205" s="844">
        <v>0</v>
      </c>
      <c r="GY205" s="844">
        <v>0</v>
      </c>
      <c r="GZ205" s="844">
        <v>0</v>
      </c>
      <c r="HA205" s="844">
        <v>0</v>
      </c>
      <c r="HB205" s="844">
        <v>0</v>
      </c>
      <c r="HC205" s="844">
        <v>0</v>
      </c>
      <c r="HD205" s="844">
        <v>0</v>
      </c>
      <c r="HE205" s="844">
        <v>0</v>
      </c>
      <c r="HF205" s="844">
        <v>0</v>
      </c>
      <c r="HG205" s="844">
        <v>0</v>
      </c>
      <c r="HH205" s="844">
        <v>0</v>
      </c>
      <c r="HI205" s="844">
        <v>0</v>
      </c>
      <c r="HJ205" s="844">
        <v>0</v>
      </c>
      <c r="HK205" s="844">
        <v>0</v>
      </c>
      <c r="HL205" s="844">
        <v>0</v>
      </c>
      <c r="HM205" s="844">
        <v>0</v>
      </c>
      <c r="HN205" s="844">
        <v>0</v>
      </c>
      <c r="HO205" s="844">
        <v>0</v>
      </c>
      <c r="HP205" s="844">
        <v>0</v>
      </c>
      <c r="HQ205" s="844">
        <v>0</v>
      </c>
      <c r="HR205" s="844">
        <v>0</v>
      </c>
      <c r="HS205" s="844">
        <v>0</v>
      </c>
      <c r="HT205" s="844">
        <v>0</v>
      </c>
      <c r="HU205" s="844">
        <v>0</v>
      </c>
      <c r="HV205" s="844">
        <v>0</v>
      </c>
      <c r="HW205" s="844">
        <v>0</v>
      </c>
      <c r="HX205" s="844">
        <v>0</v>
      </c>
      <c r="HY205" s="844">
        <v>0</v>
      </c>
      <c r="HZ205" s="844">
        <v>0</v>
      </c>
      <c r="IA205" s="844">
        <v>0</v>
      </c>
      <c r="IB205" s="844">
        <v>0</v>
      </c>
      <c r="IC205" s="844">
        <v>0</v>
      </c>
      <c r="ID205" s="844">
        <v>0</v>
      </c>
      <c r="IE205" s="844">
        <v>0</v>
      </c>
      <c r="IF205" s="844">
        <v>0</v>
      </c>
      <c r="IG205" s="844">
        <v>0</v>
      </c>
      <c r="IH205" s="844">
        <v>0</v>
      </c>
      <c r="II205" s="844">
        <v>0</v>
      </c>
      <c r="IJ205" s="844">
        <v>0</v>
      </c>
    </row>
    <row r="206" spans="9:244" hidden="1">
      <c r="I206" s="156"/>
      <c r="L206" s="846" t="s">
        <v>1060</v>
      </c>
      <c r="M206" s="846" t="s">
        <v>1382</v>
      </c>
      <c r="N206" s="846" t="s">
        <v>96</v>
      </c>
      <c r="O206" s="847">
        <v>47</v>
      </c>
      <c r="P206" s="780" t="str">
        <f t="shared" si="6"/>
        <v>IWT060147</v>
      </c>
      <c r="Q206" s="847">
        <v>0</v>
      </c>
      <c r="R206" s="847">
        <v>0</v>
      </c>
      <c r="S206" s="847">
        <v>0</v>
      </c>
      <c r="T206" s="847">
        <v>0</v>
      </c>
      <c r="U206" s="847">
        <v>0</v>
      </c>
      <c r="V206" s="847">
        <v>0</v>
      </c>
      <c r="W206" s="847">
        <v>0</v>
      </c>
      <c r="X206" s="847">
        <v>0</v>
      </c>
      <c r="Y206" s="847">
        <v>0</v>
      </c>
      <c r="Z206" s="847">
        <v>0</v>
      </c>
      <c r="AA206" s="847">
        <v>0</v>
      </c>
      <c r="AB206" s="847">
        <v>0</v>
      </c>
      <c r="AC206" s="847">
        <v>0</v>
      </c>
      <c r="AD206" s="847">
        <v>0</v>
      </c>
      <c r="AE206" s="847">
        <v>0</v>
      </c>
      <c r="AF206" s="847">
        <v>0</v>
      </c>
      <c r="AG206" s="847">
        <v>0</v>
      </c>
      <c r="AH206" s="847">
        <v>0</v>
      </c>
      <c r="AI206" s="847">
        <v>0</v>
      </c>
      <c r="AJ206" s="847">
        <v>0</v>
      </c>
      <c r="AK206" s="847">
        <v>0</v>
      </c>
      <c r="AL206" s="847">
        <v>0</v>
      </c>
      <c r="AM206" s="847">
        <v>0</v>
      </c>
      <c r="AN206" s="847">
        <v>0</v>
      </c>
      <c r="AO206" s="847">
        <v>0</v>
      </c>
      <c r="AP206" s="847">
        <v>0</v>
      </c>
      <c r="AQ206" s="847">
        <v>0</v>
      </c>
      <c r="AR206" s="847">
        <v>0</v>
      </c>
      <c r="AS206" s="847">
        <v>0</v>
      </c>
      <c r="AT206" s="847">
        <v>0</v>
      </c>
      <c r="AU206" s="847">
        <v>0</v>
      </c>
      <c r="AV206" s="847">
        <v>0</v>
      </c>
      <c r="AW206" s="847">
        <v>0</v>
      </c>
      <c r="AX206" s="847">
        <v>0</v>
      </c>
      <c r="AY206" s="847">
        <v>0</v>
      </c>
      <c r="AZ206" s="847">
        <v>0</v>
      </c>
      <c r="BA206" s="847">
        <v>0</v>
      </c>
      <c r="BB206" s="847">
        <v>0</v>
      </c>
      <c r="BC206" s="847">
        <v>0</v>
      </c>
      <c r="BD206" s="847">
        <v>0</v>
      </c>
      <c r="BE206" s="847">
        <v>0</v>
      </c>
      <c r="BF206" s="847">
        <v>0</v>
      </c>
      <c r="BG206" s="847">
        <v>0</v>
      </c>
      <c r="BH206" s="847">
        <v>0</v>
      </c>
      <c r="BI206" s="847">
        <v>0</v>
      </c>
      <c r="BJ206" s="847">
        <v>0</v>
      </c>
      <c r="BK206" s="847">
        <v>0</v>
      </c>
      <c r="BL206" s="847">
        <v>0</v>
      </c>
      <c r="BM206" s="847">
        <v>0</v>
      </c>
      <c r="BN206" s="847">
        <v>0</v>
      </c>
      <c r="BO206" s="847">
        <v>0</v>
      </c>
      <c r="BP206" s="847">
        <v>0</v>
      </c>
      <c r="BQ206" s="847">
        <v>0</v>
      </c>
      <c r="BR206" s="847">
        <v>0</v>
      </c>
      <c r="BS206" s="847">
        <v>0</v>
      </c>
      <c r="BT206" s="847">
        <v>0</v>
      </c>
      <c r="BU206" s="847">
        <v>0</v>
      </c>
      <c r="BV206" s="847">
        <v>0</v>
      </c>
      <c r="BW206" s="847">
        <v>0</v>
      </c>
      <c r="BX206" s="847">
        <v>0</v>
      </c>
      <c r="BY206" s="847">
        <v>0</v>
      </c>
      <c r="BZ206" s="847">
        <v>0</v>
      </c>
      <c r="CA206" s="847">
        <v>0</v>
      </c>
      <c r="CB206" s="847">
        <v>91200</v>
      </c>
      <c r="CC206" s="847">
        <v>0</v>
      </c>
      <c r="CD206" s="847">
        <v>0</v>
      </c>
      <c r="CE206" s="847">
        <v>0</v>
      </c>
      <c r="CF206" s="847">
        <v>0</v>
      </c>
      <c r="CG206" s="847">
        <v>0</v>
      </c>
      <c r="CH206" s="847">
        <v>0</v>
      </c>
      <c r="CI206" s="847">
        <v>0</v>
      </c>
      <c r="CJ206" s="847">
        <v>0</v>
      </c>
      <c r="CK206" s="847">
        <v>0</v>
      </c>
      <c r="CL206" s="847">
        <v>0</v>
      </c>
      <c r="CM206" s="847">
        <v>0</v>
      </c>
      <c r="CN206" s="847">
        <v>0</v>
      </c>
      <c r="CO206" s="847">
        <v>0</v>
      </c>
      <c r="CP206" s="847">
        <v>0</v>
      </c>
      <c r="CQ206" s="847">
        <v>0</v>
      </c>
      <c r="CR206" s="847">
        <v>0</v>
      </c>
      <c r="CS206" s="847">
        <v>0</v>
      </c>
      <c r="CT206" s="847">
        <v>0</v>
      </c>
      <c r="CU206" s="847">
        <v>0</v>
      </c>
      <c r="CV206" s="847">
        <v>0</v>
      </c>
      <c r="CW206" s="847">
        <v>0</v>
      </c>
      <c r="CX206" s="847">
        <v>0</v>
      </c>
      <c r="CY206" s="847">
        <v>0</v>
      </c>
      <c r="CZ206" s="847">
        <v>0</v>
      </c>
      <c r="DA206" s="847">
        <v>0</v>
      </c>
      <c r="DB206" s="847">
        <v>0</v>
      </c>
      <c r="DC206" s="847">
        <v>0</v>
      </c>
      <c r="DD206" s="847">
        <v>0</v>
      </c>
      <c r="DE206" s="847">
        <v>0</v>
      </c>
      <c r="DF206" s="847">
        <v>0</v>
      </c>
      <c r="DG206" s="847">
        <v>0</v>
      </c>
      <c r="DH206" s="847">
        <v>0</v>
      </c>
      <c r="DI206" s="847">
        <v>0</v>
      </c>
      <c r="DJ206" s="847">
        <v>0</v>
      </c>
      <c r="DK206" s="847">
        <v>0</v>
      </c>
      <c r="DL206" s="847">
        <v>0</v>
      </c>
      <c r="DM206" s="847">
        <v>0</v>
      </c>
      <c r="DN206" s="847">
        <v>0</v>
      </c>
      <c r="DO206" s="847">
        <v>0</v>
      </c>
      <c r="DP206" s="847">
        <v>0</v>
      </c>
      <c r="DQ206" s="847">
        <v>0</v>
      </c>
      <c r="DR206" s="847">
        <v>0</v>
      </c>
      <c r="DS206" s="847">
        <v>0</v>
      </c>
      <c r="DT206" s="847">
        <v>0</v>
      </c>
      <c r="DU206" s="847">
        <v>0</v>
      </c>
      <c r="DV206" s="847">
        <v>0</v>
      </c>
      <c r="DW206" s="847">
        <v>0</v>
      </c>
      <c r="DY206" s="843" t="s">
        <v>1060</v>
      </c>
      <c r="DZ206" s="843" t="s">
        <v>1382</v>
      </c>
      <c r="EA206" s="843" t="s">
        <v>96</v>
      </c>
      <c r="EB206" s="844">
        <v>47</v>
      </c>
      <c r="EC206" s="780" t="str">
        <f t="shared" si="7"/>
        <v>IWT060147</v>
      </c>
      <c r="ED206" s="844">
        <v>5367.8</v>
      </c>
      <c r="EE206" s="844">
        <v>10735.7</v>
      </c>
      <c r="EF206" s="844">
        <v>16103.5</v>
      </c>
      <c r="EG206" s="844">
        <v>21471.4</v>
      </c>
      <c r="EH206" s="844">
        <v>26839.200000000001</v>
      </c>
      <c r="EI206" s="844">
        <v>32207</v>
      </c>
      <c r="EJ206" s="844">
        <v>32207</v>
      </c>
      <c r="EK206" s="844">
        <v>32207</v>
      </c>
      <c r="EL206" s="844">
        <v>32207</v>
      </c>
      <c r="EM206" s="844">
        <v>32700</v>
      </c>
      <c r="EN206" s="844">
        <v>33354</v>
      </c>
      <c r="EO206" s="844">
        <v>34021</v>
      </c>
      <c r="EP206" s="844">
        <v>34701</v>
      </c>
      <c r="EQ206" s="844">
        <v>35395</v>
      </c>
      <c r="ER206" s="844">
        <v>36103</v>
      </c>
      <c r="ES206" s="844">
        <v>36825</v>
      </c>
      <c r="ET206" s="844">
        <v>37562</v>
      </c>
      <c r="EU206" s="844">
        <v>38313</v>
      </c>
      <c r="EV206" s="844">
        <v>39079</v>
      </c>
      <c r="EW206" s="844">
        <v>39861</v>
      </c>
      <c r="EX206" s="844">
        <v>40658</v>
      </c>
      <c r="EY206" s="844">
        <v>41471</v>
      </c>
      <c r="EZ206" s="844">
        <v>42300</v>
      </c>
      <c r="FA206" s="844">
        <v>43146</v>
      </c>
      <c r="FB206" s="844">
        <v>44009</v>
      </c>
      <c r="FC206" s="844">
        <v>44889</v>
      </c>
      <c r="FD206" s="844">
        <v>45787</v>
      </c>
      <c r="FE206" s="844">
        <v>46703</v>
      </c>
      <c r="FF206" s="844">
        <v>47637</v>
      </c>
      <c r="FG206" s="844">
        <v>48589</v>
      </c>
      <c r="FH206" s="844">
        <v>49561</v>
      </c>
      <c r="FI206" s="844">
        <v>50552</v>
      </c>
      <c r="FJ206" s="844">
        <v>51563</v>
      </c>
      <c r="FK206" s="844">
        <v>52594</v>
      </c>
      <c r="FL206" s="844">
        <v>53646</v>
      </c>
      <c r="FM206" s="844">
        <v>54718</v>
      </c>
      <c r="FN206" s="844">
        <v>55812</v>
      </c>
      <c r="FO206" s="844">
        <v>56928</v>
      </c>
      <c r="FP206" s="844">
        <v>58067</v>
      </c>
      <c r="FQ206" s="844">
        <v>59228</v>
      </c>
      <c r="FR206" s="844">
        <v>60412</v>
      </c>
      <c r="FS206" s="844">
        <v>61620</v>
      </c>
      <c r="FT206" s="844">
        <v>62852</v>
      </c>
      <c r="FU206" s="844">
        <v>64108</v>
      </c>
      <c r="FV206" s="844">
        <v>65390</v>
      </c>
      <c r="FW206" s="844">
        <v>66697</v>
      </c>
      <c r="FX206" s="844">
        <v>68022</v>
      </c>
      <c r="FY206" s="844">
        <v>69358</v>
      </c>
      <c r="FZ206" s="844">
        <v>70702</v>
      </c>
      <c r="GA206" s="844">
        <v>72056</v>
      </c>
      <c r="GB206" s="844">
        <v>73418</v>
      </c>
      <c r="GC206" s="844">
        <v>74787</v>
      </c>
      <c r="GD206" s="844">
        <v>76164</v>
      </c>
      <c r="GE206" s="844">
        <v>77547</v>
      </c>
      <c r="GF206" s="844">
        <v>78936</v>
      </c>
      <c r="GG206" s="844">
        <v>80330</v>
      </c>
      <c r="GH206" s="844">
        <v>81729</v>
      </c>
      <c r="GI206" s="844">
        <v>83133</v>
      </c>
      <c r="GJ206" s="844">
        <v>84542</v>
      </c>
      <c r="GK206" s="844">
        <v>85954</v>
      </c>
      <c r="GL206" s="844">
        <v>87374</v>
      </c>
      <c r="GM206" s="844">
        <v>88809</v>
      </c>
      <c r="GN206" s="844">
        <v>90301</v>
      </c>
      <c r="GO206" s="844">
        <v>91200</v>
      </c>
      <c r="GP206" s="844">
        <v>0</v>
      </c>
      <c r="GQ206" s="844">
        <v>0</v>
      </c>
      <c r="GR206" s="844">
        <v>0</v>
      </c>
      <c r="GS206" s="844">
        <v>0</v>
      </c>
      <c r="GT206" s="844">
        <v>0</v>
      </c>
      <c r="GU206" s="844">
        <v>0</v>
      </c>
      <c r="GV206" s="844">
        <v>0</v>
      </c>
      <c r="GW206" s="844">
        <v>0</v>
      </c>
      <c r="GX206" s="844">
        <v>0</v>
      </c>
      <c r="GY206" s="844">
        <v>0</v>
      </c>
      <c r="GZ206" s="844">
        <v>0</v>
      </c>
      <c r="HA206" s="844">
        <v>0</v>
      </c>
      <c r="HB206" s="844">
        <v>0</v>
      </c>
      <c r="HC206" s="844">
        <v>0</v>
      </c>
      <c r="HD206" s="844">
        <v>0</v>
      </c>
      <c r="HE206" s="844">
        <v>0</v>
      </c>
      <c r="HF206" s="844">
        <v>0</v>
      </c>
      <c r="HG206" s="844">
        <v>0</v>
      </c>
      <c r="HH206" s="844">
        <v>0</v>
      </c>
      <c r="HI206" s="844">
        <v>0</v>
      </c>
      <c r="HJ206" s="844">
        <v>0</v>
      </c>
      <c r="HK206" s="844">
        <v>0</v>
      </c>
      <c r="HL206" s="844">
        <v>0</v>
      </c>
      <c r="HM206" s="844">
        <v>0</v>
      </c>
      <c r="HN206" s="844">
        <v>0</v>
      </c>
      <c r="HO206" s="844">
        <v>0</v>
      </c>
      <c r="HP206" s="844">
        <v>0</v>
      </c>
      <c r="HQ206" s="844">
        <v>0</v>
      </c>
      <c r="HR206" s="844">
        <v>0</v>
      </c>
      <c r="HS206" s="844">
        <v>0</v>
      </c>
      <c r="HT206" s="844">
        <v>0</v>
      </c>
      <c r="HU206" s="844">
        <v>0</v>
      </c>
      <c r="HV206" s="844">
        <v>0</v>
      </c>
      <c r="HW206" s="844">
        <v>0</v>
      </c>
      <c r="HX206" s="844">
        <v>0</v>
      </c>
      <c r="HY206" s="844">
        <v>0</v>
      </c>
      <c r="HZ206" s="844">
        <v>0</v>
      </c>
      <c r="IA206" s="844">
        <v>0</v>
      </c>
      <c r="IB206" s="844">
        <v>0</v>
      </c>
      <c r="IC206" s="844">
        <v>0</v>
      </c>
      <c r="ID206" s="844">
        <v>0</v>
      </c>
      <c r="IE206" s="844">
        <v>0</v>
      </c>
      <c r="IF206" s="844">
        <v>0</v>
      </c>
      <c r="IG206" s="844">
        <v>0</v>
      </c>
      <c r="IH206" s="844">
        <v>0</v>
      </c>
      <c r="II206" s="844">
        <v>0</v>
      </c>
      <c r="IJ206" s="844">
        <v>0</v>
      </c>
    </row>
    <row r="207" spans="9:244" hidden="1">
      <c r="I207" s="156"/>
      <c r="L207" s="846" t="s">
        <v>1060</v>
      </c>
      <c r="M207" s="846" t="s">
        <v>1382</v>
      </c>
      <c r="N207" s="846" t="s">
        <v>96</v>
      </c>
      <c r="O207" s="847">
        <v>48</v>
      </c>
      <c r="P207" s="780" t="str">
        <f t="shared" si="6"/>
        <v>IWT060148</v>
      </c>
      <c r="Q207" s="847">
        <v>0</v>
      </c>
      <c r="R207" s="847">
        <v>0</v>
      </c>
      <c r="S207" s="847">
        <v>0</v>
      </c>
      <c r="T207" s="847">
        <v>0</v>
      </c>
      <c r="U207" s="847">
        <v>0</v>
      </c>
      <c r="V207" s="847">
        <v>0</v>
      </c>
      <c r="W207" s="847">
        <v>0</v>
      </c>
      <c r="X207" s="847">
        <v>0</v>
      </c>
      <c r="Y207" s="847">
        <v>0</v>
      </c>
      <c r="Z207" s="847">
        <v>0</v>
      </c>
      <c r="AA207" s="847">
        <v>0</v>
      </c>
      <c r="AB207" s="847">
        <v>0</v>
      </c>
      <c r="AC207" s="847">
        <v>0</v>
      </c>
      <c r="AD207" s="847">
        <v>0</v>
      </c>
      <c r="AE207" s="847">
        <v>0</v>
      </c>
      <c r="AF207" s="847">
        <v>0</v>
      </c>
      <c r="AG207" s="847">
        <v>0</v>
      </c>
      <c r="AH207" s="847">
        <v>0</v>
      </c>
      <c r="AI207" s="847">
        <v>0</v>
      </c>
      <c r="AJ207" s="847">
        <v>0</v>
      </c>
      <c r="AK207" s="847">
        <v>0</v>
      </c>
      <c r="AL207" s="847">
        <v>0</v>
      </c>
      <c r="AM207" s="847">
        <v>0</v>
      </c>
      <c r="AN207" s="847">
        <v>0</v>
      </c>
      <c r="AO207" s="847">
        <v>0</v>
      </c>
      <c r="AP207" s="847">
        <v>0</v>
      </c>
      <c r="AQ207" s="847">
        <v>0</v>
      </c>
      <c r="AR207" s="847">
        <v>0</v>
      </c>
      <c r="AS207" s="847">
        <v>0</v>
      </c>
      <c r="AT207" s="847">
        <v>0</v>
      </c>
      <c r="AU207" s="847">
        <v>0</v>
      </c>
      <c r="AV207" s="847">
        <v>0</v>
      </c>
      <c r="AW207" s="847">
        <v>0</v>
      </c>
      <c r="AX207" s="847">
        <v>0</v>
      </c>
      <c r="AY207" s="847">
        <v>0</v>
      </c>
      <c r="AZ207" s="847">
        <v>0</v>
      </c>
      <c r="BA207" s="847">
        <v>0</v>
      </c>
      <c r="BB207" s="847">
        <v>0</v>
      </c>
      <c r="BC207" s="847">
        <v>0</v>
      </c>
      <c r="BD207" s="847">
        <v>0</v>
      </c>
      <c r="BE207" s="847">
        <v>0</v>
      </c>
      <c r="BF207" s="847">
        <v>0</v>
      </c>
      <c r="BG207" s="847">
        <v>0</v>
      </c>
      <c r="BH207" s="847">
        <v>0</v>
      </c>
      <c r="BI207" s="847">
        <v>0</v>
      </c>
      <c r="BJ207" s="847">
        <v>0</v>
      </c>
      <c r="BK207" s="847">
        <v>0</v>
      </c>
      <c r="BL207" s="847">
        <v>0</v>
      </c>
      <c r="BM207" s="847">
        <v>0</v>
      </c>
      <c r="BN207" s="847">
        <v>0</v>
      </c>
      <c r="BO207" s="847">
        <v>0</v>
      </c>
      <c r="BP207" s="847">
        <v>0</v>
      </c>
      <c r="BQ207" s="847">
        <v>0</v>
      </c>
      <c r="BR207" s="847">
        <v>0</v>
      </c>
      <c r="BS207" s="847">
        <v>0</v>
      </c>
      <c r="BT207" s="847">
        <v>0</v>
      </c>
      <c r="BU207" s="847">
        <v>0</v>
      </c>
      <c r="BV207" s="847">
        <v>0</v>
      </c>
      <c r="BW207" s="847">
        <v>0</v>
      </c>
      <c r="BX207" s="847">
        <v>0</v>
      </c>
      <c r="BY207" s="847">
        <v>0</v>
      </c>
      <c r="BZ207" s="847">
        <v>0</v>
      </c>
      <c r="CA207" s="847">
        <v>89800</v>
      </c>
      <c r="CB207" s="847">
        <v>0</v>
      </c>
      <c r="CC207" s="847">
        <v>0</v>
      </c>
      <c r="CD207" s="847">
        <v>0</v>
      </c>
      <c r="CE207" s="847">
        <v>0</v>
      </c>
      <c r="CF207" s="847">
        <v>0</v>
      </c>
      <c r="CG207" s="847">
        <v>0</v>
      </c>
      <c r="CH207" s="847">
        <v>0</v>
      </c>
      <c r="CI207" s="847">
        <v>0</v>
      </c>
      <c r="CJ207" s="847">
        <v>0</v>
      </c>
      <c r="CK207" s="847">
        <v>0</v>
      </c>
      <c r="CL207" s="847">
        <v>0</v>
      </c>
      <c r="CM207" s="847">
        <v>0</v>
      </c>
      <c r="CN207" s="847">
        <v>0</v>
      </c>
      <c r="CO207" s="847">
        <v>0</v>
      </c>
      <c r="CP207" s="847">
        <v>0</v>
      </c>
      <c r="CQ207" s="847">
        <v>0</v>
      </c>
      <c r="CR207" s="847">
        <v>0</v>
      </c>
      <c r="CS207" s="847">
        <v>0</v>
      </c>
      <c r="CT207" s="847">
        <v>0</v>
      </c>
      <c r="CU207" s="847">
        <v>0</v>
      </c>
      <c r="CV207" s="847">
        <v>0</v>
      </c>
      <c r="CW207" s="847">
        <v>0</v>
      </c>
      <c r="CX207" s="847">
        <v>0</v>
      </c>
      <c r="CY207" s="847">
        <v>0</v>
      </c>
      <c r="CZ207" s="847">
        <v>0</v>
      </c>
      <c r="DA207" s="847">
        <v>0</v>
      </c>
      <c r="DB207" s="847">
        <v>0</v>
      </c>
      <c r="DC207" s="847">
        <v>0</v>
      </c>
      <c r="DD207" s="847">
        <v>0</v>
      </c>
      <c r="DE207" s="847">
        <v>0</v>
      </c>
      <c r="DF207" s="847">
        <v>0</v>
      </c>
      <c r="DG207" s="847">
        <v>0</v>
      </c>
      <c r="DH207" s="847">
        <v>0</v>
      </c>
      <c r="DI207" s="847">
        <v>0</v>
      </c>
      <c r="DJ207" s="847">
        <v>0</v>
      </c>
      <c r="DK207" s="847">
        <v>0</v>
      </c>
      <c r="DL207" s="847">
        <v>0</v>
      </c>
      <c r="DM207" s="847">
        <v>0</v>
      </c>
      <c r="DN207" s="847">
        <v>0</v>
      </c>
      <c r="DO207" s="847">
        <v>0</v>
      </c>
      <c r="DP207" s="847">
        <v>0</v>
      </c>
      <c r="DQ207" s="847">
        <v>0</v>
      </c>
      <c r="DR207" s="847">
        <v>0</v>
      </c>
      <c r="DS207" s="847">
        <v>0</v>
      </c>
      <c r="DT207" s="847">
        <v>0</v>
      </c>
      <c r="DU207" s="847">
        <v>0</v>
      </c>
      <c r="DV207" s="847">
        <v>0</v>
      </c>
      <c r="DW207" s="847">
        <v>0</v>
      </c>
      <c r="DY207" s="843" t="s">
        <v>1060</v>
      </c>
      <c r="DZ207" s="843" t="s">
        <v>1382</v>
      </c>
      <c r="EA207" s="843" t="s">
        <v>96</v>
      </c>
      <c r="EB207" s="844">
        <v>48</v>
      </c>
      <c r="EC207" s="780" t="str">
        <f t="shared" si="7"/>
        <v>IWT060148</v>
      </c>
      <c r="ED207" s="844">
        <v>5370</v>
      </c>
      <c r="EE207" s="844">
        <v>10739.9</v>
      </c>
      <c r="EF207" s="844">
        <v>16109.9</v>
      </c>
      <c r="EG207" s="844">
        <v>21479.8</v>
      </c>
      <c r="EH207" s="844">
        <v>26849.8</v>
      </c>
      <c r="EI207" s="844">
        <v>32219.8</v>
      </c>
      <c r="EJ207" s="844">
        <v>32219.8</v>
      </c>
      <c r="EK207" s="844">
        <v>32219.8</v>
      </c>
      <c r="EL207" s="844">
        <v>32219.8</v>
      </c>
      <c r="EM207" s="844">
        <v>32708</v>
      </c>
      <c r="EN207" s="844">
        <v>33363</v>
      </c>
      <c r="EO207" s="844">
        <v>34030</v>
      </c>
      <c r="EP207" s="844">
        <v>34710</v>
      </c>
      <c r="EQ207" s="844">
        <v>35405</v>
      </c>
      <c r="ER207" s="844">
        <v>36113</v>
      </c>
      <c r="ES207" s="844">
        <v>36835</v>
      </c>
      <c r="ET207" s="844">
        <v>37572</v>
      </c>
      <c r="EU207" s="844">
        <v>38323</v>
      </c>
      <c r="EV207" s="844">
        <v>39089</v>
      </c>
      <c r="EW207" s="844">
        <v>39871</v>
      </c>
      <c r="EX207" s="844">
        <v>40669</v>
      </c>
      <c r="EY207" s="844">
        <v>41482</v>
      </c>
      <c r="EZ207" s="844">
        <v>42311</v>
      </c>
      <c r="FA207" s="844">
        <v>43158</v>
      </c>
      <c r="FB207" s="844">
        <v>44021</v>
      </c>
      <c r="FC207" s="844">
        <v>44901</v>
      </c>
      <c r="FD207" s="844">
        <v>45799</v>
      </c>
      <c r="FE207" s="844">
        <v>46715</v>
      </c>
      <c r="FF207" s="844">
        <v>47649</v>
      </c>
      <c r="FG207" s="844">
        <v>48602</v>
      </c>
      <c r="FH207" s="844">
        <v>49574</v>
      </c>
      <c r="FI207" s="844">
        <v>50565</v>
      </c>
      <c r="FJ207" s="844">
        <v>51576</v>
      </c>
      <c r="FK207" s="844">
        <v>52608</v>
      </c>
      <c r="FL207" s="844">
        <v>53660</v>
      </c>
      <c r="FM207" s="844">
        <v>54733</v>
      </c>
      <c r="FN207" s="844">
        <v>55827</v>
      </c>
      <c r="FO207" s="844">
        <v>56943</v>
      </c>
      <c r="FP207" s="844">
        <v>58082</v>
      </c>
      <c r="FQ207" s="844">
        <v>59243</v>
      </c>
      <c r="FR207" s="844">
        <v>60428</v>
      </c>
      <c r="FS207" s="844">
        <v>61636</v>
      </c>
      <c r="FT207" s="844">
        <v>62868</v>
      </c>
      <c r="FU207" s="844">
        <v>64125</v>
      </c>
      <c r="FV207" s="844">
        <v>65407</v>
      </c>
      <c r="FW207" s="844">
        <v>66714</v>
      </c>
      <c r="FX207" s="844">
        <v>68043</v>
      </c>
      <c r="FY207" s="844">
        <v>69381</v>
      </c>
      <c r="FZ207" s="844">
        <v>70729</v>
      </c>
      <c r="GA207" s="844">
        <v>72085</v>
      </c>
      <c r="GB207" s="844">
        <v>73450</v>
      </c>
      <c r="GC207" s="844">
        <v>74821</v>
      </c>
      <c r="GD207" s="844">
        <v>76199</v>
      </c>
      <c r="GE207" s="844">
        <v>77584</v>
      </c>
      <c r="GF207" s="844">
        <v>78974</v>
      </c>
      <c r="GG207" s="844">
        <v>80369</v>
      </c>
      <c r="GH207" s="844">
        <v>81769</v>
      </c>
      <c r="GI207" s="844">
        <v>83174</v>
      </c>
      <c r="GJ207" s="844">
        <v>84583</v>
      </c>
      <c r="GK207" s="844">
        <v>85999</v>
      </c>
      <c r="GL207" s="844">
        <v>87430</v>
      </c>
      <c r="GM207" s="844">
        <v>88915</v>
      </c>
      <c r="GN207" s="844">
        <v>89800</v>
      </c>
      <c r="GO207" s="844">
        <v>0</v>
      </c>
      <c r="GP207" s="844">
        <v>0</v>
      </c>
      <c r="GQ207" s="844">
        <v>0</v>
      </c>
      <c r="GR207" s="844">
        <v>0</v>
      </c>
      <c r="GS207" s="844">
        <v>0</v>
      </c>
      <c r="GT207" s="844">
        <v>0</v>
      </c>
      <c r="GU207" s="844">
        <v>0</v>
      </c>
      <c r="GV207" s="844">
        <v>0</v>
      </c>
      <c r="GW207" s="844">
        <v>0</v>
      </c>
      <c r="GX207" s="844">
        <v>0</v>
      </c>
      <c r="GY207" s="844">
        <v>0</v>
      </c>
      <c r="GZ207" s="844">
        <v>0</v>
      </c>
      <c r="HA207" s="844">
        <v>0</v>
      </c>
      <c r="HB207" s="844">
        <v>0</v>
      </c>
      <c r="HC207" s="844">
        <v>0</v>
      </c>
      <c r="HD207" s="844">
        <v>0</v>
      </c>
      <c r="HE207" s="844">
        <v>0</v>
      </c>
      <c r="HF207" s="844">
        <v>0</v>
      </c>
      <c r="HG207" s="844">
        <v>0</v>
      </c>
      <c r="HH207" s="844">
        <v>0</v>
      </c>
      <c r="HI207" s="844">
        <v>0</v>
      </c>
      <c r="HJ207" s="844">
        <v>0</v>
      </c>
      <c r="HK207" s="844">
        <v>0</v>
      </c>
      <c r="HL207" s="844">
        <v>0</v>
      </c>
      <c r="HM207" s="844">
        <v>0</v>
      </c>
      <c r="HN207" s="844">
        <v>0</v>
      </c>
      <c r="HO207" s="844">
        <v>0</v>
      </c>
      <c r="HP207" s="844">
        <v>0</v>
      </c>
      <c r="HQ207" s="844">
        <v>0</v>
      </c>
      <c r="HR207" s="844">
        <v>0</v>
      </c>
      <c r="HS207" s="844">
        <v>0</v>
      </c>
      <c r="HT207" s="844">
        <v>0</v>
      </c>
      <c r="HU207" s="844">
        <v>0</v>
      </c>
      <c r="HV207" s="844">
        <v>0</v>
      </c>
      <c r="HW207" s="844">
        <v>0</v>
      </c>
      <c r="HX207" s="844">
        <v>0</v>
      </c>
      <c r="HY207" s="844">
        <v>0</v>
      </c>
      <c r="HZ207" s="844">
        <v>0</v>
      </c>
      <c r="IA207" s="844">
        <v>0</v>
      </c>
      <c r="IB207" s="844">
        <v>0</v>
      </c>
      <c r="IC207" s="844">
        <v>0</v>
      </c>
      <c r="ID207" s="844">
        <v>0</v>
      </c>
      <c r="IE207" s="844">
        <v>0</v>
      </c>
      <c r="IF207" s="844">
        <v>0</v>
      </c>
      <c r="IG207" s="844">
        <v>0</v>
      </c>
      <c r="IH207" s="844">
        <v>0</v>
      </c>
      <c r="II207" s="844">
        <v>0</v>
      </c>
      <c r="IJ207" s="844">
        <v>0</v>
      </c>
    </row>
    <row r="208" spans="9:244" hidden="1">
      <c r="I208" s="156"/>
      <c r="L208" s="846" t="s">
        <v>1060</v>
      </c>
      <c r="M208" s="846" t="s">
        <v>1382</v>
      </c>
      <c r="N208" s="846" t="s">
        <v>96</v>
      </c>
      <c r="O208" s="847">
        <v>49</v>
      </c>
      <c r="P208" s="780" t="str">
        <f t="shared" si="6"/>
        <v>IWT060149</v>
      </c>
      <c r="Q208" s="847">
        <v>0</v>
      </c>
      <c r="R208" s="847">
        <v>0</v>
      </c>
      <c r="S208" s="847">
        <v>0</v>
      </c>
      <c r="T208" s="847">
        <v>0</v>
      </c>
      <c r="U208" s="847">
        <v>0</v>
      </c>
      <c r="V208" s="847">
        <v>0</v>
      </c>
      <c r="W208" s="847">
        <v>0</v>
      </c>
      <c r="X208" s="847">
        <v>0</v>
      </c>
      <c r="Y208" s="847">
        <v>0</v>
      </c>
      <c r="Z208" s="847">
        <v>0</v>
      </c>
      <c r="AA208" s="847">
        <v>0</v>
      </c>
      <c r="AB208" s="847">
        <v>0</v>
      </c>
      <c r="AC208" s="847">
        <v>0</v>
      </c>
      <c r="AD208" s="847">
        <v>0</v>
      </c>
      <c r="AE208" s="847">
        <v>0</v>
      </c>
      <c r="AF208" s="847">
        <v>0</v>
      </c>
      <c r="AG208" s="847">
        <v>0</v>
      </c>
      <c r="AH208" s="847">
        <v>0</v>
      </c>
      <c r="AI208" s="847">
        <v>0</v>
      </c>
      <c r="AJ208" s="847">
        <v>0</v>
      </c>
      <c r="AK208" s="847">
        <v>0</v>
      </c>
      <c r="AL208" s="847">
        <v>0</v>
      </c>
      <c r="AM208" s="847">
        <v>0</v>
      </c>
      <c r="AN208" s="847">
        <v>0</v>
      </c>
      <c r="AO208" s="847">
        <v>0</v>
      </c>
      <c r="AP208" s="847">
        <v>0</v>
      </c>
      <c r="AQ208" s="847">
        <v>0</v>
      </c>
      <c r="AR208" s="847">
        <v>0</v>
      </c>
      <c r="AS208" s="847">
        <v>0</v>
      </c>
      <c r="AT208" s="847">
        <v>0</v>
      </c>
      <c r="AU208" s="847">
        <v>0</v>
      </c>
      <c r="AV208" s="847">
        <v>0</v>
      </c>
      <c r="AW208" s="847">
        <v>0</v>
      </c>
      <c r="AX208" s="847">
        <v>0</v>
      </c>
      <c r="AY208" s="847">
        <v>0</v>
      </c>
      <c r="AZ208" s="847">
        <v>0</v>
      </c>
      <c r="BA208" s="847">
        <v>0</v>
      </c>
      <c r="BB208" s="847">
        <v>0</v>
      </c>
      <c r="BC208" s="847">
        <v>0</v>
      </c>
      <c r="BD208" s="847">
        <v>0</v>
      </c>
      <c r="BE208" s="847">
        <v>0</v>
      </c>
      <c r="BF208" s="847">
        <v>0</v>
      </c>
      <c r="BG208" s="847">
        <v>0</v>
      </c>
      <c r="BH208" s="847">
        <v>0</v>
      </c>
      <c r="BI208" s="847">
        <v>0</v>
      </c>
      <c r="BJ208" s="847">
        <v>0</v>
      </c>
      <c r="BK208" s="847">
        <v>0</v>
      </c>
      <c r="BL208" s="847">
        <v>0</v>
      </c>
      <c r="BM208" s="847">
        <v>0</v>
      </c>
      <c r="BN208" s="847">
        <v>0</v>
      </c>
      <c r="BO208" s="847">
        <v>0</v>
      </c>
      <c r="BP208" s="847">
        <v>0</v>
      </c>
      <c r="BQ208" s="847">
        <v>0</v>
      </c>
      <c r="BR208" s="847">
        <v>0</v>
      </c>
      <c r="BS208" s="847">
        <v>0</v>
      </c>
      <c r="BT208" s="847">
        <v>0</v>
      </c>
      <c r="BU208" s="847">
        <v>0</v>
      </c>
      <c r="BV208" s="847">
        <v>0</v>
      </c>
      <c r="BW208" s="847">
        <v>0</v>
      </c>
      <c r="BX208" s="847">
        <v>0</v>
      </c>
      <c r="BY208" s="847">
        <v>0</v>
      </c>
      <c r="BZ208" s="847">
        <v>88400</v>
      </c>
      <c r="CA208" s="847">
        <v>0</v>
      </c>
      <c r="CB208" s="847">
        <v>0</v>
      </c>
      <c r="CC208" s="847">
        <v>0</v>
      </c>
      <c r="CD208" s="847">
        <v>0</v>
      </c>
      <c r="CE208" s="847">
        <v>0</v>
      </c>
      <c r="CF208" s="847">
        <v>0</v>
      </c>
      <c r="CG208" s="847">
        <v>0</v>
      </c>
      <c r="CH208" s="847">
        <v>0</v>
      </c>
      <c r="CI208" s="847">
        <v>0</v>
      </c>
      <c r="CJ208" s="847">
        <v>0</v>
      </c>
      <c r="CK208" s="847">
        <v>0</v>
      </c>
      <c r="CL208" s="847">
        <v>0</v>
      </c>
      <c r="CM208" s="847">
        <v>0</v>
      </c>
      <c r="CN208" s="847">
        <v>0</v>
      </c>
      <c r="CO208" s="847">
        <v>0</v>
      </c>
      <c r="CP208" s="847">
        <v>0</v>
      </c>
      <c r="CQ208" s="847">
        <v>0</v>
      </c>
      <c r="CR208" s="847">
        <v>0</v>
      </c>
      <c r="CS208" s="847">
        <v>0</v>
      </c>
      <c r="CT208" s="847">
        <v>0</v>
      </c>
      <c r="CU208" s="847">
        <v>0</v>
      </c>
      <c r="CV208" s="847">
        <v>0</v>
      </c>
      <c r="CW208" s="847">
        <v>0</v>
      </c>
      <c r="CX208" s="847">
        <v>0</v>
      </c>
      <c r="CY208" s="847">
        <v>0</v>
      </c>
      <c r="CZ208" s="847">
        <v>0</v>
      </c>
      <c r="DA208" s="847">
        <v>0</v>
      </c>
      <c r="DB208" s="847">
        <v>0</v>
      </c>
      <c r="DC208" s="847">
        <v>0</v>
      </c>
      <c r="DD208" s="847">
        <v>0</v>
      </c>
      <c r="DE208" s="847">
        <v>0</v>
      </c>
      <c r="DF208" s="847">
        <v>0</v>
      </c>
      <c r="DG208" s="847">
        <v>0</v>
      </c>
      <c r="DH208" s="847">
        <v>0</v>
      </c>
      <c r="DI208" s="847">
        <v>0</v>
      </c>
      <c r="DJ208" s="847">
        <v>0</v>
      </c>
      <c r="DK208" s="847">
        <v>0</v>
      </c>
      <c r="DL208" s="847">
        <v>0</v>
      </c>
      <c r="DM208" s="847">
        <v>0</v>
      </c>
      <c r="DN208" s="847">
        <v>0</v>
      </c>
      <c r="DO208" s="847">
        <v>0</v>
      </c>
      <c r="DP208" s="847">
        <v>0</v>
      </c>
      <c r="DQ208" s="847">
        <v>0</v>
      </c>
      <c r="DR208" s="847">
        <v>0</v>
      </c>
      <c r="DS208" s="847">
        <v>0</v>
      </c>
      <c r="DT208" s="847">
        <v>0</v>
      </c>
      <c r="DU208" s="847">
        <v>0</v>
      </c>
      <c r="DV208" s="847">
        <v>0</v>
      </c>
      <c r="DW208" s="847">
        <v>0</v>
      </c>
      <c r="DY208" s="843" t="s">
        <v>1060</v>
      </c>
      <c r="DZ208" s="843" t="s">
        <v>1382</v>
      </c>
      <c r="EA208" s="843" t="s">
        <v>96</v>
      </c>
      <c r="EB208" s="844">
        <v>49</v>
      </c>
      <c r="EC208" s="780" t="str">
        <f t="shared" si="7"/>
        <v>IWT060149</v>
      </c>
      <c r="ED208" s="844">
        <v>5372.1</v>
      </c>
      <c r="EE208" s="844">
        <v>10744.2</v>
      </c>
      <c r="EF208" s="844">
        <v>16116.2</v>
      </c>
      <c r="EG208" s="844">
        <v>21488.3</v>
      </c>
      <c r="EH208" s="844">
        <v>26860.400000000001</v>
      </c>
      <c r="EI208" s="844">
        <v>32232.5</v>
      </c>
      <c r="EJ208" s="844">
        <v>32232.5</v>
      </c>
      <c r="EK208" s="844">
        <v>32232.5</v>
      </c>
      <c r="EL208" s="844">
        <v>32232.5</v>
      </c>
      <c r="EM208" s="844">
        <v>32715</v>
      </c>
      <c r="EN208" s="844">
        <v>33370</v>
      </c>
      <c r="EO208" s="844">
        <v>34037</v>
      </c>
      <c r="EP208" s="844">
        <v>34718</v>
      </c>
      <c r="EQ208" s="844">
        <v>35412</v>
      </c>
      <c r="ER208" s="844">
        <v>36120</v>
      </c>
      <c r="ES208" s="844">
        <v>36843</v>
      </c>
      <c r="ET208" s="844">
        <v>37580</v>
      </c>
      <c r="EU208" s="844">
        <v>38331</v>
      </c>
      <c r="EV208" s="844">
        <v>39098</v>
      </c>
      <c r="EW208" s="844">
        <v>39880</v>
      </c>
      <c r="EX208" s="844">
        <v>40677</v>
      </c>
      <c r="EY208" s="844">
        <v>41491</v>
      </c>
      <c r="EZ208" s="844">
        <v>42320</v>
      </c>
      <c r="FA208" s="844">
        <v>43167</v>
      </c>
      <c r="FB208" s="844">
        <v>44030</v>
      </c>
      <c r="FC208" s="844">
        <v>44911</v>
      </c>
      <c r="FD208" s="844">
        <v>45809</v>
      </c>
      <c r="FE208" s="844">
        <v>46725</v>
      </c>
      <c r="FF208" s="844">
        <v>47659</v>
      </c>
      <c r="FG208" s="844">
        <v>48612</v>
      </c>
      <c r="FH208" s="844">
        <v>49584</v>
      </c>
      <c r="FI208" s="844">
        <v>50576</v>
      </c>
      <c r="FJ208" s="844">
        <v>51587</v>
      </c>
      <c r="FK208" s="844">
        <v>52619</v>
      </c>
      <c r="FL208" s="844">
        <v>53671</v>
      </c>
      <c r="FM208" s="844">
        <v>54744</v>
      </c>
      <c r="FN208" s="844">
        <v>55839</v>
      </c>
      <c r="FO208" s="844">
        <v>56955</v>
      </c>
      <c r="FP208" s="844">
        <v>58094</v>
      </c>
      <c r="FQ208" s="844">
        <v>59256</v>
      </c>
      <c r="FR208" s="844">
        <v>60440</v>
      </c>
      <c r="FS208" s="844">
        <v>61649</v>
      </c>
      <c r="FT208" s="844">
        <v>62881</v>
      </c>
      <c r="FU208" s="844">
        <v>64138</v>
      </c>
      <c r="FV208" s="844">
        <v>65420</v>
      </c>
      <c r="FW208" s="844">
        <v>66728</v>
      </c>
      <c r="FX208" s="844">
        <v>68061</v>
      </c>
      <c r="FY208" s="844">
        <v>69402</v>
      </c>
      <c r="FZ208" s="844">
        <v>70753</v>
      </c>
      <c r="GA208" s="844">
        <v>72112</v>
      </c>
      <c r="GB208" s="844">
        <v>73478</v>
      </c>
      <c r="GC208" s="844">
        <v>74852</v>
      </c>
      <c r="GD208" s="844">
        <v>76232</v>
      </c>
      <c r="GE208" s="844">
        <v>77617</v>
      </c>
      <c r="GF208" s="844">
        <v>79009</v>
      </c>
      <c r="GG208" s="844">
        <v>80405</v>
      </c>
      <c r="GH208" s="844">
        <v>81806</v>
      </c>
      <c r="GI208" s="844">
        <v>83212</v>
      </c>
      <c r="GJ208" s="844">
        <v>84625</v>
      </c>
      <c r="GK208" s="844">
        <v>86052</v>
      </c>
      <c r="GL208" s="844">
        <v>87529</v>
      </c>
      <c r="GM208" s="844">
        <v>88400</v>
      </c>
      <c r="GN208" s="844">
        <v>0</v>
      </c>
      <c r="GO208" s="844">
        <v>0</v>
      </c>
      <c r="GP208" s="844">
        <v>0</v>
      </c>
      <c r="GQ208" s="844">
        <v>0</v>
      </c>
      <c r="GR208" s="844">
        <v>0</v>
      </c>
      <c r="GS208" s="844">
        <v>0</v>
      </c>
      <c r="GT208" s="844">
        <v>0</v>
      </c>
      <c r="GU208" s="844">
        <v>0</v>
      </c>
      <c r="GV208" s="844">
        <v>0</v>
      </c>
      <c r="GW208" s="844">
        <v>0</v>
      </c>
      <c r="GX208" s="844">
        <v>0</v>
      </c>
      <c r="GY208" s="844">
        <v>0</v>
      </c>
      <c r="GZ208" s="844">
        <v>0</v>
      </c>
      <c r="HA208" s="844">
        <v>0</v>
      </c>
      <c r="HB208" s="844">
        <v>0</v>
      </c>
      <c r="HC208" s="844">
        <v>0</v>
      </c>
      <c r="HD208" s="844">
        <v>0</v>
      </c>
      <c r="HE208" s="844">
        <v>0</v>
      </c>
      <c r="HF208" s="844">
        <v>0</v>
      </c>
      <c r="HG208" s="844">
        <v>0</v>
      </c>
      <c r="HH208" s="844">
        <v>0</v>
      </c>
      <c r="HI208" s="844">
        <v>0</v>
      </c>
      <c r="HJ208" s="844">
        <v>0</v>
      </c>
      <c r="HK208" s="844">
        <v>0</v>
      </c>
      <c r="HL208" s="844">
        <v>0</v>
      </c>
      <c r="HM208" s="844">
        <v>0</v>
      </c>
      <c r="HN208" s="844">
        <v>0</v>
      </c>
      <c r="HO208" s="844">
        <v>0</v>
      </c>
      <c r="HP208" s="844">
        <v>0</v>
      </c>
      <c r="HQ208" s="844">
        <v>0</v>
      </c>
      <c r="HR208" s="844">
        <v>0</v>
      </c>
      <c r="HS208" s="844">
        <v>0</v>
      </c>
      <c r="HT208" s="844">
        <v>0</v>
      </c>
      <c r="HU208" s="844">
        <v>0</v>
      </c>
      <c r="HV208" s="844">
        <v>0</v>
      </c>
      <c r="HW208" s="844">
        <v>0</v>
      </c>
      <c r="HX208" s="844">
        <v>0</v>
      </c>
      <c r="HY208" s="844">
        <v>0</v>
      </c>
      <c r="HZ208" s="844">
        <v>0</v>
      </c>
      <c r="IA208" s="844">
        <v>0</v>
      </c>
      <c r="IB208" s="844">
        <v>0</v>
      </c>
      <c r="IC208" s="844">
        <v>0</v>
      </c>
      <c r="ID208" s="844">
        <v>0</v>
      </c>
      <c r="IE208" s="844">
        <v>0</v>
      </c>
      <c r="IF208" s="844">
        <v>0</v>
      </c>
      <c r="IG208" s="844">
        <v>0</v>
      </c>
      <c r="IH208" s="844">
        <v>0</v>
      </c>
      <c r="II208" s="844">
        <v>0</v>
      </c>
      <c r="IJ208" s="844">
        <v>0</v>
      </c>
    </row>
    <row r="209" spans="9:244" hidden="1">
      <c r="I209" s="156"/>
      <c r="L209" s="846" t="s">
        <v>1060</v>
      </c>
      <c r="M209" s="846" t="s">
        <v>1382</v>
      </c>
      <c r="N209" s="846" t="s">
        <v>96</v>
      </c>
      <c r="O209" s="847">
        <v>50</v>
      </c>
      <c r="P209" s="780" t="str">
        <f t="shared" si="6"/>
        <v>IWT060150</v>
      </c>
      <c r="Q209" s="847">
        <v>0</v>
      </c>
      <c r="R209" s="847">
        <v>0</v>
      </c>
      <c r="S209" s="847">
        <v>0</v>
      </c>
      <c r="T209" s="847">
        <v>0</v>
      </c>
      <c r="U209" s="847">
        <v>0</v>
      </c>
      <c r="V209" s="847">
        <v>0</v>
      </c>
      <c r="W209" s="847">
        <v>0</v>
      </c>
      <c r="X209" s="847">
        <v>0</v>
      </c>
      <c r="Y209" s="847">
        <v>0</v>
      </c>
      <c r="Z209" s="847">
        <v>0</v>
      </c>
      <c r="AA209" s="847">
        <v>0</v>
      </c>
      <c r="AB209" s="847">
        <v>0</v>
      </c>
      <c r="AC209" s="847">
        <v>0</v>
      </c>
      <c r="AD209" s="847">
        <v>0</v>
      </c>
      <c r="AE209" s="847">
        <v>0</v>
      </c>
      <c r="AF209" s="847">
        <v>0</v>
      </c>
      <c r="AG209" s="847">
        <v>0</v>
      </c>
      <c r="AH209" s="847">
        <v>0</v>
      </c>
      <c r="AI209" s="847">
        <v>0</v>
      </c>
      <c r="AJ209" s="847">
        <v>0</v>
      </c>
      <c r="AK209" s="847">
        <v>0</v>
      </c>
      <c r="AL209" s="847">
        <v>0</v>
      </c>
      <c r="AM209" s="847">
        <v>0</v>
      </c>
      <c r="AN209" s="847">
        <v>0</v>
      </c>
      <c r="AO209" s="847">
        <v>0</v>
      </c>
      <c r="AP209" s="847">
        <v>0</v>
      </c>
      <c r="AQ209" s="847">
        <v>0</v>
      </c>
      <c r="AR209" s="847">
        <v>0</v>
      </c>
      <c r="AS209" s="847">
        <v>0</v>
      </c>
      <c r="AT209" s="847">
        <v>0</v>
      </c>
      <c r="AU209" s="847">
        <v>0</v>
      </c>
      <c r="AV209" s="847">
        <v>0</v>
      </c>
      <c r="AW209" s="847">
        <v>0</v>
      </c>
      <c r="AX209" s="847">
        <v>0</v>
      </c>
      <c r="AY209" s="847">
        <v>0</v>
      </c>
      <c r="AZ209" s="847">
        <v>0</v>
      </c>
      <c r="BA209" s="847">
        <v>0</v>
      </c>
      <c r="BB209" s="847">
        <v>0</v>
      </c>
      <c r="BC209" s="847">
        <v>0</v>
      </c>
      <c r="BD209" s="847">
        <v>0</v>
      </c>
      <c r="BE209" s="847">
        <v>0</v>
      </c>
      <c r="BF209" s="847">
        <v>0</v>
      </c>
      <c r="BG209" s="847">
        <v>0</v>
      </c>
      <c r="BH209" s="847">
        <v>0</v>
      </c>
      <c r="BI209" s="847">
        <v>0</v>
      </c>
      <c r="BJ209" s="847">
        <v>0</v>
      </c>
      <c r="BK209" s="847">
        <v>0</v>
      </c>
      <c r="BL209" s="847">
        <v>0</v>
      </c>
      <c r="BM209" s="847">
        <v>0</v>
      </c>
      <c r="BN209" s="847">
        <v>0</v>
      </c>
      <c r="BO209" s="847">
        <v>0</v>
      </c>
      <c r="BP209" s="847">
        <v>0</v>
      </c>
      <c r="BQ209" s="847">
        <v>0</v>
      </c>
      <c r="BR209" s="847">
        <v>0</v>
      </c>
      <c r="BS209" s="847">
        <v>0</v>
      </c>
      <c r="BT209" s="847">
        <v>0</v>
      </c>
      <c r="BU209" s="847">
        <v>0</v>
      </c>
      <c r="BV209" s="847">
        <v>0</v>
      </c>
      <c r="BW209" s="847">
        <v>0</v>
      </c>
      <c r="BX209" s="847">
        <v>0</v>
      </c>
      <c r="BY209" s="847">
        <v>87000</v>
      </c>
      <c r="BZ209" s="847">
        <v>0</v>
      </c>
      <c r="CA209" s="847">
        <v>0</v>
      </c>
      <c r="CB209" s="847">
        <v>0</v>
      </c>
      <c r="CC209" s="847">
        <v>0</v>
      </c>
      <c r="CD209" s="847">
        <v>0</v>
      </c>
      <c r="CE209" s="847">
        <v>0</v>
      </c>
      <c r="CF209" s="847">
        <v>0</v>
      </c>
      <c r="CG209" s="847">
        <v>0</v>
      </c>
      <c r="CH209" s="847">
        <v>0</v>
      </c>
      <c r="CI209" s="847">
        <v>0</v>
      </c>
      <c r="CJ209" s="847">
        <v>0</v>
      </c>
      <c r="CK209" s="847">
        <v>0</v>
      </c>
      <c r="CL209" s="847">
        <v>0</v>
      </c>
      <c r="CM209" s="847">
        <v>0</v>
      </c>
      <c r="CN209" s="847">
        <v>0</v>
      </c>
      <c r="CO209" s="847">
        <v>0</v>
      </c>
      <c r="CP209" s="847">
        <v>0</v>
      </c>
      <c r="CQ209" s="847">
        <v>0</v>
      </c>
      <c r="CR209" s="847">
        <v>0</v>
      </c>
      <c r="CS209" s="847">
        <v>0</v>
      </c>
      <c r="CT209" s="847">
        <v>0</v>
      </c>
      <c r="CU209" s="847">
        <v>0</v>
      </c>
      <c r="CV209" s="847">
        <v>0</v>
      </c>
      <c r="CW209" s="847">
        <v>0</v>
      </c>
      <c r="CX209" s="847">
        <v>0</v>
      </c>
      <c r="CY209" s="847">
        <v>0</v>
      </c>
      <c r="CZ209" s="847">
        <v>0</v>
      </c>
      <c r="DA209" s="847">
        <v>0</v>
      </c>
      <c r="DB209" s="847">
        <v>0</v>
      </c>
      <c r="DC209" s="847">
        <v>0</v>
      </c>
      <c r="DD209" s="847">
        <v>0</v>
      </c>
      <c r="DE209" s="847">
        <v>0</v>
      </c>
      <c r="DF209" s="847">
        <v>0</v>
      </c>
      <c r="DG209" s="847">
        <v>0</v>
      </c>
      <c r="DH209" s="847">
        <v>0</v>
      </c>
      <c r="DI209" s="847">
        <v>0</v>
      </c>
      <c r="DJ209" s="847">
        <v>0</v>
      </c>
      <c r="DK209" s="847">
        <v>0</v>
      </c>
      <c r="DL209" s="847">
        <v>0</v>
      </c>
      <c r="DM209" s="847">
        <v>0</v>
      </c>
      <c r="DN209" s="847">
        <v>0</v>
      </c>
      <c r="DO209" s="847">
        <v>0</v>
      </c>
      <c r="DP209" s="847">
        <v>0</v>
      </c>
      <c r="DQ209" s="847">
        <v>0</v>
      </c>
      <c r="DR209" s="847">
        <v>0</v>
      </c>
      <c r="DS209" s="847">
        <v>0</v>
      </c>
      <c r="DT209" s="847">
        <v>0</v>
      </c>
      <c r="DU209" s="847">
        <v>0</v>
      </c>
      <c r="DV209" s="847">
        <v>0</v>
      </c>
      <c r="DW209" s="847">
        <v>0</v>
      </c>
      <c r="DY209" s="843" t="s">
        <v>1060</v>
      </c>
      <c r="DZ209" s="843" t="s">
        <v>1382</v>
      </c>
      <c r="EA209" s="843" t="s">
        <v>96</v>
      </c>
      <c r="EB209" s="844">
        <v>50</v>
      </c>
      <c r="EC209" s="780" t="str">
        <f t="shared" si="7"/>
        <v>IWT060150</v>
      </c>
      <c r="ED209" s="844">
        <v>5374.2</v>
      </c>
      <c r="EE209" s="844">
        <v>10748.4</v>
      </c>
      <c r="EF209" s="844">
        <v>16122.6</v>
      </c>
      <c r="EG209" s="844">
        <v>21496.799999999999</v>
      </c>
      <c r="EH209" s="844">
        <v>26871</v>
      </c>
      <c r="EI209" s="844">
        <v>32245.200000000001</v>
      </c>
      <c r="EJ209" s="844">
        <v>32245.200000000001</v>
      </c>
      <c r="EK209" s="844">
        <v>32245.200000000001</v>
      </c>
      <c r="EL209" s="844">
        <v>32245.200000000001</v>
      </c>
      <c r="EM209" s="844">
        <v>32722</v>
      </c>
      <c r="EN209" s="844">
        <v>33377</v>
      </c>
      <c r="EO209" s="844">
        <v>34044</v>
      </c>
      <c r="EP209" s="844">
        <v>34725</v>
      </c>
      <c r="EQ209" s="844">
        <v>35420</v>
      </c>
      <c r="ER209" s="844">
        <v>36128</v>
      </c>
      <c r="ES209" s="844">
        <v>36851</v>
      </c>
      <c r="ET209" s="844">
        <v>37587</v>
      </c>
      <c r="EU209" s="844">
        <v>38339</v>
      </c>
      <c r="EV209" s="844">
        <v>39106</v>
      </c>
      <c r="EW209" s="844">
        <v>39888</v>
      </c>
      <c r="EX209" s="844">
        <v>40686</v>
      </c>
      <c r="EY209" s="844">
        <v>41499</v>
      </c>
      <c r="EZ209" s="844">
        <v>42329</v>
      </c>
      <c r="FA209" s="844">
        <v>43176</v>
      </c>
      <c r="FB209" s="844">
        <v>44039</v>
      </c>
      <c r="FC209" s="844">
        <v>44920</v>
      </c>
      <c r="FD209" s="844">
        <v>45818</v>
      </c>
      <c r="FE209" s="844">
        <v>46735</v>
      </c>
      <c r="FF209" s="844">
        <v>47669</v>
      </c>
      <c r="FG209" s="844">
        <v>48622</v>
      </c>
      <c r="FH209" s="844">
        <v>49595</v>
      </c>
      <c r="FI209" s="844">
        <v>50586</v>
      </c>
      <c r="FJ209" s="844">
        <v>51598</v>
      </c>
      <c r="FK209" s="844">
        <v>52630</v>
      </c>
      <c r="FL209" s="844">
        <v>53682</v>
      </c>
      <c r="FM209" s="844">
        <v>54755</v>
      </c>
      <c r="FN209" s="844">
        <v>55850</v>
      </c>
      <c r="FO209" s="844">
        <v>56967</v>
      </c>
      <c r="FP209" s="844">
        <v>58106</v>
      </c>
      <c r="FQ209" s="844">
        <v>59268</v>
      </c>
      <c r="FR209" s="844">
        <v>60453</v>
      </c>
      <c r="FS209" s="844">
        <v>61661</v>
      </c>
      <c r="FT209" s="844">
        <v>62894</v>
      </c>
      <c r="FU209" s="844">
        <v>64151</v>
      </c>
      <c r="FV209" s="844">
        <v>65433</v>
      </c>
      <c r="FW209" s="844">
        <v>66741</v>
      </c>
      <c r="FX209" s="844">
        <v>68075</v>
      </c>
      <c r="FY209" s="844">
        <v>69420</v>
      </c>
      <c r="FZ209" s="844">
        <v>70774</v>
      </c>
      <c r="GA209" s="844">
        <v>72135</v>
      </c>
      <c r="GB209" s="844">
        <v>73504</v>
      </c>
      <c r="GC209" s="844">
        <v>74880</v>
      </c>
      <c r="GD209" s="844">
        <v>76261</v>
      </c>
      <c r="GE209" s="844">
        <v>77648</v>
      </c>
      <c r="GF209" s="844">
        <v>79041</v>
      </c>
      <c r="GG209" s="844">
        <v>80438</v>
      </c>
      <c r="GH209" s="844">
        <v>81841</v>
      </c>
      <c r="GI209" s="844">
        <v>83250</v>
      </c>
      <c r="GJ209" s="844">
        <v>84673</v>
      </c>
      <c r="GK209" s="844">
        <v>86143</v>
      </c>
      <c r="GL209" s="844">
        <v>87000</v>
      </c>
      <c r="GM209" s="844">
        <v>0</v>
      </c>
      <c r="GN209" s="844">
        <v>0</v>
      </c>
      <c r="GO209" s="844">
        <v>0</v>
      </c>
      <c r="GP209" s="844">
        <v>0</v>
      </c>
      <c r="GQ209" s="844">
        <v>0</v>
      </c>
      <c r="GR209" s="844">
        <v>0</v>
      </c>
      <c r="GS209" s="844">
        <v>0</v>
      </c>
      <c r="GT209" s="844">
        <v>0</v>
      </c>
      <c r="GU209" s="844">
        <v>0</v>
      </c>
      <c r="GV209" s="844">
        <v>0</v>
      </c>
      <c r="GW209" s="844">
        <v>0</v>
      </c>
      <c r="GX209" s="844">
        <v>0</v>
      </c>
      <c r="GY209" s="844">
        <v>0</v>
      </c>
      <c r="GZ209" s="844">
        <v>0</v>
      </c>
      <c r="HA209" s="844">
        <v>0</v>
      </c>
      <c r="HB209" s="844">
        <v>0</v>
      </c>
      <c r="HC209" s="844">
        <v>0</v>
      </c>
      <c r="HD209" s="844">
        <v>0</v>
      </c>
      <c r="HE209" s="844">
        <v>0</v>
      </c>
      <c r="HF209" s="844">
        <v>0</v>
      </c>
      <c r="HG209" s="844">
        <v>0</v>
      </c>
      <c r="HH209" s="844">
        <v>0</v>
      </c>
      <c r="HI209" s="844">
        <v>0</v>
      </c>
      <c r="HJ209" s="844">
        <v>0</v>
      </c>
      <c r="HK209" s="844">
        <v>0</v>
      </c>
      <c r="HL209" s="844">
        <v>0</v>
      </c>
      <c r="HM209" s="844">
        <v>0</v>
      </c>
      <c r="HN209" s="844">
        <v>0</v>
      </c>
      <c r="HO209" s="844">
        <v>0</v>
      </c>
      <c r="HP209" s="844">
        <v>0</v>
      </c>
      <c r="HQ209" s="844">
        <v>0</v>
      </c>
      <c r="HR209" s="844">
        <v>0</v>
      </c>
      <c r="HS209" s="844">
        <v>0</v>
      </c>
      <c r="HT209" s="844">
        <v>0</v>
      </c>
      <c r="HU209" s="844">
        <v>0</v>
      </c>
      <c r="HV209" s="844">
        <v>0</v>
      </c>
      <c r="HW209" s="844">
        <v>0</v>
      </c>
      <c r="HX209" s="844">
        <v>0</v>
      </c>
      <c r="HY209" s="844">
        <v>0</v>
      </c>
      <c r="HZ209" s="844">
        <v>0</v>
      </c>
      <c r="IA209" s="844">
        <v>0</v>
      </c>
      <c r="IB209" s="844">
        <v>0</v>
      </c>
      <c r="IC209" s="844">
        <v>0</v>
      </c>
      <c r="ID209" s="844">
        <v>0</v>
      </c>
      <c r="IE209" s="844">
        <v>0</v>
      </c>
      <c r="IF209" s="844">
        <v>0</v>
      </c>
      <c r="IG209" s="844">
        <v>0</v>
      </c>
      <c r="IH209" s="844">
        <v>0</v>
      </c>
      <c r="II209" s="844">
        <v>0</v>
      </c>
      <c r="IJ209" s="844">
        <v>0</v>
      </c>
    </row>
    <row r="210" spans="9:244" hidden="1">
      <c r="I210" s="156"/>
      <c r="L210" s="846" t="s">
        <v>1060</v>
      </c>
      <c r="M210" s="846" t="s">
        <v>1382</v>
      </c>
      <c r="N210" s="846" t="s">
        <v>96</v>
      </c>
      <c r="O210" s="847">
        <v>51</v>
      </c>
      <c r="P210" s="780" t="str">
        <f t="shared" si="6"/>
        <v>IWT060151</v>
      </c>
      <c r="Q210" s="847">
        <v>0</v>
      </c>
      <c r="R210" s="847">
        <v>0</v>
      </c>
      <c r="S210" s="847">
        <v>0</v>
      </c>
      <c r="T210" s="847">
        <v>0</v>
      </c>
      <c r="U210" s="847">
        <v>0</v>
      </c>
      <c r="V210" s="847">
        <v>0</v>
      </c>
      <c r="W210" s="847">
        <v>0</v>
      </c>
      <c r="X210" s="847">
        <v>0</v>
      </c>
      <c r="Y210" s="847">
        <v>0</v>
      </c>
      <c r="Z210" s="847">
        <v>0</v>
      </c>
      <c r="AA210" s="847">
        <v>0</v>
      </c>
      <c r="AB210" s="847">
        <v>0</v>
      </c>
      <c r="AC210" s="847">
        <v>0</v>
      </c>
      <c r="AD210" s="847">
        <v>0</v>
      </c>
      <c r="AE210" s="847">
        <v>0</v>
      </c>
      <c r="AF210" s="847">
        <v>0</v>
      </c>
      <c r="AG210" s="847">
        <v>0</v>
      </c>
      <c r="AH210" s="847">
        <v>0</v>
      </c>
      <c r="AI210" s="847">
        <v>0</v>
      </c>
      <c r="AJ210" s="847">
        <v>0</v>
      </c>
      <c r="AK210" s="847">
        <v>0</v>
      </c>
      <c r="AL210" s="847">
        <v>0</v>
      </c>
      <c r="AM210" s="847">
        <v>0</v>
      </c>
      <c r="AN210" s="847">
        <v>0</v>
      </c>
      <c r="AO210" s="847">
        <v>0</v>
      </c>
      <c r="AP210" s="847">
        <v>0</v>
      </c>
      <c r="AQ210" s="847">
        <v>0</v>
      </c>
      <c r="AR210" s="847">
        <v>0</v>
      </c>
      <c r="AS210" s="847">
        <v>0</v>
      </c>
      <c r="AT210" s="847">
        <v>0</v>
      </c>
      <c r="AU210" s="847">
        <v>0</v>
      </c>
      <c r="AV210" s="847">
        <v>0</v>
      </c>
      <c r="AW210" s="847">
        <v>0</v>
      </c>
      <c r="AX210" s="847">
        <v>0</v>
      </c>
      <c r="AY210" s="847">
        <v>0</v>
      </c>
      <c r="AZ210" s="847">
        <v>0</v>
      </c>
      <c r="BA210" s="847">
        <v>0</v>
      </c>
      <c r="BB210" s="847">
        <v>0</v>
      </c>
      <c r="BC210" s="847">
        <v>0</v>
      </c>
      <c r="BD210" s="847">
        <v>0</v>
      </c>
      <c r="BE210" s="847">
        <v>0</v>
      </c>
      <c r="BF210" s="847">
        <v>0</v>
      </c>
      <c r="BG210" s="847">
        <v>0</v>
      </c>
      <c r="BH210" s="847">
        <v>0</v>
      </c>
      <c r="BI210" s="847">
        <v>0</v>
      </c>
      <c r="BJ210" s="847">
        <v>0</v>
      </c>
      <c r="BK210" s="847">
        <v>0</v>
      </c>
      <c r="BL210" s="847">
        <v>0</v>
      </c>
      <c r="BM210" s="847">
        <v>0</v>
      </c>
      <c r="BN210" s="847">
        <v>0</v>
      </c>
      <c r="BO210" s="847">
        <v>0</v>
      </c>
      <c r="BP210" s="847">
        <v>0</v>
      </c>
      <c r="BQ210" s="847">
        <v>0</v>
      </c>
      <c r="BR210" s="847">
        <v>0</v>
      </c>
      <c r="BS210" s="847">
        <v>0</v>
      </c>
      <c r="BT210" s="847">
        <v>0</v>
      </c>
      <c r="BU210" s="847">
        <v>0</v>
      </c>
      <c r="BV210" s="847">
        <v>0</v>
      </c>
      <c r="BW210" s="847">
        <v>0</v>
      </c>
      <c r="BX210" s="847">
        <v>85600</v>
      </c>
      <c r="BY210" s="847">
        <v>0</v>
      </c>
      <c r="BZ210" s="847">
        <v>0</v>
      </c>
      <c r="CA210" s="847">
        <v>0</v>
      </c>
      <c r="CB210" s="847">
        <v>0</v>
      </c>
      <c r="CC210" s="847">
        <v>0</v>
      </c>
      <c r="CD210" s="847">
        <v>0</v>
      </c>
      <c r="CE210" s="847">
        <v>0</v>
      </c>
      <c r="CF210" s="847">
        <v>0</v>
      </c>
      <c r="CG210" s="847">
        <v>0</v>
      </c>
      <c r="CH210" s="847">
        <v>0</v>
      </c>
      <c r="CI210" s="847">
        <v>0</v>
      </c>
      <c r="CJ210" s="847">
        <v>0</v>
      </c>
      <c r="CK210" s="847">
        <v>0</v>
      </c>
      <c r="CL210" s="847">
        <v>0</v>
      </c>
      <c r="CM210" s="847">
        <v>0</v>
      </c>
      <c r="CN210" s="847">
        <v>0</v>
      </c>
      <c r="CO210" s="847">
        <v>0</v>
      </c>
      <c r="CP210" s="847">
        <v>0</v>
      </c>
      <c r="CQ210" s="847">
        <v>0</v>
      </c>
      <c r="CR210" s="847">
        <v>0</v>
      </c>
      <c r="CS210" s="847">
        <v>0</v>
      </c>
      <c r="CT210" s="847">
        <v>0</v>
      </c>
      <c r="CU210" s="847">
        <v>0</v>
      </c>
      <c r="CV210" s="847">
        <v>0</v>
      </c>
      <c r="CW210" s="847">
        <v>0</v>
      </c>
      <c r="CX210" s="847">
        <v>0</v>
      </c>
      <c r="CY210" s="847">
        <v>0</v>
      </c>
      <c r="CZ210" s="847">
        <v>0</v>
      </c>
      <c r="DA210" s="847">
        <v>0</v>
      </c>
      <c r="DB210" s="847">
        <v>0</v>
      </c>
      <c r="DC210" s="847">
        <v>0</v>
      </c>
      <c r="DD210" s="847">
        <v>0</v>
      </c>
      <c r="DE210" s="847">
        <v>0</v>
      </c>
      <c r="DF210" s="847">
        <v>0</v>
      </c>
      <c r="DG210" s="847">
        <v>0</v>
      </c>
      <c r="DH210" s="847">
        <v>0</v>
      </c>
      <c r="DI210" s="847">
        <v>0</v>
      </c>
      <c r="DJ210" s="847">
        <v>0</v>
      </c>
      <c r="DK210" s="847">
        <v>0</v>
      </c>
      <c r="DL210" s="847">
        <v>0</v>
      </c>
      <c r="DM210" s="847">
        <v>0</v>
      </c>
      <c r="DN210" s="847">
        <v>0</v>
      </c>
      <c r="DO210" s="847">
        <v>0</v>
      </c>
      <c r="DP210" s="847">
        <v>0</v>
      </c>
      <c r="DQ210" s="847">
        <v>0</v>
      </c>
      <c r="DR210" s="847">
        <v>0</v>
      </c>
      <c r="DS210" s="847">
        <v>0</v>
      </c>
      <c r="DT210" s="847">
        <v>0</v>
      </c>
      <c r="DU210" s="847">
        <v>0</v>
      </c>
      <c r="DV210" s="847">
        <v>0</v>
      </c>
      <c r="DW210" s="847">
        <v>0</v>
      </c>
      <c r="DY210" s="843" t="s">
        <v>1060</v>
      </c>
      <c r="DZ210" s="843" t="s">
        <v>1382</v>
      </c>
      <c r="EA210" s="843" t="s">
        <v>96</v>
      </c>
      <c r="EB210" s="844">
        <v>51</v>
      </c>
      <c r="EC210" s="780" t="str">
        <f t="shared" si="7"/>
        <v>IWT060151</v>
      </c>
      <c r="ED210" s="844">
        <v>5377.4</v>
      </c>
      <c r="EE210" s="844">
        <v>10754.8</v>
      </c>
      <c r="EF210" s="844">
        <v>16132.1</v>
      </c>
      <c r="EG210" s="844">
        <v>21509.5</v>
      </c>
      <c r="EH210" s="844">
        <v>26886.9</v>
      </c>
      <c r="EI210" s="844">
        <v>32264.3</v>
      </c>
      <c r="EJ210" s="844">
        <v>32264.3</v>
      </c>
      <c r="EK210" s="844">
        <v>32264.3</v>
      </c>
      <c r="EL210" s="844">
        <v>32264.3</v>
      </c>
      <c r="EM210" s="844">
        <v>32729</v>
      </c>
      <c r="EN210" s="844">
        <v>33383</v>
      </c>
      <c r="EO210" s="844">
        <v>34051</v>
      </c>
      <c r="EP210" s="844">
        <v>34732</v>
      </c>
      <c r="EQ210" s="844">
        <v>35427</v>
      </c>
      <c r="ER210" s="844">
        <v>36135</v>
      </c>
      <c r="ES210" s="844">
        <v>36858</v>
      </c>
      <c r="ET210" s="844">
        <v>37595</v>
      </c>
      <c r="EU210" s="844">
        <v>38347</v>
      </c>
      <c r="EV210" s="844">
        <v>39114</v>
      </c>
      <c r="EW210" s="844">
        <v>39896</v>
      </c>
      <c r="EX210" s="844">
        <v>40694</v>
      </c>
      <c r="EY210" s="844">
        <v>41508</v>
      </c>
      <c r="EZ210" s="844">
        <v>42338</v>
      </c>
      <c r="FA210" s="844">
        <v>43184</v>
      </c>
      <c r="FB210" s="844">
        <v>44048</v>
      </c>
      <c r="FC210" s="844">
        <v>44929</v>
      </c>
      <c r="FD210" s="844">
        <v>45827</v>
      </c>
      <c r="FE210" s="844">
        <v>46744</v>
      </c>
      <c r="FF210" s="844">
        <v>47678</v>
      </c>
      <c r="FG210" s="844">
        <v>48632</v>
      </c>
      <c r="FH210" s="844">
        <v>49604</v>
      </c>
      <c r="FI210" s="844">
        <v>50596</v>
      </c>
      <c r="FJ210" s="844">
        <v>51608</v>
      </c>
      <c r="FK210" s="844">
        <v>52640</v>
      </c>
      <c r="FL210" s="844">
        <v>53693</v>
      </c>
      <c r="FM210" s="844">
        <v>54766</v>
      </c>
      <c r="FN210" s="844">
        <v>55861</v>
      </c>
      <c r="FO210" s="844">
        <v>56978</v>
      </c>
      <c r="FP210" s="844">
        <v>58117</v>
      </c>
      <c r="FQ210" s="844">
        <v>59279</v>
      </c>
      <c r="FR210" s="844">
        <v>60464</v>
      </c>
      <c r="FS210" s="844">
        <v>61673</v>
      </c>
      <c r="FT210" s="844">
        <v>62906</v>
      </c>
      <c r="FU210" s="844">
        <v>64163</v>
      </c>
      <c r="FV210" s="844">
        <v>65446</v>
      </c>
      <c r="FW210" s="844">
        <v>66754</v>
      </c>
      <c r="FX210" s="844">
        <v>68088</v>
      </c>
      <c r="FY210" s="844">
        <v>69436</v>
      </c>
      <c r="FZ210" s="844">
        <v>70793</v>
      </c>
      <c r="GA210" s="844">
        <v>72157</v>
      </c>
      <c r="GB210" s="844">
        <v>73527</v>
      </c>
      <c r="GC210" s="844">
        <v>74905</v>
      </c>
      <c r="GD210" s="844">
        <v>76288</v>
      </c>
      <c r="GE210" s="844">
        <v>77677</v>
      </c>
      <c r="GF210" s="844">
        <v>79071</v>
      </c>
      <c r="GG210" s="844">
        <v>80470</v>
      </c>
      <c r="GH210" s="844">
        <v>81876</v>
      </c>
      <c r="GI210" s="844">
        <v>83294</v>
      </c>
      <c r="GJ210" s="844">
        <v>84757</v>
      </c>
      <c r="GK210" s="844">
        <v>85600</v>
      </c>
      <c r="GL210" s="844">
        <v>0</v>
      </c>
      <c r="GM210" s="844">
        <v>0</v>
      </c>
      <c r="GN210" s="844">
        <v>0</v>
      </c>
      <c r="GO210" s="844">
        <v>0</v>
      </c>
      <c r="GP210" s="844">
        <v>0</v>
      </c>
      <c r="GQ210" s="844">
        <v>0</v>
      </c>
      <c r="GR210" s="844">
        <v>0</v>
      </c>
      <c r="GS210" s="844">
        <v>0</v>
      </c>
      <c r="GT210" s="844">
        <v>0</v>
      </c>
      <c r="GU210" s="844">
        <v>0</v>
      </c>
      <c r="GV210" s="844">
        <v>0</v>
      </c>
      <c r="GW210" s="844">
        <v>0</v>
      </c>
      <c r="GX210" s="844">
        <v>0</v>
      </c>
      <c r="GY210" s="844">
        <v>0</v>
      </c>
      <c r="GZ210" s="844">
        <v>0</v>
      </c>
      <c r="HA210" s="844">
        <v>0</v>
      </c>
      <c r="HB210" s="844">
        <v>0</v>
      </c>
      <c r="HC210" s="844">
        <v>0</v>
      </c>
      <c r="HD210" s="844">
        <v>0</v>
      </c>
      <c r="HE210" s="844">
        <v>0</v>
      </c>
      <c r="HF210" s="844">
        <v>0</v>
      </c>
      <c r="HG210" s="844">
        <v>0</v>
      </c>
      <c r="HH210" s="844">
        <v>0</v>
      </c>
      <c r="HI210" s="844">
        <v>0</v>
      </c>
      <c r="HJ210" s="844">
        <v>0</v>
      </c>
      <c r="HK210" s="844">
        <v>0</v>
      </c>
      <c r="HL210" s="844">
        <v>0</v>
      </c>
      <c r="HM210" s="844">
        <v>0</v>
      </c>
      <c r="HN210" s="844">
        <v>0</v>
      </c>
      <c r="HO210" s="844">
        <v>0</v>
      </c>
      <c r="HP210" s="844">
        <v>0</v>
      </c>
      <c r="HQ210" s="844">
        <v>0</v>
      </c>
      <c r="HR210" s="844">
        <v>0</v>
      </c>
      <c r="HS210" s="844">
        <v>0</v>
      </c>
      <c r="HT210" s="844">
        <v>0</v>
      </c>
      <c r="HU210" s="844">
        <v>0</v>
      </c>
      <c r="HV210" s="844">
        <v>0</v>
      </c>
      <c r="HW210" s="844">
        <v>0</v>
      </c>
      <c r="HX210" s="844">
        <v>0</v>
      </c>
      <c r="HY210" s="844">
        <v>0</v>
      </c>
      <c r="HZ210" s="844">
        <v>0</v>
      </c>
      <c r="IA210" s="844">
        <v>0</v>
      </c>
      <c r="IB210" s="844">
        <v>0</v>
      </c>
      <c r="IC210" s="844">
        <v>0</v>
      </c>
      <c r="ID210" s="844">
        <v>0</v>
      </c>
      <c r="IE210" s="844">
        <v>0</v>
      </c>
      <c r="IF210" s="844">
        <v>0</v>
      </c>
      <c r="IG210" s="844">
        <v>0</v>
      </c>
      <c r="IH210" s="844">
        <v>0</v>
      </c>
      <c r="II210" s="844">
        <v>0</v>
      </c>
      <c r="IJ210" s="844">
        <v>0</v>
      </c>
    </row>
    <row r="211" spans="9:244" hidden="1">
      <c r="I211" s="156"/>
      <c r="L211" s="846" t="s">
        <v>1060</v>
      </c>
      <c r="M211" s="846" t="s">
        <v>1382</v>
      </c>
      <c r="N211" s="846" t="s">
        <v>96</v>
      </c>
      <c r="O211" s="847">
        <v>52</v>
      </c>
      <c r="P211" s="780" t="str">
        <f t="shared" si="6"/>
        <v>IWT060152</v>
      </c>
      <c r="Q211" s="847">
        <v>0</v>
      </c>
      <c r="R211" s="847">
        <v>0</v>
      </c>
      <c r="S211" s="847">
        <v>0</v>
      </c>
      <c r="T211" s="847">
        <v>0</v>
      </c>
      <c r="U211" s="847">
        <v>0</v>
      </c>
      <c r="V211" s="847">
        <v>0</v>
      </c>
      <c r="W211" s="847">
        <v>0</v>
      </c>
      <c r="X211" s="847">
        <v>0</v>
      </c>
      <c r="Y211" s="847">
        <v>0</v>
      </c>
      <c r="Z211" s="847">
        <v>0</v>
      </c>
      <c r="AA211" s="847">
        <v>0</v>
      </c>
      <c r="AB211" s="847">
        <v>0</v>
      </c>
      <c r="AC211" s="847">
        <v>0</v>
      </c>
      <c r="AD211" s="847">
        <v>0</v>
      </c>
      <c r="AE211" s="847">
        <v>0</v>
      </c>
      <c r="AF211" s="847">
        <v>0</v>
      </c>
      <c r="AG211" s="847">
        <v>0</v>
      </c>
      <c r="AH211" s="847">
        <v>0</v>
      </c>
      <c r="AI211" s="847">
        <v>0</v>
      </c>
      <c r="AJ211" s="847">
        <v>0</v>
      </c>
      <c r="AK211" s="847">
        <v>0</v>
      </c>
      <c r="AL211" s="847">
        <v>0</v>
      </c>
      <c r="AM211" s="847">
        <v>0</v>
      </c>
      <c r="AN211" s="847">
        <v>0</v>
      </c>
      <c r="AO211" s="847">
        <v>0</v>
      </c>
      <c r="AP211" s="847">
        <v>0</v>
      </c>
      <c r="AQ211" s="847">
        <v>0</v>
      </c>
      <c r="AR211" s="847">
        <v>0</v>
      </c>
      <c r="AS211" s="847">
        <v>0</v>
      </c>
      <c r="AT211" s="847">
        <v>0</v>
      </c>
      <c r="AU211" s="847">
        <v>0</v>
      </c>
      <c r="AV211" s="847">
        <v>0</v>
      </c>
      <c r="AW211" s="847">
        <v>0</v>
      </c>
      <c r="AX211" s="847">
        <v>0</v>
      </c>
      <c r="AY211" s="847">
        <v>0</v>
      </c>
      <c r="AZ211" s="847">
        <v>0</v>
      </c>
      <c r="BA211" s="847">
        <v>0</v>
      </c>
      <c r="BB211" s="847">
        <v>0</v>
      </c>
      <c r="BC211" s="847">
        <v>0</v>
      </c>
      <c r="BD211" s="847">
        <v>0</v>
      </c>
      <c r="BE211" s="847">
        <v>0</v>
      </c>
      <c r="BF211" s="847">
        <v>0</v>
      </c>
      <c r="BG211" s="847">
        <v>0</v>
      </c>
      <c r="BH211" s="847">
        <v>0</v>
      </c>
      <c r="BI211" s="847">
        <v>0</v>
      </c>
      <c r="BJ211" s="847">
        <v>0</v>
      </c>
      <c r="BK211" s="847">
        <v>0</v>
      </c>
      <c r="BL211" s="847">
        <v>0</v>
      </c>
      <c r="BM211" s="847">
        <v>0</v>
      </c>
      <c r="BN211" s="847">
        <v>0</v>
      </c>
      <c r="BO211" s="847">
        <v>0</v>
      </c>
      <c r="BP211" s="847">
        <v>0</v>
      </c>
      <c r="BQ211" s="847">
        <v>0</v>
      </c>
      <c r="BR211" s="847">
        <v>0</v>
      </c>
      <c r="BS211" s="847">
        <v>0</v>
      </c>
      <c r="BT211" s="847">
        <v>0</v>
      </c>
      <c r="BU211" s="847">
        <v>0</v>
      </c>
      <c r="BV211" s="847">
        <v>0</v>
      </c>
      <c r="BW211" s="847">
        <v>84200</v>
      </c>
      <c r="BX211" s="847">
        <v>0</v>
      </c>
      <c r="BY211" s="847">
        <v>0</v>
      </c>
      <c r="BZ211" s="847">
        <v>0</v>
      </c>
      <c r="CA211" s="847">
        <v>0</v>
      </c>
      <c r="CB211" s="847">
        <v>0</v>
      </c>
      <c r="CC211" s="847">
        <v>0</v>
      </c>
      <c r="CD211" s="847">
        <v>0</v>
      </c>
      <c r="CE211" s="847">
        <v>0</v>
      </c>
      <c r="CF211" s="847">
        <v>0</v>
      </c>
      <c r="CG211" s="847">
        <v>0</v>
      </c>
      <c r="CH211" s="847">
        <v>0</v>
      </c>
      <c r="CI211" s="847">
        <v>0</v>
      </c>
      <c r="CJ211" s="847">
        <v>0</v>
      </c>
      <c r="CK211" s="847">
        <v>0</v>
      </c>
      <c r="CL211" s="847">
        <v>0</v>
      </c>
      <c r="CM211" s="847">
        <v>0</v>
      </c>
      <c r="CN211" s="847">
        <v>0</v>
      </c>
      <c r="CO211" s="847">
        <v>0</v>
      </c>
      <c r="CP211" s="847">
        <v>0</v>
      </c>
      <c r="CQ211" s="847">
        <v>0</v>
      </c>
      <c r="CR211" s="847">
        <v>0</v>
      </c>
      <c r="CS211" s="847">
        <v>0</v>
      </c>
      <c r="CT211" s="847">
        <v>0</v>
      </c>
      <c r="CU211" s="847">
        <v>0</v>
      </c>
      <c r="CV211" s="847">
        <v>0</v>
      </c>
      <c r="CW211" s="847">
        <v>0</v>
      </c>
      <c r="CX211" s="847">
        <v>0</v>
      </c>
      <c r="CY211" s="847">
        <v>0</v>
      </c>
      <c r="CZ211" s="847">
        <v>0</v>
      </c>
      <c r="DA211" s="847">
        <v>0</v>
      </c>
      <c r="DB211" s="847">
        <v>0</v>
      </c>
      <c r="DC211" s="847">
        <v>0</v>
      </c>
      <c r="DD211" s="847">
        <v>0</v>
      </c>
      <c r="DE211" s="847">
        <v>0</v>
      </c>
      <c r="DF211" s="847">
        <v>0</v>
      </c>
      <c r="DG211" s="847">
        <v>0</v>
      </c>
      <c r="DH211" s="847">
        <v>0</v>
      </c>
      <c r="DI211" s="847">
        <v>0</v>
      </c>
      <c r="DJ211" s="847">
        <v>0</v>
      </c>
      <c r="DK211" s="847">
        <v>0</v>
      </c>
      <c r="DL211" s="847">
        <v>0</v>
      </c>
      <c r="DM211" s="847">
        <v>0</v>
      </c>
      <c r="DN211" s="847">
        <v>0</v>
      </c>
      <c r="DO211" s="847">
        <v>0</v>
      </c>
      <c r="DP211" s="847">
        <v>0</v>
      </c>
      <c r="DQ211" s="847">
        <v>0</v>
      </c>
      <c r="DR211" s="847">
        <v>0</v>
      </c>
      <c r="DS211" s="847">
        <v>0</v>
      </c>
      <c r="DT211" s="847">
        <v>0</v>
      </c>
      <c r="DU211" s="847">
        <v>0</v>
      </c>
      <c r="DV211" s="847">
        <v>0</v>
      </c>
      <c r="DW211" s="847">
        <v>0</v>
      </c>
      <c r="DY211" s="843" t="s">
        <v>1060</v>
      </c>
      <c r="DZ211" s="843" t="s">
        <v>1382</v>
      </c>
      <c r="EA211" s="843" t="s">
        <v>96</v>
      </c>
      <c r="EB211" s="844">
        <v>52</v>
      </c>
      <c r="EC211" s="780" t="str">
        <f t="shared" si="7"/>
        <v>IWT060152</v>
      </c>
      <c r="ED211" s="844">
        <v>5379.5</v>
      </c>
      <c r="EE211" s="844">
        <v>10759</v>
      </c>
      <c r="EF211" s="844">
        <v>16138.5</v>
      </c>
      <c r="EG211" s="844">
        <v>21518</v>
      </c>
      <c r="EH211" s="844">
        <v>26897.5</v>
      </c>
      <c r="EI211" s="844">
        <v>32277</v>
      </c>
      <c r="EJ211" s="844">
        <v>32277</v>
      </c>
      <c r="EK211" s="844">
        <v>32277</v>
      </c>
      <c r="EL211" s="844">
        <v>32277</v>
      </c>
      <c r="EM211" s="844">
        <v>32735</v>
      </c>
      <c r="EN211" s="844">
        <v>33389</v>
      </c>
      <c r="EO211" s="844">
        <v>34057</v>
      </c>
      <c r="EP211" s="844">
        <v>34738</v>
      </c>
      <c r="EQ211" s="844">
        <v>35433</v>
      </c>
      <c r="ER211" s="844">
        <v>36141</v>
      </c>
      <c r="ES211" s="844">
        <v>36864</v>
      </c>
      <c r="ET211" s="844">
        <v>37601</v>
      </c>
      <c r="EU211" s="844">
        <v>38353</v>
      </c>
      <c r="EV211" s="844">
        <v>39120</v>
      </c>
      <c r="EW211" s="844">
        <v>39903</v>
      </c>
      <c r="EX211" s="844">
        <v>40701</v>
      </c>
      <c r="EY211" s="844">
        <v>41515</v>
      </c>
      <c r="EZ211" s="844">
        <v>42345</v>
      </c>
      <c r="FA211" s="844">
        <v>43192</v>
      </c>
      <c r="FB211" s="844">
        <v>44056</v>
      </c>
      <c r="FC211" s="844">
        <v>44937</v>
      </c>
      <c r="FD211" s="844">
        <v>45835</v>
      </c>
      <c r="FE211" s="844">
        <v>46752</v>
      </c>
      <c r="FF211" s="844">
        <v>47687</v>
      </c>
      <c r="FG211" s="844">
        <v>48640</v>
      </c>
      <c r="FH211" s="844">
        <v>49613</v>
      </c>
      <c r="FI211" s="844">
        <v>50605</v>
      </c>
      <c r="FJ211" s="844">
        <v>51617</v>
      </c>
      <c r="FK211" s="844">
        <v>52649</v>
      </c>
      <c r="FL211" s="844">
        <v>53701</v>
      </c>
      <c r="FM211" s="844">
        <v>54775</v>
      </c>
      <c r="FN211" s="844">
        <v>55870</v>
      </c>
      <c r="FO211" s="844">
        <v>56987</v>
      </c>
      <c r="FP211" s="844">
        <v>58127</v>
      </c>
      <c r="FQ211" s="844">
        <v>59289</v>
      </c>
      <c r="FR211" s="844">
        <v>60474</v>
      </c>
      <c r="FS211" s="844">
        <v>61683</v>
      </c>
      <c r="FT211" s="844">
        <v>62916</v>
      </c>
      <c r="FU211" s="844">
        <v>64173</v>
      </c>
      <c r="FV211" s="844">
        <v>65456</v>
      </c>
      <c r="FW211" s="844">
        <v>66764</v>
      </c>
      <c r="FX211" s="844">
        <v>68098</v>
      </c>
      <c r="FY211" s="844">
        <v>69450</v>
      </c>
      <c r="FZ211" s="844">
        <v>70809</v>
      </c>
      <c r="GA211" s="844">
        <v>72175</v>
      </c>
      <c r="GB211" s="844">
        <v>73548</v>
      </c>
      <c r="GC211" s="844">
        <v>74928</v>
      </c>
      <c r="GD211" s="844">
        <v>76313</v>
      </c>
      <c r="GE211" s="844">
        <v>77703</v>
      </c>
      <c r="GF211" s="844">
        <v>79099</v>
      </c>
      <c r="GG211" s="844">
        <v>80501</v>
      </c>
      <c r="GH211" s="844">
        <v>81916</v>
      </c>
      <c r="GI211" s="844">
        <v>83370</v>
      </c>
      <c r="GJ211" s="844">
        <v>84200</v>
      </c>
      <c r="GK211" s="844">
        <v>0</v>
      </c>
      <c r="GL211" s="844">
        <v>0</v>
      </c>
      <c r="GM211" s="844">
        <v>0</v>
      </c>
      <c r="GN211" s="844">
        <v>0</v>
      </c>
      <c r="GO211" s="844">
        <v>0</v>
      </c>
      <c r="GP211" s="844">
        <v>0</v>
      </c>
      <c r="GQ211" s="844">
        <v>0</v>
      </c>
      <c r="GR211" s="844">
        <v>0</v>
      </c>
      <c r="GS211" s="844">
        <v>0</v>
      </c>
      <c r="GT211" s="844">
        <v>0</v>
      </c>
      <c r="GU211" s="844">
        <v>0</v>
      </c>
      <c r="GV211" s="844">
        <v>0</v>
      </c>
      <c r="GW211" s="844">
        <v>0</v>
      </c>
      <c r="GX211" s="844">
        <v>0</v>
      </c>
      <c r="GY211" s="844">
        <v>0</v>
      </c>
      <c r="GZ211" s="844">
        <v>0</v>
      </c>
      <c r="HA211" s="844">
        <v>0</v>
      </c>
      <c r="HB211" s="844">
        <v>0</v>
      </c>
      <c r="HC211" s="844">
        <v>0</v>
      </c>
      <c r="HD211" s="844">
        <v>0</v>
      </c>
      <c r="HE211" s="844">
        <v>0</v>
      </c>
      <c r="HF211" s="844">
        <v>0</v>
      </c>
      <c r="HG211" s="844">
        <v>0</v>
      </c>
      <c r="HH211" s="844">
        <v>0</v>
      </c>
      <c r="HI211" s="844">
        <v>0</v>
      </c>
      <c r="HJ211" s="844">
        <v>0</v>
      </c>
      <c r="HK211" s="844">
        <v>0</v>
      </c>
      <c r="HL211" s="844">
        <v>0</v>
      </c>
      <c r="HM211" s="844">
        <v>0</v>
      </c>
      <c r="HN211" s="844">
        <v>0</v>
      </c>
      <c r="HO211" s="844">
        <v>0</v>
      </c>
      <c r="HP211" s="844">
        <v>0</v>
      </c>
      <c r="HQ211" s="844">
        <v>0</v>
      </c>
      <c r="HR211" s="844">
        <v>0</v>
      </c>
      <c r="HS211" s="844">
        <v>0</v>
      </c>
      <c r="HT211" s="844">
        <v>0</v>
      </c>
      <c r="HU211" s="844">
        <v>0</v>
      </c>
      <c r="HV211" s="844">
        <v>0</v>
      </c>
      <c r="HW211" s="844">
        <v>0</v>
      </c>
      <c r="HX211" s="844">
        <v>0</v>
      </c>
      <c r="HY211" s="844">
        <v>0</v>
      </c>
      <c r="HZ211" s="844">
        <v>0</v>
      </c>
      <c r="IA211" s="844">
        <v>0</v>
      </c>
      <c r="IB211" s="844">
        <v>0</v>
      </c>
      <c r="IC211" s="844">
        <v>0</v>
      </c>
      <c r="ID211" s="844">
        <v>0</v>
      </c>
      <c r="IE211" s="844">
        <v>0</v>
      </c>
      <c r="IF211" s="844">
        <v>0</v>
      </c>
      <c r="IG211" s="844">
        <v>0</v>
      </c>
      <c r="IH211" s="844">
        <v>0</v>
      </c>
      <c r="II211" s="844">
        <v>0</v>
      </c>
      <c r="IJ211" s="844">
        <v>0</v>
      </c>
    </row>
    <row r="212" spans="9:244" hidden="1">
      <c r="I212" s="156"/>
      <c r="L212" s="846" t="s">
        <v>1060</v>
      </c>
      <c r="M212" s="846" t="s">
        <v>1382</v>
      </c>
      <c r="N212" s="846" t="s">
        <v>96</v>
      </c>
      <c r="O212" s="847">
        <v>53</v>
      </c>
      <c r="P212" s="780" t="str">
        <f t="shared" si="6"/>
        <v>IWT060153</v>
      </c>
      <c r="Q212" s="847">
        <v>0</v>
      </c>
      <c r="R212" s="847">
        <v>0</v>
      </c>
      <c r="S212" s="847">
        <v>0</v>
      </c>
      <c r="T212" s="847">
        <v>0</v>
      </c>
      <c r="U212" s="847">
        <v>0</v>
      </c>
      <c r="V212" s="847">
        <v>0</v>
      </c>
      <c r="W212" s="847">
        <v>0</v>
      </c>
      <c r="X212" s="847">
        <v>0</v>
      </c>
      <c r="Y212" s="847">
        <v>0</v>
      </c>
      <c r="Z212" s="847">
        <v>0</v>
      </c>
      <c r="AA212" s="847">
        <v>0</v>
      </c>
      <c r="AB212" s="847">
        <v>0</v>
      </c>
      <c r="AC212" s="847">
        <v>0</v>
      </c>
      <c r="AD212" s="847">
        <v>0</v>
      </c>
      <c r="AE212" s="847">
        <v>0</v>
      </c>
      <c r="AF212" s="847">
        <v>0</v>
      </c>
      <c r="AG212" s="847">
        <v>0</v>
      </c>
      <c r="AH212" s="847">
        <v>0</v>
      </c>
      <c r="AI212" s="847">
        <v>0</v>
      </c>
      <c r="AJ212" s="847">
        <v>0</v>
      </c>
      <c r="AK212" s="847">
        <v>0</v>
      </c>
      <c r="AL212" s="847">
        <v>0</v>
      </c>
      <c r="AM212" s="847">
        <v>0</v>
      </c>
      <c r="AN212" s="847">
        <v>0</v>
      </c>
      <c r="AO212" s="847">
        <v>0</v>
      </c>
      <c r="AP212" s="847">
        <v>0</v>
      </c>
      <c r="AQ212" s="847">
        <v>0</v>
      </c>
      <c r="AR212" s="847">
        <v>0</v>
      </c>
      <c r="AS212" s="847">
        <v>0</v>
      </c>
      <c r="AT212" s="847">
        <v>0</v>
      </c>
      <c r="AU212" s="847">
        <v>0</v>
      </c>
      <c r="AV212" s="847">
        <v>0</v>
      </c>
      <c r="AW212" s="847">
        <v>0</v>
      </c>
      <c r="AX212" s="847">
        <v>0</v>
      </c>
      <c r="AY212" s="847">
        <v>0</v>
      </c>
      <c r="AZ212" s="847">
        <v>0</v>
      </c>
      <c r="BA212" s="847">
        <v>0</v>
      </c>
      <c r="BB212" s="847">
        <v>0</v>
      </c>
      <c r="BC212" s="847">
        <v>0</v>
      </c>
      <c r="BD212" s="847">
        <v>0</v>
      </c>
      <c r="BE212" s="847">
        <v>0</v>
      </c>
      <c r="BF212" s="847">
        <v>0</v>
      </c>
      <c r="BG212" s="847">
        <v>0</v>
      </c>
      <c r="BH212" s="847">
        <v>0</v>
      </c>
      <c r="BI212" s="847">
        <v>0</v>
      </c>
      <c r="BJ212" s="847">
        <v>0</v>
      </c>
      <c r="BK212" s="847">
        <v>0</v>
      </c>
      <c r="BL212" s="847">
        <v>0</v>
      </c>
      <c r="BM212" s="847">
        <v>0</v>
      </c>
      <c r="BN212" s="847">
        <v>0</v>
      </c>
      <c r="BO212" s="847">
        <v>0</v>
      </c>
      <c r="BP212" s="847">
        <v>0</v>
      </c>
      <c r="BQ212" s="847">
        <v>0</v>
      </c>
      <c r="BR212" s="847">
        <v>0</v>
      </c>
      <c r="BS212" s="847">
        <v>0</v>
      </c>
      <c r="BT212" s="847">
        <v>0</v>
      </c>
      <c r="BU212" s="847">
        <v>0</v>
      </c>
      <c r="BV212" s="847">
        <v>82800</v>
      </c>
      <c r="BW212" s="847">
        <v>0</v>
      </c>
      <c r="BX212" s="847">
        <v>0</v>
      </c>
      <c r="BY212" s="847">
        <v>0</v>
      </c>
      <c r="BZ212" s="847">
        <v>0</v>
      </c>
      <c r="CA212" s="847">
        <v>0</v>
      </c>
      <c r="CB212" s="847">
        <v>0</v>
      </c>
      <c r="CC212" s="847">
        <v>0</v>
      </c>
      <c r="CD212" s="847">
        <v>0</v>
      </c>
      <c r="CE212" s="847">
        <v>0</v>
      </c>
      <c r="CF212" s="847">
        <v>0</v>
      </c>
      <c r="CG212" s="847">
        <v>0</v>
      </c>
      <c r="CH212" s="847">
        <v>0</v>
      </c>
      <c r="CI212" s="847">
        <v>0</v>
      </c>
      <c r="CJ212" s="847">
        <v>0</v>
      </c>
      <c r="CK212" s="847">
        <v>0</v>
      </c>
      <c r="CL212" s="847">
        <v>0</v>
      </c>
      <c r="CM212" s="847">
        <v>0</v>
      </c>
      <c r="CN212" s="847">
        <v>0</v>
      </c>
      <c r="CO212" s="847">
        <v>0</v>
      </c>
      <c r="CP212" s="847">
        <v>0</v>
      </c>
      <c r="CQ212" s="847">
        <v>0</v>
      </c>
      <c r="CR212" s="847">
        <v>0</v>
      </c>
      <c r="CS212" s="847">
        <v>0</v>
      </c>
      <c r="CT212" s="847">
        <v>0</v>
      </c>
      <c r="CU212" s="847">
        <v>0</v>
      </c>
      <c r="CV212" s="847">
        <v>0</v>
      </c>
      <c r="CW212" s="847">
        <v>0</v>
      </c>
      <c r="CX212" s="847">
        <v>0</v>
      </c>
      <c r="CY212" s="847">
        <v>0</v>
      </c>
      <c r="CZ212" s="847">
        <v>0</v>
      </c>
      <c r="DA212" s="847">
        <v>0</v>
      </c>
      <c r="DB212" s="847">
        <v>0</v>
      </c>
      <c r="DC212" s="847">
        <v>0</v>
      </c>
      <c r="DD212" s="847">
        <v>0</v>
      </c>
      <c r="DE212" s="847">
        <v>0</v>
      </c>
      <c r="DF212" s="847">
        <v>0</v>
      </c>
      <c r="DG212" s="847">
        <v>0</v>
      </c>
      <c r="DH212" s="847">
        <v>0</v>
      </c>
      <c r="DI212" s="847">
        <v>0</v>
      </c>
      <c r="DJ212" s="847">
        <v>0</v>
      </c>
      <c r="DK212" s="847">
        <v>0</v>
      </c>
      <c r="DL212" s="847">
        <v>0</v>
      </c>
      <c r="DM212" s="847">
        <v>0</v>
      </c>
      <c r="DN212" s="847">
        <v>0</v>
      </c>
      <c r="DO212" s="847">
        <v>0</v>
      </c>
      <c r="DP212" s="847">
        <v>0</v>
      </c>
      <c r="DQ212" s="847">
        <v>0</v>
      </c>
      <c r="DR212" s="847">
        <v>0</v>
      </c>
      <c r="DS212" s="847">
        <v>0</v>
      </c>
      <c r="DT212" s="847">
        <v>0</v>
      </c>
      <c r="DU212" s="847">
        <v>0</v>
      </c>
      <c r="DV212" s="847">
        <v>0</v>
      </c>
      <c r="DW212" s="847">
        <v>0</v>
      </c>
      <c r="DY212" s="843" t="s">
        <v>1060</v>
      </c>
      <c r="DZ212" s="843" t="s">
        <v>1382</v>
      </c>
      <c r="EA212" s="843" t="s">
        <v>96</v>
      </c>
      <c r="EB212" s="844">
        <v>53</v>
      </c>
      <c r="EC212" s="780" t="str">
        <f t="shared" si="7"/>
        <v>IWT060153</v>
      </c>
      <c r="ED212" s="844">
        <v>5381.6</v>
      </c>
      <c r="EE212" s="844">
        <v>10763.2</v>
      </c>
      <c r="EF212" s="844">
        <v>16144.9</v>
      </c>
      <c r="EG212" s="844">
        <v>21526.5</v>
      </c>
      <c r="EH212" s="844">
        <v>26908.1</v>
      </c>
      <c r="EI212" s="844">
        <v>32289.7</v>
      </c>
      <c r="EJ212" s="844">
        <v>32289.7</v>
      </c>
      <c r="EK212" s="844">
        <v>32289.7</v>
      </c>
      <c r="EL212" s="844">
        <v>32289.7</v>
      </c>
      <c r="EM212" s="844">
        <v>32739</v>
      </c>
      <c r="EN212" s="844">
        <v>33394</v>
      </c>
      <c r="EO212" s="844">
        <v>34062</v>
      </c>
      <c r="EP212" s="844">
        <v>34743</v>
      </c>
      <c r="EQ212" s="844">
        <v>35438</v>
      </c>
      <c r="ER212" s="844">
        <v>36147</v>
      </c>
      <c r="ES212" s="844">
        <v>36870</v>
      </c>
      <c r="ET212" s="844">
        <v>37607</v>
      </c>
      <c r="EU212" s="844">
        <v>38359</v>
      </c>
      <c r="EV212" s="844">
        <v>39126</v>
      </c>
      <c r="EW212" s="844">
        <v>39909</v>
      </c>
      <c r="EX212" s="844">
        <v>40707</v>
      </c>
      <c r="EY212" s="844">
        <v>41521</v>
      </c>
      <c r="EZ212" s="844">
        <v>42351</v>
      </c>
      <c r="FA212" s="844">
        <v>43198</v>
      </c>
      <c r="FB212" s="844">
        <v>44062</v>
      </c>
      <c r="FC212" s="844">
        <v>44943</v>
      </c>
      <c r="FD212" s="844">
        <v>45842</v>
      </c>
      <c r="FE212" s="844">
        <v>46758</v>
      </c>
      <c r="FF212" s="844">
        <v>47693</v>
      </c>
      <c r="FG212" s="844">
        <v>48647</v>
      </c>
      <c r="FH212" s="844">
        <v>49620</v>
      </c>
      <c r="FI212" s="844">
        <v>50612</v>
      </c>
      <c r="FJ212" s="844">
        <v>51624</v>
      </c>
      <c r="FK212" s="844">
        <v>52656</v>
      </c>
      <c r="FL212" s="844">
        <v>53709</v>
      </c>
      <c r="FM212" s="844">
        <v>54783</v>
      </c>
      <c r="FN212" s="844">
        <v>55878</v>
      </c>
      <c r="FO212" s="844">
        <v>56995</v>
      </c>
      <c r="FP212" s="844">
        <v>58135</v>
      </c>
      <c r="FQ212" s="844">
        <v>59297</v>
      </c>
      <c r="FR212" s="844">
        <v>60482</v>
      </c>
      <c r="FS212" s="844">
        <v>61691</v>
      </c>
      <c r="FT212" s="844">
        <v>62924</v>
      </c>
      <c r="FU212" s="844">
        <v>64182</v>
      </c>
      <c r="FV212" s="844">
        <v>65464</v>
      </c>
      <c r="FW212" s="844">
        <v>66773</v>
      </c>
      <c r="FX212" s="844">
        <v>68107</v>
      </c>
      <c r="FY212" s="844">
        <v>69461</v>
      </c>
      <c r="FZ212" s="844">
        <v>70823</v>
      </c>
      <c r="GA212" s="844">
        <v>72192</v>
      </c>
      <c r="GB212" s="844">
        <v>73567</v>
      </c>
      <c r="GC212" s="844">
        <v>74949</v>
      </c>
      <c r="GD212" s="844">
        <v>76335</v>
      </c>
      <c r="GE212" s="844">
        <v>77728</v>
      </c>
      <c r="GF212" s="844">
        <v>79126</v>
      </c>
      <c r="GG212" s="844">
        <v>80537</v>
      </c>
      <c r="GH212" s="844">
        <v>81984</v>
      </c>
      <c r="GI212" s="844">
        <v>82800</v>
      </c>
      <c r="GJ212" s="844">
        <v>0</v>
      </c>
      <c r="GK212" s="844">
        <v>0</v>
      </c>
      <c r="GL212" s="844">
        <v>0</v>
      </c>
      <c r="GM212" s="844">
        <v>0</v>
      </c>
      <c r="GN212" s="844">
        <v>0</v>
      </c>
      <c r="GO212" s="844">
        <v>0</v>
      </c>
      <c r="GP212" s="844">
        <v>0</v>
      </c>
      <c r="GQ212" s="844">
        <v>0</v>
      </c>
      <c r="GR212" s="844">
        <v>0</v>
      </c>
      <c r="GS212" s="844">
        <v>0</v>
      </c>
      <c r="GT212" s="844">
        <v>0</v>
      </c>
      <c r="GU212" s="844">
        <v>0</v>
      </c>
      <c r="GV212" s="844">
        <v>0</v>
      </c>
      <c r="GW212" s="844">
        <v>0</v>
      </c>
      <c r="GX212" s="844">
        <v>0</v>
      </c>
      <c r="GY212" s="844">
        <v>0</v>
      </c>
      <c r="GZ212" s="844">
        <v>0</v>
      </c>
      <c r="HA212" s="844">
        <v>0</v>
      </c>
      <c r="HB212" s="844">
        <v>0</v>
      </c>
      <c r="HC212" s="844">
        <v>0</v>
      </c>
      <c r="HD212" s="844">
        <v>0</v>
      </c>
      <c r="HE212" s="844">
        <v>0</v>
      </c>
      <c r="HF212" s="844">
        <v>0</v>
      </c>
      <c r="HG212" s="844">
        <v>0</v>
      </c>
      <c r="HH212" s="844">
        <v>0</v>
      </c>
      <c r="HI212" s="844">
        <v>0</v>
      </c>
      <c r="HJ212" s="844">
        <v>0</v>
      </c>
      <c r="HK212" s="844">
        <v>0</v>
      </c>
      <c r="HL212" s="844">
        <v>0</v>
      </c>
      <c r="HM212" s="844">
        <v>0</v>
      </c>
      <c r="HN212" s="844">
        <v>0</v>
      </c>
      <c r="HO212" s="844">
        <v>0</v>
      </c>
      <c r="HP212" s="844">
        <v>0</v>
      </c>
      <c r="HQ212" s="844">
        <v>0</v>
      </c>
      <c r="HR212" s="844">
        <v>0</v>
      </c>
      <c r="HS212" s="844">
        <v>0</v>
      </c>
      <c r="HT212" s="844">
        <v>0</v>
      </c>
      <c r="HU212" s="844">
        <v>0</v>
      </c>
      <c r="HV212" s="844">
        <v>0</v>
      </c>
      <c r="HW212" s="844">
        <v>0</v>
      </c>
      <c r="HX212" s="844">
        <v>0</v>
      </c>
      <c r="HY212" s="844">
        <v>0</v>
      </c>
      <c r="HZ212" s="844">
        <v>0</v>
      </c>
      <c r="IA212" s="844">
        <v>0</v>
      </c>
      <c r="IB212" s="844">
        <v>0</v>
      </c>
      <c r="IC212" s="844">
        <v>0</v>
      </c>
      <c r="ID212" s="844">
        <v>0</v>
      </c>
      <c r="IE212" s="844">
        <v>0</v>
      </c>
      <c r="IF212" s="844">
        <v>0</v>
      </c>
      <c r="IG212" s="844">
        <v>0</v>
      </c>
      <c r="IH212" s="844">
        <v>0</v>
      </c>
      <c r="II212" s="844">
        <v>0</v>
      </c>
      <c r="IJ212" s="844">
        <v>0</v>
      </c>
    </row>
    <row r="213" spans="9:244" hidden="1">
      <c r="I213" s="156"/>
      <c r="L213" s="846" t="s">
        <v>1060</v>
      </c>
      <c r="M213" s="846" t="s">
        <v>1382</v>
      </c>
      <c r="N213" s="846" t="s">
        <v>96</v>
      </c>
      <c r="O213" s="847">
        <v>54</v>
      </c>
      <c r="P213" s="780" t="str">
        <f t="shared" si="6"/>
        <v>IWT060154</v>
      </c>
      <c r="Q213" s="847">
        <v>0</v>
      </c>
      <c r="R213" s="847">
        <v>0</v>
      </c>
      <c r="S213" s="847">
        <v>0</v>
      </c>
      <c r="T213" s="847">
        <v>0</v>
      </c>
      <c r="U213" s="847">
        <v>0</v>
      </c>
      <c r="V213" s="847">
        <v>0</v>
      </c>
      <c r="W213" s="847">
        <v>0</v>
      </c>
      <c r="X213" s="847">
        <v>0</v>
      </c>
      <c r="Y213" s="847">
        <v>0</v>
      </c>
      <c r="Z213" s="847">
        <v>0</v>
      </c>
      <c r="AA213" s="847">
        <v>0</v>
      </c>
      <c r="AB213" s="847">
        <v>0</v>
      </c>
      <c r="AC213" s="847">
        <v>0</v>
      </c>
      <c r="AD213" s="847">
        <v>0</v>
      </c>
      <c r="AE213" s="847">
        <v>0</v>
      </c>
      <c r="AF213" s="847">
        <v>0</v>
      </c>
      <c r="AG213" s="847">
        <v>0</v>
      </c>
      <c r="AH213" s="847">
        <v>0</v>
      </c>
      <c r="AI213" s="847">
        <v>0</v>
      </c>
      <c r="AJ213" s="847">
        <v>0</v>
      </c>
      <c r="AK213" s="847">
        <v>0</v>
      </c>
      <c r="AL213" s="847">
        <v>0</v>
      </c>
      <c r="AM213" s="847">
        <v>0</v>
      </c>
      <c r="AN213" s="847">
        <v>0</v>
      </c>
      <c r="AO213" s="847">
        <v>0</v>
      </c>
      <c r="AP213" s="847">
        <v>0</v>
      </c>
      <c r="AQ213" s="847">
        <v>0</v>
      </c>
      <c r="AR213" s="847">
        <v>0</v>
      </c>
      <c r="AS213" s="847">
        <v>0</v>
      </c>
      <c r="AT213" s="847">
        <v>0</v>
      </c>
      <c r="AU213" s="847">
        <v>0</v>
      </c>
      <c r="AV213" s="847">
        <v>0</v>
      </c>
      <c r="AW213" s="847">
        <v>0</v>
      </c>
      <c r="AX213" s="847">
        <v>0</v>
      </c>
      <c r="AY213" s="847">
        <v>0</v>
      </c>
      <c r="AZ213" s="847">
        <v>0</v>
      </c>
      <c r="BA213" s="847">
        <v>0</v>
      </c>
      <c r="BB213" s="847">
        <v>0</v>
      </c>
      <c r="BC213" s="847">
        <v>0</v>
      </c>
      <c r="BD213" s="847">
        <v>0</v>
      </c>
      <c r="BE213" s="847">
        <v>0</v>
      </c>
      <c r="BF213" s="847">
        <v>0</v>
      </c>
      <c r="BG213" s="847">
        <v>0</v>
      </c>
      <c r="BH213" s="847">
        <v>0</v>
      </c>
      <c r="BI213" s="847">
        <v>0</v>
      </c>
      <c r="BJ213" s="847">
        <v>0</v>
      </c>
      <c r="BK213" s="847">
        <v>0</v>
      </c>
      <c r="BL213" s="847">
        <v>0</v>
      </c>
      <c r="BM213" s="847">
        <v>0</v>
      </c>
      <c r="BN213" s="847">
        <v>0</v>
      </c>
      <c r="BO213" s="847">
        <v>0</v>
      </c>
      <c r="BP213" s="847">
        <v>0</v>
      </c>
      <c r="BQ213" s="847">
        <v>0</v>
      </c>
      <c r="BR213" s="847">
        <v>0</v>
      </c>
      <c r="BS213" s="847">
        <v>0</v>
      </c>
      <c r="BT213" s="847">
        <v>0</v>
      </c>
      <c r="BU213" s="847">
        <v>81400</v>
      </c>
      <c r="BV213" s="847">
        <v>0</v>
      </c>
      <c r="BW213" s="847">
        <v>0</v>
      </c>
      <c r="BX213" s="847">
        <v>0</v>
      </c>
      <c r="BY213" s="847">
        <v>0</v>
      </c>
      <c r="BZ213" s="847">
        <v>0</v>
      </c>
      <c r="CA213" s="847">
        <v>0</v>
      </c>
      <c r="CB213" s="847">
        <v>0</v>
      </c>
      <c r="CC213" s="847">
        <v>0</v>
      </c>
      <c r="CD213" s="847">
        <v>0</v>
      </c>
      <c r="CE213" s="847">
        <v>0</v>
      </c>
      <c r="CF213" s="847">
        <v>0</v>
      </c>
      <c r="CG213" s="847">
        <v>0</v>
      </c>
      <c r="CH213" s="847">
        <v>0</v>
      </c>
      <c r="CI213" s="847">
        <v>0</v>
      </c>
      <c r="CJ213" s="847">
        <v>0</v>
      </c>
      <c r="CK213" s="847">
        <v>0</v>
      </c>
      <c r="CL213" s="847">
        <v>0</v>
      </c>
      <c r="CM213" s="847">
        <v>0</v>
      </c>
      <c r="CN213" s="847">
        <v>0</v>
      </c>
      <c r="CO213" s="847">
        <v>0</v>
      </c>
      <c r="CP213" s="847">
        <v>0</v>
      </c>
      <c r="CQ213" s="847">
        <v>0</v>
      </c>
      <c r="CR213" s="847">
        <v>0</v>
      </c>
      <c r="CS213" s="847">
        <v>0</v>
      </c>
      <c r="CT213" s="847">
        <v>0</v>
      </c>
      <c r="CU213" s="847">
        <v>0</v>
      </c>
      <c r="CV213" s="847">
        <v>0</v>
      </c>
      <c r="CW213" s="847">
        <v>0</v>
      </c>
      <c r="CX213" s="847">
        <v>0</v>
      </c>
      <c r="CY213" s="847">
        <v>0</v>
      </c>
      <c r="CZ213" s="847">
        <v>0</v>
      </c>
      <c r="DA213" s="847">
        <v>0</v>
      </c>
      <c r="DB213" s="847">
        <v>0</v>
      </c>
      <c r="DC213" s="847">
        <v>0</v>
      </c>
      <c r="DD213" s="847">
        <v>0</v>
      </c>
      <c r="DE213" s="847">
        <v>0</v>
      </c>
      <c r="DF213" s="847">
        <v>0</v>
      </c>
      <c r="DG213" s="847">
        <v>0</v>
      </c>
      <c r="DH213" s="847">
        <v>0</v>
      </c>
      <c r="DI213" s="847">
        <v>0</v>
      </c>
      <c r="DJ213" s="847">
        <v>0</v>
      </c>
      <c r="DK213" s="847">
        <v>0</v>
      </c>
      <c r="DL213" s="847">
        <v>0</v>
      </c>
      <c r="DM213" s="847">
        <v>0</v>
      </c>
      <c r="DN213" s="847">
        <v>0</v>
      </c>
      <c r="DO213" s="847">
        <v>0</v>
      </c>
      <c r="DP213" s="847">
        <v>0</v>
      </c>
      <c r="DQ213" s="847">
        <v>0</v>
      </c>
      <c r="DR213" s="847">
        <v>0</v>
      </c>
      <c r="DS213" s="847">
        <v>0</v>
      </c>
      <c r="DT213" s="847">
        <v>0</v>
      </c>
      <c r="DU213" s="847">
        <v>0</v>
      </c>
      <c r="DV213" s="847">
        <v>0</v>
      </c>
      <c r="DW213" s="847">
        <v>0</v>
      </c>
      <c r="DY213" s="843" t="s">
        <v>1060</v>
      </c>
      <c r="DZ213" s="843" t="s">
        <v>1382</v>
      </c>
      <c r="EA213" s="843" t="s">
        <v>96</v>
      </c>
      <c r="EB213" s="844">
        <v>54</v>
      </c>
      <c r="EC213" s="780" t="str">
        <f t="shared" si="7"/>
        <v>IWT060154</v>
      </c>
      <c r="ED213" s="844">
        <v>5383.7</v>
      </c>
      <c r="EE213" s="844">
        <v>10767.5</v>
      </c>
      <c r="EF213" s="844">
        <v>16151.2</v>
      </c>
      <c r="EG213" s="844">
        <v>21535</v>
      </c>
      <c r="EH213" s="844">
        <v>26918.7</v>
      </c>
      <c r="EI213" s="844">
        <v>32302.400000000001</v>
      </c>
      <c r="EJ213" s="844">
        <v>32302.400000000001</v>
      </c>
      <c r="EK213" s="844">
        <v>32302.400000000001</v>
      </c>
      <c r="EL213" s="844">
        <v>32302.400000000001</v>
      </c>
      <c r="EM213" s="844">
        <v>32743</v>
      </c>
      <c r="EN213" s="844">
        <v>33398</v>
      </c>
      <c r="EO213" s="844">
        <v>34066</v>
      </c>
      <c r="EP213" s="844">
        <v>34747</v>
      </c>
      <c r="EQ213" s="844">
        <v>35442</v>
      </c>
      <c r="ER213" s="844">
        <v>36151</v>
      </c>
      <c r="ES213" s="844">
        <v>36874</v>
      </c>
      <c r="ET213" s="844">
        <v>37611</v>
      </c>
      <c r="EU213" s="844">
        <v>38363</v>
      </c>
      <c r="EV213" s="844">
        <v>39131</v>
      </c>
      <c r="EW213" s="844">
        <v>39913</v>
      </c>
      <c r="EX213" s="844">
        <v>40711</v>
      </c>
      <c r="EY213" s="844">
        <v>41525</v>
      </c>
      <c r="EZ213" s="844">
        <v>42356</v>
      </c>
      <c r="FA213" s="844">
        <v>43203</v>
      </c>
      <c r="FB213" s="844">
        <v>44067</v>
      </c>
      <c r="FC213" s="844">
        <v>44948</v>
      </c>
      <c r="FD213" s="844">
        <v>45847</v>
      </c>
      <c r="FE213" s="844">
        <v>46764</v>
      </c>
      <c r="FF213" s="844">
        <v>47699</v>
      </c>
      <c r="FG213" s="844">
        <v>48652</v>
      </c>
      <c r="FH213" s="844">
        <v>49625</v>
      </c>
      <c r="FI213" s="844">
        <v>50618</v>
      </c>
      <c r="FJ213" s="844">
        <v>51630</v>
      </c>
      <c r="FK213" s="844">
        <v>52662</v>
      </c>
      <c r="FL213" s="844">
        <v>53715</v>
      </c>
      <c r="FM213" s="844">
        <v>54789</v>
      </c>
      <c r="FN213" s="844">
        <v>55884</v>
      </c>
      <c r="FO213" s="844">
        <v>57001</v>
      </c>
      <c r="FP213" s="844">
        <v>58141</v>
      </c>
      <c r="FQ213" s="844">
        <v>59303</v>
      </c>
      <c r="FR213" s="844">
        <v>60488</v>
      </c>
      <c r="FS213" s="844">
        <v>61697</v>
      </c>
      <c r="FT213" s="844">
        <v>62931</v>
      </c>
      <c r="FU213" s="844">
        <v>64188</v>
      </c>
      <c r="FV213" s="844">
        <v>65471</v>
      </c>
      <c r="FW213" s="844">
        <v>66779</v>
      </c>
      <c r="FX213" s="844">
        <v>68114</v>
      </c>
      <c r="FY213" s="844">
        <v>69471</v>
      </c>
      <c r="FZ213" s="844">
        <v>70836</v>
      </c>
      <c r="GA213" s="844">
        <v>72207</v>
      </c>
      <c r="GB213" s="844">
        <v>73584</v>
      </c>
      <c r="GC213" s="844">
        <v>74968</v>
      </c>
      <c r="GD213" s="844">
        <v>76357</v>
      </c>
      <c r="GE213" s="844">
        <v>77752</v>
      </c>
      <c r="GF213" s="844">
        <v>79158</v>
      </c>
      <c r="GG213" s="844">
        <v>80598</v>
      </c>
      <c r="GH213" s="844">
        <v>81400</v>
      </c>
      <c r="GI213" s="844">
        <v>0</v>
      </c>
      <c r="GJ213" s="844">
        <v>0</v>
      </c>
      <c r="GK213" s="844">
        <v>0</v>
      </c>
      <c r="GL213" s="844">
        <v>0</v>
      </c>
      <c r="GM213" s="844">
        <v>0</v>
      </c>
      <c r="GN213" s="844">
        <v>0</v>
      </c>
      <c r="GO213" s="844">
        <v>0</v>
      </c>
      <c r="GP213" s="844">
        <v>0</v>
      </c>
      <c r="GQ213" s="844">
        <v>0</v>
      </c>
      <c r="GR213" s="844">
        <v>0</v>
      </c>
      <c r="GS213" s="844">
        <v>0</v>
      </c>
      <c r="GT213" s="844">
        <v>0</v>
      </c>
      <c r="GU213" s="844">
        <v>0</v>
      </c>
      <c r="GV213" s="844">
        <v>0</v>
      </c>
      <c r="GW213" s="844">
        <v>0</v>
      </c>
      <c r="GX213" s="844">
        <v>0</v>
      </c>
      <c r="GY213" s="844">
        <v>0</v>
      </c>
      <c r="GZ213" s="844">
        <v>0</v>
      </c>
      <c r="HA213" s="844">
        <v>0</v>
      </c>
      <c r="HB213" s="844">
        <v>0</v>
      </c>
      <c r="HC213" s="844">
        <v>0</v>
      </c>
      <c r="HD213" s="844">
        <v>0</v>
      </c>
      <c r="HE213" s="844">
        <v>0</v>
      </c>
      <c r="HF213" s="844">
        <v>0</v>
      </c>
      <c r="HG213" s="844">
        <v>0</v>
      </c>
      <c r="HH213" s="844">
        <v>0</v>
      </c>
      <c r="HI213" s="844">
        <v>0</v>
      </c>
      <c r="HJ213" s="844">
        <v>0</v>
      </c>
      <c r="HK213" s="844">
        <v>0</v>
      </c>
      <c r="HL213" s="844">
        <v>0</v>
      </c>
      <c r="HM213" s="844">
        <v>0</v>
      </c>
      <c r="HN213" s="844">
        <v>0</v>
      </c>
      <c r="HO213" s="844">
        <v>0</v>
      </c>
      <c r="HP213" s="844">
        <v>0</v>
      </c>
      <c r="HQ213" s="844">
        <v>0</v>
      </c>
      <c r="HR213" s="844">
        <v>0</v>
      </c>
      <c r="HS213" s="844">
        <v>0</v>
      </c>
      <c r="HT213" s="844">
        <v>0</v>
      </c>
      <c r="HU213" s="844">
        <v>0</v>
      </c>
      <c r="HV213" s="844">
        <v>0</v>
      </c>
      <c r="HW213" s="844">
        <v>0</v>
      </c>
      <c r="HX213" s="844">
        <v>0</v>
      </c>
      <c r="HY213" s="844">
        <v>0</v>
      </c>
      <c r="HZ213" s="844">
        <v>0</v>
      </c>
      <c r="IA213" s="844">
        <v>0</v>
      </c>
      <c r="IB213" s="844">
        <v>0</v>
      </c>
      <c r="IC213" s="844">
        <v>0</v>
      </c>
      <c r="ID213" s="844">
        <v>0</v>
      </c>
      <c r="IE213" s="844">
        <v>0</v>
      </c>
      <c r="IF213" s="844">
        <v>0</v>
      </c>
      <c r="IG213" s="844">
        <v>0</v>
      </c>
      <c r="IH213" s="844">
        <v>0</v>
      </c>
      <c r="II213" s="844">
        <v>0</v>
      </c>
      <c r="IJ213" s="844">
        <v>0</v>
      </c>
    </row>
    <row r="214" spans="9:244" hidden="1">
      <c r="I214" s="156"/>
      <c r="L214" s="846" t="s">
        <v>1060</v>
      </c>
      <c r="M214" s="846" t="s">
        <v>1382</v>
      </c>
      <c r="N214" s="846" t="s">
        <v>96</v>
      </c>
      <c r="O214" s="847">
        <v>55</v>
      </c>
      <c r="P214" s="780" t="str">
        <f t="shared" si="6"/>
        <v>IWT060155</v>
      </c>
      <c r="Q214" s="847">
        <v>0</v>
      </c>
      <c r="R214" s="847">
        <v>0</v>
      </c>
      <c r="S214" s="847">
        <v>0</v>
      </c>
      <c r="T214" s="847">
        <v>0</v>
      </c>
      <c r="U214" s="847">
        <v>0</v>
      </c>
      <c r="V214" s="847">
        <v>0</v>
      </c>
      <c r="W214" s="847">
        <v>0</v>
      </c>
      <c r="X214" s="847">
        <v>0</v>
      </c>
      <c r="Y214" s="847">
        <v>0</v>
      </c>
      <c r="Z214" s="847">
        <v>0</v>
      </c>
      <c r="AA214" s="847">
        <v>0</v>
      </c>
      <c r="AB214" s="847">
        <v>0</v>
      </c>
      <c r="AC214" s="847">
        <v>0</v>
      </c>
      <c r="AD214" s="847">
        <v>0</v>
      </c>
      <c r="AE214" s="847">
        <v>0</v>
      </c>
      <c r="AF214" s="847">
        <v>0</v>
      </c>
      <c r="AG214" s="847">
        <v>0</v>
      </c>
      <c r="AH214" s="847">
        <v>0</v>
      </c>
      <c r="AI214" s="847">
        <v>0</v>
      </c>
      <c r="AJ214" s="847">
        <v>0</v>
      </c>
      <c r="AK214" s="847">
        <v>0</v>
      </c>
      <c r="AL214" s="847">
        <v>0</v>
      </c>
      <c r="AM214" s="847">
        <v>0</v>
      </c>
      <c r="AN214" s="847">
        <v>0</v>
      </c>
      <c r="AO214" s="847">
        <v>0</v>
      </c>
      <c r="AP214" s="847">
        <v>0</v>
      </c>
      <c r="AQ214" s="847">
        <v>0</v>
      </c>
      <c r="AR214" s="847">
        <v>0</v>
      </c>
      <c r="AS214" s="847">
        <v>0</v>
      </c>
      <c r="AT214" s="847">
        <v>0</v>
      </c>
      <c r="AU214" s="847">
        <v>0</v>
      </c>
      <c r="AV214" s="847">
        <v>0</v>
      </c>
      <c r="AW214" s="847">
        <v>0</v>
      </c>
      <c r="AX214" s="847">
        <v>0</v>
      </c>
      <c r="AY214" s="847">
        <v>0</v>
      </c>
      <c r="AZ214" s="847">
        <v>0</v>
      </c>
      <c r="BA214" s="847">
        <v>0</v>
      </c>
      <c r="BB214" s="847">
        <v>0</v>
      </c>
      <c r="BC214" s="847">
        <v>0</v>
      </c>
      <c r="BD214" s="847">
        <v>0</v>
      </c>
      <c r="BE214" s="847">
        <v>0</v>
      </c>
      <c r="BF214" s="847">
        <v>0</v>
      </c>
      <c r="BG214" s="847">
        <v>0</v>
      </c>
      <c r="BH214" s="847">
        <v>0</v>
      </c>
      <c r="BI214" s="847">
        <v>0</v>
      </c>
      <c r="BJ214" s="847">
        <v>0</v>
      </c>
      <c r="BK214" s="847">
        <v>0</v>
      </c>
      <c r="BL214" s="847">
        <v>0</v>
      </c>
      <c r="BM214" s="847">
        <v>0</v>
      </c>
      <c r="BN214" s="847">
        <v>0</v>
      </c>
      <c r="BO214" s="847">
        <v>0</v>
      </c>
      <c r="BP214" s="847">
        <v>0</v>
      </c>
      <c r="BQ214" s="847">
        <v>0</v>
      </c>
      <c r="BR214" s="847">
        <v>0</v>
      </c>
      <c r="BS214" s="847">
        <v>0</v>
      </c>
      <c r="BT214" s="847">
        <v>80000</v>
      </c>
      <c r="BU214" s="847">
        <v>0</v>
      </c>
      <c r="BV214" s="847">
        <v>0</v>
      </c>
      <c r="BW214" s="847">
        <v>0</v>
      </c>
      <c r="BX214" s="847">
        <v>0</v>
      </c>
      <c r="BY214" s="847">
        <v>0</v>
      </c>
      <c r="BZ214" s="847">
        <v>0</v>
      </c>
      <c r="CA214" s="847">
        <v>0</v>
      </c>
      <c r="CB214" s="847">
        <v>0</v>
      </c>
      <c r="CC214" s="847">
        <v>0</v>
      </c>
      <c r="CD214" s="847">
        <v>0</v>
      </c>
      <c r="CE214" s="847">
        <v>0</v>
      </c>
      <c r="CF214" s="847">
        <v>0</v>
      </c>
      <c r="CG214" s="847">
        <v>0</v>
      </c>
      <c r="CH214" s="847">
        <v>0</v>
      </c>
      <c r="CI214" s="847">
        <v>0</v>
      </c>
      <c r="CJ214" s="847">
        <v>0</v>
      </c>
      <c r="CK214" s="847">
        <v>0</v>
      </c>
      <c r="CL214" s="847">
        <v>0</v>
      </c>
      <c r="CM214" s="847">
        <v>0</v>
      </c>
      <c r="CN214" s="847">
        <v>0</v>
      </c>
      <c r="CO214" s="847">
        <v>0</v>
      </c>
      <c r="CP214" s="847">
        <v>0</v>
      </c>
      <c r="CQ214" s="847">
        <v>0</v>
      </c>
      <c r="CR214" s="847">
        <v>0</v>
      </c>
      <c r="CS214" s="847">
        <v>0</v>
      </c>
      <c r="CT214" s="847">
        <v>0</v>
      </c>
      <c r="CU214" s="847">
        <v>0</v>
      </c>
      <c r="CV214" s="847">
        <v>0</v>
      </c>
      <c r="CW214" s="847">
        <v>0</v>
      </c>
      <c r="CX214" s="847">
        <v>0</v>
      </c>
      <c r="CY214" s="847">
        <v>0</v>
      </c>
      <c r="CZ214" s="847">
        <v>0</v>
      </c>
      <c r="DA214" s="847">
        <v>0</v>
      </c>
      <c r="DB214" s="847">
        <v>0</v>
      </c>
      <c r="DC214" s="847">
        <v>0</v>
      </c>
      <c r="DD214" s="847">
        <v>0</v>
      </c>
      <c r="DE214" s="847">
        <v>0</v>
      </c>
      <c r="DF214" s="847">
        <v>0</v>
      </c>
      <c r="DG214" s="847">
        <v>0</v>
      </c>
      <c r="DH214" s="847">
        <v>0</v>
      </c>
      <c r="DI214" s="847">
        <v>0</v>
      </c>
      <c r="DJ214" s="847">
        <v>0</v>
      </c>
      <c r="DK214" s="847">
        <v>0</v>
      </c>
      <c r="DL214" s="847">
        <v>0</v>
      </c>
      <c r="DM214" s="847">
        <v>0</v>
      </c>
      <c r="DN214" s="847">
        <v>0</v>
      </c>
      <c r="DO214" s="847">
        <v>0</v>
      </c>
      <c r="DP214" s="847">
        <v>0</v>
      </c>
      <c r="DQ214" s="847">
        <v>0</v>
      </c>
      <c r="DR214" s="847">
        <v>0</v>
      </c>
      <c r="DS214" s="847">
        <v>0</v>
      </c>
      <c r="DT214" s="847">
        <v>0</v>
      </c>
      <c r="DU214" s="847">
        <v>0</v>
      </c>
      <c r="DV214" s="847">
        <v>0</v>
      </c>
      <c r="DW214" s="847">
        <v>0</v>
      </c>
      <c r="DY214" s="843" t="s">
        <v>1060</v>
      </c>
      <c r="DZ214" s="843" t="s">
        <v>1382</v>
      </c>
      <c r="EA214" s="843" t="s">
        <v>96</v>
      </c>
      <c r="EB214" s="844">
        <v>55</v>
      </c>
      <c r="EC214" s="780" t="str">
        <f t="shared" si="7"/>
        <v>IWT060155</v>
      </c>
      <c r="ED214" s="844">
        <v>5386.9</v>
      </c>
      <c r="EE214" s="844">
        <v>10773.8</v>
      </c>
      <c r="EF214" s="844">
        <v>16160.8</v>
      </c>
      <c r="EG214" s="844">
        <v>21547.7</v>
      </c>
      <c r="EH214" s="844">
        <v>26934.6</v>
      </c>
      <c r="EI214" s="844">
        <v>32321.5</v>
      </c>
      <c r="EJ214" s="844">
        <v>32321.5</v>
      </c>
      <c r="EK214" s="844">
        <v>32321.5</v>
      </c>
      <c r="EL214" s="844">
        <v>32321.5</v>
      </c>
      <c r="EM214" s="844">
        <v>32746</v>
      </c>
      <c r="EN214" s="844">
        <v>33401</v>
      </c>
      <c r="EO214" s="844">
        <v>34069</v>
      </c>
      <c r="EP214" s="844">
        <v>34750</v>
      </c>
      <c r="EQ214" s="844">
        <v>35445</v>
      </c>
      <c r="ER214" s="844">
        <v>36154</v>
      </c>
      <c r="ES214" s="844">
        <v>36877</v>
      </c>
      <c r="ET214" s="844">
        <v>37615</v>
      </c>
      <c r="EU214" s="844">
        <v>38367</v>
      </c>
      <c r="EV214" s="844">
        <v>39134</v>
      </c>
      <c r="EW214" s="844">
        <v>39917</v>
      </c>
      <c r="EX214" s="844">
        <v>40715</v>
      </c>
      <c r="EY214" s="844">
        <v>41529</v>
      </c>
      <c r="EZ214" s="844">
        <v>42360</v>
      </c>
      <c r="FA214" s="844">
        <v>43207</v>
      </c>
      <c r="FB214" s="844">
        <v>44071</v>
      </c>
      <c r="FC214" s="844">
        <v>44952</v>
      </c>
      <c r="FD214" s="844">
        <v>45851</v>
      </c>
      <c r="FE214" s="844">
        <v>46768</v>
      </c>
      <c r="FF214" s="844">
        <v>47703</v>
      </c>
      <c r="FG214" s="844">
        <v>48657</v>
      </c>
      <c r="FH214" s="844">
        <v>49630</v>
      </c>
      <c r="FI214" s="844">
        <v>50622</v>
      </c>
      <c r="FJ214" s="844">
        <v>51635</v>
      </c>
      <c r="FK214" s="844">
        <v>52667</v>
      </c>
      <c r="FL214" s="844">
        <v>53720</v>
      </c>
      <c r="FM214" s="844">
        <v>54794</v>
      </c>
      <c r="FN214" s="844">
        <v>55889</v>
      </c>
      <c r="FO214" s="844">
        <v>57007</v>
      </c>
      <c r="FP214" s="844">
        <v>58146</v>
      </c>
      <c r="FQ214" s="844">
        <v>59308</v>
      </c>
      <c r="FR214" s="844">
        <v>60494</v>
      </c>
      <c r="FS214" s="844">
        <v>61703</v>
      </c>
      <c r="FT214" s="844">
        <v>62936</v>
      </c>
      <c r="FU214" s="844">
        <v>64194</v>
      </c>
      <c r="FV214" s="844">
        <v>65477</v>
      </c>
      <c r="FW214" s="844">
        <v>66785</v>
      </c>
      <c r="FX214" s="844">
        <v>68119</v>
      </c>
      <c r="FY214" s="844">
        <v>69479</v>
      </c>
      <c r="FZ214" s="844">
        <v>70847</v>
      </c>
      <c r="GA214" s="844">
        <v>72220</v>
      </c>
      <c r="GB214" s="844">
        <v>73600</v>
      </c>
      <c r="GC214" s="844">
        <v>74985</v>
      </c>
      <c r="GD214" s="844">
        <v>76377</v>
      </c>
      <c r="GE214" s="844">
        <v>77780</v>
      </c>
      <c r="GF214" s="844">
        <v>79212</v>
      </c>
      <c r="GG214" s="844">
        <v>80000</v>
      </c>
      <c r="GH214" s="844">
        <v>0</v>
      </c>
      <c r="GI214" s="844">
        <v>0</v>
      </c>
      <c r="GJ214" s="844">
        <v>0</v>
      </c>
      <c r="GK214" s="844">
        <v>0</v>
      </c>
      <c r="GL214" s="844">
        <v>0</v>
      </c>
      <c r="GM214" s="844">
        <v>0</v>
      </c>
      <c r="GN214" s="844">
        <v>0</v>
      </c>
      <c r="GO214" s="844">
        <v>0</v>
      </c>
      <c r="GP214" s="844">
        <v>0</v>
      </c>
      <c r="GQ214" s="844">
        <v>0</v>
      </c>
      <c r="GR214" s="844">
        <v>0</v>
      </c>
      <c r="GS214" s="844">
        <v>0</v>
      </c>
      <c r="GT214" s="844">
        <v>0</v>
      </c>
      <c r="GU214" s="844">
        <v>0</v>
      </c>
      <c r="GV214" s="844">
        <v>0</v>
      </c>
      <c r="GW214" s="844">
        <v>0</v>
      </c>
      <c r="GX214" s="844">
        <v>0</v>
      </c>
      <c r="GY214" s="844">
        <v>0</v>
      </c>
      <c r="GZ214" s="844">
        <v>0</v>
      </c>
      <c r="HA214" s="844">
        <v>0</v>
      </c>
      <c r="HB214" s="844">
        <v>0</v>
      </c>
      <c r="HC214" s="844">
        <v>0</v>
      </c>
      <c r="HD214" s="844">
        <v>0</v>
      </c>
      <c r="HE214" s="844">
        <v>0</v>
      </c>
      <c r="HF214" s="844">
        <v>0</v>
      </c>
      <c r="HG214" s="844">
        <v>0</v>
      </c>
      <c r="HH214" s="844">
        <v>0</v>
      </c>
      <c r="HI214" s="844">
        <v>0</v>
      </c>
      <c r="HJ214" s="844">
        <v>0</v>
      </c>
      <c r="HK214" s="844">
        <v>0</v>
      </c>
      <c r="HL214" s="844">
        <v>0</v>
      </c>
      <c r="HM214" s="844">
        <v>0</v>
      </c>
      <c r="HN214" s="844">
        <v>0</v>
      </c>
      <c r="HO214" s="844">
        <v>0</v>
      </c>
      <c r="HP214" s="844">
        <v>0</v>
      </c>
      <c r="HQ214" s="844">
        <v>0</v>
      </c>
      <c r="HR214" s="844">
        <v>0</v>
      </c>
      <c r="HS214" s="844">
        <v>0</v>
      </c>
      <c r="HT214" s="844">
        <v>0</v>
      </c>
      <c r="HU214" s="844">
        <v>0</v>
      </c>
      <c r="HV214" s="844">
        <v>0</v>
      </c>
      <c r="HW214" s="844">
        <v>0</v>
      </c>
      <c r="HX214" s="844">
        <v>0</v>
      </c>
      <c r="HY214" s="844">
        <v>0</v>
      </c>
      <c r="HZ214" s="844">
        <v>0</v>
      </c>
      <c r="IA214" s="844">
        <v>0</v>
      </c>
      <c r="IB214" s="844">
        <v>0</v>
      </c>
      <c r="IC214" s="844">
        <v>0</v>
      </c>
      <c r="ID214" s="844">
        <v>0</v>
      </c>
      <c r="IE214" s="844">
        <v>0</v>
      </c>
      <c r="IF214" s="844">
        <v>0</v>
      </c>
      <c r="IG214" s="844">
        <v>0</v>
      </c>
      <c r="IH214" s="844">
        <v>0</v>
      </c>
      <c r="II214" s="844">
        <v>0</v>
      </c>
      <c r="IJ214" s="844">
        <v>0</v>
      </c>
    </row>
    <row r="215" spans="9:244" hidden="1">
      <c r="I215" s="156"/>
      <c r="L215" s="846" t="s">
        <v>1060</v>
      </c>
      <c r="M215" s="846" t="s">
        <v>1382</v>
      </c>
      <c r="N215" s="846" t="s">
        <v>96</v>
      </c>
      <c r="O215" s="847">
        <v>56</v>
      </c>
      <c r="P215" s="780" t="str">
        <f t="shared" si="6"/>
        <v>IWT060156</v>
      </c>
      <c r="Q215" s="847">
        <v>0</v>
      </c>
      <c r="R215" s="847">
        <v>0</v>
      </c>
      <c r="S215" s="847">
        <v>0</v>
      </c>
      <c r="T215" s="847">
        <v>0</v>
      </c>
      <c r="U215" s="847">
        <v>0</v>
      </c>
      <c r="V215" s="847">
        <v>0</v>
      </c>
      <c r="W215" s="847">
        <v>0</v>
      </c>
      <c r="X215" s="847">
        <v>0</v>
      </c>
      <c r="Y215" s="847">
        <v>0</v>
      </c>
      <c r="Z215" s="847">
        <v>0</v>
      </c>
      <c r="AA215" s="847">
        <v>0</v>
      </c>
      <c r="AB215" s="847">
        <v>0</v>
      </c>
      <c r="AC215" s="847">
        <v>0</v>
      </c>
      <c r="AD215" s="847">
        <v>0</v>
      </c>
      <c r="AE215" s="847">
        <v>0</v>
      </c>
      <c r="AF215" s="847">
        <v>0</v>
      </c>
      <c r="AG215" s="847">
        <v>0</v>
      </c>
      <c r="AH215" s="847">
        <v>0</v>
      </c>
      <c r="AI215" s="847">
        <v>0</v>
      </c>
      <c r="AJ215" s="847">
        <v>0</v>
      </c>
      <c r="AK215" s="847">
        <v>0</v>
      </c>
      <c r="AL215" s="847">
        <v>0</v>
      </c>
      <c r="AM215" s="847">
        <v>0</v>
      </c>
      <c r="AN215" s="847">
        <v>0</v>
      </c>
      <c r="AO215" s="847">
        <v>0</v>
      </c>
      <c r="AP215" s="847">
        <v>0</v>
      </c>
      <c r="AQ215" s="847">
        <v>0</v>
      </c>
      <c r="AR215" s="847">
        <v>0</v>
      </c>
      <c r="AS215" s="847">
        <v>0</v>
      </c>
      <c r="AT215" s="847">
        <v>0</v>
      </c>
      <c r="AU215" s="847">
        <v>0</v>
      </c>
      <c r="AV215" s="847">
        <v>0</v>
      </c>
      <c r="AW215" s="847">
        <v>0</v>
      </c>
      <c r="AX215" s="847">
        <v>0</v>
      </c>
      <c r="AY215" s="847">
        <v>0</v>
      </c>
      <c r="AZ215" s="847">
        <v>0</v>
      </c>
      <c r="BA215" s="847">
        <v>0</v>
      </c>
      <c r="BB215" s="847">
        <v>0</v>
      </c>
      <c r="BC215" s="847">
        <v>0</v>
      </c>
      <c r="BD215" s="847">
        <v>0</v>
      </c>
      <c r="BE215" s="847">
        <v>0</v>
      </c>
      <c r="BF215" s="847">
        <v>0</v>
      </c>
      <c r="BG215" s="847">
        <v>0</v>
      </c>
      <c r="BH215" s="847">
        <v>0</v>
      </c>
      <c r="BI215" s="847">
        <v>0</v>
      </c>
      <c r="BJ215" s="847">
        <v>0</v>
      </c>
      <c r="BK215" s="847">
        <v>0</v>
      </c>
      <c r="BL215" s="847">
        <v>0</v>
      </c>
      <c r="BM215" s="847">
        <v>0</v>
      </c>
      <c r="BN215" s="847">
        <v>0</v>
      </c>
      <c r="BO215" s="847">
        <v>0</v>
      </c>
      <c r="BP215" s="847">
        <v>0</v>
      </c>
      <c r="BQ215" s="847">
        <v>0</v>
      </c>
      <c r="BR215" s="847">
        <v>0</v>
      </c>
      <c r="BS215" s="847">
        <v>78600</v>
      </c>
      <c r="BT215" s="847">
        <v>0</v>
      </c>
      <c r="BU215" s="847">
        <v>0</v>
      </c>
      <c r="BV215" s="847">
        <v>0</v>
      </c>
      <c r="BW215" s="847">
        <v>0</v>
      </c>
      <c r="BX215" s="847">
        <v>0</v>
      </c>
      <c r="BY215" s="847">
        <v>0</v>
      </c>
      <c r="BZ215" s="847">
        <v>0</v>
      </c>
      <c r="CA215" s="847">
        <v>0</v>
      </c>
      <c r="CB215" s="847">
        <v>0</v>
      </c>
      <c r="CC215" s="847">
        <v>0</v>
      </c>
      <c r="CD215" s="847">
        <v>0</v>
      </c>
      <c r="CE215" s="847">
        <v>0</v>
      </c>
      <c r="CF215" s="847">
        <v>0</v>
      </c>
      <c r="CG215" s="847">
        <v>0</v>
      </c>
      <c r="CH215" s="847">
        <v>0</v>
      </c>
      <c r="CI215" s="847">
        <v>0</v>
      </c>
      <c r="CJ215" s="847">
        <v>0</v>
      </c>
      <c r="CK215" s="847">
        <v>0</v>
      </c>
      <c r="CL215" s="847">
        <v>0</v>
      </c>
      <c r="CM215" s="847">
        <v>0</v>
      </c>
      <c r="CN215" s="847">
        <v>0</v>
      </c>
      <c r="CO215" s="847">
        <v>0</v>
      </c>
      <c r="CP215" s="847">
        <v>0</v>
      </c>
      <c r="CQ215" s="847">
        <v>0</v>
      </c>
      <c r="CR215" s="847">
        <v>0</v>
      </c>
      <c r="CS215" s="847">
        <v>0</v>
      </c>
      <c r="CT215" s="847">
        <v>0</v>
      </c>
      <c r="CU215" s="847">
        <v>0</v>
      </c>
      <c r="CV215" s="847">
        <v>0</v>
      </c>
      <c r="CW215" s="847">
        <v>0</v>
      </c>
      <c r="CX215" s="847">
        <v>0</v>
      </c>
      <c r="CY215" s="847">
        <v>0</v>
      </c>
      <c r="CZ215" s="847">
        <v>0</v>
      </c>
      <c r="DA215" s="847">
        <v>0</v>
      </c>
      <c r="DB215" s="847">
        <v>0</v>
      </c>
      <c r="DC215" s="847">
        <v>0</v>
      </c>
      <c r="DD215" s="847">
        <v>0</v>
      </c>
      <c r="DE215" s="847">
        <v>0</v>
      </c>
      <c r="DF215" s="847">
        <v>0</v>
      </c>
      <c r="DG215" s="847">
        <v>0</v>
      </c>
      <c r="DH215" s="847">
        <v>0</v>
      </c>
      <c r="DI215" s="847">
        <v>0</v>
      </c>
      <c r="DJ215" s="847">
        <v>0</v>
      </c>
      <c r="DK215" s="847">
        <v>0</v>
      </c>
      <c r="DL215" s="847">
        <v>0</v>
      </c>
      <c r="DM215" s="847">
        <v>0</v>
      </c>
      <c r="DN215" s="847">
        <v>0</v>
      </c>
      <c r="DO215" s="847">
        <v>0</v>
      </c>
      <c r="DP215" s="847">
        <v>0</v>
      </c>
      <c r="DQ215" s="847">
        <v>0</v>
      </c>
      <c r="DR215" s="847">
        <v>0</v>
      </c>
      <c r="DS215" s="847">
        <v>0</v>
      </c>
      <c r="DT215" s="847">
        <v>0</v>
      </c>
      <c r="DU215" s="847">
        <v>0</v>
      </c>
      <c r="DV215" s="847">
        <v>0</v>
      </c>
      <c r="DW215" s="847">
        <v>0</v>
      </c>
      <c r="DY215" s="843" t="s">
        <v>1060</v>
      </c>
      <c r="DZ215" s="843" t="s">
        <v>1382</v>
      </c>
      <c r="EA215" s="843" t="s">
        <v>96</v>
      </c>
      <c r="EB215" s="844">
        <v>56</v>
      </c>
      <c r="EC215" s="780" t="str">
        <f t="shared" si="7"/>
        <v>IWT060156</v>
      </c>
      <c r="ED215" s="844">
        <v>5390.1</v>
      </c>
      <c r="EE215" s="844">
        <v>10780.2</v>
      </c>
      <c r="EF215" s="844">
        <v>16170.3</v>
      </c>
      <c r="EG215" s="844">
        <v>21560.400000000001</v>
      </c>
      <c r="EH215" s="844">
        <v>26950.5</v>
      </c>
      <c r="EI215" s="844">
        <v>32340.6</v>
      </c>
      <c r="EJ215" s="844">
        <v>32340.6</v>
      </c>
      <c r="EK215" s="844">
        <v>32340.6</v>
      </c>
      <c r="EL215" s="844">
        <v>32340.6</v>
      </c>
      <c r="EM215" s="844">
        <v>32750</v>
      </c>
      <c r="EN215" s="844">
        <v>33405</v>
      </c>
      <c r="EO215" s="844">
        <v>34073</v>
      </c>
      <c r="EP215" s="844">
        <v>34754</v>
      </c>
      <c r="EQ215" s="844">
        <v>35449</v>
      </c>
      <c r="ER215" s="844">
        <v>36158</v>
      </c>
      <c r="ES215" s="844">
        <v>36881</v>
      </c>
      <c r="ET215" s="844">
        <v>37619</v>
      </c>
      <c r="EU215" s="844">
        <v>38371</v>
      </c>
      <c r="EV215" s="844">
        <v>39139</v>
      </c>
      <c r="EW215" s="844">
        <v>39921</v>
      </c>
      <c r="EX215" s="844">
        <v>40720</v>
      </c>
      <c r="EY215" s="844">
        <v>41534</v>
      </c>
      <c r="EZ215" s="844">
        <v>42364</v>
      </c>
      <c r="FA215" s="844">
        <v>43212</v>
      </c>
      <c r="FB215" s="844">
        <v>44076</v>
      </c>
      <c r="FC215" s="844">
        <v>44957</v>
      </c>
      <c r="FD215" s="844">
        <v>45856</v>
      </c>
      <c r="FE215" s="844">
        <v>46773</v>
      </c>
      <c r="FF215" s="844">
        <v>47708</v>
      </c>
      <c r="FG215" s="844">
        <v>48662</v>
      </c>
      <c r="FH215" s="844">
        <v>49635</v>
      </c>
      <c r="FI215" s="844">
        <v>50628</v>
      </c>
      <c r="FJ215" s="844">
        <v>51640</v>
      </c>
      <c r="FK215" s="844">
        <v>52672</v>
      </c>
      <c r="FL215" s="844">
        <v>53725</v>
      </c>
      <c r="FM215" s="844">
        <v>54799</v>
      </c>
      <c r="FN215" s="844">
        <v>55895</v>
      </c>
      <c r="FO215" s="844">
        <v>57012</v>
      </c>
      <c r="FP215" s="844">
        <v>58152</v>
      </c>
      <c r="FQ215" s="844">
        <v>59314</v>
      </c>
      <c r="FR215" s="844">
        <v>60500</v>
      </c>
      <c r="FS215" s="844">
        <v>61709</v>
      </c>
      <c r="FT215" s="844">
        <v>62942</v>
      </c>
      <c r="FU215" s="844">
        <v>64200</v>
      </c>
      <c r="FV215" s="844">
        <v>65483</v>
      </c>
      <c r="FW215" s="844">
        <v>66791</v>
      </c>
      <c r="FX215" s="844">
        <v>68126</v>
      </c>
      <c r="FY215" s="844">
        <v>69486</v>
      </c>
      <c r="FZ215" s="844">
        <v>70856</v>
      </c>
      <c r="GA215" s="844">
        <v>72232</v>
      </c>
      <c r="GB215" s="844">
        <v>73614</v>
      </c>
      <c r="GC215" s="844">
        <v>75003</v>
      </c>
      <c r="GD215" s="844">
        <v>76401</v>
      </c>
      <c r="GE215" s="844">
        <v>77826</v>
      </c>
      <c r="GF215" s="844">
        <v>78600</v>
      </c>
      <c r="GG215" s="844">
        <v>0</v>
      </c>
      <c r="GH215" s="844">
        <v>0</v>
      </c>
      <c r="GI215" s="844">
        <v>0</v>
      </c>
      <c r="GJ215" s="844">
        <v>0</v>
      </c>
      <c r="GK215" s="844">
        <v>0</v>
      </c>
      <c r="GL215" s="844">
        <v>0</v>
      </c>
      <c r="GM215" s="844">
        <v>0</v>
      </c>
      <c r="GN215" s="844">
        <v>0</v>
      </c>
      <c r="GO215" s="844">
        <v>0</v>
      </c>
      <c r="GP215" s="844">
        <v>0</v>
      </c>
      <c r="GQ215" s="844">
        <v>0</v>
      </c>
      <c r="GR215" s="844">
        <v>0</v>
      </c>
      <c r="GS215" s="844">
        <v>0</v>
      </c>
      <c r="GT215" s="844">
        <v>0</v>
      </c>
      <c r="GU215" s="844">
        <v>0</v>
      </c>
      <c r="GV215" s="844">
        <v>0</v>
      </c>
      <c r="GW215" s="844">
        <v>0</v>
      </c>
      <c r="GX215" s="844">
        <v>0</v>
      </c>
      <c r="GY215" s="844">
        <v>0</v>
      </c>
      <c r="GZ215" s="844">
        <v>0</v>
      </c>
      <c r="HA215" s="844">
        <v>0</v>
      </c>
      <c r="HB215" s="844">
        <v>0</v>
      </c>
      <c r="HC215" s="844">
        <v>0</v>
      </c>
      <c r="HD215" s="844">
        <v>0</v>
      </c>
      <c r="HE215" s="844">
        <v>0</v>
      </c>
      <c r="HF215" s="844">
        <v>0</v>
      </c>
      <c r="HG215" s="844">
        <v>0</v>
      </c>
      <c r="HH215" s="844">
        <v>0</v>
      </c>
      <c r="HI215" s="844">
        <v>0</v>
      </c>
      <c r="HJ215" s="844">
        <v>0</v>
      </c>
      <c r="HK215" s="844">
        <v>0</v>
      </c>
      <c r="HL215" s="844">
        <v>0</v>
      </c>
      <c r="HM215" s="844">
        <v>0</v>
      </c>
      <c r="HN215" s="844">
        <v>0</v>
      </c>
      <c r="HO215" s="844">
        <v>0</v>
      </c>
      <c r="HP215" s="844">
        <v>0</v>
      </c>
      <c r="HQ215" s="844">
        <v>0</v>
      </c>
      <c r="HR215" s="844">
        <v>0</v>
      </c>
      <c r="HS215" s="844">
        <v>0</v>
      </c>
      <c r="HT215" s="844">
        <v>0</v>
      </c>
      <c r="HU215" s="844">
        <v>0</v>
      </c>
      <c r="HV215" s="844">
        <v>0</v>
      </c>
      <c r="HW215" s="844">
        <v>0</v>
      </c>
      <c r="HX215" s="844">
        <v>0</v>
      </c>
      <c r="HY215" s="844">
        <v>0</v>
      </c>
      <c r="HZ215" s="844">
        <v>0</v>
      </c>
      <c r="IA215" s="844">
        <v>0</v>
      </c>
      <c r="IB215" s="844">
        <v>0</v>
      </c>
      <c r="IC215" s="844">
        <v>0</v>
      </c>
      <c r="ID215" s="844">
        <v>0</v>
      </c>
      <c r="IE215" s="844">
        <v>0</v>
      </c>
      <c r="IF215" s="844">
        <v>0</v>
      </c>
      <c r="IG215" s="844">
        <v>0</v>
      </c>
      <c r="IH215" s="844">
        <v>0</v>
      </c>
      <c r="II215" s="844">
        <v>0</v>
      </c>
      <c r="IJ215" s="844">
        <v>0</v>
      </c>
    </row>
    <row r="216" spans="9:244" hidden="1">
      <c r="I216" s="156"/>
      <c r="L216" s="846" t="s">
        <v>1060</v>
      </c>
      <c r="M216" s="846" t="s">
        <v>1382</v>
      </c>
      <c r="N216" s="846" t="s">
        <v>96</v>
      </c>
      <c r="O216" s="847">
        <v>57</v>
      </c>
      <c r="P216" s="780" t="str">
        <f t="shared" si="6"/>
        <v>IWT060157</v>
      </c>
      <c r="Q216" s="847">
        <v>0</v>
      </c>
      <c r="R216" s="847">
        <v>0</v>
      </c>
      <c r="S216" s="847">
        <v>0</v>
      </c>
      <c r="T216" s="847">
        <v>0</v>
      </c>
      <c r="U216" s="847">
        <v>0</v>
      </c>
      <c r="V216" s="847">
        <v>0</v>
      </c>
      <c r="W216" s="847">
        <v>0</v>
      </c>
      <c r="X216" s="847">
        <v>0</v>
      </c>
      <c r="Y216" s="847">
        <v>0</v>
      </c>
      <c r="Z216" s="847">
        <v>0</v>
      </c>
      <c r="AA216" s="847">
        <v>0</v>
      </c>
      <c r="AB216" s="847">
        <v>0</v>
      </c>
      <c r="AC216" s="847">
        <v>0</v>
      </c>
      <c r="AD216" s="847">
        <v>0</v>
      </c>
      <c r="AE216" s="847">
        <v>0</v>
      </c>
      <c r="AF216" s="847">
        <v>0</v>
      </c>
      <c r="AG216" s="847">
        <v>0</v>
      </c>
      <c r="AH216" s="847">
        <v>0</v>
      </c>
      <c r="AI216" s="847">
        <v>0</v>
      </c>
      <c r="AJ216" s="847">
        <v>0</v>
      </c>
      <c r="AK216" s="847">
        <v>0</v>
      </c>
      <c r="AL216" s="847">
        <v>0</v>
      </c>
      <c r="AM216" s="847">
        <v>0</v>
      </c>
      <c r="AN216" s="847">
        <v>0</v>
      </c>
      <c r="AO216" s="847">
        <v>0</v>
      </c>
      <c r="AP216" s="847">
        <v>0</v>
      </c>
      <c r="AQ216" s="847">
        <v>0</v>
      </c>
      <c r="AR216" s="847">
        <v>0</v>
      </c>
      <c r="AS216" s="847">
        <v>0</v>
      </c>
      <c r="AT216" s="847">
        <v>0</v>
      </c>
      <c r="AU216" s="847">
        <v>0</v>
      </c>
      <c r="AV216" s="847">
        <v>0</v>
      </c>
      <c r="AW216" s="847">
        <v>0</v>
      </c>
      <c r="AX216" s="847">
        <v>0</v>
      </c>
      <c r="AY216" s="847">
        <v>0</v>
      </c>
      <c r="AZ216" s="847">
        <v>0</v>
      </c>
      <c r="BA216" s="847">
        <v>0</v>
      </c>
      <c r="BB216" s="847">
        <v>0</v>
      </c>
      <c r="BC216" s="847">
        <v>0</v>
      </c>
      <c r="BD216" s="847">
        <v>0</v>
      </c>
      <c r="BE216" s="847">
        <v>0</v>
      </c>
      <c r="BF216" s="847">
        <v>0</v>
      </c>
      <c r="BG216" s="847">
        <v>0</v>
      </c>
      <c r="BH216" s="847">
        <v>0</v>
      </c>
      <c r="BI216" s="847">
        <v>0</v>
      </c>
      <c r="BJ216" s="847">
        <v>0</v>
      </c>
      <c r="BK216" s="847">
        <v>0</v>
      </c>
      <c r="BL216" s="847">
        <v>0</v>
      </c>
      <c r="BM216" s="847">
        <v>0</v>
      </c>
      <c r="BN216" s="847">
        <v>0</v>
      </c>
      <c r="BO216" s="847">
        <v>0</v>
      </c>
      <c r="BP216" s="847">
        <v>0</v>
      </c>
      <c r="BQ216" s="847">
        <v>0</v>
      </c>
      <c r="BR216" s="847">
        <v>77200</v>
      </c>
      <c r="BS216" s="847">
        <v>0</v>
      </c>
      <c r="BT216" s="847">
        <v>0</v>
      </c>
      <c r="BU216" s="847">
        <v>0</v>
      </c>
      <c r="BV216" s="847">
        <v>0</v>
      </c>
      <c r="BW216" s="847">
        <v>0</v>
      </c>
      <c r="BX216" s="847">
        <v>0</v>
      </c>
      <c r="BY216" s="847">
        <v>0</v>
      </c>
      <c r="BZ216" s="847">
        <v>0</v>
      </c>
      <c r="CA216" s="847">
        <v>0</v>
      </c>
      <c r="CB216" s="847">
        <v>0</v>
      </c>
      <c r="CC216" s="847">
        <v>0</v>
      </c>
      <c r="CD216" s="847">
        <v>0</v>
      </c>
      <c r="CE216" s="847">
        <v>0</v>
      </c>
      <c r="CF216" s="847">
        <v>0</v>
      </c>
      <c r="CG216" s="847">
        <v>0</v>
      </c>
      <c r="CH216" s="847">
        <v>0</v>
      </c>
      <c r="CI216" s="847">
        <v>0</v>
      </c>
      <c r="CJ216" s="847">
        <v>0</v>
      </c>
      <c r="CK216" s="847">
        <v>0</v>
      </c>
      <c r="CL216" s="847">
        <v>0</v>
      </c>
      <c r="CM216" s="847">
        <v>0</v>
      </c>
      <c r="CN216" s="847">
        <v>0</v>
      </c>
      <c r="CO216" s="847">
        <v>0</v>
      </c>
      <c r="CP216" s="847">
        <v>0</v>
      </c>
      <c r="CQ216" s="847">
        <v>0</v>
      </c>
      <c r="CR216" s="847">
        <v>0</v>
      </c>
      <c r="CS216" s="847">
        <v>0</v>
      </c>
      <c r="CT216" s="847">
        <v>0</v>
      </c>
      <c r="CU216" s="847">
        <v>0</v>
      </c>
      <c r="CV216" s="847">
        <v>0</v>
      </c>
      <c r="CW216" s="847">
        <v>0</v>
      </c>
      <c r="CX216" s="847">
        <v>0</v>
      </c>
      <c r="CY216" s="847">
        <v>0</v>
      </c>
      <c r="CZ216" s="847">
        <v>0</v>
      </c>
      <c r="DA216" s="847">
        <v>0</v>
      </c>
      <c r="DB216" s="847">
        <v>0</v>
      </c>
      <c r="DC216" s="847">
        <v>0</v>
      </c>
      <c r="DD216" s="847">
        <v>0</v>
      </c>
      <c r="DE216" s="847">
        <v>0</v>
      </c>
      <c r="DF216" s="847">
        <v>0</v>
      </c>
      <c r="DG216" s="847">
        <v>0</v>
      </c>
      <c r="DH216" s="847">
        <v>0</v>
      </c>
      <c r="DI216" s="847">
        <v>0</v>
      </c>
      <c r="DJ216" s="847">
        <v>0</v>
      </c>
      <c r="DK216" s="847">
        <v>0</v>
      </c>
      <c r="DL216" s="847">
        <v>0</v>
      </c>
      <c r="DM216" s="847">
        <v>0</v>
      </c>
      <c r="DN216" s="847">
        <v>0</v>
      </c>
      <c r="DO216" s="847">
        <v>0</v>
      </c>
      <c r="DP216" s="847">
        <v>0</v>
      </c>
      <c r="DQ216" s="847">
        <v>0</v>
      </c>
      <c r="DR216" s="847">
        <v>0</v>
      </c>
      <c r="DS216" s="847">
        <v>0</v>
      </c>
      <c r="DT216" s="847">
        <v>0</v>
      </c>
      <c r="DU216" s="847">
        <v>0</v>
      </c>
      <c r="DV216" s="847">
        <v>0</v>
      </c>
      <c r="DW216" s="847">
        <v>0</v>
      </c>
      <c r="DY216" s="843" t="s">
        <v>1060</v>
      </c>
      <c r="DZ216" s="843" t="s">
        <v>1382</v>
      </c>
      <c r="EA216" s="843" t="s">
        <v>96</v>
      </c>
      <c r="EB216" s="844">
        <v>57</v>
      </c>
      <c r="EC216" s="780" t="str">
        <f t="shared" si="7"/>
        <v>IWT060157</v>
      </c>
      <c r="ED216" s="844">
        <v>5392.2</v>
      </c>
      <c r="EE216" s="844">
        <v>10784.4</v>
      </c>
      <c r="EF216" s="844">
        <v>16176.7</v>
      </c>
      <c r="EG216" s="844">
        <v>21568.9</v>
      </c>
      <c r="EH216" s="844">
        <v>26961.1</v>
      </c>
      <c r="EI216" s="844">
        <v>32353.3</v>
      </c>
      <c r="EJ216" s="844">
        <v>32353.3</v>
      </c>
      <c r="EK216" s="844">
        <v>32353.3</v>
      </c>
      <c r="EL216" s="844">
        <v>32353.3</v>
      </c>
      <c r="EM216" s="844">
        <v>32754</v>
      </c>
      <c r="EN216" s="844">
        <v>33409</v>
      </c>
      <c r="EO216" s="844">
        <v>34077</v>
      </c>
      <c r="EP216" s="844">
        <v>34758</v>
      </c>
      <c r="EQ216" s="844">
        <v>35453</v>
      </c>
      <c r="ER216" s="844">
        <v>36162</v>
      </c>
      <c r="ES216" s="844">
        <v>36886</v>
      </c>
      <c r="ET216" s="844">
        <v>37623</v>
      </c>
      <c r="EU216" s="844">
        <v>38376</v>
      </c>
      <c r="EV216" s="844">
        <v>39143</v>
      </c>
      <c r="EW216" s="844">
        <v>39926</v>
      </c>
      <c r="EX216" s="844">
        <v>40724</v>
      </c>
      <c r="EY216" s="844">
        <v>41539</v>
      </c>
      <c r="EZ216" s="844">
        <v>42369</v>
      </c>
      <c r="FA216" s="844">
        <v>43216</v>
      </c>
      <c r="FB216" s="844">
        <v>44081</v>
      </c>
      <c r="FC216" s="844">
        <v>44962</v>
      </c>
      <c r="FD216" s="844">
        <v>45861</v>
      </c>
      <c r="FE216" s="844">
        <v>46778</v>
      </c>
      <c r="FF216" s="844">
        <v>47714</v>
      </c>
      <c r="FG216" s="844">
        <v>48668</v>
      </c>
      <c r="FH216" s="844">
        <v>49641</v>
      </c>
      <c r="FI216" s="844">
        <v>50633</v>
      </c>
      <c r="FJ216" s="844">
        <v>51645</v>
      </c>
      <c r="FK216" s="844">
        <v>52678</v>
      </c>
      <c r="FL216" s="844">
        <v>53731</v>
      </c>
      <c r="FM216" s="844">
        <v>54805</v>
      </c>
      <c r="FN216" s="844">
        <v>55901</v>
      </c>
      <c r="FO216" s="844">
        <v>57018</v>
      </c>
      <c r="FP216" s="844">
        <v>58158</v>
      </c>
      <c r="FQ216" s="844">
        <v>59320</v>
      </c>
      <c r="FR216" s="844">
        <v>60506</v>
      </c>
      <c r="FS216" s="844">
        <v>61715</v>
      </c>
      <c r="FT216" s="844">
        <v>62948</v>
      </c>
      <c r="FU216" s="844">
        <v>64206</v>
      </c>
      <c r="FV216" s="844">
        <v>65489</v>
      </c>
      <c r="FW216" s="844">
        <v>66797</v>
      </c>
      <c r="FX216" s="844">
        <v>68131</v>
      </c>
      <c r="FY216" s="844">
        <v>69492</v>
      </c>
      <c r="FZ216" s="844">
        <v>70865</v>
      </c>
      <c r="GA216" s="844">
        <v>72243</v>
      </c>
      <c r="GB216" s="844">
        <v>73628</v>
      </c>
      <c r="GC216" s="844">
        <v>75022</v>
      </c>
      <c r="GD216" s="844">
        <v>76439</v>
      </c>
      <c r="GE216" s="844">
        <v>77200</v>
      </c>
      <c r="GF216" s="844">
        <v>0</v>
      </c>
      <c r="GG216" s="844">
        <v>0</v>
      </c>
      <c r="GH216" s="844">
        <v>0</v>
      </c>
      <c r="GI216" s="844">
        <v>0</v>
      </c>
      <c r="GJ216" s="844">
        <v>0</v>
      </c>
      <c r="GK216" s="844">
        <v>0</v>
      </c>
      <c r="GL216" s="844">
        <v>0</v>
      </c>
      <c r="GM216" s="844">
        <v>0</v>
      </c>
      <c r="GN216" s="844">
        <v>0</v>
      </c>
      <c r="GO216" s="844">
        <v>0</v>
      </c>
      <c r="GP216" s="844">
        <v>0</v>
      </c>
      <c r="GQ216" s="844">
        <v>0</v>
      </c>
      <c r="GR216" s="844">
        <v>0</v>
      </c>
      <c r="GS216" s="844">
        <v>0</v>
      </c>
      <c r="GT216" s="844">
        <v>0</v>
      </c>
      <c r="GU216" s="844">
        <v>0</v>
      </c>
      <c r="GV216" s="844">
        <v>0</v>
      </c>
      <c r="GW216" s="844">
        <v>0</v>
      </c>
      <c r="GX216" s="844">
        <v>0</v>
      </c>
      <c r="GY216" s="844">
        <v>0</v>
      </c>
      <c r="GZ216" s="844">
        <v>0</v>
      </c>
      <c r="HA216" s="844">
        <v>0</v>
      </c>
      <c r="HB216" s="844">
        <v>0</v>
      </c>
      <c r="HC216" s="844">
        <v>0</v>
      </c>
      <c r="HD216" s="844">
        <v>0</v>
      </c>
      <c r="HE216" s="844">
        <v>0</v>
      </c>
      <c r="HF216" s="844">
        <v>0</v>
      </c>
      <c r="HG216" s="844">
        <v>0</v>
      </c>
      <c r="HH216" s="844">
        <v>0</v>
      </c>
      <c r="HI216" s="844">
        <v>0</v>
      </c>
      <c r="HJ216" s="844">
        <v>0</v>
      </c>
      <c r="HK216" s="844">
        <v>0</v>
      </c>
      <c r="HL216" s="844">
        <v>0</v>
      </c>
      <c r="HM216" s="844">
        <v>0</v>
      </c>
      <c r="HN216" s="844">
        <v>0</v>
      </c>
      <c r="HO216" s="844">
        <v>0</v>
      </c>
      <c r="HP216" s="844">
        <v>0</v>
      </c>
      <c r="HQ216" s="844">
        <v>0</v>
      </c>
      <c r="HR216" s="844">
        <v>0</v>
      </c>
      <c r="HS216" s="844">
        <v>0</v>
      </c>
      <c r="HT216" s="844">
        <v>0</v>
      </c>
      <c r="HU216" s="844">
        <v>0</v>
      </c>
      <c r="HV216" s="844">
        <v>0</v>
      </c>
      <c r="HW216" s="844">
        <v>0</v>
      </c>
      <c r="HX216" s="844">
        <v>0</v>
      </c>
      <c r="HY216" s="844">
        <v>0</v>
      </c>
      <c r="HZ216" s="844">
        <v>0</v>
      </c>
      <c r="IA216" s="844">
        <v>0</v>
      </c>
      <c r="IB216" s="844">
        <v>0</v>
      </c>
      <c r="IC216" s="844">
        <v>0</v>
      </c>
      <c r="ID216" s="844">
        <v>0</v>
      </c>
      <c r="IE216" s="844">
        <v>0</v>
      </c>
      <c r="IF216" s="844">
        <v>0</v>
      </c>
      <c r="IG216" s="844">
        <v>0</v>
      </c>
      <c r="IH216" s="844">
        <v>0</v>
      </c>
      <c r="II216" s="844">
        <v>0</v>
      </c>
      <c r="IJ216" s="844">
        <v>0</v>
      </c>
    </row>
    <row r="217" spans="9:244" hidden="1">
      <c r="I217" s="156"/>
      <c r="L217" s="846" t="s">
        <v>1060</v>
      </c>
      <c r="M217" s="846" t="s">
        <v>1382</v>
      </c>
      <c r="N217" s="846" t="s">
        <v>96</v>
      </c>
      <c r="O217" s="847">
        <v>58</v>
      </c>
      <c r="P217" s="780" t="str">
        <f t="shared" si="6"/>
        <v>IWT060158</v>
      </c>
      <c r="Q217" s="847">
        <v>0</v>
      </c>
      <c r="R217" s="847">
        <v>0</v>
      </c>
      <c r="S217" s="847">
        <v>0</v>
      </c>
      <c r="T217" s="847">
        <v>0</v>
      </c>
      <c r="U217" s="847">
        <v>0</v>
      </c>
      <c r="V217" s="847">
        <v>0</v>
      </c>
      <c r="W217" s="847">
        <v>0</v>
      </c>
      <c r="X217" s="847">
        <v>0</v>
      </c>
      <c r="Y217" s="847">
        <v>0</v>
      </c>
      <c r="Z217" s="847">
        <v>0</v>
      </c>
      <c r="AA217" s="847">
        <v>0</v>
      </c>
      <c r="AB217" s="847">
        <v>0</v>
      </c>
      <c r="AC217" s="847">
        <v>0</v>
      </c>
      <c r="AD217" s="847">
        <v>0</v>
      </c>
      <c r="AE217" s="847">
        <v>0</v>
      </c>
      <c r="AF217" s="847">
        <v>0</v>
      </c>
      <c r="AG217" s="847">
        <v>0</v>
      </c>
      <c r="AH217" s="847">
        <v>0</v>
      </c>
      <c r="AI217" s="847">
        <v>0</v>
      </c>
      <c r="AJ217" s="847">
        <v>0</v>
      </c>
      <c r="AK217" s="847">
        <v>0</v>
      </c>
      <c r="AL217" s="847">
        <v>0</v>
      </c>
      <c r="AM217" s="847">
        <v>0</v>
      </c>
      <c r="AN217" s="847">
        <v>0</v>
      </c>
      <c r="AO217" s="847">
        <v>0</v>
      </c>
      <c r="AP217" s="847">
        <v>0</v>
      </c>
      <c r="AQ217" s="847">
        <v>0</v>
      </c>
      <c r="AR217" s="847">
        <v>0</v>
      </c>
      <c r="AS217" s="847">
        <v>0</v>
      </c>
      <c r="AT217" s="847">
        <v>0</v>
      </c>
      <c r="AU217" s="847">
        <v>0</v>
      </c>
      <c r="AV217" s="847">
        <v>0</v>
      </c>
      <c r="AW217" s="847">
        <v>0</v>
      </c>
      <c r="AX217" s="847">
        <v>0</v>
      </c>
      <c r="AY217" s="847">
        <v>0</v>
      </c>
      <c r="AZ217" s="847">
        <v>0</v>
      </c>
      <c r="BA217" s="847">
        <v>0</v>
      </c>
      <c r="BB217" s="847">
        <v>0</v>
      </c>
      <c r="BC217" s="847">
        <v>0</v>
      </c>
      <c r="BD217" s="847">
        <v>0</v>
      </c>
      <c r="BE217" s="847">
        <v>0</v>
      </c>
      <c r="BF217" s="847">
        <v>0</v>
      </c>
      <c r="BG217" s="847">
        <v>0</v>
      </c>
      <c r="BH217" s="847">
        <v>0</v>
      </c>
      <c r="BI217" s="847">
        <v>0</v>
      </c>
      <c r="BJ217" s="847">
        <v>0</v>
      </c>
      <c r="BK217" s="847">
        <v>0</v>
      </c>
      <c r="BL217" s="847">
        <v>0</v>
      </c>
      <c r="BM217" s="847">
        <v>0</v>
      </c>
      <c r="BN217" s="847">
        <v>0</v>
      </c>
      <c r="BO217" s="847">
        <v>0</v>
      </c>
      <c r="BP217" s="847">
        <v>0</v>
      </c>
      <c r="BQ217" s="847">
        <v>75800</v>
      </c>
      <c r="BR217" s="847">
        <v>0</v>
      </c>
      <c r="BS217" s="847">
        <v>0</v>
      </c>
      <c r="BT217" s="847">
        <v>0</v>
      </c>
      <c r="BU217" s="847">
        <v>0</v>
      </c>
      <c r="BV217" s="847">
        <v>0</v>
      </c>
      <c r="BW217" s="847">
        <v>0</v>
      </c>
      <c r="BX217" s="847">
        <v>0</v>
      </c>
      <c r="BY217" s="847">
        <v>0</v>
      </c>
      <c r="BZ217" s="847">
        <v>0</v>
      </c>
      <c r="CA217" s="847">
        <v>0</v>
      </c>
      <c r="CB217" s="847">
        <v>0</v>
      </c>
      <c r="CC217" s="847">
        <v>0</v>
      </c>
      <c r="CD217" s="847">
        <v>0</v>
      </c>
      <c r="CE217" s="847">
        <v>0</v>
      </c>
      <c r="CF217" s="847">
        <v>0</v>
      </c>
      <c r="CG217" s="847">
        <v>0</v>
      </c>
      <c r="CH217" s="847">
        <v>0</v>
      </c>
      <c r="CI217" s="847">
        <v>0</v>
      </c>
      <c r="CJ217" s="847">
        <v>0</v>
      </c>
      <c r="CK217" s="847">
        <v>0</v>
      </c>
      <c r="CL217" s="847">
        <v>0</v>
      </c>
      <c r="CM217" s="847">
        <v>0</v>
      </c>
      <c r="CN217" s="847">
        <v>0</v>
      </c>
      <c r="CO217" s="847">
        <v>0</v>
      </c>
      <c r="CP217" s="847">
        <v>0</v>
      </c>
      <c r="CQ217" s="847">
        <v>0</v>
      </c>
      <c r="CR217" s="847">
        <v>0</v>
      </c>
      <c r="CS217" s="847">
        <v>0</v>
      </c>
      <c r="CT217" s="847">
        <v>0</v>
      </c>
      <c r="CU217" s="847">
        <v>0</v>
      </c>
      <c r="CV217" s="847">
        <v>0</v>
      </c>
      <c r="CW217" s="847">
        <v>0</v>
      </c>
      <c r="CX217" s="847">
        <v>0</v>
      </c>
      <c r="CY217" s="847">
        <v>0</v>
      </c>
      <c r="CZ217" s="847">
        <v>0</v>
      </c>
      <c r="DA217" s="847">
        <v>0</v>
      </c>
      <c r="DB217" s="847">
        <v>0</v>
      </c>
      <c r="DC217" s="847">
        <v>0</v>
      </c>
      <c r="DD217" s="847">
        <v>0</v>
      </c>
      <c r="DE217" s="847">
        <v>0</v>
      </c>
      <c r="DF217" s="847">
        <v>0</v>
      </c>
      <c r="DG217" s="847">
        <v>0</v>
      </c>
      <c r="DH217" s="847">
        <v>0</v>
      </c>
      <c r="DI217" s="847">
        <v>0</v>
      </c>
      <c r="DJ217" s="847">
        <v>0</v>
      </c>
      <c r="DK217" s="847">
        <v>0</v>
      </c>
      <c r="DL217" s="847">
        <v>0</v>
      </c>
      <c r="DM217" s="847">
        <v>0</v>
      </c>
      <c r="DN217" s="847">
        <v>0</v>
      </c>
      <c r="DO217" s="847">
        <v>0</v>
      </c>
      <c r="DP217" s="847">
        <v>0</v>
      </c>
      <c r="DQ217" s="847">
        <v>0</v>
      </c>
      <c r="DR217" s="847">
        <v>0</v>
      </c>
      <c r="DS217" s="847">
        <v>0</v>
      </c>
      <c r="DT217" s="847">
        <v>0</v>
      </c>
      <c r="DU217" s="847">
        <v>0</v>
      </c>
      <c r="DV217" s="847">
        <v>0</v>
      </c>
      <c r="DW217" s="847">
        <v>0</v>
      </c>
      <c r="DY217" s="843" t="s">
        <v>1060</v>
      </c>
      <c r="DZ217" s="843" t="s">
        <v>1382</v>
      </c>
      <c r="EA217" s="843" t="s">
        <v>96</v>
      </c>
      <c r="EB217" s="844">
        <v>58</v>
      </c>
      <c r="EC217" s="780" t="str">
        <f t="shared" si="7"/>
        <v>IWT060158</v>
      </c>
      <c r="ED217" s="844">
        <v>5396.5</v>
      </c>
      <c r="EE217" s="844">
        <v>10792.9</v>
      </c>
      <c r="EF217" s="844">
        <v>16189.4</v>
      </c>
      <c r="EG217" s="844">
        <v>21585.8</v>
      </c>
      <c r="EH217" s="844">
        <v>26982.3</v>
      </c>
      <c r="EI217" s="844">
        <v>32378.799999999999</v>
      </c>
      <c r="EJ217" s="844">
        <v>32378.799999999999</v>
      </c>
      <c r="EK217" s="844">
        <v>32378.799999999999</v>
      </c>
      <c r="EL217" s="844">
        <v>32378.799999999999</v>
      </c>
      <c r="EM217" s="844">
        <v>32757</v>
      </c>
      <c r="EN217" s="844">
        <v>33412</v>
      </c>
      <c r="EO217" s="844">
        <v>34080</v>
      </c>
      <c r="EP217" s="844">
        <v>34762</v>
      </c>
      <c r="EQ217" s="844">
        <v>35457</v>
      </c>
      <c r="ER217" s="844">
        <v>36166</v>
      </c>
      <c r="ES217" s="844">
        <v>36889</v>
      </c>
      <c r="ET217" s="844">
        <v>37627</v>
      </c>
      <c r="EU217" s="844">
        <v>38379</v>
      </c>
      <c r="EV217" s="844">
        <v>39147</v>
      </c>
      <c r="EW217" s="844">
        <v>39930</v>
      </c>
      <c r="EX217" s="844">
        <v>40728</v>
      </c>
      <c r="EY217" s="844">
        <v>41543</v>
      </c>
      <c r="EZ217" s="844">
        <v>42373</v>
      </c>
      <c r="FA217" s="844">
        <v>43221</v>
      </c>
      <c r="FB217" s="844">
        <v>44085</v>
      </c>
      <c r="FC217" s="844">
        <v>44966</v>
      </c>
      <c r="FD217" s="844">
        <v>45866</v>
      </c>
      <c r="FE217" s="844">
        <v>46783</v>
      </c>
      <c r="FF217" s="844">
        <v>47718</v>
      </c>
      <c r="FG217" s="844">
        <v>48672</v>
      </c>
      <c r="FH217" s="844">
        <v>49645</v>
      </c>
      <c r="FI217" s="844">
        <v>50638</v>
      </c>
      <c r="FJ217" s="844">
        <v>51650</v>
      </c>
      <c r="FK217" s="844">
        <v>52683</v>
      </c>
      <c r="FL217" s="844">
        <v>53736</v>
      </c>
      <c r="FM217" s="844">
        <v>54810</v>
      </c>
      <c r="FN217" s="844">
        <v>55906</v>
      </c>
      <c r="FO217" s="844">
        <v>57023</v>
      </c>
      <c r="FP217" s="844">
        <v>58163</v>
      </c>
      <c r="FQ217" s="844">
        <v>59325</v>
      </c>
      <c r="FR217" s="844">
        <v>60511</v>
      </c>
      <c r="FS217" s="844">
        <v>61720</v>
      </c>
      <c r="FT217" s="844">
        <v>62953</v>
      </c>
      <c r="FU217" s="844">
        <v>64211</v>
      </c>
      <c r="FV217" s="844">
        <v>65494</v>
      </c>
      <c r="FW217" s="844">
        <v>66802</v>
      </c>
      <c r="FX217" s="844">
        <v>68136</v>
      </c>
      <c r="FY217" s="844">
        <v>69497</v>
      </c>
      <c r="FZ217" s="844">
        <v>70872</v>
      </c>
      <c r="GA217" s="844">
        <v>72253</v>
      </c>
      <c r="GB217" s="844">
        <v>73643</v>
      </c>
      <c r="GC217" s="844">
        <v>75053</v>
      </c>
      <c r="GD217" s="844">
        <v>75800</v>
      </c>
      <c r="GE217" s="844">
        <v>0</v>
      </c>
      <c r="GF217" s="844">
        <v>0</v>
      </c>
      <c r="GG217" s="844">
        <v>0</v>
      </c>
      <c r="GH217" s="844">
        <v>0</v>
      </c>
      <c r="GI217" s="844">
        <v>0</v>
      </c>
      <c r="GJ217" s="844">
        <v>0</v>
      </c>
      <c r="GK217" s="844">
        <v>0</v>
      </c>
      <c r="GL217" s="844">
        <v>0</v>
      </c>
      <c r="GM217" s="844">
        <v>0</v>
      </c>
      <c r="GN217" s="844">
        <v>0</v>
      </c>
      <c r="GO217" s="844">
        <v>0</v>
      </c>
      <c r="GP217" s="844">
        <v>0</v>
      </c>
      <c r="GQ217" s="844">
        <v>0</v>
      </c>
      <c r="GR217" s="844">
        <v>0</v>
      </c>
      <c r="GS217" s="844">
        <v>0</v>
      </c>
      <c r="GT217" s="844">
        <v>0</v>
      </c>
      <c r="GU217" s="844">
        <v>0</v>
      </c>
      <c r="GV217" s="844">
        <v>0</v>
      </c>
      <c r="GW217" s="844">
        <v>0</v>
      </c>
      <c r="GX217" s="844">
        <v>0</v>
      </c>
      <c r="GY217" s="844">
        <v>0</v>
      </c>
      <c r="GZ217" s="844">
        <v>0</v>
      </c>
      <c r="HA217" s="844">
        <v>0</v>
      </c>
      <c r="HB217" s="844">
        <v>0</v>
      </c>
      <c r="HC217" s="844">
        <v>0</v>
      </c>
      <c r="HD217" s="844">
        <v>0</v>
      </c>
      <c r="HE217" s="844">
        <v>0</v>
      </c>
      <c r="HF217" s="844">
        <v>0</v>
      </c>
      <c r="HG217" s="844">
        <v>0</v>
      </c>
      <c r="HH217" s="844">
        <v>0</v>
      </c>
      <c r="HI217" s="844">
        <v>0</v>
      </c>
      <c r="HJ217" s="844">
        <v>0</v>
      </c>
      <c r="HK217" s="844">
        <v>0</v>
      </c>
      <c r="HL217" s="844">
        <v>0</v>
      </c>
      <c r="HM217" s="844">
        <v>0</v>
      </c>
      <c r="HN217" s="844">
        <v>0</v>
      </c>
      <c r="HO217" s="844">
        <v>0</v>
      </c>
      <c r="HP217" s="844">
        <v>0</v>
      </c>
      <c r="HQ217" s="844">
        <v>0</v>
      </c>
      <c r="HR217" s="844">
        <v>0</v>
      </c>
      <c r="HS217" s="844">
        <v>0</v>
      </c>
      <c r="HT217" s="844">
        <v>0</v>
      </c>
      <c r="HU217" s="844">
        <v>0</v>
      </c>
      <c r="HV217" s="844">
        <v>0</v>
      </c>
      <c r="HW217" s="844">
        <v>0</v>
      </c>
      <c r="HX217" s="844">
        <v>0</v>
      </c>
      <c r="HY217" s="844">
        <v>0</v>
      </c>
      <c r="HZ217" s="844">
        <v>0</v>
      </c>
      <c r="IA217" s="844">
        <v>0</v>
      </c>
      <c r="IB217" s="844">
        <v>0</v>
      </c>
      <c r="IC217" s="844">
        <v>0</v>
      </c>
      <c r="ID217" s="844">
        <v>0</v>
      </c>
      <c r="IE217" s="844">
        <v>0</v>
      </c>
      <c r="IF217" s="844">
        <v>0</v>
      </c>
      <c r="IG217" s="844">
        <v>0</v>
      </c>
      <c r="IH217" s="844">
        <v>0</v>
      </c>
      <c r="II217" s="844">
        <v>0</v>
      </c>
      <c r="IJ217" s="844">
        <v>0</v>
      </c>
    </row>
    <row r="218" spans="9:244" hidden="1">
      <c r="I218" s="156"/>
      <c r="L218" s="846" t="s">
        <v>1060</v>
      </c>
      <c r="M218" s="846" t="s">
        <v>1382</v>
      </c>
      <c r="N218" s="846" t="s">
        <v>96</v>
      </c>
      <c r="O218" s="847">
        <v>59</v>
      </c>
      <c r="P218" s="780" t="str">
        <f t="shared" si="6"/>
        <v>IWT060159</v>
      </c>
      <c r="Q218" s="847">
        <v>0</v>
      </c>
      <c r="R218" s="847">
        <v>0</v>
      </c>
      <c r="S218" s="847">
        <v>0</v>
      </c>
      <c r="T218" s="847">
        <v>0</v>
      </c>
      <c r="U218" s="847">
        <v>0</v>
      </c>
      <c r="V218" s="847">
        <v>0</v>
      </c>
      <c r="W218" s="847">
        <v>0</v>
      </c>
      <c r="X218" s="847">
        <v>0</v>
      </c>
      <c r="Y218" s="847">
        <v>0</v>
      </c>
      <c r="Z218" s="847">
        <v>0</v>
      </c>
      <c r="AA218" s="847">
        <v>0</v>
      </c>
      <c r="AB218" s="847">
        <v>0</v>
      </c>
      <c r="AC218" s="847">
        <v>0</v>
      </c>
      <c r="AD218" s="847">
        <v>0</v>
      </c>
      <c r="AE218" s="847">
        <v>0</v>
      </c>
      <c r="AF218" s="847">
        <v>0</v>
      </c>
      <c r="AG218" s="847">
        <v>0</v>
      </c>
      <c r="AH218" s="847">
        <v>0</v>
      </c>
      <c r="AI218" s="847">
        <v>0</v>
      </c>
      <c r="AJ218" s="847">
        <v>0</v>
      </c>
      <c r="AK218" s="847">
        <v>0</v>
      </c>
      <c r="AL218" s="847">
        <v>0</v>
      </c>
      <c r="AM218" s="847">
        <v>0</v>
      </c>
      <c r="AN218" s="847">
        <v>0</v>
      </c>
      <c r="AO218" s="847">
        <v>0</v>
      </c>
      <c r="AP218" s="847">
        <v>0</v>
      </c>
      <c r="AQ218" s="847">
        <v>0</v>
      </c>
      <c r="AR218" s="847">
        <v>0</v>
      </c>
      <c r="AS218" s="847">
        <v>0</v>
      </c>
      <c r="AT218" s="847">
        <v>0</v>
      </c>
      <c r="AU218" s="847">
        <v>0</v>
      </c>
      <c r="AV218" s="847">
        <v>0</v>
      </c>
      <c r="AW218" s="847">
        <v>0</v>
      </c>
      <c r="AX218" s="847">
        <v>0</v>
      </c>
      <c r="AY218" s="847">
        <v>0</v>
      </c>
      <c r="AZ218" s="847">
        <v>0</v>
      </c>
      <c r="BA218" s="847">
        <v>0</v>
      </c>
      <c r="BB218" s="847">
        <v>0</v>
      </c>
      <c r="BC218" s="847">
        <v>0</v>
      </c>
      <c r="BD218" s="847">
        <v>0</v>
      </c>
      <c r="BE218" s="847">
        <v>0</v>
      </c>
      <c r="BF218" s="847">
        <v>0</v>
      </c>
      <c r="BG218" s="847">
        <v>0</v>
      </c>
      <c r="BH218" s="847">
        <v>0</v>
      </c>
      <c r="BI218" s="847">
        <v>0</v>
      </c>
      <c r="BJ218" s="847">
        <v>0</v>
      </c>
      <c r="BK218" s="847">
        <v>0</v>
      </c>
      <c r="BL218" s="847">
        <v>0</v>
      </c>
      <c r="BM218" s="847">
        <v>0</v>
      </c>
      <c r="BN218" s="847">
        <v>0</v>
      </c>
      <c r="BO218" s="847">
        <v>0</v>
      </c>
      <c r="BP218" s="847">
        <v>74400</v>
      </c>
      <c r="BQ218" s="847">
        <v>0</v>
      </c>
      <c r="BR218" s="847">
        <v>0</v>
      </c>
      <c r="BS218" s="847">
        <v>0</v>
      </c>
      <c r="BT218" s="847">
        <v>0</v>
      </c>
      <c r="BU218" s="847">
        <v>0</v>
      </c>
      <c r="BV218" s="847">
        <v>0</v>
      </c>
      <c r="BW218" s="847">
        <v>0</v>
      </c>
      <c r="BX218" s="847">
        <v>0</v>
      </c>
      <c r="BY218" s="847">
        <v>0</v>
      </c>
      <c r="BZ218" s="847">
        <v>0</v>
      </c>
      <c r="CA218" s="847">
        <v>0</v>
      </c>
      <c r="CB218" s="847">
        <v>0</v>
      </c>
      <c r="CC218" s="847">
        <v>0</v>
      </c>
      <c r="CD218" s="847">
        <v>0</v>
      </c>
      <c r="CE218" s="847">
        <v>0</v>
      </c>
      <c r="CF218" s="847">
        <v>0</v>
      </c>
      <c r="CG218" s="847">
        <v>0</v>
      </c>
      <c r="CH218" s="847">
        <v>0</v>
      </c>
      <c r="CI218" s="847">
        <v>0</v>
      </c>
      <c r="CJ218" s="847">
        <v>0</v>
      </c>
      <c r="CK218" s="847">
        <v>0</v>
      </c>
      <c r="CL218" s="847">
        <v>0</v>
      </c>
      <c r="CM218" s="847">
        <v>0</v>
      </c>
      <c r="CN218" s="847">
        <v>0</v>
      </c>
      <c r="CO218" s="847">
        <v>0</v>
      </c>
      <c r="CP218" s="847">
        <v>0</v>
      </c>
      <c r="CQ218" s="847">
        <v>0</v>
      </c>
      <c r="CR218" s="847">
        <v>0</v>
      </c>
      <c r="CS218" s="847">
        <v>0</v>
      </c>
      <c r="CT218" s="847">
        <v>0</v>
      </c>
      <c r="CU218" s="847">
        <v>0</v>
      </c>
      <c r="CV218" s="847">
        <v>0</v>
      </c>
      <c r="CW218" s="847">
        <v>0</v>
      </c>
      <c r="CX218" s="847">
        <v>0</v>
      </c>
      <c r="CY218" s="847">
        <v>0</v>
      </c>
      <c r="CZ218" s="847">
        <v>0</v>
      </c>
      <c r="DA218" s="847">
        <v>0</v>
      </c>
      <c r="DB218" s="847">
        <v>0</v>
      </c>
      <c r="DC218" s="847">
        <v>0</v>
      </c>
      <c r="DD218" s="847">
        <v>0</v>
      </c>
      <c r="DE218" s="847">
        <v>0</v>
      </c>
      <c r="DF218" s="847">
        <v>0</v>
      </c>
      <c r="DG218" s="847">
        <v>0</v>
      </c>
      <c r="DH218" s="847">
        <v>0</v>
      </c>
      <c r="DI218" s="847">
        <v>0</v>
      </c>
      <c r="DJ218" s="847">
        <v>0</v>
      </c>
      <c r="DK218" s="847">
        <v>0</v>
      </c>
      <c r="DL218" s="847">
        <v>0</v>
      </c>
      <c r="DM218" s="847">
        <v>0</v>
      </c>
      <c r="DN218" s="847">
        <v>0</v>
      </c>
      <c r="DO218" s="847">
        <v>0</v>
      </c>
      <c r="DP218" s="847">
        <v>0</v>
      </c>
      <c r="DQ218" s="847">
        <v>0</v>
      </c>
      <c r="DR218" s="847">
        <v>0</v>
      </c>
      <c r="DS218" s="847">
        <v>0</v>
      </c>
      <c r="DT218" s="847">
        <v>0</v>
      </c>
      <c r="DU218" s="847">
        <v>0</v>
      </c>
      <c r="DV218" s="847">
        <v>0</v>
      </c>
      <c r="DW218" s="847">
        <v>0</v>
      </c>
      <c r="DY218" s="843" t="s">
        <v>1060</v>
      </c>
      <c r="DZ218" s="843" t="s">
        <v>1382</v>
      </c>
      <c r="EA218" s="843" t="s">
        <v>96</v>
      </c>
      <c r="EB218" s="844">
        <v>59</v>
      </c>
      <c r="EC218" s="780" t="str">
        <f t="shared" si="7"/>
        <v>IWT060159</v>
      </c>
      <c r="ED218" s="844">
        <v>5400.7</v>
      </c>
      <c r="EE218" s="844">
        <v>10801.4</v>
      </c>
      <c r="EF218" s="844">
        <v>16202.1</v>
      </c>
      <c r="EG218" s="844">
        <v>21602.799999999999</v>
      </c>
      <c r="EH218" s="844">
        <v>27003.5</v>
      </c>
      <c r="EI218" s="844">
        <v>32404.2</v>
      </c>
      <c r="EJ218" s="844">
        <v>32404.2</v>
      </c>
      <c r="EK218" s="844">
        <v>32404.2</v>
      </c>
      <c r="EL218" s="844">
        <v>32404.2</v>
      </c>
      <c r="EM218" s="844">
        <v>32760</v>
      </c>
      <c r="EN218" s="844">
        <v>33416</v>
      </c>
      <c r="EO218" s="844">
        <v>34084</v>
      </c>
      <c r="EP218" s="844">
        <v>34766</v>
      </c>
      <c r="EQ218" s="844">
        <v>35461</v>
      </c>
      <c r="ER218" s="844">
        <v>36170</v>
      </c>
      <c r="ES218" s="844">
        <v>36893</v>
      </c>
      <c r="ET218" s="844">
        <v>37631</v>
      </c>
      <c r="EU218" s="844">
        <v>38384</v>
      </c>
      <c r="EV218" s="844">
        <v>39151</v>
      </c>
      <c r="EW218" s="844">
        <v>39934</v>
      </c>
      <c r="EX218" s="844">
        <v>40733</v>
      </c>
      <c r="EY218" s="844">
        <v>41547</v>
      </c>
      <c r="EZ218" s="844">
        <v>42378</v>
      </c>
      <c r="FA218" s="844">
        <v>43225</v>
      </c>
      <c r="FB218" s="844">
        <v>44090</v>
      </c>
      <c r="FC218" s="844">
        <v>44971</v>
      </c>
      <c r="FD218" s="844">
        <v>45871</v>
      </c>
      <c r="FE218" s="844">
        <v>46788</v>
      </c>
      <c r="FF218" s="844">
        <v>47723</v>
      </c>
      <c r="FG218" s="844">
        <v>48677</v>
      </c>
      <c r="FH218" s="844">
        <v>49651</v>
      </c>
      <c r="FI218" s="844">
        <v>50643</v>
      </c>
      <c r="FJ218" s="844">
        <v>51656</v>
      </c>
      <c r="FK218" s="844">
        <v>52688</v>
      </c>
      <c r="FL218" s="844">
        <v>53742</v>
      </c>
      <c r="FM218" s="844">
        <v>54816</v>
      </c>
      <c r="FN218" s="844">
        <v>55911</v>
      </c>
      <c r="FO218" s="844">
        <v>57029</v>
      </c>
      <c r="FP218" s="844">
        <v>58169</v>
      </c>
      <c r="FQ218" s="844">
        <v>59331</v>
      </c>
      <c r="FR218" s="844">
        <v>60517</v>
      </c>
      <c r="FS218" s="844">
        <v>61726</v>
      </c>
      <c r="FT218" s="844">
        <v>62959</v>
      </c>
      <c r="FU218" s="844">
        <v>64216</v>
      </c>
      <c r="FV218" s="844">
        <v>65499</v>
      </c>
      <c r="FW218" s="844">
        <v>66807</v>
      </c>
      <c r="FX218" s="844">
        <v>68141</v>
      </c>
      <c r="FY218" s="844">
        <v>69501</v>
      </c>
      <c r="FZ218" s="844">
        <v>70879</v>
      </c>
      <c r="GA218" s="844">
        <v>72265</v>
      </c>
      <c r="GB218" s="844">
        <v>73667</v>
      </c>
      <c r="GC218" s="844">
        <v>74400</v>
      </c>
      <c r="GD218" s="844">
        <v>0</v>
      </c>
      <c r="GE218" s="844">
        <v>0</v>
      </c>
      <c r="GF218" s="844">
        <v>0</v>
      </c>
      <c r="GG218" s="844">
        <v>0</v>
      </c>
      <c r="GH218" s="844">
        <v>0</v>
      </c>
      <c r="GI218" s="844">
        <v>0</v>
      </c>
      <c r="GJ218" s="844">
        <v>0</v>
      </c>
      <c r="GK218" s="844">
        <v>0</v>
      </c>
      <c r="GL218" s="844">
        <v>0</v>
      </c>
      <c r="GM218" s="844">
        <v>0</v>
      </c>
      <c r="GN218" s="844">
        <v>0</v>
      </c>
      <c r="GO218" s="844">
        <v>0</v>
      </c>
      <c r="GP218" s="844">
        <v>0</v>
      </c>
      <c r="GQ218" s="844">
        <v>0</v>
      </c>
      <c r="GR218" s="844">
        <v>0</v>
      </c>
      <c r="GS218" s="844">
        <v>0</v>
      </c>
      <c r="GT218" s="844">
        <v>0</v>
      </c>
      <c r="GU218" s="844">
        <v>0</v>
      </c>
      <c r="GV218" s="844">
        <v>0</v>
      </c>
      <c r="GW218" s="844">
        <v>0</v>
      </c>
      <c r="GX218" s="844">
        <v>0</v>
      </c>
      <c r="GY218" s="844">
        <v>0</v>
      </c>
      <c r="GZ218" s="844">
        <v>0</v>
      </c>
      <c r="HA218" s="844">
        <v>0</v>
      </c>
      <c r="HB218" s="844">
        <v>0</v>
      </c>
      <c r="HC218" s="844">
        <v>0</v>
      </c>
      <c r="HD218" s="844">
        <v>0</v>
      </c>
      <c r="HE218" s="844">
        <v>0</v>
      </c>
      <c r="HF218" s="844">
        <v>0</v>
      </c>
      <c r="HG218" s="844">
        <v>0</v>
      </c>
      <c r="HH218" s="844">
        <v>0</v>
      </c>
      <c r="HI218" s="844">
        <v>0</v>
      </c>
      <c r="HJ218" s="844">
        <v>0</v>
      </c>
      <c r="HK218" s="844">
        <v>0</v>
      </c>
      <c r="HL218" s="844">
        <v>0</v>
      </c>
      <c r="HM218" s="844">
        <v>0</v>
      </c>
      <c r="HN218" s="844">
        <v>0</v>
      </c>
      <c r="HO218" s="844">
        <v>0</v>
      </c>
      <c r="HP218" s="844">
        <v>0</v>
      </c>
      <c r="HQ218" s="844">
        <v>0</v>
      </c>
      <c r="HR218" s="844">
        <v>0</v>
      </c>
      <c r="HS218" s="844">
        <v>0</v>
      </c>
      <c r="HT218" s="844">
        <v>0</v>
      </c>
      <c r="HU218" s="844">
        <v>0</v>
      </c>
      <c r="HV218" s="844">
        <v>0</v>
      </c>
      <c r="HW218" s="844">
        <v>0</v>
      </c>
      <c r="HX218" s="844">
        <v>0</v>
      </c>
      <c r="HY218" s="844">
        <v>0</v>
      </c>
      <c r="HZ218" s="844">
        <v>0</v>
      </c>
      <c r="IA218" s="844">
        <v>0</v>
      </c>
      <c r="IB218" s="844">
        <v>0</v>
      </c>
      <c r="IC218" s="844">
        <v>0</v>
      </c>
      <c r="ID218" s="844">
        <v>0</v>
      </c>
      <c r="IE218" s="844">
        <v>0</v>
      </c>
      <c r="IF218" s="844">
        <v>0</v>
      </c>
      <c r="IG218" s="844">
        <v>0</v>
      </c>
      <c r="IH218" s="844">
        <v>0</v>
      </c>
      <c r="II218" s="844">
        <v>0</v>
      </c>
      <c r="IJ218" s="844">
        <v>0</v>
      </c>
    </row>
    <row r="219" spans="9:244" hidden="1">
      <c r="I219" s="156"/>
      <c r="L219" s="846" t="s">
        <v>1060</v>
      </c>
      <c r="M219" s="846" t="s">
        <v>1382</v>
      </c>
      <c r="N219" s="846" t="s">
        <v>96</v>
      </c>
      <c r="O219" s="847">
        <v>60</v>
      </c>
      <c r="P219" s="780" t="str">
        <f t="shared" si="6"/>
        <v>IWT060160</v>
      </c>
      <c r="Q219" s="847">
        <v>0</v>
      </c>
      <c r="R219" s="847">
        <v>0</v>
      </c>
      <c r="S219" s="847">
        <v>0</v>
      </c>
      <c r="T219" s="847">
        <v>0</v>
      </c>
      <c r="U219" s="847">
        <v>0</v>
      </c>
      <c r="V219" s="847">
        <v>0</v>
      </c>
      <c r="W219" s="847">
        <v>0</v>
      </c>
      <c r="X219" s="847">
        <v>0</v>
      </c>
      <c r="Y219" s="847">
        <v>0</v>
      </c>
      <c r="Z219" s="847">
        <v>0</v>
      </c>
      <c r="AA219" s="847">
        <v>0</v>
      </c>
      <c r="AB219" s="847">
        <v>0</v>
      </c>
      <c r="AC219" s="847">
        <v>0</v>
      </c>
      <c r="AD219" s="847">
        <v>0</v>
      </c>
      <c r="AE219" s="847">
        <v>0</v>
      </c>
      <c r="AF219" s="847">
        <v>0</v>
      </c>
      <c r="AG219" s="847">
        <v>0</v>
      </c>
      <c r="AH219" s="847">
        <v>0</v>
      </c>
      <c r="AI219" s="847">
        <v>0</v>
      </c>
      <c r="AJ219" s="847">
        <v>0</v>
      </c>
      <c r="AK219" s="847">
        <v>0</v>
      </c>
      <c r="AL219" s="847">
        <v>0</v>
      </c>
      <c r="AM219" s="847">
        <v>0</v>
      </c>
      <c r="AN219" s="847">
        <v>0</v>
      </c>
      <c r="AO219" s="847">
        <v>0</v>
      </c>
      <c r="AP219" s="847">
        <v>0</v>
      </c>
      <c r="AQ219" s="847">
        <v>0</v>
      </c>
      <c r="AR219" s="847">
        <v>0</v>
      </c>
      <c r="AS219" s="847">
        <v>0</v>
      </c>
      <c r="AT219" s="847">
        <v>0</v>
      </c>
      <c r="AU219" s="847">
        <v>0</v>
      </c>
      <c r="AV219" s="847">
        <v>0</v>
      </c>
      <c r="AW219" s="847">
        <v>0</v>
      </c>
      <c r="AX219" s="847">
        <v>0</v>
      </c>
      <c r="AY219" s="847">
        <v>0</v>
      </c>
      <c r="AZ219" s="847">
        <v>0</v>
      </c>
      <c r="BA219" s="847">
        <v>0</v>
      </c>
      <c r="BB219" s="847">
        <v>0</v>
      </c>
      <c r="BC219" s="847">
        <v>0</v>
      </c>
      <c r="BD219" s="847">
        <v>0</v>
      </c>
      <c r="BE219" s="847">
        <v>0</v>
      </c>
      <c r="BF219" s="847">
        <v>0</v>
      </c>
      <c r="BG219" s="847">
        <v>0</v>
      </c>
      <c r="BH219" s="847">
        <v>0</v>
      </c>
      <c r="BI219" s="847">
        <v>0</v>
      </c>
      <c r="BJ219" s="847">
        <v>0</v>
      </c>
      <c r="BK219" s="847">
        <v>0</v>
      </c>
      <c r="BL219" s="847">
        <v>0</v>
      </c>
      <c r="BM219" s="847">
        <v>0</v>
      </c>
      <c r="BN219" s="847">
        <v>0</v>
      </c>
      <c r="BO219" s="847">
        <v>73000</v>
      </c>
      <c r="BP219" s="847">
        <v>0</v>
      </c>
      <c r="BQ219" s="847">
        <v>0</v>
      </c>
      <c r="BR219" s="847">
        <v>0</v>
      </c>
      <c r="BS219" s="847">
        <v>0</v>
      </c>
      <c r="BT219" s="847">
        <v>0</v>
      </c>
      <c r="BU219" s="847">
        <v>0</v>
      </c>
      <c r="BV219" s="847">
        <v>0</v>
      </c>
      <c r="BW219" s="847">
        <v>0</v>
      </c>
      <c r="BX219" s="847">
        <v>0</v>
      </c>
      <c r="BY219" s="847">
        <v>0</v>
      </c>
      <c r="BZ219" s="847">
        <v>0</v>
      </c>
      <c r="CA219" s="847">
        <v>0</v>
      </c>
      <c r="CB219" s="847">
        <v>0</v>
      </c>
      <c r="CC219" s="847">
        <v>0</v>
      </c>
      <c r="CD219" s="847">
        <v>0</v>
      </c>
      <c r="CE219" s="847">
        <v>0</v>
      </c>
      <c r="CF219" s="847">
        <v>0</v>
      </c>
      <c r="CG219" s="847">
        <v>0</v>
      </c>
      <c r="CH219" s="847">
        <v>0</v>
      </c>
      <c r="CI219" s="847">
        <v>0</v>
      </c>
      <c r="CJ219" s="847">
        <v>0</v>
      </c>
      <c r="CK219" s="847">
        <v>0</v>
      </c>
      <c r="CL219" s="847">
        <v>0</v>
      </c>
      <c r="CM219" s="847">
        <v>0</v>
      </c>
      <c r="CN219" s="847">
        <v>0</v>
      </c>
      <c r="CO219" s="847">
        <v>0</v>
      </c>
      <c r="CP219" s="847">
        <v>0</v>
      </c>
      <c r="CQ219" s="847">
        <v>0</v>
      </c>
      <c r="CR219" s="847">
        <v>0</v>
      </c>
      <c r="CS219" s="847">
        <v>0</v>
      </c>
      <c r="CT219" s="847">
        <v>0</v>
      </c>
      <c r="CU219" s="847">
        <v>0</v>
      </c>
      <c r="CV219" s="847">
        <v>0</v>
      </c>
      <c r="CW219" s="847">
        <v>0</v>
      </c>
      <c r="CX219" s="847">
        <v>0</v>
      </c>
      <c r="CY219" s="847">
        <v>0</v>
      </c>
      <c r="CZ219" s="847">
        <v>0</v>
      </c>
      <c r="DA219" s="847">
        <v>0</v>
      </c>
      <c r="DB219" s="847">
        <v>0</v>
      </c>
      <c r="DC219" s="847">
        <v>0</v>
      </c>
      <c r="DD219" s="847">
        <v>0</v>
      </c>
      <c r="DE219" s="847">
        <v>0</v>
      </c>
      <c r="DF219" s="847">
        <v>0</v>
      </c>
      <c r="DG219" s="847">
        <v>0</v>
      </c>
      <c r="DH219" s="847">
        <v>0</v>
      </c>
      <c r="DI219" s="847">
        <v>0</v>
      </c>
      <c r="DJ219" s="847">
        <v>0</v>
      </c>
      <c r="DK219" s="847">
        <v>0</v>
      </c>
      <c r="DL219" s="847">
        <v>0</v>
      </c>
      <c r="DM219" s="847">
        <v>0</v>
      </c>
      <c r="DN219" s="847">
        <v>0</v>
      </c>
      <c r="DO219" s="847">
        <v>0</v>
      </c>
      <c r="DP219" s="847">
        <v>0</v>
      </c>
      <c r="DQ219" s="847">
        <v>0</v>
      </c>
      <c r="DR219" s="847">
        <v>0</v>
      </c>
      <c r="DS219" s="847">
        <v>0</v>
      </c>
      <c r="DT219" s="847">
        <v>0</v>
      </c>
      <c r="DU219" s="847">
        <v>0</v>
      </c>
      <c r="DV219" s="847">
        <v>0</v>
      </c>
      <c r="DW219" s="847">
        <v>0</v>
      </c>
      <c r="DY219" s="843" t="s">
        <v>1060</v>
      </c>
      <c r="DZ219" s="843" t="s">
        <v>1382</v>
      </c>
      <c r="EA219" s="843" t="s">
        <v>96</v>
      </c>
      <c r="EB219" s="844">
        <v>60</v>
      </c>
      <c r="EC219" s="780" t="str">
        <f t="shared" si="7"/>
        <v>IWT060160</v>
      </c>
      <c r="ED219" s="844">
        <v>5406</v>
      </c>
      <c r="EE219" s="844">
        <v>10812</v>
      </c>
      <c r="EF219" s="844">
        <v>16218</v>
      </c>
      <c r="EG219" s="844">
        <v>21624</v>
      </c>
      <c r="EH219" s="844">
        <v>27030</v>
      </c>
      <c r="EI219" s="844">
        <v>32436</v>
      </c>
      <c r="EJ219" s="844">
        <v>32436</v>
      </c>
      <c r="EK219" s="844">
        <v>32436</v>
      </c>
      <c r="EL219" s="844">
        <v>32436</v>
      </c>
      <c r="EM219" s="844">
        <v>32763</v>
      </c>
      <c r="EN219" s="844">
        <v>33418</v>
      </c>
      <c r="EO219" s="844">
        <v>34086</v>
      </c>
      <c r="EP219" s="844">
        <v>34768</v>
      </c>
      <c r="EQ219" s="844">
        <v>35463</v>
      </c>
      <c r="ER219" s="844">
        <v>36173</v>
      </c>
      <c r="ES219" s="844">
        <v>36896</v>
      </c>
      <c r="ET219" s="844">
        <v>37634</v>
      </c>
      <c r="EU219" s="844">
        <v>38386</v>
      </c>
      <c r="EV219" s="844">
        <v>39154</v>
      </c>
      <c r="EW219" s="844">
        <v>39937</v>
      </c>
      <c r="EX219" s="844">
        <v>40736</v>
      </c>
      <c r="EY219" s="844">
        <v>41550</v>
      </c>
      <c r="EZ219" s="844">
        <v>42381</v>
      </c>
      <c r="FA219" s="844">
        <v>43229</v>
      </c>
      <c r="FB219" s="844">
        <v>44093</v>
      </c>
      <c r="FC219" s="844">
        <v>44975</v>
      </c>
      <c r="FD219" s="844">
        <v>45874</v>
      </c>
      <c r="FE219" s="844">
        <v>46791</v>
      </c>
      <c r="FF219" s="844">
        <v>47727</v>
      </c>
      <c r="FG219" s="844">
        <v>48681</v>
      </c>
      <c r="FH219" s="844">
        <v>49654</v>
      </c>
      <c r="FI219" s="844">
        <v>50647</v>
      </c>
      <c r="FJ219" s="844">
        <v>51659</v>
      </c>
      <c r="FK219" s="844">
        <v>52692</v>
      </c>
      <c r="FL219" s="844">
        <v>53745</v>
      </c>
      <c r="FM219" s="844">
        <v>54819</v>
      </c>
      <c r="FN219" s="844">
        <v>55915</v>
      </c>
      <c r="FO219" s="844">
        <v>57032</v>
      </c>
      <c r="FP219" s="844">
        <v>58172</v>
      </c>
      <c r="FQ219" s="844">
        <v>59334</v>
      </c>
      <c r="FR219" s="844">
        <v>60520</v>
      </c>
      <c r="FS219" s="844">
        <v>61729</v>
      </c>
      <c r="FT219" s="844">
        <v>62962</v>
      </c>
      <c r="FU219" s="844">
        <v>64220</v>
      </c>
      <c r="FV219" s="844">
        <v>65502</v>
      </c>
      <c r="FW219" s="844">
        <v>66810</v>
      </c>
      <c r="FX219" s="844">
        <v>68144</v>
      </c>
      <c r="FY219" s="844">
        <v>69504</v>
      </c>
      <c r="FZ219" s="844">
        <v>70886</v>
      </c>
      <c r="GA219" s="844">
        <v>72281</v>
      </c>
      <c r="GB219" s="844">
        <v>73000</v>
      </c>
      <c r="GC219" s="844">
        <v>0</v>
      </c>
      <c r="GD219" s="844">
        <v>0</v>
      </c>
      <c r="GE219" s="844">
        <v>0</v>
      </c>
      <c r="GF219" s="844">
        <v>0</v>
      </c>
      <c r="GG219" s="844">
        <v>0</v>
      </c>
      <c r="GH219" s="844">
        <v>0</v>
      </c>
      <c r="GI219" s="844">
        <v>0</v>
      </c>
      <c r="GJ219" s="844">
        <v>0</v>
      </c>
      <c r="GK219" s="844">
        <v>0</v>
      </c>
      <c r="GL219" s="844">
        <v>0</v>
      </c>
      <c r="GM219" s="844">
        <v>0</v>
      </c>
      <c r="GN219" s="844">
        <v>0</v>
      </c>
      <c r="GO219" s="844">
        <v>0</v>
      </c>
      <c r="GP219" s="844">
        <v>0</v>
      </c>
      <c r="GQ219" s="844">
        <v>0</v>
      </c>
      <c r="GR219" s="844">
        <v>0</v>
      </c>
      <c r="GS219" s="844">
        <v>0</v>
      </c>
      <c r="GT219" s="844">
        <v>0</v>
      </c>
      <c r="GU219" s="844">
        <v>0</v>
      </c>
      <c r="GV219" s="844">
        <v>0</v>
      </c>
      <c r="GW219" s="844">
        <v>0</v>
      </c>
      <c r="GX219" s="844">
        <v>0</v>
      </c>
      <c r="GY219" s="844">
        <v>0</v>
      </c>
      <c r="GZ219" s="844">
        <v>0</v>
      </c>
      <c r="HA219" s="844">
        <v>0</v>
      </c>
      <c r="HB219" s="844">
        <v>0</v>
      </c>
      <c r="HC219" s="844">
        <v>0</v>
      </c>
      <c r="HD219" s="844">
        <v>0</v>
      </c>
      <c r="HE219" s="844">
        <v>0</v>
      </c>
      <c r="HF219" s="844">
        <v>0</v>
      </c>
      <c r="HG219" s="844">
        <v>0</v>
      </c>
      <c r="HH219" s="844">
        <v>0</v>
      </c>
      <c r="HI219" s="844">
        <v>0</v>
      </c>
      <c r="HJ219" s="844">
        <v>0</v>
      </c>
      <c r="HK219" s="844">
        <v>0</v>
      </c>
      <c r="HL219" s="844">
        <v>0</v>
      </c>
      <c r="HM219" s="844">
        <v>0</v>
      </c>
      <c r="HN219" s="844">
        <v>0</v>
      </c>
      <c r="HO219" s="844">
        <v>0</v>
      </c>
      <c r="HP219" s="844">
        <v>0</v>
      </c>
      <c r="HQ219" s="844">
        <v>0</v>
      </c>
      <c r="HR219" s="844">
        <v>0</v>
      </c>
      <c r="HS219" s="844">
        <v>0</v>
      </c>
      <c r="HT219" s="844">
        <v>0</v>
      </c>
      <c r="HU219" s="844">
        <v>0</v>
      </c>
      <c r="HV219" s="844">
        <v>0</v>
      </c>
      <c r="HW219" s="844">
        <v>0</v>
      </c>
      <c r="HX219" s="844">
        <v>0</v>
      </c>
      <c r="HY219" s="844">
        <v>0</v>
      </c>
      <c r="HZ219" s="844">
        <v>0</v>
      </c>
      <c r="IA219" s="844">
        <v>0</v>
      </c>
      <c r="IB219" s="844">
        <v>0</v>
      </c>
      <c r="IC219" s="844">
        <v>0</v>
      </c>
      <c r="ID219" s="844">
        <v>0</v>
      </c>
      <c r="IE219" s="844">
        <v>0</v>
      </c>
      <c r="IF219" s="844">
        <v>0</v>
      </c>
      <c r="IG219" s="844">
        <v>0</v>
      </c>
      <c r="IH219" s="844">
        <v>0</v>
      </c>
      <c r="II219" s="844">
        <v>0</v>
      </c>
      <c r="IJ219" s="844">
        <v>0</v>
      </c>
    </row>
    <row r="220" spans="9:244" hidden="1">
      <c r="I220" s="156"/>
      <c r="L220" s="846" t="s">
        <v>1060</v>
      </c>
      <c r="M220" s="846" t="s">
        <v>1382</v>
      </c>
      <c r="N220" s="846" t="s">
        <v>96</v>
      </c>
      <c r="O220" s="847">
        <v>61</v>
      </c>
      <c r="P220" s="780" t="str">
        <f t="shared" si="6"/>
        <v>IWT060161</v>
      </c>
      <c r="Q220" s="847">
        <v>0</v>
      </c>
      <c r="R220" s="847">
        <v>0</v>
      </c>
      <c r="S220" s="847">
        <v>0</v>
      </c>
      <c r="T220" s="847">
        <v>0</v>
      </c>
      <c r="U220" s="847">
        <v>0</v>
      </c>
      <c r="V220" s="847">
        <v>0</v>
      </c>
      <c r="W220" s="847">
        <v>0</v>
      </c>
      <c r="X220" s="847">
        <v>0</v>
      </c>
      <c r="Y220" s="847">
        <v>0</v>
      </c>
      <c r="Z220" s="847">
        <v>0</v>
      </c>
      <c r="AA220" s="847">
        <v>0</v>
      </c>
      <c r="AB220" s="847">
        <v>0</v>
      </c>
      <c r="AC220" s="847">
        <v>0</v>
      </c>
      <c r="AD220" s="847">
        <v>0</v>
      </c>
      <c r="AE220" s="847">
        <v>0</v>
      </c>
      <c r="AF220" s="847">
        <v>0</v>
      </c>
      <c r="AG220" s="847">
        <v>0</v>
      </c>
      <c r="AH220" s="847">
        <v>0</v>
      </c>
      <c r="AI220" s="847">
        <v>0</v>
      </c>
      <c r="AJ220" s="847">
        <v>0</v>
      </c>
      <c r="AK220" s="847">
        <v>0</v>
      </c>
      <c r="AL220" s="847">
        <v>0</v>
      </c>
      <c r="AM220" s="847">
        <v>0</v>
      </c>
      <c r="AN220" s="847">
        <v>0</v>
      </c>
      <c r="AO220" s="847">
        <v>0</v>
      </c>
      <c r="AP220" s="847">
        <v>0</v>
      </c>
      <c r="AQ220" s="847">
        <v>0</v>
      </c>
      <c r="AR220" s="847">
        <v>0</v>
      </c>
      <c r="AS220" s="847">
        <v>0</v>
      </c>
      <c r="AT220" s="847">
        <v>0</v>
      </c>
      <c r="AU220" s="847">
        <v>0</v>
      </c>
      <c r="AV220" s="847">
        <v>0</v>
      </c>
      <c r="AW220" s="847">
        <v>0</v>
      </c>
      <c r="AX220" s="847">
        <v>0</v>
      </c>
      <c r="AY220" s="847">
        <v>0</v>
      </c>
      <c r="AZ220" s="847">
        <v>0</v>
      </c>
      <c r="BA220" s="847">
        <v>0</v>
      </c>
      <c r="BB220" s="847">
        <v>0</v>
      </c>
      <c r="BC220" s="847">
        <v>0</v>
      </c>
      <c r="BD220" s="847">
        <v>0</v>
      </c>
      <c r="BE220" s="847">
        <v>0</v>
      </c>
      <c r="BF220" s="847">
        <v>0</v>
      </c>
      <c r="BG220" s="847">
        <v>0</v>
      </c>
      <c r="BH220" s="847">
        <v>0</v>
      </c>
      <c r="BI220" s="847">
        <v>0</v>
      </c>
      <c r="BJ220" s="847">
        <v>0</v>
      </c>
      <c r="BK220" s="847">
        <v>0</v>
      </c>
      <c r="BL220" s="847">
        <v>0</v>
      </c>
      <c r="BM220" s="847">
        <v>0</v>
      </c>
      <c r="BN220" s="847">
        <v>71600</v>
      </c>
      <c r="BO220" s="847">
        <v>0</v>
      </c>
      <c r="BP220" s="847">
        <v>0</v>
      </c>
      <c r="BQ220" s="847">
        <v>0</v>
      </c>
      <c r="BR220" s="847">
        <v>0</v>
      </c>
      <c r="BS220" s="847">
        <v>0</v>
      </c>
      <c r="BT220" s="847">
        <v>0</v>
      </c>
      <c r="BU220" s="847">
        <v>0</v>
      </c>
      <c r="BV220" s="847">
        <v>0</v>
      </c>
      <c r="BW220" s="847">
        <v>0</v>
      </c>
      <c r="BX220" s="847">
        <v>0</v>
      </c>
      <c r="BY220" s="847">
        <v>0</v>
      </c>
      <c r="BZ220" s="847">
        <v>0</v>
      </c>
      <c r="CA220" s="847">
        <v>0</v>
      </c>
      <c r="CB220" s="847">
        <v>0</v>
      </c>
      <c r="CC220" s="847">
        <v>0</v>
      </c>
      <c r="CD220" s="847">
        <v>0</v>
      </c>
      <c r="CE220" s="847">
        <v>0</v>
      </c>
      <c r="CF220" s="847">
        <v>0</v>
      </c>
      <c r="CG220" s="847">
        <v>0</v>
      </c>
      <c r="CH220" s="847">
        <v>0</v>
      </c>
      <c r="CI220" s="847">
        <v>0</v>
      </c>
      <c r="CJ220" s="847">
        <v>0</v>
      </c>
      <c r="CK220" s="847">
        <v>0</v>
      </c>
      <c r="CL220" s="847">
        <v>0</v>
      </c>
      <c r="CM220" s="847">
        <v>0</v>
      </c>
      <c r="CN220" s="847">
        <v>0</v>
      </c>
      <c r="CO220" s="847">
        <v>0</v>
      </c>
      <c r="CP220" s="847">
        <v>0</v>
      </c>
      <c r="CQ220" s="847">
        <v>0</v>
      </c>
      <c r="CR220" s="847">
        <v>0</v>
      </c>
      <c r="CS220" s="847">
        <v>0</v>
      </c>
      <c r="CT220" s="847">
        <v>0</v>
      </c>
      <c r="CU220" s="847">
        <v>0</v>
      </c>
      <c r="CV220" s="847">
        <v>0</v>
      </c>
      <c r="CW220" s="847">
        <v>0</v>
      </c>
      <c r="CX220" s="847">
        <v>0</v>
      </c>
      <c r="CY220" s="847">
        <v>0</v>
      </c>
      <c r="CZ220" s="847">
        <v>0</v>
      </c>
      <c r="DA220" s="847">
        <v>0</v>
      </c>
      <c r="DB220" s="847">
        <v>0</v>
      </c>
      <c r="DC220" s="847">
        <v>0</v>
      </c>
      <c r="DD220" s="847">
        <v>0</v>
      </c>
      <c r="DE220" s="847">
        <v>0</v>
      </c>
      <c r="DF220" s="847">
        <v>0</v>
      </c>
      <c r="DG220" s="847">
        <v>0</v>
      </c>
      <c r="DH220" s="847">
        <v>0</v>
      </c>
      <c r="DI220" s="847">
        <v>0</v>
      </c>
      <c r="DJ220" s="847">
        <v>0</v>
      </c>
      <c r="DK220" s="847">
        <v>0</v>
      </c>
      <c r="DL220" s="847">
        <v>0</v>
      </c>
      <c r="DM220" s="847">
        <v>0</v>
      </c>
      <c r="DN220" s="847">
        <v>0</v>
      </c>
      <c r="DO220" s="847">
        <v>0</v>
      </c>
      <c r="DP220" s="847">
        <v>0</v>
      </c>
      <c r="DQ220" s="847">
        <v>0</v>
      </c>
      <c r="DR220" s="847">
        <v>0</v>
      </c>
      <c r="DS220" s="847">
        <v>0</v>
      </c>
      <c r="DT220" s="847">
        <v>0</v>
      </c>
      <c r="DU220" s="847">
        <v>0</v>
      </c>
      <c r="DV220" s="847">
        <v>0</v>
      </c>
      <c r="DW220" s="847">
        <v>0</v>
      </c>
      <c r="DY220" s="843" t="s">
        <v>1060</v>
      </c>
      <c r="DZ220" s="843" t="s">
        <v>1382</v>
      </c>
      <c r="EA220" s="843" t="s">
        <v>96</v>
      </c>
      <c r="EB220" s="844">
        <v>61</v>
      </c>
      <c r="EC220" s="780" t="str">
        <f t="shared" si="7"/>
        <v>IWT060161</v>
      </c>
      <c r="ED220" s="844">
        <v>5411.3</v>
      </c>
      <c r="EE220" s="844">
        <v>10822.6</v>
      </c>
      <c r="EF220" s="844">
        <v>16233.9</v>
      </c>
      <c r="EG220" s="844">
        <v>21645.200000000001</v>
      </c>
      <c r="EH220" s="844">
        <v>27056.5</v>
      </c>
      <c r="EI220" s="844">
        <v>32467.8</v>
      </c>
      <c r="EJ220" s="844">
        <v>32467.8</v>
      </c>
      <c r="EK220" s="844">
        <v>32467.8</v>
      </c>
      <c r="EL220" s="844">
        <v>32467.8</v>
      </c>
      <c r="EM220" s="844">
        <v>32766</v>
      </c>
      <c r="EN220" s="844">
        <v>33421</v>
      </c>
      <c r="EO220" s="844">
        <v>34090</v>
      </c>
      <c r="EP220" s="844">
        <v>34772</v>
      </c>
      <c r="EQ220" s="844">
        <v>35467</v>
      </c>
      <c r="ER220" s="844">
        <v>36176</v>
      </c>
      <c r="ES220" s="844">
        <v>36900</v>
      </c>
      <c r="ET220" s="844">
        <v>37638</v>
      </c>
      <c r="EU220" s="844">
        <v>38390</v>
      </c>
      <c r="EV220" s="844">
        <v>39158</v>
      </c>
      <c r="EW220" s="844">
        <v>39941</v>
      </c>
      <c r="EX220" s="844">
        <v>40740</v>
      </c>
      <c r="EY220" s="844">
        <v>41554</v>
      </c>
      <c r="EZ220" s="844">
        <v>42385</v>
      </c>
      <c r="FA220" s="844">
        <v>43233</v>
      </c>
      <c r="FB220" s="844">
        <v>44097</v>
      </c>
      <c r="FC220" s="844">
        <v>44979</v>
      </c>
      <c r="FD220" s="844">
        <v>45878</v>
      </c>
      <c r="FE220" s="844">
        <v>46795</v>
      </c>
      <c r="FF220" s="844">
        <v>47731</v>
      </c>
      <c r="FG220" s="844">
        <v>48685</v>
      </c>
      <c r="FH220" s="844">
        <v>49659</v>
      </c>
      <c r="FI220" s="844">
        <v>50651</v>
      </c>
      <c r="FJ220" s="844">
        <v>51664</v>
      </c>
      <c r="FK220" s="844">
        <v>52697</v>
      </c>
      <c r="FL220" s="844">
        <v>53750</v>
      </c>
      <c r="FM220" s="844">
        <v>54824</v>
      </c>
      <c r="FN220" s="844">
        <v>55920</v>
      </c>
      <c r="FO220" s="844">
        <v>57037</v>
      </c>
      <c r="FP220" s="844">
        <v>58177</v>
      </c>
      <c r="FQ220" s="844">
        <v>59340</v>
      </c>
      <c r="FR220" s="844">
        <v>60525</v>
      </c>
      <c r="FS220" s="844">
        <v>61734</v>
      </c>
      <c r="FT220" s="844">
        <v>62967</v>
      </c>
      <c r="FU220" s="844">
        <v>64225</v>
      </c>
      <c r="FV220" s="844">
        <v>65507</v>
      </c>
      <c r="FW220" s="844">
        <v>66815</v>
      </c>
      <c r="FX220" s="844">
        <v>68148</v>
      </c>
      <c r="FY220" s="844">
        <v>69508</v>
      </c>
      <c r="FZ220" s="844">
        <v>70895</v>
      </c>
      <c r="GA220" s="844">
        <v>71600</v>
      </c>
      <c r="GB220" s="844">
        <v>0</v>
      </c>
      <c r="GC220" s="844">
        <v>0</v>
      </c>
      <c r="GD220" s="844">
        <v>0</v>
      </c>
      <c r="GE220" s="844">
        <v>0</v>
      </c>
      <c r="GF220" s="844">
        <v>0</v>
      </c>
      <c r="GG220" s="844">
        <v>0</v>
      </c>
      <c r="GH220" s="844">
        <v>0</v>
      </c>
      <c r="GI220" s="844">
        <v>0</v>
      </c>
      <c r="GJ220" s="844">
        <v>0</v>
      </c>
      <c r="GK220" s="844">
        <v>0</v>
      </c>
      <c r="GL220" s="844">
        <v>0</v>
      </c>
      <c r="GM220" s="844">
        <v>0</v>
      </c>
      <c r="GN220" s="844">
        <v>0</v>
      </c>
      <c r="GO220" s="844">
        <v>0</v>
      </c>
      <c r="GP220" s="844">
        <v>0</v>
      </c>
      <c r="GQ220" s="844">
        <v>0</v>
      </c>
      <c r="GR220" s="844">
        <v>0</v>
      </c>
      <c r="GS220" s="844">
        <v>0</v>
      </c>
      <c r="GT220" s="844">
        <v>0</v>
      </c>
      <c r="GU220" s="844">
        <v>0</v>
      </c>
      <c r="GV220" s="844">
        <v>0</v>
      </c>
      <c r="GW220" s="844">
        <v>0</v>
      </c>
      <c r="GX220" s="844">
        <v>0</v>
      </c>
      <c r="GY220" s="844">
        <v>0</v>
      </c>
      <c r="GZ220" s="844">
        <v>0</v>
      </c>
      <c r="HA220" s="844">
        <v>0</v>
      </c>
      <c r="HB220" s="844">
        <v>0</v>
      </c>
      <c r="HC220" s="844">
        <v>0</v>
      </c>
      <c r="HD220" s="844">
        <v>0</v>
      </c>
      <c r="HE220" s="844">
        <v>0</v>
      </c>
      <c r="HF220" s="844">
        <v>0</v>
      </c>
      <c r="HG220" s="844">
        <v>0</v>
      </c>
      <c r="HH220" s="844">
        <v>0</v>
      </c>
      <c r="HI220" s="844">
        <v>0</v>
      </c>
      <c r="HJ220" s="844">
        <v>0</v>
      </c>
      <c r="HK220" s="844">
        <v>0</v>
      </c>
      <c r="HL220" s="844">
        <v>0</v>
      </c>
      <c r="HM220" s="844">
        <v>0</v>
      </c>
      <c r="HN220" s="844">
        <v>0</v>
      </c>
      <c r="HO220" s="844">
        <v>0</v>
      </c>
      <c r="HP220" s="844">
        <v>0</v>
      </c>
      <c r="HQ220" s="844">
        <v>0</v>
      </c>
      <c r="HR220" s="844">
        <v>0</v>
      </c>
      <c r="HS220" s="844">
        <v>0</v>
      </c>
      <c r="HT220" s="844">
        <v>0</v>
      </c>
      <c r="HU220" s="844">
        <v>0</v>
      </c>
      <c r="HV220" s="844">
        <v>0</v>
      </c>
      <c r="HW220" s="844">
        <v>0</v>
      </c>
      <c r="HX220" s="844">
        <v>0</v>
      </c>
      <c r="HY220" s="844">
        <v>0</v>
      </c>
      <c r="HZ220" s="844">
        <v>0</v>
      </c>
      <c r="IA220" s="844">
        <v>0</v>
      </c>
      <c r="IB220" s="844">
        <v>0</v>
      </c>
      <c r="IC220" s="844">
        <v>0</v>
      </c>
      <c r="ID220" s="844">
        <v>0</v>
      </c>
      <c r="IE220" s="844">
        <v>0</v>
      </c>
      <c r="IF220" s="844">
        <v>0</v>
      </c>
      <c r="IG220" s="844">
        <v>0</v>
      </c>
      <c r="IH220" s="844">
        <v>0</v>
      </c>
      <c r="II220" s="844">
        <v>0</v>
      </c>
      <c r="IJ220" s="844">
        <v>0</v>
      </c>
    </row>
    <row r="221" spans="9:244" hidden="1">
      <c r="I221" s="156"/>
      <c r="L221" s="846" t="s">
        <v>1060</v>
      </c>
      <c r="M221" s="846" t="s">
        <v>1382</v>
      </c>
      <c r="N221" s="846" t="s">
        <v>96</v>
      </c>
      <c r="O221" s="847">
        <v>62</v>
      </c>
      <c r="P221" s="780" t="str">
        <f t="shared" ref="P221:P284" si="8">M221&amp;TEXT(N221,"00")&amp;TEXT(O221,"00")</f>
        <v>IWT060162</v>
      </c>
      <c r="Q221" s="847">
        <v>0</v>
      </c>
      <c r="R221" s="847">
        <v>0</v>
      </c>
      <c r="S221" s="847">
        <v>0</v>
      </c>
      <c r="T221" s="847">
        <v>0</v>
      </c>
      <c r="U221" s="847">
        <v>0</v>
      </c>
      <c r="V221" s="847">
        <v>0</v>
      </c>
      <c r="W221" s="847">
        <v>0</v>
      </c>
      <c r="X221" s="847">
        <v>0</v>
      </c>
      <c r="Y221" s="847">
        <v>0</v>
      </c>
      <c r="Z221" s="847">
        <v>0</v>
      </c>
      <c r="AA221" s="847">
        <v>0</v>
      </c>
      <c r="AB221" s="847">
        <v>0</v>
      </c>
      <c r="AC221" s="847">
        <v>0</v>
      </c>
      <c r="AD221" s="847">
        <v>0</v>
      </c>
      <c r="AE221" s="847">
        <v>0</v>
      </c>
      <c r="AF221" s="847">
        <v>0</v>
      </c>
      <c r="AG221" s="847">
        <v>0</v>
      </c>
      <c r="AH221" s="847">
        <v>0</v>
      </c>
      <c r="AI221" s="847">
        <v>0</v>
      </c>
      <c r="AJ221" s="847">
        <v>0</v>
      </c>
      <c r="AK221" s="847">
        <v>0</v>
      </c>
      <c r="AL221" s="847">
        <v>0</v>
      </c>
      <c r="AM221" s="847">
        <v>0</v>
      </c>
      <c r="AN221" s="847">
        <v>0</v>
      </c>
      <c r="AO221" s="847">
        <v>0</v>
      </c>
      <c r="AP221" s="847">
        <v>0</v>
      </c>
      <c r="AQ221" s="847">
        <v>0</v>
      </c>
      <c r="AR221" s="847">
        <v>0</v>
      </c>
      <c r="AS221" s="847">
        <v>0</v>
      </c>
      <c r="AT221" s="847">
        <v>0</v>
      </c>
      <c r="AU221" s="847">
        <v>0</v>
      </c>
      <c r="AV221" s="847">
        <v>0</v>
      </c>
      <c r="AW221" s="847">
        <v>0</v>
      </c>
      <c r="AX221" s="847">
        <v>0</v>
      </c>
      <c r="AY221" s="847">
        <v>0</v>
      </c>
      <c r="AZ221" s="847">
        <v>0</v>
      </c>
      <c r="BA221" s="847">
        <v>0</v>
      </c>
      <c r="BB221" s="847">
        <v>0</v>
      </c>
      <c r="BC221" s="847">
        <v>0</v>
      </c>
      <c r="BD221" s="847">
        <v>0</v>
      </c>
      <c r="BE221" s="847">
        <v>0</v>
      </c>
      <c r="BF221" s="847">
        <v>0</v>
      </c>
      <c r="BG221" s="847">
        <v>0</v>
      </c>
      <c r="BH221" s="847">
        <v>0</v>
      </c>
      <c r="BI221" s="847">
        <v>0</v>
      </c>
      <c r="BJ221" s="847">
        <v>0</v>
      </c>
      <c r="BK221" s="847">
        <v>0</v>
      </c>
      <c r="BL221" s="847">
        <v>0</v>
      </c>
      <c r="BM221" s="847">
        <v>70200</v>
      </c>
      <c r="BN221" s="847">
        <v>0</v>
      </c>
      <c r="BO221" s="847">
        <v>0</v>
      </c>
      <c r="BP221" s="847">
        <v>0</v>
      </c>
      <c r="BQ221" s="847">
        <v>0</v>
      </c>
      <c r="BR221" s="847">
        <v>0</v>
      </c>
      <c r="BS221" s="847">
        <v>0</v>
      </c>
      <c r="BT221" s="847">
        <v>0</v>
      </c>
      <c r="BU221" s="847">
        <v>0</v>
      </c>
      <c r="BV221" s="847">
        <v>0</v>
      </c>
      <c r="BW221" s="847">
        <v>0</v>
      </c>
      <c r="BX221" s="847">
        <v>0</v>
      </c>
      <c r="BY221" s="847">
        <v>0</v>
      </c>
      <c r="BZ221" s="847">
        <v>0</v>
      </c>
      <c r="CA221" s="847">
        <v>0</v>
      </c>
      <c r="CB221" s="847">
        <v>0</v>
      </c>
      <c r="CC221" s="847">
        <v>0</v>
      </c>
      <c r="CD221" s="847">
        <v>0</v>
      </c>
      <c r="CE221" s="847">
        <v>0</v>
      </c>
      <c r="CF221" s="847">
        <v>0</v>
      </c>
      <c r="CG221" s="847">
        <v>0</v>
      </c>
      <c r="CH221" s="847">
        <v>0</v>
      </c>
      <c r="CI221" s="847">
        <v>0</v>
      </c>
      <c r="CJ221" s="847">
        <v>0</v>
      </c>
      <c r="CK221" s="847">
        <v>0</v>
      </c>
      <c r="CL221" s="847">
        <v>0</v>
      </c>
      <c r="CM221" s="847">
        <v>0</v>
      </c>
      <c r="CN221" s="847">
        <v>0</v>
      </c>
      <c r="CO221" s="847">
        <v>0</v>
      </c>
      <c r="CP221" s="847">
        <v>0</v>
      </c>
      <c r="CQ221" s="847">
        <v>0</v>
      </c>
      <c r="CR221" s="847">
        <v>0</v>
      </c>
      <c r="CS221" s="847">
        <v>0</v>
      </c>
      <c r="CT221" s="847">
        <v>0</v>
      </c>
      <c r="CU221" s="847">
        <v>0</v>
      </c>
      <c r="CV221" s="847">
        <v>0</v>
      </c>
      <c r="CW221" s="847">
        <v>0</v>
      </c>
      <c r="CX221" s="847">
        <v>0</v>
      </c>
      <c r="CY221" s="847">
        <v>0</v>
      </c>
      <c r="CZ221" s="847">
        <v>0</v>
      </c>
      <c r="DA221" s="847">
        <v>0</v>
      </c>
      <c r="DB221" s="847">
        <v>0</v>
      </c>
      <c r="DC221" s="847">
        <v>0</v>
      </c>
      <c r="DD221" s="847">
        <v>0</v>
      </c>
      <c r="DE221" s="847">
        <v>0</v>
      </c>
      <c r="DF221" s="847">
        <v>0</v>
      </c>
      <c r="DG221" s="847">
        <v>0</v>
      </c>
      <c r="DH221" s="847">
        <v>0</v>
      </c>
      <c r="DI221" s="847">
        <v>0</v>
      </c>
      <c r="DJ221" s="847">
        <v>0</v>
      </c>
      <c r="DK221" s="847">
        <v>0</v>
      </c>
      <c r="DL221" s="847">
        <v>0</v>
      </c>
      <c r="DM221" s="847">
        <v>0</v>
      </c>
      <c r="DN221" s="847">
        <v>0</v>
      </c>
      <c r="DO221" s="847">
        <v>0</v>
      </c>
      <c r="DP221" s="847">
        <v>0</v>
      </c>
      <c r="DQ221" s="847">
        <v>0</v>
      </c>
      <c r="DR221" s="847">
        <v>0</v>
      </c>
      <c r="DS221" s="847">
        <v>0</v>
      </c>
      <c r="DT221" s="847">
        <v>0</v>
      </c>
      <c r="DU221" s="847">
        <v>0</v>
      </c>
      <c r="DV221" s="847">
        <v>0</v>
      </c>
      <c r="DW221" s="847">
        <v>0</v>
      </c>
      <c r="DY221" s="843" t="s">
        <v>1060</v>
      </c>
      <c r="DZ221" s="843" t="s">
        <v>1382</v>
      </c>
      <c r="EA221" s="843" t="s">
        <v>96</v>
      </c>
      <c r="EB221" s="844">
        <v>62</v>
      </c>
      <c r="EC221" s="780" t="str">
        <f t="shared" si="7"/>
        <v>IWT060162</v>
      </c>
      <c r="ED221" s="844">
        <v>5416.6</v>
      </c>
      <c r="EE221" s="844">
        <v>10833.2</v>
      </c>
      <c r="EF221" s="844">
        <v>16249.8</v>
      </c>
      <c r="EG221" s="844">
        <v>21666.400000000001</v>
      </c>
      <c r="EH221" s="844">
        <v>27083</v>
      </c>
      <c r="EI221" s="844">
        <v>32499.599999999999</v>
      </c>
      <c r="EJ221" s="844">
        <v>32499.599999999999</v>
      </c>
      <c r="EK221" s="844">
        <v>32499.599999999999</v>
      </c>
      <c r="EL221" s="844">
        <v>32499.599999999999</v>
      </c>
      <c r="EM221" s="844">
        <v>32769</v>
      </c>
      <c r="EN221" s="844">
        <v>33424</v>
      </c>
      <c r="EO221" s="844">
        <v>34092</v>
      </c>
      <c r="EP221" s="844">
        <v>34774</v>
      </c>
      <c r="EQ221" s="844">
        <v>35469</v>
      </c>
      <c r="ER221" s="844">
        <v>36179</v>
      </c>
      <c r="ES221" s="844">
        <v>36902</v>
      </c>
      <c r="ET221" s="844">
        <v>37640</v>
      </c>
      <c r="EU221" s="844">
        <v>38393</v>
      </c>
      <c r="EV221" s="844">
        <v>39161</v>
      </c>
      <c r="EW221" s="844">
        <v>39944</v>
      </c>
      <c r="EX221" s="844">
        <v>40742</v>
      </c>
      <c r="EY221" s="844">
        <v>41557</v>
      </c>
      <c r="EZ221" s="844">
        <v>42388</v>
      </c>
      <c r="FA221" s="844">
        <v>43236</v>
      </c>
      <c r="FB221" s="844">
        <v>44100</v>
      </c>
      <c r="FC221" s="844">
        <v>44982</v>
      </c>
      <c r="FD221" s="844">
        <v>45881</v>
      </c>
      <c r="FE221" s="844">
        <v>46799</v>
      </c>
      <c r="FF221" s="844">
        <v>47734</v>
      </c>
      <c r="FG221" s="844">
        <v>48689</v>
      </c>
      <c r="FH221" s="844">
        <v>49662</v>
      </c>
      <c r="FI221" s="844">
        <v>50655</v>
      </c>
      <c r="FJ221" s="844">
        <v>51667</v>
      </c>
      <c r="FK221" s="844">
        <v>52700</v>
      </c>
      <c r="FL221" s="844">
        <v>53753</v>
      </c>
      <c r="FM221" s="844">
        <v>54827</v>
      </c>
      <c r="FN221" s="844">
        <v>55923</v>
      </c>
      <c r="FO221" s="844">
        <v>57041</v>
      </c>
      <c r="FP221" s="844">
        <v>58180</v>
      </c>
      <c r="FQ221" s="844">
        <v>59343</v>
      </c>
      <c r="FR221" s="844">
        <v>60528</v>
      </c>
      <c r="FS221" s="844">
        <v>61737</v>
      </c>
      <c r="FT221" s="844">
        <v>62970</v>
      </c>
      <c r="FU221" s="844">
        <v>64227</v>
      </c>
      <c r="FV221" s="844">
        <v>65509</v>
      </c>
      <c r="FW221" s="844">
        <v>66816</v>
      </c>
      <c r="FX221" s="844">
        <v>68149</v>
      </c>
      <c r="FY221" s="844">
        <v>69508</v>
      </c>
      <c r="FZ221" s="844">
        <v>70200</v>
      </c>
      <c r="GA221" s="844">
        <v>0</v>
      </c>
      <c r="GB221" s="844">
        <v>0</v>
      </c>
      <c r="GC221" s="844">
        <v>0</v>
      </c>
      <c r="GD221" s="844">
        <v>0</v>
      </c>
      <c r="GE221" s="844">
        <v>0</v>
      </c>
      <c r="GF221" s="844">
        <v>0</v>
      </c>
      <c r="GG221" s="844">
        <v>0</v>
      </c>
      <c r="GH221" s="844">
        <v>0</v>
      </c>
      <c r="GI221" s="844">
        <v>0</v>
      </c>
      <c r="GJ221" s="844">
        <v>0</v>
      </c>
      <c r="GK221" s="844">
        <v>0</v>
      </c>
      <c r="GL221" s="844">
        <v>0</v>
      </c>
      <c r="GM221" s="844">
        <v>0</v>
      </c>
      <c r="GN221" s="844">
        <v>0</v>
      </c>
      <c r="GO221" s="844">
        <v>0</v>
      </c>
      <c r="GP221" s="844">
        <v>0</v>
      </c>
      <c r="GQ221" s="844">
        <v>0</v>
      </c>
      <c r="GR221" s="844">
        <v>0</v>
      </c>
      <c r="GS221" s="844">
        <v>0</v>
      </c>
      <c r="GT221" s="844">
        <v>0</v>
      </c>
      <c r="GU221" s="844">
        <v>0</v>
      </c>
      <c r="GV221" s="844">
        <v>0</v>
      </c>
      <c r="GW221" s="844">
        <v>0</v>
      </c>
      <c r="GX221" s="844">
        <v>0</v>
      </c>
      <c r="GY221" s="844">
        <v>0</v>
      </c>
      <c r="GZ221" s="844">
        <v>0</v>
      </c>
      <c r="HA221" s="844">
        <v>0</v>
      </c>
      <c r="HB221" s="844">
        <v>0</v>
      </c>
      <c r="HC221" s="844">
        <v>0</v>
      </c>
      <c r="HD221" s="844">
        <v>0</v>
      </c>
      <c r="HE221" s="844">
        <v>0</v>
      </c>
      <c r="HF221" s="844">
        <v>0</v>
      </c>
      <c r="HG221" s="844">
        <v>0</v>
      </c>
      <c r="HH221" s="844">
        <v>0</v>
      </c>
      <c r="HI221" s="844">
        <v>0</v>
      </c>
      <c r="HJ221" s="844">
        <v>0</v>
      </c>
      <c r="HK221" s="844">
        <v>0</v>
      </c>
      <c r="HL221" s="844">
        <v>0</v>
      </c>
      <c r="HM221" s="844">
        <v>0</v>
      </c>
      <c r="HN221" s="844">
        <v>0</v>
      </c>
      <c r="HO221" s="844">
        <v>0</v>
      </c>
      <c r="HP221" s="844">
        <v>0</v>
      </c>
      <c r="HQ221" s="844">
        <v>0</v>
      </c>
      <c r="HR221" s="844">
        <v>0</v>
      </c>
      <c r="HS221" s="844">
        <v>0</v>
      </c>
      <c r="HT221" s="844">
        <v>0</v>
      </c>
      <c r="HU221" s="844">
        <v>0</v>
      </c>
      <c r="HV221" s="844">
        <v>0</v>
      </c>
      <c r="HW221" s="844">
        <v>0</v>
      </c>
      <c r="HX221" s="844">
        <v>0</v>
      </c>
      <c r="HY221" s="844">
        <v>0</v>
      </c>
      <c r="HZ221" s="844">
        <v>0</v>
      </c>
      <c r="IA221" s="844">
        <v>0</v>
      </c>
      <c r="IB221" s="844">
        <v>0</v>
      </c>
      <c r="IC221" s="844">
        <v>0</v>
      </c>
      <c r="ID221" s="844">
        <v>0</v>
      </c>
      <c r="IE221" s="844">
        <v>0</v>
      </c>
      <c r="IF221" s="844">
        <v>0</v>
      </c>
      <c r="IG221" s="844">
        <v>0</v>
      </c>
      <c r="IH221" s="844">
        <v>0</v>
      </c>
      <c r="II221" s="844">
        <v>0</v>
      </c>
      <c r="IJ221" s="844">
        <v>0</v>
      </c>
    </row>
    <row r="222" spans="9:244" hidden="1">
      <c r="I222" s="156"/>
      <c r="L222" s="846" t="s">
        <v>1060</v>
      </c>
      <c r="M222" s="846" t="s">
        <v>1382</v>
      </c>
      <c r="N222" s="846" t="s">
        <v>96</v>
      </c>
      <c r="O222" s="847">
        <v>63</v>
      </c>
      <c r="P222" s="780" t="str">
        <f t="shared" si="8"/>
        <v>IWT060163</v>
      </c>
      <c r="Q222" s="847">
        <v>0</v>
      </c>
      <c r="R222" s="847">
        <v>0</v>
      </c>
      <c r="S222" s="847">
        <v>0</v>
      </c>
      <c r="T222" s="847">
        <v>0</v>
      </c>
      <c r="U222" s="847">
        <v>0</v>
      </c>
      <c r="V222" s="847">
        <v>0</v>
      </c>
      <c r="W222" s="847">
        <v>0</v>
      </c>
      <c r="X222" s="847">
        <v>0</v>
      </c>
      <c r="Y222" s="847">
        <v>0</v>
      </c>
      <c r="Z222" s="847">
        <v>0</v>
      </c>
      <c r="AA222" s="847">
        <v>0</v>
      </c>
      <c r="AB222" s="847">
        <v>0</v>
      </c>
      <c r="AC222" s="847">
        <v>0</v>
      </c>
      <c r="AD222" s="847">
        <v>0</v>
      </c>
      <c r="AE222" s="847">
        <v>0</v>
      </c>
      <c r="AF222" s="847">
        <v>0</v>
      </c>
      <c r="AG222" s="847">
        <v>0</v>
      </c>
      <c r="AH222" s="847">
        <v>0</v>
      </c>
      <c r="AI222" s="847">
        <v>0</v>
      </c>
      <c r="AJ222" s="847">
        <v>0</v>
      </c>
      <c r="AK222" s="847">
        <v>0</v>
      </c>
      <c r="AL222" s="847">
        <v>0</v>
      </c>
      <c r="AM222" s="847">
        <v>0</v>
      </c>
      <c r="AN222" s="847">
        <v>0</v>
      </c>
      <c r="AO222" s="847">
        <v>0</v>
      </c>
      <c r="AP222" s="847">
        <v>0</v>
      </c>
      <c r="AQ222" s="847">
        <v>0</v>
      </c>
      <c r="AR222" s="847">
        <v>0</v>
      </c>
      <c r="AS222" s="847">
        <v>0</v>
      </c>
      <c r="AT222" s="847">
        <v>0</v>
      </c>
      <c r="AU222" s="847">
        <v>0</v>
      </c>
      <c r="AV222" s="847">
        <v>0</v>
      </c>
      <c r="AW222" s="847">
        <v>0</v>
      </c>
      <c r="AX222" s="847">
        <v>0</v>
      </c>
      <c r="AY222" s="847">
        <v>0</v>
      </c>
      <c r="AZ222" s="847">
        <v>0</v>
      </c>
      <c r="BA222" s="847">
        <v>0</v>
      </c>
      <c r="BB222" s="847">
        <v>0</v>
      </c>
      <c r="BC222" s="847">
        <v>0</v>
      </c>
      <c r="BD222" s="847">
        <v>0</v>
      </c>
      <c r="BE222" s="847">
        <v>0</v>
      </c>
      <c r="BF222" s="847">
        <v>0</v>
      </c>
      <c r="BG222" s="847">
        <v>0</v>
      </c>
      <c r="BH222" s="847">
        <v>0</v>
      </c>
      <c r="BI222" s="847">
        <v>0</v>
      </c>
      <c r="BJ222" s="847">
        <v>0</v>
      </c>
      <c r="BK222" s="847">
        <v>0</v>
      </c>
      <c r="BL222" s="847">
        <v>68800</v>
      </c>
      <c r="BM222" s="847">
        <v>0</v>
      </c>
      <c r="BN222" s="847">
        <v>0</v>
      </c>
      <c r="BO222" s="847">
        <v>0</v>
      </c>
      <c r="BP222" s="847">
        <v>0</v>
      </c>
      <c r="BQ222" s="847">
        <v>0</v>
      </c>
      <c r="BR222" s="847">
        <v>0</v>
      </c>
      <c r="BS222" s="847">
        <v>0</v>
      </c>
      <c r="BT222" s="847">
        <v>0</v>
      </c>
      <c r="BU222" s="847">
        <v>0</v>
      </c>
      <c r="BV222" s="847">
        <v>0</v>
      </c>
      <c r="BW222" s="847">
        <v>0</v>
      </c>
      <c r="BX222" s="847">
        <v>0</v>
      </c>
      <c r="BY222" s="847">
        <v>0</v>
      </c>
      <c r="BZ222" s="847">
        <v>0</v>
      </c>
      <c r="CA222" s="847">
        <v>0</v>
      </c>
      <c r="CB222" s="847">
        <v>0</v>
      </c>
      <c r="CC222" s="847">
        <v>0</v>
      </c>
      <c r="CD222" s="847">
        <v>0</v>
      </c>
      <c r="CE222" s="847">
        <v>0</v>
      </c>
      <c r="CF222" s="847">
        <v>0</v>
      </c>
      <c r="CG222" s="847">
        <v>0</v>
      </c>
      <c r="CH222" s="847">
        <v>0</v>
      </c>
      <c r="CI222" s="847">
        <v>0</v>
      </c>
      <c r="CJ222" s="847">
        <v>0</v>
      </c>
      <c r="CK222" s="847">
        <v>0</v>
      </c>
      <c r="CL222" s="847">
        <v>0</v>
      </c>
      <c r="CM222" s="847">
        <v>0</v>
      </c>
      <c r="CN222" s="847">
        <v>0</v>
      </c>
      <c r="CO222" s="847">
        <v>0</v>
      </c>
      <c r="CP222" s="847">
        <v>0</v>
      </c>
      <c r="CQ222" s="847">
        <v>0</v>
      </c>
      <c r="CR222" s="847">
        <v>0</v>
      </c>
      <c r="CS222" s="847">
        <v>0</v>
      </c>
      <c r="CT222" s="847">
        <v>0</v>
      </c>
      <c r="CU222" s="847">
        <v>0</v>
      </c>
      <c r="CV222" s="847">
        <v>0</v>
      </c>
      <c r="CW222" s="847">
        <v>0</v>
      </c>
      <c r="CX222" s="847">
        <v>0</v>
      </c>
      <c r="CY222" s="847">
        <v>0</v>
      </c>
      <c r="CZ222" s="847">
        <v>0</v>
      </c>
      <c r="DA222" s="847">
        <v>0</v>
      </c>
      <c r="DB222" s="847">
        <v>0</v>
      </c>
      <c r="DC222" s="847">
        <v>0</v>
      </c>
      <c r="DD222" s="847">
        <v>0</v>
      </c>
      <c r="DE222" s="847">
        <v>0</v>
      </c>
      <c r="DF222" s="847">
        <v>0</v>
      </c>
      <c r="DG222" s="847">
        <v>0</v>
      </c>
      <c r="DH222" s="847">
        <v>0</v>
      </c>
      <c r="DI222" s="847">
        <v>0</v>
      </c>
      <c r="DJ222" s="847">
        <v>0</v>
      </c>
      <c r="DK222" s="847">
        <v>0</v>
      </c>
      <c r="DL222" s="847">
        <v>0</v>
      </c>
      <c r="DM222" s="847">
        <v>0</v>
      </c>
      <c r="DN222" s="847">
        <v>0</v>
      </c>
      <c r="DO222" s="847">
        <v>0</v>
      </c>
      <c r="DP222" s="847">
        <v>0</v>
      </c>
      <c r="DQ222" s="847">
        <v>0</v>
      </c>
      <c r="DR222" s="847">
        <v>0</v>
      </c>
      <c r="DS222" s="847">
        <v>0</v>
      </c>
      <c r="DT222" s="847">
        <v>0</v>
      </c>
      <c r="DU222" s="847">
        <v>0</v>
      </c>
      <c r="DV222" s="847">
        <v>0</v>
      </c>
      <c r="DW222" s="847">
        <v>0</v>
      </c>
      <c r="DY222" s="843" t="s">
        <v>1060</v>
      </c>
      <c r="DZ222" s="843" t="s">
        <v>1382</v>
      </c>
      <c r="EA222" s="843" t="s">
        <v>96</v>
      </c>
      <c r="EB222" s="844">
        <v>63</v>
      </c>
      <c r="EC222" s="780" t="str">
        <f t="shared" ref="EC222:EC285" si="9">DZ222&amp;TEXT(EA222,"00")&amp;TEXT(EB222,"00")</f>
        <v>IWT060163</v>
      </c>
      <c r="ED222" s="844">
        <v>5421.9</v>
      </c>
      <c r="EE222" s="844">
        <v>10843.8</v>
      </c>
      <c r="EF222" s="844">
        <v>16265.7</v>
      </c>
      <c r="EG222" s="844">
        <v>21687.599999999999</v>
      </c>
      <c r="EH222" s="844">
        <v>27109.5</v>
      </c>
      <c r="EI222" s="844">
        <v>32531.4</v>
      </c>
      <c r="EJ222" s="844">
        <v>32531.4</v>
      </c>
      <c r="EK222" s="844">
        <v>32531.4</v>
      </c>
      <c r="EL222" s="844">
        <v>32531.4</v>
      </c>
      <c r="EM222" s="844">
        <v>32758</v>
      </c>
      <c r="EN222" s="844">
        <v>33413</v>
      </c>
      <c r="EO222" s="844">
        <v>34081</v>
      </c>
      <c r="EP222" s="844">
        <v>34763</v>
      </c>
      <c r="EQ222" s="844">
        <v>35458</v>
      </c>
      <c r="ER222" s="844">
        <v>36167</v>
      </c>
      <c r="ES222" s="844">
        <v>36890</v>
      </c>
      <c r="ET222" s="844">
        <v>37628</v>
      </c>
      <c r="EU222" s="844">
        <v>38380</v>
      </c>
      <c r="EV222" s="844">
        <v>39148</v>
      </c>
      <c r="EW222" s="844">
        <v>39931</v>
      </c>
      <c r="EX222" s="844">
        <v>40729</v>
      </c>
      <c r="EY222" s="844">
        <v>41543</v>
      </c>
      <c r="EZ222" s="844">
        <v>42374</v>
      </c>
      <c r="FA222" s="844">
        <v>43221</v>
      </c>
      <c r="FB222" s="844">
        <v>44086</v>
      </c>
      <c r="FC222" s="844">
        <v>44967</v>
      </c>
      <c r="FD222" s="844">
        <v>45866</v>
      </c>
      <c r="FE222" s="844">
        <v>46783</v>
      </c>
      <c r="FF222" s="844">
        <v>47718</v>
      </c>
      <c r="FG222" s="844">
        <v>48672</v>
      </c>
      <c r="FH222" s="844">
        <v>49645</v>
      </c>
      <c r="FI222" s="844">
        <v>50638</v>
      </c>
      <c r="FJ222" s="844">
        <v>51650</v>
      </c>
      <c r="FK222" s="844">
        <v>52682</v>
      </c>
      <c r="FL222" s="844">
        <v>53735</v>
      </c>
      <c r="FM222" s="844">
        <v>54809</v>
      </c>
      <c r="FN222" s="844">
        <v>55904</v>
      </c>
      <c r="FO222" s="844">
        <v>57021</v>
      </c>
      <c r="FP222" s="844">
        <v>58160</v>
      </c>
      <c r="FQ222" s="844">
        <v>59322</v>
      </c>
      <c r="FR222" s="844">
        <v>60507</v>
      </c>
      <c r="FS222" s="844">
        <v>61715</v>
      </c>
      <c r="FT222" s="844">
        <v>62947</v>
      </c>
      <c r="FU222" s="844">
        <v>64203</v>
      </c>
      <c r="FV222" s="844">
        <v>65484</v>
      </c>
      <c r="FW222" s="844">
        <v>66790</v>
      </c>
      <c r="FX222" s="844">
        <v>68122</v>
      </c>
      <c r="FY222" s="844">
        <v>68800</v>
      </c>
      <c r="FZ222" s="844">
        <v>0</v>
      </c>
      <c r="GA222" s="844">
        <v>0</v>
      </c>
      <c r="GB222" s="844">
        <v>0</v>
      </c>
      <c r="GC222" s="844">
        <v>0</v>
      </c>
      <c r="GD222" s="844">
        <v>0</v>
      </c>
      <c r="GE222" s="844">
        <v>0</v>
      </c>
      <c r="GF222" s="844">
        <v>0</v>
      </c>
      <c r="GG222" s="844">
        <v>0</v>
      </c>
      <c r="GH222" s="844">
        <v>0</v>
      </c>
      <c r="GI222" s="844">
        <v>0</v>
      </c>
      <c r="GJ222" s="844">
        <v>0</v>
      </c>
      <c r="GK222" s="844">
        <v>0</v>
      </c>
      <c r="GL222" s="844">
        <v>0</v>
      </c>
      <c r="GM222" s="844">
        <v>0</v>
      </c>
      <c r="GN222" s="844">
        <v>0</v>
      </c>
      <c r="GO222" s="844">
        <v>0</v>
      </c>
      <c r="GP222" s="844">
        <v>0</v>
      </c>
      <c r="GQ222" s="844">
        <v>0</v>
      </c>
      <c r="GR222" s="844">
        <v>0</v>
      </c>
      <c r="GS222" s="844">
        <v>0</v>
      </c>
      <c r="GT222" s="844">
        <v>0</v>
      </c>
      <c r="GU222" s="844">
        <v>0</v>
      </c>
      <c r="GV222" s="844">
        <v>0</v>
      </c>
      <c r="GW222" s="844">
        <v>0</v>
      </c>
      <c r="GX222" s="844">
        <v>0</v>
      </c>
      <c r="GY222" s="844">
        <v>0</v>
      </c>
      <c r="GZ222" s="844">
        <v>0</v>
      </c>
      <c r="HA222" s="844">
        <v>0</v>
      </c>
      <c r="HB222" s="844">
        <v>0</v>
      </c>
      <c r="HC222" s="844">
        <v>0</v>
      </c>
      <c r="HD222" s="844">
        <v>0</v>
      </c>
      <c r="HE222" s="844">
        <v>0</v>
      </c>
      <c r="HF222" s="844">
        <v>0</v>
      </c>
      <c r="HG222" s="844">
        <v>0</v>
      </c>
      <c r="HH222" s="844">
        <v>0</v>
      </c>
      <c r="HI222" s="844">
        <v>0</v>
      </c>
      <c r="HJ222" s="844">
        <v>0</v>
      </c>
      <c r="HK222" s="844">
        <v>0</v>
      </c>
      <c r="HL222" s="844">
        <v>0</v>
      </c>
      <c r="HM222" s="844">
        <v>0</v>
      </c>
      <c r="HN222" s="844">
        <v>0</v>
      </c>
      <c r="HO222" s="844">
        <v>0</v>
      </c>
      <c r="HP222" s="844">
        <v>0</v>
      </c>
      <c r="HQ222" s="844">
        <v>0</v>
      </c>
      <c r="HR222" s="844">
        <v>0</v>
      </c>
      <c r="HS222" s="844">
        <v>0</v>
      </c>
      <c r="HT222" s="844">
        <v>0</v>
      </c>
      <c r="HU222" s="844">
        <v>0</v>
      </c>
      <c r="HV222" s="844">
        <v>0</v>
      </c>
      <c r="HW222" s="844">
        <v>0</v>
      </c>
      <c r="HX222" s="844">
        <v>0</v>
      </c>
      <c r="HY222" s="844">
        <v>0</v>
      </c>
      <c r="HZ222" s="844">
        <v>0</v>
      </c>
      <c r="IA222" s="844">
        <v>0</v>
      </c>
      <c r="IB222" s="844">
        <v>0</v>
      </c>
      <c r="IC222" s="844">
        <v>0</v>
      </c>
      <c r="ID222" s="844">
        <v>0</v>
      </c>
      <c r="IE222" s="844">
        <v>0</v>
      </c>
      <c r="IF222" s="844">
        <v>0</v>
      </c>
      <c r="IG222" s="844">
        <v>0</v>
      </c>
      <c r="IH222" s="844">
        <v>0</v>
      </c>
      <c r="II222" s="844">
        <v>0</v>
      </c>
      <c r="IJ222" s="844">
        <v>0</v>
      </c>
    </row>
    <row r="223" spans="9:244" hidden="1">
      <c r="I223" s="156"/>
      <c r="L223" s="846" t="s">
        <v>1060</v>
      </c>
      <c r="M223" s="846" t="s">
        <v>1382</v>
      </c>
      <c r="N223" s="846" t="s">
        <v>96</v>
      </c>
      <c r="O223" s="847">
        <v>64</v>
      </c>
      <c r="P223" s="780" t="str">
        <f t="shared" si="8"/>
        <v>IWT060164</v>
      </c>
      <c r="Q223" s="847">
        <v>0</v>
      </c>
      <c r="R223" s="847">
        <v>0</v>
      </c>
      <c r="S223" s="847">
        <v>0</v>
      </c>
      <c r="T223" s="847">
        <v>0</v>
      </c>
      <c r="U223" s="847">
        <v>0</v>
      </c>
      <c r="V223" s="847">
        <v>0</v>
      </c>
      <c r="W223" s="847">
        <v>0</v>
      </c>
      <c r="X223" s="847">
        <v>0</v>
      </c>
      <c r="Y223" s="847">
        <v>0</v>
      </c>
      <c r="Z223" s="847">
        <v>0</v>
      </c>
      <c r="AA223" s="847">
        <v>0</v>
      </c>
      <c r="AB223" s="847">
        <v>0</v>
      </c>
      <c r="AC223" s="847">
        <v>0</v>
      </c>
      <c r="AD223" s="847">
        <v>0</v>
      </c>
      <c r="AE223" s="847">
        <v>0</v>
      </c>
      <c r="AF223" s="847">
        <v>0</v>
      </c>
      <c r="AG223" s="847">
        <v>0</v>
      </c>
      <c r="AH223" s="847">
        <v>0</v>
      </c>
      <c r="AI223" s="847">
        <v>0</v>
      </c>
      <c r="AJ223" s="847">
        <v>0</v>
      </c>
      <c r="AK223" s="847">
        <v>0</v>
      </c>
      <c r="AL223" s="847">
        <v>0</v>
      </c>
      <c r="AM223" s="847">
        <v>0</v>
      </c>
      <c r="AN223" s="847">
        <v>0</v>
      </c>
      <c r="AO223" s="847">
        <v>0</v>
      </c>
      <c r="AP223" s="847">
        <v>0</v>
      </c>
      <c r="AQ223" s="847">
        <v>0</v>
      </c>
      <c r="AR223" s="847">
        <v>0</v>
      </c>
      <c r="AS223" s="847">
        <v>0</v>
      </c>
      <c r="AT223" s="847">
        <v>0</v>
      </c>
      <c r="AU223" s="847">
        <v>0</v>
      </c>
      <c r="AV223" s="847">
        <v>0</v>
      </c>
      <c r="AW223" s="847">
        <v>0</v>
      </c>
      <c r="AX223" s="847">
        <v>0</v>
      </c>
      <c r="AY223" s="847">
        <v>0</v>
      </c>
      <c r="AZ223" s="847">
        <v>0</v>
      </c>
      <c r="BA223" s="847">
        <v>0</v>
      </c>
      <c r="BB223" s="847">
        <v>0</v>
      </c>
      <c r="BC223" s="847">
        <v>0</v>
      </c>
      <c r="BD223" s="847">
        <v>0</v>
      </c>
      <c r="BE223" s="847">
        <v>0</v>
      </c>
      <c r="BF223" s="847">
        <v>0</v>
      </c>
      <c r="BG223" s="847">
        <v>0</v>
      </c>
      <c r="BH223" s="847">
        <v>0</v>
      </c>
      <c r="BI223" s="847">
        <v>0</v>
      </c>
      <c r="BJ223" s="847">
        <v>0</v>
      </c>
      <c r="BK223" s="847">
        <v>67400</v>
      </c>
      <c r="BL223" s="847">
        <v>0</v>
      </c>
      <c r="BM223" s="847">
        <v>0</v>
      </c>
      <c r="BN223" s="847">
        <v>0</v>
      </c>
      <c r="BO223" s="847">
        <v>0</v>
      </c>
      <c r="BP223" s="847">
        <v>0</v>
      </c>
      <c r="BQ223" s="847">
        <v>0</v>
      </c>
      <c r="BR223" s="847">
        <v>0</v>
      </c>
      <c r="BS223" s="847">
        <v>0</v>
      </c>
      <c r="BT223" s="847">
        <v>0</v>
      </c>
      <c r="BU223" s="847">
        <v>0</v>
      </c>
      <c r="BV223" s="847">
        <v>0</v>
      </c>
      <c r="BW223" s="847">
        <v>0</v>
      </c>
      <c r="BX223" s="847">
        <v>0</v>
      </c>
      <c r="BY223" s="847">
        <v>0</v>
      </c>
      <c r="BZ223" s="847">
        <v>0</v>
      </c>
      <c r="CA223" s="847">
        <v>0</v>
      </c>
      <c r="CB223" s="847">
        <v>0</v>
      </c>
      <c r="CC223" s="847">
        <v>0</v>
      </c>
      <c r="CD223" s="847">
        <v>0</v>
      </c>
      <c r="CE223" s="847">
        <v>0</v>
      </c>
      <c r="CF223" s="847">
        <v>0</v>
      </c>
      <c r="CG223" s="847">
        <v>0</v>
      </c>
      <c r="CH223" s="847">
        <v>0</v>
      </c>
      <c r="CI223" s="847">
        <v>0</v>
      </c>
      <c r="CJ223" s="847">
        <v>0</v>
      </c>
      <c r="CK223" s="847">
        <v>0</v>
      </c>
      <c r="CL223" s="847">
        <v>0</v>
      </c>
      <c r="CM223" s="847">
        <v>0</v>
      </c>
      <c r="CN223" s="847">
        <v>0</v>
      </c>
      <c r="CO223" s="847">
        <v>0</v>
      </c>
      <c r="CP223" s="847">
        <v>0</v>
      </c>
      <c r="CQ223" s="847">
        <v>0</v>
      </c>
      <c r="CR223" s="847">
        <v>0</v>
      </c>
      <c r="CS223" s="847">
        <v>0</v>
      </c>
      <c r="CT223" s="847">
        <v>0</v>
      </c>
      <c r="CU223" s="847">
        <v>0</v>
      </c>
      <c r="CV223" s="847">
        <v>0</v>
      </c>
      <c r="CW223" s="847">
        <v>0</v>
      </c>
      <c r="CX223" s="847">
        <v>0</v>
      </c>
      <c r="CY223" s="847">
        <v>0</v>
      </c>
      <c r="CZ223" s="847">
        <v>0</v>
      </c>
      <c r="DA223" s="847">
        <v>0</v>
      </c>
      <c r="DB223" s="847">
        <v>0</v>
      </c>
      <c r="DC223" s="847">
        <v>0</v>
      </c>
      <c r="DD223" s="847">
        <v>0</v>
      </c>
      <c r="DE223" s="847">
        <v>0</v>
      </c>
      <c r="DF223" s="847">
        <v>0</v>
      </c>
      <c r="DG223" s="847">
        <v>0</v>
      </c>
      <c r="DH223" s="847">
        <v>0</v>
      </c>
      <c r="DI223" s="847">
        <v>0</v>
      </c>
      <c r="DJ223" s="847">
        <v>0</v>
      </c>
      <c r="DK223" s="847">
        <v>0</v>
      </c>
      <c r="DL223" s="847">
        <v>0</v>
      </c>
      <c r="DM223" s="847">
        <v>0</v>
      </c>
      <c r="DN223" s="847">
        <v>0</v>
      </c>
      <c r="DO223" s="847">
        <v>0</v>
      </c>
      <c r="DP223" s="847">
        <v>0</v>
      </c>
      <c r="DQ223" s="847">
        <v>0</v>
      </c>
      <c r="DR223" s="847">
        <v>0</v>
      </c>
      <c r="DS223" s="847">
        <v>0</v>
      </c>
      <c r="DT223" s="847">
        <v>0</v>
      </c>
      <c r="DU223" s="847">
        <v>0</v>
      </c>
      <c r="DV223" s="847">
        <v>0</v>
      </c>
      <c r="DW223" s="847">
        <v>0</v>
      </c>
      <c r="DY223" s="843" t="s">
        <v>1060</v>
      </c>
      <c r="DZ223" s="843" t="s">
        <v>1382</v>
      </c>
      <c r="EA223" s="843" t="s">
        <v>96</v>
      </c>
      <c r="EB223" s="844">
        <v>64</v>
      </c>
      <c r="EC223" s="780" t="str">
        <f t="shared" si="9"/>
        <v>IWT060164</v>
      </c>
      <c r="ED223" s="844">
        <v>5427.2</v>
      </c>
      <c r="EE223" s="844">
        <v>10854.4</v>
      </c>
      <c r="EF223" s="844">
        <v>16281.6</v>
      </c>
      <c r="EG223" s="844">
        <v>21708.799999999999</v>
      </c>
      <c r="EH223" s="844">
        <v>27136</v>
      </c>
      <c r="EI223" s="844">
        <v>32563.200000000001</v>
      </c>
      <c r="EJ223" s="844">
        <v>32563.200000000001</v>
      </c>
      <c r="EK223" s="844">
        <v>32563.200000000001</v>
      </c>
      <c r="EL223" s="844">
        <v>32563.200000000001</v>
      </c>
      <c r="EM223" s="844">
        <v>32733</v>
      </c>
      <c r="EN223" s="844">
        <v>33387</v>
      </c>
      <c r="EO223" s="844">
        <v>34055</v>
      </c>
      <c r="EP223" s="844">
        <v>34736</v>
      </c>
      <c r="EQ223" s="844">
        <v>35431</v>
      </c>
      <c r="ER223" s="844">
        <v>36139</v>
      </c>
      <c r="ES223" s="844">
        <v>36862</v>
      </c>
      <c r="ET223" s="844">
        <v>37599</v>
      </c>
      <c r="EU223" s="844">
        <v>38351</v>
      </c>
      <c r="EV223" s="844">
        <v>39118</v>
      </c>
      <c r="EW223" s="844">
        <v>39900</v>
      </c>
      <c r="EX223" s="844">
        <v>40698</v>
      </c>
      <c r="EY223" s="844">
        <v>41512</v>
      </c>
      <c r="EZ223" s="844">
        <v>42342</v>
      </c>
      <c r="FA223" s="844">
        <v>43188</v>
      </c>
      <c r="FB223" s="844">
        <v>44052</v>
      </c>
      <c r="FC223" s="844">
        <v>44933</v>
      </c>
      <c r="FD223" s="844">
        <v>45831</v>
      </c>
      <c r="FE223" s="844">
        <v>46747</v>
      </c>
      <c r="FF223" s="844">
        <v>47682</v>
      </c>
      <c r="FG223" s="844">
        <v>48635</v>
      </c>
      <c r="FH223" s="844">
        <v>49607</v>
      </c>
      <c r="FI223" s="844">
        <v>50598</v>
      </c>
      <c r="FJ223" s="844">
        <v>51610</v>
      </c>
      <c r="FK223" s="844">
        <v>52641</v>
      </c>
      <c r="FL223" s="844">
        <v>53693</v>
      </c>
      <c r="FM223" s="844">
        <v>54766</v>
      </c>
      <c r="FN223" s="844">
        <v>55860</v>
      </c>
      <c r="FO223" s="844">
        <v>56976</v>
      </c>
      <c r="FP223" s="844">
        <v>58114</v>
      </c>
      <c r="FQ223" s="844">
        <v>59274</v>
      </c>
      <c r="FR223" s="844">
        <v>60458</v>
      </c>
      <c r="FS223" s="844">
        <v>61665</v>
      </c>
      <c r="FT223" s="844">
        <v>62896</v>
      </c>
      <c r="FU223" s="844">
        <v>64151</v>
      </c>
      <c r="FV223" s="844">
        <v>65431</v>
      </c>
      <c r="FW223" s="844">
        <v>66736</v>
      </c>
      <c r="FX223" s="844">
        <v>67400</v>
      </c>
      <c r="FY223" s="844">
        <v>0</v>
      </c>
      <c r="FZ223" s="844">
        <v>0</v>
      </c>
      <c r="GA223" s="844">
        <v>0</v>
      </c>
      <c r="GB223" s="844">
        <v>0</v>
      </c>
      <c r="GC223" s="844">
        <v>0</v>
      </c>
      <c r="GD223" s="844">
        <v>0</v>
      </c>
      <c r="GE223" s="844">
        <v>0</v>
      </c>
      <c r="GF223" s="844">
        <v>0</v>
      </c>
      <c r="GG223" s="844">
        <v>0</v>
      </c>
      <c r="GH223" s="844">
        <v>0</v>
      </c>
      <c r="GI223" s="844">
        <v>0</v>
      </c>
      <c r="GJ223" s="844">
        <v>0</v>
      </c>
      <c r="GK223" s="844">
        <v>0</v>
      </c>
      <c r="GL223" s="844">
        <v>0</v>
      </c>
      <c r="GM223" s="844">
        <v>0</v>
      </c>
      <c r="GN223" s="844">
        <v>0</v>
      </c>
      <c r="GO223" s="844">
        <v>0</v>
      </c>
      <c r="GP223" s="844">
        <v>0</v>
      </c>
      <c r="GQ223" s="844">
        <v>0</v>
      </c>
      <c r="GR223" s="844">
        <v>0</v>
      </c>
      <c r="GS223" s="844">
        <v>0</v>
      </c>
      <c r="GT223" s="844">
        <v>0</v>
      </c>
      <c r="GU223" s="844">
        <v>0</v>
      </c>
      <c r="GV223" s="844">
        <v>0</v>
      </c>
      <c r="GW223" s="844">
        <v>0</v>
      </c>
      <c r="GX223" s="844">
        <v>0</v>
      </c>
      <c r="GY223" s="844">
        <v>0</v>
      </c>
      <c r="GZ223" s="844">
        <v>0</v>
      </c>
      <c r="HA223" s="844">
        <v>0</v>
      </c>
      <c r="HB223" s="844">
        <v>0</v>
      </c>
      <c r="HC223" s="844">
        <v>0</v>
      </c>
      <c r="HD223" s="844">
        <v>0</v>
      </c>
      <c r="HE223" s="844">
        <v>0</v>
      </c>
      <c r="HF223" s="844">
        <v>0</v>
      </c>
      <c r="HG223" s="844">
        <v>0</v>
      </c>
      <c r="HH223" s="844">
        <v>0</v>
      </c>
      <c r="HI223" s="844">
        <v>0</v>
      </c>
      <c r="HJ223" s="844">
        <v>0</v>
      </c>
      <c r="HK223" s="844">
        <v>0</v>
      </c>
      <c r="HL223" s="844">
        <v>0</v>
      </c>
      <c r="HM223" s="844">
        <v>0</v>
      </c>
      <c r="HN223" s="844">
        <v>0</v>
      </c>
      <c r="HO223" s="844">
        <v>0</v>
      </c>
      <c r="HP223" s="844">
        <v>0</v>
      </c>
      <c r="HQ223" s="844">
        <v>0</v>
      </c>
      <c r="HR223" s="844">
        <v>0</v>
      </c>
      <c r="HS223" s="844">
        <v>0</v>
      </c>
      <c r="HT223" s="844">
        <v>0</v>
      </c>
      <c r="HU223" s="844">
        <v>0</v>
      </c>
      <c r="HV223" s="844">
        <v>0</v>
      </c>
      <c r="HW223" s="844">
        <v>0</v>
      </c>
      <c r="HX223" s="844">
        <v>0</v>
      </c>
      <c r="HY223" s="844">
        <v>0</v>
      </c>
      <c r="HZ223" s="844">
        <v>0</v>
      </c>
      <c r="IA223" s="844">
        <v>0</v>
      </c>
      <c r="IB223" s="844">
        <v>0</v>
      </c>
      <c r="IC223" s="844">
        <v>0</v>
      </c>
      <c r="ID223" s="844">
        <v>0</v>
      </c>
      <c r="IE223" s="844">
        <v>0</v>
      </c>
      <c r="IF223" s="844">
        <v>0</v>
      </c>
      <c r="IG223" s="844">
        <v>0</v>
      </c>
      <c r="IH223" s="844">
        <v>0</v>
      </c>
      <c r="II223" s="844">
        <v>0</v>
      </c>
      <c r="IJ223" s="844">
        <v>0</v>
      </c>
    </row>
    <row r="224" spans="9:244" hidden="1">
      <c r="I224" s="156"/>
      <c r="L224" s="846" t="s">
        <v>1060</v>
      </c>
      <c r="M224" s="846" t="s">
        <v>1382</v>
      </c>
      <c r="N224" s="846" t="s">
        <v>96</v>
      </c>
      <c r="O224" s="847">
        <v>65</v>
      </c>
      <c r="P224" s="780" t="str">
        <f t="shared" si="8"/>
        <v>IWT060165</v>
      </c>
      <c r="Q224" s="847">
        <v>0</v>
      </c>
      <c r="R224" s="847">
        <v>0</v>
      </c>
      <c r="S224" s="847">
        <v>0</v>
      </c>
      <c r="T224" s="847">
        <v>0</v>
      </c>
      <c r="U224" s="847">
        <v>0</v>
      </c>
      <c r="V224" s="847">
        <v>0</v>
      </c>
      <c r="W224" s="847">
        <v>0</v>
      </c>
      <c r="X224" s="847">
        <v>0</v>
      </c>
      <c r="Y224" s="847">
        <v>0</v>
      </c>
      <c r="Z224" s="847">
        <v>0</v>
      </c>
      <c r="AA224" s="847">
        <v>0</v>
      </c>
      <c r="AB224" s="847">
        <v>0</v>
      </c>
      <c r="AC224" s="847">
        <v>0</v>
      </c>
      <c r="AD224" s="847">
        <v>0</v>
      </c>
      <c r="AE224" s="847">
        <v>0</v>
      </c>
      <c r="AF224" s="847">
        <v>0</v>
      </c>
      <c r="AG224" s="847">
        <v>0</v>
      </c>
      <c r="AH224" s="847">
        <v>0</v>
      </c>
      <c r="AI224" s="847">
        <v>0</v>
      </c>
      <c r="AJ224" s="847">
        <v>0</v>
      </c>
      <c r="AK224" s="847">
        <v>0</v>
      </c>
      <c r="AL224" s="847">
        <v>0</v>
      </c>
      <c r="AM224" s="847">
        <v>0</v>
      </c>
      <c r="AN224" s="847">
        <v>0</v>
      </c>
      <c r="AO224" s="847">
        <v>0</v>
      </c>
      <c r="AP224" s="847">
        <v>0</v>
      </c>
      <c r="AQ224" s="847">
        <v>0</v>
      </c>
      <c r="AR224" s="847">
        <v>0</v>
      </c>
      <c r="AS224" s="847">
        <v>0</v>
      </c>
      <c r="AT224" s="847">
        <v>0</v>
      </c>
      <c r="AU224" s="847">
        <v>0</v>
      </c>
      <c r="AV224" s="847">
        <v>0</v>
      </c>
      <c r="AW224" s="847">
        <v>0</v>
      </c>
      <c r="AX224" s="847">
        <v>0</v>
      </c>
      <c r="AY224" s="847">
        <v>0</v>
      </c>
      <c r="AZ224" s="847">
        <v>0</v>
      </c>
      <c r="BA224" s="847">
        <v>0</v>
      </c>
      <c r="BB224" s="847">
        <v>0</v>
      </c>
      <c r="BC224" s="847">
        <v>0</v>
      </c>
      <c r="BD224" s="847">
        <v>0</v>
      </c>
      <c r="BE224" s="847">
        <v>0</v>
      </c>
      <c r="BF224" s="847">
        <v>0</v>
      </c>
      <c r="BG224" s="847">
        <v>0</v>
      </c>
      <c r="BH224" s="847">
        <v>0</v>
      </c>
      <c r="BI224" s="847">
        <v>0</v>
      </c>
      <c r="BJ224" s="847">
        <v>66000</v>
      </c>
      <c r="BK224" s="847">
        <v>0</v>
      </c>
      <c r="BL224" s="847">
        <v>0</v>
      </c>
      <c r="BM224" s="847">
        <v>0</v>
      </c>
      <c r="BN224" s="847">
        <v>0</v>
      </c>
      <c r="BO224" s="847">
        <v>0</v>
      </c>
      <c r="BP224" s="847">
        <v>0</v>
      </c>
      <c r="BQ224" s="847">
        <v>0</v>
      </c>
      <c r="BR224" s="847">
        <v>0</v>
      </c>
      <c r="BS224" s="847">
        <v>0</v>
      </c>
      <c r="BT224" s="847">
        <v>0</v>
      </c>
      <c r="BU224" s="847">
        <v>0</v>
      </c>
      <c r="BV224" s="847">
        <v>0</v>
      </c>
      <c r="BW224" s="847">
        <v>0</v>
      </c>
      <c r="BX224" s="847">
        <v>0</v>
      </c>
      <c r="BY224" s="847">
        <v>0</v>
      </c>
      <c r="BZ224" s="847">
        <v>0</v>
      </c>
      <c r="CA224" s="847">
        <v>0</v>
      </c>
      <c r="CB224" s="847">
        <v>0</v>
      </c>
      <c r="CC224" s="847">
        <v>0</v>
      </c>
      <c r="CD224" s="847">
        <v>0</v>
      </c>
      <c r="CE224" s="847">
        <v>0</v>
      </c>
      <c r="CF224" s="847">
        <v>0</v>
      </c>
      <c r="CG224" s="847">
        <v>0</v>
      </c>
      <c r="CH224" s="847">
        <v>0</v>
      </c>
      <c r="CI224" s="847">
        <v>0</v>
      </c>
      <c r="CJ224" s="847">
        <v>0</v>
      </c>
      <c r="CK224" s="847">
        <v>0</v>
      </c>
      <c r="CL224" s="847">
        <v>0</v>
      </c>
      <c r="CM224" s="847">
        <v>0</v>
      </c>
      <c r="CN224" s="847">
        <v>0</v>
      </c>
      <c r="CO224" s="847">
        <v>0</v>
      </c>
      <c r="CP224" s="847">
        <v>0</v>
      </c>
      <c r="CQ224" s="847">
        <v>0</v>
      </c>
      <c r="CR224" s="847">
        <v>0</v>
      </c>
      <c r="CS224" s="847">
        <v>0</v>
      </c>
      <c r="CT224" s="847">
        <v>0</v>
      </c>
      <c r="CU224" s="847">
        <v>0</v>
      </c>
      <c r="CV224" s="847">
        <v>0</v>
      </c>
      <c r="CW224" s="847">
        <v>0</v>
      </c>
      <c r="CX224" s="847">
        <v>0</v>
      </c>
      <c r="CY224" s="847">
        <v>0</v>
      </c>
      <c r="CZ224" s="847">
        <v>0</v>
      </c>
      <c r="DA224" s="847">
        <v>0</v>
      </c>
      <c r="DB224" s="847">
        <v>0</v>
      </c>
      <c r="DC224" s="847">
        <v>0</v>
      </c>
      <c r="DD224" s="847">
        <v>0</v>
      </c>
      <c r="DE224" s="847">
        <v>0</v>
      </c>
      <c r="DF224" s="847">
        <v>0</v>
      </c>
      <c r="DG224" s="847">
        <v>0</v>
      </c>
      <c r="DH224" s="847">
        <v>0</v>
      </c>
      <c r="DI224" s="847">
        <v>0</v>
      </c>
      <c r="DJ224" s="847">
        <v>0</v>
      </c>
      <c r="DK224" s="847">
        <v>0</v>
      </c>
      <c r="DL224" s="847">
        <v>0</v>
      </c>
      <c r="DM224" s="847">
        <v>0</v>
      </c>
      <c r="DN224" s="847">
        <v>0</v>
      </c>
      <c r="DO224" s="847">
        <v>0</v>
      </c>
      <c r="DP224" s="847">
        <v>0</v>
      </c>
      <c r="DQ224" s="847">
        <v>0</v>
      </c>
      <c r="DR224" s="847">
        <v>0</v>
      </c>
      <c r="DS224" s="847">
        <v>0</v>
      </c>
      <c r="DT224" s="847">
        <v>0</v>
      </c>
      <c r="DU224" s="847">
        <v>0</v>
      </c>
      <c r="DV224" s="847">
        <v>0</v>
      </c>
      <c r="DW224" s="847">
        <v>0</v>
      </c>
      <c r="DY224" s="843" t="s">
        <v>1060</v>
      </c>
      <c r="DZ224" s="843" t="s">
        <v>1382</v>
      </c>
      <c r="EA224" s="843" t="s">
        <v>96</v>
      </c>
      <c r="EB224" s="844">
        <v>65</v>
      </c>
      <c r="EC224" s="780" t="str">
        <f t="shared" si="9"/>
        <v>IWT060165</v>
      </c>
      <c r="ED224" s="844">
        <v>5432.5</v>
      </c>
      <c r="EE224" s="844">
        <v>10865</v>
      </c>
      <c r="EF224" s="844">
        <v>16297.5</v>
      </c>
      <c r="EG224" s="844">
        <v>21730</v>
      </c>
      <c r="EH224" s="844">
        <v>27162.5</v>
      </c>
      <c r="EI224" s="844">
        <v>32595</v>
      </c>
      <c r="EJ224" s="844">
        <v>32595</v>
      </c>
      <c r="EK224" s="844">
        <v>32595</v>
      </c>
      <c r="EL224" s="844">
        <v>32595</v>
      </c>
      <c r="EM224" s="844">
        <v>32694</v>
      </c>
      <c r="EN224" s="844">
        <v>33348</v>
      </c>
      <c r="EO224" s="844">
        <v>34015</v>
      </c>
      <c r="EP224" s="844">
        <v>34695</v>
      </c>
      <c r="EQ224" s="844">
        <v>35389</v>
      </c>
      <c r="ER224" s="844">
        <v>36097</v>
      </c>
      <c r="ES224" s="844">
        <v>36819</v>
      </c>
      <c r="ET224" s="844">
        <v>37555</v>
      </c>
      <c r="EU224" s="844">
        <v>38306</v>
      </c>
      <c r="EV224" s="844">
        <v>39072</v>
      </c>
      <c r="EW224" s="844">
        <v>39853</v>
      </c>
      <c r="EX224" s="844">
        <v>40650</v>
      </c>
      <c r="EY224" s="844">
        <v>41463</v>
      </c>
      <c r="EZ224" s="844">
        <v>42292</v>
      </c>
      <c r="FA224" s="844">
        <v>43137</v>
      </c>
      <c r="FB224" s="844">
        <v>44000</v>
      </c>
      <c r="FC224" s="844">
        <v>44879</v>
      </c>
      <c r="FD224" s="844">
        <v>45777</v>
      </c>
      <c r="FE224" s="844">
        <v>46692</v>
      </c>
      <c r="FF224" s="844">
        <v>47625</v>
      </c>
      <c r="FG224" s="844">
        <v>48577</v>
      </c>
      <c r="FH224" s="844">
        <v>49548</v>
      </c>
      <c r="FI224" s="844">
        <v>50538</v>
      </c>
      <c r="FJ224" s="844">
        <v>51548</v>
      </c>
      <c r="FK224" s="844">
        <v>52578</v>
      </c>
      <c r="FL224" s="844">
        <v>53629</v>
      </c>
      <c r="FM224" s="844">
        <v>54700</v>
      </c>
      <c r="FN224" s="844">
        <v>55793</v>
      </c>
      <c r="FO224" s="844">
        <v>56907</v>
      </c>
      <c r="FP224" s="844">
        <v>58044</v>
      </c>
      <c r="FQ224" s="844">
        <v>59203</v>
      </c>
      <c r="FR224" s="844">
        <v>60385</v>
      </c>
      <c r="FS224" s="844">
        <v>61590</v>
      </c>
      <c r="FT224" s="844">
        <v>62819</v>
      </c>
      <c r="FU224" s="844">
        <v>64072</v>
      </c>
      <c r="FV224" s="844">
        <v>65350</v>
      </c>
      <c r="FW224" s="844">
        <v>66000</v>
      </c>
      <c r="FX224" s="844">
        <v>0</v>
      </c>
      <c r="FY224" s="844">
        <v>0</v>
      </c>
      <c r="FZ224" s="844">
        <v>0</v>
      </c>
      <c r="GA224" s="844">
        <v>0</v>
      </c>
      <c r="GB224" s="844">
        <v>0</v>
      </c>
      <c r="GC224" s="844">
        <v>0</v>
      </c>
      <c r="GD224" s="844">
        <v>0</v>
      </c>
      <c r="GE224" s="844">
        <v>0</v>
      </c>
      <c r="GF224" s="844">
        <v>0</v>
      </c>
      <c r="GG224" s="844">
        <v>0</v>
      </c>
      <c r="GH224" s="844">
        <v>0</v>
      </c>
      <c r="GI224" s="844">
        <v>0</v>
      </c>
      <c r="GJ224" s="844">
        <v>0</v>
      </c>
      <c r="GK224" s="844">
        <v>0</v>
      </c>
      <c r="GL224" s="844">
        <v>0</v>
      </c>
      <c r="GM224" s="844">
        <v>0</v>
      </c>
      <c r="GN224" s="844">
        <v>0</v>
      </c>
      <c r="GO224" s="844">
        <v>0</v>
      </c>
      <c r="GP224" s="844">
        <v>0</v>
      </c>
      <c r="GQ224" s="844">
        <v>0</v>
      </c>
      <c r="GR224" s="844">
        <v>0</v>
      </c>
      <c r="GS224" s="844">
        <v>0</v>
      </c>
      <c r="GT224" s="844">
        <v>0</v>
      </c>
      <c r="GU224" s="844">
        <v>0</v>
      </c>
      <c r="GV224" s="844">
        <v>0</v>
      </c>
      <c r="GW224" s="844">
        <v>0</v>
      </c>
      <c r="GX224" s="844">
        <v>0</v>
      </c>
      <c r="GY224" s="844">
        <v>0</v>
      </c>
      <c r="GZ224" s="844">
        <v>0</v>
      </c>
      <c r="HA224" s="844">
        <v>0</v>
      </c>
      <c r="HB224" s="844">
        <v>0</v>
      </c>
      <c r="HC224" s="844">
        <v>0</v>
      </c>
      <c r="HD224" s="844">
        <v>0</v>
      </c>
      <c r="HE224" s="844">
        <v>0</v>
      </c>
      <c r="HF224" s="844">
        <v>0</v>
      </c>
      <c r="HG224" s="844">
        <v>0</v>
      </c>
      <c r="HH224" s="844">
        <v>0</v>
      </c>
      <c r="HI224" s="844">
        <v>0</v>
      </c>
      <c r="HJ224" s="844">
        <v>0</v>
      </c>
      <c r="HK224" s="844">
        <v>0</v>
      </c>
      <c r="HL224" s="844">
        <v>0</v>
      </c>
      <c r="HM224" s="844">
        <v>0</v>
      </c>
      <c r="HN224" s="844">
        <v>0</v>
      </c>
      <c r="HO224" s="844">
        <v>0</v>
      </c>
      <c r="HP224" s="844">
        <v>0</v>
      </c>
      <c r="HQ224" s="844">
        <v>0</v>
      </c>
      <c r="HR224" s="844">
        <v>0</v>
      </c>
      <c r="HS224" s="844">
        <v>0</v>
      </c>
      <c r="HT224" s="844">
        <v>0</v>
      </c>
      <c r="HU224" s="844">
        <v>0</v>
      </c>
      <c r="HV224" s="844">
        <v>0</v>
      </c>
      <c r="HW224" s="844">
        <v>0</v>
      </c>
      <c r="HX224" s="844">
        <v>0</v>
      </c>
      <c r="HY224" s="844">
        <v>0</v>
      </c>
      <c r="HZ224" s="844">
        <v>0</v>
      </c>
      <c r="IA224" s="844">
        <v>0</v>
      </c>
      <c r="IB224" s="844">
        <v>0</v>
      </c>
      <c r="IC224" s="844">
        <v>0</v>
      </c>
      <c r="ID224" s="844">
        <v>0</v>
      </c>
      <c r="IE224" s="844">
        <v>0</v>
      </c>
      <c r="IF224" s="844">
        <v>0</v>
      </c>
      <c r="IG224" s="844">
        <v>0</v>
      </c>
      <c r="IH224" s="844">
        <v>0</v>
      </c>
      <c r="II224" s="844">
        <v>0</v>
      </c>
      <c r="IJ224" s="844">
        <v>0</v>
      </c>
    </row>
    <row r="225" spans="9:244" hidden="1">
      <c r="I225" s="156"/>
      <c r="L225" s="846" t="s">
        <v>1060</v>
      </c>
      <c r="M225" s="846" t="s">
        <v>1382</v>
      </c>
      <c r="N225" s="846" t="s">
        <v>96</v>
      </c>
      <c r="O225" s="847">
        <v>66</v>
      </c>
      <c r="P225" s="780" t="str">
        <f t="shared" si="8"/>
        <v>IWT060166</v>
      </c>
      <c r="Q225" s="847">
        <v>0</v>
      </c>
      <c r="R225" s="847">
        <v>0</v>
      </c>
      <c r="S225" s="847">
        <v>0</v>
      </c>
      <c r="T225" s="847">
        <v>0</v>
      </c>
      <c r="U225" s="847">
        <v>0</v>
      </c>
      <c r="V225" s="847">
        <v>0</v>
      </c>
      <c r="W225" s="847">
        <v>0</v>
      </c>
      <c r="X225" s="847">
        <v>0</v>
      </c>
      <c r="Y225" s="847">
        <v>0</v>
      </c>
      <c r="Z225" s="847">
        <v>0</v>
      </c>
      <c r="AA225" s="847">
        <v>0</v>
      </c>
      <c r="AB225" s="847">
        <v>0</v>
      </c>
      <c r="AC225" s="847">
        <v>0</v>
      </c>
      <c r="AD225" s="847">
        <v>0</v>
      </c>
      <c r="AE225" s="847">
        <v>0</v>
      </c>
      <c r="AF225" s="847">
        <v>0</v>
      </c>
      <c r="AG225" s="847">
        <v>0</v>
      </c>
      <c r="AH225" s="847">
        <v>0</v>
      </c>
      <c r="AI225" s="847">
        <v>0</v>
      </c>
      <c r="AJ225" s="847">
        <v>0</v>
      </c>
      <c r="AK225" s="847">
        <v>0</v>
      </c>
      <c r="AL225" s="847">
        <v>0</v>
      </c>
      <c r="AM225" s="847">
        <v>0</v>
      </c>
      <c r="AN225" s="847">
        <v>0</v>
      </c>
      <c r="AO225" s="847">
        <v>0</v>
      </c>
      <c r="AP225" s="847">
        <v>0</v>
      </c>
      <c r="AQ225" s="847">
        <v>0</v>
      </c>
      <c r="AR225" s="847">
        <v>0</v>
      </c>
      <c r="AS225" s="847">
        <v>0</v>
      </c>
      <c r="AT225" s="847">
        <v>0</v>
      </c>
      <c r="AU225" s="847">
        <v>0</v>
      </c>
      <c r="AV225" s="847">
        <v>0</v>
      </c>
      <c r="AW225" s="847">
        <v>0</v>
      </c>
      <c r="AX225" s="847">
        <v>0</v>
      </c>
      <c r="AY225" s="847">
        <v>0</v>
      </c>
      <c r="AZ225" s="847">
        <v>0</v>
      </c>
      <c r="BA225" s="847">
        <v>0</v>
      </c>
      <c r="BB225" s="847">
        <v>0</v>
      </c>
      <c r="BC225" s="847">
        <v>0</v>
      </c>
      <c r="BD225" s="847">
        <v>0</v>
      </c>
      <c r="BE225" s="847">
        <v>0</v>
      </c>
      <c r="BF225" s="847">
        <v>0</v>
      </c>
      <c r="BG225" s="847">
        <v>0</v>
      </c>
      <c r="BH225" s="847">
        <v>0</v>
      </c>
      <c r="BI225" s="847">
        <v>64600</v>
      </c>
      <c r="BJ225" s="847">
        <v>0</v>
      </c>
      <c r="BK225" s="847">
        <v>0</v>
      </c>
      <c r="BL225" s="847">
        <v>0</v>
      </c>
      <c r="BM225" s="847">
        <v>0</v>
      </c>
      <c r="BN225" s="847">
        <v>0</v>
      </c>
      <c r="BO225" s="847">
        <v>0</v>
      </c>
      <c r="BP225" s="847">
        <v>0</v>
      </c>
      <c r="BQ225" s="847">
        <v>0</v>
      </c>
      <c r="BR225" s="847">
        <v>0</v>
      </c>
      <c r="BS225" s="847">
        <v>0</v>
      </c>
      <c r="BT225" s="847">
        <v>0</v>
      </c>
      <c r="BU225" s="847">
        <v>0</v>
      </c>
      <c r="BV225" s="847">
        <v>0</v>
      </c>
      <c r="BW225" s="847">
        <v>0</v>
      </c>
      <c r="BX225" s="847">
        <v>0</v>
      </c>
      <c r="BY225" s="847">
        <v>0</v>
      </c>
      <c r="BZ225" s="847">
        <v>0</v>
      </c>
      <c r="CA225" s="847">
        <v>0</v>
      </c>
      <c r="CB225" s="847">
        <v>0</v>
      </c>
      <c r="CC225" s="847">
        <v>0</v>
      </c>
      <c r="CD225" s="847">
        <v>0</v>
      </c>
      <c r="CE225" s="847">
        <v>0</v>
      </c>
      <c r="CF225" s="847">
        <v>0</v>
      </c>
      <c r="CG225" s="847">
        <v>0</v>
      </c>
      <c r="CH225" s="847">
        <v>0</v>
      </c>
      <c r="CI225" s="847">
        <v>0</v>
      </c>
      <c r="CJ225" s="847">
        <v>0</v>
      </c>
      <c r="CK225" s="847">
        <v>0</v>
      </c>
      <c r="CL225" s="847">
        <v>0</v>
      </c>
      <c r="CM225" s="847">
        <v>0</v>
      </c>
      <c r="CN225" s="847">
        <v>0</v>
      </c>
      <c r="CO225" s="847">
        <v>0</v>
      </c>
      <c r="CP225" s="847">
        <v>0</v>
      </c>
      <c r="CQ225" s="847">
        <v>0</v>
      </c>
      <c r="CR225" s="847">
        <v>0</v>
      </c>
      <c r="CS225" s="847">
        <v>0</v>
      </c>
      <c r="CT225" s="847">
        <v>0</v>
      </c>
      <c r="CU225" s="847">
        <v>0</v>
      </c>
      <c r="CV225" s="847">
        <v>0</v>
      </c>
      <c r="CW225" s="847">
        <v>0</v>
      </c>
      <c r="CX225" s="847">
        <v>0</v>
      </c>
      <c r="CY225" s="847">
        <v>0</v>
      </c>
      <c r="CZ225" s="847">
        <v>0</v>
      </c>
      <c r="DA225" s="847">
        <v>0</v>
      </c>
      <c r="DB225" s="847">
        <v>0</v>
      </c>
      <c r="DC225" s="847">
        <v>0</v>
      </c>
      <c r="DD225" s="847">
        <v>0</v>
      </c>
      <c r="DE225" s="847">
        <v>0</v>
      </c>
      <c r="DF225" s="847">
        <v>0</v>
      </c>
      <c r="DG225" s="847">
        <v>0</v>
      </c>
      <c r="DH225" s="847">
        <v>0</v>
      </c>
      <c r="DI225" s="847">
        <v>0</v>
      </c>
      <c r="DJ225" s="847">
        <v>0</v>
      </c>
      <c r="DK225" s="847">
        <v>0</v>
      </c>
      <c r="DL225" s="847">
        <v>0</v>
      </c>
      <c r="DM225" s="847">
        <v>0</v>
      </c>
      <c r="DN225" s="847">
        <v>0</v>
      </c>
      <c r="DO225" s="847">
        <v>0</v>
      </c>
      <c r="DP225" s="847">
        <v>0</v>
      </c>
      <c r="DQ225" s="847">
        <v>0</v>
      </c>
      <c r="DR225" s="847">
        <v>0</v>
      </c>
      <c r="DS225" s="847">
        <v>0</v>
      </c>
      <c r="DT225" s="847">
        <v>0</v>
      </c>
      <c r="DU225" s="847">
        <v>0</v>
      </c>
      <c r="DV225" s="847">
        <v>0</v>
      </c>
      <c r="DW225" s="847">
        <v>0</v>
      </c>
      <c r="DY225" s="843" t="s">
        <v>1060</v>
      </c>
      <c r="DZ225" s="843" t="s">
        <v>1382</v>
      </c>
      <c r="EA225" s="843" t="s">
        <v>96</v>
      </c>
      <c r="EB225" s="844">
        <v>66</v>
      </c>
      <c r="EC225" s="780" t="str">
        <f t="shared" si="9"/>
        <v>IWT060166</v>
      </c>
      <c r="ED225" s="844">
        <v>5437.8</v>
      </c>
      <c r="EE225" s="844">
        <v>10875.6</v>
      </c>
      <c r="EF225" s="844">
        <v>16313.4</v>
      </c>
      <c r="EG225" s="844">
        <v>21751.200000000001</v>
      </c>
      <c r="EH225" s="844">
        <v>27189</v>
      </c>
      <c r="EI225" s="844">
        <v>32626.799999999999</v>
      </c>
      <c r="EJ225" s="844">
        <v>32626.799999999999</v>
      </c>
      <c r="EK225" s="844">
        <v>32626.799999999999</v>
      </c>
      <c r="EL225" s="844">
        <v>32626.799999999999</v>
      </c>
      <c r="EM225" s="844">
        <v>32641</v>
      </c>
      <c r="EN225" s="844">
        <v>33293</v>
      </c>
      <c r="EO225" s="844">
        <v>33959</v>
      </c>
      <c r="EP225" s="844">
        <v>34638</v>
      </c>
      <c r="EQ225" s="844">
        <v>35331</v>
      </c>
      <c r="ER225" s="844">
        <v>36037</v>
      </c>
      <c r="ES225" s="844">
        <v>36758</v>
      </c>
      <c r="ET225" s="844">
        <v>37493</v>
      </c>
      <c r="EU225" s="844">
        <v>38243</v>
      </c>
      <c r="EV225" s="844">
        <v>39007</v>
      </c>
      <c r="EW225" s="844">
        <v>39787</v>
      </c>
      <c r="EX225" s="844">
        <v>40583</v>
      </c>
      <c r="EY225" s="844">
        <v>41394</v>
      </c>
      <c r="EZ225" s="844">
        <v>42222</v>
      </c>
      <c r="FA225" s="844">
        <v>43066</v>
      </c>
      <c r="FB225" s="844">
        <v>43927</v>
      </c>
      <c r="FC225" s="844">
        <v>44805</v>
      </c>
      <c r="FD225" s="844">
        <v>45701</v>
      </c>
      <c r="FE225" s="844">
        <v>46615</v>
      </c>
      <c r="FF225" s="844">
        <v>47546</v>
      </c>
      <c r="FG225" s="844">
        <v>48497</v>
      </c>
      <c r="FH225" s="844">
        <v>49466</v>
      </c>
      <c r="FI225" s="844">
        <v>50455</v>
      </c>
      <c r="FJ225" s="844">
        <v>51463</v>
      </c>
      <c r="FK225" s="844">
        <v>52491</v>
      </c>
      <c r="FL225" s="844">
        <v>53540</v>
      </c>
      <c r="FM225" s="844">
        <v>54609</v>
      </c>
      <c r="FN225" s="844">
        <v>55700</v>
      </c>
      <c r="FO225" s="844">
        <v>56813</v>
      </c>
      <c r="FP225" s="844">
        <v>57947</v>
      </c>
      <c r="FQ225" s="844">
        <v>59104</v>
      </c>
      <c r="FR225" s="844">
        <v>60284</v>
      </c>
      <c r="FS225" s="844">
        <v>61487</v>
      </c>
      <c r="FT225" s="844">
        <v>62713</v>
      </c>
      <c r="FU225" s="844">
        <v>63964</v>
      </c>
      <c r="FV225" s="844">
        <v>64600</v>
      </c>
      <c r="FW225" s="844">
        <v>0</v>
      </c>
      <c r="FX225" s="844">
        <v>0</v>
      </c>
      <c r="FY225" s="844">
        <v>0</v>
      </c>
      <c r="FZ225" s="844">
        <v>0</v>
      </c>
      <c r="GA225" s="844">
        <v>0</v>
      </c>
      <c r="GB225" s="844">
        <v>0</v>
      </c>
      <c r="GC225" s="844">
        <v>0</v>
      </c>
      <c r="GD225" s="844">
        <v>0</v>
      </c>
      <c r="GE225" s="844">
        <v>0</v>
      </c>
      <c r="GF225" s="844">
        <v>0</v>
      </c>
      <c r="GG225" s="844">
        <v>0</v>
      </c>
      <c r="GH225" s="844">
        <v>0</v>
      </c>
      <c r="GI225" s="844">
        <v>0</v>
      </c>
      <c r="GJ225" s="844">
        <v>0</v>
      </c>
      <c r="GK225" s="844">
        <v>0</v>
      </c>
      <c r="GL225" s="844">
        <v>0</v>
      </c>
      <c r="GM225" s="844">
        <v>0</v>
      </c>
      <c r="GN225" s="844">
        <v>0</v>
      </c>
      <c r="GO225" s="844">
        <v>0</v>
      </c>
      <c r="GP225" s="844">
        <v>0</v>
      </c>
      <c r="GQ225" s="844">
        <v>0</v>
      </c>
      <c r="GR225" s="844">
        <v>0</v>
      </c>
      <c r="GS225" s="844">
        <v>0</v>
      </c>
      <c r="GT225" s="844">
        <v>0</v>
      </c>
      <c r="GU225" s="844">
        <v>0</v>
      </c>
      <c r="GV225" s="844">
        <v>0</v>
      </c>
      <c r="GW225" s="844">
        <v>0</v>
      </c>
      <c r="GX225" s="844">
        <v>0</v>
      </c>
      <c r="GY225" s="844">
        <v>0</v>
      </c>
      <c r="GZ225" s="844">
        <v>0</v>
      </c>
      <c r="HA225" s="844">
        <v>0</v>
      </c>
      <c r="HB225" s="844">
        <v>0</v>
      </c>
      <c r="HC225" s="844">
        <v>0</v>
      </c>
      <c r="HD225" s="844">
        <v>0</v>
      </c>
      <c r="HE225" s="844">
        <v>0</v>
      </c>
      <c r="HF225" s="844">
        <v>0</v>
      </c>
      <c r="HG225" s="844">
        <v>0</v>
      </c>
      <c r="HH225" s="844">
        <v>0</v>
      </c>
      <c r="HI225" s="844">
        <v>0</v>
      </c>
      <c r="HJ225" s="844">
        <v>0</v>
      </c>
      <c r="HK225" s="844">
        <v>0</v>
      </c>
      <c r="HL225" s="844">
        <v>0</v>
      </c>
      <c r="HM225" s="844">
        <v>0</v>
      </c>
      <c r="HN225" s="844">
        <v>0</v>
      </c>
      <c r="HO225" s="844">
        <v>0</v>
      </c>
      <c r="HP225" s="844">
        <v>0</v>
      </c>
      <c r="HQ225" s="844">
        <v>0</v>
      </c>
      <c r="HR225" s="844">
        <v>0</v>
      </c>
      <c r="HS225" s="844">
        <v>0</v>
      </c>
      <c r="HT225" s="844">
        <v>0</v>
      </c>
      <c r="HU225" s="844">
        <v>0</v>
      </c>
      <c r="HV225" s="844">
        <v>0</v>
      </c>
      <c r="HW225" s="844">
        <v>0</v>
      </c>
      <c r="HX225" s="844">
        <v>0</v>
      </c>
      <c r="HY225" s="844">
        <v>0</v>
      </c>
      <c r="HZ225" s="844">
        <v>0</v>
      </c>
      <c r="IA225" s="844">
        <v>0</v>
      </c>
      <c r="IB225" s="844">
        <v>0</v>
      </c>
      <c r="IC225" s="844">
        <v>0</v>
      </c>
      <c r="ID225" s="844">
        <v>0</v>
      </c>
      <c r="IE225" s="844">
        <v>0</v>
      </c>
      <c r="IF225" s="844">
        <v>0</v>
      </c>
      <c r="IG225" s="844">
        <v>0</v>
      </c>
      <c r="IH225" s="844">
        <v>0</v>
      </c>
      <c r="II225" s="844">
        <v>0</v>
      </c>
      <c r="IJ225" s="844">
        <v>0</v>
      </c>
    </row>
    <row r="226" spans="9:244" hidden="1">
      <c r="I226" s="156"/>
      <c r="L226" s="846" t="s">
        <v>1060</v>
      </c>
      <c r="M226" s="846" t="s">
        <v>1382</v>
      </c>
      <c r="N226" s="846" t="s">
        <v>96</v>
      </c>
      <c r="O226" s="847">
        <v>67</v>
      </c>
      <c r="P226" s="780" t="str">
        <f t="shared" si="8"/>
        <v>IWT060167</v>
      </c>
      <c r="Q226" s="847">
        <v>0</v>
      </c>
      <c r="R226" s="847">
        <v>0</v>
      </c>
      <c r="S226" s="847">
        <v>0</v>
      </c>
      <c r="T226" s="847">
        <v>0</v>
      </c>
      <c r="U226" s="847">
        <v>0</v>
      </c>
      <c r="V226" s="847">
        <v>0</v>
      </c>
      <c r="W226" s="847">
        <v>0</v>
      </c>
      <c r="X226" s="847">
        <v>0</v>
      </c>
      <c r="Y226" s="847">
        <v>0</v>
      </c>
      <c r="Z226" s="847">
        <v>0</v>
      </c>
      <c r="AA226" s="847">
        <v>0</v>
      </c>
      <c r="AB226" s="847">
        <v>0</v>
      </c>
      <c r="AC226" s="847">
        <v>0</v>
      </c>
      <c r="AD226" s="847">
        <v>0</v>
      </c>
      <c r="AE226" s="847">
        <v>0</v>
      </c>
      <c r="AF226" s="847">
        <v>0</v>
      </c>
      <c r="AG226" s="847">
        <v>0</v>
      </c>
      <c r="AH226" s="847">
        <v>0</v>
      </c>
      <c r="AI226" s="847">
        <v>0</v>
      </c>
      <c r="AJ226" s="847">
        <v>0</v>
      </c>
      <c r="AK226" s="847">
        <v>0</v>
      </c>
      <c r="AL226" s="847">
        <v>0</v>
      </c>
      <c r="AM226" s="847">
        <v>0</v>
      </c>
      <c r="AN226" s="847">
        <v>0</v>
      </c>
      <c r="AO226" s="847">
        <v>0</v>
      </c>
      <c r="AP226" s="847">
        <v>0</v>
      </c>
      <c r="AQ226" s="847">
        <v>0</v>
      </c>
      <c r="AR226" s="847">
        <v>0</v>
      </c>
      <c r="AS226" s="847">
        <v>0</v>
      </c>
      <c r="AT226" s="847">
        <v>0</v>
      </c>
      <c r="AU226" s="847">
        <v>0</v>
      </c>
      <c r="AV226" s="847">
        <v>0</v>
      </c>
      <c r="AW226" s="847">
        <v>0</v>
      </c>
      <c r="AX226" s="847">
        <v>0</v>
      </c>
      <c r="AY226" s="847">
        <v>0</v>
      </c>
      <c r="AZ226" s="847">
        <v>0</v>
      </c>
      <c r="BA226" s="847">
        <v>0</v>
      </c>
      <c r="BB226" s="847">
        <v>0</v>
      </c>
      <c r="BC226" s="847">
        <v>0</v>
      </c>
      <c r="BD226" s="847">
        <v>0</v>
      </c>
      <c r="BE226" s="847">
        <v>0</v>
      </c>
      <c r="BF226" s="847">
        <v>0</v>
      </c>
      <c r="BG226" s="847">
        <v>0</v>
      </c>
      <c r="BH226" s="847">
        <v>63200</v>
      </c>
      <c r="BI226" s="847">
        <v>0</v>
      </c>
      <c r="BJ226" s="847">
        <v>0</v>
      </c>
      <c r="BK226" s="847">
        <v>0</v>
      </c>
      <c r="BL226" s="847">
        <v>0</v>
      </c>
      <c r="BM226" s="847">
        <v>0</v>
      </c>
      <c r="BN226" s="847">
        <v>0</v>
      </c>
      <c r="BO226" s="847">
        <v>0</v>
      </c>
      <c r="BP226" s="847">
        <v>0</v>
      </c>
      <c r="BQ226" s="847">
        <v>0</v>
      </c>
      <c r="BR226" s="847">
        <v>0</v>
      </c>
      <c r="BS226" s="847">
        <v>0</v>
      </c>
      <c r="BT226" s="847">
        <v>0</v>
      </c>
      <c r="BU226" s="847">
        <v>0</v>
      </c>
      <c r="BV226" s="847">
        <v>0</v>
      </c>
      <c r="BW226" s="847">
        <v>0</v>
      </c>
      <c r="BX226" s="847">
        <v>0</v>
      </c>
      <c r="BY226" s="847">
        <v>0</v>
      </c>
      <c r="BZ226" s="847">
        <v>0</v>
      </c>
      <c r="CA226" s="847">
        <v>0</v>
      </c>
      <c r="CB226" s="847">
        <v>0</v>
      </c>
      <c r="CC226" s="847">
        <v>0</v>
      </c>
      <c r="CD226" s="847">
        <v>0</v>
      </c>
      <c r="CE226" s="847">
        <v>0</v>
      </c>
      <c r="CF226" s="847">
        <v>0</v>
      </c>
      <c r="CG226" s="847">
        <v>0</v>
      </c>
      <c r="CH226" s="847">
        <v>0</v>
      </c>
      <c r="CI226" s="847">
        <v>0</v>
      </c>
      <c r="CJ226" s="847">
        <v>0</v>
      </c>
      <c r="CK226" s="847">
        <v>0</v>
      </c>
      <c r="CL226" s="847">
        <v>0</v>
      </c>
      <c r="CM226" s="847">
        <v>0</v>
      </c>
      <c r="CN226" s="847">
        <v>0</v>
      </c>
      <c r="CO226" s="847">
        <v>0</v>
      </c>
      <c r="CP226" s="847">
        <v>0</v>
      </c>
      <c r="CQ226" s="847">
        <v>0</v>
      </c>
      <c r="CR226" s="847">
        <v>0</v>
      </c>
      <c r="CS226" s="847">
        <v>0</v>
      </c>
      <c r="CT226" s="847">
        <v>0</v>
      </c>
      <c r="CU226" s="847">
        <v>0</v>
      </c>
      <c r="CV226" s="847">
        <v>0</v>
      </c>
      <c r="CW226" s="847">
        <v>0</v>
      </c>
      <c r="CX226" s="847">
        <v>0</v>
      </c>
      <c r="CY226" s="847">
        <v>0</v>
      </c>
      <c r="CZ226" s="847">
        <v>0</v>
      </c>
      <c r="DA226" s="847">
        <v>0</v>
      </c>
      <c r="DB226" s="847">
        <v>0</v>
      </c>
      <c r="DC226" s="847">
        <v>0</v>
      </c>
      <c r="DD226" s="847">
        <v>0</v>
      </c>
      <c r="DE226" s="847">
        <v>0</v>
      </c>
      <c r="DF226" s="847">
        <v>0</v>
      </c>
      <c r="DG226" s="847">
        <v>0</v>
      </c>
      <c r="DH226" s="847">
        <v>0</v>
      </c>
      <c r="DI226" s="847">
        <v>0</v>
      </c>
      <c r="DJ226" s="847">
        <v>0</v>
      </c>
      <c r="DK226" s="847">
        <v>0</v>
      </c>
      <c r="DL226" s="847">
        <v>0</v>
      </c>
      <c r="DM226" s="847">
        <v>0</v>
      </c>
      <c r="DN226" s="847">
        <v>0</v>
      </c>
      <c r="DO226" s="847">
        <v>0</v>
      </c>
      <c r="DP226" s="847">
        <v>0</v>
      </c>
      <c r="DQ226" s="847">
        <v>0</v>
      </c>
      <c r="DR226" s="847">
        <v>0</v>
      </c>
      <c r="DS226" s="847">
        <v>0</v>
      </c>
      <c r="DT226" s="847">
        <v>0</v>
      </c>
      <c r="DU226" s="847">
        <v>0</v>
      </c>
      <c r="DV226" s="847">
        <v>0</v>
      </c>
      <c r="DW226" s="847">
        <v>0</v>
      </c>
      <c r="DY226" s="843" t="s">
        <v>1060</v>
      </c>
      <c r="DZ226" s="843" t="s">
        <v>1382</v>
      </c>
      <c r="EA226" s="843" t="s">
        <v>96</v>
      </c>
      <c r="EB226" s="844">
        <v>67</v>
      </c>
      <c r="EC226" s="780" t="str">
        <f t="shared" si="9"/>
        <v>IWT060167</v>
      </c>
      <c r="ED226" s="844">
        <v>5443.1</v>
      </c>
      <c r="EE226" s="844">
        <v>10886.2</v>
      </c>
      <c r="EF226" s="844">
        <v>16329.3</v>
      </c>
      <c r="EG226" s="844">
        <v>21772.400000000001</v>
      </c>
      <c r="EH226" s="844">
        <v>27215.5</v>
      </c>
      <c r="EI226" s="844">
        <v>32658.6</v>
      </c>
      <c r="EJ226" s="844">
        <v>32658.6</v>
      </c>
      <c r="EK226" s="844">
        <v>32658.6</v>
      </c>
      <c r="EL226" s="844">
        <v>32658.6</v>
      </c>
      <c r="EM226" s="844">
        <v>32658.6</v>
      </c>
      <c r="EN226" s="844">
        <v>33223</v>
      </c>
      <c r="EO226" s="844">
        <v>33887</v>
      </c>
      <c r="EP226" s="844">
        <v>34565</v>
      </c>
      <c r="EQ226" s="844">
        <v>35256</v>
      </c>
      <c r="ER226" s="844">
        <v>35961</v>
      </c>
      <c r="ES226" s="844">
        <v>36680</v>
      </c>
      <c r="ET226" s="844">
        <v>37414</v>
      </c>
      <c r="EU226" s="844">
        <v>38162</v>
      </c>
      <c r="EV226" s="844">
        <v>38925</v>
      </c>
      <c r="EW226" s="844">
        <v>39703</v>
      </c>
      <c r="EX226" s="844">
        <v>40497</v>
      </c>
      <c r="EY226" s="844">
        <v>41307</v>
      </c>
      <c r="EZ226" s="844">
        <v>42133</v>
      </c>
      <c r="FA226" s="844">
        <v>42975</v>
      </c>
      <c r="FB226" s="844">
        <v>43834</v>
      </c>
      <c r="FC226" s="844">
        <v>44710</v>
      </c>
      <c r="FD226" s="844">
        <v>45604</v>
      </c>
      <c r="FE226" s="844">
        <v>46516</v>
      </c>
      <c r="FF226" s="844">
        <v>47445</v>
      </c>
      <c r="FG226" s="844">
        <v>48394</v>
      </c>
      <c r="FH226" s="844">
        <v>49361</v>
      </c>
      <c r="FI226" s="844">
        <v>50347</v>
      </c>
      <c r="FJ226" s="844">
        <v>51353</v>
      </c>
      <c r="FK226" s="844">
        <v>52379</v>
      </c>
      <c r="FL226" s="844">
        <v>53426</v>
      </c>
      <c r="FM226" s="844">
        <v>54493</v>
      </c>
      <c r="FN226" s="844">
        <v>55581</v>
      </c>
      <c r="FO226" s="844">
        <v>56691</v>
      </c>
      <c r="FP226" s="844">
        <v>57823</v>
      </c>
      <c r="FQ226" s="844">
        <v>58977</v>
      </c>
      <c r="FR226" s="844">
        <v>60154</v>
      </c>
      <c r="FS226" s="844">
        <v>61354</v>
      </c>
      <c r="FT226" s="844">
        <v>62577</v>
      </c>
      <c r="FU226" s="844">
        <v>63200</v>
      </c>
      <c r="FV226" s="844">
        <v>0</v>
      </c>
      <c r="FW226" s="844">
        <v>0</v>
      </c>
      <c r="FX226" s="844">
        <v>0</v>
      </c>
      <c r="FY226" s="844">
        <v>0</v>
      </c>
      <c r="FZ226" s="844">
        <v>0</v>
      </c>
      <c r="GA226" s="844">
        <v>0</v>
      </c>
      <c r="GB226" s="844">
        <v>0</v>
      </c>
      <c r="GC226" s="844">
        <v>0</v>
      </c>
      <c r="GD226" s="844">
        <v>0</v>
      </c>
      <c r="GE226" s="844">
        <v>0</v>
      </c>
      <c r="GF226" s="844">
        <v>0</v>
      </c>
      <c r="GG226" s="844">
        <v>0</v>
      </c>
      <c r="GH226" s="844">
        <v>0</v>
      </c>
      <c r="GI226" s="844">
        <v>0</v>
      </c>
      <c r="GJ226" s="844">
        <v>0</v>
      </c>
      <c r="GK226" s="844">
        <v>0</v>
      </c>
      <c r="GL226" s="844">
        <v>0</v>
      </c>
      <c r="GM226" s="844">
        <v>0</v>
      </c>
      <c r="GN226" s="844">
        <v>0</v>
      </c>
      <c r="GO226" s="844">
        <v>0</v>
      </c>
      <c r="GP226" s="844">
        <v>0</v>
      </c>
      <c r="GQ226" s="844">
        <v>0</v>
      </c>
      <c r="GR226" s="844">
        <v>0</v>
      </c>
      <c r="GS226" s="844">
        <v>0</v>
      </c>
      <c r="GT226" s="844">
        <v>0</v>
      </c>
      <c r="GU226" s="844">
        <v>0</v>
      </c>
      <c r="GV226" s="844">
        <v>0</v>
      </c>
      <c r="GW226" s="844">
        <v>0</v>
      </c>
      <c r="GX226" s="844">
        <v>0</v>
      </c>
      <c r="GY226" s="844">
        <v>0</v>
      </c>
      <c r="GZ226" s="844">
        <v>0</v>
      </c>
      <c r="HA226" s="844">
        <v>0</v>
      </c>
      <c r="HB226" s="844">
        <v>0</v>
      </c>
      <c r="HC226" s="844">
        <v>0</v>
      </c>
      <c r="HD226" s="844">
        <v>0</v>
      </c>
      <c r="HE226" s="844">
        <v>0</v>
      </c>
      <c r="HF226" s="844">
        <v>0</v>
      </c>
      <c r="HG226" s="844">
        <v>0</v>
      </c>
      <c r="HH226" s="844">
        <v>0</v>
      </c>
      <c r="HI226" s="844">
        <v>0</v>
      </c>
      <c r="HJ226" s="844">
        <v>0</v>
      </c>
      <c r="HK226" s="844">
        <v>0</v>
      </c>
      <c r="HL226" s="844">
        <v>0</v>
      </c>
      <c r="HM226" s="844">
        <v>0</v>
      </c>
      <c r="HN226" s="844">
        <v>0</v>
      </c>
      <c r="HO226" s="844">
        <v>0</v>
      </c>
      <c r="HP226" s="844">
        <v>0</v>
      </c>
      <c r="HQ226" s="844">
        <v>0</v>
      </c>
      <c r="HR226" s="844">
        <v>0</v>
      </c>
      <c r="HS226" s="844">
        <v>0</v>
      </c>
      <c r="HT226" s="844">
        <v>0</v>
      </c>
      <c r="HU226" s="844">
        <v>0</v>
      </c>
      <c r="HV226" s="844">
        <v>0</v>
      </c>
      <c r="HW226" s="844">
        <v>0</v>
      </c>
      <c r="HX226" s="844">
        <v>0</v>
      </c>
      <c r="HY226" s="844">
        <v>0</v>
      </c>
      <c r="HZ226" s="844">
        <v>0</v>
      </c>
      <c r="IA226" s="844">
        <v>0</v>
      </c>
      <c r="IB226" s="844">
        <v>0</v>
      </c>
      <c r="IC226" s="844">
        <v>0</v>
      </c>
      <c r="ID226" s="844">
        <v>0</v>
      </c>
      <c r="IE226" s="844">
        <v>0</v>
      </c>
      <c r="IF226" s="844">
        <v>0</v>
      </c>
      <c r="IG226" s="844">
        <v>0</v>
      </c>
      <c r="IH226" s="844">
        <v>0</v>
      </c>
      <c r="II226" s="844">
        <v>0</v>
      </c>
      <c r="IJ226" s="844">
        <v>0</v>
      </c>
    </row>
    <row r="227" spans="9:244" hidden="1">
      <c r="I227" s="156"/>
      <c r="L227" s="846" t="s">
        <v>1060</v>
      </c>
      <c r="M227" s="846" t="s">
        <v>1382</v>
      </c>
      <c r="N227" s="846" t="s">
        <v>96</v>
      </c>
      <c r="O227" s="847">
        <v>68</v>
      </c>
      <c r="P227" s="780" t="str">
        <f t="shared" si="8"/>
        <v>IWT060168</v>
      </c>
      <c r="Q227" s="847">
        <v>0</v>
      </c>
      <c r="R227" s="847">
        <v>0</v>
      </c>
      <c r="S227" s="847">
        <v>0</v>
      </c>
      <c r="T227" s="847">
        <v>0</v>
      </c>
      <c r="U227" s="847">
        <v>0</v>
      </c>
      <c r="V227" s="847">
        <v>0</v>
      </c>
      <c r="W227" s="847">
        <v>0</v>
      </c>
      <c r="X227" s="847">
        <v>0</v>
      </c>
      <c r="Y227" s="847">
        <v>0</v>
      </c>
      <c r="Z227" s="847">
        <v>0</v>
      </c>
      <c r="AA227" s="847">
        <v>0</v>
      </c>
      <c r="AB227" s="847">
        <v>0</v>
      </c>
      <c r="AC227" s="847">
        <v>0</v>
      </c>
      <c r="AD227" s="847">
        <v>0</v>
      </c>
      <c r="AE227" s="847">
        <v>0</v>
      </c>
      <c r="AF227" s="847">
        <v>0</v>
      </c>
      <c r="AG227" s="847">
        <v>0</v>
      </c>
      <c r="AH227" s="847">
        <v>0</v>
      </c>
      <c r="AI227" s="847">
        <v>0</v>
      </c>
      <c r="AJ227" s="847">
        <v>0</v>
      </c>
      <c r="AK227" s="847">
        <v>0</v>
      </c>
      <c r="AL227" s="847">
        <v>0</v>
      </c>
      <c r="AM227" s="847">
        <v>0</v>
      </c>
      <c r="AN227" s="847">
        <v>0</v>
      </c>
      <c r="AO227" s="847">
        <v>0</v>
      </c>
      <c r="AP227" s="847">
        <v>0</v>
      </c>
      <c r="AQ227" s="847">
        <v>0</v>
      </c>
      <c r="AR227" s="847">
        <v>0</v>
      </c>
      <c r="AS227" s="847">
        <v>0</v>
      </c>
      <c r="AT227" s="847">
        <v>0</v>
      </c>
      <c r="AU227" s="847">
        <v>0</v>
      </c>
      <c r="AV227" s="847">
        <v>0</v>
      </c>
      <c r="AW227" s="847">
        <v>0</v>
      </c>
      <c r="AX227" s="847">
        <v>0</v>
      </c>
      <c r="AY227" s="847">
        <v>0</v>
      </c>
      <c r="AZ227" s="847">
        <v>0</v>
      </c>
      <c r="BA227" s="847">
        <v>0</v>
      </c>
      <c r="BB227" s="847">
        <v>0</v>
      </c>
      <c r="BC227" s="847">
        <v>0</v>
      </c>
      <c r="BD227" s="847">
        <v>0</v>
      </c>
      <c r="BE227" s="847">
        <v>0</v>
      </c>
      <c r="BF227" s="847">
        <v>0</v>
      </c>
      <c r="BG227" s="847">
        <v>61800</v>
      </c>
      <c r="BH227" s="847">
        <v>0</v>
      </c>
      <c r="BI227" s="847">
        <v>0</v>
      </c>
      <c r="BJ227" s="847">
        <v>0</v>
      </c>
      <c r="BK227" s="847">
        <v>0</v>
      </c>
      <c r="BL227" s="847">
        <v>0</v>
      </c>
      <c r="BM227" s="847">
        <v>0</v>
      </c>
      <c r="BN227" s="847">
        <v>0</v>
      </c>
      <c r="BO227" s="847">
        <v>0</v>
      </c>
      <c r="BP227" s="847">
        <v>0</v>
      </c>
      <c r="BQ227" s="847">
        <v>0</v>
      </c>
      <c r="BR227" s="847">
        <v>0</v>
      </c>
      <c r="BS227" s="847">
        <v>0</v>
      </c>
      <c r="BT227" s="847">
        <v>0</v>
      </c>
      <c r="BU227" s="847">
        <v>0</v>
      </c>
      <c r="BV227" s="847">
        <v>0</v>
      </c>
      <c r="BW227" s="847">
        <v>0</v>
      </c>
      <c r="BX227" s="847">
        <v>0</v>
      </c>
      <c r="BY227" s="847">
        <v>0</v>
      </c>
      <c r="BZ227" s="847">
        <v>0</v>
      </c>
      <c r="CA227" s="847">
        <v>0</v>
      </c>
      <c r="CB227" s="847">
        <v>0</v>
      </c>
      <c r="CC227" s="847">
        <v>0</v>
      </c>
      <c r="CD227" s="847">
        <v>0</v>
      </c>
      <c r="CE227" s="847">
        <v>0</v>
      </c>
      <c r="CF227" s="847">
        <v>0</v>
      </c>
      <c r="CG227" s="847">
        <v>0</v>
      </c>
      <c r="CH227" s="847">
        <v>0</v>
      </c>
      <c r="CI227" s="847">
        <v>0</v>
      </c>
      <c r="CJ227" s="847">
        <v>0</v>
      </c>
      <c r="CK227" s="847">
        <v>0</v>
      </c>
      <c r="CL227" s="847">
        <v>0</v>
      </c>
      <c r="CM227" s="847">
        <v>0</v>
      </c>
      <c r="CN227" s="847">
        <v>0</v>
      </c>
      <c r="CO227" s="847">
        <v>0</v>
      </c>
      <c r="CP227" s="847">
        <v>0</v>
      </c>
      <c r="CQ227" s="847">
        <v>0</v>
      </c>
      <c r="CR227" s="847">
        <v>0</v>
      </c>
      <c r="CS227" s="847">
        <v>0</v>
      </c>
      <c r="CT227" s="847">
        <v>0</v>
      </c>
      <c r="CU227" s="847">
        <v>0</v>
      </c>
      <c r="CV227" s="847">
        <v>0</v>
      </c>
      <c r="CW227" s="847">
        <v>0</v>
      </c>
      <c r="CX227" s="847">
        <v>0</v>
      </c>
      <c r="CY227" s="847">
        <v>0</v>
      </c>
      <c r="CZ227" s="847">
        <v>0</v>
      </c>
      <c r="DA227" s="847">
        <v>0</v>
      </c>
      <c r="DB227" s="847">
        <v>0</v>
      </c>
      <c r="DC227" s="847">
        <v>0</v>
      </c>
      <c r="DD227" s="847">
        <v>0</v>
      </c>
      <c r="DE227" s="847">
        <v>0</v>
      </c>
      <c r="DF227" s="847">
        <v>0</v>
      </c>
      <c r="DG227" s="847">
        <v>0</v>
      </c>
      <c r="DH227" s="847">
        <v>0</v>
      </c>
      <c r="DI227" s="847">
        <v>0</v>
      </c>
      <c r="DJ227" s="847">
        <v>0</v>
      </c>
      <c r="DK227" s="847">
        <v>0</v>
      </c>
      <c r="DL227" s="847">
        <v>0</v>
      </c>
      <c r="DM227" s="847">
        <v>0</v>
      </c>
      <c r="DN227" s="847">
        <v>0</v>
      </c>
      <c r="DO227" s="847">
        <v>0</v>
      </c>
      <c r="DP227" s="847">
        <v>0</v>
      </c>
      <c r="DQ227" s="847">
        <v>0</v>
      </c>
      <c r="DR227" s="847">
        <v>0</v>
      </c>
      <c r="DS227" s="847">
        <v>0</v>
      </c>
      <c r="DT227" s="847">
        <v>0</v>
      </c>
      <c r="DU227" s="847">
        <v>0</v>
      </c>
      <c r="DV227" s="847">
        <v>0</v>
      </c>
      <c r="DW227" s="847">
        <v>0</v>
      </c>
      <c r="DY227" s="843" t="s">
        <v>1060</v>
      </c>
      <c r="DZ227" s="843" t="s">
        <v>1382</v>
      </c>
      <c r="EA227" s="843" t="s">
        <v>96</v>
      </c>
      <c r="EB227" s="844">
        <v>68</v>
      </c>
      <c r="EC227" s="780" t="str">
        <f t="shared" si="9"/>
        <v>IWT060168</v>
      </c>
      <c r="ED227" s="844">
        <v>5448.4</v>
      </c>
      <c r="EE227" s="844">
        <v>10896.8</v>
      </c>
      <c r="EF227" s="844">
        <v>16345.2</v>
      </c>
      <c r="EG227" s="844">
        <v>21793.599999999999</v>
      </c>
      <c r="EH227" s="844">
        <v>27242</v>
      </c>
      <c r="EI227" s="844">
        <v>32690.400000000001</v>
      </c>
      <c r="EJ227" s="844">
        <v>32690.400000000001</v>
      </c>
      <c r="EK227" s="844">
        <v>32690.400000000001</v>
      </c>
      <c r="EL227" s="844">
        <v>32690.400000000001</v>
      </c>
      <c r="EM227" s="844">
        <v>32690.400000000001</v>
      </c>
      <c r="EN227" s="844">
        <v>33137</v>
      </c>
      <c r="EO227" s="844">
        <v>33799</v>
      </c>
      <c r="EP227" s="844">
        <v>34475</v>
      </c>
      <c r="EQ227" s="844">
        <v>35165</v>
      </c>
      <c r="ER227" s="844">
        <v>35868</v>
      </c>
      <c r="ES227" s="844">
        <v>36585</v>
      </c>
      <c r="ET227" s="844">
        <v>37317</v>
      </c>
      <c r="EU227" s="844">
        <v>38063</v>
      </c>
      <c r="EV227" s="844">
        <v>38824</v>
      </c>
      <c r="EW227" s="844">
        <v>39600</v>
      </c>
      <c r="EX227" s="844">
        <v>40392</v>
      </c>
      <c r="EY227" s="844">
        <v>41199</v>
      </c>
      <c r="EZ227" s="844">
        <v>42023</v>
      </c>
      <c r="FA227" s="844">
        <v>42863</v>
      </c>
      <c r="FB227" s="844">
        <v>43720</v>
      </c>
      <c r="FC227" s="844">
        <v>44594</v>
      </c>
      <c r="FD227" s="844">
        <v>45486</v>
      </c>
      <c r="FE227" s="844">
        <v>46395</v>
      </c>
      <c r="FF227" s="844">
        <v>47322</v>
      </c>
      <c r="FG227" s="844">
        <v>48268</v>
      </c>
      <c r="FH227" s="844">
        <v>49232</v>
      </c>
      <c r="FI227" s="844">
        <v>50216</v>
      </c>
      <c r="FJ227" s="844">
        <v>51219</v>
      </c>
      <c r="FK227" s="844">
        <v>52242</v>
      </c>
      <c r="FL227" s="844">
        <v>53286</v>
      </c>
      <c r="FM227" s="844">
        <v>54350</v>
      </c>
      <c r="FN227" s="844">
        <v>55435</v>
      </c>
      <c r="FO227" s="844">
        <v>56542</v>
      </c>
      <c r="FP227" s="844">
        <v>57671</v>
      </c>
      <c r="FQ227" s="844">
        <v>58822</v>
      </c>
      <c r="FR227" s="844">
        <v>59995</v>
      </c>
      <c r="FS227" s="844">
        <v>61191</v>
      </c>
      <c r="FT227" s="844">
        <v>61800</v>
      </c>
      <c r="FU227" s="844">
        <v>0</v>
      </c>
      <c r="FV227" s="844">
        <v>0</v>
      </c>
      <c r="FW227" s="844">
        <v>0</v>
      </c>
      <c r="FX227" s="844">
        <v>0</v>
      </c>
      <c r="FY227" s="844">
        <v>0</v>
      </c>
      <c r="FZ227" s="844">
        <v>0</v>
      </c>
      <c r="GA227" s="844">
        <v>0</v>
      </c>
      <c r="GB227" s="844">
        <v>0</v>
      </c>
      <c r="GC227" s="844">
        <v>0</v>
      </c>
      <c r="GD227" s="844">
        <v>0</v>
      </c>
      <c r="GE227" s="844">
        <v>0</v>
      </c>
      <c r="GF227" s="844">
        <v>0</v>
      </c>
      <c r="GG227" s="844">
        <v>0</v>
      </c>
      <c r="GH227" s="844">
        <v>0</v>
      </c>
      <c r="GI227" s="844">
        <v>0</v>
      </c>
      <c r="GJ227" s="844">
        <v>0</v>
      </c>
      <c r="GK227" s="844">
        <v>0</v>
      </c>
      <c r="GL227" s="844">
        <v>0</v>
      </c>
      <c r="GM227" s="844">
        <v>0</v>
      </c>
      <c r="GN227" s="844">
        <v>0</v>
      </c>
      <c r="GO227" s="844">
        <v>0</v>
      </c>
      <c r="GP227" s="844">
        <v>0</v>
      </c>
      <c r="GQ227" s="844">
        <v>0</v>
      </c>
      <c r="GR227" s="844">
        <v>0</v>
      </c>
      <c r="GS227" s="844">
        <v>0</v>
      </c>
      <c r="GT227" s="844">
        <v>0</v>
      </c>
      <c r="GU227" s="844">
        <v>0</v>
      </c>
      <c r="GV227" s="844">
        <v>0</v>
      </c>
      <c r="GW227" s="844">
        <v>0</v>
      </c>
      <c r="GX227" s="844">
        <v>0</v>
      </c>
      <c r="GY227" s="844">
        <v>0</v>
      </c>
      <c r="GZ227" s="844">
        <v>0</v>
      </c>
      <c r="HA227" s="844">
        <v>0</v>
      </c>
      <c r="HB227" s="844">
        <v>0</v>
      </c>
      <c r="HC227" s="844">
        <v>0</v>
      </c>
      <c r="HD227" s="844">
        <v>0</v>
      </c>
      <c r="HE227" s="844">
        <v>0</v>
      </c>
      <c r="HF227" s="844">
        <v>0</v>
      </c>
      <c r="HG227" s="844">
        <v>0</v>
      </c>
      <c r="HH227" s="844">
        <v>0</v>
      </c>
      <c r="HI227" s="844">
        <v>0</v>
      </c>
      <c r="HJ227" s="844">
        <v>0</v>
      </c>
      <c r="HK227" s="844">
        <v>0</v>
      </c>
      <c r="HL227" s="844">
        <v>0</v>
      </c>
      <c r="HM227" s="844">
        <v>0</v>
      </c>
      <c r="HN227" s="844">
        <v>0</v>
      </c>
      <c r="HO227" s="844">
        <v>0</v>
      </c>
      <c r="HP227" s="844">
        <v>0</v>
      </c>
      <c r="HQ227" s="844">
        <v>0</v>
      </c>
      <c r="HR227" s="844">
        <v>0</v>
      </c>
      <c r="HS227" s="844">
        <v>0</v>
      </c>
      <c r="HT227" s="844">
        <v>0</v>
      </c>
      <c r="HU227" s="844">
        <v>0</v>
      </c>
      <c r="HV227" s="844">
        <v>0</v>
      </c>
      <c r="HW227" s="844">
        <v>0</v>
      </c>
      <c r="HX227" s="844">
        <v>0</v>
      </c>
      <c r="HY227" s="844">
        <v>0</v>
      </c>
      <c r="HZ227" s="844">
        <v>0</v>
      </c>
      <c r="IA227" s="844">
        <v>0</v>
      </c>
      <c r="IB227" s="844">
        <v>0</v>
      </c>
      <c r="IC227" s="844">
        <v>0</v>
      </c>
      <c r="ID227" s="844">
        <v>0</v>
      </c>
      <c r="IE227" s="844">
        <v>0</v>
      </c>
      <c r="IF227" s="844">
        <v>0</v>
      </c>
      <c r="IG227" s="844">
        <v>0</v>
      </c>
      <c r="IH227" s="844">
        <v>0</v>
      </c>
      <c r="II227" s="844">
        <v>0</v>
      </c>
      <c r="IJ227" s="844">
        <v>0</v>
      </c>
    </row>
    <row r="228" spans="9:244" hidden="1">
      <c r="I228" s="156"/>
      <c r="L228" s="846" t="s">
        <v>1060</v>
      </c>
      <c r="M228" s="846" t="s">
        <v>1382</v>
      </c>
      <c r="N228" s="846" t="s">
        <v>96</v>
      </c>
      <c r="O228" s="847">
        <v>69</v>
      </c>
      <c r="P228" s="780" t="str">
        <f t="shared" si="8"/>
        <v>IWT060169</v>
      </c>
      <c r="Q228" s="847">
        <v>0</v>
      </c>
      <c r="R228" s="847">
        <v>0</v>
      </c>
      <c r="S228" s="847">
        <v>0</v>
      </c>
      <c r="T228" s="847">
        <v>0</v>
      </c>
      <c r="U228" s="847">
        <v>0</v>
      </c>
      <c r="V228" s="847">
        <v>0</v>
      </c>
      <c r="W228" s="847">
        <v>0</v>
      </c>
      <c r="X228" s="847">
        <v>0</v>
      </c>
      <c r="Y228" s="847">
        <v>0</v>
      </c>
      <c r="Z228" s="847">
        <v>0</v>
      </c>
      <c r="AA228" s="847">
        <v>0</v>
      </c>
      <c r="AB228" s="847">
        <v>0</v>
      </c>
      <c r="AC228" s="847">
        <v>0</v>
      </c>
      <c r="AD228" s="847">
        <v>0</v>
      </c>
      <c r="AE228" s="847">
        <v>0</v>
      </c>
      <c r="AF228" s="847">
        <v>0</v>
      </c>
      <c r="AG228" s="847">
        <v>0</v>
      </c>
      <c r="AH228" s="847">
        <v>0</v>
      </c>
      <c r="AI228" s="847">
        <v>0</v>
      </c>
      <c r="AJ228" s="847">
        <v>0</v>
      </c>
      <c r="AK228" s="847">
        <v>0</v>
      </c>
      <c r="AL228" s="847">
        <v>0</v>
      </c>
      <c r="AM228" s="847">
        <v>0</v>
      </c>
      <c r="AN228" s="847">
        <v>0</v>
      </c>
      <c r="AO228" s="847">
        <v>0</v>
      </c>
      <c r="AP228" s="847">
        <v>0</v>
      </c>
      <c r="AQ228" s="847">
        <v>0</v>
      </c>
      <c r="AR228" s="847">
        <v>0</v>
      </c>
      <c r="AS228" s="847">
        <v>0</v>
      </c>
      <c r="AT228" s="847">
        <v>0</v>
      </c>
      <c r="AU228" s="847">
        <v>0</v>
      </c>
      <c r="AV228" s="847">
        <v>0</v>
      </c>
      <c r="AW228" s="847">
        <v>0</v>
      </c>
      <c r="AX228" s="847">
        <v>0</v>
      </c>
      <c r="AY228" s="847">
        <v>0</v>
      </c>
      <c r="AZ228" s="847">
        <v>0</v>
      </c>
      <c r="BA228" s="847">
        <v>0</v>
      </c>
      <c r="BB228" s="847">
        <v>0</v>
      </c>
      <c r="BC228" s="847">
        <v>0</v>
      </c>
      <c r="BD228" s="847">
        <v>0</v>
      </c>
      <c r="BE228" s="847">
        <v>0</v>
      </c>
      <c r="BF228" s="847">
        <v>60400</v>
      </c>
      <c r="BG228" s="847">
        <v>0</v>
      </c>
      <c r="BH228" s="847">
        <v>0</v>
      </c>
      <c r="BI228" s="847">
        <v>0</v>
      </c>
      <c r="BJ228" s="847">
        <v>0</v>
      </c>
      <c r="BK228" s="847">
        <v>0</v>
      </c>
      <c r="BL228" s="847">
        <v>0</v>
      </c>
      <c r="BM228" s="847">
        <v>0</v>
      </c>
      <c r="BN228" s="847">
        <v>0</v>
      </c>
      <c r="BO228" s="847">
        <v>0</v>
      </c>
      <c r="BP228" s="847">
        <v>0</v>
      </c>
      <c r="BQ228" s="847">
        <v>0</v>
      </c>
      <c r="BR228" s="847">
        <v>0</v>
      </c>
      <c r="BS228" s="847">
        <v>0</v>
      </c>
      <c r="BT228" s="847">
        <v>0</v>
      </c>
      <c r="BU228" s="847">
        <v>0</v>
      </c>
      <c r="BV228" s="847">
        <v>0</v>
      </c>
      <c r="BW228" s="847">
        <v>0</v>
      </c>
      <c r="BX228" s="847">
        <v>0</v>
      </c>
      <c r="BY228" s="847">
        <v>0</v>
      </c>
      <c r="BZ228" s="847">
        <v>0</v>
      </c>
      <c r="CA228" s="847">
        <v>0</v>
      </c>
      <c r="CB228" s="847">
        <v>0</v>
      </c>
      <c r="CC228" s="847">
        <v>0</v>
      </c>
      <c r="CD228" s="847">
        <v>0</v>
      </c>
      <c r="CE228" s="847">
        <v>0</v>
      </c>
      <c r="CF228" s="847">
        <v>0</v>
      </c>
      <c r="CG228" s="847">
        <v>0</v>
      </c>
      <c r="CH228" s="847">
        <v>0</v>
      </c>
      <c r="CI228" s="847">
        <v>0</v>
      </c>
      <c r="CJ228" s="847">
        <v>0</v>
      </c>
      <c r="CK228" s="847">
        <v>0</v>
      </c>
      <c r="CL228" s="847">
        <v>0</v>
      </c>
      <c r="CM228" s="847">
        <v>0</v>
      </c>
      <c r="CN228" s="847">
        <v>0</v>
      </c>
      <c r="CO228" s="847">
        <v>0</v>
      </c>
      <c r="CP228" s="847">
        <v>0</v>
      </c>
      <c r="CQ228" s="847">
        <v>0</v>
      </c>
      <c r="CR228" s="847">
        <v>0</v>
      </c>
      <c r="CS228" s="847">
        <v>0</v>
      </c>
      <c r="CT228" s="847">
        <v>0</v>
      </c>
      <c r="CU228" s="847">
        <v>0</v>
      </c>
      <c r="CV228" s="847">
        <v>0</v>
      </c>
      <c r="CW228" s="847">
        <v>0</v>
      </c>
      <c r="CX228" s="847">
        <v>0</v>
      </c>
      <c r="CY228" s="847">
        <v>0</v>
      </c>
      <c r="CZ228" s="847">
        <v>0</v>
      </c>
      <c r="DA228" s="847">
        <v>0</v>
      </c>
      <c r="DB228" s="847">
        <v>0</v>
      </c>
      <c r="DC228" s="847">
        <v>0</v>
      </c>
      <c r="DD228" s="847">
        <v>0</v>
      </c>
      <c r="DE228" s="847">
        <v>0</v>
      </c>
      <c r="DF228" s="847">
        <v>0</v>
      </c>
      <c r="DG228" s="847">
        <v>0</v>
      </c>
      <c r="DH228" s="847">
        <v>0</v>
      </c>
      <c r="DI228" s="847">
        <v>0</v>
      </c>
      <c r="DJ228" s="847">
        <v>0</v>
      </c>
      <c r="DK228" s="847">
        <v>0</v>
      </c>
      <c r="DL228" s="847">
        <v>0</v>
      </c>
      <c r="DM228" s="847">
        <v>0</v>
      </c>
      <c r="DN228" s="847">
        <v>0</v>
      </c>
      <c r="DO228" s="847">
        <v>0</v>
      </c>
      <c r="DP228" s="847">
        <v>0</v>
      </c>
      <c r="DQ228" s="847">
        <v>0</v>
      </c>
      <c r="DR228" s="847">
        <v>0</v>
      </c>
      <c r="DS228" s="847">
        <v>0</v>
      </c>
      <c r="DT228" s="847">
        <v>0</v>
      </c>
      <c r="DU228" s="847">
        <v>0</v>
      </c>
      <c r="DV228" s="847">
        <v>0</v>
      </c>
      <c r="DW228" s="847">
        <v>0</v>
      </c>
      <c r="DY228" s="843" t="s">
        <v>1060</v>
      </c>
      <c r="DZ228" s="843" t="s">
        <v>1382</v>
      </c>
      <c r="EA228" s="843" t="s">
        <v>96</v>
      </c>
      <c r="EB228" s="844">
        <v>69</v>
      </c>
      <c r="EC228" s="780" t="str">
        <f t="shared" si="9"/>
        <v>IWT060169</v>
      </c>
      <c r="ED228" s="844">
        <v>5453.7</v>
      </c>
      <c r="EE228" s="844">
        <v>10907.4</v>
      </c>
      <c r="EF228" s="844">
        <v>16361.1</v>
      </c>
      <c r="EG228" s="844">
        <v>21814.799999999999</v>
      </c>
      <c r="EH228" s="844">
        <v>27268.5</v>
      </c>
      <c r="EI228" s="844">
        <v>32722.2</v>
      </c>
      <c r="EJ228" s="844">
        <v>32722.2</v>
      </c>
      <c r="EK228" s="844">
        <v>32722.2</v>
      </c>
      <c r="EL228" s="844">
        <v>32722.2</v>
      </c>
      <c r="EM228" s="844">
        <v>32722.2</v>
      </c>
      <c r="EN228" s="844">
        <v>33034</v>
      </c>
      <c r="EO228" s="844">
        <v>33694</v>
      </c>
      <c r="EP228" s="844">
        <v>34368</v>
      </c>
      <c r="EQ228" s="844">
        <v>35055</v>
      </c>
      <c r="ER228" s="844">
        <v>35756</v>
      </c>
      <c r="ES228" s="844">
        <v>36471</v>
      </c>
      <c r="ET228" s="844">
        <v>37201</v>
      </c>
      <c r="EU228" s="844">
        <v>37944</v>
      </c>
      <c r="EV228" s="844">
        <v>38703</v>
      </c>
      <c r="EW228" s="844">
        <v>39477</v>
      </c>
      <c r="EX228" s="844">
        <v>40266</v>
      </c>
      <c r="EY228" s="844">
        <v>41071</v>
      </c>
      <c r="EZ228" s="844">
        <v>41892</v>
      </c>
      <c r="FA228" s="844">
        <v>42730</v>
      </c>
      <c r="FB228" s="844">
        <v>43584</v>
      </c>
      <c r="FC228" s="844">
        <v>44455</v>
      </c>
      <c r="FD228" s="844">
        <v>45344</v>
      </c>
      <c r="FE228" s="844">
        <v>46250</v>
      </c>
      <c r="FF228" s="844">
        <v>47174</v>
      </c>
      <c r="FG228" s="844">
        <v>48117</v>
      </c>
      <c r="FH228" s="844">
        <v>49078</v>
      </c>
      <c r="FI228" s="844">
        <v>50059</v>
      </c>
      <c r="FJ228" s="844">
        <v>51059</v>
      </c>
      <c r="FK228" s="844">
        <v>52079</v>
      </c>
      <c r="FL228" s="844">
        <v>53119</v>
      </c>
      <c r="FM228" s="844">
        <v>54179</v>
      </c>
      <c r="FN228" s="844">
        <v>55261</v>
      </c>
      <c r="FO228" s="844">
        <v>56364</v>
      </c>
      <c r="FP228" s="844">
        <v>57489</v>
      </c>
      <c r="FQ228" s="844">
        <v>58636</v>
      </c>
      <c r="FR228" s="844">
        <v>59805</v>
      </c>
      <c r="FS228" s="844">
        <v>60400</v>
      </c>
      <c r="FT228" s="844">
        <v>0</v>
      </c>
      <c r="FU228" s="844">
        <v>0</v>
      </c>
      <c r="FV228" s="844">
        <v>0</v>
      </c>
      <c r="FW228" s="844">
        <v>0</v>
      </c>
      <c r="FX228" s="844">
        <v>0</v>
      </c>
      <c r="FY228" s="844">
        <v>0</v>
      </c>
      <c r="FZ228" s="844">
        <v>0</v>
      </c>
      <c r="GA228" s="844">
        <v>0</v>
      </c>
      <c r="GB228" s="844">
        <v>0</v>
      </c>
      <c r="GC228" s="844">
        <v>0</v>
      </c>
      <c r="GD228" s="844">
        <v>0</v>
      </c>
      <c r="GE228" s="844">
        <v>0</v>
      </c>
      <c r="GF228" s="844">
        <v>0</v>
      </c>
      <c r="GG228" s="844">
        <v>0</v>
      </c>
      <c r="GH228" s="844">
        <v>0</v>
      </c>
      <c r="GI228" s="844">
        <v>0</v>
      </c>
      <c r="GJ228" s="844">
        <v>0</v>
      </c>
      <c r="GK228" s="844">
        <v>0</v>
      </c>
      <c r="GL228" s="844">
        <v>0</v>
      </c>
      <c r="GM228" s="844">
        <v>0</v>
      </c>
      <c r="GN228" s="844">
        <v>0</v>
      </c>
      <c r="GO228" s="844">
        <v>0</v>
      </c>
      <c r="GP228" s="844">
        <v>0</v>
      </c>
      <c r="GQ228" s="844">
        <v>0</v>
      </c>
      <c r="GR228" s="844">
        <v>0</v>
      </c>
      <c r="GS228" s="844">
        <v>0</v>
      </c>
      <c r="GT228" s="844">
        <v>0</v>
      </c>
      <c r="GU228" s="844">
        <v>0</v>
      </c>
      <c r="GV228" s="844">
        <v>0</v>
      </c>
      <c r="GW228" s="844">
        <v>0</v>
      </c>
      <c r="GX228" s="844">
        <v>0</v>
      </c>
      <c r="GY228" s="844">
        <v>0</v>
      </c>
      <c r="GZ228" s="844">
        <v>0</v>
      </c>
      <c r="HA228" s="844">
        <v>0</v>
      </c>
      <c r="HB228" s="844">
        <v>0</v>
      </c>
      <c r="HC228" s="844">
        <v>0</v>
      </c>
      <c r="HD228" s="844">
        <v>0</v>
      </c>
      <c r="HE228" s="844">
        <v>0</v>
      </c>
      <c r="HF228" s="844">
        <v>0</v>
      </c>
      <c r="HG228" s="844">
        <v>0</v>
      </c>
      <c r="HH228" s="844">
        <v>0</v>
      </c>
      <c r="HI228" s="844">
        <v>0</v>
      </c>
      <c r="HJ228" s="844">
        <v>0</v>
      </c>
      <c r="HK228" s="844">
        <v>0</v>
      </c>
      <c r="HL228" s="844">
        <v>0</v>
      </c>
      <c r="HM228" s="844">
        <v>0</v>
      </c>
      <c r="HN228" s="844">
        <v>0</v>
      </c>
      <c r="HO228" s="844">
        <v>0</v>
      </c>
      <c r="HP228" s="844">
        <v>0</v>
      </c>
      <c r="HQ228" s="844">
        <v>0</v>
      </c>
      <c r="HR228" s="844">
        <v>0</v>
      </c>
      <c r="HS228" s="844">
        <v>0</v>
      </c>
      <c r="HT228" s="844">
        <v>0</v>
      </c>
      <c r="HU228" s="844">
        <v>0</v>
      </c>
      <c r="HV228" s="844">
        <v>0</v>
      </c>
      <c r="HW228" s="844">
        <v>0</v>
      </c>
      <c r="HX228" s="844">
        <v>0</v>
      </c>
      <c r="HY228" s="844">
        <v>0</v>
      </c>
      <c r="HZ228" s="844">
        <v>0</v>
      </c>
      <c r="IA228" s="844">
        <v>0</v>
      </c>
      <c r="IB228" s="844">
        <v>0</v>
      </c>
      <c r="IC228" s="844">
        <v>0</v>
      </c>
      <c r="ID228" s="844">
        <v>0</v>
      </c>
      <c r="IE228" s="844">
        <v>0</v>
      </c>
      <c r="IF228" s="844">
        <v>0</v>
      </c>
      <c r="IG228" s="844">
        <v>0</v>
      </c>
      <c r="IH228" s="844">
        <v>0</v>
      </c>
      <c r="II228" s="844">
        <v>0</v>
      </c>
      <c r="IJ228" s="844">
        <v>0</v>
      </c>
    </row>
    <row r="229" spans="9:244" hidden="1">
      <c r="I229" s="156"/>
      <c r="L229" s="846" t="s">
        <v>1060</v>
      </c>
      <c r="M229" s="846" t="s">
        <v>1382</v>
      </c>
      <c r="N229" s="846" t="s">
        <v>96</v>
      </c>
      <c r="O229" s="847">
        <v>70</v>
      </c>
      <c r="P229" s="780" t="str">
        <f t="shared" si="8"/>
        <v>IWT060170</v>
      </c>
      <c r="Q229" s="847">
        <v>0</v>
      </c>
      <c r="R229" s="847">
        <v>0</v>
      </c>
      <c r="S229" s="847">
        <v>0</v>
      </c>
      <c r="T229" s="847">
        <v>0</v>
      </c>
      <c r="U229" s="847">
        <v>0</v>
      </c>
      <c r="V229" s="847">
        <v>0</v>
      </c>
      <c r="W229" s="847">
        <v>0</v>
      </c>
      <c r="X229" s="847">
        <v>0</v>
      </c>
      <c r="Y229" s="847">
        <v>0</v>
      </c>
      <c r="Z229" s="847">
        <v>0</v>
      </c>
      <c r="AA229" s="847">
        <v>0</v>
      </c>
      <c r="AB229" s="847">
        <v>0</v>
      </c>
      <c r="AC229" s="847">
        <v>0</v>
      </c>
      <c r="AD229" s="847">
        <v>0</v>
      </c>
      <c r="AE229" s="847">
        <v>0</v>
      </c>
      <c r="AF229" s="847">
        <v>0</v>
      </c>
      <c r="AG229" s="847">
        <v>0</v>
      </c>
      <c r="AH229" s="847">
        <v>0</v>
      </c>
      <c r="AI229" s="847">
        <v>0</v>
      </c>
      <c r="AJ229" s="847">
        <v>0</v>
      </c>
      <c r="AK229" s="847">
        <v>0</v>
      </c>
      <c r="AL229" s="847">
        <v>0</v>
      </c>
      <c r="AM229" s="847">
        <v>0</v>
      </c>
      <c r="AN229" s="847">
        <v>0</v>
      </c>
      <c r="AO229" s="847">
        <v>0</v>
      </c>
      <c r="AP229" s="847">
        <v>0</v>
      </c>
      <c r="AQ229" s="847">
        <v>0</v>
      </c>
      <c r="AR229" s="847">
        <v>0</v>
      </c>
      <c r="AS229" s="847">
        <v>0</v>
      </c>
      <c r="AT229" s="847">
        <v>0</v>
      </c>
      <c r="AU229" s="847">
        <v>0</v>
      </c>
      <c r="AV229" s="847">
        <v>0</v>
      </c>
      <c r="AW229" s="847">
        <v>0</v>
      </c>
      <c r="AX229" s="847">
        <v>0</v>
      </c>
      <c r="AY229" s="847">
        <v>0</v>
      </c>
      <c r="AZ229" s="847">
        <v>0</v>
      </c>
      <c r="BA229" s="847">
        <v>0</v>
      </c>
      <c r="BB229" s="847">
        <v>0</v>
      </c>
      <c r="BC229" s="847">
        <v>0</v>
      </c>
      <c r="BD229" s="847">
        <v>0</v>
      </c>
      <c r="BE229" s="847">
        <v>59000</v>
      </c>
      <c r="BF229" s="847">
        <v>0</v>
      </c>
      <c r="BG229" s="847">
        <v>0</v>
      </c>
      <c r="BH229" s="847">
        <v>0</v>
      </c>
      <c r="BI229" s="847">
        <v>0</v>
      </c>
      <c r="BJ229" s="847">
        <v>0</v>
      </c>
      <c r="BK229" s="847">
        <v>0</v>
      </c>
      <c r="BL229" s="847">
        <v>0</v>
      </c>
      <c r="BM229" s="847">
        <v>0</v>
      </c>
      <c r="BN229" s="847">
        <v>0</v>
      </c>
      <c r="BO229" s="847">
        <v>0</v>
      </c>
      <c r="BP229" s="847">
        <v>0</v>
      </c>
      <c r="BQ229" s="847">
        <v>0</v>
      </c>
      <c r="BR229" s="847">
        <v>0</v>
      </c>
      <c r="BS229" s="847">
        <v>0</v>
      </c>
      <c r="BT229" s="847">
        <v>0</v>
      </c>
      <c r="BU229" s="847">
        <v>0</v>
      </c>
      <c r="BV229" s="847">
        <v>0</v>
      </c>
      <c r="BW229" s="847">
        <v>0</v>
      </c>
      <c r="BX229" s="847">
        <v>0</v>
      </c>
      <c r="BY229" s="847">
        <v>0</v>
      </c>
      <c r="BZ229" s="847">
        <v>0</v>
      </c>
      <c r="CA229" s="847">
        <v>0</v>
      </c>
      <c r="CB229" s="847">
        <v>0</v>
      </c>
      <c r="CC229" s="847">
        <v>0</v>
      </c>
      <c r="CD229" s="847">
        <v>0</v>
      </c>
      <c r="CE229" s="847">
        <v>0</v>
      </c>
      <c r="CF229" s="847">
        <v>0</v>
      </c>
      <c r="CG229" s="847">
        <v>0</v>
      </c>
      <c r="CH229" s="847">
        <v>0</v>
      </c>
      <c r="CI229" s="847">
        <v>0</v>
      </c>
      <c r="CJ229" s="847">
        <v>0</v>
      </c>
      <c r="CK229" s="847">
        <v>0</v>
      </c>
      <c r="CL229" s="847">
        <v>0</v>
      </c>
      <c r="CM229" s="847">
        <v>0</v>
      </c>
      <c r="CN229" s="847">
        <v>0</v>
      </c>
      <c r="CO229" s="847">
        <v>0</v>
      </c>
      <c r="CP229" s="847">
        <v>0</v>
      </c>
      <c r="CQ229" s="847">
        <v>0</v>
      </c>
      <c r="CR229" s="847">
        <v>0</v>
      </c>
      <c r="CS229" s="847">
        <v>0</v>
      </c>
      <c r="CT229" s="847">
        <v>0</v>
      </c>
      <c r="CU229" s="847">
        <v>0</v>
      </c>
      <c r="CV229" s="847">
        <v>0</v>
      </c>
      <c r="CW229" s="847">
        <v>0</v>
      </c>
      <c r="CX229" s="847">
        <v>0</v>
      </c>
      <c r="CY229" s="847">
        <v>0</v>
      </c>
      <c r="CZ229" s="847">
        <v>0</v>
      </c>
      <c r="DA229" s="847">
        <v>0</v>
      </c>
      <c r="DB229" s="847">
        <v>0</v>
      </c>
      <c r="DC229" s="847">
        <v>0</v>
      </c>
      <c r="DD229" s="847">
        <v>0</v>
      </c>
      <c r="DE229" s="847">
        <v>0</v>
      </c>
      <c r="DF229" s="847">
        <v>0</v>
      </c>
      <c r="DG229" s="847">
        <v>0</v>
      </c>
      <c r="DH229" s="847">
        <v>0</v>
      </c>
      <c r="DI229" s="847">
        <v>0</v>
      </c>
      <c r="DJ229" s="847">
        <v>0</v>
      </c>
      <c r="DK229" s="847">
        <v>0</v>
      </c>
      <c r="DL229" s="847">
        <v>0</v>
      </c>
      <c r="DM229" s="847">
        <v>0</v>
      </c>
      <c r="DN229" s="847">
        <v>0</v>
      </c>
      <c r="DO229" s="847">
        <v>0</v>
      </c>
      <c r="DP229" s="847">
        <v>0</v>
      </c>
      <c r="DQ229" s="847">
        <v>0</v>
      </c>
      <c r="DR229" s="847">
        <v>0</v>
      </c>
      <c r="DS229" s="847">
        <v>0</v>
      </c>
      <c r="DT229" s="847">
        <v>0</v>
      </c>
      <c r="DU229" s="847">
        <v>0</v>
      </c>
      <c r="DV229" s="847">
        <v>0</v>
      </c>
      <c r="DW229" s="847">
        <v>0</v>
      </c>
      <c r="DY229" s="843" t="s">
        <v>1060</v>
      </c>
      <c r="DZ229" s="843" t="s">
        <v>1382</v>
      </c>
      <c r="EA229" s="843" t="s">
        <v>96</v>
      </c>
      <c r="EB229" s="844">
        <v>70</v>
      </c>
      <c r="EC229" s="780" t="str">
        <f t="shared" si="9"/>
        <v>IWT060170</v>
      </c>
      <c r="ED229" s="844">
        <v>5459</v>
      </c>
      <c r="EE229" s="844">
        <v>10918</v>
      </c>
      <c r="EF229" s="844">
        <v>16377</v>
      </c>
      <c r="EG229" s="844">
        <v>21836</v>
      </c>
      <c r="EH229" s="844">
        <v>27295</v>
      </c>
      <c r="EI229" s="844">
        <v>32754</v>
      </c>
      <c r="EJ229" s="844">
        <v>32754</v>
      </c>
      <c r="EK229" s="844">
        <v>32754</v>
      </c>
      <c r="EL229" s="844">
        <v>32754</v>
      </c>
      <c r="EM229" s="844">
        <v>32754</v>
      </c>
      <c r="EN229" s="844">
        <v>32914</v>
      </c>
      <c r="EO229" s="844">
        <v>33572</v>
      </c>
      <c r="EP229" s="844">
        <v>34243</v>
      </c>
      <c r="EQ229" s="844">
        <v>34928</v>
      </c>
      <c r="ER229" s="844">
        <v>35626</v>
      </c>
      <c r="ES229" s="844">
        <v>36339</v>
      </c>
      <c r="ET229" s="844">
        <v>37065</v>
      </c>
      <c r="EU229" s="844">
        <v>37806</v>
      </c>
      <c r="EV229" s="844">
        <v>38562</v>
      </c>
      <c r="EW229" s="844">
        <v>39333</v>
      </c>
      <c r="EX229" s="844">
        <v>40120</v>
      </c>
      <c r="EY229" s="844">
        <v>40922</v>
      </c>
      <c r="EZ229" s="844">
        <v>41740</v>
      </c>
      <c r="FA229" s="844">
        <v>42574</v>
      </c>
      <c r="FB229" s="844">
        <v>43425</v>
      </c>
      <c r="FC229" s="844">
        <v>44293</v>
      </c>
      <c r="FD229" s="844">
        <v>45178</v>
      </c>
      <c r="FE229" s="844">
        <v>46081</v>
      </c>
      <c r="FF229" s="844">
        <v>47002</v>
      </c>
      <c r="FG229" s="844">
        <v>47941</v>
      </c>
      <c r="FH229" s="844">
        <v>48899</v>
      </c>
      <c r="FI229" s="844">
        <v>49876</v>
      </c>
      <c r="FJ229" s="844">
        <v>50872</v>
      </c>
      <c r="FK229" s="844">
        <v>51888</v>
      </c>
      <c r="FL229" s="844">
        <v>52924</v>
      </c>
      <c r="FM229" s="844">
        <v>53981</v>
      </c>
      <c r="FN229" s="844">
        <v>55058</v>
      </c>
      <c r="FO229" s="844">
        <v>56157</v>
      </c>
      <c r="FP229" s="844">
        <v>57277</v>
      </c>
      <c r="FQ229" s="844">
        <v>58419</v>
      </c>
      <c r="FR229" s="844">
        <v>59000</v>
      </c>
      <c r="FS229" s="844">
        <v>0</v>
      </c>
      <c r="FT229" s="844">
        <v>0</v>
      </c>
      <c r="FU229" s="844">
        <v>0</v>
      </c>
      <c r="FV229" s="844">
        <v>0</v>
      </c>
      <c r="FW229" s="844">
        <v>0</v>
      </c>
      <c r="FX229" s="844">
        <v>0</v>
      </c>
      <c r="FY229" s="844">
        <v>0</v>
      </c>
      <c r="FZ229" s="844">
        <v>0</v>
      </c>
      <c r="GA229" s="844">
        <v>0</v>
      </c>
      <c r="GB229" s="844">
        <v>0</v>
      </c>
      <c r="GC229" s="844">
        <v>0</v>
      </c>
      <c r="GD229" s="844">
        <v>0</v>
      </c>
      <c r="GE229" s="844">
        <v>0</v>
      </c>
      <c r="GF229" s="844">
        <v>0</v>
      </c>
      <c r="GG229" s="844">
        <v>0</v>
      </c>
      <c r="GH229" s="844">
        <v>0</v>
      </c>
      <c r="GI229" s="844">
        <v>0</v>
      </c>
      <c r="GJ229" s="844">
        <v>0</v>
      </c>
      <c r="GK229" s="844">
        <v>0</v>
      </c>
      <c r="GL229" s="844">
        <v>0</v>
      </c>
      <c r="GM229" s="844">
        <v>0</v>
      </c>
      <c r="GN229" s="844">
        <v>0</v>
      </c>
      <c r="GO229" s="844">
        <v>0</v>
      </c>
      <c r="GP229" s="844">
        <v>0</v>
      </c>
      <c r="GQ229" s="844">
        <v>0</v>
      </c>
      <c r="GR229" s="844">
        <v>0</v>
      </c>
      <c r="GS229" s="844">
        <v>0</v>
      </c>
      <c r="GT229" s="844">
        <v>0</v>
      </c>
      <c r="GU229" s="844">
        <v>0</v>
      </c>
      <c r="GV229" s="844">
        <v>0</v>
      </c>
      <c r="GW229" s="844">
        <v>0</v>
      </c>
      <c r="GX229" s="844">
        <v>0</v>
      </c>
      <c r="GY229" s="844">
        <v>0</v>
      </c>
      <c r="GZ229" s="844">
        <v>0</v>
      </c>
      <c r="HA229" s="844">
        <v>0</v>
      </c>
      <c r="HB229" s="844">
        <v>0</v>
      </c>
      <c r="HC229" s="844">
        <v>0</v>
      </c>
      <c r="HD229" s="844">
        <v>0</v>
      </c>
      <c r="HE229" s="844">
        <v>0</v>
      </c>
      <c r="HF229" s="844">
        <v>0</v>
      </c>
      <c r="HG229" s="844">
        <v>0</v>
      </c>
      <c r="HH229" s="844">
        <v>0</v>
      </c>
      <c r="HI229" s="844">
        <v>0</v>
      </c>
      <c r="HJ229" s="844">
        <v>0</v>
      </c>
      <c r="HK229" s="844">
        <v>0</v>
      </c>
      <c r="HL229" s="844">
        <v>0</v>
      </c>
      <c r="HM229" s="844">
        <v>0</v>
      </c>
      <c r="HN229" s="844">
        <v>0</v>
      </c>
      <c r="HO229" s="844">
        <v>0</v>
      </c>
      <c r="HP229" s="844">
        <v>0</v>
      </c>
      <c r="HQ229" s="844">
        <v>0</v>
      </c>
      <c r="HR229" s="844">
        <v>0</v>
      </c>
      <c r="HS229" s="844">
        <v>0</v>
      </c>
      <c r="HT229" s="844">
        <v>0</v>
      </c>
      <c r="HU229" s="844">
        <v>0</v>
      </c>
      <c r="HV229" s="844">
        <v>0</v>
      </c>
      <c r="HW229" s="844">
        <v>0</v>
      </c>
      <c r="HX229" s="844">
        <v>0</v>
      </c>
      <c r="HY229" s="844">
        <v>0</v>
      </c>
      <c r="HZ229" s="844">
        <v>0</v>
      </c>
      <c r="IA229" s="844">
        <v>0</v>
      </c>
      <c r="IB229" s="844">
        <v>0</v>
      </c>
      <c r="IC229" s="844">
        <v>0</v>
      </c>
      <c r="ID229" s="844">
        <v>0</v>
      </c>
      <c r="IE229" s="844">
        <v>0</v>
      </c>
      <c r="IF229" s="844">
        <v>0</v>
      </c>
      <c r="IG229" s="844">
        <v>0</v>
      </c>
      <c r="IH229" s="844">
        <v>0</v>
      </c>
      <c r="II229" s="844">
        <v>0</v>
      </c>
      <c r="IJ229" s="844">
        <v>0</v>
      </c>
    </row>
    <row r="230" spans="9:244" hidden="1">
      <c r="I230" s="156"/>
      <c r="L230" s="846" t="s">
        <v>1060</v>
      </c>
      <c r="M230" s="846" t="s">
        <v>1382</v>
      </c>
      <c r="N230" s="846" t="s">
        <v>96</v>
      </c>
      <c r="O230" s="847">
        <v>71</v>
      </c>
      <c r="P230" s="780" t="str">
        <f t="shared" si="8"/>
        <v>IWT060171</v>
      </c>
      <c r="Q230" s="847">
        <v>0</v>
      </c>
      <c r="R230" s="847">
        <v>0</v>
      </c>
      <c r="S230" s="847">
        <v>0</v>
      </c>
      <c r="T230" s="847">
        <v>0</v>
      </c>
      <c r="U230" s="847">
        <v>0</v>
      </c>
      <c r="V230" s="847">
        <v>0</v>
      </c>
      <c r="W230" s="847">
        <v>0</v>
      </c>
      <c r="X230" s="847">
        <v>0</v>
      </c>
      <c r="Y230" s="847">
        <v>0</v>
      </c>
      <c r="Z230" s="847">
        <v>0</v>
      </c>
      <c r="AA230" s="847">
        <v>0</v>
      </c>
      <c r="AB230" s="847">
        <v>0</v>
      </c>
      <c r="AC230" s="847">
        <v>0</v>
      </c>
      <c r="AD230" s="847">
        <v>0</v>
      </c>
      <c r="AE230" s="847">
        <v>0</v>
      </c>
      <c r="AF230" s="847">
        <v>0</v>
      </c>
      <c r="AG230" s="847">
        <v>0</v>
      </c>
      <c r="AH230" s="847">
        <v>0</v>
      </c>
      <c r="AI230" s="847">
        <v>0</v>
      </c>
      <c r="AJ230" s="847">
        <v>0</v>
      </c>
      <c r="AK230" s="847">
        <v>0</v>
      </c>
      <c r="AL230" s="847">
        <v>0</v>
      </c>
      <c r="AM230" s="847">
        <v>0</v>
      </c>
      <c r="AN230" s="847">
        <v>0</v>
      </c>
      <c r="AO230" s="847">
        <v>0</v>
      </c>
      <c r="AP230" s="847">
        <v>0</v>
      </c>
      <c r="AQ230" s="847">
        <v>0</v>
      </c>
      <c r="AR230" s="847">
        <v>0</v>
      </c>
      <c r="AS230" s="847">
        <v>0</v>
      </c>
      <c r="AT230" s="847">
        <v>0</v>
      </c>
      <c r="AU230" s="847">
        <v>0</v>
      </c>
      <c r="AV230" s="847">
        <v>0</v>
      </c>
      <c r="AW230" s="847">
        <v>0</v>
      </c>
      <c r="AX230" s="847">
        <v>0</v>
      </c>
      <c r="AY230" s="847">
        <v>0</v>
      </c>
      <c r="AZ230" s="847">
        <v>0</v>
      </c>
      <c r="BA230" s="847">
        <v>0</v>
      </c>
      <c r="BB230" s="847">
        <v>0</v>
      </c>
      <c r="BC230" s="847">
        <v>0</v>
      </c>
      <c r="BD230" s="847">
        <v>57600</v>
      </c>
      <c r="BE230" s="847">
        <v>0</v>
      </c>
      <c r="BF230" s="847">
        <v>0</v>
      </c>
      <c r="BG230" s="847">
        <v>0</v>
      </c>
      <c r="BH230" s="847">
        <v>0</v>
      </c>
      <c r="BI230" s="847">
        <v>0</v>
      </c>
      <c r="BJ230" s="847">
        <v>0</v>
      </c>
      <c r="BK230" s="847">
        <v>0</v>
      </c>
      <c r="BL230" s="847">
        <v>0</v>
      </c>
      <c r="BM230" s="847">
        <v>0</v>
      </c>
      <c r="BN230" s="847">
        <v>0</v>
      </c>
      <c r="BO230" s="847">
        <v>0</v>
      </c>
      <c r="BP230" s="847">
        <v>0</v>
      </c>
      <c r="BQ230" s="847">
        <v>0</v>
      </c>
      <c r="BR230" s="847">
        <v>0</v>
      </c>
      <c r="BS230" s="847">
        <v>0</v>
      </c>
      <c r="BT230" s="847">
        <v>0</v>
      </c>
      <c r="BU230" s="847">
        <v>0</v>
      </c>
      <c r="BV230" s="847">
        <v>0</v>
      </c>
      <c r="BW230" s="847">
        <v>0</v>
      </c>
      <c r="BX230" s="847">
        <v>0</v>
      </c>
      <c r="BY230" s="847">
        <v>0</v>
      </c>
      <c r="BZ230" s="847">
        <v>0</v>
      </c>
      <c r="CA230" s="847">
        <v>0</v>
      </c>
      <c r="CB230" s="847">
        <v>0</v>
      </c>
      <c r="CC230" s="847">
        <v>0</v>
      </c>
      <c r="CD230" s="847">
        <v>0</v>
      </c>
      <c r="CE230" s="847">
        <v>0</v>
      </c>
      <c r="CF230" s="847">
        <v>0</v>
      </c>
      <c r="CG230" s="847">
        <v>0</v>
      </c>
      <c r="CH230" s="847">
        <v>0</v>
      </c>
      <c r="CI230" s="847">
        <v>0</v>
      </c>
      <c r="CJ230" s="847">
        <v>0</v>
      </c>
      <c r="CK230" s="847">
        <v>0</v>
      </c>
      <c r="CL230" s="847">
        <v>0</v>
      </c>
      <c r="CM230" s="847">
        <v>0</v>
      </c>
      <c r="CN230" s="847">
        <v>0</v>
      </c>
      <c r="CO230" s="847">
        <v>0</v>
      </c>
      <c r="CP230" s="847">
        <v>0</v>
      </c>
      <c r="CQ230" s="847">
        <v>0</v>
      </c>
      <c r="CR230" s="847">
        <v>0</v>
      </c>
      <c r="CS230" s="847">
        <v>0</v>
      </c>
      <c r="CT230" s="847">
        <v>0</v>
      </c>
      <c r="CU230" s="847">
        <v>0</v>
      </c>
      <c r="CV230" s="847">
        <v>0</v>
      </c>
      <c r="CW230" s="847">
        <v>0</v>
      </c>
      <c r="CX230" s="847">
        <v>0</v>
      </c>
      <c r="CY230" s="847">
        <v>0</v>
      </c>
      <c r="CZ230" s="847">
        <v>0</v>
      </c>
      <c r="DA230" s="847">
        <v>0</v>
      </c>
      <c r="DB230" s="847">
        <v>0</v>
      </c>
      <c r="DC230" s="847">
        <v>0</v>
      </c>
      <c r="DD230" s="847">
        <v>0</v>
      </c>
      <c r="DE230" s="847">
        <v>0</v>
      </c>
      <c r="DF230" s="847">
        <v>0</v>
      </c>
      <c r="DG230" s="847">
        <v>0</v>
      </c>
      <c r="DH230" s="847">
        <v>0</v>
      </c>
      <c r="DI230" s="847">
        <v>0</v>
      </c>
      <c r="DJ230" s="847">
        <v>0</v>
      </c>
      <c r="DK230" s="847">
        <v>0</v>
      </c>
      <c r="DL230" s="847">
        <v>0</v>
      </c>
      <c r="DM230" s="847">
        <v>0</v>
      </c>
      <c r="DN230" s="847">
        <v>0</v>
      </c>
      <c r="DO230" s="847">
        <v>0</v>
      </c>
      <c r="DP230" s="847">
        <v>0</v>
      </c>
      <c r="DQ230" s="847">
        <v>0</v>
      </c>
      <c r="DR230" s="847">
        <v>0</v>
      </c>
      <c r="DS230" s="847">
        <v>0</v>
      </c>
      <c r="DT230" s="847">
        <v>0</v>
      </c>
      <c r="DU230" s="847">
        <v>0</v>
      </c>
      <c r="DV230" s="847">
        <v>0</v>
      </c>
      <c r="DW230" s="847">
        <v>0</v>
      </c>
      <c r="DY230" s="843" t="s">
        <v>1060</v>
      </c>
      <c r="DZ230" s="843" t="s">
        <v>1382</v>
      </c>
      <c r="EA230" s="843" t="s">
        <v>96</v>
      </c>
      <c r="EB230" s="844">
        <v>71</v>
      </c>
      <c r="EC230" s="780" t="str">
        <f t="shared" si="9"/>
        <v>IWT060171</v>
      </c>
      <c r="ED230" s="844">
        <v>5469.6</v>
      </c>
      <c r="EE230" s="844">
        <v>10939.2</v>
      </c>
      <c r="EF230" s="844">
        <v>16408.8</v>
      </c>
      <c r="EG230" s="844">
        <v>21878.400000000001</v>
      </c>
      <c r="EH230" s="844">
        <v>27348</v>
      </c>
      <c r="EI230" s="844">
        <v>32817.599999999999</v>
      </c>
      <c r="EJ230" s="844">
        <v>32817.599999999999</v>
      </c>
      <c r="EK230" s="844">
        <v>32817.599999999999</v>
      </c>
      <c r="EL230" s="844">
        <v>32817.599999999999</v>
      </c>
      <c r="EM230" s="844">
        <v>32817.599999999999</v>
      </c>
      <c r="EN230" s="844">
        <v>32817.599999999999</v>
      </c>
      <c r="EO230" s="844">
        <v>33430</v>
      </c>
      <c r="EP230" s="844">
        <v>34099</v>
      </c>
      <c r="EQ230" s="844">
        <v>34780</v>
      </c>
      <c r="ER230" s="844">
        <v>35476</v>
      </c>
      <c r="ES230" s="844">
        <v>36185</v>
      </c>
      <c r="ET230" s="844">
        <v>36909</v>
      </c>
      <c r="EU230" s="844">
        <v>37647</v>
      </c>
      <c r="EV230" s="844">
        <v>38399</v>
      </c>
      <c r="EW230" s="844">
        <v>39167</v>
      </c>
      <c r="EX230" s="844">
        <v>39950</v>
      </c>
      <c r="EY230" s="844">
        <v>40749</v>
      </c>
      <c r="EZ230" s="844">
        <v>41563</v>
      </c>
      <c r="FA230" s="844">
        <v>42394</v>
      </c>
      <c r="FB230" s="844">
        <v>43241</v>
      </c>
      <c r="FC230" s="844">
        <v>44106</v>
      </c>
      <c r="FD230" s="844">
        <v>44987</v>
      </c>
      <c r="FE230" s="844">
        <v>45886</v>
      </c>
      <c r="FF230" s="844">
        <v>46803</v>
      </c>
      <c r="FG230" s="844">
        <v>47738</v>
      </c>
      <c r="FH230" s="844">
        <v>48692</v>
      </c>
      <c r="FI230" s="844">
        <v>49664</v>
      </c>
      <c r="FJ230" s="844">
        <v>50656</v>
      </c>
      <c r="FK230" s="844">
        <v>51668</v>
      </c>
      <c r="FL230" s="844">
        <v>52699</v>
      </c>
      <c r="FM230" s="844">
        <v>53751</v>
      </c>
      <c r="FN230" s="844">
        <v>54824</v>
      </c>
      <c r="FO230" s="844">
        <v>55917</v>
      </c>
      <c r="FP230" s="844">
        <v>57032</v>
      </c>
      <c r="FQ230" s="844">
        <v>57600</v>
      </c>
      <c r="FR230" s="844">
        <v>0</v>
      </c>
      <c r="FS230" s="844">
        <v>0</v>
      </c>
      <c r="FT230" s="844">
        <v>0</v>
      </c>
      <c r="FU230" s="844">
        <v>0</v>
      </c>
      <c r="FV230" s="844">
        <v>0</v>
      </c>
      <c r="FW230" s="844">
        <v>0</v>
      </c>
      <c r="FX230" s="844">
        <v>0</v>
      </c>
      <c r="FY230" s="844">
        <v>0</v>
      </c>
      <c r="FZ230" s="844">
        <v>0</v>
      </c>
      <c r="GA230" s="844">
        <v>0</v>
      </c>
      <c r="GB230" s="844">
        <v>0</v>
      </c>
      <c r="GC230" s="844">
        <v>0</v>
      </c>
      <c r="GD230" s="844">
        <v>0</v>
      </c>
      <c r="GE230" s="844">
        <v>0</v>
      </c>
      <c r="GF230" s="844">
        <v>0</v>
      </c>
      <c r="GG230" s="844">
        <v>0</v>
      </c>
      <c r="GH230" s="844">
        <v>0</v>
      </c>
      <c r="GI230" s="844">
        <v>0</v>
      </c>
      <c r="GJ230" s="844">
        <v>0</v>
      </c>
      <c r="GK230" s="844">
        <v>0</v>
      </c>
      <c r="GL230" s="844">
        <v>0</v>
      </c>
      <c r="GM230" s="844">
        <v>0</v>
      </c>
      <c r="GN230" s="844">
        <v>0</v>
      </c>
      <c r="GO230" s="844">
        <v>0</v>
      </c>
      <c r="GP230" s="844">
        <v>0</v>
      </c>
      <c r="GQ230" s="844">
        <v>0</v>
      </c>
      <c r="GR230" s="844">
        <v>0</v>
      </c>
      <c r="GS230" s="844">
        <v>0</v>
      </c>
      <c r="GT230" s="844">
        <v>0</v>
      </c>
      <c r="GU230" s="844">
        <v>0</v>
      </c>
      <c r="GV230" s="844">
        <v>0</v>
      </c>
      <c r="GW230" s="844">
        <v>0</v>
      </c>
      <c r="GX230" s="844">
        <v>0</v>
      </c>
      <c r="GY230" s="844">
        <v>0</v>
      </c>
      <c r="GZ230" s="844">
        <v>0</v>
      </c>
      <c r="HA230" s="844">
        <v>0</v>
      </c>
      <c r="HB230" s="844">
        <v>0</v>
      </c>
      <c r="HC230" s="844">
        <v>0</v>
      </c>
      <c r="HD230" s="844">
        <v>0</v>
      </c>
      <c r="HE230" s="844">
        <v>0</v>
      </c>
      <c r="HF230" s="844">
        <v>0</v>
      </c>
      <c r="HG230" s="844">
        <v>0</v>
      </c>
      <c r="HH230" s="844">
        <v>0</v>
      </c>
      <c r="HI230" s="844">
        <v>0</v>
      </c>
      <c r="HJ230" s="844">
        <v>0</v>
      </c>
      <c r="HK230" s="844">
        <v>0</v>
      </c>
      <c r="HL230" s="844">
        <v>0</v>
      </c>
      <c r="HM230" s="844">
        <v>0</v>
      </c>
      <c r="HN230" s="844">
        <v>0</v>
      </c>
      <c r="HO230" s="844">
        <v>0</v>
      </c>
      <c r="HP230" s="844">
        <v>0</v>
      </c>
      <c r="HQ230" s="844">
        <v>0</v>
      </c>
      <c r="HR230" s="844">
        <v>0</v>
      </c>
      <c r="HS230" s="844">
        <v>0</v>
      </c>
      <c r="HT230" s="844">
        <v>0</v>
      </c>
      <c r="HU230" s="844">
        <v>0</v>
      </c>
      <c r="HV230" s="844">
        <v>0</v>
      </c>
      <c r="HW230" s="844">
        <v>0</v>
      </c>
      <c r="HX230" s="844">
        <v>0</v>
      </c>
      <c r="HY230" s="844">
        <v>0</v>
      </c>
      <c r="HZ230" s="844">
        <v>0</v>
      </c>
      <c r="IA230" s="844">
        <v>0</v>
      </c>
      <c r="IB230" s="844">
        <v>0</v>
      </c>
      <c r="IC230" s="844">
        <v>0</v>
      </c>
      <c r="ID230" s="844">
        <v>0</v>
      </c>
      <c r="IE230" s="844">
        <v>0</v>
      </c>
      <c r="IF230" s="844">
        <v>0</v>
      </c>
      <c r="IG230" s="844">
        <v>0</v>
      </c>
      <c r="IH230" s="844">
        <v>0</v>
      </c>
      <c r="II230" s="844">
        <v>0</v>
      </c>
      <c r="IJ230" s="844">
        <v>0</v>
      </c>
    </row>
    <row r="231" spans="9:244" hidden="1">
      <c r="I231" s="156"/>
      <c r="L231" s="846" t="s">
        <v>1060</v>
      </c>
      <c r="M231" s="846" t="s">
        <v>1382</v>
      </c>
      <c r="N231" s="846" t="s">
        <v>96</v>
      </c>
      <c r="O231" s="847">
        <v>72</v>
      </c>
      <c r="P231" s="780" t="str">
        <f t="shared" si="8"/>
        <v>IWT060172</v>
      </c>
      <c r="Q231" s="847">
        <v>0</v>
      </c>
      <c r="R231" s="847">
        <v>0</v>
      </c>
      <c r="S231" s="847">
        <v>0</v>
      </c>
      <c r="T231" s="847">
        <v>0</v>
      </c>
      <c r="U231" s="847">
        <v>0</v>
      </c>
      <c r="V231" s="847">
        <v>0</v>
      </c>
      <c r="W231" s="847">
        <v>0</v>
      </c>
      <c r="X231" s="847">
        <v>0</v>
      </c>
      <c r="Y231" s="847">
        <v>0</v>
      </c>
      <c r="Z231" s="847">
        <v>0</v>
      </c>
      <c r="AA231" s="847">
        <v>0</v>
      </c>
      <c r="AB231" s="847">
        <v>0</v>
      </c>
      <c r="AC231" s="847">
        <v>0</v>
      </c>
      <c r="AD231" s="847">
        <v>0</v>
      </c>
      <c r="AE231" s="847">
        <v>0</v>
      </c>
      <c r="AF231" s="847">
        <v>0</v>
      </c>
      <c r="AG231" s="847">
        <v>0</v>
      </c>
      <c r="AH231" s="847">
        <v>0</v>
      </c>
      <c r="AI231" s="847">
        <v>0</v>
      </c>
      <c r="AJ231" s="847">
        <v>0</v>
      </c>
      <c r="AK231" s="847">
        <v>0</v>
      </c>
      <c r="AL231" s="847">
        <v>0</v>
      </c>
      <c r="AM231" s="847">
        <v>0</v>
      </c>
      <c r="AN231" s="847">
        <v>0</v>
      </c>
      <c r="AO231" s="847">
        <v>0</v>
      </c>
      <c r="AP231" s="847">
        <v>0</v>
      </c>
      <c r="AQ231" s="847">
        <v>0</v>
      </c>
      <c r="AR231" s="847">
        <v>0</v>
      </c>
      <c r="AS231" s="847">
        <v>0</v>
      </c>
      <c r="AT231" s="847">
        <v>0</v>
      </c>
      <c r="AU231" s="847">
        <v>0</v>
      </c>
      <c r="AV231" s="847">
        <v>0</v>
      </c>
      <c r="AW231" s="847">
        <v>0</v>
      </c>
      <c r="AX231" s="847">
        <v>0</v>
      </c>
      <c r="AY231" s="847">
        <v>0</v>
      </c>
      <c r="AZ231" s="847">
        <v>0</v>
      </c>
      <c r="BA231" s="847">
        <v>0</v>
      </c>
      <c r="BB231" s="847">
        <v>0</v>
      </c>
      <c r="BC231" s="847">
        <v>56200</v>
      </c>
      <c r="BD231" s="847">
        <v>0</v>
      </c>
      <c r="BE231" s="847">
        <v>0</v>
      </c>
      <c r="BF231" s="847">
        <v>0</v>
      </c>
      <c r="BG231" s="847">
        <v>0</v>
      </c>
      <c r="BH231" s="847">
        <v>0</v>
      </c>
      <c r="BI231" s="847">
        <v>0</v>
      </c>
      <c r="BJ231" s="847">
        <v>0</v>
      </c>
      <c r="BK231" s="847">
        <v>0</v>
      </c>
      <c r="BL231" s="847">
        <v>0</v>
      </c>
      <c r="BM231" s="847">
        <v>0</v>
      </c>
      <c r="BN231" s="847">
        <v>0</v>
      </c>
      <c r="BO231" s="847">
        <v>0</v>
      </c>
      <c r="BP231" s="847">
        <v>0</v>
      </c>
      <c r="BQ231" s="847">
        <v>0</v>
      </c>
      <c r="BR231" s="847">
        <v>0</v>
      </c>
      <c r="BS231" s="847">
        <v>0</v>
      </c>
      <c r="BT231" s="847">
        <v>0</v>
      </c>
      <c r="BU231" s="847">
        <v>0</v>
      </c>
      <c r="BV231" s="847">
        <v>0</v>
      </c>
      <c r="BW231" s="847">
        <v>0</v>
      </c>
      <c r="BX231" s="847">
        <v>0</v>
      </c>
      <c r="BY231" s="847">
        <v>0</v>
      </c>
      <c r="BZ231" s="847">
        <v>0</v>
      </c>
      <c r="CA231" s="847">
        <v>0</v>
      </c>
      <c r="CB231" s="847">
        <v>0</v>
      </c>
      <c r="CC231" s="847">
        <v>0</v>
      </c>
      <c r="CD231" s="847">
        <v>0</v>
      </c>
      <c r="CE231" s="847">
        <v>0</v>
      </c>
      <c r="CF231" s="847">
        <v>0</v>
      </c>
      <c r="CG231" s="847">
        <v>0</v>
      </c>
      <c r="CH231" s="847">
        <v>0</v>
      </c>
      <c r="CI231" s="847">
        <v>0</v>
      </c>
      <c r="CJ231" s="847">
        <v>0</v>
      </c>
      <c r="CK231" s="847">
        <v>0</v>
      </c>
      <c r="CL231" s="847">
        <v>0</v>
      </c>
      <c r="CM231" s="847">
        <v>0</v>
      </c>
      <c r="CN231" s="847">
        <v>0</v>
      </c>
      <c r="CO231" s="847">
        <v>0</v>
      </c>
      <c r="CP231" s="847">
        <v>0</v>
      </c>
      <c r="CQ231" s="847">
        <v>0</v>
      </c>
      <c r="CR231" s="847">
        <v>0</v>
      </c>
      <c r="CS231" s="847">
        <v>0</v>
      </c>
      <c r="CT231" s="847">
        <v>0</v>
      </c>
      <c r="CU231" s="847">
        <v>0</v>
      </c>
      <c r="CV231" s="847">
        <v>0</v>
      </c>
      <c r="CW231" s="847">
        <v>0</v>
      </c>
      <c r="CX231" s="847">
        <v>0</v>
      </c>
      <c r="CY231" s="847">
        <v>0</v>
      </c>
      <c r="CZ231" s="847">
        <v>0</v>
      </c>
      <c r="DA231" s="847">
        <v>0</v>
      </c>
      <c r="DB231" s="847">
        <v>0</v>
      </c>
      <c r="DC231" s="847">
        <v>0</v>
      </c>
      <c r="DD231" s="847">
        <v>0</v>
      </c>
      <c r="DE231" s="847">
        <v>0</v>
      </c>
      <c r="DF231" s="847">
        <v>0</v>
      </c>
      <c r="DG231" s="847">
        <v>0</v>
      </c>
      <c r="DH231" s="847">
        <v>0</v>
      </c>
      <c r="DI231" s="847">
        <v>0</v>
      </c>
      <c r="DJ231" s="847">
        <v>0</v>
      </c>
      <c r="DK231" s="847">
        <v>0</v>
      </c>
      <c r="DL231" s="847">
        <v>0</v>
      </c>
      <c r="DM231" s="847">
        <v>0</v>
      </c>
      <c r="DN231" s="847">
        <v>0</v>
      </c>
      <c r="DO231" s="847">
        <v>0</v>
      </c>
      <c r="DP231" s="847">
        <v>0</v>
      </c>
      <c r="DQ231" s="847">
        <v>0</v>
      </c>
      <c r="DR231" s="847">
        <v>0</v>
      </c>
      <c r="DS231" s="847">
        <v>0</v>
      </c>
      <c r="DT231" s="847">
        <v>0</v>
      </c>
      <c r="DU231" s="847">
        <v>0</v>
      </c>
      <c r="DV231" s="847">
        <v>0</v>
      </c>
      <c r="DW231" s="847">
        <v>0</v>
      </c>
      <c r="DY231" s="843" t="s">
        <v>1060</v>
      </c>
      <c r="DZ231" s="843" t="s">
        <v>1382</v>
      </c>
      <c r="EA231" s="843" t="s">
        <v>96</v>
      </c>
      <c r="EB231" s="844">
        <v>72</v>
      </c>
      <c r="EC231" s="780" t="str">
        <f t="shared" si="9"/>
        <v>IWT060172</v>
      </c>
      <c r="ED231" s="844">
        <v>5480.2</v>
      </c>
      <c r="EE231" s="844">
        <v>10960.4</v>
      </c>
      <c r="EF231" s="844">
        <v>16440.599999999999</v>
      </c>
      <c r="EG231" s="844">
        <v>21920.799999999999</v>
      </c>
      <c r="EH231" s="844">
        <v>27401</v>
      </c>
      <c r="EI231" s="844">
        <v>32881.199999999997</v>
      </c>
      <c r="EJ231" s="844">
        <v>32881.199999999997</v>
      </c>
      <c r="EK231" s="844">
        <v>32881.199999999997</v>
      </c>
      <c r="EL231" s="844">
        <v>32881.199999999997</v>
      </c>
      <c r="EM231" s="844">
        <v>32881.199999999997</v>
      </c>
      <c r="EN231" s="844">
        <v>32881.199999999997</v>
      </c>
      <c r="EO231" s="844">
        <v>33270</v>
      </c>
      <c r="EP231" s="844">
        <v>33935</v>
      </c>
      <c r="EQ231" s="844">
        <v>34614</v>
      </c>
      <c r="ER231" s="844">
        <v>35306</v>
      </c>
      <c r="ES231" s="844">
        <v>36012</v>
      </c>
      <c r="ET231" s="844">
        <v>36732</v>
      </c>
      <c r="EU231" s="844">
        <v>37466</v>
      </c>
      <c r="EV231" s="844">
        <v>38215</v>
      </c>
      <c r="EW231" s="844">
        <v>38979</v>
      </c>
      <c r="EX231" s="844">
        <v>39758</v>
      </c>
      <c r="EY231" s="844">
        <v>40553</v>
      </c>
      <c r="EZ231" s="844">
        <v>41364</v>
      </c>
      <c r="FA231" s="844">
        <v>42191</v>
      </c>
      <c r="FB231" s="844">
        <v>43034</v>
      </c>
      <c r="FC231" s="844">
        <v>43894</v>
      </c>
      <c r="FD231" s="844">
        <v>44771</v>
      </c>
      <c r="FE231" s="844">
        <v>45665</v>
      </c>
      <c r="FF231" s="844">
        <v>46578</v>
      </c>
      <c r="FG231" s="844">
        <v>47508</v>
      </c>
      <c r="FH231" s="844">
        <v>48457</v>
      </c>
      <c r="FI231" s="844">
        <v>49425</v>
      </c>
      <c r="FJ231" s="844">
        <v>50412</v>
      </c>
      <c r="FK231" s="844">
        <v>51419</v>
      </c>
      <c r="FL231" s="844">
        <v>52445</v>
      </c>
      <c r="FM231" s="844">
        <v>53491</v>
      </c>
      <c r="FN231" s="844">
        <v>54558</v>
      </c>
      <c r="FO231" s="844">
        <v>55646</v>
      </c>
      <c r="FP231" s="844">
        <v>56200</v>
      </c>
      <c r="FQ231" s="844">
        <v>0</v>
      </c>
      <c r="FR231" s="844">
        <v>0</v>
      </c>
      <c r="FS231" s="844">
        <v>0</v>
      </c>
      <c r="FT231" s="844">
        <v>0</v>
      </c>
      <c r="FU231" s="844">
        <v>0</v>
      </c>
      <c r="FV231" s="844">
        <v>0</v>
      </c>
      <c r="FW231" s="844">
        <v>0</v>
      </c>
      <c r="FX231" s="844">
        <v>0</v>
      </c>
      <c r="FY231" s="844">
        <v>0</v>
      </c>
      <c r="FZ231" s="844">
        <v>0</v>
      </c>
      <c r="GA231" s="844">
        <v>0</v>
      </c>
      <c r="GB231" s="844">
        <v>0</v>
      </c>
      <c r="GC231" s="844">
        <v>0</v>
      </c>
      <c r="GD231" s="844">
        <v>0</v>
      </c>
      <c r="GE231" s="844">
        <v>0</v>
      </c>
      <c r="GF231" s="844">
        <v>0</v>
      </c>
      <c r="GG231" s="844">
        <v>0</v>
      </c>
      <c r="GH231" s="844">
        <v>0</v>
      </c>
      <c r="GI231" s="844">
        <v>0</v>
      </c>
      <c r="GJ231" s="844">
        <v>0</v>
      </c>
      <c r="GK231" s="844">
        <v>0</v>
      </c>
      <c r="GL231" s="844">
        <v>0</v>
      </c>
      <c r="GM231" s="844">
        <v>0</v>
      </c>
      <c r="GN231" s="844">
        <v>0</v>
      </c>
      <c r="GO231" s="844">
        <v>0</v>
      </c>
      <c r="GP231" s="844">
        <v>0</v>
      </c>
      <c r="GQ231" s="844">
        <v>0</v>
      </c>
      <c r="GR231" s="844">
        <v>0</v>
      </c>
      <c r="GS231" s="844">
        <v>0</v>
      </c>
      <c r="GT231" s="844">
        <v>0</v>
      </c>
      <c r="GU231" s="844">
        <v>0</v>
      </c>
      <c r="GV231" s="844">
        <v>0</v>
      </c>
      <c r="GW231" s="844">
        <v>0</v>
      </c>
      <c r="GX231" s="844">
        <v>0</v>
      </c>
      <c r="GY231" s="844">
        <v>0</v>
      </c>
      <c r="GZ231" s="844">
        <v>0</v>
      </c>
      <c r="HA231" s="844">
        <v>0</v>
      </c>
      <c r="HB231" s="844">
        <v>0</v>
      </c>
      <c r="HC231" s="844">
        <v>0</v>
      </c>
      <c r="HD231" s="844">
        <v>0</v>
      </c>
      <c r="HE231" s="844">
        <v>0</v>
      </c>
      <c r="HF231" s="844">
        <v>0</v>
      </c>
      <c r="HG231" s="844">
        <v>0</v>
      </c>
      <c r="HH231" s="844">
        <v>0</v>
      </c>
      <c r="HI231" s="844">
        <v>0</v>
      </c>
      <c r="HJ231" s="844">
        <v>0</v>
      </c>
      <c r="HK231" s="844">
        <v>0</v>
      </c>
      <c r="HL231" s="844">
        <v>0</v>
      </c>
      <c r="HM231" s="844">
        <v>0</v>
      </c>
      <c r="HN231" s="844">
        <v>0</v>
      </c>
      <c r="HO231" s="844">
        <v>0</v>
      </c>
      <c r="HP231" s="844">
        <v>0</v>
      </c>
      <c r="HQ231" s="844">
        <v>0</v>
      </c>
      <c r="HR231" s="844">
        <v>0</v>
      </c>
      <c r="HS231" s="844">
        <v>0</v>
      </c>
      <c r="HT231" s="844">
        <v>0</v>
      </c>
      <c r="HU231" s="844">
        <v>0</v>
      </c>
      <c r="HV231" s="844">
        <v>0</v>
      </c>
      <c r="HW231" s="844">
        <v>0</v>
      </c>
      <c r="HX231" s="844">
        <v>0</v>
      </c>
      <c r="HY231" s="844">
        <v>0</v>
      </c>
      <c r="HZ231" s="844">
        <v>0</v>
      </c>
      <c r="IA231" s="844">
        <v>0</v>
      </c>
      <c r="IB231" s="844">
        <v>0</v>
      </c>
      <c r="IC231" s="844">
        <v>0</v>
      </c>
      <c r="ID231" s="844">
        <v>0</v>
      </c>
      <c r="IE231" s="844">
        <v>0</v>
      </c>
      <c r="IF231" s="844">
        <v>0</v>
      </c>
      <c r="IG231" s="844">
        <v>0</v>
      </c>
      <c r="IH231" s="844">
        <v>0</v>
      </c>
      <c r="II231" s="844">
        <v>0</v>
      </c>
      <c r="IJ231" s="844">
        <v>0</v>
      </c>
    </row>
    <row r="232" spans="9:244" hidden="1">
      <c r="I232" s="156"/>
      <c r="L232" s="846" t="s">
        <v>1060</v>
      </c>
      <c r="M232" s="846" t="s">
        <v>1382</v>
      </c>
      <c r="N232" s="846" t="s">
        <v>96</v>
      </c>
      <c r="O232" s="847">
        <v>73</v>
      </c>
      <c r="P232" s="780" t="str">
        <f t="shared" si="8"/>
        <v>IWT060173</v>
      </c>
      <c r="Q232" s="847">
        <v>0</v>
      </c>
      <c r="R232" s="847">
        <v>0</v>
      </c>
      <c r="S232" s="847">
        <v>0</v>
      </c>
      <c r="T232" s="847">
        <v>0</v>
      </c>
      <c r="U232" s="847">
        <v>0</v>
      </c>
      <c r="V232" s="847">
        <v>0</v>
      </c>
      <c r="W232" s="847">
        <v>0</v>
      </c>
      <c r="X232" s="847">
        <v>0</v>
      </c>
      <c r="Y232" s="847">
        <v>0</v>
      </c>
      <c r="Z232" s="847">
        <v>0</v>
      </c>
      <c r="AA232" s="847">
        <v>0</v>
      </c>
      <c r="AB232" s="847">
        <v>0</v>
      </c>
      <c r="AC232" s="847">
        <v>0</v>
      </c>
      <c r="AD232" s="847">
        <v>0</v>
      </c>
      <c r="AE232" s="847">
        <v>0</v>
      </c>
      <c r="AF232" s="847">
        <v>0</v>
      </c>
      <c r="AG232" s="847">
        <v>0</v>
      </c>
      <c r="AH232" s="847">
        <v>0</v>
      </c>
      <c r="AI232" s="847">
        <v>0</v>
      </c>
      <c r="AJ232" s="847">
        <v>0</v>
      </c>
      <c r="AK232" s="847">
        <v>0</v>
      </c>
      <c r="AL232" s="847">
        <v>0</v>
      </c>
      <c r="AM232" s="847">
        <v>0</v>
      </c>
      <c r="AN232" s="847">
        <v>0</v>
      </c>
      <c r="AO232" s="847">
        <v>0</v>
      </c>
      <c r="AP232" s="847">
        <v>0</v>
      </c>
      <c r="AQ232" s="847">
        <v>0</v>
      </c>
      <c r="AR232" s="847">
        <v>0</v>
      </c>
      <c r="AS232" s="847">
        <v>0</v>
      </c>
      <c r="AT232" s="847">
        <v>0</v>
      </c>
      <c r="AU232" s="847">
        <v>0</v>
      </c>
      <c r="AV232" s="847">
        <v>0</v>
      </c>
      <c r="AW232" s="847">
        <v>0</v>
      </c>
      <c r="AX232" s="847">
        <v>0</v>
      </c>
      <c r="AY232" s="847">
        <v>0</v>
      </c>
      <c r="AZ232" s="847">
        <v>0</v>
      </c>
      <c r="BA232" s="847">
        <v>0</v>
      </c>
      <c r="BB232" s="847">
        <v>54800</v>
      </c>
      <c r="BC232" s="847">
        <v>0</v>
      </c>
      <c r="BD232" s="847">
        <v>0</v>
      </c>
      <c r="BE232" s="847">
        <v>0</v>
      </c>
      <c r="BF232" s="847">
        <v>0</v>
      </c>
      <c r="BG232" s="847">
        <v>0</v>
      </c>
      <c r="BH232" s="847">
        <v>0</v>
      </c>
      <c r="BI232" s="847">
        <v>0</v>
      </c>
      <c r="BJ232" s="847">
        <v>0</v>
      </c>
      <c r="BK232" s="847">
        <v>0</v>
      </c>
      <c r="BL232" s="847">
        <v>0</v>
      </c>
      <c r="BM232" s="847">
        <v>0</v>
      </c>
      <c r="BN232" s="847">
        <v>0</v>
      </c>
      <c r="BO232" s="847">
        <v>0</v>
      </c>
      <c r="BP232" s="847">
        <v>0</v>
      </c>
      <c r="BQ232" s="847">
        <v>0</v>
      </c>
      <c r="BR232" s="847">
        <v>0</v>
      </c>
      <c r="BS232" s="847">
        <v>0</v>
      </c>
      <c r="BT232" s="847">
        <v>0</v>
      </c>
      <c r="BU232" s="847">
        <v>0</v>
      </c>
      <c r="BV232" s="847">
        <v>0</v>
      </c>
      <c r="BW232" s="847">
        <v>0</v>
      </c>
      <c r="BX232" s="847">
        <v>0</v>
      </c>
      <c r="BY232" s="847">
        <v>0</v>
      </c>
      <c r="BZ232" s="847">
        <v>0</v>
      </c>
      <c r="CA232" s="847">
        <v>0</v>
      </c>
      <c r="CB232" s="847">
        <v>0</v>
      </c>
      <c r="CC232" s="847">
        <v>0</v>
      </c>
      <c r="CD232" s="847">
        <v>0</v>
      </c>
      <c r="CE232" s="847">
        <v>0</v>
      </c>
      <c r="CF232" s="847">
        <v>0</v>
      </c>
      <c r="CG232" s="847">
        <v>0</v>
      </c>
      <c r="CH232" s="847">
        <v>0</v>
      </c>
      <c r="CI232" s="847">
        <v>0</v>
      </c>
      <c r="CJ232" s="847">
        <v>0</v>
      </c>
      <c r="CK232" s="847">
        <v>0</v>
      </c>
      <c r="CL232" s="847">
        <v>0</v>
      </c>
      <c r="CM232" s="847">
        <v>0</v>
      </c>
      <c r="CN232" s="847">
        <v>0</v>
      </c>
      <c r="CO232" s="847">
        <v>0</v>
      </c>
      <c r="CP232" s="847">
        <v>0</v>
      </c>
      <c r="CQ232" s="847">
        <v>0</v>
      </c>
      <c r="CR232" s="847">
        <v>0</v>
      </c>
      <c r="CS232" s="847">
        <v>0</v>
      </c>
      <c r="CT232" s="847">
        <v>0</v>
      </c>
      <c r="CU232" s="847">
        <v>0</v>
      </c>
      <c r="CV232" s="847">
        <v>0</v>
      </c>
      <c r="CW232" s="847">
        <v>0</v>
      </c>
      <c r="CX232" s="847">
        <v>0</v>
      </c>
      <c r="CY232" s="847">
        <v>0</v>
      </c>
      <c r="CZ232" s="847">
        <v>0</v>
      </c>
      <c r="DA232" s="847">
        <v>0</v>
      </c>
      <c r="DB232" s="847">
        <v>0</v>
      </c>
      <c r="DC232" s="847">
        <v>0</v>
      </c>
      <c r="DD232" s="847">
        <v>0</v>
      </c>
      <c r="DE232" s="847">
        <v>0</v>
      </c>
      <c r="DF232" s="847">
        <v>0</v>
      </c>
      <c r="DG232" s="847">
        <v>0</v>
      </c>
      <c r="DH232" s="847">
        <v>0</v>
      </c>
      <c r="DI232" s="847">
        <v>0</v>
      </c>
      <c r="DJ232" s="847">
        <v>0</v>
      </c>
      <c r="DK232" s="847">
        <v>0</v>
      </c>
      <c r="DL232" s="847">
        <v>0</v>
      </c>
      <c r="DM232" s="847">
        <v>0</v>
      </c>
      <c r="DN232" s="847">
        <v>0</v>
      </c>
      <c r="DO232" s="847">
        <v>0</v>
      </c>
      <c r="DP232" s="847">
        <v>0</v>
      </c>
      <c r="DQ232" s="847">
        <v>0</v>
      </c>
      <c r="DR232" s="847">
        <v>0</v>
      </c>
      <c r="DS232" s="847">
        <v>0</v>
      </c>
      <c r="DT232" s="847">
        <v>0</v>
      </c>
      <c r="DU232" s="847">
        <v>0</v>
      </c>
      <c r="DV232" s="847">
        <v>0</v>
      </c>
      <c r="DW232" s="847">
        <v>0</v>
      </c>
      <c r="DY232" s="843" t="s">
        <v>1060</v>
      </c>
      <c r="DZ232" s="843" t="s">
        <v>1382</v>
      </c>
      <c r="EA232" s="843" t="s">
        <v>96</v>
      </c>
      <c r="EB232" s="844">
        <v>73</v>
      </c>
      <c r="EC232" s="780" t="str">
        <f t="shared" si="9"/>
        <v>IWT060173</v>
      </c>
      <c r="ED232" s="844">
        <v>5490.8</v>
      </c>
      <c r="EE232" s="844">
        <v>10981.6</v>
      </c>
      <c r="EF232" s="844">
        <v>16472.400000000001</v>
      </c>
      <c r="EG232" s="844">
        <v>21963.200000000001</v>
      </c>
      <c r="EH232" s="844">
        <v>27454</v>
      </c>
      <c r="EI232" s="844">
        <v>32944.800000000003</v>
      </c>
      <c r="EJ232" s="844">
        <v>32944.800000000003</v>
      </c>
      <c r="EK232" s="844">
        <v>32944.800000000003</v>
      </c>
      <c r="EL232" s="844">
        <v>32944.800000000003</v>
      </c>
      <c r="EM232" s="844">
        <v>32944.800000000003</v>
      </c>
      <c r="EN232" s="844">
        <v>32944.800000000003</v>
      </c>
      <c r="EO232" s="844">
        <v>33090</v>
      </c>
      <c r="EP232" s="844">
        <v>33752</v>
      </c>
      <c r="EQ232" s="844">
        <v>34426</v>
      </c>
      <c r="ER232" s="844">
        <v>35115</v>
      </c>
      <c r="ES232" s="844">
        <v>35817</v>
      </c>
      <c r="ET232" s="844">
        <v>36533</v>
      </c>
      <c r="EU232" s="844">
        <v>37263</v>
      </c>
      <c r="EV232" s="844">
        <v>38008</v>
      </c>
      <c r="EW232" s="844">
        <v>38768</v>
      </c>
      <c r="EX232" s="844">
        <v>39543</v>
      </c>
      <c r="EY232" s="844">
        <v>40334</v>
      </c>
      <c r="EZ232" s="844">
        <v>41140</v>
      </c>
      <c r="FA232" s="844">
        <v>41962</v>
      </c>
      <c r="FB232" s="844">
        <v>42801</v>
      </c>
      <c r="FC232" s="844">
        <v>43656</v>
      </c>
      <c r="FD232" s="844">
        <v>44528</v>
      </c>
      <c r="FE232" s="844">
        <v>45418</v>
      </c>
      <c r="FF232" s="844">
        <v>46325</v>
      </c>
      <c r="FG232" s="844">
        <v>47250</v>
      </c>
      <c r="FH232" s="844">
        <v>48194</v>
      </c>
      <c r="FI232" s="844">
        <v>49156</v>
      </c>
      <c r="FJ232" s="844">
        <v>50137</v>
      </c>
      <c r="FK232" s="844">
        <v>51138</v>
      </c>
      <c r="FL232" s="844">
        <v>52159</v>
      </c>
      <c r="FM232" s="844">
        <v>53199</v>
      </c>
      <c r="FN232" s="844">
        <v>54260</v>
      </c>
      <c r="FO232" s="844">
        <v>54800</v>
      </c>
      <c r="FP232" s="844">
        <v>0</v>
      </c>
      <c r="FQ232" s="844">
        <v>0</v>
      </c>
      <c r="FR232" s="844">
        <v>0</v>
      </c>
      <c r="FS232" s="844">
        <v>0</v>
      </c>
      <c r="FT232" s="844">
        <v>0</v>
      </c>
      <c r="FU232" s="844">
        <v>0</v>
      </c>
      <c r="FV232" s="844">
        <v>0</v>
      </c>
      <c r="FW232" s="844">
        <v>0</v>
      </c>
      <c r="FX232" s="844">
        <v>0</v>
      </c>
      <c r="FY232" s="844">
        <v>0</v>
      </c>
      <c r="FZ232" s="844">
        <v>0</v>
      </c>
      <c r="GA232" s="844">
        <v>0</v>
      </c>
      <c r="GB232" s="844">
        <v>0</v>
      </c>
      <c r="GC232" s="844">
        <v>0</v>
      </c>
      <c r="GD232" s="844">
        <v>0</v>
      </c>
      <c r="GE232" s="844">
        <v>0</v>
      </c>
      <c r="GF232" s="844">
        <v>0</v>
      </c>
      <c r="GG232" s="844">
        <v>0</v>
      </c>
      <c r="GH232" s="844">
        <v>0</v>
      </c>
      <c r="GI232" s="844">
        <v>0</v>
      </c>
      <c r="GJ232" s="844">
        <v>0</v>
      </c>
      <c r="GK232" s="844">
        <v>0</v>
      </c>
      <c r="GL232" s="844">
        <v>0</v>
      </c>
      <c r="GM232" s="844">
        <v>0</v>
      </c>
      <c r="GN232" s="844">
        <v>0</v>
      </c>
      <c r="GO232" s="844">
        <v>0</v>
      </c>
      <c r="GP232" s="844">
        <v>0</v>
      </c>
      <c r="GQ232" s="844">
        <v>0</v>
      </c>
      <c r="GR232" s="844">
        <v>0</v>
      </c>
      <c r="GS232" s="844">
        <v>0</v>
      </c>
      <c r="GT232" s="844">
        <v>0</v>
      </c>
      <c r="GU232" s="844">
        <v>0</v>
      </c>
      <c r="GV232" s="844">
        <v>0</v>
      </c>
      <c r="GW232" s="844">
        <v>0</v>
      </c>
      <c r="GX232" s="844">
        <v>0</v>
      </c>
      <c r="GY232" s="844">
        <v>0</v>
      </c>
      <c r="GZ232" s="844">
        <v>0</v>
      </c>
      <c r="HA232" s="844">
        <v>0</v>
      </c>
      <c r="HB232" s="844">
        <v>0</v>
      </c>
      <c r="HC232" s="844">
        <v>0</v>
      </c>
      <c r="HD232" s="844">
        <v>0</v>
      </c>
      <c r="HE232" s="844">
        <v>0</v>
      </c>
      <c r="HF232" s="844">
        <v>0</v>
      </c>
      <c r="HG232" s="844">
        <v>0</v>
      </c>
      <c r="HH232" s="844">
        <v>0</v>
      </c>
      <c r="HI232" s="844">
        <v>0</v>
      </c>
      <c r="HJ232" s="844">
        <v>0</v>
      </c>
      <c r="HK232" s="844">
        <v>0</v>
      </c>
      <c r="HL232" s="844">
        <v>0</v>
      </c>
      <c r="HM232" s="844">
        <v>0</v>
      </c>
      <c r="HN232" s="844">
        <v>0</v>
      </c>
      <c r="HO232" s="844">
        <v>0</v>
      </c>
      <c r="HP232" s="844">
        <v>0</v>
      </c>
      <c r="HQ232" s="844">
        <v>0</v>
      </c>
      <c r="HR232" s="844">
        <v>0</v>
      </c>
      <c r="HS232" s="844">
        <v>0</v>
      </c>
      <c r="HT232" s="844">
        <v>0</v>
      </c>
      <c r="HU232" s="844">
        <v>0</v>
      </c>
      <c r="HV232" s="844">
        <v>0</v>
      </c>
      <c r="HW232" s="844">
        <v>0</v>
      </c>
      <c r="HX232" s="844">
        <v>0</v>
      </c>
      <c r="HY232" s="844">
        <v>0</v>
      </c>
      <c r="HZ232" s="844">
        <v>0</v>
      </c>
      <c r="IA232" s="844">
        <v>0</v>
      </c>
      <c r="IB232" s="844">
        <v>0</v>
      </c>
      <c r="IC232" s="844">
        <v>0</v>
      </c>
      <c r="ID232" s="844">
        <v>0</v>
      </c>
      <c r="IE232" s="844">
        <v>0</v>
      </c>
      <c r="IF232" s="844">
        <v>0</v>
      </c>
      <c r="IG232" s="844">
        <v>0</v>
      </c>
      <c r="IH232" s="844">
        <v>0</v>
      </c>
      <c r="II232" s="844">
        <v>0</v>
      </c>
      <c r="IJ232" s="844">
        <v>0</v>
      </c>
    </row>
    <row r="233" spans="9:244" hidden="1">
      <c r="I233" s="156"/>
      <c r="L233" s="846" t="s">
        <v>1060</v>
      </c>
      <c r="M233" s="846" t="s">
        <v>1382</v>
      </c>
      <c r="N233" s="846" t="s">
        <v>96</v>
      </c>
      <c r="O233" s="847">
        <v>74</v>
      </c>
      <c r="P233" s="780" t="str">
        <f t="shared" si="8"/>
        <v>IWT060174</v>
      </c>
      <c r="Q233" s="847">
        <v>0</v>
      </c>
      <c r="R233" s="847">
        <v>0</v>
      </c>
      <c r="S233" s="847">
        <v>0</v>
      </c>
      <c r="T233" s="847">
        <v>0</v>
      </c>
      <c r="U233" s="847">
        <v>0</v>
      </c>
      <c r="V233" s="847">
        <v>0</v>
      </c>
      <c r="W233" s="847">
        <v>0</v>
      </c>
      <c r="X233" s="847">
        <v>0</v>
      </c>
      <c r="Y233" s="847">
        <v>0</v>
      </c>
      <c r="Z233" s="847">
        <v>0</v>
      </c>
      <c r="AA233" s="847">
        <v>0</v>
      </c>
      <c r="AB233" s="847">
        <v>0</v>
      </c>
      <c r="AC233" s="847">
        <v>0</v>
      </c>
      <c r="AD233" s="847">
        <v>0</v>
      </c>
      <c r="AE233" s="847">
        <v>0</v>
      </c>
      <c r="AF233" s="847">
        <v>0</v>
      </c>
      <c r="AG233" s="847">
        <v>0</v>
      </c>
      <c r="AH233" s="847">
        <v>0</v>
      </c>
      <c r="AI233" s="847">
        <v>0</v>
      </c>
      <c r="AJ233" s="847">
        <v>0</v>
      </c>
      <c r="AK233" s="847">
        <v>0</v>
      </c>
      <c r="AL233" s="847">
        <v>0</v>
      </c>
      <c r="AM233" s="847">
        <v>0</v>
      </c>
      <c r="AN233" s="847">
        <v>0</v>
      </c>
      <c r="AO233" s="847">
        <v>0</v>
      </c>
      <c r="AP233" s="847">
        <v>0</v>
      </c>
      <c r="AQ233" s="847">
        <v>0</v>
      </c>
      <c r="AR233" s="847">
        <v>0</v>
      </c>
      <c r="AS233" s="847">
        <v>0</v>
      </c>
      <c r="AT233" s="847">
        <v>0</v>
      </c>
      <c r="AU233" s="847">
        <v>0</v>
      </c>
      <c r="AV233" s="847">
        <v>0</v>
      </c>
      <c r="AW233" s="847">
        <v>0</v>
      </c>
      <c r="AX233" s="847">
        <v>0</v>
      </c>
      <c r="AY233" s="847">
        <v>0</v>
      </c>
      <c r="AZ233" s="847">
        <v>0</v>
      </c>
      <c r="BA233" s="847">
        <v>53400</v>
      </c>
      <c r="BB233" s="847">
        <v>0</v>
      </c>
      <c r="BC233" s="847">
        <v>0</v>
      </c>
      <c r="BD233" s="847">
        <v>0</v>
      </c>
      <c r="BE233" s="847">
        <v>0</v>
      </c>
      <c r="BF233" s="847">
        <v>0</v>
      </c>
      <c r="BG233" s="847">
        <v>0</v>
      </c>
      <c r="BH233" s="847">
        <v>0</v>
      </c>
      <c r="BI233" s="847">
        <v>0</v>
      </c>
      <c r="BJ233" s="847">
        <v>0</v>
      </c>
      <c r="BK233" s="847">
        <v>0</v>
      </c>
      <c r="BL233" s="847">
        <v>0</v>
      </c>
      <c r="BM233" s="847">
        <v>0</v>
      </c>
      <c r="BN233" s="847">
        <v>0</v>
      </c>
      <c r="BO233" s="847">
        <v>0</v>
      </c>
      <c r="BP233" s="847">
        <v>0</v>
      </c>
      <c r="BQ233" s="847">
        <v>0</v>
      </c>
      <c r="BR233" s="847">
        <v>0</v>
      </c>
      <c r="BS233" s="847">
        <v>0</v>
      </c>
      <c r="BT233" s="847">
        <v>0</v>
      </c>
      <c r="BU233" s="847">
        <v>0</v>
      </c>
      <c r="BV233" s="847">
        <v>0</v>
      </c>
      <c r="BW233" s="847">
        <v>0</v>
      </c>
      <c r="BX233" s="847">
        <v>0</v>
      </c>
      <c r="BY233" s="847">
        <v>0</v>
      </c>
      <c r="BZ233" s="847">
        <v>0</v>
      </c>
      <c r="CA233" s="847">
        <v>0</v>
      </c>
      <c r="CB233" s="847">
        <v>0</v>
      </c>
      <c r="CC233" s="847">
        <v>0</v>
      </c>
      <c r="CD233" s="847">
        <v>0</v>
      </c>
      <c r="CE233" s="847">
        <v>0</v>
      </c>
      <c r="CF233" s="847">
        <v>0</v>
      </c>
      <c r="CG233" s="847">
        <v>0</v>
      </c>
      <c r="CH233" s="847">
        <v>0</v>
      </c>
      <c r="CI233" s="847">
        <v>0</v>
      </c>
      <c r="CJ233" s="847">
        <v>0</v>
      </c>
      <c r="CK233" s="847">
        <v>0</v>
      </c>
      <c r="CL233" s="847">
        <v>0</v>
      </c>
      <c r="CM233" s="847">
        <v>0</v>
      </c>
      <c r="CN233" s="847">
        <v>0</v>
      </c>
      <c r="CO233" s="847">
        <v>0</v>
      </c>
      <c r="CP233" s="847">
        <v>0</v>
      </c>
      <c r="CQ233" s="847">
        <v>0</v>
      </c>
      <c r="CR233" s="847">
        <v>0</v>
      </c>
      <c r="CS233" s="847">
        <v>0</v>
      </c>
      <c r="CT233" s="847">
        <v>0</v>
      </c>
      <c r="CU233" s="847">
        <v>0</v>
      </c>
      <c r="CV233" s="847">
        <v>0</v>
      </c>
      <c r="CW233" s="847">
        <v>0</v>
      </c>
      <c r="CX233" s="847">
        <v>0</v>
      </c>
      <c r="CY233" s="847">
        <v>0</v>
      </c>
      <c r="CZ233" s="847">
        <v>0</v>
      </c>
      <c r="DA233" s="847">
        <v>0</v>
      </c>
      <c r="DB233" s="847">
        <v>0</v>
      </c>
      <c r="DC233" s="847">
        <v>0</v>
      </c>
      <c r="DD233" s="847">
        <v>0</v>
      </c>
      <c r="DE233" s="847">
        <v>0</v>
      </c>
      <c r="DF233" s="847">
        <v>0</v>
      </c>
      <c r="DG233" s="847">
        <v>0</v>
      </c>
      <c r="DH233" s="847">
        <v>0</v>
      </c>
      <c r="DI233" s="847">
        <v>0</v>
      </c>
      <c r="DJ233" s="847">
        <v>0</v>
      </c>
      <c r="DK233" s="847">
        <v>0</v>
      </c>
      <c r="DL233" s="847">
        <v>0</v>
      </c>
      <c r="DM233" s="847">
        <v>0</v>
      </c>
      <c r="DN233" s="847">
        <v>0</v>
      </c>
      <c r="DO233" s="847">
        <v>0</v>
      </c>
      <c r="DP233" s="847">
        <v>0</v>
      </c>
      <c r="DQ233" s="847">
        <v>0</v>
      </c>
      <c r="DR233" s="847">
        <v>0</v>
      </c>
      <c r="DS233" s="847">
        <v>0</v>
      </c>
      <c r="DT233" s="847">
        <v>0</v>
      </c>
      <c r="DU233" s="847">
        <v>0</v>
      </c>
      <c r="DV233" s="847">
        <v>0</v>
      </c>
      <c r="DW233" s="847">
        <v>0</v>
      </c>
      <c r="DY233" s="843" t="s">
        <v>1060</v>
      </c>
      <c r="DZ233" s="843" t="s">
        <v>1382</v>
      </c>
      <c r="EA233" s="843" t="s">
        <v>96</v>
      </c>
      <c r="EB233" s="844">
        <v>74</v>
      </c>
      <c r="EC233" s="780" t="str">
        <f t="shared" si="9"/>
        <v>IWT060174</v>
      </c>
      <c r="ED233" s="844">
        <v>5501.4</v>
      </c>
      <c r="EE233" s="844">
        <v>11002.8</v>
      </c>
      <c r="EF233" s="844">
        <v>16504.2</v>
      </c>
      <c r="EG233" s="844">
        <v>22005.599999999999</v>
      </c>
      <c r="EH233" s="844">
        <v>27507</v>
      </c>
      <c r="EI233" s="844">
        <v>33008.400000000001</v>
      </c>
      <c r="EJ233" s="844">
        <v>33008.400000000001</v>
      </c>
      <c r="EK233" s="844">
        <v>33008.400000000001</v>
      </c>
      <c r="EL233" s="844">
        <v>33008.400000000001</v>
      </c>
      <c r="EM233" s="844">
        <v>33008.400000000001</v>
      </c>
      <c r="EN233" s="844">
        <v>33008.400000000001</v>
      </c>
      <c r="EO233" s="844">
        <v>33008.400000000001</v>
      </c>
      <c r="EP233" s="844">
        <v>33547</v>
      </c>
      <c r="EQ233" s="844">
        <v>34218</v>
      </c>
      <c r="ER233" s="844">
        <v>34902</v>
      </c>
      <c r="ES233" s="844">
        <v>35600</v>
      </c>
      <c r="ET233" s="844">
        <v>36311</v>
      </c>
      <c r="EU233" s="844">
        <v>37037</v>
      </c>
      <c r="EV233" s="844">
        <v>37778</v>
      </c>
      <c r="EW233" s="844">
        <v>38533</v>
      </c>
      <c r="EX233" s="844">
        <v>39303</v>
      </c>
      <c r="EY233" s="844">
        <v>40089</v>
      </c>
      <c r="EZ233" s="844">
        <v>40890</v>
      </c>
      <c r="FA233" s="844">
        <v>41707</v>
      </c>
      <c r="FB233" s="844">
        <v>42541</v>
      </c>
      <c r="FC233" s="844">
        <v>43391</v>
      </c>
      <c r="FD233" s="844">
        <v>44258</v>
      </c>
      <c r="FE233" s="844">
        <v>45142</v>
      </c>
      <c r="FF233" s="844">
        <v>46043</v>
      </c>
      <c r="FG233" s="844">
        <v>46963</v>
      </c>
      <c r="FH233" s="844">
        <v>47901</v>
      </c>
      <c r="FI233" s="844">
        <v>48857</v>
      </c>
      <c r="FJ233" s="844">
        <v>49832</v>
      </c>
      <c r="FK233" s="844">
        <v>50826</v>
      </c>
      <c r="FL233" s="844">
        <v>51840</v>
      </c>
      <c r="FM233" s="844">
        <v>52874</v>
      </c>
      <c r="FN233" s="844">
        <v>53400</v>
      </c>
      <c r="FO233" s="844">
        <v>0</v>
      </c>
      <c r="FP233" s="844">
        <v>0</v>
      </c>
      <c r="FQ233" s="844">
        <v>0</v>
      </c>
      <c r="FR233" s="844">
        <v>0</v>
      </c>
      <c r="FS233" s="844">
        <v>0</v>
      </c>
      <c r="FT233" s="844">
        <v>0</v>
      </c>
      <c r="FU233" s="844">
        <v>0</v>
      </c>
      <c r="FV233" s="844">
        <v>0</v>
      </c>
      <c r="FW233" s="844">
        <v>0</v>
      </c>
      <c r="FX233" s="844">
        <v>0</v>
      </c>
      <c r="FY233" s="844">
        <v>0</v>
      </c>
      <c r="FZ233" s="844">
        <v>0</v>
      </c>
      <c r="GA233" s="844">
        <v>0</v>
      </c>
      <c r="GB233" s="844">
        <v>0</v>
      </c>
      <c r="GC233" s="844">
        <v>0</v>
      </c>
      <c r="GD233" s="844">
        <v>0</v>
      </c>
      <c r="GE233" s="844">
        <v>0</v>
      </c>
      <c r="GF233" s="844">
        <v>0</v>
      </c>
      <c r="GG233" s="844">
        <v>0</v>
      </c>
      <c r="GH233" s="844">
        <v>0</v>
      </c>
      <c r="GI233" s="844">
        <v>0</v>
      </c>
      <c r="GJ233" s="844">
        <v>0</v>
      </c>
      <c r="GK233" s="844">
        <v>0</v>
      </c>
      <c r="GL233" s="844">
        <v>0</v>
      </c>
      <c r="GM233" s="844">
        <v>0</v>
      </c>
      <c r="GN233" s="844">
        <v>0</v>
      </c>
      <c r="GO233" s="844">
        <v>0</v>
      </c>
      <c r="GP233" s="844">
        <v>0</v>
      </c>
      <c r="GQ233" s="844">
        <v>0</v>
      </c>
      <c r="GR233" s="844">
        <v>0</v>
      </c>
      <c r="GS233" s="844">
        <v>0</v>
      </c>
      <c r="GT233" s="844">
        <v>0</v>
      </c>
      <c r="GU233" s="844">
        <v>0</v>
      </c>
      <c r="GV233" s="844">
        <v>0</v>
      </c>
      <c r="GW233" s="844">
        <v>0</v>
      </c>
      <c r="GX233" s="844">
        <v>0</v>
      </c>
      <c r="GY233" s="844">
        <v>0</v>
      </c>
      <c r="GZ233" s="844">
        <v>0</v>
      </c>
      <c r="HA233" s="844">
        <v>0</v>
      </c>
      <c r="HB233" s="844">
        <v>0</v>
      </c>
      <c r="HC233" s="844">
        <v>0</v>
      </c>
      <c r="HD233" s="844">
        <v>0</v>
      </c>
      <c r="HE233" s="844">
        <v>0</v>
      </c>
      <c r="HF233" s="844">
        <v>0</v>
      </c>
      <c r="HG233" s="844">
        <v>0</v>
      </c>
      <c r="HH233" s="844">
        <v>0</v>
      </c>
      <c r="HI233" s="844">
        <v>0</v>
      </c>
      <c r="HJ233" s="844">
        <v>0</v>
      </c>
      <c r="HK233" s="844">
        <v>0</v>
      </c>
      <c r="HL233" s="844">
        <v>0</v>
      </c>
      <c r="HM233" s="844">
        <v>0</v>
      </c>
      <c r="HN233" s="844">
        <v>0</v>
      </c>
      <c r="HO233" s="844">
        <v>0</v>
      </c>
      <c r="HP233" s="844">
        <v>0</v>
      </c>
      <c r="HQ233" s="844">
        <v>0</v>
      </c>
      <c r="HR233" s="844">
        <v>0</v>
      </c>
      <c r="HS233" s="844">
        <v>0</v>
      </c>
      <c r="HT233" s="844">
        <v>0</v>
      </c>
      <c r="HU233" s="844">
        <v>0</v>
      </c>
      <c r="HV233" s="844">
        <v>0</v>
      </c>
      <c r="HW233" s="844">
        <v>0</v>
      </c>
      <c r="HX233" s="844">
        <v>0</v>
      </c>
      <c r="HY233" s="844">
        <v>0</v>
      </c>
      <c r="HZ233" s="844">
        <v>0</v>
      </c>
      <c r="IA233" s="844">
        <v>0</v>
      </c>
      <c r="IB233" s="844">
        <v>0</v>
      </c>
      <c r="IC233" s="844">
        <v>0</v>
      </c>
      <c r="ID233" s="844">
        <v>0</v>
      </c>
      <c r="IE233" s="844">
        <v>0</v>
      </c>
      <c r="IF233" s="844">
        <v>0</v>
      </c>
      <c r="IG233" s="844">
        <v>0</v>
      </c>
      <c r="IH233" s="844">
        <v>0</v>
      </c>
      <c r="II233" s="844">
        <v>0</v>
      </c>
      <c r="IJ233" s="844">
        <v>0</v>
      </c>
    </row>
    <row r="234" spans="9:244" hidden="1">
      <c r="I234" s="156"/>
      <c r="L234" s="846" t="s">
        <v>1060</v>
      </c>
      <c r="M234" s="846" t="s">
        <v>1382</v>
      </c>
      <c r="N234" s="846" t="s">
        <v>96</v>
      </c>
      <c r="O234" s="847">
        <v>75</v>
      </c>
      <c r="P234" s="780" t="str">
        <f t="shared" si="8"/>
        <v>IWT060175</v>
      </c>
      <c r="Q234" s="847">
        <v>0</v>
      </c>
      <c r="R234" s="847">
        <v>0</v>
      </c>
      <c r="S234" s="847">
        <v>0</v>
      </c>
      <c r="T234" s="847">
        <v>0</v>
      </c>
      <c r="U234" s="847">
        <v>0</v>
      </c>
      <c r="V234" s="847">
        <v>0</v>
      </c>
      <c r="W234" s="847">
        <v>0</v>
      </c>
      <c r="X234" s="847">
        <v>0</v>
      </c>
      <c r="Y234" s="847">
        <v>0</v>
      </c>
      <c r="Z234" s="847">
        <v>0</v>
      </c>
      <c r="AA234" s="847">
        <v>0</v>
      </c>
      <c r="AB234" s="847">
        <v>0</v>
      </c>
      <c r="AC234" s="847">
        <v>0</v>
      </c>
      <c r="AD234" s="847">
        <v>0</v>
      </c>
      <c r="AE234" s="847">
        <v>0</v>
      </c>
      <c r="AF234" s="847">
        <v>0</v>
      </c>
      <c r="AG234" s="847">
        <v>0</v>
      </c>
      <c r="AH234" s="847">
        <v>0</v>
      </c>
      <c r="AI234" s="847">
        <v>0</v>
      </c>
      <c r="AJ234" s="847">
        <v>0</v>
      </c>
      <c r="AK234" s="847">
        <v>0</v>
      </c>
      <c r="AL234" s="847">
        <v>0</v>
      </c>
      <c r="AM234" s="847">
        <v>0</v>
      </c>
      <c r="AN234" s="847">
        <v>0</v>
      </c>
      <c r="AO234" s="847">
        <v>0</v>
      </c>
      <c r="AP234" s="847">
        <v>0</v>
      </c>
      <c r="AQ234" s="847">
        <v>0</v>
      </c>
      <c r="AR234" s="847">
        <v>0</v>
      </c>
      <c r="AS234" s="847">
        <v>0</v>
      </c>
      <c r="AT234" s="847">
        <v>0</v>
      </c>
      <c r="AU234" s="847">
        <v>0</v>
      </c>
      <c r="AV234" s="847">
        <v>0</v>
      </c>
      <c r="AW234" s="847">
        <v>0</v>
      </c>
      <c r="AX234" s="847">
        <v>0</v>
      </c>
      <c r="AY234" s="847">
        <v>0</v>
      </c>
      <c r="AZ234" s="847">
        <v>52000</v>
      </c>
      <c r="BA234" s="847">
        <v>0</v>
      </c>
      <c r="BB234" s="847">
        <v>0</v>
      </c>
      <c r="BC234" s="847">
        <v>0</v>
      </c>
      <c r="BD234" s="847">
        <v>0</v>
      </c>
      <c r="BE234" s="847">
        <v>0</v>
      </c>
      <c r="BF234" s="847">
        <v>0</v>
      </c>
      <c r="BG234" s="847">
        <v>0</v>
      </c>
      <c r="BH234" s="847">
        <v>0</v>
      </c>
      <c r="BI234" s="847">
        <v>0</v>
      </c>
      <c r="BJ234" s="847">
        <v>0</v>
      </c>
      <c r="BK234" s="847">
        <v>0</v>
      </c>
      <c r="BL234" s="847">
        <v>0</v>
      </c>
      <c r="BM234" s="847">
        <v>0</v>
      </c>
      <c r="BN234" s="847">
        <v>0</v>
      </c>
      <c r="BO234" s="847">
        <v>0</v>
      </c>
      <c r="BP234" s="847">
        <v>0</v>
      </c>
      <c r="BQ234" s="847">
        <v>0</v>
      </c>
      <c r="BR234" s="847">
        <v>0</v>
      </c>
      <c r="BS234" s="847">
        <v>0</v>
      </c>
      <c r="BT234" s="847">
        <v>0</v>
      </c>
      <c r="BU234" s="847">
        <v>0</v>
      </c>
      <c r="BV234" s="847">
        <v>0</v>
      </c>
      <c r="BW234" s="847">
        <v>0</v>
      </c>
      <c r="BX234" s="847">
        <v>0</v>
      </c>
      <c r="BY234" s="847">
        <v>0</v>
      </c>
      <c r="BZ234" s="847">
        <v>0</v>
      </c>
      <c r="CA234" s="847">
        <v>0</v>
      </c>
      <c r="CB234" s="847">
        <v>0</v>
      </c>
      <c r="CC234" s="847">
        <v>0</v>
      </c>
      <c r="CD234" s="847">
        <v>0</v>
      </c>
      <c r="CE234" s="847">
        <v>0</v>
      </c>
      <c r="CF234" s="847">
        <v>0</v>
      </c>
      <c r="CG234" s="847">
        <v>0</v>
      </c>
      <c r="CH234" s="847">
        <v>0</v>
      </c>
      <c r="CI234" s="847">
        <v>0</v>
      </c>
      <c r="CJ234" s="847">
        <v>0</v>
      </c>
      <c r="CK234" s="847">
        <v>0</v>
      </c>
      <c r="CL234" s="847">
        <v>0</v>
      </c>
      <c r="CM234" s="847">
        <v>0</v>
      </c>
      <c r="CN234" s="847">
        <v>0</v>
      </c>
      <c r="CO234" s="847">
        <v>0</v>
      </c>
      <c r="CP234" s="847">
        <v>0</v>
      </c>
      <c r="CQ234" s="847">
        <v>0</v>
      </c>
      <c r="CR234" s="847">
        <v>0</v>
      </c>
      <c r="CS234" s="847">
        <v>0</v>
      </c>
      <c r="CT234" s="847">
        <v>0</v>
      </c>
      <c r="CU234" s="847">
        <v>0</v>
      </c>
      <c r="CV234" s="847">
        <v>0</v>
      </c>
      <c r="CW234" s="847">
        <v>0</v>
      </c>
      <c r="CX234" s="847">
        <v>0</v>
      </c>
      <c r="CY234" s="847">
        <v>0</v>
      </c>
      <c r="CZ234" s="847">
        <v>0</v>
      </c>
      <c r="DA234" s="847">
        <v>0</v>
      </c>
      <c r="DB234" s="847">
        <v>0</v>
      </c>
      <c r="DC234" s="847">
        <v>0</v>
      </c>
      <c r="DD234" s="847">
        <v>0</v>
      </c>
      <c r="DE234" s="847">
        <v>0</v>
      </c>
      <c r="DF234" s="847">
        <v>0</v>
      </c>
      <c r="DG234" s="847">
        <v>0</v>
      </c>
      <c r="DH234" s="847">
        <v>0</v>
      </c>
      <c r="DI234" s="847">
        <v>0</v>
      </c>
      <c r="DJ234" s="847">
        <v>0</v>
      </c>
      <c r="DK234" s="847">
        <v>0</v>
      </c>
      <c r="DL234" s="847">
        <v>0</v>
      </c>
      <c r="DM234" s="847">
        <v>0</v>
      </c>
      <c r="DN234" s="847">
        <v>0</v>
      </c>
      <c r="DO234" s="847">
        <v>0</v>
      </c>
      <c r="DP234" s="847">
        <v>0</v>
      </c>
      <c r="DQ234" s="847">
        <v>0</v>
      </c>
      <c r="DR234" s="847">
        <v>0</v>
      </c>
      <c r="DS234" s="847">
        <v>0</v>
      </c>
      <c r="DT234" s="847">
        <v>0</v>
      </c>
      <c r="DU234" s="847">
        <v>0</v>
      </c>
      <c r="DV234" s="847">
        <v>0</v>
      </c>
      <c r="DW234" s="847">
        <v>0</v>
      </c>
      <c r="DY234" s="843" t="s">
        <v>1060</v>
      </c>
      <c r="DZ234" s="843" t="s">
        <v>1382</v>
      </c>
      <c r="EA234" s="843" t="s">
        <v>96</v>
      </c>
      <c r="EB234" s="844">
        <v>75</v>
      </c>
      <c r="EC234" s="780" t="str">
        <f t="shared" si="9"/>
        <v>IWT060175</v>
      </c>
      <c r="ED234" s="844">
        <v>5512</v>
      </c>
      <c r="EE234" s="844">
        <v>11024</v>
      </c>
      <c r="EF234" s="844">
        <v>16536</v>
      </c>
      <c r="EG234" s="844">
        <v>22048</v>
      </c>
      <c r="EH234" s="844">
        <v>27560</v>
      </c>
      <c r="EI234" s="844">
        <v>33072</v>
      </c>
      <c r="EJ234" s="844">
        <v>33072</v>
      </c>
      <c r="EK234" s="844">
        <v>33072</v>
      </c>
      <c r="EL234" s="844">
        <v>33072</v>
      </c>
      <c r="EM234" s="844">
        <v>33072</v>
      </c>
      <c r="EN234" s="844">
        <v>33072</v>
      </c>
      <c r="EO234" s="844">
        <v>33072</v>
      </c>
      <c r="EP234" s="844">
        <v>33321</v>
      </c>
      <c r="EQ234" s="844">
        <v>33987</v>
      </c>
      <c r="ER234" s="844">
        <v>34666</v>
      </c>
      <c r="ES234" s="844">
        <v>35359</v>
      </c>
      <c r="ET234" s="844">
        <v>36066</v>
      </c>
      <c r="EU234" s="844">
        <v>36787</v>
      </c>
      <c r="EV234" s="844">
        <v>37523</v>
      </c>
      <c r="EW234" s="844">
        <v>38273</v>
      </c>
      <c r="EX234" s="844">
        <v>39038</v>
      </c>
      <c r="EY234" s="844">
        <v>39818</v>
      </c>
      <c r="EZ234" s="844">
        <v>40614</v>
      </c>
      <c r="FA234" s="844">
        <v>41425</v>
      </c>
      <c r="FB234" s="844">
        <v>42253</v>
      </c>
      <c r="FC234" s="844">
        <v>43097</v>
      </c>
      <c r="FD234" s="844">
        <v>43958</v>
      </c>
      <c r="FE234" s="844">
        <v>44836</v>
      </c>
      <c r="FF234" s="844">
        <v>45732</v>
      </c>
      <c r="FG234" s="844">
        <v>46645</v>
      </c>
      <c r="FH234" s="844">
        <v>47576</v>
      </c>
      <c r="FI234" s="844">
        <v>48526</v>
      </c>
      <c r="FJ234" s="844">
        <v>49494</v>
      </c>
      <c r="FK234" s="844">
        <v>50481</v>
      </c>
      <c r="FL234" s="844">
        <v>51488</v>
      </c>
      <c r="FM234" s="844">
        <v>52000</v>
      </c>
      <c r="FN234" s="844">
        <v>0</v>
      </c>
      <c r="FO234" s="844">
        <v>0</v>
      </c>
      <c r="FP234" s="844">
        <v>0</v>
      </c>
      <c r="FQ234" s="844">
        <v>0</v>
      </c>
      <c r="FR234" s="844">
        <v>0</v>
      </c>
      <c r="FS234" s="844">
        <v>0</v>
      </c>
      <c r="FT234" s="844">
        <v>0</v>
      </c>
      <c r="FU234" s="844">
        <v>0</v>
      </c>
      <c r="FV234" s="844">
        <v>0</v>
      </c>
      <c r="FW234" s="844">
        <v>0</v>
      </c>
      <c r="FX234" s="844">
        <v>0</v>
      </c>
      <c r="FY234" s="844">
        <v>0</v>
      </c>
      <c r="FZ234" s="844">
        <v>0</v>
      </c>
      <c r="GA234" s="844">
        <v>0</v>
      </c>
      <c r="GB234" s="844">
        <v>0</v>
      </c>
      <c r="GC234" s="844">
        <v>0</v>
      </c>
      <c r="GD234" s="844">
        <v>0</v>
      </c>
      <c r="GE234" s="844">
        <v>0</v>
      </c>
      <c r="GF234" s="844">
        <v>0</v>
      </c>
      <c r="GG234" s="844">
        <v>0</v>
      </c>
      <c r="GH234" s="844">
        <v>0</v>
      </c>
      <c r="GI234" s="844">
        <v>0</v>
      </c>
      <c r="GJ234" s="844">
        <v>0</v>
      </c>
      <c r="GK234" s="844">
        <v>0</v>
      </c>
      <c r="GL234" s="844">
        <v>0</v>
      </c>
      <c r="GM234" s="844">
        <v>0</v>
      </c>
      <c r="GN234" s="844">
        <v>0</v>
      </c>
      <c r="GO234" s="844">
        <v>0</v>
      </c>
      <c r="GP234" s="844">
        <v>0</v>
      </c>
      <c r="GQ234" s="844">
        <v>0</v>
      </c>
      <c r="GR234" s="844">
        <v>0</v>
      </c>
      <c r="GS234" s="844">
        <v>0</v>
      </c>
      <c r="GT234" s="844">
        <v>0</v>
      </c>
      <c r="GU234" s="844">
        <v>0</v>
      </c>
      <c r="GV234" s="844">
        <v>0</v>
      </c>
      <c r="GW234" s="844">
        <v>0</v>
      </c>
      <c r="GX234" s="844">
        <v>0</v>
      </c>
      <c r="GY234" s="844">
        <v>0</v>
      </c>
      <c r="GZ234" s="844">
        <v>0</v>
      </c>
      <c r="HA234" s="844">
        <v>0</v>
      </c>
      <c r="HB234" s="844">
        <v>0</v>
      </c>
      <c r="HC234" s="844">
        <v>0</v>
      </c>
      <c r="HD234" s="844">
        <v>0</v>
      </c>
      <c r="HE234" s="844">
        <v>0</v>
      </c>
      <c r="HF234" s="844">
        <v>0</v>
      </c>
      <c r="HG234" s="844">
        <v>0</v>
      </c>
      <c r="HH234" s="844">
        <v>0</v>
      </c>
      <c r="HI234" s="844">
        <v>0</v>
      </c>
      <c r="HJ234" s="844">
        <v>0</v>
      </c>
      <c r="HK234" s="844">
        <v>0</v>
      </c>
      <c r="HL234" s="844">
        <v>0</v>
      </c>
      <c r="HM234" s="844">
        <v>0</v>
      </c>
      <c r="HN234" s="844">
        <v>0</v>
      </c>
      <c r="HO234" s="844">
        <v>0</v>
      </c>
      <c r="HP234" s="844">
        <v>0</v>
      </c>
      <c r="HQ234" s="844">
        <v>0</v>
      </c>
      <c r="HR234" s="844">
        <v>0</v>
      </c>
      <c r="HS234" s="844">
        <v>0</v>
      </c>
      <c r="HT234" s="844">
        <v>0</v>
      </c>
      <c r="HU234" s="844">
        <v>0</v>
      </c>
      <c r="HV234" s="844">
        <v>0</v>
      </c>
      <c r="HW234" s="844">
        <v>0</v>
      </c>
      <c r="HX234" s="844">
        <v>0</v>
      </c>
      <c r="HY234" s="844">
        <v>0</v>
      </c>
      <c r="HZ234" s="844">
        <v>0</v>
      </c>
      <c r="IA234" s="844">
        <v>0</v>
      </c>
      <c r="IB234" s="844">
        <v>0</v>
      </c>
      <c r="IC234" s="844">
        <v>0</v>
      </c>
      <c r="ID234" s="844">
        <v>0</v>
      </c>
      <c r="IE234" s="844">
        <v>0</v>
      </c>
      <c r="IF234" s="844">
        <v>0</v>
      </c>
      <c r="IG234" s="844">
        <v>0</v>
      </c>
      <c r="IH234" s="844">
        <v>0</v>
      </c>
      <c r="II234" s="844">
        <v>0</v>
      </c>
      <c r="IJ234" s="844">
        <v>0</v>
      </c>
    </row>
    <row r="235" spans="9:244" hidden="1">
      <c r="I235" s="156"/>
      <c r="L235" s="846" t="s">
        <v>1060</v>
      </c>
      <c r="M235" s="846" t="s">
        <v>1382</v>
      </c>
      <c r="N235" s="846" t="s">
        <v>97</v>
      </c>
      <c r="O235" s="847">
        <v>0</v>
      </c>
      <c r="P235" s="780" t="str">
        <f t="shared" si="8"/>
        <v>IWT060200</v>
      </c>
      <c r="Q235" s="847">
        <v>0</v>
      </c>
      <c r="R235" s="847">
        <v>0</v>
      </c>
      <c r="S235" s="847">
        <v>0</v>
      </c>
      <c r="T235" s="847">
        <v>0</v>
      </c>
      <c r="U235" s="847">
        <v>0</v>
      </c>
      <c r="V235" s="847">
        <v>0</v>
      </c>
      <c r="W235" s="847">
        <v>0</v>
      </c>
      <c r="X235" s="847">
        <v>0</v>
      </c>
      <c r="Y235" s="847">
        <v>0</v>
      </c>
      <c r="Z235" s="847">
        <v>0</v>
      </c>
      <c r="AA235" s="847">
        <v>0</v>
      </c>
      <c r="AB235" s="847">
        <v>0</v>
      </c>
      <c r="AC235" s="847">
        <v>0</v>
      </c>
      <c r="AD235" s="847">
        <v>0</v>
      </c>
      <c r="AE235" s="847">
        <v>0</v>
      </c>
      <c r="AF235" s="847">
        <v>0</v>
      </c>
      <c r="AG235" s="847">
        <v>0</v>
      </c>
      <c r="AH235" s="847">
        <v>0</v>
      </c>
      <c r="AI235" s="847">
        <v>0</v>
      </c>
      <c r="AJ235" s="847">
        <v>0</v>
      </c>
      <c r="AK235" s="847">
        <v>0</v>
      </c>
      <c r="AL235" s="847">
        <v>0</v>
      </c>
      <c r="AM235" s="847">
        <v>0</v>
      </c>
      <c r="AN235" s="847">
        <v>0</v>
      </c>
      <c r="AO235" s="847">
        <v>0</v>
      </c>
      <c r="AP235" s="847">
        <v>0</v>
      </c>
      <c r="AQ235" s="847">
        <v>0</v>
      </c>
      <c r="AR235" s="847">
        <v>0</v>
      </c>
      <c r="AS235" s="847">
        <v>0</v>
      </c>
      <c r="AT235" s="847">
        <v>0</v>
      </c>
      <c r="AU235" s="847">
        <v>0</v>
      </c>
      <c r="AV235" s="847">
        <v>0</v>
      </c>
      <c r="AW235" s="847">
        <v>0</v>
      </c>
      <c r="AX235" s="847">
        <v>0</v>
      </c>
      <c r="AY235" s="847">
        <v>0</v>
      </c>
      <c r="AZ235" s="847">
        <v>0</v>
      </c>
      <c r="BA235" s="847">
        <v>0</v>
      </c>
      <c r="BB235" s="847">
        <v>0</v>
      </c>
      <c r="BC235" s="847">
        <v>0</v>
      </c>
      <c r="BD235" s="847">
        <v>0</v>
      </c>
      <c r="BE235" s="847">
        <v>0</v>
      </c>
      <c r="BF235" s="847">
        <v>0</v>
      </c>
      <c r="BG235" s="847">
        <v>0</v>
      </c>
      <c r="BH235" s="847">
        <v>0</v>
      </c>
      <c r="BI235" s="847">
        <v>0</v>
      </c>
      <c r="BJ235" s="847">
        <v>0</v>
      </c>
      <c r="BK235" s="847">
        <v>0</v>
      </c>
      <c r="BL235" s="847">
        <v>0</v>
      </c>
      <c r="BM235" s="847">
        <v>0</v>
      </c>
      <c r="BN235" s="847">
        <v>0</v>
      </c>
      <c r="BO235" s="847">
        <v>0</v>
      </c>
      <c r="BP235" s="847">
        <v>0</v>
      </c>
      <c r="BQ235" s="847">
        <v>0</v>
      </c>
      <c r="BR235" s="847">
        <v>0</v>
      </c>
      <c r="BS235" s="847">
        <v>0</v>
      </c>
      <c r="BT235" s="847">
        <v>0</v>
      </c>
      <c r="BU235" s="847">
        <v>0</v>
      </c>
      <c r="BV235" s="847">
        <v>0</v>
      </c>
      <c r="BW235" s="847">
        <v>0</v>
      </c>
      <c r="BX235" s="847">
        <v>0</v>
      </c>
      <c r="BY235" s="847">
        <v>0</v>
      </c>
      <c r="BZ235" s="847">
        <v>0</v>
      </c>
      <c r="CA235" s="847">
        <v>0</v>
      </c>
      <c r="CB235" s="847">
        <v>0</v>
      </c>
      <c r="CC235" s="847">
        <v>0</v>
      </c>
      <c r="CD235" s="847">
        <v>0</v>
      </c>
      <c r="CE235" s="847">
        <v>0</v>
      </c>
      <c r="CF235" s="847">
        <v>0</v>
      </c>
      <c r="CG235" s="847">
        <v>0</v>
      </c>
      <c r="CH235" s="847">
        <v>0</v>
      </c>
      <c r="CI235" s="847">
        <v>0</v>
      </c>
      <c r="CJ235" s="847">
        <v>0</v>
      </c>
      <c r="CK235" s="847">
        <v>0</v>
      </c>
      <c r="CL235" s="847">
        <v>0</v>
      </c>
      <c r="CM235" s="847">
        <v>0</v>
      </c>
      <c r="CN235" s="847">
        <v>0</v>
      </c>
      <c r="CO235" s="847">
        <v>0</v>
      </c>
      <c r="CP235" s="847">
        <v>0</v>
      </c>
      <c r="CQ235" s="847">
        <v>0</v>
      </c>
      <c r="CR235" s="847">
        <v>0</v>
      </c>
      <c r="CS235" s="847">
        <v>0</v>
      </c>
      <c r="CT235" s="847">
        <v>0</v>
      </c>
      <c r="CU235" s="847">
        <v>0</v>
      </c>
      <c r="CV235" s="847">
        <v>0</v>
      </c>
      <c r="CW235" s="847">
        <v>0</v>
      </c>
      <c r="CX235" s="847">
        <v>0</v>
      </c>
      <c r="CY235" s="847">
        <v>0</v>
      </c>
      <c r="CZ235" s="847">
        <v>0</v>
      </c>
      <c r="DA235" s="847">
        <v>0</v>
      </c>
      <c r="DB235" s="847">
        <v>0</v>
      </c>
      <c r="DC235" s="847">
        <v>0</v>
      </c>
      <c r="DD235" s="847">
        <v>0</v>
      </c>
      <c r="DE235" s="847">
        <v>0</v>
      </c>
      <c r="DF235" s="847">
        <v>0</v>
      </c>
      <c r="DG235" s="847">
        <v>0</v>
      </c>
      <c r="DH235" s="847">
        <v>0</v>
      </c>
      <c r="DI235" s="847">
        <v>0</v>
      </c>
      <c r="DJ235" s="847">
        <v>0</v>
      </c>
      <c r="DK235" s="847">
        <v>0</v>
      </c>
      <c r="DL235" s="847">
        <v>0</v>
      </c>
      <c r="DM235" s="847">
        <v>0</v>
      </c>
      <c r="DN235" s="847">
        <v>0</v>
      </c>
      <c r="DO235" s="847">
        <v>0</v>
      </c>
      <c r="DP235" s="847">
        <v>0</v>
      </c>
      <c r="DQ235" s="847">
        <v>0</v>
      </c>
      <c r="DR235" s="847">
        <v>0</v>
      </c>
      <c r="DS235" s="847">
        <v>0</v>
      </c>
      <c r="DT235" s="847">
        <v>0</v>
      </c>
      <c r="DU235" s="847">
        <v>0</v>
      </c>
      <c r="DV235" s="847">
        <v>0</v>
      </c>
      <c r="DW235" s="847">
        <v>157000</v>
      </c>
      <c r="DY235" s="843" t="s">
        <v>1060</v>
      </c>
      <c r="DZ235" s="843" t="s">
        <v>1382</v>
      </c>
      <c r="EA235" s="843" t="s">
        <v>97</v>
      </c>
      <c r="EB235" s="844">
        <v>0</v>
      </c>
      <c r="EC235" s="780" t="str">
        <f t="shared" si="9"/>
        <v>IWT060200</v>
      </c>
      <c r="ED235" s="844">
        <v>4257</v>
      </c>
      <c r="EE235" s="844">
        <v>8514</v>
      </c>
      <c r="EF235" s="844">
        <v>12771</v>
      </c>
      <c r="EG235" s="844">
        <v>17028</v>
      </c>
      <c r="EH235" s="844">
        <v>21285</v>
      </c>
      <c r="EI235" s="844">
        <v>25542</v>
      </c>
      <c r="EJ235" s="844">
        <v>25542</v>
      </c>
      <c r="EK235" s="844">
        <v>25542</v>
      </c>
      <c r="EL235" s="844">
        <v>25542</v>
      </c>
      <c r="EM235" s="844">
        <v>25542</v>
      </c>
      <c r="EN235" s="844">
        <v>25542</v>
      </c>
      <c r="EO235" s="844">
        <v>25542</v>
      </c>
      <c r="EP235" s="844">
        <v>25542</v>
      </c>
      <c r="EQ235" s="844">
        <v>25542</v>
      </c>
      <c r="ER235" s="844">
        <v>25542</v>
      </c>
      <c r="ES235" s="844">
        <v>25542</v>
      </c>
      <c r="ET235" s="844">
        <v>31649</v>
      </c>
      <c r="EU235" s="844">
        <v>32282</v>
      </c>
      <c r="EV235" s="844">
        <v>32928</v>
      </c>
      <c r="EW235" s="844">
        <v>33587</v>
      </c>
      <c r="EX235" s="844">
        <v>34258</v>
      </c>
      <c r="EY235" s="844">
        <v>34943</v>
      </c>
      <c r="EZ235" s="844">
        <v>35642</v>
      </c>
      <c r="FA235" s="844">
        <v>36355</v>
      </c>
      <c r="FB235" s="844">
        <v>37082</v>
      </c>
      <c r="FC235" s="844">
        <v>38000</v>
      </c>
      <c r="FD235" s="844">
        <v>39400</v>
      </c>
      <c r="FE235" s="844">
        <v>40800</v>
      </c>
      <c r="FF235" s="844">
        <v>42200</v>
      </c>
      <c r="FG235" s="844">
        <v>43600</v>
      </c>
      <c r="FH235" s="844">
        <v>45000</v>
      </c>
      <c r="FI235" s="844">
        <v>46400</v>
      </c>
      <c r="FJ235" s="844">
        <v>47800</v>
      </c>
      <c r="FK235" s="844">
        <v>49200</v>
      </c>
      <c r="FL235" s="844">
        <v>50600</v>
      </c>
      <c r="FM235" s="844">
        <v>52000</v>
      </c>
      <c r="FN235" s="844">
        <v>53400</v>
      </c>
      <c r="FO235" s="844">
        <v>54800</v>
      </c>
      <c r="FP235" s="844">
        <v>56200</v>
      </c>
      <c r="FQ235" s="844">
        <v>57600</v>
      </c>
      <c r="FR235" s="844">
        <v>59000</v>
      </c>
      <c r="FS235" s="844">
        <v>60400</v>
      </c>
      <c r="FT235" s="844">
        <v>61800</v>
      </c>
      <c r="FU235" s="844">
        <v>63200</v>
      </c>
      <c r="FV235" s="844">
        <v>64600</v>
      </c>
      <c r="FW235" s="844">
        <v>66000</v>
      </c>
      <c r="FX235" s="844">
        <v>67400</v>
      </c>
      <c r="FY235" s="844">
        <v>68800</v>
      </c>
      <c r="FZ235" s="844">
        <v>70200</v>
      </c>
      <c r="GA235" s="844">
        <v>71600</v>
      </c>
      <c r="GB235" s="844">
        <v>73000</v>
      </c>
      <c r="GC235" s="844">
        <v>74400</v>
      </c>
      <c r="GD235" s="844">
        <v>75800</v>
      </c>
      <c r="GE235" s="844">
        <v>77200</v>
      </c>
      <c r="GF235" s="844">
        <v>78600</v>
      </c>
      <c r="GG235" s="844">
        <v>80000</v>
      </c>
      <c r="GH235" s="844">
        <v>81400</v>
      </c>
      <c r="GI235" s="844">
        <v>82800</v>
      </c>
      <c r="GJ235" s="844">
        <v>84200</v>
      </c>
      <c r="GK235" s="844">
        <v>85600</v>
      </c>
      <c r="GL235" s="844">
        <v>87000</v>
      </c>
      <c r="GM235" s="844">
        <v>88400</v>
      </c>
      <c r="GN235" s="844">
        <v>89800</v>
      </c>
      <c r="GO235" s="844">
        <v>91200</v>
      </c>
      <c r="GP235" s="844">
        <v>92600</v>
      </c>
      <c r="GQ235" s="844">
        <v>94000</v>
      </c>
      <c r="GR235" s="844">
        <v>95400</v>
      </c>
      <c r="GS235" s="844">
        <v>96800</v>
      </c>
      <c r="GT235" s="844">
        <v>98200</v>
      </c>
      <c r="GU235" s="844">
        <v>99600</v>
      </c>
      <c r="GV235" s="844">
        <v>101000</v>
      </c>
      <c r="GW235" s="844">
        <v>102400</v>
      </c>
      <c r="GX235" s="844">
        <v>103800</v>
      </c>
      <c r="GY235" s="844">
        <v>105200</v>
      </c>
      <c r="GZ235" s="844">
        <v>106600</v>
      </c>
      <c r="HA235" s="844">
        <v>108000</v>
      </c>
      <c r="HB235" s="844">
        <v>109400</v>
      </c>
      <c r="HC235" s="844">
        <v>110800</v>
      </c>
      <c r="HD235" s="844">
        <v>112200</v>
      </c>
      <c r="HE235" s="844">
        <v>113600</v>
      </c>
      <c r="HF235" s="844">
        <v>115000</v>
      </c>
      <c r="HG235" s="844">
        <v>116400</v>
      </c>
      <c r="HH235" s="844">
        <v>117800</v>
      </c>
      <c r="HI235" s="844">
        <v>119200</v>
      </c>
      <c r="HJ235" s="844">
        <v>120600</v>
      </c>
      <c r="HK235" s="844">
        <v>122000</v>
      </c>
      <c r="HL235" s="844">
        <v>123400</v>
      </c>
      <c r="HM235" s="844">
        <v>124800</v>
      </c>
      <c r="HN235" s="844">
        <v>126200</v>
      </c>
      <c r="HO235" s="844">
        <v>127600</v>
      </c>
      <c r="HP235" s="844">
        <v>129000</v>
      </c>
      <c r="HQ235" s="844">
        <v>130400</v>
      </c>
      <c r="HR235" s="844">
        <v>131800</v>
      </c>
      <c r="HS235" s="844">
        <v>133200</v>
      </c>
      <c r="HT235" s="844">
        <v>134600</v>
      </c>
      <c r="HU235" s="844">
        <v>136000</v>
      </c>
      <c r="HV235" s="844">
        <v>137400</v>
      </c>
      <c r="HW235" s="844">
        <v>138800</v>
      </c>
      <c r="HX235" s="844">
        <v>140200</v>
      </c>
      <c r="HY235" s="844">
        <v>141600</v>
      </c>
      <c r="HZ235" s="844">
        <v>143000</v>
      </c>
      <c r="IA235" s="844">
        <v>144400</v>
      </c>
      <c r="IB235" s="844">
        <v>145800</v>
      </c>
      <c r="IC235" s="844">
        <v>147200</v>
      </c>
      <c r="ID235" s="844">
        <v>148600</v>
      </c>
      <c r="IE235" s="844">
        <v>150000</v>
      </c>
      <c r="IF235" s="844">
        <v>151400</v>
      </c>
      <c r="IG235" s="844">
        <v>152800</v>
      </c>
      <c r="IH235" s="844">
        <v>154200</v>
      </c>
      <c r="II235" s="844">
        <v>155600</v>
      </c>
      <c r="IJ235" s="844">
        <v>157000</v>
      </c>
    </row>
    <row r="236" spans="9:244" hidden="1">
      <c r="I236" s="156"/>
      <c r="L236" s="846" t="s">
        <v>1060</v>
      </c>
      <c r="M236" s="846" t="s">
        <v>1382</v>
      </c>
      <c r="N236" s="846" t="s">
        <v>97</v>
      </c>
      <c r="O236" s="847">
        <v>1</v>
      </c>
      <c r="P236" s="780" t="str">
        <f t="shared" si="8"/>
        <v>IWT060201</v>
      </c>
      <c r="Q236" s="847">
        <v>0</v>
      </c>
      <c r="R236" s="847">
        <v>0</v>
      </c>
      <c r="S236" s="847">
        <v>0</v>
      </c>
      <c r="T236" s="847">
        <v>0</v>
      </c>
      <c r="U236" s="847">
        <v>0</v>
      </c>
      <c r="V236" s="847">
        <v>0</v>
      </c>
      <c r="W236" s="847">
        <v>0</v>
      </c>
      <c r="X236" s="847">
        <v>0</v>
      </c>
      <c r="Y236" s="847">
        <v>0</v>
      </c>
      <c r="Z236" s="847">
        <v>0</v>
      </c>
      <c r="AA236" s="847">
        <v>0</v>
      </c>
      <c r="AB236" s="847">
        <v>0</v>
      </c>
      <c r="AC236" s="847">
        <v>0</v>
      </c>
      <c r="AD236" s="847">
        <v>0</v>
      </c>
      <c r="AE236" s="847">
        <v>0</v>
      </c>
      <c r="AF236" s="847">
        <v>0</v>
      </c>
      <c r="AG236" s="847">
        <v>0</v>
      </c>
      <c r="AH236" s="847">
        <v>0</v>
      </c>
      <c r="AI236" s="847">
        <v>0</v>
      </c>
      <c r="AJ236" s="847">
        <v>0</v>
      </c>
      <c r="AK236" s="847">
        <v>0</v>
      </c>
      <c r="AL236" s="847">
        <v>0</v>
      </c>
      <c r="AM236" s="847">
        <v>0</v>
      </c>
      <c r="AN236" s="847">
        <v>0</v>
      </c>
      <c r="AO236" s="847">
        <v>0</v>
      </c>
      <c r="AP236" s="847">
        <v>0</v>
      </c>
      <c r="AQ236" s="847">
        <v>0</v>
      </c>
      <c r="AR236" s="847">
        <v>0</v>
      </c>
      <c r="AS236" s="847">
        <v>0</v>
      </c>
      <c r="AT236" s="847">
        <v>0</v>
      </c>
      <c r="AU236" s="847">
        <v>0</v>
      </c>
      <c r="AV236" s="847">
        <v>0</v>
      </c>
      <c r="AW236" s="847">
        <v>0</v>
      </c>
      <c r="AX236" s="847">
        <v>0</v>
      </c>
      <c r="AY236" s="847">
        <v>0</v>
      </c>
      <c r="AZ236" s="847">
        <v>0</v>
      </c>
      <c r="BA236" s="847">
        <v>0</v>
      </c>
      <c r="BB236" s="847">
        <v>0</v>
      </c>
      <c r="BC236" s="847">
        <v>0</v>
      </c>
      <c r="BD236" s="847">
        <v>0</v>
      </c>
      <c r="BE236" s="847">
        <v>0</v>
      </c>
      <c r="BF236" s="847">
        <v>0</v>
      </c>
      <c r="BG236" s="847">
        <v>0</v>
      </c>
      <c r="BH236" s="847">
        <v>0</v>
      </c>
      <c r="BI236" s="847">
        <v>0</v>
      </c>
      <c r="BJ236" s="847">
        <v>0</v>
      </c>
      <c r="BK236" s="847">
        <v>0</v>
      </c>
      <c r="BL236" s="847">
        <v>0</v>
      </c>
      <c r="BM236" s="847">
        <v>0</v>
      </c>
      <c r="BN236" s="847">
        <v>0</v>
      </c>
      <c r="BO236" s="847">
        <v>0</v>
      </c>
      <c r="BP236" s="847">
        <v>0</v>
      </c>
      <c r="BQ236" s="847">
        <v>0</v>
      </c>
      <c r="BR236" s="847">
        <v>0</v>
      </c>
      <c r="BS236" s="847">
        <v>0</v>
      </c>
      <c r="BT236" s="847">
        <v>0</v>
      </c>
      <c r="BU236" s="847">
        <v>0</v>
      </c>
      <c r="BV236" s="847">
        <v>0</v>
      </c>
      <c r="BW236" s="847">
        <v>0</v>
      </c>
      <c r="BX236" s="847">
        <v>0</v>
      </c>
      <c r="BY236" s="847">
        <v>0</v>
      </c>
      <c r="BZ236" s="847">
        <v>0</v>
      </c>
      <c r="CA236" s="847">
        <v>0</v>
      </c>
      <c r="CB236" s="847">
        <v>0</v>
      </c>
      <c r="CC236" s="847">
        <v>0</v>
      </c>
      <c r="CD236" s="847">
        <v>0</v>
      </c>
      <c r="CE236" s="847">
        <v>0</v>
      </c>
      <c r="CF236" s="847">
        <v>0</v>
      </c>
      <c r="CG236" s="847">
        <v>0</v>
      </c>
      <c r="CH236" s="847">
        <v>0</v>
      </c>
      <c r="CI236" s="847">
        <v>0</v>
      </c>
      <c r="CJ236" s="847">
        <v>0</v>
      </c>
      <c r="CK236" s="847">
        <v>0</v>
      </c>
      <c r="CL236" s="847">
        <v>0</v>
      </c>
      <c r="CM236" s="847">
        <v>0</v>
      </c>
      <c r="CN236" s="847">
        <v>0</v>
      </c>
      <c r="CO236" s="847">
        <v>0</v>
      </c>
      <c r="CP236" s="847">
        <v>0</v>
      </c>
      <c r="CQ236" s="847">
        <v>0</v>
      </c>
      <c r="CR236" s="847">
        <v>0</v>
      </c>
      <c r="CS236" s="847">
        <v>0</v>
      </c>
      <c r="CT236" s="847">
        <v>0</v>
      </c>
      <c r="CU236" s="847">
        <v>0</v>
      </c>
      <c r="CV236" s="847">
        <v>0</v>
      </c>
      <c r="CW236" s="847">
        <v>0</v>
      </c>
      <c r="CX236" s="847">
        <v>0</v>
      </c>
      <c r="CY236" s="847">
        <v>0</v>
      </c>
      <c r="CZ236" s="847">
        <v>0</v>
      </c>
      <c r="DA236" s="847">
        <v>0</v>
      </c>
      <c r="DB236" s="847">
        <v>0</v>
      </c>
      <c r="DC236" s="847">
        <v>0</v>
      </c>
      <c r="DD236" s="847">
        <v>0</v>
      </c>
      <c r="DE236" s="847">
        <v>0</v>
      </c>
      <c r="DF236" s="847">
        <v>0</v>
      </c>
      <c r="DG236" s="847">
        <v>0</v>
      </c>
      <c r="DH236" s="847">
        <v>0</v>
      </c>
      <c r="DI236" s="847">
        <v>0</v>
      </c>
      <c r="DJ236" s="847">
        <v>0</v>
      </c>
      <c r="DK236" s="847">
        <v>0</v>
      </c>
      <c r="DL236" s="847">
        <v>0</v>
      </c>
      <c r="DM236" s="847">
        <v>0</v>
      </c>
      <c r="DN236" s="847">
        <v>0</v>
      </c>
      <c r="DO236" s="847">
        <v>0</v>
      </c>
      <c r="DP236" s="847">
        <v>0</v>
      </c>
      <c r="DQ236" s="847">
        <v>0</v>
      </c>
      <c r="DR236" s="847">
        <v>0</v>
      </c>
      <c r="DS236" s="847">
        <v>0</v>
      </c>
      <c r="DT236" s="847">
        <v>0</v>
      </c>
      <c r="DU236" s="847">
        <v>0</v>
      </c>
      <c r="DV236" s="847">
        <v>155600</v>
      </c>
      <c r="DW236" s="847">
        <v>0</v>
      </c>
      <c r="DY236" s="843" t="s">
        <v>1060</v>
      </c>
      <c r="DZ236" s="843" t="s">
        <v>1382</v>
      </c>
      <c r="EA236" s="843" t="s">
        <v>97</v>
      </c>
      <c r="EB236" s="844">
        <v>1</v>
      </c>
      <c r="EC236" s="780" t="str">
        <f t="shared" si="9"/>
        <v>IWT060201</v>
      </c>
      <c r="ED236" s="844">
        <v>4289</v>
      </c>
      <c r="EE236" s="844">
        <v>8578</v>
      </c>
      <c r="EF236" s="844">
        <v>12867</v>
      </c>
      <c r="EG236" s="844">
        <v>17156</v>
      </c>
      <c r="EH236" s="844">
        <v>21445</v>
      </c>
      <c r="EI236" s="844">
        <v>25734</v>
      </c>
      <c r="EJ236" s="844">
        <v>25734</v>
      </c>
      <c r="EK236" s="844">
        <v>25734</v>
      </c>
      <c r="EL236" s="844">
        <v>25734</v>
      </c>
      <c r="EM236" s="844">
        <v>25734</v>
      </c>
      <c r="EN236" s="844">
        <v>25734</v>
      </c>
      <c r="EO236" s="844">
        <v>25734</v>
      </c>
      <c r="EP236" s="844">
        <v>25734</v>
      </c>
      <c r="EQ236" s="844">
        <v>25734</v>
      </c>
      <c r="ER236" s="844">
        <v>25734</v>
      </c>
      <c r="ES236" s="844">
        <v>31262</v>
      </c>
      <c r="ET236" s="844">
        <v>31888</v>
      </c>
      <c r="EU236" s="844">
        <v>32525</v>
      </c>
      <c r="EV236" s="844">
        <v>33176</v>
      </c>
      <c r="EW236" s="844">
        <v>33839</v>
      </c>
      <c r="EX236" s="844">
        <v>34516</v>
      </c>
      <c r="EY236" s="844">
        <v>35207</v>
      </c>
      <c r="EZ236" s="844">
        <v>35911</v>
      </c>
      <c r="FA236" s="844">
        <v>36629</v>
      </c>
      <c r="FB236" s="844">
        <v>37361</v>
      </c>
      <c r="FC236" s="844">
        <v>38109</v>
      </c>
      <c r="FD236" s="844">
        <v>39400</v>
      </c>
      <c r="FE236" s="844">
        <v>40800</v>
      </c>
      <c r="FF236" s="844">
        <v>42200</v>
      </c>
      <c r="FG236" s="844">
        <v>43600</v>
      </c>
      <c r="FH236" s="844">
        <v>45000</v>
      </c>
      <c r="FI236" s="844">
        <v>46400</v>
      </c>
      <c r="FJ236" s="844">
        <v>47800</v>
      </c>
      <c r="FK236" s="844">
        <v>49200</v>
      </c>
      <c r="FL236" s="844">
        <v>50600</v>
      </c>
      <c r="FM236" s="844">
        <v>52000</v>
      </c>
      <c r="FN236" s="844">
        <v>53400</v>
      </c>
      <c r="FO236" s="844">
        <v>54800</v>
      </c>
      <c r="FP236" s="844">
        <v>56200</v>
      </c>
      <c r="FQ236" s="844">
        <v>57600</v>
      </c>
      <c r="FR236" s="844">
        <v>59000</v>
      </c>
      <c r="FS236" s="844">
        <v>60400</v>
      </c>
      <c r="FT236" s="844">
        <v>61800</v>
      </c>
      <c r="FU236" s="844">
        <v>63200</v>
      </c>
      <c r="FV236" s="844">
        <v>64600</v>
      </c>
      <c r="FW236" s="844">
        <v>66000</v>
      </c>
      <c r="FX236" s="844">
        <v>67400</v>
      </c>
      <c r="FY236" s="844">
        <v>68800</v>
      </c>
      <c r="FZ236" s="844">
        <v>70200</v>
      </c>
      <c r="GA236" s="844">
        <v>71600</v>
      </c>
      <c r="GB236" s="844">
        <v>73000</v>
      </c>
      <c r="GC236" s="844">
        <v>74400</v>
      </c>
      <c r="GD236" s="844">
        <v>75800</v>
      </c>
      <c r="GE236" s="844">
        <v>77200</v>
      </c>
      <c r="GF236" s="844">
        <v>78600</v>
      </c>
      <c r="GG236" s="844">
        <v>80000</v>
      </c>
      <c r="GH236" s="844">
        <v>81400</v>
      </c>
      <c r="GI236" s="844">
        <v>82800</v>
      </c>
      <c r="GJ236" s="844">
        <v>84200</v>
      </c>
      <c r="GK236" s="844">
        <v>85600</v>
      </c>
      <c r="GL236" s="844">
        <v>87000</v>
      </c>
      <c r="GM236" s="844">
        <v>88400</v>
      </c>
      <c r="GN236" s="844">
        <v>89800</v>
      </c>
      <c r="GO236" s="844">
        <v>91200</v>
      </c>
      <c r="GP236" s="844">
        <v>92600</v>
      </c>
      <c r="GQ236" s="844">
        <v>94000</v>
      </c>
      <c r="GR236" s="844">
        <v>95400</v>
      </c>
      <c r="GS236" s="844">
        <v>96800</v>
      </c>
      <c r="GT236" s="844">
        <v>98200</v>
      </c>
      <c r="GU236" s="844">
        <v>99600</v>
      </c>
      <c r="GV236" s="844">
        <v>101000</v>
      </c>
      <c r="GW236" s="844">
        <v>102400</v>
      </c>
      <c r="GX236" s="844">
        <v>103800</v>
      </c>
      <c r="GY236" s="844">
        <v>105200</v>
      </c>
      <c r="GZ236" s="844">
        <v>106600</v>
      </c>
      <c r="HA236" s="844">
        <v>108000</v>
      </c>
      <c r="HB236" s="844">
        <v>109400</v>
      </c>
      <c r="HC236" s="844">
        <v>110800</v>
      </c>
      <c r="HD236" s="844">
        <v>112200</v>
      </c>
      <c r="HE236" s="844">
        <v>113600</v>
      </c>
      <c r="HF236" s="844">
        <v>115000</v>
      </c>
      <c r="HG236" s="844">
        <v>116400</v>
      </c>
      <c r="HH236" s="844">
        <v>117800</v>
      </c>
      <c r="HI236" s="844">
        <v>119200</v>
      </c>
      <c r="HJ236" s="844">
        <v>120600</v>
      </c>
      <c r="HK236" s="844">
        <v>122000</v>
      </c>
      <c r="HL236" s="844">
        <v>123400</v>
      </c>
      <c r="HM236" s="844">
        <v>124800</v>
      </c>
      <c r="HN236" s="844">
        <v>126200</v>
      </c>
      <c r="HO236" s="844">
        <v>127600</v>
      </c>
      <c r="HP236" s="844">
        <v>129000</v>
      </c>
      <c r="HQ236" s="844">
        <v>130400</v>
      </c>
      <c r="HR236" s="844">
        <v>131800</v>
      </c>
      <c r="HS236" s="844">
        <v>133200</v>
      </c>
      <c r="HT236" s="844">
        <v>134600</v>
      </c>
      <c r="HU236" s="844">
        <v>136000</v>
      </c>
      <c r="HV236" s="844">
        <v>137400</v>
      </c>
      <c r="HW236" s="844">
        <v>138800</v>
      </c>
      <c r="HX236" s="844">
        <v>140200</v>
      </c>
      <c r="HY236" s="844">
        <v>141600</v>
      </c>
      <c r="HZ236" s="844">
        <v>143000</v>
      </c>
      <c r="IA236" s="844">
        <v>144400</v>
      </c>
      <c r="IB236" s="844">
        <v>145800</v>
      </c>
      <c r="IC236" s="844">
        <v>147200</v>
      </c>
      <c r="ID236" s="844">
        <v>148600</v>
      </c>
      <c r="IE236" s="844">
        <v>150000</v>
      </c>
      <c r="IF236" s="844">
        <v>151400</v>
      </c>
      <c r="IG236" s="844">
        <v>152800</v>
      </c>
      <c r="IH236" s="844">
        <v>154200</v>
      </c>
      <c r="II236" s="844">
        <v>155600</v>
      </c>
      <c r="IJ236" s="844">
        <v>0</v>
      </c>
    </row>
    <row r="237" spans="9:244" hidden="1">
      <c r="I237" s="156"/>
      <c r="L237" s="846" t="s">
        <v>1060</v>
      </c>
      <c r="M237" s="846" t="s">
        <v>1382</v>
      </c>
      <c r="N237" s="846" t="s">
        <v>97</v>
      </c>
      <c r="O237" s="847">
        <v>2</v>
      </c>
      <c r="P237" s="780" t="str">
        <f t="shared" si="8"/>
        <v>IWT060202</v>
      </c>
      <c r="Q237" s="847">
        <v>0</v>
      </c>
      <c r="R237" s="847">
        <v>0</v>
      </c>
      <c r="S237" s="847">
        <v>0</v>
      </c>
      <c r="T237" s="847">
        <v>0</v>
      </c>
      <c r="U237" s="847">
        <v>0</v>
      </c>
      <c r="V237" s="847">
        <v>0</v>
      </c>
      <c r="W237" s="847">
        <v>0</v>
      </c>
      <c r="X237" s="847">
        <v>0</v>
      </c>
      <c r="Y237" s="847">
        <v>0</v>
      </c>
      <c r="Z237" s="847">
        <v>0</v>
      </c>
      <c r="AA237" s="847">
        <v>0</v>
      </c>
      <c r="AB237" s="847">
        <v>0</v>
      </c>
      <c r="AC237" s="847">
        <v>0</v>
      </c>
      <c r="AD237" s="847">
        <v>0</v>
      </c>
      <c r="AE237" s="847">
        <v>0</v>
      </c>
      <c r="AF237" s="847">
        <v>0</v>
      </c>
      <c r="AG237" s="847">
        <v>0</v>
      </c>
      <c r="AH237" s="847">
        <v>0</v>
      </c>
      <c r="AI237" s="847">
        <v>0</v>
      </c>
      <c r="AJ237" s="847">
        <v>0</v>
      </c>
      <c r="AK237" s="847">
        <v>0</v>
      </c>
      <c r="AL237" s="847">
        <v>0</v>
      </c>
      <c r="AM237" s="847">
        <v>0</v>
      </c>
      <c r="AN237" s="847">
        <v>0</v>
      </c>
      <c r="AO237" s="847">
        <v>0</v>
      </c>
      <c r="AP237" s="847">
        <v>0</v>
      </c>
      <c r="AQ237" s="847">
        <v>0</v>
      </c>
      <c r="AR237" s="847">
        <v>0</v>
      </c>
      <c r="AS237" s="847">
        <v>0</v>
      </c>
      <c r="AT237" s="847">
        <v>0</v>
      </c>
      <c r="AU237" s="847">
        <v>0</v>
      </c>
      <c r="AV237" s="847">
        <v>0</v>
      </c>
      <c r="AW237" s="847">
        <v>0</v>
      </c>
      <c r="AX237" s="847">
        <v>0</v>
      </c>
      <c r="AY237" s="847">
        <v>0</v>
      </c>
      <c r="AZ237" s="847">
        <v>0</v>
      </c>
      <c r="BA237" s="847">
        <v>0</v>
      </c>
      <c r="BB237" s="847">
        <v>0</v>
      </c>
      <c r="BC237" s="847">
        <v>0</v>
      </c>
      <c r="BD237" s="847">
        <v>0</v>
      </c>
      <c r="BE237" s="847">
        <v>0</v>
      </c>
      <c r="BF237" s="847">
        <v>0</v>
      </c>
      <c r="BG237" s="847">
        <v>0</v>
      </c>
      <c r="BH237" s="847">
        <v>0</v>
      </c>
      <c r="BI237" s="847">
        <v>0</v>
      </c>
      <c r="BJ237" s="847">
        <v>0</v>
      </c>
      <c r="BK237" s="847">
        <v>0</v>
      </c>
      <c r="BL237" s="847">
        <v>0</v>
      </c>
      <c r="BM237" s="847">
        <v>0</v>
      </c>
      <c r="BN237" s="847">
        <v>0</v>
      </c>
      <c r="BO237" s="847">
        <v>0</v>
      </c>
      <c r="BP237" s="847">
        <v>0</v>
      </c>
      <c r="BQ237" s="847">
        <v>0</v>
      </c>
      <c r="BR237" s="847">
        <v>0</v>
      </c>
      <c r="BS237" s="847">
        <v>0</v>
      </c>
      <c r="BT237" s="847">
        <v>0</v>
      </c>
      <c r="BU237" s="847">
        <v>0</v>
      </c>
      <c r="BV237" s="847">
        <v>0</v>
      </c>
      <c r="BW237" s="847">
        <v>0</v>
      </c>
      <c r="BX237" s="847">
        <v>0</v>
      </c>
      <c r="BY237" s="847">
        <v>0</v>
      </c>
      <c r="BZ237" s="847">
        <v>0</v>
      </c>
      <c r="CA237" s="847">
        <v>0</v>
      </c>
      <c r="CB237" s="847">
        <v>0</v>
      </c>
      <c r="CC237" s="847">
        <v>0</v>
      </c>
      <c r="CD237" s="847">
        <v>0</v>
      </c>
      <c r="CE237" s="847">
        <v>0</v>
      </c>
      <c r="CF237" s="847">
        <v>0</v>
      </c>
      <c r="CG237" s="847">
        <v>0</v>
      </c>
      <c r="CH237" s="847">
        <v>0</v>
      </c>
      <c r="CI237" s="847">
        <v>0</v>
      </c>
      <c r="CJ237" s="847">
        <v>0</v>
      </c>
      <c r="CK237" s="847">
        <v>0</v>
      </c>
      <c r="CL237" s="847">
        <v>0</v>
      </c>
      <c r="CM237" s="847">
        <v>0</v>
      </c>
      <c r="CN237" s="847">
        <v>0</v>
      </c>
      <c r="CO237" s="847">
        <v>0</v>
      </c>
      <c r="CP237" s="847">
        <v>0</v>
      </c>
      <c r="CQ237" s="847">
        <v>0</v>
      </c>
      <c r="CR237" s="847">
        <v>0</v>
      </c>
      <c r="CS237" s="847">
        <v>0</v>
      </c>
      <c r="CT237" s="847">
        <v>0</v>
      </c>
      <c r="CU237" s="847">
        <v>0</v>
      </c>
      <c r="CV237" s="847">
        <v>0</v>
      </c>
      <c r="CW237" s="847">
        <v>0</v>
      </c>
      <c r="CX237" s="847">
        <v>0</v>
      </c>
      <c r="CY237" s="847">
        <v>0</v>
      </c>
      <c r="CZ237" s="847">
        <v>0</v>
      </c>
      <c r="DA237" s="847">
        <v>0</v>
      </c>
      <c r="DB237" s="847">
        <v>0</v>
      </c>
      <c r="DC237" s="847">
        <v>0</v>
      </c>
      <c r="DD237" s="847">
        <v>0</v>
      </c>
      <c r="DE237" s="847">
        <v>0</v>
      </c>
      <c r="DF237" s="847">
        <v>0</v>
      </c>
      <c r="DG237" s="847">
        <v>0</v>
      </c>
      <c r="DH237" s="847">
        <v>0</v>
      </c>
      <c r="DI237" s="847">
        <v>0</v>
      </c>
      <c r="DJ237" s="847">
        <v>0</v>
      </c>
      <c r="DK237" s="847">
        <v>0</v>
      </c>
      <c r="DL237" s="847">
        <v>0</v>
      </c>
      <c r="DM237" s="847">
        <v>0</v>
      </c>
      <c r="DN237" s="847">
        <v>0</v>
      </c>
      <c r="DO237" s="847">
        <v>0</v>
      </c>
      <c r="DP237" s="847">
        <v>0</v>
      </c>
      <c r="DQ237" s="847">
        <v>0</v>
      </c>
      <c r="DR237" s="847">
        <v>0</v>
      </c>
      <c r="DS237" s="847">
        <v>0</v>
      </c>
      <c r="DT237" s="847">
        <v>0</v>
      </c>
      <c r="DU237" s="847">
        <v>154200</v>
      </c>
      <c r="DV237" s="847">
        <v>0</v>
      </c>
      <c r="DW237" s="847">
        <v>0</v>
      </c>
      <c r="DY237" s="843" t="s">
        <v>1060</v>
      </c>
      <c r="DZ237" s="843" t="s">
        <v>1382</v>
      </c>
      <c r="EA237" s="843" t="s">
        <v>97</v>
      </c>
      <c r="EB237" s="844">
        <v>2</v>
      </c>
      <c r="EC237" s="780" t="str">
        <f t="shared" si="9"/>
        <v>IWT060202</v>
      </c>
      <c r="ED237" s="844">
        <v>4321</v>
      </c>
      <c r="EE237" s="844">
        <v>8642</v>
      </c>
      <c r="EF237" s="844">
        <v>12963</v>
      </c>
      <c r="EG237" s="844">
        <v>17284</v>
      </c>
      <c r="EH237" s="844">
        <v>21605</v>
      </c>
      <c r="EI237" s="844">
        <v>25926</v>
      </c>
      <c r="EJ237" s="844">
        <v>25926</v>
      </c>
      <c r="EK237" s="844">
        <v>25926</v>
      </c>
      <c r="EL237" s="844">
        <v>25926</v>
      </c>
      <c r="EM237" s="844">
        <v>25926</v>
      </c>
      <c r="EN237" s="844">
        <v>25926</v>
      </c>
      <c r="EO237" s="844">
        <v>25926</v>
      </c>
      <c r="EP237" s="844">
        <v>25926</v>
      </c>
      <c r="EQ237" s="844">
        <v>25926</v>
      </c>
      <c r="ER237" s="844">
        <v>30876</v>
      </c>
      <c r="ES237" s="844">
        <v>31493</v>
      </c>
      <c r="ET237" s="844">
        <v>32123</v>
      </c>
      <c r="EU237" s="844">
        <v>32766</v>
      </c>
      <c r="EV237" s="844">
        <v>33421</v>
      </c>
      <c r="EW237" s="844">
        <v>34089</v>
      </c>
      <c r="EX237" s="844">
        <v>34771</v>
      </c>
      <c r="EY237" s="844">
        <v>35467</v>
      </c>
      <c r="EZ237" s="844">
        <v>36176</v>
      </c>
      <c r="FA237" s="844">
        <v>36899</v>
      </c>
      <c r="FB237" s="844">
        <v>37637</v>
      </c>
      <c r="FC237" s="844">
        <v>38390</v>
      </c>
      <c r="FD237" s="844">
        <v>39400</v>
      </c>
      <c r="FE237" s="844">
        <v>40800</v>
      </c>
      <c r="FF237" s="844">
        <v>42200</v>
      </c>
      <c r="FG237" s="844">
        <v>43600</v>
      </c>
      <c r="FH237" s="844">
        <v>45000</v>
      </c>
      <c r="FI237" s="844">
        <v>46400</v>
      </c>
      <c r="FJ237" s="844">
        <v>47800</v>
      </c>
      <c r="FK237" s="844">
        <v>49200</v>
      </c>
      <c r="FL237" s="844">
        <v>50600</v>
      </c>
      <c r="FM237" s="844">
        <v>52000</v>
      </c>
      <c r="FN237" s="844">
        <v>53400</v>
      </c>
      <c r="FO237" s="844">
        <v>54800</v>
      </c>
      <c r="FP237" s="844">
        <v>56200</v>
      </c>
      <c r="FQ237" s="844">
        <v>57600</v>
      </c>
      <c r="FR237" s="844">
        <v>59000</v>
      </c>
      <c r="FS237" s="844">
        <v>60400</v>
      </c>
      <c r="FT237" s="844">
        <v>61800</v>
      </c>
      <c r="FU237" s="844">
        <v>63200</v>
      </c>
      <c r="FV237" s="844">
        <v>64600</v>
      </c>
      <c r="FW237" s="844">
        <v>66000</v>
      </c>
      <c r="FX237" s="844">
        <v>67400</v>
      </c>
      <c r="FY237" s="844">
        <v>68800</v>
      </c>
      <c r="FZ237" s="844">
        <v>70200</v>
      </c>
      <c r="GA237" s="844">
        <v>71600</v>
      </c>
      <c r="GB237" s="844">
        <v>73000</v>
      </c>
      <c r="GC237" s="844">
        <v>74400</v>
      </c>
      <c r="GD237" s="844">
        <v>75800</v>
      </c>
      <c r="GE237" s="844">
        <v>77200</v>
      </c>
      <c r="GF237" s="844">
        <v>78600</v>
      </c>
      <c r="GG237" s="844">
        <v>80000</v>
      </c>
      <c r="GH237" s="844">
        <v>81400</v>
      </c>
      <c r="GI237" s="844">
        <v>82800</v>
      </c>
      <c r="GJ237" s="844">
        <v>84200</v>
      </c>
      <c r="GK237" s="844">
        <v>85600</v>
      </c>
      <c r="GL237" s="844">
        <v>87000</v>
      </c>
      <c r="GM237" s="844">
        <v>88400</v>
      </c>
      <c r="GN237" s="844">
        <v>89800</v>
      </c>
      <c r="GO237" s="844">
        <v>91200</v>
      </c>
      <c r="GP237" s="844">
        <v>92600</v>
      </c>
      <c r="GQ237" s="844">
        <v>94000</v>
      </c>
      <c r="GR237" s="844">
        <v>95400</v>
      </c>
      <c r="GS237" s="844">
        <v>96800</v>
      </c>
      <c r="GT237" s="844">
        <v>98200</v>
      </c>
      <c r="GU237" s="844">
        <v>99600</v>
      </c>
      <c r="GV237" s="844">
        <v>101000</v>
      </c>
      <c r="GW237" s="844">
        <v>102400</v>
      </c>
      <c r="GX237" s="844">
        <v>103800</v>
      </c>
      <c r="GY237" s="844">
        <v>105200</v>
      </c>
      <c r="GZ237" s="844">
        <v>106600</v>
      </c>
      <c r="HA237" s="844">
        <v>108000</v>
      </c>
      <c r="HB237" s="844">
        <v>109400</v>
      </c>
      <c r="HC237" s="844">
        <v>110800</v>
      </c>
      <c r="HD237" s="844">
        <v>112200</v>
      </c>
      <c r="HE237" s="844">
        <v>113600</v>
      </c>
      <c r="HF237" s="844">
        <v>115000</v>
      </c>
      <c r="HG237" s="844">
        <v>116400</v>
      </c>
      <c r="HH237" s="844">
        <v>117800</v>
      </c>
      <c r="HI237" s="844">
        <v>119200</v>
      </c>
      <c r="HJ237" s="844">
        <v>120600</v>
      </c>
      <c r="HK237" s="844">
        <v>122000</v>
      </c>
      <c r="HL237" s="844">
        <v>123400</v>
      </c>
      <c r="HM237" s="844">
        <v>124800</v>
      </c>
      <c r="HN237" s="844">
        <v>126200</v>
      </c>
      <c r="HO237" s="844">
        <v>127600</v>
      </c>
      <c r="HP237" s="844">
        <v>129000</v>
      </c>
      <c r="HQ237" s="844">
        <v>130400</v>
      </c>
      <c r="HR237" s="844">
        <v>131800</v>
      </c>
      <c r="HS237" s="844">
        <v>133200</v>
      </c>
      <c r="HT237" s="844">
        <v>134600</v>
      </c>
      <c r="HU237" s="844">
        <v>136000</v>
      </c>
      <c r="HV237" s="844">
        <v>137400</v>
      </c>
      <c r="HW237" s="844">
        <v>138800</v>
      </c>
      <c r="HX237" s="844">
        <v>140200</v>
      </c>
      <c r="HY237" s="844">
        <v>141600</v>
      </c>
      <c r="HZ237" s="844">
        <v>143000</v>
      </c>
      <c r="IA237" s="844">
        <v>144400</v>
      </c>
      <c r="IB237" s="844">
        <v>145800</v>
      </c>
      <c r="IC237" s="844">
        <v>147200</v>
      </c>
      <c r="ID237" s="844">
        <v>148600</v>
      </c>
      <c r="IE237" s="844">
        <v>150000</v>
      </c>
      <c r="IF237" s="844">
        <v>151400</v>
      </c>
      <c r="IG237" s="844">
        <v>152800</v>
      </c>
      <c r="IH237" s="844">
        <v>154200</v>
      </c>
      <c r="II237" s="844">
        <v>0</v>
      </c>
      <c r="IJ237" s="844">
        <v>0</v>
      </c>
    </row>
    <row r="238" spans="9:244" hidden="1">
      <c r="I238" s="156"/>
      <c r="L238" s="846" t="s">
        <v>1060</v>
      </c>
      <c r="M238" s="846" t="s">
        <v>1382</v>
      </c>
      <c r="N238" s="846" t="s">
        <v>97</v>
      </c>
      <c r="O238" s="847">
        <v>3</v>
      </c>
      <c r="P238" s="780" t="str">
        <f t="shared" si="8"/>
        <v>IWT060203</v>
      </c>
      <c r="Q238" s="847">
        <v>0</v>
      </c>
      <c r="R238" s="847">
        <v>0</v>
      </c>
      <c r="S238" s="847">
        <v>0</v>
      </c>
      <c r="T238" s="847">
        <v>0</v>
      </c>
      <c r="U238" s="847">
        <v>0</v>
      </c>
      <c r="V238" s="847">
        <v>0</v>
      </c>
      <c r="W238" s="847">
        <v>0</v>
      </c>
      <c r="X238" s="847">
        <v>0</v>
      </c>
      <c r="Y238" s="847">
        <v>0</v>
      </c>
      <c r="Z238" s="847">
        <v>0</v>
      </c>
      <c r="AA238" s="847">
        <v>0</v>
      </c>
      <c r="AB238" s="847">
        <v>0</v>
      </c>
      <c r="AC238" s="847">
        <v>0</v>
      </c>
      <c r="AD238" s="847">
        <v>0</v>
      </c>
      <c r="AE238" s="847">
        <v>0</v>
      </c>
      <c r="AF238" s="847">
        <v>0</v>
      </c>
      <c r="AG238" s="847">
        <v>0</v>
      </c>
      <c r="AH238" s="847">
        <v>0</v>
      </c>
      <c r="AI238" s="847">
        <v>0</v>
      </c>
      <c r="AJ238" s="847">
        <v>0</v>
      </c>
      <c r="AK238" s="847">
        <v>0</v>
      </c>
      <c r="AL238" s="847">
        <v>0</v>
      </c>
      <c r="AM238" s="847">
        <v>0</v>
      </c>
      <c r="AN238" s="847">
        <v>0</v>
      </c>
      <c r="AO238" s="847">
        <v>0</v>
      </c>
      <c r="AP238" s="847">
        <v>0</v>
      </c>
      <c r="AQ238" s="847">
        <v>0</v>
      </c>
      <c r="AR238" s="847">
        <v>0</v>
      </c>
      <c r="AS238" s="847">
        <v>0</v>
      </c>
      <c r="AT238" s="847">
        <v>0</v>
      </c>
      <c r="AU238" s="847">
        <v>0</v>
      </c>
      <c r="AV238" s="847">
        <v>0</v>
      </c>
      <c r="AW238" s="847">
        <v>0</v>
      </c>
      <c r="AX238" s="847">
        <v>0</v>
      </c>
      <c r="AY238" s="847">
        <v>0</v>
      </c>
      <c r="AZ238" s="847">
        <v>0</v>
      </c>
      <c r="BA238" s="847">
        <v>0</v>
      </c>
      <c r="BB238" s="847">
        <v>0</v>
      </c>
      <c r="BC238" s="847">
        <v>0</v>
      </c>
      <c r="BD238" s="847">
        <v>0</v>
      </c>
      <c r="BE238" s="847">
        <v>0</v>
      </c>
      <c r="BF238" s="847">
        <v>0</v>
      </c>
      <c r="BG238" s="847">
        <v>0</v>
      </c>
      <c r="BH238" s="847">
        <v>0</v>
      </c>
      <c r="BI238" s="847">
        <v>0</v>
      </c>
      <c r="BJ238" s="847">
        <v>0</v>
      </c>
      <c r="BK238" s="847">
        <v>0</v>
      </c>
      <c r="BL238" s="847">
        <v>0</v>
      </c>
      <c r="BM238" s="847">
        <v>0</v>
      </c>
      <c r="BN238" s="847">
        <v>0</v>
      </c>
      <c r="BO238" s="847">
        <v>0</v>
      </c>
      <c r="BP238" s="847">
        <v>0</v>
      </c>
      <c r="BQ238" s="847">
        <v>0</v>
      </c>
      <c r="BR238" s="847">
        <v>0</v>
      </c>
      <c r="BS238" s="847">
        <v>0</v>
      </c>
      <c r="BT238" s="847">
        <v>0</v>
      </c>
      <c r="BU238" s="847">
        <v>0</v>
      </c>
      <c r="BV238" s="847">
        <v>0</v>
      </c>
      <c r="BW238" s="847">
        <v>0</v>
      </c>
      <c r="BX238" s="847">
        <v>0</v>
      </c>
      <c r="BY238" s="847">
        <v>0</v>
      </c>
      <c r="BZ238" s="847">
        <v>0</v>
      </c>
      <c r="CA238" s="847">
        <v>0</v>
      </c>
      <c r="CB238" s="847">
        <v>0</v>
      </c>
      <c r="CC238" s="847">
        <v>0</v>
      </c>
      <c r="CD238" s="847">
        <v>0</v>
      </c>
      <c r="CE238" s="847">
        <v>0</v>
      </c>
      <c r="CF238" s="847">
        <v>0</v>
      </c>
      <c r="CG238" s="847">
        <v>0</v>
      </c>
      <c r="CH238" s="847">
        <v>0</v>
      </c>
      <c r="CI238" s="847">
        <v>0</v>
      </c>
      <c r="CJ238" s="847">
        <v>0</v>
      </c>
      <c r="CK238" s="847">
        <v>0</v>
      </c>
      <c r="CL238" s="847">
        <v>0</v>
      </c>
      <c r="CM238" s="847">
        <v>0</v>
      </c>
      <c r="CN238" s="847">
        <v>0</v>
      </c>
      <c r="CO238" s="847">
        <v>0</v>
      </c>
      <c r="CP238" s="847">
        <v>0</v>
      </c>
      <c r="CQ238" s="847">
        <v>0</v>
      </c>
      <c r="CR238" s="847">
        <v>0</v>
      </c>
      <c r="CS238" s="847">
        <v>0</v>
      </c>
      <c r="CT238" s="847">
        <v>0</v>
      </c>
      <c r="CU238" s="847">
        <v>0</v>
      </c>
      <c r="CV238" s="847">
        <v>0</v>
      </c>
      <c r="CW238" s="847">
        <v>0</v>
      </c>
      <c r="CX238" s="847">
        <v>0</v>
      </c>
      <c r="CY238" s="847">
        <v>0</v>
      </c>
      <c r="CZ238" s="847">
        <v>0</v>
      </c>
      <c r="DA238" s="847">
        <v>0</v>
      </c>
      <c r="DB238" s="847">
        <v>0</v>
      </c>
      <c r="DC238" s="847">
        <v>0</v>
      </c>
      <c r="DD238" s="847">
        <v>0</v>
      </c>
      <c r="DE238" s="847">
        <v>0</v>
      </c>
      <c r="DF238" s="847">
        <v>0</v>
      </c>
      <c r="DG238" s="847">
        <v>0</v>
      </c>
      <c r="DH238" s="847">
        <v>0</v>
      </c>
      <c r="DI238" s="847">
        <v>0</v>
      </c>
      <c r="DJ238" s="847">
        <v>0</v>
      </c>
      <c r="DK238" s="847">
        <v>0</v>
      </c>
      <c r="DL238" s="847">
        <v>0</v>
      </c>
      <c r="DM238" s="847">
        <v>0</v>
      </c>
      <c r="DN238" s="847">
        <v>0</v>
      </c>
      <c r="DO238" s="847">
        <v>0</v>
      </c>
      <c r="DP238" s="847">
        <v>0</v>
      </c>
      <c r="DQ238" s="847">
        <v>0</v>
      </c>
      <c r="DR238" s="847">
        <v>0</v>
      </c>
      <c r="DS238" s="847">
        <v>0</v>
      </c>
      <c r="DT238" s="847">
        <v>152800</v>
      </c>
      <c r="DU238" s="847">
        <v>0</v>
      </c>
      <c r="DV238" s="847">
        <v>0</v>
      </c>
      <c r="DW238" s="847">
        <v>0</v>
      </c>
      <c r="DY238" s="843" t="s">
        <v>1060</v>
      </c>
      <c r="DZ238" s="843" t="s">
        <v>1382</v>
      </c>
      <c r="EA238" s="843" t="s">
        <v>97</v>
      </c>
      <c r="EB238" s="844">
        <v>3</v>
      </c>
      <c r="EC238" s="780" t="str">
        <f t="shared" si="9"/>
        <v>IWT060203</v>
      </c>
      <c r="ED238" s="844">
        <v>4352</v>
      </c>
      <c r="EE238" s="844">
        <v>8704</v>
      </c>
      <c r="EF238" s="844">
        <v>13056</v>
      </c>
      <c r="EG238" s="844">
        <v>17408</v>
      </c>
      <c r="EH238" s="844">
        <v>21760</v>
      </c>
      <c r="EI238" s="844">
        <v>26112</v>
      </c>
      <c r="EJ238" s="844">
        <v>26112</v>
      </c>
      <c r="EK238" s="844">
        <v>26112</v>
      </c>
      <c r="EL238" s="844">
        <v>26112</v>
      </c>
      <c r="EM238" s="844">
        <v>26112</v>
      </c>
      <c r="EN238" s="844">
        <v>26112</v>
      </c>
      <c r="EO238" s="844">
        <v>26112</v>
      </c>
      <c r="EP238" s="844">
        <v>26112</v>
      </c>
      <c r="EQ238" s="844">
        <v>30490</v>
      </c>
      <c r="ER238" s="844">
        <v>31099</v>
      </c>
      <c r="ES238" s="844">
        <v>31721</v>
      </c>
      <c r="ET238" s="844">
        <v>32356</v>
      </c>
      <c r="EU238" s="844">
        <v>33003</v>
      </c>
      <c r="EV238" s="844">
        <v>33663</v>
      </c>
      <c r="EW238" s="844">
        <v>34336</v>
      </c>
      <c r="EX238" s="844">
        <v>35023</v>
      </c>
      <c r="EY238" s="844">
        <v>35723</v>
      </c>
      <c r="EZ238" s="844">
        <v>36438</v>
      </c>
      <c r="FA238" s="844">
        <v>37167</v>
      </c>
      <c r="FB238" s="844">
        <v>37910</v>
      </c>
      <c r="FC238" s="844">
        <v>38668</v>
      </c>
      <c r="FD238" s="844">
        <v>39441</v>
      </c>
      <c r="FE238" s="844">
        <v>40800</v>
      </c>
      <c r="FF238" s="844">
        <v>42200</v>
      </c>
      <c r="FG238" s="844">
        <v>43600</v>
      </c>
      <c r="FH238" s="844">
        <v>45000</v>
      </c>
      <c r="FI238" s="844">
        <v>46400</v>
      </c>
      <c r="FJ238" s="844">
        <v>47800</v>
      </c>
      <c r="FK238" s="844">
        <v>49200</v>
      </c>
      <c r="FL238" s="844">
        <v>50600</v>
      </c>
      <c r="FM238" s="844">
        <v>52000</v>
      </c>
      <c r="FN238" s="844">
        <v>53400</v>
      </c>
      <c r="FO238" s="844">
        <v>54800</v>
      </c>
      <c r="FP238" s="844">
        <v>56200</v>
      </c>
      <c r="FQ238" s="844">
        <v>57600</v>
      </c>
      <c r="FR238" s="844">
        <v>59000</v>
      </c>
      <c r="FS238" s="844">
        <v>60400</v>
      </c>
      <c r="FT238" s="844">
        <v>61800</v>
      </c>
      <c r="FU238" s="844">
        <v>63200</v>
      </c>
      <c r="FV238" s="844">
        <v>64600</v>
      </c>
      <c r="FW238" s="844">
        <v>66000</v>
      </c>
      <c r="FX238" s="844">
        <v>67400</v>
      </c>
      <c r="FY238" s="844">
        <v>68800</v>
      </c>
      <c r="FZ238" s="844">
        <v>70200</v>
      </c>
      <c r="GA238" s="844">
        <v>71600</v>
      </c>
      <c r="GB238" s="844">
        <v>73000</v>
      </c>
      <c r="GC238" s="844">
        <v>74400</v>
      </c>
      <c r="GD238" s="844">
        <v>75800</v>
      </c>
      <c r="GE238" s="844">
        <v>77200</v>
      </c>
      <c r="GF238" s="844">
        <v>78600</v>
      </c>
      <c r="GG238" s="844">
        <v>80000</v>
      </c>
      <c r="GH238" s="844">
        <v>81400</v>
      </c>
      <c r="GI238" s="844">
        <v>82800</v>
      </c>
      <c r="GJ238" s="844">
        <v>84200</v>
      </c>
      <c r="GK238" s="844">
        <v>85600</v>
      </c>
      <c r="GL238" s="844">
        <v>87000</v>
      </c>
      <c r="GM238" s="844">
        <v>88400</v>
      </c>
      <c r="GN238" s="844">
        <v>89800</v>
      </c>
      <c r="GO238" s="844">
        <v>91200</v>
      </c>
      <c r="GP238" s="844">
        <v>92600</v>
      </c>
      <c r="GQ238" s="844">
        <v>94000</v>
      </c>
      <c r="GR238" s="844">
        <v>95400</v>
      </c>
      <c r="GS238" s="844">
        <v>96800</v>
      </c>
      <c r="GT238" s="844">
        <v>98200</v>
      </c>
      <c r="GU238" s="844">
        <v>99600</v>
      </c>
      <c r="GV238" s="844">
        <v>101000</v>
      </c>
      <c r="GW238" s="844">
        <v>102400</v>
      </c>
      <c r="GX238" s="844">
        <v>103800</v>
      </c>
      <c r="GY238" s="844">
        <v>105200</v>
      </c>
      <c r="GZ238" s="844">
        <v>106600</v>
      </c>
      <c r="HA238" s="844">
        <v>108000</v>
      </c>
      <c r="HB238" s="844">
        <v>109400</v>
      </c>
      <c r="HC238" s="844">
        <v>110800</v>
      </c>
      <c r="HD238" s="844">
        <v>112200</v>
      </c>
      <c r="HE238" s="844">
        <v>113600</v>
      </c>
      <c r="HF238" s="844">
        <v>115000</v>
      </c>
      <c r="HG238" s="844">
        <v>116400</v>
      </c>
      <c r="HH238" s="844">
        <v>117800</v>
      </c>
      <c r="HI238" s="844">
        <v>119200</v>
      </c>
      <c r="HJ238" s="844">
        <v>120600</v>
      </c>
      <c r="HK238" s="844">
        <v>122000</v>
      </c>
      <c r="HL238" s="844">
        <v>123400</v>
      </c>
      <c r="HM238" s="844">
        <v>124800</v>
      </c>
      <c r="HN238" s="844">
        <v>126200</v>
      </c>
      <c r="HO238" s="844">
        <v>127600</v>
      </c>
      <c r="HP238" s="844">
        <v>129000</v>
      </c>
      <c r="HQ238" s="844">
        <v>130400</v>
      </c>
      <c r="HR238" s="844">
        <v>131800</v>
      </c>
      <c r="HS238" s="844">
        <v>133200</v>
      </c>
      <c r="HT238" s="844">
        <v>134600</v>
      </c>
      <c r="HU238" s="844">
        <v>136000</v>
      </c>
      <c r="HV238" s="844">
        <v>137400</v>
      </c>
      <c r="HW238" s="844">
        <v>138800</v>
      </c>
      <c r="HX238" s="844">
        <v>140200</v>
      </c>
      <c r="HY238" s="844">
        <v>141600</v>
      </c>
      <c r="HZ238" s="844">
        <v>143000</v>
      </c>
      <c r="IA238" s="844">
        <v>144400</v>
      </c>
      <c r="IB238" s="844">
        <v>145800</v>
      </c>
      <c r="IC238" s="844">
        <v>147200</v>
      </c>
      <c r="ID238" s="844">
        <v>148600</v>
      </c>
      <c r="IE238" s="844">
        <v>150000</v>
      </c>
      <c r="IF238" s="844">
        <v>151400</v>
      </c>
      <c r="IG238" s="844">
        <v>152800</v>
      </c>
      <c r="IH238" s="844">
        <v>0</v>
      </c>
      <c r="II238" s="844">
        <v>0</v>
      </c>
      <c r="IJ238" s="844">
        <v>0</v>
      </c>
    </row>
    <row r="239" spans="9:244" hidden="1">
      <c r="I239" s="156"/>
      <c r="L239" s="846" t="s">
        <v>1060</v>
      </c>
      <c r="M239" s="846" t="s">
        <v>1382</v>
      </c>
      <c r="N239" s="846" t="s">
        <v>97</v>
      </c>
      <c r="O239" s="847">
        <v>4</v>
      </c>
      <c r="P239" s="780" t="str">
        <f t="shared" si="8"/>
        <v>IWT060204</v>
      </c>
      <c r="Q239" s="847">
        <v>0</v>
      </c>
      <c r="R239" s="847">
        <v>0</v>
      </c>
      <c r="S239" s="847">
        <v>0</v>
      </c>
      <c r="T239" s="847">
        <v>0</v>
      </c>
      <c r="U239" s="847">
        <v>0</v>
      </c>
      <c r="V239" s="847">
        <v>0</v>
      </c>
      <c r="W239" s="847">
        <v>0</v>
      </c>
      <c r="X239" s="847">
        <v>0</v>
      </c>
      <c r="Y239" s="847">
        <v>0</v>
      </c>
      <c r="Z239" s="847">
        <v>0</v>
      </c>
      <c r="AA239" s="847">
        <v>0</v>
      </c>
      <c r="AB239" s="847">
        <v>0</v>
      </c>
      <c r="AC239" s="847">
        <v>0</v>
      </c>
      <c r="AD239" s="847">
        <v>0</v>
      </c>
      <c r="AE239" s="847">
        <v>0</v>
      </c>
      <c r="AF239" s="847">
        <v>0</v>
      </c>
      <c r="AG239" s="847">
        <v>0</v>
      </c>
      <c r="AH239" s="847">
        <v>0</v>
      </c>
      <c r="AI239" s="847">
        <v>0</v>
      </c>
      <c r="AJ239" s="847">
        <v>0</v>
      </c>
      <c r="AK239" s="847">
        <v>0</v>
      </c>
      <c r="AL239" s="847">
        <v>0</v>
      </c>
      <c r="AM239" s="847">
        <v>0</v>
      </c>
      <c r="AN239" s="847">
        <v>0</v>
      </c>
      <c r="AO239" s="847">
        <v>0</v>
      </c>
      <c r="AP239" s="847">
        <v>0</v>
      </c>
      <c r="AQ239" s="847">
        <v>0</v>
      </c>
      <c r="AR239" s="847">
        <v>0</v>
      </c>
      <c r="AS239" s="847">
        <v>0</v>
      </c>
      <c r="AT239" s="847">
        <v>0</v>
      </c>
      <c r="AU239" s="847">
        <v>0</v>
      </c>
      <c r="AV239" s="847">
        <v>0</v>
      </c>
      <c r="AW239" s="847">
        <v>0</v>
      </c>
      <c r="AX239" s="847">
        <v>0</v>
      </c>
      <c r="AY239" s="847">
        <v>0</v>
      </c>
      <c r="AZ239" s="847">
        <v>0</v>
      </c>
      <c r="BA239" s="847">
        <v>0</v>
      </c>
      <c r="BB239" s="847">
        <v>0</v>
      </c>
      <c r="BC239" s="847">
        <v>0</v>
      </c>
      <c r="BD239" s="847">
        <v>0</v>
      </c>
      <c r="BE239" s="847">
        <v>0</v>
      </c>
      <c r="BF239" s="847">
        <v>0</v>
      </c>
      <c r="BG239" s="847">
        <v>0</v>
      </c>
      <c r="BH239" s="847">
        <v>0</v>
      </c>
      <c r="BI239" s="847">
        <v>0</v>
      </c>
      <c r="BJ239" s="847">
        <v>0</v>
      </c>
      <c r="BK239" s="847">
        <v>0</v>
      </c>
      <c r="BL239" s="847">
        <v>0</v>
      </c>
      <c r="BM239" s="847">
        <v>0</v>
      </c>
      <c r="BN239" s="847">
        <v>0</v>
      </c>
      <c r="BO239" s="847">
        <v>0</v>
      </c>
      <c r="BP239" s="847">
        <v>0</v>
      </c>
      <c r="BQ239" s="847">
        <v>0</v>
      </c>
      <c r="BR239" s="847">
        <v>0</v>
      </c>
      <c r="BS239" s="847">
        <v>0</v>
      </c>
      <c r="BT239" s="847">
        <v>0</v>
      </c>
      <c r="BU239" s="847">
        <v>0</v>
      </c>
      <c r="BV239" s="847">
        <v>0</v>
      </c>
      <c r="BW239" s="847">
        <v>0</v>
      </c>
      <c r="BX239" s="847">
        <v>0</v>
      </c>
      <c r="BY239" s="847">
        <v>0</v>
      </c>
      <c r="BZ239" s="847">
        <v>0</v>
      </c>
      <c r="CA239" s="847">
        <v>0</v>
      </c>
      <c r="CB239" s="847">
        <v>0</v>
      </c>
      <c r="CC239" s="847">
        <v>0</v>
      </c>
      <c r="CD239" s="847">
        <v>0</v>
      </c>
      <c r="CE239" s="847">
        <v>0</v>
      </c>
      <c r="CF239" s="847">
        <v>0</v>
      </c>
      <c r="CG239" s="847">
        <v>0</v>
      </c>
      <c r="CH239" s="847">
        <v>0</v>
      </c>
      <c r="CI239" s="847">
        <v>0</v>
      </c>
      <c r="CJ239" s="847">
        <v>0</v>
      </c>
      <c r="CK239" s="847">
        <v>0</v>
      </c>
      <c r="CL239" s="847">
        <v>0</v>
      </c>
      <c r="CM239" s="847">
        <v>0</v>
      </c>
      <c r="CN239" s="847">
        <v>0</v>
      </c>
      <c r="CO239" s="847">
        <v>0</v>
      </c>
      <c r="CP239" s="847">
        <v>0</v>
      </c>
      <c r="CQ239" s="847">
        <v>0</v>
      </c>
      <c r="CR239" s="847">
        <v>0</v>
      </c>
      <c r="CS239" s="847">
        <v>0</v>
      </c>
      <c r="CT239" s="847">
        <v>0</v>
      </c>
      <c r="CU239" s="847">
        <v>0</v>
      </c>
      <c r="CV239" s="847">
        <v>0</v>
      </c>
      <c r="CW239" s="847">
        <v>0</v>
      </c>
      <c r="CX239" s="847">
        <v>0</v>
      </c>
      <c r="CY239" s="847">
        <v>0</v>
      </c>
      <c r="CZ239" s="847">
        <v>0</v>
      </c>
      <c r="DA239" s="847">
        <v>0</v>
      </c>
      <c r="DB239" s="847">
        <v>0</v>
      </c>
      <c r="DC239" s="847">
        <v>0</v>
      </c>
      <c r="DD239" s="847">
        <v>0</v>
      </c>
      <c r="DE239" s="847">
        <v>0</v>
      </c>
      <c r="DF239" s="847">
        <v>0</v>
      </c>
      <c r="DG239" s="847">
        <v>0</v>
      </c>
      <c r="DH239" s="847">
        <v>0</v>
      </c>
      <c r="DI239" s="847">
        <v>0</v>
      </c>
      <c r="DJ239" s="847">
        <v>0</v>
      </c>
      <c r="DK239" s="847">
        <v>0</v>
      </c>
      <c r="DL239" s="847">
        <v>0</v>
      </c>
      <c r="DM239" s="847">
        <v>0</v>
      </c>
      <c r="DN239" s="847">
        <v>0</v>
      </c>
      <c r="DO239" s="847">
        <v>0</v>
      </c>
      <c r="DP239" s="847">
        <v>0</v>
      </c>
      <c r="DQ239" s="847">
        <v>0</v>
      </c>
      <c r="DR239" s="847">
        <v>0</v>
      </c>
      <c r="DS239" s="847">
        <v>151400</v>
      </c>
      <c r="DT239" s="847">
        <v>0</v>
      </c>
      <c r="DU239" s="847">
        <v>0</v>
      </c>
      <c r="DV239" s="847">
        <v>0</v>
      </c>
      <c r="DW239" s="847">
        <v>0</v>
      </c>
      <c r="DY239" s="843" t="s">
        <v>1060</v>
      </c>
      <c r="DZ239" s="843" t="s">
        <v>1382</v>
      </c>
      <c r="EA239" s="843" t="s">
        <v>97</v>
      </c>
      <c r="EB239" s="844">
        <v>4</v>
      </c>
      <c r="EC239" s="780" t="str">
        <f t="shared" si="9"/>
        <v>IWT060204</v>
      </c>
      <c r="ED239" s="844">
        <v>4383</v>
      </c>
      <c r="EE239" s="844">
        <v>8766</v>
      </c>
      <c r="EF239" s="844">
        <v>13149</v>
      </c>
      <c r="EG239" s="844">
        <v>17532</v>
      </c>
      <c r="EH239" s="844">
        <v>21915</v>
      </c>
      <c r="EI239" s="844">
        <v>26298</v>
      </c>
      <c r="EJ239" s="844">
        <v>26298</v>
      </c>
      <c r="EK239" s="844">
        <v>26298</v>
      </c>
      <c r="EL239" s="844">
        <v>26298</v>
      </c>
      <c r="EM239" s="844">
        <v>26298</v>
      </c>
      <c r="EN239" s="844">
        <v>26298</v>
      </c>
      <c r="EO239" s="844">
        <v>26298</v>
      </c>
      <c r="EP239" s="844">
        <v>30104</v>
      </c>
      <c r="EQ239" s="844">
        <v>30706</v>
      </c>
      <c r="ER239" s="844">
        <v>31320</v>
      </c>
      <c r="ES239" s="844">
        <v>31946</v>
      </c>
      <c r="ET239" s="844">
        <v>32585</v>
      </c>
      <c r="EU239" s="844">
        <v>33237</v>
      </c>
      <c r="EV239" s="844">
        <v>33902</v>
      </c>
      <c r="EW239" s="844">
        <v>34580</v>
      </c>
      <c r="EX239" s="844">
        <v>35271</v>
      </c>
      <c r="EY239" s="844">
        <v>35977</v>
      </c>
      <c r="EZ239" s="844">
        <v>36696</v>
      </c>
      <c r="FA239" s="844">
        <v>37430</v>
      </c>
      <c r="FB239" s="844">
        <v>38179</v>
      </c>
      <c r="FC239" s="844">
        <v>38942</v>
      </c>
      <c r="FD239" s="844">
        <v>39721</v>
      </c>
      <c r="FE239" s="844">
        <v>40800</v>
      </c>
      <c r="FF239" s="844">
        <v>42200</v>
      </c>
      <c r="FG239" s="844">
        <v>43600</v>
      </c>
      <c r="FH239" s="844">
        <v>45000</v>
      </c>
      <c r="FI239" s="844">
        <v>46400</v>
      </c>
      <c r="FJ239" s="844">
        <v>47800</v>
      </c>
      <c r="FK239" s="844">
        <v>49200</v>
      </c>
      <c r="FL239" s="844">
        <v>50600</v>
      </c>
      <c r="FM239" s="844">
        <v>52000</v>
      </c>
      <c r="FN239" s="844">
        <v>53400</v>
      </c>
      <c r="FO239" s="844">
        <v>54800</v>
      </c>
      <c r="FP239" s="844">
        <v>56200</v>
      </c>
      <c r="FQ239" s="844">
        <v>57600</v>
      </c>
      <c r="FR239" s="844">
        <v>59000</v>
      </c>
      <c r="FS239" s="844">
        <v>60400</v>
      </c>
      <c r="FT239" s="844">
        <v>61800</v>
      </c>
      <c r="FU239" s="844">
        <v>63200</v>
      </c>
      <c r="FV239" s="844">
        <v>64600</v>
      </c>
      <c r="FW239" s="844">
        <v>66000</v>
      </c>
      <c r="FX239" s="844">
        <v>67400</v>
      </c>
      <c r="FY239" s="844">
        <v>68800</v>
      </c>
      <c r="FZ239" s="844">
        <v>70200</v>
      </c>
      <c r="GA239" s="844">
        <v>71600</v>
      </c>
      <c r="GB239" s="844">
        <v>73000</v>
      </c>
      <c r="GC239" s="844">
        <v>74400</v>
      </c>
      <c r="GD239" s="844">
        <v>75800</v>
      </c>
      <c r="GE239" s="844">
        <v>77200</v>
      </c>
      <c r="GF239" s="844">
        <v>78600</v>
      </c>
      <c r="GG239" s="844">
        <v>80000</v>
      </c>
      <c r="GH239" s="844">
        <v>81400</v>
      </c>
      <c r="GI239" s="844">
        <v>82800</v>
      </c>
      <c r="GJ239" s="844">
        <v>84200</v>
      </c>
      <c r="GK239" s="844">
        <v>85600</v>
      </c>
      <c r="GL239" s="844">
        <v>87000</v>
      </c>
      <c r="GM239" s="844">
        <v>88400</v>
      </c>
      <c r="GN239" s="844">
        <v>89800</v>
      </c>
      <c r="GO239" s="844">
        <v>91200</v>
      </c>
      <c r="GP239" s="844">
        <v>92600</v>
      </c>
      <c r="GQ239" s="844">
        <v>94000</v>
      </c>
      <c r="GR239" s="844">
        <v>95400</v>
      </c>
      <c r="GS239" s="844">
        <v>96800</v>
      </c>
      <c r="GT239" s="844">
        <v>98200</v>
      </c>
      <c r="GU239" s="844">
        <v>99600</v>
      </c>
      <c r="GV239" s="844">
        <v>101000</v>
      </c>
      <c r="GW239" s="844">
        <v>102400</v>
      </c>
      <c r="GX239" s="844">
        <v>103800</v>
      </c>
      <c r="GY239" s="844">
        <v>105200</v>
      </c>
      <c r="GZ239" s="844">
        <v>106600</v>
      </c>
      <c r="HA239" s="844">
        <v>108000</v>
      </c>
      <c r="HB239" s="844">
        <v>109400</v>
      </c>
      <c r="HC239" s="844">
        <v>110800</v>
      </c>
      <c r="HD239" s="844">
        <v>112200</v>
      </c>
      <c r="HE239" s="844">
        <v>113600</v>
      </c>
      <c r="HF239" s="844">
        <v>115000</v>
      </c>
      <c r="HG239" s="844">
        <v>116400</v>
      </c>
      <c r="HH239" s="844">
        <v>117800</v>
      </c>
      <c r="HI239" s="844">
        <v>119200</v>
      </c>
      <c r="HJ239" s="844">
        <v>120600</v>
      </c>
      <c r="HK239" s="844">
        <v>122000</v>
      </c>
      <c r="HL239" s="844">
        <v>123400</v>
      </c>
      <c r="HM239" s="844">
        <v>124800</v>
      </c>
      <c r="HN239" s="844">
        <v>126200</v>
      </c>
      <c r="HO239" s="844">
        <v>127600</v>
      </c>
      <c r="HP239" s="844">
        <v>129000</v>
      </c>
      <c r="HQ239" s="844">
        <v>130400</v>
      </c>
      <c r="HR239" s="844">
        <v>131800</v>
      </c>
      <c r="HS239" s="844">
        <v>133200</v>
      </c>
      <c r="HT239" s="844">
        <v>134600</v>
      </c>
      <c r="HU239" s="844">
        <v>136000</v>
      </c>
      <c r="HV239" s="844">
        <v>137400</v>
      </c>
      <c r="HW239" s="844">
        <v>138800</v>
      </c>
      <c r="HX239" s="844">
        <v>140200</v>
      </c>
      <c r="HY239" s="844">
        <v>141600</v>
      </c>
      <c r="HZ239" s="844">
        <v>143000</v>
      </c>
      <c r="IA239" s="844">
        <v>144400</v>
      </c>
      <c r="IB239" s="844">
        <v>145800</v>
      </c>
      <c r="IC239" s="844">
        <v>147200</v>
      </c>
      <c r="ID239" s="844">
        <v>148600</v>
      </c>
      <c r="IE239" s="844">
        <v>150000</v>
      </c>
      <c r="IF239" s="844">
        <v>151400</v>
      </c>
      <c r="IG239" s="844">
        <v>0</v>
      </c>
      <c r="IH239" s="844">
        <v>0</v>
      </c>
      <c r="II239" s="844">
        <v>0</v>
      </c>
      <c r="IJ239" s="844">
        <v>0</v>
      </c>
    </row>
    <row r="240" spans="9:244" hidden="1">
      <c r="I240" s="156"/>
      <c r="L240" s="846" t="s">
        <v>1060</v>
      </c>
      <c r="M240" s="846" t="s">
        <v>1382</v>
      </c>
      <c r="N240" s="846" t="s">
        <v>97</v>
      </c>
      <c r="O240" s="847">
        <v>5</v>
      </c>
      <c r="P240" s="780" t="str">
        <f t="shared" si="8"/>
        <v>IWT060205</v>
      </c>
      <c r="Q240" s="847">
        <v>0</v>
      </c>
      <c r="R240" s="847">
        <v>0</v>
      </c>
      <c r="S240" s="847">
        <v>0</v>
      </c>
      <c r="T240" s="847">
        <v>0</v>
      </c>
      <c r="U240" s="847">
        <v>0</v>
      </c>
      <c r="V240" s="847">
        <v>0</v>
      </c>
      <c r="W240" s="847">
        <v>0</v>
      </c>
      <c r="X240" s="847">
        <v>0</v>
      </c>
      <c r="Y240" s="847">
        <v>0</v>
      </c>
      <c r="Z240" s="847">
        <v>0</v>
      </c>
      <c r="AA240" s="847">
        <v>0</v>
      </c>
      <c r="AB240" s="847">
        <v>0</v>
      </c>
      <c r="AC240" s="847">
        <v>0</v>
      </c>
      <c r="AD240" s="847">
        <v>0</v>
      </c>
      <c r="AE240" s="847">
        <v>0</v>
      </c>
      <c r="AF240" s="847">
        <v>0</v>
      </c>
      <c r="AG240" s="847">
        <v>0</v>
      </c>
      <c r="AH240" s="847">
        <v>0</v>
      </c>
      <c r="AI240" s="847">
        <v>0</v>
      </c>
      <c r="AJ240" s="847">
        <v>0</v>
      </c>
      <c r="AK240" s="847">
        <v>0</v>
      </c>
      <c r="AL240" s="847">
        <v>0</v>
      </c>
      <c r="AM240" s="847">
        <v>0</v>
      </c>
      <c r="AN240" s="847">
        <v>0</v>
      </c>
      <c r="AO240" s="847">
        <v>0</v>
      </c>
      <c r="AP240" s="847">
        <v>0</v>
      </c>
      <c r="AQ240" s="847">
        <v>0</v>
      </c>
      <c r="AR240" s="847">
        <v>0</v>
      </c>
      <c r="AS240" s="847">
        <v>0</v>
      </c>
      <c r="AT240" s="847">
        <v>0</v>
      </c>
      <c r="AU240" s="847">
        <v>0</v>
      </c>
      <c r="AV240" s="847">
        <v>0</v>
      </c>
      <c r="AW240" s="847">
        <v>0</v>
      </c>
      <c r="AX240" s="847">
        <v>0</v>
      </c>
      <c r="AY240" s="847">
        <v>0</v>
      </c>
      <c r="AZ240" s="847">
        <v>0</v>
      </c>
      <c r="BA240" s="847">
        <v>0</v>
      </c>
      <c r="BB240" s="847">
        <v>0</v>
      </c>
      <c r="BC240" s="847">
        <v>0</v>
      </c>
      <c r="BD240" s="847">
        <v>0</v>
      </c>
      <c r="BE240" s="847">
        <v>0</v>
      </c>
      <c r="BF240" s="847">
        <v>0</v>
      </c>
      <c r="BG240" s="847">
        <v>0</v>
      </c>
      <c r="BH240" s="847">
        <v>0</v>
      </c>
      <c r="BI240" s="847">
        <v>0</v>
      </c>
      <c r="BJ240" s="847">
        <v>0</v>
      </c>
      <c r="BK240" s="847">
        <v>0</v>
      </c>
      <c r="BL240" s="847">
        <v>0</v>
      </c>
      <c r="BM240" s="847">
        <v>0</v>
      </c>
      <c r="BN240" s="847">
        <v>0</v>
      </c>
      <c r="BO240" s="847">
        <v>0</v>
      </c>
      <c r="BP240" s="847">
        <v>0</v>
      </c>
      <c r="BQ240" s="847">
        <v>0</v>
      </c>
      <c r="BR240" s="847">
        <v>0</v>
      </c>
      <c r="BS240" s="847">
        <v>0</v>
      </c>
      <c r="BT240" s="847">
        <v>0</v>
      </c>
      <c r="BU240" s="847">
        <v>0</v>
      </c>
      <c r="BV240" s="847">
        <v>0</v>
      </c>
      <c r="BW240" s="847">
        <v>0</v>
      </c>
      <c r="BX240" s="847">
        <v>0</v>
      </c>
      <c r="BY240" s="847">
        <v>0</v>
      </c>
      <c r="BZ240" s="847">
        <v>0</v>
      </c>
      <c r="CA240" s="847">
        <v>0</v>
      </c>
      <c r="CB240" s="847">
        <v>0</v>
      </c>
      <c r="CC240" s="847">
        <v>0</v>
      </c>
      <c r="CD240" s="847">
        <v>0</v>
      </c>
      <c r="CE240" s="847">
        <v>0</v>
      </c>
      <c r="CF240" s="847">
        <v>0</v>
      </c>
      <c r="CG240" s="847">
        <v>0</v>
      </c>
      <c r="CH240" s="847">
        <v>0</v>
      </c>
      <c r="CI240" s="847">
        <v>0</v>
      </c>
      <c r="CJ240" s="847">
        <v>0</v>
      </c>
      <c r="CK240" s="847">
        <v>0</v>
      </c>
      <c r="CL240" s="847">
        <v>0</v>
      </c>
      <c r="CM240" s="847">
        <v>0</v>
      </c>
      <c r="CN240" s="847">
        <v>0</v>
      </c>
      <c r="CO240" s="847">
        <v>0</v>
      </c>
      <c r="CP240" s="847">
        <v>0</v>
      </c>
      <c r="CQ240" s="847">
        <v>0</v>
      </c>
      <c r="CR240" s="847">
        <v>0</v>
      </c>
      <c r="CS240" s="847">
        <v>0</v>
      </c>
      <c r="CT240" s="847">
        <v>0</v>
      </c>
      <c r="CU240" s="847">
        <v>0</v>
      </c>
      <c r="CV240" s="847">
        <v>0</v>
      </c>
      <c r="CW240" s="847">
        <v>0</v>
      </c>
      <c r="CX240" s="847">
        <v>0</v>
      </c>
      <c r="CY240" s="847">
        <v>0</v>
      </c>
      <c r="CZ240" s="847">
        <v>0</v>
      </c>
      <c r="DA240" s="847">
        <v>0</v>
      </c>
      <c r="DB240" s="847">
        <v>0</v>
      </c>
      <c r="DC240" s="847">
        <v>0</v>
      </c>
      <c r="DD240" s="847">
        <v>0</v>
      </c>
      <c r="DE240" s="847">
        <v>0</v>
      </c>
      <c r="DF240" s="847">
        <v>0</v>
      </c>
      <c r="DG240" s="847">
        <v>0</v>
      </c>
      <c r="DH240" s="847">
        <v>0</v>
      </c>
      <c r="DI240" s="847">
        <v>0</v>
      </c>
      <c r="DJ240" s="847">
        <v>0</v>
      </c>
      <c r="DK240" s="847">
        <v>0</v>
      </c>
      <c r="DL240" s="847">
        <v>0</v>
      </c>
      <c r="DM240" s="847">
        <v>0</v>
      </c>
      <c r="DN240" s="847">
        <v>0</v>
      </c>
      <c r="DO240" s="847">
        <v>0</v>
      </c>
      <c r="DP240" s="847">
        <v>0</v>
      </c>
      <c r="DQ240" s="847">
        <v>0</v>
      </c>
      <c r="DR240" s="847">
        <v>150000</v>
      </c>
      <c r="DS240" s="847">
        <v>0</v>
      </c>
      <c r="DT240" s="847">
        <v>0</v>
      </c>
      <c r="DU240" s="847">
        <v>0</v>
      </c>
      <c r="DV240" s="847">
        <v>0</v>
      </c>
      <c r="DW240" s="847">
        <v>0</v>
      </c>
      <c r="DY240" s="843" t="s">
        <v>1060</v>
      </c>
      <c r="DZ240" s="843" t="s">
        <v>1382</v>
      </c>
      <c r="EA240" s="843" t="s">
        <v>97</v>
      </c>
      <c r="EB240" s="844">
        <v>5</v>
      </c>
      <c r="EC240" s="780" t="str">
        <f t="shared" si="9"/>
        <v>IWT060205</v>
      </c>
      <c r="ED240" s="844">
        <v>4413</v>
      </c>
      <c r="EE240" s="844">
        <v>8826</v>
      </c>
      <c r="EF240" s="844">
        <v>13239</v>
      </c>
      <c r="EG240" s="844">
        <v>17652</v>
      </c>
      <c r="EH240" s="844">
        <v>22065</v>
      </c>
      <c r="EI240" s="844">
        <v>26478</v>
      </c>
      <c r="EJ240" s="844">
        <v>26478</v>
      </c>
      <c r="EK240" s="844">
        <v>26478</v>
      </c>
      <c r="EL240" s="844">
        <v>26478</v>
      </c>
      <c r="EM240" s="844">
        <v>26478</v>
      </c>
      <c r="EN240" s="844">
        <v>26478</v>
      </c>
      <c r="EO240" s="844">
        <v>29718</v>
      </c>
      <c r="EP240" s="844">
        <v>30313</v>
      </c>
      <c r="EQ240" s="844">
        <v>30919</v>
      </c>
      <c r="ER240" s="844">
        <v>31537</v>
      </c>
      <c r="ES240" s="844">
        <v>32168</v>
      </c>
      <c r="ET240" s="844">
        <v>32812</v>
      </c>
      <c r="EU240" s="844">
        <v>33468</v>
      </c>
      <c r="EV240" s="844">
        <v>34137</v>
      </c>
      <c r="EW240" s="844">
        <v>34820</v>
      </c>
      <c r="EX240" s="844">
        <v>35516</v>
      </c>
      <c r="EY240" s="844">
        <v>36227</v>
      </c>
      <c r="EZ240" s="844">
        <v>36951</v>
      </c>
      <c r="FA240" s="844">
        <v>37690</v>
      </c>
      <c r="FB240" s="844">
        <v>38444</v>
      </c>
      <c r="FC240" s="844">
        <v>39213</v>
      </c>
      <c r="FD240" s="844">
        <v>39997</v>
      </c>
      <c r="FE240" s="844">
        <v>40800</v>
      </c>
      <c r="FF240" s="844">
        <v>42200</v>
      </c>
      <c r="FG240" s="844">
        <v>43600</v>
      </c>
      <c r="FH240" s="844">
        <v>45000</v>
      </c>
      <c r="FI240" s="844">
        <v>46400</v>
      </c>
      <c r="FJ240" s="844">
        <v>47800</v>
      </c>
      <c r="FK240" s="844">
        <v>49200</v>
      </c>
      <c r="FL240" s="844">
        <v>50600</v>
      </c>
      <c r="FM240" s="844">
        <v>52000</v>
      </c>
      <c r="FN240" s="844">
        <v>53400</v>
      </c>
      <c r="FO240" s="844">
        <v>54800</v>
      </c>
      <c r="FP240" s="844">
        <v>56200</v>
      </c>
      <c r="FQ240" s="844">
        <v>57600</v>
      </c>
      <c r="FR240" s="844">
        <v>59000</v>
      </c>
      <c r="FS240" s="844">
        <v>60400</v>
      </c>
      <c r="FT240" s="844">
        <v>61800</v>
      </c>
      <c r="FU240" s="844">
        <v>63200</v>
      </c>
      <c r="FV240" s="844">
        <v>64600</v>
      </c>
      <c r="FW240" s="844">
        <v>66000</v>
      </c>
      <c r="FX240" s="844">
        <v>67400</v>
      </c>
      <c r="FY240" s="844">
        <v>68800</v>
      </c>
      <c r="FZ240" s="844">
        <v>70200</v>
      </c>
      <c r="GA240" s="844">
        <v>71600</v>
      </c>
      <c r="GB240" s="844">
        <v>73000</v>
      </c>
      <c r="GC240" s="844">
        <v>74400</v>
      </c>
      <c r="GD240" s="844">
        <v>75800</v>
      </c>
      <c r="GE240" s="844">
        <v>77200</v>
      </c>
      <c r="GF240" s="844">
        <v>78600</v>
      </c>
      <c r="GG240" s="844">
        <v>80000</v>
      </c>
      <c r="GH240" s="844">
        <v>81400</v>
      </c>
      <c r="GI240" s="844">
        <v>82800</v>
      </c>
      <c r="GJ240" s="844">
        <v>84200</v>
      </c>
      <c r="GK240" s="844">
        <v>85600</v>
      </c>
      <c r="GL240" s="844">
        <v>87000</v>
      </c>
      <c r="GM240" s="844">
        <v>88400</v>
      </c>
      <c r="GN240" s="844">
        <v>89800</v>
      </c>
      <c r="GO240" s="844">
        <v>91200</v>
      </c>
      <c r="GP240" s="844">
        <v>92600</v>
      </c>
      <c r="GQ240" s="844">
        <v>94000</v>
      </c>
      <c r="GR240" s="844">
        <v>95400</v>
      </c>
      <c r="GS240" s="844">
        <v>96800</v>
      </c>
      <c r="GT240" s="844">
        <v>98200</v>
      </c>
      <c r="GU240" s="844">
        <v>99600</v>
      </c>
      <c r="GV240" s="844">
        <v>101000</v>
      </c>
      <c r="GW240" s="844">
        <v>102400</v>
      </c>
      <c r="GX240" s="844">
        <v>103800</v>
      </c>
      <c r="GY240" s="844">
        <v>105200</v>
      </c>
      <c r="GZ240" s="844">
        <v>106600</v>
      </c>
      <c r="HA240" s="844">
        <v>108000</v>
      </c>
      <c r="HB240" s="844">
        <v>109400</v>
      </c>
      <c r="HC240" s="844">
        <v>110800</v>
      </c>
      <c r="HD240" s="844">
        <v>112200</v>
      </c>
      <c r="HE240" s="844">
        <v>113600</v>
      </c>
      <c r="HF240" s="844">
        <v>115000</v>
      </c>
      <c r="HG240" s="844">
        <v>116400</v>
      </c>
      <c r="HH240" s="844">
        <v>117800</v>
      </c>
      <c r="HI240" s="844">
        <v>119200</v>
      </c>
      <c r="HJ240" s="844">
        <v>120600</v>
      </c>
      <c r="HK240" s="844">
        <v>122000</v>
      </c>
      <c r="HL240" s="844">
        <v>123400</v>
      </c>
      <c r="HM240" s="844">
        <v>124800</v>
      </c>
      <c r="HN240" s="844">
        <v>126200</v>
      </c>
      <c r="HO240" s="844">
        <v>127600</v>
      </c>
      <c r="HP240" s="844">
        <v>129000</v>
      </c>
      <c r="HQ240" s="844">
        <v>130400</v>
      </c>
      <c r="HR240" s="844">
        <v>131800</v>
      </c>
      <c r="HS240" s="844">
        <v>133200</v>
      </c>
      <c r="HT240" s="844">
        <v>134600</v>
      </c>
      <c r="HU240" s="844">
        <v>136000</v>
      </c>
      <c r="HV240" s="844">
        <v>137400</v>
      </c>
      <c r="HW240" s="844">
        <v>138800</v>
      </c>
      <c r="HX240" s="844">
        <v>140200</v>
      </c>
      <c r="HY240" s="844">
        <v>141600</v>
      </c>
      <c r="HZ240" s="844">
        <v>143000</v>
      </c>
      <c r="IA240" s="844">
        <v>144400</v>
      </c>
      <c r="IB240" s="844">
        <v>145800</v>
      </c>
      <c r="IC240" s="844">
        <v>147200</v>
      </c>
      <c r="ID240" s="844">
        <v>148600</v>
      </c>
      <c r="IE240" s="844">
        <v>150000</v>
      </c>
      <c r="IF240" s="844">
        <v>0</v>
      </c>
      <c r="IG240" s="844">
        <v>0</v>
      </c>
      <c r="IH240" s="844">
        <v>0</v>
      </c>
      <c r="II240" s="844">
        <v>0</v>
      </c>
      <c r="IJ240" s="844">
        <v>0</v>
      </c>
    </row>
    <row r="241" spans="9:244" hidden="1">
      <c r="I241" s="156"/>
      <c r="L241" s="846" t="s">
        <v>1060</v>
      </c>
      <c r="M241" s="846" t="s">
        <v>1382</v>
      </c>
      <c r="N241" s="846" t="s">
        <v>97</v>
      </c>
      <c r="O241" s="847">
        <v>6</v>
      </c>
      <c r="P241" s="780" t="str">
        <f t="shared" si="8"/>
        <v>IWT060206</v>
      </c>
      <c r="Q241" s="847">
        <v>0</v>
      </c>
      <c r="R241" s="847">
        <v>0</v>
      </c>
      <c r="S241" s="847">
        <v>0</v>
      </c>
      <c r="T241" s="847">
        <v>0</v>
      </c>
      <c r="U241" s="847">
        <v>0</v>
      </c>
      <c r="V241" s="847">
        <v>0</v>
      </c>
      <c r="W241" s="847">
        <v>0</v>
      </c>
      <c r="X241" s="847">
        <v>0</v>
      </c>
      <c r="Y241" s="847">
        <v>0</v>
      </c>
      <c r="Z241" s="847">
        <v>0</v>
      </c>
      <c r="AA241" s="847">
        <v>0</v>
      </c>
      <c r="AB241" s="847">
        <v>0</v>
      </c>
      <c r="AC241" s="847">
        <v>0</v>
      </c>
      <c r="AD241" s="847">
        <v>0</v>
      </c>
      <c r="AE241" s="847">
        <v>0</v>
      </c>
      <c r="AF241" s="847">
        <v>0</v>
      </c>
      <c r="AG241" s="847">
        <v>0</v>
      </c>
      <c r="AH241" s="847">
        <v>0</v>
      </c>
      <c r="AI241" s="847">
        <v>0</v>
      </c>
      <c r="AJ241" s="847">
        <v>0</v>
      </c>
      <c r="AK241" s="847">
        <v>0</v>
      </c>
      <c r="AL241" s="847">
        <v>0</v>
      </c>
      <c r="AM241" s="847">
        <v>0</v>
      </c>
      <c r="AN241" s="847">
        <v>0</v>
      </c>
      <c r="AO241" s="847">
        <v>0</v>
      </c>
      <c r="AP241" s="847">
        <v>0</v>
      </c>
      <c r="AQ241" s="847">
        <v>0</v>
      </c>
      <c r="AR241" s="847">
        <v>0</v>
      </c>
      <c r="AS241" s="847">
        <v>0</v>
      </c>
      <c r="AT241" s="847">
        <v>0</v>
      </c>
      <c r="AU241" s="847">
        <v>0</v>
      </c>
      <c r="AV241" s="847">
        <v>0</v>
      </c>
      <c r="AW241" s="847">
        <v>0</v>
      </c>
      <c r="AX241" s="847">
        <v>0</v>
      </c>
      <c r="AY241" s="847">
        <v>0</v>
      </c>
      <c r="AZ241" s="847">
        <v>0</v>
      </c>
      <c r="BA241" s="847">
        <v>0</v>
      </c>
      <c r="BB241" s="847">
        <v>0</v>
      </c>
      <c r="BC241" s="847">
        <v>0</v>
      </c>
      <c r="BD241" s="847">
        <v>0</v>
      </c>
      <c r="BE241" s="847">
        <v>0</v>
      </c>
      <c r="BF241" s="847">
        <v>0</v>
      </c>
      <c r="BG241" s="847">
        <v>0</v>
      </c>
      <c r="BH241" s="847">
        <v>0</v>
      </c>
      <c r="BI241" s="847">
        <v>0</v>
      </c>
      <c r="BJ241" s="847">
        <v>0</v>
      </c>
      <c r="BK241" s="847">
        <v>0</v>
      </c>
      <c r="BL241" s="847">
        <v>0</v>
      </c>
      <c r="BM241" s="847">
        <v>0</v>
      </c>
      <c r="BN241" s="847">
        <v>0</v>
      </c>
      <c r="BO241" s="847">
        <v>0</v>
      </c>
      <c r="BP241" s="847">
        <v>0</v>
      </c>
      <c r="BQ241" s="847">
        <v>0</v>
      </c>
      <c r="BR241" s="847">
        <v>0</v>
      </c>
      <c r="BS241" s="847">
        <v>0</v>
      </c>
      <c r="BT241" s="847">
        <v>0</v>
      </c>
      <c r="BU241" s="847">
        <v>0</v>
      </c>
      <c r="BV241" s="847">
        <v>0</v>
      </c>
      <c r="BW241" s="847">
        <v>0</v>
      </c>
      <c r="BX241" s="847">
        <v>0</v>
      </c>
      <c r="BY241" s="847">
        <v>0</v>
      </c>
      <c r="BZ241" s="847">
        <v>0</v>
      </c>
      <c r="CA241" s="847">
        <v>0</v>
      </c>
      <c r="CB241" s="847">
        <v>0</v>
      </c>
      <c r="CC241" s="847">
        <v>0</v>
      </c>
      <c r="CD241" s="847">
        <v>0</v>
      </c>
      <c r="CE241" s="847">
        <v>0</v>
      </c>
      <c r="CF241" s="847">
        <v>0</v>
      </c>
      <c r="CG241" s="847">
        <v>0</v>
      </c>
      <c r="CH241" s="847">
        <v>0</v>
      </c>
      <c r="CI241" s="847">
        <v>0</v>
      </c>
      <c r="CJ241" s="847">
        <v>0</v>
      </c>
      <c r="CK241" s="847">
        <v>0</v>
      </c>
      <c r="CL241" s="847">
        <v>0</v>
      </c>
      <c r="CM241" s="847">
        <v>0</v>
      </c>
      <c r="CN241" s="847">
        <v>0</v>
      </c>
      <c r="CO241" s="847">
        <v>0</v>
      </c>
      <c r="CP241" s="847">
        <v>0</v>
      </c>
      <c r="CQ241" s="847">
        <v>0</v>
      </c>
      <c r="CR241" s="847">
        <v>0</v>
      </c>
      <c r="CS241" s="847">
        <v>0</v>
      </c>
      <c r="CT241" s="847">
        <v>0</v>
      </c>
      <c r="CU241" s="847">
        <v>0</v>
      </c>
      <c r="CV241" s="847">
        <v>0</v>
      </c>
      <c r="CW241" s="847">
        <v>0</v>
      </c>
      <c r="CX241" s="847">
        <v>0</v>
      </c>
      <c r="CY241" s="847">
        <v>0</v>
      </c>
      <c r="CZ241" s="847">
        <v>0</v>
      </c>
      <c r="DA241" s="847">
        <v>0</v>
      </c>
      <c r="DB241" s="847">
        <v>0</v>
      </c>
      <c r="DC241" s="847">
        <v>0</v>
      </c>
      <c r="DD241" s="847">
        <v>0</v>
      </c>
      <c r="DE241" s="847">
        <v>0</v>
      </c>
      <c r="DF241" s="847">
        <v>0</v>
      </c>
      <c r="DG241" s="847">
        <v>0</v>
      </c>
      <c r="DH241" s="847">
        <v>0</v>
      </c>
      <c r="DI241" s="847">
        <v>0</v>
      </c>
      <c r="DJ241" s="847">
        <v>0</v>
      </c>
      <c r="DK241" s="847">
        <v>0</v>
      </c>
      <c r="DL241" s="847">
        <v>0</v>
      </c>
      <c r="DM241" s="847">
        <v>0</v>
      </c>
      <c r="DN241" s="847">
        <v>0</v>
      </c>
      <c r="DO241" s="847">
        <v>0</v>
      </c>
      <c r="DP241" s="847">
        <v>0</v>
      </c>
      <c r="DQ241" s="847">
        <v>148600</v>
      </c>
      <c r="DR241" s="847">
        <v>0</v>
      </c>
      <c r="DS241" s="847">
        <v>0</v>
      </c>
      <c r="DT241" s="847">
        <v>0</v>
      </c>
      <c r="DU241" s="847">
        <v>0</v>
      </c>
      <c r="DV241" s="847">
        <v>0</v>
      </c>
      <c r="DW241" s="847">
        <v>0</v>
      </c>
      <c r="DY241" s="843" t="s">
        <v>1060</v>
      </c>
      <c r="DZ241" s="843" t="s">
        <v>1382</v>
      </c>
      <c r="EA241" s="843" t="s">
        <v>97</v>
      </c>
      <c r="EB241" s="844">
        <v>6</v>
      </c>
      <c r="EC241" s="780" t="str">
        <f t="shared" si="9"/>
        <v>IWT060206</v>
      </c>
      <c r="ED241" s="844">
        <v>4443</v>
      </c>
      <c r="EE241" s="844">
        <v>8886</v>
      </c>
      <c r="EF241" s="844">
        <v>13329</v>
      </c>
      <c r="EG241" s="844">
        <v>17772</v>
      </c>
      <c r="EH241" s="844">
        <v>22215</v>
      </c>
      <c r="EI241" s="844">
        <v>26658</v>
      </c>
      <c r="EJ241" s="844">
        <v>26658</v>
      </c>
      <c r="EK241" s="844">
        <v>26658</v>
      </c>
      <c r="EL241" s="844">
        <v>26658</v>
      </c>
      <c r="EM241" s="844">
        <v>26658</v>
      </c>
      <c r="EN241" s="844">
        <v>29333</v>
      </c>
      <c r="EO241" s="844">
        <v>29920</v>
      </c>
      <c r="EP241" s="844">
        <v>30519</v>
      </c>
      <c r="EQ241" s="844">
        <v>31129</v>
      </c>
      <c r="ER241" s="844">
        <v>31751</v>
      </c>
      <c r="ES241" s="844">
        <v>32386</v>
      </c>
      <c r="ET241" s="844">
        <v>33034</v>
      </c>
      <c r="EU241" s="844">
        <v>33695</v>
      </c>
      <c r="EV241" s="844">
        <v>34369</v>
      </c>
      <c r="EW241" s="844">
        <v>35056</v>
      </c>
      <c r="EX241" s="844">
        <v>35757</v>
      </c>
      <c r="EY241" s="844">
        <v>36472</v>
      </c>
      <c r="EZ241" s="844">
        <v>37202</v>
      </c>
      <c r="FA241" s="844">
        <v>37946</v>
      </c>
      <c r="FB241" s="844">
        <v>38705</v>
      </c>
      <c r="FC241" s="844">
        <v>39479</v>
      </c>
      <c r="FD241" s="844">
        <v>40269</v>
      </c>
      <c r="FE241" s="844">
        <v>41074</v>
      </c>
      <c r="FF241" s="844">
        <v>42200</v>
      </c>
      <c r="FG241" s="844">
        <v>43600</v>
      </c>
      <c r="FH241" s="844">
        <v>45000</v>
      </c>
      <c r="FI241" s="844">
        <v>46400</v>
      </c>
      <c r="FJ241" s="844">
        <v>47800</v>
      </c>
      <c r="FK241" s="844">
        <v>49200</v>
      </c>
      <c r="FL241" s="844">
        <v>50600</v>
      </c>
      <c r="FM241" s="844">
        <v>52000</v>
      </c>
      <c r="FN241" s="844">
        <v>53400</v>
      </c>
      <c r="FO241" s="844">
        <v>54800</v>
      </c>
      <c r="FP241" s="844">
        <v>56200</v>
      </c>
      <c r="FQ241" s="844">
        <v>57600</v>
      </c>
      <c r="FR241" s="844">
        <v>59000</v>
      </c>
      <c r="FS241" s="844">
        <v>60400</v>
      </c>
      <c r="FT241" s="844">
        <v>61800</v>
      </c>
      <c r="FU241" s="844">
        <v>63200</v>
      </c>
      <c r="FV241" s="844">
        <v>64600</v>
      </c>
      <c r="FW241" s="844">
        <v>66000</v>
      </c>
      <c r="FX241" s="844">
        <v>67400</v>
      </c>
      <c r="FY241" s="844">
        <v>68800</v>
      </c>
      <c r="FZ241" s="844">
        <v>70200</v>
      </c>
      <c r="GA241" s="844">
        <v>71600</v>
      </c>
      <c r="GB241" s="844">
        <v>73000</v>
      </c>
      <c r="GC241" s="844">
        <v>74400</v>
      </c>
      <c r="GD241" s="844">
        <v>75800</v>
      </c>
      <c r="GE241" s="844">
        <v>77200</v>
      </c>
      <c r="GF241" s="844">
        <v>78600</v>
      </c>
      <c r="GG241" s="844">
        <v>80000</v>
      </c>
      <c r="GH241" s="844">
        <v>81400</v>
      </c>
      <c r="GI241" s="844">
        <v>82800</v>
      </c>
      <c r="GJ241" s="844">
        <v>84200</v>
      </c>
      <c r="GK241" s="844">
        <v>85600</v>
      </c>
      <c r="GL241" s="844">
        <v>87000</v>
      </c>
      <c r="GM241" s="844">
        <v>88400</v>
      </c>
      <c r="GN241" s="844">
        <v>89800</v>
      </c>
      <c r="GO241" s="844">
        <v>91200</v>
      </c>
      <c r="GP241" s="844">
        <v>92600</v>
      </c>
      <c r="GQ241" s="844">
        <v>94000</v>
      </c>
      <c r="GR241" s="844">
        <v>95400</v>
      </c>
      <c r="GS241" s="844">
        <v>96800</v>
      </c>
      <c r="GT241" s="844">
        <v>98200</v>
      </c>
      <c r="GU241" s="844">
        <v>99600</v>
      </c>
      <c r="GV241" s="844">
        <v>101000</v>
      </c>
      <c r="GW241" s="844">
        <v>102400</v>
      </c>
      <c r="GX241" s="844">
        <v>103800</v>
      </c>
      <c r="GY241" s="844">
        <v>105200</v>
      </c>
      <c r="GZ241" s="844">
        <v>106600</v>
      </c>
      <c r="HA241" s="844">
        <v>108000</v>
      </c>
      <c r="HB241" s="844">
        <v>109400</v>
      </c>
      <c r="HC241" s="844">
        <v>110800</v>
      </c>
      <c r="HD241" s="844">
        <v>112200</v>
      </c>
      <c r="HE241" s="844">
        <v>113600</v>
      </c>
      <c r="HF241" s="844">
        <v>115000</v>
      </c>
      <c r="HG241" s="844">
        <v>116400</v>
      </c>
      <c r="HH241" s="844">
        <v>117800</v>
      </c>
      <c r="HI241" s="844">
        <v>119200</v>
      </c>
      <c r="HJ241" s="844">
        <v>120600</v>
      </c>
      <c r="HK241" s="844">
        <v>122000</v>
      </c>
      <c r="HL241" s="844">
        <v>123400</v>
      </c>
      <c r="HM241" s="844">
        <v>124800</v>
      </c>
      <c r="HN241" s="844">
        <v>126200</v>
      </c>
      <c r="HO241" s="844">
        <v>127600</v>
      </c>
      <c r="HP241" s="844">
        <v>129000</v>
      </c>
      <c r="HQ241" s="844">
        <v>130400</v>
      </c>
      <c r="HR241" s="844">
        <v>131800</v>
      </c>
      <c r="HS241" s="844">
        <v>133200</v>
      </c>
      <c r="HT241" s="844">
        <v>134600</v>
      </c>
      <c r="HU241" s="844">
        <v>136000</v>
      </c>
      <c r="HV241" s="844">
        <v>137400</v>
      </c>
      <c r="HW241" s="844">
        <v>138800</v>
      </c>
      <c r="HX241" s="844">
        <v>140200</v>
      </c>
      <c r="HY241" s="844">
        <v>141600</v>
      </c>
      <c r="HZ241" s="844">
        <v>143000</v>
      </c>
      <c r="IA241" s="844">
        <v>144400</v>
      </c>
      <c r="IB241" s="844">
        <v>145800</v>
      </c>
      <c r="IC241" s="844">
        <v>147200</v>
      </c>
      <c r="ID241" s="844">
        <v>148600</v>
      </c>
      <c r="IE241" s="844">
        <v>0</v>
      </c>
      <c r="IF241" s="844">
        <v>0</v>
      </c>
      <c r="IG241" s="844">
        <v>0</v>
      </c>
      <c r="IH241" s="844">
        <v>0</v>
      </c>
      <c r="II241" s="844">
        <v>0</v>
      </c>
      <c r="IJ241" s="844">
        <v>0</v>
      </c>
    </row>
    <row r="242" spans="9:244" hidden="1">
      <c r="I242" s="156"/>
      <c r="L242" s="846" t="s">
        <v>1060</v>
      </c>
      <c r="M242" s="846" t="s">
        <v>1382</v>
      </c>
      <c r="N242" s="846" t="s">
        <v>97</v>
      </c>
      <c r="O242" s="847">
        <v>7</v>
      </c>
      <c r="P242" s="780" t="str">
        <f t="shared" si="8"/>
        <v>IWT060207</v>
      </c>
      <c r="Q242" s="847">
        <v>0</v>
      </c>
      <c r="R242" s="847">
        <v>0</v>
      </c>
      <c r="S242" s="847">
        <v>0</v>
      </c>
      <c r="T242" s="847">
        <v>0</v>
      </c>
      <c r="U242" s="847">
        <v>0</v>
      </c>
      <c r="V242" s="847">
        <v>0</v>
      </c>
      <c r="W242" s="847">
        <v>0</v>
      </c>
      <c r="X242" s="847">
        <v>0</v>
      </c>
      <c r="Y242" s="847">
        <v>0</v>
      </c>
      <c r="Z242" s="847">
        <v>0</v>
      </c>
      <c r="AA242" s="847">
        <v>0</v>
      </c>
      <c r="AB242" s="847">
        <v>0</v>
      </c>
      <c r="AC242" s="847">
        <v>0</v>
      </c>
      <c r="AD242" s="847">
        <v>0</v>
      </c>
      <c r="AE242" s="847">
        <v>0</v>
      </c>
      <c r="AF242" s="847">
        <v>0</v>
      </c>
      <c r="AG242" s="847">
        <v>0</v>
      </c>
      <c r="AH242" s="847">
        <v>0</v>
      </c>
      <c r="AI242" s="847">
        <v>0</v>
      </c>
      <c r="AJ242" s="847">
        <v>0</v>
      </c>
      <c r="AK242" s="847">
        <v>0</v>
      </c>
      <c r="AL242" s="847">
        <v>0</v>
      </c>
      <c r="AM242" s="847">
        <v>0</v>
      </c>
      <c r="AN242" s="847">
        <v>0</v>
      </c>
      <c r="AO242" s="847">
        <v>0</v>
      </c>
      <c r="AP242" s="847">
        <v>0</v>
      </c>
      <c r="AQ242" s="847">
        <v>0</v>
      </c>
      <c r="AR242" s="847">
        <v>0</v>
      </c>
      <c r="AS242" s="847">
        <v>0</v>
      </c>
      <c r="AT242" s="847">
        <v>0</v>
      </c>
      <c r="AU242" s="847">
        <v>0</v>
      </c>
      <c r="AV242" s="847">
        <v>0</v>
      </c>
      <c r="AW242" s="847">
        <v>0</v>
      </c>
      <c r="AX242" s="847">
        <v>0</v>
      </c>
      <c r="AY242" s="847">
        <v>0</v>
      </c>
      <c r="AZ242" s="847">
        <v>0</v>
      </c>
      <c r="BA242" s="847">
        <v>0</v>
      </c>
      <c r="BB242" s="847">
        <v>0</v>
      </c>
      <c r="BC242" s="847">
        <v>0</v>
      </c>
      <c r="BD242" s="847">
        <v>0</v>
      </c>
      <c r="BE242" s="847">
        <v>0</v>
      </c>
      <c r="BF242" s="847">
        <v>0</v>
      </c>
      <c r="BG242" s="847">
        <v>0</v>
      </c>
      <c r="BH242" s="847">
        <v>0</v>
      </c>
      <c r="BI242" s="847">
        <v>0</v>
      </c>
      <c r="BJ242" s="847">
        <v>0</v>
      </c>
      <c r="BK242" s="847">
        <v>0</v>
      </c>
      <c r="BL242" s="847">
        <v>0</v>
      </c>
      <c r="BM242" s="847">
        <v>0</v>
      </c>
      <c r="BN242" s="847">
        <v>0</v>
      </c>
      <c r="BO242" s="847">
        <v>0</v>
      </c>
      <c r="BP242" s="847">
        <v>0</v>
      </c>
      <c r="BQ242" s="847">
        <v>0</v>
      </c>
      <c r="BR242" s="847">
        <v>0</v>
      </c>
      <c r="BS242" s="847">
        <v>0</v>
      </c>
      <c r="BT242" s="847">
        <v>0</v>
      </c>
      <c r="BU242" s="847">
        <v>0</v>
      </c>
      <c r="BV242" s="847">
        <v>0</v>
      </c>
      <c r="BW242" s="847">
        <v>0</v>
      </c>
      <c r="BX242" s="847">
        <v>0</v>
      </c>
      <c r="BY242" s="847">
        <v>0</v>
      </c>
      <c r="BZ242" s="847">
        <v>0</v>
      </c>
      <c r="CA242" s="847">
        <v>0</v>
      </c>
      <c r="CB242" s="847">
        <v>0</v>
      </c>
      <c r="CC242" s="847">
        <v>0</v>
      </c>
      <c r="CD242" s="847">
        <v>0</v>
      </c>
      <c r="CE242" s="847">
        <v>0</v>
      </c>
      <c r="CF242" s="847">
        <v>0</v>
      </c>
      <c r="CG242" s="847">
        <v>0</v>
      </c>
      <c r="CH242" s="847">
        <v>0</v>
      </c>
      <c r="CI242" s="847">
        <v>0</v>
      </c>
      <c r="CJ242" s="847">
        <v>0</v>
      </c>
      <c r="CK242" s="847">
        <v>0</v>
      </c>
      <c r="CL242" s="847">
        <v>0</v>
      </c>
      <c r="CM242" s="847">
        <v>0</v>
      </c>
      <c r="CN242" s="847">
        <v>0</v>
      </c>
      <c r="CO242" s="847">
        <v>0</v>
      </c>
      <c r="CP242" s="847">
        <v>0</v>
      </c>
      <c r="CQ242" s="847">
        <v>0</v>
      </c>
      <c r="CR242" s="847">
        <v>0</v>
      </c>
      <c r="CS242" s="847">
        <v>0</v>
      </c>
      <c r="CT242" s="847">
        <v>0</v>
      </c>
      <c r="CU242" s="847">
        <v>0</v>
      </c>
      <c r="CV242" s="847">
        <v>0</v>
      </c>
      <c r="CW242" s="847">
        <v>0</v>
      </c>
      <c r="CX242" s="847">
        <v>0</v>
      </c>
      <c r="CY242" s="847">
        <v>0</v>
      </c>
      <c r="CZ242" s="847">
        <v>0</v>
      </c>
      <c r="DA242" s="847">
        <v>0</v>
      </c>
      <c r="DB242" s="847">
        <v>0</v>
      </c>
      <c r="DC242" s="847">
        <v>0</v>
      </c>
      <c r="DD242" s="847">
        <v>0</v>
      </c>
      <c r="DE242" s="847">
        <v>0</v>
      </c>
      <c r="DF242" s="847">
        <v>0</v>
      </c>
      <c r="DG242" s="847">
        <v>0</v>
      </c>
      <c r="DH242" s="847">
        <v>0</v>
      </c>
      <c r="DI242" s="847">
        <v>0</v>
      </c>
      <c r="DJ242" s="847">
        <v>0</v>
      </c>
      <c r="DK242" s="847">
        <v>0</v>
      </c>
      <c r="DL242" s="847">
        <v>0</v>
      </c>
      <c r="DM242" s="847">
        <v>0</v>
      </c>
      <c r="DN242" s="847">
        <v>0</v>
      </c>
      <c r="DO242" s="847">
        <v>0</v>
      </c>
      <c r="DP242" s="847">
        <v>147200</v>
      </c>
      <c r="DQ242" s="847">
        <v>0</v>
      </c>
      <c r="DR242" s="847">
        <v>0</v>
      </c>
      <c r="DS242" s="847">
        <v>0</v>
      </c>
      <c r="DT242" s="847">
        <v>0</v>
      </c>
      <c r="DU242" s="847">
        <v>0</v>
      </c>
      <c r="DV242" s="847">
        <v>0</v>
      </c>
      <c r="DW242" s="847">
        <v>0</v>
      </c>
      <c r="DY242" s="843" t="s">
        <v>1060</v>
      </c>
      <c r="DZ242" s="843" t="s">
        <v>1382</v>
      </c>
      <c r="EA242" s="843" t="s">
        <v>97</v>
      </c>
      <c r="EB242" s="844">
        <v>7</v>
      </c>
      <c r="EC242" s="780" t="str">
        <f t="shared" si="9"/>
        <v>IWT060207</v>
      </c>
      <c r="ED242" s="844">
        <v>4473</v>
      </c>
      <c r="EE242" s="844">
        <v>8946</v>
      </c>
      <c r="EF242" s="844">
        <v>13419</v>
      </c>
      <c r="EG242" s="844">
        <v>17892</v>
      </c>
      <c r="EH242" s="844">
        <v>22365</v>
      </c>
      <c r="EI242" s="844">
        <v>26838</v>
      </c>
      <c r="EJ242" s="844">
        <v>26838</v>
      </c>
      <c r="EK242" s="844">
        <v>26838</v>
      </c>
      <c r="EL242" s="844">
        <v>26838</v>
      </c>
      <c r="EM242" s="844">
        <v>28949</v>
      </c>
      <c r="EN242" s="844">
        <v>29528</v>
      </c>
      <c r="EO242" s="844">
        <v>30118</v>
      </c>
      <c r="EP242" s="844">
        <v>30721</v>
      </c>
      <c r="EQ242" s="844">
        <v>31335</v>
      </c>
      <c r="ER242" s="844">
        <v>31962</v>
      </c>
      <c r="ES242" s="844">
        <v>32601</v>
      </c>
      <c r="ET242" s="844">
        <v>33253</v>
      </c>
      <c r="EU242" s="844">
        <v>33918</v>
      </c>
      <c r="EV242" s="844">
        <v>34597</v>
      </c>
      <c r="EW242" s="844">
        <v>35289</v>
      </c>
      <c r="EX242" s="844">
        <v>35994</v>
      </c>
      <c r="EY242" s="844">
        <v>36714</v>
      </c>
      <c r="EZ242" s="844">
        <v>37448</v>
      </c>
      <c r="FA242" s="844">
        <v>38197</v>
      </c>
      <c r="FB242" s="844">
        <v>38961</v>
      </c>
      <c r="FC242" s="844">
        <v>39741</v>
      </c>
      <c r="FD242" s="844">
        <v>40535</v>
      </c>
      <c r="FE242" s="844">
        <v>41346</v>
      </c>
      <c r="FF242" s="844">
        <v>42200</v>
      </c>
      <c r="FG242" s="844">
        <v>43600</v>
      </c>
      <c r="FH242" s="844">
        <v>45000</v>
      </c>
      <c r="FI242" s="844">
        <v>46400</v>
      </c>
      <c r="FJ242" s="844">
        <v>47800</v>
      </c>
      <c r="FK242" s="844">
        <v>49200</v>
      </c>
      <c r="FL242" s="844">
        <v>50600</v>
      </c>
      <c r="FM242" s="844">
        <v>52000</v>
      </c>
      <c r="FN242" s="844">
        <v>53400</v>
      </c>
      <c r="FO242" s="844">
        <v>54800</v>
      </c>
      <c r="FP242" s="844">
        <v>56200</v>
      </c>
      <c r="FQ242" s="844">
        <v>57600</v>
      </c>
      <c r="FR242" s="844">
        <v>59000</v>
      </c>
      <c r="FS242" s="844">
        <v>60400</v>
      </c>
      <c r="FT242" s="844">
        <v>61800</v>
      </c>
      <c r="FU242" s="844">
        <v>63200</v>
      </c>
      <c r="FV242" s="844">
        <v>64600</v>
      </c>
      <c r="FW242" s="844">
        <v>66000</v>
      </c>
      <c r="FX242" s="844">
        <v>67400</v>
      </c>
      <c r="FY242" s="844">
        <v>68800</v>
      </c>
      <c r="FZ242" s="844">
        <v>70200</v>
      </c>
      <c r="GA242" s="844">
        <v>71600</v>
      </c>
      <c r="GB242" s="844">
        <v>73000</v>
      </c>
      <c r="GC242" s="844">
        <v>74400</v>
      </c>
      <c r="GD242" s="844">
        <v>75800</v>
      </c>
      <c r="GE242" s="844">
        <v>77200</v>
      </c>
      <c r="GF242" s="844">
        <v>78600</v>
      </c>
      <c r="GG242" s="844">
        <v>80000</v>
      </c>
      <c r="GH242" s="844">
        <v>81400</v>
      </c>
      <c r="GI242" s="844">
        <v>82800</v>
      </c>
      <c r="GJ242" s="844">
        <v>84200</v>
      </c>
      <c r="GK242" s="844">
        <v>85600</v>
      </c>
      <c r="GL242" s="844">
        <v>87000</v>
      </c>
      <c r="GM242" s="844">
        <v>88400</v>
      </c>
      <c r="GN242" s="844">
        <v>89800</v>
      </c>
      <c r="GO242" s="844">
        <v>91200</v>
      </c>
      <c r="GP242" s="844">
        <v>92600</v>
      </c>
      <c r="GQ242" s="844">
        <v>94000</v>
      </c>
      <c r="GR242" s="844">
        <v>95400</v>
      </c>
      <c r="GS242" s="844">
        <v>96800</v>
      </c>
      <c r="GT242" s="844">
        <v>98200</v>
      </c>
      <c r="GU242" s="844">
        <v>99600</v>
      </c>
      <c r="GV242" s="844">
        <v>101000</v>
      </c>
      <c r="GW242" s="844">
        <v>102400</v>
      </c>
      <c r="GX242" s="844">
        <v>103800</v>
      </c>
      <c r="GY242" s="844">
        <v>105200</v>
      </c>
      <c r="GZ242" s="844">
        <v>106600</v>
      </c>
      <c r="HA242" s="844">
        <v>108000</v>
      </c>
      <c r="HB242" s="844">
        <v>109400</v>
      </c>
      <c r="HC242" s="844">
        <v>110800</v>
      </c>
      <c r="HD242" s="844">
        <v>112200</v>
      </c>
      <c r="HE242" s="844">
        <v>113600</v>
      </c>
      <c r="HF242" s="844">
        <v>115000</v>
      </c>
      <c r="HG242" s="844">
        <v>116400</v>
      </c>
      <c r="HH242" s="844">
        <v>117800</v>
      </c>
      <c r="HI242" s="844">
        <v>119200</v>
      </c>
      <c r="HJ242" s="844">
        <v>120600</v>
      </c>
      <c r="HK242" s="844">
        <v>122000</v>
      </c>
      <c r="HL242" s="844">
        <v>123400</v>
      </c>
      <c r="HM242" s="844">
        <v>124800</v>
      </c>
      <c r="HN242" s="844">
        <v>126200</v>
      </c>
      <c r="HO242" s="844">
        <v>127600</v>
      </c>
      <c r="HP242" s="844">
        <v>129000</v>
      </c>
      <c r="HQ242" s="844">
        <v>130400</v>
      </c>
      <c r="HR242" s="844">
        <v>131800</v>
      </c>
      <c r="HS242" s="844">
        <v>133200</v>
      </c>
      <c r="HT242" s="844">
        <v>134600</v>
      </c>
      <c r="HU242" s="844">
        <v>136000</v>
      </c>
      <c r="HV242" s="844">
        <v>137400</v>
      </c>
      <c r="HW242" s="844">
        <v>138800</v>
      </c>
      <c r="HX242" s="844">
        <v>140200</v>
      </c>
      <c r="HY242" s="844">
        <v>141600</v>
      </c>
      <c r="HZ242" s="844">
        <v>143000</v>
      </c>
      <c r="IA242" s="844">
        <v>144400</v>
      </c>
      <c r="IB242" s="844">
        <v>145800</v>
      </c>
      <c r="IC242" s="844">
        <v>147200</v>
      </c>
      <c r="ID242" s="844">
        <v>0</v>
      </c>
      <c r="IE242" s="844">
        <v>0</v>
      </c>
      <c r="IF242" s="844">
        <v>0</v>
      </c>
      <c r="IG242" s="844">
        <v>0</v>
      </c>
      <c r="IH242" s="844">
        <v>0</v>
      </c>
      <c r="II242" s="844">
        <v>0</v>
      </c>
      <c r="IJ242" s="844">
        <v>0</v>
      </c>
    </row>
    <row r="243" spans="9:244" hidden="1">
      <c r="I243" s="156"/>
      <c r="L243" s="846" t="s">
        <v>1060</v>
      </c>
      <c r="M243" s="846" t="s">
        <v>1382</v>
      </c>
      <c r="N243" s="846" t="s">
        <v>97</v>
      </c>
      <c r="O243" s="847">
        <v>8</v>
      </c>
      <c r="P243" s="780" t="str">
        <f t="shared" si="8"/>
        <v>IWT060208</v>
      </c>
      <c r="Q243" s="847">
        <v>0</v>
      </c>
      <c r="R243" s="847">
        <v>0</v>
      </c>
      <c r="S243" s="847">
        <v>0</v>
      </c>
      <c r="T243" s="847">
        <v>0</v>
      </c>
      <c r="U243" s="847">
        <v>0</v>
      </c>
      <c r="V243" s="847">
        <v>0</v>
      </c>
      <c r="W243" s="847">
        <v>0</v>
      </c>
      <c r="X243" s="847">
        <v>0</v>
      </c>
      <c r="Y243" s="847">
        <v>0</v>
      </c>
      <c r="Z243" s="847">
        <v>0</v>
      </c>
      <c r="AA243" s="847">
        <v>0</v>
      </c>
      <c r="AB243" s="847">
        <v>0</v>
      </c>
      <c r="AC243" s="847">
        <v>0</v>
      </c>
      <c r="AD243" s="847">
        <v>0</v>
      </c>
      <c r="AE243" s="847">
        <v>0</v>
      </c>
      <c r="AF243" s="847">
        <v>0</v>
      </c>
      <c r="AG243" s="847">
        <v>0</v>
      </c>
      <c r="AH243" s="847">
        <v>0</v>
      </c>
      <c r="AI243" s="847">
        <v>0</v>
      </c>
      <c r="AJ243" s="847">
        <v>0</v>
      </c>
      <c r="AK243" s="847">
        <v>0</v>
      </c>
      <c r="AL243" s="847">
        <v>0</v>
      </c>
      <c r="AM243" s="847">
        <v>0</v>
      </c>
      <c r="AN243" s="847">
        <v>0</v>
      </c>
      <c r="AO243" s="847">
        <v>0</v>
      </c>
      <c r="AP243" s="847">
        <v>0</v>
      </c>
      <c r="AQ243" s="847">
        <v>0</v>
      </c>
      <c r="AR243" s="847">
        <v>0</v>
      </c>
      <c r="AS243" s="847">
        <v>0</v>
      </c>
      <c r="AT243" s="847">
        <v>0</v>
      </c>
      <c r="AU243" s="847">
        <v>0</v>
      </c>
      <c r="AV243" s="847">
        <v>0</v>
      </c>
      <c r="AW243" s="847">
        <v>0</v>
      </c>
      <c r="AX243" s="847">
        <v>0</v>
      </c>
      <c r="AY243" s="847">
        <v>0</v>
      </c>
      <c r="AZ243" s="847">
        <v>0</v>
      </c>
      <c r="BA243" s="847">
        <v>0</v>
      </c>
      <c r="BB243" s="847">
        <v>0</v>
      </c>
      <c r="BC243" s="847">
        <v>0</v>
      </c>
      <c r="BD243" s="847">
        <v>0</v>
      </c>
      <c r="BE243" s="847">
        <v>0</v>
      </c>
      <c r="BF243" s="847">
        <v>0</v>
      </c>
      <c r="BG243" s="847">
        <v>0</v>
      </c>
      <c r="BH243" s="847">
        <v>0</v>
      </c>
      <c r="BI243" s="847">
        <v>0</v>
      </c>
      <c r="BJ243" s="847">
        <v>0</v>
      </c>
      <c r="BK243" s="847">
        <v>0</v>
      </c>
      <c r="BL243" s="847">
        <v>0</v>
      </c>
      <c r="BM243" s="847">
        <v>0</v>
      </c>
      <c r="BN243" s="847">
        <v>0</v>
      </c>
      <c r="BO243" s="847">
        <v>0</v>
      </c>
      <c r="BP243" s="847">
        <v>0</v>
      </c>
      <c r="BQ243" s="847">
        <v>0</v>
      </c>
      <c r="BR243" s="847">
        <v>0</v>
      </c>
      <c r="BS243" s="847">
        <v>0</v>
      </c>
      <c r="BT243" s="847">
        <v>0</v>
      </c>
      <c r="BU243" s="847">
        <v>0</v>
      </c>
      <c r="BV243" s="847">
        <v>0</v>
      </c>
      <c r="BW243" s="847">
        <v>0</v>
      </c>
      <c r="BX243" s="847">
        <v>0</v>
      </c>
      <c r="BY243" s="847">
        <v>0</v>
      </c>
      <c r="BZ243" s="847">
        <v>0</v>
      </c>
      <c r="CA243" s="847">
        <v>0</v>
      </c>
      <c r="CB243" s="847">
        <v>0</v>
      </c>
      <c r="CC243" s="847">
        <v>0</v>
      </c>
      <c r="CD243" s="847">
        <v>0</v>
      </c>
      <c r="CE243" s="847">
        <v>0</v>
      </c>
      <c r="CF243" s="847">
        <v>0</v>
      </c>
      <c r="CG243" s="847">
        <v>0</v>
      </c>
      <c r="CH243" s="847">
        <v>0</v>
      </c>
      <c r="CI243" s="847">
        <v>0</v>
      </c>
      <c r="CJ243" s="847">
        <v>0</v>
      </c>
      <c r="CK243" s="847">
        <v>0</v>
      </c>
      <c r="CL243" s="847">
        <v>0</v>
      </c>
      <c r="CM243" s="847">
        <v>0</v>
      </c>
      <c r="CN243" s="847">
        <v>0</v>
      </c>
      <c r="CO243" s="847">
        <v>0</v>
      </c>
      <c r="CP243" s="847">
        <v>0</v>
      </c>
      <c r="CQ243" s="847">
        <v>0</v>
      </c>
      <c r="CR243" s="847">
        <v>0</v>
      </c>
      <c r="CS243" s="847">
        <v>0</v>
      </c>
      <c r="CT243" s="847">
        <v>0</v>
      </c>
      <c r="CU243" s="847">
        <v>0</v>
      </c>
      <c r="CV243" s="847">
        <v>0</v>
      </c>
      <c r="CW243" s="847">
        <v>0</v>
      </c>
      <c r="CX243" s="847">
        <v>0</v>
      </c>
      <c r="CY243" s="847">
        <v>0</v>
      </c>
      <c r="CZ243" s="847">
        <v>0</v>
      </c>
      <c r="DA243" s="847">
        <v>0</v>
      </c>
      <c r="DB243" s="847">
        <v>0</v>
      </c>
      <c r="DC243" s="847">
        <v>0</v>
      </c>
      <c r="DD243" s="847">
        <v>0</v>
      </c>
      <c r="DE243" s="847">
        <v>0</v>
      </c>
      <c r="DF243" s="847">
        <v>0</v>
      </c>
      <c r="DG243" s="847">
        <v>0</v>
      </c>
      <c r="DH243" s="847">
        <v>0</v>
      </c>
      <c r="DI243" s="847">
        <v>0</v>
      </c>
      <c r="DJ243" s="847">
        <v>0</v>
      </c>
      <c r="DK243" s="847">
        <v>0</v>
      </c>
      <c r="DL243" s="847">
        <v>0</v>
      </c>
      <c r="DM243" s="847">
        <v>0</v>
      </c>
      <c r="DN243" s="847">
        <v>0</v>
      </c>
      <c r="DO243" s="847">
        <v>145800</v>
      </c>
      <c r="DP243" s="847">
        <v>0</v>
      </c>
      <c r="DQ243" s="847">
        <v>0</v>
      </c>
      <c r="DR243" s="847">
        <v>0</v>
      </c>
      <c r="DS243" s="847">
        <v>0</v>
      </c>
      <c r="DT243" s="847">
        <v>0</v>
      </c>
      <c r="DU243" s="847">
        <v>0</v>
      </c>
      <c r="DV243" s="847">
        <v>0</v>
      </c>
      <c r="DW243" s="847">
        <v>0</v>
      </c>
      <c r="DY243" s="843" t="s">
        <v>1060</v>
      </c>
      <c r="DZ243" s="843" t="s">
        <v>1382</v>
      </c>
      <c r="EA243" s="843" t="s">
        <v>97</v>
      </c>
      <c r="EB243" s="844">
        <v>8</v>
      </c>
      <c r="EC243" s="780" t="str">
        <f t="shared" si="9"/>
        <v>IWT060208</v>
      </c>
      <c r="ED243" s="844">
        <v>4501</v>
      </c>
      <c r="EE243" s="844">
        <v>9002</v>
      </c>
      <c r="EF243" s="844">
        <v>13503</v>
      </c>
      <c r="EG243" s="844">
        <v>18004</v>
      </c>
      <c r="EH243" s="844">
        <v>22505</v>
      </c>
      <c r="EI243" s="844">
        <v>27006</v>
      </c>
      <c r="EJ243" s="844">
        <v>27006</v>
      </c>
      <c r="EK243" s="844">
        <v>27006</v>
      </c>
      <c r="EL243" s="844">
        <v>28626.400000000001</v>
      </c>
      <c r="EM243" s="844">
        <v>29136</v>
      </c>
      <c r="EN243" s="844">
        <v>29719</v>
      </c>
      <c r="EO243" s="844">
        <v>30313</v>
      </c>
      <c r="EP243" s="844">
        <v>30919</v>
      </c>
      <c r="EQ243" s="844">
        <v>31538</v>
      </c>
      <c r="ER243" s="844">
        <v>32169</v>
      </c>
      <c r="ES243" s="844">
        <v>32812</v>
      </c>
      <c r="ET243" s="844">
        <v>33468</v>
      </c>
      <c r="EU243" s="844">
        <v>34138</v>
      </c>
      <c r="EV243" s="844">
        <v>34820</v>
      </c>
      <c r="EW243" s="844">
        <v>35517</v>
      </c>
      <c r="EX243" s="844">
        <v>36227</v>
      </c>
      <c r="EY243" s="844">
        <v>36952</v>
      </c>
      <c r="EZ243" s="844">
        <v>37691</v>
      </c>
      <c r="FA243" s="844">
        <v>38444</v>
      </c>
      <c r="FB243" s="844">
        <v>39213</v>
      </c>
      <c r="FC243" s="844">
        <v>39998</v>
      </c>
      <c r="FD243" s="844">
        <v>40798</v>
      </c>
      <c r="FE243" s="844">
        <v>41613</v>
      </c>
      <c r="FF243" s="844">
        <v>42446</v>
      </c>
      <c r="FG243" s="844">
        <v>43600</v>
      </c>
      <c r="FH243" s="844">
        <v>45000</v>
      </c>
      <c r="FI243" s="844">
        <v>46400</v>
      </c>
      <c r="FJ243" s="844">
        <v>47800</v>
      </c>
      <c r="FK243" s="844">
        <v>49200</v>
      </c>
      <c r="FL243" s="844">
        <v>50600</v>
      </c>
      <c r="FM243" s="844">
        <v>52000</v>
      </c>
      <c r="FN243" s="844">
        <v>53400</v>
      </c>
      <c r="FO243" s="844">
        <v>54800</v>
      </c>
      <c r="FP243" s="844">
        <v>56200</v>
      </c>
      <c r="FQ243" s="844">
        <v>57600</v>
      </c>
      <c r="FR243" s="844">
        <v>59000</v>
      </c>
      <c r="FS243" s="844">
        <v>60400</v>
      </c>
      <c r="FT243" s="844">
        <v>61800</v>
      </c>
      <c r="FU243" s="844">
        <v>63200</v>
      </c>
      <c r="FV243" s="844">
        <v>64600</v>
      </c>
      <c r="FW243" s="844">
        <v>66000</v>
      </c>
      <c r="FX243" s="844">
        <v>67400</v>
      </c>
      <c r="FY243" s="844">
        <v>68800</v>
      </c>
      <c r="FZ243" s="844">
        <v>70200</v>
      </c>
      <c r="GA243" s="844">
        <v>71600</v>
      </c>
      <c r="GB243" s="844">
        <v>73000</v>
      </c>
      <c r="GC243" s="844">
        <v>74400</v>
      </c>
      <c r="GD243" s="844">
        <v>75800</v>
      </c>
      <c r="GE243" s="844">
        <v>77200</v>
      </c>
      <c r="GF243" s="844">
        <v>78600</v>
      </c>
      <c r="GG243" s="844">
        <v>80000</v>
      </c>
      <c r="GH243" s="844">
        <v>81400</v>
      </c>
      <c r="GI243" s="844">
        <v>82800</v>
      </c>
      <c r="GJ243" s="844">
        <v>84200</v>
      </c>
      <c r="GK243" s="844">
        <v>85600</v>
      </c>
      <c r="GL243" s="844">
        <v>87000</v>
      </c>
      <c r="GM243" s="844">
        <v>88400</v>
      </c>
      <c r="GN243" s="844">
        <v>89800</v>
      </c>
      <c r="GO243" s="844">
        <v>91200</v>
      </c>
      <c r="GP243" s="844">
        <v>92600</v>
      </c>
      <c r="GQ243" s="844">
        <v>94000</v>
      </c>
      <c r="GR243" s="844">
        <v>95400</v>
      </c>
      <c r="GS243" s="844">
        <v>96800</v>
      </c>
      <c r="GT243" s="844">
        <v>98200</v>
      </c>
      <c r="GU243" s="844">
        <v>99600</v>
      </c>
      <c r="GV243" s="844">
        <v>101000</v>
      </c>
      <c r="GW243" s="844">
        <v>102400</v>
      </c>
      <c r="GX243" s="844">
        <v>103800</v>
      </c>
      <c r="GY243" s="844">
        <v>105200</v>
      </c>
      <c r="GZ243" s="844">
        <v>106600</v>
      </c>
      <c r="HA243" s="844">
        <v>108000</v>
      </c>
      <c r="HB243" s="844">
        <v>109400</v>
      </c>
      <c r="HC243" s="844">
        <v>110800</v>
      </c>
      <c r="HD243" s="844">
        <v>112200</v>
      </c>
      <c r="HE243" s="844">
        <v>113600</v>
      </c>
      <c r="HF243" s="844">
        <v>115000</v>
      </c>
      <c r="HG243" s="844">
        <v>116400</v>
      </c>
      <c r="HH243" s="844">
        <v>117800</v>
      </c>
      <c r="HI243" s="844">
        <v>119200</v>
      </c>
      <c r="HJ243" s="844">
        <v>120600</v>
      </c>
      <c r="HK243" s="844">
        <v>122000</v>
      </c>
      <c r="HL243" s="844">
        <v>123400</v>
      </c>
      <c r="HM243" s="844">
        <v>124800</v>
      </c>
      <c r="HN243" s="844">
        <v>126200</v>
      </c>
      <c r="HO243" s="844">
        <v>127600</v>
      </c>
      <c r="HP243" s="844">
        <v>129000</v>
      </c>
      <c r="HQ243" s="844">
        <v>130400</v>
      </c>
      <c r="HR243" s="844">
        <v>131800</v>
      </c>
      <c r="HS243" s="844">
        <v>133200</v>
      </c>
      <c r="HT243" s="844">
        <v>134600</v>
      </c>
      <c r="HU243" s="844">
        <v>136000</v>
      </c>
      <c r="HV243" s="844">
        <v>137400</v>
      </c>
      <c r="HW243" s="844">
        <v>138800</v>
      </c>
      <c r="HX243" s="844">
        <v>140200</v>
      </c>
      <c r="HY243" s="844">
        <v>141600</v>
      </c>
      <c r="HZ243" s="844">
        <v>143000</v>
      </c>
      <c r="IA243" s="844">
        <v>144400</v>
      </c>
      <c r="IB243" s="844">
        <v>145800</v>
      </c>
      <c r="IC243" s="844">
        <v>0</v>
      </c>
      <c r="ID243" s="844">
        <v>0</v>
      </c>
      <c r="IE243" s="844">
        <v>0</v>
      </c>
      <c r="IF243" s="844">
        <v>0</v>
      </c>
      <c r="IG243" s="844">
        <v>0</v>
      </c>
      <c r="IH243" s="844">
        <v>0</v>
      </c>
      <c r="II243" s="844">
        <v>0</v>
      </c>
      <c r="IJ243" s="844">
        <v>0</v>
      </c>
    </row>
    <row r="244" spans="9:244" hidden="1">
      <c r="I244" s="156"/>
      <c r="L244" s="846" t="s">
        <v>1060</v>
      </c>
      <c r="M244" s="846" t="s">
        <v>1382</v>
      </c>
      <c r="N244" s="846" t="s">
        <v>97</v>
      </c>
      <c r="O244" s="847">
        <v>9</v>
      </c>
      <c r="P244" s="780" t="str">
        <f t="shared" si="8"/>
        <v>IWT060209</v>
      </c>
      <c r="Q244" s="847">
        <v>0</v>
      </c>
      <c r="R244" s="847">
        <v>0</v>
      </c>
      <c r="S244" s="847">
        <v>0</v>
      </c>
      <c r="T244" s="847">
        <v>0</v>
      </c>
      <c r="U244" s="847">
        <v>0</v>
      </c>
      <c r="V244" s="847">
        <v>0</v>
      </c>
      <c r="W244" s="847">
        <v>0</v>
      </c>
      <c r="X244" s="847">
        <v>0</v>
      </c>
      <c r="Y244" s="847">
        <v>0</v>
      </c>
      <c r="Z244" s="847">
        <v>0</v>
      </c>
      <c r="AA244" s="847">
        <v>0</v>
      </c>
      <c r="AB244" s="847">
        <v>0</v>
      </c>
      <c r="AC244" s="847">
        <v>0</v>
      </c>
      <c r="AD244" s="847">
        <v>0</v>
      </c>
      <c r="AE244" s="847">
        <v>0</v>
      </c>
      <c r="AF244" s="847">
        <v>0</v>
      </c>
      <c r="AG244" s="847">
        <v>0</v>
      </c>
      <c r="AH244" s="847">
        <v>0</v>
      </c>
      <c r="AI244" s="847">
        <v>0</v>
      </c>
      <c r="AJ244" s="847">
        <v>0</v>
      </c>
      <c r="AK244" s="847">
        <v>0</v>
      </c>
      <c r="AL244" s="847">
        <v>0</v>
      </c>
      <c r="AM244" s="847">
        <v>0</v>
      </c>
      <c r="AN244" s="847">
        <v>0</v>
      </c>
      <c r="AO244" s="847">
        <v>0</v>
      </c>
      <c r="AP244" s="847">
        <v>0</v>
      </c>
      <c r="AQ244" s="847">
        <v>0</v>
      </c>
      <c r="AR244" s="847">
        <v>0</v>
      </c>
      <c r="AS244" s="847">
        <v>0</v>
      </c>
      <c r="AT244" s="847">
        <v>0</v>
      </c>
      <c r="AU244" s="847">
        <v>0</v>
      </c>
      <c r="AV244" s="847">
        <v>0</v>
      </c>
      <c r="AW244" s="847">
        <v>0</v>
      </c>
      <c r="AX244" s="847">
        <v>0</v>
      </c>
      <c r="AY244" s="847">
        <v>0</v>
      </c>
      <c r="AZ244" s="847">
        <v>0</v>
      </c>
      <c r="BA244" s="847">
        <v>0</v>
      </c>
      <c r="BB244" s="847">
        <v>0</v>
      </c>
      <c r="BC244" s="847">
        <v>0</v>
      </c>
      <c r="BD244" s="847">
        <v>0</v>
      </c>
      <c r="BE244" s="847">
        <v>0</v>
      </c>
      <c r="BF244" s="847">
        <v>0</v>
      </c>
      <c r="BG244" s="847">
        <v>0</v>
      </c>
      <c r="BH244" s="847">
        <v>0</v>
      </c>
      <c r="BI244" s="847">
        <v>0</v>
      </c>
      <c r="BJ244" s="847">
        <v>0</v>
      </c>
      <c r="BK244" s="847">
        <v>0</v>
      </c>
      <c r="BL244" s="847">
        <v>0</v>
      </c>
      <c r="BM244" s="847">
        <v>0</v>
      </c>
      <c r="BN244" s="847">
        <v>0</v>
      </c>
      <c r="BO244" s="847">
        <v>0</v>
      </c>
      <c r="BP244" s="847">
        <v>0</v>
      </c>
      <c r="BQ244" s="847">
        <v>0</v>
      </c>
      <c r="BR244" s="847">
        <v>0</v>
      </c>
      <c r="BS244" s="847">
        <v>0</v>
      </c>
      <c r="BT244" s="847">
        <v>0</v>
      </c>
      <c r="BU244" s="847">
        <v>0</v>
      </c>
      <c r="BV244" s="847">
        <v>0</v>
      </c>
      <c r="BW244" s="847">
        <v>0</v>
      </c>
      <c r="BX244" s="847">
        <v>0</v>
      </c>
      <c r="BY244" s="847">
        <v>0</v>
      </c>
      <c r="BZ244" s="847">
        <v>0</v>
      </c>
      <c r="CA244" s="847">
        <v>0</v>
      </c>
      <c r="CB244" s="847">
        <v>0</v>
      </c>
      <c r="CC244" s="847">
        <v>0</v>
      </c>
      <c r="CD244" s="847">
        <v>0</v>
      </c>
      <c r="CE244" s="847">
        <v>0</v>
      </c>
      <c r="CF244" s="847">
        <v>0</v>
      </c>
      <c r="CG244" s="847">
        <v>0</v>
      </c>
      <c r="CH244" s="847">
        <v>0</v>
      </c>
      <c r="CI244" s="847">
        <v>0</v>
      </c>
      <c r="CJ244" s="847">
        <v>0</v>
      </c>
      <c r="CK244" s="847">
        <v>0</v>
      </c>
      <c r="CL244" s="847">
        <v>0</v>
      </c>
      <c r="CM244" s="847">
        <v>0</v>
      </c>
      <c r="CN244" s="847">
        <v>0</v>
      </c>
      <c r="CO244" s="847">
        <v>0</v>
      </c>
      <c r="CP244" s="847">
        <v>0</v>
      </c>
      <c r="CQ244" s="847">
        <v>0</v>
      </c>
      <c r="CR244" s="847">
        <v>0</v>
      </c>
      <c r="CS244" s="847">
        <v>0</v>
      </c>
      <c r="CT244" s="847">
        <v>0</v>
      </c>
      <c r="CU244" s="847">
        <v>0</v>
      </c>
      <c r="CV244" s="847">
        <v>0</v>
      </c>
      <c r="CW244" s="847">
        <v>0</v>
      </c>
      <c r="CX244" s="847">
        <v>0</v>
      </c>
      <c r="CY244" s="847">
        <v>0</v>
      </c>
      <c r="CZ244" s="847">
        <v>0</v>
      </c>
      <c r="DA244" s="847">
        <v>0</v>
      </c>
      <c r="DB244" s="847">
        <v>0</v>
      </c>
      <c r="DC244" s="847">
        <v>0</v>
      </c>
      <c r="DD244" s="847">
        <v>0</v>
      </c>
      <c r="DE244" s="847">
        <v>0</v>
      </c>
      <c r="DF244" s="847">
        <v>0</v>
      </c>
      <c r="DG244" s="847">
        <v>0</v>
      </c>
      <c r="DH244" s="847">
        <v>0</v>
      </c>
      <c r="DI244" s="847">
        <v>0</v>
      </c>
      <c r="DJ244" s="847">
        <v>0</v>
      </c>
      <c r="DK244" s="847">
        <v>0</v>
      </c>
      <c r="DL244" s="847">
        <v>0</v>
      </c>
      <c r="DM244" s="847">
        <v>0</v>
      </c>
      <c r="DN244" s="847">
        <v>144400</v>
      </c>
      <c r="DO244" s="847">
        <v>0</v>
      </c>
      <c r="DP244" s="847">
        <v>0</v>
      </c>
      <c r="DQ244" s="847">
        <v>0</v>
      </c>
      <c r="DR244" s="847">
        <v>0</v>
      </c>
      <c r="DS244" s="847">
        <v>0</v>
      </c>
      <c r="DT244" s="847">
        <v>0</v>
      </c>
      <c r="DU244" s="847">
        <v>0</v>
      </c>
      <c r="DV244" s="847">
        <v>0</v>
      </c>
      <c r="DW244" s="847">
        <v>0</v>
      </c>
      <c r="DY244" s="843" t="s">
        <v>1060</v>
      </c>
      <c r="DZ244" s="843" t="s">
        <v>1382</v>
      </c>
      <c r="EA244" s="843" t="s">
        <v>97</v>
      </c>
      <c r="EB244" s="844">
        <v>9</v>
      </c>
      <c r="EC244" s="780" t="str">
        <f t="shared" si="9"/>
        <v>IWT060209</v>
      </c>
      <c r="ED244" s="844">
        <v>4530</v>
      </c>
      <c r="EE244" s="844">
        <v>9060</v>
      </c>
      <c r="EF244" s="844">
        <v>13590</v>
      </c>
      <c r="EG244" s="844">
        <v>18120</v>
      </c>
      <c r="EH244" s="844">
        <v>22650</v>
      </c>
      <c r="EI244" s="844">
        <v>27180</v>
      </c>
      <c r="EJ244" s="844">
        <v>27180</v>
      </c>
      <c r="EK244" s="844">
        <v>28810.799999999999</v>
      </c>
      <c r="EL244" s="844">
        <v>28810.799999999999</v>
      </c>
      <c r="EM244" s="844">
        <v>29320</v>
      </c>
      <c r="EN244" s="844">
        <v>29906</v>
      </c>
      <c r="EO244" s="844">
        <v>30504</v>
      </c>
      <c r="EP244" s="844">
        <v>31114</v>
      </c>
      <c r="EQ244" s="844">
        <v>31737</v>
      </c>
      <c r="ER244" s="844">
        <v>32371</v>
      </c>
      <c r="ES244" s="844">
        <v>33019</v>
      </c>
      <c r="ET244" s="844">
        <v>33679</v>
      </c>
      <c r="EU244" s="844">
        <v>34353</v>
      </c>
      <c r="EV244" s="844">
        <v>35040</v>
      </c>
      <c r="EW244" s="844">
        <v>35741</v>
      </c>
      <c r="EX244" s="844">
        <v>36455</v>
      </c>
      <c r="EY244" s="844">
        <v>37184</v>
      </c>
      <c r="EZ244" s="844">
        <v>37928</v>
      </c>
      <c r="FA244" s="844">
        <v>38687</v>
      </c>
      <c r="FB244" s="844">
        <v>39460</v>
      </c>
      <c r="FC244" s="844">
        <v>40250</v>
      </c>
      <c r="FD244" s="844">
        <v>41055</v>
      </c>
      <c r="FE244" s="844">
        <v>41876</v>
      </c>
      <c r="FF244" s="844">
        <v>42713</v>
      </c>
      <c r="FG244" s="844">
        <v>43600</v>
      </c>
      <c r="FH244" s="844">
        <v>45000</v>
      </c>
      <c r="FI244" s="844">
        <v>46400</v>
      </c>
      <c r="FJ244" s="844">
        <v>47800</v>
      </c>
      <c r="FK244" s="844">
        <v>49200</v>
      </c>
      <c r="FL244" s="844">
        <v>50600</v>
      </c>
      <c r="FM244" s="844">
        <v>52000</v>
      </c>
      <c r="FN244" s="844">
        <v>53400</v>
      </c>
      <c r="FO244" s="844">
        <v>54800</v>
      </c>
      <c r="FP244" s="844">
        <v>56200</v>
      </c>
      <c r="FQ244" s="844">
        <v>57600</v>
      </c>
      <c r="FR244" s="844">
        <v>59000</v>
      </c>
      <c r="FS244" s="844">
        <v>60400</v>
      </c>
      <c r="FT244" s="844">
        <v>61800</v>
      </c>
      <c r="FU244" s="844">
        <v>63200</v>
      </c>
      <c r="FV244" s="844">
        <v>64600</v>
      </c>
      <c r="FW244" s="844">
        <v>66000</v>
      </c>
      <c r="FX244" s="844">
        <v>67400</v>
      </c>
      <c r="FY244" s="844">
        <v>68800</v>
      </c>
      <c r="FZ244" s="844">
        <v>70200</v>
      </c>
      <c r="GA244" s="844">
        <v>71600</v>
      </c>
      <c r="GB244" s="844">
        <v>73000</v>
      </c>
      <c r="GC244" s="844">
        <v>74400</v>
      </c>
      <c r="GD244" s="844">
        <v>75800</v>
      </c>
      <c r="GE244" s="844">
        <v>77200</v>
      </c>
      <c r="GF244" s="844">
        <v>78600</v>
      </c>
      <c r="GG244" s="844">
        <v>80000</v>
      </c>
      <c r="GH244" s="844">
        <v>81400</v>
      </c>
      <c r="GI244" s="844">
        <v>82800</v>
      </c>
      <c r="GJ244" s="844">
        <v>84200</v>
      </c>
      <c r="GK244" s="844">
        <v>85600</v>
      </c>
      <c r="GL244" s="844">
        <v>87000</v>
      </c>
      <c r="GM244" s="844">
        <v>88400</v>
      </c>
      <c r="GN244" s="844">
        <v>89800</v>
      </c>
      <c r="GO244" s="844">
        <v>91200</v>
      </c>
      <c r="GP244" s="844">
        <v>92600</v>
      </c>
      <c r="GQ244" s="844">
        <v>94000</v>
      </c>
      <c r="GR244" s="844">
        <v>95400</v>
      </c>
      <c r="GS244" s="844">
        <v>96800</v>
      </c>
      <c r="GT244" s="844">
        <v>98200</v>
      </c>
      <c r="GU244" s="844">
        <v>99600</v>
      </c>
      <c r="GV244" s="844">
        <v>101000</v>
      </c>
      <c r="GW244" s="844">
        <v>102400</v>
      </c>
      <c r="GX244" s="844">
        <v>103800</v>
      </c>
      <c r="GY244" s="844">
        <v>105200</v>
      </c>
      <c r="GZ244" s="844">
        <v>106600</v>
      </c>
      <c r="HA244" s="844">
        <v>108000</v>
      </c>
      <c r="HB244" s="844">
        <v>109400</v>
      </c>
      <c r="HC244" s="844">
        <v>110800</v>
      </c>
      <c r="HD244" s="844">
        <v>112200</v>
      </c>
      <c r="HE244" s="844">
        <v>113600</v>
      </c>
      <c r="HF244" s="844">
        <v>115000</v>
      </c>
      <c r="HG244" s="844">
        <v>116400</v>
      </c>
      <c r="HH244" s="844">
        <v>117800</v>
      </c>
      <c r="HI244" s="844">
        <v>119200</v>
      </c>
      <c r="HJ244" s="844">
        <v>120600</v>
      </c>
      <c r="HK244" s="844">
        <v>122000</v>
      </c>
      <c r="HL244" s="844">
        <v>123400</v>
      </c>
      <c r="HM244" s="844">
        <v>124800</v>
      </c>
      <c r="HN244" s="844">
        <v>126200</v>
      </c>
      <c r="HO244" s="844">
        <v>127600</v>
      </c>
      <c r="HP244" s="844">
        <v>129000</v>
      </c>
      <c r="HQ244" s="844">
        <v>130400</v>
      </c>
      <c r="HR244" s="844">
        <v>131800</v>
      </c>
      <c r="HS244" s="844">
        <v>133200</v>
      </c>
      <c r="HT244" s="844">
        <v>134600</v>
      </c>
      <c r="HU244" s="844">
        <v>136000</v>
      </c>
      <c r="HV244" s="844">
        <v>137400</v>
      </c>
      <c r="HW244" s="844">
        <v>138800</v>
      </c>
      <c r="HX244" s="844">
        <v>140200</v>
      </c>
      <c r="HY244" s="844">
        <v>141600</v>
      </c>
      <c r="HZ244" s="844">
        <v>143000</v>
      </c>
      <c r="IA244" s="844">
        <v>144400</v>
      </c>
      <c r="IB244" s="844">
        <v>0</v>
      </c>
      <c r="IC244" s="844">
        <v>0</v>
      </c>
      <c r="ID244" s="844">
        <v>0</v>
      </c>
      <c r="IE244" s="844">
        <v>0</v>
      </c>
      <c r="IF244" s="844">
        <v>0</v>
      </c>
      <c r="IG244" s="844">
        <v>0</v>
      </c>
      <c r="IH244" s="844">
        <v>0</v>
      </c>
      <c r="II244" s="844">
        <v>0</v>
      </c>
      <c r="IJ244" s="844">
        <v>0</v>
      </c>
    </row>
    <row r="245" spans="9:244" hidden="1">
      <c r="I245" s="156"/>
      <c r="L245" s="846" t="s">
        <v>1060</v>
      </c>
      <c r="M245" s="846" t="s">
        <v>1382</v>
      </c>
      <c r="N245" s="846" t="s">
        <v>97</v>
      </c>
      <c r="O245" s="847">
        <v>10</v>
      </c>
      <c r="P245" s="780" t="str">
        <f t="shared" si="8"/>
        <v>IWT060210</v>
      </c>
      <c r="Q245" s="847">
        <v>0</v>
      </c>
      <c r="R245" s="847">
        <v>0</v>
      </c>
      <c r="S245" s="847">
        <v>0</v>
      </c>
      <c r="T245" s="847">
        <v>0</v>
      </c>
      <c r="U245" s="847">
        <v>0</v>
      </c>
      <c r="V245" s="847">
        <v>0</v>
      </c>
      <c r="W245" s="847">
        <v>0</v>
      </c>
      <c r="X245" s="847">
        <v>0</v>
      </c>
      <c r="Y245" s="847">
        <v>0</v>
      </c>
      <c r="Z245" s="847">
        <v>0</v>
      </c>
      <c r="AA245" s="847">
        <v>0</v>
      </c>
      <c r="AB245" s="847">
        <v>0</v>
      </c>
      <c r="AC245" s="847">
        <v>0</v>
      </c>
      <c r="AD245" s="847">
        <v>0</v>
      </c>
      <c r="AE245" s="847">
        <v>0</v>
      </c>
      <c r="AF245" s="847">
        <v>0</v>
      </c>
      <c r="AG245" s="847">
        <v>0</v>
      </c>
      <c r="AH245" s="847">
        <v>0</v>
      </c>
      <c r="AI245" s="847">
        <v>0</v>
      </c>
      <c r="AJ245" s="847">
        <v>0</v>
      </c>
      <c r="AK245" s="847">
        <v>0</v>
      </c>
      <c r="AL245" s="847">
        <v>0</v>
      </c>
      <c r="AM245" s="847">
        <v>0</v>
      </c>
      <c r="AN245" s="847">
        <v>0</v>
      </c>
      <c r="AO245" s="847">
        <v>0</v>
      </c>
      <c r="AP245" s="847">
        <v>0</v>
      </c>
      <c r="AQ245" s="847">
        <v>0</v>
      </c>
      <c r="AR245" s="847">
        <v>0</v>
      </c>
      <c r="AS245" s="847">
        <v>0</v>
      </c>
      <c r="AT245" s="847">
        <v>0</v>
      </c>
      <c r="AU245" s="847">
        <v>0</v>
      </c>
      <c r="AV245" s="847">
        <v>0</v>
      </c>
      <c r="AW245" s="847">
        <v>0</v>
      </c>
      <c r="AX245" s="847">
        <v>0</v>
      </c>
      <c r="AY245" s="847">
        <v>0</v>
      </c>
      <c r="AZ245" s="847">
        <v>0</v>
      </c>
      <c r="BA245" s="847">
        <v>0</v>
      </c>
      <c r="BB245" s="847">
        <v>0</v>
      </c>
      <c r="BC245" s="847">
        <v>0</v>
      </c>
      <c r="BD245" s="847">
        <v>0</v>
      </c>
      <c r="BE245" s="847">
        <v>0</v>
      </c>
      <c r="BF245" s="847">
        <v>0</v>
      </c>
      <c r="BG245" s="847">
        <v>0</v>
      </c>
      <c r="BH245" s="847">
        <v>0</v>
      </c>
      <c r="BI245" s="847">
        <v>0</v>
      </c>
      <c r="BJ245" s="847">
        <v>0</v>
      </c>
      <c r="BK245" s="847">
        <v>0</v>
      </c>
      <c r="BL245" s="847">
        <v>0</v>
      </c>
      <c r="BM245" s="847">
        <v>0</v>
      </c>
      <c r="BN245" s="847">
        <v>0</v>
      </c>
      <c r="BO245" s="847">
        <v>0</v>
      </c>
      <c r="BP245" s="847">
        <v>0</v>
      </c>
      <c r="BQ245" s="847">
        <v>0</v>
      </c>
      <c r="BR245" s="847">
        <v>0</v>
      </c>
      <c r="BS245" s="847">
        <v>0</v>
      </c>
      <c r="BT245" s="847">
        <v>0</v>
      </c>
      <c r="BU245" s="847">
        <v>0</v>
      </c>
      <c r="BV245" s="847">
        <v>0</v>
      </c>
      <c r="BW245" s="847">
        <v>0</v>
      </c>
      <c r="BX245" s="847">
        <v>0</v>
      </c>
      <c r="BY245" s="847">
        <v>0</v>
      </c>
      <c r="BZ245" s="847">
        <v>0</v>
      </c>
      <c r="CA245" s="847">
        <v>0</v>
      </c>
      <c r="CB245" s="847">
        <v>0</v>
      </c>
      <c r="CC245" s="847">
        <v>0</v>
      </c>
      <c r="CD245" s="847">
        <v>0</v>
      </c>
      <c r="CE245" s="847">
        <v>0</v>
      </c>
      <c r="CF245" s="847">
        <v>0</v>
      </c>
      <c r="CG245" s="847">
        <v>0</v>
      </c>
      <c r="CH245" s="847">
        <v>0</v>
      </c>
      <c r="CI245" s="847">
        <v>0</v>
      </c>
      <c r="CJ245" s="847">
        <v>0</v>
      </c>
      <c r="CK245" s="847">
        <v>0</v>
      </c>
      <c r="CL245" s="847">
        <v>0</v>
      </c>
      <c r="CM245" s="847">
        <v>0</v>
      </c>
      <c r="CN245" s="847">
        <v>0</v>
      </c>
      <c r="CO245" s="847">
        <v>0</v>
      </c>
      <c r="CP245" s="847">
        <v>0</v>
      </c>
      <c r="CQ245" s="847">
        <v>0</v>
      </c>
      <c r="CR245" s="847">
        <v>0</v>
      </c>
      <c r="CS245" s="847">
        <v>0</v>
      </c>
      <c r="CT245" s="847">
        <v>0</v>
      </c>
      <c r="CU245" s="847">
        <v>0</v>
      </c>
      <c r="CV245" s="847">
        <v>0</v>
      </c>
      <c r="CW245" s="847">
        <v>0</v>
      </c>
      <c r="CX245" s="847">
        <v>0</v>
      </c>
      <c r="CY245" s="847">
        <v>0</v>
      </c>
      <c r="CZ245" s="847">
        <v>0</v>
      </c>
      <c r="DA245" s="847">
        <v>0</v>
      </c>
      <c r="DB245" s="847">
        <v>0</v>
      </c>
      <c r="DC245" s="847">
        <v>0</v>
      </c>
      <c r="DD245" s="847">
        <v>0</v>
      </c>
      <c r="DE245" s="847">
        <v>0</v>
      </c>
      <c r="DF245" s="847">
        <v>0</v>
      </c>
      <c r="DG245" s="847">
        <v>0</v>
      </c>
      <c r="DH245" s="847">
        <v>0</v>
      </c>
      <c r="DI245" s="847">
        <v>0</v>
      </c>
      <c r="DJ245" s="847">
        <v>0</v>
      </c>
      <c r="DK245" s="847">
        <v>0</v>
      </c>
      <c r="DL245" s="847">
        <v>0</v>
      </c>
      <c r="DM245" s="847">
        <v>143000</v>
      </c>
      <c r="DN245" s="847">
        <v>0</v>
      </c>
      <c r="DO245" s="847">
        <v>0</v>
      </c>
      <c r="DP245" s="847">
        <v>0</v>
      </c>
      <c r="DQ245" s="847">
        <v>0</v>
      </c>
      <c r="DR245" s="847">
        <v>0</v>
      </c>
      <c r="DS245" s="847">
        <v>0</v>
      </c>
      <c r="DT245" s="847">
        <v>0</v>
      </c>
      <c r="DU245" s="847">
        <v>0</v>
      </c>
      <c r="DV245" s="847">
        <v>0</v>
      </c>
      <c r="DW245" s="847">
        <v>0</v>
      </c>
      <c r="DY245" s="843" t="s">
        <v>1060</v>
      </c>
      <c r="DZ245" s="843" t="s">
        <v>1382</v>
      </c>
      <c r="EA245" s="843" t="s">
        <v>97</v>
      </c>
      <c r="EB245" s="844">
        <v>10</v>
      </c>
      <c r="EC245" s="780" t="str">
        <f t="shared" si="9"/>
        <v>IWT060210</v>
      </c>
      <c r="ED245" s="844">
        <v>4558</v>
      </c>
      <c r="EE245" s="844">
        <v>9116</v>
      </c>
      <c r="EF245" s="844">
        <v>13674</v>
      </c>
      <c r="EG245" s="844">
        <v>18232</v>
      </c>
      <c r="EH245" s="844">
        <v>22790</v>
      </c>
      <c r="EI245" s="844">
        <v>27348</v>
      </c>
      <c r="EJ245" s="844">
        <v>28988.9</v>
      </c>
      <c r="EK245" s="844">
        <v>28988.9</v>
      </c>
      <c r="EL245" s="844">
        <v>28988.9</v>
      </c>
      <c r="EM245" s="844">
        <v>29500</v>
      </c>
      <c r="EN245" s="844">
        <v>30090</v>
      </c>
      <c r="EO245" s="844">
        <v>30691</v>
      </c>
      <c r="EP245" s="844">
        <v>31305</v>
      </c>
      <c r="EQ245" s="844">
        <v>31931</v>
      </c>
      <c r="ER245" s="844">
        <v>32570</v>
      </c>
      <c r="ES245" s="844">
        <v>33221</v>
      </c>
      <c r="ET245" s="844">
        <v>33886</v>
      </c>
      <c r="EU245" s="844">
        <v>34563</v>
      </c>
      <c r="EV245" s="844">
        <v>35255</v>
      </c>
      <c r="EW245" s="844">
        <v>35960</v>
      </c>
      <c r="EX245" s="844">
        <v>36679</v>
      </c>
      <c r="EY245" s="844">
        <v>37413</v>
      </c>
      <c r="EZ245" s="844">
        <v>38161</v>
      </c>
      <c r="FA245" s="844">
        <v>38924</v>
      </c>
      <c r="FB245" s="844">
        <v>39703</v>
      </c>
      <c r="FC245" s="844">
        <v>40497</v>
      </c>
      <c r="FD245" s="844">
        <v>41306</v>
      </c>
      <c r="FE245" s="844">
        <v>42133</v>
      </c>
      <c r="FF245" s="844">
        <v>42975</v>
      </c>
      <c r="FG245" s="844">
        <v>43835</v>
      </c>
      <c r="FH245" s="844">
        <v>45000</v>
      </c>
      <c r="FI245" s="844">
        <v>46400</v>
      </c>
      <c r="FJ245" s="844">
        <v>47800</v>
      </c>
      <c r="FK245" s="844">
        <v>49200</v>
      </c>
      <c r="FL245" s="844">
        <v>50600</v>
      </c>
      <c r="FM245" s="844">
        <v>52000</v>
      </c>
      <c r="FN245" s="844">
        <v>53400</v>
      </c>
      <c r="FO245" s="844">
        <v>54800</v>
      </c>
      <c r="FP245" s="844">
        <v>56200</v>
      </c>
      <c r="FQ245" s="844">
        <v>57600</v>
      </c>
      <c r="FR245" s="844">
        <v>59000</v>
      </c>
      <c r="FS245" s="844">
        <v>60400</v>
      </c>
      <c r="FT245" s="844">
        <v>61800</v>
      </c>
      <c r="FU245" s="844">
        <v>63200</v>
      </c>
      <c r="FV245" s="844">
        <v>64600</v>
      </c>
      <c r="FW245" s="844">
        <v>66000</v>
      </c>
      <c r="FX245" s="844">
        <v>67400</v>
      </c>
      <c r="FY245" s="844">
        <v>68800</v>
      </c>
      <c r="FZ245" s="844">
        <v>70200</v>
      </c>
      <c r="GA245" s="844">
        <v>71600</v>
      </c>
      <c r="GB245" s="844">
        <v>73000</v>
      </c>
      <c r="GC245" s="844">
        <v>74400</v>
      </c>
      <c r="GD245" s="844">
        <v>75800</v>
      </c>
      <c r="GE245" s="844">
        <v>77200</v>
      </c>
      <c r="GF245" s="844">
        <v>78600</v>
      </c>
      <c r="GG245" s="844">
        <v>80000</v>
      </c>
      <c r="GH245" s="844">
        <v>81400</v>
      </c>
      <c r="GI245" s="844">
        <v>82800</v>
      </c>
      <c r="GJ245" s="844">
        <v>84200</v>
      </c>
      <c r="GK245" s="844">
        <v>85600</v>
      </c>
      <c r="GL245" s="844">
        <v>87000</v>
      </c>
      <c r="GM245" s="844">
        <v>88400</v>
      </c>
      <c r="GN245" s="844">
        <v>89800</v>
      </c>
      <c r="GO245" s="844">
        <v>91200</v>
      </c>
      <c r="GP245" s="844">
        <v>92600</v>
      </c>
      <c r="GQ245" s="844">
        <v>94000</v>
      </c>
      <c r="GR245" s="844">
        <v>95400</v>
      </c>
      <c r="GS245" s="844">
        <v>96800</v>
      </c>
      <c r="GT245" s="844">
        <v>98200</v>
      </c>
      <c r="GU245" s="844">
        <v>99600</v>
      </c>
      <c r="GV245" s="844">
        <v>101000</v>
      </c>
      <c r="GW245" s="844">
        <v>102400</v>
      </c>
      <c r="GX245" s="844">
        <v>103800</v>
      </c>
      <c r="GY245" s="844">
        <v>105200</v>
      </c>
      <c r="GZ245" s="844">
        <v>106600</v>
      </c>
      <c r="HA245" s="844">
        <v>108000</v>
      </c>
      <c r="HB245" s="844">
        <v>109400</v>
      </c>
      <c r="HC245" s="844">
        <v>110800</v>
      </c>
      <c r="HD245" s="844">
        <v>112200</v>
      </c>
      <c r="HE245" s="844">
        <v>113600</v>
      </c>
      <c r="HF245" s="844">
        <v>115000</v>
      </c>
      <c r="HG245" s="844">
        <v>116400</v>
      </c>
      <c r="HH245" s="844">
        <v>117800</v>
      </c>
      <c r="HI245" s="844">
        <v>119200</v>
      </c>
      <c r="HJ245" s="844">
        <v>120600</v>
      </c>
      <c r="HK245" s="844">
        <v>122000</v>
      </c>
      <c r="HL245" s="844">
        <v>123400</v>
      </c>
      <c r="HM245" s="844">
        <v>124800</v>
      </c>
      <c r="HN245" s="844">
        <v>126200</v>
      </c>
      <c r="HO245" s="844">
        <v>127600</v>
      </c>
      <c r="HP245" s="844">
        <v>129000</v>
      </c>
      <c r="HQ245" s="844">
        <v>130400</v>
      </c>
      <c r="HR245" s="844">
        <v>131800</v>
      </c>
      <c r="HS245" s="844">
        <v>133200</v>
      </c>
      <c r="HT245" s="844">
        <v>134600</v>
      </c>
      <c r="HU245" s="844">
        <v>136000</v>
      </c>
      <c r="HV245" s="844">
        <v>137400</v>
      </c>
      <c r="HW245" s="844">
        <v>138800</v>
      </c>
      <c r="HX245" s="844">
        <v>140200</v>
      </c>
      <c r="HY245" s="844">
        <v>141600</v>
      </c>
      <c r="HZ245" s="844">
        <v>143000</v>
      </c>
      <c r="IA245" s="844">
        <v>0</v>
      </c>
      <c r="IB245" s="844">
        <v>0</v>
      </c>
      <c r="IC245" s="844">
        <v>0</v>
      </c>
      <c r="ID245" s="844">
        <v>0</v>
      </c>
      <c r="IE245" s="844">
        <v>0</v>
      </c>
      <c r="IF245" s="844">
        <v>0</v>
      </c>
      <c r="IG245" s="844">
        <v>0</v>
      </c>
      <c r="IH245" s="844">
        <v>0</v>
      </c>
      <c r="II245" s="844">
        <v>0</v>
      </c>
      <c r="IJ245" s="844">
        <v>0</v>
      </c>
    </row>
    <row r="246" spans="9:244" hidden="1">
      <c r="I246" s="156"/>
      <c r="L246" s="846" t="s">
        <v>1060</v>
      </c>
      <c r="M246" s="846" t="s">
        <v>1382</v>
      </c>
      <c r="N246" s="846" t="s">
        <v>97</v>
      </c>
      <c r="O246" s="847">
        <v>11</v>
      </c>
      <c r="P246" s="780" t="str">
        <f t="shared" si="8"/>
        <v>IWT060211</v>
      </c>
      <c r="Q246" s="847">
        <v>0</v>
      </c>
      <c r="R246" s="847">
        <v>0</v>
      </c>
      <c r="S246" s="847">
        <v>0</v>
      </c>
      <c r="T246" s="847">
        <v>0</v>
      </c>
      <c r="U246" s="847">
        <v>0</v>
      </c>
      <c r="V246" s="847">
        <v>0</v>
      </c>
      <c r="W246" s="847">
        <v>0</v>
      </c>
      <c r="X246" s="847">
        <v>0</v>
      </c>
      <c r="Y246" s="847">
        <v>0</v>
      </c>
      <c r="Z246" s="847">
        <v>0</v>
      </c>
      <c r="AA246" s="847">
        <v>0</v>
      </c>
      <c r="AB246" s="847">
        <v>0</v>
      </c>
      <c r="AC246" s="847">
        <v>0</v>
      </c>
      <c r="AD246" s="847">
        <v>0</v>
      </c>
      <c r="AE246" s="847">
        <v>0</v>
      </c>
      <c r="AF246" s="847">
        <v>0</v>
      </c>
      <c r="AG246" s="847">
        <v>0</v>
      </c>
      <c r="AH246" s="847">
        <v>0</v>
      </c>
      <c r="AI246" s="847">
        <v>0</v>
      </c>
      <c r="AJ246" s="847">
        <v>0</v>
      </c>
      <c r="AK246" s="847">
        <v>0</v>
      </c>
      <c r="AL246" s="847">
        <v>0</v>
      </c>
      <c r="AM246" s="847">
        <v>0</v>
      </c>
      <c r="AN246" s="847">
        <v>0</v>
      </c>
      <c r="AO246" s="847">
        <v>0</v>
      </c>
      <c r="AP246" s="847">
        <v>0</v>
      </c>
      <c r="AQ246" s="847">
        <v>0</v>
      </c>
      <c r="AR246" s="847">
        <v>0</v>
      </c>
      <c r="AS246" s="847">
        <v>0</v>
      </c>
      <c r="AT246" s="847">
        <v>0</v>
      </c>
      <c r="AU246" s="847">
        <v>0</v>
      </c>
      <c r="AV246" s="847">
        <v>0</v>
      </c>
      <c r="AW246" s="847">
        <v>0</v>
      </c>
      <c r="AX246" s="847">
        <v>0</v>
      </c>
      <c r="AY246" s="847">
        <v>0</v>
      </c>
      <c r="AZ246" s="847">
        <v>0</v>
      </c>
      <c r="BA246" s="847">
        <v>0</v>
      </c>
      <c r="BB246" s="847">
        <v>0</v>
      </c>
      <c r="BC246" s="847">
        <v>0</v>
      </c>
      <c r="BD246" s="847">
        <v>0</v>
      </c>
      <c r="BE246" s="847">
        <v>0</v>
      </c>
      <c r="BF246" s="847">
        <v>0</v>
      </c>
      <c r="BG246" s="847">
        <v>0</v>
      </c>
      <c r="BH246" s="847">
        <v>0</v>
      </c>
      <c r="BI246" s="847">
        <v>0</v>
      </c>
      <c r="BJ246" s="847">
        <v>0</v>
      </c>
      <c r="BK246" s="847">
        <v>0</v>
      </c>
      <c r="BL246" s="847">
        <v>0</v>
      </c>
      <c r="BM246" s="847">
        <v>0</v>
      </c>
      <c r="BN246" s="847">
        <v>0</v>
      </c>
      <c r="BO246" s="847">
        <v>0</v>
      </c>
      <c r="BP246" s="847">
        <v>0</v>
      </c>
      <c r="BQ246" s="847">
        <v>0</v>
      </c>
      <c r="BR246" s="847">
        <v>0</v>
      </c>
      <c r="BS246" s="847">
        <v>0</v>
      </c>
      <c r="BT246" s="847">
        <v>0</v>
      </c>
      <c r="BU246" s="847">
        <v>0</v>
      </c>
      <c r="BV246" s="847">
        <v>0</v>
      </c>
      <c r="BW246" s="847">
        <v>0</v>
      </c>
      <c r="BX246" s="847">
        <v>0</v>
      </c>
      <c r="BY246" s="847">
        <v>0</v>
      </c>
      <c r="BZ246" s="847">
        <v>0</v>
      </c>
      <c r="CA246" s="847">
        <v>0</v>
      </c>
      <c r="CB246" s="847">
        <v>0</v>
      </c>
      <c r="CC246" s="847">
        <v>0</v>
      </c>
      <c r="CD246" s="847">
        <v>0</v>
      </c>
      <c r="CE246" s="847">
        <v>0</v>
      </c>
      <c r="CF246" s="847">
        <v>0</v>
      </c>
      <c r="CG246" s="847">
        <v>0</v>
      </c>
      <c r="CH246" s="847">
        <v>0</v>
      </c>
      <c r="CI246" s="847">
        <v>0</v>
      </c>
      <c r="CJ246" s="847">
        <v>0</v>
      </c>
      <c r="CK246" s="847">
        <v>0</v>
      </c>
      <c r="CL246" s="847">
        <v>0</v>
      </c>
      <c r="CM246" s="847">
        <v>0</v>
      </c>
      <c r="CN246" s="847">
        <v>0</v>
      </c>
      <c r="CO246" s="847">
        <v>0</v>
      </c>
      <c r="CP246" s="847">
        <v>0</v>
      </c>
      <c r="CQ246" s="847">
        <v>0</v>
      </c>
      <c r="CR246" s="847">
        <v>0</v>
      </c>
      <c r="CS246" s="847">
        <v>0</v>
      </c>
      <c r="CT246" s="847">
        <v>0</v>
      </c>
      <c r="CU246" s="847">
        <v>0</v>
      </c>
      <c r="CV246" s="847">
        <v>0</v>
      </c>
      <c r="CW246" s="847">
        <v>0</v>
      </c>
      <c r="CX246" s="847">
        <v>0</v>
      </c>
      <c r="CY246" s="847">
        <v>0</v>
      </c>
      <c r="CZ246" s="847">
        <v>0</v>
      </c>
      <c r="DA246" s="847">
        <v>0</v>
      </c>
      <c r="DB246" s="847">
        <v>0</v>
      </c>
      <c r="DC246" s="847">
        <v>0</v>
      </c>
      <c r="DD246" s="847">
        <v>0</v>
      </c>
      <c r="DE246" s="847">
        <v>0</v>
      </c>
      <c r="DF246" s="847">
        <v>0</v>
      </c>
      <c r="DG246" s="847">
        <v>0</v>
      </c>
      <c r="DH246" s="847">
        <v>0</v>
      </c>
      <c r="DI246" s="847">
        <v>0</v>
      </c>
      <c r="DJ246" s="847">
        <v>0</v>
      </c>
      <c r="DK246" s="847">
        <v>0</v>
      </c>
      <c r="DL246" s="847">
        <v>141600</v>
      </c>
      <c r="DM246" s="847">
        <v>0</v>
      </c>
      <c r="DN246" s="847">
        <v>0</v>
      </c>
      <c r="DO246" s="847">
        <v>0</v>
      </c>
      <c r="DP246" s="847">
        <v>0</v>
      </c>
      <c r="DQ246" s="847">
        <v>0</v>
      </c>
      <c r="DR246" s="847">
        <v>0</v>
      </c>
      <c r="DS246" s="847">
        <v>0</v>
      </c>
      <c r="DT246" s="847">
        <v>0</v>
      </c>
      <c r="DU246" s="847">
        <v>0</v>
      </c>
      <c r="DV246" s="847">
        <v>0</v>
      </c>
      <c r="DW246" s="847">
        <v>0</v>
      </c>
      <c r="DY246" s="843" t="s">
        <v>1060</v>
      </c>
      <c r="DZ246" s="843" t="s">
        <v>1382</v>
      </c>
      <c r="EA246" s="843" t="s">
        <v>97</v>
      </c>
      <c r="EB246" s="844">
        <v>11</v>
      </c>
      <c r="EC246" s="780" t="str">
        <f t="shared" si="9"/>
        <v>IWT060211</v>
      </c>
      <c r="ED246" s="844">
        <v>4585</v>
      </c>
      <c r="EE246" s="844">
        <v>9170</v>
      </c>
      <c r="EF246" s="844">
        <v>13755</v>
      </c>
      <c r="EG246" s="844">
        <v>18340</v>
      </c>
      <c r="EH246" s="844">
        <v>22925</v>
      </c>
      <c r="EI246" s="844">
        <v>29160.6</v>
      </c>
      <c r="EJ246" s="844">
        <v>29160.6</v>
      </c>
      <c r="EK246" s="844">
        <v>29160.6</v>
      </c>
      <c r="EL246" s="844">
        <v>29160.6</v>
      </c>
      <c r="EM246" s="844">
        <v>29675</v>
      </c>
      <c r="EN246" s="844">
        <v>30269</v>
      </c>
      <c r="EO246" s="844">
        <v>30874</v>
      </c>
      <c r="EP246" s="844">
        <v>31492</v>
      </c>
      <c r="EQ246" s="844">
        <v>32122</v>
      </c>
      <c r="ER246" s="844">
        <v>32764</v>
      </c>
      <c r="ES246" s="844">
        <v>33419</v>
      </c>
      <c r="ET246" s="844">
        <v>34088</v>
      </c>
      <c r="EU246" s="844">
        <v>34770</v>
      </c>
      <c r="EV246" s="844">
        <v>35465</v>
      </c>
      <c r="EW246" s="844">
        <v>36174</v>
      </c>
      <c r="EX246" s="844">
        <v>36898</v>
      </c>
      <c r="EY246" s="844">
        <v>37636</v>
      </c>
      <c r="EZ246" s="844">
        <v>38388</v>
      </c>
      <c r="FA246" s="844">
        <v>39156</v>
      </c>
      <c r="FB246" s="844">
        <v>39939</v>
      </c>
      <c r="FC246" s="844">
        <v>40738</v>
      </c>
      <c r="FD246" s="844">
        <v>41553</v>
      </c>
      <c r="FE246" s="844">
        <v>42384</v>
      </c>
      <c r="FF246" s="844">
        <v>43232</v>
      </c>
      <c r="FG246" s="844">
        <v>44096</v>
      </c>
      <c r="FH246" s="844">
        <v>45000</v>
      </c>
      <c r="FI246" s="844">
        <v>46400</v>
      </c>
      <c r="FJ246" s="844">
        <v>47800</v>
      </c>
      <c r="FK246" s="844">
        <v>49200</v>
      </c>
      <c r="FL246" s="844">
        <v>50600</v>
      </c>
      <c r="FM246" s="844">
        <v>52000</v>
      </c>
      <c r="FN246" s="844">
        <v>53400</v>
      </c>
      <c r="FO246" s="844">
        <v>54800</v>
      </c>
      <c r="FP246" s="844">
        <v>56200</v>
      </c>
      <c r="FQ246" s="844">
        <v>57600</v>
      </c>
      <c r="FR246" s="844">
        <v>59000</v>
      </c>
      <c r="FS246" s="844">
        <v>60400</v>
      </c>
      <c r="FT246" s="844">
        <v>61800</v>
      </c>
      <c r="FU246" s="844">
        <v>63200</v>
      </c>
      <c r="FV246" s="844">
        <v>64600</v>
      </c>
      <c r="FW246" s="844">
        <v>66000</v>
      </c>
      <c r="FX246" s="844">
        <v>67400</v>
      </c>
      <c r="FY246" s="844">
        <v>68800</v>
      </c>
      <c r="FZ246" s="844">
        <v>70200</v>
      </c>
      <c r="GA246" s="844">
        <v>71600</v>
      </c>
      <c r="GB246" s="844">
        <v>73000</v>
      </c>
      <c r="GC246" s="844">
        <v>74400</v>
      </c>
      <c r="GD246" s="844">
        <v>75800</v>
      </c>
      <c r="GE246" s="844">
        <v>77200</v>
      </c>
      <c r="GF246" s="844">
        <v>78600</v>
      </c>
      <c r="GG246" s="844">
        <v>80000</v>
      </c>
      <c r="GH246" s="844">
        <v>81400</v>
      </c>
      <c r="GI246" s="844">
        <v>82800</v>
      </c>
      <c r="GJ246" s="844">
        <v>84200</v>
      </c>
      <c r="GK246" s="844">
        <v>85600</v>
      </c>
      <c r="GL246" s="844">
        <v>87000</v>
      </c>
      <c r="GM246" s="844">
        <v>88400</v>
      </c>
      <c r="GN246" s="844">
        <v>89800</v>
      </c>
      <c r="GO246" s="844">
        <v>91200</v>
      </c>
      <c r="GP246" s="844">
        <v>92600</v>
      </c>
      <c r="GQ246" s="844">
        <v>94000</v>
      </c>
      <c r="GR246" s="844">
        <v>95400</v>
      </c>
      <c r="GS246" s="844">
        <v>96800</v>
      </c>
      <c r="GT246" s="844">
        <v>98200</v>
      </c>
      <c r="GU246" s="844">
        <v>99600</v>
      </c>
      <c r="GV246" s="844">
        <v>101000</v>
      </c>
      <c r="GW246" s="844">
        <v>102400</v>
      </c>
      <c r="GX246" s="844">
        <v>103800</v>
      </c>
      <c r="GY246" s="844">
        <v>105200</v>
      </c>
      <c r="GZ246" s="844">
        <v>106600</v>
      </c>
      <c r="HA246" s="844">
        <v>108000</v>
      </c>
      <c r="HB246" s="844">
        <v>109400</v>
      </c>
      <c r="HC246" s="844">
        <v>110800</v>
      </c>
      <c r="HD246" s="844">
        <v>112200</v>
      </c>
      <c r="HE246" s="844">
        <v>113600</v>
      </c>
      <c r="HF246" s="844">
        <v>115000</v>
      </c>
      <c r="HG246" s="844">
        <v>116400</v>
      </c>
      <c r="HH246" s="844">
        <v>117800</v>
      </c>
      <c r="HI246" s="844">
        <v>119200</v>
      </c>
      <c r="HJ246" s="844">
        <v>120600</v>
      </c>
      <c r="HK246" s="844">
        <v>122000</v>
      </c>
      <c r="HL246" s="844">
        <v>123400</v>
      </c>
      <c r="HM246" s="844">
        <v>124800</v>
      </c>
      <c r="HN246" s="844">
        <v>126200</v>
      </c>
      <c r="HO246" s="844">
        <v>127600</v>
      </c>
      <c r="HP246" s="844">
        <v>129000</v>
      </c>
      <c r="HQ246" s="844">
        <v>130400</v>
      </c>
      <c r="HR246" s="844">
        <v>131800</v>
      </c>
      <c r="HS246" s="844">
        <v>133200</v>
      </c>
      <c r="HT246" s="844">
        <v>134600</v>
      </c>
      <c r="HU246" s="844">
        <v>136000</v>
      </c>
      <c r="HV246" s="844">
        <v>137400</v>
      </c>
      <c r="HW246" s="844">
        <v>138800</v>
      </c>
      <c r="HX246" s="844">
        <v>140205</v>
      </c>
      <c r="HY246" s="844">
        <v>141600</v>
      </c>
      <c r="HZ246" s="844">
        <v>0</v>
      </c>
      <c r="IA246" s="844">
        <v>0</v>
      </c>
      <c r="IB246" s="844">
        <v>0</v>
      </c>
      <c r="IC246" s="844">
        <v>0</v>
      </c>
      <c r="ID246" s="844">
        <v>0</v>
      </c>
      <c r="IE246" s="844">
        <v>0</v>
      </c>
      <c r="IF246" s="844">
        <v>0</v>
      </c>
      <c r="IG246" s="844">
        <v>0</v>
      </c>
      <c r="IH246" s="844">
        <v>0</v>
      </c>
      <c r="II246" s="844">
        <v>0</v>
      </c>
      <c r="IJ246" s="844">
        <v>0</v>
      </c>
    </row>
    <row r="247" spans="9:244" hidden="1">
      <c r="I247" s="156"/>
      <c r="L247" s="846" t="s">
        <v>1060</v>
      </c>
      <c r="M247" s="846" t="s">
        <v>1382</v>
      </c>
      <c r="N247" s="846" t="s">
        <v>97</v>
      </c>
      <c r="O247" s="847">
        <v>12</v>
      </c>
      <c r="P247" s="780" t="str">
        <f t="shared" si="8"/>
        <v>IWT060212</v>
      </c>
      <c r="Q247" s="847">
        <v>0</v>
      </c>
      <c r="R247" s="847">
        <v>0</v>
      </c>
      <c r="S247" s="847">
        <v>0</v>
      </c>
      <c r="T247" s="847">
        <v>0</v>
      </c>
      <c r="U247" s="847">
        <v>0</v>
      </c>
      <c r="V247" s="847">
        <v>0</v>
      </c>
      <c r="W247" s="847">
        <v>0</v>
      </c>
      <c r="X247" s="847">
        <v>0</v>
      </c>
      <c r="Y247" s="847">
        <v>0</v>
      </c>
      <c r="Z247" s="847">
        <v>0</v>
      </c>
      <c r="AA247" s="847">
        <v>0</v>
      </c>
      <c r="AB247" s="847">
        <v>0</v>
      </c>
      <c r="AC247" s="847">
        <v>0</v>
      </c>
      <c r="AD247" s="847">
        <v>0</v>
      </c>
      <c r="AE247" s="847">
        <v>0</v>
      </c>
      <c r="AF247" s="847">
        <v>0</v>
      </c>
      <c r="AG247" s="847">
        <v>0</v>
      </c>
      <c r="AH247" s="847">
        <v>0</v>
      </c>
      <c r="AI247" s="847">
        <v>0</v>
      </c>
      <c r="AJ247" s="847">
        <v>0</v>
      </c>
      <c r="AK247" s="847">
        <v>0</v>
      </c>
      <c r="AL247" s="847">
        <v>0</v>
      </c>
      <c r="AM247" s="847">
        <v>0</v>
      </c>
      <c r="AN247" s="847">
        <v>0</v>
      </c>
      <c r="AO247" s="847">
        <v>0</v>
      </c>
      <c r="AP247" s="847">
        <v>0</v>
      </c>
      <c r="AQ247" s="847">
        <v>0</v>
      </c>
      <c r="AR247" s="847">
        <v>0</v>
      </c>
      <c r="AS247" s="847">
        <v>0</v>
      </c>
      <c r="AT247" s="847">
        <v>0</v>
      </c>
      <c r="AU247" s="847">
        <v>0</v>
      </c>
      <c r="AV247" s="847">
        <v>0</v>
      </c>
      <c r="AW247" s="847">
        <v>0</v>
      </c>
      <c r="AX247" s="847">
        <v>0</v>
      </c>
      <c r="AY247" s="847">
        <v>0</v>
      </c>
      <c r="AZ247" s="847">
        <v>0</v>
      </c>
      <c r="BA247" s="847">
        <v>0</v>
      </c>
      <c r="BB247" s="847">
        <v>0</v>
      </c>
      <c r="BC247" s="847">
        <v>0</v>
      </c>
      <c r="BD247" s="847">
        <v>0</v>
      </c>
      <c r="BE247" s="847">
        <v>0</v>
      </c>
      <c r="BF247" s="847">
        <v>0</v>
      </c>
      <c r="BG247" s="847">
        <v>0</v>
      </c>
      <c r="BH247" s="847">
        <v>0</v>
      </c>
      <c r="BI247" s="847">
        <v>0</v>
      </c>
      <c r="BJ247" s="847">
        <v>0</v>
      </c>
      <c r="BK247" s="847">
        <v>0</v>
      </c>
      <c r="BL247" s="847">
        <v>0</v>
      </c>
      <c r="BM247" s="847">
        <v>0</v>
      </c>
      <c r="BN247" s="847">
        <v>0</v>
      </c>
      <c r="BO247" s="847">
        <v>0</v>
      </c>
      <c r="BP247" s="847">
        <v>0</v>
      </c>
      <c r="BQ247" s="847">
        <v>0</v>
      </c>
      <c r="BR247" s="847">
        <v>0</v>
      </c>
      <c r="BS247" s="847">
        <v>0</v>
      </c>
      <c r="BT247" s="847">
        <v>0</v>
      </c>
      <c r="BU247" s="847">
        <v>0</v>
      </c>
      <c r="BV247" s="847">
        <v>0</v>
      </c>
      <c r="BW247" s="847">
        <v>0</v>
      </c>
      <c r="BX247" s="847">
        <v>0</v>
      </c>
      <c r="BY247" s="847">
        <v>0</v>
      </c>
      <c r="BZ247" s="847">
        <v>0</v>
      </c>
      <c r="CA247" s="847">
        <v>0</v>
      </c>
      <c r="CB247" s="847">
        <v>0</v>
      </c>
      <c r="CC247" s="847">
        <v>0</v>
      </c>
      <c r="CD247" s="847">
        <v>0</v>
      </c>
      <c r="CE247" s="847">
        <v>0</v>
      </c>
      <c r="CF247" s="847">
        <v>0</v>
      </c>
      <c r="CG247" s="847">
        <v>0</v>
      </c>
      <c r="CH247" s="847">
        <v>0</v>
      </c>
      <c r="CI247" s="847">
        <v>0</v>
      </c>
      <c r="CJ247" s="847">
        <v>0</v>
      </c>
      <c r="CK247" s="847">
        <v>0</v>
      </c>
      <c r="CL247" s="847">
        <v>0</v>
      </c>
      <c r="CM247" s="847">
        <v>0</v>
      </c>
      <c r="CN247" s="847">
        <v>0</v>
      </c>
      <c r="CO247" s="847">
        <v>0</v>
      </c>
      <c r="CP247" s="847">
        <v>0</v>
      </c>
      <c r="CQ247" s="847">
        <v>0</v>
      </c>
      <c r="CR247" s="847">
        <v>0</v>
      </c>
      <c r="CS247" s="847">
        <v>0</v>
      </c>
      <c r="CT247" s="847">
        <v>0</v>
      </c>
      <c r="CU247" s="847">
        <v>0</v>
      </c>
      <c r="CV247" s="847">
        <v>0</v>
      </c>
      <c r="CW247" s="847">
        <v>0</v>
      </c>
      <c r="CX247" s="847">
        <v>0</v>
      </c>
      <c r="CY247" s="847">
        <v>0</v>
      </c>
      <c r="CZ247" s="847">
        <v>0</v>
      </c>
      <c r="DA247" s="847">
        <v>0</v>
      </c>
      <c r="DB247" s="847">
        <v>0</v>
      </c>
      <c r="DC247" s="847">
        <v>0</v>
      </c>
      <c r="DD247" s="847">
        <v>0</v>
      </c>
      <c r="DE247" s="847">
        <v>0</v>
      </c>
      <c r="DF247" s="847">
        <v>0</v>
      </c>
      <c r="DG247" s="847">
        <v>0</v>
      </c>
      <c r="DH247" s="847">
        <v>0</v>
      </c>
      <c r="DI247" s="847">
        <v>0</v>
      </c>
      <c r="DJ247" s="847">
        <v>0</v>
      </c>
      <c r="DK247" s="847">
        <v>140200</v>
      </c>
      <c r="DL247" s="847">
        <v>0</v>
      </c>
      <c r="DM247" s="847">
        <v>0</v>
      </c>
      <c r="DN247" s="847">
        <v>0</v>
      </c>
      <c r="DO247" s="847">
        <v>0</v>
      </c>
      <c r="DP247" s="847">
        <v>0</v>
      </c>
      <c r="DQ247" s="847">
        <v>0</v>
      </c>
      <c r="DR247" s="847">
        <v>0</v>
      </c>
      <c r="DS247" s="847">
        <v>0</v>
      </c>
      <c r="DT247" s="847">
        <v>0</v>
      </c>
      <c r="DU247" s="847">
        <v>0</v>
      </c>
      <c r="DV247" s="847">
        <v>0</v>
      </c>
      <c r="DW247" s="847">
        <v>0</v>
      </c>
      <c r="DY247" s="843" t="s">
        <v>1060</v>
      </c>
      <c r="DZ247" s="843" t="s">
        <v>1382</v>
      </c>
      <c r="EA247" s="843" t="s">
        <v>97</v>
      </c>
      <c r="EB247" s="844">
        <v>12</v>
      </c>
      <c r="EC247" s="780" t="str">
        <f t="shared" si="9"/>
        <v>IWT060212</v>
      </c>
      <c r="ED247" s="844">
        <v>4611</v>
      </c>
      <c r="EE247" s="844">
        <v>9222</v>
      </c>
      <c r="EF247" s="844">
        <v>13833</v>
      </c>
      <c r="EG247" s="844">
        <v>18444</v>
      </c>
      <c r="EH247" s="844">
        <v>24438.3</v>
      </c>
      <c r="EI247" s="844">
        <v>29326</v>
      </c>
      <c r="EJ247" s="844">
        <v>29326</v>
      </c>
      <c r="EK247" s="844">
        <v>29326</v>
      </c>
      <c r="EL247" s="844">
        <v>29326</v>
      </c>
      <c r="EM247" s="844">
        <v>29847</v>
      </c>
      <c r="EN247" s="844">
        <v>30444</v>
      </c>
      <c r="EO247" s="844">
        <v>31053</v>
      </c>
      <c r="EP247" s="844">
        <v>31674</v>
      </c>
      <c r="EQ247" s="844">
        <v>32308</v>
      </c>
      <c r="ER247" s="844">
        <v>32954</v>
      </c>
      <c r="ES247" s="844">
        <v>33613</v>
      </c>
      <c r="ET247" s="844">
        <v>34285</v>
      </c>
      <c r="EU247" s="844">
        <v>34971</v>
      </c>
      <c r="EV247" s="844">
        <v>35670</v>
      </c>
      <c r="EW247" s="844">
        <v>36384</v>
      </c>
      <c r="EX247" s="844">
        <v>37111</v>
      </c>
      <c r="EY247" s="844">
        <v>37854</v>
      </c>
      <c r="EZ247" s="844">
        <v>38611</v>
      </c>
      <c r="FA247" s="844">
        <v>39383</v>
      </c>
      <c r="FB247" s="844">
        <v>40171</v>
      </c>
      <c r="FC247" s="844">
        <v>40974</v>
      </c>
      <c r="FD247" s="844">
        <v>41793</v>
      </c>
      <c r="FE247" s="844">
        <v>42629</v>
      </c>
      <c r="FF247" s="844">
        <v>43482</v>
      </c>
      <c r="FG247" s="844">
        <v>44352</v>
      </c>
      <c r="FH247" s="844">
        <v>45238</v>
      </c>
      <c r="FI247" s="844">
        <v>46400</v>
      </c>
      <c r="FJ247" s="844">
        <v>47800</v>
      </c>
      <c r="FK247" s="844">
        <v>49200</v>
      </c>
      <c r="FL247" s="844">
        <v>50600</v>
      </c>
      <c r="FM247" s="844">
        <v>52000</v>
      </c>
      <c r="FN247" s="844">
        <v>53400</v>
      </c>
      <c r="FO247" s="844">
        <v>54800</v>
      </c>
      <c r="FP247" s="844">
        <v>56200</v>
      </c>
      <c r="FQ247" s="844">
        <v>57600</v>
      </c>
      <c r="FR247" s="844">
        <v>59000</v>
      </c>
      <c r="FS247" s="844">
        <v>60400</v>
      </c>
      <c r="FT247" s="844">
        <v>61800</v>
      </c>
      <c r="FU247" s="844">
        <v>63200</v>
      </c>
      <c r="FV247" s="844">
        <v>64600</v>
      </c>
      <c r="FW247" s="844">
        <v>66000</v>
      </c>
      <c r="FX247" s="844">
        <v>67400</v>
      </c>
      <c r="FY247" s="844">
        <v>68800</v>
      </c>
      <c r="FZ247" s="844">
        <v>70200</v>
      </c>
      <c r="GA247" s="844">
        <v>71600</v>
      </c>
      <c r="GB247" s="844">
        <v>73000</v>
      </c>
      <c r="GC247" s="844">
        <v>74400</v>
      </c>
      <c r="GD247" s="844">
        <v>75800</v>
      </c>
      <c r="GE247" s="844">
        <v>77200</v>
      </c>
      <c r="GF247" s="844">
        <v>78600</v>
      </c>
      <c r="GG247" s="844">
        <v>80000</v>
      </c>
      <c r="GH247" s="844">
        <v>81400</v>
      </c>
      <c r="GI247" s="844">
        <v>82800</v>
      </c>
      <c r="GJ247" s="844">
        <v>84200</v>
      </c>
      <c r="GK247" s="844">
        <v>85600</v>
      </c>
      <c r="GL247" s="844">
        <v>87000</v>
      </c>
      <c r="GM247" s="844">
        <v>88400</v>
      </c>
      <c r="GN247" s="844">
        <v>89800</v>
      </c>
      <c r="GO247" s="844">
        <v>91200</v>
      </c>
      <c r="GP247" s="844">
        <v>92600</v>
      </c>
      <c r="GQ247" s="844">
        <v>94000</v>
      </c>
      <c r="GR247" s="844">
        <v>95400</v>
      </c>
      <c r="GS247" s="844">
        <v>96800</v>
      </c>
      <c r="GT247" s="844">
        <v>98200</v>
      </c>
      <c r="GU247" s="844">
        <v>99600</v>
      </c>
      <c r="GV247" s="844">
        <v>101000</v>
      </c>
      <c r="GW247" s="844">
        <v>102400</v>
      </c>
      <c r="GX247" s="844">
        <v>103800</v>
      </c>
      <c r="GY247" s="844">
        <v>105200</v>
      </c>
      <c r="GZ247" s="844">
        <v>106600</v>
      </c>
      <c r="HA247" s="844">
        <v>108000</v>
      </c>
      <c r="HB247" s="844">
        <v>109400</v>
      </c>
      <c r="HC247" s="844">
        <v>110800</v>
      </c>
      <c r="HD247" s="844">
        <v>112200</v>
      </c>
      <c r="HE247" s="844">
        <v>113600</v>
      </c>
      <c r="HF247" s="844">
        <v>115000</v>
      </c>
      <c r="HG247" s="844">
        <v>116400</v>
      </c>
      <c r="HH247" s="844">
        <v>117800</v>
      </c>
      <c r="HI247" s="844">
        <v>119200</v>
      </c>
      <c r="HJ247" s="844">
        <v>120600</v>
      </c>
      <c r="HK247" s="844">
        <v>122000</v>
      </c>
      <c r="HL247" s="844">
        <v>123400</v>
      </c>
      <c r="HM247" s="844">
        <v>124800</v>
      </c>
      <c r="HN247" s="844">
        <v>126200</v>
      </c>
      <c r="HO247" s="844">
        <v>127600</v>
      </c>
      <c r="HP247" s="844">
        <v>129000</v>
      </c>
      <c r="HQ247" s="844">
        <v>130400</v>
      </c>
      <c r="HR247" s="844">
        <v>131800</v>
      </c>
      <c r="HS247" s="844">
        <v>133200</v>
      </c>
      <c r="HT247" s="844">
        <v>134600</v>
      </c>
      <c r="HU247" s="844">
        <v>136000</v>
      </c>
      <c r="HV247" s="844">
        <v>137400</v>
      </c>
      <c r="HW247" s="844">
        <v>138819</v>
      </c>
      <c r="HX247" s="844">
        <v>140200</v>
      </c>
      <c r="HY247" s="844">
        <v>0</v>
      </c>
      <c r="HZ247" s="844">
        <v>0</v>
      </c>
      <c r="IA247" s="844">
        <v>0</v>
      </c>
      <c r="IB247" s="844">
        <v>0</v>
      </c>
      <c r="IC247" s="844">
        <v>0</v>
      </c>
      <c r="ID247" s="844">
        <v>0</v>
      </c>
      <c r="IE247" s="844">
        <v>0</v>
      </c>
      <c r="IF247" s="844">
        <v>0</v>
      </c>
      <c r="IG247" s="844">
        <v>0</v>
      </c>
      <c r="IH247" s="844">
        <v>0</v>
      </c>
      <c r="II247" s="844">
        <v>0</v>
      </c>
      <c r="IJ247" s="844">
        <v>0</v>
      </c>
    </row>
    <row r="248" spans="9:244" hidden="1">
      <c r="I248" s="156"/>
      <c r="L248" s="846" t="s">
        <v>1060</v>
      </c>
      <c r="M248" s="846" t="s">
        <v>1382</v>
      </c>
      <c r="N248" s="846" t="s">
        <v>97</v>
      </c>
      <c r="O248" s="847">
        <v>13</v>
      </c>
      <c r="P248" s="780" t="str">
        <f t="shared" si="8"/>
        <v>IWT060213</v>
      </c>
      <c r="Q248" s="847">
        <v>0</v>
      </c>
      <c r="R248" s="847">
        <v>0</v>
      </c>
      <c r="S248" s="847">
        <v>0</v>
      </c>
      <c r="T248" s="847">
        <v>0</v>
      </c>
      <c r="U248" s="847">
        <v>0</v>
      </c>
      <c r="V248" s="847">
        <v>0</v>
      </c>
      <c r="W248" s="847">
        <v>0</v>
      </c>
      <c r="X248" s="847">
        <v>0</v>
      </c>
      <c r="Y248" s="847">
        <v>0</v>
      </c>
      <c r="Z248" s="847">
        <v>0</v>
      </c>
      <c r="AA248" s="847">
        <v>0</v>
      </c>
      <c r="AB248" s="847">
        <v>0</v>
      </c>
      <c r="AC248" s="847">
        <v>0</v>
      </c>
      <c r="AD248" s="847">
        <v>0</v>
      </c>
      <c r="AE248" s="847">
        <v>0</v>
      </c>
      <c r="AF248" s="847">
        <v>0</v>
      </c>
      <c r="AG248" s="847">
        <v>0</v>
      </c>
      <c r="AH248" s="847">
        <v>0</v>
      </c>
      <c r="AI248" s="847">
        <v>0</v>
      </c>
      <c r="AJ248" s="847">
        <v>0</v>
      </c>
      <c r="AK248" s="847">
        <v>0</v>
      </c>
      <c r="AL248" s="847">
        <v>0</v>
      </c>
      <c r="AM248" s="847">
        <v>0</v>
      </c>
      <c r="AN248" s="847">
        <v>0</v>
      </c>
      <c r="AO248" s="847">
        <v>0</v>
      </c>
      <c r="AP248" s="847">
        <v>0</v>
      </c>
      <c r="AQ248" s="847">
        <v>0</v>
      </c>
      <c r="AR248" s="847">
        <v>0</v>
      </c>
      <c r="AS248" s="847">
        <v>0</v>
      </c>
      <c r="AT248" s="847">
        <v>0</v>
      </c>
      <c r="AU248" s="847">
        <v>0</v>
      </c>
      <c r="AV248" s="847">
        <v>0</v>
      </c>
      <c r="AW248" s="847">
        <v>0</v>
      </c>
      <c r="AX248" s="847">
        <v>0</v>
      </c>
      <c r="AY248" s="847">
        <v>0</v>
      </c>
      <c r="AZ248" s="847">
        <v>0</v>
      </c>
      <c r="BA248" s="847">
        <v>0</v>
      </c>
      <c r="BB248" s="847">
        <v>0</v>
      </c>
      <c r="BC248" s="847">
        <v>0</v>
      </c>
      <c r="BD248" s="847">
        <v>0</v>
      </c>
      <c r="BE248" s="847">
        <v>0</v>
      </c>
      <c r="BF248" s="847">
        <v>0</v>
      </c>
      <c r="BG248" s="847">
        <v>0</v>
      </c>
      <c r="BH248" s="847">
        <v>0</v>
      </c>
      <c r="BI248" s="847">
        <v>0</v>
      </c>
      <c r="BJ248" s="847">
        <v>0</v>
      </c>
      <c r="BK248" s="847">
        <v>0</v>
      </c>
      <c r="BL248" s="847">
        <v>0</v>
      </c>
      <c r="BM248" s="847">
        <v>0</v>
      </c>
      <c r="BN248" s="847">
        <v>0</v>
      </c>
      <c r="BO248" s="847">
        <v>0</v>
      </c>
      <c r="BP248" s="847">
        <v>0</v>
      </c>
      <c r="BQ248" s="847">
        <v>0</v>
      </c>
      <c r="BR248" s="847">
        <v>0</v>
      </c>
      <c r="BS248" s="847">
        <v>0</v>
      </c>
      <c r="BT248" s="847">
        <v>0</v>
      </c>
      <c r="BU248" s="847">
        <v>0</v>
      </c>
      <c r="BV248" s="847">
        <v>0</v>
      </c>
      <c r="BW248" s="847">
        <v>0</v>
      </c>
      <c r="BX248" s="847">
        <v>0</v>
      </c>
      <c r="BY248" s="847">
        <v>0</v>
      </c>
      <c r="BZ248" s="847">
        <v>0</v>
      </c>
      <c r="CA248" s="847">
        <v>0</v>
      </c>
      <c r="CB248" s="847">
        <v>0</v>
      </c>
      <c r="CC248" s="847">
        <v>0</v>
      </c>
      <c r="CD248" s="847">
        <v>0</v>
      </c>
      <c r="CE248" s="847">
        <v>0</v>
      </c>
      <c r="CF248" s="847">
        <v>0</v>
      </c>
      <c r="CG248" s="847">
        <v>0</v>
      </c>
      <c r="CH248" s="847">
        <v>0</v>
      </c>
      <c r="CI248" s="847">
        <v>0</v>
      </c>
      <c r="CJ248" s="847">
        <v>0</v>
      </c>
      <c r="CK248" s="847">
        <v>0</v>
      </c>
      <c r="CL248" s="847">
        <v>0</v>
      </c>
      <c r="CM248" s="847">
        <v>0</v>
      </c>
      <c r="CN248" s="847">
        <v>0</v>
      </c>
      <c r="CO248" s="847">
        <v>0</v>
      </c>
      <c r="CP248" s="847">
        <v>0</v>
      </c>
      <c r="CQ248" s="847">
        <v>0</v>
      </c>
      <c r="CR248" s="847">
        <v>0</v>
      </c>
      <c r="CS248" s="847">
        <v>0</v>
      </c>
      <c r="CT248" s="847">
        <v>0</v>
      </c>
      <c r="CU248" s="847">
        <v>0</v>
      </c>
      <c r="CV248" s="847">
        <v>0</v>
      </c>
      <c r="CW248" s="847">
        <v>0</v>
      </c>
      <c r="CX248" s="847">
        <v>0</v>
      </c>
      <c r="CY248" s="847">
        <v>0</v>
      </c>
      <c r="CZ248" s="847">
        <v>0</v>
      </c>
      <c r="DA248" s="847">
        <v>0</v>
      </c>
      <c r="DB248" s="847">
        <v>0</v>
      </c>
      <c r="DC248" s="847">
        <v>0</v>
      </c>
      <c r="DD248" s="847">
        <v>0</v>
      </c>
      <c r="DE248" s="847">
        <v>0</v>
      </c>
      <c r="DF248" s="847">
        <v>0</v>
      </c>
      <c r="DG248" s="847">
        <v>0</v>
      </c>
      <c r="DH248" s="847">
        <v>0</v>
      </c>
      <c r="DI248" s="847">
        <v>0</v>
      </c>
      <c r="DJ248" s="847">
        <v>138800</v>
      </c>
      <c r="DK248" s="847">
        <v>0</v>
      </c>
      <c r="DL248" s="847">
        <v>0</v>
      </c>
      <c r="DM248" s="847">
        <v>0</v>
      </c>
      <c r="DN248" s="847">
        <v>0</v>
      </c>
      <c r="DO248" s="847">
        <v>0</v>
      </c>
      <c r="DP248" s="847">
        <v>0</v>
      </c>
      <c r="DQ248" s="847">
        <v>0</v>
      </c>
      <c r="DR248" s="847">
        <v>0</v>
      </c>
      <c r="DS248" s="847">
        <v>0</v>
      </c>
      <c r="DT248" s="847">
        <v>0</v>
      </c>
      <c r="DU248" s="847">
        <v>0</v>
      </c>
      <c r="DV248" s="847">
        <v>0</v>
      </c>
      <c r="DW248" s="847">
        <v>0</v>
      </c>
      <c r="DY248" s="843" t="s">
        <v>1060</v>
      </c>
      <c r="DZ248" s="843" t="s">
        <v>1382</v>
      </c>
      <c r="EA248" s="843" t="s">
        <v>97</v>
      </c>
      <c r="EB248" s="844">
        <v>13</v>
      </c>
      <c r="EC248" s="780" t="str">
        <f t="shared" si="9"/>
        <v>IWT060213</v>
      </c>
      <c r="ED248" s="844">
        <v>4637</v>
      </c>
      <c r="EE248" s="844">
        <v>9274</v>
      </c>
      <c r="EF248" s="844">
        <v>13911</v>
      </c>
      <c r="EG248" s="844">
        <v>19660.900000000001</v>
      </c>
      <c r="EH248" s="844">
        <v>24576.1</v>
      </c>
      <c r="EI248" s="844">
        <v>29491.3</v>
      </c>
      <c r="EJ248" s="844">
        <v>29491.3</v>
      </c>
      <c r="EK248" s="844">
        <v>29491.3</v>
      </c>
      <c r="EL248" s="844">
        <v>29491.3</v>
      </c>
      <c r="EM248" s="844">
        <v>30015</v>
      </c>
      <c r="EN248" s="844">
        <v>30615</v>
      </c>
      <c r="EO248" s="844">
        <v>31227</v>
      </c>
      <c r="EP248" s="844">
        <v>31852</v>
      </c>
      <c r="EQ248" s="844">
        <v>32489</v>
      </c>
      <c r="ER248" s="844">
        <v>33139</v>
      </c>
      <c r="ES248" s="844">
        <v>33802</v>
      </c>
      <c r="ET248" s="844">
        <v>34478</v>
      </c>
      <c r="EU248" s="844">
        <v>35167</v>
      </c>
      <c r="EV248" s="844">
        <v>35871</v>
      </c>
      <c r="EW248" s="844">
        <v>36588</v>
      </c>
      <c r="EX248" s="844">
        <v>37320</v>
      </c>
      <c r="EY248" s="844">
        <v>38066</v>
      </c>
      <c r="EZ248" s="844">
        <v>38827</v>
      </c>
      <c r="FA248" s="844">
        <v>39604</v>
      </c>
      <c r="FB248" s="844">
        <v>40396</v>
      </c>
      <c r="FC248" s="844">
        <v>41204</v>
      </c>
      <c r="FD248" s="844">
        <v>42028</v>
      </c>
      <c r="FE248" s="844">
        <v>42869</v>
      </c>
      <c r="FF248" s="844">
        <v>43726</v>
      </c>
      <c r="FG248" s="844">
        <v>44601</v>
      </c>
      <c r="FH248" s="844">
        <v>45493</v>
      </c>
      <c r="FI248" s="844">
        <v>46402</v>
      </c>
      <c r="FJ248" s="844">
        <v>47800</v>
      </c>
      <c r="FK248" s="844">
        <v>49200</v>
      </c>
      <c r="FL248" s="844">
        <v>50600</v>
      </c>
      <c r="FM248" s="844">
        <v>52000</v>
      </c>
      <c r="FN248" s="844">
        <v>53400</v>
      </c>
      <c r="FO248" s="844">
        <v>54800</v>
      </c>
      <c r="FP248" s="844">
        <v>56200</v>
      </c>
      <c r="FQ248" s="844">
        <v>57600</v>
      </c>
      <c r="FR248" s="844">
        <v>59000</v>
      </c>
      <c r="FS248" s="844">
        <v>60400</v>
      </c>
      <c r="FT248" s="844">
        <v>61800</v>
      </c>
      <c r="FU248" s="844">
        <v>63200</v>
      </c>
      <c r="FV248" s="844">
        <v>64600</v>
      </c>
      <c r="FW248" s="844">
        <v>66000</v>
      </c>
      <c r="FX248" s="844">
        <v>67400</v>
      </c>
      <c r="FY248" s="844">
        <v>68800</v>
      </c>
      <c r="FZ248" s="844">
        <v>70200</v>
      </c>
      <c r="GA248" s="844">
        <v>71600</v>
      </c>
      <c r="GB248" s="844">
        <v>73000</v>
      </c>
      <c r="GC248" s="844">
        <v>74400</v>
      </c>
      <c r="GD248" s="844">
        <v>75800</v>
      </c>
      <c r="GE248" s="844">
        <v>77200</v>
      </c>
      <c r="GF248" s="844">
        <v>78600</v>
      </c>
      <c r="GG248" s="844">
        <v>80000</v>
      </c>
      <c r="GH248" s="844">
        <v>81400</v>
      </c>
      <c r="GI248" s="844">
        <v>82800</v>
      </c>
      <c r="GJ248" s="844">
        <v>84200</v>
      </c>
      <c r="GK248" s="844">
        <v>85600</v>
      </c>
      <c r="GL248" s="844">
        <v>87000</v>
      </c>
      <c r="GM248" s="844">
        <v>88400</v>
      </c>
      <c r="GN248" s="844">
        <v>89800</v>
      </c>
      <c r="GO248" s="844">
        <v>91200</v>
      </c>
      <c r="GP248" s="844">
        <v>92600</v>
      </c>
      <c r="GQ248" s="844">
        <v>94000</v>
      </c>
      <c r="GR248" s="844">
        <v>95400</v>
      </c>
      <c r="GS248" s="844">
        <v>96800</v>
      </c>
      <c r="GT248" s="844">
        <v>98200</v>
      </c>
      <c r="GU248" s="844">
        <v>99600</v>
      </c>
      <c r="GV248" s="844">
        <v>101000</v>
      </c>
      <c r="GW248" s="844">
        <v>102400</v>
      </c>
      <c r="GX248" s="844">
        <v>103800</v>
      </c>
      <c r="GY248" s="844">
        <v>105200</v>
      </c>
      <c r="GZ248" s="844">
        <v>106600</v>
      </c>
      <c r="HA248" s="844">
        <v>108000</v>
      </c>
      <c r="HB248" s="844">
        <v>109400</v>
      </c>
      <c r="HC248" s="844">
        <v>110800</v>
      </c>
      <c r="HD248" s="844">
        <v>112200</v>
      </c>
      <c r="HE248" s="844">
        <v>113600</v>
      </c>
      <c r="HF248" s="844">
        <v>115000</v>
      </c>
      <c r="HG248" s="844">
        <v>116400</v>
      </c>
      <c r="HH248" s="844">
        <v>117800</v>
      </c>
      <c r="HI248" s="844">
        <v>119200</v>
      </c>
      <c r="HJ248" s="844">
        <v>120600</v>
      </c>
      <c r="HK248" s="844">
        <v>122000</v>
      </c>
      <c r="HL248" s="844">
        <v>123400</v>
      </c>
      <c r="HM248" s="844">
        <v>124800</v>
      </c>
      <c r="HN248" s="844">
        <v>126200</v>
      </c>
      <c r="HO248" s="844">
        <v>127600</v>
      </c>
      <c r="HP248" s="844">
        <v>129000</v>
      </c>
      <c r="HQ248" s="844">
        <v>130400</v>
      </c>
      <c r="HR248" s="844">
        <v>131800</v>
      </c>
      <c r="HS248" s="844">
        <v>133200</v>
      </c>
      <c r="HT248" s="844">
        <v>134600</v>
      </c>
      <c r="HU248" s="844">
        <v>136000</v>
      </c>
      <c r="HV248" s="844">
        <v>137432</v>
      </c>
      <c r="HW248" s="844">
        <v>138800</v>
      </c>
      <c r="HX248" s="844">
        <v>0</v>
      </c>
      <c r="HY248" s="844">
        <v>0</v>
      </c>
      <c r="HZ248" s="844">
        <v>0</v>
      </c>
      <c r="IA248" s="844">
        <v>0</v>
      </c>
      <c r="IB248" s="844">
        <v>0</v>
      </c>
      <c r="IC248" s="844">
        <v>0</v>
      </c>
      <c r="ID248" s="844">
        <v>0</v>
      </c>
      <c r="IE248" s="844">
        <v>0</v>
      </c>
      <c r="IF248" s="844">
        <v>0</v>
      </c>
      <c r="IG248" s="844">
        <v>0</v>
      </c>
      <c r="IH248" s="844">
        <v>0</v>
      </c>
      <c r="II248" s="844">
        <v>0</v>
      </c>
      <c r="IJ248" s="844">
        <v>0</v>
      </c>
    </row>
    <row r="249" spans="9:244" hidden="1">
      <c r="I249" s="156"/>
      <c r="L249" s="846" t="s">
        <v>1060</v>
      </c>
      <c r="M249" s="846" t="s">
        <v>1382</v>
      </c>
      <c r="N249" s="846" t="s">
        <v>97</v>
      </c>
      <c r="O249" s="847">
        <v>14</v>
      </c>
      <c r="P249" s="780" t="str">
        <f t="shared" si="8"/>
        <v>IWT060214</v>
      </c>
      <c r="Q249" s="847">
        <v>0</v>
      </c>
      <c r="R249" s="847">
        <v>0</v>
      </c>
      <c r="S249" s="847">
        <v>0</v>
      </c>
      <c r="T249" s="847">
        <v>0</v>
      </c>
      <c r="U249" s="847">
        <v>0</v>
      </c>
      <c r="V249" s="847">
        <v>0</v>
      </c>
      <c r="W249" s="847">
        <v>0</v>
      </c>
      <c r="X249" s="847">
        <v>0</v>
      </c>
      <c r="Y249" s="847">
        <v>0</v>
      </c>
      <c r="Z249" s="847">
        <v>0</v>
      </c>
      <c r="AA249" s="847">
        <v>0</v>
      </c>
      <c r="AB249" s="847">
        <v>0</v>
      </c>
      <c r="AC249" s="847">
        <v>0</v>
      </c>
      <c r="AD249" s="847">
        <v>0</v>
      </c>
      <c r="AE249" s="847">
        <v>0</v>
      </c>
      <c r="AF249" s="847">
        <v>0</v>
      </c>
      <c r="AG249" s="847">
        <v>0</v>
      </c>
      <c r="AH249" s="847">
        <v>0</v>
      </c>
      <c r="AI249" s="847">
        <v>0</v>
      </c>
      <c r="AJ249" s="847">
        <v>0</v>
      </c>
      <c r="AK249" s="847">
        <v>0</v>
      </c>
      <c r="AL249" s="847">
        <v>0</v>
      </c>
      <c r="AM249" s="847">
        <v>0</v>
      </c>
      <c r="AN249" s="847">
        <v>0</v>
      </c>
      <c r="AO249" s="847">
        <v>0</v>
      </c>
      <c r="AP249" s="847">
        <v>0</v>
      </c>
      <c r="AQ249" s="847">
        <v>0</v>
      </c>
      <c r="AR249" s="847">
        <v>0</v>
      </c>
      <c r="AS249" s="847">
        <v>0</v>
      </c>
      <c r="AT249" s="847">
        <v>0</v>
      </c>
      <c r="AU249" s="847">
        <v>0</v>
      </c>
      <c r="AV249" s="847">
        <v>0</v>
      </c>
      <c r="AW249" s="847">
        <v>0</v>
      </c>
      <c r="AX249" s="847">
        <v>0</v>
      </c>
      <c r="AY249" s="847">
        <v>0</v>
      </c>
      <c r="AZ249" s="847">
        <v>0</v>
      </c>
      <c r="BA249" s="847">
        <v>0</v>
      </c>
      <c r="BB249" s="847">
        <v>0</v>
      </c>
      <c r="BC249" s="847">
        <v>0</v>
      </c>
      <c r="BD249" s="847">
        <v>0</v>
      </c>
      <c r="BE249" s="847">
        <v>0</v>
      </c>
      <c r="BF249" s="847">
        <v>0</v>
      </c>
      <c r="BG249" s="847">
        <v>0</v>
      </c>
      <c r="BH249" s="847">
        <v>0</v>
      </c>
      <c r="BI249" s="847">
        <v>0</v>
      </c>
      <c r="BJ249" s="847">
        <v>0</v>
      </c>
      <c r="BK249" s="847">
        <v>0</v>
      </c>
      <c r="BL249" s="847">
        <v>0</v>
      </c>
      <c r="BM249" s="847">
        <v>0</v>
      </c>
      <c r="BN249" s="847">
        <v>0</v>
      </c>
      <c r="BO249" s="847">
        <v>0</v>
      </c>
      <c r="BP249" s="847">
        <v>0</v>
      </c>
      <c r="BQ249" s="847">
        <v>0</v>
      </c>
      <c r="BR249" s="847">
        <v>0</v>
      </c>
      <c r="BS249" s="847">
        <v>0</v>
      </c>
      <c r="BT249" s="847">
        <v>0</v>
      </c>
      <c r="BU249" s="847">
        <v>0</v>
      </c>
      <c r="BV249" s="847">
        <v>0</v>
      </c>
      <c r="BW249" s="847">
        <v>0</v>
      </c>
      <c r="BX249" s="847">
        <v>0</v>
      </c>
      <c r="BY249" s="847">
        <v>0</v>
      </c>
      <c r="BZ249" s="847">
        <v>0</v>
      </c>
      <c r="CA249" s="847">
        <v>0</v>
      </c>
      <c r="CB249" s="847">
        <v>0</v>
      </c>
      <c r="CC249" s="847">
        <v>0</v>
      </c>
      <c r="CD249" s="847">
        <v>0</v>
      </c>
      <c r="CE249" s="847">
        <v>0</v>
      </c>
      <c r="CF249" s="847">
        <v>0</v>
      </c>
      <c r="CG249" s="847">
        <v>0</v>
      </c>
      <c r="CH249" s="847">
        <v>0</v>
      </c>
      <c r="CI249" s="847">
        <v>0</v>
      </c>
      <c r="CJ249" s="847">
        <v>0</v>
      </c>
      <c r="CK249" s="847">
        <v>0</v>
      </c>
      <c r="CL249" s="847">
        <v>0</v>
      </c>
      <c r="CM249" s="847">
        <v>0</v>
      </c>
      <c r="CN249" s="847">
        <v>0</v>
      </c>
      <c r="CO249" s="847">
        <v>0</v>
      </c>
      <c r="CP249" s="847">
        <v>0</v>
      </c>
      <c r="CQ249" s="847">
        <v>0</v>
      </c>
      <c r="CR249" s="847">
        <v>0</v>
      </c>
      <c r="CS249" s="847">
        <v>0</v>
      </c>
      <c r="CT249" s="847">
        <v>0</v>
      </c>
      <c r="CU249" s="847">
        <v>0</v>
      </c>
      <c r="CV249" s="847">
        <v>0</v>
      </c>
      <c r="CW249" s="847">
        <v>0</v>
      </c>
      <c r="CX249" s="847">
        <v>0</v>
      </c>
      <c r="CY249" s="847">
        <v>0</v>
      </c>
      <c r="CZ249" s="847">
        <v>0</v>
      </c>
      <c r="DA249" s="847">
        <v>0</v>
      </c>
      <c r="DB249" s="847">
        <v>0</v>
      </c>
      <c r="DC249" s="847">
        <v>0</v>
      </c>
      <c r="DD249" s="847">
        <v>0</v>
      </c>
      <c r="DE249" s="847">
        <v>0</v>
      </c>
      <c r="DF249" s="847">
        <v>0</v>
      </c>
      <c r="DG249" s="847">
        <v>0</v>
      </c>
      <c r="DH249" s="847">
        <v>0</v>
      </c>
      <c r="DI249" s="847">
        <v>137400</v>
      </c>
      <c r="DJ249" s="847">
        <v>0</v>
      </c>
      <c r="DK249" s="847">
        <v>0</v>
      </c>
      <c r="DL249" s="847">
        <v>0</v>
      </c>
      <c r="DM249" s="847">
        <v>0</v>
      </c>
      <c r="DN249" s="847">
        <v>0</v>
      </c>
      <c r="DO249" s="847">
        <v>0</v>
      </c>
      <c r="DP249" s="847">
        <v>0</v>
      </c>
      <c r="DQ249" s="847">
        <v>0</v>
      </c>
      <c r="DR249" s="847">
        <v>0</v>
      </c>
      <c r="DS249" s="847">
        <v>0</v>
      </c>
      <c r="DT249" s="847">
        <v>0</v>
      </c>
      <c r="DU249" s="847">
        <v>0</v>
      </c>
      <c r="DV249" s="847">
        <v>0</v>
      </c>
      <c r="DW249" s="847">
        <v>0</v>
      </c>
      <c r="DY249" s="843" t="s">
        <v>1060</v>
      </c>
      <c r="DZ249" s="843" t="s">
        <v>1382</v>
      </c>
      <c r="EA249" s="843" t="s">
        <v>97</v>
      </c>
      <c r="EB249" s="844">
        <v>14</v>
      </c>
      <c r="EC249" s="780" t="str">
        <f t="shared" si="9"/>
        <v>IWT060214</v>
      </c>
      <c r="ED249" s="844">
        <v>4663</v>
      </c>
      <c r="EE249" s="844">
        <v>9326</v>
      </c>
      <c r="EF249" s="844">
        <v>14828.3</v>
      </c>
      <c r="EG249" s="844">
        <v>19771.099999999999</v>
      </c>
      <c r="EH249" s="844">
        <v>24713.9</v>
      </c>
      <c r="EI249" s="844">
        <v>29656.7</v>
      </c>
      <c r="EJ249" s="844">
        <v>29656.7</v>
      </c>
      <c r="EK249" s="844">
        <v>29656.7</v>
      </c>
      <c r="EL249" s="844">
        <v>29656.7</v>
      </c>
      <c r="EM249" s="844">
        <v>30178</v>
      </c>
      <c r="EN249" s="844">
        <v>30782</v>
      </c>
      <c r="EO249" s="844">
        <v>31397</v>
      </c>
      <c r="EP249" s="844">
        <v>32025</v>
      </c>
      <c r="EQ249" s="844">
        <v>32666</v>
      </c>
      <c r="ER249" s="844">
        <v>33319</v>
      </c>
      <c r="ES249" s="844">
        <v>33985</v>
      </c>
      <c r="ET249" s="844">
        <v>34665</v>
      </c>
      <c r="EU249" s="844">
        <v>35358</v>
      </c>
      <c r="EV249" s="844">
        <v>36066</v>
      </c>
      <c r="EW249" s="844">
        <v>36787</v>
      </c>
      <c r="EX249" s="844">
        <v>37523</v>
      </c>
      <c r="EY249" s="844">
        <v>38273</v>
      </c>
      <c r="EZ249" s="844">
        <v>39038</v>
      </c>
      <c r="FA249" s="844">
        <v>39819</v>
      </c>
      <c r="FB249" s="844">
        <v>40616</v>
      </c>
      <c r="FC249" s="844">
        <v>41428</v>
      </c>
      <c r="FD249" s="844">
        <v>42257</v>
      </c>
      <c r="FE249" s="844">
        <v>43102</v>
      </c>
      <c r="FF249" s="844">
        <v>43964</v>
      </c>
      <c r="FG249" s="844">
        <v>44843</v>
      </c>
      <c r="FH249" s="844">
        <v>45740</v>
      </c>
      <c r="FI249" s="844">
        <v>46654</v>
      </c>
      <c r="FJ249" s="844">
        <v>47800</v>
      </c>
      <c r="FK249" s="844">
        <v>49200</v>
      </c>
      <c r="FL249" s="844">
        <v>50600</v>
      </c>
      <c r="FM249" s="844">
        <v>52000</v>
      </c>
      <c r="FN249" s="844">
        <v>53400</v>
      </c>
      <c r="FO249" s="844">
        <v>54800</v>
      </c>
      <c r="FP249" s="844">
        <v>56200</v>
      </c>
      <c r="FQ249" s="844">
        <v>57600</v>
      </c>
      <c r="FR249" s="844">
        <v>59000</v>
      </c>
      <c r="FS249" s="844">
        <v>60400</v>
      </c>
      <c r="FT249" s="844">
        <v>61800</v>
      </c>
      <c r="FU249" s="844">
        <v>63200</v>
      </c>
      <c r="FV249" s="844">
        <v>64600</v>
      </c>
      <c r="FW249" s="844">
        <v>66000</v>
      </c>
      <c r="FX249" s="844">
        <v>67400</v>
      </c>
      <c r="FY249" s="844">
        <v>68800</v>
      </c>
      <c r="FZ249" s="844">
        <v>70200</v>
      </c>
      <c r="GA249" s="844">
        <v>71600</v>
      </c>
      <c r="GB249" s="844">
        <v>73000</v>
      </c>
      <c r="GC249" s="844">
        <v>74400</v>
      </c>
      <c r="GD249" s="844">
        <v>75800</v>
      </c>
      <c r="GE249" s="844">
        <v>77200</v>
      </c>
      <c r="GF249" s="844">
        <v>78600</v>
      </c>
      <c r="GG249" s="844">
        <v>80000</v>
      </c>
      <c r="GH249" s="844">
        <v>81400</v>
      </c>
      <c r="GI249" s="844">
        <v>82800</v>
      </c>
      <c r="GJ249" s="844">
        <v>84200</v>
      </c>
      <c r="GK249" s="844">
        <v>85600</v>
      </c>
      <c r="GL249" s="844">
        <v>87000</v>
      </c>
      <c r="GM249" s="844">
        <v>88400</v>
      </c>
      <c r="GN249" s="844">
        <v>89800</v>
      </c>
      <c r="GO249" s="844">
        <v>91200</v>
      </c>
      <c r="GP249" s="844">
        <v>92600</v>
      </c>
      <c r="GQ249" s="844">
        <v>94000</v>
      </c>
      <c r="GR249" s="844">
        <v>95400</v>
      </c>
      <c r="GS249" s="844">
        <v>96800</v>
      </c>
      <c r="GT249" s="844">
        <v>98200</v>
      </c>
      <c r="GU249" s="844">
        <v>99600</v>
      </c>
      <c r="GV249" s="844">
        <v>101000</v>
      </c>
      <c r="GW249" s="844">
        <v>102400</v>
      </c>
      <c r="GX249" s="844">
        <v>103800</v>
      </c>
      <c r="GY249" s="844">
        <v>105200</v>
      </c>
      <c r="GZ249" s="844">
        <v>106600</v>
      </c>
      <c r="HA249" s="844">
        <v>108000</v>
      </c>
      <c r="HB249" s="844">
        <v>109400</v>
      </c>
      <c r="HC249" s="844">
        <v>110800</v>
      </c>
      <c r="HD249" s="844">
        <v>112200</v>
      </c>
      <c r="HE249" s="844">
        <v>113600</v>
      </c>
      <c r="HF249" s="844">
        <v>115000</v>
      </c>
      <c r="HG249" s="844">
        <v>116400</v>
      </c>
      <c r="HH249" s="844">
        <v>117800</v>
      </c>
      <c r="HI249" s="844">
        <v>119200</v>
      </c>
      <c r="HJ249" s="844">
        <v>120600</v>
      </c>
      <c r="HK249" s="844">
        <v>122000</v>
      </c>
      <c r="HL249" s="844">
        <v>123400</v>
      </c>
      <c r="HM249" s="844">
        <v>124800</v>
      </c>
      <c r="HN249" s="844">
        <v>126200</v>
      </c>
      <c r="HO249" s="844">
        <v>127600</v>
      </c>
      <c r="HP249" s="844">
        <v>129000</v>
      </c>
      <c r="HQ249" s="844">
        <v>130400</v>
      </c>
      <c r="HR249" s="844">
        <v>131800</v>
      </c>
      <c r="HS249" s="844">
        <v>133200</v>
      </c>
      <c r="HT249" s="844">
        <v>134600</v>
      </c>
      <c r="HU249" s="844">
        <v>136046</v>
      </c>
      <c r="HV249" s="844">
        <v>137400</v>
      </c>
      <c r="HW249" s="844">
        <v>0</v>
      </c>
      <c r="HX249" s="844">
        <v>0</v>
      </c>
      <c r="HY249" s="844">
        <v>0</v>
      </c>
      <c r="HZ249" s="844">
        <v>0</v>
      </c>
      <c r="IA249" s="844">
        <v>0</v>
      </c>
      <c r="IB249" s="844">
        <v>0</v>
      </c>
      <c r="IC249" s="844">
        <v>0</v>
      </c>
      <c r="ID249" s="844">
        <v>0</v>
      </c>
      <c r="IE249" s="844">
        <v>0</v>
      </c>
      <c r="IF249" s="844">
        <v>0</v>
      </c>
      <c r="IG249" s="844">
        <v>0</v>
      </c>
      <c r="IH249" s="844">
        <v>0</v>
      </c>
      <c r="II249" s="844">
        <v>0</v>
      </c>
      <c r="IJ249" s="844">
        <v>0</v>
      </c>
    </row>
    <row r="250" spans="9:244" hidden="1">
      <c r="I250" s="156"/>
      <c r="L250" s="846" t="s">
        <v>1060</v>
      </c>
      <c r="M250" s="846" t="s">
        <v>1382</v>
      </c>
      <c r="N250" s="846" t="s">
        <v>97</v>
      </c>
      <c r="O250" s="847">
        <v>15</v>
      </c>
      <c r="P250" s="780" t="str">
        <f t="shared" si="8"/>
        <v>IWT060215</v>
      </c>
      <c r="Q250" s="847">
        <v>0</v>
      </c>
      <c r="R250" s="847">
        <v>0</v>
      </c>
      <c r="S250" s="847">
        <v>0</v>
      </c>
      <c r="T250" s="847">
        <v>0</v>
      </c>
      <c r="U250" s="847">
        <v>0</v>
      </c>
      <c r="V250" s="847">
        <v>0</v>
      </c>
      <c r="W250" s="847">
        <v>0</v>
      </c>
      <c r="X250" s="847">
        <v>0</v>
      </c>
      <c r="Y250" s="847">
        <v>0</v>
      </c>
      <c r="Z250" s="847">
        <v>0</v>
      </c>
      <c r="AA250" s="847">
        <v>0</v>
      </c>
      <c r="AB250" s="847">
        <v>0</v>
      </c>
      <c r="AC250" s="847">
        <v>0</v>
      </c>
      <c r="AD250" s="847">
        <v>0</v>
      </c>
      <c r="AE250" s="847">
        <v>0</v>
      </c>
      <c r="AF250" s="847">
        <v>0</v>
      </c>
      <c r="AG250" s="847">
        <v>0</v>
      </c>
      <c r="AH250" s="847">
        <v>0</v>
      </c>
      <c r="AI250" s="847">
        <v>0</v>
      </c>
      <c r="AJ250" s="847">
        <v>0</v>
      </c>
      <c r="AK250" s="847">
        <v>0</v>
      </c>
      <c r="AL250" s="847">
        <v>0</v>
      </c>
      <c r="AM250" s="847">
        <v>0</v>
      </c>
      <c r="AN250" s="847">
        <v>0</v>
      </c>
      <c r="AO250" s="847">
        <v>0</v>
      </c>
      <c r="AP250" s="847">
        <v>0</v>
      </c>
      <c r="AQ250" s="847">
        <v>0</v>
      </c>
      <c r="AR250" s="847">
        <v>0</v>
      </c>
      <c r="AS250" s="847">
        <v>0</v>
      </c>
      <c r="AT250" s="847">
        <v>0</v>
      </c>
      <c r="AU250" s="847">
        <v>0</v>
      </c>
      <c r="AV250" s="847">
        <v>0</v>
      </c>
      <c r="AW250" s="847">
        <v>0</v>
      </c>
      <c r="AX250" s="847">
        <v>0</v>
      </c>
      <c r="AY250" s="847">
        <v>0</v>
      </c>
      <c r="AZ250" s="847">
        <v>0</v>
      </c>
      <c r="BA250" s="847">
        <v>0</v>
      </c>
      <c r="BB250" s="847">
        <v>0</v>
      </c>
      <c r="BC250" s="847">
        <v>0</v>
      </c>
      <c r="BD250" s="847">
        <v>0</v>
      </c>
      <c r="BE250" s="847">
        <v>0</v>
      </c>
      <c r="BF250" s="847">
        <v>0</v>
      </c>
      <c r="BG250" s="847">
        <v>0</v>
      </c>
      <c r="BH250" s="847">
        <v>0</v>
      </c>
      <c r="BI250" s="847">
        <v>0</v>
      </c>
      <c r="BJ250" s="847">
        <v>0</v>
      </c>
      <c r="BK250" s="847">
        <v>0</v>
      </c>
      <c r="BL250" s="847">
        <v>0</v>
      </c>
      <c r="BM250" s="847">
        <v>0</v>
      </c>
      <c r="BN250" s="847">
        <v>0</v>
      </c>
      <c r="BO250" s="847">
        <v>0</v>
      </c>
      <c r="BP250" s="847">
        <v>0</v>
      </c>
      <c r="BQ250" s="847">
        <v>0</v>
      </c>
      <c r="BR250" s="847">
        <v>0</v>
      </c>
      <c r="BS250" s="847">
        <v>0</v>
      </c>
      <c r="BT250" s="847">
        <v>0</v>
      </c>
      <c r="BU250" s="847">
        <v>0</v>
      </c>
      <c r="BV250" s="847">
        <v>0</v>
      </c>
      <c r="BW250" s="847">
        <v>0</v>
      </c>
      <c r="BX250" s="847">
        <v>0</v>
      </c>
      <c r="BY250" s="847">
        <v>0</v>
      </c>
      <c r="BZ250" s="847">
        <v>0</v>
      </c>
      <c r="CA250" s="847">
        <v>0</v>
      </c>
      <c r="CB250" s="847">
        <v>0</v>
      </c>
      <c r="CC250" s="847">
        <v>0</v>
      </c>
      <c r="CD250" s="847">
        <v>0</v>
      </c>
      <c r="CE250" s="847">
        <v>0</v>
      </c>
      <c r="CF250" s="847">
        <v>0</v>
      </c>
      <c r="CG250" s="847">
        <v>0</v>
      </c>
      <c r="CH250" s="847">
        <v>0</v>
      </c>
      <c r="CI250" s="847">
        <v>0</v>
      </c>
      <c r="CJ250" s="847">
        <v>0</v>
      </c>
      <c r="CK250" s="847">
        <v>0</v>
      </c>
      <c r="CL250" s="847">
        <v>0</v>
      </c>
      <c r="CM250" s="847">
        <v>0</v>
      </c>
      <c r="CN250" s="847">
        <v>0</v>
      </c>
      <c r="CO250" s="847">
        <v>0</v>
      </c>
      <c r="CP250" s="847">
        <v>0</v>
      </c>
      <c r="CQ250" s="847">
        <v>0</v>
      </c>
      <c r="CR250" s="847">
        <v>0</v>
      </c>
      <c r="CS250" s="847">
        <v>0</v>
      </c>
      <c r="CT250" s="847">
        <v>0</v>
      </c>
      <c r="CU250" s="847">
        <v>0</v>
      </c>
      <c r="CV250" s="847">
        <v>0</v>
      </c>
      <c r="CW250" s="847">
        <v>0</v>
      </c>
      <c r="CX250" s="847">
        <v>0</v>
      </c>
      <c r="CY250" s="847">
        <v>0</v>
      </c>
      <c r="CZ250" s="847">
        <v>0</v>
      </c>
      <c r="DA250" s="847">
        <v>0</v>
      </c>
      <c r="DB250" s="847">
        <v>0</v>
      </c>
      <c r="DC250" s="847">
        <v>0</v>
      </c>
      <c r="DD250" s="847">
        <v>0</v>
      </c>
      <c r="DE250" s="847">
        <v>0</v>
      </c>
      <c r="DF250" s="847">
        <v>0</v>
      </c>
      <c r="DG250" s="847">
        <v>0</v>
      </c>
      <c r="DH250" s="847">
        <v>136000</v>
      </c>
      <c r="DI250" s="847">
        <v>0</v>
      </c>
      <c r="DJ250" s="847">
        <v>0</v>
      </c>
      <c r="DK250" s="847">
        <v>0</v>
      </c>
      <c r="DL250" s="847">
        <v>0</v>
      </c>
      <c r="DM250" s="847">
        <v>0</v>
      </c>
      <c r="DN250" s="847">
        <v>0</v>
      </c>
      <c r="DO250" s="847">
        <v>0</v>
      </c>
      <c r="DP250" s="847">
        <v>0</v>
      </c>
      <c r="DQ250" s="847">
        <v>0</v>
      </c>
      <c r="DR250" s="847">
        <v>0</v>
      </c>
      <c r="DS250" s="847">
        <v>0</v>
      </c>
      <c r="DT250" s="847">
        <v>0</v>
      </c>
      <c r="DU250" s="847">
        <v>0</v>
      </c>
      <c r="DV250" s="847">
        <v>0</v>
      </c>
      <c r="DW250" s="847">
        <v>0</v>
      </c>
      <c r="DY250" s="843" t="s">
        <v>1060</v>
      </c>
      <c r="DZ250" s="843" t="s">
        <v>1382</v>
      </c>
      <c r="EA250" s="843" t="s">
        <v>97</v>
      </c>
      <c r="EB250" s="844">
        <v>15</v>
      </c>
      <c r="EC250" s="780" t="str">
        <f t="shared" si="9"/>
        <v>IWT060215</v>
      </c>
      <c r="ED250" s="844">
        <v>4687</v>
      </c>
      <c r="EE250" s="844">
        <v>9936.4</v>
      </c>
      <c r="EF250" s="844">
        <v>14904.7</v>
      </c>
      <c r="EG250" s="844">
        <v>19872.900000000001</v>
      </c>
      <c r="EH250" s="844">
        <v>24841.1</v>
      </c>
      <c r="EI250" s="844">
        <v>29809.3</v>
      </c>
      <c r="EJ250" s="844">
        <v>29809.3</v>
      </c>
      <c r="EK250" s="844">
        <v>29809.3</v>
      </c>
      <c r="EL250" s="844">
        <v>29809.3</v>
      </c>
      <c r="EM250" s="844">
        <v>30337</v>
      </c>
      <c r="EN250" s="844">
        <v>30943</v>
      </c>
      <c r="EO250" s="844">
        <v>31562</v>
      </c>
      <c r="EP250" s="844">
        <v>32193</v>
      </c>
      <c r="EQ250" s="844">
        <v>32837</v>
      </c>
      <c r="ER250" s="844">
        <v>33494</v>
      </c>
      <c r="ES250" s="844">
        <v>34164</v>
      </c>
      <c r="ET250" s="844">
        <v>34847</v>
      </c>
      <c r="EU250" s="844">
        <v>35544</v>
      </c>
      <c r="EV250" s="844">
        <v>36255</v>
      </c>
      <c r="EW250" s="844">
        <v>36980</v>
      </c>
      <c r="EX250" s="844">
        <v>37720</v>
      </c>
      <c r="EY250" s="844">
        <v>38474</v>
      </c>
      <c r="EZ250" s="844">
        <v>39244</v>
      </c>
      <c r="FA250" s="844">
        <v>40028</v>
      </c>
      <c r="FB250" s="844">
        <v>40829</v>
      </c>
      <c r="FC250" s="844">
        <v>41646</v>
      </c>
      <c r="FD250" s="844">
        <v>42478</v>
      </c>
      <c r="FE250" s="844">
        <v>43328</v>
      </c>
      <c r="FF250" s="844">
        <v>44195</v>
      </c>
      <c r="FG250" s="844">
        <v>45078</v>
      </c>
      <c r="FH250" s="844">
        <v>45980</v>
      </c>
      <c r="FI250" s="844">
        <v>46900</v>
      </c>
      <c r="FJ250" s="844">
        <v>47837</v>
      </c>
      <c r="FK250" s="844">
        <v>49200</v>
      </c>
      <c r="FL250" s="844">
        <v>50600</v>
      </c>
      <c r="FM250" s="844">
        <v>52000</v>
      </c>
      <c r="FN250" s="844">
        <v>53400</v>
      </c>
      <c r="FO250" s="844">
        <v>54800</v>
      </c>
      <c r="FP250" s="844">
        <v>56200</v>
      </c>
      <c r="FQ250" s="844">
        <v>57600</v>
      </c>
      <c r="FR250" s="844">
        <v>59000</v>
      </c>
      <c r="FS250" s="844">
        <v>60400</v>
      </c>
      <c r="FT250" s="844">
        <v>61800</v>
      </c>
      <c r="FU250" s="844">
        <v>63200</v>
      </c>
      <c r="FV250" s="844">
        <v>64600</v>
      </c>
      <c r="FW250" s="844">
        <v>66000</v>
      </c>
      <c r="FX250" s="844">
        <v>67400</v>
      </c>
      <c r="FY250" s="844">
        <v>68800</v>
      </c>
      <c r="FZ250" s="844">
        <v>70200</v>
      </c>
      <c r="GA250" s="844">
        <v>71600</v>
      </c>
      <c r="GB250" s="844">
        <v>73000</v>
      </c>
      <c r="GC250" s="844">
        <v>74400</v>
      </c>
      <c r="GD250" s="844">
        <v>75800</v>
      </c>
      <c r="GE250" s="844">
        <v>77200</v>
      </c>
      <c r="GF250" s="844">
        <v>78600</v>
      </c>
      <c r="GG250" s="844">
        <v>80000</v>
      </c>
      <c r="GH250" s="844">
        <v>81400</v>
      </c>
      <c r="GI250" s="844">
        <v>82800</v>
      </c>
      <c r="GJ250" s="844">
        <v>84200</v>
      </c>
      <c r="GK250" s="844">
        <v>85600</v>
      </c>
      <c r="GL250" s="844">
        <v>87000</v>
      </c>
      <c r="GM250" s="844">
        <v>88400</v>
      </c>
      <c r="GN250" s="844">
        <v>89800</v>
      </c>
      <c r="GO250" s="844">
        <v>91200</v>
      </c>
      <c r="GP250" s="844">
        <v>92600</v>
      </c>
      <c r="GQ250" s="844">
        <v>94000</v>
      </c>
      <c r="GR250" s="844">
        <v>95400</v>
      </c>
      <c r="GS250" s="844">
        <v>96800</v>
      </c>
      <c r="GT250" s="844">
        <v>98200</v>
      </c>
      <c r="GU250" s="844">
        <v>99600</v>
      </c>
      <c r="GV250" s="844">
        <v>101000</v>
      </c>
      <c r="GW250" s="844">
        <v>102400</v>
      </c>
      <c r="GX250" s="844">
        <v>103800</v>
      </c>
      <c r="GY250" s="844">
        <v>105200</v>
      </c>
      <c r="GZ250" s="844">
        <v>106600</v>
      </c>
      <c r="HA250" s="844">
        <v>108000</v>
      </c>
      <c r="HB250" s="844">
        <v>109400</v>
      </c>
      <c r="HC250" s="844">
        <v>110800</v>
      </c>
      <c r="HD250" s="844">
        <v>112200</v>
      </c>
      <c r="HE250" s="844">
        <v>113600</v>
      </c>
      <c r="HF250" s="844">
        <v>115000</v>
      </c>
      <c r="HG250" s="844">
        <v>116400</v>
      </c>
      <c r="HH250" s="844">
        <v>117800</v>
      </c>
      <c r="HI250" s="844">
        <v>119200</v>
      </c>
      <c r="HJ250" s="844">
        <v>120600</v>
      </c>
      <c r="HK250" s="844">
        <v>122000</v>
      </c>
      <c r="HL250" s="844">
        <v>123400</v>
      </c>
      <c r="HM250" s="844">
        <v>124800</v>
      </c>
      <c r="HN250" s="844">
        <v>126200</v>
      </c>
      <c r="HO250" s="844">
        <v>127600</v>
      </c>
      <c r="HP250" s="844">
        <v>129000</v>
      </c>
      <c r="HQ250" s="844">
        <v>130400</v>
      </c>
      <c r="HR250" s="844">
        <v>131800</v>
      </c>
      <c r="HS250" s="844">
        <v>133200</v>
      </c>
      <c r="HT250" s="844">
        <v>134660</v>
      </c>
      <c r="HU250" s="844">
        <v>136000</v>
      </c>
      <c r="HV250" s="844">
        <v>0</v>
      </c>
      <c r="HW250" s="844">
        <v>0</v>
      </c>
      <c r="HX250" s="844">
        <v>0</v>
      </c>
      <c r="HY250" s="844">
        <v>0</v>
      </c>
      <c r="HZ250" s="844">
        <v>0</v>
      </c>
      <c r="IA250" s="844">
        <v>0</v>
      </c>
      <c r="IB250" s="844">
        <v>0</v>
      </c>
      <c r="IC250" s="844">
        <v>0</v>
      </c>
      <c r="ID250" s="844">
        <v>0</v>
      </c>
      <c r="IE250" s="844">
        <v>0</v>
      </c>
      <c r="IF250" s="844">
        <v>0</v>
      </c>
      <c r="IG250" s="844">
        <v>0</v>
      </c>
      <c r="IH250" s="844">
        <v>0</v>
      </c>
      <c r="II250" s="844">
        <v>0</v>
      </c>
      <c r="IJ250" s="844">
        <v>0</v>
      </c>
    </row>
    <row r="251" spans="9:244" hidden="1">
      <c r="I251" s="156"/>
      <c r="L251" s="846" t="s">
        <v>1060</v>
      </c>
      <c r="M251" s="846" t="s">
        <v>1382</v>
      </c>
      <c r="N251" s="846" t="s">
        <v>97</v>
      </c>
      <c r="O251" s="847">
        <v>16</v>
      </c>
      <c r="P251" s="780" t="str">
        <f t="shared" si="8"/>
        <v>IWT060216</v>
      </c>
      <c r="Q251" s="847">
        <v>0</v>
      </c>
      <c r="R251" s="847">
        <v>0</v>
      </c>
      <c r="S251" s="847">
        <v>0</v>
      </c>
      <c r="T251" s="847">
        <v>0</v>
      </c>
      <c r="U251" s="847">
        <v>0</v>
      </c>
      <c r="V251" s="847">
        <v>0</v>
      </c>
      <c r="W251" s="847">
        <v>0</v>
      </c>
      <c r="X251" s="847">
        <v>0</v>
      </c>
      <c r="Y251" s="847">
        <v>0</v>
      </c>
      <c r="Z251" s="847">
        <v>0</v>
      </c>
      <c r="AA251" s="847">
        <v>0</v>
      </c>
      <c r="AB251" s="847">
        <v>0</v>
      </c>
      <c r="AC251" s="847">
        <v>0</v>
      </c>
      <c r="AD251" s="847">
        <v>0</v>
      </c>
      <c r="AE251" s="847">
        <v>0</v>
      </c>
      <c r="AF251" s="847">
        <v>0</v>
      </c>
      <c r="AG251" s="847">
        <v>0</v>
      </c>
      <c r="AH251" s="847">
        <v>0</v>
      </c>
      <c r="AI251" s="847">
        <v>0</v>
      </c>
      <c r="AJ251" s="847">
        <v>0</v>
      </c>
      <c r="AK251" s="847">
        <v>0</v>
      </c>
      <c r="AL251" s="847">
        <v>0</v>
      </c>
      <c r="AM251" s="847">
        <v>0</v>
      </c>
      <c r="AN251" s="847">
        <v>0</v>
      </c>
      <c r="AO251" s="847">
        <v>0</v>
      </c>
      <c r="AP251" s="847">
        <v>0</v>
      </c>
      <c r="AQ251" s="847">
        <v>0</v>
      </c>
      <c r="AR251" s="847">
        <v>0</v>
      </c>
      <c r="AS251" s="847">
        <v>0</v>
      </c>
      <c r="AT251" s="847">
        <v>0</v>
      </c>
      <c r="AU251" s="847">
        <v>0</v>
      </c>
      <c r="AV251" s="847">
        <v>0</v>
      </c>
      <c r="AW251" s="847">
        <v>0</v>
      </c>
      <c r="AX251" s="847">
        <v>0</v>
      </c>
      <c r="AY251" s="847">
        <v>0</v>
      </c>
      <c r="AZ251" s="847">
        <v>0</v>
      </c>
      <c r="BA251" s="847">
        <v>0</v>
      </c>
      <c r="BB251" s="847">
        <v>0</v>
      </c>
      <c r="BC251" s="847">
        <v>0</v>
      </c>
      <c r="BD251" s="847">
        <v>0</v>
      </c>
      <c r="BE251" s="847">
        <v>0</v>
      </c>
      <c r="BF251" s="847">
        <v>0</v>
      </c>
      <c r="BG251" s="847">
        <v>0</v>
      </c>
      <c r="BH251" s="847">
        <v>0</v>
      </c>
      <c r="BI251" s="847">
        <v>0</v>
      </c>
      <c r="BJ251" s="847">
        <v>0</v>
      </c>
      <c r="BK251" s="847">
        <v>0</v>
      </c>
      <c r="BL251" s="847">
        <v>0</v>
      </c>
      <c r="BM251" s="847">
        <v>0</v>
      </c>
      <c r="BN251" s="847">
        <v>0</v>
      </c>
      <c r="BO251" s="847">
        <v>0</v>
      </c>
      <c r="BP251" s="847">
        <v>0</v>
      </c>
      <c r="BQ251" s="847">
        <v>0</v>
      </c>
      <c r="BR251" s="847">
        <v>0</v>
      </c>
      <c r="BS251" s="847">
        <v>0</v>
      </c>
      <c r="BT251" s="847">
        <v>0</v>
      </c>
      <c r="BU251" s="847">
        <v>0</v>
      </c>
      <c r="BV251" s="847">
        <v>0</v>
      </c>
      <c r="BW251" s="847">
        <v>0</v>
      </c>
      <c r="BX251" s="847">
        <v>0</v>
      </c>
      <c r="BY251" s="847">
        <v>0</v>
      </c>
      <c r="BZ251" s="847">
        <v>0</v>
      </c>
      <c r="CA251" s="847">
        <v>0</v>
      </c>
      <c r="CB251" s="847">
        <v>0</v>
      </c>
      <c r="CC251" s="847">
        <v>0</v>
      </c>
      <c r="CD251" s="847">
        <v>0</v>
      </c>
      <c r="CE251" s="847">
        <v>0</v>
      </c>
      <c r="CF251" s="847">
        <v>0</v>
      </c>
      <c r="CG251" s="847">
        <v>0</v>
      </c>
      <c r="CH251" s="847">
        <v>0</v>
      </c>
      <c r="CI251" s="847">
        <v>0</v>
      </c>
      <c r="CJ251" s="847">
        <v>0</v>
      </c>
      <c r="CK251" s="847">
        <v>0</v>
      </c>
      <c r="CL251" s="847">
        <v>0</v>
      </c>
      <c r="CM251" s="847">
        <v>0</v>
      </c>
      <c r="CN251" s="847">
        <v>0</v>
      </c>
      <c r="CO251" s="847">
        <v>0</v>
      </c>
      <c r="CP251" s="847">
        <v>0</v>
      </c>
      <c r="CQ251" s="847">
        <v>0</v>
      </c>
      <c r="CR251" s="847">
        <v>0</v>
      </c>
      <c r="CS251" s="847">
        <v>0</v>
      </c>
      <c r="CT251" s="847">
        <v>0</v>
      </c>
      <c r="CU251" s="847">
        <v>0</v>
      </c>
      <c r="CV251" s="847">
        <v>0</v>
      </c>
      <c r="CW251" s="847">
        <v>0</v>
      </c>
      <c r="CX251" s="847">
        <v>0</v>
      </c>
      <c r="CY251" s="847">
        <v>0</v>
      </c>
      <c r="CZ251" s="847">
        <v>0</v>
      </c>
      <c r="DA251" s="847">
        <v>0</v>
      </c>
      <c r="DB251" s="847">
        <v>0</v>
      </c>
      <c r="DC251" s="847">
        <v>0</v>
      </c>
      <c r="DD251" s="847">
        <v>0</v>
      </c>
      <c r="DE251" s="847">
        <v>0</v>
      </c>
      <c r="DF251" s="847">
        <v>0</v>
      </c>
      <c r="DG251" s="847">
        <v>134600</v>
      </c>
      <c r="DH251" s="847">
        <v>0</v>
      </c>
      <c r="DI251" s="847">
        <v>0</v>
      </c>
      <c r="DJ251" s="847">
        <v>0</v>
      </c>
      <c r="DK251" s="847">
        <v>0</v>
      </c>
      <c r="DL251" s="847">
        <v>0</v>
      </c>
      <c r="DM251" s="847">
        <v>0</v>
      </c>
      <c r="DN251" s="847">
        <v>0</v>
      </c>
      <c r="DO251" s="847">
        <v>0</v>
      </c>
      <c r="DP251" s="847">
        <v>0</v>
      </c>
      <c r="DQ251" s="847">
        <v>0</v>
      </c>
      <c r="DR251" s="847">
        <v>0</v>
      </c>
      <c r="DS251" s="847">
        <v>0</v>
      </c>
      <c r="DT251" s="847">
        <v>0</v>
      </c>
      <c r="DU251" s="847">
        <v>0</v>
      </c>
      <c r="DV251" s="847">
        <v>0</v>
      </c>
      <c r="DW251" s="847">
        <v>0</v>
      </c>
      <c r="DY251" s="843" t="s">
        <v>1060</v>
      </c>
      <c r="DZ251" s="843" t="s">
        <v>1382</v>
      </c>
      <c r="EA251" s="843" t="s">
        <v>97</v>
      </c>
      <c r="EB251" s="844">
        <v>16</v>
      </c>
      <c r="EC251" s="780" t="str">
        <f t="shared" si="9"/>
        <v>IWT060216</v>
      </c>
      <c r="ED251" s="844">
        <v>4993.7</v>
      </c>
      <c r="EE251" s="844">
        <v>9987.2999999999993</v>
      </c>
      <c r="EF251" s="844">
        <v>14981</v>
      </c>
      <c r="EG251" s="844">
        <v>19974.599999999999</v>
      </c>
      <c r="EH251" s="844">
        <v>24968.3</v>
      </c>
      <c r="EI251" s="844">
        <v>29962</v>
      </c>
      <c r="EJ251" s="844">
        <v>29962</v>
      </c>
      <c r="EK251" s="844">
        <v>29962</v>
      </c>
      <c r="EL251" s="844">
        <v>29962</v>
      </c>
      <c r="EM251" s="844">
        <v>30490</v>
      </c>
      <c r="EN251" s="844">
        <v>31100</v>
      </c>
      <c r="EO251" s="844">
        <v>31722</v>
      </c>
      <c r="EP251" s="844">
        <v>32357</v>
      </c>
      <c r="EQ251" s="844">
        <v>33004</v>
      </c>
      <c r="ER251" s="844">
        <v>33664</v>
      </c>
      <c r="ES251" s="844">
        <v>34337</v>
      </c>
      <c r="ET251" s="844">
        <v>35024</v>
      </c>
      <c r="EU251" s="844">
        <v>35724</v>
      </c>
      <c r="EV251" s="844">
        <v>36439</v>
      </c>
      <c r="EW251" s="844">
        <v>37168</v>
      </c>
      <c r="EX251" s="844">
        <v>37911</v>
      </c>
      <c r="EY251" s="844">
        <v>38669</v>
      </c>
      <c r="EZ251" s="844">
        <v>39442</v>
      </c>
      <c r="FA251" s="844">
        <v>40231</v>
      </c>
      <c r="FB251" s="844">
        <v>41036</v>
      </c>
      <c r="FC251" s="844">
        <v>41857</v>
      </c>
      <c r="FD251" s="844">
        <v>42694</v>
      </c>
      <c r="FE251" s="844">
        <v>43548</v>
      </c>
      <c r="FF251" s="844">
        <v>44419</v>
      </c>
      <c r="FG251" s="844">
        <v>45307</v>
      </c>
      <c r="FH251" s="844">
        <v>46213</v>
      </c>
      <c r="FI251" s="844">
        <v>47137</v>
      </c>
      <c r="FJ251" s="844">
        <v>48080</v>
      </c>
      <c r="FK251" s="844">
        <v>49200</v>
      </c>
      <c r="FL251" s="844">
        <v>50600</v>
      </c>
      <c r="FM251" s="844">
        <v>52000</v>
      </c>
      <c r="FN251" s="844">
        <v>53400</v>
      </c>
      <c r="FO251" s="844">
        <v>54800</v>
      </c>
      <c r="FP251" s="844">
        <v>56200</v>
      </c>
      <c r="FQ251" s="844">
        <v>57600</v>
      </c>
      <c r="FR251" s="844">
        <v>59000</v>
      </c>
      <c r="FS251" s="844">
        <v>60400</v>
      </c>
      <c r="FT251" s="844">
        <v>61800</v>
      </c>
      <c r="FU251" s="844">
        <v>63200</v>
      </c>
      <c r="FV251" s="844">
        <v>64600</v>
      </c>
      <c r="FW251" s="844">
        <v>66000</v>
      </c>
      <c r="FX251" s="844">
        <v>67400</v>
      </c>
      <c r="FY251" s="844">
        <v>68800</v>
      </c>
      <c r="FZ251" s="844">
        <v>70200</v>
      </c>
      <c r="GA251" s="844">
        <v>71600</v>
      </c>
      <c r="GB251" s="844">
        <v>73000</v>
      </c>
      <c r="GC251" s="844">
        <v>74400</v>
      </c>
      <c r="GD251" s="844">
        <v>75800</v>
      </c>
      <c r="GE251" s="844">
        <v>77200</v>
      </c>
      <c r="GF251" s="844">
        <v>78600</v>
      </c>
      <c r="GG251" s="844">
        <v>80000</v>
      </c>
      <c r="GH251" s="844">
        <v>81400</v>
      </c>
      <c r="GI251" s="844">
        <v>82800</v>
      </c>
      <c r="GJ251" s="844">
        <v>84200</v>
      </c>
      <c r="GK251" s="844">
        <v>85600</v>
      </c>
      <c r="GL251" s="844">
        <v>87000</v>
      </c>
      <c r="GM251" s="844">
        <v>88400</v>
      </c>
      <c r="GN251" s="844">
        <v>89800</v>
      </c>
      <c r="GO251" s="844">
        <v>91200</v>
      </c>
      <c r="GP251" s="844">
        <v>92600</v>
      </c>
      <c r="GQ251" s="844">
        <v>94000</v>
      </c>
      <c r="GR251" s="844">
        <v>95400</v>
      </c>
      <c r="GS251" s="844">
        <v>96800</v>
      </c>
      <c r="GT251" s="844">
        <v>98200</v>
      </c>
      <c r="GU251" s="844">
        <v>99600</v>
      </c>
      <c r="GV251" s="844">
        <v>101000</v>
      </c>
      <c r="GW251" s="844">
        <v>102400</v>
      </c>
      <c r="GX251" s="844">
        <v>103800</v>
      </c>
      <c r="GY251" s="844">
        <v>105200</v>
      </c>
      <c r="GZ251" s="844">
        <v>106600</v>
      </c>
      <c r="HA251" s="844">
        <v>108000</v>
      </c>
      <c r="HB251" s="844">
        <v>109400</v>
      </c>
      <c r="HC251" s="844">
        <v>110800</v>
      </c>
      <c r="HD251" s="844">
        <v>112200</v>
      </c>
      <c r="HE251" s="844">
        <v>113600</v>
      </c>
      <c r="HF251" s="844">
        <v>115000</v>
      </c>
      <c r="HG251" s="844">
        <v>116400</v>
      </c>
      <c r="HH251" s="844">
        <v>117800</v>
      </c>
      <c r="HI251" s="844">
        <v>119200</v>
      </c>
      <c r="HJ251" s="844">
        <v>120600</v>
      </c>
      <c r="HK251" s="844">
        <v>122000</v>
      </c>
      <c r="HL251" s="844">
        <v>123400</v>
      </c>
      <c r="HM251" s="844">
        <v>124800</v>
      </c>
      <c r="HN251" s="844">
        <v>126200</v>
      </c>
      <c r="HO251" s="844">
        <v>127600</v>
      </c>
      <c r="HP251" s="844">
        <v>129000</v>
      </c>
      <c r="HQ251" s="844">
        <v>130400</v>
      </c>
      <c r="HR251" s="844">
        <v>131801</v>
      </c>
      <c r="HS251" s="844">
        <v>133274</v>
      </c>
      <c r="HT251" s="844">
        <v>134600</v>
      </c>
      <c r="HU251" s="844">
        <v>0</v>
      </c>
      <c r="HV251" s="844">
        <v>0</v>
      </c>
      <c r="HW251" s="844">
        <v>0</v>
      </c>
      <c r="HX251" s="844">
        <v>0</v>
      </c>
      <c r="HY251" s="844">
        <v>0</v>
      </c>
      <c r="HZ251" s="844">
        <v>0</v>
      </c>
      <c r="IA251" s="844">
        <v>0</v>
      </c>
      <c r="IB251" s="844">
        <v>0</v>
      </c>
      <c r="IC251" s="844">
        <v>0</v>
      </c>
      <c r="ID251" s="844">
        <v>0</v>
      </c>
      <c r="IE251" s="844">
        <v>0</v>
      </c>
      <c r="IF251" s="844">
        <v>0</v>
      </c>
      <c r="IG251" s="844">
        <v>0</v>
      </c>
      <c r="IH251" s="844">
        <v>0</v>
      </c>
      <c r="II251" s="844">
        <v>0</v>
      </c>
      <c r="IJ251" s="844">
        <v>0</v>
      </c>
    </row>
    <row r="252" spans="9:244" hidden="1">
      <c r="I252" s="156"/>
      <c r="L252" s="846" t="s">
        <v>1060</v>
      </c>
      <c r="M252" s="846" t="s">
        <v>1382</v>
      </c>
      <c r="N252" s="846" t="s">
        <v>97</v>
      </c>
      <c r="O252" s="847">
        <v>17</v>
      </c>
      <c r="P252" s="780" t="str">
        <f t="shared" si="8"/>
        <v>IWT060217</v>
      </c>
      <c r="Q252" s="847">
        <v>0</v>
      </c>
      <c r="R252" s="847">
        <v>0</v>
      </c>
      <c r="S252" s="847">
        <v>0</v>
      </c>
      <c r="T252" s="847">
        <v>0</v>
      </c>
      <c r="U252" s="847">
        <v>0</v>
      </c>
      <c r="V252" s="847">
        <v>0</v>
      </c>
      <c r="W252" s="847">
        <v>0</v>
      </c>
      <c r="X252" s="847">
        <v>0</v>
      </c>
      <c r="Y252" s="847">
        <v>0</v>
      </c>
      <c r="Z252" s="847">
        <v>0</v>
      </c>
      <c r="AA252" s="847">
        <v>0</v>
      </c>
      <c r="AB252" s="847">
        <v>0</v>
      </c>
      <c r="AC252" s="847">
        <v>0</v>
      </c>
      <c r="AD252" s="847">
        <v>0</v>
      </c>
      <c r="AE252" s="847">
        <v>0</v>
      </c>
      <c r="AF252" s="847">
        <v>0</v>
      </c>
      <c r="AG252" s="847">
        <v>0</v>
      </c>
      <c r="AH252" s="847">
        <v>0</v>
      </c>
      <c r="AI252" s="847">
        <v>0</v>
      </c>
      <c r="AJ252" s="847">
        <v>0</v>
      </c>
      <c r="AK252" s="847">
        <v>0</v>
      </c>
      <c r="AL252" s="847">
        <v>0</v>
      </c>
      <c r="AM252" s="847">
        <v>0</v>
      </c>
      <c r="AN252" s="847">
        <v>0</v>
      </c>
      <c r="AO252" s="847">
        <v>0</v>
      </c>
      <c r="AP252" s="847">
        <v>0</v>
      </c>
      <c r="AQ252" s="847">
        <v>0</v>
      </c>
      <c r="AR252" s="847">
        <v>0</v>
      </c>
      <c r="AS252" s="847">
        <v>0</v>
      </c>
      <c r="AT252" s="847">
        <v>0</v>
      </c>
      <c r="AU252" s="847">
        <v>0</v>
      </c>
      <c r="AV252" s="847">
        <v>0</v>
      </c>
      <c r="AW252" s="847">
        <v>0</v>
      </c>
      <c r="AX252" s="847">
        <v>0</v>
      </c>
      <c r="AY252" s="847">
        <v>0</v>
      </c>
      <c r="AZ252" s="847">
        <v>0</v>
      </c>
      <c r="BA252" s="847">
        <v>0</v>
      </c>
      <c r="BB252" s="847">
        <v>0</v>
      </c>
      <c r="BC252" s="847">
        <v>0</v>
      </c>
      <c r="BD252" s="847">
        <v>0</v>
      </c>
      <c r="BE252" s="847">
        <v>0</v>
      </c>
      <c r="BF252" s="847">
        <v>0</v>
      </c>
      <c r="BG252" s="847">
        <v>0</v>
      </c>
      <c r="BH252" s="847">
        <v>0</v>
      </c>
      <c r="BI252" s="847">
        <v>0</v>
      </c>
      <c r="BJ252" s="847">
        <v>0</v>
      </c>
      <c r="BK252" s="847">
        <v>0</v>
      </c>
      <c r="BL252" s="847">
        <v>0</v>
      </c>
      <c r="BM252" s="847">
        <v>0</v>
      </c>
      <c r="BN252" s="847">
        <v>0</v>
      </c>
      <c r="BO252" s="847">
        <v>0</v>
      </c>
      <c r="BP252" s="847">
        <v>0</v>
      </c>
      <c r="BQ252" s="847">
        <v>0</v>
      </c>
      <c r="BR252" s="847">
        <v>0</v>
      </c>
      <c r="BS252" s="847">
        <v>0</v>
      </c>
      <c r="BT252" s="847">
        <v>0</v>
      </c>
      <c r="BU252" s="847">
        <v>0</v>
      </c>
      <c r="BV252" s="847">
        <v>0</v>
      </c>
      <c r="BW252" s="847">
        <v>0</v>
      </c>
      <c r="BX252" s="847">
        <v>0</v>
      </c>
      <c r="BY252" s="847">
        <v>0</v>
      </c>
      <c r="BZ252" s="847">
        <v>0</v>
      </c>
      <c r="CA252" s="847">
        <v>0</v>
      </c>
      <c r="CB252" s="847">
        <v>0</v>
      </c>
      <c r="CC252" s="847">
        <v>0</v>
      </c>
      <c r="CD252" s="847">
        <v>0</v>
      </c>
      <c r="CE252" s="847">
        <v>0</v>
      </c>
      <c r="CF252" s="847">
        <v>0</v>
      </c>
      <c r="CG252" s="847">
        <v>0</v>
      </c>
      <c r="CH252" s="847">
        <v>0</v>
      </c>
      <c r="CI252" s="847">
        <v>0</v>
      </c>
      <c r="CJ252" s="847">
        <v>0</v>
      </c>
      <c r="CK252" s="847">
        <v>0</v>
      </c>
      <c r="CL252" s="847">
        <v>0</v>
      </c>
      <c r="CM252" s="847">
        <v>0</v>
      </c>
      <c r="CN252" s="847">
        <v>0</v>
      </c>
      <c r="CO252" s="847">
        <v>0</v>
      </c>
      <c r="CP252" s="847">
        <v>0</v>
      </c>
      <c r="CQ252" s="847">
        <v>0</v>
      </c>
      <c r="CR252" s="847">
        <v>0</v>
      </c>
      <c r="CS252" s="847">
        <v>0</v>
      </c>
      <c r="CT252" s="847">
        <v>0</v>
      </c>
      <c r="CU252" s="847">
        <v>0</v>
      </c>
      <c r="CV252" s="847">
        <v>0</v>
      </c>
      <c r="CW252" s="847">
        <v>0</v>
      </c>
      <c r="CX252" s="847">
        <v>0</v>
      </c>
      <c r="CY252" s="847">
        <v>0</v>
      </c>
      <c r="CZ252" s="847">
        <v>0</v>
      </c>
      <c r="DA252" s="847">
        <v>0</v>
      </c>
      <c r="DB252" s="847">
        <v>0</v>
      </c>
      <c r="DC252" s="847">
        <v>0</v>
      </c>
      <c r="DD252" s="847">
        <v>0</v>
      </c>
      <c r="DE252" s="847">
        <v>0</v>
      </c>
      <c r="DF252" s="847">
        <v>133200</v>
      </c>
      <c r="DG252" s="847">
        <v>0</v>
      </c>
      <c r="DH252" s="847">
        <v>0</v>
      </c>
      <c r="DI252" s="847">
        <v>0</v>
      </c>
      <c r="DJ252" s="847">
        <v>0</v>
      </c>
      <c r="DK252" s="847">
        <v>0</v>
      </c>
      <c r="DL252" s="847">
        <v>0</v>
      </c>
      <c r="DM252" s="847">
        <v>0</v>
      </c>
      <c r="DN252" s="847">
        <v>0</v>
      </c>
      <c r="DO252" s="847">
        <v>0</v>
      </c>
      <c r="DP252" s="847">
        <v>0</v>
      </c>
      <c r="DQ252" s="847">
        <v>0</v>
      </c>
      <c r="DR252" s="847">
        <v>0</v>
      </c>
      <c r="DS252" s="847">
        <v>0</v>
      </c>
      <c r="DT252" s="847">
        <v>0</v>
      </c>
      <c r="DU252" s="847">
        <v>0</v>
      </c>
      <c r="DV252" s="847">
        <v>0</v>
      </c>
      <c r="DW252" s="847">
        <v>0</v>
      </c>
      <c r="DY252" s="843" t="s">
        <v>1060</v>
      </c>
      <c r="DZ252" s="843" t="s">
        <v>1382</v>
      </c>
      <c r="EA252" s="843" t="s">
        <v>97</v>
      </c>
      <c r="EB252" s="844">
        <v>17</v>
      </c>
      <c r="EC252" s="780" t="str">
        <f t="shared" si="9"/>
        <v>IWT060217</v>
      </c>
      <c r="ED252" s="844">
        <v>5018</v>
      </c>
      <c r="EE252" s="844">
        <v>10036.1</v>
      </c>
      <c r="EF252" s="844">
        <v>15054.1</v>
      </c>
      <c r="EG252" s="844">
        <v>20072.2</v>
      </c>
      <c r="EH252" s="844">
        <v>25090.2</v>
      </c>
      <c r="EI252" s="844">
        <v>30108.2</v>
      </c>
      <c r="EJ252" s="844">
        <v>30108.2</v>
      </c>
      <c r="EK252" s="844">
        <v>30108.2</v>
      </c>
      <c r="EL252" s="844">
        <v>30108.2</v>
      </c>
      <c r="EM252" s="844">
        <v>30639</v>
      </c>
      <c r="EN252" s="844">
        <v>31252</v>
      </c>
      <c r="EO252" s="844">
        <v>31877</v>
      </c>
      <c r="EP252" s="844">
        <v>32515</v>
      </c>
      <c r="EQ252" s="844">
        <v>33165</v>
      </c>
      <c r="ER252" s="844">
        <v>33828</v>
      </c>
      <c r="ES252" s="844">
        <v>34505</v>
      </c>
      <c r="ET252" s="844">
        <v>35195</v>
      </c>
      <c r="EU252" s="844">
        <v>35899</v>
      </c>
      <c r="EV252" s="844">
        <v>36617</v>
      </c>
      <c r="EW252" s="844">
        <v>37349</v>
      </c>
      <c r="EX252" s="844">
        <v>38096</v>
      </c>
      <c r="EY252" s="844">
        <v>38858</v>
      </c>
      <c r="EZ252" s="844">
        <v>39635</v>
      </c>
      <c r="FA252" s="844">
        <v>40428</v>
      </c>
      <c r="FB252" s="844">
        <v>41236</v>
      </c>
      <c r="FC252" s="844">
        <v>42061</v>
      </c>
      <c r="FD252" s="844">
        <v>42902</v>
      </c>
      <c r="FE252" s="844">
        <v>43760</v>
      </c>
      <c r="FF252" s="844">
        <v>44635</v>
      </c>
      <c r="FG252" s="844">
        <v>45528</v>
      </c>
      <c r="FH252" s="844">
        <v>46439</v>
      </c>
      <c r="FI252" s="844">
        <v>47368</v>
      </c>
      <c r="FJ252" s="844">
        <v>48315</v>
      </c>
      <c r="FK252" s="844">
        <v>49280</v>
      </c>
      <c r="FL252" s="844">
        <v>50600</v>
      </c>
      <c r="FM252" s="844">
        <v>52000</v>
      </c>
      <c r="FN252" s="844">
        <v>53400</v>
      </c>
      <c r="FO252" s="844">
        <v>54800</v>
      </c>
      <c r="FP252" s="844">
        <v>56200</v>
      </c>
      <c r="FQ252" s="844">
        <v>57600</v>
      </c>
      <c r="FR252" s="844">
        <v>59000</v>
      </c>
      <c r="FS252" s="844">
        <v>60400</v>
      </c>
      <c r="FT252" s="844">
        <v>61800</v>
      </c>
      <c r="FU252" s="844">
        <v>63200</v>
      </c>
      <c r="FV252" s="844">
        <v>64600</v>
      </c>
      <c r="FW252" s="844">
        <v>66000</v>
      </c>
      <c r="FX252" s="844">
        <v>67400</v>
      </c>
      <c r="FY252" s="844">
        <v>68800</v>
      </c>
      <c r="FZ252" s="844">
        <v>70200</v>
      </c>
      <c r="GA252" s="844">
        <v>71600</v>
      </c>
      <c r="GB252" s="844">
        <v>73000</v>
      </c>
      <c r="GC252" s="844">
        <v>74400</v>
      </c>
      <c r="GD252" s="844">
        <v>75800</v>
      </c>
      <c r="GE252" s="844">
        <v>77200</v>
      </c>
      <c r="GF252" s="844">
        <v>78600</v>
      </c>
      <c r="GG252" s="844">
        <v>80000</v>
      </c>
      <c r="GH252" s="844">
        <v>81400</v>
      </c>
      <c r="GI252" s="844">
        <v>82800</v>
      </c>
      <c r="GJ252" s="844">
        <v>84200</v>
      </c>
      <c r="GK252" s="844">
        <v>85600</v>
      </c>
      <c r="GL252" s="844">
        <v>87000</v>
      </c>
      <c r="GM252" s="844">
        <v>88400</v>
      </c>
      <c r="GN252" s="844">
        <v>89800</v>
      </c>
      <c r="GO252" s="844">
        <v>91200</v>
      </c>
      <c r="GP252" s="844">
        <v>92600</v>
      </c>
      <c r="GQ252" s="844">
        <v>94000</v>
      </c>
      <c r="GR252" s="844">
        <v>95400</v>
      </c>
      <c r="GS252" s="844">
        <v>96800</v>
      </c>
      <c r="GT252" s="844">
        <v>98200</v>
      </c>
      <c r="GU252" s="844">
        <v>99600</v>
      </c>
      <c r="GV252" s="844">
        <v>101000</v>
      </c>
      <c r="GW252" s="844">
        <v>102400</v>
      </c>
      <c r="GX252" s="844">
        <v>103800</v>
      </c>
      <c r="GY252" s="844">
        <v>105200</v>
      </c>
      <c r="GZ252" s="844">
        <v>106600</v>
      </c>
      <c r="HA252" s="844">
        <v>108000</v>
      </c>
      <c r="HB252" s="844">
        <v>109400</v>
      </c>
      <c r="HC252" s="844">
        <v>110800</v>
      </c>
      <c r="HD252" s="844">
        <v>112200</v>
      </c>
      <c r="HE252" s="844">
        <v>113600</v>
      </c>
      <c r="HF252" s="844">
        <v>115000</v>
      </c>
      <c r="HG252" s="844">
        <v>116400</v>
      </c>
      <c r="HH252" s="844">
        <v>117800</v>
      </c>
      <c r="HI252" s="844">
        <v>119200</v>
      </c>
      <c r="HJ252" s="844">
        <v>120600</v>
      </c>
      <c r="HK252" s="844">
        <v>122000</v>
      </c>
      <c r="HL252" s="844">
        <v>123400</v>
      </c>
      <c r="HM252" s="844">
        <v>124800</v>
      </c>
      <c r="HN252" s="844">
        <v>126200</v>
      </c>
      <c r="HO252" s="844">
        <v>127600</v>
      </c>
      <c r="HP252" s="844">
        <v>129000</v>
      </c>
      <c r="HQ252" s="844">
        <v>130417</v>
      </c>
      <c r="HR252" s="844">
        <v>131888</v>
      </c>
      <c r="HS252" s="844">
        <v>133200</v>
      </c>
      <c r="HT252" s="844">
        <v>0</v>
      </c>
      <c r="HU252" s="844">
        <v>0</v>
      </c>
      <c r="HV252" s="844">
        <v>0</v>
      </c>
      <c r="HW252" s="844">
        <v>0</v>
      </c>
      <c r="HX252" s="844">
        <v>0</v>
      </c>
      <c r="HY252" s="844">
        <v>0</v>
      </c>
      <c r="HZ252" s="844">
        <v>0</v>
      </c>
      <c r="IA252" s="844">
        <v>0</v>
      </c>
      <c r="IB252" s="844">
        <v>0</v>
      </c>
      <c r="IC252" s="844">
        <v>0</v>
      </c>
      <c r="ID252" s="844">
        <v>0</v>
      </c>
      <c r="IE252" s="844">
        <v>0</v>
      </c>
      <c r="IF252" s="844">
        <v>0</v>
      </c>
      <c r="IG252" s="844">
        <v>0</v>
      </c>
      <c r="IH252" s="844">
        <v>0</v>
      </c>
      <c r="II252" s="844">
        <v>0</v>
      </c>
      <c r="IJ252" s="844">
        <v>0</v>
      </c>
    </row>
    <row r="253" spans="9:244" hidden="1">
      <c r="I253" s="156"/>
      <c r="L253" s="846" t="s">
        <v>1060</v>
      </c>
      <c r="M253" s="846" t="s">
        <v>1382</v>
      </c>
      <c r="N253" s="846" t="s">
        <v>97</v>
      </c>
      <c r="O253" s="847">
        <v>18</v>
      </c>
      <c r="P253" s="780" t="str">
        <f t="shared" si="8"/>
        <v>IWT060218</v>
      </c>
      <c r="Q253" s="847">
        <v>0</v>
      </c>
      <c r="R253" s="847">
        <v>0</v>
      </c>
      <c r="S253" s="847">
        <v>0</v>
      </c>
      <c r="T253" s="847">
        <v>0</v>
      </c>
      <c r="U253" s="847">
        <v>0</v>
      </c>
      <c r="V253" s="847">
        <v>0</v>
      </c>
      <c r="W253" s="847">
        <v>0</v>
      </c>
      <c r="X253" s="847">
        <v>0</v>
      </c>
      <c r="Y253" s="847">
        <v>0</v>
      </c>
      <c r="Z253" s="847">
        <v>0</v>
      </c>
      <c r="AA253" s="847">
        <v>0</v>
      </c>
      <c r="AB253" s="847">
        <v>0</v>
      </c>
      <c r="AC253" s="847">
        <v>0</v>
      </c>
      <c r="AD253" s="847">
        <v>0</v>
      </c>
      <c r="AE253" s="847">
        <v>0</v>
      </c>
      <c r="AF253" s="847">
        <v>0</v>
      </c>
      <c r="AG253" s="847">
        <v>0</v>
      </c>
      <c r="AH253" s="847">
        <v>0</v>
      </c>
      <c r="AI253" s="847">
        <v>0</v>
      </c>
      <c r="AJ253" s="847">
        <v>0</v>
      </c>
      <c r="AK253" s="847">
        <v>0</v>
      </c>
      <c r="AL253" s="847">
        <v>0</v>
      </c>
      <c r="AM253" s="847">
        <v>0</v>
      </c>
      <c r="AN253" s="847">
        <v>0</v>
      </c>
      <c r="AO253" s="847">
        <v>0</v>
      </c>
      <c r="AP253" s="847">
        <v>0</v>
      </c>
      <c r="AQ253" s="847">
        <v>0</v>
      </c>
      <c r="AR253" s="847">
        <v>0</v>
      </c>
      <c r="AS253" s="847">
        <v>0</v>
      </c>
      <c r="AT253" s="847">
        <v>0</v>
      </c>
      <c r="AU253" s="847">
        <v>0</v>
      </c>
      <c r="AV253" s="847">
        <v>0</v>
      </c>
      <c r="AW253" s="847">
        <v>0</v>
      </c>
      <c r="AX253" s="847">
        <v>0</v>
      </c>
      <c r="AY253" s="847">
        <v>0</v>
      </c>
      <c r="AZ253" s="847">
        <v>0</v>
      </c>
      <c r="BA253" s="847">
        <v>0</v>
      </c>
      <c r="BB253" s="847">
        <v>0</v>
      </c>
      <c r="BC253" s="847">
        <v>0</v>
      </c>
      <c r="BD253" s="847">
        <v>0</v>
      </c>
      <c r="BE253" s="847">
        <v>0</v>
      </c>
      <c r="BF253" s="847">
        <v>0</v>
      </c>
      <c r="BG253" s="847">
        <v>0</v>
      </c>
      <c r="BH253" s="847">
        <v>0</v>
      </c>
      <c r="BI253" s="847">
        <v>0</v>
      </c>
      <c r="BJ253" s="847">
        <v>0</v>
      </c>
      <c r="BK253" s="847">
        <v>0</v>
      </c>
      <c r="BL253" s="847">
        <v>0</v>
      </c>
      <c r="BM253" s="847">
        <v>0</v>
      </c>
      <c r="BN253" s="847">
        <v>0</v>
      </c>
      <c r="BO253" s="847">
        <v>0</v>
      </c>
      <c r="BP253" s="847">
        <v>0</v>
      </c>
      <c r="BQ253" s="847">
        <v>0</v>
      </c>
      <c r="BR253" s="847">
        <v>0</v>
      </c>
      <c r="BS253" s="847">
        <v>0</v>
      </c>
      <c r="BT253" s="847">
        <v>0</v>
      </c>
      <c r="BU253" s="847">
        <v>0</v>
      </c>
      <c r="BV253" s="847">
        <v>0</v>
      </c>
      <c r="BW253" s="847">
        <v>0</v>
      </c>
      <c r="BX253" s="847">
        <v>0</v>
      </c>
      <c r="BY253" s="847">
        <v>0</v>
      </c>
      <c r="BZ253" s="847">
        <v>0</v>
      </c>
      <c r="CA253" s="847">
        <v>0</v>
      </c>
      <c r="CB253" s="847">
        <v>0</v>
      </c>
      <c r="CC253" s="847">
        <v>0</v>
      </c>
      <c r="CD253" s="847">
        <v>0</v>
      </c>
      <c r="CE253" s="847">
        <v>0</v>
      </c>
      <c r="CF253" s="847">
        <v>0</v>
      </c>
      <c r="CG253" s="847">
        <v>0</v>
      </c>
      <c r="CH253" s="847">
        <v>0</v>
      </c>
      <c r="CI253" s="847">
        <v>0</v>
      </c>
      <c r="CJ253" s="847">
        <v>0</v>
      </c>
      <c r="CK253" s="847">
        <v>0</v>
      </c>
      <c r="CL253" s="847">
        <v>0</v>
      </c>
      <c r="CM253" s="847">
        <v>0</v>
      </c>
      <c r="CN253" s="847">
        <v>0</v>
      </c>
      <c r="CO253" s="847">
        <v>0</v>
      </c>
      <c r="CP253" s="847">
        <v>0</v>
      </c>
      <c r="CQ253" s="847">
        <v>0</v>
      </c>
      <c r="CR253" s="847">
        <v>0</v>
      </c>
      <c r="CS253" s="847">
        <v>0</v>
      </c>
      <c r="CT253" s="847">
        <v>0</v>
      </c>
      <c r="CU253" s="847">
        <v>0</v>
      </c>
      <c r="CV253" s="847">
        <v>0</v>
      </c>
      <c r="CW253" s="847">
        <v>0</v>
      </c>
      <c r="CX253" s="847">
        <v>0</v>
      </c>
      <c r="CY253" s="847">
        <v>0</v>
      </c>
      <c r="CZ253" s="847">
        <v>0</v>
      </c>
      <c r="DA253" s="847">
        <v>0</v>
      </c>
      <c r="DB253" s="847">
        <v>0</v>
      </c>
      <c r="DC253" s="847">
        <v>0</v>
      </c>
      <c r="DD253" s="847">
        <v>0</v>
      </c>
      <c r="DE253" s="847">
        <v>131800</v>
      </c>
      <c r="DF253" s="847">
        <v>0</v>
      </c>
      <c r="DG253" s="847">
        <v>0</v>
      </c>
      <c r="DH253" s="847">
        <v>0</v>
      </c>
      <c r="DI253" s="847">
        <v>0</v>
      </c>
      <c r="DJ253" s="847">
        <v>0</v>
      </c>
      <c r="DK253" s="847">
        <v>0</v>
      </c>
      <c r="DL253" s="847">
        <v>0</v>
      </c>
      <c r="DM253" s="847">
        <v>0</v>
      </c>
      <c r="DN253" s="847">
        <v>0</v>
      </c>
      <c r="DO253" s="847">
        <v>0</v>
      </c>
      <c r="DP253" s="847">
        <v>0</v>
      </c>
      <c r="DQ253" s="847">
        <v>0</v>
      </c>
      <c r="DR253" s="847">
        <v>0</v>
      </c>
      <c r="DS253" s="847">
        <v>0</v>
      </c>
      <c r="DT253" s="847">
        <v>0</v>
      </c>
      <c r="DU253" s="847">
        <v>0</v>
      </c>
      <c r="DV253" s="847">
        <v>0</v>
      </c>
      <c r="DW253" s="847">
        <v>0</v>
      </c>
      <c r="DY253" s="843" t="s">
        <v>1060</v>
      </c>
      <c r="DZ253" s="843" t="s">
        <v>1382</v>
      </c>
      <c r="EA253" s="843" t="s">
        <v>97</v>
      </c>
      <c r="EB253" s="844">
        <v>18</v>
      </c>
      <c r="EC253" s="780" t="str">
        <f t="shared" si="9"/>
        <v>IWT060218</v>
      </c>
      <c r="ED253" s="844">
        <v>5041.3999999999996</v>
      </c>
      <c r="EE253" s="844">
        <v>10082.700000000001</v>
      </c>
      <c r="EF253" s="844">
        <v>15124.1</v>
      </c>
      <c r="EG253" s="844">
        <v>20165.400000000001</v>
      </c>
      <c r="EH253" s="844">
        <v>25206.799999999999</v>
      </c>
      <c r="EI253" s="844">
        <v>30248.2</v>
      </c>
      <c r="EJ253" s="844">
        <v>30248.2</v>
      </c>
      <c r="EK253" s="844">
        <v>30248.2</v>
      </c>
      <c r="EL253" s="844">
        <v>30248.2</v>
      </c>
      <c r="EM253" s="844">
        <v>30783</v>
      </c>
      <c r="EN253" s="844">
        <v>31399</v>
      </c>
      <c r="EO253" s="844">
        <v>32027</v>
      </c>
      <c r="EP253" s="844">
        <v>32667</v>
      </c>
      <c r="EQ253" s="844">
        <v>33321</v>
      </c>
      <c r="ER253" s="844">
        <v>33987</v>
      </c>
      <c r="ES253" s="844">
        <v>34667</v>
      </c>
      <c r="ET253" s="844">
        <v>35360</v>
      </c>
      <c r="EU253" s="844">
        <v>36067</v>
      </c>
      <c r="EV253" s="844">
        <v>36789</v>
      </c>
      <c r="EW253" s="844">
        <v>37524</v>
      </c>
      <c r="EX253" s="844">
        <v>38275</v>
      </c>
      <c r="EY253" s="844">
        <v>39040</v>
      </c>
      <c r="EZ253" s="844">
        <v>39821</v>
      </c>
      <c r="FA253" s="844">
        <v>40618</v>
      </c>
      <c r="FB253" s="844">
        <v>41430</v>
      </c>
      <c r="FC253" s="844">
        <v>42259</v>
      </c>
      <c r="FD253" s="844">
        <v>43104</v>
      </c>
      <c r="FE253" s="844">
        <v>43966</v>
      </c>
      <c r="FF253" s="844">
        <v>44845</v>
      </c>
      <c r="FG253" s="844">
        <v>45742</v>
      </c>
      <c r="FH253" s="844">
        <v>46657</v>
      </c>
      <c r="FI253" s="844">
        <v>47590</v>
      </c>
      <c r="FJ253" s="844">
        <v>48542</v>
      </c>
      <c r="FK253" s="844">
        <v>49512</v>
      </c>
      <c r="FL253" s="844">
        <v>50600</v>
      </c>
      <c r="FM253" s="844">
        <v>52000</v>
      </c>
      <c r="FN253" s="844">
        <v>53400</v>
      </c>
      <c r="FO253" s="844">
        <v>54800</v>
      </c>
      <c r="FP253" s="844">
        <v>56200</v>
      </c>
      <c r="FQ253" s="844">
        <v>57600</v>
      </c>
      <c r="FR253" s="844">
        <v>59000</v>
      </c>
      <c r="FS253" s="844">
        <v>60400</v>
      </c>
      <c r="FT253" s="844">
        <v>61800</v>
      </c>
      <c r="FU253" s="844">
        <v>63200</v>
      </c>
      <c r="FV253" s="844">
        <v>64600</v>
      </c>
      <c r="FW253" s="844">
        <v>66000</v>
      </c>
      <c r="FX253" s="844">
        <v>67400</v>
      </c>
      <c r="FY253" s="844">
        <v>68800</v>
      </c>
      <c r="FZ253" s="844">
        <v>70200</v>
      </c>
      <c r="GA253" s="844">
        <v>71600</v>
      </c>
      <c r="GB253" s="844">
        <v>73000</v>
      </c>
      <c r="GC253" s="844">
        <v>74400</v>
      </c>
      <c r="GD253" s="844">
        <v>75800</v>
      </c>
      <c r="GE253" s="844">
        <v>77200</v>
      </c>
      <c r="GF253" s="844">
        <v>78600</v>
      </c>
      <c r="GG253" s="844">
        <v>80000</v>
      </c>
      <c r="GH253" s="844">
        <v>81400</v>
      </c>
      <c r="GI253" s="844">
        <v>82800</v>
      </c>
      <c r="GJ253" s="844">
        <v>84200</v>
      </c>
      <c r="GK253" s="844">
        <v>85600</v>
      </c>
      <c r="GL253" s="844">
        <v>87000</v>
      </c>
      <c r="GM253" s="844">
        <v>88400</v>
      </c>
      <c r="GN253" s="844">
        <v>89800</v>
      </c>
      <c r="GO253" s="844">
        <v>91200</v>
      </c>
      <c r="GP253" s="844">
        <v>92600</v>
      </c>
      <c r="GQ253" s="844">
        <v>94000</v>
      </c>
      <c r="GR253" s="844">
        <v>95400</v>
      </c>
      <c r="GS253" s="844">
        <v>96800</v>
      </c>
      <c r="GT253" s="844">
        <v>98200</v>
      </c>
      <c r="GU253" s="844">
        <v>99600</v>
      </c>
      <c r="GV253" s="844">
        <v>101000</v>
      </c>
      <c r="GW253" s="844">
        <v>102400</v>
      </c>
      <c r="GX253" s="844">
        <v>103800</v>
      </c>
      <c r="GY253" s="844">
        <v>105200</v>
      </c>
      <c r="GZ253" s="844">
        <v>106600</v>
      </c>
      <c r="HA253" s="844">
        <v>108000</v>
      </c>
      <c r="HB253" s="844">
        <v>109400</v>
      </c>
      <c r="HC253" s="844">
        <v>110800</v>
      </c>
      <c r="HD253" s="844">
        <v>112200</v>
      </c>
      <c r="HE253" s="844">
        <v>113600</v>
      </c>
      <c r="HF253" s="844">
        <v>115000</v>
      </c>
      <c r="HG253" s="844">
        <v>116400</v>
      </c>
      <c r="HH253" s="844">
        <v>117800</v>
      </c>
      <c r="HI253" s="844">
        <v>119200</v>
      </c>
      <c r="HJ253" s="844">
        <v>120600</v>
      </c>
      <c r="HK253" s="844">
        <v>122000</v>
      </c>
      <c r="HL253" s="844">
        <v>123400</v>
      </c>
      <c r="HM253" s="844">
        <v>124800</v>
      </c>
      <c r="HN253" s="844">
        <v>126200</v>
      </c>
      <c r="HO253" s="844">
        <v>127600</v>
      </c>
      <c r="HP253" s="844">
        <v>129032</v>
      </c>
      <c r="HQ253" s="844">
        <v>130501</v>
      </c>
      <c r="HR253" s="844">
        <v>131800</v>
      </c>
      <c r="HS253" s="844">
        <v>0</v>
      </c>
      <c r="HT253" s="844">
        <v>0</v>
      </c>
      <c r="HU253" s="844">
        <v>0</v>
      </c>
      <c r="HV253" s="844">
        <v>0</v>
      </c>
      <c r="HW253" s="844">
        <v>0</v>
      </c>
      <c r="HX253" s="844">
        <v>0</v>
      </c>
      <c r="HY253" s="844">
        <v>0</v>
      </c>
      <c r="HZ253" s="844">
        <v>0</v>
      </c>
      <c r="IA253" s="844">
        <v>0</v>
      </c>
      <c r="IB253" s="844">
        <v>0</v>
      </c>
      <c r="IC253" s="844">
        <v>0</v>
      </c>
      <c r="ID253" s="844">
        <v>0</v>
      </c>
      <c r="IE253" s="844">
        <v>0</v>
      </c>
      <c r="IF253" s="844">
        <v>0</v>
      </c>
      <c r="IG253" s="844">
        <v>0</v>
      </c>
      <c r="IH253" s="844">
        <v>0</v>
      </c>
      <c r="II253" s="844">
        <v>0</v>
      </c>
      <c r="IJ253" s="844">
        <v>0</v>
      </c>
    </row>
    <row r="254" spans="9:244" hidden="1">
      <c r="I254" s="156"/>
      <c r="L254" s="846" t="s">
        <v>1060</v>
      </c>
      <c r="M254" s="846" t="s">
        <v>1382</v>
      </c>
      <c r="N254" s="846" t="s">
        <v>97</v>
      </c>
      <c r="O254" s="847">
        <v>19</v>
      </c>
      <c r="P254" s="780" t="str">
        <f t="shared" si="8"/>
        <v>IWT060219</v>
      </c>
      <c r="Q254" s="847">
        <v>0</v>
      </c>
      <c r="R254" s="847">
        <v>0</v>
      </c>
      <c r="S254" s="847">
        <v>0</v>
      </c>
      <c r="T254" s="847">
        <v>0</v>
      </c>
      <c r="U254" s="847">
        <v>0</v>
      </c>
      <c r="V254" s="847">
        <v>0</v>
      </c>
      <c r="W254" s="847">
        <v>0</v>
      </c>
      <c r="X254" s="847">
        <v>0</v>
      </c>
      <c r="Y254" s="847">
        <v>0</v>
      </c>
      <c r="Z254" s="847">
        <v>0</v>
      </c>
      <c r="AA254" s="847">
        <v>0</v>
      </c>
      <c r="AB254" s="847">
        <v>0</v>
      </c>
      <c r="AC254" s="847">
        <v>0</v>
      </c>
      <c r="AD254" s="847">
        <v>0</v>
      </c>
      <c r="AE254" s="847">
        <v>0</v>
      </c>
      <c r="AF254" s="847">
        <v>0</v>
      </c>
      <c r="AG254" s="847">
        <v>0</v>
      </c>
      <c r="AH254" s="847">
        <v>0</v>
      </c>
      <c r="AI254" s="847">
        <v>0</v>
      </c>
      <c r="AJ254" s="847">
        <v>0</v>
      </c>
      <c r="AK254" s="847">
        <v>0</v>
      </c>
      <c r="AL254" s="847">
        <v>0</v>
      </c>
      <c r="AM254" s="847">
        <v>0</v>
      </c>
      <c r="AN254" s="847">
        <v>0</v>
      </c>
      <c r="AO254" s="847">
        <v>0</v>
      </c>
      <c r="AP254" s="847">
        <v>0</v>
      </c>
      <c r="AQ254" s="847">
        <v>0</v>
      </c>
      <c r="AR254" s="847">
        <v>0</v>
      </c>
      <c r="AS254" s="847">
        <v>0</v>
      </c>
      <c r="AT254" s="847">
        <v>0</v>
      </c>
      <c r="AU254" s="847">
        <v>0</v>
      </c>
      <c r="AV254" s="847">
        <v>0</v>
      </c>
      <c r="AW254" s="847">
        <v>0</v>
      </c>
      <c r="AX254" s="847">
        <v>0</v>
      </c>
      <c r="AY254" s="847">
        <v>0</v>
      </c>
      <c r="AZ254" s="847">
        <v>0</v>
      </c>
      <c r="BA254" s="847">
        <v>0</v>
      </c>
      <c r="BB254" s="847">
        <v>0</v>
      </c>
      <c r="BC254" s="847">
        <v>0</v>
      </c>
      <c r="BD254" s="847">
        <v>0</v>
      </c>
      <c r="BE254" s="847">
        <v>0</v>
      </c>
      <c r="BF254" s="847">
        <v>0</v>
      </c>
      <c r="BG254" s="847">
        <v>0</v>
      </c>
      <c r="BH254" s="847">
        <v>0</v>
      </c>
      <c r="BI254" s="847">
        <v>0</v>
      </c>
      <c r="BJ254" s="847">
        <v>0</v>
      </c>
      <c r="BK254" s="847">
        <v>0</v>
      </c>
      <c r="BL254" s="847">
        <v>0</v>
      </c>
      <c r="BM254" s="847">
        <v>0</v>
      </c>
      <c r="BN254" s="847">
        <v>0</v>
      </c>
      <c r="BO254" s="847">
        <v>0</v>
      </c>
      <c r="BP254" s="847">
        <v>0</v>
      </c>
      <c r="BQ254" s="847">
        <v>0</v>
      </c>
      <c r="BR254" s="847">
        <v>0</v>
      </c>
      <c r="BS254" s="847">
        <v>0</v>
      </c>
      <c r="BT254" s="847">
        <v>0</v>
      </c>
      <c r="BU254" s="847">
        <v>0</v>
      </c>
      <c r="BV254" s="847">
        <v>0</v>
      </c>
      <c r="BW254" s="847">
        <v>0</v>
      </c>
      <c r="BX254" s="847">
        <v>0</v>
      </c>
      <c r="BY254" s="847">
        <v>0</v>
      </c>
      <c r="BZ254" s="847">
        <v>0</v>
      </c>
      <c r="CA254" s="847">
        <v>0</v>
      </c>
      <c r="CB254" s="847">
        <v>0</v>
      </c>
      <c r="CC254" s="847">
        <v>0</v>
      </c>
      <c r="CD254" s="847">
        <v>0</v>
      </c>
      <c r="CE254" s="847">
        <v>0</v>
      </c>
      <c r="CF254" s="847">
        <v>0</v>
      </c>
      <c r="CG254" s="847">
        <v>0</v>
      </c>
      <c r="CH254" s="847">
        <v>0</v>
      </c>
      <c r="CI254" s="847">
        <v>0</v>
      </c>
      <c r="CJ254" s="847">
        <v>0</v>
      </c>
      <c r="CK254" s="847">
        <v>0</v>
      </c>
      <c r="CL254" s="847">
        <v>0</v>
      </c>
      <c r="CM254" s="847">
        <v>0</v>
      </c>
      <c r="CN254" s="847">
        <v>0</v>
      </c>
      <c r="CO254" s="847">
        <v>0</v>
      </c>
      <c r="CP254" s="847">
        <v>0</v>
      </c>
      <c r="CQ254" s="847">
        <v>0</v>
      </c>
      <c r="CR254" s="847">
        <v>0</v>
      </c>
      <c r="CS254" s="847">
        <v>0</v>
      </c>
      <c r="CT254" s="847">
        <v>0</v>
      </c>
      <c r="CU254" s="847">
        <v>0</v>
      </c>
      <c r="CV254" s="847">
        <v>0</v>
      </c>
      <c r="CW254" s="847">
        <v>0</v>
      </c>
      <c r="CX254" s="847">
        <v>0</v>
      </c>
      <c r="CY254" s="847">
        <v>0</v>
      </c>
      <c r="CZ254" s="847">
        <v>0</v>
      </c>
      <c r="DA254" s="847">
        <v>0</v>
      </c>
      <c r="DB254" s="847">
        <v>0</v>
      </c>
      <c r="DC254" s="847">
        <v>0</v>
      </c>
      <c r="DD254" s="847">
        <v>130400</v>
      </c>
      <c r="DE254" s="847">
        <v>0</v>
      </c>
      <c r="DF254" s="847">
        <v>0</v>
      </c>
      <c r="DG254" s="847">
        <v>0</v>
      </c>
      <c r="DH254" s="847">
        <v>0</v>
      </c>
      <c r="DI254" s="847">
        <v>0</v>
      </c>
      <c r="DJ254" s="847">
        <v>0</v>
      </c>
      <c r="DK254" s="847">
        <v>0</v>
      </c>
      <c r="DL254" s="847">
        <v>0</v>
      </c>
      <c r="DM254" s="847">
        <v>0</v>
      </c>
      <c r="DN254" s="847">
        <v>0</v>
      </c>
      <c r="DO254" s="847">
        <v>0</v>
      </c>
      <c r="DP254" s="847">
        <v>0</v>
      </c>
      <c r="DQ254" s="847">
        <v>0</v>
      </c>
      <c r="DR254" s="847">
        <v>0</v>
      </c>
      <c r="DS254" s="847">
        <v>0</v>
      </c>
      <c r="DT254" s="847">
        <v>0</v>
      </c>
      <c r="DU254" s="847">
        <v>0</v>
      </c>
      <c r="DV254" s="847">
        <v>0</v>
      </c>
      <c r="DW254" s="847">
        <v>0</v>
      </c>
      <c r="DY254" s="843" t="s">
        <v>1060</v>
      </c>
      <c r="DZ254" s="843" t="s">
        <v>1382</v>
      </c>
      <c r="EA254" s="843" t="s">
        <v>97</v>
      </c>
      <c r="EB254" s="844">
        <v>19</v>
      </c>
      <c r="EC254" s="780" t="str">
        <f t="shared" si="9"/>
        <v>IWT060219</v>
      </c>
      <c r="ED254" s="844">
        <v>5064.7</v>
      </c>
      <c r="EE254" s="844">
        <v>10129.4</v>
      </c>
      <c r="EF254" s="844">
        <v>15194</v>
      </c>
      <c r="EG254" s="844">
        <v>20258.7</v>
      </c>
      <c r="EH254" s="844">
        <v>25323.4</v>
      </c>
      <c r="EI254" s="844">
        <v>30388.1</v>
      </c>
      <c r="EJ254" s="844">
        <v>30388.1</v>
      </c>
      <c r="EK254" s="844">
        <v>30388.1</v>
      </c>
      <c r="EL254" s="844">
        <v>30388.1</v>
      </c>
      <c r="EM254" s="844">
        <v>30922</v>
      </c>
      <c r="EN254" s="844">
        <v>31540</v>
      </c>
      <c r="EO254" s="844">
        <v>32171</v>
      </c>
      <c r="EP254" s="844">
        <v>32814</v>
      </c>
      <c r="EQ254" s="844">
        <v>33471</v>
      </c>
      <c r="ER254" s="844">
        <v>34140</v>
      </c>
      <c r="ES254" s="844">
        <v>34823</v>
      </c>
      <c r="ET254" s="844">
        <v>35519</v>
      </c>
      <c r="EU254" s="844">
        <v>36230</v>
      </c>
      <c r="EV254" s="844">
        <v>36954</v>
      </c>
      <c r="EW254" s="844">
        <v>37693</v>
      </c>
      <c r="EX254" s="844">
        <v>38447</v>
      </c>
      <c r="EY254" s="844">
        <v>39216</v>
      </c>
      <c r="EZ254" s="844">
        <v>40001</v>
      </c>
      <c r="FA254" s="844">
        <v>40801</v>
      </c>
      <c r="FB254" s="844">
        <v>41617</v>
      </c>
      <c r="FC254" s="844">
        <v>42449</v>
      </c>
      <c r="FD254" s="844">
        <v>43298</v>
      </c>
      <c r="FE254" s="844">
        <v>44164</v>
      </c>
      <c r="FF254" s="844">
        <v>45047</v>
      </c>
      <c r="FG254" s="844">
        <v>45948</v>
      </c>
      <c r="FH254" s="844">
        <v>46867</v>
      </c>
      <c r="FI254" s="844">
        <v>47804</v>
      </c>
      <c r="FJ254" s="844">
        <v>48760</v>
      </c>
      <c r="FK254" s="844">
        <v>49736</v>
      </c>
      <c r="FL254" s="844">
        <v>50729</v>
      </c>
      <c r="FM254" s="844">
        <v>52000</v>
      </c>
      <c r="FN254" s="844">
        <v>53400</v>
      </c>
      <c r="FO254" s="844">
        <v>54800</v>
      </c>
      <c r="FP254" s="844">
        <v>56200</v>
      </c>
      <c r="FQ254" s="844">
        <v>57600</v>
      </c>
      <c r="FR254" s="844">
        <v>59000</v>
      </c>
      <c r="FS254" s="844">
        <v>60400</v>
      </c>
      <c r="FT254" s="844">
        <v>61800</v>
      </c>
      <c r="FU254" s="844">
        <v>63200</v>
      </c>
      <c r="FV254" s="844">
        <v>64600</v>
      </c>
      <c r="FW254" s="844">
        <v>66000</v>
      </c>
      <c r="FX254" s="844">
        <v>67400</v>
      </c>
      <c r="FY254" s="844">
        <v>68800</v>
      </c>
      <c r="FZ254" s="844">
        <v>70200</v>
      </c>
      <c r="GA254" s="844">
        <v>71600</v>
      </c>
      <c r="GB254" s="844">
        <v>73000</v>
      </c>
      <c r="GC254" s="844">
        <v>74400</v>
      </c>
      <c r="GD254" s="844">
        <v>75800</v>
      </c>
      <c r="GE254" s="844">
        <v>77200</v>
      </c>
      <c r="GF254" s="844">
        <v>78600</v>
      </c>
      <c r="GG254" s="844">
        <v>80000</v>
      </c>
      <c r="GH254" s="844">
        <v>81400</v>
      </c>
      <c r="GI254" s="844">
        <v>82800</v>
      </c>
      <c r="GJ254" s="844">
        <v>84200</v>
      </c>
      <c r="GK254" s="844">
        <v>85600</v>
      </c>
      <c r="GL254" s="844">
        <v>87000</v>
      </c>
      <c r="GM254" s="844">
        <v>88400</v>
      </c>
      <c r="GN254" s="844">
        <v>89800</v>
      </c>
      <c r="GO254" s="844">
        <v>91200</v>
      </c>
      <c r="GP254" s="844">
        <v>92600</v>
      </c>
      <c r="GQ254" s="844">
        <v>94000</v>
      </c>
      <c r="GR254" s="844">
        <v>95400</v>
      </c>
      <c r="GS254" s="844">
        <v>96800</v>
      </c>
      <c r="GT254" s="844">
        <v>98200</v>
      </c>
      <c r="GU254" s="844">
        <v>99600</v>
      </c>
      <c r="GV254" s="844">
        <v>101000</v>
      </c>
      <c r="GW254" s="844">
        <v>102400</v>
      </c>
      <c r="GX254" s="844">
        <v>103800</v>
      </c>
      <c r="GY254" s="844">
        <v>105200</v>
      </c>
      <c r="GZ254" s="844">
        <v>106600</v>
      </c>
      <c r="HA254" s="844">
        <v>108000</v>
      </c>
      <c r="HB254" s="844">
        <v>109400</v>
      </c>
      <c r="HC254" s="844">
        <v>110800</v>
      </c>
      <c r="HD254" s="844">
        <v>112200</v>
      </c>
      <c r="HE254" s="844">
        <v>113600</v>
      </c>
      <c r="HF254" s="844">
        <v>115000</v>
      </c>
      <c r="HG254" s="844">
        <v>116400</v>
      </c>
      <c r="HH254" s="844">
        <v>117800</v>
      </c>
      <c r="HI254" s="844">
        <v>119200</v>
      </c>
      <c r="HJ254" s="844">
        <v>120600</v>
      </c>
      <c r="HK254" s="844">
        <v>122000</v>
      </c>
      <c r="HL254" s="844">
        <v>123400</v>
      </c>
      <c r="HM254" s="844">
        <v>124800</v>
      </c>
      <c r="HN254" s="844">
        <v>126200</v>
      </c>
      <c r="HO254" s="844">
        <v>127648</v>
      </c>
      <c r="HP254" s="844">
        <v>129115</v>
      </c>
      <c r="HQ254" s="844">
        <v>130400</v>
      </c>
      <c r="HR254" s="844">
        <v>0</v>
      </c>
      <c r="HS254" s="844">
        <v>0</v>
      </c>
      <c r="HT254" s="844">
        <v>0</v>
      </c>
      <c r="HU254" s="844">
        <v>0</v>
      </c>
      <c r="HV254" s="844">
        <v>0</v>
      </c>
      <c r="HW254" s="844">
        <v>0</v>
      </c>
      <c r="HX254" s="844">
        <v>0</v>
      </c>
      <c r="HY254" s="844">
        <v>0</v>
      </c>
      <c r="HZ254" s="844">
        <v>0</v>
      </c>
      <c r="IA254" s="844">
        <v>0</v>
      </c>
      <c r="IB254" s="844">
        <v>0</v>
      </c>
      <c r="IC254" s="844">
        <v>0</v>
      </c>
      <c r="ID254" s="844">
        <v>0</v>
      </c>
      <c r="IE254" s="844">
        <v>0</v>
      </c>
      <c r="IF254" s="844">
        <v>0</v>
      </c>
      <c r="IG254" s="844">
        <v>0</v>
      </c>
      <c r="IH254" s="844">
        <v>0</v>
      </c>
      <c r="II254" s="844">
        <v>0</v>
      </c>
      <c r="IJ254" s="844">
        <v>0</v>
      </c>
    </row>
    <row r="255" spans="9:244" hidden="1">
      <c r="I255" s="156"/>
      <c r="L255" s="846" t="s">
        <v>1060</v>
      </c>
      <c r="M255" s="846" t="s">
        <v>1382</v>
      </c>
      <c r="N255" s="846" t="s">
        <v>97</v>
      </c>
      <c r="O255" s="847">
        <v>20</v>
      </c>
      <c r="P255" s="780" t="str">
        <f t="shared" si="8"/>
        <v>IWT060220</v>
      </c>
      <c r="Q255" s="847">
        <v>0</v>
      </c>
      <c r="R255" s="847">
        <v>0</v>
      </c>
      <c r="S255" s="847">
        <v>0</v>
      </c>
      <c r="T255" s="847">
        <v>0</v>
      </c>
      <c r="U255" s="847">
        <v>0</v>
      </c>
      <c r="V255" s="847">
        <v>0</v>
      </c>
      <c r="W255" s="847">
        <v>0</v>
      </c>
      <c r="X255" s="847">
        <v>0</v>
      </c>
      <c r="Y255" s="847">
        <v>0</v>
      </c>
      <c r="Z255" s="847">
        <v>0</v>
      </c>
      <c r="AA255" s="847">
        <v>0</v>
      </c>
      <c r="AB255" s="847">
        <v>0</v>
      </c>
      <c r="AC255" s="847">
        <v>0</v>
      </c>
      <c r="AD255" s="847">
        <v>0</v>
      </c>
      <c r="AE255" s="847">
        <v>0</v>
      </c>
      <c r="AF255" s="847">
        <v>0</v>
      </c>
      <c r="AG255" s="847">
        <v>0</v>
      </c>
      <c r="AH255" s="847">
        <v>0</v>
      </c>
      <c r="AI255" s="847">
        <v>0</v>
      </c>
      <c r="AJ255" s="847">
        <v>0</v>
      </c>
      <c r="AK255" s="847">
        <v>0</v>
      </c>
      <c r="AL255" s="847">
        <v>0</v>
      </c>
      <c r="AM255" s="847">
        <v>0</v>
      </c>
      <c r="AN255" s="847">
        <v>0</v>
      </c>
      <c r="AO255" s="847">
        <v>0</v>
      </c>
      <c r="AP255" s="847">
        <v>0</v>
      </c>
      <c r="AQ255" s="847">
        <v>0</v>
      </c>
      <c r="AR255" s="847">
        <v>0</v>
      </c>
      <c r="AS255" s="847">
        <v>0</v>
      </c>
      <c r="AT255" s="847">
        <v>0</v>
      </c>
      <c r="AU255" s="847">
        <v>0</v>
      </c>
      <c r="AV255" s="847">
        <v>0</v>
      </c>
      <c r="AW255" s="847">
        <v>0</v>
      </c>
      <c r="AX255" s="847">
        <v>0</v>
      </c>
      <c r="AY255" s="847">
        <v>0</v>
      </c>
      <c r="AZ255" s="847">
        <v>0</v>
      </c>
      <c r="BA255" s="847">
        <v>0</v>
      </c>
      <c r="BB255" s="847">
        <v>0</v>
      </c>
      <c r="BC255" s="847">
        <v>0</v>
      </c>
      <c r="BD255" s="847">
        <v>0</v>
      </c>
      <c r="BE255" s="847">
        <v>0</v>
      </c>
      <c r="BF255" s="847">
        <v>0</v>
      </c>
      <c r="BG255" s="847">
        <v>0</v>
      </c>
      <c r="BH255" s="847">
        <v>0</v>
      </c>
      <c r="BI255" s="847">
        <v>0</v>
      </c>
      <c r="BJ255" s="847">
        <v>0</v>
      </c>
      <c r="BK255" s="847">
        <v>0</v>
      </c>
      <c r="BL255" s="847">
        <v>0</v>
      </c>
      <c r="BM255" s="847">
        <v>0</v>
      </c>
      <c r="BN255" s="847">
        <v>0</v>
      </c>
      <c r="BO255" s="847">
        <v>0</v>
      </c>
      <c r="BP255" s="847">
        <v>0</v>
      </c>
      <c r="BQ255" s="847">
        <v>0</v>
      </c>
      <c r="BR255" s="847">
        <v>0</v>
      </c>
      <c r="BS255" s="847">
        <v>0</v>
      </c>
      <c r="BT255" s="847">
        <v>0</v>
      </c>
      <c r="BU255" s="847">
        <v>0</v>
      </c>
      <c r="BV255" s="847">
        <v>0</v>
      </c>
      <c r="BW255" s="847">
        <v>0</v>
      </c>
      <c r="BX255" s="847">
        <v>0</v>
      </c>
      <c r="BY255" s="847">
        <v>0</v>
      </c>
      <c r="BZ255" s="847">
        <v>0</v>
      </c>
      <c r="CA255" s="847">
        <v>0</v>
      </c>
      <c r="CB255" s="847">
        <v>0</v>
      </c>
      <c r="CC255" s="847">
        <v>0</v>
      </c>
      <c r="CD255" s="847">
        <v>0</v>
      </c>
      <c r="CE255" s="847">
        <v>0</v>
      </c>
      <c r="CF255" s="847">
        <v>0</v>
      </c>
      <c r="CG255" s="847">
        <v>0</v>
      </c>
      <c r="CH255" s="847">
        <v>0</v>
      </c>
      <c r="CI255" s="847">
        <v>0</v>
      </c>
      <c r="CJ255" s="847">
        <v>0</v>
      </c>
      <c r="CK255" s="847">
        <v>0</v>
      </c>
      <c r="CL255" s="847">
        <v>0</v>
      </c>
      <c r="CM255" s="847">
        <v>0</v>
      </c>
      <c r="CN255" s="847">
        <v>0</v>
      </c>
      <c r="CO255" s="847">
        <v>0</v>
      </c>
      <c r="CP255" s="847">
        <v>0</v>
      </c>
      <c r="CQ255" s="847">
        <v>0</v>
      </c>
      <c r="CR255" s="847">
        <v>0</v>
      </c>
      <c r="CS255" s="847">
        <v>0</v>
      </c>
      <c r="CT255" s="847">
        <v>0</v>
      </c>
      <c r="CU255" s="847">
        <v>0</v>
      </c>
      <c r="CV255" s="847">
        <v>0</v>
      </c>
      <c r="CW255" s="847">
        <v>0</v>
      </c>
      <c r="CX255" s="847">
        <v>0</v>
      </c>
      <c r="CY255" s="847">
        <v>0</v>
      </c>
      <c r="CZ255" s="847">
        <v>0</v>
      </c>
      <c r="DA255" s="847">
        <v>0</v>
      </c>
      <c r="DB255" s="847">
        <v>0</v>
      </c>
      <c r="DC255" s="847">
        <v>129000</v>
      </c>
      <c r="DD255" s="847">
        <v>0</v>
      </c>
      <c r="DE255" s="847">
        <v>0</v>
      </c>
      <c r="DF255" s="847">
        <v>0</v>
      </c>
      <c r="DG255" s="847">
        <v>0</v>
      </c>
      <c r="DH255" s="847">
        <v>0</v>
      </c>
      <c r="DI255" s="847">
        <v>0</v>
      </c>
      <c r="DJ255" s="847">
        <v>0</v>
      </c>
      <c r="DK255" s="847">
        <v>0</v>
      </c>
      <c r="DL255" s="847">
        <v>0</v>
      </c>
      <c r="DM255" s="847">
        <v>0</v>
      </c>
      <c r="DN255" s="847">
        <v>0</v>
      </c>
      <c r="DO255" s="847">
        <v>0</v>
      </c>
      <c r="DP255" s="847">
        <v>0</v>
      </c>
      <c r="DQ255" s="847">
        <v>0</v>
      </c>
      <c r="DR255" s="847">
        <v>0</v>
      </c>
      <c r="DS255" s="847">
        <v>0</v>
      </c>
      <c r="DT255" s="847">
        <v>0</v>
      </c>
      <c r="DU255" s="847">
        <v>0</v>
      </c>
      <c r="DV255" s="847">
        <v>0</v>
      </c>
      <c r="DW255" s="847">
        <v>0</v>
      </c>
      <c r="DY255" s="843" t="s">
        <v>1060</v>
      </c>
      <c r="DZ255" s="843" t="s">
        <v>1382</v>
      </c>
      <c r="EA255" s="843" t="s">
        <v>97</v>
      </c>
      <c r="EB255" s="844">
        <v>20</v>
      </c>
      <c r="EC255" s="780" t="str">
        <f t="shared" si="9"/>
        <v>IWT060220</v>
      </c>
      <c r="ED255" s="844">
        <v>5085.8999999999996</v>
      </c>
      <c r="EE255" s="844">
        <v>10171.799999999999</v>
      </c>
      <c r="EF255" s="844">
        <v>15257.6</v>
      </c>
      <c r="EG255" s="844">
        <v>20343.5</v>
      </c>
      <c r="EH255" s="844">
        <v>25429.4</v>
      </c>
      <c r="EI255" s="844">
        <v>30515.3</v>
      </c>
      <c r="EJ255" s="844">
        <v>30515.3</v>
      </c>
      <c r="EK255" s="844">
        <v>30515.3</v>
      </c>
      <c r="EL255" s="844">
        <v>30515.3</v>
      </c>
      <c r="EM255" s="844">
        <v>31055</v>
      </c>
      <c r="EN255" s="844">
        <v>31676</v>
      </c>
      <c r="EO255" s="844">
        <v>32310</v>
      </c>
      <c r="EP255" s="844">
        <v>32956</v>
      </c>
      <c r="EQ255" s="844">
        <v>33615</v>
      </c>
      <c r="ER255" s="844">
        <v>34288</v>
      </c>
      <c r="ES255" s="844">
        <v>34973</v>
      </c>
      <c r="ET255" s="844">
        <v>35673</v>
      </c>
      <c r="EU255" s="844">
        <v>36386</v>
      </c>
      <c r="EV255" s="844">
        <v>37114</v>
      </c>
      <c r="EW255" s="844">
        <v>37856</v>
      </c>
      <c r="EX255" s="844">
        <v>38613</v>
      </c>
      <c r="EY255" s="844">
        <v>39386</v>
      </c>
      <c r="EZ255" s="844">
        <v>40173</v>
      </c>
      <c r="FA255" s="844">
        <v>40977</v>
      </c>
      <c r="FB255" s="844">
        <v>41796</v>
      </c>
      <c r="FC255" s="844">
        <v>42632</v>
      </c>
      <c r="FD255" s="844">
        <v>43485</v>
      </c>
      <c r="FE255" s="844">
        <v>44355</v>
      </c>
      <c r="FF255" s="844">
        <v>45242</v>
      </c>
      <c r="FG255" s="844">
        <v>46146</v>
      </c>
      <c r="FH255" s="844">
        <v>47069</v>
      </c>
      <c r="FI255" s="844">
        <v>48011</v>
      </c>
      <c r="FJ255" s="844">
        <v>48971</v>
      </c>
      <c r="FK255" s="844">
        <v>49950</v>
      </c>
      <c r="FL255" s="844">
        <v>50949</v>
      </c>
      <c r="FM255" s="844">
        <v>52000</v>
      </c>
      <c r="FN255" s="844">
        <v>53400</v>
      </c>
      <c r="FO255" s="844">
        <v>54800</v>
      </c>
      <c r="FP255" s="844">
        <v>56200</v>
      </c>
      <c r="FQ255" s="844">
        <v>57600</v>
      </c>
      <c r="FR255" s="844">
        <v>59000</v>
      </c>
      <c r="FS255" s="844">
        <v>60400</v>
      </c>
      <c r="FT255" s="844">
        <v>61800</v>
      </c>
      <c r="FU255" s="844">
        <v>63200</v>
      </c>
      <c r="FV255" s="844">
        <v>64600</v>
      </c>
      <c r="FW255" s="844">
        <v>66000</v>
      </c>
      <c r="FX255" s="844">
        <v>67400</v>
      </c>
      <c r="FY255" s="844">
        <v>68800</v>
      </c>
      <c r="FZ255" s="844">
        <v>70200</v>
      </c>
      <c r="GA255" s="844">
        <v>71600</v>
      </c>
      <c r="GB255" s="844">
        <v>73000</v>
      </c>
      <c r="GC255" s="844">
        <v>74400</v>
      </c>
      <c r="GD255" s="844">
        <v>75800</v>
      </c>
      <c r="GE255" s="844">
        <v>77200</v>
      </c>
      <c r="GF255" s="844">
        <v>78600</v>
      </c>
      <c r="GG255" s="844">
        <v>80000</v>
      </c>
      <c r="GH255" s="844">
        <v>81400</v>
      </c>
      <c r="GI255" s="844">
        <v>82800</v>
      </c>
      <c r="GJ255" s="844">
        <v>84200</v>
      </c>
      <c r="GK255" s="844">
        <v>85600</v>
      </c>
      <c r="GL255" s="844">
        <v>87000</v>
      </c>
      <c r="GM255" s="844">
        <v>88400</v>
      </c>
      <c r="GN255" s="844">
        <v>89800</v>
      </c>
      <c r="GO255" s="844">
        <v>91200</v>
      </c>
      <c r="GP255" s="844">
        <v>92600</v>
      </c>
      <c r="GQ255" s="844">
        <v>94000</v>
      </c>
      <c r="GR255" s="844">
        <v>95400</v>
      </c>
      <c r="GS255" s="844">
        <v>96800</v>
      </c>
      <c r="GT255" s="844">
        <v>98200</v>
      </c>
      <c r="GU255" s="844">
        <v>99600</v>
      </c>
      <c r="GV255" s="844">
        <v>101000</v>
      </c>
      <c r="GW255" s="844">
        <v>102400</v>
      </c>
      <c r="GX255" s="844">
        <v>103800</v>
      </c>
      <c r="GY255" s="844">
        <v>105200</v>
      </c>
      <c r="GZ255" s="844">
        <v>106600</v>
      </c>
      <c r="HA255" s="844">
        <v>108000</v>
      </c>
      <c r="HB255" s="844">
        <v>109400</v>
      </c>
      <c r="HC255" s="844">
        <v>110800</v>
      </c>
      <c r="HD255" s="844">
        <v>112200</v>
      </c>
      <c r="HE255" s="844">
        <v>113600</v>
      </c>
      <c r="HF255" s="844">
        <v>115000</v>
      </c>
      <c r="HG255" s="844">
        <v>116400</v>
      </c>
      <c r="HH255" s="844">
        <v>117800</v>
      </c>
      <c r="HI255" s="844">
        <v>119200</v>
      </c>
      <c r="HJ255" s="844">
        <v>120600</v>
      </c>
      <c r="HK255" s="844">
        <v>122000</v>
      </c>
      <c r="HL255" s="844">
        <v>123400</v>
      </c>
      <c r="HM255" s="844">
        <v>124800</v>
      </c>
      <c r="HN255" s="844">
        <v>126264</v>
      </c>
      <c r="HO255" s="844">
        <v>127729</v>
      </c>
      <c r="HP255" s="844">
        <v>129000</v>
      </c>
      <c r="HQ255" s="844">
        <v>0</v>
      </c>
      <c r="HR255" s="844">
        <v>0</v>
      </c>
      <c r="HS255" s="844">
        <v>0</v>
      </c>
      <c r="HT255" s="844">
        <v>0</v>
      </c>
      <c r="HU255" s="844">
        <v>0</v>
      </c>
      <c r="HV255" s="844">
        <v>0</v>
      </c>
      <c r="HW255" s="844">
        <v>0</v>
      </c>
      <c r="HX255" s="844">
        <v>0</v>
      </c>
      <c r="HY255" s="844">
        <v>0</v>
      </c>
      <c r="HZ255" s="844">
        <v>0</v>
      </c>
      <c r="IA255" s="844">
        <v>0</v>
      </c>
      <c r="IB255" s="844">
        <v>0</v>
      </c>
      <c r="IC255" s="844">
        <v>0</v>
      </c>
      <c r="ID255" s="844">
        <v>0</v>
      </c>
      <c r="IE255" s="844">
        <v>0</v>
      </c>
      <c r="IF255" s="844">
        <v>0</v>
      </c>
      <c r="IG255" s="844">
        <v>0</v>
      </c>
      <c r="IH255" s="844">
        <v>0</v>
      </c>
      <c r="II255" s="844">
        <v>0</v>
      </c>
      <c r="IJ255" s="844">
        <v>0</v>
      </c>
    </row>
    <row r="256" spans="9:244" hidden="1">
      <c r="I256" s="156"/>
      <c r="L256" s="846" t="s">
        <v>1060</v>
      </c>
      <c r="M256" s="846" t="s">
        <v>1382</v>
      </c>
      <c r="N256" s="846" t="s">
        <v>97</v>
      </c>
      <c r="O256" s="847">
        <v>21</v>
      </c>
      <c r="P256" s="780" t="str">
        <f t="shared" si="8"/>
        <v>IWT060221</v>
      </c>
      <c r="Q256" s="847">
        <v>0</v>
      </c>
      <c r="R256" s="847">
        <v>0</v>
      </c>
      <c r="S256" s="847">
        <v>0</v>
      </c>
      <c r="T256" s="847">
        <v>0</v>
      </c>
      <c r="U256" s="847">
        <v>0</v>
      </c>
      <c r="V256" s="847">
        <v>0</v>
      </c>
      <c r="W256" s="847">
        <v>0</v>
      </c>
      <c r="X256" s="847">
        <v>0</v>
      </c>
      <c r="Y256" s="847">
        <v>0</v>
      </c>
      <c r="Z256" s="847">
        <v>0</v>
      </c>
      <c r="AA256" s="847">
        <v>0</v>
      </c>
      <c r="AB256" s="847">
        <v>0</v>
      </c>
      <c r="AC256" s="847">
        <v>0</v>
      </c>
      <c r="AD256" s="847">
        <v>0</v>
      </c>
      <c r="AE256" s="847">
        <v>0</v>
      </c>
      <c r="AF256" s="847">
        <v>0</v>
      </c>
      <c r="AG256" s="847">
        <v>0</v>
      </c>
      <c r="AH256" s="847">
        <v>0</v>
      </c>
      <c r="AI256" s="847">
        <v>0</v>
      </c>
      <c r="AJ256" s="847">
        <v>0</v>
      </c>
      <c r="AK256" s="847">
        <v>0</v>
      </c>
      <c r="AL256" s="847">
        <v>0</v>
      </c>
      <c r="AM256" s="847">
        <v>0</v>
      </c>
      <c r="AN256" s="847">
        <v>0</v>
      </c>
      <c r="AO256" s="847">
        <v>0</v>
      </c>
      <c r="AP256" s="847">
        <v>0</v>
      </c>
      <c r="AQ256" s="847">
        <v>0</v>
      </c>
      <c r="AR256" s="847">
        <v>0</v>
      </c>
      <c r="AS256" s="847">
        <v>0</v>
      </c>
      <c r="AT256" s="847">
        <v>0</v>
      </c>
      <c r="AU256" s="847">
        <v>0</v>
      </c>
      <c r="AV256" s="847">
        <v>0</v>
      </c>
      <c r="AW256" s="847">
        <v>0</v>
      </c>
      <c r="AX256" s="847">
        <v>0</v>
      </c>
      <c r="AY256" s="847">
        <v>0</v>
      </c>
      <c r="AZ256" s="847">
        <v>0</v>
      </c>
      <c r="BA256" s="847">
        <v>0</v>
      </c>
      <c r="BB256" s="847">
        <v>0</v>
      </c>
      <c r="BC256" s="847">
        <v>0</v>
      </c>
      <c r="BD256" s="847">
        <v>0</v>
      </c>
      <c r="BE256" s="847">
        <v>0</v>
      </c>
      <c r="BF256" s="847">
        <v>0</v>
      </c>
      <c r="BG256" s="847">
        <v>0</v>
      </c>
      <c r="BH256" s="847">
        <v>0</v>
      </c>
      <c r="BI256" s="847">
        <v>0</v>
      </c>
      <c r="BJ256" s="847">
        <v>0</v>
      </c>
      <c r="BK256" s="847">
        <v>0</v>
      </c>
      <c r="BL256" s="847">
        <v>0</v>
      </c>
      <c r="BM256" s="847">
        <v>0</v>
      </c>
      <c r="BN256" s="847">
        <v>0</v>
      </c>
      <c r="BO256" s="847">
        <v>0</v>
      </c>
      <c r="BP256" s="847">
        <v>0</v>
      </c>
      <c r="BQ256" s="847">
        <v>0</v>
      </c>
      <c r="BR256" s="847">
        <v>0</v>
      </c>
      <c r="BS256" s="847">
        <v>0</v>
      </c>
      <c r="BT256" s="847">
        <v>0</v>
      </c>
      <c r="BU256" s="847">
        <v>0</v>
      </c>
      <c r="BV256" s="847">
        <v>0</v>
      </c>
      <c r="BW256" s="847">
        <v>0</v>
      </c>
      <c r="BX256" s="847">
        <v>0</v>
      </c>
      <c r="BY256" s="847">
        <v>0</v>
      </c>
      <c r="BZ256" s="847">
        <v>0</v>
      </c>
      <c r="CA256" s="847">
        <v>0</v>
      </c>
      <c r="CB256" s="847">
        <v>0</v>
      </c>
      <c r="CC256" s="847">
        <v>0</v>
      </c>
      <c r="CD256" s="847">
        <v>0</v>
      </c>
      <c r="CE256" s="847">
        <v>0</v>
      </c>
      <c r="CF256" s="847">
        <v>0</v>
      </c>
      <c r="CG256" s="847">
        <v>0</v>
      </c>
      <c r="CH256" s="847">
        <v>0</v>
      </c>
      <c r="CI256" s="847">
        <v>0</v>
      </c>
      <c r="CJ256" s="847">
        <v>0</v>
      </c>
      <c r="CK256" s="847">
        <v>0</v>
      </c>
      <c r="CL256" s="847">
        <v>0</v>
      </c>
      <c r="CM256" s="847">
        <v>0</v>
      </c>
      <c r="CN256" s="847">
        <v>0</v>
      </c>
      <c r="CO256" s="847">
        <v>0</v>
      </c>
      <c r="CP256" s="847">
        <v>0</v>
      </c>
      <c r="CQ256" s="847">
        <v>0</v>
      </c>
      <c r="CR256" s="847">
        <v>0</v>
      </c>
      <c r="CS256" s="847">
        <v>0</v>
      </c>
      <c r="CT256" s="847">
        <v>0</v>
      </c>
      <c r="CU256" s="847">
        <v>0</v>
      </c>
      <c r="CV256" s="847">
        <v>0</v>
      </c>
      <c r="CW256" s="847">
        <v>0</v>
      </c>
      <c r="CX256" s="847">
        <v>0</v>
      </c>
      <c r="CY256" s="847">
        <v>0</v>
      </c>
      <c r="CZ256" s="847">
        <v>0</v>
      </c>
      <c r="DA256" s="847">
        <v>0</v>
      </c>
      <c r="DB256" s="847">
        <v>127600</v>
      </c>
      <c r="DC256" s="847">
        <v>0</v>
      </c>
      <c r="DD256" s="847">
        <v>0</v>
      </c>
      <c r="DE256" s="847">
        <v>0</v>
      </c>
      <c r="DF256" s="847">
        <v>0</v>
      </c>
      <c r="DG256" s="847">
        <v>0</v>
      </c>
      <c r="DH256" s="847">
        <v>0</v>
      </c>
      <c r="DI256" s="847">
        <v>0</v>
      </c>
      <c r="DJ256" s="847">
        <v>0</v>
      </c>
      <c r="DK256" s="847">
        <v>0</v>
      </c>
      <c r="DL256" s="847">
        <v>0</v>
      </c>
      <c r="DM256" s="847">
        <v>0</v>
      </c>
      <c r="DN256" s="847">
        <v>0</v>
      </c>
      <c r="DO256" s="847">
        <v>0</v>
      </c>
      <c r="DP256" s="847">
        <v>0</v>
      </c>
      <c r="DQ256" s="847">
        <v>0</v>
      </c>
      <c r="DR256" s="847">
        <v>0</v>
      </c>
      <c r="DS256" s="847">
        <v>0</v>
      </c>
      <c r="DT256" s="847">
        <v>0</v>
      </c>
      <c r="DU256" s="847">
        <v>0</v>
      </c>
      <c r="DV256" s="847">
        <v>0</v>
      </c>
      <c r="DW256" s="847">
        <v>0</v>
      </c>
      <c r="DY256" s="843" t="s">
        <v>1060</v>
      </c>
      <c r="DZ256" s="843" t="s">
        <v>1382</v>
      </c>
      <c r="EA256" s="843" t="s">
        <v>97</v>
      </c>
      <c r="EB256" s="844">
        <v>21</v>
      </c>
      <c r="EC256" s="780" t="str">
        <f t="shared" si="9"/>
        <v>IWT060221</v>
      </c>
      <c r="ED256" s="844">
        <v>5107.1000000000004</v>
      </c>
      <c r="EE256" s="844">
        <v>10214.200000000001</v>
      </c>
      <c r="EF256" s="844">
        <v>15321.2</v>
      </c>
      <c r="EG256" s="844">
        <v>20428.3</v>
      </c>
      <c r="EH256" s="844">
        <v>25535.4</v>
      </c>
      <c r="EI256" s="844">
        <v>30642.5</v>
      </c>
      <c r="EJ256" s="844">
        <v>30642.5</v>
      </c>
      <c r="EK256" s="844">
        <v>30642.5</v>
      </c>
      <c r="EL256" s="844">
        <v>30642.5</v>
      </c>
      <c r="EM256" s="844">
        <v>31183</v>
      </c>
      <c r="EN256" s="844">
        <v>31807</v>
      </c>
      <c r="EO256" s="844">
        <v>32443</v>
      </c>
      <c r="EP256" s="844">
        <v>33092</v>
      </c>
      <c r="EQ256" s="844">
        <v>33754</v>
      </c>
      <c r="ER256" s="844">
        <v>34429</v>
      </c>
      <c r="ES256" s="844">
        <v>35117</v>
      </c>
      <c r="ET256" s="844">
        <v>35820</v>
      </c>
      <c r="EU256" s="844">
        <v>36536</v>
      </c>
      <c r="EV256" s="844">
        <v>37267</v>
      </c>
      <c r="EW256" s="844">
        <v>38012</v>
      </c>
      <c r="EX256" s="844">
        <v>38773</v>
      </c>
      <c r="EY256" s="844">
        <v>39548</v>
      </c>
      <c r="EZ256" s="844">
        <v>40339</v>
      </c>
      <c r="FA256" s="844">
        <v>41146</v>
      </c>
      <c r="FB256" s="844">
        <v>41969</v>
      </c>
      <c r="FC256" s="844">
        <v>42808</v>
      </c>
      <c r="FD256" s="844">
        <v>43664</v>
      </c>
      <c r="FE256" s="844">
        <v>44537</v>
      </c>
      <c r="FF256" s="844">
        <v>45428</v>
      </c>
      <c r="FG256" s="844">
        <v>46337</v>
      </c>
      <c r="FH256" s="844">
        <v>47263</v>
      </c>
      <c r="FI256" s="844">
        <v>48209</v>
      </c>
      <c r="FJ256" s="844">
        <v>49173</v>
      </c>
      <c r="FK256" s="844">
        <v>50156</v>
      </c>
      <c r="FL256" s="844">
        <v>51159</v>
      </c>
      <c r="FM256" s="844">
        <v>52182</v>
      </c>
      <c r="FN256" s="844">
        <v>53400</v>
      </c>
      <c r="FO256" s="844">
        <v>54800</v>
      </c>
      <c r="FP256" s="844">
        <v>56200</v>
      </c>
      <c r="FQ256" s="844">
        <v>57600</v>
      </c>
      <c r="FR256" s="844">
        <v>59000</v>
      </c>
      <c r="FS256" s="844">
        <v>60400</v>
      </c>
      <c r="FT256" s="844">
        <v>61800</v>
      </c>
      <c r="FU256" s="844">
        <v>63200</v>
      </c>
      <c r="FV256" s="844">
        <v>64600</v>
      </c>
      <c r="FW256" s="844">
        <v>66000</v>
      </c>
      <c r="FX256" s="844">
        <v>67400</v>
      </c>
      <c r="FY256" s="844">
        <v>68800</v>
      </c>
      <c r="FZ256" s="844">
        <v>70200</v>
      </c>
      <c r="GA256" s="844">
        <v>71600</v>
      </c>
      <c r="GB256" s="844">
        <v>73000</v>
      </c>
      <c r="GC256" s="844">
        <v>74400</v>
      </c>
      <c r="GD256" s="844">
        <v>75800</v>
      </c>
      <c r="GE256" s="844">
        <v>77200</v>
      </c>
      <c r="GF256" s="844">
        <v>78600</v>
      </c>
      <c r="GG256" s="844">
        <v>80000</v>
      </c>
      <c r="GH256" s="844">
        <v>81400</v>
      </c>
      <c r="GI256" s="844">
        <v>82800</v>
      </c>
      <c r="GJ256" s="844">
        <v>84200</v>
      </c>
      <c r="GK256" s="844">
        <v>85600</v>
      </c>
      <c r="GL256" s="844">
        <v>87000</v>
      </c>
      <c r="GM256" s="844">
        <v>88400</v>
      </c>
      <c r="GN256" s="844">
        <v>89800</v>
      </c>
      <c r="GO256" s="844">
        <v>91200</v>
      </c>
      <c r="GP256" s="844">
        <v>92600</v>
      </c>
      <c r="GQ256" s="844">
        <v>94000</v>
      </c>
      <c r="GR256" s="844">
        <v>95400</v>
      </c>
      <c r="GS256" s="844">
        <v>96800</v>
      </c>
      <c r="GT256" s="844">
        <v>98200</v>
      </c>
      <c r="GU256" s="844">
        <v>99600</v>
      </c>
      <c r="GV256" s="844">
        <v>101000</v>
      </c>
      <c r="GW256" s="844">
        <v>102400</v>
      </c>
      <c r="GX256" s="844">
        <v>103800</v>
      </c>
      <c r="GY256" s="844">
        <v>105200</v>
      </c>
      <c r="GZ256" s="844">
        <v>106600</v>
      </c>
      <c r="HA256" s="844">
        <v>108000</v>
      </c>
      <c r="HB256" s="844">
        <v>109400</v>
      </c>
      <c r="HC256" s="844">
        <v>110800</v>
      </c>
      <c r="HD256" s="844">
        <v>112200</v>
      </c>
      <c r="HE256" s="844">
        <v>113600</v>
      </c>
      <c r="HF256" s="844">
        <v>115000</v>
      </c>
      <c r="HG256" s="844">
        <v>116400</v>
      </c>
      <c r="HH256" s="844">
        <v>117800</v>
      </c>
      <c r="HI256" s="844">
        <v>119200</v>
      </c>
      <c r="HJ256" s="844">
        <v>120600</v>
      </c>
      <c r="HK256" s="844">
        <v>122000</v>
      </c>
      <c r="HL256" s="844">
        <v>123400</v>
      </c>
      <c r="HM256" s="844">
        <v>124879</v>
      </c>
      <c r="HN256" s="844">
        <v>126343</v>
      </c>
      <c r="HO256" s="844">
        <v>127600</v>
      </c>
      <c r="HP256" s="844">
        <v>0</v>
      </c>
      <c r="HQ256" s="844">
        <v>0</v>
      </c>
      <c r="HR256" s="844">
        <v>0</v>
      </c>
      <c r="HS256" s="844">
        <v>0</v>
      </c>
      <c r="HT256" s="844">
        <v>0</v>
      </c>
      <c r="HU256" s="844">
        <v>0</v>
      </c>
      <c r="HV256" s="844">
        <v>0</v>
      </c>
      <c r="HW256" s="844">
        <v>0</v>
      </c>
      <c r="HX256" s="844">
        <v>0</v>
      </c>
      <c r="HY256" s="844">
        <v>0</v>
      </c>
      <c r="HZ256" s="844">
        <v>0</v>
      </c>
      <c r="IA256" s="844">
        <v>0</v>
      </c>
      <c r="IB256" s="844">
        <v>0</v>
      </c>
      <c r="IC256" s="844">
        <v>0</v>
      </c>
      <c r="ID256" s="844">
        <v>0</v>
      </c>
      <c r="IE256" s="844">
        <v>0</v>
      </c>
      <c r="IF256" s="844">
        <v>0</v>
      </c>
      <c r="IG256" s="844">
        <v>0</v>
      </c>
      <c r="IH256" s="844">
        <v>0</v>
      </c>
      <c r="II256" s="844">
        <v>0</v>
      </c>
      <c r="IJ256" s="844">
        <v>0</v>
      </c>
    </row>
    <row r="257" spans="9:244" hidden="1">
      <c r="I257" s="156"/>
      <c r="L257" s="846" t="s">
        <v>1060</v>
      </c>
      <c r="M257" s="846" t="s">
        <v>1382</v>
      </c>
      <c r="N257" s="846" t="s">
        <v>97</v>
      </c>
      <c r="O257" s="847">
        <v>22</v>
      </c>
      <c r="P257" s="780" t="str">
        <f t="shared" si="8"/>
        <v>IWT060222</v>
      </c>
      <c r="Q257" s="847">
        <v>0</v>
      </c>
      <c r="R257" s="847">
        <v>0</v>
      </c>
      <c r="S257" s="847">
        <v>0</v>
      </c>
      <c r="T257" s="847">
        <v>0</v>
      </c>
      <c r="U257" s="847">
        <v>0</v>
      </c>
      <c r="V257" s="847">
        <v>0</v>
      </c>
      <c r="W257" s="847">
        <v>0</v>
      </c>
      <c r="X257" s="847">
        <v>0</v>
      </c>
      <c r="Y257" s="847">
        <v>0</v>
      </c>
      <c r="Z257" s="847">
        <v>0</v>
      </c>
      <c r="AA257" s="847">
        <v>0</v>
      </c>
      <c r="AB257" s="847">
        <v>0</v>
      </c>
      <c r="AC257" s="847">
        <v>0</v>
      </c>
      <c r="AD257" s="847">
        <v>0</v>
      </c>
      <c r="AE257" s="847">
        <v>0</v>
      </c>
      <c r="AF257" s="847">
        <v>0</v>
      </c>
      <c r="AG257" s="847">
        <v>0</v>
      </c>
      <c r="AH257" s="847">
        <v>0</v>
      </c>
      <c r="AI257" s="847">
        <v>0</v>
      </c>
      <c r="AJ257" s="847">
        <v>0</v>
      </c>
      <c r="AK257" s="847">
        <v>0</v>
      </c>
      <c r="AL257" s="847">
        <v>0</v>
      </c>
      <c r="AM257" s="847">
        <v>0</v>
      </c>
      <c r="AN257" s="847">
        <v>0</v>
      </c>
      <c r="AO257" s="847">
        <v>0</v>
      </c>
      <c r="AP257" s="847">
        <v>0</v>
      </c>
      <c r="AQ257" s="847">
        <v>0</v>
      </c>
      <c r="AR257" s="847">
        <v>0</v>
      </c>
      <c r="AS257" s="847">
        <v>0</v>
      </c>
      <c r="AT257" s="847">
        <v>0</v>
      </c>
      <c r="AU257" s="847">
        <v>0</v>
      </c>
      <c r="AV257" s="847">
        <v>0</v>
      </c>
      <c r="AW257" s="847">
        <v>0</v>
      </c>
      <c r="AX257" s="847">
        <v>0</v>
      </c>
      <c r="AY257" s="847">
        <v>0</v>
      </c>
      <c r="AZ257" s="847">
        <v>0</v>
      </c>
      <c r="BA257" s="847">
        <v>0</v>
      </c>
      <c r="BB257" s="847">
        <v>0</v>
      </c>
      <c r="BC257" s="847">
        <v>0</v>
      </c>
      <c r="BD257" s="847">
        <v>0</v>
      </c>
      <c r="BE257" s="847">
        <v>0</v>
      </c>
      <c r="BF257" s="847">
        <v>0</v>
      </c>
      <c r="BG257" s="847">
        <v>0</v>
      </c>
      <c r="BH257" s="847">
        <v>0</v>
      </c>
      <c r="BI257" s="847">
        <v>0</v>
      </c>
      <c r="BJ257" s="847">
        <v>0</v>
      </c>
      <c r="BK257" s="847">
        <v>0</v>
      </c>
      <c r="BL257" s="847">
        <v>0</v>
      </c>
      <c r="BM257" s="847">
        <v>0</v>
      </c>
      <c r="BN257" s="847">
        <v>0</v>
      </c>
      <c r="BO257" s="847">
        <v>0</v>
      </c>
      <c r="BP257" s="847">
        <v>0</v>
      </c>
      <c r="BQ257" s="847">
        <v>0</v>
      </c>
      <c r="BR257" s="847">
        <v>0</v>
      </c>
      <c r="BS257" s="847">
        <v>0</v>
      </c>
      <c r="BT257" s="847">
        <v>0</v>
      </c>
      <c r="BU257" s="847">
        <v>0</v>
      </c>
      <c r="BV257" s="847">
        <v>0</v>
      </c>
      <c r="BW257" s="847">
        <v>0</v>
      </c>
      <c r="BX257" s="847">
        <v>0</v>
      </c>
      <c r="BY257" s="847">
        <v>0</v>
      </c>
      <c r="BZ257" s="847">
        <v>0</v>
      </c>
      <c r="CA257" s="847">
        <v>0</v>
      </c>
      <c r="CB257" s="847">
        <v>0</v>
      </c>
      <c r="CC257" s="847">
        <v>0</v>
      </c>
      <c r="CD257" s="847">
        <v>0</v>
      </c>
      <c r="CE257" s="847">
        <v>0</v>
      </c>
      <c r="CF257" s="847">
        <v>0</v>
      </c>
      <c r="CG257" s="847">
        <v>0</v>
      </c>
      <c r="CH257" s="847">
        <v>0</v>
      </c>
      <c r="CI257" s="847">
        <v>0</v>
      </c>
      <c r="CJ257" s="847">
        <v>0</v>
      </c>
      <c r="CK257" s="847">
        <v>0</v>
      </c>
      <c r="CL257" s="847">
        <v>0</v>
      </c>
      <c r="CM257" s="847">
        <v>0</v>
      </c>
      <c r="CN257" s="847">
        <v>0</v>
      </c>
      <c r="CO257" s="847">
        <v>0</v>
      </c>
      <c r="CP257" s="847">
        <v>0</v>
      </c>
      <c r="CQ257" s="847">
        <v>0</v>
      </c>
      <c r="CR257" s="847">
        <v>0</v>
      </c>
      <c r="CS257" s="847">
        <v>0</v>
      </c>
      <c r="CT257" s="847">
        <v>0</v>
      </c>
      <c r="CU257" s="847">
        <v>0</v>
      </c>
      <c r="CV257" s="847">
        <v>0</v>
      </c>
      <c r="CW257" s="847">
        <v>0</v>
      </c>
      <c r="CX257" s="847">
        <v>0</v>
      </c>
      <c r="CY257" s="847">
        <v>0</v>
      </c>
      <c r="CZ257" s="847">
        <v>0</v>
      </c>
      <c r="DA257" s="847">
        <v>126200</v>
      </c>
      <c r="DB257" s="847">
        <v>0</v>
      </c>
      <c r="DC257" s="847">
        <v>0</v>
      </c>
      <c r="DD257" s="847">
        <v>0</v>
      </c>
      <c r="DE257" s="847">
        <v>0</v>
      </c>
      <c r="DF257" s="847">
        <v>0</v>
      </c>
      <c r="DG257" s="847">
        <v>0</v>
      </c>
      <c r="DH257" s="847">
        <v>0</v>
      </c>
      <c r="DI257" s="847">
        <v>0</v>
      </c>
      <c r="DJ257" s="847">
        <v>0</v>
      </c>
      <c r="DK257" s="847">
        <v>0</v>
      </c>
      <c r="DL257" s="847">
        <v>0</v>
      </c>
      <c r="DM257" s="847">
        <v>0</v>
      </c>
      <c r="DN257" s="847">
        <v>0</v>
      </c>
      <c r="DO257" s="847">
        <v>0</v>
      </c>
      <c r="DP257" s="847">
        <v>0</v>
      </c>
      <c r="DQ257" s="847">
        <v>0</v>
      </c>
      <c r="DR257" s="847">
        <v>0</v>
      </c>
      <c r="DS257" s="847">
        <v>0</v>
      </c>
      <c r="DT257" s="847">
        <v>0</v>
      </c>
      <c r="DU257" s="847">
        <v>0</v>
      </c>
      <c r="DV257" s="847">
        <v>0</v>
      </c>
      <c r="DW257" s="847">
        <v>0</v>
      </c>
      <c r="DY257" s="843" t="s">
        <v>1060</v>
      </c>
      <c r="DZ257" s="843" t="s">
        <v>1382</v>
      </c>
      <c r="EA257" s="843" t="s">
        <v>97</v>
      </c>
      <c r="EB257" s="844">
        <v>22</v>
      </c>
      <c r="EC257" s="780" t="str">
        <f t="shared" si="9"/>
        <v>IWT060222</v>
      </c>
      <c r="ED257" s="844">
        <v>5127.2</v>
      </c>
      <c r="EE257" s="844">
        <v>10254.4</v>
      </c>
      <c r="EF257" s="844">
        <v>15381.7</v>
      </c>
      <c r="EG257" s="844">
        <v>20508.900000000001</v>
      </c>
      <c r="EH257" s="844">
        <v>25636.1</v>
      </c>
      <c r="EI257" s="844">
        <v>30763.3</v>
      </c>
      <c r="EJ257" s="844">
        <v>30763.3</v>
      </c>
      <c r="EK257" s="844">
        <v>30763.3</v>
      </c>
      <c r="EL257" s="844">
        <v>30763.3</v>
      </c>
      <c r="EM257" s="844">
        <v>31306</v>
      </c>
      <c r="EN257" s="844">
        <v>31932</v>
      </c>
      <c r="EO257" s="844">
        <v>32571</v>
      </c>
      <c r="EP257" s="844">
        <v>33222</v>
      </c>
      <c r="EQ257" s="844">
        <v>33886</v>
      </c>
      <c r="ER257" s="844">
        <v>34564</v>
      </c>
      <c r="ES257" s="844">
        <v>35256</v>
      </c>
      <c r="ET257" s="844">
        <v>35961</v>
      </c>
      <c r="EU257" s="844">
        <v>36680</v>
      </c>
      <c r="EV257" s="844">
        <v>37413</v>
      </c>
      <c r="EW257" s="844">
        <v>38162</v>
      </c>
      <c r="EX257" s="844">
        <v>38925</v>
      </c>
      <c r="EY257" s="844">
        <v>39703</v>
      </c>
      <c r="EZ257" s="844">
        <v>40497</v>
      </c>
      <c r="FA257" s="844">
        <v>41307</v>
      </c>
      <c r="FB257" s="844">
        <v>42134</v>
      </c>
      <c r="FC257" s="844">
        <v>42976</v>
      </c>
      <c r="FD257" s="844">
        <v>43836</v>
      </c>
      <c r="FE257" s="844">
        <v>44712</v>
      </c>
      <c r="FF257" s="844">
        <v>45607</v>
      </c>
      <c r="FG257" s="844">
        <v>46519</v>
      </c>
      <c r="FH257" s="844">
        <v>47449</v>
      </c>
      <c r="FI257" s="844">
        <v>48398</v>
      </c>
      <c r="FJ257" s="844">
        <v>49366</v>
      </c>
      <c r="FK257" s="844">
        <v>50353</v>
      </c>
      <c r="FL257" s="844">
        <v>51361</v>
      </c>
      <c r="FM257" s="844">
        <v>52387</v>
      </c>
      <c r="FN257" s="844">
        <v>53433</v>
      </c>
      <c r="FO257" s="844">
        <v>54800</v>
      </c>
      <c r="FP257" s="844">
        <v>56200</v>
      </c>
      <c r="FQ257" s="844">
        <v>57600</v>
      </c>
      <c r="FR257" s="844">
        <v>59000</v>
      </c>
      <c r="FS257" s="844">
        <v>60400</v>
      </c>
      <c r="FT257" s="844">
        <v>61800</v>
      </c>
      <c r="FU257" s="844">
        <v>63200</v>
      </c>
      <c r="FV257" s="844">
        <v>64600</v>
      </c>
      <c r="FW257" s="844">
        <v>66000</v>
      </c>
      <c r="FX257" s="844">
        <v>67400</v>
      </c>
      <c r="FY257" s="844">
        <v>68800</v>
      </c>
      <c r="FZ257" s="844">
        <v>70200</v>
      </c>
      <c r="GA257" s="844">
        <v>71600</v>
      </c>
      <c r="GB257" s="844">
        <v>73000</v>
      </c>
      <c r="GC257" s="844">
        <v>74400</v>
      </c>
      <c r="GD257" s="844">
        <v>75800</v>
      </c>
      <c r="GE257" s="844">
        <v>77200</v>
      </c>
      <c r="GF257" s="844">
        <v>78600</v>
      </c>
      <c r="GG257" s="844">
        <v>80000</v>
      </c>
      <c r="GH257" s="844">
        <v>81400</v>
      </c>
      <c r="GI257" s="844">
        <v>82800</v>
      </c>
      <c r="GJ257" s="844">
        <v>84200</v>
      </c>
      <c r="GK257" s="844">
        <v>85600</v>
      </c>
      <c r="GL257" s="844">
        <v>87000</v>
      </c>
      <c r="GM257" s="844">
        <v>88400</v>
      </c>
      <c r="GN257" s="844">
        <v>89800</v>
      </c>
      <c r="GO257" s="844">
        <v>91200</v>
      </c>
      <c r="GP257" s="844">
        <v>92600</v>
      </c>
      <c r="GQ257" s="844">
        <v>94000</v>
      </c>
      <c r="GR257" s="844">
        <v>95400</v>
      </c>
      <c r="GS257" s="844">
        <v>96800</v>
      </c>
      <c r="GT257" s="844">
        <v>98200</v>
      </c>
      <c r="GU257" s="844">
        <v>99600</v>
      </c>
      <c r="GV257" s="844">
        <v>101000</v>
      </c>
      <c r="GW257" s="844">
        <v>102400</v>
      </c>
      <c r="GX257" s="844">
        <v>103800</v>
      </c>
      <c r="GY257" s="844">
        <v>105200</v>
      </c>
      <c r="GZ257" s="844">
        <v>106600</v>
      </c>
      <c r="HA257" s="844">
        <v>108000</v>
      </c>
      <c r="HB257" s="844">
        <v>109400</v>
      </c>
      <c r="HC257" s="844">
        <v>110800</v>
      </c>
      <c r="HD257" s="844">
        <v>112200</v>
      </c>
      <c r="HE257" s="844">
        <v>113600</v>
      </c>
      <c r="HF257" s="844">
        <v>115000</v>
      </c>
      <c r="HG257" s="844">
        <v>116400</v>
      </c>
      <c r="HH257" s="844">
        <v>117800</v>
      </c>
      <c r="HI257" s="844">
        <v>119200</v>
      </c>
      <c r="HJ257" s="844">
        <v>120600</v>
      </c>
      <c r="HK257" s="844">
        <v>122000</v>
      </c>
      <c r="HL257" s="844">
        <v>123495</v>
      </c>
      <c r="HM257" s="844">
        <v>124957</v>
      </c>
      <c r="HN257" s="844">
        <v>126200</v>
      </c>
      <c r="HO257" s="844">
        <v>0</v>
      </c>
      <c r="HP257" s="844">
        <v>0</v>
      </c>
      <c r="HQ257" s="844">
        <v>0</v>
      </c>
      <c r="HR257" s="844">
        <v>0</v>
      </c>
      <c r="HS257" s="844">
        <v>0</v>
      </c>
      <c r="HT257" s="844">
        <v>0</v>
      </c>
      <c r="HU257" s="844">
        <v>0</v>
      </c>
      <c r="HV257" s="844">
        <v>0</v>
      </c>
      <c r="HW257" s="844">
        <v>0</v>
      </c>
      <c r="HX257" s="844">
        <v>0</v>
      </c>
      <c r="HY257" s="844">
        <v>0</v>
      </c>
      <c r="HZ257" s="844">
        <v>0</v>
      </c>
      <c r="IA257" s="844">
        <v>0</v>
      </c>
      <c r="IB257" s="844">
        <v>0</v>
      </c>
      <c r="IC257" s="844">
        <v>0</v>
      </c>
      <c r="ID257" s="844">
        <v>0</v>
      </c>
      <c r="IE257" s="844">
        <v>0</v>
      </c>
      <c r="IF257" s="844">
        <v>0</v>
      </c>
      <c r="IG257" s="844">
        <v>0</v>
      </c>
      <c r="IH257" s="844">
        <v>0</v>
      </c>
      <c r="II257" s="844">
        <v>0</v>
      </c>
      <c r="IJ257" s="844">
        <v>0</v>
      </c>
    </row>
    <row r="258" spans="9:244" hidden="1">
      <c r="I258" s="156"/>
      <c r="L258" s="846" t="s">
        <v>1060</v>
      </c>
      <c r="M258" s="846" t="s">
        <v>1382</v>
      </c>
      <c r="N258" s="846" t="s">
        <v>97</v>
      </c>
      <c r="O258" s="847">
        <v>23</v>
      </c>
      <c r="P258" s="780" t="str">
        <f t="shared" si="8"/>
        <v>IWT060223</v>
      </c>
      <c r="Q258" s="847">
        <v>0</v>
      </c>
      <c r="R258" s="847">
        <v>0</v>
      </c>
      <c r="S258" s="847">
        <v>0</v>
      </c>
      <c r="T258" s="847">
        <v>0</v>
      </c>
      <c r="U258" s="847">
        <v>0</v>
      </c>
      <c r="V258" s="847">
        <v>0</v>
      </c>
      <c r="W258" s="847">
        <v>0</v>
      </c>
      <c r="X258" s="847">
        <v>0</v>
      </c>
      <c r="Y258" s="847">
        <v>0</v>
      </c>
      <c r="Z258" s="847">
        <v>0</v>
      </c>
      <c r="AA258" s="847">
        <v>0</v>
      </c>
      <c r="AB258" s="847">
        <v>0</v>
      </c>
      <c r="AC258" s="847">
        <v>0</v>
      </c>
      <c r="AD258" s="847">
        <v>0</v>
      </c>
      <c r="AE258" s="847">
        <v>0</v>
      </c>
      <c r="AF258" s="847">
        <v>0</v>
      </c>
      <c r="AG258" s="847">
        <v>0</v>
      </c>
      <c r="AH258" s="847">
        <v>0</v>
      </c>
      <c r="AI258" s="847">
        <v>0</v>
      </c>
      <c r="AJ258" s="847">
        <v>0</v>
      </c>
      <c r="AK258" s="847">
        <v>0</v>
      </c>
      <c r="AL258" s="847">
        <v>0</v>
      </c>
      <c r="AM258" s="847">
        <v>0</v>
      </c>
      <c r="AN258" s="847">
        <v>0</v>
      </c>
      <c r="AO258" s="847">
        <v>0</v>
      </c>
      <c r="AP258" s="847">
        <v>0</v>
      </c>
      <c r="AQ258" s="847">
        <v>0</v>
      </c>
      <c r="AR258" s="847">
        <v>0</v>
      </c>
      <c r="AS258" s="847">
        <v>0</v>
      </c>
      <c r="AT258" s="847">
        <v>0</v>
      </c>
      <c r="AU258" s="847">
        <v>0</v>
      </c>
      <c r="AV258" s="847">
        <v>0</v>
      </c>
      <c r="AW258" s="847">
        <v>0</v>
      </c>
      <c r="AX258" s="847">
        <v>0</v>
      </c>
      <c r="AY258" s="847">
        <v>0</v>
      </c>
      <c r="AZ258" s="847">
        <v>0</v>
      </c>
      <c r="BA258" s="847">
        <v>0</v>
      </c>
      <c r="BB258" s="847">
        <v>0</v>
      </c>
      <c r="BC258" s="847">
        <v>0</v>
      </c>
      <c r="BD258" s="847">
        <v>0</v>
      </c>
      <c r="BE258" s="847">
        <v>0</v>
      </c>
      <c r="BF258" s="847">
        <v>0</v>
      </c>
      <c r="BG258" s="847">
        <v>0</v>
      </c>
      <c r="BH258" s="847">
        <v>0</v>
      </c>
      <c r="BI258" s="847">
        <v>0</v>
      </c>
      <c r="BJ258" s="847">
        <v>0</v>
      </c>
      <c r="BK258" s="847">
        <v>0</v>
      </c>
      <c r="BL258" s="847">
        <v>0</v>
      </c>
      <c r="BM258" s="847">
        <v>0</v>
      </c>
      <c r="BN258" s="847">
        <v>0</v>
      </c>
      <c r="BO258" s="847">
        <v>0</v>
      </c>
      <c r="BP258" s="847">
        <v>0</v>
      </c>
      <c r="BQ258" s="847">
        <v>0</v>
      </c>
      <c r="BR258" s="847">
        <v>0</v>
      </c>
      <c r="BS258" s="847">
        <v>0</v>
      </c>
      <c r="BT258" s="847">
        <v>0</v>
      </c>
      <c r="BU258" s="847">
        <v>0</v>
      </c>
      <c r="BV258" s="847">
        <v>0</v>
      </c>
      <c r="BW258" s="847">
        <v>0</v>
      </c>
      <c r="BX258" s="847">
        <v>0</v>
      </c>
      <c r="BY258" s="847">
        <v>0</v>
      </c>
      <c r="BZ258" s="847">
        <v>0</v>
      </c>
      <c r="CA258" s="847">
        <v>0</v>
      </c>
      <c r="CB258" s="847">
        <v>0</v>
      </c>
      <c r="CC258" s="847">
        <v>0</v>
      </c>
      <c r="CD258" s="847">
        <v>0</v>
      </c>
      <c r="CE258" s="847">
        <v>0</v>
      </c>
      <c r="CF258" s="847">
        <v>0</v>
      </c>
      <c r="CG258" s="847">
        <v>0</v>
      </c>
      <c r="CH258" s="847">
        <v>0</v>
      </c>
      <c r="CI258" s="847">
        <v>0</v>
      </c>
      <c r="CJ258" s="847">
        <v>0</v>
      </c>
      <c r="CK258" s="847">
        <v>0</v>
      </c>
      <c r="CL258" s="847">
        <v>0</v>
      </c>
      <c r="CM258" s="847">
        <v>0</v>
      </c>
      <c r="CN258" s="847">
        <v>0</v>
      </c>
      <c r="CO258" s="847">
        <v>0</v>
      </c>
      <c r="CP258" s="847">
        <v>0</v>
      </c>
      <c r="CQ258" s="847">
        <v>0</v>
      </c>
      <c r="CR258" s="847">
        <v>0</v>
      </c>
      <c r="CS258" s="847">
        <v>0</v>
      </c>
      <c r="CT258" s="847">
        <v>0</v>
      </c>
      <c r="CU258" s="847">
        <v>0</v>
      </c>
      <c r="CV258" s="847">
        <v>0</v>
      </c>
      <c r="CW258" s="847">
        <v>0</v>
      </c>
      <c r="CX258" s="847">
        <v>0</v>
      </c>
      <c r="CY258" s="847">
        <v>0</v>
      </c>
      <c r="CZ258" s="847">
        <v>124800</v>
      </c>
      <c r="DA258" s="847">
        <v>0</v>
      </c>
      <c r="DB258" s="847">
        <v>0</v>
      </c>
      <c r="DC258" s="847">
        <v>0</v>
      </c>
      <c r="DD258" s="847">
        <v>0</v>
      </c>
      <c r="DE258" s="847">
        <v>0</v>
      </c>
      <c r="DF258" s="847">
        <v>0</v>
      </c>
      <c r="DG258" s="847">
        <v>0</v>
      </c>
      <c r="DH258" s="847">
        <v>0</v>
      </c>
      <c r="DI258" s="847">
        <v>0</v>
      </c>
      <c r="DJ258" s="847">
        <v>0</v>
      </c>
      <c r="DK258" s="847">
        <v>0</v>
      </c>
      <c r="DL258" s="847">
        <v>0</v>
      </c>
      <c r="DM258" s="847">
        <v>0</v>
      </c>
      <c r="DN258" s="847">
        <v>0</v>
      </c>
      <c r="DO258" s="847">
        <v>0</v>
      </c>
      <c r="DP258" s="847">
        <v>0</v>
      </c>
      <c r="DQ258" s="847">
        <v>0</v>
      </c>
      <c r="DR258" s="847">
        <v>0</v>
      </c>
      <c r="DS258" s="847">
        <v>0</v>
      </c>
      <c r="DT258" s="847">
        <v>0</v>
      </c>
      <c r="DU258" s="847">
        <v>0</v>
      </c>
      <c r="DV258" s="847">
        <v>0</v>
      </c>
      <c r="DW258" s="847">
        <v>0</v>
      </c>
      <c r="DY258" s="843" t="s">
        <v>1060</v>
      </c>
      <c r="DZ258" s="843" t="s">
        <v>1382</v>
      </c>
      <c r="EA258" s="843" t="s">
        <v>97</v>
      </c>
      <c r="EB258" s="844">
        <v>23</v>
      </c>
      <c r="EC258" s="780" t="str">
        <f t="shared" si="9"/>
        <v>IWT060223</v>
      </c>
      <c r="ED258" s="844">
        <v>5146.3</v>
      </c>
      <c r="EE258" s="844">
        <v>10292.6</v>
      </c>
      <c r="EF258" s="844">
        <v>15438.9</v>
      </c>
      <c r="EG258" s="844">
        <v>20585.2</v>
      </c>
      <c r="EH258" s="844">
        <v>25731.5</v>
      </c>
      <c r="EI258" s="844">
        <v>30877.8</v>
      </c>
      <c r="EJ258" s="844">
        <v>30877.8</v>
      </c>
      <c r="EK258" s="844">
        <v>30877.8</v>
      </c>
      <c r="EL258" s="844">
        <v>30877.8</v>
      </c>
      <c r="EM258" s="844">
        <v>31423</v>
      </c>
      <c r="EN258" s="844">
        <v>32051</v>
      </c>
      <c r="EO258" s="844">
        <v>32692</v>
      </c>
      <c r="EP258" s="844">
        <v>33346</v>
      </c>
      <c r="EQ258" s="844">
        <v>34013</v>
      </c>
      <c r="ER258" s="844">
        <v>34693</v>
      </c>
      <c r="ES258" s="844">
        <v>35387</v>
      </c>
      <c r="ET258" s="844">
        <v>36095</v>
      </c>
      <c r="EU258" s="844">
        <v>36817</v>
      </c>
      <c r="EV258" s="844">
        <v>37553</v>
      </c>
      <c r="EW258" s="844">
        <v>38304</v>
      </c>
      <c r="EX258" s="844">
        <v>39070</v>
      </c>
      <c r="EY258" s="844">
        <v>39852</v>
      </c>
      <c r="EZ258" s="844">
        <v>40649</v>
      </c>
      <c r="FA258" s="844">
        <v>41462</v>
      </c>
      <c r="FB258" s="844">
        <v>42291</v>
      </c>
      <c r="FC258" s="844">
        <v>43137</v>
      </c>
      <c r="FD258" s="844">
        <v>43999</v>
      </c>
      <c r="FE258" s="844">
        <v>44879</v>
      </c>
      <c r="FF258" s="844">
        <v>45777</v>
      </c>
      <c r="FG258" s="844">
        <v>46692</v>
      </c>
      <c r="FH258" s="844">
        <v>47626</v>
      </c>
      <c r="FI258" s="844">
        <v>48579</v>
      </c>
      <c r="FJ258" s="844">
        <v>49550</v>
      </c>
      <c r="FK258" s="844">
        <v>50541</v>
      </c>
      <c r="FL258" s="844">
        <v>51552</v>
      </c>
      <c r="FM258" s="844">
        <v>52583</v>
      </c>
      <c r="FN258" s="844">
        <v>53634</v>
      </c>
      <c r="FO258" s="844">
        <v>54800</v>
      </c>
      <c r="FP258" s="844">
        <v>56200</v>
      </c>
      <c r="FQ258" s="844">
        <v>57600</v>
      </c>
      <c r="FR258" s="844">
        <v>59000</v>
      </c>
      <c r="FS258" s="844">
        <v>60400</v>
      </c>
      <c r="FT258" s="844">
        <v>61800</v>
      </c>
      <c r="FU258" s="844">
        <v>63200</v>
      </c>
      <c r="FV258" s="844">
        <v>64600</v>
      </c>
      <c r="FW258" s="844">
        <v>66000</v>
      </c>
      <c r="FX258" s="844">
        <v>67400</v>
      </c>
      <c r="FY258" s="844">
        <v>68800</v>
      </c>
      <c r="FZ258" s="844">
        <v>70200</v>
      </c>
      <c r="GA258" s="844">
        <v>71600</v>
      </c>
      <c r="GB258" s="844">
        <v>73000</v>
      </c>
      <c r="GC258" s="844">
        <v>74400</v>
      </c>
      <c r="GD258" s="844">
        <v>75800</v>
      </c>
      <c r="GE258" s="844">
        <v>77200</v>
      </c>
      <c r="GF258" s="844">
        <v>78600</v>
      </c>
      <c r="GG258" s="844">
        <v>80000</v>
      </c>
      <c r="GH258" s="844">
        <v>81400</v>
      </c>
      <c r="GI258" s="844">
        <v>82800</v>
      </c>
      <c r="GJ258" s="844">
        <v>84200</v>
      </c>
      <c r="GK258" s="844">
        <v>85600</v>
      </c>
      <c r="GL258" s="844">
        <v>87000</v>
      </c>
      <c r="GM258" s="844">
        <v>88400</v>
      </c>
      <c r="GN258" s="844">
        <v>89800</v>
      </c>
      <c r="GO258" s="844">
        <v>91200</v>
      </c>
      <c r="GP258" s="844">
        <v>92600</v>
      </c>
      <c r="GQ258" s="844">
        <v>94000</v>
      </c>
      <c r="GR258" s="844">
        <v>95400</v>
      </c>
      <c r="GS258" s="844">
        <v>96800</v>
      </c>
      <c r="GT258" s="844">
        <v>98200</v>
      </c>
      <c r="GU258" s="844">
        <v>99600</v>
      </c>
      <c r="GV258" s="844">
        <v>101000</v>
      </c>
      <c r="GW258" s="844">
        <v>102400</v>
      </c>
      <c r="GX258" s="844">
        <v>103800</v>
      </c>
      <c r="GY258" s="844">
        <v>105200</v>
      </c>
      <c r="GZ258" s="844">
        <v>106600</v>
      </c>
      <c r="HA258" s="844">
        <v>108000</v>
      </c>
      <c r="HB258" s="844">
        <v>109400</v>
      </c>
      <c r="HC258" s="844">
        <v>110800</v>
      </c>
      <c r="HD258" s="844">
        <v>112200</v>
      </c>
      <c r="HE258" s="844">
        <v>113600</v>
      </c>
      <c r="HF258" s="844">
        <v>115000</v>
      </c>
      <c r="HG258" s="844">
        <v>116400</v>
      </c>
      <c r="HH258" s="844">
        <v>117800</v>
      </c>
      <c r="HI258" s="844">
        <v>119200</v>
      </c>
      <c r="HJ258" s="844">
        <v>120619</v>
      </c>
      <c r="HK258" s="844">
        <v>122111</v>
      </c>
      <c r="HL258" s="844">
        <v>123570</v>
      </c>
      <c r="HM258" s="844">
        <v>124800</v>
      </c>
      <c r="HN258" s="844">
        <v>0</v>
      </c>
      <c r="HO258" s="844">
        <v>0</v>
      </c>
      <c r="HP258" s="844">
        <v>0</v>
      </c>
      <c r="HQ258" s="844">
        <v>0</v>
      </c>
      <c r="HR258" s="844">
        <v>0</v>
      </c>
      <c r="HS258" s="844">
        <v>0</v>
      </c>
      <c r="HT258" s="844">
        <v>0</v>
      </c>
      <c r="HU258" s="844">
        <v>0</v>
      </c>
      <c r="HV258" s="844">
        <v>0</v>
      </c>
      <c r="HW258" s="844">
        <v>0</v>
      </c>
      <c r="HX258" s="844">
        <v>0</v>
      </c>
      <c r="HY258" s="844">
        <v>0</v>
      </c>
      <c r="HZ258" s="844">
        <v>0</v>
      </c>
      <c r="IA258" s="844">
        <v>0</v>
      </c>
      <c r="IB258" s="844">
        <v>0</v>
      </c>
      <c r="IC258" s="844">
        <v>0</v>
      </c>
      <c r="ID258" s="844">
        <v>0</v>
      </c>
      <c r="IE258" s="844">
        <v>0</v>
      </c>
      <c r="IF258" s="844">
        <v>0</v>
      </c>
      <c r="IG258" s="844">
        <v>0</v>
      </c>
      <c r="IH258" s="844">
        <v>0</v>
      </c>
      <c r="II258" s="844">
        <v>0</v>
      </c>
      <c r="IJ258" s="844">
        <v>0</v>
      </c>
    </row>
    <row r="259" spans="9:244" hidden="1">
      <c r="I259" s="156"/>
      <c r="L259" s="846" t="s">
        <v>1060</v>
      </c>
      <c r="M259" s="846" t="s">
        <v>1382</v>
      </c>
      <c r="N259" s="846" t="s">
        <v>97</v>
      </c>
      <c r="O259" s="847">
        <v>24</v>
      </c>
      <c r="P259" s="780" t="str">
        <f t="shared" si="8"/>
        <v>IWT060224</v>
      </c>
      <c r="Q259" s="847">
        <v>0</v>
      </c>
      <c r="R259" s="847">
        <v>0</v>
      </c>
      <c r="S259" s="847">
        <v>0</v>
      </c>
      <c r="T259" s="847">
        <v>0</v>
      </c>
      <c r="U259" s="847">
        <v>0</v>
      </c>
      <c r="V259" s="847">
        <v>0</v>
      </c>
      <c r="W259" s="847">
        <v>0</v>
      </c>
      <c r="X259" s="847">
        <v>0</v>
      </c>
      <c r="Y259" s="847">
        <v>0</v>
      </c>
      <c r="Z259" s="847">
        <v>0</v>
      </c>
      <c r="AA259" s="847">
        <v>0</v>
      </c>
      <c r="AB259" s="847">
        <v>0</v>
      </c>
      <c r="AC259" s="847">
        <v>0</v>
      </c>
      <c r="AD259" s="847">
        <v>0</v>
      </c>
      <c r="AE259" s="847">
        <v>0</v>
      </c>
      <c r="AF259" s="847">
        <v>0</v>
      </c>
      <c r="AG259" s="847">
        <v>0</v>
      </c>
      <c r="AH259" s="847">
        <v>0</v>
      </c>
      <c r="AI259" s="847">
        <v>0</v>
      </c>
      <c r="AJ259" s="847">
        <v>0</v>
      </c>
      <c r="AK259" s="847">
        <v>0</v>
      </c>
      <c r="AL259" s="847">
        <v>0</v>
      </c>
      <c r="AM259" s="847">
        <v>0</v>
      </c>
      <c r="AN259" s="847">
        <v>0</v>
      </c>
      <c r="AO259" s="847">
        <v>0</v>
      </c>
      <c r="AP259" s="847">
        <v>0</v>
      </c>
      <c r="AQ259" s="847">
        <v>0</v>
      </c>
      <c r="AR259" s="847">
        <v>0</v>
      </c>
      <c r="AS259" s="847">
        <v>0</v>
      </c>
      <c r="AT259" s="847">
        <v>0</v>
      </c>
      <c r="AU259" s="847">
        <v>0</v>
      </c>
      <c r="AV259" s="847">
        <v>0</v>
      </c>
      <c r="AW259" s="847">
        <v>0</v>
      </c>
      <c r="AX259" s="847">
        <v>0</v>
      </c>
      <c r="AY259" s="847">
        <v>0</v>
      </c>
      <c r="AZ259" s="847">
        <v>0</v>
      </c>
      <c r="BA259" s="847">
        <v>0</v>
      </c>
      <c r="BB259" s="847">
        <v>0</v>
      </c>
      <c r="BC259" s="847">
        <v>0</v>
      </c>
      <c r="BD259" s="847">
        <v>0</v>
      </c>
      <c r="BE259" s="847">
        <v>0</v>
      </c>
      <c r="BF259" s="847">
        <v>0</v>
      </c>
      <c r="BG259" s="847">
        <v>0</v>
      </c>
      <c r="BH259" s="847">
        <v>0</v>
      </c>
      <c r="BI259" s="847">
        <v>0</v>
      </c>
      <c r="BJ259" s="847">
        <v>0</v>
      </c>
      <c r="BK259" s="847">
        <v>0</v>
      </c>
      <c r="BL259" s="847">
        <v>0</v>
      </c>
      <c r="BM259" s="847">
        <v>0</v>
      </c>
      <c r="BN259" s="847">
        <v>0</v>
      </c>
      <c r="BO259" s="847">
        <v>0</v>
      </c>
      <c r="BP259" s="847">
        <v>0</v>
      </c>
      <c r="BQ259" s="847">
        <v>0</v>
      </c>
      <c r="BR259" s="847">
        <v>0</v>
      </c>
      <c r="BS259" s="847">
        <v>0</v>
      </c>
      <c r="BT259" s="847">
        <v>0</v>
      </c>
      <c r="BU259" s="847">
        <v>0</v>
      </c>
      <c r="BV259" s="847">
        <v>0</v>
      </c>
      <c r="BW259" s="847">
        <v>0</v>
      </c>
      <c r="BX259" s="847">
        <v>0</v>
      </c>
      <c r="BY259" s="847">
        <v>0</v>
      </c>
      <c r="BZ259" s="847">
        <v>0</v>
      </c>
      <c r="CA259" s="847">
        <v>0</v>
      </c>
      <c r="CB259" s="847">
        <v>0</v>
      </c>
      <c r="CC259" s="847">
        <v>0</v>
      </c>
      <c r="CD259" s="847">
        <v>0</v>
      </c>
      <c r="CE259" s="847">
        <v>0</v>
      </c>
      <c r="CF259" s="847">
        <v>0</v>
      </c>
      <c r="CG259" s="847">
        <v>0</v>
      </c>
      <c r="CH259" s="847">
        <v>0</v>
      </c>
      <c r="CI259" s="847">
        <v>0</v>
      </c>
      <c r="CJ259" s="847">
        <v>0</v>
      </c>
      <c r="CK259" s="847">
        <v>0</v>
      </c>
      <c r="CL259" s="847">
        <v>0</v>
      </c>
      <c r="CM259" s="847">
        <v>0</v>
      </c>
      <c r="CN259" s="847">
        <v>0</v>
      </c>
      <c r="CO259" s="847">
        <v>0</v>
      </c>
      <c r="CP259" s="847">
        <v>0</v>
      </c>
      <c r="CQ259" s="847">
        <v>0</v>
      </c>
      <c r="CR259" s="847">
        <v>0</v>
      </c>
      <c r="CS259" s="847">
        <v>0</v>
      </c>
      <c r="CT259" s="847">
        <v>0</v>
      </c>
      <c r="CU259" s="847">
        <v>0</v>
      </c>
      <c r="CV259" s="847">
        <v>0</v>
      </c>
      <c r="CW259" s="847">
        <v>0</v>
      </c>
      <c r="CX259" s="847">
        <v>0</v>
      </c>
      <c r="CY259" s="847">
        <v>123400</v>
      </c>
      <c r="CZ259" s="847">
        <v>0</v>
      </c>
      <c r="DA259" s="847">
        <v>0</v>
      </c>
      <c r="DB259" s="847">
        <v>0</v>
      </c>
      <c r="DC259" s="847">
        <v>0</v>
      </c>
      <c r="DD259" s="847">
        <v>0</v>
      </c>
      <c r="DE259" s="847">
        <v>0</v>
      </c>
      <c r="DF259" s="847">
        <v>0</v>
      </c>
      <c r="DG259" s="847">
        <v>0</v>
      </c>
      <c r="DH259" s="847">
        <v>0</v>
      </c>
      <c r="DI259" s="847">
        <v>0</v>
      </c>
      <c r="DJ259" s="847">
        <v>0</v>
      </c>
      <c r="DK259" s="847">
        <v>0</v>
      </c>
      <c r="DL259" s="847">
        <v>0</v>
      </c>
      <c r="DM259" s="847">
        <v>0</v>
      </c>
      <c r="DN259" s="847">
        <v>0</v>
      </c>
      <c r="DO259" s="847">
        <v>0</v>
      </c>
      <c r="DP259" s="847">
        <v>0</v>
      </c>
      <c r="DQ259" s="847">
        <v>0</v>
      </c>
      <c r="DR259" s="847">
        <v>0</v>
      </c>
      <c r="DS259" s="847">
        <v>0</v>
      </c>
      <c r="DT259" s="847">
        <v>0</v>
      </c>
      <c r="DU259" s="847">
        <v>0</v>
      </c>
      <c r="DV259" s="847">
        <v>0</v>
      </c>
      <c r="DW259" s="847">
        <v>0</v>
      </c>
      <c r="DY259" s="843" t="s">
        <v>1060</v>
      </c>
      <c r="DZ259" s="843" t="s">
        <v>1382</v>
      </c>
      <c r="EA259" s="843" t="s">
        <v>97</v>
      </c>
      <c r="EB259" s="844">
        <v>24</v>
      </c>
      <c r="EC259" s="780" t="str">
        <f t="shared" si="9"/>
        <v>IWT060224</v>
      </c>
      <c r="ED259" s="844">
        <v>5164.3</v>
      </c>
      <c r="EE259" s="844">
        <v>10328.6</v>
      </c>
      <c r="EF259" s="844">
        <v>15493</v>
      </c>
      <c r="EG259" s="844">
        <v>20657.3</v>
      </c>
      <c r="EH259" s="844">
        <v>25821.599999999999</v>
      </c>
      <c r="EI259" s="844">
        <v>30985.9</v>
      </c>
      <c r="EJ259" s="844">
        <v>30985.9</v>
      </c>
      <c r="EK259" s="844">
        <v>30985.9</v>
      </c>
      <c r="EL259" s="844">
        <v>30985.9</v>
      </c>
      <c r="EM259" s="844">
        <v>31534</v>
      </c>
      <c r="EN259" s="844">
        <v>32165</v>
      </c>
      <c r="EO259" s="844">
        <v>32808</v>
      </c>
      <c r="EP259" s="844">
        <v>33464</v>
      </c>
      <c r="EQ259" s="844">
        <v>34133</v>
      </c>
      <c r="ER259" s="844">
        <v>34816</v>
      </c>
      <c r="ES259" s="844">
        <v>35512</v>
      </c>
      <c r="ET259" s="844">
        <v>36222</v>
      </c>
      <c r="EU259" s="844">
        <v>36947</v>
      </c>
      <c r="EV259" s="844">
        <v>37686</v>
      </c>
      <c r="EW259" s="844">
        <v>38440</v>
      </c>
      <c r="EX259" s="844">
        <v>39208</v>
      </c>
      <c r="EY259" s="844">
        <v>39993</v>
      </c>
      <c r="EZ259" s="844">
        <v>40792</v>
      </c>
      <c r="FA259" s="844">
        <v>41608</v>
      </c>
      <c r="FB259" s="844">
        <v>42440</v>
      </c>
      <c r="FC259" s="844">
        <v>43289</v>
      </c>
      <c r="FD259" s="844">
        <v>44155</v>
      </c>
      <c r="FE259" s="844">
        <v>45038</v>
      </c>
      <c r="FF259" s="844">
        <v>45939</v>
      </c>
      <c r="FG259" s="844">
        <v>46858</v>
      </c>
      <c r="FH259" s="844">
        <v>47795</v>
      </c>
      <c r="FI259" s="844">
        <v>48751</v>
      </c>
      <c r="FJ259" s="844">
        <v>49726</v>
      </c>
      <c r="FK259" s="844">
        <v>50720</v>
      </c>
      <c r="FL259" s="844">
        <v>51734</v>
      </c>
      <c r="FM259" s="844">
        <v>52769</v>
      </c>
      <c r="FN259" s="844">
        <v>53824</v>
      </c>
      <c r="FO259" s="844">
        <v>54898</v>
      </c>
      <c r="FP259" s="844">
        <v>56200</v>
      </c>
      <c r="FQ259" s="844">
        <v>57600</v>
      </c>
      <c r="FR259" s="844">
        <v>59000</v>
      </c>
      <c r="FS259" s="844">
        <v>60400</v>
      </c>
      <c r="FT259" s="844">
        <v>61800</v>
      </c>
      <c r="FU259" s="844">
        <v>63200</v>
      </c>
      <c r="FV259" s="844">
        <v>64600</v>
      </c>
      <c r="FW259" s="844">
        <v>66000</v>
      </c>
      <c r="FX259" s="844">
        <v>67400</v>
      </c>
      <c r="FY259" s="844">
        <v>68800</v>
      </c>
      <c r="FZ259" s="844">
        <v>70200</v>
      </c>
      <c r="GA259" s="844">
        <v>71600</v>
      </c>
      <c r="GB259" s="844">
        <v>73000</v>
      </c>
      <c r="GC259" s="844">
        <v>74400</v>
      </c>
      <c r="GD259" s="844">
        <v>75800</v>
      </c>
      <c r="GE259" s="844">
        <v>77200</v>
      </c>
      <c r="GF259" s="844">
        <v>78600</v>
      </c>
      <c r="GG259" s="844">
        <v>80000</v>
      </c>
      <c r="GH259" s="844">
        <v>81400</v>
      </c>
      <c r="GI259" s="844">
        <v>82800</v>
      </c>
      <c r="GJ259" s="844">
        <v>84200</v>
      </c>
      <c r="GK259" s="844">
        <v>85600</v>
      </c>
      <c r="GL259" s="844">
        <v>87000</v>
      </c>
      <c r="GM259" s="844">
        <v>88400</v>
      </c>
      <c r="GN259" s="844">
        <v>89800</v>
      </c>
      <c r="GO259" s="844">
        <v>91200</v>
      </c>
      <c r="GP259" s="844">
        <v>92600</v>
      </c>
      <c r="GQ259" s="844">
        <v>94000</v>
      </c>
      <c r="GR259" s="844">
        <v>95400</v>
      </c>
      <c r="GS259" s="844">
        <v>96800</v>
      </c>
      <c r="GT259" s="844">
        <v>98200</v>
      </c>
      <c r="GU259" s="844">
        <v>99600</v>
      </c>
      <c r="GV259" s="844">
        <v>101000</v>
      </c>
      <c r="GW259" s="844">
        <v>102400</v>
      </c>
      <c r="GX259" s="844">
        <v>103800</v>
      </c>
      <c r="GY259" s="844">
        <v>105200</v>
      </c>
      <c r="GZ259" s="844">
        <v>106600</v>
      </c>
      <c r="HA259" s="844">
        <v>108000</v>
      </c>
      <c r="HB259" s="844">
        <v>109400</v>
      </c>
      <c r="HC259" s="844">
        <v>110800</v>
      </c>
      <c r="HD259" s="844">
        <v>112200</v>
      </c>
      <c r="HE259" s="844">
        <v>113600</v>
      </c>
      <c r="HF259" s="844">
        <v>115000</v>
      </c>
      <c r="HG259" s="844">
        <v>116400</v>
      </c>
      <c r="HH259" s="844">
        <v>117800</v>
      </c>
      <c r="HI259" s="844">
        <v>119237</v>
      </c>
      <c r="HJ259" s="844">
        <v>120727</v>
      </c>
      <c r="HK259" s="844">
        <v>122184</v>
      </c>
      <c r="HL259" s="844">
        <v>123400</v>
      </c>
      <c r="HM259" s="844">
        <v>0</v>
      </c>
      <c r="HN259" s="844">
        <v>0</v>
      </c>
      <c r="HO259" s="844">
        <v>0</v>
      </c>
      <c r="HP259" s="844">
        <v>0</v>
      </c>
      <c r="HQ259" s="844">
        <v>0</v>
      </c>
      <c r="HR259" s="844">
        <v>0</v>
      </c>
      <c r="HS259" s="844">
        <v>0</v>
      </c>
      <c r="HT259" s="844">
        <v>0</v>
      </c>
      <c r="HU259" s="844">
        <v>0</v>
      </c>
      <c r="HV259" s="844">
        <v>0</v>
      </c>
      <c r="HW259" s="844">
        <v>0</v>
      </c>
      <c r="HX259" s="844">
        <v>0</v>
      </c>
      <c r="HY259" s="844">
        <v>0</v>
      </c>
      <c r="HZ259" s="844">
        <v>0</v>
      </c>
      <c r="IA259" s="844">
        <v>0</v>
      </c>
      <c r="IB259" s="844">
        <v>0</v>
      </c>
      <c r="IC259" s="844">
        <v>0</v>
      </c>
      <c r="ID259" s="844">
        <v>0</v>
      </c>
      <c r="IE259" s="844">
        <v>0</v>
      </c>
      <c r="IF259" s="844">
        <v>0</v>
      </c>
      <c r="IG259" s="844">
        <v>0</v>
      </c>
      <c r="IH259" s="844">
        <v>0</v>
      </c>
      <c r="II259" s="844">
        <v>0</v>
      </c>
      <c r="IJ259" s="844">
        <v>0</v>
      </c>
    </row>
    <row r="260" spans="9:244" hidden="1">
      <c r="I260" s="156"/>
      <c r="L260" s="846" t="s">
        <v>1060</v>
      </c>
      <c r="M260" s="846" t="s">
        <v>1382</v>
      </c>
      <c r="N260" s="846" t="s">
        <v>97</v>
      </c>
      <c r="O260" s="847">
        <v>25</v>
      </c>
      <c r="P260" s="780" t="str">
        <f t="shared" si="8"/>
        <v>IWT060225</v>
      </c>
      <c r="Q260" s="847">
        <v>0</v>
      </c>
      <c r="R260" s="847">
        <v>0</v>
      </c>
      <c r="S260" s="847">
        <v>0</v>
      </c>
      <c r="T260" s="847">
        <v>0</v>
      </c>
      <c r="U260" s="847">
        <v>0</v>
      </c>
      <c r="V260" s="847">
        <v>0</v>
      </c>
      <c r="W260" s="847">
        <v>0</v>
      </c>
      <c r="X260" s="847">
        <v>0</v>
      </c>
      <c r="Y260" s="847">
        <v>0</v>
      </c>
      <c r="Z260" s="847">
        <v>0</v>
      </c>
      <c r="AA260" s="847">
        <v>0</v>
      </c>
      <c r="AB260" s="847">
        <v>0</v>
      </c>
      <c r="AC260" s="847">
        <v>0</v>
      </c>
      <c r="AD260" s="847">
        <v>0</v>
      </c>
      <c r="AE260" s="847">
        <v>0</v>
      </c>
      <c r="AF260" s="847">
        <v>0</v>
      </c>
      <c r="AG260" s="847">
        <v>0</v>
      </c>
      <c r="AH260" s="847">
        <v>0</v>
      </c>
      <c r="AI260" s="847">
        <v>0</v>
      </c>
      <c r="AJ260" s="847">
        <v>0</v>
      </c>
      <c r="AK260" s="847">
        <v>0</v>
      </c>
      <c r="AL260" s="847">
        <v>0</v>
      </c>
      <c r="AM260" s="847">
        <v>0</v>
      </c>
      <c r="AN260" s="847">
        <v>0</v>
      </c>
      <c r="AO260" s="847">
        <v>0</v>
      </c>
      <c r="AP260" s="847">
        <v>0</v>
      </c>
      <c r="AQ260" s="847">
        <v>0</v>
      </c>
      <c r="AR260" s="847">
        <v>0</v>
      </c>
      <c r="AS260" s="847">
        <v>0</v>
      </c>
      <c r="AT260" s="847">
        <v>0</v>
      </c>
      <c r="AU260" s="847">
        <v>0</v>
      </c>
      <c r="AV260" s="847">
        <v>0</v>
      </c>
      <c r="AW260" s="847">
        <v>0</v>
      </c>
      <c r="AX260" s="847">
        <v>0</v>
      </c>
      <c r="AY260" s="847">
        <v>0</v>
      </c>
      <c r="AZ260" s="847">
        <v>0</v>
      </c>
      <c r="BA260" s="847">
        <v>0</v>
      </c>
      <c r="BB260" s="847">
        <v>0</v>
      </c>
      <c r="BC260" s="847">
        <v>0</v>
      </c>
      <c r="BD260" s="847">
        <v>0</v>
      </c>
      <c r="BE260" s="847">
        <v>0</v>
      </c>
      <c r="BF260" s="847">
        <v>0</v>
      </c>
      <c r="BG260" s="847">
        <v>0</v>
      </c>
      <c r="BH260" s="847">
        <v>0</v>
      </c>
      <c r="BI260" s="847">
        <v>0</v>
      </c>
      <c r="BJ260" s="847">
        <v>0</v>
      </c>
      <c r="BK260" s="847">
        <v>0</v>
      </c>
      <c r="BL260" s="847">
        <v>0</v>
      </c>
      <c r="BM260" s="847">
        <v>0</v>
      </c>
      <c r="BN260" s="847">
        <v>0</v>
      </c>
      <c r="BO260" s="847">
        <v>0</v>
      </c>
      <c r="BP260" s="847">
        <v>0</v>
      </c>
      <c r="BQ260" s="847">
        <v>0</v>
      </c>
      <c r="BR260" s="847">
        <v>0</v>
      </c>
      <c r="BS260" s="847">
        <v>0</v>
      </c>
      <c r="BT260" s="847">
        <v>0</v>
      </c>
      <c r="BU260" s="847">
        <v>0</v>
      </c>
      <c r="BV260" s="847">
        <v>0</v>
      </c>
      <c r="BW260" s="847">
        <v>0</v>
      </c>
      <c r="BX260" s="847">
        <v>0</v>
      </c>
      <c r="BY260" s="847">
        <v>0</v>
      </c>
      <c r="BZ260" s="847">
        <v>0</v>
      </c>
      <c r="CA260" s="847">
        <v>0</v>
      </c>
      <c r="CB260" s="847">
        <v>0</v>
      </c>
      <c r="CC260" s="847">
        <v>0</v>
      </c>
      <c r="CD260" s="847">
        <v>0</v>
      </c>
      <c r="CE260" s="847">
        <v>0</v>
      </c>
      <c r="CF260" s="847">
        <v>0</v>
      </c>
      <c r="CG260" s="847">
        <v>0</v>
      </c>
      <c r="CH260" s="847">
        <v>0</v>
      </c>
      <c r="CI260" s="847">
        <v>0</v>
      </c>
      <c r="CJ260" s="847">
        <v>0</v>
      </c>
      <c r="CK260" s="847">
        <v>0</v>
      </c>
      <c r="CL260" s="847">
        <v>0</v>
      </c>
      <c r="CM260" s="847">
        <v>0</v>
      </c>
      <c r="CN260" s="847">
        <v>0</v>
      </c>
      <c r="CO260" s="847">
        <v>0</v>
      </c>
      <c r="CP260" s="847">
        <v>0</v>
      </c>
      <c r="CQ260" s="847">
        <v>0</v>
      </c>
      <c r="CR260" s="847">
        <v>0</v>
      </c>
      <c r="CS260" s="847">
        <v>0</v>
      </c>
      <c r="CT260" s="847">
        <v>0</v>
      </c>
      <c r="CU260" s="847">
        <v>0</v>
      </c>
      <c r="CV260" s="847">
        <v>0</v>
      </c>
      <c r="CW260" s="847">
        <v>0</v>
      </c>
      <c r="CX260" s="847">
        <v>122000</v>
      </c>
      <c r="CY260" s="847">
        <v>0</v>
      </c>
      <c r="CZ260" s="847">
        <v>0</v>
      </c>
      <c r="DA260" s="847">
        <v>0</v>
      </c>
      <c r="DB260" s="847">
        <v>0</v>
      </c>
      <c r="DC260" s="847">
        <v>0</v>
      </c>
      <c r="DD260" s="847">
        <v>0</v>
      </c>
      <c r="DE260" s="847">
        <v>0</v>
      </c>
      <c r="DF260" s="847">
        <v>0</v>
      </c>
      <c r="DG260" s="847">
        <v>0</v>
      </c>
      <c r="DH260" s="847">
        <v>0</v>
      </c>
      <c r="DI260" s="847">
        <v>0</v>
      </c>
      <c r="DJ260" s="847">
        <v>0</v>
      </c>
      <c r="DK260" s="847">
        <v>0</v>
      </c>
      <c r="DL260" s="847">
        <v>0</v>
      </c>
      <c r="DM260" s="847">
        <v>0</v>
      </c>
      <c r="DN260" s="847">
        <v>0</v>
      </c>
      <c r="DO260" s="847">
        <v>0</v>
      </c>
      <c r="DP260" s="847">
        <v>0</v>
      </c>
      <c r="DQ260" s="847">
        <v>0</v>
      </c>
      <c r="DR260" s="847">
        <v>0</v>
      </c>
      <c r="DS260" s="847">
        <v>0</v>
      </c>
      <c r="DT260" s="847">
        <v>0</v>
      </c>
      <c r="DU260" s="847">
        <v>0</v>
      </c>
      <c r="DV260" s="847">
        <v>0</v>
      </c>
      <c r="DW260" s="847">
        <v>0</v>
      </c>
      <c r="DY260" s="843" t="s">
        <v>1060</v>
      </c>
      <c r="DZ260" s="843" t="s">
        <v>1382</v>
      </c>
      <c r="EA260" s="843" t="s">
        <v>97</v>
      </c>
      <c r="EB260" s="844">
        <v>25</v>
      </c>
      <c r="EC260" s="780" t="str">
        <f t="shared" si="9"/>
        <v>IWT060225</v>
      </c>
      <c r="ED260" s="844">
        <v>5182.3</v>
      </c>
      <c r="EE260" s="844">
        <v>10364.700000000001</v>
      </c>
      <c r="EF260" s="844">
        <v>15547</v>
      </c>
      <c r="EG260" s="844">
        <v>20729.400000000001</v>
      </c>
      <c r="EH260" s="844">
        <v>25911.7</v>
      </c>
      <c r="EI260" s="844">
        <v>31094</v>
      </c>
      <c r="EJ260" s="844">
        <v>31094</v>
      </c>
      <c r="EK260" s="844">
        <v>31094</v>
      </c>
      <c r="EL260" s="844">
        <v>31094</v>
      </c>
      <c r="EM260" s="844">
        <v>31639</v>
      </c>
      <c r="EN260" s="844">
        <v>32272</v>
      </c>
      <c r="EO260" s="844">
        <v>32917</v>
      </c>
      <c r="EP260" s="844">
        <v>33576</v>
      </c>
      <c r="EQ260" s="844">
        <v>34247</v>
      </c>
      <c r="ER260" s="844">
        <v>34932</v>
      </c>
      <c r="ES260" s="844">
        <v>35631</v>
      </c>
      <c r="ET260" s="844">
        <v>36343</v>
      </c>
      <c r="EU260" s="844">
        <v>37070</v>
      </c>
      <c r="EV260" s="844">
        <v>37812</v>
      </c>
      <c r="EW260" s="844">
        <v>38568</v>
      </c>
      <c r="EX260" s="844">
        <v>39339</v>
      </c>
      <c r="EY260" s="844">
        <v>40126</v>
      </c>
      <c r="EZ260" s="844">
        <v>40929</v>
      </c>
      <c r="FA260" s="844">
        <v>41747</v>
      </c>
      <c r="FB260" s="844">
        <v>42582</v>
      </c>
      <c r="FC260" s="844">
        <v>43434</v>
      </c>
      <c r="FD260" s="844">
        <v>44302</v>
      </c>
      <c r="FE260" s="844">
        <v>45188</v>
      </c>
      <c r="FF260" s="844">
        <v>46092</v>
      </c>
      <c r="FG260" s="844">
        <v>47014</v>
      </c>
      <c r="FH260" s="844">
        <v>47954</v>
      </c>
      <c r="FI260" s="844">
        <v>48913</v>
      </c>
      <c r="FJ260" s="844">
        <v>49892</v>
      </c>
      <c r="FK260" s="844">
        <v>50890</v>
      </c>
      <c r="FL260" s="844">
        <v>51907</v>
      </c>
      <c r="FM260" s="844">
        <v>52945</v>
      </c>
      <c r="FN260" s="844">
        <v>54004</v>
      </c>
      <c r="FO260" s="844">
        <v>55083</v>
      </c>
      <c r="FP260" s="844">
        <v>56200</v>
      </c>
      <c r="FQ260" s="844">
        <v>57600</v>
      </c>
      <c r="FR260" s="844">
        <v>59000</v>
      </c>
      <c r="FS260" s="844">
        <v>60400</v>
      </c>
      <c r="FT260" s="844">
        <v>61800</v>
      </c>
      <c r="FU260" s="844">
        <v>63200</v>
      </c>
      <c r="FV260" s="844">
        <v>64600</v>
      </c>
      <c r="FW260" s="844">
        <v>66000</v>
      </c>
      <c r="FX260" s="844">
        <v>67400</v>
      </c>
      <c r="FY260" s="844">
        <v>68800</v>
      </c>
      <c r="FZ260" s="844">
        <v>70200</v>
      </c>
      <c r="GA260" s="844">
        <v>71600</v>
      </c>
      <c r="GB260" s="844">
        <v>73000</v>
      </c>
      <c r="GC260" s="844">
        <v>74400</v>
      </c>
      <c r="GD260" s="844">
        <v>75800</v>
      </c>
      <c r="GE260" s="844">
        <v>77200</v>
      </c>
      <c r="GF260" s="844">
        <v>78600</v>
      </c>
      <c r="GG260" s="844">
        <v>80000</v>
      </c>
      <c r="GH260" s="844">
        <v>81400</v>
      </c>
      <c r="GI260" s="844">
        <v>82800</v>
      </c>
      <c r="GJ260" s="844">
        <v>84200</v>
      </c>
      <c r="GK260" s="844">
        <v>85600</v>
      </c>
      <c r="GL260" s="844">
        <v>87000</v>
      </c>
      <c r="GM260" s="844">
        <v>88400</v>
      </c>
      <c r="GN260" s="844">
        <v>89800</v>
      </c>
      <c r="GO260" s="844">
        <v>91200</v>
      </c>
      <c r="GP260" s="844">
        <v>92600</v>
      </c>
      <c r="GQ260" s="844">
        <v>94000</v>
      </c>
      <c r="GR260" s="844">
        <v>95400</v>
      </c>
      <c r="GS260" s="844">
        <v>96800</v>
      </c>
      <c r="GT260" s="844">
        <v>98200</v>
      </c>
      <c r="GU260" s="844">
        <v>99600</v>
      </c>
      <c r="GV260" s="844">
        <v>101000</v>
      </c>
      <c r="GW260" s="844">
        <v>102400</v>
      </c>
      <c r="GX260" s="844">
        <v>103800</v>
      </c>
      <c r="GY260" s="844">
        <v>105200</v>
      </c>
      <c r="GZ260" s="844">
        <v>106600</v>
      </c>
      <c r="HA260" s="844">
        <v>108000</v>
      </c>
      <c r="HB260" s="844">
        <v>109400</v>
      </c>
      <c r="HC260" s="844">
        <v>110800</v>
      </c>
      <c r="HD260" s="844">
        <v>112200</v>
      </c>
      <c r="HE260" s="844">
        <v>113600</v>
      </c>
      <c r="HF260" s="844">
        <v>115000</v>
      </c>
      <c r="HG260" s="844">
        <v>116400</v>
      </c>
      <c r="HH260" s="844">
        <v>117856</v>
      </c>
      <c r="HI260" s="844">
        <v>119342</v>
      </c>
      <c r="HJ260" s="844">
        <v>120798</v>
      </c>
      <c r="HK260" s="844">
        <v>122000</v>
      </c>
      <c r="HL260" s="844">
        <v>0</v>
      </c>
      <c r="HM260" s="844">
        <v>0</v>
      </c>
      <c r="HN260" s="844">
        <v>0</v>
      </c>
      <c r="HO260" s="844">
        <v>0</v>
      </c>
      <c r="HP260" s="844">
        <v>0</v>
      </c>
      <c r="HQ260" s="844">
        <v>0</v>
      </c>
      <c r="HR260" s="844">
        <v>0</v>
      </c>
      <c r="HS260" s="844">
        <v>0</v>
      </c>
      <c r="HT260" s="844">
        <v>0</v>
      </c>
      <c r="HU260" s="844">
        <v>0</v>
      </c>
      <c r="HV260" s="844">
        <v>0</v>
      </c>
      <c r="HW260" s="844">
        <v>0</v>
      </c>
      <c r="HX260" s="844">
        <v>0</v>
      </c>
      <c r="HY260" s="844">
        <v>0</v>
      </c>
      <c r="HZ260" s="844">
        <v>0</v>
      </c>
      <c r="IA260" s="844">
        <v>0</v>
      </c>
      <c r="IB260" s="844">
        <v>0</v>
      </c>
      <c r="IC260" s="844">
        <v>0</v>
      </c>
      <c r="ID260" s="844">
        <v>0</v>
      </c>
      <c r="IE260" s="844">
        <v>0</v>
      </c>
      <c r="IF260" s="844">
        <v>0</v>
      </c>
      <c r="IG260" s="844">
        <v>0</v>
      </c>
      <c r="IH260" s="844">
        <v>0</v>
      </c>
      <c r="II260" s="844">
        <v>0</v>
      </c>
      <c r="IJ260" s="844">
        <v>0</v>
      </c>
    </row>
    <row r="261" spans="9:244" hidden="1">
      <c r="I261" s="156"/>
      <c r="L261" s="846" t="s">
        <v>1060</v>
      </c>
      <c r="M261" s="846" t="s">
        <v>1382</v>
      </c>
      <c r="N261" s="846" t="s">
        <v>97</v>
      </c>
      <c r="O261" s="847">
        <v>26</v>
      </c>
      <c r="P261" s="780" t="str">
        <f t="shared" si="8"/>
        <v>IWT060226</v>
      </c>
      <c r="Q261" s="847">
        <v>0</v>
      </c>
      <c r="R261" s="847">
        <v>0</v>
      </c>
      <c r="S261" s="847">
        <v>0</v>
      </c>
      <c r="T261" s="847">
        <v>0</v>
      </c>
      <c r="U261" s="847">
        <v>0</v>
      </c>
      <c r="V261" s="847">
        <v>0</v>
      </c>
      <c r="W261" s="847">
        <v>0</v>
      </c>
      <c r="X261" s="847">
        <v>0</v>
      </c>
      <c r="Y261" s="847">
        <v>0</v>
      </c>
      <c r="Z261" s="847">
        <v>0</v>
      </c>
      <c r="AA261" s="847">
        <v>0</v>
      </c>
      <c r="AB261" s="847">
        <v>0</v>
      </c>
      <c r="AC261" s="847">
        <v>0</v>
      </c>
      <c r="AD261" s="847">
        <v>0</v>
      </c>
      <c r="AE261" s="847">
        <v>0</v>
      </c>
      <c r="AF261" s="847">
        <v>0</v>
      </c>
      <c r="AG261" s="847">
        <v>0</v>
      </c>
      <c r="AH261" s="847">
        <v>0</v>
      </c>
      <c r="AI261" s="847">
        <v>0</v>
      </c>
      <c r="AJ261" s="847">
        <v>0</v>
      </c>
      <c r="AK261" s="847">
        <v>0</v>
      </c>
      <c r="AL261" s="847">
        <v>0</v>
      </c>
      <c r="AM261" s="847">
        <v>0</v>
      </c>
      <c r="AN261" s="847">
        <v>0</v>
      </c>
      <c r="AO261" s="847">
        <v>0</v>
      </c>
      <c r="AP261" s="847">
        <v>0</v>
      </c>
      <c r="AQ261" s="847">
        <v>0</v>
      </c>
      <c r="AR261" s="847">
        <v>0</v>
      </c>
      <c r="AS261" s="847">
        <v>0</v>
      </c>
      <c r="AT261" s="847">
        <v>0</v>
      </c>
      <c r="AU261" s="847">
        <v>0</v>
      </c>
      <c r="AV261" s="847">
        <v>0</v>
      </c>
      <c r="AW261" s="847">
        <v>0</v>
      </c>
      <c r="AX261" s="847">
        <v>0</v>
      </c>
      <c r="AY261" s="847">
        <v>0</v>
      </c>
      <c r="AZ261" s="847">
        <v>0</v>
      </c>
      <c r="BA261" s="847">
        <v>0</v>
      </c>
      <c r="BB261" s="847">
        <v>0</v>
      </c>
      <c r="BC261" s="847">
        <v>0</v>
      </c>
      <c r="BD261" s="847">
        <v>0</v>
      </c>
      <c r="BE261" s="847">
        <v>0</v>
      </c>
      <c r="BF261" s="847">
        <v>0</v>
      </c>
      <c r="BG261" s="847">
        <v>0</v>
      </c>
      <c r="BH261" s="847">
        <v>0</v>
      </c>
      <c r="BI261" s="847">
        <v>0</v>
      </c>
      <c r="BJ261" s="847">
        <v>0</v>
      </c>
      <c r="BK261" s="847">
        <v>0</v>
      </c>
      <c r="BL261" s="847">
        <v>0</v>
      </c>
      <c r="BM261" s="847">
        <v>0</v>
      </c>
      <c r="BN261" s="847">
        <v>0</v>
      </c>
      <c r="BO261" s="847">
        <v>0</v>
      </c>
      <c r="BP261" s="847">
        <v>0</v>
      </c>
      <c r="BQ261" s="847">
        <v>0</v>
      </c>
      <c r="BR261" s="847">
        <v>0</v>
      </c>
      <c r="BS261" s="847">
        <v>0</v>
      </c>
      <c r="BT261" s="847">
        <v>0</v>
      </c>
      <c r="BU261" s="847">
        <v>0</v>
      </c>
      <c r="BV261" s="847">
        <v>0</v>
      </c>
      <c r="BW261" s="847">
        <v>0</v>
      </c>
      <c r="BX261" s="847">
        <v>0</v>
      </c>
      <c r="BY261" s="847">
        <v>0</v>
      </c>
      <c r="BZ261" s="847">
        <v>0</v>
      </c>
      <c r="CA261" s="847">
        <v>0</v>
      </c>
      <c r="CB261" s="847">
        <v>0</v>
      </c>
      <c r="CC261" s="847">
        <v>0</v>
      </c>
      <c r="CD261" s="847">
        <v>0</v>
      </c>
      <c r="CE261" s="847">
        <v>0</v>
      </c>
      <c r="CF261" s="847">
        <v>0</v>
      </c>
      <c r="CG261" s="847">
        <v>0</v>
      </c>
      <c r="CH261" s="847">
        <v>0</v>
      </c>
      <c r="CI261" s="847">
        <v>0</v>
      </c>
      <c r="CJ261" s="847">
        <v>0</v>
      </c>
      <c r="CK261" s="847">
        <v>0</v>
      </c>
      <c r="CL261" s="847">
        <v>0</v>
      </c>
      <c r="CM261" s="847">
        <v>0</v>
      </c>
      <c r="CN261" s="847">
        <v>0</v>
      </c>
      <c r="CO261" s="847">
        <v>0</v>
      </c>
      <c r="CP261" s="847">
        <v>0</v>
      </c>
      <c r="CQ261" s="847">
        <v>0</v>
      </c>
      <c r="CR261" s="847">
        <v>0</v>
      </c>
      <c r="CS261" s="847">
        <v>0</v>
      </c>
      <c r="CT261" s="847">
        <v>0</v>
      </c>
      <c r="CU261" s="847">
        <v>0</v>
      </c>
      <c r="CV261" s="847">
        <v>0</v>
      </c>
      <c r="CW261" s="847">
        <v>120600</v>
      </c>
      <c r="CX261" s="847">
        <v>0</v>
      </c>
      <c r="CY261" s="847">
        <v>0</v>
      </c>
      <c r="CZ261" s="847">
        <v>0</v>
      </c>
      <c r="DA261" s="847">
        <v>0</v>
      </c>
      <c r="DB261" s="847">
        <v>0</v>
      </c>
      <c r="DC261" s="847">
        <v>0</v>
      </c>
      <c r="DD261" s="847">
        <v>0</v>
      </c>
      <c r="DE261" s="847">
        <v>0</v>
      </c>
      <c r="DF261" s="847">
        <v>0</v>
      </c>
      <c r="DG261" s="847">
        <v>0</v>
      </c>
      <c r="DH261" s="847">
        <v>0</v>
      </c>
      <c r="DI261" s="847">
        <v>0</v>
      </c>
      <c r="DJ261" s="847">
        <v>0</v>
      </c>
      <c r="DK261" s="847">
        <v>0</v>
      </c>
      <c r="DL261" s="847">
        <v>0</v>
      </c>
      <c r="DM261" s="847">
        <v>0</v>
      </c>
      <c r="DN261" s="847">
        <v>0</v>
      </c>
      <c r="DO261" s="847">
        <v>0</v>
      </c>
      <c r="DP261" s="847">
        <v>0</v>
      </c>
      <c r="DQ261" s="847">
        <v>0</v>
      </c>
      <c r="DR261" s="847">
        <v>0</v>
      </c>
      <c r="DS261" s="847">
        <v>0</v>
      </c>
      <c r="DT261" s="847">
        <v>0</v>
      </c>
      <c r="DU261" s="847">
        <v>0</v>
      </c>
      <c r="DV261" s="847">
        <v>0</v>
      </c>
      <c r="DW261" s="847">
        <v>0</v>
      </c>
      <c r="DY261" s="843" t="s">
        <v>1060</v>
      </c>
      <c r="DZ261" s="843" t="s">
        <v>1382</v>
      </c>
      <c r="EA261" s="843" t="s">
        <v>97</v>
      </c>
      <c r="EB261" s="844">
        <v>26</v>
      </c>
      <c r="EC261" s="780" t="str">
        <f t="shared" si="9"/>
        <v>IWT060226</v>
      </c>
      <c r="ED261" s="844">
        <v>5198.2</v>
      </c>
      <c r="EE261" s="844">
        <v>10396.5</v>
      </c>
      <c r="EF261" s="844">
        <v>15594.7</v>
      </c>
      <c r="EG261" s="844">
        <v>20793</v>
      </c>
      <c r="EH261" s="844">
        <v>25991.200000000001</v>
      </c>
      <c r="EI261" s="844">
        <v>31189.4</v>
      </c>
      <c r="EJ261" s="844">
        <v>31189.4</v>
      </c>
      <c r="EK261" s="844">
        <v>31189.4</v>
      </c>
      <c r="EL261" s="844">
        <v>31189.4</v>
      </c>
      <c r="EM261" s="844">
        <v>31739</v>
      </c>
      <c r="EN261" s="844">
        <v>32374</v>
      </c>
      <c r="EO261" s="844">
        <v>33021</v>
      </c>
      <c r="EP261" s="844">
        <v>33681</v>
      </c>
      <c r="EQ261" s="844">
        <v>34355</v>
      </c>
      <c r="ER261" s="844">
        <v>35042</v>
      </c>
      <c r="ES261" s="844">
        <v>35743</v>
      </c>
      <c r="ET261" s="844">
        <v>36458</v>
      </c>
      <c r="EU261" s="844">
        <v>37187</v>
      </c>
      <c r="EV261" s="844">
        <v>37931</v>
      </c>
      <c r="EW261" s="844">
        <v>38689</v>
      </c>
      <c r="EX261" s="844">
        <v>39463</v>
      </c>
      <c r="EY261" s="844">
        <v>40252</v>
      </c>
      <c r="EZ261" s="844">
        <v>41057</v>
      </c>
      <c r="FA261" s="844">
        <v>41879</v>
      </c>
      <c r="FB261" s="844">
        <v>42716</v>
      </c>
      <c r="FC261" s="844">
        <v>43570</v>
      </c>
      <c r="FD261" s="844">
        <v>44442</v>
      </c>
      <c r="FE261" s="844">
        <v>45331</v>
      </c>
      <c r="FF261" s="844">
        <v>46237</v>
      </c>
      <c r="FG261" s="844">
        <v>47162</v>
      </c>
      <c r="FH261" s="844">
        <v>48105</v>
      </c>
      <c r="FI261" s="844">
        <v>49067</v>
      </c>
      <c r="FJ261" s="844">
        <v>50049</v>
      </c>
      <c r="FK261" s="844">
        <v>51050</v>
      </c>
      <c r="FL261" s="844">
        <v>52071</v>
      </c>
      <c r="FM261" s="844">
        <v>53112</v>
      </c>
      <c r="FN261" s="844">
        <v>54174</v>
      </c>
      <c r="FO261" s="844">
        <v>55257</v>
      </c>
      <c r="FP261" s="844">
        <v>56359</v>
      </c>
      <c r="FQ261" s="844">
        <v>57600</v>
      </c>
      <c r="FR261" s="844">
        <v>59000</v>
      </c>
      <c r="FS261" s="844">
        <v>60400</v>
      </c>
      <c r="FT261" s="844">
        <v>61800</v>
      </c>
      <c r="FU261" s="844">
        <v>63200</v>
      </c>
      <c r="FV261" s="844">
        <v>64600</v>
      </c>
      <c r="FW261" s="844">
        <v>66000</v>
      </c>
      <c r="FX261" s="844">
        <v>67400</v>
      </c>
      <c r="FY261" s="844">
        <v>68800</v>
      </c>
      <c r="FZ261" s="844">
        <v>70200</v>
      </c>
      <c r="GA261" s="844">
        <v>71600</v>
      </c>
      <c r="GB261" s="844">
        <v>73000</v>
      </c>
      <c r="GC261" s="844">
        <v>74400</v>
      </c>
      <c r="GD261" s="844">
        <v>75800</v>
      </c>
      <c r="GE261" s="844">
        <v>77200</v>
      </c>
      <c r="GF261" s="844">
        <v>78600</v>
      </c>
      <c r="GG261" s="844">
        <v>80000</v>
      </c>
      <c r="GH261" s="844">
        <v>81400</v>
      </c>
      <c r="GI261" s="844">
        <v>82800</v>
      </c>
      <c r="GJ261" s="844">
        <v>84200</v>
      </c>
      <c r="GK261" s="844">
        <v>85600</v>
      </c>
      <c r="GL261" s="844">
        <v>87000</v>
      </c>
      <c r="GM261" s="844">
        <v>88400</v>
      </c>
      <c r="GN261" s="844">
        <v>89800</v>
      </c>
      <c r="GO261" s="844">
        <v>91200</v>
      </c>
      <c r="GP261" s="844">
        <v>92600</v>
      </c>
      <c r="GQ261" s="844">
        <v>94000</v>
      </c>
      <c r="GR261" s="844">
        <v>95400</v>
      </c>
      <c r="GS261" s="844">
        <v>96800</v>
      </c>
      <c r="GT261" s="844">
        <v>98200</v>
      </c>
      <c r="GU261" s="844">
        <v>99600</v>
      </c>
      <c r="GV261" s="844">
        <v>101000</v>
      </c>
      <c r="GW261" s="844">
        <v>102400</v>
      </c>
      <c r="GX261" s="844">
        <v>103800</v>
      </c>
      <c r="GY261" s="844">
        <v>105200</v>
      </c>
      <c r="GZ261" s="844">
        <v>106600</v>
      </c>
      <c r="HA261" s="844">
        <v>108000</v>
      </c>
      <c r="HB261" s="844">
        <v>109400</v>
      </c>
      <c r="HC261" s="844">
        <v>110800</v>
      </c>
      <c r="HD261" s="844">
        <v>112200</v>
      </c>
      <c r="HE261" s="844">
        <v>113600</v>
      </c>
      <c r="HF261" s="844">
        <v>115000</v>
      </c>
      <c r="HG261" s="844">
        <v>116474</v>
      </c>
      <c r="HH261" s="844">
        <v>117958</v>
      </c>
      <c r="HI261" s="844">
        <v>119412</v>
      </c>
      <c r="HJ261" s="844">
        <v>120600</v>
      </c>
      <c r="HK261" s="844">
        <v>0</v>
      </c>
      <c r="HL261" s="844">
        <v>0</v>
      </c>
      <c r="HM261" s="844">
        <v>0</v>
      </c>
      <c r="HN261" s="844">
        <v>0</v>
      </c>
      <c r="HO261" s="844">
        <v>0</v>
      </c>
      <c r="HP261" s="844">
        <v>0</v>
      </c>
      <c r="HQ261" s="844">
        <v>0</v>
      </c>
      <c r="HR261" s="844">
        <v>0</v>
      </c>
      <c r="HS261" s="844">
        <v>0</v>
      </c>
      <c r="HT261" s="844">
        <v>0</v>
      </c>
      <c r="HU261" s="844">
        <v>0</v>
      </c>
      <c r="HV261" s="844">
        <v>0</v>
      </c>
      <c r="HW261" s="844">
        <v>0</v>
      </c>
      <c r="HX261" s="844">
        <v>0</v>
      </c>
      <c r="HY261" s="844">
        <v>0</v>
      </c>
      <c r="HZ261" s="844">
        <v>0</v>
      </c>
      <c r="IA261" s="844">
        <v>0</v>
      </c>
      <c r="IB261" s="844">
        <v>0</v>
      </c>
      <c r="IC261" s="844">
        <v>0</v>
      </c>
      <c r="ID261" s="844">
        <v>0</v>
      </c>
      <c r="IE261" s="844">
        <v>0</v>
      </c>
      <c r="IF261" s="844">
        <v>0</v>
      </c>
      <c r="IG261" s="844">
        <v>0</v>
      </c>
      <c r="IH261" s="844">
        <v>0</v>
      </c>
      <c r="II261" s="844">
        <v>0</v>
      </c>
      <c r="IJ261" s="844">
        <v>0</v>
      </c>
    </row>
    <row r="262" spans="9:244" hidden="1">
      <c r="I262" s="156"/>
      <c r="L262" s="846" t="s">
        <v>1060</v>
      </c>
      <c r="M262" s="846" t="s">
        <v>1382</v>
      </c>
      <c r="N262" s="846" t="s">
        <v>97</v>
      </c>
      <c r="O262" s="847">
        <v>27</v>
      </c>
      <c r="P262" s="780" t="str">
        <f t="shared" si="8"/>
        <v>IWT060227</v>
      </c>
      <c r="Q262" s="847">
        <v>0</v>
      </c>
      <c r="R262" s="847">
        <v>0</v>
      </c>
      <c r="S262" s="847">
        <v>0</v>
      </c>
      <c r="T262" s="847">
        <v>0</v>
      </c>
      <c r="U262" s="847">
        <v>0</v>
      </c>
      <c r="V262" s="847">
        <v>0</v>
      </c>
      <c r="W262" s="847">
        <v>0</v>
      </c>
      <c r="X262" s="847">
        <v>0</v>
      </c>
      <c r="Y262" s="847">
        <v>0</v>
      </c>
      <c r="Z262" s="847">
        <v>0</v>
      </c>
      <c r="AA262" s="847">
        <v>0</v>
      </c>
      <c r="AB262" s="847">
        <v>0</v>
      </c>
      <c r="AC262" s="847">
        <v>0</v>
      </c>
      <c r="AD262" s="847">
        <v>0</v>
      </c>
      <c r="AE262" s="847">
        <v>0</v>
      </c>
      <c r="AF262" s="847">
        <v>0</v>
      </c>
      <c r="AG262" s="847">
        <v>0</v>
      </c>
      <c r="AH262" s="847">
        <v>0</v>
      </c>
      <c r="AI262" s="847">
        <v>0</v>
      </c>
      <c r="AJ262" s="847">
        <v>0</v>
      </c>
      <c r="AK262" s="847">
        <v>0</v>
      </c>
      <c r="AL262" s="847">
        <v>0</v>
      </c>
      <c r="AM262" s="847">
        <v>0</v>
      </c>
      <c r="AN262" s="847">
        <v>0</v>
      </c>
      <c r="AO262" s="847">
        <v>0</v>
      </c>
      <c r="AP262" s="847">
        <v>0</v>
      </c>
      <c r="AQ262" s="847">
        <v>0</v>
      </c>
      <c r="AR262" s="847">
        <v>0</v>
      </c>
      <c r="AS262" s="847">
        <v>0</v>
      </c>
      <c r="AT262" s="847">
        <v>0</v>
      </c>
      <c r="AU262" s="847">
        <v>0</v>
      </c>
      <c r="AV262" s="847">
        <v>0</v>
      </c>
      <c r="AW262" s="847">
        <v>0</v>
      </c>
      <c r="AX262" s="847">
        <v>0</v>
      </c>
      <c r="AY262" s="847">
        <v>0</v>
      </c>
      <c r="AZ262" s="847">
        <v>0</v>
      </c>
      <c r="BA262" s="847">
        <v>0</v>
      </c>
      <c r="BB262" s="847">
        <v>0</v>
      </c>
      <c r="BC262" s="847">
        <v>0</v>
      </c>
      <c r="BD262" s="847">
        <v>0</v>
      </c>
      <c r="BE262" s="847">
        <v>0</v>
      </c>
      <c r="BF262" s="847">
        <v>0</v>
      </c>
      <c r="BG262" s="847">
        <v>0</v>
      </c>
      <c r="BH262" s="847">
        <v>0</v>
      </c>
      <c r="BI262" s="847">
        <v>0</v>
      </c>
      <c r="BJ262" s="847">
        <v>0</v>
      </c>
      <c r="BK262" s="847">
        <v>0</v>
      </c>
      <c r="BL262" s="847">
        <v>0</v>
      </c>
      <c r="BM262" s="847">
        <v>0</v>
      </c>
      <c r="BN262" s="847">
        <v>0</v>
      </c>
      <c r="BO262" s="847">
        <v>0</v>
      </c>
      <c r="BP262" s="847">
        <v>0</v>
      </c>
      <c r="BQ262" s="847">
        <v>0</v>
      </c>
      <c r="BR262" s="847">
        <v>0</v>
      </c>
      <c r="BS262" s="847">
        <v>0</v>
      </c>
      <c r="BT262" s="847">
        <v>0</v>
      </c>
      <c r="BU262" s="847">
        <v>0</v>
      </c>
      <c r="BV262" s="847">
        <v>0</v>
      </c>
      <c r="BW262" s="847">
        <v>0</v>
      </c>
      <c r="BX262" s="847">
        <v>0</v>
      </c>
      <c r="BY262" s="847">
        <v>0</v>
      </c>
      <c r="BZ262" s="847">
        <v>0</v>
      </c>
      <c r="CA262" s="847">
        <v>0</v>
      </c>
      <c r="CB262" s="847">
        <v>0</v>
      </c>
      <c r="CC262" s="847">
        <v>0</v>
      </c>
      <c r="CD262" s="847">
        <v>0</v>
      </c>
      <c r="CE262" s="847">
        <v>0</v>
      </c>
      <c r="CF262" s="847">
        <v>0</v>
      </c>
      <c r="CG262" s="847">
        <v>0</v>
      </c>
      <c r="CH262" s="847">
        <v>0</v>
      </c>
      <c r="CI262" s="847">
        <v>0</v>
      </c>
      <c r="CJ262" s="847">
        <v>0</v>
      </c>
      <c r="CK262" s="847">
        <v>0</v>
      </c>
      <c r="CL262" s="847">
        <v>0</v>
      </c>
      <c r="CM262" s="847">
        <v>0</v>
      </c>
      <c r="CN262" s="847">
        <v>0</v>
      </c>
      <c r="CO262" s="847">
        <v>0</v>
      </c>
      <c r="CP262" s="847">
        <v>0</v>
      </c>
      <c r="CQ262" s="847">
        <v>0</v>
      </c>
      <c r="CR262" s="847">
        <v>0</v>
      </c>
      <c r="CS262" s="847">
        <v>0</v>
      </c>
      <c r="CT262" s="847">
        <v>0</v>
      </c>
      <c r="CU262" s="847">
        <v>0</v>
      </c>
      <c r="CV262" s="847">
        <v>119200</v>
      </c>
      <c r="CW262" s="847">
        <v>0</v>
      </c>
      <c r="CX262" s="847">
        <v>0</v>
      </c>
      <c r="CY262" s="847">
        <v>0</v>
      </c>
      <c r="CZ262" s="847">
        <v>0</v>
      </c>
      <c r="DA262" s="847">
        <v>0</v>
      </c>
      <c r="DB262" s="847">
        <v>0</v>
      </c>
      <c r="DC262" s="847">
        <v>0</v>
      </c>
      <c r="DD262" s="847">
        <v>0</v>
      </c>
      <c r="DE262" s="847">
        <v>0</v>
      </c>
      <c r="DF262" s="847">
        <v>0</v>
      </c>
      <c r="DG262" s="847">
        <v>0</v>
      </c>
      <c r="DH262" s="847">
        <v>0</v>
      </c>
      <c r="DI262" s="847">
        <v>0</v>
      </c>
      <c r="DJ262" s="847">
        <v>0</v>
      </c>
      <c r="DK262" s="847">
        <v>0</v>
      </c>
      <c r="DL262" s="847">
        <v>0</v>
      </c>
      <c r="DM262" s="847">
        <v>0</v>
      </c>
      <c r="DN262" s="847">
        <v>0</v>
      </c>
      <c r="DO262" s="847">
        <v>0</v>
      </c>
      <c r="DP262" s="847">
        <v>0</v>
      </c>
      <c r="DQ262" s="847">
        <v>0</v>
      </c>
      <c r="DR262" s="847">
        <v>0</v>
      </c>
      <c r="DS262" s="847">
        <v>0</v>
      </c>
      <c r="DT262" s="847">
        <v>0</v>
      </c>
      <c r="DU262" s="847">
        <v>0</v>
      </c>
      <c r="DV262" s="847">
        <v>0</v>
      </c>
      <c r="DW262" s="847">
        <v>0</v>
      </c>
      <c r="DY262" s="843" t="s">
        <v>1060</v>
      </c>
      <c r="DZ262" s="843" t="s">
        <v>1382</v>
      </c>
      <c r="EA262" s="843" t="s">
        <v>97</v>
      </c>
      <c r="EB262" s="844">
        <v>27</v>
      </c>
      <c r="EC262" s="780" t="str">
        <f t="shared" si="9"/>
        <v>IWT060227</v>
      </c>
      <c r="ED262" s="844">
        <v>5214.1000000000004</v>
      </c>
      <c r="EE262" s="844">
        <v>10428.299999999999</v>
      </c>
      <c r="EF262" s="844">
        <v>15642.4</v>
      </c>
      <c r="EG262" s="844">
        <v>20856.599999999999</v>
      </c>
      <c r="EH262" s="844">
        <v>26070.7</v>
      </c>
      <c r="EI262" s="844">
        <v>31284.799999999999</v>
      </c>
      <c r="EJ262" s="844">
        <v>31284.799999999999</v>
      </c>
      <c r="EK262" s="844">
        <v>31284.799999999999</v>
      </c>
      <c r="EL262" s="844">
        <v>31284.799999999999</v>
      </c>
      <c r="EM262" s="844">
        <v>31832</v>
      </c>
      <c r="EN262" s="844">
        <v>32469</v>
      </c>
      <c r="EO262" s="844">
        <v>33118</v>
      </c>
      <c r="EP262" s="844">
        <v>33781</v>
      </c>
      <c r="EQ262" s="844">
        <v>34456</v>
      </c>
      <c r="ER262" s="844">
        <v>35146</v>
      </c>
      <c r="ES262" s="844">
        <v>35849</v>
      </c>
      <c r="ET262" s="844">
        <v>36565</v>
      </c>
      <c r="EU262" s="844">
        <v>37297</v>
      </c>
      <c r="EV262" s="844">
        <v>38043</v>
      </c>
      <c r="EW262" s="844">
        <v>38804</v>
      </c>
      <c r="EX262" s="844">
        <v>39580</v>
      </c>
      <c r="EY262" s="844">
        <v>40371</v>
      </c>
      <c r="EZ262" s="844">
        <v>41179</v>
      </c>
      <c r="FA262" s="844">
        <v>42002</v>
      </c>
      <c r="FB262" s="844">
        <v>42842</v>
      </c>
      <c r="FC262" s="844">
        <v>43699</v>
      </c>
      <c r="FD262" s="844">
        <v>44573</v>
      </c>
      <c r="FE262" s="844">
        <v>45465</v>
      </c>
      <c r="FF262" s="844">
        <v>46374</v>
      </c>
      <c r="FG262" s="844">
        <v>47301</v>
      </c>
      <c r="FH262" s="844">
        <v>48247</v>
      </c>
      <c r="FI262" s="844">
        <v>49212</v>
      </c>
      <c r="FJ262" s="844">
        <v>50196</v>
      </c>
      <c r="FK262" s="844">
        <v>51200</v>
      </c>
      <c r="FL262" s="844">
        <v>52224</v>
      </c>
      <c r="FM262" s="844">
        <v>53269</v>
      </c>
      <c r="FN262" s="844">
        <v>54334</v>
      </c>
      <c r="FO262" s="844">
        <v>55421</v>
      </c>
      <c r="FP262" s="844">
        <v>56527</v>
      </c>
      <c r="FQ262" s="844">
        <v>57653</v>
      </c>
      <c r="FR262" s="844">
        <v>59000</v>
      </c>
      <c r="FS262" s="844">
        <v>60400</v>
      </c>
      <c r="FT262" s="844">
        <v>61800</v>
      </c>
      <c r="FU262" s="844">
        <v>63200</v>
      </c>
      <c r="FV262" s="844">
        <v>64600</v>
      </c>
      <c r="FW262" s="844">
        <v>66000</v>
      </c>
      <c r="FX262" s="844">
        <v>67400</v>
      </c>
      <c r="FY262" s="844">
        <v>68800</v>
      </c>
      <c r="FZ262" s="844">
        <v>70200</v>
      </c>
      <c r="GA262" s="844">
        <v>71600</v>
      </c>
      <c r="GB262" s="844">
        <v>73000</v>
      </c>
      <c r="GC262" s="844">
        <v>74400</v>
      </c>
      <c r="GD262" s="844">
        <v>75800</v>
      </c>
      <c r="GE262" s="844">
        <v>77200</v>
      </c>
      <c r="GF262" s="844">
        <v>78600</v>
      </c>
      <c r="GG262" s="844">
        <v>80000</v>
      </c>
      <c r="GH262" s="844">
        <v>81400</v>
      </c>
      <c r="GI262" s="844">
        <v>82800</v>
      </c>
      <c r="GJ262" s="844">
        <v>84200</v>
      </c>
      <c r="GK262" s="844">
        <v>85600</v>
      </c>
      <c r="GL262" s="844">
        <v>87000</v>
      </c>
      <c r="GM262" s="844">
        <v>88400</v>
      </c>
      <c r="GN262" s="844">
        <v>89800</v>
      </c>
      <c r="GO262" s="844">
        <v>91200</v>
      </c>
      <c r="GP262" s="844">
        <v>92600</v>
      </c>
      <c r="GQ262" s="844">
        <v>94000</v>
      </c>
      <c r="GR262" s="844">
        <v>95400</v>
      </c>
      <c r="GS262" s="844">
        <v>96800</v>
      </c>
      <c r="GT262" s="844">
        <v>98200</v>
      </c>
      <c r="GU262" s="844">
        <v>99600</v>
      </c>
      <c r="GV262" s="844">
        <v>101000</v>
      </c>
      <c r="GW262" s="844">
        <v>102400</v>
      </c>
      <c r="GX262" s="844">
        <v>103800</v>
      </c>
      <c r="GY262" s="844">
        <v>105200</v>
      </c>
      <c r="GZ262" s="844">
        <v>106600</v>
      </c>
      <c r="HA262" s="844">
        <v>108000</v>
      </c>
      <c r="HB262" s="844">
        <v>109400</v>
      </c>
      <c r="HC262" s="844">
        <v>110800</v>
      </c>
      <c r="HD262" s="844">
        <v>112200</v>
      </c>
      <c r="HE262" s="844">
        <v>113608</v>
      </c>
      <c r="HF262" s="844">
        <v>115093</v>
      </c>
      <c r="HG262" s="844">
        <v>116574</v>
      </c>
      <c r="HH262" s="844">
        <v>118026</v>
      </c>
      <c r="HI262" s="844">
        <v>119200</v>
      </c>
      <c r="HJ262" s="844">
        <v>0</v>
      </c>
      <c r="HK262" s="844">
        <v>0</v>
      </c>
      <c r="HL262" s="844">
        <v>0</v>
      </c>
      <c r="HM262" s="844">
        <v>0</v>
      </c>
      <c r="HN262" s="844">
        <v>0</v>
      </c>
      <c r="HO262" s="844">
        <v>0</v>
      </c>
      <c r="HP262" s="844">
        <v>0</v>
      </c>
      <c r="HQ262" s="844">
        <v>0</v>
      </c>
      <c r="HR262" s="844">
        <v>0</v>
      </c>
      <c r="HS262" s="844">
        <v>0</v>
      </c>
      <c r="HT262" s="844">
        <v>0</v>
      </c>
      <c r="HU262" s="844">
        <v>0</v>
      </c>
      <c r="HV262" s="844">
        <v>0</v>
      </c>
      <c r="HW262" s="844">
        <v>0</v>
      </c>
      <c r="HX262" s="844">
        <v>0</v>
      </c>
      <c r="HY262" s="844">
        <v>0</v>
      </c>
      <c r="HZ262" s="844">
        <v>0</v>
      </c>
      <c r="IA262" s="844">
        <v>0</v>
      </c>
      <c r="IB262" s="844">
        <v>0</v>
      </c>
      <c r="IC262" s="844">
        <v>0</v>
      </c>
      <c r="ID262" s="844">
        <v>0</v>
      </c>
      <c r="IE262" s="844">
        <v>0</v>
      </c>
      <c r="IF262" s="844">
        <v>0</v>
      </c>
      <c r="IG262" s="844">
        <v>0</v>
      </c>
      <c r="IH262" s="844">
        <v>0</v>
      </c>
      <c r="II262" s="844">
        <v>0</v>
      </c>
      <c r="IJ262" s="844">
        <v>0</v>
      </c>
    </row>
    <row r="263" spans="9:244" hidden="1">
      <c r="I263" s="156"/>
      <c r="L263" s="846" t="s">
        <v>1060</v>
      </c>
      <c r="M263" s="846" t="s">
        <v>1382</v>
      </c>
      <c r="N263" s="846" t="s">
        <v>97</v>
      </c>
      <c r="O263" s="847">
        <v>28</v>
      </c>
      <c r="P263" s="780" t="str">
        <f t="shared" si="8"/>
        <v>IWT060228</v>
      </c>
      <c r="Q263" s="847">
        <v>0</v>
      </c>
      <c r="R263" s="847">
        <v>0</v>
      </c>
      <c r="S263" s="847">
        <v>0</v>
      </c>
      <c r="T263" s="847">
        <v>0</v>
      </c>
      <c r="U263" s="847">
        <v>0</v>
      </c>
      <c r="V263" s="847">
        <v>0</v>
      </c>
      <c r="W263" s="847">
        <v>0</v>
      </c>
      <c r="X263" s="847">
        <v>0</v>
      </c>
      <c r="Y263" s="847">
        <v>0</v>
      </c>
      <c r="Z263" s="847">
        <v>0</v>
      </c>
      <c r="AA263" s="847">
        <v>0</v>
      </c>
      <c r="AB263" s="847">
        <v>0</v>
      </c>
      <c r="AC263" s="847">
        <v>0</v>
      </c>
      <c r="AD263" s="847">
        <v>0</v>
      </c>
      <c r="AE263" s="847">
        <v>0</v>
      </c>
      <c r="AF263" s="847">
        <v>0</v>
      </c>
      <c r="AG263" s="847">
        <v>0</v>
      </c>
      <c r="AH263" s="847">
        <v>0</v>
      </c>
      <c r="AI263" s="847">
        <v>0</v>
      </c>
      <c r="AJ263" s="847">
        <v>0</v>
      </c>
      <c r="AK263" s="847">
        <v>0</v>
      </c>
      <c r="AL263" s="847">
        <v>0</v>
      </c>
      <c r="AM263" s="847">
        <v>0</v>
      </c>
      <c r="AN263" s="847">
        <v>0</v>
      </c>
      <c r="AO263" s="847">
        <v>0</v>
      </c>
      <c r="AP263" s="847">
        <v>0</v>
      </c>
      <c r="AQ263" s="847">
        <v>0</v>
      </c>
      <c r="AR263" s="847">
        <v>0</v>
      </c>
      <c r="AS263" s="847">
        <v>0</v>
      </c>
      <c r="AT263" s="847">
        <v>0</v>
      </c>
      <c r="AU263" s="847">
        <v>0</v>
      </c>
      <c r="AV263" s="847">
        <v>0</v>
      </c>
      <c r="AW263" s="847">
        <v>0</v>
      </c>
      <c r="AX263" s="847">
        <v>0</v>
      </c>
      <c r="AY263" s="847">
        <v>0</v>
      </c>
      <c r="AZ263" s="847">
        <v>0</v>
      </c>
      <c r="BA263" s="847">
        <v>0</v>
      </c>
      <c r="BB263" s="847">
        <v>0</v>
      </c>
      <c r="BC263" s="847">
        <v>0</v>
      </c>
      <c r="BD263" s="847">
        <v>0</v>
      </c>
      <c r="BE263" s="847">
        <v>0</v>
      </c>
      <c r="BF263" s="847">
        <v>0</v>
      </c>
      <c r="BG263" s="847">
        <v>0</v>
      </c>
      <c r="BH263" s="847">
        <v>0</v>
      </c>
      <c r="BI263" s="847">
        <v>0</v>
      </c>
      <c r="BJ263" s="847">
        <v>0</v>
      </c>
      <c r="BK263" s="847">
        <v>0</v>
      </c>
      <c r="BL263" s="847">
        <v>0</v>
      </c>
      <c r="BM263" s="847">
        <v>0</v>
      </c>
      <c r="BN263" s="847">
        <v>0</v>
      </c>
      <c r="BO263" s="847">
        <v>0</v>
      </c>
      <c r="BP263" s="847">
        <v>0</v>
      </c>
      <c r="BQ263" s="847">
        <v>0</v>
      </c>
      <c r="BR263" s="847">
        <v>0</v>
      </c>
      <c r="BS263" s="847">
        <v>0</v>
      </c>
      <c r="BT263" s="847">
        <v>0</v>
      </c>
      <c r="BU263" s="847">
        <v>0</v>
      </c>
      <c r="BV263" s="847">
        <v>0</v>
      </c>
      <c r="BW263" s="847">
        <v>0</v>
      </c>
      <c r="BX263" s="847">
        <v>0</v>
      </c>
      <c r="BY263" s="847">
        <v>0</v>
      </c>
      <c r="BZ263" s="847">
        <v>0</v>
      </c>
      <c r="CA263" s="847">
        <v>0</v>
      </c>
      <c r="CB263" s="847">
        <v>0</v>
      </c>
      <c r="CC263" s="847">
        <v>0</v>
      </c>
      <c r="CD263" s="847">
        <v>0</v>
      </c>
      <c r="CE263" s="847">
        <v>0</v>
      </c>
      <c r="CF263" s="847">
        <v>0</v>
      </c>
      <c r="CG263" s="847">
        <v>0</v>
      </c>
      <c r="CH263" s="847">
        <v>0</v>
      </c>
      <c r="CI263" s="847">
        <v>0</v>
      </c>
      <c r="CJ263" s="847">
        <v>0</v>
      </c>
      <c r="CK263" s="847">
        <v>0</v>
      </c>
      <c r="CL263" s="847">
        <v>0</v>
      </c>
      <c r="CM263" s="847">
        <v>0</v>
      </c>
      <c r="CN263" s="847">
        <v>0</v>
      </c>
      <c r="CO263" s="847">
        <v>0</v>
      </c>
      <c r="CP263" s="847">
        <v>0</v>
      </c>
      <c r="CQ263" s="847">
        <v>0</v>
      </c>
      <c r="CR263" s="847">
        <v>0</v>
      </c>
      <c r="CS263" s="847">
        <v>0</v>
      </c>
      <c r="CT263" s="847">
        <v>0</v>
      </c>
      <c r="CU263" s="847">
        <v>117800</v>
      </c>
      <c r="CV263" s="847">
        <v>0</v>
      </c>
      <c r="CW263" s="847">
        <v>0</v>
      </c>
      <c r="CX263" s="847">
        <v>0</v>
      </c>
      <c r="CY263" s="847">
        <v>0</v>
      </c>
      <c r="CZ263" s="847">
        <v>0</v>
      </c>
      <c r="DA263" s="847">
        <v>0</v>
      </c>
      <c r="DB263" s="847">
        <v>0</v>
      </c>
      <c r="DC263" s="847">
        <v>0</v>
      </c>
      <c r="DD263" s="847">
        <v>0</v>
      </c>
      <c r="DE263" s="847">
        <v>0</v>
      </c>
      <c r="DF263" s="847">
        <v>0</v>
      </c>
      <c r="DG263" s="847">
        <v>0</v>
      </c>
      <c r="DH263" s="847">
        <v>0</v>
      </c>
      <c r="DI263" s="847">
        <v>0</v>
      </c>
      <c r="DJ263" s="847">
        <v>0</v>
      </c>
      <c r="DK263" s="847">
        <v>0</v>
      </c>
      <c r="DL263" s="847">
        <v>0</v>
      </c>
      <c r="DM263" s="847">
        <v>0</v>
      </c>
      <c r="DN263" s="847">
        <v>0</v>
      </c>
      <c r="DO263" s="847">
        <v>0</v>
      </c>
      <c r="DP263" s="847">
        <v>0</v>
      </c>
      <c r="DQ263" s="847">
        <v>0</v>
      </c>
      <c r="DR263" s="847">
        <v>0</v>
      </c>
      <c r="DS263" s="847">
        <v>0</v>
      </c>
      <c r="DT263" s="847">
        <v>0</v>
      </c>
      <c r="DU263" s="847">
        <v>0</v>
      </c>
      <c r="DV263" s="847">
        <v>0</v>
      </c>
      <c r="DW263" s="847">
        <v>0</v>
      </c>
      <c r="DY263" s="843" t="s">
        <v>1060</v>
      </c>
      <c r="DZ263" s="843" t="s">
        <v>1382</v>
      </c>
      <c r="EA263" s="843" t="s">
        <v>97</v>
      </c>
      <c r="EB263" s="844">
        <v>28</v>
      </c>
      <c r="EC263" s="780" t="str">
        <f t="shared" si="9"/>
        <v>IWT060228</v>
      </c>
      <c r="ED263" s="844">
        <v>5227.8999999999996</v>
      </c>
      <c r="EE263" s="844">
        <v>10455.799999999999</v>
      </c>
      <c r="EF263" s="844">
        <v>15683.8</v>
      </c>
      <c r="EG263" s="844">
        <v>20911.7</v>
      </c>
      <c r="EH263" s="844">
        <v>26139.599999999999</v>
      </c>
      <c r="EI263" s="844">
        <v>31367.5</v>
      </c>
      <c r="EJ263" s="844">
        <v>31367.5</v>
      </c>
      <c r="EK263" s="844">
        <v>31367.5</v>
      </c>
      <c r="EL263" s="844">
        <v>31367.5</v>
      </c>
      <c r="EM263" s="844">
        <v>31920</v>
      </c>
      <c r="EN263" s="844">
        <v>32559</v>
      </c>
      <c r="EO263" s="844">
        <v>33210</v>
      </c>
      <c r="EP263" s="844">
        <v>33874</v>
      </c>
      <c r="EQ263" s="844">
        <v>34552</v>
      </c>
      <c r="ER263" s="844">
        <v>35243</v>
      </c>
      <c r="ES263" s="844">
        <v>35947</v>
      </c>
      <c r="ET263" s="844">
        <v>36666</v>
      </c>
      <c r="EU263" s="844">
        <v>37400</v>
      </c>
      <c r="EV263" s="844">
        <v>38148</v>
      </c>
      <c r="EW263" s="844">
        <v>38911</v>
      </c>
      <c r="EX263" s="844">
        <v>39689</v>
      </c>
      <c r="EY263" s="844">
        <v>40483</v>
      </c>
      <c r="EZ263" s="844">
        <v>41292</v>
      </c>
      <c r="FA263" s="844">
        <v>42118</v>
      </c>
      <c r="FB263" s="844">
        <v>42961</v>
      </c>
      <c r="FC263" s="844">
        <v>43820</v>
      </c>
      <c r="FD263" s="844">
        <v>44696</v>
      </c>
      <c r="FE263" s="844">
        <v>45590</v>
      </c>
      <c r="FF263" s="844">
        <v>46502</v>
      </c>
      <c r="FG263" s="844">
        <v>47432</v>
      </c>
      <c r="FH263" s="844">
        <v>48380</v>
      </c>
      <c r="FI263" s="844">
        <v>49348</v>
      </c>
      <c r="FJ263" s="844">
        <v>50335</v>
      </c>
      <c r="FK263" s="844">
        <v>51342</v>
      </c>
      <c r="FL263" s="844">
        <v>52369</v>
      </c>
      <c r="FM263" s="844">
        <v>53416</v>
      </c>
      <c r="FN263" s="844">
        <v>54484</v>
      </c>
      <c r="FO263" s="844">
        <v>55574</v>
      </c>
      <c r="FP263" s="844">
        <v>56685</v>
      </c>
      <c r="FQ263" s="844">
        <v>57815</v>
      </c>
      <c r="FR263" s="844">
        <v>59000</v>
      </c>
      <c r="FS263" s="844">
        <v>60400</v>
      </c>
      <c r="FT263" s="844">
        <v>61800</v>
      </c>
      <c r="FU263" s="844">
        <v>63200</v>
      </c>
      <c r="FV263" s="844">
        <v>64600</v>
      </c>
      <c r="FW263" s="844">
        <v>66000</v>
      </c>
      <c r="FX263" s="844">
        <v>67400</v>
      </c>
      <c r="FY263" s="844">
        <v>68800</v>
      </c>
      <c r="FZ263" s="844">
        <v>70200</v>
      </c>
      <c r="GA263" s="844">
        <v>71600</v>
      </c>
      <c r="GB263" s="844">
        <v>73000</v>
      </c>
      <c r="GC263" s="844">
        <v>74400</v>
      </c>
      <c r="GD263" s="844">
        <v>75800</v>
      </c>
      <c r="GE263" s="844">
        <v>77200</v>
      </c>
      <c r="GF263" s="844">
        <v>78600</v>
      </c>
      <c r="GG263" s="844">
        <v>80000</v>
      </c>
      <c r="GH263" s="844">
        <v>81400</v>
      </c>
      <c r="GI263" s="844">
        <v>82800</v>
      </c>
      <c r="GJ263" s="844">
        <v>84200</v>
      </c>
      <c r="GK263" s="844">
        <v>85600</v>
      </c>
      <c r="GL263" s="844">
        <v>87000</v>
      </c>
      <c r="GM263" s="844">
        <v>88400</v>
      </c>
      <c r="GN263" s="844">
        <v>89800</v>
      </c>
      <c r="GO263" s="844">
        <v>91200</v>
      </c>
      <c r="GP263" s="844">
        <v>92600</v>
      </c>
      <c r="GQ263" s="844">
        <v>94000</v>
      </c>
      <c r="GR263" s="844">
        <v>95400</v>
      </c>
      <c r="GS263" s="844">
        <v>96800</v>
      </c>
      <c r="GT263" s="844">
        <v>98200</v>
      </c>
      <c r="GU263" s="844">
        <v>99600</v>
      </c>
      <c r="GV263" s="844">
        <v>101000</v>
      </c>
      <c r="GW263" s="844">
        <v>102400</v>
      </c>
      <c r="GX263" s="844">
        <v>103800</v>
      </c>
      <c r="GY263" s="844">
        <v>105200</v>
      </c>
      <c r="GZ263" s="844">
        <v>106600</v>
      </c>
      <c r="HA263" s="844">
        <v>108000</v>
      </c>
      <c r="HB263" s="844">
        <v>109400</v>
      </c>
      <c r="HC263" s="844">
        <v>110800</v>
      </c>
      <c r="HD263" s="844">
        <v>112230</v>
      </c>
      <c r="HE263" s="844">
        <v>113712</v>
      </c>
      <c r="HF263" s="844">
        <v>115189</v>
      </c>
      <c r="HG263" s="844">
        <v>116639</v>
      </c>
      <c r="HH263" s="844">
        <v>117800</v>
      </c>
      <c r="HI263" s="844">
        <v>0</v>
      </c>
      <c r="HJ263" s="844">
        <v>0</v>
      </c>
      <c r="HK263" s="844">
        <v>0</v>
      </c>
      <c r="HL263" s="844">
        <v>0</v>
      </c>
      <c r="HM263" s="844">
        <v>0</v>
      </c>
      <c r="HN263" s="844">
        <v>0</v>
      </c>
      <c r="HO263" s="844">
        <v>0</v>
      </c>
      <c r="HP263" s="844">
        <v>0</v>
      </c>
      <c r="HQ263" s="844">
        <v>0</v>
      </c>
      <c r="HR263" s="844">
        <v>0</v>
      </c>
      <c r="HS263" s="844">
        <v>0</v>
      </c>
      <c r="HT263" s="844">
        <v>0</v>
      </c>
      <c r="HU263" s="844">
        <v>0</v>
      </c>
      <c r="HV263" s="844">
        <v>0</v>
      </c>
      <c r="HW263" s="844">
        <v>0</v>
      </c>
      <c r="HX263" s="844">
        <v>0</v>
      </c>
      <c r="HY263" s="844">
        <v>0</v>
      </c>
      <c r="HZ263" s="844">
        <v>0</v>
      </c>
      <c r="IA263" s="844">
        <v>0</v>
      </c>
      <c r="IB263" s="844">
        <v>0</v>
      </c>
      <c r="IC263" s="844">
        <v>0</v>
      </c>
      <c r="ID263" s="844">
        <v>0</v>
      </c>
      <c r="IE263" s="844">
        <v>0</v>
      </c>
      <c r="IF263" s="844">
        <v>0</v>
      </c>
      <c r="IG263" s="844">
        <v>0</v>
      </c>
      <c r="IH263" s="844">
        <v>0</v>
      </c>
      <c r="II263" s="844">
        <v>0</v>
      </c>
      <c r="IJ263" s="844">
        <v>0</v>
      </c>
    </row>
    <row r="264" spans="9:244" hidden="1">
      <c r="I264" s="156"/>
      <c r="L264" s="846" t="s">
        <v>1060</v>
      </c>
      <c r="M264" s="846" t="s">
        <v>1382</v>
      </c>
      <c r="N264" s="846" t="s">
        <v>97</v>
      </c>
      <c r="O264" s="847">
        <v>29</v>
      </c>
      <c r="P264" s="780" t="str">
        <f t="shared" si="8"/>
        <v>IWT060229</v>
      </c>
      <c r="Q264" s="847">
        <v>0</v>
      </c>
      <c r="R264" s="847">
        <v>0</v>
      </c>
      <c r="S264" s="847">
        <v>0</v>
      </c>
      <c r="T264" s="847">
        <v>0</v>
      </c>
      <c r="U264" s="847">
        <v>0</v>
      </c>
      <c r="V264" s="847">
        <v>0</v>
      </c>
      <c r="W264" s="847">
        <v>0</v>
      </c>
      <c r="X264" s="847">
        <v>0</v>
      </c>
      <c r="Y264" s="847">
        <v>0</v>
      </c>
      <c r="Z264" s="847">
        <v>0</v>
      </c>
      <c r="AA264" s="847">
        <v>0</v>
      </c>
      <c r="AB264" s="847">
        <v>0</v>
      </c>
      <c r="AC264" s="847">
        <v>0</v>
      </c>
      <c r="AD264" s="847">
        <v>0</v>
      </c>
      <c r="AE264" s="847">
        <v>0</v>
      </c>
      <c r="AF264" s="847">
        <v>0</v>
      </c>
      <c r="AG264" s="847">
        <v>0</v>
      </c>
      <c r="AH264" s="847">
        <v>0</v>
      </c>
      <c r="AI264" s="847">
        <v>0</v>
      </c>
      <c r="AJ264" s="847">
        <v>0</v>
      </c>
      <c r="AK264" s="847">
        <v>0</v>
      </c>
      <c r="AL264" s="847">
        <v>0</v>
      </c>
      <c r="AM264" s="847">
        <v>0</v>
      </c>
      <c r="AN264" s="847">
        <v>0</v>
      </c>
      <c r="AO264" s="847">
        <v>0</v>
      </c>
      <c r="AP264" s="847">
        <v>0</v>
      </c>
      <c r="AQ264" s="847">
        <v>0</v>
      </c>
      <c r="AR264" s="847">
        <v>0</v>
      </c>
      <c r="AS264" s="847">
        <v>0</v>
      </c>
      <c r="AT264" s="847">
        <v>0</v>
      </c>
      <c r="AU264" s="847">
        <v>0</v>
      </c>
      <c r="AV264" s="847">
        <v>0</v>
      </c>
      <c r="AW264" s="847">
        <v>0</v>
      </c>
      <c r="AX264" s="847">
        <v>0</v>
      </c>
      <c r="AY264" s="847">
        <v>0</v>
      </c>
      <c r="AZ264" s="847">
        <v>0</v>
      </c>
      <c r="BA264" s="847">
        <v>0</v>
      </c>
      <c r="BB264" s="847">
        <v>0</v>
      </c>
      <c r="BC264" s="847">
        <v>0</v>
      </c>
      <c r="BD264" s="847">
        <v>0</v>
      </c>
      <c r="BE264" s="847">
        <v>0</v>
      </c>
      <c r="BF264" s="847">
        <v>0</v>
      </c>
      <c r="BG264" s="847">
        <v>0</v>
      </c>
      <c r="BH264" s="847">
        <v>0</v>
      </c>
      <c r="BI264" s="847">
        <v>0</v>
      </c>
      <c r="BJ264" s="847">
        <v>0</v>
      </c>
      <c r="BK264" s="847">
        <v>0</v>
      </c>
      <c r="BL264" s="847">
        <v>0</v>
      </c>
      <c r="BM264" s="847">
        <v>0</v>
      </c>
      <c r="BN264" s="847">
        <v>0</v>
      </c>
      <c r="BO264" s="847">
        <v>0</v>
      </c>
      <c r="BP264" s="847">
        <v>0</v>
      </c>
      <c r="BQ264" s="847">
        <v>0</v>
      </c>
      <c r="BR264" s="847">
        <v>0</v>
      </c>
      <c r="BS264" s="847">
        <v>0</v>
      </c>
      <c r="BT264" s="847">
        <v>0</v>
      </c>
      <c r="BU264" s="847">
        <v>0</v>
      </c>
      <c r="BV264" s="847">
        <v>0</v>
      </c>
      <c r="BW264" s="847">
        <v>0</v>
      </c>
      <c r="BX264" s="847">
        <v>0</v>
      </c>
      <c r="BY264" s="847">
        <v>0</v>
      </c>
      <c r="BZ264" s="847">
        <v>0</v>
      </c>
      <c r="CA264" s="847">
        <v>0</v>
      </c>
      <c r="CB264" s="847">
        <v>0</v>
      </c>
      <c r="CC264" s="847">
        <v>0</v>
      </c>
      <c r="CD264" s="847">
        <v>0</v>
      </c>
      <c r="CE264" s="847">
        <v>0</v>
      </c>
      <c r="CF264" s="847">
        <v>0</v>
      </c>
      <c r="CG264" s="847">
        <v>0</v>
      </c>
      <c r="CH264" s="847">
        <v>0</v>
      </c>
      <c r="CI264" s="847">
        <v>0</v>
      </c>
      <c r="CJ264" s="847">
        <v>0</v>
      </c>
      <c r="CK264" s="847">
        <v>0</v>
      </c>
      <c r="CL264" s="847">
        <v>0</v>
      </c>
      <c r="CM264" s="847">
        <v>0</v>
      </c>
      <c r="CN264" s="847">
        <v>0</v>
      </c>
      <c r="CO264" s="847">
        <v>0</v>
      </c>
      <c r="CP264" s="847">
        <v>0</v>
      </c>
      <c r="CQ264" s="847">
        <v>0</v>
      </c>
      <c r="CR264" s="847">
        <v>0</v>
      </c>
      <c r="CS264" s="847">
        <v>0</v>
      </c>
      <c r="CT264" s="847">
        <v>116400</v>
      </c>
      <c r="CU264" s="847">
        <v>0</v>
      </c>
      <c r="CV264" s="847">
        <v>0</v>
      </c>
      <c r="CW264" s="847">
        <v>0</v>
      </c>
      <c r="CX264" s="847">
        <v>0</v>
      </c>
      <c r="CY264" s="847">
        <v>0</v>
      </c>
      <c r="CZ264" s="847">
        <v>0</v>
      </c>
      <c r="DA264" s="847">
        <v>0</v>
      </c>
      <c r="DB264" s="847">
        <v>0</v>
      </c>
      <c r="DC264" s="847">
        <v>0</v>
      </c>
      <c r="DD264" s="847">
        <v>0</v>
      </c>
      <c r="DE264" s="847">
        <v>0</v>
      </c>
      <c r="DF264" s="847">
        <v>0</v>
      </c>
      <c r="DG264" s="847">
        <v>0</v>
      </c>
      <c r="DH264" s="847">
        <v>0</v>
      </c>
      <c r="DI264" s="847">
        <v>0</v>
      </c>
      <c r="DJ264" s="847">
        <v>0</v>
      </c>
      <c r="DK264" s="847">
        <v>0</v>
      </c>
      <c r="DL264" s="847">
        <v>0</v>
      </c>
      <c r="DM264" s="847">
        <v>0</v>
      </c>
      <c r="DN264" s="847">
        <v>0</v>
      </c>
      <c r="DO264" s="847">
        <v>0</v>
      </c>
      <c r="DP264" s="847">
        <v>0</v>
      </c>
      <c r="DQ264" s="847">
        <v>0</v>
      </c>
      <c r="DR264" s="847">
        <v>0</v>
      </c>
      <c r="DS264" s="847">
        <v>0</v>
      </c>
      <c r="DT264" s="847">
        <v>0</v>
      </c>
      <c r="DU264" s="847">
        <v>0</v>
      </c>
      <c r="DV264" s="847">
        <v>0</v>
      </c>
      <c r="DW264" s="847">
        <v>0</v>
      </c>
      <c r="DY264" s="843" t="s">
        <v>1060</v>
      </c>
      <c r="DZ264" s="843" t="s">
        <v>1382</v>
      </c>
      <c r="EA264" s="843" t="s">
        <v>97</v>
      </c>
      <c r="EB264" s="844">
        <v>29</v>
      </c>
      <c r="EC264" s="780" t="str">
        <f t="shared" si="9"/>
        <v>IWT060229</v>
      </c>
      <c r="ED264" s="844">
        <v>5241.7</v>
      </c>
      <c r="EE264" s="844">
        <v>10483.4</v>
      </c>
      <c r="EF264" s="844">
        <v>15725.1</v>
      </c>
      <c r="EG264" s="844">
        <v>20966.8</v>
      </c>
      <c r="EH264" s="844">
        <v>26208.5</v>
      </c>
      <c r="EI264" s="844">
        <v>31450.2</v>
      </c>
      <c r="EJ264" s="844">
        <v>31450.2</v>
      </c>
      <c r="EK264" s="844">
        <v>31450.2</v>
      </c>
      <c r="EL264" s="844">
        <v>31450.2</v>
      </c>
      <c r="EM264" s="844">
        <v>32002</v>
      </c>
      <c r="EN264" s="844">
        <v>32642</v>
      </c>
      <c r="EO264" s="844">
        <v>33295</v>
      </c>
      <c r="EP264" s="844">
        <v>33961</v>
      </c>
      <c r="EQ264" s="844">
        <v>34640</v>
      </c>
      <c r="ER264" s="844">
        <v>35333</v>
      </c>
      <c r="ES264" s="844">
        <v>36040</v>
      </c>
      <c r="ET264" s="844">
        <v>36761</v>
      </c>
      <c r="EU264" s="844">
        <v>37496</v>
      </c>
      <c r="EV264" s="844">
        <v>38246</v>
      </c>
      <c r="EW264" s="844">
        <v>39011</v>
      </c>
      <c r="EX264" s="844">
        <v>39791</v>
      </c>
      <c r="EY264" s="844">
        <v>40587</v>
      </c>
      <c r="EZ264" s="844">
        <v>41398</v>
      </c>
      <c r="FA264" s="844">
        <v>42226</v>
      </c>
      <c r="FB264" s="844">
        <v>43071</v>
      </c>
      <c r="FC264" s="844">
        <v>43932</v>
      </c>
      <c r="FD264" s="844">
        <v>44811</v>
      </c>
      <c r="FE264" s="844">
        <v>45707</v>
      </c>
      <c r="FF264" s="844">
        <v>46621</v>
      </c>
      <c r="FG264" s="844">
        <v>47554</v>
      </c>
      <c r="FH264" s="844">
        <v>48505</v>
      </c>
      <c r="FI264" s="844">
        <v>49475</v>
      </c>
      <c r="FJ264" s="844">
        <v>50464</v>
      </c>
      <c r="FK264" s="844">
        <v>51474</v>
      </c>
      <c r="FL264" s="844">
        <v>52503</v>
      </c>
      <c r="FM264" s="844">
        <v>53553</v>
      </c>
      <c r="FN264" s="844">
        <v>54624</v>
      </c>
      <c r="FO264" s="844">
        <v>55717</v>
      </c>
      <c r="FP264" s="844">
        <v>56831</v>
      </c>
      <c r="FQ264" s="844">
        <v>57965</v>
      </c>
      <c r="FR264" s="844">
        <v>59119</v>
      </c>
      <c r="FS264" s="844">
        <v>60400</v>
      </c>
      <c r="FT264" s="844">
        <v>61800</v>
      </c>
      <c r="FU264" s="844">
        <v>63200</v>
      </c>
      <c r="FV264" s="844">
        <v>64600</v>
      </c>
      <c r="FW264" s="844">
        <v>66000</v>
      </c>
      <c r="FX264" s="844">
        <v>67400</v>
      </c>
      <c r="FY264" s="844">
        <v>68800</v>
      </c>
      <c r="FZ264" s="844">
        <v>70200</v>
      </c>
      <c r="GA264" s="844">
        <v>71600</v>
      </c>
      <c r="GB264" s="844">
        <v>73000</v>
      </c>
      <c r="GC264" s="844">
        <v>74400</v>
      </c>
      <c r="GD264" s="844">
        <v>75800</v>
      </c>
      <c r="GE264" s="844">
        <v>77200</v>
      </c>
      <c r="GF264" s="844">
        <v>78600</v>
      </c>
      <c r="GG264" s="844">
        <v>80000</v>
      </c>
      <c r="GH264" s="844">
        <v>81400</v>
      </c>
      <c r="GI264" s="844">
        <v>82800</v>
      </c>
      <c r="GJ264" s="844">
        <v>84200</v>
      </c>
      <c r="GK264" s="844">
        <v>85600</v>
      </c>
      <c r="GL264" s="844">
        <v>87000</v>
      </c>
      <c r="GM264" s="844">
        <v>88400</v>
      </c>
      <c r="GN264" s="844">
        <v>89800</v>
      </c>
      <c r="GO264" s="844">
        <v>91200</v>
      </c>
      <c r="GP264" s="844">
        <v>92600</v>
      </c>
      <c r="GQ264" s="844">
        <v>94000</v>
      </c>
      <c r="GR264" s="844">
        <v>95400</v>
      </c>
      <c r="GS264" s="844">
        <v>96800</v>
      </c>
      <c r="GT264" s="844">
        <v>98200</v>
      </c>
      <c r="GU264" s="844">
        <v>99600</v>
      </c>
      <c r="GV264" s="844">
        <v>101000</v>
      </c>
      <c r="GW264" s="844">
        <v>102400</v>
      </c>
      <c r="GX264" s="844">
        <v>103800</v>
      </c>
      <c r="GY264" s="844">
        <v>105200</v>
      </c>
      <c r="GZ264" s="844">
        <v>106600</v>
      </c>
      <c r="HA264" s="844">
        <v>108000</v>
      </c>
      <c r="HB264" s="844">
        <v>109400</v>
      </c>
      <c r="HC264" s="844">
        <v>110852</v>
      </c>
      <c r="HD264" s="844">
        <v>112330</v>
      </c>
      <c r="HE264" s="844">
        <v>113805</v>
      </c>
      <c r="HF264" s="844">
        <v>115253</v>
      </c>
      <c r="HG264" s="844">
        <v>116400</v>
      </c>
      <c r="HH264" s="844">
        <v>0</v>
      </c>
      <c r="HI264" s="844">
        <v>0</v>
      </c>
      <c r="HJ264" s="844">
        <v>0</v>
      </c>
      <c r="HK264" s="844">
        <v>0</v>
      </c>
      <c r="HL264" s="844">
        <v>0</v>
      </c>
      <c r="HM264" s="844">
        <v>0</v>
      </c>
      <c r="HN264" s="844">
        <v>0</v>
      </c>
      <c r="HO264" s="844">
        <v>0</v>
      </c>
      <c r="HP264" s="844">
        <v>0</v>
      </c>
      <c r="HQ264" s="844">
        <v>0</v>
      </c>
      <c r="HR264" s="844">
        <v>0</v>
      </c>
      <c r="HS264" s="844">
        <v>0</v>
      </c>
      <c r="HT264" s="844">
        <v>0</v>
      </c>
      <c r="HU264" s="844">
        <v>0</v>
      </c>
      <c r="HV264" s="844">
        <v>0</v>
      </c>
      <c r="HW264" s="844">
        <v>0</v>
      </c>
      <c r="HX264" s="844">
        <v>0</v>
      </c>
      <c r="HY264" s="844">
        <v>0</v>
      </c>
      <c r="HZ264" s="844">
        <v>0</v>
      </c>
      <c r="IA264" s="844">
        <v>0</v>
      </c>
      <c r="IB264" s="844">
        <v>0</v>
      </c>
      <c r="IC264" s="844">
        <v>0</v>
      </c>
      <c r="ID264" s="844">
        <v>0</v>
      </c>
      <c r="IE264" s="844">
        <v>0</v>
      </c>
      <c r="IF264" s="844">
        <v>0</v>
      </c>
      <c r="IG264" s="844">
        <v>0</v>
      </c>
      <c r="IH264" s="844">
        <v>0</v>
      </c>
      <c r="II264" s="844">
        <v>0</v>
      </c>
      <c r="IJ264" s="844">
        <v>0</v>
      </c>
    </row>
    <row r="265" spans="9:244" hidden="1">
      <c r="I265" s="156"/>
      <c r="L265" s="846" t="s">
        <v>1060</v>
      </c>
      <c r="M265" s="846" t="s">
        <v>1382</v>
      </c>
      <c r="N265" s="846" t="s">
        <v>97</v>
      </c>
      <c r="O265" s="847">
        <v>30</v>
      </c>
      <c r="P265" s="780" t="str">
        <f t="shared" si="8"/>
        <v>IWT060230</v>
      </c>
      <c r="Q265" s="847">
        <v>0</v>
      </c>
      <c r="R265" s="847">
        <v>0</v>
      </c>
      <c r="S265" s="847">
        <v>0</v>
      </c>
      <c r="T265" s="847">
        <v>0</v>
      </c>
      <c r="U265" s="847">
        <v>0</v>
      </c>
      <c r="V265" s="847">
        <v>0</v>
      </c>
      <c r="W265" s="847">
        <v>0</v>
      </c>
      <c r="X265" s="847">
        <v>0</v>
      </c>
      <c r="Y265" s="847">
        <v>0</v>
      </c>
      <c r="Z265" s="847">
        <v>0</v>
      </c>
      <c r="AA265" s="847">
        <v>0</v>
      </c>
      <c r="AB265" s="847">
        <v>0</v>
      </c>
      <c r="AC265" s="847">
        <v>0</v>
      </c>
      <c r="AD265" s="847">
        <v>0</v>
      </c>
      <c r="AE265" s="847">
        <v>0</v>
      </c>
      <c r="AF265" s="847">
        <v>0</v>
      </c>
      <c r="AG265" s="847">
        <v>0</v>
      </c>
      <c r="AH265" s="847">
        <v>0</v>
      </c>
      <c r="AI265" s="847">
        <v>0</v>
      </c>
      <c r="AJ265" s="847">
        <v>0</v>
      </c>
      <c r="AK265" s="847">
        <v>0</v>
      </c>
      <c r="AL265" s="847">
        <v>0</v>
      </c>
      <c r="AM265" s="847">
        <v>0</v>
      </c>
      <c r="AN265" s="847">
        <v>0</v>
      </c>
      <c r="AO265" s="847">
        <v>0</v>
      </c>
      <c r="AP265" s="847">
        <v>0</v>
      </c>
      <c r="AQ265" s="847">
        <v>0</v>
      </c>
      <c r="AR265" s="847">
        <v>0</v>
      </c>
      <c r="AS265" s="847">
        <v>0</v>
      </c>
      <c r="AT265" s="847">
        <v>0</v>
      </c>
      <c r="AU265" s="847">
        <v>0</v>
      </c>
      <c r="AV265" s="847">
        <v>0</v>
      </c>
      <c r="AW265" s="847">
        <v>0</v>
      </c>
      <c r="AX265" s="847">
        <v>0</v>
      </c>
      <c r="AY265" s="847">
        <v>0</v>
      </c>
      <c r="AZ265" s="847">
        <v>0</v>
      </c>
      <c r="BA265" s="847">
        <v>0</v>
      </c>
      <c r="BB265" s="847">
        <v>0</v>
      </c>
      <c r="BC265" s="847">
        <v>0</v>
      </c>
      <c r="BD265" s="847">
        <v>0</v>
      </c>
      <c r="BE265" s="847">
        <v>0</v>
      </c>
      <c r="BF265" s="847">
        <v>0</v>
      </c>
      <c r="BG265" s="847">
        <v>0</v>
      </c>
      <c r="BH265" s="847">
        <v>0</v>
      </c>
      <c r="BI265" s="847">
        <v>0</v>
      </c>
      <c r="BJ265" s="847">
        <v>0</v>
      </c>
      <c r="BK265" s="847">
        <v>0</v>
      </c>
      <c r="BL265" s="847">
        <v>0</v>
      </c>
      <c r="BM265" s="847">
        <v>0</v>
      </c>
      <c r="BN265" s="847">
        <v>0</v>
      </c>
      <c r="BO265" s="847">
        <v>0</v>
      </c>
      <c r="BP265" s="847">
        <v>0</v>
      </c>
      <c r="BQ265" s="847">
        <v>0</v>
      </c>
      <c r="BR265" s="847">
        <v>0</v>
      </c>
      <c r="BS265" s="847">
        <v>0</v>
      </c>
      <c r="BT265" s="847">
        <v>0</v>
      </c>
      <c r="BU265" s="847">
        <v>0</v>
      </c>
      <c r="BV265" s="847">
        <v>0</v>
      </c>
      <c r="BW265" s="847">
        <v>0</v>
      </c>
      <c r="BX265" s="847">
        <v>0</v>
      </c>
      <c r="BY265" s="847">
        <v>0</v>
      </c>
      <c r="BZ265" s="847">
        <v>0</v>
      </c>
      <c r="CA265" s="847">
        <v>0</v>
      </c>
      <c r="CB265" s="847">
        <v>0</v>
      </c>
      <c r="CC265" s="847">
        <v>0</v>
      </c>
      <c r="CD265" s="847">
        <v>0</v>
      </c>
      <c r="CE265" s="847">
        <v>0</v>
      </c>
      <c r="CF265" s="847">
        <v>0</v>
      </c>
      <c r="CG265" s="847">
        <v>0</v>
      </c>
      <c r="CH265" s="847">
        <v>0</v>
      </c>
      <c r="CI265" s="847">
        <v>0</v>
      </c>
      <c r="CJ265" s="847">
        <v>0</v>
      </c>
      <c r="CK265" s="847">
        <v>0</v>
      </c>
      <c r="CL265" s="847">
        <v>0</v>
      </c>
      <c r="CM265" s="847">
        <v>0</v>
      </c>
      <c r="CN265" s="847">
        <v>0</v>
      </c>
      <c r="CO265" s="847">
        <v>0</v>
      </c>
      <c r="CP265" s="847">
        <v>0</v>
      </c>
      <c r="CQ265" s="847">
        <v>0</v>
      </c>
      <c r="CR265" s="847">
        <v>0</v>
      </c>
      <c r="CS265" s="847">
        <v>115000</v>
      </c>
      <c r="CT265" s="847">
        <v>0</v>
      </c>
      <c r="CU265" s="847">
        <v>0</v>
      </c>
      <c r="CV265" s="847">
        <v>0</v>
      </c>
      <c r="CW265" s="847">
        <v>0</v>
      </c>
      <c r="CX265" s="847">
        <v>0</v>
      </c>
      <c r="CY265" s="847">
        <v>0</v>
      </c>
      <c r="CZ265" s="847">
        <v>0</v>
      </c>
      <c r="DA265" s="847">
        <v>0</v>
      </c>
      <c r="DB265" s="847">
        <v>0</v>
      </c>
      <c r="DC265" s="847">
        <v>0</v>
      </c>
      <c r="DD265" s="847">
        <v>0</v>
      </c>
      <c r="DE265" s="847">
        <v>0</v>
      </c>
      <c r="DF265" s="847">
        <v>0</v>
      </c>
      <c r="DG265" s="847">
        <v>0</v>
      </c>
      <c r="DH265" s="847">
        <v>0</v>
      </c>
      <c r="DI265" s="847">
        <v>0</v>
      </c>
      <c r="DJ265" s="847">
        <v>0</v>
      </c>
      <c r="DK265" s="847">
        <v>0</v>
      </c>
      <c r="DL265" s="847">
        <v>0</v>
      </c>
      <c r="DM265" s="847">
        <v>0</v>
      </c>
      <c r="DN265" s="847">
        <v>0</v>
      </c>
      <c r="DO265" s="847">
        <v>0</v>
      </c>
      <c r="DP265" s="847">
        <v>0</v>
      </c>
      <c r="DQ265" s="847">
        <v>0</v>
      </c>
      <c r="DR265" s="847">
        <v>0</v>
      </c>
      <c r="DS265" s="847">
        <v>0</v>
      </c>
      <c r="DT265" s="847">
        <v>0</v>
      </c>
      <c r="DU265" s="847">
        <v>0</v>
      </c>
      <c r="DV265" s="847">
        <v>0</v>
      </c>
      <c r="DW265" s="847">
        <v>0</v>
      </c>
      <c r="DY265" s="843" t="s">
        <v>1060</v>
      </c>
      <c r="DZ265" s="843" t="s">
        <v>1382</v>
      </c>
      <c r="EA265" s="843" t="s">
        <v>97</v>
      </c>
      <c r="EB265" s="844">
        <v>30</v>
      </c>
      <c r="EC265" s="780" t="str">
        <f t="shared" si="9"/>
        <v>IWT060230</v>
      </c>
      <c r="ED265" s="844">
        <v>5254.4</v>
      </c>
      <c r="EE265" s="844">
        <v>10508.8</v>
      </c>
      <c r="EF265" s="844">
        <v>15763.3</v>
      </c>
      <c r="EG265" s="844">
        <v>21017.7</v>
      </c>
      <c r="EH265" s="844">
        <v>26272.1</v>
      </c>
      <c r="EI265" s="844">
        <v>31526.5</v>
      </c>
      <c r="EJ265" s="844">
        <v>31526.5</v>
      </c>
      <c r="EK265" s="844">
        <v>31526.5</v>
      </c>
      <c r="EL265" s="844">
        <v>31526.5</v>
      </c>
      <c r="EM265" s="844">
        <v>32079</v>
      </c>
      <c r="EN265" s="844">
        <v>32720</v>
      </c>
      <c r="EO265" s="844">
        <v>33375</v>
      </c>
      <c r="EP265" s="844">
        <v>34042</v>
      </c>
      <c r="EQ265" s="844">
        <v>34723</v>
      </c>
      <c r="ER265" s="844">
        <v>35417</v>
      </c>
      <c r="ES265" s="844">
        <v>36126</v>
      </c>
      <c r="ET265" s="844">
        <v>36848</v>
      </c>
      <c r="EU265" s="844">
        <v>37585</v>
      </c>
      <c r="EV265" s="844">
        <v>38337</v>
      </c>
      <c r="EW265" s="844">
        <v>39104</v>
      </c>
      <c r="EX265" s="844">
        <v>39886</v>
      </c>
      <c r="EY265" s="844">
        <v>40683</v>
      </c>
      <c r="EZ265" s="844">
        <v>41497</v>
      </c>
      <c r="FA265" s="844">
        <v>42327</v>
      </c>
      <c r="FB265" s="844">
        <v>43174</v>
      </c>
      <c r="FC265" s="844">
        <v>44037</v>
      </c>
      <c r="FD265" s="844">
        <v>44918</v>
      </c>
      <c r="FE265" s="844">
        <v>45816</v>
      </c>
      <c r="FF265" s="844">
        <v>46732</v>
      </c>
      <c r="FG265" s="844">
        <v>47667</v>
      </c>
      <c r="FH265" s="844">
        <v>48620</v>
      </c>
      <c r="FI265" s="844">
        <v>49593</v>
      </c>
      <c r="FJ265" s="844">
        <v>50585</v>
      </c>
      <c r="FK265" s="844">
        <v>51596</v>
      </c>
      <c r="FL265" s="844">
        <v>52628</v>
      </c>
      <c r="FM265" s="844">
        <v>53681</v>
      </c>
      <c r="FN265" s="844">
        <v>54754</v>
      </c>
      <c r="FO265" s="844">
        <v>55849</v>
      </c>
      <c r="FP265" s="844">
        <v>56966</v>
      </c>
      <c r="FQ265" s="844">
        <v>58105</v>
      </c>
      <c r="FR265" s="844">
        <v>59262</v>
      </c>
      <c r="FS265" s="844">
        <v>60439</v>
      </c>
      <c r="FT265" s="844">
        <v>61800</v>
      </c>
      <c r="FU265" s="844">
        <v>63200</v>
      </c>
      <c r="FV265" s="844">
        <v>64600</v>
      </c>
      <c r="FW265" s="844">
        <v>66000</v>
      </c>
      <c r="FX265" s="844">
        <v>67400</v>
      </c>
      <c r="FY265" s="844">
        <v>68800</v>
      </c>
      <c r="FZ265" s="844">
        <v>70200</v>
      </c>
      <c r="GA265" s="844">
        <v>71600</v>
      </c>
      <c r="GB265" s="844">
        <v>73000</v>
      </c>
      <c r="GC265" s="844">
        <v>74400</v>
      </c>
      <c r="GD265" s="844">
        <v>75800</v>
      </c>
      <c r="GE265" s="844">
        <v>77200</v>
      </c>
      <c r="GF265" s="844">
        <v>78600</v>
      </c>
      <c r="GG265" s="844">
        <v>80000</v>
      </c>
      <c r="GH265" s="844">
        <v>81400</v>
      </c>
      <c r="GI265" s="844">
        <v>82800</v>
      </c>
      <c r="GJ265" s="844">
        <v>84200</v>
      </c>
      <c r="GK265" s="844">
        <v>85600</v>
      </c>
      <c r="GL265" s="844">
        <v>87000</v>
      </c>
      <c r="GM265" s="844">
        <v>88400</v>
      </c>
      <c r="GN265" s="844">
        <v>89800</v>
      </c>
      <c r="GO265" s="844">
        <v>91200</v>
      </c>
      <c r="GP265" s="844">
        <v>92600</v>
      </c>
      <c r="GQ265" s="844">
        <v>94000</v>
      </c>
      <c r="GR265" s="844">
        <v>95400</v>
      </c>
      <c r="GS265" s="844">
        <v>96800</v>
      </c>
      <c r="GT265" s="844">
        <v>98200</v>
      </c>
      <c r="GU265" s="844">
        <v>99600</v>
      </c>
      <c r="GV265" s="844">
        <v>101000</v>
      </c>
      <c r="GW265" s="844">
        <v>102400</v>
      </c>
      <c r="GX265" s="844">
        <v>103800</v>
      </c>
      <c r="GY265" s="844">
        <v>105200</v>
      </c>
      <c r="GZ265" s="844">
        <v>106600</v>
      </c>
      <c r="HA265" s="844">
        <v>108000</v>
      </c>
      <c r="HB265" s="844">
        <v>109473</v>
      </c>
      <c r="HC265" s="844">
        <v>110949</v>
      </c>
      <c r="HD265" s="844">
        <v>112421</v>
      </c>
      <c r="HE265" s="844">
        <v>113867</v>
      </c>
      <c r="HF265" s="844">
        <v>115000</v>
      </c>
      <c r="HG265" s="844">
        <v>0</v>
      </c>
      <c r="HH265" s="844">
        <v>0</v>
      </c>
      <c r="HI265" s="844">
        <v>0</v>
      </c>
      <c r="HJ265" s="844">
        <v>0</v>
      </c>
      <c r="HK265" s="844">
        <v>0</v>
      </c>
      <c r="HL265" s="844">
        <v>0</v>
      </c>
      <c r="HM265" s="844">
        <v>0</v>
      </c>
      <c r="HN265" s="844">
        <v>0</v>
      </c>
      <c r="HO265" s="844">
        <v>0</v>
      </c>
      <c r="HP265" s="844">
        <v>0</v>
      </c>
      <c r="HQ265" s="844">
        <v>0</v>
      </c>
      <c r="HR265" s="844">
        <v>0</v>
      </c>
      <c r="HS265" s="844">
        <v>0</v>
      </c>
      <c r="HT265" s="844">
        <v>0</v>
      </c>
      <c r="HU265" s="844">
        <v>0</v>
      </c>
      <c r="HV265" s="844">
        <v>0</v>
      </c>
      <c r="HW265" s="844">
        <v>0</v>
      </c>
      <c r="HX265" s="844">
        <v>0</v>
      </c>
      <c r="HY265" s="844">
        <v>0</v>
      </c>
      <c r="HZ265" s="844">
        <v>0</v>
      </c>
      <c r="IA265" s="844">
        <v>0</v>
      </c>
      <c r="IB265" s="844">
        <v>0</v>
      </c>
      <c r="IC265" s="844">
        <v>0</v>
      </c>
      <c r="ID265" s="844">
        <v>0</v>
      </c>
      <c r="IE265" s="844">
        <v>0</v>
      </c>
      <c r="IF265" s="844">
        <v>0</v>
      </c>
      <c r="IG265" s="844">
        <v>0</v>
      </c>
      <c r="IH265" s="844">
        <v>0</v>
      </c>
      <c r="II265" s="844">
        <v>0</v>
      </c>
      <c r="IJ265" s="844">
        <v>0</v>
      </c>
    </row>
    <row r="266" spans="9:244" hidden="1">
      <c r="I266" s="156"/>
      <c r="L266" s="846" t="s">
        <v>1060</v>
      </c>
      <c r="M266" s="846" t="s">
        <v>1382</v>
      </c>
      <c r="N266" s="846" t="s">
        <v>97</v>
      </c>
      <c r="O266" s="847">
        <v>31</v>
      </c>
      <c r="P266" s="780" t="str">
        <f t="shared" si="8"/>
        <v>IWT060231</v>
      </c>
      <c r="Q266" s="847">
        <v>0</v>
      </c>
      <c r="R266" s="847">
        <v>0</v>
      </c>
      <c r="S266" s="847">
        <v>0</v>
      </c>
      <c r="T266" s="847">
        <v>0</v>
      </c>
      <c r="U266" s="847">
        <v>0</v>
      </c>
      <c r="V266" s="847">
        <v>0</v>
      </c>
      <c r="W266" s="847">
        <v>0</v>
      </c>
      <c r="X266" s="847">
        <v>0</v>
      </c>
      <c r="Y266" s="847">
        <v>0</v>
      </c>
      <c r="Z266" s="847">
        <v>0</v>
      </c>
      <c r="AA266" s="847">
        <v>0</v>
      </c>
      <c r="AB266" s="847">
        <v>0</v>
      </c>
      <c r="AC266" s="847">
        <v>0</v>
      </c>
      <c r="AD266" s="847">
        <v>0</v>
      </c>
      <c r="AE266" s="847">
        <v>0</v>
      </c>
      <c r="AF266" s="847">
        <v>0</v>
      </c>
      <c r="AG266" s="847">
        <v>0</v>
      </c>
      <c r="AH266" s="847">
        <v>0</v>
      </c>
      <c r="AI266" s="847">
        <v>0</v>
      </c>
      <c r="AJ266" s="847">
        <v>0</v>
      </c>
      <c r="AK266" s="847">
        <v>0</v>
      </c>
      <c r="AL266" s="847">
        <v>0</v>
      </c>
      <c r="AM266" s="847">
        <v>0</v>
      </c>
      <c r="AN266" s="847">
        <v>0</v>
      </c>
      <c r="AO266" s="847">
        <v>0</v>
      </c>
      <c r="AP266" s="847">
        <v>0</v>
      </c>
      <c r="AQ266" s="847">
        <v>0</v>
      </c>
      <c r="AR266" s="847">
        <v>0</v>
      </c>
      <c r="AS266" s="847">
        <v>0</v>
      </c>
      <c r="AT266" s="847">
        <v>0</v>
      </c>
      <c r="AU266" s="847">
        <v>0</v>
      </c>
      <c r="AV266" s="847">
        <v>0</v>
      </c>
      <c r="AW266" s="847">
        <v>0</v>
      </c>
      <c r="AX266" s="847">
        <v>0</v>
      </c>
      <c r="AY266" s="847">
        <v>0</v>
      </c>
      <c r="AZ266" s="847">
        <v>0</v>
      </c>
      <c r="BA266" s="847">
        <v>0</v>
      </c>
      <c r="BB266" s="847">
        <v>0</v>
      </c>
      <c r="BC266" s="847">
        <v>0</v>
      </c>
      <c r="BD266" s="847">
        <v>0</v>
      </c>
      <c r="BE266" s="847">
        <v>0</v>
      </c>
      <c r="BF266" s="847">
        <v>0</v>
      </c>
      <c r="BG266" s="847">
        <v>0</v>
      </c>
      <c r="BH266" s="847">
        <v>0</v>
      </c>
      <c r="BI266" s="847">
        <v>0</v>
      </c>
      <c r="BJ266" s="847">
        <v>0</v>
      </c>
      <c r="BK266" s="847">
        <v>0</v>
      </c>
      <c r="BL266" s="847">
        <v>0</v>
      </c>
      <c r="BM266" s="847">
        <v>0</v>
      </c>
      <c r="BN266" s="847">
        <v>0</v>
      </c>
      <c r="BO266" s="847">
        <v>0</v>
      </c>
      <c r="BP266" s="847">
        <v>0</v>
      </c>
      <c r="BQ266" s="847">
        <v>0</v>
      </c>
      <c r="BR266" s="847">
        <v>0</v>
      </c>
      <c r="BS266" s="847">
        <v>0</v>
      </c>
      <c r="BT266" s="847">
        <v>0</v>
      </c>
      <c r="BU266" s="847">
        <v>0</v>
      </c>
      <c r="BV266" s="847">
        <v>0</v>
      </c>
      <c r="BW266" s="847">
        <v>0</v>
      </c>
      <c r="BX266" s="847">
        <v>0</v>
      </c>
      <c r="BY266" s="847">
        <v>0</v>
      </c>
      <c r="BZ266" s="847">
        <v>0</v>
      </c>
      <c r="CA266" s="847">
        <v>0</v>
      </c>
      <c r="CB266" s="847">
        <v>0</v>
      </c>
      <c r="CC266" s="847">
        <v>0</v>
      </c>
      <c r="CD266" s="847">
        <v>0</v>
      </c>
      <c r="CE266" s="847">
        <v>0</v>
      </c>
      <c r="CF266" s="847">
        <v>0</v>
      </c>
      <c r="CG266" s="847">
        <v>0</v>
      </c>
      <c r="CH266" s="847">
        <v>0</v>
      </c>
      <c r="CI266" s="847">
        <v>0</v>
      </c>
      <c r="CJ266" s="847">
        <v>0</v>
      </c>
      <c r="CK266" s="847">
        <v>0</v>
      </c>
      <c r="CL266" s="847">
        <v>0</v>
      </c>
      <c r="CM266" s="847">
        <v>0</v>
      </c>
      <c r="CN266" s="847">
        <v>0</v>
      </c>
      <c r="CO266" s="847">
        <v>0</v>
      </c>
      <c r="CP266" s="847">
        <v>0</v>
      </c>
      <c r="CQ266" s="847">
        <v>0</v>
      </c>
      <c r="CR266" s="847">
        <v>113600</v>
      </c>
      <c r="CS266" s="847">
        <v>0</v>
      </c>
      <c r="CT266" s="847">
        <v>0</v>
      </c>
      <c r="CU266" s="847">
        <v>0</v>
      </c>
      <c r="CV266" s="847">
        <v>0</v>
      </c>
      <c r="CW266" s="847">
        <v>0</v>
      </c>
      <c r="CX266" s="847">
        <v>0</v>
      </c>
      <c r="CY266" s="847">
        <v>0</v>
      </c>
      <c r="CZ266" s="847">
        <v>0</v>
      </c>
      <c r="DA266" s="847">
        <v>0</v>
      </c>
      <c r="DB266" s="847">
        <v>0</v>
      </c>
      <c r="DC266" s="847">
        <v>0</v>
      </c>
      <c r="DD266" s="847">
        <v>0</v>
      </c>
      <c r="DE266" s="847">
        <v>0</v>
      </c>
      <c r="DF266" s="847">
        <v>0</v>
      </c>
      <c r="DG266" s="847">
        <v>0</v>
      </c>
      <c r="DH266" s="847">
        <v>0</v>
      </c>
      <c r="DI266" s="847">
        <v>0</v>
      </c>
      <c r="DJ266" s="847">
        <v>0</v>
      </c>
      <c r="DK266" s="847">
        <v>0</v>
      </c>
      <c r="DL266" s="847">
        <v>0</v>
      </c>
      <c r="DM266" s="847">
        <v>0</v>
      </c>
      <c r="DN266" s="847">
        <v>0</v>
      </c>
      <c r="DO266" s="847">
        <v>0</v>
      </c>
      <c r="DP266" s="847">
        <v>0</v>
      </c>
      <c r="DQ266" s="847">
        <v>0</v>
      </c>
      <c r="DR266" s="847">
        <v>0</v>
      </c>
      <c r="DS266" s="847">
        <v>0</v>
      </c>
      <c r="DT266" s="847">
        <v>0</v>
      </c>
      <c r="DU266" s="847">
        <v>0</v>
      </c>
      <c r="DV266" s="847">
        <v>0</v>
      </c>
      <c r="DW266" s="847">
        <v>0</v>
      </c>
      <c r="DY266" s="843" t="s">
        <v>1060</v>
      </c>
      <c r="DZ266" s="843" t="s">
        <v>1382</v>
      </c>
      <c r="EA266" s="843" t="s">
        <v>97</v>
      </c>
      <c r="EB266" s="844">
        <v>31</v>
      </c>
      <c r="EC266" s="780" t="str">
        <f t="shared" si="9"/>
        <v>IWT060231</v>
      </c>
      <c r="ED266" s="844">
        <v>5266.1</v>
      </c>
      <c r="EE266" s="844">
        <v>10532.2</v>
      </c>
      <c r="EF266" s="844">
        <v>15798.2</v>
      </c>
      <c r="EG266" s="844">
        <v>21064.3</v>
      </c>
      <c r="EH266" s="844">
        <v>26330.400000000001</v>
      </c>
      <c r="EI266" s="844">
        <v>31596.5</v>
      </c>
      <c r="EJ266" s="844">
        <v>31596.5</v>
      </c>
      <c r="EK266" s="844">
        <v>31596.5</v>
      </c>
      <c r="EL266" s="844">
        <v>31596.5</v>
      </c>
      <c r="EM266" s="844">
        <v>32149</v>
      </c>
      <c r="EN266" s="844">
        <v>32792</v>
      </c>
      <c r="EO266" s="844">
        <v>33448</v>
      </c>
      <c r="EP266" s="844">
        <v>34117</v>
      </c>
      <c r="EQ266" s="844">
        <v>34799</v>
      </c>
      <c r="ER266" s="844">
        <v>35495</v>
      </c>
      <c r="ES266" s="844">
        <v>36205</v>
      </c>
      <c r="ET266" s="844">
        <v>36929</v>
      </c>
      <c r="EU266" s="844">
        <v>37668</v>
      </c>
      <c r="EV266" s="844">
        <v>38421</v>
      </c>
      <c r="EW266" s="844">
        <v>39190</v>
      </c>
      <c r="EX266" s="844">
        <v>39974</v>
      </c>
      <c r="EY266" s="844">
        <v>40773</v>
      </c>
      <c r="EZ266" s="844">
        <v>41588</v>
      </c>
      <c r="FA266" s="844">
        <v>42420</v>
      </c>
      <c r="FB266" s="844">
        <v>43269</v>
      </c>
      <c r="FC266" s="844">
        <v>44134</v>
      </c>
      <c r="FD266" s="844">
        <v>45017</v>
      </c>
      <c r="FE266" s="844">
        <v>45917</v>
      </c>
      <c r="FF266" s="844">
        <v>46835</v>
      </c>
      <c r="FG266" s="844">
        <v>47772</v>
      </c>
      <c r="FH266" s="844">
        <v>48727</v>
      </c>
      <c r="FI266" s="844">
        <v>49702</v>
      </c>
      <c r="FJ266" s="844">
        <v>50696</v>
      </c>
      <c r="FK266" s="844">
        <v>51710</v>
      </c>
      <c r="FL266" s="844">
        <v>52744</v>
      </c>
      <c r="FM266" s="844">
        <v>53799</v>
      </c>
      <c r="FN266" s="844">
        <v>54875</v>
      </c>
      <c r="FO266" s="844">
        <v>55972</v>
      </c>
      <c r="FP266" s="844">
        <v>57092</v>
      </c>
      <c r="FQ266" s="844">
        <v>58234</v>
      </c>
      <c r="FR266" s="844">
        <v>59395</v>
      </c>
      <c r="FS266" s="844">
        <v>60576</v>
      </c>
      <c r="FT266" s="844">
        <v>61800</v>
      </c>
      <c r="FU266" s="844">
        <v>63200</v>
      </c>
      <c r="FV266" s="844">
        <v>64600</v>
      </c>
      <c r="FW266" s="844">
        <v>66000</v>
      </c>
      <c r="FX266" s="844">
        <v>67400</v>
      </c>
      <c r="FY266" s="844">
        <v>68800</v>
      </c>
      <c r="FZ266" s="844">
        <v>70200</v>
      </c>
      <c r="GA266" s="844">
        <v>71600</v>
      </c>
      <c r="GB266" s="844">
        <v>73000</v>
      </c>
      <c r="GC266" s="844">
        <v>74400</v>
      </c>
      <c r="GD266" s="844">
        <v>75800</v>
      </c>
      <c r="GE266" s="844">
        <v>77200</v>
      </c>
      <c r="GF266" s="844">
        <v>78600</v>
      </c>
      <c r="GG266" s="844">
        <v>80000</v>
      </c>
      <c r="GH266" s="844">
        <v>81400</v>
      </c>
      <c r="GI266" s="844">
        <v>82800</v>
      </c>
      <c r="GJ266" s="844">
        <v>84200</v>
      </c>
      <c r="GK266" s="844">
        <v>85600</v>
      </c>
      <c r="GL266" s="844">
        <v>87000</v>
      </c>
      <c r="GM266" s="844">
        <v>88400</v>
      </c>
      <c r="GN266" s="844">
        <v>89800</v>
      </c>
      <c r="GO266" s="844">
        <v>91200</v>
      </c>
      <c r="GP266" s="844">
        <v>92600</v>
      </c>
      <c r="GQ266" s="844">
        <v>94000</v>
      </c>
      <c r="GR266" s="844">
        <v>95400</v>
      </c>
      <c r="GS266" s="844">
        <v>96800</v>
      </c>
      <c r="GT266" s="844">
        <v>98200</v>
      </c>
      <c r="GU266" s="844">
        <v>99600</v>
      </c>
      <c r="GV266" s="844">
        <v>101000</v>
      </c>
      <c r="GW266" s="844">
        <v>102400</v>
      </c>
      <c r="GX266" s="844">
        <v>103800</v>
      </c>
      <c r="GY266" s="844">
        <v>105200</v>
      </c>
      <c r="GZ266" s="844">
        <v>106621</v>
      </c>
      <c r="HA266" s="844">
        <v>108095</v>
      </c>
      <c r="HB266" s="844">
        <v>109567</v>
      </c>
      <c r="HC266" s="844">
        <v>111037</v>
      </c>
      <c r="HD266" s="844">
        <v>112481</v>
      </c>
      <c r="HE266" s="844">
        <v>113600</v>
      </c>
      <c r="HF266" s="844">
        <v>0</v>
      </c>
      <c r="HG266" s="844">
        <v>0</v>
      </c>
      <c r="HH266" s="844">
        <v>0</v>
      </c>
      <c r="HI266" s="844">
        <v>0</v>
      </c>
      <c r="HJ266" s="844">
        <v>0</v>
      </c>
      <c r="HK266" s="844">
        <v>0</v>
      </c>
      <c r="HL266" s="844">
        <v>0</v>
      </c>
      <c r="HM266" s="844">
        <v>0</v>
      </c>
      <c r="HN266" s="844">
        <v>0</v>
      </c>
      <c r="HO266" s="844">
        <v>0</v>
      </c>
      <c r="HP266" s="844">
        <v>0</v>
      </c>
      <c r="HQ266" s="844">
        <v>0</v>
      </c>
      <c r="HR266" s="844">
        <v>0</v>
      </c>
      <c r="HS266" s="844">
        <v>0</v>
      </c>
      <c r="HT266" s="844">
        <v>0</v>
      </c>
      <c r="HU266" s="844">
        <v>0</v>
      </c>
      <c r="HV266" s="844">
        <v>0</v>
      </c>
      <c r="HW266" s="844">
        <v>0</v>
      </c>
      <c r="HX266" s="844">
        <v>0</v>
      </c>
      <c r="HY266" s="844">
        <v>0</v>
      </c>
      <c r="HZ266" s="844">
        <v>0</v>
      </c>
      <c r="IA266" s="844">
        <v>0</v>
      </c>
      <c r="IB266" s="844">
        <v>0</v>
      </c>
      <c r="IC266" s="844">
        <v>0</v>
      </c>
      <c r="ID266" s="844">
        <v>0</v>
      </c>
      <c r="IE266" s="844">
        <v>0</v>
      </c>
      <c r="IF266" s="844">
        <v>0</v>
      </c>
      <c r="IG266" s="844">
        <v>0</v>
      </c>
      <c r="IH266" s="844">
        <v>0</v>
      </c>
      <c r="II266" s="844">
        <v>0</v>
      </c>
      <c r="IJ266" s="844">
        <v>0</v>
      </c>
    </row>
    <row r="267" spans="9:244" hidden="1">
      <c r="I267" s="156"/>
      <c r="L267" s="846" t="s">
        <v>1060</v>
      </c>
      <c r="M267" s="846" t="s">
        <v>1382</v>
      </c>
      <c r="N267" s="846" t="s">
        <v>97</v>
      </c>
      <c r="O267" s="847">
        <v>32</v>
      </c>
      <c r="P267" s="780" t="str">
        <f t="shared" si="8"/>
        <v>IWT060232</v>
      </c>
      <c r="Q267" s="847">
        <v>0</v>
      </c>
      <c r="R267" s="847">
        <v>0</v>
      </c>
      <c r="S267" s="847">
        <v>0</v>
      </c>
      <c r="T267" s="847">
        <v>0</v>
      </c>
      <c r="U267" s="847">
        <v>0</v>
      </c>
      <c r="V267" s="847">
        <v>0</v>
      </c>
      <c r="W267" s="847">
        <v>0</v>
      </c>
      <c r="X267" s="847">
        <v>0</v>
      </c>
      <c r="Y267" s="847">
        <v>0</v>
      </c>
      <c r="Z267" s="847">
        <v>0</v>
      </c>
      <c r="AA267" s="847">
        <v>0</v>
      </c>
      <c r="AB267" s="847">
        <v>0</v>
      </c>
      <c r="AC267" s="847">
        <v>0</v>
      </c>
      <c r="AD267" s="847">
        <v>0</v>
      </c>
      <c r="AE267" s="847">
        <v>0</v>
      </c>
      <c r="AF267" s="847">
        <v>0</v>
      </c>
      <c r="AG267" s="847">
        <v>0</v>
      </c>
      <c r="AH267" s="847">
        <v>0</v>
      </c>
      <c r="AI267" s="847">
        <v>0</v>
      </c>
      <c r="AJ267" s="847">
        <v>0</v>
      </c>
      <c r="AK267" s="847">
        <v>0</v>
      </c>
      <c r="AL267" s="847">
        <v>0</v>
      </c>
      <c r="AM267" s="847">
        <v>0</v>
      </c>
      <c r="AN267" s="847">
        <v>0</v>
      </c>
      <c r="AO267" s="847">
        <v>0</v>
      </c>
      <c r="AP267" s="847">
        <v>0</v>
      </c>
      <c r="AQ267" s="847">
        <v>0</v>
      </c>
      <c r="AR267" s="847">
        <v>0</v>
      </c>
      <c r="AS267" s="847">
        <v>0</v>
      </c>
      <c r="AT267" s="847">
        <v>0</v>
      </c>
      <c r="AU267" s="847">
        <v>0</v>
      </c>
      <c r="AV267" s="847">
        <v>0</v>
      </c>
      <c r="AW267" s="847">
        <v>0</v>
      </c>
      <c r="AX267" s="847">
        <v>0</v>
      </c>
      <c r="AY267" s="847">
        <v>0</v>
      </c>
      <c r="AZ267" s="847">
        <v>0</v>
      </c>
      <c r="BA267" s="847">
        <v>0</v>
      </c>
      <c r="BB267" s="847">
        <v>0</v>
      </c>
      <c r="BC267" s="847">
        <v>0</v>
      </c>
      <c r="BD267" s="847">
        <v>0</v>
      </c>
      <c r="BE267" s="847">
        <v>0</v>
      </c>
      <c r="BF267" s="847">
        <v>0</v>
      </c>
      <c r="BG267" s="847">
        <v>0</v>
      </c>
      <c r="BH267" s="847">
        <v>0</v>
      </c>
      <c r="BI267" s="847">
        <v>0</v>
      </c>
      <c r="BJ267" s="847">
        <v>0</v>
      </c>
      <c r="BK267" s="847">
        <v>0</v>
      </c>
      <c r="BL267" s="847">
        <v>0</v>
      </c>
      <c r="BM267" s="847">
        <v>0</v>
      </c>
      <c r="BN267" s="847">
        <v>0</v>
      </c>
      <c r="BO267" s="847">
        <v>0</v>
      </c>
      <c r="BP267" s="847">
        <v>0</v>
      </c>
      <c r="BQ267" s="847">
        <v>0</v>
      </c>
      <c r="BR267" s="847">
        <v>0</v>
      </c>
      <c r="BS267" s="847">
        <v>0</v>
      </c>
      <c r="BT267" s="847">
        <v>0</v>
      </c>
      <c r="BU267" s="847">
        <v>0</v>
      </c>
      <c r="BV267" s="847">
        <v>0</v>
      </c>
      <c r="BW267" s="847">
        <v>0</v>
      </c>
      <c r="BX267" s="847">
        <v>0</v>
      </c>
      <c r="BY267" s="847">
        <v>0</v>
      </c>
      <c r="BZ267" s="847">
        <v>0</v>
      </c>
      <c r="CA267" s="847">
        <v>0</v>
      </c>
      <c r="CB267" s="847">
        <v>0</v>
      </c>
      <c r="CC267" s="847">
        <v>0</v>
      </c>
      <c r="CD267" s="847">
        <v>0</v>
      </c>
      <c r="CE267" s="847">
        <v>0</v>
      </c>
      <c r="CF267" s="847">
        <v>0</v>
      </c>
      <c r="CG267" s="847">
        <v>0</v>
      </c>
      <c r="CH267" s="847">
        <v>0</v>
      </c>
      <c r="CI267" s="847">
        <v>0</v>
      </c>
      <c r="CJ267" s="847">
        <v>0</v>
      </c>
      <c r="CK267" s="847">
        <v>0</v>
      </c>
      <c r="CL267" s="847">
        <v>0</v>
      </c>
      <c r="CM267" s="847">
        <v>0</v>
      </c>
      <c r="CN267" s="847">
        <v>0</v>
      </c>
      <c r="CO267" s="847">
        <v>0</v>
      </c>
      <c r="CP267" s="847">
        <v>0</v>
      </c>
      <c r="CQ267" s="847">
        <v>112200</v>
      </c>
      <c r="CR267" s="847">
        <v>0</v>
      </c>
      <c r="CS267" s="847">
        <v>0</v>
      </c>
      <c r="CT267" s="847">
        <v>0</v>
      </c>
      <c r="CU267" s="847">
        <v>0</v>
      </c>
      <c r="CV267" s="847">
        <v>0</v>
      </c>
      <c r="CW267" s="847">
        <v>0</v>
      </c>
      <c r="CX267" s="847">
        <v>0</v>
      </c>
      <c r="CY267" s="847">
        <v>0</v>
      </c>
      <c r="CZ267" s="847">
        <v>0</v>
      </c>
      <c r="DA267" s="847">
        <v>0</v>
      </c>
      <c r="DB267" s="847">
        <v>0</v>
      </c>
      <c r="DC267" s="847">
        <v>0</v>
      </c>
      <c r="DD267" s="847">
        <v>0</v>
      </c>
      <c r="DE267" s="847">
        <v>0</v>
      </c>
      <c r="DF267" s="847">
        <v>0</v>
      </c>
      <c r="DG267" s="847">
        <v>0</v>
      </c>
      <c r="DH267" s="847">
        <v>0</v>
      </c>
      <c r="DI267" s="847">
        <v>0</v>
      </c>
      <c r="DJ267" s="847">
        <v>0</v>
      </c>
      <c r="DK267" s="847">
        <v>0</v>
      </c>
      <c r="DL267" s="847">
        <v>0</v>
      </c>
      <c r="DM267" s="847">
        <v>0</v>
      </c>
      <c r="DN267" s="847">
        <v>0</v>
      </c>
      <c r="DO267" s="847">
        <v>0</v>
      </c>
      <c r="DP267" s="847">
        <v>0</v>
      </c>
      <c r="DQ267" s="847">
        <v>0</v>
      </c>
      <c r="DR267" s="847">
        <v>0</v>
      </c>
      <c r="DS267" s="847">
        <v>0</v>
      </c>
      <c r="DT267" s="847">
        <v>0</v>
      </c>
      <c r="DU267" s="847">
        <v>0</v>
      </c>
      <c r="DV267" s="847">
        <v>0</v>
      </c>
      <c r="DW267" s="847">
        <v>0</v>
      </c>
      <c r="DY267" s="843" t="s">
        <v>1060</v>
      </c>
      <c r="DZ267" s="843" t="s">
        <v>1382</v>
      </c>
      <c r="EA267" s="843" t="s">
        <v>97</v>
      </c>
      <c r="EB267" s="844">
        <v>32</v>
      </c>
      <c r="EC267" s="780" t="str">
        <f t="shared" si="9"/>
        <v>IWT060232</v>
      </c>
      <c r="ED267" s="844">
        <v>5276.7</v>
      </c>
      <c r="EE267" s="844">
        <v>10553.4</v>
      </c>
      <c r="EF267" s="844">
        <v>15830</v>
      </c>
      <c r="EG267" s="844">
        <v>21106.7</v>
      </c>
      <c r="EH267" s="844">
        <v>26383.4</v>
      </c>
      <c r="EI267" s="844">
        <v>31660.1</v>
      </c>
      <c r="EJ267" s="844">
        <v>31660.1</v>
      </c>
      <c r="EK267" s="844">
        <v>31660.1</v>
      </c>
      <c r="EL267" s="844">
        <v>31660.1</v>
      </c>
      <c r="EM267" s="844">
        <v>32215</v>
      </c>
      <c r="EN267" s="844">
        <v>32859</v>
      </c>
      <c r="EO267" s="844">
        <v>33516</v>
      </c>
      <c r="EP267" s="844">
        <v>34186</v>
      </c>
      <c r="EQ267" s="844">
        <v>34870</v>
      </c>
      <c r="ER267" s="844">
        <v>35567</v>
      </c>
      <c r="ES267" s="844">
        <v>36279</v>
      </c>
      <c r="ET267" s="844">
        <v>37004</v>
      </c>
      <c r="EU267" s="844">
        <v>37744</v>
      </c>
      <c r="EV267" s="844">
        <v>38499</v>
      </c>
      <c r="EW267" s="844">
        <v>39269</v>
      </c>
      <c r="EX267" s="844">
        <v>40055</v>
      </c>
      <c r="EY267" s="844">
        <v>40856</v>
      </c>
      <c r="EZ267" s="844">
        <v>41673</v>
      </c>
      <c r="FA267" s="844">
        <v>42506</v>
      </c>
      <c r="FB267" s="844">
        <v>43356</v>
      </c>
      <c r="FC267" s="844">
        <v>44224</v>
      </c>
      <c r="FD267" s="844">
        <v>45108</v>
      </c>
      <c r="FE267" s="844">
        <v>46010</v>
      </c>
      <c r="FF267" s="844">
        <v>46930</v>
      </c>
      <c r="FG267" s="844">
        <v>47869</v>
      </c>
      <c r="FH267" s="844">
        <v>48826</v>
      </c>
      <c r="FI267" s="844">
        <v>49803</v>
      </c>
      <c r="FJ267" s="844">
        <v>50799</v>
      </c>
      <c r="FK267" s="844">
        <v>51815</v>
      </c>
      <c r="FL267" s="844">
        <v>52851</v>
      </c>
      <c r="FM267" s="844">
        <v>53908</v>
      </c>
      <c r="FN267" s="844">
        <v>54986</v>
      </c>
      <c r="FO267" s="844">
        <v>56086</v>
      </c>
      <c r="FP267" s="844">
        <v>57208</v>
      </c>
      <c r="FQ267" s="844">
        <v>58352</v>
      </c>
      <c r="FR267" s="844">
        <v>59518</v>
      </c>
      <c r="FS267" s="844">
        <v>60702</v>
      </c>
      <c r="FT267" s="844">
        <v>61905</v>
      </c>
      <c r="FU267" s="844">
        <v>63200</v>
      </c>
      <c r="FV267" s="844">
        <v>64600</v>
      </c>
      <c r="FW267" s="844">
        <v>66000</v>
      </c>
      <c r="FX267" s="844">
        <v>67400</v>
      </c>
      <c r="FY267" s="844">
        <v>68800</v>
      </c>
      <c r="FZ267" s="844">
        <v>70200</v>
      </c>
      <c r="GA267" s="844">
        <v>71600</v>
      </c>
      <c r="GB267" s="844">
        <v>73000</v>
      </c>
      <c r="GC267" s="844">
        <v>74400</v>
      </c>
      <c r="GD267" s="844">
        <v>75800</v>
      </c>
      <c r="GE267" s="844">
        <v>77200</v>
      </c>
      <c r="GF267" s="844">
        <v>78600</v>
      </c>
      <c r="GG267" s="844">
        <v>80000</v>
      </c>
      <c r="GH267" s="844">
        <v>81400</v>
      </c>
      <c r="GI267" s="844">
        <v>82800</v>
      </c>
      <c r="GJ267" s="844">
        <v>84200</v>
      </c>
      <c r="GK267" s="844">
        <v>85600</v>
      </c>
      <c r="GL267" s="844">
        <v>87000</v>
      </c>
      <c r="GM267" s="844">
        <v>88400</v>
      </c>
      <c r="GN267" s="844">
        <v>89800</v>
      </c>
      <c r="GO267" s="844">
        <v>91200</v>
      </c>
      <c r="GP267" s="844">
        <v>92600</v>
      </c>
      <c r="GQ267" s="844">
        <v>94000</v>
      </c>
      <c r="GR267" s="844">
        <v>95400</v>
      </c>
      <c r="GS267" s="844">
        <v>96800</v>
      </c>
      <c r="GT267" s="844">
        <v>98200</v>
      </c>
      <c r="GU267" s="844">
        <v>99600</v>
      </c>
      <c r="GV267" s="844">
        <v>101000</v>
      </c>
      <c r="GW267" s="844">
        <v>102400</v>
      </c>
      <c r="GX267" s="844">
        <v>103800</v>
      </c>
      <c r="GY267" s="844">
        <v>105246</v>
      </c>
      <c r="GZ267" s="844">
        <v>106717</v>
      </c>
      <c r="HA267" s="844">
        <v>108186</v>
      </c>
      <c r="HB267" s="844">
        <v>109652</v>
      </c>
      <c r="HC267" s="844">
        <v>111095</v>
      </c>
      <c r="HD267" s="844">
        <v>112200</v>
      </c>
      <c r="HE267" s="844">
        <v>0</v>
      </c>
      <c r="HF267" s="844">
        <v>0</v>
      </c>
      <c r="HG267" s="844">
        <v>0</v>
      </c>
      <c r="HH267" s="844">
        <v>0</v>
      </c>
      <c r="HI267" s="844">
        <v>0</v>
      </c>
      <c r="HJ267" s="844">
        <v>0</v>
      </c>
      <c r="HK267" s="844">
        <v>0</v>
      </c>
      <c r="HL267" s="844">
        <v>0</v>
      </c>
      <c r="HM267" s="844">
        <v>0</v>
      </c>
      <c r="HN267" s="844">
        <v>0</v>
      </c>
      <c r="HO267" s="844">
        <v>0</v>
      </c>
      <c r="HP267" s="844">
        <v>0</v>
      </c>
      <c r="HQ267" s="844">
        <v>0</v>
      </c>
      <c r="HR267" s="844">
        <v>0</v>
      </c>
      <c r="HS267" s="844">
        <v>0</v>
      </c>
      <c r="HT267" s="844">
        <v>0</v>
      </c>
      <c r="HU267" s="844">
        <v>0</v>
      </c>
      <c r="HV267" s="844">
        <v>0</v>
      </c>
      <c r="HW267" s="844">
        <v>0</v>
      </c>
      <c r="HX267" s="844">
        <v>0</v>
      </c>
      <c r="HY267" s="844">
        <v>0</v>
      </c>
      <c r="HZ267" s="844">
        <v>0</v>
      </c>
      <c r="IA267" s="844">
        <v>0</v>
      </c>
      <c r="IB267" s="844">
        <v>0</v>
      </c>
      <c r="IC267" s="844">
        <v>0</v>
      </c>
      <c r="ID267" s="844">
        <v>0</v>
      </c>
      <c r="IE267" s="844">
        <v>0</v>
      </c>
      <c r="IF267" s="844">
        <v>0</v>
      </c>
      <c r="IG267" s="844">
        <v>0</v>
      </c>
      <c r="IH267" s="844">
        <v>0</v>
      </c>
      <c r="II267" s="844">
        <v>0</v>
      </c>
      <c r="IJ267" s="844">
        <v>0</v>
      </c>
    </row>
    <row r="268" spans="9:244" hidden="1">
      <c r="I268" s="156"/>
      <c r="L268" s="846" t="s">
        <v>1060</v>
      </c>
      <c r="M268" s="846" t="s">
        <v>1382</v>
      </c>
      <c r="N268" s="846" t="s">
        <v>97</v>
      </c>
      <c r="O268" s="847">
        <v>33</v>
      </c>
      <c r="P268" s="780" t="str">
        <f t="shared" si="8"/>
        <v>IWT060233</v>
      </c>
      <c r="Q268" s="847">
        <v>0</v>
      </c>
      <c r="R268" s="847">
        <v>0</v>
      </c>
      <c r="S268" s="847">
        <v>0</v>
      </c>
      <c r="T268" s="847">
        <v>0</v>
      </c>
      <c r="U268" s="847">
        <v>0</v>
      </c>
      <c r="V268" s="847">
        <v>0</v>
      </c>
      <c r="W268" s="847">
        <v>0</v>
      </c>
      <c r="X268" s="847">
        <v>0</v>
      </c>
      <c r="Y268" s="847">
        <v>0</v>
      </c>
      <c r="Z268" s="847">
        <v>0</v>
      </c>
      <c r="AA268" s="847">
        <v>0</v>
      </c>
      <c r="AB268" s="847">
        <v>0</v>
      </c>
      <c r="AC268" s="847">
        <v>0</v>
      </c>
      <c r="AD268" s="847">
        <v>0</v>
      </c>
      <c r="AE268" s="847">
        <v>0</v>
      </c>
      <c r="AF268" s="847">
        <v>0</v>
      </c>
      <c r="AG268" s="847">
        <v>0</v>
      </c>
      <c r="AH268" s="847">
        <v>0</v>
      </c>
      <c r="AI268" s="847">
        <v>0</v>
      </c>
      <c r="AJ268" s="847">
        <v>0</v>
      </c>
      <c r="AK268" s="847">
        <v>0</v>
      </c>
      <c r="AL268" s="847">
        <v>0</v>
      </c>
      <c r="AM268" s="847">
        <v>0</v>
      </c>
      <c r="AN268" s="847">
        <v>0</v>
      </c>
      <c r="AO268" s="847">
        <v>0</v>
      </c>
      <c r="AP268" s="847">
        <v>0</v>
      </c>
      <c r="AQ268" s="847">
        <v>0</v>
      </c>
      <c r="AR268" s="847">
        <v>0</v>
      </c>
      <c r="AS268" s="847">
        <v>0</v>
      </c>
      <c r="AT268" s="847">
        <v>0</v>
      </c>
      <c r="AU268" s="847">
        <v>0</v>
      </c>
      <c r="AV268" s="847">
        <v>0</v>
      </c>
      <c r="AW268" s="847">
        <v>0</v>
      </c>
      <c r="AX268" s="847">
        <v>0</v>
      </c>
      <c r="AY268" s="847">
        <v>0</v>
      </c>
      <c r="AZ268" s="847">
        <v>0</v>
      </c>
      <c r="BA268" s="847">
        <v>0</v>
      </c>
      <c r="BB268" s="847">
        <v>0</v>
      </c>
      <c r="BC268" s="847">
        <v>0</v>
      </c>
      <c r="BD268" s="847">
        <v>0</v>
      </c>
      <c r="BE268" s="847">
        <v>0</v>
      </c>
      <c r="BF268" s="847">
        <v>0</v>
      </c>
      <c r="BG268" s="847">
        <v>0</v>
      </c>
      <c r="BH268" s="847">
        <v>0</v>
      </c>
      <c r="BI268" s="847">
        <v>0</v>
      </c>
      <c r="BJ268" s="847">
        <v>0</v>
      </c>
      <c r="BK268" s="847">
        <v>0</v>
      </c>
      <c r="BL268" s="847">
        <v>0</v>
      </c>
      <c r="BM268" s="847">
        <v>0</v>
      </c>
      <c r="BN268" s="847">
        <v>0</v>
      </c>
      <c r="BO268" s="847">
        <v>0</v>
      </c>
      <c r="BP268" s="847">
        <v>0</v>
      </c>
      <c r="BQ268" s="847">
        <v>0</v>
      </c>
      <c r="BR268" s="847">
        <v>0</v>
      </c>
      <c r="BS268" s="847">
        <v>0</v>
      </c>
      <c r="BT268" s="847">
        <v>0</v>
      </c>
      <c r="BU268" s="847">
        <v>0</v>
      </c>
      <c r="BV268" s="847">
        <v>0</v>
      </c>
      <c r="BW268" s="847">
        <v>0</v>
      </c>
      <c r="BX268" s="847">
        <v>0</v>
      </c>
      <c r="BY268" s="847">
        <v>0</v>
      </c>
      <c r="BZ268" s="847">
        <v>0</v>
      </c>
      <c r="CA268" s="847">
        <v>0</v>
      </c>
      <c r="CB268" s="847">
        <v>0</v>
      </c>
      <c r="CC268" s="847">
        <v>0</v>
      </c>
      <c r="CD268" s="847">
        <v>0</v>
      </c>
      <c r="CE268" s="847">
        <v>0</v>
      </c>
      <c r="CF268" s="847">
        <v>0</v>
      </c>
      <c r="CG268" s="847">
        <v>0</v>
      </c>
      <c r="CH268" s="847">
        <v>0</v>
      </c>
      <c r="CI268" s="847">
        <v>0</v>
      </c>
      <c r="CJ268" s="847">
        <v>0</v>
      </c>
      <c r="CK268" s="847">
        <v>0</v>
      </c>
      <c r="CL268" s="847">
        <v>0</v>
      </c>
      <c r="CM268" s="847">
        <v>0</v>
      </c>
      <c r="CN268" s="847">
        <v>0</v>
      </c>
      <c r="CO268" s="847">
        <v>0</v>
      </c>
      <c r="CP268" s="847">
        <v>110800</v>
      </c>
      <c r="CQ268" s="847">
        <v>0</v>
      </c>
      <c r="CR268" s="847">
        <v>0</v>
      </c>
      <c r="CS268" s="847">
        <v>0</v>
      </c>
      <c r="CT268" s="847">
        <v>0</v>
      </c>
      <c r="CU268" s="847">
        <v>0</v>
      </c>
      <c r="CV268" s="847">
        <v>0</v>
      </c>
      <c r="CW268" s="847">
        <v>0</v>
      </c>
      <c r="CX268" s="847">
        <v>0</v>
      </c>
      <c r="CY268" s="847">
        <v>0</v>
      </c>
      <c r="CZ268" s="847">
        <v>0</v>
      </c>
      <c r="DA268" s="847">
        <v>0</v>
      </c>
      <c r="DB268" s="847">
        <v>0</v>
      </c>
      <c r="DC268" s="847">
        <v>0</v>
      </c>
      <c r="DD268" s="847">
        <v>0</v>
      </c>
      <c r="DE268" s="847">
        <v>0</v>
      </c>
      <c r="DF268" s="847">
        <v>0</v>
      </c>
      <c r="DG268" s="847">
        <v>0</v>
      </c>
      <c r="DH268" s="847">
        <v>0</v>
      </c>
      <c r="DI268" s="847">
        <v>0</v>
      </c>
      <c r="DJ268" s="847">
        <v>0</v>
      </c>
      <c r="DK268" s="847">
        <v>0</v>
      </c>
      <c r="DL268" s="847">
        <v>0</v>
      </c>
      <c r="DM268" s="847">
        <v>0</v>
      </c>
      <c r="DN268" s="847">
        <v>0</v>
      </c>
      <c r="DO268" s="847">
        <v>0</v>
      </c>
      <c r="DP268" s="847">
        <v>0</v>
      </c>
      <c r="DQ268" s="847">
        <v>0</v>
      </c>
      <c r="DR268" s="847">
        <v>0</v>
      </c>
      <c r="DS268" s="847">
        <v>0</v>
      </c>
      <c r="DT268" s="847">
        <v>0</v>
      </c>
      <c r="DU268" s="847">
        <v>0</v>
      </c>
      <c r="DV268" s="847">
        <v>0</v>
      </c>
      <c r="DW268" s="847">
        <v>0</v>
      </c>
      <c r="DY268" s="843" t="s">
        <v>1060</v>
      </c>
      <c r="DZ268" s="843" t="s">
        <v>1382</v>
      </c>
      <c r="EA268" s="843" t="s">
        <v>97</v>
      </c>
      <c r="EB268" s="844">
        <v>33</v>
      </c>
      <c r="EC268" s="780" t="str">
        <f t="shared" si="9"/>
        <v>IWT060233</v>
      </c>
      <c r="ED268" s="844">
        <v>5286.2</v>
      </c>
      <c r="EE268" s="844">
        <v>10572.4</v>
      </c>
      <c r="EF268" s="844">
        <v>15858.7</v>
      </c>
      <c r="EG268" s="844">
        <v>21144.9</v>
      </c>
      <c r="EH268" s="844">
        <v>26431.1</v>
      </c>
      <c r="EI268" s="844">
        <v>31717.3</v>
      </c>
      <c r="EJ268" s="844">
        <v>31717.3</v>
      </c>
      <c r="EK268" s="844">
        <v>31717.3</v>
      </c>
      <c r="EL268" s="844">
        <v>31717.3</v>
      </c>
      <c r="EM268" s="844">
        <v>32275</v>
      </c>
      <c r="EN268" s="844">
        <v>32920</v>
      </c>
      <c r="EO268" s="844">
        <v>33578</v>
      </c>
      <c r="EP268" s="844">
        <v>34250</v>
      </c>
      <c r="EQ268" s="844">
        <v>34935</v>
      </c>
      <c r="ER268" s="844">
        <v>35634</v>
      </c>
      <c r="ES268" s="844">
        <v>36346</v>
      </c>
      <c r="ET268" s="844">
        <v>37073</v>
      </c>
      <c r="EU268" s="844">
        <v>37815</v>
      </c>
      <c r="EV268" s="844">
        <v>38571</v>
      </c>
      <c r="EW268" s="844">
        <v>39342</v>
      </c>
      <c r="EX268" s="844">
        <v>40129</v>
      </c>
      <c r="EY268" s="844">
        <v>40932</v>
      </c>
      <c r="EZ268" s="844">
        <v>41750</v>
      </c>
      <c r="FA268" s="844">
        <v>42585</v>
      </c>
      <c r="FB268" s="844">
        <v>43437</v>
      </c>
      <c r="FC268" s="844">
        <v>44306</v>
      </c>
      <c r="FD268" s="844">
        <v>45192</v>
      </c>
      <c r="FE268" s="844">
        <v>46096</v>
      </c>
      <c r="FF268" s="844">
        <v>47018</v>
      </c>
      <c r="FG268" s="844">
        <v>47958</v>
      </c>
      <c r="FH268" s="844">
        <v>48917</v>
      </c>
      <c r="FI268" s="844">
        <v>49896</v>
      </c>
      <c r="FJ268" s="844">
        <v>50893</v>
      </c>
      <c r="FK268" s="844">
        <v>51911</v>
      </c>
      <c r="FL268" s="844">
        <v>52950</v>
      </c>
      <c r="FM268" s="844">
        <v>54008</v>
      </c>
      <c r="FN268" s="844">
        <v>55089</v>
      </c>
      <c r="FO268" s="844">
        <v>56190</v>
      </c>
      <c r="FP268" s="844">
        <v>57314</v>
      </c>
      <c r="FQ268" s="844">
        <v>58460</v>
      </c>
      <c r="FR268" s="844">
        <v>59630</v>
      </c>
      <c r="FS268" s="844">
        <v>60818</v>
      </c>
      <c r="FT268" s="844">
        <v>62025</v>
      </c>
      <c r="FU268" s="844">
        <v>63250</v>
      </c>
      <c r="FV268" s="844">
        <v>64600</v>
      </c>
      <c r="FW268" s="844">
        <v>66000</v>
      </c>
      <c r="FX268" s="844">
        <v>67400</v>
      </c>
      <c r="FY268" s="844">
        <v>68800</v>
      </c>
      <c r="FZ268" s="844">
        <v>70200</v>
      </c>
      <c r="GA268" s="844">
        <v>71600</v>
      </c>
      <c r="GB268" s="844">
        <v>73000</v>
      </c>
      <c r="GC268" s="844">
        <v>74400</v>
      </c>
      <c r="GD268" s="844">
        <v>75800</v>
      </c>
      <c r="GE268" s="844">
        <v>77200</v>
      </c>
      <c r="GF268" s="844">
        <v>78600</v>
      </c>
      <c r="GG268" s="844">
        <v>80000</v>
      </c>
      <c r="GH268" s="844">
        <v>81400</v>
      </c>
      <c r="GI268" s="844">
        <v>82800</v>
      </c>
      <c r="GJ268" s="844">
        <v>84200</v>
      </c>
      <c r="GK268" s="844">
        <v>85600</v>
      </c>
      <c r="GL268" s="844">
        <v>87000</v>
      </c>
      <c r="GM268" s="844">
        <v>88400</v>
      </c>
      <c r="GN268" s="844">
        <v>89800</v>
      </c>
      <c r="GO268" s="844">
        <v>91200</v>
      </c>
      <c r="GP268" s="844">
        <v>92600</v>
      </c>
      <c r="GQ268" s="844">
        <v>94000</v>
      </c>
      <c r="GR268" s="844">
        <v>95400</v>
      </c>
      <c r="GS268" s="844">
        <v>96800</v>
      </c>
      <c r="GT268" s="844">
        <v>98200</v>
      </c>
      <c r="GU268" s="844">
        <v>99600</v>
      </c>
      <c r="GV268" s="844">
        <v>101000</v>
      </c>
      <c r="GW268" s="844">
        <v>102403</v>
      </c>
      <c r="GX268" s="844">
        <v>103872</v>
      </c>
      <c r="GY268" s="844">
        <v>105339</v>
      </c>
      <c r="GZ268" s="844">
        <v>106805</v>
      </c>
      <c r="HA268" s="844">
        <v>108268</v>
      </c>
      <c r="HB268" s="844">
        <v>109708</v>
      </c>
      <c r="HC268" s="844">
        <v>110800</v>
      </c>
      <c r="HD268" s="844">
        <v>0</v>
      </c>
      <c r="HE268" s="844">
        <v>0</v>
      </c>
      <c r="HF268" s="844">
        <v>0</v>
      </c>
      <c r="HG268" s="844">
        <v>0</v>
      </c>
      <c r="HH268" s="844">
        <v>0</v>
      </c>
      <c r="HI268" s="844">
        <v>0</v>
      </c>
      <c r="HJ268" s="844">
        <v>0</v>
      </c>
      <c r="HK268" s="844">
        <v>0</v>
      </c>
      <c r="HL268" s="844">
        <v>0</v>
      </c>
      <c r="HM268" s="844">
        <v>0</v>
      </c>
      <c r="HN268" s="844">
        <v>0</v>
      </c>
      <c r="HO268" s="844">
        <v>0</v>
      </c>
      <c r="HP268" s="844">
        <v>0</v>
      </c>
      <c r="HQ268" s="844">
        <v>0</v>
      </c>
      <c r="HR268" s="844">
        <v>0</v>
      </c>
      <c r="HS268" s="844">
        <v>0</v>
      </c>
      <c r="HT268" s="844">
        <v>0</v>
      </c>
      <c r="HU268" s="844">
        <v>0</v>
      </c>
      <c r="HV268" s="844">
        <v>0</v>
      </c>
      <c r="HW268" s="844">
        <v>0</v>
      </c>
      <c r="HX268" s="844">
        <v>0</v>
      </c>
      <c r="HY268" s="844">
        <v>0</v>
      </c>
      <c r="HZ268" s="844">
        <v>0</v>
      </c>
      <c r="IA268" s="844">
        <v>0</v>
      </c>
      <c r="IB268" s="844">
        <v>0</v>
      </c>
      <c r="IC268" s="844">
        <v>0</v>
      </c>
      <c r="ID268" s="844">
        <v>0</v>
      </c>
      <c r="IE268" s="844">
        <v>0</v>
      </c>
      <c r="IF268" s="844">
        <v>0</v>
      </c>
      <c r="IG268" s="844">
        <v>0</v>
      </c>
      <c r="IH268" s="844">
        <v>0</v>
      </c>
      <c r="II268" s="844">
        <v>0</v>
      </c>
      <c r="IJ268" s="844">
        <v>0</v>
      </c>
    </row>
    <row r="269" spans="9:244" hidden="1">
      <c r="I269" s="156"/>
      <c r="L269" s="846" t="s">
        <v>1060</v>
      </c>
      <c r="M269" s="846" t="s">
        <v>1382</v>
      </c>
      <c r="N269" s="846" t="s">
        <v>97</v>
      </c>
      <c r="O269" s="847">
        <v>34</v>
      </c>
      <c r="P269" s="780" t="str">
        <f t="shared" si="8"/>
        <v>IWT060234</v>
      </c>
      <c r="Q269" s="847">
        <v>0</v>
      </c>
      <c r="R269" s="847">
        <v>0</v>
      </c>
      <c r="S269" s="847">
        <v>0</v>
      </c>
      <c r="T269" s="847">
        <v>0</v>
      </c>
      <c r="U269" s="847">
        <v>0</v>
      </c>
      <c r="V269" s="847">
        <v>0</v>
      </c>
      <c r="W269" s="847">
        <v>0</v>
      </c>
      <c r="X269" s="847">
        <v>0</v>
      </c>
      <c r="Y269" s="847">
        <v>0</v>
      </c>
      <c r="Z269" s="847">
        <v>0</v>
      </c>
      <c r="AA269" s="847">
        <v>0</v>
      </c>
      <c r="AB269" s="847">
        <v>0</v>
      </c>
      <c r="AC269" s="847">
        <v>0</v>
      </c>
      <c r="AD269" s="847">
        <v>0</v>
      </c>
      <c r="AE269" s="847">
        <v>0</v>
      </c>
      <c r="AF269" s="847">
        <v>0</v>
      </c>
      <c r="AG269" s="847">
        <v>0</v>
      </c>
      <c r="AH269" s="847">
        <v>0</v>
      </c>
      <c r="AI269" s="847">
        <v>0</v>
      </c>
      <c r="AJ269" s="847">
        <v>0</v>
      </c>
      <c r="AK269" s="847">
        <v>0</v>
      </c>
      <c r="AL269" s="847">
        <v>0</v>
      </c>
      <c r="AM269" s="847">
        <v>0</v>
      </c>
      <c r="AN269" s="847">
        <v>0</v>
      </c>
      <c r="AO269" s="847">
        <v>0</v>
      </c>
      <c r="AP269" s="847">
        <v>0</v>
      </c>
      <c r="AQ269" s="847">
        <v>0</v>
      </c>
      <c r="AR269" s="847">
        <v>0</v>
      </c>
      <c r="AS269" s="847">
        <v>0</v>
      </c>
      <c r="AT269" s="847">
        <v>0</v>
      </c>
      <c r="AU269" s="847">
        <v>0</v>
      </c>
      <c r="AV269" s="847">
        <v>0</v>
      </c>
      <c r="AW269" s="847">
        <v>0</v>
      </c>
      <c r="AX269" s="847">
        <v>0</v>
      </c>
      <c r="AY269" s="847">
        <v>0</v>
      </c>
      <c r="AZ269" s="847">
        <v>0</v>
      </c>
      <c r="BA269" s="847">
        <v>0</v>
      </c>
      <c r="BB269" s="847">
        <v>0</v>
      </c>
      <c r="BC269" s="847">
        <v>0</v>
      </c>
      <c r="BD269" s="847">
        <v>0</v>
      </c>
      <c r="BE269" s="847">
        <v>0</v>
      </c>
      <c r="BF269" s="847">
        <v>0</v>
      </c>
      <c r="BG269" s="847">
        <v>0</v>
      </c>
      <c r="BH269" s="847">
        <v>0</v>
      </c>
      <c r="BI269" s="847">
        <v>0</v>
      </c>
      <c r="BJ269" s="847">
        <v>0</v>
      </c>
      <c r="BK269" s="847">
        <v>0</v>
      </c>
      <c r="BL269" s="847">
        <v>0</v>
      </c>
      <c r="BM269" s="847">
        <v>0</v>
      </c>
      <c r="BN269" s="847">
        <v>0</v>
      </c>
      <c r="BO269" s="847">
        <v>0</v>
      </c>
      <c r="BP269" s="847">
        <v>0</v>
      </c>
      <c r="BQ269" s="847">
        <v>0</v>
      </c>
      <c r="BR269" s="847">
        <v>0</v>
      </c>
      <c r="BS269" s="847">
        <v>0</v>
      </c>
      <c r="BT269" s="847">
        <v>0</v>
      </c>
      <c r="BU269" s="847">
        <v>0</v>
      </c>
      <c r="BV269" s="847">
        <v>0</v>
      </c>
      <c r="BW269" s="847">
        <v>0</v>
      </c>
      <c r="BX269" s="847">
        <v>0</v>
      </c>
      <c r="BY269" s="847">
        <v>0</v>
      </c>
      <c r="BZ269" s="847">
        <v>0</v>
      </c>
      <c r="CA269" s="847">
        <v>0</v>
      </c>
      <c r="CB269" s="847">
        <v>0</v>
      </c>
      <c r="CC269" s="847">
        <v>0</v>
      </c>
      <c r="CD269" s="847">
        <v>0</v>
      </c>
      <c r="CE269" s="847">
        <v>0</v>
      </c>
      <c r="CF269" s="847">
        <v>0</v>
      </c>
      <c r="CG269" s="847">
        <v>0</v>
      </c>
      <c r="CH269" s="847">
        <v>0</v>
      </c>
      <c r="CI269" s="847">
        <v>0</v>
      </c>
      <c r="CJ269" s="847">
        <v>0</v>
      </c>
      <c r="CK269" s="847">
        <v>0</v>
      </c>
      <c r="CL269" s="847">
        <v>0</v>
      </c>
      <c r="CM269" s="847">
        <v>0</v>
      </c>
      <c r="CN269" s="847">
        <v>0</v>
      </c>
      <c r="CO269" s="847">
        <v>109400</v>
      </c>
      <c r="CP269" s="847">
        <v>0</v>
      </c>
      <c r="CQ269" s="847">
        <v>0</v>
      </c>
      <c r="CR269" s="847">
        <v>0</v>
      </c>
      <c r="CS269" s="847">
        <v>0</v>
      </c>
      <c r="CT269" s="847">
        <v>0</v>
      </c>
      <c r="CU269" s="847">
        <v>0</v>
      </c>
      <c r="CV269" s="847">
        <v>0</v>
      </c>
      <c r="CW269" s="847">
        <v>0</v>
      </c>
      <c r="CX269" s="847">
        <v>0</v>
      </c>
      <c r="CY269" s="847">
        <v>0</v>
      </c>
      <c r="CZ269" s="847">
        <v>0</v>
      </c>
      <c r="DA269" s="847">
        <v>0</v>
      </c>
      <c r="DB269" s="847">
        <v>0</v>
      </c>
      <c r="DC269" s="847">
        <v>0</v>
      </c>
      <c r="DD269" s="847">
        <v>0</v>
      </c>
      <c r="DE269" s="847">
        <v>0</v>
      </c>
      <c r="DF269" s="847">
        <v>0</v>
      </c>
      <c r="DG269" s="847">
        <v>0</v>
      </c>
      <c r="DH269" s="847">
        <v>0</v>
      </c>
      <c r="DI269" s="847">
        <v>0</v>
      </c>
      <c r="DJ269" s="847">
        <v>0</v>
      </c>
      <c r="DK269" s="847">
        <v>0</v>
      </c>
      <c r="DL269" s="847">
        <v>0</v>
      </c>
      <c r="DM269" s="847">
        <v>0</v>
      </c>
      <c r="DN269" s="847">
        <v>0</v>
      </c>
      <c r="DO269" s="847">
        <v>0</v>
      </c>
      <c r="DP269" s="847">
        <v>0</v>
      </c>
      <c r="DQ269" s="847">
        <v>0</v>
      </c>
      <c r="DR269" s="847">
        <v>0</v>
      </c>
      <c r="DS269" s="847">
        <v>0</v>
      </c>
      <c r="DT269" s="847">
        <v>0</v>
      </c>
      <c r="DU269" s="847">
        <v>0</v>
      </c>
      <c r="DV269" s="847">
        <v>0</v>
      </c>
      <c r="DW269" s="847">
        <v>0</v>
      </c>
      <c r="DY269" s="843" t="s">
        <v>1060</v>
      </c>
      <c r="DZ269" s="843" t="s">
        <v>1382</v>
      </c>
      <c r="EA269" s="843" t="s">
        <v>97</v>
      </c>
      <c r="EB269" s="844">
        <v>34</v>
      </c>
      <c r="EC269" s="780" t="str">
        <f t="shared" si="9"/>
        <v>IWT060234</v>
      </c>
      <c r="ED269" s="844">
        <v>5295.8</v>
      </c>
      <c r="EE269" s="844">
        <v>10591.5</v>
      </c>
      <c r="EF269" s="844">
        <v>15887.3</v>
      </c>
      <c r="EG269" s="844">
        <v>21183</v>
      </c>
      <c r="EH269" s="844">
        <v>26478.799999999999</v>
      </c>
      <c r="EI269" s="844">
        <v>31774.6</v>
      </c>
      <c r="EJ269" s="844">
        <v>31774.6</v>
      </c>
      <c r="EK269" s="844">
        <v>31774.6</v>
      </c>
      <c r="EL269" s="844">
        <v>31774.6</v>
      </c>
      <c r="EM269" s="844">
        <v>32330</v>
      </c>
      <c r="EN269" s="844">
        <v>32976</v>
      </c>
      <c r="EO269" s="844">
        <v>33636</v>
      </c>
      <c r="EP269" s="844">
        <v>34308</v>
      </c>
      <c r="EQ269" s="844">
        <v>34995</v>
      </c>
      <c r="ER269" s="844">
        <v>35694</v>
      </c>
      <c r="ES269" s="844">
        <v>36408</v>
      </c>
      <c r="ET269" s="844">
        <v>37137</v>
      </c>
      <c r="EU269" s="844">
        <v>37879</v>
      </c>
      <c r="EV269" s="844">
        <v>38637</v>
      </c>
      <c r="EW269" s="844">
        <v>39410</v>
      </c>
      <c r="EX269" s="844">
        <v>40198</v>
      </c>
      <c r="EY269" s="844">
        <v>41002</v>
      </c>
      <c r="EZ269" s="844">
        <v>41822</v>
      </c>
      <c r="FA269" s="844">
        <v>42658</v>
      </c>
      <c r="FB269" s="844">
        <v>43511</v>
      </c>
      <c r="FC269" s="844">
        <v>44382</v>
      </c>
      <c r="FD269" s="844">
        <v>45269</v>
      </c>
      <c r="FE269" s="844">
        <v>46175</v>
      </c>
      <c r="FF269" s="844">
        <v>47098</v>
      </c>
      <c r="FG269" s="844">
        <v>48040</v>
      </c>
      <c r="FH269" s="844">
        <v>49001</v>
      </c>
      <c r="FI269" s="844">
        <v>49981</v>
      </c>
      <c r="FJ269" s="844">
        <v>50980</v>
      </c>
      <c r="FK269" s="844">
        <v>52000</v>
      </c>
      <c r="FL269" s="844">
        <v>53040</v>
      </c>
      <c r="FM269" s="844">
        <v>54101</v>
      </c>
      <c r="FN269" s="844">
        <v>55183</v>
      </c>
      <c r="FO269" s="844">
        <v>56286</v>
      </c>
      <c r="FP269" s="844">
        <v>57412</v>
      </c>
      <c r="FQ269" s="844">
        <v>58560</v>
      </c>
      <c r="FR269" s="844">
        <v>59731</v>
      </c>
      <c r="FS269" s="844">
        <v>60924</v>
      </c>
      <c r="FT269" s="844">
        <v>62135</v>
      </c>
      <c r="FU269" s="844">
        <v>63363</v>
      </c>
      <c r="FV269" s="844">
        <v>64609</v>
      </c>
      <c r="FW269" s="844">
        <v>66000</v>
      </c>
      <c r="FX269" s="844">
        <v>67400</v>
      </c>
      <c r="FY269" s="844">
        <v>68800</v>
      </c>
      <c r="FZ269" s="844">
        <v>70200</v>
      </c>
      <c r="GA269" s="844">
        <v>71600</v>
      </c>
      <c r="GB269" s="844">
        <v>73000</v>
      </c>
      <c r="GC269" s="844">
        <v>74400</v>
      </c>
      <c r="GD269" s="844">
        <v>75800</v>
      </c>
      <c r="GE269" s="844">
        <v>77200</v>
      </c>
      <c r="GF269" s="844">
        <v>78600</v>
      </c>
      <c r="GG269" s="844">
        <v>80000</v>
      </c>
      <c r="GH269" s="844">
        <v>81400</v>
      </c>
      <c r="GI269" s="844">
        <v>82800</v>
      </c>
      <c r="GJ269" s="844">
        <v>84200</v>
      </c>
      <c r="GK269" s="844">
        <v>85600</v>
      </c>
      <c r="GL269" s="844">
        <v>87000</v>
      </c>
      <c r="GM269" s="844">
        <v>88400</v>
      </c>
      <c r="GN269" s="844">
        <v>89800</v>
      </c>
      <c r="GO269" s="844">
        <v>91200</v>
      </c>
      <c r="GP269" s="844">
        <v>92600</v>
      </c>
      <c r="GQ269" s="844">
        <v>94000</v>
      </c>
      <c r="GR269" s="844">
        <v>95400</v>
      </c>
      <c r="GS269" s="844">
        <v>96800</v>
      </c>
      <c r="GT269" s="844">
        <v>98200</v>
      </c>
      <c r="GU269" s="844">
        <v>99600</v>
      </c>
      <c r="GV269" s="844">
        <v>101032</v>
      </c>
      <c r="GW269" s="844">
        <v>102497</v>
      </c>
      <c r="GX269" s="844">
        <v>103961</v>
      </c>
      <c r="GY269" s="844">
        <v>105423</v>
      </c>
      <c r="GZ269" s="844">
        <v>106884</v>
      </c>
      <c r="HA269" s="844">
        <v>108322</v>
      </c>
      <c r="HB269" s="844">
        <v>109400</v>
      </c>
      <c r="HC269" s="844">
        <v>0</v>
      </c>
      <c r="HD269" s="844">
        <v>0</v>
      </c>
      <c r="HE269" s="844">
        <v>0</v>
      </c>
      <c r="HF269" s="844">
        <v>0</v>
      </c>
      <c r="HG269" s="844">
        <v>0</v>
      </c>
      <c r="HH269" s="844">
        <v>0</v>
      </c>
      <c r="HI269" s="844">
        <v>0</v>
      </c>
      <c r="HJ269" s="844">
        <v>0</v>
      </c>
      <c r="HK269" s="844">
        <v>0</v>
      </c>
      <c r="HL269" s="844">
        <v>0</v>
      </c>
      <c r="HM269" s="844">
        <v>0</v>
      </c>
      <c r="HN269" s="844">
        <v>0</v>
      </c>
      <c r="HO269" s="844">
        <v>0</v>
      </c>
      <c r="HP269" s="844">
        <v>0</v>
      </c>
      <c r="HQ269" s="844">
        <v>0</v>
      </c>
      <c r="HR269" s="844">
        <v>0</v>
      </c>
      <c r="HS269" s="844">
        <v>0</v>
      </c>
      <c r="HT269" s="844">
        <v>0</v>
      </c>
      <c r="HU269" s="844">
        <v>0</v>
      </c>
      <c r="HV269" s="844">
        <v>0</v>
      </c>
      <c r="HW269" s="844">
        <v>0</v>
      </c>
      <c r="HX269" s="844">
        <v>0</v>
      </c>
      <c r="HY269" s="844">
        <v>0</v>
      </c>
      <c r="HZ269" s="844">
        <v>0</v>
      </c>
      <c r="IA269" s="844">
        <v>0</v>
      </c>
      <c r="IB269" s="844">
        <v>0</v>
      </c>
      <c r="IC269" s="844">
        <v>0</v>
      </c>
      <c r="ID269" s="844">
        <v>0</v>
      </c>
      <c r="IE269" s="844">
        <v>0</v>
      </c>
      <c r="IF269" s="844">
        <v>0</v>
      </c>
      <c r="IG269" s="844">
        <v>0</v>
      </c>
      <c r="IH269" s="844">
        <v>0</v>
      </c>
      <c r="II269" s="844">
        <v>0</v>
      </c>
      <c r="IJ269" s="844">
        <v>0</v>
      </c>
    </row>
    <row r="270" spans="9:244" hidden="1">
      <c r="I270" s="156"/>
      <c r="L270" s="846" t="s">
        <v>1060</v>
      </c>
      <c r="M270" s="846" t="s">
        <v>1382</v>
      </c>
      <c r="N270" s="846" t="s">
        <v>97</v>
      </c>
      <c r="O270" s="847">
        <v>35</v>
      </c>
      <c r="P270" s="780" t="str">
        <f t="shared" si="8"/>
        <v>IWT060235</v>
      </c>
      <c r="Q270" s="847">
        <v>0</v>
      </c>
      <c r="R270" s="847">
        <v>0</v>
      </c>
      <c r="S270" s="847">
        <v>0</v>
      </c>
      <c r="T270" s="847">
        <v>0</v>
      </c>
      <c r="U270" s="847">
        <v>0</v>
      </c>
      <c r="V270" s="847">
        <v>0</v>
      </c>
      <c r="W270" s="847">
        <v>0</v>
      </c>
      <c r="X270" s="847">
        <v>0</v>
      </c>
      <c r="Y270" s="847">
        <v>0</v>
      </c>
      <c r="Z270" s="847">
        <v>0</v>
      </c>
      <c r="AA270" s="847">
        <v>0</v>
      </c>
      <c r="AB270" s="847">
        <v>0</v>
      </c>
      <c r="AC270" s="847">
        <v>0</v>
      </c>
      <c r="AD270" s="847">
        <v>0</v>
      </c>
      <c r="AE270" s="847">
        <v>0</v>
      </c>
      <c r="AF270" s="847">
        <v>0</v>
      </c>
      <c r="AG270" s="847">
        <v>0</v>
      </c>
      <c r="AH270" s="847">
        <v>0</v>
      </c>
      <c r="AI270" s="847">
        <v>0</v>
      </c>
      <c r="AJ270" s="847">
        <v>0</v>
      </c>
      <c r="AK270" s="847">
        <v>0</v>
      </c>
      <c r="AL270" s="847">
        <v>0</v>
      </c>
      <c r="AM270" s="847">
        <v>0</v>
      </c>
      <c r="AN270" s="847">
        <v>0</v>
      </c>
      <c r="AO270" s="847">
        <v>0</v>
      </c>
      <c r="AP270" s="847">
        <v>0</v>
      </c>
      <c r="AQ270" s="847">
        <v>0</v>
      </c>
      <c r="AR270" s="847">
        <v>0</v>
      </c>
      <c r="AS270" s="847">
        <v>0</v>
      </c>
      <c r="AT270" s="847">
        <v>0</v>
      </c>
      <c r="AU270" s="847">
        <v>0</v>
      </c>
      <c r="AV270" s="847">
        <v>0</v>
      </c>
      <c r="AW270" s="847">
        <v>0</v>
      </c>
      <c r="AX270" s="847">
        <v>0</v>
      </c>
      <c r="AY270" s="847">
        <v>0</v>
      </c>
      <c r="AZ270" s="847">
        <v>0</v>
      </c>
      <c r="BA270" s="847">
        <v>0</v>
      </c>
      <c r="BB270" s="847">
        <v>0</v>
      </c>
      <c r="BC270" s="847">
        <v>0</v>
      </c>
      <c r="BD270" s="847">
        <v>0</v>
      </c>
      <c r="BE270" s="847">
        <v>0</v>
      </c>
      <c r="BF270" s="847">
        <v>0</v>
      </c>
      <c r="BG270" s="847">
        <v>0</v>
      </c>
      <c r="BH270" s="847">
        <v>0</v>
      </c>
      <c r="BI270" s="847">
        <v>0</v>
      </c>
      <c r="BJ270" s="847">
        <v>0</v>
      </c>
      <c r="BK270" s="847">
        <v>0</v>
      </c>
      <c r="BL270" s="847">
        <v>0</v>
      </c>
      <c r="BM270" s="847">
        <v>0</v>
      </c>
      <c r="BN270" s="847">
        <v>0</v>
      </c>
      <c r="BO270" s="847">
        <v>0</v>
      </c>
      <c r="BP270" s="847">
        <v>0</v>
      </c>
      <c r="BQ270" s="847">
        <v>0</v>
      </c>
      <c r="BR270" s="847">
        <v>0</v>
      </c>
      <c r="BS270" s="847">
        <v>0</v>
      </c>
      <c r="BT270" s="847">
        <v>0</v>
      </c>
      <c r="BU270" s="847">
        <v>0</v>
      </c>
      <c r="BV270" s="847">
        <v>0</v>
      </c>
      <c r="BW270" s="847">
        <v>0</v>
      </c>
      <c r="BX270" s="847">
        <v>0</v>
      </c>
      <c r="BY270" s="847">
        <v>0</v>
      </c>
      <c r="BZ270" s="847">
        <v>0</v>
      </c>
      <c r="CA270" s="847">
        <v>0</v>
      </c>
      <c r="CB270" s="847">
        <v>0</v>
      </c>
      <c r="CC270" s="847">
        <v>0</v>
      </c>
      <c r="CD270" s="847">
        <v>0</v>
      </c>
      <c r="CE270" s="847">
        <v>0</v>
      </c>
      <c r="CF270" s="847">
        <v>0</v>
      </c>
      <c r="CG270" s="847">
        <v>0</v>
      </c>
      <c r="CH270" s="847">
        <v>0</v>
      </c>
      <c r="CI270" s="847">
        <v>0</v>
      </c>
      <c r="CJ270" s="847">
        <v>0</v>
      </c>
      <c r="CK270" s="847">
        <v>0</v>
      </c>
      <c r="CL270" s="847">
        <v>0</v>
      </c>
      <c r="CM270" s="847">
        <v>0</v>
      </c>
      <c r="CN270" s="847">
        <v>108000</v>
      </c>
      <c r="CO270" s="847">
        <v>0</v>
      </c>
      <c r="CP270" s="847">
        <v>0</v>
      </c>
      <c r="CQ270" s="847">
        <v>0</v>
      </c>
      <c r="CR270" s="847">
        <v>0</v>
      </c>
      <c r="CS270" s="847">
        <v>0</v>
      </c>
      <c r="CT270" s="847">
        <v>0</v>
      </c>
      <c r="CU270" s="847">
        <v>0</v>
      </c>
      <c r="CV270" s="847">
        <v>0</v>
      </c>
      <c r="CW270" s="847">
        <v>0</v>
      </c>
      <c r="CX270" s="847">
        <v>0</v>
      </c>
      <c r="CY270" s="847">
        <v>0</v>
      </c>
      <c r="CZ270" s="847">
        <v>0</v>
      </c>
      <c r="DA270" s="847">
        <v>0</v>
      </c>
      <c r="DB270" s="847">
        <v>0</v>
      </c>
      <c r="DC270" s="847">
        <v>0</v>
      </c>
      <c r="DD270" s="847">
        <v>0</v>
      </c>
      <c r="DE270" s="847">
        <v>0</v>
      </c>
      <c r="DF270" s="847">
        <v>0</v>
      </c>
      <c r="DG270" s="847">
        <v>0</v>
      </c>
      <c r="DH270" s="847">
        <v>0</v>
      </c>
      <c r="DI270" s="847">
        <v>0</v>
      </c>
      <c r="DJ270" s="847">
        <v>0</v>
      </c>
      <c r="DK270" s="847">
        <v>0</v>
      </c>
      <c r="DL270" s="847">
        <v>0</v>
      </c>
      <c r="DM270" s="847">
        <v>0</v>
      </c>
      <c r="DN270" s="847">
        <v>0</v>
      </c>
      <c r="DO270" s="847">
        <v>0</v>
      </c>
      <c r="DP270" s="847">
        <v>0</v>
      </c>
      <c r="DQ270" s="847">
        <v>0</v>
      </c>
      <c r="DR270" s="847">
        <v>0</v>
      </c>
      <c r="DS270" s="847">
        <v>0</v>
      </c>
      <c r="DT270" s="847">
        <v>0</v>
      </c>
      <c r="DU270" s="847">
        <v>0</v>
      </c>
      <c r="DV270" s="847">
        <v>0</v>
      </c>
      <c r="DW270" s="847">
        <v>0</v>
      </c>
      <c r="DY270" s="843" t="s">
        <v>1060</v>
      </c>
      <c r="DZ270" s="843" t="s">
        <v>1382</v>
      </c>
      <c r="EA270" s="843" t="s">
        <v>97</v>
      </c>
      <c r="EB270" s="844">
        <v>35</v>
      </c>
      <c r="EC270" s="780" t="str">
        <f t="shared" si="9"/>
        <v>IWT060235</v>
      </c>
      <c r="ED270" s="844">
        <v>5304.2</v>
      </c>
      <c r="EE270" s="844">
        <v>10608.5</v>
      </c>
      <c r="EF270" s="844">
        <v>15912.7</v>
      </c>
      <c r="EG270" s="844">
        <v>21217</v>
      </c>
      <c r="EH270" s="844">
        <v>26521.200000000001</v>
      </c>
      <c r="EI270" s="844">
        <v>31825.4</v>
      </c>
      <c r="EJ270" s="844">
        <v>31825.4</v>
      </c>
      <c r="EK270" s="844">
        <v>31825.4</v>
      </c>
      <c r="EL270" s="844">
        <v>31825.4</v>
      </c>
      <c r="EM270" s="844">
        <v>32380</v>
      </c>
      <c r="EN270" s="844">
        <v>33027</v>
      </c>
      <c r="EO270" s="844">
        <v>33688</v>
      </c>
      <c r="EP270" s="844">
        <v>34361</v>
      </c>
      <c r="EQ270" s="844">
        <v>35049</v>
      </c>
      <c r="ER270" s="844">
        <v>35750</v>
      </c>
      <c r="ES270" s="844">
        <v>36465</v>
      </c>
      <c r="ET270" s="844">
        <v>37194</v>
      </c>
      <c r="EU270" s="844">
        <v>37938</v>
      </c>
      <c r="EV270" s="844">
        <v>38697</v>
      </c>
      <c r="EW270" s="844">
        <v>39470</v>
      </c>
      <c r="EX270" s="844">
        <v>40260</v>
      </c>
      <c r="EY270" s="844">
        <v>41065</v>
      </c>
      <c r="EZ270" s="844">
        <v>41886</v>
      </c>
      <c r="FA270" s="844">
        <v>42724</v>
      </c>
      <c r="FB270" s="844">
        <v>43579</v>
      </c>
      <c r="FC270" s="844">
        <v>44450</v>
      </c>
      <c r="FD270" s="844">
        <v>45339</v>
      </c>
      <c r="FE270" s="844">
        <v>46246</v>
      </c>
      <c r="FF270" s="844">
        <v>47171</v>
      </c>
      <c r="FG270" s="844">
        <v>48114</v>
      </c>
      <c r="FH270" s="844">
        <v>49076</v>
      </c>
      <c r="FI270" s="844">
        <v>50058</v>
      </c>
      <c r="FJ270" s="844">
        <v>51059</v>
      </c>
      <c r="FK270" s="844">
        <v>52080</v>
      </c>
      <c r="FL270" s="844">
        <v>53122</v>
      </c>
      <c r="FM270" s="844">
        <v>54184</v>
      </c>
      <c r="FN270" s="844">
        <v>55268</v>
      </c>
      <c r="FO270" s="844">
        <v>56373</v>
      </c>
      <c r="FP270" s="844">
        <v>57501</v>
      </c>
      <c r="FQ270" s="844">
        <v>58651</v>
      </c>
      <c r="FR270" s="844">
        <v>59823</v>
      </c>
      <c r="FS270" s="844">
        <v>61020</v>
      </c>
      <c r="FT270" s="844">
        <v>62235</v>
      </c>
      <c r="FU270" s="844">
        <v>63467</v>
      </c>
      <c r="FV270" s="844">
        <v>64717</v>
      </c>
      <c r="FW270" s="844">
        <v>66000</v>
      </c>
      <c r="FX270" s="844">
        <v>67400</v>
      </c>
      <c r="FY270" s="844">
        <v>68800</v>
      </c>
      <c r="FZ270" s="844">
        <v>70200</v>
      </c>
      <c r="GA270" s="844">
        <v>71600</v>
      </c>
      <c r="GB270" s="844">
        <v>73000</v>
      </c>
      <c r="GC270" s="844">
        <v>74400</v>
      </c>
      <c r="GD270" s="844">
        <v>75800</v>
      </c>
      <c r="GE270" s="844">
        <v>77200</v>
      </c>
      <c r="GF270" s="844">
        <v>78600</v>
      </c>
      <c r="GG270" s="844">
        <v>80000</v>
      </c>
      <c r="GH270" s="844">
        <v>81400</v>
      </c>
      <c r="GI270" s="844">
        <v>82800</v>
      </c>
      <c r="GJ270" s="844">
        <v>84200</v>
      </c>
      <c r="GK270" s="844">
        <v>85600</v>
      </c>
      <c r="GL270" s="844">
        <v>87000</v>
      </c>
      <c r="GM270" s="844">
        <v>88400</v>
      </c>
      <c r="GN270" s="844">
        <v>89800</v>
      </c>
      <c r="GO270" s="844">
        <v>91200</v>
      </c>
      <c r="GP270" s="844">
        <v>92600</v>
      </c>
      <c r="GQ270" s="844">
        <v>94000</v>
      </c>
      <c r="GR270" s="844">
        <v>95400</v>
      </c>
      <c r="GS270" s="844">
        <v>96800</v>
      </c>
      <c r="GT270" s="844">
        <v>98201</v>
      </c>
      <c r="GU270" s="844">
        <v>99661</v>
      </c>
      <c r="GV270" s="844">
        <v>101122</v>
      </c>
      <c r="GW270" s="844">
        <v>102582</v>
      </c>
      <c r="GX270" s="844">
        <v>104042</v>
      </c>
      <c r="GY270" s="844">
        <v>105499</v>
      </c>
      <c r="GZ270" s="844">
        <v>106936</v>
      </c>
      <c r="HA270" s="844">
        <v>108000</v>
      </c>
      <c r="HB270" s="844">
        <v>0</v>
      </c>
      <c r="HC270" s="844">
        <v>0</v>
      </c>
      <c r="HD270" s="844">
        <v>0</v>
      </c>
      <c r="HE270" s="844">
        <v>0</v>
      </c>
      <c r="HF270" s="844">
        <v>0</v>
      </c>
      <c r="HG270" s="844">
        <v>0</v>
      </c>
      <c r="HH270" s="844">
        <v>0</v>
      </c>
      <c r="HI270" s="844">
        <v>0</v>
      </c>
      <c r="HJ270" s="844">
        <v>0</v>
      </c>
      <c r="HK270" s="844">
        <v>0</v>
      </c>
      <c r="HL270" s="844">
        <v>0</v>
      </c>
      <c r="HM270" s="844">
        <v>0</v>
      </c>
      <c r="HN270" s="844">
        <v>0</v>
      </c>
      <c r="HO270" s="844">
        <v>0</v>
      </c>
      <c r="HP270" s="844">
        <v>0</v>
      </c>
      <c r="HQ270" s="844">
        <v>0</v>
      </c>
      <c r="HR270" s="844">
        <v>0</v>
      </c>
      <c r="HS270" s="844">
        <v>0</v>
      </c>
      <c r="HT270" s="844">
        <v>0</v>
      </c>
      <c r="HU270" s="844">
        <v>0</v>
      </c>
      <c r="HV270" s="844">
        <v>0</v>
      </c>
      <c r="HW270" s="844">
        <v>0</v>
      </c>
      <c r="HX270" s="844">
        <v>0</v>
      </c>
      <c r="HY270" s="844">
        <v>0</v>
      </c>
      <c r="HZ270" s="844">
        <v>0</v>
      </c>
      <c r="IA270" s="844">
        <v>0</v>
      </c>
      <c r="IB270" s="844">
        <v>0</v>
      </c>
      <c r="IC270" s="844">
        <v>0</v>
      </c>
      <c r="ID270" s="844">
        <v>0</v>
      </c>
      <c r="IE270" s="844">
        <v>0</v>
      </c>
      <c r="IF270" s="844">
        <v>0</v>
      </c>
      <c r="IG270" s="844">
        <v>0</v>
      </c>
      <c r="IH270" s="844">
        <v>0</v>
      </c>
      <c r="II270" s="844">
        <v>0</v>
      </c>
      <c r="IJ270" s="844">
        <v>0</v>
      </c>
    </row>
    <row r="271" spans="9:244" hidden="1">
      <c r="I271" s="156"/>
      <c r="L271" s="846" t="s">
        <v>1060</v>
      </c>
      <c r="M271" s="846" t="s">
        <v>1382</v>
      </c>
      <c r="N271" s="846" t="s">
        <v>97</v>
      </c>
      <c r="O271" s="847">
        <v>36</v>
      </c>
      <c r="P271" s="780" t="str">
        <f t="shared" si="8"/>
        <v>IWT060236</v>
      </c>
      <c r="Q271" s="847">
        <v>0</v>
      </c>
      <c r="R271" s="847">
        <v>0</v>
      </c>
      <c r="S271" s="847">
        <v>0</v>
      </c>
      <c r="T271" s="847">
        <v>0</v>
      </c>
      <c r="U271" s="847">
        <v>0</v>
      </c>
      <c r="V271" s="847">
        <v>0</v>
      </c>
      <c r="W271" s="847">
        <v>0</v>
      </c>
      <c r="X271" s="847">
        <v>0</v>
      </c>
      <c r="Y271" s="847">
        <v>0</v>
      </c>
      <c r="Z271" s="847">
        <v>0</v>
      </c>
      <c r="AA271" s="847">
        <v>0</v>
      </c>
      <c r="AB271" s="847">
        <v>0</v>
      </c>
      <c r="AC271" s="847">
        <v>0</v>
      </c>
      <c r="AD271" s="847">
        <v>0</v>
      </c>
      <c r="AE271" s="847">
        <v>0</v>
      </c>
      <c r="AF271" s="847">
        <v>0</v>
      </c>
      <c r="AG271" s="847">
        <v>0</v>
      </c>
      <c r="AH271" s="847">
        <v>0</v>
      </c>
      <c r="AI271" s="847">
        <v>0</v>
      </c>
      <c r="AJ271" s="847">
        <v>0</v>
      </c>
      <c r="AK271" s="847">
        <v>0</v>
      </c>
      <c r="AL271" s="847">
        <v>0</v>
      </c>
      <c r="AM271" s="847">
        <v>0</v>
      </c>
      <c r="AN271" s="847">
        <v>0</v>
      </c>
      <c r="AO271" s="847">
        <v>0</v>
      </c>
      <c r="AP271" s="847">
        <v>0</v>
      </c>
      <c r="AQ271" s="847">
        <v>0</v>
      </c>
      <c r="AR271" s="847">
        <v>0</v>
      </c>
      <c r="AS271" s="847">
        <v>0</v>
      </c>
      <c r="AT271" s="847">
        <v>0</v>
      </c>
      <c r="AU271" s="847">
        <v>0</v>
      </c>
      <c r="AV271" s="847">
        <v>0</v>
      </c>
      <c r="AW271" s="847">
        <v>0</v>
      </c>
      <c r="AX271" s="847">
        <v>0</v>
      </c>
      <c r="AY271" s="847">
        <v>0</v>
      </c>
      <c r="AZ271" s="847">
        <v>0</v>
      </c>
      <c r="BA271" s="847">
        <v>0</v>
      </c>
      <c r="BB271" s="847">
        <v>0</v>
      </c>
      <c r="BC271" s="847">
        <v>0</v>
      </c>
      <c r="BD271" s="847">
        <v>0</v>
      </c>
      <c r="BE271" s="847">
        <v>0</v>
      </c>
      <c r="BF271" s="847">
        <v>0</v>
      </c>
      <c r="BG271" s="847">
        <v>0</v>
      </c>
      <c r="BH271" s="847">
        <v>0</v>
      </c>
      <c r="BI271" s="847">
        <v>0</v>
      </c>
      <c r="BJ271" s="847">
        <v>0</v>
      </c>
      <c r="BK271" s="847">
        <v>0</v>
      </c>
      <c r="BL271" s="847">
        <v>0</v>
      </c>
      <c r="BM271" s="847">
        <v>0</v>
      </c>
      <c r="BN271" s="847">
        <v>0</v>
      </c>
      <c r="BO271" s="847">
        <v>0</v>
      </c>
      <c r="BP271" s="847">
        <v>0</v>
      </c>
      <c r="BQ271" s="847">
        <v>0</v>
      </c>
      <c r="BR271" s="847">
        <v>0</v>
      </c>
      <c r="BS271" s="847">
        <v>0</v>
      </c>
      <c r="BT271" s="847">
        <v>0</v>
      </c>
      <c r="BU271" s="847">
        <v>0</v>
      </c>
      <c r="BV271" s="847">
        <v>0</v>
      </c>
      <c r="BW271" s="847">
        <v>0</v>
      </c>
      <c r="BX271" s="847">
        <v>0</v>
      </c>
      <c r="BY271" s="847">
        <v>0</v>
      </c>
      <c r="BZ271" s="847">
        <v>0</v>
      </c>
      <c r="CA271" s="847">
        <v>0</v>
      </c>
      <c r="CB271" s="847">
        <v>0</v>
      </c>
      <c r="CC271" s="847">
        <v>0</v>
      </c>
      <c r="CD271" s="847">
        <v>0</v>
      </c>
      <c r="CE271" s="847">
        <v>0</v>
      </c>
      <c r="CF271" s="847">
        <v>0</v>
      </c>
      <c r="CG271" s="847">
        <v>0</v>
      </c>
      <c r="CH271" s="847">
        <v>0</v>
      </c>
      <c r="CI271" s="847">
        <v>0</v>
      </c>
      <c r="CJ271" s="847">
        <v>0</v>
      </c>
      <c r="CK271" s="847">
        <v>0</v>
      </c>
      <c r="CL271" s="847">
        <v>0</v>
      </c>
      <c r="CM271" s="847">
        <v>106600</v>
      </c>
      <c r="CN271" s="847">
        <v>0</v>
      </c>
      <c r="CO271" s="847">
        <v>0</v>
      </c>
      <c r="CP271" s="847">
        <v>0</v>
      </c>
      <c r="CQ271" s="847">
        <v>0</v>
      </c>
      <c r="CR271" s="847">
        <v>0</v>
      </c>
      <c r="CS271" s="847">
        <v>0</v>
      </c>
      <c r="CT271" s="847">
        <v>0</v>
      </c>
      <c r="CU271" s="847">
        <v>0</v>
      </c>
      <c r="CV271" s="847">
        <v>0</v>
      </c>
      <c r="CW271" s="847">
        <v>0</v>
      </c>
      <c r="CX271" s="847">
        <v>0</v>
      </c>
      <c r="CY271" s="847">
        <v>0</v>
      </c>
      <c r="CZ271" s="847">
        <v>0</v>
      </c>
      <c r="DA271" s="847">
        <v>0</v>
      </c>
      <c r="DB271" s="847">
        <v>0</v>
      </c>
      <c r="DC271" s="847">
        <v>0</v>
      </c>
      <c r="DD271" s="847">
        <v>0</v>
      </c>
      <c r="DE271" s="847">
        <v>0</v>
      </c>
      <c r="DF271" s="847">
        <v>0</v>
      </c>
      <c r="DG271" s="847">
        <v>0</v>
      </c>
      <c r="DH271" s="847">
        <v>0</v>
      </c>
      <c r="DI271" s="847">
        <v>0</v>
      </c>
      <c r="DJ271" s="847">
        <v>0</v>
      </c>
      <c r="DK271" s="847">
        <v>0</v>
      </c>
      <c r="DL271" s="847">
        <v>0</v>
      </c>
      <c r="DM271" s="847">
        <v>0</v>
      </c>
      <c r="DN271" s="847">
        <v>0</v>
      </c>
      <c r="DO271" s="847">
        <v>0</v>
      </c>
      <c r="DP271" s="847">
        <v>0</v>
      </c>
      <c r="DQ271" s="847">
        <v>0</v>
      </c>
      <c r="DR271" s="847">
        <v>0</v>
      </c>
      <c r="DS271" s="847">
        <v>0</v>
      </c>
      <c r="DT271" s="847">
        <v>0</v>
      </c>
      <c r="DU271" s="847">
        <v>0</v>
      </c>
      <c r="DV271" s="847">
        <v>0</v>
      </c>
      <c r="DW271" s="847">
        <v>0</v>
      </c>
      <c r="DY271" s="843" t="s">
        <v>1060</v>
      </c>
      <c r="DZ271" s="843" t="s">
        <v>1382</v>
      </c>
      <c r="EA271" s="843" t="s">
        <v>97</v>
      </c>
      <c r="EB271" s="844">
        <v>36</v>
      </c>
      <c r="EC271" s="780" t="str">
        <f t="shared" si="9"/>
        <v>IWT060236</v>
      </c>
      <c r="ED271" s="844">
        <v>5311.7</v>
      </c>
      <c r="EE271" s="844">
        <v>10623.3</v>
      </c>
      <c r="EF271" s="844">
        <v>15935</v>
      </c>
      <c r="EG271" s="844">
        <v>21246.6</v>
      </c>
      <c r="EH271" s="844">
        <v>26558.3</v>
      </c>
      <c r="EI271" s="844">
        <v>31870</v>
      </c>
      <c r="EJ271" s="844">
        <v>31870</v>
      </c>
      <c r="EK271" s="844">
        <v>31870</v>
      </c>
      <c r="EL271" s="844">
        <v>31870</v>
      </c>
      <c r="EM271" s="844">
        <v>32425</v>
      </c>
      <c r="EN271" s="844">
        <v>33074</v>
      </c>
      <c r="EO271" s="844">
        <v>33735</v>
      </c>
      <c r="EP271" s="844">
        <v>34410</v>
      </c>
      <c r="EQ271" s="844">
        <v>35098</v>
      </c>
      <c r="ER271" s="844">
        <v>35800</v>
      </c>
      <c r="ES271" s="844">
        <v>36516</v>
      </c>
      <c r="ET271" s="844">
        <v>37247</v>
      </c>
      <c r="EU271" s="844">
        <v>37992</v>
      </c>
      <c r="EV271" s="844">
        <v>38751</v>
      </c>
      <c r="EW271" s="844">
        <v>39526</v>
      </c>
      <c r="EX271" s="844">
        <v>40317</v>
      </c>
      <c r="EY271" s="844">
        <v>41123</v>
      </c>
      <c r="EZ271" s="844">
        <v>41946</v>
      </c>
      <c r="FA271" s="844">
        <v>42785</v>
      </c>
      <c r="FB271" s="844">
        <v>43640</v>
      </c>
      <c r="FC271" s="844">
        <v>44513</v>
      </c>
      <c r="FD271" s="844">
        <v>45403</v>
      </c>
      <c r="FE271" s="844">
        <v>46311</v>
      </c>
      <c r="FF271" s="844">
        <v>47238</v>
      </c>
      <c r="FG271" s="844">
        <v>48182</v>
      </c>
      <c r="FH271" s="844">
        <v>49146</v>
      </c>
      <c r="FI271" s="844">
        <v>50129</v>
      </c>
      <c r="FJ271" s="844">
        <v>51131</v>
      </c>
      <c r="FK271" s="844">
        <v>52154</v>
      </c>
      <c r="FL271" s="844">
        <v>53197</v>
      </c>
      <c r="FM271" s="844">
        <v>54261</v>
      </c>
      <c r="FN271" s="844">
        <v>55346</v>
      </c>
      <c r="FO271" s="844">
        <v>56453</v>
      </c>
      <c r="FP271" s="844">
        <v>57582</v>
      </c>
      <c r="FQ271" s="844">
        <v>58733</v>
      </c>
      <c r="FR271" s="844">
        <v>59908</v>
      </c>
      <c r="FS271" s="844">
        <v>61106</v>
      </c>
      <c r="FT271" s="844">
        <v>62325</v>
      </c>
      <c r="FU271" s="844">
        <v>63562</v>
      </c>
      <c r="FV271" s="844">
        <v>64815</v>
      </c>
      <c r="FW271" s="844">
        <v>66085</v>
      </c>
      <c r="FX271" s="844">
        <v>67400</v>
      </c>
      <c r="FY271" s="844">
        <v>68800</v>
      </c>
      <c r="FZ271" s="844">
        <v>70200</v>
      </c>
      <c r="GA271" s="844">
        <v>71600</v>
      </c>
      <c r="GB271" s="844">
        <v>73000</v>
      </c>
      <c r="GC271" s="844">
        <v>74400</v>
      </c>
      <c r="GD271" s="844">
        <v>75800</v>
      </c>
      <c r="GE271" s="844">
        <v>77200</v>
      </c>
      <c r="GF271" s="844">
        <v>78600</v>
      </c>
      <c r="GG271" s="844">
        <v>80000</v>
      </c>
      <c r="GH271" s="844">
        <v>81400</v>
      </c>
      <c r="GI271" s="844">
        <v>82800</v>
      </c>
      <c r="GJ271" s="844">
        <v>84200</v>
      </c>
      <c r="GK271" s="844">
        <v>85600</v>
      </c>
      <c r="GL271" s="844">
        <v>87000</v>
      </c>
      <c r="GM271" s="844">
        <v>88400</v>
      </c>
      <c r="GN271" s="844">
        <v>89800</v>
      </c>
      <c r="GO271" s="844">
        <v>91200</v>
      </c>
      <c r="GP271" s="844">
        <v>92600</v>
      </c>
      <c r="GQ271" s="844">
        <v>94000</v>
      </c>
      <c r="GR271" s="844">
        <v>95400</v>
      </c>
      <c r="GS271" s="844">
        <v>96834</v>
      </c>
      <c r="GT271" s="844">
        <v>98291</v>
      </c>
      <c r="GU271" s="844">
        <v>99747</v>
      </c>
      <c r="GV271" s="844">
        <v>101204</v>
      </c>
      <c r="GW271" s="844">
        <v>102661</v>
      </c>
      <c r="GX271" s="844">
        <v>104115</v>
      </c>
      <c r="GY271" s="844">
        <v>105550</v>
      </c>
      <c r="GZ271" s="844">
        <v>106600</v>
      </c>
      <c r="HA271" s="844">
        <v>0</v>
      </c>
      <c r="HB271" s="844">
        <v>0</v>
      </c>
      <c r="HC271" s="844">
        <v>0</v>
      </c>
      <c r="HD271" s="844">
        <v>0</v>
      </c>
      <c r="HE271" s="844">
        <v>0</v>
      </c>
      <c r="HF271" s="844">
        <v>0</v>
      </c>
      <c r="HG271" s="844">
        <v>0</v>
      </c>
      <c r="HH271" s="844">
        <v>0</v>
      </c>
      <c r="HI271" s="844">
        <v>0</v>
      </c>
      <c r="HJ271" s="844">
        <v>0</v>
      </c>
      <c r="HK271" s="844">
        <v>0</v>
      </c>
      <c r="HL271" s="844">
        <v>0</v>
      </c>
      <c r="HM271" s="844">
        <v>0</v>
      </c>
      <c r="HN271" s="844">
        <v>0</v>
      </c>
      <c r="HO271" s="844">
        <v>0</v>
      </c>
      <c r="HP271" s="844">
        <v>0</v>
      </c>
      <c r="HQ271" s="844">
        <v>0</v>
      </c>
      <c r="HR271" s="844">
        <v>0</v>
      </c>
      <c r="HS271" s="844">
        <v>0</v>
      </c>
      <c r="HT271" s="844">
        <v>0</v>
      </c>
      <c r="HU271" s="844">
        <v>0</v>
      </c>
      <c r="HV271" s="844">
        <v>0</v>
      </c>
      <c r="HW271" s="844">
        <v>0</v>
      </c>
      <c r="HX271" s="844">
        <v>0</v>
      </c>
      <c r="HY271" s="844">
        <v>0</v>
      </c>
      <c r="HZ271" s="844">
        <v>0</v>
      </c>
      <c r="IA271" s="844">
        <v>0</v>
      </c>
      <c r="IB271" s="844">
        <v>0</v>
      </c>
      <c r="IC271" s="844">
        <v>0</v>
      </c>
      <c r="ID271" s="844">
        <v>0</v>
      </c>
      <c r="IE271" s="844">
        <v>0</v>
      </c>
      <c r="IF271" s="844">
        <v>0</v>
      </c>
      <c r="IG271" s="844">
        <v>0</v>
      </c>
      <c r="IH271" s="844">
        <v>0</v>
      </c>
      <c r="II271" s="844">
        <v>0</v>
      </c>
      <c r="IJ271" s="844">
        <v>0</v>
      </c>
    </row>
    <row r="272" spans="9:244" hidden="1">
      <c r="I272" s="156"/>
      <c r="L272" s="846" t="s">
        <v>1060</v>
      </c>
      <c r="M272" s="846" t="s">
        <v>1382</v>
      </c>
      <c r="N272" s="846" t="s">
        <v>97</v>
      </c>
      <c r="O272" s="847">
        <v>37</v>
      </c>
      <c r="P272" s="780" t="str">
        <f t="shared" si="8"/>
        <v>IWT060237</v>
      </c>
      <c r="Q272" s="847">
        <v>0</v>
      </c>
      <c r="R272" s="847">
        <v>0</v>
      </c>
      <c r="S272" s="847">
        <v>0</v>
      </c>
      <c r="T272" s="847">
        <v>0</v>
      </c>
      <c r="U272" s="847">
        <v>0</v>
      </c>
      <c r="V272" s="847">
        <v>0</v>
      </c>
      <c r="W272" s="847">
        <v>0</v>
      </c>
      <c r="X272" s="847">
        <v>0</v>
      </c>
      <c r="Y272" s="847">
        <v>0</v>
      </c>
      <c r="Z272" s="847">
        <v>0</v>
      </c>
      <c r="AA272" s="847">
        <v>0</v>
      </c>
      <c r="AB272" s="847">
        <v>0</v>
      </c>
      <c r="AC272" s="847">
        <v>0</v>
      </c>
      <c r="AD272" s="847">
        <v>0</v>
      </c>
      <c r="AE272" s="847">
        <v>0</v>
      </c>
      <c r="AF272" s="847">
        <v>0</v>
      </c>
      <c r="AG272" s="847">
        <v>0</v>
      </c>
      <c r="AH272" s="847">
        <v>0</v>
      </c>
      <c r="AI272" s="847">
        <v>0</v>
      </c>
      <c r="AJ272" s="847">
        <v>0</v>
      </c>
      <c r="AK272" s="847">
        <v>0</v>
      </c>
      <c r="AL272" s="847">
        <v>0</v>
      </c>
      <c r="AM272" s="847">
        <v>0</v>
      </c>
      <c r="AN272" s="847">
        <v>0</v>
      </c>
      <c r="AO272" s="847">
        <v>0</v>
      </c>
      <c r="AP272" s="847">
        <v>0</v>
      </c>
      <c r="AQ272" s="847">
        <v>0</v>
      </c>
      <c r="AR272" s="847">
        <v>0</v>
      </c>
      <c r="AS272" s="847">
        <v>0</v>
      </c>
      <c r="AT272" s="847">
        <v>0</v>
      </c>
      <c r="AU272" s="847">
        <v>0</v>
      </c>
      <c r="AV272" s="847">
        <v>0</v>
      </c>
      <c r="AW272" s="847">
        <v>0</v>
      </c>
      <c r="AX272" s="847">
        <v>0</v>
      </c>
      <c r="AY272" s="847">
        <v>0</v>
      </c>
      <c r="AZ272" s="847">
        <v>0</v>
      </c>
      <c r="BA272" s="847">
        <v>0</v>
      </c>
      <c r="BB272" s="847">
        <v>0</v>
      </c>
      <c r="BC272" s="847">
        <v>0</v>
      </c>
      <c r="BD272" s="847">
        <v>0</v>
      </c>
      <c r="BE272" s="847">
        <v>0</v>
      </c>
      <c r="BF272" s="847">
        <v>0</v>
      </c>
      <c r="BG272" s="847">
        <v>0</v>
      </c>
      <c r="BH272" s="847">
        <v>0</v>
      </c>
      <c r="BI272" s="847">
        <v>0</v>
      </c>
      <c r="BJ272" s="847">
        <v>0</v>
      </c>
      <c r="BK272" s="847">
        <v>0</v>
      </c>
      <c r="BL272" s="847">
        <v>0</v>
      </c>
      <c r="BM272" s="847">
        <v>0</v>
      </c>
      <c r="BN272" s="847">
        <v>0</v>
      </c>
      <c r="BO272" s="847">
        <v>0</v>
      </c>
      <c r="BP272" s="847">
        <v>0</v>
      </c>
      <c r="BQ272" s="847">
        <v>0</v>
      </c>
      <c r="BR272" s="847">
        <v>0</v>
      </c>
      <c r="BS272" s="847">
        <v>0</v>
      </c>
      <c r="BT272" s="847">
        <v>0</v>
      </c>
      <c r="BU272" s="847">
        <v>0</v>
      </c>
      <c r="BV272" s="847">
        <v>0</v>
      </c>
      <c r="BW272" s="847">
        <v>0</v>
      </c>
      <c r="BX272" s="847">
        <v>0</v>
      </c>
      <c r="BY272" s="847">
        <v>0</v>
      </c>
      <c r="BZ272" s="847">
        <v>0</v>
      </c>
      <c r="CA272" s="847">
        <v>0</v>
      </c>
      <c r="CB272" s="847">
        <v>0</v>
      </c>
      <c r="CC272" s="847">
        <v>0</v>
      </c>
      <c r="CD272" s="847">
        <v>0</v>
      </c>
      <c r="CE272" s="847">
        <v>0</v>
      </c>
      <c r="CF272" s="847">
        <v>0</v>
      </c>
      <c r="CG272" s="847">
        <v>0</v>
      </c>
      <c r="CH272" s="847">
        <v>0</v>
      </c>
      <c r="CI272" s="847">
        <v>0</v>
      </c>
      <c r="CJ272" s="847">
        <v>0</v>
      </c>
      <c r="CK272" s="847">
        <v>0</v>
      </c>
      <c r="CL272" s="847">
        <v>105200</v>
      </c>
      <c r="CM272" s="847">
        <v>0</v>
      </c>
      <c r="CN272" s="847">
        <v>0</v>
      </c>
      <c r="CO272" s="847">
        <v>0</v>
      </c>
      <c r="CP272" s="847">
        <v>0</v>
      </c>
      <c r="CQ272" s="847">
        <v>0</v>
      </c>
      <c r="CR272" s="847">
        <v>0</v>
      </c>
      <c r="CS272" s="847">
        <v>0</v>
      </c>
      <c r="CT272" s="847">
        <v>0</v>
      </c>
      <c r="CU272" s="847">
        <v>0</v>
      </c>
      <c r="CV272" s="847">
        <v>0</v>
      </c>
      <c r="CW272" s="847">
        <v>0</v>
      </c>
      <c r="CX272" s="847">
        <v>0</v>
      </c>
      <c r="CY272" s="847">
        <v>0</v>
      </c>
      <c r="CZ272" s="847">
        <v>0</v>
      </c>
      <c r="DA272" s="847">
        <v>0</v>
      </c>
      <c r="DB272" s="847">
        <v>0</v>
      </c>
      <c r="DC272" s="847">
        <v>0</v>
      </c>
      <c r="DD272" s="847">
        <v>0</v>
      </c>
      <c r="DE272" s="847">
        <v>0</v>
      </c>
      <c r="DF272" s="847">
        <v>0</v>
      </c>
      <c r="DG272" s="847">
        <v>0</v>
      </c>
      <c r="DH272" s="847">
        <v>0</v>
      </c>
      <c r="DI272" s="847">
        <v>0</v>
      </c>
      <c r="DJ272" s="847">
        <v>0</v>
      </c>
      <c r="DK272" s="847">
        <v>0</v>
      </c>
      <c r="DL272" s="847">
        <v>0</v>
      </c>
      <c r="DM272" s="847">
        <v>0</v>
      </c>
      <c r="DN272" s="847">
        <v>0</v>
      </c>
      <c r="DO272" s="847">
        <v>0</v>
      </c>
      <c r="DP272" s="847">
        <v>0</v>
      </c>
      <c r="DQ272" s="847">
        <v>0</v>
      </c>
      <c r="DR272" s="847">
        <v>0</v>
      </c>
      <c r="DS272" s="847">
        <v>0</v>
      </c>
      <c r="DT272" s="847">
        <v>0</v>
      </c>
      <c r="DU272" s="847">
        <v>0</v>
      </c>
      <c r="DV272" s="847">
        <v>0</v>
      </c>
      <c r="DW272" s="847">
        <v>0</v>
      </c>
      <c r="DY272" s="843" t="s">
        <v>1060</v>
      </c>
      <c r="DZ272" s="843" t="s">
        <v>1382</v>
      </c>
      <c r="EA272" s="843" t="s">
        <v>97</v>
      </c>
      <c r="EB272" s="844">
        <v>37</v>
      </c>
      <c r="EC272" s="780" t="str">
        <f t="shared" si="9"/>
        <v>IWT060237</v>
      </c>
      <c r="ED272" s="844">
        <v>5319.1</v>
      </c>
      <c r="EE272" s="844">
        <v>10638.2</v>
      </c>
      <c r="EF272" s="844">
        <v>15957.2</v>
      </c>
      <c r="EG272" s="844">
        <v>21276.3</v>
      </c>
      <c r="EH272" s="844">
        <v>26595.4</v>
      </c>
      <c r="EI272" s="844">
        <v>31914.5</v>
      </c>
      <c r="EJ272" s="844">
        <v>31914.5</v>
      </c>
      <c r="EK272" s="844">
        <v>31914.5</v>
      </c>
      <c r="EL272" s="844">
        <v>31914.5</v>
      </c>
      <c r="EM272" s="844">
        <v>32466</v>
      </c>
      <c r="EN272" s="844">
        <v>33116</v>
      </c>
      <c r="EO272" s="844">
        <v>33778</v>
      </c>
      <c r="EP272" s="844">
        <v>34454</v>
      </c>
      <c r="EQ272" s="844">
        <v>35143</v>
      </c>
      <c r="ER272" s="844">
        <v>35845</v>
      </c>
      <c r="ES272" s="844">
        <v>36562</v>
      </c>
      <c r="ET272" s="844">
        <v>37294</v>
      </c>
      <c r="EU272" s="844">
        <v>38039</v>
      </c>
      <c r="EV272" s="844">
        <v>38800</v>
      </c>
      <c r="EW272" s="844">
        <v>39576</v>
      </c>
      <c r="EX272" s="844">
        <v>40368</v>
      </c>
      <c r="EY272" s="844">
        <v>41175</v>
      </c>
      <c r="EZ272" s="844">
        <v>41999</v>
      </c>
      <c r="FA272" s="844">
        <v>42839</v>
      </c>
      <c r="FB272" s="844">
        <v>43695</v>
      </c>
      <c r="FC272" s="844">
        <v>44569</v>
      </c>
      <c r="FD272" s="844">
        <v>45461</v>
      </c>
      <c r="FE272" s="844">
        <v>46370</v>
      </c>
      <c r="FF272" s="844">
        <v>47297</v>
      </c>
      <c r="FG272" s="844">
        <v>48243</v>
      </c>
      <c r="FH272" s="844">
        <v>49208</v>
      </c>
      <c r="FI272" s="844">
        <v>50192</v>
      </c>
      <c r="FJ272" s="844">
        <v>51196</v>
      </c>
      <c r="FK272" s="844">
        <v>52220</v>
      </c>
      <c r="FL272" s="844">
        <v>53264</v>
      </c>
      <c r="FM272" s="844">
        <v>54329</v>
      </c>
      <c r="FN272" s="844">
        <v>55416</v>
      </c>
      <c r="FO272" s="844">
        <v>56524</v>
      </c>
      <c r="FP272" s="844">
        <v>57655</v>
      </c>
      <c r="FQ272" s="844">
        <v>58808</v>
      </c>
      <c r="FR272" s="844">
        <v>59984</v>
      </c>
      <c r="FS272" s="844">
        <v>61183</v>
      </c>
      <c r="FT272" s="844">
        <v>62407</v>
      </c>
      <c r="FU272" s="844">
        <v>63647</v>
      </c>
      <c r="FV272" s="844">
        <v>64904</v>
      </c>
      <c r="FW272" s="844">
        <v>66178</v>
      </c>
      <c r="FX272" s="844">
        <v>67467</v>
      </c>
      <c r="FY272" s="844">
        <v>68800</v>
      </c>
      <c r="FZ272" s="844">
        <v>70200</v>
      </c>
      <c r="GA272" s="844">
        <v>71600</v>
      </c>
      <c r="GB272" s="844">
        <v>73000</v>
      </c>
      <c r="GC272" s="844">
        <v>74400</v>
      </c>
      <c r="GD272" s="844">
        <v>75800</v>
      </c>
      <c r="GE272" s="844">
        <v>77200</v>
      </c>
      <c r="GF272" s="844">
        <v>78600</v>
      </c>
      <c r="GG272" s="844">
        <v>80000</v>
      </c>
      <c r="GH272" s="844">
        <v>81400</v>
      </c>
      <c r="GI272" s="844">
        <v>82800</v>
      </c>
      <c r="GJ272" s="844">
        <v>84200</v>
      </c>
      <c r="GK272" s="844">
        <v>85600</v>
      </c>
      <c r="GL272" s="844">
        <v>87000</v>
      </c>
      <c r="GM272" s="844">
        <v>88400</v>
      </c>
      <c r="GN272" s="844">
        <v>89800</v>
      </c>
      <c r="GO272" s="844">
        <v>91200</v>
      </c>
      <c r="GP272" s="844">
        <v>92600</v>
      </c>
      <c r="GQ272" s="844">
        <v>94016</v>
      </c>
      <c r="GR272" s="844">
        <v>95467</v>
      </c>
      <c r="GS272" s="844">
        <v>96920</v>
      </c>
      <c r="GT272" s="844">
        <v>98373</v>
      </c>
      <c r="GU272" s="844">
        <v>99826</v>
      </c>
      <c r="GV272" s="844">
        <v>101279</v>
      </c>
      <c r="GW272" s="844">
        <v>102731</v>
      </c>
      <c r="GX272" s="844">
        <v>104164</v>
      </c>
      <c r="GY272" s="844">
        <v>105200</v>
      </c>
      <c r="GZ272" s="844">
        <v>0</v>
      </c>
      <c r="HA272" s="844">
        <v>0</v>
      </c>
      <c r="HB272" s="844">
        <v>0</v>
      </c>
      <c r="HC272" s="844">
        <v>0</v>
      </c>
      <c r="HD272" s="844">
        <v>0</v>
      </c>
      <c r="HE272" s="844">
        <v>0</v>
      </c>
      <c r="HF272" s="844">
        <v>0</v>
      </c>
      <c r="HG272" s="844">
        <v>0</v>
      </c>
      <c r="HH272" s="844">
        <v>0</v>
      </c>
      <c r="HI272" s="844">
        <v>0</v>
      </c>
      <c r="HJ272" s="844">
        <v>0</v>
      </c>
      <c r="HK272" s="844">
        <v>0</v>
      </c>
      <c r="HL272" s="844">
        <v>0</v>
      </c>
      <c r="HM272" s="844">
        <v>0</v>
      </c>
      <c r="HN272" s="844">
        <v>0</v>
      </c>
      <c r="HO272" s="844">
        <v>0</v>
      </c>
      <c r="HP272" s="844">
        <v>0</v>
      </c>
      <c r="HQ272" s="844">
        <v>0</v>
      </c>
      <c r="HR272" s="844">
        <v>0</v>
      </c>
      <c r="HS272" s="844">
        <v>0</v>
      </c>
      <c r="HT272" s="844">
        <v>0</v>
      </c>
      <c r="HU272" s="844">
        <v>0</v>
      </c>
      <c r="HV272" s="844">
        <v>0</v>
      </c>
      <c r="HW272" s="844">
        <v>0</v>
      </c>
      <c r="HX272" s="844">
        <v>0</v>
      </c>
      <c r="HY272" s="844">
        <v>0</v>
      </c>
      <c r="HZ272" s="844">
        <v>0</v>
      </c>
      <c r="IA272" s="844">
        <v>0</v>
      </c>
      <c r="IB272" s="844">
        <v>0</v>
      </c>
      <c r="IC272" s="844">
        <v>0</v>
      </c>
      <c r="ID272" s="844">
        <v>0</v>
      </c>
      <c r="IE272" s="844">
        <v>0</v>
      </c>
      <c r="IF272" s="844">
        <v>0</v>
      </c>
      <c r="IG272" s="844">
        <v>0</v>
      </c>
      <c r="IH272" s="844">
        <v>0</v>
      </c>
      <c r="II272" s="844">
        <v>0</v>
      </c>
      <c r="IJ272" s="844">
        <v>0</v>
      </c>
    </row>
    <row r="273" spans="9:244" hidden="1">
      <c r="I273" s="156"/>
      <c r="L273" s="846" t="s">
        <v>1060</v>
      </c>
      <c r="M273" s="846" t="s">
        <v>1382</v>
      </c>
      <c r="N273" s="846" t="s">
        <v>97</v>
      </c>
      <c r="O273" s="847">
        <v>38</v>
      </c>
      <c r="P273" s="780" t="str">
        <f t="shared" si="8"/>
        <v>IWT060238</v>
      </c>
      <c r="Q273" s="847">
        <v>0</v>
      </c>
      <c r="R273" s="847">
        <v>0</v>
      </c>
      <c r="S273" s="847">
        <v>0</v>
      </c>
      <c r="T273" s="847">
        <v>0</v>
      </c>
      <c r="U273" s="847">
        <v>0</v>
      </c>
      <c r="V273" s="847">
        <v>0</v>
      </c>
      <c r="W273" s="847">
        <v>0</v>
      </c>
      <c r="X273" s="847">
        <v>0</v>
      </c>
      <c r="Y273" s="847">
        <v>0</v>
      </c>
      <c r="Z273" s="847">
        <v>0</v>
      </c>
      <c r="AA273" s="847">
        <v>0</v>
      </c>
      <c r="AB273" s="847">
        <v>0</v>
      </c>
      <c r="AC273" s="847">
        <v>0</v>
      </c>
      <c r="AD273" s="847">
        <v>0</v>
      </c>
      <c r="AE273" s="847">
        <v>0</v>
      </c>
      <c r="AF273" s="847">
        <v>0</v>
      </c>
      <c r="AG273" s="847">
        <v>0</v>
      </c>
      <c r="AH273" s="847">
        <v>0</v>
      </c>
      <c r="AI273" s="847">
        <v>0</v>
      </c>
      <c r="AJ273" s="847">
        <v>0</v>
      </c>
      <c r="AK273" s="847">
        <v>0</v>
      </c>
      <c r="AL273" s="847">
        <v>0</v>
      </c>
      <c r="AM273" s="847">
        <v>0</v>
      </c>
      <c r="AN273" s="847">
        <v>0</v>
      </c>
      <c r="AO273" s="847">
        <v>0</v>
      </c>
      <c r="AP273" s="847">
        <v>0</v>
      </c>
      <c r="AQ273" s="847">
        <v>0</v>
      </c>
      <c r="AR273" s="847">
        <v>0</v>
      </c>
      <c r="AS273" s="847">
        <v>0</v>
      </c>
      <c r="AT273" s="847">
        <v>0</v>
      </c>
      <c r="AU273" s="847">
        <v>0</v>
      </c>
      <c r="AV273" s="847">
        <v>0</v>
      </c>
      <c r="AW273" s="847">
        <v>0</v>
      </c>
      <c r="AX273" s="847">
        <v>0</v>
      </c>
      <c r="AY273" s="847">
        <v>0</v>
      </c>
      <c r="AZ273" s="847">
        <v>0</v>
      </c>
      <c r="BA273" s="847">
        <v>0</v>
      </c>
      <c r="BB273" s="847">
        <v>0</v>
      </c>
      <c r="BC273" s="847">
        <v>0</v>
      </c>
      <c r="BD273" s="847">
        <v>0</v>
      </c>
      <c r="BE273" s="847">
        <v>0</v>
      </c>
      <c r="BF273" s="847">
        <v>0</v>
      </c>
      <c r="BG273" s="847">
        <v>0</v>
      </c>
      <c r="BH273" s="847">
        <v>0</v>
      </c>
      <c r="BI273" s="847">
        <v>0</v>
      </c>
      <c r="BJ273" s="847">
        <v>0</v>
      </c>
      <c r="BK273" s="847">
        <v>0</v>
      </c>
      <c r="BL273" s="847">
        <v>0</v>
      </c>
      <c r="BM273" s="847">
        <v>0</v>
      </c>
      <c r="BN273" s="847">
        <v>0</v>
      </c>
      <c r="BO273" s="847">
        <v>0</v>
      </c>
      <c r="BP273" s="847">
        <v>0</v>
      </c>
      <c r="BQ273" s="847">
        <v>0</v>
      </c>
      <c r="BR273" s="847">
        <v>0</v>
      </c>
      <c r="BS273" s="847">
        <v>0</v>
      </c>
      <c r="BT273" s="847">
        <v>0</v>
      </c>
      <c r="BU273" s="847">
        <v>0</v>
      </c>
      <c r="BV273" s="847">
        <v>0</v>
      </c>
      <c r="BW273" s="847">
        <v>0</v>
      </c>
      <c r="BX273" s="847">
        <v>0</v>
      </c>
      <c r="BY273" s="847">
        <v>0</v>
      </c>
      <c r="BZ273" s="847">
        <v>0</v>
      </c>
      <c r="CA273" s="847">
        <v>0</v>
      </c>
      <c r="CB273" s="847">
        <v>0</v>
      </c>
      <c r="CC273" s="847">
        <v>0</v>
      </c>
      <c r="CD273" s="847">
        <v>0</v>
      </c>
      <c r="CE273" s="847">
        <v>0</v>
      </c>
      <c r="CF273" s="847">
        <v>0</v>
      </c>
      <c r="CG273" s="847">
        <v>0</v>
      </c>
      <c r="CH273" s="847">
        <v>0</v>
      </c>
      <c r="CI273" s="847">
        <v>0</v>
      </c>
      <c r="CJ273" s="847">
        <v>0</v>
      </c>
      <c r="CK273" s="847">
        <v>103800</v>
      </c>
      <c r="CL273" s="847">
        <v>0</v>
      </c>
      <c r="CM273" s="847">
        <v>0</v>
      </c>
      <c r="CN273" s="847">
        <v>0</v>
      </c>
      <c r="CO273" s="847">
        <v>0</v>
      </c>
      <c r="CP273" s="847">
        <v>0</v>
      </c>
      <c r="CQ273" s="847">
        <v>0</v>
      </c>
      <c r="CR273" s="847">
        <v>0</v>
      </c>
      <c r="CS273" s="847">
        <v>0</v>
      </c>
      <c r="CT273" s="847">
        <v>0</v>
      </c>
      <c r="CU273" s="847">
        <v>0</v>
      </c>
      <c r="CV273" s="847">
        <v>0</v>
      </c>
      <c r="CW273" s="847">
        <v>0</v>
      </c>
      <c r="CX273" s="847">
        <v>0</v>
      </c>
      <c r="CY273" s="847">
        <v>0</v>
      </c>
      <c r="CZ273" s="847">
        <v>0</v>
      </c>
      <c r="DA273" s="847">
        <v>0</v>
      </c>
      <c r="DB273" s="847">
        <v>0</v>
      </c>
      <c r="DC273" s="847">
        <v>0</v>
      </c>
      <c r="DD273" s="847">
        <v>0</v>
      </c>
      <c r="DE273" s="847">
        <v>0</v>
      </c>
      <c r="DF273" s="847">
        <v>0</v>
      </c>
      <c r="DG273" s="847">
        <v>0</v>
      </c>
      <c r="DH273" s="847">
        <v>0</v>
      </c>
      <c r="DI273" s="847">
        <v>0</v>
      </c>
      <c r="DJ273" s="847">
        <v>0</v>
      </c>
      <c r="DK273" s="847">
        <v>0</v>
      </c>
      <c r="DL273" s="847">
        <v>0</v>
      </c>
      <c r="DM273" s="847">
        <v>0</v>
      </c>
      <c r="DN273" s="847">
        <v>0</v>
      </c>
      <c r="DO273" s="847">
        <v>0</v>
      </c>
      <c r="DP273" s="847">
        <v>0</v>
      </c>
      <c r="DQ273" s="847">
        <v>0</v>
      </c>
      <c r="DR273" s="847">
        <v>0</v>
      </c>
      <c r="DS273" s="847">
        <v>0</v>
      </c>
      <c r="DT273" s="847">
        <v>0</v>
      </c>
      <c r="DU273" s="847">
        <v>0</v>
      </c>
      <c r="DV273" s="847">
        <v>0</v>
      </c>
      <c r="DW273" s="847">
        <v>0</v>
      </c>
      <c r="DY273" s="843" t="s">
        <v>1060</v>
      </c>
      <c r="DZ273" s="843" t="s">
        <v>1382</v>
      </c>
      <c r="EA273" s="843" t="s">
        <v>97</v>
      </c>
      <c r="EB273" s="844">
        <v>38</v>
      </c>
      <c r="EC273" s="780" t="str">
        <f t="shared" si="9"/>
        <v>IWT060238</v>
      </c>
      <c r="ED273" s="844">
        <v>5325.4</v>
      </c>
      <c r="EE273" s="844">
        <v>10650.9</v>
      </c>
      <c r="EF273" s="844">
        <v>15976.3</v>
      </c>
      <c r="EG273" s="844">
        <v>21301.8</v>
      </c>
      <c r="EH273" s="844">
        <v>26627.200000000001</v>
      </c>
      <c r="EI273" s="844">
        <v>31952.6</v>
      </c>
      <c r="EJ273" s="844">
        <v>31952.6</v>
      </c>
      <c r="EK273" s="844">
        <v>31952.6</v>
      </c>
      <c r="EL273" s="844">
        <v>31952.6</v>
      </c>
      <c r="EM273" s="844">
        <v>32504</v>
      </c>
      <c r="EN273" s="844">
        <v>33154</v>
      </c>
      <c r="EO273" s="844">
        <v>33817</v>
      </c>
      <c r="EP273" s="844">
        <v>34493</v>
      </c>
      <c r="EQ273" s="844">
        <v>35183</v>
      </c>
      <c r="ER273" s="844">
        <v>35887</v>
      </c>
      <c r="ES273" s="844">
        <v>36605</v>
      </c>
      <c r="ET273" s="844">
        <v>37337</v>
      </c>
      <c r="EU273" s="844">
        <v>38084</v>
      </c>
      <c r="EV273" s="844">
        <v>38845</v>
      </c>
      <c r="EW273" s="844">
        <v>39622</v>
      </c>
      <c r="EX273" s="844">
        <v>40415</v>
      </c>
      <c r="EY273" s="844">
        <v>41223</v>
      </c>
      <c r="EZ273" s="844">
        <v>42047</v>
      </c>
      <c r="FA273" s="844">
        <v>42888</v>
      </c>
      <c r="FB273" s="844">
        <v>43746</v>
      </c>
      <c r="FC273" s="844">
        <v>44621</v>
      </c>
      <c r="FD273" s="844">
        <v>45513</v>
      </c>
      <c r="FE273" s="844">
        <v>46424</v>
      </c>
      <c r="FF273" s="844">
        <v>47352</v>
      </c>
      <c r="FG273" s="844">
        <v>48299</v>
      </c>
      <c r="FH273" s="844">
        <v>49265</v>
      </c>
      <c r="FI273" s="844">
        <v>50250</v>
      </c>
      <c r="FJ273" s="844">
        <v>51255</v>
      </c>
      <c r="FK273" s="844">
        <v>52280</v>
      </c>
      <c r="FL273" s="844">
        <v>53326</v>
      </c>
      <c r="FM273" s="844">
        <v>54392</v>
      </c>
      <c r="FN273" s="844">
        <v>55480</v>
      </c>
      <c r="FO273" s="844">
        <v>56590</v>
      </c>
      <c r="FP273" s="844">
        <v>57721</v>
      </c>
      <c r="FQ273" s="844">
        <v>58876</v>
      </c>
      <c r="FR273" s="844">
        <v>60053</v>
      </c>
      <c r="FS273" s="844">
        <v>61254</v>
      </c>
      <c r="FT273" s="844">
        <v>62479</v>
      </c>
      <c r="FU273" s="844">
        <v>63724</v>
      </c>
      <c r="FV273" s="844">
        <v>64985</v>
      </c>
      <c r="FW273" s="844">
        <v>66262</v>
      </c>
      <c r="FX273" s="844">
        <v>67555</v>
      </c>
      <c r="FY273" s="844">
        <v>68863</v>
      </c>
      <c r="FZ273" s="844">
        <v>70200</v>
      </c>
      <c r="GA273" s="844">
        <v>71600</v>
      </c>
      <c r="GB273" s="844">
        <v>73000</v>
      </c>
      <c r="GC273" s="844">
        <v>74400</v>
      </c>
      <c r="GD273" s="844">
        <v>75800</v>
      </c>
      <c r="GE273" s="844">
        <v>77200</v>
      </c>
      <c r="GF273" s="844">
        <v>78600</v>
      </c>
      <c r="GG273" s="844">
        <v>80000</v>
      </c>
      <c r="GH273" s="844">
        <v>81400</v>
      </c>
      <c r="GI273" s="844">
        <v>82800</v>
      </c>
      <c r="GJ273" s="844">
        <v>84200</v>
      </c>
      <c r="GK273" s="844">
        <v>85600</v>
      </c>
      <c r="GL273" s="844">
        <v>87000</v>
      </c>
      <c r="GM273" s="844">
        <v>88400</v>
      </c>
      <c r="GN273" s="844">
        <v>89800</v>
      </c>
      <c r="GO273" s="844">
        <v>91208</v>
      </c>
      <c r="GP273" s="844">
        <v>92653</v>
      </c>
      <c r="GQ273" s="844">
        <v>94100</v>
      </c>
      <c r="GR273" s="844">
        <v>95549</v>
      </c>
      <c r="GS273" s="844">
        <v>96998</v>
      </c>
      <c r="GT273" s="844">
        <v>98448</v>
      </c>
      <c r="GU273" s="844">
        <v>99898</v>
      </c>
      <c r="GV273" s="844">
        <v>101347</v>
      </c>
      <c r="GW273" s="844">
        <v>102777</v>
      </c>
      <c r="GX273" s="844">
        <v>103800</v>
      </c>
      <c r="GY273" s="844">
        <v>0</v>
      </c>
      <c r="GZ273" s="844">
        <v>0</v>
      </c>
      <c r="HA273" s="844">
        <v>0</v>
      </c>
      <c r="HB273" s="844">
        <v>0</v>
      </c>
      <c r="HC273" s="844">
        <v>0</v>
      </c>
      <c r="HD273" s="844">
        <v>0</v>
      </c>
      <c r="HE273" s="844">
        <v>0</v>
      </c>
      <c r="HF273" s="844">
        <v>0</v>
      </c>
      <c r="HG273" s="844">
        <v>0</v>
      </c>
      <c r="HH273" s="844">
        <v>0</v>
      </c>
      <c r="HI273" s="844">
        <v>0</v>
      </c>
      <c r="HJ273" s="844">
        <v>0</v>
      </c>
      <c r="HK273" s="844">
        <v>0</v>
      </c>
      <c r="HL273" s="844">
        <v>0</v>
      </c>
      <c r="HM273" s="844">
        <v>0</v>
      </c>
      <c r="HN273" s="844">
        <v>0</v>
      </c>
      <c r="HO273" s="844">
        <v>0</v>
      </c>
      <c r="HP273" s="844">
        <v>0</v>
      </c>
      <c r="HQ273" s="844">
        <v>0</v>
      </c>
      <c r="HR273" s="844">
        <v>0</v>
      </c>
      <c r="HS273" s="844">
        <v>0</v>
      </c>
      <c r="HT273" s="844">
        <v>0</v>
      </c>
      <c r="HU273" s="844">
        <v>0</v>
      </c>
      <c r="HV273" s="844">
        <v>0</v>
      </c>
      <c r="HW273" s="844">
        <v>0</v>
      </c>
      <c r="HX273" s="844">
        <v>0</v>
      </c>
      <c r="HY273" s="844">
        <v>0</v>
      </c>
      <c r="HZ273" s="844">
        <v>0</v>
      </c>
      <c r="IA273" s="844">
        <v>0</v>
      </c>
      <c r="IB273" s="844">
        <v>0</v>
      </c>
      <c r="IC273" s="844">
        <v>0</v>
      </c>
      <c r="ID273" s="844">
        <v>0</v>
      </c>
      <c r="IE273" s="844">
        <v>0</v>
      </c>
      <c r="IF273" s="844">
        <v>0</v>
      </c>
      <c r="IG273" s="844">
        <v>0</v>
      </c>
      <c r="IH273" s="844">
        <v>0</v>
      </c>
      <c r="II273" s="844">
        <v>0</v>
      </c>
      <c r="IJ273" s="844">
        <v>0</v>
      </c>
    </row>
    <row r="274" spans="9:244" hidden="1">
      <c r="I274" s="156"/>
      <c r="L274" s="846" t="s">
        <v>1060</v>
      </c>
      <c r="M274" s="846" t="s">
        <v>1382</v>
      </c>
      <c r="N274" s="846" t="s">
        <v>97</v>
      </c>
      <c r="O274" s="847">
        <v>39</v>
      </c>
      <c r="P274" s="780" t="str">
        <f t="shared" si="8"/>
        <v>IWT060239</v>
      </c>
      <c r="Q274" s="847">
        <v>0</v>
      </c>
      <c r="R274" s="847">
        <v>0</v>
      </c>
      <c r="S274" s="847">
        <v>0</v>
      </c>
      <c r="T274" s="847">
        <v>0</v>
      </c>
      <c r="U274" s="847">
        <v>0</v>
      </c>
      <c r="V274" s="847">
        <v>0</v>
      </c>
      <c r="W274" s="847">
        <v>0</v>
      </c>
      <c r="X274" s="847">
        <v>0</v>
      </c>
      <c r="Y274" s="847">
        <v>0</v>
      </c>
      <c r="Z274" s="847">
        <v>0</v>
      </c>
      <c r="AA274" s="847">
        <v>0</v>
      </c>
      <c r="AB274" s="847">
        <v>0</v>
      </c>
      <c r="AC274" s="847">
        <v>0</v>
      </c>
      <c r="AD274" s="847">
        <v>0</v>
      </c>
      <c r="AE274" s="847">
        <v>0</v>
      </c>
      <c r="AF274" s="847">
        <v>0</v>
      </c>
      <c r="AG274" s="847">
        <v>0</v>
      </c>
      <c r="AH274" s="847">
        <v>0</v>
      </c>
      <c r="AI274" s="847">
        <v>0</v>
      </c>
      <c r="AJ274" s="847">
        <v>0</v>
      </c>
      <c r="AK274" s="847">
        <v>0</v>
      </c>
      <c r="AL274" s="847">
        <v>0</v>
      </c>
      <c r="AM274" s="847">
        <v>0</v>
      </c>
      <c r="AN274" s="847">
        <v>0</v>
      </c>
      <c r="AO274" s="847">
        <v>0</v>
      </c>
      <c r="AP274" s="847">
        <v>0</v>
      </c>
      <c r="AQ274" s="847">
        <v>0</v>
      </c>
      <c r="AR274" s="847">
        <v>0</v>
      </c>
      <c r="AS274" s="847">
        <v>0</v>
      </c>
      <c r="AT274" s="847">
        <v>0</v>
      </c>
      <c r="AU274" s="847">
        <v>0</v>
      </c>
      <c r="AV274" s="847">
        <v>0</v>
      </c>
      <c r="AW274" s="847">
        <v>0</v>
      </c>
      <c r="AX274" s="847">
        <v>0</v>
      </c>
      <c r="AY274" s="847">
        <v>0</v>
      </c>
      <c r="AZ274" s="847">
        <v>0</v>
      </c>
      <c r="BA274" s="847">
        <v>0</v>
      </c>
      <c r="BB274" s="847">
        <v>0</v>
      </c>
      <c r="BC274" s="847">
        <v>0</v>
      </c>
      <c r="BD274" s="847">
        <v>0</v>
      </c>
      <c r="BE274" s="847">
        <v>0</v>
      </c>
      <c r="BF274" s="847">
        <v>0</v>
      </c>
      <c r="BG274" s="847">
        <v>0</v>
      </c>
      <c r="BH274" s="847">
        <v>0</v>
      </c>
      <c r="BI274" s="847">
        <v>0</v>
      </c>
      <c r="BJ274" s="847">
        <v>0</v>
      </c>
      <c r="BK274" s="847">
        <v>0</v>
      </c>
      <c r="BL274" s="847">
        <v>0</v>
      </c>
      <c r="BM274" s="847">
        <v>0</v>
      </c>
      <c r="BN274" s="847">
        <v>0</v>
      </c>
      <c r="BO274" s="847">
        <v>0</v>
      </c>
      <c r="BP274" s="847">
        <v>0</v>
      </c>
      <c r="BQ274" s="847">
        <v>0</v>
      </c>
      <c r="BR274" s="847">
        <v>0</v>
      </c>
      <c r="BS274" s="847">
        <v>0</v>
      </c>
      <c r="BT274" s="847">
        <v>0</v>
      </c>
      <c r="BU274" s="847">
        <v>0</v>
      </c>
      <c r="BV274" s="847">
        <v>0</v>
      </c>
      <c r="BW274" s="847">
        <v>0</v>
      </c>
      <c r="BX274" s="847">
        <v>0</v>
      </c>
      <c r="BY274" s="847">
        <v>0</v>
      </c>
      <c r="BZ274" s="847">
        <v>0</v>
      </c>
      <c r="CA274" s="847">
        <v>0</v>
      </c>
      <c r="CB274" s="847">
        <v>0</v>
      </c>
      <c r="CC274" s="847">
        <v>0</v>
      </c>
      <c r="CD274" s="847">
        <v>0</v>
      </c>
      <c r="CE274" s="847">
        <v>0</v>
      </c>
      <c r="CF274" s="847">
        <v>0</v>
      </c>
      <c r="CG274" s="847">
        <v>0</v>
      </c>
      <c r="CH274" s="847">
        <v>0</v>
      </c>
      <c r="CI274" s="847">
        <v>0</v>
      </c>
      <c r="CJ274" s="847">
        <v>102400</v>
      </c>
      <c r="CK274" s="847">
        <v>0</v>
      </c>
      <c r="CL274" s="847">
        <v>0</v>
      </c>
      <c r="CM274" s="847">
        <v>0</v>
      </c>
      <c r="CN274" s="847">
        <v>0</v>
      </c>
      <c r="CO274" s="847">
        <v>0</v>
      </c>
      <c r="CP274" s="847">
        <v>0</v>
      </c>
      <c r="CQ274" s="847">
        <v>0</v>
      </c>
      <c r="CR274" s="847">
        <v>0</v>
      </c>
      <c r="CS274" s="847">
        <v>0</v>
      </c>
      <c r="CT274" s="847">
        <v>0</v>
      </c>
      <c r="CU274" s="847">
        <v>0</v>
      </c>
      <c r="CV274" s="847">
        <v>0</v>
      </c>
      <c r="CW274" s="847">
        <v>0</v>
      </c>
      <c r="CX274" s="847">
        <v>0</v>
      </c>
      <c r="CY274" s="847">
        <v>0</v>
      </c>
      <c r="CZ274" s="847">
        <v>0</v>
      </c>
      <c r="DA274" s="847">
        <v>0</v>
      </c>
      <c r="DB274" s="847">
        <v>0</v>
      </c>
      <c r="DC274" s="847">
        <v>0</v>
      </c>
      <c r="DD274" s="847">
        <v>0</v>
      </c>
      <c r="DE274" s="847">
        <v>0</v>
      </c>
      <c r="DF274" s="847">
        <v>0</v>
      </c>
      <c r="DG274" s="847">
        <v>0</v>
      </c>
      <c r="DH274" s="847">
        <v>0</v>
      </c>
      <c r="DI274" s="847">
        <v>0</v>
      </c>
      <c r="DJ274" s="847">
        <v>0</v>
      </c>
      <c r="DK274" s="847">
        <v>0</v>
      </c>
      <c r="DL274" s="847">
        <v>0</v>
      </c>
      <c r="DM274" s="847">
        <v>0</v>
      </c>
      <c r="DN274" s="847">
        <v>0</v>
      </c>
      <c r="DO274" s="847">
        <v>0</v>
      </c>
      <c r="DP274" s="847">
        <v>0</v>
      </c>
      <c r="DQ274" s="847">
        <v>0</v>
      </c>
      <c r="DR274" s="847">
        <v>0</v>
      </c>
      <c r="DS274" s="847">
        <v>0</v>
      </c>
      <c r="DT274" s="847">
        <v>0</v>
      </c>
      <c r="DU274" s="847">
        <v>0</v>
      </c>
      <c r="DV274" s="847">
        <v>0</v>
      </c>
      <c r="DW274" s="847">
        <v>0</v>
      </c>
      <c r="DY274" s="843" t="s">
        <v>1060</v>
      </c>
      <c r="DZ274" s="843" t="s">
        <v>1382</v>
      </c>
      <c r="EA274" s="843" t="s">
        <v>97</v>
      </c>
      <c r="EB274" s="844">
        <v>39</v>
      </c>
      <c r="EC274" s="780" t="str">
        <f t="shared" si="9"/>
        <v>IWT060239</v>
      </c>
      <c r="ED274" s="844">
        <v>5330.7</v>
      </c>
      <c r="EE274" s="844">
        <v>10661.5</v>
      </c>
      <c r="EF274" s="844">
        <v>15992.2</v>
      </c>
      <c r="EG274" s="844">
        <v>21323</v>
      </c>
      <c r="EH274" s="844">
        <v>26653.7</v>
      </c>
      <c r="EI274" s="844">
        <v>31984.400000000001</v>
      </c>
      <c r="EJ274" s="844">
        <v>31984.400000000001</v>
      </c>
      <c r="EK274" s="844">
        <v>31984.400000000001</v>
      </c>
      <c r="EL274" s="844">
        <v>31984.400000000001</v>
      </c>
      <c r="EM274" s="844">
        <v>32537</v>
      </c>
      <c r="EN274" s="844">
        <v>33188</v>
      </c>
      <c r="EO274" s="844">
        <v>33852</v>
      </c>
      <c r="EP274" s="844">
        <v>34529</v>
      </c>
      <c r="EQ274" s="844">
        <v>35220</v>
      </c>
      <c r="ER274" s="844">
        <v>35924</v>
      </c>
      <c r="ES274" s="844">
        <v>36642</v>
      </c>
      <c r="ET274" s="844">
        <v>37375</v>
      </c>
      <c r="EU274" s="844">
        <v>38123</v>
      </c>
      <c r="EV274" s="844">
        <v>38885</v>
      </c>
      <c r="EW274" s="844">
        <v>39663</v>
      </c>
      <c r="EX274" s="844">
        <v>40456</v>
      </c>
      <c r="EY274" s="844">
        <v>41265</v>
      </c>
      <c r="EZ274" s="844">
        <v>42091</v>
      </c>
      <c r="FA274" s="844">
        <v>42932</v>
      </c>
      <c r="FB274" s="844">
        <v>43791</v>
      </c>
      <c r="FC274" s="844">
        <v>44667</v>
      </c>
      <c r="FD274" s="844">
        <v>45560</v>
      </c>
      <c r="FE274" s="844">
        <v>46471</v>
      </c>
      <c r="FF274" s="844">
        <v>47401</v>
      </c>
      <c r="FG274" s="844">
        <v>48349</v>
      </c>
      <c r="FH274" s="844">
        <v>49316</v>
      </c>
      <c r="FI274" s="844">
        <v>50302</v>
      </c>
      <c r="FJ274" s="844">
        <v>51308</v>
      </c>
      <c r="FK274" s="844">
        <v>52334</v>
      </c>
      <c r="FL274" s="844">
        <v>53381</v>
      </c>
      <c r="FM274" s="844">
        <v>54448</v>
      </c>
      <c r="FN274" s="844">
        <v>55537</v>
      </c>
      <c r="FO274" s="844">
        <v>56648</v>
      </c>
      <c r="FP274" s="844">
        <v>57781</v>
      </c>
      <c r="FQ274" s="844">
        <v>58936</v>
      </c>
      <c r="FR274" s="844">
        <v>60115</v>
      </c>
      <c r="FS274" s="844">
        <v>61317</v>
      </c>
      <c r="FT274" s="844">
        <v>62543</v>
      </c>
      <c r="FU274" s="844">
        <v>63792</v>
      </c>
      <c r="FV274" s="844">
        <v>65057</v>
      </c>
      <c r="FW274" s="844">
        <v>66338</v>
      </c>
      <c r="FX274" s="844">
        <v>67635</v>
      </c>
      <c r="FY274" s="844">
        <v>68946</v>
      </c>
      <c r="FZ274" s="844">
        <v>70271</v>
      </c>
      <c r="GA274" s="844">
        <v>71610</v>
      </c>
      <c r="GB274" s="844">
        <v>73000</v>
      </c>
      <c r="GC274" s="844">
        <v>74400</v>
      </c>
      <c r="GD274" s="844">
        <v>75800</v>
      </c>
      <c r="GE274" s="844">
        <v>77200</v>
      </c>
      <c r="GF274" s="844">
        <v>78600</v>
      </c>
      <c r="GG274" s="844">
        <v>80000</v>
      </c>
      <c r="GH274" s="844">
        <v>81400</v>
      </c>
      <c r="GI274" s="844">
        <v>82800</v>
      </c>
      <c r="GJ274" s="844">
        <v>84200</v>
      </c>
      <c r="GK274" s="844">
        <v>85600</v>
      </c>
      <c r="GL274" s="844">
        <v>87000</v>
      </c>
      <c r="GM274" s="844">
        <v>88412</v>
      </c>
      <c r="GN274" s="844">
        <v>89850</v>
      </c>
      <c r="GO274" s="844">
        <v>91291</v>
      </c>
      <c r="GP274" s="844">
        <v>92733</v>
      </c>
      <c r="GQ274" s="844">
        <v>94178</v>
      </c>
      <c r="GR274" s="844">
        <v>95623</v>
      </c>
      <c r="GS274" s="844">
        <v>97070</v>
      </c>
      <c r="GT274" s="844">
        <v>98516</v>
      </c>
      <c r="GU274" s="844">
        <v>99962</v>
      </c>
      <c r="GV274" s="844">
        <v>101391</v>
      </c>
      <c r="GW274" s="844">
        <v>102400</v>
      </c>
      <c r="GX274" s="844">
        <v>0</v>
      </c>
      <c r="GY274" s="844">
        <v>0</v>
      </c>
      <c r="GZ274" s="844">
        <v>0</v>
      </c>
      <c r="HA274" s="844">
        <v>0</v>
      </c>
      <c r="HB274" s="844">
        <v>0</v>
      </c>
      <c r="HC274" s="844">
        <v>0</v>
      </c>
      <c r="HD274" s="844">
        <v>0</v>
      </c>
      <c r="HE274" s="844">
        <v>0</v>
      </c>
      <c r="HF274" s="844">
        <v>0</v>
      </c>
      <c r="HG274" s="844">
        <v>0</v>
      </c>
      <c r="HH274" s="844">
        <v>0</v>
      </c>
      <c r="HI274" s="844">
        <v>0</v>
      </c>
      <c r="HJ274" s="844">
        <v>0</v>
      </c>
      <c r="HK274" s="844">
        <v>0</v>
      </c>
      <c r="HL274" s="844">
        <v>0</v>
      </c>
      <c r="HM274" s="844">
        <v>0</v>
      </c>
      <c r="HN274" s="844">
        <v>0</v>
      </c>
      <c r="HO274" s="844">
        <v>0</v>
      </c>
      <c r="HP274" s="844">
        <v>0</v>
      </c>
      <c r="HQ274" s="844">
        <v>0</v>
      </c>
      <c r="HR274" s="844">
        <v>0</v>
      </c>
      <c r="HS274" s="844">
        <v>0</v>
      </c>
      <c r="HT274" s="844">
        <v>0</v>
      </c>
      <c r="HU274" s="844">
        <v>0</v>
      </c>
      <c r="HV274" s="844">
        <v>0</v>
      </c>
      <c r="HW274" s="844">
        <v>0</v>
      </c>
      <c r="HX274" s="844">
        <v>0</v>
      </c>
      <c r="HY274" s="844">
        <v>0</v>
      </c>
      <c r="HZ274" s="844">
        <v>0</v>
      </c>
      <c r="IA274" s="844">
        <v>0</v>
      </c>
      <c r="IB274" s="844">
        <v>0</v>
      </c>
      <c r="IC274" s="844">
        <v>0</v>
      </c>
      <c r="ID274" s="844">
        <v>0</v>
      </c>
      <c r="IE274" s="844">
        <v>0</v>
      </c>
      <c r="IF274" s="844">
        <v>0</v>
      </c>
      <c r="IG274" s="844">
        <v>0</v>
      </c>
      <c r="IH274" s="844">
        <v>0</v>
      </c>
      <c r="II274" s="844">
        <v>0</v>
      </c>
      <c r="IJ274" s="844">
        <v>0</v>
      </c>
    </row>
    <row r="275" spans="9:244" hidden="1">
      <c r="I275" s="156"/>
      <c r="L275" s="846" t="s">
        <v>1060</v>
      </c>
      <c r="M275" s="846" t="s">
        <v>1382</v>
      </c>
      <c r="N275" s="846" t="s">
        <v>97</v>
      </c>
      <c r="O275" s="847">
        <v>40</v>
      </c>
      <c r="P275" s="780" t="str">
        <f t="shared" si="8"/>
        <v>IWT060240</v>
      </c>
      <c r="Q275" s="847">
        <v>0</v>
      </c>
      <c r="R275" s="847">
        <v>0</v>
      </c>
      <c r="S275" s="847">
        <v>0</v>
      </c>
      <c r="T275" s="847">
        <v>0</v>
      </c>
      <c r="U275" s="847">
        <v>0</v>
      </c>
      <c r="V275" s="847">
        <v>0</v>
      </c>
      <c r="W275" s="847">
        <v>0</v>
      </c>
      <c r="X275" s="847">
        <v>0</v>
      </c>
      <c r="Y275" s="847">
        <v>0</v>
      </c>
      <c r="Z275" s="847">
        <v>0</v>
      </c>
      <c r="AA275" s="847">
        <v>0</v>
      </c>
      <c r="AB275" s="847">
        <v>0</v>
      </c>
      <c r="AC275" s="847">
        <v>0</v>
      </c>
      <c r="AD275" s="847">
        <v>0</v>
      </c>
      <c r="AE275" s="847">
        <v>0</v>
      </c>
      <c r="AF275" s="847">
        <v>0</v>
      </c>
      <c r="AG275" s="847">
        <v>0</v>
      </c>
      <c r="AH275" s="847">
        <v>0</v>
      </c>
      <c r="AI275" s="847">
        <v>0</v>
      </c>
      <c r="AJ275" s="847">
        <v>0</v>
      </c>
      <c r="AK275" s="847">
        <v>0</v>
      </c>
      <c r="AL275" s="847">
        <v>0</v>
      </c>
      <c r="AM275" s="847">
        <v>0</v>
      </c>
      <c r="AN275" s="847">
        <v>0</v>
      </c>
      <c r="AO275" s="847">
        <v>0</v>
      </c>
      <c r="AP275" s="847">
        <v>0</v>
      </c>
      <c r="AQ275" s="847">
        <v>0</v>
      </c>
      <c r="AR275" s="847">
        <v>0</v>
      </c>
      <c r="AS275" s="847">
        <v>0</v>
      </c>
      <c r="AT275" s="847">
        <v>0</v>
      </c>
      <c r="AU275" s="847">
        <v>0</v>
      </c>
      <c r="AV275" s="847">
        <v>0</v>
      </c>
      <c r="AW275" s="847">
        <v>0</v>
      </c>
      <c r="AX275" s="847">
        <v>0</v>
      </c>
      <c r="AY275" s="847">
        <v>0</v>
      </c>
      <c r="AZ275" s="847">
        <v>0</v>
      </c>
      <c r="BA275" s="847">
        <v>0</v>
      </c>
      <c r="BB275" s="847">
        <v>0</v>
      </c>
      <c r="BC275" s="847">
        <v>0</v>
      </c>
      <c r="BD275" s="847">
        <v>0</v>
      </c>
      <c r="BE275" s="847">
        <v>0</v>
      </c>
      <c r="BF275" s="847">
        <v>0</v>
      </c>
      <c r="BG275" s="847">
        <v>0</v>
      </c>
      <c r="BH275" s="847">
        <v>0</v>
      </c>
      <c r="BI275" s="847">
        <v>0</v>
      </c>
      <c r="BJ275" s="847">
        <v>0</v>
      </c>
      <c r="BK275" s="847">
        <v>0</v>
      </c>
      <c r="BL275" s="847">
        <v>0</v>
      </c>
      <c r="BM275" s="847">
        <v>0</v>
      </c>
      <c r="BN275" s="847">
        <v>0</v>
      </c>
      <c r="BO275" s="847">
        <v>0</v>
      </c>
      <c r="BP275" s="847">
        <v>0</v>
      </c>
      <c r="BQ275" s="847">
        <v>0</v>
      </c>
      <c r="BR275" s="847">
        <v>0</v>
      </c>
      <c r="BS275" s="847">
        <v>0</v>
      </c>
      <c r="BT275" s="847">
        <v>0</v>
      </c>
      <c r="BU275" s="847">
        <v>0</v>
      </c>
      <c r="BV275" s="847">
        <v>0</v>
      </c>
      <c r="BW275" s="847">
        <v>0</v>
      </c>
      <c r="BX275" s="847">
        <v>0</v>
      </c>
      <c r="BY275" s="847">
        <v>0</v>
      </c>
      <c r="BZ275" s="847">
        <v>0</v>
      </c>
      <c r="CA275" s="847">
        <v>0</v>
      </c>
      <c r="CB275" s="847">
        <v>0</v>
      </c>
      <c r="CC275" s="847">
        <v>0</v>
      </c>
      <c r="CD275" s="847">
        <v>0</v>
      </c>
      <c r="CE275" s="847">
        <v>0</v>
      </c>
      <c r="CF275" s="847">
        <v>0</v>
      </c>
      <c r="CG275" s="847">
        <v>0</v>
      </c>
      <c r="CH275" s="847">
        <v>0</v>
      </c>
      <c r="CI275" s="847">
        <v>101000</v>
      </c>
      <c r="CJ275" s="847">
        <v>0</v>
      </c>
      <c r="CK275" s="847">
        <v>0</v>
      </c>
      <c r="CL275" s="847">
        <v>0</v>
      </c>
      <c r="CM275" s="847">
        <v>0</v>
      </c>
      <c r="CN275" s="847">
        <v>0</v>
      </c>
      <c r="CO275" s="847">
        <v>0</v>
      </c>
      <c r="CP275" s="847">
        <v>0</v>
      </c>
      <c r="CQ275" s="847">
        <v>0</v>
      </c>
      <c r="CR275" s="847">
        <v>0</v>
      </c>
      <c r="CS275" s="847">
        <v>0</v>
      </c>
      <c r="CT275" s="847">
        <v>0</v>
      </c>
      <c r="CU275" s="847">
        <v>0</v>
      </c>
      <c r="CV275" s="847">
        <v>0</v>
      </c>
      <c r="CW275" s="847">
        <v>0</v>
      </c>
      <c r="CX275" s="847">
        <v>0</v>
      </c>
      <c r="CY275" s="847">
        <v>0</v>
      </c>
      <c r="CZ275" s="847">
        <v>0</v>
      </c>
      <c r="DA275" s="847">
        <v>0</v>
      </c>
      <c r="DB275" s="847">
        <v>0</v>
      </c>
      <c r="DC275" s="847">
        <v>0</v>
      </c>
      <c r="DD275" s="847">
        <v>0</v>
      </c>
      <c r="DE275" s="847">
        <v>0</v>
      </c>
      <c r="DF275" s="847">
        <v>0</v>
      </c>
      <c r="DG275" s="847">
        <v>0</v>
      </c>
      <c r="DH275" s="847">
        <v>0</v>
      </c>
      <c r="DI275" s="847">
        <v>0</v>
      </c>
      <c r="DJ275" s="847">
        <v>0</v>
      </c>
      <c r="DK275" s="847">
        <v>0</v>
      </c>
      <c r="DL275" s="847">
        <v>0</v>
      </c>
      <c r="DM275" s="847">
        <v>0</v>
      </c>
      <c r="DN275" s="847">
        <v>0</v>
      </c>
      <c r="DO275" s="847">
        <v>0</v>
      </c>
      <c r="DP275" s="847">
        <v>0</v>
      </c>
      <c r="DQ275" s="847">
        <v>0</v>
      </c>
      <c r="DR275" s="847">
        <v>0</v>
      </c>
      <c r="DS275" s="847">
        <v>0</v>
      </c>
      <c r="DT275" s="847">
        <v>0</v>
      </c>
      <c r="DU275" s="847">
        <v>0</v>
      </c>
      <c r="DV275" s="847">
        <v>0</v>
      </c>
      <c r="DW275" s="847">
        <v>0</v>
      </c>
      <c r="DY275" s="843" t="s">
        <v>1060</v>
      </c>
      <c r="DZ275" s="843" t="s">
        <v>1382</v>
      </c>
      <c r="EA275" s="843" t="s">
        <v>97</v>
      </c>
      <c r="EB275" s="844">
        <v>40</v>
      </c>
      <c r="EC275" s="780" t="str">
        <f t="shared" si="9"/>
        <v>IWT060240</v>
      </c>
      <c r="ED275" s="844">
        <v>5336</v>
      </c>
      <c r="EE275" s="844">
        <v>10672.1</v>
      </c>
      <c r="EF275" s="844">
        <v>16008.1</v>
      </c>
      <c r="EG275" s="844">
        <v>21344.2</v>
      </c>
      <c r="EH275" s="844">
        <v>26680.2</v>
      </c>
      <c r="EI275" s="844">
        <v>32016.2</v>
      </c>
      <c r="EJ275" s="844">
        <v>32016.2</v>
      </c>
      <c r="EK275" s="844">
        <v>32016.2</v>
      </c>
      <c r="EL275" s="844">
        <v>32016.2</v>
      </c>
      <c r="EM275" s="844">
        <v>32567</v>
      </c>
      <c r="EN275" s="844">
        <v>33219</v>
      </c>
      <c r="EO275" s="844">
        <v>33883</v>
      </c>
      <c r="EP275" s="844">
        <v>34561</v>
      </c>
      <c r="EQ275" s="844">
        <v>35252</v>
      </c>
      <c r="ER275" s="844">
        <v>35957</v>
      </c>
      <c r="ES275" s="844">
        <v>36676</v>
      </c>
      <c r="ET275" s="844">
        <v>37410</v>
      </c>
      <c r="EU275" s="844">
        <v>38158</v>
      </c>
      <c r="EV275" s="844">
        <v>38921</v>
      </c>
      <c r="EW275" s="844">
        <v>39699</v>
      </c>
      <c r="EX275" s="844">
        <v>40493</v>
      </c>
      <c r="EY275" s="844">
        <v>41303</v>
      </c>
      <c r="EZ275" s="844">
        <v>42129</v>
      </c>
      <c r="FA275" s="844">
        <v>42972</v>
      </c>
      <c r="FB275" s="844">
        <v>43831</v>
      </c>
      <c r="FC275" s="844">
        <v>44708</v>
      </c>
      <c r="FD275" s="844">
        <v>45602</v>
      </c>
      <c r="FE275" s="844">
        <v>46514</v>
      </c>
      <c r="FF275" s="844">
        <v>47444</v>
      </c>
      <c r="FG275" s="844">
        <v>48393</v>
      </c>
      <c r="FH275" s="844">
        <v>49361</v>
      </c>
      <c r="FI275" s="844">
        <v>50348</v>
      </c>
      <c r="FJ275" s="844">
        <v>51355</v>
      </c>
      <c r="FK275" s="844">
        <v>52382</v>
      </c>
      <c r="FL275" s="844">
        <v>53430</v>
      </c>
      <c r="FM275" s="844">
        <v>54498</v>
      </c>
      <c r="FN275" s="844">
        <v>55588</v>
      </c>
      <c r="FO275" s="844">
        <v>56700</v>
      </c>
      <c r="FP275" s="844">
        <v>57834</v>
      </c>
      <c r="FQ275" s="844">
        <v>58990</v>
      </c>
      <c r="FR275" s="844">
        <v>60170</v>
      </c>
      <c r="FS275" s="844">
        <v>61373</v>
      </c>
      <c r="FT275" s="844">
        <v>62600</v>
      </c>
      <c r="FU275" s="844">
        <v>63852</v>
      </c>
      <c r="FV275" s="844">
        <v>65122</v>
      </c>
      <c r="FW275" s="844">
        <v>66407</v>
      </c>
      <c r="FX275" s="844">
        <v>67707</v>
      </c>
      <c r="FY275" s="844">
        <v>69021</v>
      </c>
      <c r="FZ275" s="844">
        <v>70350</v>
      </c>
      <c r="GA275" s="844">
        <v>71692</v>
      </c>
      <c r="GB275" s="844">
        <v>73046</v>
      </c>
      <c r="GC275" s="844">
        <v>74412</v>
      </c>
      <c r="GD275" s="844">
        <v>75800</v>
      </c>
      <c r="GE275" s="844">
        <v>77200</v>
      </c>
      <c r="GF275" s="844">
        <v>78600</v>
      </c>
      <c r="GG275" s="844">
        <v>80000</v>
      </c>
      <c r="GH275" s="844">
        <v>81400</v>
      </c>
      <c r="GI275" s="844">
        <v>82800</v>
      </c>
      <c r="GJ275" s="844">
        <v>84205</v>
      </c>
      <c r="GK275" s="844">
        <v>85630</v>
      </c>
      <c r="GL275" s="844">
        <v>87059</v>
      </c>
      <c r="GM275" s="844">
        <v>88492</v>
      </c>
      <c r="GN275" s="844">
        <v>89928</v>
      </c>
      <c r="GO275" s="844">
        <v>91366</v>
      </c>
      <c r="GP275" s="844">
        <v>92807</v>
      </c>
      <c r="GQ275" s="844">
        <v>94249</v>
      </c>
      <c r="GR275" s="844">
        <v>95692</v>
      </c>
      <c r="GS275" s="844">
        <v>97135</v>
      </c>
      <c r="GT275" s="844">
        <v>98578</v>
      </c>
      <c r="GU275" s="844">
        <v>100005</v>
      </c>
      <c r="GV275" s="844">
        <v>101000</v>
      </c>
      <c r="GW275" s="844">
        <v>0</v>
      </c>
      <c r="GX275" s="844">
        <v>0</v>
      </c>
      <c r="GY275" s="844">
        <v>0</v>
      </c>
      <c r="GZ275" s="844">
        <v>0</v>
      </c>
      <c r="HA275" s="844">
        <v>0</v>
      </c>
      <c r="HB275" s="844">
        <v>0</v>
      </c>
      <c r="HC275" s="844">
        <v>0</v>
      </c>
      <c r="HD275" s="844">
        <v>0</v>
      </c>
      <c r="HE275" s="844">
        <v>0</v>
      </c>
      <c r="HF275" s="844">
        <v>0</v>
      </c>
      <c r="HG275" s="844">
        <v>0</v>
      </c>
      <c r="HH275" s="844">
        <v>0</v>
      </c>
      <c r="HI275" s="844">
        <v>0</v>
      </c>
      <c r="HJ275" s="844">
        <v>0</v>
      </c>
      <c r="HK275" s="844">
        <v>0</v>
      </c>
      <c r="HL275" s="844">
        <v>0</v>
      </c>
      <c r="HM275" s="844">
        <v>0</v>
      </c>
      <c r="HN275" s="844">
        <v>0</v>
      </c>
      <c r="HO275" s="844">
        <v>0</v>
      </c>
      <c r="HP275" s="844">
        <v>0</v>
      </c>
      <c r="HQ275" s="844">
        <v>0</v>
      </c>
      <c r="HR275" s="844">
        <v>0</v>
      </c>
      <c r="HS275" s="844">
        <v>0</v>
      </c>
      <c r="HT275" s="844">
        <v>0</v>
      </c>
      <c r="HU275" s="844">
        <v>0</v>
      </c>
      <c r="HV275" s="844">
        <v>0</v>
      </c>
      <c r="HW275" s="844">
        <v>0</v>
      </c>
      <c r="HX275" s="844">
        <v>0</v>
      </c>
      <c r="HY275" s="844">
        <v>0</v>
      </c>
      <c r="HZ275" s="844">
        <v>0</v>
      </c>
      <c r="IA275" s="844">
        <v>0</v>
      </c>
      <c r="IB275" s="844">
        <v>0</v>
      </c>
      <c r="IC275" s="844">
        <v>0</v>
      </c>
      <c r="ID275" s="844">
        <v>0</v>
      </c>
      <c r="IE275" s="844">
        <v>0</v>
      </c>
      <c r="IF275" s="844">
        <v>0</v>
      </c>
      <c r="IG275" s="844">
        <v>0</v>
      </c>
      <c r="IH275" s="844">
        <v>0</v>
      </c>
      <c r="II275" s="844">
        <v>0</v>
      </c>
      <c r="IJ275" s="844">
        <v>0</v>
      </c>
    </row>
    <row r="276" spans="9:244" hidden="1">
      <c r="I276" s="156"/>
      <c r="L276" s="846" t="s">
        <v>1060</v>
      </c>
      <c r="M276" s="846" t="s">
        <v>1382</v>
      </c>
      <c r="N276" s="846" t="s">
        <v>97</v>
      </c>
      <c r="O276" s="847">
        <v>41</v>
      </c>
      <c r="P276" s="780" t="str">
        <f t="shared" si="8"/>
        <v>IWT060241</v>
      </c>
      <c r="Q276" s="847">
        <v>0</v>
      </c>
      <c r="R276" s="847">
        <v>0</v>
      </c>
      <c r="S276" s="847">
        <v>0</v>
      </c>
      <c r="T276" s="847">
        <v>0</v>
      </c>
      <c r="U276" s="847">
        <v>0</v>
      </c>
      <c r="V276" s="847">
        <v>0</v>
      </c>
      <c r="W276" s="847">
        <v>0</v>
      </c>
      <c r="X276" s="847">
        <v>0</v>
      </c>
      <c r="Y276" s="847">
        <v>0</v>
      </c>
      <c r="Z276" s="847">
        <v>0</v>
      </c>
      <c r="AA276" s="847">
        <v>0</v>
      </c>
      <c r="AB276" s="847">
        <v>0</v>
      </c>
      <c r="AC276" s="847">
        <v>0</v>
      </c>
      <c r="AD276" s="847">
        <v>0</v>
      </c>
      <c r="AE276" s="847">
        <v>0</v>
      </c>
      <c r="AF276" s="847">
        <v>0</v>
      </c>
      <c r="AG276" s="847">
        <v>0</v>
      </c>
      <c r="AH276" s="847">
        <v>0</v>
      </c>
      <c r="AI276" s="847">
        <v>0</v>
      </c>
      <c r="AJ276" s="847">
        <v>0</v>
      </c>
      <c r="AK276" s="847">
        <v>0</v>
      </c>
      <c r="AL276" s="847">
        <v>0</v>
      </c>
      <c r="AM276" s="847">
        <v>0</v>
      </c>
      <c r="AN276" s="847">
        <v>0</v>
      </c>
      <c r="AO276" s="847">
        <v>0</v>
      </c>
      <c r="AP276" s="847">
        <v>0</v>
      </c>
      <c r="AQ276" s="847">
        <v>0</v>
      </c>
      <c r="AR276" s="847">
        <v>0</v>
      </c>
      <c r="AS276" s="847">
        <v>0</v>
      </c>
      <c r="AT276" s="847">
        <v>0</v>
      </c>
      <c r="AU276" s="847">
        <v>0</v>
      </c>
      <c r="AV276" s="847">
        <v>0</v>
      </c>
      <c r="AW276" s="847">
        <v>0</v>
      </c>
      <c r="AX276" s="847">
        <v>0</v>
      </c>
      <c r="AY276" s="847">
        <v>0</v>
      </c>
      <c r="AZ276" s="847">
        <v>0</v>
      </c>
      <c r="BA276" s="847">
        <v>0</v>
      </c>
      <c r="BB276" s="847">
        <v>0</v>
      </c>
      <c r="BC276" s="847">
        <v>0</v>
      </c>
      <c r="BD276" s="847">
        <v>0</v>
      </c>
      <c r="BE276" s="847">
        <v>0</v>
      </c>
      <c r="BF276" s="847">
        <v>0</v>
      </c>
      <c r="BG276" s="847">
        <v>0</v>
      </c>
      <c r="BH276" s="847">
        <v>0</v>
      </c>
      <c r="BI276" s="847">
        <v>0</v>
      </c>
      <c r="BJ276" s="847">
        <v>0</v>
      </c>
      <c r="BK276" s="847">
        <v>0</v>
      </c>
      <c r="BL276" s="847">
        <v>0</v>
      </c>
      <c r="BM276" s="847">
        <v>0</v>
      </c>
      <c r="BN276" s="847">
        <v>0</v>
      </c>
      <c r="BO276" s="847">
        <v>0</v>
      </c>
      <c r="BP276" s="847">
        <v>0</v>
      </c>
      <c r="BQ276" s="847">
        <v>0</v>
      </c>
      <c r="BR276" s="847">
        <v>0</v>
      </c>
      <c r="BS276" s="847">
        <v>0</v>
      </c>
      <c r="BT276" s="847">
        <v>0</v>
      </c>
      <c r="BU276" s="847">
        <v>0</v>
      </c>
      <c r="BV276" s="847">
        <v>0</v>
      </c>
      <c r="BW276" s="847">
        <v>0</v>
      </c>
      <c r="BX276" s="847">
        <v>0</v>
      </c>
      <c r="BY276" s="847">
        <v>0</v>
      </c>
      <c r="BZ276" s="847">
        <v>0</v>
      </c>
      <c r="CA276" s="847">
        <v>0</v>
      </c>
      <c r="CB276" s="847">
        <v>0</v>
      </c>
      <c r="CC276" s="847">
        <v>0</v>
      </c>
      <c r="CD276" s="847">
        <v>0</v>
      </c>
      <c r="CE276" s="847">
        <v>0</v>
      </c>
      <c r="CF276" s="847">
        <v>0</v>
      </c>
      <c r="CG276" s="847">
        <v>0</v>
      </c>
      <c r="CH276" s="847">
        <v>99600</v>
      </c>
      <c r="CI276" s="847">
        <v>0</v>
      </c>
      <c r="CJ276" s="847">
        <v>0</v>
      </c>
      <c r="CK276" s="847">
        <v>0</v>
      </c>
      <c r="CL276" s="847">
        <v>0</v>
      </c>
      <c r="CM276" s="847">
        <v>0</v>
      </c>
      <c r="CN276" s="847">
        <v>0</v>
      </c>
      <c r="CO276" s="847">
        <v>0</v>
      </c>
      <c r="CP276" s="847">
        <v>0</v>
      </c>
      <c r="CQ276" s="847">
        <v>0</v>
      </c>
      <c r="CR276" s="847">
        <v>0</v>
      </c>
      <c r="CS276" s="847">
        <v>0</v>
      </c>
      <c r="CT276" s="847">
        <v>0</v>
      </c>
      <c r="CU276" s="847">
        <v>0</v>
      </c>
      <c r="CV276" s="847">
        <v>0</v>
      </c>
      <c r="CW276" s="847">
        <v>0</v>
      </c>
      <c r="CX276" s="847">
        <v>0</v>
      </c>
      <c r="CY276" s="847">
        <v>0</v>
      </c>
      <c r="CZ276" s="847">
        <v>0</v>
      </c>
      <c r="DA276" s="847">
        <v>0</v>
      </c>
      <c r="DB276" s="847">
        <v>0</v>
      </c>
      <c r="DC276" s="847">
        <v>0</v>
      </c>
      <c r="DD276" s="847">
        <v>0</v>
      </c>
      <c r="DE276" s="847">
        <v>0</v>
      </c>
      <c r="DF276" s="847">
        <v>0</v>
      </c>
      <c r="DG276" s="847">
        <v>0</v>
      </c>
      <c r="DH276" s="847">
        <v>0</v>
      </c>
      <c r="DI276" s="847">
        <v>0</v>
      </c>
      <c r="DJ276" s="847">
        <v>0</v>
      </c>
      <c r="DK276" s="847">
        <v>0</v>
      </c>
      <c r="DL276" s="847">
        <v>0</v>
      </c>
      <c r="DM276" s="847">
        <v>0</v>
      </c>
      <c r="DN276" s="847">
        <v>0</v>
      </c>
      <c r="DO276" s="847">
        <v>0</v>
      </c>
      <c r="DP276" s="847">
        <v>0</v>
      </c>
      <c r="DQ276" s="847">
        <v>0</v>
      </c>
      <c r="DR276" s="847">
        <v>0</v>
      </c>
      <c r="DS276" s="847">
        <v>0</v>
      </c>
      <c r="DT276" s="847">
        <v>0</v>
      </c>
      <c r="DU276" s="847">
        <v>0</v>
      </c>
      <c r="DV276" s="847">
        <v>0</v>
      </c>
      <c r="DW276" s="847">
        <v>0</v>
      </c>
      <c r="DY276" s="843" t="s">
        <v>1060</v>
      </c>
      <c r="DZ276" s="843" t="s">
        <v>1382</v>
      </c>
      <c r="EA276" s="843" t="s">
        <v>97</v>
      </c>
      <c r="EB276" s="844">
        <v>41</v>
      </c>
      <c r="EC276" s="780" t="str">
        <f t="shared" si="9"/>
        <v>IWT060241</v>
      </c>
      <c r="ED276" s="844">
        <v>5340.3</v>
      </c>
      <c r="EE276" s="844">
        <v>10680.6</v>
      </c>
      <c r="EF276" s="844">
        <v>16020.8</v>
      </c>
      <c r="EG276" s="844">
        <v>21361.1</v>
      </c>
      <c r="EH276" s="844">
        <v>26701.4</v>
      </c>
      <c r="EI276" s="844">
        <v>32041.7</v>
      </c>
      <c r="EJ276" s="844">
        <v>32041.7</v>
      </c>
      <c r="EK276" s="844">
        <v>32041.7</v>
      </c>
      <c r="EL276" s="844">
        <v>32041.7</v>
      </c>
      <c r="EM276" s="844">
        <v>32594</v>
      </c>
      <c r="EN276" s="844">
        <v>33246</v>
      </c>
      <c r="EO276" s="844">
        <v>33911</v>
      </c>
      <c r="EP276" s="844">
        <v>34589</v>
      </c>
      <c r="EQ276" s="844">
        <v>35281</v>
      </c>
      <c r="ER276" s="844">
        <v>35987</v>
      </c>
      <c r="ES276" s="844">
        <v>36707</v>
      </c>
      <c r="ET276" s="844">
        <v>37441</v>
      </c>
      <c r="EU276" s="844">
        <v>38189</v>
      </c>
      <c r="EV276" s="844">
        <v>38953</v>
      </c>
      <c r="EW276" s="844">
        <v>39732</v>
      </c>
      <c r="EX276" s="844">
        <v>40527</v>
      </c>
      <c r="EY276" s="844">
        <v>41337</v>
      </c>
      <c r="EZ276" s="844">
        <v>42164</v>
      </c>
      <c r="FA276" s="844">
        <v>43008</v>
      </c>
      <c r="FB276" s="844">
        <v>43868</v>
      </c>
      <c r="FC276" s="844">
        <v>44745</v>
      </c>
      <c r="FD276" s="844">
        <v>45640</v>
      </c>
      <c r="FE276" s="844">
        <v>46553</v>
      </c>
      <c r="FF276" s="844">
        <v>47484</v>
      </c>
      <c r="FG276" s="844">
        <v>48433</v>
      </c>
      <c r="FH276" s="844">
        <v>49402</v>
      </c>
      <c r="FI276" s="844">
        <v>50390</v>
      </c>
      <c r="FJ276" s="844">
        <v>51398</v>
      </c>
      <c r="FK276" s="844">
        <v>52426</v>
      </c>
      <c r="FL276" s="844">
        <v>53474</v>
      </c>
      <c r="FM276" s="844">
        <v>54543</v>
      </c>
      <c r="FN276" s="844">
        <v>55634</v>
      </c>
      <c r="FO276" s="844">
        <v>56747</v>
      </c>
      <c r="FP276" s="844">
        <v>57882</v>
      </c>
      <c r="FQ276" s="844">
        <v>59039</v>
      </c>
      <c r="FR276" s="844">
        <v>60220</v>
      </c>
      <c r="FS276" s="844">
        <v>61424</v>
      </c>
      <c r="FT276" s="844">
        <v>62652</v>
      </c>
      <c r="FU276" s="844">
        <v>63905</v>
      </c>
      <c r="FV276" s="844">
        <v>65179</v>
      </c>
      <c r="FW276" s="844">
        <v>66468</v>
      </c>
      <c r="FX276" s="844">
        <v>67771</v>
      </c>
      <c r="FY276" s="844">
        <v>69089</v>
      </c>
      <c r="FZ276" s="844">
        <v>70421</v>
      </c>
      <c r="GA276" s="844">
        <v>71766</v>
      </c>
      <c r="GB276" s="844">
        <v>73122</v>
      </c>
      <c r="GC276" s="844">
        <v>74488</v>
      </c>
      <c r="GD276" s="844">
        <v>75863</v>
      </c>
      <c r="GE276" s="844">
        <v>77248</v>
      </c>
      <c r="GF276" s="844">
        <v>78642</v>
      </c>
      <c r="GG276" s="844">
        <v>80042</v>
      </c>
      <c r="GH276" s="844">
        <v>81450</v>
      </c>
      <c r="GI276" s="844">
        <v>82864</v>
      </c>
      <c r="GJ276" s="844">
        <v>84283</v>
      </c>
      <c r="GK276" s="844">
        <v>85707</v>
      </c>
      <c r="GL276" s="844">
        <v>87134</v>
      </c>
      <c r="GM276" s="844">
        <v>88566</v>
      </c>
      <c r="GN276" s="844">
        <v>90000</v>
      </c>
      <c r="GO276" s="844">
        <v>91436</v>
      </c>
      <c r="GP276" s="844">
        <v>92874</v>
      </c>
      <c r="GQ276" s="844">
        <v>94313</v>
      </c>
      <c r="GR276" s="844">
        <v>95754</v>
      </c>
      <c r="GS276" s="844">
        <v>97194</v>
      </c>
      <c r="GT276" s="844">
        <v>98619</v>
      </c>
      <c r="GU276" s="844">
        <v>99600</v>
      </c>
      <c r="GV276" s="844">
        <v>0</v>
      </c>
      <c r="GW276" s="844">
        <v>0</v>
      </c>
      <c r="GX276" s="844">
        <v>0</v>
      </c>
      <c r="GY276" s="844">
        <v>0</v>
      </c>
      <c r="GZ276" s="844">
        <v>0</v>
      </c>
      <c r="HA276" s="844">
        <v>0</v>
      </c>
      <c r="HB276" s="844">
        <v>0</v>
      </c>
      <c r="HC276" s="844">
        <v>0</v>
      </c>
      <c r="HD276" s="844">
        <v>0</v>
      </c>
      <c r="HE276" s="844">
        <v>0</v>
      </c>
      <c r="HF276" s="844">
        <v>0</v>
      </c>
      <c r="HG276" s="844">
        <v>0</v>
      </c>
      <c r="HH276" s="844">
        <v>0</v>
      </c>
      <c r="HI276" s="844">
        <v>0</v>
      </c>
      <c r="HJ276" s="844">
        <v>0</v>
      </c>
      <c r="HK276" s="844">
        <v>0</v>
      </c>
      <c r="HL276" s="844">
        <v>0</v>
      </c>
      <c r="HM276" s="844">
        <v>0</v>
      </c>
      <c r="HN276" s="844">
        <v>0</v>
      </c>
      <c r="HO276" s="844">
        <v>0</v>
      </c>
      <c r="HP276" s="844">
        <v>0</v>
      </c>
      <c r="HQ276" s="844">
        <v>0</v>
      </c>
      <c r="HR276" s="844">
        <v>0</v>
      </c>
      <c r="HS276" s="844">
        <v>0</v>
      </c>
      <c r="HT276" s="844">
        <v>0</v>
      </c>
      <c r="HU276" s="844">
        <v>0</v>
      </c>
      <c r="HV276" s="844">
        <v>0</v>
      </c>
      <c r="HW276" s="844">
        <v>0</v>
      </c>
      <c r="HX276" s="844">
        <v>0</v>
      </c>
      <c r="HY276" s="844">
        <v>0</v>
      </c>
      <c r="HZ276" s="844">
        <v>0</v>
      </c>
      <c r="IA276" s="844">
        <v>0</v>
      </c>
      <c r="IB276" s="844">
        <v>0</v>
      </c>
      <c r="IC276" s="844">
        <v>0</v>
      </c>
      <c r="ID276" s="844">
        <v>0</v>
      </c>
      <c r="IE276" s="844">
        <v>0</v>
      </c>
      <c r="IF276" s="844">
        <v>0</v>
      </c>
      <c r="IG276" s="844">
        <v>0</v>
      </c>
      <c r="IH276" s="844">
        <v>0</v>
      </c>
      <c r="II276" s="844">
        <v>0</v>
      </c>
      <c r="IJ276" s="844">
        <v>0</v>
      </c>
    </row>
    <row r="277" spans="9:244" hidden="1">
      <c r="I277" s="156"/>
      <c r="L277" s="846" t="s">
        <v>1060</v>
      </c>
      <c r="M277" s="846" t="s">
        <v>1382</v>
      </c>
      <c r="N277" s="846" t="s">
        <v>97</v>
      </c>
      <c r="O277" s="847">
        <v>42</v>
      </c>
      <c r="P277" s="780" t="str">
        <f t="shared" si="8"/>
        <v>IWT060242</v>
      </c>
      <c r="Q277" s="847">
        <v>0</v>
      </c>
      <c r="R277" s="847">
        <v>0</v>
      </c>
      <c r="S277" s="847">
        <v>0</v>
      </c>
      <c r="T277" s="847">
        <v>0</v>
      </c>
      <c r="U277" s="847">
        <v>0</v>
      </c>
      <c r="V277" s="847">
        <v>0</v>
      </c>
      <c r="W277" s="847">
        <v>0</v>
      </c>
      <c r="X277" s="847">
        <v>0</v>
      </c>
      <c r="Y277" s="847">
        <v>0</v>
      </c>
      <c r="Z277" s="847">
        <v>0</v>
      </c>
      <c r="AA277" s="847">
        <v>0</v>
      </c>
      <c r="AB277" s="847">
        <v>0</v>
      </c>
      <c r="AC277" s="847">
        <v>0</v>
      </c>
      <c r="AD277" s="847">
        <v>0</v>
      </c>
      <c r="AE277" s="847">
        <v>0</v>
      </c>
      <c r="AF277" s="847">
        <v>0</v>
      </c>
      <c r="AG277" s="847">
        <v>0</v>
      </c>
      <c r="AH277" s="847">
        <v>0</v>
      </c>
      <c r="AI277" s="847">
        <v>0</v>
      </c>
      <c r="AJ277" s="847">
        <v>0</v>
      </c>
      <c r="AK277" s="847">
        <v>0</v>
      </c>
      <c r="AL277" s="847">
        <v>0</v>
      </c>
      <c r="AM277" s="847">
        <v>0</v>
      </c>
      <c r="AN277" s="847">
        <v>0</v>
      </c>
      <c r="AO277" s="847">
        <v>0</v>
      </c>
      <c r="AP277" s="847">
        <v>0</v>
      </c>
      <c r="AQ277" s="847">
        <v>0</v>
      </c>
      <c r="AR277" s="847">
        <v>0</v>
      </c>
      <c r="AS277" s="847">
        <v>0</v>
      </c>
      <c r="AT277" s="847">
        <v>0</v>
      </c>
      <c r="AU277" s="847">
        <v>0</v>
      </c>
      <c r="AV277" s="847">
        <v>0</v>
      </c>
      <c r="AW277" s="847">
        <v>0</v>
      </c>
      <c r="AX277" s="847">
        <v>0</v>
      </c>
      <c r="AY277" s="847">
        <v>0</v>
      </c>
      <c r="AZ277" s="847">
        <v>0</v>
      </c>
      <c r="BA277" s="847">
        <v>0</v>
      </c>
      <c r="BB277" s="847">
        <v>0</v>
      </c>
      <c r="BC277" s="847">
        <v>0</v>
      </c>
      <c r="BD277" s="847">
        <v>0</v>
      </c>
      <c r="BE277" s="847">
        <v>0</v>
      </c>
      <c r="BF277" s="847">
        <v>0</v>
      </c>
      <c r="BG277" s="847">
        <v>0</v>
      </c>
      <c r="BH277" s="847">
        <v>0</v>
      </c>
      <c r="BI277" s="847">
        <v>0</v>
      </c>
      <c r="BJ277" s="847">
        <v>0</v>
      </c>
      <c r="BK277" s="847">
        <v>0</v>
      </c>
      <c r="BL277" s="847">
        <v>0</v>
      </c>
      <c r="BM277" s="847">
        <v>0</v>
      </c>
      <c r="BN277" s="847">
        <v>0</v>
      </c>
      <c r="BO277" s="847">
        <v>0</v>
      </c>
      <c r="BP277" s="847">
        <v>0</v>
      </c>
      <c r="BQ277" s="847">
        <v>0</v>
      </c>
      <c r="BR277" s="847">
        <v>0</v>
      </c>
      <c r="BS277" s="847">
        <v>0</v>
      </c>
      <c r="BT277" s="847">
        <v>0</v>
      </c>
      <c r="BU277" s="847">
        <v>0</v>
      </c>
      <c r="BV277" s="847">
        <v>0</v>
      </c>
      <c r="BW277" s="847">
        <v>0</v>
      </c>
      <c r="BX277" s="847">
        <v>0</v>
      </c>
      <c r="BY277" s="847">
        <v>0</v>
      </c>
      <c r="BZ277" s="847">
        <v>0</v>
      </c>
      <c r="CA277" s="847">
        <v>0</v>
      </c>
      <c r="CB277" s="847">
        <v>0</v>
      </c>
      <c r="CC277" s="847">
        <v>0</v>
      </c>
      <c r="CD277" s="847">
        <v>0</v>
      </c>
      <c r="CE277" s="847">
        <v>0</v>
      </c>
      <c r="CF277" s="847">
        <v>0</v>
      </c>
      <c r="CG277" s="847">
        <v>98200</v>
      </c>
      <c r="CH277" s="847">
        <v>0</v>
      </c>
      <c r="CI277" s="847">
        <v>0</v>
      </c>
      <c r="CJ277" s="847">
        <v>0</v>
      </c>
      <c r="CK277" s="847">
        <v>0</v>
      </c>
      <c r="CL277" s="847">
        <v>0</v>
      </c>
      <c r="CM277" s="847">
        <v>0</v>
      </c>
      <c r="CN277" s="847">
        <v>0</v>
      </c>
      <c r="CO277" s="847">
        <v>0</v>
      </c>
      <c r="CP277" s="847">
        <v>0</v>
      </c>
      <c r="CQ277" s="847">
        <v>0</v>
      </c>
      <c r="CR277" s="847">
        <v>0</v>
      </c>
      <c r="CS277" s="847">
        <v>0</v>
      </c>
      <c r="CT277" s="847">
        <v>0</v>
      </c>
      <c r="CU277" s="847">
        <v>0</v>
      </c>
      <c r="CV277" s="847">
        <v>0</v>
      </c>
      <c r="CW277" s="847">
        <v>0</v>
      </c>
      <c r="CX277" s="847">
        <v>0</v>
      </c>
      <c r="CY277" s="847">
        <v>0</v>
      </c>
      <c r="CZ277" s="847">
        <v>0</v>
      </c>
      <c r="DA277" s="847">
        <v>0</v>
      </c>
      <c r="DB277" s="847">
        <v>0</v>
      </c>
      <c r="DC277" s="847">
        <v>0</v>
      </c>
      <c r="DD277" s="847">
        <v>0</v>
      </c>
      <c r="DE277" s="847">
        <v>0</v>
      </c>
      <c r="DF277" s="847">
        <v>0</v>
      </c>
      <c r="DG277" s="847">
        <v>0</v>
      </c>
      <c r="DH277" s="847">
        <v>0</v>
      </c>
      <c r="DI277" s="847">
        <v>0</v>
      </c>
      <c r="DJ277" s="847">
        <v>0</v>
      </c>
      <c r="DK277" s="847">
        <v>0</v>
      </c>
      <c r="DL277" s="847">
        <v>0</v>
      </c>
      <c r="DM277" s="847">
        <v>0</v>
      </c>
      <c r="DN277" s="847">
        <v>0</v>
      </c>
      <c r="DO277" s="847">
        <v>0</v>
      </c>
      <c r="DP277" s="847">
        <v>0</v>
      </c>
      <c r="DQ277" s="847">
        <v>0</v>
      </c>
      <c r="DR277" s="847">
        <v>0</v>
      </c>
      <c r="DS277" s="847">
        <v>0</v>
      </c>
      <c r="DT277" s="847">
        <v>0</v>
      </c>
      <c r="DU277" s="847">
        <v>0</v>
      </c>
      <c r="DV277" s="847">
        <v>0</v>
      </c>
      <c r="DW277" s="847">
        <v>0</v>
      </c>
      <c r="DY277" s="843" t="s">
        <v>1060</v>
      </c>
      <c r="DZ277" s="843" t="s">
        <v>1382</v>
      </c>
      <c r="EA277" s="843" t="s">
        <v>97</v>
      </c>
      <c r="EB277" s="844">
        <v>42</v>
      </c>
      <c r="EC277" s="780" t="str">
        <f t="shared" si="9"/>
        <v>IWT060242</v>
      </c>
      <c r="ED277" s="844">
        <v>5344.5</v>
      </c>
      <c r="EE277" s="844">
        <v>10689</v>
      </c>
      <c r="EF277" s="844">
        <v>16033.6</v>
      </c>
      <c r="EG277" s="844">
        <v>21378.1</v>
      </c>
      <c r="EH277" s="844">
        <v>26722.6</v>
      </c>
      <c r="EI277" s="844">
        <v>32067.1</v>
      </c>
      <c r="EJ277" s="844">
        <v>32067.1</v>
      </c>
      <c r="EK277" s="844">
        <v>32067.1</v>
      </c>
      <c r="EL277" s="844">
        <v>32067.1</v>
      </c>
      <c r="EM277" s="844">
        <v>32618</v>
      </c>
      <c r="EN277" s="844">
        <v>33270</v>
      </c>
      <c r="EO277" s="844">
        <v>33935</v>
      </c>
      <c r="EP277" s="844">
        <v>34614</v>
      </c>
      <c r="EQ277" s="844">
        <v>35306</v>
      </c>
      <c r="ER277" s="844">
        <v>36013</v>
      </c>
      <c r="ES277" s="844">
        <v>36733</v>
      </c>
      <c r="ET277" s="844">
        <v>37467</v>
      </c>
      <c r="EU277" s="844">
        <v>38217</v>
      </c>
      <c r="EV277" s="844">
        <v>38981</v>
      </c>
      <c r="EW277" s="844">
        <v>39761</v>
      </c>
      <c r="EX277" s="844">
        <v>40556</v>
      </c>
      <c r="EY277" s="844">
        <v>41367</v>
      </c>
      <c r="EZ277" s="844">
        <v>42194</v>
      </c>
      <c r="FA277" s="844">
        <v>43038</v>
      </c>
      <c r="FB277" s="844">
        <v>43899</v>
      </c>
      <c r="FC277" s="844">
        <v>44777</v>
      </c>
      <c r="FD277" s="844">
        <v>45672</v>
      </c>
      <c r="FE277" s="844">
        <v>46586</v>
      </c>
      <c r="FF277" s="844">
        <v>47518</v>
      </c>
      <c r="FG277" s="844">
        <v>48468</v>
      </c>
      <c r="FH277" s="844">
        <v>49437</v>
      </c>
      <c r="FI277" s="844">
        <v>50426</v>
      </c>
      <c r="FJ277" s="844">
        <v>51434</v>
      </c>
      <c r="FK277" s="844">
        <v>52463</v>
      </c>
      <c r="FL277" s="844">
        <v>53512</v>
      </c>
      <c r="FM277" s="844">
        <v>54582</v>
      </c>
      <c r="FN277" s="844">
        <v>55674</v>
      </c>
      <c r="FO277" s="844">
        <v>56787</v>
      </c>
      <c r="FP277" s="844">
        <v>57923</v>
      </c>
      <c r="FQ277" s="844">
        <v>59081</v>
      </c>
      <c r="FR277" s="844">
        <v>60263</v>
      </c>
      <c r="FS277" s="844">
        <v>61468</v>
      </c>
      <c r="FT277" s="844">
        <v>62697</v>
      </c>
      <c r="FU277" s="844">
        <v>63951</v>
      </c>
      <c r="FV277" s="844">
        <v>65229</v>
      </c>
      <c r="FW277" s="844">
        <v>66522</v>
      </c>
      <c r="FX277" s="844">
        <v>67829</v>
      </c>
      <c r="FY277" s="844">
        <v>69151</v>
      </c>
      <c r="FZ277" s="844">
        <v>70485</v>
      </c>
      <c r="GA277" s="844">
        <v>71832</v>
      </c>
      <c r="GB277" s="844">
        <v>73189</v>
      </c>
      <c r="GC277" s="844">
        <v>74557</v>
      </c>
      <c r="GD277" s="844">
        <v>75934</v>
      </c>
      <c r="GE277" s="844">
        <v>77320</v>
      </c>
      <c r="GF277" s="844">
        <v>78714</v>
      </c>
      <c r="GG277" s="844">
        <v>80115</v>
      </c>
      <c r="GH277" s="844">
        <v>81522</v>
      </c>
      <c r="GI277" s="844">
        <v>82936</v>
      </c>
      <c r="GJ277" s="844">
        <v>84354</v>
      </c>
      <c r="GK277" s="844">
        <v>85777</v>
      </c>
      <c r="GL277" s="844">
        <v>87203</v>
      </c>
      <c r="GM277" s="844">
        <v>88633</v>
      </c>
      <c r="GN277" s="844">
        <v>90065</v>
      </c>
      <c r="GO277" s="844">
        <v>91499</v>
      </c>
      <c r="GP277" s="844">
        <v>92935</v>
      </c>
      <c r="GQ277" s="844">
        <v>94372</v>
      </c>
      <c r="GR277" s="844">
        <v>95809</v>
      </c>
      <c r="GS277" s="844">
        <v>97232</v>
      </c>
      <c r="GT277" s="844">
        <v>98200</v>
      </c>
      <c r="GU277" s="844">
        <v>0</v>
      </c>
      <c r="GV277" s="844">
        <v>0</v>
      </c>
      <c r="GW277" s="844">
        <v>0</v>
      </c>
      <c r="GX277" s="844">
        <v>0</v>
      </c>
      <c r="GY277" s="844">
        <v>0</v>
      </c>
      <c r="GZ277" s="844">
        <v>0</v>
      </c>
      <c r="HA277" s="844">
        <v>0</v>
      </c>
      <c r="HB277" s="844">
        <v>0</v>
      </c>
      <c r="HC277" s="844">
        <v>0</v>
      </c>
      <c r="HD277" s="844">
        <v>0</v>
      </c>
      <c r="HE277" s="844">
        <v>0</v>
      </c>
      <c r="HF277" s="844">
        <v>0</v>
      </c>
      <c r="HG277" s="844">
        <v>0</v>
      </c>
      <c r="HH277" s="844">
        <v>0</v>
      </c>
      <c r="HI277" s="844">
        <v>0</v>
      </c>
      <c r="HJ277" s="844">
        <v>0</v>
      </c>
      <c r="HK277" s="844">
        <v>0</v>
      </c>
      <c r="HL277" s="844">
        <v>0</v>
      </c>
      <c r="HM277" s="844">
        <v>0</v>
      </c>
      <c r="HN277" s="844">
        <v>0</v>
      </c>
      <c r="HO277" s="844">
        <v>0</v>
      </c>
      <c r="HP277" s="844">
        <v>0</v>
      </c>
      <c r="HQ277" s="844">
        <v>0</v>
      </c>
      <c r="HR277" s="844">
        <v>0</v>
      </c>
      <c r="HS277" s="844">
        <v>0</v>
      </c>
      <c r="HT277" s="844">
        <v>0</v>
      </c>
      <c r="HU277" s="844">
        <v>0</v>
      </c>
      <c r="HV277" s="844">
        <v>0</v>
      </c>
      <c r="HW277" s="844">
        <v>0</v>
      </c>
      <c r="HX277" s="844">
        <v>0</v>
      </c>
      <c r="HY277" s="844">
        <v>0</v>
      </c>
      <c r="HZ277" s="844">
        <v>0</v>
      </c>
      <c r="IA277" s="844">
        <v>0</v>
      </c>
      <c r="IB277" s="844">
        <v>0</v>
      </c>
      <c r="IC277" s="844">
        <v>0</v>
      </c>
      <c r="ID277" s="844">
        <v>0</v>
      </c>
      <c r="IE277" s="844">
        <v>0</v>
      </c>
      <c r="IF277" s="844">
        <v>0</v>
      </c>
      <c r="IG277" s="844">
        <v>0</v>
      </c>
      <c r="IH277" s="844">
        <v>0</v>
      </c>
      <c r="II277" s="844">
        <v>0</v>
      </c>
      <c r="IJ277" s="844">
        <v>0</v>
      </c>
    </row>
    <row r="278" spans="9:244" hidden="1">
      <c r="I278" s="156"/>
      <c r="L278" s="846" t="s">
        <v>1060</v>
      </c>
      <c r="M278" s="846" t="s">
        <v>1382</v>
      </c>
      <c r="N278" s="846" t="s">
        <v>97</v>
      </c>
      <c r="O278" s="847">
        <v>43</v>
      </c>
      <c r="P278" s="780" t="str">
        <f t="shared" si="8"/>
        <v>IWT060243</v>
      </c>
      <c r="Q278" s="847">
        <v>0</v>
      </c>
      <c r="R278" s="847">
        <v>0</v>
      </c>
      <c r="S278" s="847">
        <v>0</v>
      </c>
      <c r="T278" s="847">
        <v>0</v>
      </c>
      <c r="U278" s="847">
        <v>0</v>
      </c>
      <c r="V278" s="847">
        <v>0</v>
      </c>
      <c r="W278" s="847">
        <v>0</v>
      </c>
      <c r="X278" s="847">
        <v>0</v>
      </c>
      <c r="Y278" s="847">
        <v>0</v>
      </c>
      <c r="Z278" s="847">
        <v>0</v>
      </c>
      <c r="AA278" s="847">
        <v>0</v>
      </c>
      <c r="AB278" s="847">
        <v>0</v>
      </c>
      <c r="AC278" s="847">
        <v>0</v>
      </c>
      <c r="AD278" s="847">
        <v>0</v>
      </c>
      <c r="AE278" s="847">
        <v>0</v>
      </c>
      <c r="AF278" s="847">
        <v>0</v>
      </c>
      <c r="AG278" s="847">
        <v>0</v>
      </c>
      <c r="AH278" s="847">
        <v>0</v>
      </c>
      <c r="AI278" s="847">
        <v>0</v>
      </c>
      <c r="AJ278" s="847">
        <v>0</v>
      </c>
      <c r="AK278" s="847">
        <v>0</v>
      </c>
      <c r="AL278" s="847">
        <v>0</v>
      </c>
      <c r="AM278" s="847">
        <v>0</v>
      </c>
      <c r="AN278" s="847">
        <v>0</v>
      </c>
      <c r="AO278" s="847">
        <v>0</v>
      </c>
      <c r="AP278" s="847">
        <v>0</v>
      </c>
      <c r="AQ278" s="847">
        <v>0</v>
      </c>
      <c r="AR278" s="847">
        <v>0</v>
      </c>
      <c r="AS278" s="847">
        <v>0</v>
      </c>
      <c r="AT278" s="847">
        <v>0</v>
      </c>
      <c r="AU278" s="847">
        <v>0</v>
      </c>
      <c r="AV278" s="847">
        <v>0</v>
      </c>
      <c r="AW278" s="847">
        <v>0</v>
      </c>
      <c r="AX278" s="847">
        <v>0</v>
      </c>
      <c r="AY278" s="847">
        <v>0</v>
      </c>
      <c r="AZ278" s="847">
        <v>0</v>
      </c>
      <c r="BA278" s="847">
        <v>0</v>
      </c>
      <c r="BB278" s="847">
        <v>0</v>
      </c>
      <c r="BC278" s="847">
        <v>0</v>
      </c>
      <c r="BD278" s="847">
        <v>0</v>
      </c>
      <c r="BE278" s="847">
        <v>0</v>
      </c>
      <c r="BF278" s="847">
        <v>0</v>
      </c>
      <c r="BG278" s="847">
        <v>0</v>
      </c>
      <c r="BH278" s="847">
        <v>0</v>
      </c>
      <c r="BI278" s="847">
        <v>0</v>
      </c>
      <c r="BJ278" s="847">
        <v>0</v>
      </c>
      <c r="BK278" s="847">
        <v>0</v>
      </c>
      <c r="BL278" s="847">
        <v>0</v>
      </c>
      <c r="BM278" s="847">
        <v>0</v>
      </c>
      <c r="BN278" s="847">
        <v>0</v>
      </c>
      <c r="BO278" s="847">
        <v>0</v>
      </c>
      <c r="BP278" s="847">
        <v>0</v>
      </c>
      <c r="BQ278" s="847">
        <v>0</v>
      </c>
      <c r="BR278" s="847">
        <v>0</v>
      </c>
      <c r="BS278" s="847">
        <v>0</v>
      </c>
      <c r="BT278" s="847">
        <v>0</v>
      </c>
      <c r="BU278" s="847">
        <v>0</v>
      </c>
      <c r="BV278" s="847">
        <v>0</v>
      </c>
      <c r="BW278" s="847">
        <v>0</v>
      </c>
      <c r="BX278" s="847">
        <v>0</v>
      </c>
      <c r="BY278" s="847">
        <v>0</v>
      </c>
      <c r="BZ278" s="847">
        <v>0</v>
      </c>
      <c r="CA278" s="847">
        <v>0</v>
      </c>
      <c r="CB278" s="847">
        <v>0</v>
      </c>
      <c r="CC278" s="847">
        <v>0</v>
      </c>
      <c r="CD278" s="847">
        <v>0</v>
      </c>
      <c r="CE278" s="847">
        <v>0</v>
      </c>
      <c r="CF278" s="847">
        <v>96800</v>
      </c>
      <c r="CG278" s="847">
        <v>0</v>
      </c>
      <c r="CH278" s="847">
        <v>0</v>
      </c>
      <c r="CI278" s="847">
        <v>0</v>
      </c>
      <c r="CJ278" s="847">
        <v>0</v>
      </c>
      <c r="CK278" s="847">
        <v>0</v>
      </c>
      <c r="CL278" s="847">
        <v>0</v>
      </c>
      <c r="CM278" s="847">
        <v>0</v>
      </c>
      <c r="CN278" s="847">
        <v>0</v>
      </c>
      <c r="CO278" s="847">
        <v>0</v>
      </c>
      <c r="CP278" s="847">
        <v>0</v>
      </c>
      <c r="CQ278" s="847">
        <v>0</v>
      </c>
      <c r="CR278" s="847">
        <v>0</v>
      </c>
      <c r="CS278" s="847">
        <v>0</v>
      </c>
      <c r="CT278" s="847">
        <v>0</v>
      </c>
      <c r="CU278" s="847">
        <v>0</v>
      </c>
      <c r="CV278" s="847">
        <v>0</v>
      </c>
      <c r="CW278" s="847">
        <v>0</v>
      </c>
      <c r="CX278" s="847">
        <v>0</v>
      </c>
      <c r="CY278" s="847">
        <v>0</v>
      </c>
      <c r="CZ278" s="847">
        <v>0</v>
      </c>
      <c r="DA278" s="847">
        <v>0</v>
      </c>
      <c r="DB278" s="847">
        <v>0</v>
      </c>
      <c r="DC278" s="847">
        <v>0</v>
      </c>
      <c r="DD278" s="847">
        <v>0</v>
      </c>
      <c r="DE278" s="847">
        <v>0</v>
      </c>
      <c r="DF278" s="847">
        <v>0</v>
      </c>
      <c r="DG278" s="847">
        <v>0</v>
      </c>
      <c r="DH278" s="847">
        <v>0</v>
      </c>
      <c r="DI278" s="847">
        <v>0</v>
      </c>
      <c r="DJ278" s="847">
        <v>0</v>
      </c>
      <c r="DK278" s="847">
        <v>0</v>
      </c>
      <c r="DL278" s="847">
        <v>0</v>
      </c>
      <c r="DM278" s="847">
        <v>0</v>
      </c>
      <c r="DN278" s="847">
        <v>0</v>
      </c>
      <c r="DO278" s="847">
        <v>0</v>
      </c>
      <c r="DP278" s="847">
        <v>0</v>
      </c>
      <c r="DQ278" s="847">
        <v>0</v>
      </c>
      <c r="DR278" s="847">
        <v>0</v>
      </c>
      <c r="DS278" s="847">
        <v>0</v>
      </c>
      <c r="DT278" s="847">
        <v>0</v>
      </c>
      <c r="DU278" s="847">
        <v>0</v>
      </c>
      <c r="DV278" s="847">
        <v>0</v>
      </c>
      <c r="DW278" s="847">
        <v>0</v>
      </c>
      <c r="DY278" s="843" t="s">
        <v>1060</v>
      </c>
      <c r="DZ278" s="843" t="s">
        <v>1382</v>
      </c>
      <c r="EA278" s="843" t="s">
        <v>97</v>
      </c>
      <c r="EB278" s="844">
        <v>43</v>
      </c>
      <c r="EC278" s="780" t="str">
        <f t="shared" si="9"/>
        <v>IWT060243</v>
      </c>
      <c r="ED278" s="844">
        <v>5348.8</v>
      </c>
      <c r="EE278" s="844">
        <v>10697.5</v>
      </c>
      <c r="EF278" s="844">
        <v>16046.3</v>
      </c>
      <c r="EG278" s="844">
        <v>21395</v>
      </c>
      <c r="EH278" s="844">
        <v>26743.8</v>
      </c>
      <c r="EI278" s="844">
        <v>32092.6</v>
      </c>
      <c r="EJ278" s="844">
        <v>32092.6</v>
      </c>
      <c r="EK278" s="844">
        <v>32092.6</v>
      </c>
      <c r="EL278" s="844">
        <v>32092.6</v>
      </c>
      <c r="EM278" s="844">
        <v>32639</v>
      </c>
      <c r="EN278" s="844">
        <v>33292</v>
      </c>
      <c r="EO278" s="844">
        <v>33958</v>
      </c>
      <c r="EP278" s="844">
        <v>34637</v>
      </c>
      <c r="EQ278" s="844">
        <v>35330</v>
      </c>
      <c r="ER278" s="844">
        <v>36036</v>
      </c>
      <c r="ES278" s="844">
        <v>36757</v>
      </c>
      <c r="ET278" s="844">
        <v>37492</v>
      </c>
      <c r="EU278" s="844">
        <v>38242</v>
      </c>
      <c r="EV278" s="844">
        <v>39007</v>
      </c>
      <c r="EW278" s="844">
        <v>39787</v>
      </c>
      <c r="EX278" s="844">
        <v>40582</v>
      </c>
      <c r="EY278" s="844">
        <v>41394</v>
      </c>
      <c r="EZ278" s="844">
        <v>42222</v>
      </c>
      <c r="FA278" s="844">
        <v>43066</v>
      </c>
      <c r="FB278" s="844">
        <v>43928</v>
      </c>
      <c r="FC278" s="844">
        <v>44806</v>
      </c>
      <c r="FD278" s="844">
        <v>45702</v>
      </c>
      <c r="FE278" s="844">
        <v>46616</v>
      </c>
      <c r="FF278" s="844">
        <v>47549</v>
      </c>
      <c r="FG278" s="844">
        <v>48500</v>
      </c>
      <c r="FH278" s="844">
        <v>49469</v>
      </c>
      <c r="FI278" s="844">
        <v>50459</v>
      </c>
      <c r="FJ278" s="844">
        <v>51468</v>
      </c>
      <c r="FK278" s="844">
        <v>52497</v>
      </c>
      <c r="FL278" s="844">
        <v>53547</v>
      </c>
      <c r="FM278" s="844">
        <v>54618</v>
      </c>
      <c r="FN278" s="844">
        <v>55710</v>
      </c>
      <c r="FO278" s="844">
        <v>56824</v>
      </c>
      <c r="FP278" s="844">
        <v>57961</v>
      </c>
      <c r="FQ278" s="844">
        <v>59120</v>
      </c>
      <c r="FR278" s="844">
        <v>60302</v>
      </c>
      <c r="FS278" s="844">
        <v>61508</v>
      </c>
      <c r="FT278" s="844">
        <v>62738</v>
      </c>
      <c r="FU278" s="844">
        <v>63992</v>
      </c>
      <c r="FV278" s="844">
        <v>65272</v>
      </c>
      <c r="FW278" s="844">
        <v>66569</v>
      </c>
      <c r="FX278" s="844">
        <v>67880</v>
      </c>
      <c r="FY278" s="844">
        <v>69205</v>
      </c>
      <c r="FZ278" s="844">
        <v>70543</v>
      </c>
      <c r="GA278" s="844">
        <v>71891</v>
      </c>
      <c r="GB278" s="844">
        <v>73250</v>
      </c>
      <c r="GC278" s="844">
        <v>74620</v>
      </c>
      <c r="GD278" s="844">
        <v>75998</v>
      </c>
      <c r="GE278" s="844">
        <v>77385</v>
      </c>
      <c r="GF278" s="844">
        <v>78780</v>
      </c>
      <c r="GG278" s="844">
        <v>80181</v>
      </c>
      <c r="GH278" s="844">
        <v>81588</v>
      </c>
      <c r="GI278" s="844">
        <v>83001</v>
      </c>
      <c r="GJ278" s="844">
        <v>84419</v>
      </c>
      <c r="GK278" s="844">
        <v>85841</v>
      </c>
      <c r="GL278" s="844">
        <v>87266</v>
      </c>
      <c r="GM278" s="844">
        <v>88694</v>
      </c>
      <c r="GN278" s="844">
        <v>90124</v>
      </c>
      <c r="GO278" s="844">
        <v>91557</v>
      </c>
      <c r="GP278" s="844">
        <v>92991</v>
      </c>
      <c r="GQ278" s="844">
        <v>94425</v>
      </c>
      <c r="GR278" s="844">
        <v>95846</v>
      </c>
      <c r="GS278" s="844">
        <v>96800</v>
      </c>
      <c r="GT278" s="844">
        <v>0</v>
      </c>
      <c r="GU278" s="844">
        <v>0</v>
      </c>
      <c r="GV278" s="844">
        <v>0</v>
      </c>
      <c r="GW278" s="844">
        <v>0</v>
      </c>
      <c r="GX278" s="844">
        <v>0</v>
      </c>
      <c r="GY278" s="844">
        <v>0</v>
      </c>
      <c r="GZ278" s="844">
        <v>0</v>
      </c>
      <c r="HA278" s="844">
        <v>0</v>
      </c>
      <c r="HB278" s="844">
        <v>0</v>
      </c>
      <c r="HC278" s="844">
        <v>0</v>
      </c>
      <c r="HD278" s="844">
        <v>0</v>
      </c>
      <c r="HE278" s="844">
        <v>0</v>
      </c>
      <c r="HF278" s="844">
        <v>0</v>
      </c>
      <c r="HG278" s="844">
        <v>0</v>
      </c>
      <c r="HH278" s="844">
        <v>0</v>
      </c>
      <c r="HI278" s="844">
        <v>0</v>
      </c>
      <c r="HJ278" s="844">
        <v>0</v>
      </c>
      <c r="HK278" s="844">
        <v>0</v>
      </c>
      <c r="HL278" s="844">
        <v>0</v>
      </c>
      <c r="HM278" s="844">
        <v>0</v>
      </c>
      <c r="HN278" s="844">
        <v>0</v>
      </c>
      <c r="HO278" s="844">
        <v>0</v>
      </c>
      <c r="HP278" s="844">
        <v>0</v>
      </c>
      <c r="HQ278" s="844">
        <v>0</v>
      </c>
      <c r="HR278" s="844">
        <v>0</v>
      </c>
      <c r="HS278" s="844">
        <v>0</v>
      </c>
      <c r="HT278" s="844">
        <v>0</v>
      </c>
      <c r="HU278" s="844">
        <v>0</v>
      </c>
      <c r="HV278" s="844">
        <v>0</v>
      </c>
      <c r="HW278" s="844">
        <v>0</v>
      </c>
      <c r="HX278" s="844">
        <v>0</v>
      </c>
      <c r="HY278" s="844">
        <v>0</v>
      </c>
      <c r="HZ278" s="844">
        <v>0</v>
      </c>
      <c r="IA278" s="844">
        <v>0</v>
      </c>
      <c r="IB278" s="844">
        <v>0</v>
      </c>
      <c r="IC278" s="844">
        <v>0</v>
      </c>
      <c r="ID278" s="844">
        <v>0</v>
      </c>
      <c r="IE278" s="844">
        <v>0</v>
      </c>
      <c r="IF278" s="844">
        <v>0</v>
      </c>
      <c r="IG278" s="844">
        <v>0</v>
      </c>
      <c r="IH278" s="844">
        <v>0</v>
      </c>
      <c r="II278" s="844">
        <v>0</v>
      </c>
      <c r="IJ278" s="844">
        <v>0</v>
      </c>
    </row>
    <row r="279" spans="9:244" hidden="1">
      <c r="I279" s="156"/>
      <c r="L279" s="846" t="s">
        <v>1060</v>
      </c>
      <c r="M279" s="846" t="s">
        <v>1382</v>
      </c>
      <c r="N279" s="846" t="s">
        <v>97</v>
      </c>
      <c r="O279" s="847">
        <v>44</v>
      </c>
      <c r="P279" s="780" t="str">
        <f t="shared" si="8"/>
        <v>IWT060244</v>
      </c>
      <c r="Q279" s="847">
        <v>0</v>
      </c>
      <c r="R279" s="847">
        <v>0</v>
      </c>
      <c r="S279" s="847">
        <v>0</v>
      </c>
      <c r="T279" s="847">
        <v>0</v>
      </c>
      <c r="U279" s="847">
        <v>0</v>
      </c>
      <c r="V279" s="847">
        <v>0</v>
      </c>
      <c r="W279" s="847">
        <v>0</v>
      </c>
      <c r="X279" s="847">
        <v>0</v>
      </c>
      <c r="Y279" s="847">
        <v>0</v>
      </c>
      <c r="Z279" s="847">
        <v>0</v>
      </c>
      <c r="AA279" s="847">
        <v>0</v>
      </c>
      <c r="AB279" s="847">
        <v>0</v>
      </c>
      <c r="AC279" s="847">
        <v>0</v>
      </c>
      <c r="AD279" s="847">
        <v>0</v>
      </c>
      <c r="AE279" s="847">
        <v>0</v>
      </c>
      <c r="AF279" s="847">
        <v>0</v>
      </c>
      <c r="AG279" s="847">
        <v>0</v>
      </c>
      <c r="AH279" s="847">
        <v>0</v>
      </c>
      <c r="AI279" s="847">
        <v>0</v>
      </c>
      <c r="AJ279" s="847">
        <v>0</v>
      </c>
      <c r="AK279" s="847">
        <v>0</v>
      </c>
      <c r="AL279" s="847">
        <v>0</v>
      </c>
      <c r="AM279" s="847">
        <v>0</v>
      </c>
      <c r="AN279" s="847">
        <v>0</v>
      </c>
      <c r="AO279" s="847">
        <v>0</v>
      </c>
      <c r="AP279" s="847">
        <v>0</v>
      </c>
      <c r="AQ279" s="847">
        <v>0</v>
      </c>
      <c r="AR279" s="847">
        <v>0</v>
      </c>
      <c r="AS279" s="847">
        <v>0</v>
      </c>
      <c r="AT279" s="847">
        <v>0</v>
      </c>
      <c r="AU279" s="847">
        <v>0</v>
      </c>
      <c r="AV279" s="847">
        <v>0</v>
      </c>
      <c r="AW279" s="847">
        <v>0</v>
      </c>
      <c r="AX279" s="847">
        <v>0</v>
      </c>
      <c r="AY279" s="847">
        <v>0</v>
      </c>
      <c r="AZ279" s="847">
        <v>0</v>
      </c>
      <c r="BA279" s="847">
        <v>0</v>
      </c>
      <c r="BB279" s="847">
        <v>0</v>
      </c>
      <c r="BC279" s="847">
        <v>0</v>
      </c>
      <c r="BD279" s="847">
        <v>0</v>
      </c>
      <c r="BE279" s="847">
        <v>0</v>
      </c>
      <c r="BF279" s="847">
        <v>0</v>
      </c>
      <c r="BG279" s="847">
        <v>0</v>
      </c>
      <c r="BH279" s="847">
        <v>0</v>
      </c>
      <c r="BI279" s="847">
        <v>0</v>
      </c>
      <c r="BJ279" s="847">
        <v>0</v>
      </c>
      <c r="BK279" s="847">
        <v>0</v>
      </c>
      <c r="BL279" s="847">
        <v>0</v>
      </c>
      <c r="BM279" s="847">
        <v>0</v>
      </c>
      <c r="BN279" s="847">
        <v>0</v>
      </c>
      <c r="BO279" s="847">
        <v>0</v>
      </c>
      <c r="BP279" s="847">
        <v>0</v>
      </c>
      <c r="BQ279" s="847">
        <v>0</v>
      </c>
      <c r="BR279" s="847">
        <v>0</v>
      </c>
      <c r="BS279" s="847">
        <v>0</v>
      </c>
      <c r="BT279" s="847">
        <v>0</v>
      </c>
      <c r="BU279" s="847">
        <v>0</v>
      </c>
      <c r="BV279" s="847">
        <v>0</v>
      </c>
      <c r="BW279" s="847">
        <v>0</v>
      </c>
      <c r="BX279" s="847">
        <v>0</v>
      </c>
      <c r="BY279" s="847">
        <v>0</v>
      </c>
      <c r="BZ279" s="847">
        <v>0</v>
      </c>
      <c r="CA279" s="847">
        <v>0</v>
      </c>
      <c r="CB279" s="847">
        <v>0</v>
      </c>
      <c r="CC279" s="847">
        <v>0</v>
      </c>
      <c r="CD279" s="847">
        <v>0</v>
      </c>
      <c r="CE279" s="847">
        <v>95400</v>
      </c>
      <c r="CF279" s="847">
        <v>0</v>
      </c>
      <c r="CG279" s="847">
        <v>0</v>
      </c>
      <c r="CH279" s="847">
        <v>0</v>
      </c>
      <c r="CI279" s="847">
        <v>0</v>
      </c>
      <c r="CJ279" s="847">
        <v>0</v>
      </c>
      <c r="CK279" s="847">
        <v>0</v>
      </c>
      <c r="CL279" s="847">
        <v>0</v>
      </c>
      <c r="CM279" s="847">
        <v>0</v>
      </c>
      <c r="CN279" s="847">
        <v>0</v>
      </c>
      <c r="CO279" s="847">
        <v>0</v>
      </c>
      <c r="CP279" s="847">
        <v>0</v>
      </c>
      <c r="CQ279" s="847">
        <v>0</v>
      </c>
      <c r="CR279" s="847">
        <v>0</v>
      </c>
      <c r="CS279" s="847">
        <v>0</v>
      </c>
      <c r="CT279" s="847">
        <v>0</v>
      </c>
      <c r="CU279" s="847">
        <v>0</v>
      </c>
      <c r="CV279" s="847">
        <v>0</v>
      </c>
      <c r="CW279" s="847">
        <v>0</v>
      </c>
      <c r="CX279" s="847">
        <v>0</v>
      </c>
      <c r="CY279" s="847">
        <v>0</v>
      </c>
      <c r="CZ279" s="847">
        <v>0</v>
      </c>
      <c r="DA279" s="847">
        <v>0</v>
      </c>
      <c r="DB279" s="847">
        <v>0</v>
      </c>
      <c r="DC279" s="847">
        <v>0</v>
      </c>
      <c r="DD279" s="847">
        <v>0</v>
      </c>
      <c r="DE279" s="847">
        <v>0</v>
      </c>
      <c r="DF279" s="847">
        <v>0</v>
      </c>
      <c r="DG279" s="847">
        <v>0</v>
      </c>
      <c r="DH279" s="847">
        <v>0</v>
      </c>
      <c r="DI279" s="847">
        <v>0</v>
      </c>
      <c r="DJ279" s="847">
        <v>0</v>
      </c>
      <c r="DK279" s="847">
        <v>0</v>
      </c>
      <c r="DL279" s="847">
        <v>0</v>
      </c>
      <c r="DM279" s="847">
        <v>0</v>
      </c>
      <c r="DN279" s="847">
        <v>0</v>
      </c>
      <c r="DO279" s="847">
        <v>0</v>
      </c>
      <c r="DP279" s="847">
        <v>0</v>
      </c>
      <c r="DQ279" s="847">
        <v>0</v>
      </c>
      <c r="DR279" s="847">
        <v>0</v>
      </c>
      <c r="DS279" s="847">
        <v>0</v>
      </c>
      <c r="DT279" s="847">
        <v>0</v>
      </c>
      <c r="DU279" s="847">
        <v>0</v>
      </c>
      <c r="DV279" s="847">
        <v>0</v>
      </c>
      <c r="DW279" s="847">
        <v>0</v>
      </c>
      <c r="DY279" s="843" t="s">
        <v>1060</v>
      </c>
      <c r="DZ279" s="843" t="s">
        <v>1382</v>
      </c>
      <c r="EA279" s="843" t="s">
        <v>97</v>
      </c>
      <c r="EB279" s="844">
        <v>44</v>
      </c>
      <c r="EC279" s="780" t="str">
        <f t="shared" si="9"/>
        <v>IWT060244</v>
      </c>
      <c r="ED279" s="844">
        <v>5351.9</v>
      </c>
      <c r="EE279" s="844">
        <v>10703.9</v>
      </c>
      <c r="EF279" s="844">
        <v>16055.8</v>
      </c>
      <c r="EG279" s="844">
        <v>21407.8</v>
      </c>
      <c r="EH279" s="844">
        <v>26759.7</v>
      </c>
      <c r="EI279" s="844">
        <v>32111.599999999999</v>
      </c>
      <c r="EJ279" s="844">
        <v>32111.599999999999</v>
      </c>
      <c r="EK279" s="844">
        <v>32111.599999999999</v>
      </c>
      <c r="EL279" s="844">
        <v>32111.599999999999</v>
      </c>
      <c r="EM279" s="844">
        <v>32658</v>
      </c>
      <c r="EN279" s="844">
        <v>33311</v>
      </c>
      <c r="EO279" s="844">
        <v>33977</v>
      </c>
      <c r="EP279" s="844">
        <v>34656</v>
      </c>
      <c r="EQ279" s="844">
        <v>35350</v>
      </c>
      <c r="ER279" s="844">
        <v>36057</v>
      </c>
      <c r="ES279" s="844">
        <v>36778</v>
      </c>
      <c r="ET279" s="844">
        <v>37513</v>
      </c>
      <c r="EU279" s="844">
        <v>38263</v>
      </c>
      <c r="EV279" s="844">
        <v>39029</v>
      </c>
      <c r="EW279" s="844">
        <v>39809</v>
      </c>
      <c r="EX279" s="844">
        <v>40605</v>
      </c>
      <c r="EY279" s="844">
        <v>41418</v>
      </c>
      <c r="EZ279" s="844">
        <v>42246</v>
      </c>
      <c r="FA279" s="844">
        <v>43091</v>
      </c>
      <c r="FB279" s="844">
        <v>43953</v>
      </c>
      <c r="FC279" s="844">
        <v>44832</v>
      </c>
      <c r="FD279" s="844">
        <v>45728</v>
      </c>
      <c r="FE279" s="844">
        <v>46643</v>
      </c>
      <c r="FF279" s="844">
        <v>47575</v>
      </c>
      <c r="FG279" s="844">
        <v>48527</v>
      </c>
      <c r="FH279" s="844">
        <v>49497</v>
      </c>
      <c r="FI279" s="844">
        <v>50487</v>
      </c>
      <c r="FJ279" s="844">
        <v>51497</v>
      </c>
      <c r="FK279" s="844">
        <v>52527</v>
      </c>
      <c r="FL279" s="844">
        <v>53577</v>
      </c>
      <c r="FM279" s="844">
        <v>54649</v>
      </c>
      <c r="FN279" s="844">
        <v>55742</v>
      </c>
      <c r="FO279" s="844">
        <v>56856</v>
      </c>
      <c r="FP279" s="844">
        <v>57993</v>
      </c>
      <c r="FQ279" s="844">
        <v>59153</v>
      </c>
      <c r="FR279" s="844">
        <v>60336</v>
      </c>
      <c r="FS279" s="844">
        <v>61542</v>
      </c>
      <c r="FT279" s="844">
        <v>62773</v>
      </c>
      <c r="FU279" s="844">
        <v>64028</v>
      </c>
      <c r="FV279" s="844">
        <v>65308</v>
      </c>
      <c r="FW279" s="844">
        <v>66610</v>
      </c>
      <c r="FX279" s="844">
        <v>67925</v>
      </c>
      <c r="FY279" s="844">
        <v>69253</v>
      </c>
      <c r="FZ279" s="844">
        <v>70593</v>
      </c>
      <c r="GA279" s="844">
        <v>71944</v>
      </c>
      <c r="GB279" s="844">
        <v>73305</v>
      </c>
      <c r="GC279" s="844">
        <v>74676</v>
      </c>
      <c r="GD279" s="844">
        <v>76056</v>
      </c>
      <c r="GE279" s="844">
        <v>77444</v>
      </c>
      <c r="GF279" s="844">
        <v>78839</v>
      </c>
      <c r="GG279" s="844">
        <v>80241</v>
      </c>
      <c r="GH279" s="844">
        <v>81649</v>
      </c>
      <c r="GI279" s="844">
        <v>83061</v>
      </c>
      <c r="GJ279" s="844">
        <v>84478</v>
      </c>
      <c r="GK279" s="844">
        <v>85899</v>
      </c>
      <c r="GL279" s="844">
        <v>87323</v>
      </c>
      <c r="GM279" s="844">
        <v>88750</v>
      </c>
      <c r="GN279" s="844">
        <v>90179</v>
      </c>
      <c r="GO279" s="844">
        <v>91609</v>
      </c>
      <c r="GP279" s="844">
        <v>93041</v>
      </c>
      <c r="GQ279" s="844">
        <v>94460</v>
      </c>
      <c r="GR279" s="844">
        <v>95400</v>
      </c>
      <c r="GS279" s="844">
        <v>0</v>
      </c>
      <c r="GT279" s="844">
        <v>0</v>
      </c>
      <c r="GU279" s="844">
        <v>0</v>
      </c>
      <c r="GV279" s="844">
        <v>0</v>
      </c>
      <c r="GW279" s="844">
        <v>0</v>
      </c>
      <c r="GX279" s="844">
        <v>0</v>
      </c>
      <c r="GY279" s="844">
        <v>0</v>
      </c>
      <c r="GZ279" s="844">
        <v>0</v>
      </c>
      <c r="HA279" s="844">
        <v>0</v>
      </c>
      <c r="HB279" s="844">
        <v>0</v>
      </c>
      <c r="HC279" s="844">
        <v>0</v>
      </c>
      <c r="HD279" s="844">
        <v>0</v>
      </c>
      <c r="HE279" s="844">
        <v>0</v>
      </c>
      <c r="HF279" s="844">
        <v>0</v>
      </c>
      <c r="HG279" s="844">
        <v>0</v>
      </c>
      <c r="HH279" s="844">
        <v>0</v>
      </c>
      <c r="HI279" s="844">
        <v>0</v>
      </c>
      <c r="HJ279" s="844">
        <v>0</v>
      </c>
      <c r="HK279" s="844">
        <v>0</v>
      </c>
      <c r="HL279" s="844">
        <v>0</v>
      </c>
      <c r="HM279" s="844">
        <v>0</v>
      </c>
      <c r="HN279" s="844">
        <v>0</v>
      </c>
      <c r="HO279" s="844">
        <v>0</v>
      </c>
      <c r="HP279" s="844">
        <v>0</v>
      </c>
      <c r="HQ279" s="844">
        <v>0</v>
      </c>
      <c r="HR279" s="844">
        <v>0</v>
      </c>
      <c r="HS279" s="844">
        <v>0</v>
      </c>
      <c r="HT279" s="844">
        <v>0</v>
      </c>
      <c r="HU279" s="844">
        <v>0</v>
      </c>
      <c r="HV279" s="844">
        <v>0</v>
      </c>
      <c r="HW279" s="844">
        <v>0</v>
      </c>
      <c r="HX279" s="844">
        <v>0</v>
      </c>
      <c r="HY279" s="844">
        <v>0</v>
      </c>
      <c r="HZ279" s="844">
        <v>0</v>
      </c>
      <c r="IA279" s="844">
        <v>0</v>
      </c>
      <c r="IB279" s="844">
        <v>0</v>
      </c>
      <c r="IC279" s="844">
        <v>0</v>
      </c>
      <c r="ID279" s="844">
        <v>0</v>
      </c>
      <c r="IE279" s="844">
        <v>0</v>
      </c>
      <c r="IF279" s="844">
        <v>0</v>
      </c>
      <c r="IG279" s="844">
        <v>0</v>
      </c>
      <c r="IH279" s="844">
        <v>0</v>
      </c>
      <c r="II279" s="844">
        <v>0</v>
      </c>
      <c r="IJ279" s="844">
        <v>0</v>
      </c>
    </row>
    <row r="280" spans="9:244" hidden="1">
      <c r="I280" s="156"/>
      <c r="L280" s="846" t="s">
        <v>1060</v>
      </c>
      <c r="M280" s="846" t="s">
        <v>1382</v>
      </c>
      <c r="N280" s="846" t="s">
        <v>97</v>
      </c>
      <c r="O280" s="847">
        <v>45</v>
      </c>
      <c r="P280" s="780" t="str">
        <f t="shared" si="8"/>
        <v>IWT060245</v>
      </c>
      <c r="Q280" s="847">
        <v>0</v>
      </c>
      <c r="R280" s="847">
        <v>0</v>
      </c>
      <c r="S280" s="847">
        <v>0</v>
      </c>
      <c r="T280" s="847">
        <v>0</v>
      </c>
      <c r="U280" s="847">
        <v>0</v>
      </c>
      <c r="V280" s="847">
        <v>0</v>
      </c>
      <c r="W280" s="847">
        <v>0</v>
      </c>
      <c r="X280" s="847">
        <v>0</v>
      </c>
      <c r="Y280" s="847">
        <v>0</v>
      </c>
      <c r="Z280" s="847">
        <v>0</v>
      </c>
      <c r="AA280" s="847">
        <v>0</v>
      </c>
      <c r="AB280" s="847">
        <v>0</v>
      </c>
      <c r="AC280" s="847">
        <v>0</v>
      </c>
      <c r="AD280" s="847">
        <v>0</v>
      </c>
      <c r="AE280" s="847">
        <v>0</v>
      </c>
      <c r="AF280" s="847">
        <v>0</v>
      </c>
      <c r="AG280" s="847">
        <v>0</v>
      </c>
      <c r="AH280" s="847">
        <v>0</v>
      </c>
      <c r="AI280" s="847">
        <v>0</v>
      </c>
      <c r="AJ280" s="847">
        <v>0</v>
      </c>
      <c r="AK280" s="847">
        <v>0</v>
      </c>
      <c r="AL280" s="847">
        <v>0</v>
      </c>
      <c r="AM280" s="847">
        <v>0</v>
      </c>
      <c r="AN280" s="847">
        <v>0</v>
      </c>
      <c r="AO280" s="847">
        <v>0</v>
      </c>
      <c r="AP280" s="847">
        <v>0</v>
      </c>
      <c r="AQ280" s="847">
        <v>0</v>
      </c>
      <c r="AR280" s="847">
        <v>0</v>
      </c>
      <c r="AS280" s="847">
        <v>0</v>
      </c>
      <c r="AT280" s="847">
        <v>0</v>
      </c>
      <c r="AU280" s="847">
        <v>0</v>
      </c>
      <c r="AV280" s="847">
        <v>0</v>
      </c>
      <c r="AW280" s="847">
        <v>0</v>
      </c>
      <c r="AX280" s="847">
        <v>0</v>
      </c>
      <c r="AY280" s="847">
        <v>0</v>
      </c>
      <c r="AZ280" s="847">
        <v>0</v>
      </c>
      <c r="BA280" s="847">
        <v>0</v>
      </c>
      <c r="BB280" s="847">
        <v>0</v>
      </c>
      <c r="BC280" s="847">
        <v>0</v>
      </c>
      <c r="BD280" s="847">
        <v>0</v>
      </c>
      <c r="BE280" s="847">
        <v>0</v>
      </c>
      <c r="BF280" s="847">
        <v>0</v>
      </c>
      <c r="BG280" s="847">
        <v>0</v>
      </c>
      <c r="BH280" s="847">
        <v>0</v>
      </c>
      <c r="BI280" s="847">
        <v>0</v>
      </c>
      <c r="BJ280" s="847">
        <v>0</v>
      </c>
      <c r="BK280" s="847">
        <v>0</v>
      </c>
      <c r="BL280" s="847">
        <v>0</v>
      </c>
      <c r="BM280" s="847">
        <v>0</v>
      </c>
      <c r="BN280" s="847">
        <v>0</v>
      </c>
      <c r="BO280" s="847">
        <v>0</v>
      </c>
      <c r="BP280" s="847">
        <v>0</v>
      </c>
      <c r="BQ280" s="847">
        <v>0</v>
      </c>
      <c r="BR280" s="847">
        <v>0</v>
      </c>
      <c r="BS280" s="847">
        <v>0</v>
      </c>
      <c r="BT280" s="847">
        <v>0</v>
      </c>
      <c r="BU280" s="847">
        <v>0</v>
      </c>
      <c r="BV280" s="847">
        <v>0</v>
      </c>
      <c r="BW280" s="847">
        <v>0</v>
      </c>
      <c r="BX280" s="847">
        <v>0</v>
      </c>
      <c r="BY280" s="847">
        <v>0</v>
      </c>
      <c r="BZ280" s="847">
        <v>0</v>
      </c>
      <c r="CA280" s="847">
        <v>0</v>
      </c>
      <c r="CB280" s="847">
        <v>0</v>
      </c>
      <c r="CC280" s="847">
        <v>0</v>
      </c>
      <c r="CD280" s="847">
        <v>94000</v>
      </c>
      <c r="CE280" s="847">
        <v>0</v>
      </c>
      <c r="CF280" s="847">
        <v>0</v>
      </c>
      <c r="CG280" s="847">
        <v>0</v>
      </c>
      <c r="CH280" s="847">
        <v>0</v>
      </c>
      <c r="CI280" s="847">
        <v>0</v>
      </c>
      <c r="CJ280" s="847">
        <v>0</v>
      </c>
      <c r="CK280" s="847">
        <v>0</v>
      </c>
      <c r="CL280" s="847">
        <v>0</v>
      </c>
      <c r="CM280" s="847">
        <v>0</v>
      </c>
      <c r="CN280" s="847">
        <v>0</v>
      </c>
      <c r="CO280" s="847">
        <v>0</v>
      </c>
      <c r="CP280" s="847">
        <v>0</v>
      </c>
      <c r="CQ280" s="847">
        <v>0</v>
      </c>
      <c r="CR280" s="847">
        <v>0</v>
      </c>
      <c r="CS280" s="847">
        <v>0</v>
      </c>
      <c r="CT280" s="847">
        <v>0</v>
      </c>
      <c r="CU280" s="847">
        <v>0</v>
      </c>
      <c r="CV280" s="847">
        <v>0</v>
      </c>
      <c r="CW280" s="847">
        <v>0</v>
      </c>
      <c r="CX280" s="847">
        <v>0</v>
      </c>
      <c r="CY280" s="847">
        <v>0</v>
      </c>
      <c r="CZ280" s="847">
        <v>0</v>
      </c>
      <c r="DA280" s="847">
        <v>0</v>
      </c>
      <c r="DB280" s="847">
        <v>0</v>
      </c>
      <c r="DC280" s="847">
        <v>0</v>
      </c>
      <c r="DD280" s="847">
        <v>0</v>
      </c>
      <c r="DE280" s="847">
        <v>0</v>
      </c>
      <c r="DF280" s="847">
        <v>0</v>
      </c>
      <c r="DG280" s="847">
        <v>0</v>
      </c>
      <c r="DH280" s="847">
        <v>0</v>
      </c>
      <c r="DI280" s="847">
        <v>0</v>
      </c>
      <c r="DJ280" s="847">
        <v>0</v>
      </c>
      <c r="DK280" s="847">
        <v>0</v>
      </c>
      <c r="DL280" s="847">
        <v>0</v>
      </c>
      <c r="DM280" s="847">
        <v>0</v>
      </c>
      <c r="DN280" s="847">
        <v>0</v>
      </c>
      <c r="DO280" s="847">
        <v>0</v>
      </c>
      <c r="DP280" s="847">
        <v>0</v>
      </c>
      <c r="DQ280" s="847">
        <v>0</v>
      </c>
      <c r="DR280" s="847">
        <v>0</v>
      </c>
      <c r="DS280" s="847">
        <v>0</v>
      </c>
      <c r="DT280" s="847">
        <v>0</v>
      </c>
      <c r="DU280" s="847">
        <v>0</v>
      </c>
      <c r="DV280" s="847">
        <v>0</v>
      </c>
      <c r="DW280" s="847">
        <v>0</v>
      </c>
      <c r="DY280" s="843" t="s">
        <v>1060</v>
      </c>
      <c r="DZ280" s="843" t="s">
        <v>1382</v>
      </c>
      <c r="EA280" s="843" t="s">
        <v>97</v>
      </c>
      <c r="EB280" s="844">
        <v>45</v>
      </c>
      <c r="EC280" s="780" t="str">
        <f t="shared" si="9"/>
        <v>IWT060245</v>
      </c>
      <c r="ED280" s="844">
        <v>5355.1</v>
      </c>
      <c r="EE280" s="844">
        <v>10710.2</v>
      </c>
      <c r="EF280" s="844">
        <v>16065.4</v>
      </c>
      <c r="EG280" s="844">
        <v>21420.5</v>
      </c>
      <c r="EH280" s="844">
        <v>26775.599999999999</v>
      </c>
      <c r="EI280" s="844">
        <v>32130.7</v>
      </c>
      <c r="EJ280" s="844">
        <v>32130.7</v>
      </c>
      <c r="EK280" s="844">
        <v>32130.7</v>
      </c>
      <c r="EL280" s="844">
        <v>32130.7</v>
      </c>
      <c r="EM280" s="844">
        <v>32673</v>
      </c>
      <c r="EN280" s="844">
        <v>33327</v>
      </c>
      <c r="EO280" s="844">
        <v>33993</v>
      </c>
      <c r="EP280" s="844">
        <v>34673</v>
      </c>
      <c r="EQ280" s="844">
        <v>35366</v>
      </c>
      <c r="ER280" s="844">
        <v>36074</v>
      </c>
      <c r="ES280" s="844">
        <v>36795</v>
      </c>
      <c r="ET280" s="844">
        <v>37531</v>
      </c>
      <c r="EU280" s="844">
        <v>38282</v>
      </c>
      <c r="EV280" s="844">
        <v>39047</v>
      </c>
      <c r="EW280" s="844">
        <v>39828</v>
      </c>
      <c r="EX280" s="844">
        <v>40625</v>
      </c>
      <c r="EY280" s="844">
        <v>41437</v>
      </c>
      <c r="EZ280" s="844">
        <v>42266</v>
      </c>
      <c r="FA280" s="844">
        <v>43111</v>
      </c>
      <c r="FB280" s="844">
        <v>43973</v>
      </c>
      <c r="FC280" s="844">
        <v>44853</v>
      </c>
      <c r="FD280" s="844">
        <v>45750</v>
      </c>
      <c r="FE280" s="844">
        <v>46665</v>
      </c>
      <c r="FF280" s="844">
        <v>47598</v>
      </c>
      <c r="FG280" s="844">
        <v>48550</v>
      </c>
      <c r="FH280" s="844">
        <v>49521</v>
      </c>
      <c r="FI280" s="844">
        <v>50511</v>
      </c>
      <c r="FJ280" s="844">
        <v>51521</v>
      </c>
      <c r="FK280" s="844">
        <v>52552</v>
      </c>
      <c r="FL280" s="844">
        <v>53603</v>
      </c>
      <c r="FM280" s="844">
        <v>54675</v>
      </c>
      <c r="FN280" s="844">
        <v>55768</v>
      </c>
      <c r="FO280" s="844">
        <v>56883</v>
      </c>
      <c r="FP280" s="844">
        <v>58021</v>
      </c>
      <c r="FQ280" s="844">
        <v>59181</v>
      </c>
      <c r="FR280" s="844">
        <v>60364</v>
      </c>
      <c r="FS280" s="844">
        <v>61571</v>
      </c>
      <c r="FT280" s="844">
        <v>62803</v>
      </c>
      <c r="FU280" s="844">
        <v>64058</v>
      </c>
      <c r="FV280" s="844">
        <v>65339</v>
      </c>
      <c r="FW280" s="844">
        <v>66645</v>
      </c>
      <c r="FX280" s="844">
        <v>67963</v>
      </c>
      <c r="FY280" s="844">
        <v>69295</v>
      </c>
      <c r="FZ280" s="844">
        <v>70637</v>
      </c>
      <c r="GA280" s="844">
        <v>71991</v>
      </c>
      <c r="GB280" s="844">
        <v>73355</v>
      </c>
      <c r="GC280" s="844">
        <v>74728</v>
      </c>
      <c r="GD280" s="844">
        <v>76109</v>
      </c>
      <c r="GE280" s="844">
        <v>77498</v>
      </c>
      <c r="GF280" s="844">
        <v>78894</v>
      </c>
      <c r="GG280" s="844">
        <v>80296</v>
      </c>
      <c r="GH280" s="844">
        <v>81703</v>
      </c>
      <c r="GI280" s="844">
        <v>83116</v>
      </c>
      <c r="GJ280" s="844">
        <v>84532</v>
      </c>
      <c r="GK280" s="844">
        <v>85952</v>
      </c>
      <c r="GL280" s="844">
        <v>87375</v>
      </c>
      <c r="GM280" s="844">
        <v>88801</v>
      </c>
      <c r="GN280" s="844">
        <v>90228</v>
      </c>
      <c r="GO280" s="844">
        <v>91657</v>
      </c>
      <c r="GP280" s="844">
        <v>93074</v>
      </c>
      <c r="GQ280" s="844">
        <v>94000</v>
      </c>
      <c r="GR280" s="844">
        <v>0</v>
      </c>
      <c r="GS280" s="844">
        <v>0</v>
      </c>
      <c r="GT280" s="844">
        <v>0</v>
      </c>
      <c r="GU280" s="844">
        <v>0</v>
      </c>
      <c r="GV280" s="844">
        <v>0</v>
      </c>
      <c r="GW280" s="844">
        <v>0</v>
      </c>
      <c r="GX280" s="844">
        <v>0</v>
      </c>
      <c r="GY280" s="844">
        <v>0</v>
      </c>
      <c r="GZ280" s="844">
        <v>0</v>
      </c>
      <c r="HA280" s="844">
        <v>0</v>
      </c>
      <c r="HB280" s="844">
        <v>0</v>
      </c>
      <c r="HC280" s="844">
        <v>0</v>
      </c>
      <c r="HD280" s="844">
        <v>0</v>
      </c>
      <c r="HE280" s="844">
        <v>0</v>
      </c>
      <c r="HF280" s="844">
        <v>0</v>
      </c>
      <c r="HG280" s="844">
        <v>0</v>
      </c>
      <c r="HH280" s="844">
        <v>0</v>
      </c>
      <c r="HI280" s="844">
        <v>0</v>
      </c>
      <c r="HJ280" s="844">
        <v>0</v>
      </c>
      <c r="HK280" s="844">
        <v>0</v>
      </c>
      <c r="HL280" s="844">
        <v>0</v>
      </c>
      <c r="HM280" s="844">
        <v>0</v>
      </c>
      <c r="HN280" s="844">
        <v>0</v>
      </c>
      <c r="HO280" s="844">
        <v>0</v>
      </c>
      <c r="HP280" s="844">
        <v>0</v>
      </c>
      <c r="HQ280" s="844">
        <v>0</v>
      </c>
      <c r="HR280" s="844">
        <v>0</v>
      </c>
      <c r="HS280" s="844">
        <v>0</v>
      </c>
      <c r="HT280" s="844">
        <v>0</v>
      </c>
      <c r="HU280" s="844">
        <v>0</v>
      </c>
      <c r="HV280" s="844">
        <v>0</v>
      </c>
      <c r="HW280" s="844">
        <v>0</v>
      </c>
      <c r="HX280" s="844">
        <v>0</v>
      </c>
      <c r="HY280" s="844">
        <v>0</v>
      </c>
      <c r="HZ280" s="844">
        <v>0</v>
      </c>
      <c r="IA280" s="844">
        <v>0</v>
      </c>
      <c r="IB280" s="844">
        <v>0</v>
      </c>
      <c r="IC280" s="844">
        <v>0</v>
      </c>
      <c r="ID280" s="844">
        <v>0</v>
      </c>
      <c r="IE280" s="844">
        <v>0</v>
      </c>
      <c r="IF280" s="844">
        <v>0</v>
      </c>
      <c r="IG280" s="844">
        <v>0</v>
      </c>
      <c r="IH280" s="844">
        <v>0</v>
      </c>
      <c r="II280" s="844">
        <v>0</v>
      </c>
      <c r="IJ280" s="844">
        <v>0</v>
      </c>
    </row>
    <row r="281" spans="9:244" hidden="1">
      <c r="I281" s="156"/>
      <c r="L281" s="846" t="s">
        <v>1060</v>
      </c>
      <c r="M281" s="846" t="s">
        <v>1382</v>
      </c>
      <c r="N281" s="846" t="s">
        <v>97</v>
      </c>
      <c r="O281" s="847">
        <v>46</v>
      </c>
      <c r="P281" s="780" t="str">
        <f t="shared" si="8"/>
        <v>IWT060246</v>
      </c>
      <c r="Q281" s="847">
        <v>0</v>
      </c>
      <c r="R281" s="847">
        <v>0</v>
      </c>
      <c r="S281" s="847">
        <v>0</v>
      </c>
      <c r="T281" s="847">
        <v>0</v>
      </c>
      <c r="U281" s="847">
        <v>0</v>
      </c>
      <c r="V281" s="847">
        <v>0</v>
      </c>
      <c r="W281" s="847">
        <v>0</v>
      </c>
      <c r="X281" s="847">
        <v>0</v>
      </c>
      <c r="Y281" s="847">
        <v>0</v>
      </c>
      <c r="Z281" s="847">
        <v>0</v>
      </c>
      <c r="AA281" s="847">
        <v>0</v>
      </c>
      <c r="AB281" s="847">
        <v>0</v>
      </c>
      <c r="AC281" s="847">
        <v>0</v>
      </c>
      <c r="AD281" s="847">
        <v>0</v>
      </c>
      <c r="AE281" s="847">
        <v>0</v>
      </c>
      <c r="AF281" s="847">
        <v>0</v>
      </c>
      <c r="AG281" s="847">
        <v>0</v>
      </c>
      <c r="AH281" s="847">
        <v>0</v>
      </c>
      <c r="AI281" s="847">
        <v>0</v>
      </c>
      <c r="AJ281" s="847">
        <v>0</v>
      </c>
      <c r="AK281" s="847">
        <v>0</v>
      </c>
      <c r="AL281" s="847">
        <v>0</v>
      </c>
      <c r="AM281" s="847">
        <v>0</v>
      </c>
      <c r="AN281" s="847">
        <v>0</v>
      </c>
      <c r="AO281" s="847">
        <v>0</v>
      </c>
      <c r="AP281" s="847">
        <v>0</v>
      </c>
      <c r="AQ281" s="847">
        <v>0</v>
      </c>
      <c r="AR281" s="847">
        <v>0</v>
      </c>
      <c r="AS281" s="847">
        <v>0</v>
      </c>
      <c r="AT281" s="847">
        <v>0</v>
      </c>
      <c r="AU281" s="847">
        <v>0</v>
      </c>
      <c r="AV281" s="847">
        <v>0</v>
      </c>
      <c r="AW281" s="847">
        <v>0</v>
      </c>
      <c r="AX281" s="847">
        <v>0</v>
      </c>
      <c r="AY281" s="847">
        <v>0</v>
      </c>
      <c r="AZ281" s="847">
        <v>0</v>
      </c>
      <c r="BA281" s="847">
        <v>0</v>
      </c>
      <c r="BB281" s="847">
        <v>0</v>
      </c>
      <c r="BC281" s="847">
        <v>0</v>
      </c>
      <c r="BD281" s="847">
        <v>0</v>
      </c>
      <c r="BE281" s="847">
        <v>0</v>
      </c>
      <c r="BF281" s="847">
        <v>0</v>
      </c>
      <c r="BG281" s="847">
        <v>0</v>
      </c>
      <c r="BH281" s="847">
        <v>0</v>
      </c>
      <c r="BI281" s="847">
        <v>0</v>
      </c>
      <c r="BJ281" s="847">
        <v>0</v>
      </c>
      <c r="BK281" s="847">
        <v>0</v>
      </c>
      <c r="BL281" s="847">
        <v>0</v>
      </c>
      <c r="BM281" s="847">
        <v>0</v>
      </c>
      <c r="BN281" s="847">
        <v>0</v>
      </c>
      <c r="BO281" s="847">
        <v>0</v>
      </c>
      <c r="BP281" s="847">
        <v>0</v>
      </c>
      <c r="BQ281" s="847">
        <v>0</v>
      </c>
      <c r="BR281" s="847">
        <v>0</v>
      </c>
      <c r="BS281" s="847">
        <v>0</v>
      </c>
      <c r="BT281" s="847">
        <v>0</v>
      </c>
      <c r="BU281" s="847">
        <v>0</v>
      </c>
      <c r="BV281" s="847">
        <v>0</v>
      </c>
      <c r="BW281" s="847">
        <v>0</v>
      </c>
      <c r="BX281" s="847">
        <v>0</v>
      </c>
      <c r="BY281" s="847">
        <v>0</v>
      </c>
      <c r="BZ281" s="847">
        <v>0</v>
      </c>
      <c r="CA281" s="847">
        <v>0</v>
      </c>
      <c r="CB281" s="847">
        <v>0</v>
      </c>
      <c r="CC281" s="847">
        <v>92600</v>
      </c>
      <c r="CD281" s="847">
        <v>0</v>
      </c>
      <c r="CE281" s="847">
        <v>0</v>
      </c>
      <c r="CF281" s="847">
        <v>0</v>
      </c>
      <c r="CG281" s="847">
        <v>0</v>
      </c>
      <c r="CH281" s="847">
        <v>0</v>
      </c>
      <c r="CI281" s="847">
        <v>0</v>
      </c>
      <c r="CJ281" s="847">
        <v>0</v>
      </c>
      <c r="CK281" s="847">
        <v>0</v>
      </c>
      <c r="CL281" s="847">
        <v>0</v>
      </c>
      <c r="CM281" s="847">
        <v>0</v>
      </c>
      <c r="CN281" s="847">
        <v>0</v>
      </c>
      <c r="CO281" s="847">
        <v>0</v>
      </c>
      <c r="CP281" s="847">
        <v>0</v>
      </c>
      <c r="CQ281" s="847">
        <v>0</v>
      </c>
      <c r="CR281" s="847">
        <v>0</v>
      </c>
      <c r="CS281" s="847">
        <v>0</v>
      </c>
      <c r="CT281" s="847">
        <v>0</v>
      </c>
      <c r="CU281" s="847">
        <v>0</v>
      </c>
      <c r="CV281" s="847">
        <v>0</v>
      </c>
      <c r="CW281" s="847">
        <v>0</v>
      </c>
      <c r="CX281" s="847">
        <v>0</v>
      </c>
      <c r="CY281" s="847">
        <v>0</v>
      </c>
      <c r="CZ281" s="847">
        <v>0</v>
      </c>
      <c r="DA281" s="847">
        <v>0</v>
      </c>
      <c r="DB281" s="847">
        <v>0</v>
      </c>
      <c r="DC281" s="847">
        <v>0</v>
      </c>
      <c r="DD281" s="847">
        <v>0</v>
      </c>
      <c r="DE281" s="847">
        <v>0</v>
      </c>
      <c r="DF281" s="847">
        <v>0</v>
      </c>
      <c r="DG281" s="847">
        <v>0</v>
      </c>
      <c r="DH281" s="847">
        <v>0</v>
      </c>
      <c r="DI281" s="847">
        <v>0</v>
      </c>
      <c r="DJ281" s="847">
        <v>0</v>
      </c>
      <c r="DK281" s="847">
        <v>0</v>
      </c>
      <c r="DL281" s="847">
        <v>0</v>
      </c>
      <c r="DM281" s="847">
        <v>0</v>
      </c>
      <c r="DN281" s="847">
        <v>0</v>
      </c>
      <c r="DO281" s="847">
        <v>0</v>
      </c>
      <c r="DP281" s="847">
        <v>0</v>
      </c>
      <c r="DQ281" s="847">
        <v>0</v>
      </c>
      <c r="DR281" s="847">
        <v>0</v>
      </c>
      <c r="DS281" s="847">
        <v>0</v>
      </c>
      <c r="DT281" s="847">
        <v>0</v>
      </c>
      <c r="DU281" s="847">
        <v>0</v>
      </c>
      <c r="DV281" s="847">
        <v>0</v>
      </c>
      <c r="DW281" s="847">
        <v>0</v>
      </c>
      <c r="DY281" s="843" t="s">
        <v>1060</v>
      </c>
      <c r="DZ281" s="843" t="s">
        <v>1382</v>
      </c>
      <c r="EA281" s="843" t="s">
        <v>97</v>
      </c>
      <c r="EB281" s="844">
        <v>46</v>
      </c>
      <c r="EC281" s="780" t="str">
        <f t="shared" si="9"/>
        <v>IWT060246</v>
      </c>
      <c r="ED281" s="844">
        <v>5357.2</v>
      </c>
      <c r="EE281" s="844">
        <v>10714.5</v>
      </c>
      <c r="EF281" s="844">
        <v>16071.7</v>
      </c>
      <c r="EG281" s="844">
        <v>21429</v>
      </c>
      <c r="EH281" s="844">
        <v>26786.2</v>
      </c>
      <c r="EI281" s="844">
        <v>32143.4</v>
      </c>
      <c r="EJ281" s="844">
        <v>32143.4</v>
      </c>
      <c r="EK281" s="844">
        <v>32143.4</v>
      </c>
      <c r="EL281" s="844">
        <v>32143.4</v>
      </c>
      <c r="EM281" s="844">
        <v>32687</v>
      </c>
      <c r="EN281" s="844">
        <v>33341</v>
      </c>
      <c r="EO281" s="844">
        <v>34008</v>
      </c>
      <c r="EP281" s="844">
        <v>34688</v>
      </c>
      <c r="EQ281" s="844">
        <v>35382</v>
      </c>
      <c r="ER281" s="844">
        <v>36089</v>
      </c>
      <c r="ES281" s="844">
        <v>36811</v>
      </c>
      <c r="ET281" s="844">
        <v>37547</v>
      </c>
      <c r="EU281" s="844">
        <v>38298</v>
      </c>
      <c r="EV281" s="844">
        <v>39064</v>
      </c>
      <c r="EW281" s="844">
        <v>39845</v>
      </c>
      <c r="EX281" s="844">
        <v>40642</v>
      </c>
      <c r="EY281" s="844">
        <v>41455</v>
      </c>
      <c r="EZ281" s="844">
        <v>42284</v>
      </c>
      <c r="FA281" s="844">
        <v>43130</v>
      </c>
      <c r="FB281" s="844">
        <v>43992</v>
      </c>
      <c r="FC281" s="844">
        <v>44872</v>
      </c>
      <c r="FD281" s="844">
        <v>45770</v>
      </c>
      <c r="FE281" s="844">
        <v>46685</v>
      </c>
      <c r="FF281" s="844">
        <v>47619</v>
      </c>
      <c r="FG281" s="844">
        <v>48571</v>
      </c>
      <c r="FH281" s="844">
        <v>49542</v>
      </c>
      <c r="FI281" s="844">
        <v>50533</v>
      </c>
      <c r="FJ281" s="844">
        <v>51544</v>
      </c>
      <c r="FK281" s="844">
        <v>52574</v>
      </c>
      <c r="FL281" s="844">
        <v>53626</v>
      </c>
      <c r="FM281" s="844">
        <v>54698</v>
      </c>
      <c r="FN281" s="844">
        <v>55792</v>
      </c>
      <c r="FO281" s="844">
        <v>56908</v>
      </c>
      <c r="FP281" s="844">
        <v>58046</v>
      </c>
      <c r="FQ281" s="844">
        <v>59206</v>
      </c>
      <c r="FR281" s="844">
        <v>60390</v>
      </c>
      <c r="FS281" s="844">
        <v>61598</v>
      </c>
      <c r="FT281" s="844">
        <v>62829</v>
      </c>
      <c r="FU281" s="844">
        <v>64086</v>
      </c>
      <c r="FV281" s="844">
        <v>65367</v>
      </c>
      <c r="FW281" s="844">
        <v>66674</v>
      </c>
      <c r="FX281" s="844">
        <v>67996</v>
      </c>
      <c r="FY281" s="844">
        <v>69331</v>
      </c>
      <c r="FZ281" s="844">
        <v>70677</v>
      </c>
      <c r="GA281" s="844">
        <v>72033</v>
      </c>
      <c r="GB281" s="844">
        <v>73399</v>
      </c>
      <c r="GC281" s="844">
        <v>74774</v>
      </c>
      <c r="GD281" s="844">
        <v>76156</v>
      </c>
      <c r="GE281" s="844">
        <v>77546</v>
      </c>
      <c r="GF281" s="844">
        <v>78943</v>
      </c>
      <c r="GG281" s="844">
        <v>80345</v>
      </c>
      <c r="GH281" s="844">
        <v>81753</v>
      </c>
      <c r="GI281" s="844">
        <v>83165</v>
      </c>
      <c r="GJ281" s="844">
        <v>84581</v>
      </c>
      <c r="GK281" s="844">
        <v>86000</v>
      </c>
      <c r="GL281" s="844">
        <v>87422</v>
      </c>
      <c r="GM281" s="844">
        <v>88847</v>
      </c>
      <c r="GN281" s="844">
        <v>90272</v>
      </c>
      <c r="GO281" s="844">
        <v>91688</v>
      </c>
      <c r="GP281" s="844">
        <v>92600</v>
      </c>
      <c r="GQ281" s="844">
        <v>0</v>
      </c>
      <c r="GR281" s="844">
        <v>0</v>
      </c>
      <c r="GS281" s="844">
        <v>0</v>
      </c>
      <c r="GT281" s="844">
        <v>0</v>
      </c>
      <c r="GU281" s="844">
        <v>0</v>
      </c>
      <c r="GV281" s="844">
        <v>0</v>
      </c>
      <c r="GW281" s="844">
        <v>0</v>
      </c>
      <c r="GX281" s="844">
        <v>0</v>
      </c>
      <c r="GY281" s="844">
        <v>0</v>
      </c>
      <c r="GZ281" s="844">
        <v>0</v>
      </c>
      <c r="HA281" s="844">
        <v>0</v>
      </c>
      <c r="HB281" s="844">
        <v>0</v>
      </c>
      <c r="HC281" s="844">
        <v>0</v>
      </c>
      <c r="HD281" s="844">
        <v>0</v>
      </c>
      <c r="HE281" s="844">
        <v>0</v>
      </c>
      <c r="HF281" s="844">
        <v>0</v>
      </c>
      <c r="HG281" s="844">
        <v>0</v>
      </c>
      <c r="HH281" s="844">
        <v>0</v>
      </c>
      <c r="HI281" s="844">
        <v>0</v>
      </c>
      <c r="HJ281" s="844">
        <v>0</v>
      </c>
      <c r="HK281" s="844">
        <v>0</v>
      </c>
      <c r="HL281" s="844">
        <v>0</v>
      </c>
      <c r="HM281" s="844">
        <v>0</v>
      </c>
      <c r="HN281" s="844">
        <v>0</v>
      </c>
      <c r="HO281" s="844">
        <v>0</v>
      </c>
      <c r="HP281" s="844">
        <v>0</v>
      </c>
      <c r="HQ281" s="844">
        <v>0</v>
      </c>
      <c r="HR281" s="844">
        <v>0</v>
      </c>
      <c r="HS281" s="844">
        <v>0</v>
      </c>
      <c r="HT281" s="844">
        <v>0</v>
      </c>
      <c r="HU281" s="844">
        <v>0</v>
      </c>
      <c r="HV281" s="844">
        <v>0</v>
      </c>
      <c r="HW281" s="844">
        <v>0</v>
      </c>
      <c r="HX281" s="844">
        <v>0</v>
      </c>
      <c r="HY281" s="844">
        <v>0</v>
      </c>
      <c r="HZ281" s="844">
        <v>0</v>
      </c>
      <c r="IA281" s="844">
        <v>0</v>
      </c>
      <c r="IB281" s="844">
        <v>0</v>
      </c>
      <c r="IC281" s="844">
        <v>0</v>
      </c>
      <c r="ID281" s="844">
        <v>0</v>
      </c>
      <c r="IE281" s="844">
        <v>0</v>
      </c>
      <c r="IF281" s="844">
        <v>0</v>
      </c>
      <c r="IG281" s="844">
        <v>0</v>
      </c>
      <c r="IH281" s="844">
        <v>0</v>
      </c>
      <c r="II281" s="844">
        <v>0</v>
      </c>
      <c r="IJ281" s="844">
        <v>0</v>
      </c>
    </row>
    <row r="282" spans="9:244" hidden="1">
      <c r="I282" s="156"/>
      <c r="L282" s="846" t="s">
        <v>1060</v>
      </c>
      <c r="M282" s="846" t="s">
        <v>1382</v>
      </c>
      <c r="N282" s="846" t="s">
        <v>97</v>
      </c>
      <c r="O282" s="847">
        <v>47</v>
      </c>
      <c r="P282" s="780" t="str">
        <f t="shared" si="8"/>
        <v>IWT060247</v>
      </c>
      <c r="Q282" s="847">
        <v>0</v>
      </c>
      <c r="R282" s="847">
        <v>0</v>
      </c>
      <c r="S282" s="847">
        <v>0</v>
      </c>
      <c r="T282" s="847">
        <v>0</v>
      </c>
      <c r="U282" s="847">
        <v>0</v>
      </c>
      <c r="V282" s="847">
        <v>0</v>
      </c>
      <c r="W282" s="847">
        <v>0</v>
      </c>
      <c r="X282" s="847">
        <v>0</v>
      </c>
      <c r="Y282" s="847">
        <v>0</v>
      </c>
      <c r="Z282" s="847">
        <v>0</v>
      </c>
      <c r="AA282" s="847">
        <v>0</v>
      </c>
      <c r="AB282" s="847">
        <v>0</v>
      </c>
      <c r="AC282" s="847">
        <v>0</v>
      </c>
      <c r="AD282" s="847">
        <v>0</v>
      </c>
      <c r="AE282" s="847">
        <v>0</v>
      </c>
      <c r="AF282" s="847">
        <v>0</v>
      </c>
      <c r="AG282" s="847">
        <v>0</v>
      </c>
      <c r="AH282" s="847">
        <v>0</v>
      </c>
      <c r="AI282" s="847">
        <v>0</v>
      </c>
      <c r="AJ282" s="847">
        <v>0</v>
      </c>
      <c r="AK282" s="847">
        <v>0</v>
      </c>
      <c r="AL282" s="847">
        <v>0</v>
      </c>
      <c r="AM282" s="847">
        <v>0</v>
      </c>
      <c r="AN282" s="847">
        <v>0</v>
      </c>
      <c r="AO282" s="847">
        <v>0</v>
      </c>
      <c r="AP282" s="847">
        <v>0</v>
      </c>
      <c r="AQ282" s="847">
        <v>0</v>
      </c>
      <c r="AR282" s="847">
        <v>0</v>
      </c>
      <c r="AS282" s="847">
        <v>0</v>
      </c>
      <c r="AT282" s="847">
        <v>0</v>
      </c>
      <c r="AU282" s="847">
        <v>0</v>
      </c>
      <c r="AV282" s="847">
        <v>0</v>
      </c>
      <c r="AW282" s="847">
        <v>0</v>
      </c>
      <c r="AX282" s="847">
        <v>0</v>
      </c>
      <c r="AY282" s="847">
        <v>0</v>
      </c>
      <c r="AZ282" s="847">
        <v>0</v>
      </c>
      <c r="BA282" s="847">
        <v>0</v>
      </c>
      <c r="BB282" s="847">
        <v>0</v>
      </c>
      <c r="BC282" s="847">
        <v>0</v>
      </c>
      <c r="BD282" s="847">
        <v>0</v>
      </c>
      <c r="BE282" s="847">
        <v>0</v>
      </c>
      <c r="BF282" s="847">
        <v>0</v>
      </c>
      <c r="BG282" s="847">
        <v>0</v>
      </c>
      <c r="BH282" s="847">
        <v>0</v>
      </c>
      <c r="BI282" s="847">
        <v>0</v>
      </c>
      <c r="BJ282" s="847">
        <v>0</v>
      </c>
      <c r="BK282" s="847">
        <v>0</v>
      </c>
      <c r="BL282" s="847">
        <v>0</v>
      </c>
      <c r="BM282" s="847">
        <v>0</v>
      </c>
      <c r="BN282" s="847">
        <v>0</v>
      </c>
      <c r="BO282" s="847">
        <v>0</v>
      </c>
      <c r="BP282" s="847">
        <v>0</v>
      </c>
      <c r="BQ282" s="847">
        <v>0</v>
      </c>
      <c r="BR282" s="847">
        <v>0</v>
      </c>
      <c r="BS282" s="847">
        <v>0</v>
      </c>
      <c r="BT282" s="847">
        <v>0</v>
      </c>
      <c r="BU282" s="847">
        <v>0</v>
      </c>
      <c r="BV282" s="847">
        <v>0</v>
      </c>
      <c r="BW282" s="847">
        <v>0</v>
      </c>
      <c r="BX282" s="847">
        <v>0</v>
      </c>
      <c r="BY282" s="847">
        <v>0</v>
      </c>
      <c r="BZ282" s="847">
        <v>0</v>
      </c>
      <c r="CA282" s="847">
        <v>0</v>
      </c>
      <c r="CB282" s="847">
        <v>91200</v>
      </c>
      <c r="CC282" s="847">
        <v>0</v>
      </c>
      <c r="CD282" s="847">
        <v>0</v>
      </c>
      <c r="CE282" s="847">
        <v>0</v>
      </c>
      <c r="CF282" s="847">
        <v>0</v>
      </c>
      <c r="CG282" s="847">
        <v>0</v>
      </c>
      <c r="CH282" s="847">
        <v>0</v>
      </c>
      <c r="CI282" s="847">
        <v>0</v>
      </c>
      <c r="CJ282" s="847">
        <v>0</v>
      </c>
      <c r="CK282" s="847">
        <v>0</v>
      </c>
      <c r="CL282" s="847">
        <v>0</v>
      </c>
      <c r="CM282" s="847">
        <v>0</v>
      </c>
      <c r="CN282" s="847">
        <v>0</v>
      </c>
      <c r="CO282" s="847">
        <v>0</v>
      </c>
      <c r="CP282" s="847">
        <v>0</v>
      </c>
      <c r="CQ282" s="847">
        <v>0</v>
      </c>
      <c r="CR282" s="847">
        <v>0</v>
      </c>
      <c r="CS282" s="847">
        <v>0</v>
      </c>
      <c r="CT282" s="847">
        <v>0</v>
      </c>
      <c r="CU282" s="847">
        <v>0</v>
      </c>
      <c r="CV282" s="847">
        <v>0</v>
      </c>
      <c r="CW282" s="847">
        <v>0</v>
      </c>
      <c r="CX282" s="847">
        <v>0</v>
      </c>
      <c r="CY282" s="847">
        <v>0</v>
      </c>
      <c r="CZ282" s="847">
        <v>0</v>
      </c>
      <c r="DA282" s="847">
        <v>0</v>
      </c>
      <c r="DB282" s="847">
        <v>0</v>
      </c>
      <c r="DC282" s="847">
        <v>0</v>
      </c>
      <c r="DD282" s="847">
        <v>0</v>
      </c>
      <c r="DE282" s="847">
        <v>0</v>
      </c>
      <c r="DF282" s="847">
        <v>0</v>
      </c>
      <c r="DG282" s="847">
        <v>0</v>
      </c>
      <c r="DH282" s="847">
        <v>0</v>
      </c>
      <c r="DI282" s="847">
        <v>0</v>
      </c>
      <c r="DJ282" s="847">
        <v>0</v>
      </c>
      <c r="DK282" s="847">
        <v>0</v>
      </c>
      <c r="DL282" s="847">
        <v>0</v>
      </c>
      <c r="DM282" s="847">
        <v>0</v>
      </c>
      <c r="DN282" s="847">
        <v>0</v>
      </c>
      <c r="DO282" s="847">
        <v>0</v>
      </c>
      <c r="DP282" s="847">
        <v>0</v>
      </c>
      <c r="DQ282" s="847">
        <v>0</v>
      </c>
      <c r="DR282" s="847">
        <v>0</v>
      </c>
      <c r="DS282" s="847">
        <v>0</v>
      </c>
      <c r="DT282" s="847">
        <v>0</v>
      </c>
      <c r="DU282" s="847">
        <v>0</v>
      </c>
      <c r="DV282" s="847">
        <v>0</v>
      </c>
      <c r="DW282" s="847">
        <v>0</v>
      </c>
      <c r="DY282" s="843" t="s">
        <v>1060</v>
      </c>
      <c r="DZ282" s="843" t="s">
        <v>1382</v>
      </c>
      <c r="EA282" s="843" t="s">
        <v>97</v>
      </c>
      <c r="EB282" s="844">
        <v>47</v>
      </c>
      <c r="EC282" s="780" t="str">
        <f t="shared" si="9"/>
        <v>IWT060247</v>
      </c>
      <c r="ED282" s="844">
        <v>5359.4</v>
      </c>
      <c r="EE282" s="844">
        <v>10718.7</v>
      </c>
      <c r="EF282" s="844">
        <v>16078.1</v>
      </c>
      <c r="EG282" s="844">
        <v>21437.4</v>
      </c>
      <c r="EH282" s="844">
        <v>26796.799999999999</v>
      </c>
      <c r="EI282" s="844">
        <v>32156.2</v>
      </c>
      <c r="EJ282" s="844">
        <v>32156.2</v>
      </c>
      <c r="EK282" s="844">
        <v>32156.2</v>
      </c>
      <c r="EL282" s="844">
        <v>32156.2</v>
      </c>
      <c r="EM282" s="844">
        <v>32699</v>
      </c>
      <c r="EN282" s="844">
        <v>33353</v>
      </c>
      <c r="EO282" s="844">
        <v>34020</v>
      </c>
      <c r="EP282" s="844">
        <v>34701</v>
      </c>
      <c r="EQ282" s="844">
        <v>35395</v>
      </c>
      <c r="ER282" s="844">
        <v>36103</v>
      </c>
      <c r="ES282" s="844">
        <v>36825</v>
      </c>
      <c r="ET282" s="844">
        <v>37561</v>
      </c>
      <c r="EU282" s="844">
        <v>38312</v>
      </c>
      <c r="EV282" s="844">
        <v>39079</v>
      </c>
      <c r="EW282" s="844">
        <v>39860</v>
      </c>
      <c r="EX282" s="844">
        <v>40657</v>
      </c>
      <c r="EY282" s="844">
        <v>41470</v>
      </c>
      <c r="EZ282" s="844">
        <v>42300</v>
      </c>
      <c r="FA282" s="844">
        <v>43146</v>
      </c>
      <c r="FB282" s="844">
        <v>44009</v>
      </c>
      <c r="FC282" s="844">
        <v>44889</v>
      </c>
      <c r="FD282" s="844">
        <v>45786</v>
      </c>
      <c r="FE282" s="844">
        <v>46702</v>
      </c>
      <c r="FF282" s="844">
        <v>47636</v>
      </c>
      <c r="FG282" s="844">
        <v>48589</v>
      </c>
      <c r="FH282" s="844">
        <v>49560</v>
      </c>
      <c r="FI282" s="844">
        <v>50552</v>
      </c>
      <c r="FJ282" s="844">
        <v>51563</v>
      </c>
      <c r="FK282" s="844">
        <v>52594</v>
      </c>
      <c r="FL282" s="844">
        <v>53645</v>
      </c>
      <c r="FM282" s="844">
        <v>54718</v>
      </c>
      <c r="FN282" s="844">
        <v>55812</v>
      </c>
      <c r="FO282" s="844">
        <v>56928</v>
      </c>
      <c r="FP282" s="844">
        <v>58067</v>
      </c>
      <c r="FQ282" s="844">
        <v>59228</v>
      </c>
      <c r="FR282" s="844">
        <v>60412</v>
      </c>
      <c r="FS282" s="844">
        <v>61620</v>
      </c>
      <c r="FT282" s="844">
        <v>62852</v>
      </c>
      <c r="FU282" s="844">
        <v>64109</v>
      </c>
      <c r="FV282" s="844">
        <v>65391</v>
      </c>
      <c r="FW282" s="844">
        <v>66698</v>
      </c>
      <c r="FX282" s="844">
        <v>68024</v>
      </c>
      <c r="FY282" s="844">
        <v>69362</v>
      </c>
      <c r="FZ282" s="844">
        <v>70711</v>
      </c>
      <c r="GA282" s="844">
        <v>72070</v>
      </c>
      <c r="GB282" s="844">
        <v>73438</v>
      </c>
      <c r="GC282" s="844">
        <v>74815</v>
      </c>
      <c r="GD282" s="844">
        <v>76199</v>
      </c>
      <c r="GE282" s="844">
        <v>77590</v>
      </c>
      <c r="GF282" s="844">
        <v>78988</v>
      </c>
      <c r="GG282" s="844">
        <v>80391</v>
      </c>
      <c r="GH282" s="844">
        <v>81798</v>
      </c>
      <c r="GI282" s="844">
        <v>83210</v>
      </c>
      <c r="GJ282" s="844">
        <v>84626</v>
      </c>
      <c r="GK282" s="844">
        <v>86044</v>
      </c>
      <c r="GL282" s="844">
        <v>87465</v>
      </c>
      <c r="GM282" s="844">
        <v>88888</v>
      </c>
      <c r="GN282" s="844">
        <v>90301</v>
      </c>
      <c r="GO282" s="844">
        <v>91200</v>
      </c>
      <c r="GP282" s="844">
        <v>0</v>
      </c>
      <c r="GQ282" s="844">
        <v>0</v>
      </c>
      <c r="GR282" s="844">
        <v>0</v>
      </c>
      <c r="GS282" s="844">
        <v>0</v>
      </c>
      <c r="GT282" s="844">
        <v>0</v>
      </c>
      <c r="GU282" s="844">
        <v>0</v>
      </c>
      <c r="GV282" s="844">
        <v>0</v>
      </c>
      <c r="GW282" s="844">
        <v>0</v>
      </c>
      <c r="GX282" s="844">
        <v>0</v>
      </c>
      <c r="GY282" s="844">
        <v>0</v>
      </c>
      <c r="GZ282" s="844">
        <v>0</v>
      </c>
      <c r="HA282" s="844">
        <v>0</v>
      </c>
      <c r="HB282" s="844">
        <v>0</v>
      </c>
      <c r="HC282" s="844">
        <v>0</v>
      </c>
      <c r="HD282" s="844">
        <v>0</v>
      </c>
      <c r="HE282" s="844">
        <v>0</v>
      </c>
      <c r="HF282" s="844">
        <v>0</v>
      </c>
      <c r="HG282" s="844">
        <v>0</v>
      </c>
      <c r="HH282" s="844">
        <v>0</v>
      </c>
      <c r="HI282" s="844">
        <v>0</v>
      </c>
      <c r="HJ282" s="844">
        <v>0</v>
      </c>
      <c r="HK282" s="844">
        <v>0</v>
      </c>
      <c r="HL282" s="844">
        <v>0</v>
      </c>
      <c r="HM282" s="844">
        <v>0</v>
      </c>
      <c r="HN282" s="844">
        <v>0</v>
      </c>
      <c r="HO282" s="844">
        <v>0</v>
      </c>
      <c r="HP282" s="844">
        <v>0</v>
      </c>
      <c r="HQ282" s="844">
        <v>0</v>
      </c>
      <c r="HR282" s="844">
        <v>0</v>
      </c>
      <c r="HS282" s="844">
        <v>0</v>
      </c>
      <c r="HT282" s="844">
        <v>0</v>
      </c>
      <c r="HU282" s="844">
        <v>0</v>
      </c>
      <c r="HV282" s="844">
        <v>0</v>
      </c>
      <c r="HW282" s="844">
        <v>0</v>
      </c>
      <c r="HX282" s="844">
        <v>0</v>
      </c>
      <c r="HY282" s="844">
        <v>0</v>
      </c>
      <c r="HZ282" s="844">
        <v>0</v>
      </c>
      <c r="IA282" s="844">
        <v>0</v>
      </c>
      <c r="IB282" s="844">
        <v>0</v>
      </c>
      <c r="IC282" s="844">
        <v>0</v>
      </c>
      <c r="ID282" s="844">
        <v>0</v>
      </c>
      <c r="IE282" s="844">
        <v>0</v>
      </c>
      <c r="IF282" s="844">
        <v>0</v>
      </c>
      <c r="IG282" s="844">
        <v>0</v>
      </c>
      <c r="IH282" s="844">
        <v>0</v>
      </c>
      <c r="II282" s="844">
        <v>0</v>
      </c>
      <c r="IJ282" s="844">
        <v>0</v>
      </c>
    </row>
    <row r="283" spans="9:244" hidden="1">
      <c r="I283" s="156"/>
      <c r="L283" s="846" t="s">
        <v>1060</v>
      </c>
      <c r="M283" s="846" t="s">
        <v>1382</v>
      </c>
      <c r="N283" s="846" t="s">
        <v>97</v>
      </c>
      <c r="O283" s="847">
        <v>48</v>
      </c>
      <c r="P283" s="780" t="str">
        <f t="shared" si="8"/>
        <v>IWT060248</v>
      </c>
      <c r="Q283" s="847">
        <v>0</v>
      </c>
      <c r="R283" s="847">
        <v>0</v>
      </c>
      <c r="S283" s="847">
        <v>0</v>
      </c>
      <c r="T283" s="847">
        <v>0</v>
      </c>
      <c r="U283" s="847">
        <v>0</v>
      </c>
      <c r="V283" s="847">
        <v>0</v>
      </c>
      <c r="W283" s="847">
        <v>0</v>
      </c>
      <c r="X283" s="847">
        <v>0</v>
      </c>
      <c r="Y283" s="847">
        <v>0</v>
      </c>
      <c r="Z283" s="847">
        <v>0</v>
      </c>
      <c r="AA283" s="847">
        <v>0</v>
      </c>
      <c r="AB283" s="847">
        <v>0</v>
      </c>
      <c r="AC283" s="847">
        <v>0</v>
      </c>
      <c r="AD283" s="847">
        <v>0</v>
      </c>
      <c r="AE283" s="847">
        <v>0</v>
      </c>
      <c r="AF283" s="847">
        <v>0</v>
      </c>
      <c r="AG283" s="847">
        <v>0</v>
      </c>
      <c r="AH283" s="847">
        <v>0</v>
      </c>
      <c r="AI283" s="847">
        <v>0</v>
      </c>
      <c r="AJ283" s="847">
        <v>0</v>
      </c>
      <c r="AK283" s="847">
        <v>0</v>
      </c>
      <c r="AL283" s="847">
        <v>0</v>
      </c>
      <c r="AM283" s="847">
        <v>0</v>
      </c>
      <c r="AN283" s="847">
        <v>0</v>
      </c>
      <c r="AO283" s="847">
        <v>0</v>
      </c>
      <c r="AP283" s="847">
        <v>0</v>
      </c>
      <c r="AQ283" s="847">
        <v>0</v>
      </c>
      <c r="AR283" s="847">
        <v>0</v>
      </c>
      <c r="AS283" s="847">
        <v>0</v>
      </c>
      <c r="AT283" s="847">
        <v>0</v>
      </c>
      <c r="AU283" s="847">
        <v>0</v>
      </c>
      <c r="AV283" s="847">
        <v>0</v>
      </c>
      <c r="AW283" s="847">
        <v>0</v>
      </c>
      <c r="AX283" s="847">
        <v>0</v>
      </c>
      <c r="AY283" s="847">
        <v>0</v>
      </c>
      <c r="AZ283" s="847">
        <v>0</v>
      </c>
      <c r="BA283" s="847">
        <v>0</v>
      </c>
      <c r="BB283" s="847">
        <v>0</v>
      </c>
      <c r="BC283" s="847">
        <v>0</v>
      </c>
      <c r="BD283" s="847">
        <v>0</v>
      </c>
      <c r="BE283" s="847">
        <v>0</v>
      </c>
      <c r="BF283" s="847">
        <v>0</v>
      </c>
      <c r="BG283" s="847">
        <v>0</v>
      </c>
      <c r="BH283" s="847">
        <v>0</v>
      </c>
      <c r="BI283" s="847">
        <v>0</v>
      </c>
      <c r="BJ283" s="847">
        <v>0</v>
      </c>
      <c r="BK283" s="847">
        <v>0</v>
      </c>
      <c r="BL283" s="847">
        <v>0</v>
      </c>
      <c r="BM283" s="847">
        <v>0</v>
      </c>
      <c r="BN283" s="847">
        <v>0</v>
      </c>
      <c r="BO283" s="847">
        <v>0</v>
      </c>
      <c r="BP283" s="847">
        <v>0</v>
      </c>
      <c r="BQ283" s="847">
        <v>0</v>
      </c>
      <c r="BR283" s="847">
        <v>0</v>
      </c>
      <c r="BS283" s="847">
        <v>0</v>
      </c>
      <c r="BT283" s="847">
        <v>0</v>
      </c>
      <c r="BU283" s="847">
        <v>0</v>
      </c>
      <c r="BV283" s="847">
        <v>0</v>
      </c>
      <c r="BW283" s="847">
        <v>0</v>
      </c>
      <c r="BX283" s="847">
        <v>0</v>
      </c>
      <c r="BY283" s="847">
        <v>0</v>
      </c>
      <c r="BZ283" s="847">
        <v>0</v>
      </c>
      <c r="CA283" s="847">
        <v>89800</v>
      </c>
      <c r="CB283" s="847">
        <v>0</v>
      </c>
      <c r="CC283" s="847">
        <v>0</v>
      </c>
      <c r="CD283" s="847">
        <v>0</v>
      </c>
      <c r="CE283" s="847">
        <v>0</v>
      </c>
      <c r="CF283" s="847">
        <v>0</v>
      </c>
      <c r="CG283" s="847">
        <v>0</v>
      </c>
      <c r="CH283" s="847">
        <v>0</v>
      </c>
      <c r="CI283" s="847">
        <v>0</v>
      </c>
      <c r="CJ283" s="847">
        <v>0</v>
      </c>
      <c r="CK283" s="847">
        <v>0</v>
      </c>
      <c r="CL283" s="847">
        <v>0</v>
      </c>
      <c r="CM283" s="847">
        <v>0</v>
      </c>
      <c r="CN283" s="847">
        <v>0</v>
      </c>
      <c r="CO283" s="847">
        <v>0</v>
      </c>
      <c r="CP283" s="847">
        <v>0</v>
      </c>
      <c r="CQ283" s="847">
        <v>0</v>
      </c>
      <c r="CR283" s="847">
        <v>0</v>
      </c>
      <c r="CS283" s="847">
        <v>0</v>
      </c>
      <c r="CT283" s="847">
        <v>0</v>
      </c>
      <c r="CU283" s="847">
        <v>0</v>
      </c>
      <c r="CV283" s="847">
        <v>0</v>
      </c>
      <c r="CW283" s="847">
        <v>0</v>
      </c>
      <c r="CX283" s="847">
        <v>0</v>
      </c>
      <c r="CY283" s="847">
        <v>0</v>
      </c>
      <c r="CZ283" s="847">
        <v>0</v>
      </c>
      <c r="DA283" s="847">
        <v>0</v>
      </c>
      <c r="DB283" s="847">
        <v>0</v>
      </c>
      <c r="DC283" s="847">
        <v>0</v>
      </c>
      <c r="DD283" s="847">
        <v>0</v>
      </c>
      <c r="DE283" s="847">
        <v>0</v>
      </c>
      <c r="DF283" s="847">
        <v>0</v>
      </c>
      <c r="DG283" s="847">
        <v>0</v>
      </c>
      <c r="DH283" s="847">
        <v>0</v>
      </c>
      <c r="DI283" s="847">
        <v>0</v>
      </c>
      <c r="DJ283" s="847">
        <v>0</v>
      </c>
      <c r="DK283" s="847">
        <v>0</v>
      </c>
      <c r="DL283" s="847">
        <v>0</v>
      </c>
      <c r="DM283" s="847">
        <v>0</v>
      </c>
      <c r="DN283" s="847">
        <v>0</v>
      </c>
      <c r="DO283" s="847">
        <v>0</v>
      </c>
      <c r="DP283" s="847">
        <v>0</v>
      </c>
      <c r="DQ283" s="847">
        <v>0</v>
      </c>
      <c r="DR283" s="847">
        <v>0</v>
      </c>
      <c r="DS283" s="847">
        <v>0</v>
      </c>
      <c r="DT283" s="847">
        <v>0</v>
      </c>
      <c r="DU283" s="847">
        <v>0</v>
      </c>
      <c r="DV283" s="847">
        <v>0</v>
      </c>
      <c r="DW283" s="847">
        <v>0</v>
      </c>
      <c r="DY283" s="843" t="s">
        <v>1060</v>
      </c>
      <c r="DZ283" s="843" t="s">
        <v>1382</v>
      </c>
      <c r="EA283" s="843" t="s">
        <v>97</v>
      </c>
      <c r="EB283" s="844">
        <v>48</v>
      </c>
      <c r="EC283" s="780" t="str">
        <f t="shared" si="9"/>
        <v>IWT060248</v>
      </c>
      <c r="ED283" s="844">
        <v>5361.5</v>
      </c>
      <c r="EE283" s="844">
        <v>10723</v>
      </c>
      <c r="EF283" s="844">
        <v>16084.4</v>
      </c>
      <c r="EG283" s="844">
        <v>21445.9</v>
      </c>
      <c r="EH283" s="844">
        <v>26807.4</v>
      </c>
      <c r="EI283" s="844">
        <v>32168.9</v>
      </c>
      <c r="EJ283" s="844">
        <v>32168.9</v>
      </c>
      <c r="EK283" s="844">
        <v>32168.9</v>
      </c>
      <c r="EL283" s="844">
        <v>32168.9</v>
      </c>
      <c r="EM283" s="844">
        <v>32709</v>
      </c>
      <c r="EN283" s="844">
        <v>33363</v>
      </c>
      <c r="EO283" s="844">
        <v>34031</v>
      </c>
      <c r="EP283" s="844">
        <v>34711</v>
      </c>
      <c r="EQ283" s="844">
        <v>35406</v>
      </c>
      <c r="ER283" s="844">
        <v>36114</v>
      </c>
      <c r="ES283" s="844">
        <v>36836</v>
      </c>
      <c r="ET283" s="844">
        <v>37573</v>
      </c>
      <c r="EU283" s="844">
        <v>38324</v>
      </c>
      <c r="EV283" s="844">
        <v>39090</v>
      </c>
      <c r="EW283" s="844">
        <v>39872</v>
      </c>
      <c r="EX283" s="844">
        <v>40670</v>
      </c>
      <c r="EY283" s="844">
        <v>41483</v>
      </c>
      <c r="EZ283" s="844">
        <v>42313</v>
      </c>
      <c r="FA283" s="844">
        <v>43159</v>
      </c>
      <c r="FB283" s="844">
        <v>44022</v>
      </c>
      <c r="FC283" s="844">
        <v>44902</v>
      </c>
      <c r="FD283" s="844">
        <v>45800</v>
      </c>
      <c r="FE283" s="844">
        <v>46716</v>
      </c>
      <c r="FF283" s="844">
        <v>47651</v>
      </c>
      <c r="FG283" s="844">
        <v>48604</v>
      </c>
      <c r="FH283" s="844">
        <v>49576</v>
      </c>
      <c r="FI283" s="844">
        <v>50567</v>
      </c>
      <c r="FJ283" s="844">
        <v>51578</v>
      </c>
      <c r="FK283" s="844">
        <v>52610</v>
      </c>
      <c r="FL283" s="844">
        <v>53662</v>
      </c>
      <c r="FM283" s="844">
        <v>54735</v>
      </c>
      <c r="FN283" s="844">
        <v>55829</v>
      </c>
      <c r="FO283" s="844">
        <v>56946</v>
      </c>
      <c r="FP283" s="844">
        <v>58084</v>
      </c>
      <c r="FQ283" s="844">
        <v>59246</v>
      </c>
      <c r="FR283" s="844">
        <v>60430</v>
      </c>
      <c r="FS283" s="844">
        <v>61639</v>
      </c>
      <c r="FT283" s="844">
        <v>62871</v>
      </c>
      <c r="FU283" s="844">
        <v>64128</v>
      </c>
      <c r="FV283" s="844">
        <v>65410</v>
      </c>
      <c r="FW283" s="844">
        <v>66718</v>
      </c>
      <c r="FX283" s="844">
        <v>68048</v>
      </c>
      <c r="FY283" s="844">
        <v>69389</v>
      </c>
      <c r="FZ283" s="844">
        <v>70741</v>
      </c>
      <c r="GA283" s="844">
        <v>72103</v>
      </c>
      <c r="GB283" s="844">
        <v>73473</v>
      </c>
      <c r="GC283" s="844">
        <v>74852</v>
      </c>
      <c r="GD283" s="844">
        <v>76238</v>
      </c>
      <c r="GE283" s="844">
        <v>77630</v>
      </c>
      <c r="GF283" s="844">
        <v>79028</v>
      </c>
      <c r="GG283" s="844">
        <v>80431</v>
      </c>
      <c r="GH283" s="844">
        <v>81839</v>
      </c>
      <c r="GI283" s="844">
        <v>83251</v>
      </c>
      <c r="GJ283" s="844">
        <v>84666</v>
      </c>
      <c r="GK283" s="844">
        <v>86084</v>
      </c>
      <c r="GL283" s="844">
        <v>87504</v>
      </c>
      <c r="GM283" s="844">
        <v>88915</v>
      </c>
      <c r="GN283" s="844">
        <v>89800</v>
      </c>
      <c r="GO283" s="844">
        <v>0</v>
      </c>
      <c r="GP283" s="844">
        <v>0</v>
      </c>
      <c r="GQ283" s="844">
        <v>0</v>
      </c>
      <c r="GR283" s="844">
        <v>0</v>
      </c>
      <c r="GS283" s="844">
        <v>0</v>
      </c>
      <c r="GT283" s="844">
        <v>0</v>
      </c>
      <c r="GU283" s="844">
        <v>0</v>
      </c>
      <c r="GV283" s="844">
        <v>0</v>
      </c>
      <c r="GW283" s="844">
        <v>0</v>
      </c>
      <c r="GX283" s="844">
        <v>0</v>
      </c>
      <c r="GY283" s="844">
        <v>0</v>
      </c>
      <c r="GZ283" s="844">
        <v>0</v>
      </c>
      <c r="HA283" s="844">
        <v>0</v>
      </c>
      <c r="HB283" s="844">
        <v>0</v>
      </c>
      <c r="HC283" s="844">
        <v>0</v>
      </c>
      <c r="HD283" s="844">
        <v>0</v>
      </c>
      <c r="HE283" s="844">
        <v>0</v>
      </c>
      <c r="HF283" s="844">
        <v>0</v>
      </c>
      <c r="HG283" s="844">
        <v>0</v>
      </c>
      <c r="HH283" s="844">
        <v>0</v>
      </c>
      <c r="HI283" s="844">
        <v>0</v>
      </c>
      <c r="HJ283" s="844">
        <v>0</v>
      </c>
      <c r="HK283" s="844">
        <v>0</v>
      </c>
      <c r="HL283" s="844">
        <v>0</v>
      </c>
      <c r="HM283" s="844">
        <v>0</v>
      </c>
      <c r="HN283" s="844">
        <v>0</v>
      </c>
      <c r="HO283" s="844">
        <v>0</v>
      </c>
      <c r="HP283" s="844">
        <v>0</v>
      </c>
      <c r="HQ283" s="844">
        <v>0</v>
      </c>
      <c r="HR283" s="844">
        <v>0</v>
      </c>
      <c r="HS283" s="844">
        <v>0</v>
      </c>
      <c r="HT283" s="844">
        <v>0</v>
      </c>
      <c r="HU283" s="844">
        <v>0</v>
      </c>
      <c r="HV283" s="844">
        <v>0</v>
      </c>
      <c r="HW283" s="844">
        <v>0</v>
      </c>
      <c r="HX283" s="844">
        <v>0</v>
      </c>
      <c r="HY283" s="844">
        <v>0</v>
      </c>
      <c r="HZ283" s="844">
        <v>0</v>
      </c>
      <c r="IA283" s="844">
        <v>0</v>
      </c>
      <c r="IB283" s="844">
        <v>0</v>
      </c>
      <c r="IC283" s="844">
        <v>0</v>
      </c>
      <c r="ID283" s="844">
        <v>0</v>
      </c>
      <c r="IE283" s="844">
        <v>0</v>
      </c>
      <c r="IF283" s="844">
        <v>0</v>
      </c>
      <c r="IG283" s="844">
        <v>0</v>
      </c>
      <c r="IH283" s="844">
        <v>0</v>
      </c>
      <c r="II283" s="844">
        <v>0</v>
      </c>
      <c r="IJ283" s="844">
        <v>0</v>
      </c>
    </row>
    <row r="284" spans="9:244" hidden="1">
      <c r="I284" s="156"/>
      <c r="L284" s="846" t="s">
        <v>1060</v>
      </c>
      <c r="M284" s="846" t="s">
        <v>1382</v>
      </c>
      <c r="N284" s="846" t="s">
        <v>97</v>
      </c>
      <c r="O284" s="847">
        <v>49</v>
      </c>
      <c r="P284" s="780" t="str">
        <f t="shared" si="8"/>
        <v>IWT060249</v>
      </c>
      <c r="Q284" s="847">
        <v>0</v>
      </c>
      <c r="R284" s="847">
        <v>0</v>
      </c>
      <c r="S284" s="847">
        <v>0</v>
      </c>
      <c r="T284" s="847">
        <v>0</v>
      </c>
      <c r="U284" s="847">
        <v>0</v>
      </c>
      <c r="V284" s="847">
        <v>0</v>
      </c>
      <c r="W284" s="847">
        <v>0</v>
      </c>
      <c r="X284" s="847">
        <v>0</v>
      </c>
      <c r="Y284" s="847">
        <v>0</v>
      </c>
      <c r="Z284" s="847">
        <v>0</v>
      </c>
      <c r="AA284" s="847">
        <v>0</v>
      </c>
      <c r="AB284" s="847">
        <v>0</v>
      </c>
      <c r="AC284" s="847">
        <v>0</v>
      </c>
      <c r="AD284" s="847">
        <v>0</v>
      </c>
      <c r="AE284" s="847">
        <v>0</v>
      </c>
      <c r="AF284" s="847">
        <v>0</v>
      </c>
      <c r="AG284" s="847">
        <v>0</v>
      </c>
      <c r="AH284" s="847">
        <v>0</v>
      </c>
      <c r="AI284" s="847">
        <v>0</v>
      </c>
      <c r="AJ284" s="847">
        <v>0</v>
      </c>
      <c r="AK284" s="847">
        <v>0</v>
      </c>
      <c r="AL284" s="847">
        <v>0</v>
      </c>
      <c r="AM284" s="847">
        <v>0</v>
      </c>
      <c r="AN284" s="847">
        <v>0</v>
      </c>
      <c r="AO284" s="847">
        <v>0</v>
      </c>
      <c r="AP284" s="847">
        <v>0</v>
      </c>
      <c r="AQ284" s="847">
        <v>0</v>
      </c>
      <c r="AR284" s="847">
        <v>0</v>
      </c>
      <c r="AS284" s="847">
        <v>0</v>
      </c>
      <c r="AT284" s="847">
        <v>0</v>
      </c>
      <c r="AU284" s="847">
        <v>0</v>
      </c>
      <c r="AV284" s="847">
        <v>0</v>
      </c>
      <c r="AW284" s="847">
        <v>0</v>
      </c>
      <c r="AX284" s="847">
        <v>0</v>
      </c>
      <c r="AY284" s="847">
        <v>0</v>
      </c>
      <c r="AZ284" s="847">
        <v>0</v>
      </c>
      <c r="BA284" s="847">
        <v>0</v>
      </c>
      <c r="BB284" s="847">
        <v>0</v>
      </c>
      <c r="BC284" s="847">
        <v>0</v>
      </c>
      <c r="BD284" s="847">
        <v>0</v>
      </c>
      <c r="BE284" s="847">
        <v>0</v>
      </c>
      <c r="BF284" s="847">
        <v>0</v>
      </c>
      <c r="BG284" s="847">
        <v>0</v>
      </c>
      <c r="BH284" s="847">
        <v>0</v>
      </c>
      <c r="BI284" s="847">
        <v>0</v>
      </c>
      <c r="BJ284" s="847">
        <v>0</v>
      </c>
      <c r="BK284" s="847">
        <v>0</v>
      </c>
      <c r="BL284" s="847">
        <v>0</v>
      </c>
      <c r="BM284" s="847">
        <v>0</v>
      </c>
      <c r="BN284" s="847">
        <v>0</v>
      </c>
      <c r="BO284" s="847">
        <v>0</v>
      </c>
      <c r="BP284" s="847">
        <v>0</v>
      </c>
      <c r="BQ284" s="847">
        <v>0</v>
      </c>
      <c r="BR284" s="847">
        <v>0</v>
      </c>
      <c r="BS284" s="847">
        <v>0</v>
      </c>
      <c r="BT284" s="847">
        <v>0</v>
      </c>
      <c r="BU284" s="847">
        <v>0</v>
      </c>
      <c r="BV284" s="847">
        <v>0</v>
      </c>
      <c r="BW284" s="847">
        <v>0</v>
      </c>
      <c r="BX284" s="847">
        <v>0</v>
      </c>
      <c r="BY284" s="847">
        <v>0</v>
      </c>
      <c r="BZ284" s="847">
        <v>88400</v>
      </c>
      <c r="CA284" s="847">
        <v>0</v>
      </c>
      <c r="CB284" s="847">
        <v>0</v>
      </c>
      <c r="CC284" s="847">
        <v>0</v>
      </c>
      <c r="CD284" s="847">
        <v>0</v>
      </c>
      <c r="CE284" s="847">
        <v>0</v>
      </c>
      <c r="CF284" s="847">
        <v>0</v>
      </c>
      <c r="CG284" s="847">
        <v>0</v>
      </c>
      <c r="CH284" s="847">
        <v>0</v>
      </c>
      <c r="CI284" s="847">
        <v>0</v>
      </c>
      <c r="CJ284" s="847">
        <v>0</v>
      </c>
      <c r="CK284" s="847">
        <v>0</v>
      </c>
      <c r="CL284" s="847">
        <v>0</v>
      </c>
      <c r="CM284" s="847">
        <v>0</v>
      </c>
      <c r="CN284" s="847">
        <v>0</v>
      </c>
      <c r="CO284" s="847">
        <v>0</v>
      </c>
      <c r="CP284" s="847">
        <v>0</v>
      </c>
      <c r="CQ284" s="847">
        <v>0</v>
      </c>
      <c r="CR284" s="847">
        <v>0</v>
      </c>
      <c r="CS284" s="847">
        <v>0</v>
      </c>
      <c r="CT284" s="847">
        <v>0</v>
      </c>
      <c r="CU284" s="847">
        <v>0</v>
      </c>
      <c r="CV284" s="847">
        <v>0</v>
      </c>
      <c r="CW284" s="847">
        <v>0</v>
      </c>
      <c r="CX284" s="847">
        <v>0</v>
      </c>
      <c r="CY284" s="847">
        <v>0</v>
      </c>
      <c r="CZ284" s="847">
        <v>0</v>
      </c>
      <c r="DA284" s="847">
        <v>0</v>
      </c>
      <c r="DB284" s="847">
        <v>0</v>
      </c>
      <c r="DC284" s="847">
        <v>0</v>
      </c>
      <c r="DD284" s="847">
        <v>0</v>
      </c>
      <c r="DE284" s="847">
        <v>0</v>
      </c>
      <c r="DF284" s="847">
        <v>0</v>
      </c>
      <c r="DG284" s="847">
        <v>0</v>
      </c>
      <c r="DH284" s="847">
        <v>0</v>
      </c>
      <c r="DI284" s="847">
        <v>0</v>
      </c>
      <c r="DJ284" s="847">
        <v>0</v>
      </c>
      <c r="DK284" s="847">
        <v>0</v>
      </c>
      <c r="DL284" s="847">
        <v>0</v>
      </c>
      <c r="DM284" s="847">
        <v>0</v>
      </c>
      <c r="DN284" s="847">
        <v>0</v>
      </c>
      <c r="DO284" s="847">
        <v>0</v>
      </c>
      <c r="DP284" s="847">
        <v>0</v>
      </c>
      <c r="DQ284" s="847">
        <v>0</v>
      </c>
      <c r="DR284" s="847">
        <v>0</v>
      </c>
      <c r="DS284" s="847">
        <v>0</v>
      </c>
      <c r="DT284" s="847">
        <v>0</v>
      </c>
      <c r="DU284" s="847">
        <v>0</v>
      </c>
      <c r="DV284" s="847">
        <v>0</v>
      </c>
      <c r="DW284" s="847">
        <v>0</v>
      </c>
      <c r="DY284" s="843" t="s">
        <v>1060</v>
      </c>
      <c r="DZ284" s="843" t="s">
        <v>1382</v>
      </c>
      <c r="EA284" s="843" t="s">
        <v>97</v>
      </c>
      <c r="EB284" s="844">
        <v>49</v>
      </c>
      <c r="EC284" s="780" t="str">
        <f t="shared" si="9"/>
        <v>IWT060249</v>
      </c>
      <c r="ED284" s="844">
        <v>5363.6</v>
      </c>
      <c r="EE284" s="844">
        <v>10727.2</v>
      </c>
      <c r="EF284" s="844">
        <v>16090.8</v>
      </c>
      <c r="EG284" s="844">
        <v>21454.400000000001</v>
      </c>
      <c r="EH284" s="844">
        <v>26818</v>
      </c>
      <c r="EI284" s="844">
        <v>32181.599999999999</v>
      </c>
      <c r="EJ284" s="844">
        <v>32181.599999999999</v>
      </c>
      <c r="EK284" s="844">
        <v>32181.599999999999</v>
      </c>
      <c r="EL284" s="844">
        <v>32181.599999999999</v>
      </c>
      <c r="EM284" s="844">
        <v>32717</v>
      </c>
      <c r="EN284" s="844">
        <v>33372</v>
      </c>
      <c r="EO284" s="844">
        <v>34039</v>
      </c>
      <c r="EP284" s="844">
        <v>34720</v>
      </c>
      <c r="EQ284" s="844">
        <v>35414</v>
      </c>
      <c r="ER284" s="844">
        <v>36123</v>
      </c>
      <c r="ES284" s="844">
        <v>36845</v>
      </c>
      <c r="ET284" s="844">
        <v>37582</v>
      </c>
      <c r="EU284" s="844">
        <v>38334</v>
      </c>
      <c r="EV284" s="844">
        <v>39100</v>
      </c>
      <c r="EW284" s="844">
        <v>39882</v>
      </c>
      <c r="EX284" s="844">
        <v>40680</v>
      </c>
      <c r="EY284" s="844">
        <v>41493</v>
      </c>
      <c r="EZ284" s="844">
        <v>42323</v>
      </c>
      <c r="FA284" s="844">
        <v>43170</v>
      </c>
      <c r="FB284" s="844">
        <v>44033</v>
      </c>
      <c r="FC284" s="844">
        <v>44914</v>
      </c>
      <c r="FD284" s="844">
        <v>45812</v>
      </c>
      <c r="FE284" s="844">
        <v>46728</v>
      </c>
      <c r="FF284" s="844">
        <v>47663</v>
      </c>
      <c r="FG284" s="844">
        <v>48616</v>
      </c>
      <c r="FH284" s="844">
        <v>49588</v>
      </c>
      <c r="FI284" s="844">
        <v>50580</v>
      </c>
      <c r="FJ284" s="844">
        <v>51591</v>
      </c>
      <c r="FK284" s="844">
        <v>52623</v>
      </c>
      <c r="FL284" s="844">
        <v>53675</v>
      </c>
      <c r="FM284" s="844">
        <v>54748</v>
      </c>
      <c r="FN284" s="844">
        <v>55843</v>
      </c>
      <c r="FO284" s="844">
        <v>56960</v>
      </c>
      <c r="FP284" s="844">
        <v>58099</v>
      </c>
      <c r="FQ284" s="844">
        <v>59260</v>
      </c>
      <c r="FR284" s="844">
        <v>60445</v>
      </c>
      <c r="FS284" s="844">
        <v>61654</v>
      </c>
      <c r="FT284" s="844">
        <v>62887</v>
      </c>
      <c r="FU284" s="844">
        <v>64144</v>
      </c>
      <c r="FV284" s="844">
        <v>65426</v>
      </c>
      <c r="FW284" s="844">
        <v>66734</v>
      </c>
      <c r="FX284" s="844">
        <v>68068</v>
      </c>
      <c r="FY284" s="844">
        <v>69413</v>
      </c>
      <c r="FZ284" s="844">
        <v>70768</v>
      </c>
      <c r="GA284" s="844">
        <v>72132</v>
      </c>
      <c r="GB284" s="844">
        <v>73505</v>
      </c>
      <c r="GC284" s="844">
        <v>74885</v>
      </c>
      <c r="GD284" s="844">
        <v>76272</v>
      </c>
      <c r="GE284" s="844">
        <v>77666</v>
      </c>
      <c r="GF284" s="844">
        <v>79064</v>
      </c>
      <c r="GG284" s="844">
        <v>80468</v>
      </c>
      <c r="GH284" s="844">
        <v>81876</v>
      </c>
      <c r="GI284" s="844">
        <v>83288</v>
      </c>
      <c r="GJ284" s="844">
        <v>84703</v>
      </c>
      <c r="GK284" s="844">
        <v>86119</v>
      </c>
      <c r="GL284" s="844">
        <v>87529</v>
      </c>
      <c r="GM284" s="844">
        <v>88400</v>
      </c>
      <c r="GN284" s="844">
        <v>0</v>
      </c>
      <c r="GO284" s="844">
        <v>0</v>
      </c>
      <c r="GP284" s="844">
        <v>0</v>
      </c>
      <c r="GQ284" s="844">
        <v>0</v>
      </c>
      <c r="GR284" s="844">
        <v>0</v>
      </c>
      <c r="GS284" s="844">
        <v>0</v>
      </c>
      <c r="GT284" s="844">
        <v>0</v>
      </c>
      <c r="GU284" s="844">
        <v>0</v>
      </c>
      <c r="GV284" s="844">
        <v>0</v>
      </c>
      <c r="GW284" s="844">
        <v>0</v>
      </c>
      <c r="GX284" s="844">
        <v>0</v>
      </c>
      <c r="GY284" s="844">
        <v>0</v>
      </c>
      <c r="GZ284" s="844">
        <v>0</v>
      </c>
      <c r="HA284" s="844">
        <v>0</v>
      </c>
      <c r="HB284" s="844">
        <v>0</v>
      </c>
      <c r="HC284" s="844">
        <v>0</v>
      </c>
      <c r="HD284" s="844">
        <v>0</v>
      </c>
      <c r="HE284" s="844">
        <v>0</v>
      </c>
      <c r="HF284" s="844">
        <v>0</v>
      </c>
      <c r="HG284" s="844">
        <v>0</v>
      </c>
      <c r="HH284" s="844">
        <v>0</v>
      </c>
      <c r="HI284" s="844">
        <v>0</v>
      </c>
      <c r="HJ284" s="844">
        <v>0</v>
      </c>
      <c r="HK284" s="844">
        <v>0</v>
      </c>
      <c r="HL284" s="844">
        <v>0</v>
      </c>
      <c r="HM284" s="844">
        <v>0</v>
      </c>
      <c r="HN284" s="844">
        <v>0</v>
      </c>
      <c r="HO284" s="844">
        <v>0</v>
      </c>
      <c r="HP284" s="844">
        <v>0</v>
      </c>
      <c r="HQ284" s="844">
        <v>0</v>
      </c>
      <c r="HR284" s="844">
        <v>0</v>
      </c>
      <c r="HS284" s="844">
        <v>0</v>
      </c>
      <c r="HT284" s="844">
        <v>0</v>
      </c>
      <c r="HU284" s="844">
        <v>0</v>
      </c>
      <c r="HV284" s="844">
        <v>0</v>
      </c>
      <c r="HW284" s="844">
        <v>0</v>
      </c>
      <c r="HX284" s="844">
        <v>0</v>
      </c>
      <c r="HY284" s="844">
        <v>0</v>
      </c>
      <c r="HZ284" s="844">
        <v>0</v>
      </c>
      <c r="IA284" s="844">
        <v>0</v>
      </c>
      <c r="IB284" s="844">
        <v>0</v>
      </c>
      <c r="IC284" s="844">
        <v>0</v>
      </c>
      <c r="ID284" s="844">
        <v>0</v>
      </c>
      <c r="IE284" s="844">
        <v>0</v>
      </c>
      <c r="IF284" s="844">
        <v>0</v>
      </c>
      <c r="IG284" s="844">
        <v>0</v>
      </c>
      <c r="IH284" s="844">
        <v>0</v>
      </c>
      <c r="II284" s="844">
        <v>0</v>
      </c>
      <c r="IJ284" s="844">
        <v>0</v>
      </c>
    </row>
    <row r="285" spans="9:244" hidden="1">
      <c r="I285" s="156"/>
      <c r="L285" s="846" t="s">
        <v>1060</v>
      </c>
      <c r="M285" s="846" t="s">
        <v>1382</v>
      </c>
      <c r="N285" s="846" t="s">
        <v>97</v>
      </c>
      <c r="O285" s="847">
        <v>50</v>
      </c>
      <c r="P285" s="780" t="str">
        <f t="shared" ref="P285:P310" si="10">M285&amp;TEXT(N285,"00")&amp;TEXT(O285,"00")</f>
        <v>IWT060250</v>
      </c>
      <c r="Q285" s="847">
        <v>0</v>
      </c>
      <c r="R285" s="847">
        <v>0</v>
      </c>
      <c r="S285" s="847">
        <v>0</v>
      </c>
      <c r="T285" s="847">
        <v>0</v>
      </c>
      <c r="U285" s="847">
        <v>0</v>
      </c>
      <c r="V285" s="847">
        <v>0</v>
      </c>
      <c r="W285" s="847">
        <v>0</v>
      </c>
      <c r="X285" s="847">
        <v>0</v>
      </c>
      <c r="Y285" s="847">
        <v>0</v>
      </c>
      <c r="Z285" s="847">
        <v>0</v>
      </c>
      <c r="AA285" s="847">
        <v>0</v>
      </c>
      <c r="AB285" s="847">
        <v>0</v>
      </c>
      <c r="AC285" s="847">
        <v>0</v>
      </c>
      <c r="AD285" s="847">
        <v>0</v>
      </c>
      <c r="AE285" s="847">
        <v>0</v>
      </c>
      <c r="AF285" s="847">
        <v>0</v>
      </c>
      <c r="AG285" s="847">
        <v>0</v>
      </c>
      <c r="AH285" s="847">
        <v>0</v>
      </c>
      <c r="AI285" s="847">
        <v>0</v>
      </c>
      <c r="AJ285" s="847">
        <v>0</v>
      </c>
      <c r="AK285" s="847">
        <v>0</v>
      </c>
      <c r="AL285" s="847">
        <v>0</v>
      </c>
      <c r="AM285" s="847">
        <v>0</v>
      </c>
      <c r="AN285" s="847">
        <v>0</v>
      </c>
      <c r="AO285" s="847">
        <v>0</v>
      </c>
      <c r="AP285" s="847">
        <v>0</v>
      </c>
      <c r="AQ285" s="847">
        <v>0</v>
      </c>
      <c r="AR285" s="847">
        <v>0</v>
      </c>
      <c r="AS285" s="847">
        <v>0</v>
      </c>
      <c r="AT285" s="847">
        <v>0</v>
      </c>
      <c r="AU285" s="847">
        <v>0</v>
      </c>
      <c r="AV285" s="847">
        <v>0</v>
      </c>
      <c r="AW285" s="847">
        <v>0</v>
      </c>
      <c r="AX285" s="847">
        <v>0</v>
      </c>
      <c r="AY285" s="847">
        <v>0</v>
      </c>
      <c r="AZ285" s="847">
        <v>0</v>
      </c>
      <c r="BA285" s="847">
        <v>0</v>
      </c>
      <c r="BB285" s="847">
        <v>0</v>
      </c>
      <c r="BC285" s="847">
        <v>0</v>
      </c>
      <c r="BD285" s="847">
        <v>0</v>
      </c>
      <c r="BE285" s="847">
        <v>0</v>
      </c>
      <c r="BF285" s="847">
        <v>0</v>
      </c>
      <c r="BG285" s="847">
        <v>0</v>
      </c>
      <c r="BH285" s="847">
        <v>0</v>
      </c>
      <c r="BI285" s="847">
        <v>0</v>
      </c>
      <c r="BJ285" s="847">
        <v>0</v>
      </c>
      <c r="BK285" s="847">
        <v>0</v>
      </c>
      <c r="BL285" s="847">
        <v>0</v>
      </c>
      <c r="BM285" s="847">
        <v>0</v>
      </c>
      <c r="BN285" s="847">
        <v>0</v>
      </c>
      <c r="BO285" s="847">
        <v>0</v>
      </c>
      <c r="BP285" s="847">
        <v>0</v>
      </c>
      <c r="BQ285" s="847">
        <v>0</v>
      </c>
      <c r="BR285" s="847">
        <v>0</v>
      </c>
      <c r="BS285" s="847">
        <v>0</v>
      </c>
      <c r="BT285" s="847">
        <v>0</v>
      </c>
      <c r="BU285" s="847">
        <v>0</v>
      </c>
      <c r="BV285" s="847">
        <v>0</v>
      </c>
      <c r="BW285" s="847">
        <v>0</v>
      </c>
      <c r="BX285" s="847">
        <v>0</v>
      </c>
      <c r="BY285" s="847">
        <v>87000</v>
      </c>
      <c r="BZ285" s="847">
        <v>0</v>
      </c>
      <c r="CA285" s="847">
        <v>0</v>
      </c>
      <c r="CB285" s="847">
        <v>0</v>
      </c>
      <c r="CC285" s="847">
        <v>0</v>
      </c>
      <c r="CD285" s="847">
        <v>0</v>
      </c>
      <c r="CE285" s="847">
        <v>0</v>
      </c>
      <c r="CF285" s="847">
        <v>0</v>
      </c>
      <c r="CG285" s="847">
        <v>0</v>
      </c>
      <c r="CH285" s="847">
        <v>0</v>
      </c>
      <c r="CI285" s="847">
        <v>0</v>
      </c>
      <c r="CJ285" s="847">
        <v>0</v>
      </c>
      <c r="CK285" s="847">
        <v>0</v>
      </c>
      <c r="CL285" s="847">
        <v>0</v>
      </c>
      <c r="CM285" s="847">
        <v>0</v>
      </c>
      <c r="CN285" s="847">
        <v>0</v>
      </c>
      <c r="CO285" s="847">
        <v>0</v>
      </c>
      <c r="CP285" s="847">
        <v>0</v>
      </c>
      <c r="CQ285" s="847">
        <v>0</v>
      </c>
      <c r="CR285" s="847">
        <v>0</v>
      </c>
      <c r="CS285" s="847">
        <v>0</v>
      </c>
      <c r="CT285" s="847">
        <v>0</v>
      </c>
      <c r="CU285" s="847">
        <v>0</v>
      </c>
      <c r="CV285" s="847">
        <v>0</v>
      </c>
      <c r="CW285" s="847">
        <v>0</v>
      </c>
      <c r="CX285" s="847">
        <v>0</v>
      </c>
      <c r="CY285" s="847">
        <v>0</v>
      </c>
      <c r="CZ285" s="847">
        <v>0</v>
      </c>
      <c r="DA285" s="847">
        <v>0</v>
      </c>
      <c r="DB285" s="847">
        <v>0</v>
      </c>
      <c r="DC285" s="847">
        <v>0</v>
      </c>
      <c r="DD285" s="847">
        <v>0</v>
      </c>
      <c r="DE285" s="847">
        <v>0</v>
      </c>
      <c r="DF285" s="847">
        <v>0</v>
      </c>
      <c r="DG285" s="847">
        <v>0</v>
      </c>
      <c r="DH285" s="847">
        <v>0</v>
      </c>
      <c r="DI285" s="847">
        <v>0</v>
      </c>
      <c r="DJ285" s="847">
        <v>0</v>
      </c>
      <c r="DK285" s="847">
        <v>0</v>
      </c>
      <c r="DL285" s="847">
        <v>0</v>
      </c>
      <c r="DM285" s="847">
        <v>0</v>
      </c>
      <c r="DN285" s="847">
        <v>0</v>
      </c>
      <c r="DO285" s="847">
        <v>0</v>
      </c>
      <c r="DP285" s="847">
        <v>0</v>
      </c>
      <c r="DQ285" s="847">
        <v>0</v>
      </c>
      <c r="DR285" s="847">
        <v>0</v>
      </c>
      <c r="DS285" s="847">
        <v>0</v>
      </c>
      <c r="DT285" s="847">
        <v>0</v>
      </c>
      <c r="DU285" s="847">
        <v>0</v>
      </c>
      <c r="DV285" s="847">
        <v>0</v>
      </c>
      <c r="DW285" s="847">
        <v>0</v>
      </c>
      <c r="DY285" s="843" t="s">
        <v>1060</v>
      </c>
      <c r="DZ285" s="843" t="s">
        <v>1382</v>
      </c>
      <c r="EA285" s="843" t="s">
        <v>97</v>
      </c>
      <c r="EB285" s="844">
        <v>50</v>
      </c>
      <c r="EC285" s="780" t="str">
        <f t="shared" si="9"/>
        <v>IWT060250</v>
      </c>
      <c r="ED285" s="844">
        <v>5365.7</v>
      </c>
      <c r="EE285" s="844">
        <v>10731.4</v>
      </c>
      <c r="EF285" s="844">
        <v>16097.2</v>
      </c>
      <c r="EG285" s="844">
        <v>21462.9</v>
      </c>
      <c r="EH285" s="844">
        <v>26828.6</v>
      </c>
      <c r="EI285" s="844">
        <v>32194.3</v>
      </c>
      <c r="EJ285" s="844">
        <v>32194.3</v>
      </c>
      <c r="EK285" s="844">
        <v>32194.3</v>
      </c>
      <c r="EL285" s="844">
        <v>32194.3</v>
      </c>
      <c r="EM285" s="844">
        <v>32726</v>
      </c>
      <c r="EN285" s="844">
        <v>33380</v>
      </c>
      <c r="EO285" s="844">
        <v>34048</v>
      </c>
      <c r="EP285" s="844">
        <v>34729</v>
      </c>
      <c r="EQ285" s="844">
        <v>35423</v>
      </c>
      <c r="ER285" s="844">
        <v>36132</v>
      </c>
      <c r="ES285" s="844">
        <v>36854</v>
      </c>
      <c r="ET285" s="844">
        <v>37591</v>
      </c>
      <c r="EU285" s="844">
        <v>38343</v>
      </c>
      <c r="EV285" s="844">
        <v>39110</v>
      </c>
      <c r="EW285" s="844">
        <v>39892</v>
      </c>
      <c r="EX285" s="844">
        <v>40690</v>
      </c>
      <c r="EY285" s="844">
        <v>41504</v>
      </c>
      <c r="EZ285" s="844">
        <v>42334</v>
      </c>
      <c r="FA285" s="844">
        <v>43180</v>
      </c>
      <c r="FB285" s="844">
        <v>44044</v>
      </c>
      <c r="FC285" s="844">
        <v>44925</v>
      </c>
      <c r="FD285" s="844">
        <v>45823</v>
      </c>
      <c r="FE285" s="844">
        <v>46740</v>
      </c>
      <c r="FF285" s="844">
        <v>47674</v>
      </c>
      <c r="FG285" s="844">
        <v>48628</v>
      </c>
      <c r="FH285" s="844">
        <v>49600</v>
      </c>
      <c r="FI285" s="844">
        <v>50592</v>
      </c>
      <c r="FJ285" s="844">
        <v>51604</v>
      </c>
      <c r="FK285" s="844">
        <v>52636</v>
      </c>
      <c r="FL285" s="844">
        <v>53688</v>
      </c>
      <c r="FM285" s="844">
        <v>54762</v>
      </c>
      <c r="FN285" s="844">
        <v>55857</v>
      </c>
      <c r="FO285" s="844">
        <v>56974</v>
      </c>
      <c r="FP285" s="844">
        <v>58113</v>
      </c>
      <c r="FQ285" s="844">
        <v>59275</v>
      </c>
      <c r="FR285" s="844">
        <v>60460</v>
      </c>
      <c r="FS285" s="844">
        <v>61669</v>
      </c>
      <c r="FT285" s="844">
        <v>62902</v>
      </c>
      <c r="FU285" s="844">
        <v>64159</v>
      </c>
      <c r="FV285" s="844">
        <v>65442</v>
      </c>
      <c r="FW285" s="844">
        <v>66750</v>
      </c>
      <c r="FX285" s="844">
        <v>68084</v>
      </c>
      <c r="FY285" s="844">
        <v>69432</v>
      </c>
      <c r="FZ285" s="844">
        <v>70790</v>
      </c>
      <c r="GA285" s="844">
        <v>72157</v>
      </c>
      <c r="GB285" s="844">
        <v>73532</v>
      </c>
      <c r="GC285" s="844">
        <v>74914</v>
      </c>
      <c r="GD285" s="844">
        <v>76303</v>
      </c>
      <c r="GE285" s="844">
        <v>77698</v>
      </c>
      <c r="GF285" s="844">
        <v>79097</v>
      </c>
      <c r="GG285" s="844">
        <v>80501</v>
      </c>
      <c r="GH285" s="844">
        <v>81910</v>
      </c>
      <c r="GI285" s="844">
        <v>83321</v>
      </c>
      <c r="GJ285" s="844">
        <v>84735</v>
      </c>
      <c r="GK285" s="844">
        <v>86143</v>
      </c>
      <c r="GL285" s="844">
        <v>87000</v>
      </c>
      <c r="GM285" s="844">
        <v>0</v>
      </c>
      <c r="GN285" s="844">
        <v>0</v>
      </c>
      <c r="GO285" s="844">
        <v>0</v>
      </c>
      <c r="GP285" s="844">
        <v>0</v>
      </c>
      <c r="GQ285" s="844">
        <v>0</v>
      </c>
      <c r="GR285" s="844">
        <v>0</v>
      </c>
      <c r="GS285" s="844">
        <v>0</v>
      </c>
      <c r="GT285" s="844">
        <v>0</v>
      </c>
      <c r="GU285" s="844">
        <v>0</v>
      </c>
      <c r="GV285" s="844">
        <v>0</v>
      </c>
      <c r="GW285" s="844">
        <v>0</v>
      </c>
      <c r="GX285" s="844">
        <v>0</v>
      </c>
      <c r="GY285" s="844">
        <v>0</v>
      </c>
      <c r="GZ285" s="844">
        <v>0</v>
      </c>
      <c r="HA285" s="844">
        <v>0</v>
      </c>
      <c r="HB285" s="844">
        <v>0</v>
      </c>
      <c r="HC285" s="844">
        <v>0</v>
      </c>
      <c r="HD285" s="844">
        <v>0</v>
      </c>
      <c r="HE285" s="844">
        <v>0</v>
      </c>
      <c r="HF285" s="844">
        <v>0</v>
      </c>
      <c r="HG285" s="844">
        <v>0</v>
      </c>
      <c r="HH285" s="844">
        <v>0</v>
      </c>
      <c r="HI285" s="844">
        <v>0</v>
      </c>
      <c r="HJ285" s="844">
        <v>0</v>
      </c>
      <c r="HK285" s="844">
        <v>0</v>
      </c>
      <c r="HL285" s="844">
        <v>0</v>
      </c>
      <c r="HM285" s="844">
        <v>0</v>
      </c>
      <c r="HN285" s="844">
        <v>0</v>
      </c>
      <c r="HO285" s="844">
        <v>0</v>
      </c>
      <c r="HP285" s="844">
        <v>0</v>
      </c>
      <c r="HQ285" s="844">
        <v>0</v>
      </c>
      <c r="HR285" s="844">
        <v>0</v>
      </c>
      <c r="HS285" s="844">
        <v>0</v>
      </c>
      <c r="HT285" s="844">
        <v>0</v>
      </c>
      <c r="HU285" s="844">
        <v>0</v>
      </c>
      <c r="HV285" s="844">
        <v>0</v>
      </c>
      <c r="HW285" s="844">
        <v>0</v>
      </c>
      <c r="HX285" s="844">
        <v>0</v>
      </c>
      <c r="HY285" s="844">
        <v>0</v>
      </c>
      <c r="HZ285" s="844">
        <v>0</v>
      </c>
      <c r="IA285" s="844">
        <v>0</v>
      </c>
      <c r="IB285" s="844">
        <v>0</v>
      </c>
      <c r="IC285" s="844">
        <v>0</v>
      </c>
      <c r="ID285" s="844">
        <v>0</v>
      </c>
      <c r="IE285" s="844">
        <v>0</v>
      </c>
      <c r="IF285" s="844">
        <v>0</v>
      </c>
      <c r="IG285" s="844">
        <v>0</v>
      </c>
      <c r="IH285" s="844">
        <v>0</v>
      </c>
      <c r="II285" s="844">
        <v>0</v>
      </c>
      <c r="IJ285" s="844">
        <v>0</v>
      </c>
    </row>
    <row r="286" spans="9:244" hidden="1">
      <c r="I286" s="156"/>
      <c r="L286" s="846" t="s">
        <v>1060</v>
      </c>
      <c r="M286" s="846" t="s">
        <v>1382</v>
      </c>
      <c r="N286" s="846" t="s">
        <v>97</v>
      </c>
      <c r="O286" s="847">
        <v>51</v>
      </c>
      <c r="P286" s="780" t="str">
        <f t="shared" si="10"/>
        <v>IWT060251</v>
      </c>
      <c r="Q286" s="847">
        <v>0</v>
      </c>
      <c r="R286" s="847">
        <v>0</v>
      </c>
      <c r="S286" s="847">
        <v>0</v>
      </c>
      <c r="T286" s="847">
        <v>0</v>
      </c>
      <c r="U286" s="847">
        <v>0</v>
      </c>
      <c r="V286" s="847">
        <v>0</v>
      </c>
      <c r="W286" s="847">
        <v>0</v>
      </c>
      <c r="X286" s="847">
        <v>0</v>
      </c>
      <c r="Y286" s="847">
        <v>0</v>
      </c>
      <c r="Z286" s="847">
        <v>0</v>
      </c>
      <c r="AA286" s="847">
        <v>0</v>
      </c>
      <c r="AB286" s="847">
        <v>0</v>
      </c>
      <c r="AC286" s="847">
        <v>0</v>
      </c>
      <c r="AD286" s="847">
        <v>0</v>
      </c>
      <c r="AE286" s="847">
        <v>0</v>
      </c>
      <c r="AF286" s="847">
        <v>0</v>
      </c>
      <c r="AG286" s="847">
        <v>0</v>
      </c>
      <c r="AH286" s="847">
        <v>0</v>
      </c>
      <c r="AI286" s="847">
        <v>0</v>
      </c>
      <c r="AJ286" s="847">
        <v>0</v>
      </c>
      <c r="AK286" s="847">
        <v>0</v>
      </c>
      <c r="AL286" s="847">
        <v>0</v>
      </c>
      <c r="AM286" s="847">
        <v>0</v>
      </c>
      <c r="AN286" s="847">
        <v>0</v>
      </c>
      <c r="AO286" s="847">
        <v>0</v>
      </c>
      <c r="AP286" s="847">
        <v>0</v>
      </c>
      <c r="AQ286" s="847">
        <v>0</v>
      </c>
      <c r="AR286" s="847">
        <v>0</v>
      </c>
      <c r="AS286" s="847">
        <v>0</v>
      </c>
      <c r="AT286" s="847">
        <v>0</v>
      </c>
      <c r="AU286" s="847">
        <v>0</v>
      </c>
      <c r="AV286" s="847">
        <v>0</v>
      </c>
      <c r="AW286" s="847">
        <v>0</v>
      </c>
      <c r="AX286" s="847">
        <v>0</v>
      </c>
      <c r="AY286" s="847">
        <v>0</v>
      </c>
      <c r="AZ286" s="847">
        <v>0</v>
      </c>
      <c r="BA286" s="847">
        <v>0</v>
      </c>
      <c r="BB286" s="847">
        <v>0</v>
      </c>
      <c r="BC286" s="847">
        <v>0</v>
      </c>
      <c r="BD286" s="847">
        <v>0</v>
      </c>
      <c r="BE286" s="847">
        <v>0</v>
      </c>
      <c r="BF286" s="847">
        <v>0</v>
      </c>
      <c r="BG286" s="847">
        <v>0</v>
      </c>
      <c r="BH286" s="847">
        <v>0</v>
      </c>
      <c r="BI286" s="847">
        <v>0</v>
      </c>
      <c r="BJ286" s="847">
        <v>0</v>
      </c>
      <c r="BK286" s="847">
        <v>0</v>
      </c>
      <c r="BL286" s="847">
        <v>0</v>
      </c>
      <c r="BM286" s="847">
        <v>0</v>
      </c>
      <c r="BN286" s="847">
        <v>0</v>
      </c>
      <c r="BO286" s="847">
        <v>0</v>
      </c>
      <c r="BP286" s="847">
        <v>0</v>
      </c>
      <c r="BQ286" s="847">
        <v>0</v>
      </c>
      <c r="BR286" s="847">
        <v>0</v>
      </c>
      <c r="BS286" s="847">
        <v>0</v>
      </c>
      <c r="BT286" s="847">
        <v>0</v>
      </c>
      <c r="BU286" s="847">
        <v>0</v>
      </c>
      <c r="BV286" s="847">
        <v>0</v>
      </c>
      <c r="BW286" s="847">
        <v>0</v>
      </c>
      <c r="BX286" s="847">
        <v>85600</v>
      </c>
      <c r="BY286" s="847">
        <v>0</v>
      </c>
      <c r="BZ286" s="847">
        <v>0</v>
      </c>
      <c r="CA286" s="847">
        <v>0</v>
      </c>
      <c r="CB286" s="847">
        <v>0</v>
      </c>
      <c r="CC286" s="847">
        <v>0</v>
      </c>
      <c r="CD286" s="847">
        <v>0</v>
      </c>
      <c r="CE286" s="847">
        <v>0</v>
      </c>
      <c r="CF286" s="847">
        <v>0</v>
      </c>
      <c r="CG286" s="847">
        <v>0</v>
      </c>
      <c r="CH286" s="847">
        <v>0</v>
      </c>
      <c r="CI286" s="847">
        <v>0</v>
      </c>
      <c r="CJ286" s="847">
        <v>0</v>
      </c>
      <c r="CK286" s="847">
        <v>0</v>
      </c>
      <c r="CL286" s="847">
        <v>0</v>
      </c>
      <c r="CM286" s="847">
        <v>0</v>
      </c>
      <c r="CN286" s="847">
        <v>0</v>
      </c>
      <c r="CO286" s="847">
        <v>0</v>
      </c>
      <c r="CP286" s="847">
        <v>0</v>
      </c>
      <c r="CQ286" s="847">
        <v>0</v>
      </c>
      <c r="CR286" s="847">
        <v>0</v>
      </c>
      <c r="CS286" s="847">
        <v>0</v>
      </c>
      <c r="CT286" s="847">
        <v>0</v>
      </c>
      <c r="CU286" s="847">
        <v>0</v>
      </c>
      <c r="CV286" s="847">
        <v>0</v>
      </c>
      <c r="CW286" s="847">
        <v>0</v>
      </c>
      <c r="CX286" s="847">
        <v>0</v>
      </c>
      <c r="CY286" s="847">
        <v>0</v>
      </c>
      <c r="CZ286" s="847">
        <v>0</v>
      </c>
      <c r="DA286" s="847">
        <v>0</v>
      </c>
      <c r="DB286" s="847">
        <v>0</v>
      </c>
      <c r="DC286" s="847">
        <v>0</v>
      </c>
      <c r="DD286" s="847">
        <v>0</v>
      </c>
      <c r="DE286" s="847">
        <v>0</v>
      </c>
      <c r="DF286" s="847">
        <v>0</v>
      </c>
      <c r="DG286" s="847">
        <v>0</v>
      </c>
      <c r="DH286" s="847">
        <v>0</v>
      </c>
      <c r="DI286" s="847">
        <v>0</v>
      </c>
      <c r="DJ286" s="847">
        <v>0</v>
      </c>
      <c r="DK286" s="847">
        <v>0</v>
      </c>
      <c r="DL286" s="847">
        <v>0</v>
      </c>
      <c r="DM286" s="847">
        <v>0</v>
      </c>
      <c r="DN286" s="847">
        <v>0</v>
      </c>
      <c r="DO286" s="847">
        <v>0</v>
      </c>
      <c r="DP286" s="847">
        <v>0</v>
      </c>
      <c r="DQ286" s="847">
        <v>0</v>
      </c>
      <c r="DR286" s="847">
        <v>0</v>
      </c>
      <c r="DS286" s="847">
        <v>0</v>
      </c>
      <c r="DT286" s="847">
        <v>0</v>
      </c>
      <c r="DU286" s="847">
        <v>0</v>
      </c>
      <c r="DV286" s="847">
        <v>0</v>
      </c>
      <c r="DW286" s="847">
        <v>0</v>
      </c>
      <c r="DY286" s="843" t="s">
        <v>1060</v>
      </c>
      <c r="DZ286" s="843" t="s">
        <v>1382</v>
      </c>
      <c r="EA286" s="843" t="s">
        <v>97</v>
      </c>
      <c r="EB286" s="844">
        <v>51</v>
      </c>
      <c r="EC286" s="780" t="str">
        <f t="shared" ref="EC286:EC310" si="11">DZ286&amp;TEXT(EA286,"00")&amp;TEXT(EB286,"00")</f>
        <v>IWT060251</v>
      </c>
      <c r="ED286" s="844">
        <v>5367.8</v>
      </c>
      <c r="EE286" s="844">
        <v>10735.7</v>
      </c>
      <c r="EF286" s="844">
        <v>16103.5</v>
      </c>
      <c r="EG286" s="844">
        <v>21471.4</v>
      </c>
      <c r="EH286" s="844">
        <v>26839.200000000001</v>
      </c>
      <c r="EI286" s="844">
        <v>32207</v>
      </c>
      <c r="EJ286" s="844">
        <v>32207</v>
      </c>
      <c r="EK286" s="844">
        <v>32207</v>
      </c>
      <c r="EL286" s="844">
        <v>32207</v>
      </c>
      <c r="EM286" s="844">
        <v>32732</v>
      </c>
      <c r="EN286" s="844">
        <v>33387</v>
      </c>
      <c r="EO286" s="844">
        <v>34055</v>
      </c>
      <c r="EP286" s="844">
        <v>34736</v>
      </c>
      <c r="EQ286" s="844">
        <v>35430</v>
      </c>
      <c r="ER286" s="844">
        <v>36139</v>
      </c>
      <c r="ES286" s="844">
        <v>36862</v>
      </c>
      <c r="ET286" s="844">
        <v>37599</v>
      </c>
      <c r="EU286" s="844">
        <v>38351</v>
      </c>
      <c r="EV286" s="844">
        <v>39118</v>
      </c>
      <c r="EW286" s="844">
        <v>39900</v>
      </c>
      <c r="EX286" s="844">
        <v>40698</v>
      </c>
      <c r="EY286" s="844">
        <v>41512</v>
      </c>
      <c r="EZ286" s="844">
        <v>42342</v>
      </c>
      <c r="FA286" s="844">
        <v>43189</v>
      </c>
      <c r="FB286" s="844">
        <v>44053</v>
      </c>
      <c r="FC286" s="844">
        <v>44934</v>
      </c>
      <c r="FD286" s="844">
        <v>45833</v>
      </c>
      <c r="FE286" s="844">
        <v>46749</v>
      </c>
      <c r="FF286" s="844">
        <v>47684</v>
      </c>
      <c r="FG286" s="844">
        <v>48638</v>
      </c>
      <c r="FH286" s="844">
        <v>49610</v>
      </c>
      <c r="FI286" s="844">
        <v>50602</v>
      </c>
      <c r="FJ286" s="844">
        <v>51614</v>
      </c>
      <c r="FK286" s="844">
        <v>52646</v>
      </c>
      <c r="FL286" s="844">
        <v>53699</v>
      </c>
      <c r="FM286" s="844">
        <v>54773</v>
      </c>
      <c r="FN286" s="844">
        <v>55868</v>
      </c>
      <c r="FO286" s="844">
        <v>56985</v>
      </c>
      <c r="FP286" s="844">
        <v>58125</v>
      </c>
      <c r="FQ286" s="844">
        <v>59287</v>
      </c>
      <c r="FR286" s="844">
        <v>60472</v>
      </c>
      <c r="FS286" s="844">
        <v>61681</v>
      </c>
      <c r="FT286" s="844">
        <v>62914</v>
      </c>
      <c r="FU286" s="844">
        <v>64172</v>
      </c>
      <c r="FV286" s="844">
        <v>65455</v>
      </c>
      <c r="FW286" s="844">
        <v>66763</v>
      </c>
      <c r="FX286" s="844">
        <v>68097</v>
      </c>
      <c r="FY286" s="844">
        <v>69449</v>
      </c>
      <c r="FZ286" s="844">
        <v>70810</v>
      </c>
      <c r="GA286" s="844">
        <v>72179</v>
      </c>
      <c r="GB286" s="844">
        <v>73557</v>
      </c>
      <c r="GC286" s="844">
        <v>74941</v>
      </c>
      <c r="GD286" s="844">
        <v>76331</v>
      </c>
      <c r="GE286" s="844">
        <v>77726</v>
      </c>
      <c r="GF286" s="844">
        <v>79127</v>
      </c>
      <c r="GG286" s="844">
        <v>80531</v>
      </c>
      <c r="GH286" s="844">
        <v>81940</v>
      </c>
      <c r="GI286" s="844">
        <v>83351</v>
      </c>
      <c r="GJ286" s="844">
        <v>84757</v>
      </c>
      <c r="GK286" s="844">
        <v>85600</v>
      </c>
      <c r="GL286" s="844">
        <v>0</v>
      </c>
      <c r="GM286" s="844">
        <v>0</v>
      </c>
      <c r="GN286" s="844">
        <v>0</v>
      </c>
      <c r="GO286" s="844">
        <v>0</v>
      </c>
      <c r="GP286" s="844">
        <v>0</v>
      </c>
      <c r="GQ286" s="844">
        <v>0</v>
      </c>
      <c r="GR286" s="844">
        <v>0</v>
      </c>
      <c r="GS286" s="844">
        <v>0</v>
      </c>
      <c r="GT286" s="844">
        <v>0</v>
      </c>
      <c r="GU286" s="844">
        <v>0</v>
      </c>
      <c r="GV286" s="844">
        <v>0</v>
      </c>
      <c r="GW286" s="844">
        <v>0</v>
      </c>
      <c r="GX286" s="844">
        <v>0</v>
      </c>
      <c r="GY286" s="844">
        <v>0</v>
      </c>
      <c r="GZ286" s="844">
        <v>0</v>
      </c>
      <c r="HA286" s="844">
        <v>0</v>
      </c>
      <c r="HB286" s="844">
        <v>0</v>
      </c>
      <c r="HC286" s="844">
        <v>0</v>
      </c>
      <c r="HD286" s="844">
        <v>0</v>
      </c>
      <c r="HE286" s="844">
        <v>0</v>
      </c>
      <c r="HF286" s="844">
        <v>0</v>
      </c>
      <c r="HG286" s="844">
        <v>0</v>
      </c>
      <c r="HH286" s="844">
        <v>0</v>
      </c>
      <c r="HI286" s="844">
        <v>0</v>
      </c>
      <c r="HJ286" s="844">
        <v>0</v>
      </c>
      <c r="HK286" s="844">
        <v>0</v>
      </c>
      <c r="HL286" s="844">
        <v>0</v>
      </c>
      <c r="HM286" s="844">
        <v>0</v>
      </c>
      <c r="HN286" s="844">
        <v>0</v>
      </c>
      <c r="HO286" s="844">
        <v>0</v>
      </c>
      <c r="HP286" s="844">
        <v>0</v>
      </c>
      <c r="HQ286" s="844">
        <v>0</v>
      </c>
      <c r="HR286" s="844">
        <v>0</v>
      </c>
      <c r="HS286" s="844">
        <v>0</v>
      </c>
      <c r="HT286" s="844">
        <v>0</v>
      </c>
      <c r="HU286" s="844">
        <v>0</v>
      </c>
      <c r="HV286" s="844">
        <v>0</v>
      </c>
      <c r="HW286" s="844">
        <v>0</v>
      </c>
      <c r="HX286" s="844">
        <v>0</v>
      </c>
      <c r="HY286" s="844">
        <v>0</v>
      </c>
      <c r="HZ286" s="844">
        <v>0</v>
      </c>
      <c r="IA286" s="844">
        <v>0</v>
      </c>
      <c r="IB286" s="844">
        <v>0</v>
      </c>
      <c r="IC286" s="844">
        <v>0</v>
      </c>
      <c r="ID286" s="844">
        <v>0</v>
      </c>
      <c r="IE286" s="844">
        <v>0</v>
      </c>
      <c r="IF286" s="844">
        <v>0</v>
      </c>
      <c r="IG286" s="844">
        <v>0</v>
      </c>
      <c r="IH286" s="844">
        <v>0</v>
      </c>
      <c r="II286" s="844">
        <v>0</v>
      </c>
      <c r="IJ286" s="844">
        <v>0</v>
      </c>
    </row>
    <row r="287" spans="9:244" hidden="1">
      <c r="I287" s="156"/>
      <c r="L287" s="846" t="s">
        <v>1060</v>
      </c>
      <c r="M287" s="846" t="s">
        <v>1382</v>
      </c>
      <c r="N287" s="846" t="s">
        <v>97</v>
      </c>
      <c r="O287" s="847">
        <v>52</v>
      </c>
      <c r="P287" s="780" t="str">
        <f t="shared" si="10"/>
        <v>IWT060252</v>
      </c>
      <c r="Q287" s="847">
        <v>0</v>
      </c>
      <c r="R287" s="847">
        <v>0</v>
      </c>
      <c r="S287" s="847">
        <v>0</v>
      </c>
      <c r="T287" s="847">
        <v>0</v>
      </c>
      <c r="U287" s="847">
        <v>0</v>
      </c>
      <c r="V287" s="847">
        <v>0</v>
      </c>
      <c r="W287" s="847">
        <v>0</v>
      </c>
      <c r="X287" s="847">
        <v>0</v>
      </c>
      <c r="Y287" s="847">
        <v>0</v>
      </c>
      <c r="Z287" s="847">
        <v>0</v>
      </c>
      <c r="AA287" s="847">
        <v>0</v>
      </c>
      <c r="AB287" s="847">
        <v>0</v>
      </c>
      <c r="AC287" s="847">
        <v>0</v>
      </c>
      <c r="AD287" s="847">
        <v>0</v>
      </c>
      <c r="AE287" s="847">
        <v>0</v>
      </c>
      <c r="AF287" s="847">
        <v>0</v>
      </c>
      <c r="AG287" s="847">
        <v>0</v>
      </c>
      <c r="AH287" s="847">
        <v>0</v>
      </c>
      <c r="AI287" s="847">
        <v>0</v>
      </c>
      <c r="AJ287" s="847">
        <v>0</v>
      </c>
      <c r="AK287" s="847">
        <v>0</v>
      </c>
      <c r="AL287" s="847">
        <v>0</v>
      </c>
      <c r="AM287" s="847">
        <v>0</v>
      </c>
      <c r="AN287" s="847">
        <v>0</v>
      </c>
      <c r="AO287" s="847">
        <v>0</v>
      </c>
      <c r="AP287" s="847">
        <v>0</v>
      </c>
      <c r="AQ287" s="847">
        <v>0</v>
      </c>
      <c r="AR287" s="847">
        <v>0</v>
      </c>
      <c r="AS287" s="847">
        <v>0</v>
      </c>
      <c r="AT287" s="847">
        <v>0</v>
      </c>
      <c r="AU287" s="847">
        <v>0</v>
      </c>
      <c r="AV287" s="847">
        <v>0</v>
      </c>
      <c r="AW287" s="847">
        <v>0</v>
      </c>
      <c r="AX287" s="847">
        <v>0</v>
      </c>
      <c r="AY287" s="847">
        <v>0</v>
      </c>
      <c r="AZ287" s="847">
        <v>0</v>
      </c>
      <c r="BA287" s="847">
        <v>0</v>
      </c>
      <c r="BB287" s="847">
        <v>0</v>
      </c>
      <c r="BC287" s="847">
        <v>0</v>
      </c>
      <c r="BD287" s="847">
        <v>0</v>
      </c>
      <c r="BE287" s="847">
        <v>0</v>
      </c>
      <c r="BF287" s="847">
        <v>0</v>
      </c>
      <c r="BG287" s="847">
        <v>0</v>
      </c>
      <c r="BH287" s="847">
        <v>0</v>
      </c>
      <c r="BI287" s="847">
        <v>0</v>
      </c>
      <c r="BJ287" s="847">
        <v>0</v>
      </c>
      <c r="BK287" s="847">
        <v>0</v>
      </c>
      <c r="BL287" s="847">
        <v>0</v>
      </c>
      <c r="BM287" s="847">
        <v>0</v>
      </c>
      <c r="BN287" s="847">
        <v>0</v>
      </c>
      <c r="BO287" s="847">
        <v>0</v>
      </c>
      <c r="BP287" s="847">
        <v>0</v>
      </c>
      <c r="BQ287" s="847">
        <v>0</v>
      </c>
      <c r="BR287" s="847">
        <v>0</v>
      </c>
      <c r="BS287" s="847">
        <v>0</v>
      </c>
      <c r="BT287" s="847">
        <v>0</v>
      </c>
      <c r="BU287" s="847">
        <v>0</v>
      </c>
      <c r="BV287" s="847">
        <v>0</v>
      </c>
      <c r="BW287" s="847">
        <v>84200</v>
      </c>
      <c r="BX287" s="847">
        <v>0</v>
      </c>
      <c r="BY287" s="847">
        <v>0</v>
      </c>
      <c r="BZ287" s="847">
        <v>0</v>
      </c>
      <c r="CA287" s="847">
        <v>0</v>
      </c>
      <c r="CB287" s="847">
        <v>0</v>
      </c>
      <c r="CC287" s="847">
        <v>0</v>
      </c>
      <c r="CD287" s="847">
        <v>0</v>
      </c>
      <c r="CE287" s="847">
        <v>0</v>
      </c>
      <c r="CF287" s="847">
        <v>0</v>
      </c>
      <c r="CG287" s="847">
        <v>0</v>
      </c>
      <c r="CH287" s="847">
        <v>0</v>
      </c>
      <c r="CI287" s="847">
        <v>0</v>
      </c>
      <c r="CJ287" s="847">
        <v>0</v>
      </c>
      <c r="CK287" s="847">
        <v>0</v>
      </c>
      <c r="CL287" s="847">
        <v>0</v>
      </c>
      <c r="CM287" s="847">
        <v>0</v>
      </c>
      <c r="CN287" s="847">
        <v>0</v>
      </c>
      <c r="CO287" s="847">
        <v>0</v>
      </c>
      <c r="CP287" s="847">
        <v>0</v>
      </c>
      <c r="CQ287" s="847">
        <v>0</v>
      </c>
      <c r="CR287" s="847">
        <v>0</v>
      </c>
      <c r="CS287" s="847">
        <v>0</v>
      </c>
      <c r="CT287" s="847">
        <v>0</v>
      </c>
      <c r="CU287" s="847">
        <v>0</v>
      </c>
      <c r="CV287" s="847">
        <v>0</v>
      </c>
      <c r="CW287" s="847">
        <v>0</v>
      </c>
      <c r="CX287" s="847">
        <v>0</v>
      </c>
      <c r="CY287" s="847">
        <v>0</v>
      </c>
      <c r="CZ287" s="847">
        <v>0</v>
      </c>
      <c r="DA287" s="847">
        <v>0</v>
      </c>
      <c r="DB287" s="847">
        <v>0</v>
      </c>
      <c r="DC287" s="847">
        <v>0</v>
      </c>
      <c r="DD287" s="847">
        <v>0</v>
      </c>
      <c r="DE287" s="847">
        <v>0</v>
      </c>
      <c r="DF287" s="847">
        <v>0</v>
      </c>
      <c r="DG287" s="847">
        <v>0</v>
      </c>
      <c r="DH287" s="847">
        <v>0</v>
      </c>
      <c r="DI287" s="847">
        <v>0</v>
      </c>
      <c r="DJ287" s="847">
        <v>0</v>
      </c>
      <c r="DK287" s="847">
        <v>0</v>
      </c>
      <c r="DL287" s="847">
        <v>0</v>
      </c>
      <c r="DM287" s="847">
        <v>0</v>
      </c>
      <c r="DN287" s="847">
        <v>0</v>
      </c>
      <c r="DO287" s="847">
        <v>0</v>
      </c>
      <c r="DP287" s="847">
        <v>0</v>
      </c>
      <c r="DQ287" s="847">
        <v>0</v>
      </c>
      <c r="DR287" s="847">
        <v>0</v>
      </c>
      <c r="DS287" s="847">
        <v>0</v>
      </c>
      <c r="DT287" s="847">
        <v>0</v>
      </c>
      <c r="DU287" s="847">
        <v>0</v>
      </c>
      <c r="DV287" s="847">
        <v>0</v>
      </c>
      <c r="DW287" s="847">
        <v>0</v>
      </c>
      <c r="DY287" s="843" t="s">
        <v>1060</v>
      </c>
      <c r="DZ287" s="843" t="s">
        <v>1382</v>
      </c>
      <c r="EA287" s="843" t="s">
        <v>97</v>
      </c>
      <c r="EB287" s="844">
        <v>52</v>
      </c>
      <c r="EC287" s="780" t="str">
        <f t="shared" si="11"/>
        <v>IWT060252</v>
      </c>
      <c r="ED287" s="844">
        <v>5368.9</v>
      </c>
      <c r="EE287" s="844">
        <v>10737.8</v>
      </c>
      <c r="EF287" s="844">
        <v>16106.7</v>
      </c>
      <c r="EG287" s="844">
        <v>21475.599999999999</v>
      </c>
      <c r="EH287" s="844">
        <v>26844.5</v>
      </c>
      <c r="EI287" s="844">
        <v>32213.4</v>
      </c>
      <c r="EJ287" s="844">
        <v>32213.4</v>
      </c>
      <c r="EK287" s="844">
        <v>32213.4</v>
      </c>
      <c r="EL287" s="844">
        <v>32213.4</v>
      </c>
      <c r="EM287" s="844">
        <v>32738</v>
      </c>
      <c r="EN287" s="844">
        <v>33393</v>
      </c>
      <c r="EO287" s="844">
        <v>34060</v>
      </c>
      <c r="EP287" s="844">
        <v>34742</v>
      </c>
      <c r="EQ287" s="844">
        <v>35437</v>
      </c>
      <c r="ER287" s="844">
        <v>36145</v>
      </c>
      <c r="ES287" s="844">
        <v>36868</v>
      </c>
      <c r="ET287" s="844">
        <v>37605</v>
      </c>
      <c r="EU287" s="844">
        <v>38358</v>
      </c>
      <c r="EV287" s="844">
        <v>39125</v>
      </c>
      <c r="EW287" s="844">
        <v>39907</v>
      </c>
      <c r="EX287" s="844">
        <v>40705</v>
      </c>
      <c r="EY287" s="844">
        <v>41519</v>
      </c>
      <c r="EZ287" s="844">
        <v>42350</v>
      </c>
      <c r="FA287" s="844">
        <v>43197</v>
      </c>
      <c r="FB287" s="844">
        <v>44060</v>
      </c>
      <c r="FC287" s="844">
        <v>44942</v>
      </c>
      <c r="FD287" s="844">
        <v>45840</v>
      </c>
      <c r="FE287" s="844">
        <v>46757</v>
      </c>
      <c r="FF287" s="844">
        <v>47692</v>
      </c>
      <c r="FG287" s="844">
        <v>48646</v>
      </c>
      <c r="FH287" s="844">
        <v>49619</v>
      </c>
      <c r="FI287" s="844">
        <v>50611</v>
      </c>
      <c r="FJ287" s="844">
        <v>51623</v>
      </c>
      <c r="FK287" s="844">
        <v>52655</v>
      </c>
      <c r="FL287" s="844">
        <v>53708</v>
      </c>
      <c r="FM287" s="844">
        <v>54782</v>
      </c>
      <c r="FN287" s="844">
        <v>55877</v>
      </c>
      <c r="FO287" s="844">
        <v>56995</v>
      </c>
      <c r="FP287" s="844">
        <v>58134</v>
      </c>
      <c r="FQ287" s="844">
        <v>59296</v>
      </c>
      <c r="FR287" s="844">
        <v>60482</v>
      </c>
      <c r="FS287" s="844">
        <v>61691</v>
      </c>
      <c r="FT287" s="844">
        <v>62924</v>
      </c>
      <c r="FU287" s="844">
        <v>64182</v>
      </c>
      <c r="FV287" s="844">
        <v>65465</v>
      </c>
      <c r="FW287" s="844">
        <v>66773</v>
      </c>
      <c r="FX287" s="844">
        <v>68107</v>
      </c>
      <c r="FY287" s="844">
        <v>69463</v>
      </c>
      <c r="FZ287" s="844">
        <v>70827</v>
      </c>
      <c r="GA287" s="844">
        <v>72199</v>
      </c>
      <c r="GB287" s="844">
        <v>73578</v>
      </c>
      <c r="GC287" s="844">
        <v>74964</v>
      </c>
      <c r="GD287" s="844">
        <v>76355</v>
      </c>
      <c r="GE287" s="844">
        <v>77752</v>
      </c>
      <c r="GF287" s="844">
        <v>79153</v>
      </c>
      <c r="GG287" s="844">
        <v>80558</v>
      </c>
      <c r="GH287" s="844">
        <v>81967</v>
      </c>
      <c r="GI287" s="844">
        <v>83370</v>
      </c>
      <c r="GJ287" s="844">
        <v>84200</v>
      </c>
      <c r="GK287" s="844">
        <v>0</v>
      </c>
      <c r="GL287" s="844">
        <v>0</v>
      </c>
      <c r="GM287" s="844">
        <v>0</v>
      </c>
      <c r="GN287" s="844">
        <v>0</v>
      </c>
      <c r="GO287" s="844">
        <v>0</v>
      </c>
      <c r="GP287" s="844">
        <v>0</v>
      </c>
      <c r="GQ287" s="844">
        <v>0</v>
      </c>
      <c r="GR287" s="844">
        <v>0</v>
      </c>
      <c r="GS287" s="844">
        <v>0</v>
      </c>
      <c r="GT287" s="844">
        <v>0</v>
      </c>
      <c r="GU287" s="844">
        <v>0</v>
      </c>
      <c r="GV287" s="844">
        <v>0</v>
      </c>
      <c r="GW287" s="844">
        <v>0</v>
      </c>
      <c r="GX287" s="844">
        <v>0</v>
      </c>
      <c r="GY287" s="844">
        <v>0</v>
      </c>
      <c r="GZ287" s="844">
        <v>0</v>
      </c>
      <c r="HA287" s="844">
        <v>0</v>
      </c>
      <c r="HB287" s="844">
        <v>0</v>
      </c>
      <c r="HC287" s="844">
        <v>0</v>
      </c>
      <c r="HD287" s="844">
        <v>0</v>
      </c>
      <c r="HE287" s="844">
        <v>0</v>
      </c>
      <c r="HF287" s="844">
        <v>0</v>
      </c>
      <c r="HG287" s="844">
        <v>0</v>
      </c>
      <c r="HH287" s="844">
        <v>0</v>
      </c>
      <c r="HI287" s="844">
        <v>0</v>
      </c>
      <c r="HJ287" s="844">
        <v>0</v>
      </c>
      <c r="HK287" s="844">
        <v>0</v>
      </c>
      <c r="HL287" s="844">
        <v>0</v>
      </c>
      <c r="HM287" s="844">
        <v>0</v>
      </c>
      <c r="HN287" s="844">
        <v>0</v>
      </c>
      <c r="HO287" s="844">
        <v>0</v>
      </c>
      <c r="HP287" s="844">
        <v>0</v>
      </c>
      <c r="HQ287" s="844">
        <v>0</v>
      </c>
      <c r="HR287" s="844">
        <v>0</v>
      </c>
      <c r="HS287" s="844">
        <v>0</v>
      </c>
      <c r="HT287" s="844">
        <v>0</v>
      </c>
      <c r="HU287" s="844">
        <v>0</v>
      </c>
      <c r="HV287" s="844">
        <v>0</v>
      </c>
      <c r="HW287" s="844">
        <v>0</v>
      </c>
      <c r="HX287" s="844">
        <v>0</v>
      </c>
      <c r="HY287" s="844">
        <v>0</v>
      </c>
      <c r="HZ287" s="844">
        <v>0</v>
      </c>
      <c r="IA287" s="844">
        <v>0</v>
      </c>
      <c r="IB287" s="844">
        <v>0</v>
      </c>
      <c r="IC287" s="844">
        <v>0</v>
      </c>
      <c r="ID287" s="844">
        <v>0</v>
      </c>
      <c r="IE287" s="844">
        <v>0</v>
      </c>
      <c r="IF287" s="844">
        <v>0</v>
      </c>
      <c r="IG287" s="844">
        <v>0</v>
      </c>
      <c r="IH287" s="844">
        <v>0</v>
      </c>
      <c r="II287" s="844">
        <v>0</v>
      </c>
      <c r="IJ287" s="844">
        <v>0</v>
      </c>
    </row>
    <row r="288" spans="9:244" hidden="1">
      <c r="I288" s="156"/>
      <c r="L288" s="846" t="s">
        <v>1060</v>
      </c>
      <c r="M288" s="846" t="s">
        <v>1382</v>
      </c>
      <c r="N288" s="846" t="s">
        <v>97</v>
      </c>
      <c r="O288" s="847">
        <v>53</v>
      </c>
      <c r="P288" s="780" t="str">
        <f t="shared" si="10"/>
        <v>IWT060253</v>
      </c>
      <c r="Q288" s="847">
        <v>0</v>
      </c>
      <c r="R288" s="847">
        <v>0</v>
      </c>
      <c r="S288" s="847">
        <v>0</v>
      </c>
      <c r="T288" s="847">
        <v>0</v>
      </c>
      <c r="U288" s="847">
        <v>0</v>
      </c>
      <c r="V288" s="847">
        <v>0</v>
      </c>
      <c r="W288" s="847">
        <v>0</v>
      </c>
      <c r="X288" s="847">
        <v>0</v>
      </c>
      <c r="Y288" s="847">
        <v>0</v>
      </c>
      <c r="Z288" s="847">
        <v>0</v>
      </c>
      <c r="AA288" s="847">
        <v>0</v>
      </c>
      <c r="AB288" s="847">
        <v>0</v>
      </c>
      <c r="AC288" s="847">
        <v>0</v>
      </c>
      <c r="AD288" s="847">
        <v>0</v>
      </c>
      <c r="AE288" s="847">
        <v>0</v>
      </c>
      <c r="AF288" s="847">
        <v>0</v>
      </c>
      <c r="AG288" s="847">
        <v>0</v>
      </c>
      <c r="AH288" s="847">
        <v>0</v>
      </c>
      <c r="AI288" s="847">
        <v>0</v>
      </c>
      <c r="AJ288" s="847">
        <v>0</v>
      </c>
      <c r="AK288" s="847">
        <v>0</v>
      </c>
      <c r="AL288" s="847">
        <v>0</v>
      </c>
      <c r="AM288" s="847">
        <v>0</v>
      </c>
      <c r="AN288" s="847">
        <v>0</v>
      </c>
      <c r="AO288" s="847">
        <v>0</v>
      </c>
      <c r="AP288" s="847">
        <v>0</v>
      </c>
      <c r="AQ288" s="847">
        <v>0</v>
      </c>
      <c r="AR288" s="847">
        <v>0</v>
      </c>
      <c r="AS288" s="847">
        <v>0</v>
      </c>
      <c r="AT288" s="847">
        <v>0</v>
      </c>
      <c r="AU288" s="847">
        <v>0</v>
      </c>
      <c r="AV288" s="847">
        <v>0</v>
      </c>
      <c r="AW288" s="847">
        <v>0</v>
      </c>
      <c r="AX288" s="847">
        <v>0</v>
      </c>
      <c r="AY288" s="847">
        <v>0</v>
      </c>
      <c r="AZ288" s="847">
        <v>0</v>
      </c>
      <c r="BA288" s="847">
        <v>0</v>
      </c>
      <c r="BB288" s="847">
        <v>0</v>
      </c>
      <c r="BC288" s="847">
        <v>0</v>
      </c>
      <c r="BD288" s="847">
        <v>0</v>
      </c>
      <c r="BE288" s="847">
        <v>0</v>
      </c>
      <c r="BF288" s="847">
        <v>0</v>
      </c>
      <c r="BG288" s="847">
        <v>0</v>
      </c>
      <c r="BH288" s="847">
        <v>0</v>
      </c>
      <c r="BI288" s="847">
        <v>0</v>
      </c>
      <c r="BJ288" s="847">
        <v>0</v>
      </c>
      <c r="BK288" s="847">
        <v>0</v>
      </c>
      <c r="BL288" s="847">
        <v>0</v>
      </c>
      <c r="BM288" s="847">
        <v>0</v>
      </c>
      <c r="BN288" s="847">
        <v>0</v>
      </c>
      <c r="BO288" s="847">
        <v>0</v>
      </c>
      <c r="BP288" s="847">
        <v>0</v>
      </c>
      <c r="BQ288" s="847">
        <v>0</v>
      </c>
      <c r="BR288" s="847">
        <v>0</v>
      </c>
      <c r="BS288" s="847">
        <v>0</v>
      </c>
      <c r="BT288" s="847">
        <v>0</v>
      </c>
      <c r="BU288" s="847">
        <v>0</v>
      </c>
      <c r="BV288" s="847">
        <v>82800</v>
      </c>
      <c r="BW288" s="847">
        <v>0</v>
      </c>
      <c r="BX288" s="847">
        <v>0</v>
      </c>
      <c r="BY288" s="847">
        <v>0</v>
      </c>
      <c r="BZ288" s="847">
        <v>0</v>
      </c>
      <c r="CA288" s="847">
        <v>0</v>
      </c>
      <c r="CB288" s="847">
        <v>0</v>
      </c>
      <c r="CC288" s="847">
        <v>0</v>
      </c>
      <c r="CD288" s="847">
        <v>0</v>
      </c>
      <c r="CE288" s="847">
        <v>0</v>
      </c>
      <c r="CF288" s="847">
        <v>0</v>
      </c>
      <c r="CG288" s="847">
        <v>0</v>
      </c>
      <c r="CH288" s="847">
        <v>0</v>
      </c>
      <c r="CI288" s="847">
        <v>0</v>
      </c>
      <c r="CJ288" s="847">
        <v>0</v>
      </c>
      <c r="CK288" s="847">
        <v>0</v>
      </c>
      <c r="CL288" s="847">
        <v>0</v>
      </c>
      <c r="CM288" s="847">
        <v>0</v>
      </c>
      <c r="CN288" s="847">
        <v>0</v>
      </c>
      <c r="CO288" s="847">
        <v>0</v>
      </c>
      <c r="CP288" s="847">
        <v>0</v>
      </c>
      <c r="CQ288" s="847">
        <v>0</v>
      </c>
      <c r="CR288" s="847">
        <v>0</v>
      </c>
      <c r="CS288" s="847">
        <v>0</v>
      </c>
      <c r="CT288" s="847">
        <v>0</v>
      </c>
      <c r="CU288" s="847">
        <v>0</v>
      </c>
      <c r="CV288" s="847">
        <v>0</v>
      </c>
      <c r="CW288" s="847">
        <v>0</v>
      </c>
      <c r="CX288" s="847">
        <v>0</v>
      </c>
      <c r="CY288" s="847">
        <v>0</v>
      </c>
      <c r="CZ288" s="847">
        <v>0</v>
      </c>
      <c r="DA288" s="847">
        <v>0</v>
      </c>
      <c r="DB288" s="847">
        <v>0</v>
      </c>
      <c r="DC288" s="847">
        <v>0</v>
      </c>
      <c r="DD288" s="847">
        <v>0</v>
      </c>
      <c r="DE288" s="847">
        <v>0</v>
      </c>
      <c r="DF288" s="847">
        <v>0</v>
      </c>
      <c r="DG288" s="847">
        <v>0</v>
      </c>
      <c r="DH288" s="847">
        <v>0</v>
      </c>
      <c r="DI288" s="847">
        <v>0</v>
      </c>
      <c r="DJ288" s="847">
        <v>0</v>
      </c>
      <c r="DK288" s="847">
        <v>0</v>
      </c>
      <c r="DL288" s="847">
        <v>0</v>
      </c>
      <c r="DM288" s="847">
        <v>0</v>
      </c>
      <c r="DN288" s="847">
        <v>0</v>
      </c>
      <c r="DO288" s="847">
        <v>0</v>
      </c>
      <c r="DP288" s="847">
        <v>0</v>
      </c>
      <c r="DQ288" s="847">
        <v>0</v>
      </c>
      <c r="DR288" s="847">
        <v>0</v>
      </c>
      <c r="DS288" s="847">
        <v>0</v>
      </c>
      <c r="DT288" s="847">
        <v>0</v>
      </c>
      <c r="DU288" s="847">
        <v>0</v>
      </c>
      <c r="DV288" s="847">
        <v>0</v>
      </c>
      <c r="DW288" s="847">
        <v>0</v>
      </c>
      <c r="DY288" s="843" t="s">
        <v>1060</v>
      </c>
      <c r="DZ288" s="843" t="s">
        <v>1382</v>
      </c>
      <c r="EA288" s="843" t="s">
        <v>97</v>
      </c>
      <c r="EB288" s="844">
        <v>53</v>
      </c>
      <c r="EC288" s="780" t="str">
        <f t="shared" si="11"/>
        <v>IWT060253</v>
      </c>
      <c r="ED288" s="844">
        <v>5370</v>
      </c>
      <c r="EE288" s="844">
        <v>10739.9</v>
      </c>
      <c r="EF288" s="844">
        <v>16109.9</v>
      </c>
      <c r="EG288" s="844">
        <v>21479.8</v>
      </c>
      <c r="EH288" s="844">
        <v>26849.8</v>
      </c>
      <c r="EI288" s="844">
        <v>32219.8</v>
      </c>
      <c r="EJ288" s="844">
        <v>32219.8</v>
      </c>
      <c r="EK288" s="844">
        <v>32219.8</v>
      </c>
      <c r="EL288" s="844">
        <v>32219.8</v>
      </c>
      <c r="EM288" s="844">
        <v>32742</v>
      </c>
      <c r="EN288" s="844">
        <v>33397</v>
      </c>
      <c r="EO288" s="844">
        <v>34065</v>
      </c>
      <c r="EP288" s="844">
        <v>34746</v>
      </c>
      <c r="EQ288" s="844">
        <v>35441</v>
      </c>
      <c r="ER288" s="844">
        <v>36150</v>
      </c>
      <c r="ES288" s="844">
        <v>36873</v>
      </c>
      <c r="ET288" s="844">
        <v>37611</v>
      </c>
      <c r="EU288" s="844">
        <v>38363</v>
      </c>
      <c r="EV288" s="844">
        <v>39130</v>
      </c>
      <c r="EW288" s="844">
        <v>39913</v>
      </c>
      <c r="EX288" s="844">
        <v>40711</v>
      </c>
      <c r="EY288" s="844">
        <v>41525</v>
      </c>
      <c r="EZ288" s="844">
        <v>42355</v>
      </c>
      <c r="FA288" s="844">
        <v>43202</v>
      </c>
      <c r="FB288" s="844">
        <v>44066</v>
      </c>
      <c r="FC288" s="844">
        <v>44948</v>
      </c>
      <c r="FD288" s="844">
        <v>45847</v>
      </c>
      <c r="FE288" s="844">
        <v>46763</v>
      </c>
      <c r="FF288" s="844">
        <v>47699</v>
      </c>
      <c r="FG288" s="844">
        <v>48652</v>
      </c>
      <c r="FH288" s="844">
        <v>49625</v>
      </c>
      <c r="FI288" s="844">
        <v>50618</v>
      </c>
      <c r="FJ288" s="844">
        <v>51630</v>
      </c>
      <c r="FK288" s="844">
        <v>52662</v>
      </c>
      <c r="FL288" s="844">
        <v>53715</v>
      </c>
      <c r="FM288" s="844">
        <v>54789</v>
      </c>
      <c r="FN288" s="844">
        <v>55885</v>
      </c>
      <c r="FO288" s="844">
        <v>57002</v>
      </c>
      <c r="FP288" s="844">
        <v>58142</v>
      </c>
      <c r="FQ288" s="844">
        <v>59304</v>
      </c>
      <c r="FR288" s="844">
        <v>60490</v>
      </c>
      <c r="FS288" s="844">
        <v>61699</v>
      </c>
      <c r="FT288" s="844">
        <v>62932</v>
      </c>
      <c r="FU288" s="844">
        <v>64190</v>
      </c>
      <c r="FV288" s="844">
        <v>65473</v>
      </c>
      <c r="FW288" s="844">
        <v>66781</v>
      </c>
      <c r="FX288" s="844">
        <v>68115</v>
      </c>
      <c r="FY288" s="844">
        <v>69474</v>
      </c>
      <c r="FZ288" s="844">
        <v>70841</v>
      </c>
      <c r="GA288" s="844">
        <v>72216</v>
      </c>
      <c r="GB288" s="844">
        <v>73597</v>
      </c>
      <c r="GC288" s="844">
        <v>74984</v>
      </c>
      <c r="GD288" s="844">
        <v>76377</v>
      </c>
      <c r="GE288" s="844">
        <v>77775</v>
      </c>
      <c r="GF288" s="844">
        <v>79177</v>
      </c>
      <c r="GG288" s="844">
        <v>80582</v>
      </c>
      <c r="GH288" s="844">
        <v>81984</v>
      </c>
      <c r="GI288" s="844">
        <v>82800</v>
      </c>
      <c r="GJ288" s="844">
        <v>0</v>
      </c>
      <c r="GK288" s="844">
        <v>0</v>
      </c>
      <c r="GL288" s="844">
        <v>0</v>
      </c>
      <c r="GM288" s="844">
        <v>0</v>
      </c>
      <c r="GN288" s="844">
        <v>0</v>
      </c>
      <c r="GO288" s="844">
        <v>0</v>
      </c>
      <c r="GP288" s="844">
        <v>0</v>
      </c>
      <c r="GQ288" s="844">
        <v>0</v>
      </c>
      <c r="GR288" s="844">
        <v>0</v>
      </c>
      <c r="GS288" s="844">
        <v>0</v>
      </c>
      <c r="GT288" s="844">
        <v>0</v>
      </c>
      <c r="GU288" s="844">
        <v>0</v>
      </c>
      <c r="GV288" s="844">
        <v>0</v>
      </c>
      <c r="GW288" s="844">
        <v>0</v>
      </c>
      <c r="GX288" s="844">
        <v>0</v>
      </c>
      <c r="GY288" s="844">
        <v>0</v>
      </c>
      <c r="GZ288" s="844">
        <v>0</v>
      </c>
      <c r="HA288" s="844">
        <v>0</v>
      </c>
      <c r="HB288" s="844">
        <v>0</v>
      </c>
      <c r="HC288" s="844">
        <v>0</v>
      </c>
      <c r="HD288" s="844">
        <v>0</v>
      </c>
      <c r="HE288" s="844">
        <v>0</v>
      </c>
      <c r="HF288" s="844">
        <v>0</v>
      </c>
      <c r="HG288" s="844">
        <v>0</v>
      </c>
      <c r="HH288" s="844">
        <v>0</v>
      </c>
      <c r="HI288" s="844">
        <v>0</v>
      </c>
      <c r="HJ288" s="844">
        <v>0</v>
      </c>
      <c r="HK288" s="844">
        <v>0</v>
      </c>
      <c r="HL288" s="844">
        <v>0</v>
      </c>
      <c r="HM288" s="844">
        <v>0</v>
      </c>
      <c r="HN288" s="844">
        <v>0</v>
      </c>
      <c r="HO288" s="844">
        <v>0</v>
      </c>
      <c r="HP288" s="844">
        <v>0</v>
      </c>
      <c r="HQ288" s="844">
        <v>0</v>
      </c>
      <c r="HR288" s="844">
        <v>0</v>
      </c>
      <c r="HS288" s="844">
        <v>0</v>
      </c>
      <c r="HT288" s="844">
        <v>0</v>
      </c>
      <c r="HU288" s="844">
        <v>0</v>
      </c>
      <c r="HV288" s="844">
        <v>0</v>
      </c>
      <c r="HW288" s="844">
        <v>0</v>
      </c>
      <c r="HX288" s="844">
        <v>0</v>
      </c>
      <c r="HY288" s="844">
        <v>0</v>
      </c>
      <c r="HZ288" s="844">
        <v>0</v>
      </c>
      <c r="IA288" s="844">
        <v>0</v>
      </c>
      <c r="IB288" s="844">
        <v>0</v>
      </c>
      <c r="IC288" s="844">
        <v>0</v>
      </c>
      <c r="ID288" s="844">
        <v>0</v>
      </c>
      <c r="IE288" s="844">
        <v>0</v>
      </c>
      <c r="IF288" s="844">
        <v>0</v>
      </c>
      <c r="IG288" s="844">
        <v>0</v>
      </c>
      <c r="IH288" s="844">
        <v>0</v>
      </c>
      <c r="II288" s="844">
        <v>0</v>
      </c>
      <c r="IJ288" s="844">
        <v>0</v>
      </c>
    </row>
    <row r="289" spans="9:245" hidden="1">
      <c r="I289" s="156"/>
      <c r="L289" s="846" t="s">
        <v>1060</v>
      </c>
      <c r="M289" s="846" t="s">
        <v>1382</v>
      </c>
      <c r="N289" s="846" t="s">
        <v>97</v>
      </c>
      <c r="O289" s="847">
        <v>54</v>
      </c>
      <c r="P289" s="780" t="str">
        <f t="shared" si="10"/>
        <v>IWT060254</v>
      </c>
      <c r="Q289" s="847">
        <v>0</v>
      </c>
      <c r="R289" s="847">
        <v>0</v>
      </c>
      <c r="S289" s="847">
        <v>0</v>
      </c>
      <c r="T289" s="847">
        <v>0</v>
      </c>
      <c r="U289" s="847">
        <v>0</v>
      </c>
      <c r="V289" s="847">
        <v>0</v>
      </c>
      <c r="W289" s="847">
        <v>0</v>
      </c>
      <c r="X289" s="847">
        <v>0</v>
      </c>
      <c r="Y289" s="847">
        <v>0</v>
      </c>
      <c r="Z289" s="847">
        <v>0</v>
      </c>
      <c r="AA289" s="847">
        <v>0</v>
      </c>
      <c r="AB289" s="847">
        <v>0</v>
      </c>
      <c r="AC289" s="847">
        <v>0</v>
      </c>
      <c r="AD289" s="847">
        <v>0</v>
      </c>
      <c r="AE289" s="847">
        <v>0</v>
      </c>
      <c r="AF289" s="847">
        <v>0</v>
      </c>
      <c r="AG289" s="847">
        <v>0</v>
      </c>
      <c r="AH289" s="847">
        <v>0</v>
      </c>
      <c r="AI289" s="847">
        <v>0</v>
      </c>
      <c r="AJ289" s="847">
        <v>0</v>
      </c>
      <c r="AK289" s="847">
        <v>0</v>
      </c>
      <c r="AL289" s="847">
        <v>0</v>
      </c>
      <c r="AM289" s="847">
        <v>0</v>
      </c>
      <c r="AN289" s="847">
        <v>0</v>
      </c>
      <c r="AO289" s="847">
        <v>0</v>
      </c>
      <c r="AP289" s="847">
        <v>0</v>
      </c>
      <c r="AQ289" s="847">
        <v>0</v>
      </c>
      <c r="AR289" s="847">
        <v>0</v>
      </c>
      <c r="AS289" s="847">
        <v>0</v>
      </c>
      <c r="AT289" s="847">
        <v>0</v>
      </c>
      <c r="AU289" s="847">
        <v>0</v>
      </c>
      <c r="AV289" s="847">
        <v>0</v>
      </c>
      <c r="AW289" s="847">
        <v>0</v>
      </c>
      <c r="AX289" s="847">
        <v>0</v>
      </c>
      <c r="AY289" s="847">
        <v>0</v>
      </c>
      <c r="AZ289" s="847">
        <v>0</v>
      </c>
      <c r="BA289" s="847">
        <v>0</v>
      </c>
      <c r="BB289" s="847">
        <v>0</v>
      </c>
      <c r="BC289" s="847">
        <v>0</v>
      </c>
      <c r="BD289" s="847">
        <v>0</v>
      </c>
      <c r="BE289" s="847">
        <v>0</v>
      </c>
      <c r="BF289" s="847">
        <v>0</v>
      </c>
      <c r="BG289" s="847">
        <v>0</v>
      </c>
      <c r="BH289" s="847">
        <v>0</v>
      </c>
      <c r="BI289" s="847">
        <v>0</v>
      </c>
      <c r="BJ289" s="847">
        <v>0</v>
      </c>
      <c r="BK289" s="847">
        <v>0</v>
      </c>
      <c r="BL289" s="847">
        <v>0</v>
      </c>
      <c r="BM289" s="847">
        <v>0</v>
      </c>
      <c r="BN289" s="847">
        <v>0</v>
      </c>
      <c r="BO289" s="847">
        <v>0</v>
      </c>
      <c r="BP289" s="847">
        <v>0</v>
      </c>
      <c r="BQ289" s="847">
        <v>0</v>
      </c>
      <c r="BR289" s="847">
        <v>0</v>
      </c>
      <c r="BS289" s="847">
        <v>0</v>
      </c>
      <c r="BT289" s="847">
        <v>0</v>
      </c>
      <c r="BU289" s="847">
        <v>81400</v>
      </c>
      <c r="BV289" s="847">
        <v>0</v>
      </c>
      <c r="BW289" s="847">
        <v>0</v>
      </c>
      <c r="BX289" s="847">
        <v>0</v>
      </c>
      <c r="BY289" s="847">
        <v>0</v>
      </c>
      <c r="BZ289" s="847">
        <v>0</v>
      </c>
      <c r="CA289" s="847">
        <v>0</v>
      </c>
      <c r="CB289" s="847">
        <v>0</v>
      </c>
      <c r="CC289" s="847">
        <v>0</v>
      </c>
      <c r="CD289" s="847">
        <v>0</v>
      </c>
      <c r="CE289" s="847">
        <v>0</v>
      </c>
      <c r="CF289" s="847">
        <v>0</v>
      </c>
      <c r="CG289" s="847">
        <v>0</v>
      </c>
      <c r="CH289" s="847">
        <v>0</v>
      </c>
      <c r="CI289" s="847">
        <v>0</v>
      </c>
      <c r="CJ289" s="847">
        <v>0</v>
      </c>
      <c r="CK289" s="847">
        <v>0</v>
      </c>
      <c r="CL289" s="847">
        <v>0</v>
      </c>
      <c r="CM289" s="847">
        <v>0</v>
      </c>
      <c r="CN289" s="847">
        <v>0</v>
      </c>
      <c r="CO289" s="847">
        <v>0</v>
      </c>
      <c r="CP289" s="847">
        <v>0</v>
      </c>
      <c r="CQ289" s="847">
        <v>0</v>
      </c>
      <c r="CR289" s="847">
        <v>0</v>
      </c>
      <c r="CS289" s="847">
        <v>0</v>
      </c>
      <c r="CT289" s="847">
        <v>0</v>
      </c>
      <c r="CU289" s="847">
        <v>0</v>
      </c>
      <c r="CV289" s="847">
        <v>0</v>
      </c>
      <c r="CW289" s="847">
        <v>0</v>
      </c>
      <c r="CX289" s="847">
        <v>0</v>
      </c>
      <c r="CY289" s="847">
        <v>0</v>
      </c>
      <c r="CZ289" s="847">
        <v>0</v>
      </c>
      <c r="DA289" s="847">
        <v>0</v>
      </c>
      <c r="DB289" s="847">
        <v>0</v>
      </c>
      <c r="DC289" s="847">
        <v>0</v>
      </c>
      <c r="DD289" s="847">
        <v>0</v>
      </c>
      <c r="DE289" s="847">
        <v>0</v>
      </c>
      <c r="DF289" s="847">
        <v>0</v>
      </c>
      <c r="DG289" s="847">
        <v>0</v>
      </c>
      <c r="DH289" s="847">
        <v>0</v>
      </c>
      <c r="DI289" s="847">
        <v>0</v>
      </c>
      <c r="DJ289" s="847">
        <v>0</v>
      </c>
      <c r="DK289" s="847">
        <v>0</v>
      </c>
      <c r="DL289" s="847">
        <v>0</v>
      </c>
      <c r="DM289" s="847">
        <v>0</v>
      </c>
      <c r="DN289" s="847">
        <v>0</v>
      </c>
      <c r="DO289" s="847">
        <v>0</v>
      </c>
      <c r="DP289" s="847">
        <v>0</v>
      </c>
      <c r="DQ289" s="847">
        <v>0</v>
      </c>
      <c r="DR289" s="847">
        <v>0</v>
      </c>
      <c r="DS289" s="847">
        <v>0</v>
      </c>
      <c r="DT289" s="847">
        <v>0</v>
      </c>
      <c r="DU289" s="847">
        <v>0</v>
      </c>
      <c r="DV289" s="847">
        <v>0</v>
      </c>
      <c r="DW289" s="847">
        <v>0</v>
      </c>
      <c r="DY289" s="843" t="s">
        <v>1060</v>
      </c>
      <c r="DZ289" s="843" t="s">
        <v>1382</v>
      </c>
      <c r="EA289" s="843" t="s">
        <v>97</v>
      </c>
      <c r="EB289" s="844">
        <v>54</v>
      </c>
      <c r="EC289" s="780" t="str">
        <f t="shared" si="11"/>
        <v>IWT060254</v>
      </c>
      <c r="ED289" s="844">
        <v>5372.1</v>
      </c>
      <c r="EE289" s="844">
        <v>10744.2</v>
      </c>
      <c r="EF289" s="844">
        <v>16116.2</v>
      </c>
      <c r="EG289" s="844">
        <v>21488.3</v>
      </c>
      <c r="EH289" s="844">
        <v>26860.400000000001</v>
      </c>
      <c r="EI289" s="844">
        <v>32232.5</v>
      </c>
      <c r="EJ289" s="844">
        <v>32232.5</v>
      </c>
      <c r="EK289" s="844">
        <v>32232.5</v>
      </c>
      <c r="EL289" s="844">
        <v>32232.5</v>
      </c>
      <c r="EM289" s="844">
        <v>32746</v>
      </c>
      <c r="EN289" s="844">
        <v>33401</v>
      </c>
      <c r="EO289" s="844">
        <v>34069</v>
      </c>
      <c r="EP289" s="844">
        <v>34750</v>
      </c>
      <c r="EQ289" s="844">
        <v>35445</v>
      </c>
      <c r="ER289" s="844">
        <v>36154</v>
      </c>
      <c r="ES289" s="844">
        <v>36877</v>
      </c>
      <c r="ET289" s="844">
        <v>37615</v>
      </c>
      <c r="EU289" s="844">
        <v>38367</v>
      </c>
      <c r="EV289" s="844">
        <v>39134</v>
      </c>
      <c r="EW289" s="844">
        <v>39917</v>
      </c>
      <c r="EX289" s="844">
        <v>40715</v>
      </c>
      <c r="EY289" s="844">
        <v>41530</v>
      </c>
      <c r="EZ289" s="844">
        <v>42360</v>
      </c>
      <c r="FA289" s="844">
        <v>43207</v>
      </c>
      <c r="FB289" s="844">
        <v>44071</v>
      </c>
      <c r="FC289" s="844">
        <v>44953</v>
      </c>
      <c r="FD289" s="844">
        <v>45852</v>
      </c>
      <c r="FE289" s="844">
        <v>46769</v>
      </c>
      <c r="FF289" s="844">
        <v>47704</v>
      </c>
      <c r="FG289" s="844">
        <v>48658</v>
      </c>
      <c r="FH289" s="844">
        <v>49631</v>
      </c>
      <c r="FI289" s="844">
        <v>50623</v>
      </c>
      <c r="FJ289" s="844">
        <v>51635</v>
      </c>
      <c r="FK289" s="844">
        <v>52668</v>
      </c>
      <c r="FL289" s="844">
        <v>53721</v>
      </c>
      <c r="FM289" s="844">
        <v>54795</v>
      </c>
      <c r="FN289" s="844">
        <v>55891</v>
      </c>
      <c r="FO289" s="844">
        <v>57008</v>
      </c>
      <c r="FP289" s="844">
        <v>58148</v>
      </c>
      <c r="FQ289" s="844">
        <v>59310</v>
      </c>
      <c r="FR289" s="844">
        <v>60496</v>
      </c>
      <c r="FS289" s="844">
        <v>61705</v>
      </c>
      <c r="FT289" s="844">
        <v>62938</v>
      </c>
      <c r="FU289" s="844">
        <v>64196</v>
      </c>
      <c r="FV289" s="844">
        <v>65479</v>
      </c>
      <c r="FW289" s="844">
        <v>66788</v>
      </c>
      <c r="FX289" s="844">
        <v>68122</v>
      </c>
      <c r="FY289" s="844">
        <v>69483</v>
      </c>
      <c r="FZ289" s="844">
        <v>70853</v>
      </c>
      <c r="GA289" s="844">
        <v>72230</v>
      </c>
      <c r="GB289" s="844">
        <v>73613</v>
      </c>
      <c r="GC289" s="844">
        <v>75003</v>
      </c>
      <c r="GD289" s="844">
        <v>76397</v>
      </c>
      <c r="GE289" s="844">
        <v>77796</v>
      </c>
      <c r="GF289" s="844">
        <v>79198</v>
      </c>
      <c r="GG289" s="844">
        <v>80598</v>
      </c>
      <c r="GH289" s="844">
        <v>81400</v>
      </c>
      <c r="GI289" s="844">
        <v>0</v>
      </c>
      <c r="GJ289" s="844">
        <v>0</v>
      </c>
      <c r="GK289" s="844">
        <v>0</v>
      </c>
      <c r="GL289" s="844">
        <v>0</v>
      </c>
      <c r="GM289" s="844">
        <v>0</v>
      </c>
      <c r="GN289" s="844">
        <v>0</v>
      </c>
      <c r="GO289" s="844">
        <v>0</v>
      </c>
      <c r="GP289" s="844">
        <v>0</v>
      </c>
      <c r="GQ289" s="844">
        <v>0</v>
      </c>
      <c r="GR289" s="844">
        <v>0</v>
      </c>
      <c r="GS289" s="844">
        <v>0</v>
      </c>
      <c r="GT289" s="844">
        <v>0</v>
      </c>
      <c r="GU289" s="844">
        <v>0</v>
      </c>
      <c r="GV289" s="844">
        <v>0</v>
      </c>
      <c r="GW289" s="844">
        <v>0</v>
      </c>
      <c r="GX289" s="844">
        <v>0</v>
      </c>
      <c r="GY289" s="844">
        <v>0</v>
      </c>
      <c r="GZ289" s="844">
        <v>0</v>
      </c>
      <c r="HA289" s="844">
        <v>0</v>
      </c>
      <c r="HB289" s="844">
        <v>0</v>
      </c>
      <c r="HC289" s="844">
        <v>0</v>
      </c>
      <c r="HD289" s="844">
        <v>0</v>
      </c>
      <c r="HE289" s="844">
        <v>0</v>
      </c>
      <c r="HF289" s="844">
        <v>0</v>
      </c>
      <c r="HG289" s="844">
        <v>0</v>
      </c>
      <c r="HH289" s="844">
        <v>0</v>
      </c>
      <c r="HI289" s="844">
        <v>0</v>
      </c>
      <c r="HJ289" s="844">
        <v>0</v>
      </c>
      <c r="HK289" s="844">
        <v>0</v>
      </c>
      <c r="HL289" s="844">
        <v>0</v>
      </c>
      <c r="HM289" s="844">
        <v>0</v>
      </c>
      <c r="HN289" s="844">
        <v>0</v>
      </c>
      <c r="HO289" s="844">
        <v>0</v>
      </c>
      <c r="HP289" s="844">
        <v>0</v>
      </c>
      <c r="HQ289" s="844">
        <v>0</v>
      </c>
      <c r="HR289" s="844">
        <v>0</v>
      </c>
      <c r="HS289" s="844">
        <v>0</v>
      </c>
      <c r="HT289" s="844">
        <v>0</v>
      </c>
      <c r="HU289" s="844">
        <v>0</v>
      </c>
      <c r="HV289" s="844">
        <v>0</v>
      </c>
      <c r="HW289" s="844">
        <v>0</v>
      </c>
      <c r="HX289" s="844">
        <v>0</v>
      </c>
      <c r="HY289" s="844">
        <v>0</v>
      </c>
      <c r="HZ289" s="844">
        <v>0</v>
      </c>
      <c r="IA289" s="844">
        <v>0</v>
      </c>
      <c r="IB289" s="844">
        <v>0</v>
      </c>
      <c r="IC289" s="844">
        <v>0</v>
      </c>
      <c r="ID289" s="844">
        <v>0</v>
      </c>
      <c r="IE289" s="844">
        <v>0</v>
      </c>
      <c r="IF289" s="844">
        <v>0</v>
      </c>
      <c r="IG289" s="844">
        <v>0</v>
      </c>
      <c r="IH289" s="844">
        <v>0</v>
      </c>
      <c r="II289" s="844">
        <v>0</v>
      </c>
      <c r="IJ289" s="844">
        <v>0</v>
      </c>
    </row>
    <row r="290" spans="9:245" hidden="1">
      <c r="I290" s="156"/>
      <c r="L290" s="846" t="s">
        <v>1060</v>
      </c>
      <c r="M290" s="846" t="s">
        <v>1382</v>
      </c>
      <c r="N290" s="846" t="s">
        <v>97</v>
      </c>
      <c r="O290" s="847">
        <v>55</v>
      </c>
      <c r="P290" s="780" t="str">
        <f t="shared" si="10"/>
        <v>IWT060255</v>
      </c>
      <c r="Q290" s="847">
        <v>0</v>
      </c>
      <c r="R290" s="847">
        <v>0</v>
      </c>
      <c r="S290" s="847">
        <v>0</v>
      </c>
      <c r="T290" s="847">
        <v>0</v>
      </c>
      <c r="U290" s="847">
        <v>0</v>
      </c>
      <c r="V290" s="847">
        <v>0</v>
      </c>
      <c r="W290" s="847">
        <v>0</v>
      </c>
      <c r="X290" s="847">
        <v>0</v>
      </c>
      <c r="Y290" s="847">
        <v>0</v>
      </c>
      <c r="Z290" s="847">
        <v>0</v>
      </c>
      <c r="AA290" s="847">
        <v>0</v>
      </c>
      <c r="AB290" s="847">
        <v>0</v>
      </c>
      <c r="AC290" s="847">
        <v>0</v>
      </c>
      <c r="AD290" s="847">
        <v>0</v>
      </c>
      <c r="AE290" s="847">
        <v>0</v>
      </c>
      <c r="AF290" s="847">
        <v>0</v>
      </c>
      <c r="AG290" s="847">
        <v>0</v>
      </c>
      <c r="AH290" s="847">
        <v>0</v>
      </c>
      <c r="AI290" s="847">
        <v>0</v>
      </c>
      <c r="AJ290" s="847">
        <v>0</v>
      </c>
      <c r="AK290" s="847">
        <v>0</v>
      </c>
      <c r="AL290" s="847">
        <v>0</v>
      </c>
      <c r="AM290" s="847">
        <v>0</v>
      </c>
      <c r="AN290" s="847">
        <v>0</v>
      </c>
      <c r="AO290" s="847">
        <v>0</v>
      </c>
      <c r="AP290" s="847">
        <v>0</v>
      </c>
      <c r="AQ290" s="847">
        <v>0</v>
      </c>
      <c r="AR290" s="847">
        <v>0</v>
      </c>
      <c r="AS290" s="847">
        <v>0</v>
      </c>
      <c r="AT290" s="847">
        <v>0</v>
      </c>
      <c r="AU290" s="847">
        <v>0</v>
      </c>
      <c r="AV290" s="847">
        <v>0</v>
      </c>
      <c r="AW290" s="847">
        <v>0</v>
      </c>
      <c r="AX290" s="847">
        <v>0</v>
      </c>
      <c r="AY290" s="847">
        <v>0</v>
      </c>
      <c r="AZ290" s="847">
        <v>0</v>
      </c>
      <c r="BA290" s="847">
        <v>0</v>
      </c>
      <c r="BB290" s="847">
        <v>0</v>
      </c>
      <c r="BC290" s="847">
        <v>0</v>
      </c>
      <c r="BD290" s="847">
        <v>0</v>
      </c>
      <c r="BE290" s="847">
        <v>0</v>
      </c>
      <c r="BF290" s="847">
        <v>0</v>
      </c>
      <c r="BG290" s="847">
        <v>0</v>
      </c>
      <c r="BH290" s="847">
        <v>0</v>
      </c>
      <c r="BI290" s="847">
        <v>0</v>
      </c>
      <c r="BJ290" s="847">
        <v>0</v>
      </c>
      <c r="BK290" s="847">
        <v>0</v>
      </c>
      <c r="BL290" s="847">
        <v>0</v>
      </c>
      <c r="BM290" s="847">
        <v>0</v>
      </c>
      <c r="BN290" s="847">
        <v>0</v>
      </c>
      <c r="BO290" s="847">
        <v>0</v>
      </c>
      <c r="BP290" s="847">
        <v>0</v>
      </c>
      <c r="BQ290" s="847">
        <v>0</v>
      </c>
      <c r="BR290" s="847">
        <v>0</v>
      </c>
      <c r="BS290" s="847">
        <v>0</v>
      </c>
      <c r="BT290" s="847">
        <v>80000</v>
      </c>
      <c r="BU290" s="847">
        <v>0</v>
      </c>
      <c r="BV290" s="847">
        <v>0</v>
      </c>
      <c r="BW290" s="847">
        <v>0</v>
      </c>
      <c r="BX290" s="847">
        <v>0</v>
      </c>
      <c r="BY290" s="847">
        <v>0</v>
      </c>
      <c r="BZ290" s="847">
        <v>0</v>
      </c>
      <c r="CA290" s="847">
        <v>0</v>
      </c>
      <c r="CB290" s="847">
        <v>0</v>
      </c>
      <c r="CC290" s="847">
        <v>0</v>
      </c>
      <c r="CD290" s="847">
        <v>0</v>
      </c>
      <c r="CE290" s="847">
        <v>0</v>
      </c>
      <c r="CF290" s="847">
        <v>0</v>
      </c>
      <c r="CG290" s="847">
        <v>0</v>
      </c>
      <c r="CH290" s="847">
        <v>0</v>
      </c>
      <c r="CI290" s="847">
        <v>0</v>
      </c>
      <c r="CJ290" s="847">
        <v>0</v>
      </c>
      <c r="CK290" s="847">
        <v>0</v>
      </c>
      <c r="CL290" s="847">
        <v>0</v>
      </c>
      <c r="CM290" s="847">
        <v>0</v>
      </c>
      <c r="CN290" s="847">
        <v>0</v>
      </c>
      <c r="CO290" s="847">
        <v>0</v>
      </c>
      <c r="CP290" s="847">
        <v>0</v>
      </c>
      <c r="CQ290" s="847">
        <v>0</v>
      </c>
      <c r="CR290" s="847">
        <v>0</v>
      </c>
      <c r="CS290" s="847">
        <v>0</v>
      </c>
      <c r="CT290" s="847">
        <v>0</v>
      </c>
      <c r="CU290" s="847">
        <v>0</v>
      </c>
      <c r="CV290" s="847">
        <v>0</v>
      </c>
      <c r="CW290" s="847">
        <v>0</v>
      </c>
      <c r="CX290" s="847">
        <v>0</v>
      </c>
      <c r="CY290" s="847">
        <v>0</v>
      </c>
      <c r="CZ290" s="847">
        <v>0</v>
      </c>
      <c r="DA290" s="847">
        <v>0</v>
      </c>
      <c r="DB290" s="847">
        <v>0</v>
      </c>
      <c r="DC290" s="847">
        <v>0</v>
      </c>
      <c r="DD290" s="847">
        <v>0</v>
      </c>
      <c r="DE290" s="847">
        <v>0</v>
      </c>
      <c r="DF290" s="847">
        <v>0</v>
      </c>
      <c r="DG290" s="847">
        <v>0</v>
      </c>
      <c r="DH290" s="847">
        <v>0</v>
      </c>
      <c r="DI290" s="847">
        <v>0</v>
      </c>
      <c r="DJ290" s="847">
        <v>0</v>
      </c>
      <c r="DK290" s="847">
        <v>0</v>
      </c>
      <c r="DL290" s="847">
        <v>0</v>
      </c>
      <c r="DM290" s="847">
        <v>0</v>
      </c>
      <c r="DN290" s="847">
        <v>0</v>
      </c>
      <c r="DO290" s="847">
        <v>0</v>
      </c>
      <c r="DP290" s="847">
        <v>0</v>
      </c>
      <c r="DQ290" s="847">
        <v>0</v>
      </c>
      <c r="DR290" s="847">
        <v>0</v>
      </c>
      <c r="DS290" s="847">
        <v>0</v>
      </c>
      <c r="DT290" s="847">
        <v>0</v>
      </c>
      <c r="DU290" s="847">
        <v>0</v>
      </c>
      <c r="DV290" s="847">
        <v>0</v>
      </c>
      <c r="DW290" s="847">
        <v>0</v>
      </c>
      <c r="DY290" s="843" t="s">
        <v>1060</v>
      </c>
      <c r="DZ290" s="843" t="s">
        <v>1382</v>
      </c>
      <c r="EA290" s="843" t="s">
        <v>97</v>
      </c>
      <c r="EB290" s="844">
        <v>55</v>
      </c>
      <c r="EC290" s="780" t="str">
        <f t="shared" si="11"/>
        <v>IWT060255</v>
      </c>
      <c r="ED290" s="844">
        <v>5374.2</v>
      </c>
      <c r="EE290" s="844">
        <v>10748.4</v>
      </c>
      <c r="EF290" s="844">
        <v>16122.6</v>
      </c>
      <c r="EG290" s="844">
        <v>21496.799999999999</v>
      </c>
      <c r="EH290" s="844">
        <v>26871</v>
      </c>
      <c r="EI290" s="844">
        <v>32245.200000000001</v>
      </c>
      <c r="EJ290" s="844">
        <v>32245.200000000001</v>
      </c>
      <c r="EK290" s="844">
        <v>32245.200000000001</v>
      </c>
      <c r="EL290" s="844">
        <v>32245.200000000001</v>
      </c>
      <c r="EM290" s="844">
        <v>32751</v>
      </c>
      <c r="EN290" s="844">
        <v>33406</v>
      </c>
      <c r="EO290" s="844">
        <v>34074</v>
      </c>
      <c r="EP290" s="844">
        <v>34755</v>
      </c>
      <c r="EQ290" s="844">
        <v>35450</v>
      </c>
      <c r="ER290" s="844">
        <v>36159</v>
      </c>
      <c r="ES290" s="844">
        <v>36882</v>
      </c>
      <c r="ET290" s="844">
        <v>37620</v>
      </c>
      <c r="EU290" s="844">
        <v>38372</v>
      </c>
      <c r="EV290" s="844">
        <v>39140</v>
      </c>
      <c r="EW290" s="844">
        <v>39922</v>
      </c>
      <c r="EX290" s="844">
        <v>40721</v>
      </c>
      <c r="EY290" s="844">
        <v>41535</v>
      </c>
      <c r="EZ290" s="844">
        <v>42366</v>
      </c>
      <c r="FA290" s="844">
        <v>43213</v>
      </c>
      <c r="FB290" s="844">
        <v>44077</v>
      </c>
      <c r="FC290" s="844">
        <v>44959</v>
      </c>
      <c r="FD290" s="844">
        <v>45858</v>
      </c>
      <c r="FE290" s="844">
        <v>46775</v>
      </c>
      <c r="FF290" s="844">
        <v>47710</v>
      </c>
      <c r="FG290" s="844">
        <v>48664</v>
      </c>
      <c r="FH290" s="844">
        <v>49637</v>
      </c>
      <c r="FI290" s="844">
        <v>50630</v>
      </c>
      <c r="FJ290" s="844">
        <v>51642</v>
      </c>
      <c r="FK290" s="844">
        <v>52675</v>
      </c>
      <c r="FL290" s="844">
        <v>53728</v>
      </c>
      <c r="FM290" s="844">
        <v>54802</v>
      </c>
      <c r="FN290" s="844">
        <v>55898</v>
      </c>
      <c r="FO290" s="844">
        <v>57016</v>
      </c>
      <c r="FP290" s="844">
        <v>58155</v>
      </c>
      <c r="FQ290" s="844">
        <v>59318</v>
      </c>
      <c r="FR290" s="844">
        <v>60504</v>
      </c>
      <c r="FS290" s="844">
        <v>61713</v>
      </c>
      <c r="FT290" s="844">
        <v>62946</v>
      </c>
      <c r="FU290" s="844">
        <v>64204</v>
      </c>
      <c r="FV290" s="844">
        <v>65487</v>
      </c>
      <c r="FW290" s="844">
        <v>66796</v>
      </c>
      <c r="FX290" s="844">
        <v>68130</v>
      </c>
      <c r="FY290" s="844">
        <v>69491</v>
      </c>
      <c r="FZ290" s="844">
        <v>70863</v>
      </c>
      <c r="GA290" s="844">
        <v>72242</v>
      </c>
      <c r="GB290" s="844">
        <v>73628</v>
      </c>
      <c r="GC290" s="844">
        <v>75019</v>
      </c>
      <c r="GD290" s="844">
        <v>76414</v>
      </c>
      <c r="GE290" s="844">
        <v>77814</v>
      </c>
      <c r="GF290" s="844">
        <v>79212</v>
      </c>
      <c r="GG290" s="844">
        <v>80000</v>
      </c>
      <c r="GH290" s="844">
        <v>0</v>
      </c>
      <c r="GI290" s="844">
        <v>0</v>
      </c>
      <c r="GJ290" s="844">
        <v>0</v>
      </c>
      <c r="GK290" s="844">
        <v>0</v>
      </c>
      <c r="GL290" s="844">
        <v>0</v>
      </c>
      <c r="GM290" s="844">
        <v>0</v>
      </c>
      <c r="GN290" s="844">
        <v>0</v>
      </c>
      <c r="GO290" s="844">
        <v>0</v>
      </c>
      <c r="GP290" s="844">
        <v>0</v>
      </c>
      <c r="GQ290" s="844">
        <v>0</v>
      </c>
      <c r="GR290" s="844">
        <v>0</v>
      </c>
      <c r="GS290" s="844">
        <v>0</v>
      </c>
      <c r="GT290" s="844">
        <v>0</v>
      </c>
      <c r="GU290" s="844">
        <v>0</v>
      </c>
      <c r="GV290" s="844">
        <v>0</v>
      </c>
      <c r="GW290" s="844">
        <v>0</v>
      </c>
      <c r="GX290" s="844">
        <v>0</v>
      </c>
      <c r="GY290" s="844">
        <v>0</v>
      </c>
      <c r="GZ290" s="844">
        <v>0</v>
      </c>
      <c r="HA290" s="844">
        <v>0</v>
      </c>
      <c r="HB290" s="844">
        <v>0</v>
      </c>
      <c r="HC290" s="844">
        <v>0</v>
      </c>
      <c r="HD290" s="844">
        <v>0</v>
      </c>
      <c r="HE290" s="844">
        <v>0</v>
      </c>
      <c r="HF290" s="844">
        <v>0</v>
      </c>
      <c r="HG290" s="844">
        <v>0</v>
      </c>
      <c r="HH290" s="844">
        <v>0</v>
      </c>
      <c r="HI290" s="844">
        <v>0</v>
      </c>
      <c r="HJ290" s="844">
        <v>0</v>
      </c>
      <c r="HK290" s="844">
        <v>0</v>
      </c>
      <c r="HL290" s="844">
        <v>0</v>
      </c>
      <c r="HM290" s="844">
        <v>0</v>
      </c>
      <c r="HN290" s="844">
        <v>0</v>
      </c>
      <c r="HO290" s="844">
        <v>0</v>
      </c>
      <c r="HP290" s="844">
        <v>0</v>
      </c>
      <c r="HQ290" s="844">
        <v>0</v>
      </c>
      <c r="HR290" s="844">
        <v>0</v>
      </c>
      <c r="HS290" s="844">
        <v>0</v>
      </c>
      <c r="HT290" s="844">
        <v>0</v>
      </c>
      <c r="HU290" s="844">
        <v>0</v>
      </c>
      <c r="HV290" s="844">
        <v>0</v>
      </c>
      <c r="HW290" s="844">
        <v>0</v>
      </c>
      <c r="HX290" s="844">
        <v>0</v>
      </c>
      <c r="HY290" s="844">
        <v>0</v>
      </c>
      <c r="HZ290" s="844">
        <v>0</v>
      </c>
      <c r="IA290" s="844">
        <v>0</v>
      </c>
      <c r="IB290" s="844">
        <v>0</v>
      </c>
      <c r="IC290" s="844">
        <v>0</v>
      </c>
      <c r="ID290" s="844">
        <v>0</v>
      </c>
      <c r="IE290" s="844">
        <v>0</v>
      </c>
      <c r="IF290" s="844">
        <v>0</v>
      </c>
      <c r="IG290" s="844">
        <v>0</v>
      </c>
      <c r="IH290" s="844">
        <v>0</v>
      </c>
      <c r="II290" s="844">
        <v>0</v>
      </c>
      <c r="IJ290" s="844">
        <v>0</v>
      </c>
    </row>
    <row r="291" spans="9:245" hidden="1">
      <c r="I291" s="156"/>
      <c r="L291" s="846" t="s">
        <v>1060</v>
      </c>
      <c r="M291" s="846" t="s">
        <v>1382</v>
      </c>
      <c r="N291" s="846" t="s">
        <v>97</v>
      </c>
      <c r="O291" s="847">
        <v>56</v>
      </c>
      <c r="P291" s="780" t="str">
        <f t="shared" si="10"/>
        <v>IWT060256</v>
      </c>
      <c r="Q291" s="847">
        <v>0</v>
      </c>
      <c r="R291" s="847">
        <v>0</v>
      </c>
      <c r="S291" s="847">
        <v>0</v>
      </c>
      <c r="T291" s="847">
        <v>0</v>
      </c>
      <c r="U291" s="847">
        <v>0</v>
      </c>
      <c r="V291" s="847">
        <v>0</v>
      </c>
      <c r="W291" s="847">
        <v>0</v>
      </c>
      <c r="X291" s="847">
        <v>0</v>
      </c>
      <c r="Y291" s="847">
        <v>0</v>
      </c>
      <c r="Z291" s="847">
        <v>0</v>
      </c>
      <c r="AA291" s="847">
        <v>0</v>
      </c>
      <c r="AB291" s="847">
        <v>0</v>
      </c>
      <c r="AC291" s="847">
        <v>0</v>
      </c>
      <c r="AD291" s="847">
        <v>0</v>
      </c>
      <c r="AE291" s="847">
        <v>0</v>
      </c>
      <c r="AF291" s="847">
        <v>0</v>
      </c>
      <c r="AG291" s="847">
        <v>0</v>
      </c>
      <c r="AH291" s="847">
        <v>0</v>
      </c>
      <c r="AI291" s="847">
        <v>0</v>
      </c>
      <c r="AJ291" s="847">
        <v>0</v>
      </c>
      <c r="AK291" s="847">
        <v>0</v>
      </c>
      <c r="AL291" s="847">
        <v>0</v>
      </c>
      <c r="AM291" s="847">
        <v>0</v>
      </c>
      <c r="AN291" s="847">
        <v>0</v>
      </c>
      <c r="AO291" s="847">
        <v>0</v>
      </c>
      <c r="AP291" s="847">
        <v>0</v>
      </c>
      <c r="AQ291" s="847">
        <v>0</v>
      </c>
      <c r="AR291" s="847">
        <v>0</v>
      </c>
      <c r="AS291" s="847">
        <v>0</v>
      </c>
      <c r="AT291" s="847">
        <v>0</v>
      </c>
      <c r="AU291" s="847">
        <v>0</v>
      </c>
      <c r="AV291" s="847">
        <v>0</v>
      </c>
      <c r="AW291" s="847">
        <v>0</v>
      </c>
      <c r="AX291" s="847">
        <v>0</v>
      </c>
      <c r="AY291" s="847">
        <v>0</v>
      </c>
      <c r="AZ291" s="847">
        <v>0</v>
      </c>
      <c r="BA291" s="847">
        <v>0</v>
      </c>
      <c r="BB291" s="847">
        <v>0</v>
      </c>
      <c r="BC291" s="847">
        <v>0</v>
      </c>
      <c r="BD291" s="847">
        <v>0</v>
      </c>
      <c r="BE291" s="847">
        <v>0</v>
      </c>
      <c r="BF291" s="847">
        <v>0</v>
      </c>
      <c r="BG291" s="847">
        <v>0</v>
      </c>
      <c r="BH291" s="847">
        <v>0</v>
      </c>
      <c r="BI291" s="847">
        <v>0</v>
      </c>
      <c r="BJ291" s="847">
        <v>0</v>
      </c>
      <c r="BK291" s="847">
        <v>0</v>
      </c>
      <c r="BL291" s="847">
        <v>0</v>
      </c>
      <c r="BM291" s="847">
        <v>0</v>
      </c>
      <c r="BN291" s="847">
        <v>0</v>
      </c>
      <c r="BO291" s="847">
        <v>0</v>
      </c>
      <c r="BP291" s="847">
        <v>0</v>
      </c>
      <c r="BQ291" s="847">
        <v>0</v>
      </c>
      <c r="BR291" s="847">
        <v>0</v>
      </c>
      <c r="BS291" s="847">
        <v>78600</v>
      </c>
      <c r="BT291" s="847">
        <v>0</v>
      </c>
      <c r="BU291" s="847">
        <v>0</v>
      </c>
      <c r="BV291" s="847">
        <v>0</v>
      </c>
      <c r="BW291" s="847">
        <v>0</v>
      </c>
      <c r="BX291" s="847">
        <v>0</v>
      </c>
      <c r="BY291" s="847">
        <v>0</v>
      </c>
      <c r="BZ291" s="847">
        <v>0</v>
      </c>
      <c r="CA291" s="847">
        <v>0</v>
      </c>
      <c r="CB291" s="847">
        <v>0</v>
      </c>
      <c r="CC291" s="847">
        <v>0</v>
      </c>
      <c r="CD291" s="847">
        <v>0</v>
      </c>
      <c r="CE291" s="847">
        <v>0</v>
      </c>
      <c r="CF291" s="847">
        <v>0</v>
      </c>
      <c r="CG291" s="847">
        <v>0</v>
      </c>
      <c r="CH291" s="847">
        <v>0</v>
      </c>
      <c r="CI291" s="847">
        <v>0</v>
      </c>
      <c r="CJ291" s="847">
        <v>0</v>
      </c>
      <c r="CK291" s="847">
        <v>0</v>
      </c>
      <c r="CL291" s="847">
        <v>0</v>
      </c>
      <c r="CM291" s="847">
        <v>0</v>
      </c>
      <c r="CN291" s="847">
        <v>0</v>
      </c>
      <c r="CO291" s="847">
        <v>0</v>
      </c>
      <c r="CP291" s="847">
        <v>0</v>
      </c>
      <c r="CQ291" s="847">
        <v>0</v>
      </c>
      <c r="CR291" s="847">
        <v>0</v>
      </c>
      <c r="CS291" s="847">
        <v>0</v>
      </c>
      <c r="CT291" s="847">
        <v>0</v>
      </c>
      <c r="CU291" s="847">
        <v>0</v>
      </c>
      <c r="CV291" s="847">
        <v>0</v>
      </c>
      <c r="CW291" s="847">
        <v>0</v>
      </c>
      <c r="CX291" s="847">
        <v>0</v>
      </c>
      <c r="CY291" s="847">
        <v>0</v>
      </c>
      <c r="CZ291" s="847">
        <v>0</v>
      </c>
      <c r="DA291" s="847">
        <v>0</v>
      </c>
      <c r="DB291" s="847">
        <v>0</v>
      </c>
      <c r="DC291" s="847">
        <v>0</v>
      </c>
      <c r="DD291" s="847">
        <v>0</v>
      </c>
      <c r="DE291" s="847">
        <v>0</v>
      </c>
      <c r="DF291" s="847">
        <v>0</v>
      </c>
      <c r="DG291" s="847">
        <v>0</v>
      </c>
      <c r="DH291" s="847">
        <v>0</v>
      </c>
      <c r="DI291" s="847">
        <v>0</v>
      </c>
      <c r="DJ291" s="847">
        <v>0</v>
      </c>
      <c r="DK291" s="847">
        <v>0</v>
      </c>
      <c r="DL291" s="847">
        <v>0</v>
      </c>
      <c r="DM291" s="847">
        <v>0</v>
      </c>
      <c r="DN291" s="847">
        <v>0</v>
      </c>
      <c r="DO291" s="847">
        <v>0</v>
      </c>
      <c r="DP291" s="847">
        <v>0</v>
      </c>
      <c r="DQ291" s="847">
        <v>0</v>
      </c>
      <c r="DR291" s="847">
        <v>0</v>
      </c>
      <c r="DS291" s="847">
        <v>0</v>
      </c>
      <c r="DT291" s="847">
        <v>0</v>
      </c>
      <c r="DU291" s="847">
        <v>0</v>
      </c>
      <c r="DV291" s="847">
        <v>0</v>
      </c>
      <c r="DW291" s="847">
        <v>0</v>
      </c>
      <c r="DY291" s="843" t="s">
        <v>1060</v>
      </c>
      <c r="DZ291" s="843" t="s">
        <v>1382</v>
      </c>
      <c r="EA291" s="843" t="s">
        <v>97</v>
      </c>
      <c r="EB291" s="844">
        <v>56</v>
      </c>
      <c r="EC291" s="780" t="str">
        <f t="shared" si="11"/>
        <v>IWT060256</v>
      </c>
      <c r="ED291" s="844">
        <v>5375.3</v>
      </c>
      <c r="EE291" s="844">
        <v>10750.5</v>
      </c>
      <c r="EF291" s="844">
        <v>16125.8</v>
      </c>
      <c r="EG291" s="844">
        <v>21501</v>
      </c>
      <c r="EH291" s="844">
        <v>26876.3</v>
      </c>
      <c r="EI291" s="844">
        <v>32251.599999999999</v>
      </c>
      <c r="EJ291" s="844">
        <v>32251.599999999999</v>
      </c>
      <c r="EK291" s="844">
        <v>32251.599999999999</v>
      </c>
      <c r="EL291" s="844">
        <v>32251.599999999999</v>
      </c>
      <c r="EM291" s="844">
        <v>32754</v>
      </c>
      <c r="EN291" s="844">
        <v>33409</v>
      </c>
      <c r="EO291" s="844">
        <v>34077</v>
      </c>
      <c r="EP291" s="844">
        <v>34759</v>
      </c>
      <c r="EQ291" s="844">
        <v>35454</v>
      </c>
      <c r="ER291" s="844">
        <v>36163</v>
      </c>
      <c r="ES291" s="844">
        <v>36886</v>
      </c>
      <c r="ET291" s="844">
        <v>37624</v>
      </c>
      <c r="EU291" s="844">
        <v>38377</v>
      </c>
      <c r="EV291" s="844">
        <v>39144</v>
      </c>
      <c r="EW291" s="844">
        <v>39927</v>
      </c>
      <c r="EX291" s="844">
        <v>40725</v>
      </c>
      <c r="EY291" s="844">
        <v>41540</v>
      </c>
      <c r="EZ291" s="844">
        <v>42370</v>
      </c>
      <c r="FA291" s="844">
        <v>43218</v>
      </c>
      <c r="FB291" s="844">
        <v>44082</v>
      </c>
      <c r="FC291" s="844">
        <v>44964</v>
      </c>
      <c r="FD291" s="844">
        <v>45863</v>
      </c>
      <c r="FE291" s="844">
        <v>46780</v>
      </c>
      <c r="FF291" s="844">
        <v>47715</v>
      </c>
      <c r="FG291" s="844">
        <v>48669</v>
      </c>
      <c r="FH291" s="844">
        <v>49643</v>
      </c>
      <c r="FI291" s="844">
        <v>50635</v>
      </c>
      <c r="FJ291" s="844">
        <v>51648</v>
      </c>
      <c r="FK291" s="844">
        <v>52680</v>
      </c>
      <c r="FL291" s="844">
        <v>53734</v>
      </c>
      <c r="FM291" s="844">
        <v>54808</v>
      </c>
      <c r="FN291" s="844">
        <v>55904</v>
      </c>
      <c r="FO291" s="844">
        <v>57021</v>
      </c>
      <c r="FP291" s="844">
        <v>58161</v>
      </c>
      <c r="FQ291" s="844">
        <v>59324</v>
      </c>
      <c r="FR291" s="844">
        <v>60509</v>
      </c>
      <c r="FS291" s="844">
        <v>61719</v>
      </c>
      <c r="FT291" s="844">
        <v>62952</v>
      </c>
      <c r="FU291" s="844">
        <v>64210</v>
      </c>
      <c r="FV291" s="844">
        <v>65493</v>
      </c>
      <c r="FW291" s="844">
        <v>66801</v>
      </c>
      <c r="FX291" s="844">
        <v>68135</v>
      </c>
      <c r="FY291" s="844">
        <v>69496</v>
      </c>
      <c r="FZ291" s="844">
        <v>70871</v>
      </c>
      <c r="GA291" s="844">
        <v>72253</v>
      </c>
      <c r="GB291" s="844">
        <v>73641</v>
      </c>
      <c r="GC291" s="844">
        <v>75033</v>
      </c>
      <c r="GD291" s="844">
        <v>76429</v>
      </c>
      <c r="GE291" s="844">
        <v>77826</v>
      </c>
      <c r="GF291" s="844">
        <v>78600</v>
      </c>
      <c r="GG291" s="844">
        <v>0</v>
      </c>
      <c r="GH291" s="844">
        <v>0</v>
      </c>
      <c r="GI291" s="844">
        <v>0</v>
      </c>
      <c r="GJ291" s="844">
        <v>0</v>
      </c>
      <c r="GK291" s="844">
        <v>0</v>
      </c>
      <c r="GL291" s="844">
        <v>0</v>
      </c>
      <c r="GM291" s="844">
        <v>0</v>
      </c>
      <c r="GN291" s="844">
        <v>0</v>
      </c>
      <c r="GO291" s="844">
        <v>0</v>
      </c>
      <c r="GP291" s="844">
        <v>0</v>
      </c>
      <c r="GQ291" s="844">
        <v>0</v>
      </c>
      <c r="GR291" s="844">
        <v>0</v>
      </c>
      <c r="GS291" s="844">
        <v>0</v>
      </c>
      <c r="GT291" s="844">
        <v>0</v>
      </c>
      <c r="GU291" s="844">
        <v>0</v>
      </c>
      <c r="GV291" s="844">
        <v>0</v>
      </c>
      <c r="GW291" s="844">
        <v>0</v>
      </c>
      <c r="GX291" s="844">
        <v>0</v>
      </c>
      <c r="GY291" s="844">
        <v>0</v>
      </c>
      <c r="GZ291" s="844">
        <v>0</v>
      </c>
      <c r="HA291" s="844">
        <v>0</v>
      </c>
      <c r="HB291" s="844">
        <v>0</v>
      </c>
      <c r="HC291" s="844">
        <v>0</v>
      </c>
      <c r="HD291" s="844">
        <v>0</v>
      </c>
      <c r="HE291" s="844">
        <v>0</v>
      </c>
      <c r="HF291" s="844">
        <v>0</v>
      </c>
      <c r="HG291" s="844">
        <v>0</v>
      </c>
      <c r="HH291" s="844">
        <v>0</v>
      </c>
      <c r="HI291" s="844">
        <v>0</v>
      </c>
      <c r="HJ291" s="844">
        <v>0</v>
      </c>
      <c r="HK291" s="844">
        <v>0</v>
      </c>
      <c r="HL291" s="844">
        <v>0</v>
      </c>
      <c r="HM291" s="844">
        <v>0</v>
      </c>
      <c r="HN291" s="844">
        <v>0</v>
      </c>
      <c r="HO291" s="844">
        <v>0</v>
      </c>
      <c r="HP291" s="844">
        <v>0</v>
      </c>
      <c r="HQ291" s="844">
        <v>0</v>
      </c>
      <c r="HR291" s="844">
        <v>0</v>
      </c>
      <c r="HS291" s="844">
        <v>0</v>
      </c>
      <c r="HT291" s="844">
        <v>0</v>
      </c>
      <c r="HU291" s="844">
        <v>0</v>
      </c>
      <c r="HV291" s="844">
        <v>0</v>
      </c>
      <c r="HW291" s="844">
        <v>0</v>
      </c>
      <c r="HX291" s="844">
        <v>0</v>
      </c>
      <c r="HY291" s="844">
        <v>0</v>
      </c>
      <c r="HZ291" s="844">
        <v>0</v>
      </c>
      <c r="IA291" s="844">
        <v>0</v>
      </c>
      <c r="IB291" s="844">
        <v>0</v>
      </c>
      <c r="IC291" s="844">
        <v>0</v>
      </c>
      <c r="ID291" s="844">
        <v>0</v>
      </c>
      <c r="IE291" s="844">
        <v>0</v>
      </c>
      <c r="IF291" s="844">
        <v>0</v>
      </c>
      <c r="IG291" s="844">
        <v>0</v>
      </c>
      <c r="IH291" s="844">
        <v>0</v>
      </c>
      <c r="II291" s="844">
        <v>0</v>
      </c>
      <c r="IJ291" s="844">
        <v>0</v>
      </c>
    </row>
    <row r="292" spans="9:245" hidden="1">
      <c r="I292" s="156"/>
      <c r="L292" s="846" t="s">
        <v>1060</v>
      </c>
      <c r="M292" s="846" t="s">
        <v>1382</v>
      </c>
      <c r="N292" s="846" t="s">
        <v>97</v>
      </c>
      <c r="O292" s="847">
        <v>57</v>
      </c>
      <c r="P292" s="780" t="str">
        <f t="shared" si="10"/>
        <v>IWT060257</v>
      </c>
      <c r="Q292" s="847">
        <v>0</v>
      </c>
      <c r="R292" s="847">
        <v>0</v>
      </c>
      <c r="S292" s="847">
        <v>0</v>
      </c>
      <c r="T292" s="847">
        <v>0</v>
      </c>
      <c r="U292" s="847">
        <v>0</v>
      </c>
      <c r="V292" s="847">
        <v>0</v>
      </c>
      <c r="W292" s="847">
        <v>0</v>
      </c>
      <c r="X292" s="847">
        <v>0</v>
      </c>
      <c r="Y292" s="847">
        <v>0</v>
      </c>
      <c r="Z292" s="847">
        <v>0</v>
      </c>
      <c r="AA292" s="847">
        <v>0</v>
      </c>
      <c r="AB292" s="847">
        <v>0</v>
      </c>
      <c r="AC292" s="847">
        <v>0</v>
      </c>
      <c r="AD292" s="847">
        <v>0</v>
      </c>
      <c r="AE292" s="847">
        <v>0</v>
      </c>
      <c r="AF292" s="847">
        <v>0</v>
      </c>
      <c r="AG292" s="847">
        <v>0</v>
      </c>
      <c r="AH292" s="847">
        <v>0</v>
      </c>
      <c r="AI292" s="847">
        <v>0</v>
      </c>
      <c r="AJ292" s="847">
        <v>0</v>
      </c>
      <c r="AK292" s="847">
        <v>0</v>
      </c>
      <c r="AL292" s="847">
        <v>0</v>
      </c>
      <c r="AM292" s="847">
        <v>0</v>
      </c>
      <c r="AN292" s="847">
        <v>0</v>
      </c>
      <c r="AO292" s="847">
        <v>0</v>
      </c>
      <c r="AP292" s="847">
        <v>0</v>
      </c>
      <c r="AQ292" s="847">
        <v>0</v>
      </c>
      <c r="AR292" s="847">
        <v>0</v>
      </c>
      <c r="AS292" s="847">
        <v>0</v>
      </c>
      <c r="AT292" s="847">
        <v>0</v>
      </c>
      <c r="AU292" s="847">
        <v>0</v>
      </c>
      <c r="AV292" s="847">
        <v>0</v>
      </c>
      <c r="AW292" s="847">
        <v>0</v>
      </c>
      <c r="AX292" s="847">
        <v>0</v>
      </c>
      <c r="AY292" s="847">
        <v>0</v>
      </c>
      <c r="AZ292" s="847">
        <v>0</v>
      </c>
      <c r="BA292" s="847">
        <v>0</v>
      </c>
      <c r="BB292" s="847">
        <v>0</v>
      </c>
      <c r="BC292" s="847">
        <v>0</v>
      </c>
      <c r="BD292" s="847">
        <v>0</v>
      </c>
      <c r="BE292" s="847">
        <v>0</v>
      </c>
      <c r="BF292" s="847">
        <v>0</v>
      </c>
      <c r="BG292" s="847">
        <v>0</v>
      </c>
      <c r="BH292" s="847">
        <v>0</v>
      </c>
      <c r="BI292" s="847">
        <v>0</v>
      </c>
      <c r="BJ292" s="847">
        <v>0</v>
      </c>
      <c r="BK292" s="847">
        <v>0</v>
      </c>
      <c r="BL292" s="847">
        <v>0</v>
      </c>
      <c r="BM292" s="847">
        <v>0</v>
      </c>
      <c r="BN292" s="847">
        <v>0</v>
      </c>
      <c r="BO292" s="847">
        <v>0</v>
      </c>
      <c r="BP292" s="847">
        <v>0</v>
      </c>
      <c r="BQ292" s="847">
        <v>0</v>
      </c>
      <c r="BR292" s="847">
        <v>77200</v>
      </c>
      <c r="BS292" s="847">
        <v>0</v>
      </c>
      <c r="BT292" s="847">
        <v>0</v>
      </c>
      <c r="BU292" s="847">
        <v>0</v>
      </c>
      <c r="BV292" s="847">
        <v>0</v>
      </c>
      <c r="BW292" s="847">
        <v>0</v>
      </c>
      <c r="BX292" s="847">
        <v>0</v>
      </c>
      <c r="BY292" s="847">
        <v>0</v>
      </c>
      <c r="BZ292" s="847">
        <v>0</v>
      </c>
      <c r="CA292" s="847">
        <v>0</v>
      </c>
      <c r="CB292" s="847">
        <v>0</v>
      </c>
      <c r="CC292" s="847">
        <v>0</v>
      </c>
      <c r="CD292" s="847">
        <v>0</v>
      </c>
      <c r="CE292" s="847">
        <v>0</v>
      </c>
      <c r="CF292" s="847">
        <v>0</v>
      </c>
      <c r="CG292" s="847">
        <v>0</v>
      </c>
      <c r="CH292" s="847">
        <v>0</v>
      </c>
      <c r="CI292" s="847">
        <v>0</v>
      </c>
      <c r="CJ292" s="847">
        <v>0</v>
      </c>
      <c r="CK292" s="847">
        <v>0</v>
      </c>
      <c r="CL292" s="847">
        <v>0</v>
      </c>
      <c r="CM292" s="847">
        <v>0</v>
      </c>
      <c r="CN292" s="847">
        <v>0</v>
      </c>
      <c r="CO292" s="847">
        <v>0</v>
      </c>
      <c r="CP292" s="847">
        <v>0</v>
      </c>
      <c r="CQ292" s="847">
        <v>0</v>
      </c>
      <c r="CR292" s="847">
        <v>0</v>
      </c>
      <c r="CS292" s="847">
        <v>0</v>
      </c>
      <c r="CT292" s="847">
        <v>0</v>
      </c>
      <c r="CU292" s="847">
        <v>0</v>
      </c>
      <c r="CV292" s="847">
        <v>0</v>
      </c>
      <c r="CW292" s="847">
        <v>0</v>
      </c>
      <c r="CX292" s="847">
        <v>0</v>
      </c>
      <c r="CY292" s="847">
        <v>0</v>
      </c>
      <c r="CZ292" s="847">
        <v>0</v>
      </c>
      <c r="DA292" s="847">
        <v>0</v>
      </c>
      <c r="DB292" s="847">
        <v>0</v>
      </c>
      <c r="DC292" s="847">
        <v>0</v>
      </c>
      <c r="DD292" s="847">
        <v>0</v>
      </c>
      <c r="DE292" s="847">
        <v>0</v>
      </c>
      <c r="DF292" s="847">
        <v>0</v>
      </c>
      <c r="DG292" s="847">
        <v>0</v>
      </c>
      <c r="DH292" s="847">
        <v>0</v>
      </c>
      <c r="DI292" s="847">
        <v>0</v>
      </c>
      <c r="DJ292" s="847">
        <v>0</v>
      </c>
      <c r="DK292" s="847">
        <v>0</v>
      </c>
      <c r="DL292" s="847">
        <v>0</v>
      </c>
      <c r="DM292" s="847">
        <v>0</v>
      </c>
      <c r="DN292" s="847">
        <v>0</v>
      </c>
      <c r="DO292" s="847">
        <v>0</v>
      </c>
      <c r="DP292" s="847">
        <v>0</v>
      </c>
      <c r="DQ292" s="847">
        <v>0</v>
      </c>
      <c r="DR292" s="847">
        <v>0</v>
      </c>
      <c r="DS292" s="847">
        <v>0</v>
      </c>
      <c r="DT292" s="847">
        <v>0</v>
      </c>
      <c r="DU292" s="847">
        <v>0</v>
      </c>
      <c r="DV292" s="847">
        <v>0</v>
      </c>
      <c r="DW292" s="847">
        <v>0</v>
      </c>
      <c r="DY292" s="843" t="s">
        <v>1060</v>
      </c>
      <c r="DZ292" s="843" t="s">
        <v>1382</v>
      </c>
      <c r="EA292" s="843" t="s">
        <v>97</v>
      </c>
      <c r="EB292" s="844">
        <v>57</v>
      </c>
      <c r="EC292" s="780" t="str">
        <f t="shared" si="11"/>
        <v>IWT060257</v>
      </c>
      <c r="ED292" s="844">
        <v>5377.4</v>
      </c>
      <c r="EE292" s="844">
        <v>10754.8</v>
      </c>
      <c r="EF292" s="844">
        <v>16132.1</v>
      </c>
      <c r="EG292" s="844">
        <v>21509.5</v>
      </c>
      <c r="EH292" s="844">
        <v>26886.9</v>
      </c>
      <c r="EI292" s="844">
        <v>32264.3</v>
      </c>
      <c r="EJ292" s="844">
        <v>32264.3</v>
      </c>
      <c r="EK292" s="844">
        <v>32264.3</v>
      </c>
      <c r="EL292" s="844">
        <v>32264.3</v>
      </c>
      <c r="EM292" s="844">
        <v>32757</v>
      </c>
      <c r="EN292" s="844">
        <v>33413</v>
      </c>
      <c r="EO292" s="844">
        <v>34081</v>
      </c>
      <c r="EP292" s="844">
        <v>34762</v>
      </c>
      <c r="EQ292" s="844">
        <v>35458</v>
      </c>
      <c r="ER292" s="844">
        <v>36167</v>
      </c>
      <c r="ES292" s="844">
        <v>36890</v>
      </c>
      <c r="ET292" s="844">
        <v>37628</v>
      </c>
      <c r="EU292" s="844">
        <v>38380</v>
      </c>
      <c r="EV292" s="844">
        <v>39148</v>
      </c>
      <c r="EW292" s="844">
        <v>39931</v>
      </c>
      <c r="EX292" s="844">
        <v>40729</v>
      </c>
      <c r="EY292" s="844">
        <v>41544</v>
      </c>
      <c r="EZ292" s="844">
        <v>42375</v>
      </c>
      <c r="FA292" s="844">
        <v>43222</v>
      </c>
      <c r="FB292" s="844">
        <v>44086</v>
      </c>
      <c r="FC292" s="844">
        <v>44968</v>
      </c>
      <c r="FD292" s="844">
        <v>45867</v>
      </c>
      <c r="FE292" s="844">
        <v>46784</v>
      </c>
      <c r="FF292" s="844">
        <v>47720</v>
      </c>
      <c r="FG292" s="844">
        <v>48674</v>
      </c>
      <c r="FH292" s="844">
        <v>49647</v>
      </c>
      <c r="FI292" s="844">
        <v>50640</v>
      </c>
      <c r="FJ292" s="844">
        <v>51653</v>
      </c>
      <c r="FK292" s="844">
        <v>52685</v>
      </c>
      <c r="FL292" s="844">
        <v>53739</v>
      </c>
      <c r="FM292" s="844">
        <v>54813</v>
      </c>
      <c r="FN292" s="844">
        <v>55909</v>
      </c>
      <c r="FO292" s="844">
        <v>57026</v>
      </c>
      <c r="FP292" s="844">
        <v>58166</v>
      </c>
      <c r="FQ292" s="844">
        <v>59329</v>
      </c>
      <c r="FR292" s="844">
        <v>60515</v>
      </c>
      <c r="FS292" s="844">
        <v>61724</v>
      </c>
      <c r="FT292" s="844">
        <v>62957</v>
      </c>
      <c r="FU292" s="844">
        <v>64215</v>
      </c>
      <c r="FV292" s="844">
        <v>65498</v>
      </c>
      <c r="FW292" s="844">
        <v>66806</v>
      </c>
      <c r="FX292" s="844">
        <v>68140</v>
      </c>
      <c r="FY292" s="844">
        <v>69501</v>
      </c>
      <c r="FZ292" s="844">
        <v>70878</v>
      </c>
      <c r="GA292" s="844">
        <v>72262</v>
      </c>
      <c r="GB292" s="844">
        <v>73652</v>
      </c>
      <c r="GC292" s="844">
        <v>75045</v>
      </c>
      <c r="GD292" s="844">
        <v>76439</v>
      </c>
      <c r="GE292" s="844">
        <v>77200</v>
      </c>
      <c r="GF292" s="844">
        <v>0</v>
      </c>
      <c r="GG292" s="844">
        <v>0</v>
      </c>
      <c r="GH292" s="844">
        <v>0</v>
      </c>
      <c r="GI292" s="844">
        <v>0</v>
      </c>
      <c r="GJ292" s="844">
        <v>0</v>
      </c>
      <c r="GK292" s="844">
        <v>0</v>
      </c>
      <c r="GL292" s="844">
        <v>0</v>
      </c>
      <c r="GM292" s="844">
        <v>0</v>
      </c>
      <c r="GN292" s="844">
        <v>0</v>
      </c>
      <c r="GO292" s="844">
        <v>0</v>
      </c>
      <c r="GP292" s="844">
        <v>0</v>
      </c>
      <c r="GQ292" s="844">
        <v>0</v>
      </c>
      <c r="GR292" s="844">
        <v>0</v>
      </c>
      <c r="GS292" s="844">
        <v>0</v>
      </c>
      <c r="GT292" s="844">
        <v>0</v>
      </c>
      <c r="GU292" s="844">
        <v>0</v>
      </c>
      <c r="GV292" s="844">
        <v>0</v>
      </c>
      <c r="GW292" s="844">
        <v>0</v>
      </c>
      <c r="GX292" s="844">
        <v>0</v>
      </c>
      <c r="GY292" s="844">
        <v>0</v>
      </c>
      <c r="GZ292" s="844">
        <v>0</v>
      </c>
      <c r="HA292" s="844">
        <v>0</v>
      </c>
      <c r="HB292" s="844">
        <v>0</v>
      </c>
      <c r="HC292" s="844">
        <v>0</v>
      </c>
      <c r="HD292" s="844">
        <v>0</v>
      </c>
      <c r="HE292" s="844">
        <v>0</v>
      </c>
      <c r="HF292" s="844">
        <v>0</v>
      </c>
      <c r="HG292" s="844">
        <v>0</v>
      </c>
      <c r="HH292" s="844">
        <v>0</v>
      </c>
      <c r="HI292" s="844">
        <v>0</v>
      </c>
      <c r="HJ292" s="844">
        <v>0</v>
      </c>
      <c r="HK292" s="844">
        <v>0</v>
      </c>
      <c r="HL292" s="844">
        <v>0</v>
      </c>
      <c r="HM292" s="844">
        <v>0</v>
      </c>
      <c r="HN292" s="844">
        <v>0</v>
      </c>
      <c r="HO292" s="844">
        <v>0</v>
      </c>
      <c r="HP292" s="844">
        <v>0</v>
      </c>
      <c r="HQ292" s="844">
        <v>0</v>
      </c>
      <c r="HR292" s="844">
        <v>0</v>
      </c>
      <c r="HS292" s="844">
        <v>0</v>
      </c>
      <c r="HT292" s="844">
        <v>0</v>
      </c>
      <c r="HU292" s="844">
        <v>0</v>
      </c>
      <c r="HV292" s="844">
        <v>0</v>
      </c>
      <c r="HW292" s="844">
        <v>0</v>
      </c>
      <c r="HX292" s="844">
        <v>0</v>
      </c>
      <c r="HY292" s="844">
        <v>0</v>
      </c>
      <c r="HZ292" s="844">
        <v>0</v>
      </c>
      <c r="IA292" s="844">
        <v>0</v>
      </c>
      <c r="IB292" s="844">
        <v>0</v>
      </c>
      <c r="IC292" s="844">
        <v>0</v>
      </c>
      <c r="ID292" s="844">
        <v>0</v>
      </c>
      <c r="IE292" s="844">
        <v>0</v>
      </c>
      <c r="IF292" s="844">
        <v>0</v>
      </c>
      <c r="IG292" s="844">
        <v>0</v>
      </c>
      <c r="IH292" s="844">
        <v>0</v>
      </c>
      <c r="II292" s="844">
        <v>0</v>
      </c>
      <c r="IJ292" s="844">
        <v>0</v>
      </c>
    </row>
    <row r="293" spans="9:245" hidden="1">
      <c r="I293" s="156"/>
      <c r="L293" s="846" t="s">
        <v>1060</v>
      </c>
      <c r="M293" s="846" t="s">
        <v>1382</v>
      </c>
      <c r="N293" s="846" t="s">
        <v>97</v>
      </c>
      <c r="O293" s="847">
        <v>58</v>
      </c>
      <c r="P293" s="780" t="str">
        <f t="shared" si="10"/>
        <v>IWT060258</v>
      </c>
      <c r="Q293" s="847">
        <v>0</v>
      </c>
      <c r="R293" s="847">
        <v>0</v>
      </c>
      <c r="S293" s="847">
        <v>0</v>
      </c>
      <c r="T293" s="847">
        <v>0</v>
      </c>
      <c r="U293" s="847">
        <v>0</v>
      </c>
      <c r="V293" s="847">
        <v>0</v>
      </c>
      <c r="W293" s="847">
        <v>0</v>
      </c>
      <c r="X293" s="847">
        <v>0</v>
      </c>
      <c r="Y293" s="847">
        <v>0</v>
      </c>
      <c r="Z293" s="847">
        <v>0</v>
      </c>
      <c r="AA293" s="847">
        <v>0</v>
      </c>
      <c r="AB293" s="847">
        <v>0</v>
      </c>
      <c r="AC293" s="847">
        <v>0</v>
      </c>
      <c r="AD293" s="847">
        <v>0</v>
      </c>
      <c r="AE293" s="847">
        <v>0</v>
      </c>
      <c r="AF293" s="847">
        <v>0</v>
      </c>
      <c r="AG293" s="847">
        <v>0</v>
      </c>
      <c r="AH293" s="847">
        <v>0</v>
      </c>
      <c r="AI293" s="847">
        <v>0</v>
      </c>
      <c r="AJ293" s="847">
        <v>0</v>
      </c>
      <c r="AK293" s="847">
        <v>0</v>
      </c>
      <c r="AL293" s="847">
        <v>0</v>
      </c>
      <c r="AM293" s="847">
        <v>0</v>
      </c>
      <c r="AN293" s="847">
        <v>0</v>
      </c>
      <c r="AO293" s="847">
        <v>0</v>
      </c>
      <c r="AP293" s="847">
        <v>0</v>
      </c>
      <c r="AQ293" s="847">
        <v>0</v>
      </c>
      <c r="AR293" s="847">
        <v>0</v>
      </c>
      <c r="AS293" s="847">
        <v>0</v>
      </c>
      <c r="AT293" s="847">
        <v>0</v>
      </c>
      <c r="AU293" s="847">
        <v>0</v>
      </c>
      <c r="AV293" s="847">
        <v>0</v>
      </c>
      <c r="AW293" s="847">
        <v>0</v>
      </c>
      <c r="AX293" s="847">
        <v>0</v>
      </c>
      <c r="AY293" s="847">
        <v>0</v>
      </c>
      <c r="AZ293" s="847">
        <v>0</v>
      </c>
      <c r="BA293" s="847">
        <v>0</v>
      </c>
      <c r="BB293" s="847">
        <v>0</v>
      </c>
      <c r="BC293" s="847">
        <v>0</v>
      </c>
      <c r="BD293" s="847">
        <v>0</v>
      </c>
      <c r="BE293" s="847">
        <v>0</v>
      </c>
      <c r="BF293" s="847">
        <v>0</v>
      </c>
      <c r="BG293" s="847">
        <v>0</v>
      </c>
      <c r="BH293" s="847">
        <v>0</v>
      </c>
      <c r="BI293" s="847">
        <v>0</v>
      </c>
      <c r="BJ293" s="847">
        <v>0</v>
      </c>
      <c r="BK293" s="847">
        <v>0</v>
      </c>
      <c r="BL293" s="847">
        <v>0</v>
      </c>
      <c r="BM293" s="847">
        <v>0</v>
      </c>
      <c r="BN293" s="847">
        <v>0</v>
      </c>
      <c r="BO293" s="847">
        <v>0</v>
      </c>
      <c r="BP293" s="847">
        <v>0</v>
      </c>
      <c r="BQ293" s="847">
        <v>75800</v>
      </c>
      <c r="BR293" s="847">
        <v>0</v>
      </c>
      <c r="BS293" s="847">
        <v>0</v>
      </c>
      <c r="BT293" s="847">
        <v>0</v>
      </c>
      <c r="BU293" s="847">
        <v>0</v>
      </c>
      <c r="BV293" s="847">
        <v>0</v>
      </c>
      <c r="BW293" s="847">
        <v>0</v>
      </c>
      <c r="BX293" s="847">
        <v>0</v>
      </c>
      <c r="BY293" s="847">
        <v>0</v>
      </c>
      <c r="BZ293" s="847">
        <v>0</v>
      </c>
      <c r="CA293" s="847">
        <v>0</v>
      </c>
      <c r="CB293" s="847">
        <v>0</v>
      </c>
      <c r="CC293" s="847">
        <v>0</v>
      </c>
      <c r="CD293" s="847">
        <v>0</v>
      </c>
      <c r="CE293" s="847">
        <v>0</v>
      </c>
      <c r="CF293" s="847">
        <v>0</v>
      </c>
      <c r="CG293" s="847">
        <v>0</v>
      </c>
      <c r="CH293" s="847">
        <v>0</v>
      </c>
      <c r="CI293" s="847">
        <v>0</v>
      </c>
      <c r="CJ293" s="847">
        <v>0</v>
      </c>
      <c r="CK293" s="847">
        <v>0</v>
      </c>
      <c r="CL293" s="847">
        <v>0</v>
      </c>
      <c r="CM293" s="847">
        <v>0</v>
      </c>
      <c r="CN293" s="847">
        <v>0</v>
      </c>
      <c r="CO293" s="847">
        <v>0</v>
      </c>
      <c r="CP293" s="847">
        <v>0</v>
      </c>
      <c r="CQ293" s="847">
        <v>0</v>
      </c>
      <c r="CR293" s="847">
        <v>0</v>
      </c>
      <c r="CS293" s="847">
        <v>0</v>
      </c>
      <c r="CT293" s="847">
        <v>0</v>
      </c>
      <c r="CU293" s="847">
        <v>0</v>
      </c>
      <c r="CV293" s="847">
        <v>0</v>
      </c>
      <c r="CW293" s="847">
        <v>0</v>
      </c>
      <c r="CX293" s="847">
        <v>0</v>
      </c>
      <c r="CY293" s="847">
        <v>0</v>
      </c>
      <c r="CZ293" s="847">
        <v>0</v>
      </c>
      <c r="DA293" s="847">
        <v>0</v>
      </c>
      <c r="DB293" s="847">
        <v>0</v>
      </c>
      <c r="DC293" s="847">
        <v>0</v>
      </c>
      <c r="DD293" s="847">
        <v>0</v>
      </c>
      <c r="DE293" s="847">
        <v>0</v>
      </c>
      <c r="DF293" s="847">
        <v>0</v>
      </c>
      <c r="DG293" s="847">
        <v>0</v>
      </c>
      <c r="DH293" s="847">
        <v>0</v>
      </c>
      <c r="DI293" s="847">
        <v>0</v>
      </c>
      <c r="DJ293" s="847">
        <v>0</v>
      </c>
      <c r="DK293" s="847">
        <v>0</v>
      </c>
      <c r="DL293" s="847">
        <v>0</v>
      </c>
      <c r="DM293" s="847">
        <v>0</v>
      </c>
      <c r="DN293" s="847">
        <v>0</v>
      </c>
      <c r="DO293" s="847">
        <v>0</v>
      </c>
      <c r="DP293" s="847">
        <v>0</v>
      </c>
      <c r="DQ293" s="847">
        <v>0</v>
      </c>
      <c r="DR293" s="847">
        <v>0</v>
      </c>
      <c r="DS293" s="847">
        <v>0</v>
      </c>
      <c r="DT293" s="847">
        <v>0</v>
      </c>
      <c r="DU293" s="847">
        <v>0</v>
      </c>
      <c r="DV293" s="847">
        <v>0</v>
      </c>
      <c r="DW293" s="847">
        <v>0</v>
      </c>
      <c r="DY293" s="843" t="s">
        <v>1060</v>
      </c>
      <c r="DZ293" s="843" t="s">
        <v>1382</v>
      </c>
      <c r="EA293" s="843" t="s">
        <v>97</v>
      </c>
      <c r="EB293" s="844">
        <v>58</v>
      </c>
      <c r="EC293" s="780" t="str">
        <f t="shared" si="11"/>
        <v>IWT060258</v>
      </c>
      <c r="ED293" s="844">
        <v>5379.5</v>
      </c>
      <c r="EE293" s="844">
        <v>10759</v>
      </c>
      <c r="EF293" s="844">
        <v>16138.5</v>
      </c>
      <c r="EG293" s="844">
        <v>21518</v>
      </c>
      <c r="EH293" s="844">
        <v>26897.5</v>
      </c>
      <c r="EI293" s="844">
        <v>32277</v>
      </c>
      <c r="EJ293" s="844">
        <v>32277</v>
      </c>
      <c r="EK293" s="844">
        <v>32277</v>
      </c>
      <c r="EL293" s="844">
        <v>32277</v>
      </c>
      <c r="EM293" s="844">
        <v>32760</v>
      </c>
      <c r="EN293" s="844">
        <v>33415</v>
      </c>
      <c r="EO293" s="844">
        <v>34084</v>
      </c>
      <c r="EP293" s="844">
        <v>34765</v>
      </c>
      <c r="EQ293" s="844">
        <v>35461</v>
      </c>
      <c r="ER293" s="844">
        <v>36170</v>
      </c>
      <c r="ES293" s="844">
        <v>36893</v>
      </c>
      <c r="ET293" s="844">
        <v>37631</v>
      </c>
      <c r="EU293" s="844">
        <v>38384</v>
      </c>
      <c r="EV293" s="844">
        <v>39151</v>
      </c>
      <c r="EW293" s="844">
        <v>39934</v>
      </c>
      <c r="EX293" s="844">
        <v>40733</v>
      </c>
      <c r="EY293" s="844">
        <v>41547</v>
      </c>
      <c r="EZ293" s="844">
        <v>42378</v>
      </c>
      <c r="FA293" s="844">
        <v>43226</v>
      </c>
      <c r="FB293" s="844">
        <v>44090</v>
      </c>
      <c r="FC293" s="844">
        <v>44972</v>
      </c>
      <c r="FD293" s="844">
        <v>45871</v>
      </c>
      <c r="FE293" s="844">
        <v>46788</v>
      </c>
      <c r="FF293" s="844">
        <v>47724</v>
      </c>
      <c r="FG293" s="844">
        <v>48678</v>
      </c>
      <c r="FH293" s="844">
        <v>49651</v>
      </c>
      <c r="FI293" s="844">
        <v>50644</v>
      </c>
      <c r="FJ293" s="844">
        <v>51657</v>
      </c>
      <c r="FK293" s="844">
        <v>52690</v>
      </c>
      <c r="FL293" s="844">
        <v>53743</v>
      </c>
      <c r="FM293" s="844">
        <v>54817</v>
      </c>
      <c r="FN293" s="844">
        <v>55913</v>
      </c>
      <c r="FO293" s="844">
        <v>57031</v>
      </c>
      <c r="FP293" s="844">
        <v>58171</v>
      </c>
      <c r="FQ293" s="844">
        <v>59333</v>
      </c>
      <c r="FR293" s="844">
        <v>60519</v>
      </c>
      <c r="FS293" s="844">
        <v>61728</v>
      </c>
      <c r="FT293" s="844">
        <v>62961</v>
      </c>
      <c r="FU293" s="844">
        <v>64219</v>
      </c>
      <c r="FV293" s="844">
        <v>65502</v>
      </c>
      <c r="FW293" s="844">
        <v>66810</v>
      </c>
      <c r="FX293" s="844">
        <v>68144</v>
      </c>
      <c r="FY293" s="844">
        <v>69504</v>
      </c>
      <c r="FZ293" s="844">
        <v>70884</v>
      </c>
      <c r="GA293" s="844">
        <v>72270</v>
      </c>
      <c r="GB293" s="844">
        <v>73661</v>
      </c>
      <c r="GC293" s="844">
        <v>75053</v>
      </c>
      <c r="GD293" s="844">
        <v>75800</v>
      </c>
      <c r="GE293" s="844">
        <v>0</v>
      </c>
      <c r="GF293" s="844">
        <v>0</v>
      </c>
      <c r="GG293" s="844">
        <v>0</v>
      </c>
      <c r="GH293" s="844">
        <v>0</v>
      </c>
      <c r="GI293" s="844">
        <v>0</v>
      </c>
      <c r="GJ293" s="844">
        <v>0</v>
      </c>
      <c r="GK293" s="844">
        <v>0</v>
      </c>
      <c r="GL293" s="844">
        <v>0</v>
      </c>
      <c r="GM293" s="844">
        <v>0</v>
      </c>
      <c r="GN293" s="844">
        <v>0</v>
      </c>
      <c r="GO293" s="844">
        <v>0</v>
      </c>
      <c r="GP293" s="844">
        <v>0</v>
      </c>
      <c r="GQ293" s="844">
        <v>0</v>
      </c>
      <c r="GR293" s="844">
        <v>0</v>
      </c>
      <c r="GS293" s="844">
        <v>0</v>
      </c>
      <c r="GT293" s="844">
        <v>0</v>
      </c>
      <c r="GU293" s="844">
        <v>0</v>
      </c>
      <c r="GV293" s="844">
        <v>0</v>
      </c>
      <c r="GW293" s="844">
        <v>0</v>
      </c>
      <c r="GX293" s="844">
        <v>0</v>
      </c>
      <c r="GY293" s="844">
        <v>0</v>
      </c>
      <c r="GZ293" s="844">
        <v>0</v>
      </c>
      <c r="HA293" s="844">
        <v>0</v>
      </c>
      <c r="HB293" s="844">
        <v>0</v>
      </c>
      <c r="HC293" s="844">
        <v>0</v>
      </c>
      <c r="HD293" s="844">
        <v>0</v>
      </c>
      <c r="HE293" s="844">
        <v>0</v>
      </c>
      <c r="HF293" s="844">
        <v>0</v>
      </c>
      <c r="HG293" s="844">
        <v>0</v>
      </c>
      <c r="HH293" s="844">
        <v>0</v>
      </c>
      <c r="HI293" s="844">
        <v>0</v>
      </c>
      <c r="HJ293" s="844">
        <v>0</v>
      </c>
      <c r="HK293" s="844">
        <v>0</v>
      </c>
      <c r="HL293" s="844">
        <v>0</v>
      </c>
      <c r="HM293" s="844">
        <v>0</v>
      </c>
      <c r="HN293" s="844">
        <v>0</v>
      </c>
      <c r="HO293" s="844">
        <v>0</v>
      </c>
      <c r="HP293" s="844">
        <v>0</v>
      </c>
      <c r="HQ293" s="844">
        <v>0</v>
      </c>
      <c r="HR293" s="844">
        <v>0</v>
      </c>
      <c r="HS293" s="844">
        <v>0</v>
      </c>
      <c r="HT293" s="844">
        <v>0</v>
      </c>
      <c r="HU293" s="844">
        <v>0</v>
      </c>
      <c r="HV293" s="844">
        <v>0</v>
      </c>
      <c r="HW293" s="844">
        <v>0</v>
      </c>
      <c r="HX293" s="844">
        <v>0</v>
      </c>
      <c r="HY293" s="844">
        <v>0</v>
      </c>
      <c r="HZ293" s="844">
        <v>0</v>
      </c>
      <c r="IA293" s="844">
        <v>0</v>
      </c>
      <c r="IB293" s="844">
        <v>0</v>
      </c>
      <c r="IC293" s="844">
        <v>0</v>
      </c>
      <c r="ID293" s="844">
        <v>0</v>
      </c>
      <c r="IE293" s="844">
        <v>0</v>
      </c>
      <c r="IF293" s="844">
        <v>0</v>
      </c>
      <c r="IG293" s="844">
        <v>0</v>
      </c>
      <c r="IH293" s="844">
        <v>0</v>
      </c>
      <c r="II293" s="844">
        <v>0</v>
      </c>
      <c r="IJ293" s="844">
        <v>0</v>
      </c>
    </row>
    <row r="294" spans="9:245" hidden="1">
      <c r="I294" s="156"/>
      <c r="L294" s="846" t="s">
        <v>1060</v>
      </c>
      <c r="M294" s="846" t="s">
        <v>1382</v>
      </c>
      <c r="N294" s="846" t="s">
        <v>97</v>
      </c>
      <c r="O294" s="847">
        <v>59</v>
      </c>
      <c r="P294" s="780" t="str">
        <f t="shared" si="10"/>
        <v>IWT060259</v>
      </c>
      <c r="Q294" s="847">
        <v>0</v>
      </c>
      <c r="R294" s="847">
        <v>0</v>
      </c>
      <c r="S294" s="847">
        <v>0</v>
      </c>
      <c r="T294" s="847">
        <v>0</v>
      </c>
      <c r="U294" s="847">
        <v>0</v>
      </c>
      <c r="V294" s="847">
        <v>0</v>
      </c>
      <c r="W294" s="847">
        <v>0</v>
      </c>
      <c r="X294" s="847">
        <v>0</v>
      </c>
      <c r="Y294" s="847">
        <v>0</v>
      </c>
      <c r="Z294" s="847">
        <v>0</v>
      </c>
      <c r="AA294" s="847">
        <v>0</v>
      </c>
      <c r="AB294" s="847">
        <v>0</v>
      </c>
      <c r="AC294" s="847">
        <v>0</v>
      </c>
      <c r="AD294" s="847">
        <v>0</v>
      </c>
      <c r="AE294" s="847">
        <v>0</v>
      </c>
      <c r="AF294" s="847">
        <v>0</v>
      </c>
      <c r="AG294" s="847">
        <v>0</v>
      </c>
      <c r="AH294" s="847">
        <v>0</v>
      </c>
      <c r="AI294" s="847">
        <v>0</v>
      </c>
      <c r="AJ294" s="847">
        <v>0</v>
      </c>
      <c r="AK294" s="847">
        <v>0</v>
      </c>
      <c r="AL294" s="847">
        <v>0</v>
      </c>
      <c r="AM294" s="847">
        <v>0</v>
      </c>
      <c r="AN294" s="847">
        <v>0</v>
      </c>
      <c r="AO294" s="847">
        <v>0</v>
      </c>
      <c r="AP294" s="847">
        <v>0</v>
      </c>
      <c r="AQ294" s="847">
        <v>0</v>
      </c>
      <c r="AR294" s="847">
        <v>0</v>
      </c>
      <c r="AS294" s="847">
        <v>0</v>
      </c>
      <c r="AT294" s="847">
        <v>0</v>
      </c>
      <c r="AU294" s="847">
        <v>0</v>
      </c>
      <c r="AV294" s="847">
        <v>0</v>
      </c>
      <c r="AW294" s="847">
        <v>0</v>
      </c>
      <c r="AX294" s="847">
        <v>0</v>
      </c>
      <c r="AY294" s="847">
        <v>0</v>
      </c>
      <c r="AZ294" s="847">
        <v>0</v>
      </c>
      <c r="BA294" s="847">
        <v>0</v>
      </c>
      <c r="BB294" s="847">
        <v>0</v>
      </c>
      <c r="BC294" s="847">
        <v>0</v>
      </c>
      <c r="BD294" s="847">
        <v>0</v>
      </c>
      <c r="BE294" s="847">
        <v>0</v>
      </c>
      <c r="BF294" s="847">
        <v>0</v>
      </c>
      <c r="BG294" s="847">
        <v>0</v>
      </c>
      <c r="BH294" s="847">
        <v>0</v>
      </c>
      <c r="BI294" s="847">
        <v>0</v>
      </c>
      <c r="BJ294" s="847">
        <v>0</v>
      </c>
      <c r="BK294" s="847">
        <v>0</v>
      </c>
      <c r="BL294" s="847">
        <v>0</v>
      </c>
      <c r="BM294" s="847">
        <v>0</v>
      </c>
      <c r="BN294" s="847">
        <v>0</v>
      </c>
      <c r="BO294" s="847">
        <v>0</v>
      </c>
      <c r="BP294" s="847">
        <v>74400</v>
      </c>
      <c r="BQ294" s="847">
        <v>0</v>
      </c>
      <c r="BR294" s="847">
        <v>0</v>
      </c>
      <c r="BS294" s="847">
        <v>0</v>
      </c>
      <c r="BT294" s="847">
        <v>0</v>
      </c>
      <c r="BU294" s="847">
        <v>0</v>
      </c>
      <c r="BV294" s="847">
        <v>0</v>
      </c>
      <c r="BW294" s="847">
        <v>0</v>
      </c>
      <c r="BX294" s="847">
        <v>0</v>
      </c>
      <c r="BY294" s="847">
        <v>0</v>
      </c>
      <c r="BZ294" s="847">
        <v>0</v>
      </c>
      <c r="CA294" s="847">
        <v>0</v>
      </c>
      <c r="CB294" s="847">
        <v>0</v>
      </c>
      <c r="CC294" s="847">
        <v>0</v>
      </c>
      <c r="CD294" s="847">
        <v>0</v>
      </c>
      <c r="CE294" s="847">
        <v>0</v>
      </c>
      <c r="CF294" s="847">
        <v>0</v>
      </c>
      <c r="CG294" s="847">
        <v>0</v>
      </c>
      <c r="CH294" s="847">
        <v>0</v>
      </c>
      <c r="CI294" s="847">
        <v>0</v>
      </c>
      <c r="CJ294" s="847">
        <v>0</v>
      </c>
      <c r="CK294" s="847">
        <v>0</v>
      </c>
      <c r="CL294" s="847">
        <v>0</v>
      </c>
      <c r="CM294" s="847">
        <v>0</v>
      </c>
      <c r="CN294" s="847">
        <v>0</v>
      </c>
      <c r="CO294" s="847">
        <v>0</v>
      </c>
      <c r="CP294" s="847">
        <v>0</v>
      </c>
      <c r="CQ294" s="847">
        <v>0</v>
      </c>
      <c r="CR294" s="847">
        <v>0</v>
      </c>
      <c r="CS294" s="847">
        <v>0</v>
      </c>
      <c r="CT294" s="847">
        <v>0</v>
      </c>
      <c r="CU294" s="847">
        <v>0</v>
      </c>
      <c r="CV294" s="847">
        <v>0</v>
      </c>
      <c r="CW294" s="847">
        <v>0</v>
      </c>
      <c r="CX294" s="847">
        <v>0</v>
      </c>
      <c r="CY294" s="847">
        <v>0</v>
      </c>
      <c r="CZ294" s="847">
        <v>0</v>
      </c>
      <c r="DA294" s="847">
        <v>0</v>
      </c>
      <c r="DB294" s="847">
        <v>0</v>
      </c>
      <c r="DC294" s="847">
        <v>0</v>
      </c>
      <c r="DD294" s="847">
        <v>0</v>
      </c>
      <c r="DE294" s="847">
        <v>0</v>
      </c>
      <c r="DF294" s="847">
        <v>0</v>
      </c>
      <c r="DG294" s="847">
        <v>0</v>
      </c>
      <c r="DH294" s="847">
        <v>0</v>
      </c>
      <c r="DI294" s="847">
        <v>0</v>
      </c>
      <c r="DJ294" s="847">
        <v>0</v>
      </c>
      <c r="DK294" s="847">
        <v>0</v>
      </c>
      <c r="DL294" s="847">
        <v>0</v>
      </c>
      <c r="DM294" s="847">
        <v>0</v>
      </c>
      <c r="DN294" s="847">
        <v>0</v>
      </c>
      <c r="DO294" s="847">
        <v>0</v>
      </c>
      <c r="DP294" s="847">
        <v>0</v>
      </c>
      <c r="DQ294" s="847">
        <v>0</v>
      </c>
      <c r="DR294" s="847">
        <v>0</v>
      </c>
      <c r="DS294" s="847">
        <v>0</v>
      </c>
      <c r="DT294" s="847">
        <v>0</v>
      </c>
      <c r="DU294" s="847">
        <v>0</v>
      </c>
      <c r="DV294" s="847">
        <v>0</v>
      </c>
      <c r="DW294" s="847">
        <v>0</v>
      </c>
      <c r="DY294" s="843" t="s">
        <v>1060</v>
      </c>
      <c r="DZ294" s="843" t="s">
        <v>1382</v>
      </c>
      <c r="EA294" s="843" t="s">
        <v>97</v>
      </c>
      <c r="EB294" s="844">
        <v>59</v>
      </c>
      <c r="EC294" s="780" t="str">
        <f t="shared" si="11"/>
        <v>IWT060259</v>
      </c>
      <c r="ED294" s="844">
        <v>5381.6</v>
      </c>
      <c r="EE294" s="844">
        <v>10763.2</v>
      </c>
      <c r="EF294" s="844">
        <v>16144.9</v>
      </c>
      <c r="EG294" s="844">
        <v>21526.5</v>
      </c>
      <c r="EH294" s="844">
        <v>26908.1</v>
      </c>
      <c r="EI294" s="844">
        <v>32289.7</v>
      </c>
      <c r="EJ294" s="844">
        <v>32289.7</v>
      </c>
      <c r="EK294" s="844">
        <v>32289.7</v>
      </c>
      <c r="EL294" s="844">
        <v>32289.7</v>
      </c>
      <c r="EM294" s="844">
        <v>32763</v>
      </c>
      <c r="EN294" s="844">
        <v>33418</v>
      </c>
      <c r="EO294" s="844">
        <v>34087</v>
      </c>
      <c r="EP294" s="844">
        <v>34768</v>
      </c>
      <c r="EQ294" s="844">
        <v>35464</v>
      </c>
      <c r="ER294" s="844">
        <v>36173</v>
      </c>
      <c r="ES294" s="844">
        <v>36896</v>
      </c>
      <c r="ET294" s="844">
        <v>37634</v>
      </c>
      <c r="EU294" s="844">
        <v>38387</v>
      </c>
      <c r="EV294" s="844">
        <v>39154</v>
      </c>
      <c r="EW294" s="844">
        <v>39937</v>
      </c>
      <c r="EX294" s="844">
        <v>40736</v>
      </c>
      <c r="EY294" s="844">
        <v>41551</v>
      </c>
      <c r="EZ294" s="844">
        <v>42382</v>
      </c>
      <c r="FA294" s="844">
        <v>43229</v>
      </c>
      <c r="FB294" s="844">
        <v>44094</v>
      </c>
      <c r="FC294" s="844">
        <v>44975</v>
      </c>
      <c r="FD294" s="844">
        <v>45875</v>
      </c>
      <c r="FE294" s="844">
        <v>46792</v>
      </c>
      <c r="FF294" s="844">
        <v>47728</v>
      </c>
      <c r="FG294" s="844">
        <v>48682</v>
      </c>
      <c r="FH294" s="844">
        <v>49655</v>
      </c>
      <c r="FI294" s="844">
        <v>50648</v>
      </c>
      <c r="FJ294" s="844">
        <v>51661</v>
      </c>
      <c r="FK294" s="844">
        <v>52694</v>
      </c>
      <c r="FL294" s="844">
        <v>53747</v>
      </c>
      <c r="FM294" s="844">
        <v>54821</v>
      </c>
      <c r="FN294" s="844">
        <v>55917</v>
      </c>
      <c r="FO294" s="844">
        <v>57035</v>
      </c>
      <c r="FP294" s="844">
        <v>58175</v>
      </c>
      <c r="FQ294" s="844">
        <v>59337</v>
      </c>
      <c r="FR294" s="844">
        <v>60523</v>
      </c>
      <c r="FS294" s="844">
        <v>61732</v>
      </c>
      <c r="FT294" s="844">
        <v>62965</v>
      </c>
      <c r="FU294" s="844">
        <v>64223</v>
      </c>
      <c r="FV294" s="844">
        <v>65505</v>
      </c>
      <c r="FW294" s="844">
        <v>66813</v>
      </c>
      <c r="FX294" s="844">
        <v>68146</v>
      </c>
      <c r="FY294" s="844">
        <v>69506</v>
      </c>
      <c r="FZ294" s="844">
        <v>70889</v>
      </c>
      <c r="GA294" s="844">
        <v>72277</v>
      </c>
      <c r="GB294" s="844">
        <v>73667</v>
      </c>
      <c r="GC294" s="844">
        <v>74400</v>
      </c>
      <c r="GD294" s="844">
        <v>0</v>
      </c>
      <c r="GE294" s="844">
        <v>0</v>
      </c>
      <c r="GF294" s="844">
        <v>0</v>
      </c>
      <c r="GG294" s="844">
        <v>0</v>
      </c>
      <c r="GH294" s="844">
        <v>0</v>
      </c>
      <c r="GI294" s="844">
        <v>0</v>
      </c>
      <c r="GJ294" s="844">
        <v>0</v>
      </c>
      <c r="GK294" s="844">
        <v>0</v>
      </c>
      <c r="GL294" s="844">
        <v>0</v>
      </c>
      <c r="GM294" s="844">
        <v>0</v>
      </c>
      <c r="GN294" s="844">
        <v>0</v>
      </c>
      <c r="GO294" s="844">
        <v>0</v>
      </c>
      <c r="GP294" s="844">
        <v>0</v>
      </c>
      <c r="GQ294" s="844">
        <v>0</v>
      </c>
      <c r="GR294" s="844">
        <v>0</v>
      </c>
      <c r="GS294" s="844">
        <v>0</v>
      </c>
      <c r="GT294" s="844">
        <v>0</v>
      </c>
      <c r="GU294" s="844">
        <v>0</v>
      </c>
      <c r="GV294" s="844">
        <v>0</v>
      </c>
      <c r="GW294" s="844">
        <v>0</v>
      </c>
      <c r="GX294" s="844">
        <v>0</v>
      </c>
      <c r="GY294" s="844">
        <v>0</v>
      </c>
      <c r="GZ294" s="844">
        <v>0</v>
      </c>
      <c r="HA294" s="844">
        <v>0</v>
      </c>
      <c r="HB294" s="844">
        <v>0</v>
      </c>
      <c r="HC294" s="844">
        <v>0</v>
      </c>
      <c r="HD294" s="844">
        <v>0</v>
      </c>
      <c r="HE294" s="844">
        <v>0</v>
      </c>
      <c r="HF294" s="844">
        <v>0</v>
      </c>
      <c r="HG294" s="844">
        <v>0</v>
      </c>
      <c r="HH294" s="844">
        <v>0</v>
      </c>
      <c r="HI294" s="844">
        <v>0</v>
      </c>
      <c r="HJ294" s="844">
        <v>0</v>
      </c>
      <c r="HK294" s="844">
        <v>0</v>
      </c>
      <c r="HL294" s="844">
        <v>0</v>
      </c>
      <c r="HM294" s="844">
        <v>0</v>
      </c>
      <c r="HN294" s="844">
        <v>0</v>
      </c>
      <c r="HO294" s="844">
        <v>0</v>
      </c>
      <c r="HP294" s="844">
        <v>0</v>
      </c>
      <c r="HQ294" s="844">
        <v>0</v>
      </c>
      <c r="HR294" s="844">
        <v>0</v>
      </c>
      <c r="HS294" s="844">
        <v>0</v>
      </c>
      <c r="HT294" s="844">
        <v>0</v>
      </c>
      <c r="HU294" s="844">
        <v>0</v>
      </c>
      <c r="HV294" s="844">
        <v>0</v>
      </c>
      <c r="HW294" s="844">
        <v>0</v>
      </c>
      <c r="HX294" s="844">
        <v>0</v>
      </c>
      <c r="HY294" s="844">
        <v>0</v>
      </c>
      <c r="HZ294" s="844">
        <v>0</v>
      </c>
      <c r="IA294" s="844">
        <v>0</v>
      </c>
      <c r="IB294" s="844">
        <v>0</v>
      </c>
      <c r="IC294" s="844">
        <v>0</v>
      </c>
      <c r="ID294" s="844">
        <v>0</v>
      </c>
      <c r="IE294" s="844">
        <v>0</v>
      </c>
      <c r="IF294" s="844">
        <v>0</v>
      </c>
      <c r="IG294" s="844">
        <v>0</v>
      </c>
      <c r="IH294" s="844">
        <v>0</v>
      </c>
      <c r="II294" s="844">
        <v>0</v>
      </c>
      <c r="IJ294" s="844">
        <v>0</v>
      </c>
    </row>
    <row r="295" spans="9:245" hidden="1">
      <c r="I295" s="156"/>
      <c r="L295" s="846" t="s">
        <v>1060</v>
      </c>
      <c r="M295" s="846" t="s">
        <v>1382</v>
      </c>
      <c r="N295" s="846" t="s">
        <v>97</v>
      </c>
      <c r="O295" s="847">
        <v>60</v>
      </c>
      <c r="P295" s="780" t="str">
        <f t="shared" si="10"/>
        <v>IWT060260</v>
      </c>
      <c r="Q295" s="847">
        <v>0</v>
      </c>
      <c r="R295" s="847">
        <v>0</v>
      </c>
      <c r="S295" s="847">
        <v>0</v>
      </c>
      <c r="T295" s="847">
        <v>0</v>
      </c>
      <c r="U295" s="847">
        <v>0</v>
      </c>
      <c r="V295" s="847">
        <v>0</v>
      </c>
      <c r="W295" s="847">
        <v>0</v>
      </c>
      <c r="X295" s="847">
        <v>0</v>
      </c>
      <c r="Y295" s="847">
        <v>0</v>
      </c>
      <c r="Z295" s="847">
        <v>0</v>
      </c>
      <c r="AA295" s="847">
        <v>0</v>
      </c>
      <c r="AB295" s="847">
        <v>0</v>
      </c>
      <c r="AC295" s="847">
        <v>0</v>
      </c>
      <c r="AD295" s="847">
        <v>0</v>
      </c>
      <c r="AE295" s="847">
        <v>0</v>
      </c>
      <c r="AF295" s="847">
        <v>0</v>
      </c>
      <c r="AG295" s="847">
        <v>0</v>
      </c>
      <c r="AH295" s="847">
        <v>0</v>
      </c>
      <c r="AI295" s="847">
        <v>0</v>
      </c>
      <c r="AJ295" s="847">
        <v>0</v>
      </c>
      <c r="AK295" s="847">
        <v>0</v>
      </c>
      <c r="AL295" s="847">
        <v>0</v>
      </c>
      <c r="AM295" s="847">
        <v>0</v>
      </c>
      <c r="AN295" s="847">
        <v>0</v>
      </c>
      <c r="AO295" s="847">
        <v>0</v>
      </c>
      <c r="AP295" s="847">
        <v>0</v>
      </c>
      <c r="AQ295" s="847">
        <v>0</v>
      </c>
      <c r="AR295" s="847">
        <v>0</v>
      </c>
      <c r="AS295" s="847">
        <v>0</v>
      </c>
      <c r="AT295" s="847">
        <v>0</v>
      </c>
      <c r="AU295" s="847">
        <v>0</v>
      </c>
      <c r="AV295" s="847">
        <v>0</v>
      </c>
      <c r="AW295" s="847">
        <v>0</v>
      </c>
      <c r="AX295" s="847">
        <v>0</v>
      </c>
      <c r="AY295" s="847">
        <v>0</v>
      </c>
      <c r="AZ295" s="847">
        <v>0</v>
      </c>
      <c r="BA295" s="847">
        <v>0</v>
      </c>
      <c r="BB295" s="847">
        <v>0</v>
      </c>
      <c r="BC295" s="847">
        <v>0</v>
      </c>
      <c r="BD295" s="847">
        <v>0</v>
      </c>
      <c r="BE295" s="847">
        <v>0</v>
      </c>
      <c r="BF295" s="847">
        <v>0</v>
      </c>
      <c r="BG295" s="847">
        <v>0</v>
      </c>
      <c r="BH295" s="847">
        <v>0</v>
      </c>
      <c r="BI295" s="847">
        <v>0</v>
      </c>
      <c r="BJ295" s="847">
        <v>0</v>
      </c>
      <c r="BK295" s="847">
        <v>0</v>
      </c>
      <c r="BL295" s="847">
        <v>0</v>
      </c>
      <c r="BM295" s="847">
        <v>0</v>
      </c>
      <c r="BN295" s="847">
        <v>0</v>
      </c>
      <c r="BO295" s="847">
        <v>73000</v>
      </c>
      <c r="BP295" s="847">
        <v>0</v>
      </c>
      <c r="BQ295" s="847">
        <v>0</v>
      </c>
      <c r="BR295" s="847">
        <v>0</v>
      </c>
      <c r="BS295" s="847">
        <v>0</v>
      </c>
      <c r="BT295" s="847">
        <v>0</v>
      </c>
      <c r="BU295" s="847">
        <v>0</v>
      </c>
      <c r="BV295" s="847">
        <v>0</v>
      </c>
      <c r="BW295" s="847">
        <v>0</v>
      </c>
      <c r="BX295" s="847">
        <v>0</v>
      </c>
      <c r="BY295" s="847">
        <v>0</v>
      </c>
      <c r="BZ295" s="847">
        <v>0</v>
      </c>
      <c r="CA295" s="847">
        <v>0</v>
      </c>
      <c r="CB295" s="847">
        <v>0</v>
      </c>
      <c r="CC295" s="847">
        <v>0</v>
      </c>
      <c r="CD295" s="847">
        <v>0</v>
      </c>
      <c r="CE295" s="847">
        <v>0</v>
      </c>
      <c r="CF295" s="847">
        <v>0</v>
      </c>
      <c r="CG295" s="847">
        <v>0</v>
      </c>
      <c r="CH295" s="847">
        <v>0</v>
      </c>
      <c r="CI295" s="847">
        <v>0</v>
      </c>
      <c r="CJ295" s="847">
        <v>0</v>
      </c>
      <c r="CK295" s="847">
        <v>0</v>
      </c>
      <c r="CL295" s="847">
        <v>0</v>
      </c>
      <c r="CM295" s="847">
        <v>0</v>
      </c>
      <c r="CN295" s="847">
        <v>0</v>
      </c>
      <c r="CO295" s="847">
        <v>0</v>
      </c>
      <c r="CP295" s="847">
        <v>0</v>
      </c>
      <c r="CQ295" s="847">
        <v>0</v>
      </c>
      <c r="CR295" s="847">
        <v>0</v>
      </c>
      <c r="CS295" s="847">
        <v>0</v>
      </c>
      <c r="CT295" s="847">
        <v>0</v>
      </c>
      <c r="CU295" s="847">
        <v>0</v>
      </c>
      <c r="CV295" s="847">
        <v>0</v>
      </c>
      <c r="CW295" s="847">
        <v>0</v>
      </c>
      <c r="CX295" s="847">
        <v>0</v>
      </c>
      <c r="CY295" s="847">
        <v>0</v>
      </c>
      <c r="CZ295" s="847">
        <v>0</v>
      </c>
      <c r="DA295" s="847">
        <v>0</v>
      </c>
      <c r="DB295" s="847">
        <v>0</v>
      </c>
      <c r="DC295" s="847">
        <v>0</v>
      </c>
      <c r="DD295" s="847">
        <v>0</v>
      </c>
      <c r="DE295" s="847">
        <v>0</v>
      </c>
      <c r="DF295" s="847">
        <v>0</v>
      </c>
      <c r="DG295" s="847">
        <v>0</v>
      </c>
      <c r="DH295" s="847">
        <v>0</v>
      </c>
      <c r="DI295" s="847">
        <v>0</v>
      </c>
      <c r="DJ295" s="847">
        <v>0</v>
      </c>
      <c r="DK295" s="847">
        <v>0</v>
      </c>
      <c r="DL295" s="847">
        <v>0</v>
      </c>
      <c r="DM295" s="847">
        <v>0</v>
      </c>
      <c r="DN295" s="847">
        <v>0</v>
      </c>
      <c r="DO295" s="847">
        <v>0</v>
      </c>
      <c r="DP295" s="847">
        <v>0</v>
      </c>
      <c r="DQ295" s="847">
        <v>0</v>
      </c>
      <c r="DR295" s="847">
        <v>0</v>
      </c>
      <c r="DS295" s="847">
        <v>0</v>
      </c>
      <c r="DT295" s="847">
        <v>0</v>
      </c>
      <c r="DU295" s="847">
        <v>0</v>
      </c>
      <c r="DV295" s="847">
        <v>0</v>
      </c>
      <c r="DW295" s="847">
        <v>0</v>
      </c>
      <c r="DY295" s="843" t="s">
        <v>1060</v>
      </c>
      <c r="DZ295" s="843" t="s">
        <v>1382</v>
      </c>
      <c r="EA295" s="843" t="s">
        <v>97</v>
      </c>
      <c r="EB295" s="844">
        <v>60</v>
      </c>
      <c r="EC295" s="780" t="str">
        <f t="shared" si="11"/>
        <v>IWT060260</v>
      </c>
      <c r="ED295" s="844">
        <v>5384.8</v>
      </c>
      <c r="EE295" s="844">
        <v>10769.6</v>
      </c>
      <c r="EF295" s="844">
        <v>16154.4</v>
      </c>
      <c r="EG295" s="844">
        <v>21539.200000000001</v>
      </c>
      <c r="EH295" s="844">
        <v>26924</v>
      </c>
      <c r="EI295" s="844">
        <v>32308.799999999999</v>
      </c>
      <c r="EJ295" s="844">
        <v>32308.799999999999</v>
      </c>
      <c r="EK295" s="844">
        <v>32308.799999999999</v>
      </c>
      <c r="EL295" s="844">
        <v>32308.799999999999</v>
      </c>
      <c r="EM295" s="844">
        <v>32765</v>
      </c>
      <c r="EN295" s="844">
        <v>33421</v>
      </c>
      <c r="EO295" s="844">
        <v>34089</v>
      </c>
      <c r="EP295" s="844">
        <v>34771</v>
      </c>
      <c r="EQ295" s="844">
        <v>35466</v>
      </c>
      <c r="ER295" s="844">
        <v>36175</v>
      </c>
      <c r="ES295" s="844">
        <v>36899</v>
      </c>
      <c r="ET295" s="844">
        <v>37637</v>
      </c>
      <c r="EU295" s="844">
        <v>38389</v>
      </c>
      <c r="EV295" s="844">
        <v>39157</v>
      </c>
      <c r="EW295" s="844">
        <v>39940</v>
      </c>
      <c r="EX295" s="844">
        <v>40739</v>
      </c>
      <c r="EY295" s="844">
        <v>41554</v>
      </c>
      <c r="EZ295" s="844">
        <v>42384</v>
      </c>
      <c r="FA295" s="844">
        <v>43232</v>
      </c>
      <c r="FB295" s="844">
        <v>44097</v>
      </c>
      <c r="FC295" s="844">
        <v>44978</v>
      </c>
      <c r="FD295" s="844">
        <v>45878</v>
      </c>
      <c r="FE295" s="844">
        <v>46795</v>
      </c>
      <c r="FF295" s="844">
        <v>47731</v>
      </c>
      <c r="FG295" s="844">
        <v>48685</v>
      </c>
      <c r="FH295" s="844">
        <v>49658</v>
      </c>
      <c r="FI295" s="844">
        <v>50651</v>
      </c>
      <c r="FJ295" s="844">
        <v>51664</v>
      </c>
      <c r="FK295" s="844">
        <v>52697</v>
      </c>
      <c r="FL295" s="844">
        <v>53750</v>
      </c>
      <c r="FM295" s="844">
        <v>54825</v>
      </c>
      <c r="FN295" s="844">
        <v>55920</v>
      </c>
      <c r="FO295" s="844">
        <v>57038</v>
      </c>
      <c r="FP295" s="844">
        <v>58178</v>
      </c>
      <c r="FQ295" s="844">
        <v>59340</v>
      </c>
      <c r="FR295" s="844">
        <v>60526</v>
      </c>
      <c r="FS295" s="844">
        <v>61735</v>
      </c>
      <c r="FT295" s="844">
        <v>62968</v>
      </c>
      <c r="FU295" s="844">
        <v>64226</v>
      </c>
      <c r="FV295" s="844">
        <v>65508</v>
      </c>
      <c r="FW295" s="844">
        <v>66815</v>
      </c>
      <c r="FX295" s="844">
        <v>68148</v>
      </c>
      <c r="FY295" s="844">
        <v>69507</v>
      </c>
      <c r="FZ295" s="844">
        <v>70892</v>
      </c>
      <c r="GA295" s="844">
        <v>72281</v>
      </c>
      <c r="GB295" s="844">
        <v>73000</v>
      </c>
      <c r="GC295" s="844">
        <v>0</v>
      </c>
      <c r="GD295" s="844">
        <v>0</v>
      </c>
      <c r="GE295" s="844">
        <v>0</v>
      </c>
      <c r="GF295" s="844">
        <v>0</v>
      </c>
      <c r="GG295" s="844">
        <v>0</v>
      </c>
      <c r="GH295" s="844">
        <v>0</v>
      </c>
      <c r="GI295" s="844">
        <v>0</v>
      </c>
      <c r="GJ295" s="844">
        <v>0</v>
      </c>
      <c r="GK295" s="844">
        <v>0</v>
      </c>
      <c r="GL295" s="844">
        <v>0</v>
      </c>
      <c r="GM295" s="844">
        <v>0</v>
      </c>
      <c r="GN295" s="844">
        <v>0</v>
      </c>
      <c r="GO295" s="844">
        <v>0</v>
      </c>
      <c r="GP295" s="844">
        <v>0</v>
      </c>
      <c r="GQ295" s="844">
        <v>0</v>
      </c>
      <c r="GR295" s="844">
        <v>0</v>
      </c>
      <c r="GS295" s="844">
        <v>0</v>
      </c>
      <c r="GT295" s="844">
        <v>0</v>
      </c>
      <c r="GU295" s="844">
        <v>0</v>
      </c>
      <c r="GV295" s="844">
        <v>0</v>
      </c>
      <c r="GW295" s="844">
        <v>0</v>
      </c>
      <c r="GX295" s="844">
        <v>0</v>
      </c>
      <c r="GY295" s="844">
        <v>0</v>
      </c>
      <c r="GZ295" s="844">
        <v>0</v>
      </c>
      <c r="HA295" s="844">
        <v>0</v>
      </c>
      <c r="HB295" s="844">
        <v>0</v>
      </c>
      <c r="HC295" s="844">
        <v>0</v>
      </c>
      <c r="HD295" s="844">
        <v>0</v>
      </c>
      <c r="HE295" s="844">
        <v>0</v>
      </c>
      <c r="HF295" s="844">
        <v>0</v>
      </c>
      <c r="HG295" s="844">
        <v>0</v>
      </c>
      <c r="HH295" s="844">
        <v>0</v>
      </c>
      <c r="HI295" s="844">
        <v>0</v>
      </c>
      <c r="HJ295" s="844">
        <v>0</v>
      </c>
      <c r="HK295" s="844">
        <v>0</v>
      </c>
      <c r="HL295" s="844">
        <v>0</v>
      </c>
      <c r="HM295" s="844">
        <v>0</v>
      </c>
      <c r="HN295" s="844">
        <v>0</v>
      </c>
      <c r="HO295" s="844">
        <v>0</v>
      </c>
      <c r="HP295" s="844">
        <v>0</v>
      </c>
      <c r="HQ295" s="844">
        <v>0</v>
      </c>
      <c r="HR295" s="844">
        <v>0</v>
      </c>
      <c r="HS295" s="844">
        <v>0</v>
      </c>
      <c r="HT295" s="844">
        <v>0</v>
      </c>
      <c r="HU295" s="844">
        <v>0</v>
      </c>
      <c r="HV295" s="844">
        <v>0</v>
      </c>
      <c r="HW295" s="844">
        <v>0</v>
      </c>
      <c r="HX295" s="844">
        <v>0</v>
      </c>
      <c r="HY295" s="844">
        <v>0</v>
      </c>
      <c r="HZ295" s="844">
        <v>0</v>
      </c>
      <c r="IA295" s="844">
        <v>0</v>
      </c>
      <c r="IB295" s="844">
        <v>0</v>
      </c>
      <c r="IC295" s="844">
        <v>0</v>
      </c>
      <c r="ID295" s="844">
        <v>0</v>
      </c>
      <c r="IE295" s="844">
        <v>0</v>
      </c>
      <c r="IF295" s="844">
        <v>0</v>
      </c>
      <c r="IG295" s="844">
        <v>0</v>
      </c>
      <c r="IH295" s="844">
        <v>0</v>
      </c>
      <c r="II295" s="844">
        <v>0</v>
      </c>
      <c r="IJ295" s="844">
        <v>0</v>
      </c>
    </row>
    <row r="296" spans="9:245" hidden="1">
      <c r="I296" s="156"/>
      <c r="L296" s="846" t="s">
        <v>1060</v>
      </c>
      <c r="M296" s="846" t="s">
        <v>1382</v>
      </c>
      <c r="N296" s="846" t="s">
        <v>97</v>
      </c>
      <c r="O296" s="847">
        <v>61</v>
      </c>
      <c r="P296" s="780" t="str">
        <f t="shared" si="10"/>
        <v>IWT060261</v>
      </c>
      <c r="Q296" s="847">
        <v>0</v>
      </c>
      <c r="R296" s="847">
        <v>0</v>
      </c>
      <c r="S296" s="847">
        <v>0</v>
      </c>
      <c r="T296" s="847">
        <v>0</v>
      </c>
      <c r="U296" s="847">
        <v>0</v>
      </c>
      <c r="V296" s="847">
        <v>0</v>
      </c>
      <c r="W296" s="847">
        <v>0</v>
      </c>
      <c r="X296" s="847">
        <v>0</v>
      </c>
      <c r="Y296" s="847">
        <v>0</v>
      </c>
      <c r="Z296" s="847">
        <v>0</v>
      </c>
      <c r="AA296" s="847">
        <v>0</v>
      </c>
      <c r="AB296" s="847">
        <v>0</v>
      </c>
      <c r="AC296" s="847">
        <v>0</v>
      </c>
      <c r="AD296" s="847">
        <v>0</v>
      </c>
      <c r="AE296" s="847">
        <v>0</v>
      </c>
      <c r="AF296" s="847">
        <v>0</v>
      </c>
      <c r="AG296" s="847">
        <v>0</v>
      </c>
      <c r="AH296" s="847">
        <v>0</v>
      </c>
      <c r="AI296" s="847">
        <v>0</v>
      </c>
      <c r="AJ296" s="847">
        <v>0</v>
      </c>
      <c r="AK296" s="847">
        <v>0</v>
      </c>
      <c r="AL296" s="847">
        <v>0</v>
      </c>
      <c r="AM296" s="847">
        <v>0</v>
      </c>
      <c r="AN296" s="847">
        <v>0</v>
      </c>
      <c r="AO296" s="847">
        <v>0</v>
      </c>
      <c r="AP296" s="847">
        <v>0</v>
      </c>
      <c r="AQ296" s="847">
        <v>0</v>
      </c>
      <c r="AR296" s="847">
        <v>0</v>
      </c>
      <c r="AS296" s="847">
        <v>0</v>
      </c>
      <c r="AT296" s="847">
        <v>0</v>
      </c>
      <c r="AU296" s="847">
        <v>0</v>
      </c>
      <c r="AV296" s="847">
        <v>0</v>
      </c>
      <c r="AW296" s="847">
        <v>0</v>
      </c>
      <c r="AX296" s="847">
        <v>0</v>
      </c>
      <c r="AY296" s="847">
        <v>0</v>
      </c>
      <c r="AZ296" s="847">
        <v>0</v>
      </c>
      <c r="BA296" s="847">
        <v>0</v>
      </c>
      <c r="BB296" s="847">
        <v>0</v>
      </c>
      <c r="BC296" s="847">
        <v>0</v>
      </c>
      <c r="BD296" s="847">
        <v>0</v>
      </c>
      <c r="BE296" s="847">
        <v>0</v>
      </c>
      <c r="BF296" s="847">
        <v>0</v>
      </c>
      <c r="BG296" s="847">
        <v>0</v>
      </c>
      <c r="BH296" s="847">
        <v>0</v>
      </c>
      <c r="BI296" s="847">
        <v>0</v>
      </c>
      <c r="BJ296" s="847">
        <v>0</v>
      </c>
      <c r="BK296" s="847">
        <v>0</v>
      </c>
      <c r="BL296" s="847">
        <v>0</v>
      </c>
      <c r="BM296" s="847">
        <v>0</v>
      </c>
      <c r="BN296" s="847">
        <v>71600</v>
      </c>
      <c r="BO296" s="847">
        <v>0</v>
      </c>
      <c r="BP296" s="847">
        <v>0</v>
      </c>
      <c r="BQ296" s="847">
        <v>0</v>
      </c>
      <c r="BR296" s="847">
        <v>0</v>
      </c>
      <c r="BS296" s="847">
        <v>0</v>
      </c>
      <c r="BT296" s="847">
        <v>0</v>
      </c>
      <c r="BU296" s="847">
        <v>0</v>
      </c>
      <c r="BV296" s="847">
        <v>0</v>
      </c>
      <c r="BW296" s="847">
        <v>0</v>
      </c>
      <c r="BX296" s="847">
        <v>0</v>
      </c>
      <c r="BY296" s="847">
        <v>0</v>
      </c>
      <c r="BZ296" s="847">
        <v>0</v>
      </c>
      <c r="CA296" s="847">
        <v>0</v>
      </c>
      <c r="CB296" s="847">
        <v>0</v>
      </c>
      <c r="CC296" s="847">
        <v>0</v>
      </c>
      <c r="CD296" s="847">
        <v>0</v>
      </c>
      <c r="CE296" s="847">
        <v>0</v>
      </c>
      <c r="CF296" s="847">
        <v>0</v>
      </c>
      <c r="CG296" s="847">
        <v>0</v>
      </c>
      <c r="CH296" s="847">
        <v>0</v>
      </c>
      <c r="CI296" s="847">
        <v>0</v>
      </c>
      <c r="CJ296" s="847">
        <v>0</v>
      </c>
      <c r="CK296" s="847">
        <v>0</v>
      </c>
      <c r="CL296" s="847">
        <v>0</v>
      </c>
      <c r="CM296" s="847">
        <v>0</v>
      </c>
      <c r="CN296" s="847">
        <v>0</v>
      </c>
      <c r="CO296" s="847">
        <v>0</v>
      </c>
      <c r="CP296" s="847">
        <v>0</v>
      </c>
      <c r="CQ296" s="847">
        <v>0</v>
      </c>
      <c r="CR296" s="847">
        <v>0</v>
      </c>
      <c r="CS296" s="847">
        <v>0</v>
      </c>
      <c r="CT296" s="847">
        <v>0</v>
      </c>
      <c r="CU296" s="847">
        <v>0</v>
      </c>
      <c r="CV296" s="847">
        <v>0</v>
      </c>
      <c r="CW296" s="847">
        <v>0</v>
      </c>
      <c r="CX296" s="847">
        <v>0</v>
      </c>
      <c r="CY296" s="847">
        <v>0</v>
      </c>
      <c r="CZ296" s="847">
        <v>0</v>
      </c>
      <c r="DA296" s="847">
        <v>0</v>
      </c>
      <c r="DB296" s="847">
        <v>0</v>
      </c>
      <c r="DC296" s="847">
        <v>0</v>
      </c>
      <c r="DD296" s="847">
        <v>0</v>
      </c>
      <c r="DE296" s="847">
        <v>0</v>
      </c>
      <c r="DF296" s="847">
        <v>0</v>
      </c>
      <c r="DG296" s="847">
        <v>0</v>
      </c>
      <c r="DH296" s="847">
        <v>0</v>
      </c>
      <c r="DI296" s="847">
        <v>0</v>
      </c>
      <c r="DJ296" s="847">
        <v>0</v>
      </c>
      <c r="DK296" s="847">
        <v>0</v>
      </c>
      <c r="DL296" s="847">
        <v>0</v>
      </c>
      <c r="DM296" s="847">
        <v>0</v>
      </c>
      <c r="DN296" s="847">
        <v>0</v>
      </c>
      <c r="DO296" s="847">
        <v>0</v>
      </c>
      <c r="DP296" s="847">
        <v>0</v>
      </c>
      <c r="DQ296" s="847">
        <v>0</v>
      </c>
      <c r="DR296" s="847">
        <v>0</v>
      </c>
      <c r="DS296" s="847">
        <v>0</v>
      </c>
      <c r="DT296" s="847">
        <v>0</v>
      </c>
      <c r="DU296" s="847">
        <v>0</v>
      </c>
      <c r="DV296" s="847">
        <v>0</v>
      </c>
      <c r="DW296" s="847">
        <v>0</v>
      </c>
      <c r="DY296" s="843" t="s">
        <v>1060</v>
      </c>
      <c r="DZ296" s="843" t="s">
        <v>1382</v>
      </c>
      <c r="EA296" s="843" t="s">
        <v>97</v>
      </c>
      <c r="EB296" s="844">
        <v>61</v>
      </c>
      <c r="EC296" s="780" t="str">
        <f t="shared" si="11"/>
        <v>IWT060261</v>
      </c>
      <c r="ED296" s="844">
        <v>5388</v>
      </c>
      <c r="EE296" s="844">
        <v>10776</v>
      </c>
      <c r="EF296" s="844">
        <v>16163.9</v>
      </c>
      <c r="EG296" s="844">
        <v>21551.9</v>
      </c>
      <c r="EH296" s="844">
        <v>26939.9</v>
      </c>
      <c r="EI296" s="844">
        <v>32327.9</v>
      </c>
      <c r="EJ296" s="844">
        <v>32327.9</v>
      </c>
      <c r="EK296" s="844">
        <v>32327.9</v>
      </c>
      <c r="EL296" s="844">
        <v>32327.9</v>
      </c>
      <c r="EM296" s="844">
        <v>32769</v>
      </c>
      <c r="EN296" s="844">
        <v>33424</v>
      </c>
      <c r="EO296" s="844">
        <v>34092</v>
      </c>
      <c r="EP296" s="844">
        <v>34774</v>
      </c>
      <c r="EQ296" s="844">
        <v>35470</v>
      </c>
      <c r="ER296" s="844">
        <v>36179</v>
      </c>
      <c r="ES296" s="844">
        <v>36903</v>
      </c>
      <c r="ET296" s="844">
        <v>37641</v>
      </c>
      <c r="EU296" s="844">
        <v>38393</v>
      </c>
      <c r="EV296" s="844">
        <v>39161</v>
      </c>
      <c r="EW296" s="844">
        <v>39944</v>
      </c>
      <c r="EX296" s="844">
        <v>40743</v>
      </c>
      <c r="EY296" s="844">
        <v>41558</v>
      </c>
      <c r="EZ296" s="844">
        <v>42389</v>
      </c>
      <c r="FA296" s="844">
        <v>43236</v>
      </c>
      <c r="FB296" s="844">
        <v>44101</v>
      </c>
      <c r="FC296" s="844">
        <v>44983</v>
      </c>
      <c r="FD296" s="844">
        <v>45882</v>
      </c>
      <c r="FE296" s="844">
        <v>46800</v>
      </c>
      <c r="FF296" s="844">
        <v>47735</v>
      </c>
      <c r="FG296" s="844">
        <v>48690</v>
      </c>
      <c r="FH296" s="844">
        <v>49663</v>
      </c>
      <c r="FI296" s="844">
        <v>50656</v>
      </c>
      <c r="FJ296" s="844">
        <v>51669</v>
      </c>
      <c r="FK296" s="844">
        <v>52702</v>
      </c>
      <c r="FL296" s="844">
        <v>53755</v>
      </c>
      <c r="FM296" s="844">
        <v>54830</v>
      </c>
      <c r="FN296" s="844">
        <v>55925</v>
      </c>
      <c r="FO296" s="844">
        <v>57043</v>
      </c>
      <c r="FP296" s="844">
        <v>58183</v>
      </c>
      <c r="FQ296" s="844">
        <v>59345</v>
      </c>
      <c r="FR296" s="844">
        <v>60531</v>
      </c>
      <c r="FS296" s="844">
        <v>61740</v>
      </c>
      <c r="FT296" s="844">
        <v>62973</v>
      </c>
      <c r="FU296" s="844">
        <v>64230</v>
      </c>
      <c r="FV296" s="844">
        <v>65512</v>
      </c>
      <c r="FW296" s="844">
        <v>66819</v>
      </c>
      <c r="FX296" s="844">
        <v>68152</v>
      </c>
      <c r="FY296" s="844">
        <v>69510</v>
      </c>
      <c r="FZ296" s="844">
        <v>70895</v>
      </c>
      <c r="GA296" s="844">
        <v>71600</v>
      </c>
      <c r="GB296" s="844">
        <v>0</v>
      </c>
      <c r="GC296" s="844">
        <v>0</v>
      </c>
      <c r="GD296" s="844">
        <v>0</v>
      </c>
      <c r="GE296" s="844">
        <v>0</v>
      </c>
      <c r="GF296" s="844">
        <v>0</v>
      </c>
      <c r="GG296" s="844">
        <v>0</v>
      </c>
      <c r="GH296" s="844">
        <v>0</v>
      </c>
      <c r="GI296" s="844">
        <v>0</v>
      </c>
      <c r="GJ296" s="844">
        <v>0</v>
      </c>
      <c r="GK296" s="844">
        <v>0</v>
      </c>
      <c r="GL296" s="844">
        <v>0</v>
      </c>
      <c r="GM296" s="844">
        <v>0</v>
      </c>
      <c r="GN296" s="844">
        <v>0</v>
      </c>
      <c r="GO296" s="844">
        <v>0</v>
      </c>
      <c r="GP296" s="844">
        <v>0</v>
      </c>
      <c r="GQ296" s="844">
        <v>0</v>
      </c>
      <c r="GR296" s="844">
        <v>0</v>
      </c>
      <c r="GS296" s="844">
        <v>0</v>
      </c>
      <c r="GT296" s="844">
        <v>0</v>
      </c>
      <c r="GU296" s="844">
        <v>0</v>
      </c>
      <c r="GV296" s="844">
        <v>0</v>
      </c>
      <c r="GW296" s="844">
        <v>0</v>
      </c>
      <c r="GX296" s="844">
        <v>0</v>
      </c>
      <c r="GY296" s="844">
        <v>0</v>
      </c>
      <c r="GZ296" s="844">
        <v>0</v>
      </c>
      <c r="HA296" s="844">
        <v>0</v>
      </c>
      <c r="HB296" s="844">
        <v>0</v>
      </c>
      <c r="HC296" s="844">
        <v>0</v>
      </c>
      <c r="HD296" s="844">
        <v>0</v>
      </c>
      <c r="HE296" s="844">
        <v>0</v>
      </c>
      <c r="HF296" s="844">
        <v>0</v>
      </c>
      <c r="HG296" s="844">
        <v>0</v>
      </c>
      <c r="HH296" s="844">
        <v>0</v>
      </c>
      <c r="HI296" s="844">
        <v>0</v>
      </c>
      <c r="HJ296" s="844">
        <v>0</v>
      </c>
      <c r="HK296" s="844">
        <v>0</v>
      </c>
      <c r="HL296" s="844">
        <v>0</v>
      </c>
      <c r="HM296" s="844">
        <v>0</v>
      </c>
      <c r="HN296" s="844">
        <v>0</v>
      </c>
      <c r="HO296" s="844">
        <v>0</v>
      </c>
      <c r="HP296" s="844">
        <v>0</v>
      </c>
      <c r="HQ296" s="844">
        <v>0</v>
      </c>
      <c r="HR296" s="844">
        <v>0</v>
      </c>
      <c r="HS296" s="844">
        <v>0</v>
      </c>
      <c r="HT296" s="844">
        <v>0</v>
      </c>
      <c r="HU296" s="844">
        <v>0</v>
      </c>
      <c r="HV296" s="844">
        <v>0</v>
      </c>
      <c r="HW296" s="844">
        <v>0</v>
      </c>
      <c r="HX296" s="844">
        <v>0</v>
      </c>
      <c r="HY296" s="844">
        <v>0</v>
      </c>
      <c r="HZ296" s="844">
        <v>0</v>
      </c>
      <c r="IA296" s="844">
        <v>0</v>
      </c>
      <c r="IB296" s="844">
        <v>0</v>
      </c>
      <c r="IC296" s="844">
        <v>0</v>
      </c>
      <c r="ID296" s="844">
        <v>0</v>
      </c>
      <c r="IE296" s="844">
        <v>0</v>
      </c>
      <c r="IF296" s="844">
        <v>0</v>
      </c>
      <c r="IG296" s="844">
        <v>0</v>
      </c>
      <c r="IH296" s="844">
        <v>0</v>
      </c>
      <c r="II296" s="844">
        <v>0</v>
      </c>
      <c r="IJ296" s="844">
        <v>0</v>
      </c>
    </row>
    <row r="297" spans="9:245" hidden="1">
      <c r="I297" s="156"/>
      <c r="L297" s="846" t="s">
        <v>1060</v>
      </c>
      <c r="M297" s="846" t="s">
        <v>1382</v>
      </c>
      <c r="N297" s="846" t="s">
        <v>97</v>
      </c>
      <c r="O297" s="847">
        <v>62</v>
      </c>
      <c r="P297" s="780" t="str">
        <f t="shared" si="10"/>
        <v>IWT060262</v>
      </c>
      <c r="Q297" s="847">
        <v>0</v>
      </c>
      <c r="R297" s="847">
        <v>0</v>
      </c>
      <c r="S297" s="847">
        <v>0</v>
      </c>
      <c r="T297" s="847">
        <v>0</v>
      </c>
      <c r="U297" s="847">
        <v>0</v>
      </c>
      <c r="V297" s="847">
        <v>0</v>
      </c>
      <c r="W297" s="847">
        <v>0</v>
      </c>
      <c r="X297" s="847">
        <v>0</v>
      </c>
      <c r="Y297" s="847">
        <v>0</v>
      </c>
      <c r="Z297" s="847">
        <v>0</v>
      </c>
      <c r="AA297" s="847">
        <v>0</v>
      </c>
      <c r="AB297" s="847">
        <v>0</v>
      </c>
      <c r="AC297" s="847">
        <v>0</v>
      </c>
      <c r="AD297" s="847">
        <v>0</v>
      </c>
      <c r="AE297" s="847">
        <v>0</v>
      </c>
      <c r="AF297" s="847">
        <v>0</v>
      </c>
      <c r="AG297" s="847">
        <v>0</v>
      </c>
      <c r="AH297" s="847">
        <v>0</v>
      </c>
      <c r="AI297" s="847">
        <v>0</v>
      </c>
      <c r="AJ297" s="847">
        <v>0</v>
      </c>
      <c r="AK297" s="847">
        <v>0</v>
      </c>
      <c r="AL297" s="847">
        <v>0</v>
      </c>
      <c r="AM297" s="847">
        <v>0</v>
      </c>
      <c r="AN297" s="847">
        <v>0</v>
      </c>
      <c r="AO297" s="847">
        <v>0</v>
      </c>
      <c r="AP297" s="847">
        <v>0</v>
      </c>
      <c r="AQ297" s="847">
        <v>0</v>
      </c>
      <c r="AR297" s="847">
        <v>0</v>
      </c>
      <c r="AS297" s="847">
        <v>0</v>
      </c>
      <c r="AT297" s="847">
        <v>0</v>
      </c>
      <c r="AU297" s="847">
        <v>0</v>
      </c>
      <c r="AV297" s="847">
        <v>0</v>
      </c>
      <c r="AW297" s="847">
        <v>0</v>
      </c>
      <c r="AX297" s="847">
        <v>0</v>
      </c>
      <c r="AY297" s="847">
        <v>0</v>
      </c>
      <c r="AZ297" s="847">
        <v>0</v>
      </c>
      <c r="BA297" s="847">
        <v>0</v>
      </c>
      <c r="BB297" s="847">
        <v>0</v>
      </c>
      <c r="BC297" s="847">
        <v>0</v>
      </c>
      <c r="BD297" s="847">
        <v>0</v>
      </c>
      <c r="BE297" s="847">
        <v>0</v>
      </c>
      <c r="BF297" s="847">
        <v>0</v>
      </c>
      <c r="BG297" s="847">
        <v>0</v>
      </c>
      <c r="BH297" s="847">
        <v>0</v>
      </c>
      <c r="BI297" s="847">
        <v>0</v>
      </c>
      <c r="BJ297" s="847">
        <v>0</v>
      </c>
      <c r="BK297" s="847">
        <v>0</v>
      </c>
      <c r="BL297" s="847">
        <v>0</v>
      </c>
      <c r="BM297" s="847">
        <v>70200</v>
      </c>
      <c r="BN297" s="847">
        <v>0</v>
      </c>
      <c r="BO297" s="847">
        <v>0</v>
      </c>
      <c r="BP297" s="847">
        <v>0</v>
      </c>
      <c r="BQ297" s="847">
        <v>0</v>
      </c>
      <c r="BR297" s="847">
        <v>0</v>
      </c>
      <c r="BS297" s="847">
        <v>0</v>
      </c>
      <c r="BT297" s="847">
        <v>0</v>
      </c>
      <c r="BU297" s="847">
        <v>0</v>
      </c>
      <c r="BV297" s="847">
        <v>0</v>
      </c>
      <c r="BW297" s="847">
        <v>0</v>
      </c>
      <c r="BX297" s="847">
        <v>0</v>
      </c>
      <c r="BY297" s="847">
        <v>0</v>
      </c>
      <c r="BZ297" s="847">
        <v>0</v>
      </c>
      <c r="CA297" s="847">
        <v>0</v>
      </c>
      <c r="CB297" s="847">
        <v>0</v>
      </c>
      <c r="CC297" s="847">
        <v>0</v>
      </c>
      <c r="CD297" s="847">
        <v>0</v>
      </c>
      <c r="CE297" s="847">
        <v>0</v>
      </c>
      <c r="CF297" s="847">
        <v>0</v>
      </c>
      <c r="CG297" s="847">
        <v>0</v>
      </c>
      <c r="CH297" s="847">
        <v>0</v>
      </c>
      <c r="CI297" s="847">
        <v>0</v>
      </c>
      <c r="CJ297" s="847">
        <v>0</v>
      </c>
      <c r="CK297" s="847">
        <v>0</v>
      </c>
      <c r="CL297" s="847">
        <v>0</v>
      </c>
      <c r="CM297" s="847">
        <v>0</v>
      </c>
      <c r="CN297" s="847">
        <v>0</v>
      </c>
      <c r="CO297" s="847">
        <v>0</v>
      </c>
      <c r="CP297" s="847">
        <v>0</v>
      </c>
      <c r="CQ297" s="847">
        <v>0</v>
      </c>
      <c r="CR297" s="847">
        <v>0</v>
      </c>
      <c r="CS297" s="847">
        <v>0</v>
      </c>
      <c r="CT297" s="847">
        <v>0</v>
      </c>
      <c r="CU297" s="847">
        <v>0</v>
      </c>
      <c r="CV297" s="847">
        <v>0</v>
      </c>
      <c r="CW297" s="847">
        <v>0</v>
      </c>
      <c r="CX297" s="847">
        <v>0</v>
      </c>
      <c r="CY297" s="847">
        <v>0</v>
      </c>
      <c r="CZ297" s="847">
        <v>0</v>
      </c>
      <c r="DA297" s="847">
        <v>0</v>
      </c>
      <c r="DB297" s="847">
        <v>0</v>
      </c>
      <c r="DC297" s="847">
        <v>0</v>
      </c>
      <c r="DD297" s="847">
        <v>0</v>
      </c>
      <c r="DE297" s="847">
        <v>0</v>
      </c>
      <c r="DF297" s="847">
        <v>0</v>
      </c>
      <c r="DG297" s="847">
        <v>0</v>
      </c>
      <c r="DH297" s="847">
        <v>0</v>
      </c>
      <c r="DI297" s="847">
        <v>0</v>
      </c>
      <c r="DJ297" s="847">
        <v>0</v>
      </c>
      <c r="DK297" s="847">
        <v>0</v>
      </c>
      <c r="DL297" s="847">
        <v>0</v>
      </c>
      <c r="DM297" s="847">
        <v>0</v>
      </c>
      <c r="DN297" s="847">
        <v>0</v>
      </c>
      <c r="DO297" s="847">
        <v>0</v>
      </c>
      <c r="DP297" s="847">
        <v>0</v>
      </c>
      <c r="DQ297" s="847">
        <v>0</v>
      </c>
      <c r="DR297" s="847">
        <v>0</v>
      </c>
      <c r="DS297" s="847">
        <v>0</v>
      </c>
      <c r="DT297" s="847">
        <v>0</v>
      </c>
      <c r="DU297" s="847">
        <v>0</v>
      </c>
      <c r="DV297" s="847">
        <v>0</v>
      </c>
      <c r="DW297" s="847">
        <v>0</v>
      </c>
      <c r="DY297" s="843" t="s">
        <v>1060</v>
      </c>
      <c r="DZ297" s="843" t="s">
        <v>1382</v>
      </c>
      <c r="EA297" s="843" t="s">
        <v>97</v>
      </c>
      <c r="EB297" s="844">
        <v>62</v>
      </c>
      <c r="EC297" s="780" t="str">
        <f t="shared" si="11"/>
        <v>IWT060262</v>
      </c>
      <c r="ED297" s="844">
        <v>5391.2</v>
      </c>
      <c r="EE297" s="844">
        <v>10782.3</v>
      </c>
      <c r="EF297" s="844">
        <v>16173.5</v>
      </c>
      <c r="EG297" s="844">
        <v>21564.6</v>
      </c>
      <c r="EH297" s="844">
        <v>26955.8</v>
      </c>
      <c r="EI297" s="844">
        <v>32347</v>
      </c>
      <c r="EJ297" s="844">
        <v>32347</v>
      </c>
      <c r="EK297" s="844">
        <v>32347</v>
      </c>
      <c r="EL297" s="844">
        <v>32347</v>
      </c>
      <c r="EM297" s="844">
        <v>32771</v>
      </c>
      <c r="EN297" s="844">
        <v>33426</v>
      </c>
      <c r="EO297" s="844">
        <v>34095</v>
      </c>
      <c r="EP297" s="844">
        <v>34777</v>
      </c>
      <c r="EQ297" s="844">
        <v>35472</v>
      </c>
      <c r="ER297" s="844">
        <v>36181</v>
      </c>
      <c r="ES297" s="844">
        <v>36905</v>
      </c>
      <c r="ET297" s="844">
        <v>37643</v>
      </c>
      <c r="EU297" s="844">
        <v>38396</v>
      </c>
      <c r="EV297" s="844">
        <v>39164</v>
      </c>
      <c r="EW297" s="844">
        <v>39947</v>
      </c>
      <c r="EX297" s="844">
        <v>40746</v>
      </c>
      <c r="EY297" s="844">
        <v>41560</v>
      </c>
      <c r="EZ297" s="844">
        <v>42392</v>
      </c>
      <c r="FA297" s="844">
        <v>43239</v>
      </c>
      <c r="FB297" s="844">
        <v>44104</v>
      </c>
      <c r="FC297" s="844">
        <v>44986</v>
      </c>
      <c r="FD297" s="844">
        <v>45885</v>
      </c>
      <c r="FE297" s="844">
        <v>46803</v>
      </c>
      <c r="FF297" s="844">
        <v>47738</v>
      </c>
      <c r="FG297" s="844">
        <v>48693</v>
      </c>
      <c r="FH297" s="844">
        <v>49666</v>
      </c>
      <c r="FI297" s="844">
        <v>50659</v>
      </c>
      <c r="FJ297" s="844">
        <v>51672</v>
      </c>
      <c r="FK297" s="844">
        <v>52705</v>
      </c>
      <c r="FL297" s="844">
        <v>53758</v>
      </c>
      <c r="FM297" s="844">
        <v>54833</v>
      </c>
      <c r="FN297" s="844">
        <v>55928</v>
      </c>
      <c r="FO297" s="844">
        <v>57046</v>
      </c>
      <c r="FP297" s="844">
        <v>58186</v>
      </c>
      <c r="FQ297" s="844">
        <v>59348</v>
      </c>
      <c r="FR297" s="844">
        <v>60533</v>
      </c>
      <c r="FS297" s="844">
        <v>61742</v>
      </c>
      <c r="FT297" s="844">
        <v>62975</v>
      </c>
      <c r="FU297" s="844">
        <v>64232</v>
      </c>
      <c r="FV297" s="844">
        <v>65514</v>
      </c>
      <c r="FW297" s="844">
        <v>66820</v>
      </c>
      <c r="FX297" s="844">
        <v>68151</v>
      </c>
      <c r="FY297" s="844">
        <v>69508</v>
      </c>
      <c r="FZ297" s="844">
        <v>70200</v>
      </c>
      <c r="GA297" s="844">
        <v>0</v>
      </c>
      <c r="GB297" s="844">
        <v>0</v>
      </c>
      <c r="GC297" s="844">
        <v>0</v>
      </c>
      <c r="GD297" s="844">
        <v>0</v>
      </c>
      <c r="GE297" s="844">
        <v>0</v>
      </c>
      <c r="GF297" s="844">
        <v>0</v>
      </c>
      <c r="GG297" s="844">
        <v>0</v>
      </c>
      <c r="GH297" s="844">
        <v>0</v>
      </c>
      <c r="GI297" s="844">
        <v>0</v>
      </c>
      <c r="GJ297" s="844">
        <v>0</v>
      </c>
      <c r="GK297" s="844">
        <v>0</v>
      </c>
      <c r="GL297" s="844">
        <v>0</v>
      </c>
      <c r="GM297" s="844">
        <v>0</v>
      </c>
      <c r="GN297" s="844">
        <v>0</v>
      </c>
      <c r="GO297" s="844">
        <v>0</v>
      </c>
      <c r="GP297" s="844">
        <v>0</v>
      </c>
      <c r="GQ297" s="844">
        <v>0</v>
      </c>
      <c r="GR297" s="844">
        <v>0</v>
      </c>
      <c r="GS297" s="844">
        <v>0</v>
      </c>
      <c r="GT297" s="844">
        <v>0</v>
      </c>
      <c r="GU297" s="844">
        <v>0</v>
      </c>
      <c r="GV297" s="844">
        <v>0</v>
      </c>
      <c r="GW297" s="844">
        <v>0</v>
      </c>
      <c r="GX297" s="844">
        <v>0</v>
      </c>
      <c r="GY297" s="844">
        <v>0</v>
      </c>
      <c r="GZ297" s="844">
        <v>0</v>
      </c>
      <c r="HA297" s="844">
        <v>0</v>
      </c>
      <c r="HB297" s="844">
        <v>0</v>
      </c>
      <c r="HC297" s="844">
        <v>0</v>
      </c>
      <c r="HD297" s="844">
        <v>0</v>
      </c>
      <c r="HE297" s="844">
        <v>0</v>
      </c>
      <c r="HF297" s="844">
        <v>0</v>
      </c>
      <c r="HG297" s="844">
        <v>0</v>
      </c>
      <c r="HH297" s="844">
        <v>0</v>
      </c>
      <c r="HI297" s="844">
        <v>0</v>
      </c>
      <c r="HJ297" s="844">
        <v>0</v>
      </c>
      <c r="HK297" s="844">
        <v>0</v>
      </c>
      <c r="HL297" s="844">
        <v>0</v>
      </c>
      <c r="HM297" s="844">
        <v>0</v>
      </c>
      <c r="HN297" s="844">
        <v>0</v>
      </c>
      <c r="HO297" s="844">
        <v>0</v>
      </c>
      <c r="HP297" s="844">
        <v>0</v>
      </c>
      <c r="HQ297" s="844">
        <v>0</v>
      </c>
      <c r="HR297" s="844">
        <v>0</v>
      </c>
      <c r="HS297" s="844">
        <v>0</v>
      </c>
      <c r="HT297" s="844">
        <v>0</v>
      </c>
      <c r="HU297" s="844">
        <v>0</v>
      </c>
      <c r="HV297" s="844">
        <v>0</v>
      </c>
      <c r="HW297" s="844">
        <v>0</v>
      </c>
      <c r="HX297" s="844">
        <v>0</v>
      </c>
      <c r="HY297" s="844">
        <v>0</v>
      </c>
      <c r="HZ297" s="844">
        <v>0</v>
      </c>
      <c r="IA297" s="844">
        <v>0</v>
      </c>
      <c r="IB297" s="844">
        <v>0</v>
      </c>
      <c r="IC297" s="844">
        <v>0</v>
      </c>
      <c r="ID297" s="844">
        <v>0</v>
      </c>
      <c r="IE297" s="844">
        <v>0</v>
      </c>
      <c r="IF297" s="844">
        <v>0</v>
      </c>
      <c r="IG297" s="844">
        <v>0</v>
      </c>
      <c r="IH297" s="844">
        <v>0</v>
      </c>
      <c r="II297" s="844">
        <v>0</v>
      </c>
      <c r="IJ297" s="844">
        <v>0</v>
      </c>
    </row>
    <row r="298" spans="9:245" hidden="1">
      <c r="I298" s="156"/>
      <c r="L298" s="846" t="s">
        <v>1060</v>
      </c>
      <c r="M298" s="846" t="s">
        <v>1382</v>
      </c>
      <c r="N298" s="846" t="s">
        <v>97</v>
      </c>
      <c r="O298" s="847">
        <v>63</v>
      </c>
      <c r="P298" s="780" t="str">
        <f t="shared" si="10"/>
        <v>IWT060263</v>
      </c>
      <c r="Q298" s="847">
        <v>0</v>
      </c>
      <c r="R298" s="847">
        <v>0</v>
      </c>
      <c r="S298" s="847">
        <v>0</v>
      </c>
      <c r="T298" s="847">
        <v>0</v>
      </c>
      <c r="U298" s="847">
        <v>0</v>
      </c>
      <c r="V298" s="847">
        <v>0</v>
      </c>
      <c r="W298" s="847">
        <v>0</v>
      </c>
      <c r="X298" s="847">
        <v>0</v>
      </c>
      <c r="Y298" s="847">
        <v>0</v>
      </c>
      <c r="Z298" s="847">
        <v>0</v>
      </c>
      <c r="AA298" s="847">
        <v>0</v>
      </c>
      <c r="AB298" s="847">
        <v>0</v>
      </c>
      <c r="AC298" s="847">
        <v>0</v>
      </c>
      <c r="AD298" s="847">
        <v>0</v>
      </c>
      <c r="AE298" s="847">
        <v>0</v>
      </c>
      <c r="AF298" s="847">
        <v>0</v>
      </c>
      <c r="AG298" s="847">
        <v>0</v>
      </c>
      <c r="AH298" s="847">
        <v>0</v>
      </c>
      <c r="AI298" s="847">
        <v>0</v>
      </c>
      <c r="AJ298" s="847">
        <v>0</v>
      </c>
      <c r="AK298" s="847">
        <v>0</v>
      </c>
      <c r="AL298" s="847">
        <v>0</v>
      </c>
      <c r="AM298" s="847">
        <v>0</v>
      </c>
      <c r="AN298" s="847">
        <v>0</v>
      </c>
      <c r="AO298" s="847">
        <v>0</v>
      </c>
      <c r="AP298" s="847">
        <v>0</v>
      </c>
      <c r="AQ298" s="847">
        <v>0</v>
      </c>
      <c r="AR298" s="847">
        <v>0</v>
      </c>
      <c r="AS298" s="847">
        <v>0</v>
      </c>
      <c r="AT298" s="847">
        <v>0</v>
      </c>
      <c r="AU298" s="847">
        <v>0</v>
      </c>
      <c r="AV298" s="847">
        <v>0</v>
      </c>
      <c r="AW298" s="847">
        <v>0</v>
      </c>
      <c r="AX298" s="847">
        <v>0</v>
      </c>
      <c r="AY298" s="847">
        <v>0</v>
      </c>
      <c r="AZ298" s="847">
        <v>0</v>
      </c>
      <c r="BA298" s="847">
        <v>0</v>
      </c>
      <c r="BB298" s="847">
        <v>0</v>
      </c>
      <c r="BC298" s="847">
        <v>0</v>
      </c>
      <c r="BD298" s="847">
        <v>0</v>
      </c>
      <c r="BE298" s="847">
        <v>0</v>
      </c>
      <c r="BF298" s="847">
        <v>0</v>
      </c>
      <c r="BG298" s="847">
        <v>0</v>
      </c>
      <c r="BH298" s="847">
        <v>0</v>
      </c>
      <c r="BI298" s="847">
        <v>0</v>
      </c>
      <c r="BJ298" s="847">
        <v>0</v>
      </c>
      <c r="BK298" s="847">
        <v>0</v>
      </c>
      <c r="BL298" s="847">
        <v>68800</v>
      </c>
      <c r="BM298" s="847">
        <v>0</v>
      </c>
      <c r="BN298" s="847">
        <v>0</v>
      </c>
      <c r="BO298" s="847">
        <v>0</v>
      </c>
      <c r="BP298" s="847">
        <v>0</v>
      </c>
      <c r="BQ298" s="847">
        <v>0</v>
      </c>
      <c r="BR298" s="847">
        <v>0</v>
      </c>
      <c r="BS298" s="847">
        <v>0</v>
      </c>
      <c r="BT298" s="847">
        <v>0</v>
      </c>
      <c r="BU298" s="847">
        <v>0</v>
      </c>
      <c r="BV298" s="847">
        <v>0</v>
      </c>
      <c r="BW298" s="847">
        <v>0</v>
      </c>
      <c r="BX298" s="847">
        <v>0</v>
      </c>
      <c r="BY298" s="847">
        <v>0</v>
      </c>
      <c r="BZ298" s="847">
        <v>0</v>
      </c>
      <c r="CA298" s="847">
        <v>0</v>
      </c>
      <c r="CB298" s="847">
        <v>0</v>
      </c>
      <c r="CC298" s="847">
        <v>0</v>
      </c>
      <c r="CD298" s="847">
        <v>0</v>
      </c>
      <c r="CE298" s="847">
        <v>0</v>
      </c>
      <c r="CF298" s="847">
        <v>0</v>
      </c>
      <c r="CG298" s="847">
        <v>0</v>
      </c>
      <c r="CH298" s="847">
        <v>0</v>
      </c>
      <c r="CI298" s="847">
        <v>0</v>
      </c>
      <c r="CJ298" s="847">
        <v>0</v>
      </c>
      <c r="CK298" s="847">
        <v>0</v>
      </c>
      <c r="CL298" s="847">
        <v>0</v>
      </c>
      <c r="CM298" s="847">
        <v>0</v>
      </c>
      <c r="CN298" s="847">
        <v>0</v>
      </c>
      <c r="CO298" s="847">
        <v>0</v>
      </c>
      <c r="CP298" s="847">
        <v>0</v>
      </c>
      <c r="CQ298" s="847">
        <v>0</v>
      </c>
      <c r="CR298" s="847">
        <v>0</v>
      </c>
      <c r="CS298" s="847">
        <v>0</v>
      </c>
      <c r="CT298" s="847">
        <v>0</v>
      </c>
      <c r="CU298" s="847">
        <v>0</v>
      </c>
      <c r="CV298" s="847">
        <v>0</v>
      </c>
      <c r="CW298" s="847">
        <v>0</v>
      </c>
      <c r="CX298" s="847">
        <v>0</v>
      </c>
      <c r="CY298" s="847">
        <v>0</v>
      </c>
      <c r="CZ298" s="847">
        <v>0</v>
      </c>
      <c r="DA298" s="847">
        <v>0</v>
      </c>
      <c r="DB298" s="847">
        <v>0</v>
      </c>
      <c r="DC298" s="847">
        <v>0</v>
      </c>
      <c r="DD298" s="847">
        <v>0</v>
      </c>
      <c r="DE298" s="847">
        <v>0</v>
      </c>
      <c r="DF298" s="847">
        <v>0</v>
      </c>
      <c r="DG298" s="847">
        <v>0</v>
      </c>
      <c r="DH298" s="847">
        <v>0</v>
      </c>
      <c r="DI298" s="847">
        <v>0</v>
      </c>
      <c r="DJ298" s="847">
        <v>0</v>
      </c>
      <c r="DK298" s="847">
        <v>0</v>
      </c>
      <c r="DL298" s="847">
        <v>0</v>
      </c>
      <c r="DM298" s="847">
        <v>0</v>
      </c>
      <c r="DN298" s="847">
        <v>0</v>
      </c>
      <c r="DO298" s="847">
        <v>0</v>
      </c>
      <c r="DP298" s="847">
        <v>0</v>
      </c>
      <c r="DQ298" s="847">
        <v>0</v>
      </c>
      <c r="DR298" s="847">
        <v>0</v>
      </c>
      <c r="DS298" s="847">
        <v>0</v>
      </c>
      <c r="DT298" s="847">
        <v>0</v>
      </c>
      <c r="DU298" s="847">
        <v>0</v>
      </c>
      <c r="DV298" s="847">
        <v>0</v>
      </c>
      <c r="DW298" s="847">
        <v>0</v>
      </c>
      <c r="DY298" s="843" t="s">
        <v>1060</v>
      </c>
      <c r="DZ298" s="843" t="s">
        <v>1382</v>
      </c>
      <c r="EA298" s="843" t="s">
        <v>97</v>
      </c>
      <c r="EB298" s="844">
        <v>63</v>
      </c>
      <c r="EC298" s="780" t="str">
        <f t="shared" si="11"/>
        <v>IWT060263</v>
      </c>
      <c r="ED298" s="844">
        <v>5394.3</v>
      </c>
      <c r="EE298" s="844">
        <v>10788.7</v>
      </c>
      <c r="EF298" s="844">
        <v>16183</v>
      </c>
      <c r="EG298" s="844">
        <v>21577.4</v>
      </c>
      <c r="EH298" s="844">
        <v>26971.7</v>
      </c>
      <c r="EI298" s="844">
        <v>32366</v>
      </c>
      <c r="EJ298" s="844">
        <v>32366</v>
      </c>
      <c r="EK298" s="844">
        <v>32366</v>
      </c>
      <c r="EL298" s="844">
        <v>32366</v>
      </c>
      <c r="EM298" s="844">
        <v>32760</v>
      </c>
      <c r="EN298" s="844">
        <v>33415</v>
      </c>
      <c r="EO298" s="844">
        <v>34084</v>
      </c>
      <c r="EP298" s="844">
        <v>34765</v>
      </c>
      <c r="EQ298" s="844">
        <v>35461</v>
      </c>
      <c r="ER298" s="844">
        <v>36170</v>
      </c>
      <c r="ES298" s="844">
        <v>36893</v>
      </c>
      <c r="ET298" s="844">
        <v>37631</v>
      </c>
      <c r="EU298" s="844">
        <v>38383</v>
      </c>
      <c r="EV298" s="844">
        <v>39151</v>
      </c>
      <c r="EW298" s="844">
        <v>39934</v>
      </c>
      <c r="EX298" s="844">
        <v>40732</v>
      </c>
      <c r="EY298" s="844">
        <v>41547</v>
      </c>
      <c r="EZ298" s="844">
        <v>42378</v>
      </c>
      <c r="FA298" s="844">
        <v>43225</v>
      </c>
      <c r="FB298" s="844">
        <v>44089</v>
      </c>
      <c r="FC298" s="844">
        <v>44971</v>
      </c>
      <c r="FD298" s="844">
        <v>45870</v>
      </c>
      <c r="FE298" s="844">
        <v>46787</v>
      </c>
      <c r="FF298" s="844">
        <v>47723</v>
      </c>
      <c r="FG298" s="844">
        <v>48677</v>
      </c>
      <c r="FH298" s="844">
        <v>49650</v>
      </c>
      <c r="FI298" s="844">
        <v>50642</v>
      </c>
      <c r="FJ298" s="844">
        <v>51655</v>
      </c>
      <c r="FK298" s="844">
        <v>52687</v>
      </c>
      <c r="FL298" s="844">
        <v>53740</v>
      </c>
      <c r="FM298" s="844">
        <v>54814</v>
      </c>
      <c r="FN298" s="844">
        <v>55909</v>
      </c>
      <c r="FO298" s="844">
        <v>57026</v>
      </c>
      <c r="FP298" s="844">
        <v>58165</v>
      </c>
      <c r="FQ298" s="844">
        <v>59327</v>
      </c>
      <c r="FR298" s="844">
        <v>60511</v>
      </c>
      <c r="FS298" s="844">
        <v>61719</v>
      </c>
      <c r="FT298" s="844">
        <v>62951</v>
      </c>
      <c r="FU298" s="844">
        <v>64207</v>
      </c>
      <c r="FV298" s="844">
        <v>65487</v>
      </c>
      <c r="FW298" s="844">
        <v>66792</v>
      </c>
      <c r="FX298" s="844">
        <v>68122</v>
      </c>
      <c r="FY298" s="844">
        <v>68800</v>
      </c>
      <c r="FZ298" s="844">
        <v>0</v>
      </c>
      <c r="GA298" s="844">
        <v>0</v>
      </c>
      <c r="GB298" s="844">
        <v>0</v>
      </c>
      <c r="GC298" s="844">
        <v>0</v>
      </c>
      <c r="GD298" s="844">
        <v>0</v>
      </c>
      <c r="GE298" s="844">
        <v>0</v>
      </c>
      <c r="GF298" s="844">
        <v>0</v>
      </c>
      <c r="GG298" s="844">
        <v>0</v>
      </c>
      <c r="GH298" s="844">
        <v>0</v>
      </c>
      <c r="GI298" s="844">
        <v>0</v>
      </c>
      <c r="GJ298" s="844">
        <v>0</v>
      </c>
      <c r="GK298" s="844">
        <v>0</v>
      </c>
      <c r="GL298" s="844">
        <v>0</v>
      </c>
      <c r="GM298" s="844">
        <v>0</v>
      </c>
      <c r="GN298" s="844">
        <v>0</v>
      </c>
      <c r="GO298" s="844">
        <v>0</v>
      </c>
      <c r="GP298" s="844">
        <v>0</v>
      </c>
      <c r="GQ298" s="844">
        <v>0</v>
      </c>
      <c r="GR298" s="844">
        <v>0</v>
      </c>
      <c r="GS298" s="844">
        <v>0</v>
      </c>
      <c r="GT298" s="844">
        <v>0</v>
      </c>
      <c r="GU298" s="844">
        <v>0</v>
      </c>
      <c r="GV298" s="844">
        <v>0</v>
      </c>
      <c r="GW298" s="844">
        <v>0</v>
      </c>
      <c r="GX298" s="844">
        <v>0</v>
      </c>
      <c r="GY298" s="844">
        <v>0</v>
      </c>
      <c r="GZ298" s="844">
        <v>0</v>
      </c>
      <c r="HA298" s="844">
        <v>0</v>
      </c>
      <c r="HB298" s="844">
        <v>0</v>
      </c>
      <c r="HC298" s="844">
        <v>0</v>
      </c>
      <c r="HD298" s="844">
        <v>0</v>
      </c>
      <c r="HE298" s="844">
        <v>0</v>
      </c>
      <c r="HF298" s="844">
        <v>0</v>
      </c>
      <c r="HG298" s="844">
        <v>0</v>
      </c>
      <c r="HH298" s="844">
        <v>0</v>
      </c>
      <c r="HI298" s="844">
        <v>0</v>
      </c>
      <c r="HJ298" s="844">
        <v>0</v>
      </c>
      <c r="HK298" s="844">
        <v>0</v>
      </c>
      <c r="HL298" s="844">
        <v>0</v>
      </c>
      <c r="HM298" s="844">
        <v>0</v>
      </c>
      <c r="HN298" s="844">
        <v>0</v>
      </c>
      <c r="HO298" s="844">
        <v>0</v>
      </c>
      <c r="HP298" s="844">
        <v>0</v>
      </c>
      <c r="HQ298" s="844">
        <v>0</v>
      </c>
      <c r="HR298" s="844">
        <v>0</v>
      </c>
      <c r="HS298" s="844">
        <v>0</v>
      </c>
      <c r="HT298" s="844">
        <v>0</v>
      </c>
      <c r="HU298" s="844">
        <v>0</v>
      </c>
      <c r="HV298" s="844">
        <v>0</v>
      </c>
      <c r="HW298" s="844">
        <v>0</v>
      </c>
      <c r="HX298" s="844">
        <v>0</v>
      </c>
      <c r="HY298" s="844">
        <v>0</v>
      </c>
      <c r="HZ298" s="844">
        <v>0</v>
      </c>
      <c r="IA298" s="844">
        <v>0</v>
      </c>
      <c r="IB298" s="844">
        <v>0</v>
      </c>
      <c r="IC298" s="844">
        <v>0</v>
      </c>
      <c r="ID298" s="844">
        <v>0</v>
      </c>
      <c r="IE298" s="844">
        <v>0</v>
      </c>
      <c r="IF298" s="844">
        <v>0</v>
      </c>
      <c r="IG298" s="844">
        <v>0</v>
      </c>
      <c r="IH298" s="844">
        <v>0</v>
      </c>
      <c r="II298" s="844">
        <v>0</v>
      </c>
      <c r="IJ298" s="844">
        <v>0</v>
      </c>
    </row>
    <row r="299" spans="9:245" hidden="1">
      <c r="I299" s="156"/>
      <c r="L299" s="846" t="s">
        <v>1060</v>
      </c>
      <c r="M299" s="846" t="s">
        <v>1382</v>
      </c>
      <c r="N299" s="846" t="s">
        <v>97</v>
      </c>
      <c r="O299" s="847">
        <v>64</v>
      </c>
      <c r="P299" s="780" t="str">
        <f t="shared" si="10"/>
        <v>IWT060264</v>
      </c>
      <c r="Q299" s="847">
        <v>0</v>
      </c>
      <c r="R299" s="847">
        <v>0</v>
      </c>
      <c r="S299" s="847">
        <v>0</v>
      </c>
      <c r="T299" s="847">
        <v>0</v>
      </c>
      <c r="U299" s="847">
        <v>0</v>
      </c>
      <c r="V299" s="847">
        <v>0</v>
      </c>
      <c r="W299" s="847">
        <v>0</v>
      </c>
      <c r="X299" s="847">
        <v>0</v>
      </c>
      <c r="Y299" s="847">
        <v>0</v>
      </c>
      <c r="Z299" s="847">
        <v>0</v>
      </c>
      <c r="AA299" s="847">
        <v>0</v>
      </c>
      <c r="AB299" s="847">
        <v>0</v>
      </c>
      <c r="AC299" s="847">
        <v>0</v>
      </c>
      <c r="AD299" s="847">
        <v>0</v>
      </c>
      <c r="AE299" s="847">
        <v>0</v>
      </c>
      <c r="AF299" s="847">
        <v>0</v>
      </c>
      <c r="AG299" s="847">
        <v>0</v>
      </c>
      <c r="AH299" s="847">
        <v>0</v>
      </c>
      <c r="AI299" s="847">
        <v>0</v>
      </c>
      <c r="AJ299" s="847">
        <v>0</v>
      </c>
      <c r="AK299" s="847">
        <v>0</v>
      </c>
      <c r="AL299" s="847">
        <v>0</v>
      </c>
      <c r="AM299" s="847">
        <v>0</v>
      </c>
      <c r="AN299" s="847">
        <v>0</v>
      </c>
      <c r="AO299" s="847">
        <v>0</v>
      </c>
      <c r="AP299" s="847">
        <v>0</v>
      </c>
      <c r="AQ299" s="847">
        <v>0</v>
      </c>
      <c r="AR299" s="847">
        <v>0</v>
      </c>
      <c r="AS299" s="847">
        <v>0</v>
      </c>
      <c r="AT299" s="847">
        <v>0</v>
      </c>
      <c r="AU299" s="847">
        <v>0</v>
      </c>
      <c r="AV299" s="847">
        <v>0</v>
      </c>
      <c r="AW299" s="847">
        <v>0</v>
      </c>
      <c r="AX299" s="847">
        <v>0</v>
      </c>
      <c r="AY299" s="847">
        <v>0</v>
      </c>
      <c r="AZ299" s="847">
        <v>0</v>
      </c>
      <c r="BA299" s="847">
        <v>0</v>
      </c>
      <c r="BB299" s="847">
        <v>0</v>
      </c>
      <c r="BC299" s="847">
        <v>0</v>
      </c>
      <c r="BD299" s="847">
        <v>0</v>
      </c>
      <c r="BE299" s="847">
        <v>0</v>
      </c>
      <c r="BF299" s="847">
        <v>0</v>
      </c>
      <c r="BG299" s="847">
        <v>0</v>
      </c>
      <c r="BH299" s="847">
        <v>0</v>
      </c>
      <c r="BI299" s="847">
        <v>0</v>
      </c>
      <c r="BJ299" s="847">
        <v>0</v>
      </c>
      <c r="BK299" s="847">
        <v>67400</v>
      </c>
      <c r="BL299" s="847">
        <v>0</v>
      </c>
      <c r="BM299" s="847">
        <v>0</v>
      </c>
      <c r="BN299" s="847">
        <v>0</v>
      </c>
      <c r="BO299" s="847">
        <v>0</v>
      </c>
      <c r="BP299" s="847">
        <v>0</v>
      </c>
      <c r="BQ299" s="847">
        <v>0</v>
      </c>
      <c r="BR299" s="847">
        <v>0</v>
      </c>
      <c r="BS299" s="847">
        <v>0</v>
      </c>
      <c r="BT299" s="847">
        <v>0</v>
      </c>
      <c r="BU299" s="847">
        <v>0</v>
      </c>
      <c r="BV299" s="847">
        <v>0</v>
      </c>
      <c r="BW299" s="847">
        <v>0</v>
      </c>
      <c r="BX299" s="847">
        <v>0</v>
      </c>
      <c r="BY299" s="847">
        <v>0</v>
      </c>
      <c r="BZ299" s="847">
        <v>0</v>
      </c>
      <c r="CA299" s="847">
        <v>0</v>
      </c>
      <c r="CB299" s="847">
        <v>0</v>
      </c>
      <c r="CC299" s="847">
        <v>0</v>
      </c>
      <c r="CD299" s="847">
        <v>0</v>
      </c>
      <c r="CE299" s="847">
        <v>0</v>
      </c>
      <c r="CF299" s="847">
        <v>0</v>
      </c>
      <c r="CG299" s="847">
        <v>0</v>
      </c>
      <c r="CH299" s="847">
        <v>0</v>
      </c>
      <c r="CI299" s="847">
        <v>0</v>
      </c>
      <c r="CJ299" s="847">
        <v>0</v>
      </c>
      <c r="CK299" s="847">
        <v>0</v>
      </c>
      <c r="CL299" s="847">
        <v>0</v>
      </c>
      <c r="CM299" s="847">
        <v>0</v>
      </c>
      <c r="CN299" s="847">
        <v>0</v>
      </c>
      <c r="CO299" s="847">
        <v>0</v>
      </c>
      <c r="CP299" s="847">
        <v>0</v>
      </c>
      <c r="CQ299" s="847">
        <v>0</v>
      </c>
      <c r="CR299" s="847">
        <v>0</v>
      </c>
      <c r="CS299" s="847">
        <v>0</v>
      </c>
      <c r="CT299" s="847">
        <v>0</v>
      </c>
      <c r="CU299" s="847">
        <v>0</v>
      </c>
      <c r="CV299" s="847">
        <v>0</v>
      </c>
      <c r="CW299" s="847">
        <v>0</v>
      </c>
      <c r="CX299" s="847">
        <v>0</v>
      </c>
      <c r="CY299" s="847">
        <v>0</v>
      </c>
      <c r="CZ299" s="847">
        <v>0</v>
      </c>
      <c r="DA299" s="847">
        <v>0</v>
      </c>
      <c r="DB299" s="847">
        <v>0</v>
      </c>
      <c r="DC299" s="847">
        <v>0</v>
      </c>
      <c r="DD299" s="847">
        <v>0</v>
      </c>
      <c r="DE299" s="847">
        <v>0</v>
      </c>
      <c r="DF299" s="847">
        <v>0</v>
      </c>
      <c r="DG299" s="847">
        <v>0</v>
      </c>
      <c r="DH299" s="847">
        <v>0</v>
      </c>
      <c r="DI299" s="847">
        <v>0</v>
      </c>
      <c r="DJ299" s="847">
        <v>0</v>
      </c>
      <c r="DK299" s="847">
        <v>0</v>
      </c>
      <c r="DL299" s="847">
        <v>0</v>
      </c>
      <c r="DM299" s="847">
        <v>0</v>
      </c>
      <c r="DN299" s="847">
        <v>0</v>
      </c>
      <c r="DO299" s="847">
        <v>0</v>
      </c>
      <c r="DP299" s="847">
        <v>0</v>
      </c>
      <c r="DQ299" s="847">
        <v>0</v>
      </c>
      <c r="DR299" s="847">
        <v>0</v>
      </c>
      <c r="DS299" s="847">
        <v>0</v>
      </c>
      <c r="DT299" s="847">
        <v>0</v>
      </c>
      <c r="DU299" s="847">
        <v>0</v>
      </c>
      <c r="DV299" s="847">
        <v>0</v>
      </c>
      <c r="DW299" s="847">
        <v>0</v>
      </c>
      <c r="DY299" s="843" t="s">
        <v>1060</v>
      </c>
      <c r="DZ299" s="843" t="s">
        <v>1382</v>
      </c>
      <c r="EA299" s="843" t="s">
        <v>97</v>
      </c>
      <c r="EB299" s="844">
        <v>64</v>
      </c>
      <c r="EC299" s="780" t="str">
        <f t="shared" si="11"/>
        <v>IWT060264</v>
      </c>
      <c r="ED299" s="844">
        <v>5397.5</v>
      </c>
      <c r="EE299" s="844">
        <v>10795</v>
      </c>
      <c r="EF299" s="844">
        <v>16192.6</v>
      </c>
      <c r="EG299" s="844">
        <v>21590.1</v>
      </c>
      <c r="EH299" s="844">
        <v>26987.599999999999</v>
      </c>
      <c r="EI299" s="844">
        <v>32385.1</v>
      </c>
      <c r="EJ299" s="844">
        <v>32385.1</v>
      </c>
      <c r="EK299" s="844">
        <v>32385.1</v>
      </c>
      <c r="EL299" s="844">
        <v>32385.1</v>
      </c>
      <c r="EM299" s="844">
        <v>32736</v>
      </c>
      <c r="EN299" s="844">
        <v>33390</v>
      </c>
      <c r="EO299" s="844">
        <v>34058</v>
      </c>
      <c r="EP299" s="844">
        <v>34739</v>
      </c>
      <c r="EQ299" s="844">
        <v>35434</v>
      </c>
      <c r="ER299" s="844">
        <v>36143</v>
      </c>
      <c r="ES299" s="844">
        <v>36866</v>
      </c>
      <c r="ET299" s="844">
        <v>37603</v>
      </c>
      <c r="EU299" s="844">
        <v>38355</v>
      </c>
      <c r="EV299" s="844">
        <v>39122</v>
      </c>
      <c r="EW299" s="844">
        <v>39904</v>
      </c>
      <c r="EX299" s="844">
        <v>40702</v>
      </c>
      <c r="EY299" s="844">
        <v>41516</v>
      </c>
      <c r="EZ299" s="844">
        <v>42346</v>
      </c>
      <c r="FA299" s="844">
        <v>43193</v>
      </c>
      <c r="FB299" s="844">
        <v>44056</v>
      </c>
      <c r="FC299" s="844">
        <v>44937</v>
      </c>
      <c r="FD299" s="844">
        <v>45836</v>
      </c>
      <c r="FE299" s="844">
        <v>46752</v>
      </c>
      <c r="FF299" s="844">
        <v>47687</v>
      </c>
      <c r="FG299" s="844">
        <v>48640</v>
      </c>
      <c r="FH299" s="844">
        <v>49612</v>
      </c>
      <c r="FI299" s="844">
        <v>50604</v>
      </c>
      <c r="FJ299" s="844">
        <v>51615</v>
      </c>
      <c r="FK299" s="844">
        <v>52647</v>
      </c>
      <c r="FL299" s="844">
        <v>53699</v>
      </c>
      <c r="FM299" s="844">
        <v>54772</v>
      </c>
      <c r="FN299" s="844">
        <v>55866</v>
      </c>
      <c r="FO299" s="844">
        <v>56982</v>
      </c>
      <c r="FP299" s="844">
        <v>58120</v>
      </c>
      <c r="FQ299" s="844">
        <v>59281</v>
      </c>
      <c r="FR299" s="844">
        <v>60464</v>
      </c>
      <c r="FS299" s="844">
        <v>61671</v>
      </c>
      <c r="FT299" s="844">
        <v>62901</v>
      </c>
      <c r="FU299" s="844">
        <v>64155</v>
      </c>
      <c r="FV299" s="844">
        <v>65433</v>
      </c>
      <c r="FW299" s="844">
        <v>66736</v>
      </c>
      <c r="FX299" s="844">
        <v>67400</v>
      </c>
      <c r="FY299" s="844">
        <v>0</v>
      </c>
      <c r="FZ299" s="844">
        <v>0</v>
      </c>
      <c r="GA299" s="844">
        <v>0</v>
      </c>
      <c r="GB299" s="844">
        <v>0</v>
      </c>
      <c r="GC299" s="844">
        <v>0</v>
      </c>
      <c r="GD299" s="844">
        <v>0</v>
      </c>
      <c r="GE299" s="844">
        <v>0</v>
      </c>
      <c r="GF299" s="844">
        <v>0</v>
      </c>
      <c r="GG299" s="844">
        <v>0</v>
      </c>
      <c r="GH299" s="844">
        <v>0</v>
      </c>
      <c r="GI299" s="844">
        <v>0</v>
      </c>
      <c r="GJ299" s="844">
        <v>0</v>
      </c>
      <c r="GK299" s="844">
        <v>0</v>
      </c>
      <c r="GL299" s="844">
        <v>0</v>
      </c>
      <c r="GM299" s="844">
        <v>0</v>
      </c>
      <c r="GN299" s="844">
        <v>0</v>
      </c>
      <c r="GO299" s="844">
        <v>0</v>
      </c>
      <c r="GP299" s="844">
        <v>0</v>
      </c>
      <c r="GQ299" s="844">
        <v>0</v>
      </c>
      <c r="GR299" s="844">
        <v>0</v>
      </c>
      <c r="GS299" s="844">
        <v>0</v>
      </c>
      <c r="GT299" s="844">
        <v>0</v>
      </c>
      <c r="GU299" s="844">
        <v>0</v>
      </c>
      <c r="GV299" s="844">
        <v>0</v>
      </c>
      <c r="GW299" s="844">
        <v>0</v>
      </c>
      <c r="GX299" s="844">
        <v>0</v>
      </c>
      <c r="GY299" s="844">
        <v>0</v>
      </c>
      <c r="GZ299" s="844">
        <v>0</v>
      </c>
      <c r="HA299" s="844">
        <v>0</v>
      </c>
      <c r="HB299" s="844">
        <v>0</v>
      </c>
      <c r="HC299" s="844">
        <v>0</v>
      </c>
      <c r="HD299" s="844">
        <v>0</v>
      </c>
      <c r="HE299" s="844">
        <v>0</v>
      </c>
      <c r="HF299" s="844">
        <v>0</v>
      </c>
      <c r="HG299" s="844">
        <v>0</v>
      </c>
      <c r="HH299" s="844">
        <v>0</v>
      </c>
      <c r="HI299" s="844">
        <v>0</v>
      </c>
      <c r="HJ299" s="844">
        <v>0</v>
      </c>
      <c r="HK299" s="844">
        <v>0</v>
      </c>
      <c r="HL299" s="844">
        <v>0</v>
      </c>
      <c r="HM299" s="844">
        <v>0</v>
      </c>
      <c r="HN299" s="844">
        <v>0</v>
      </c>
      <c r="HO299" s="844">
        <v>0</v>
      </c>
      <c r="HP299" s="844">
        <v>0</v>
      </c>
      <c r="HQ299" s="844">
        <v>0</v>
      </c>
      <c r="HR299" s="844">
        <v>0</v>
      </c>
      <c r="HS299" s="844">
        <v>0</v>
      </c>
      <c r="HT299" s="844">
        <v>0</v>
      </c>
      <c r="HU299" s="844">
        <v>0</v>
      </c>
      <c r="HV299" s="844">
        <v>0</v>
      </c>
      <c r="HW299" s="844">
        <v>0</v>
      </c>
      <c r="HX299" s="844">
        <v>0</v>
      </c>
      <c r="HY299" s="844">
        <v>0</v>
      </c>
      <c r="HZ299" s="844">
        <v>0</v>
      </c>
      <c r="IA299" s="844">
        <v>0</v>
      </c>
      <c r="IB299" s="844">
        <v>0</v>
      </c>
      <c r="IC299" s="844">
        <v>0</v>
      </c>
      <c r="ID299" s="844">
        <v>0</v>
      </c>
      <c r="IE299" s="844">
        <v>0</v>
      </c>
      <c r="IF299" s="844">
        <v>0</v>
      </c>
      <c r="IG299" s="844">
        <v>0</v>
      </c>
      <c r="IH299" s="844">
        <v>0</v>
      </c>
      <c r="II299" s="844">
        <v>0</v>
      </c>
      <c r="IJ299" s="844">
        <v>0</v>
      </c>
    </row>
    <row r="300" spans="9:245" hidden="1">
      <c r="I300" s="156"/>
      <c r="L300" s="846" t="s">
        <v>1060</v>
      </c>
      <c r="M300" s="846" t="s">
        <v>1382</v>
      </c>
      <c r="N300" s="846" t="s">
        <v>97</v>
      </c>
      <c r="O300" s="847">
        <v>65</v>
      </c>
      <c r="P300" s="780" t="str">
        <f t="shared" si="10"/>
        <v>IWT060265</v>
      </c>
      <c r="Q300" s="847">
        <v>0</v>
      </c>
      <c r="R300" s="847">
        <v>0</v>
      </c>
      <c r="S300" s="847">
        <v>0</v>
      </c>
      <c r="T300" s="847">
        <v>0</v>
      </c>
      <c r="U300" s="847">
        <v>0</v>
      </c>
      <c r="V300" s="847">
        <v>0</v>
      </c>
      <c r="W300" s="847">
        <v>0</v>
      </c>
      <c r="X300" s="847">
        <v>0</v>
      </c>
      <c r="Y300" s="847">
        <v>0</v>
      </c>
      <c r="Z300" s="847">
        <v>0</v>
      </c>
      <c r="AA300" s="847">
        <v>0</v>
      </c>
      <c r="AB300" s="847">
        <v>0</v>
      </c>
      <c r="AC300" s="847">
        <v>0</v>
      </c>
      <c r="AD300" s="847">
        <v>0</v>
      </c>
      <c r="AE300" s="847">
        <v>0</v>
      </c>
      <c r="AF300" s="847">
        <v>0</v>
      </c>
      <c r="AG300" s="847">
        <v>0</v>
      </c>
      <c r="AH300" s="847">
        <v>0</v>
      </c>
      <c r="AI300" s="847">
        <v>0</v>
      </c>
      <c r="AJ300" s="847">
        <v>0</v>
      </c>
      <c r="AK300" s="847">
        <v>0</v>
      </c>
      <c r="AL300" s="847">
        <v>0</v>
      </c>
      <c r="AM300" s="847">
        <v>0</v>
      </c>
      <c r="AN300" s="847">
        <v>0</v>
      </c>
      <c r="AO300" s="847">
        <v>0</v>
      </c>
      <c r="AP300" s="847">
        <v>0</v>
      </c>
      <c r="AQ300" s="847">
        <v>0</v>
      </c>
      <c r="AR300" s="847">
        <v>0</v>
      </c>
      <c r="AS300" s="847">
        <v>0</v>
      </c>
      <c r="AT300" s="847">
        <v>0</v>
      </c>
      <c r="AU300" s="847">
        <v>0</v>
      </c>
      <c r="AV300" s="847">
        <v>0</v>
      </c>
      <c r="AW300" s="847">
        <v>0</v>
      </c>
      <c r="AX300" s="847">
        <v>0</v>
      </c>
      <c r="AY300" s="847">
        <v>0</v>
      </c>
      <c r="AZ300" s="847">
        <v>0</v>
      </c>
      <c r="BA300" s="847">
        <v>0</v>
      </c>
      <c r="BB300" s="847">
        <v>0</v>
      </c>
      <c r="BC300" s="847">
        <v>0</v>
      </c>
      <c r="BD300" s="847">
        <v>0</v>
      </c>
      <c r="BE300" s="847">
        <v>0</v>
      </c>
      <c r="BF300" s="847">
        <v>0</v>
      </c>
      <c r="BG300" s="847">
        <v>0</v>
      </c>
      <c r="BH300" s="847">
        <v>0</v>
      </c>
      <c r="BI300" s="847">
        <v>0</v>
      </c>
      <c r="BJ300" s="847">
        <v>66000</v>
      </c>
      <c r="BK300" s="847">
        <v>0</v>
      </c>
      <c r="BL300" s="847">
        <v>0</v>
      </c>
      <c r="BM300" s="847">
        <v>0</v>
      </c>
      <c r="BN300" s="847">
        <v>0</v>
      </c>
      <c r="BO300" s="847">
        <v>0</v>
      </c>
      <c r="BP300" s="847">
        <v>0</v>
      </c>
      <c r="BQ300" s="847">
        <v>0</v>
      </c>
      <c r="BR300" s="847">
        <v>0</v>
      </c>
      <c r="BS300" s="847">
        <v>0</v>
      </c>
      <c r="BT300" s="847">
        <v>0</v>
      </c>
      <c r="BU300" s="847">
        <v>0</v>
      </c>
      <c r="BV300" s="847">
        <v>0</v>
      </c>
      <c r="BW300" s="847">
        <v>0</v>
      </c>
      <c r="BX300" s="847">
        <v>0</v>
      </c>
      <c r="BY300" s="847">
        <v>0</v>
      </c>
      <c r="BZ300" s="847">
        <v>0</v>
      </c>
      <c r="CA300" s="847">
        <v>0</v>
      </c>
      <c r="CB300" s="847">
        <v>0</v>
      </c>
      <c r="CC300" s="847">
        <v>0</v>
      </c>
      <c r="CD300" s="847">
        <v>0</v>
      </c>
      <c r="CE300" s="847">
        <v>0</v>
      </c>
      <c r="CF300" s="847">
        <v>0</v>
      </c>
      <c r="CG300" s="847">
        <v>0</v>
      </c>
      <c r="CH300" s="847">
        <v>0</v>
      </c>
      <c r="CI300" s="847">
        <v>0</v>
      </c>
      <c r="CJ300" s="847">
        <v>0</v>
      </c>
      <c r="CK300" s="847">
        <v>0</v>
      </c>
      <c r="CL300" s="847">
        <v>0</v>
      </c>
      <c r="CM300" s="847">
        <v>0</v>
      </c>
      <c r="CN300" s="847">
        <v>0</v>
      </c>
      <c r="CO300" s="847">
        <v>0</v>
      </c>
      <c r="CP300" s="847">
        <v>0</v>
      </c>
      <c r="CQ300" s="847">
        <v>0</v>
      </c>
      <c r="CR300" s="847">
        <v>0</v>
      </c>
      <c r="CS300" s="847">
        <v>0</v>
      </c>
      <c r="CT300" s="847">
        <v>0</v>
      </c>
      <c r="CU300" s="847">
        <v>0</v>
      </c>
      <c r="CV300" s="847">
        <v>0</v>
      </c>
      <c r="CW300" s="847">
        <v>0</v>
      </c>
      <c r="CX300" s="847">
        <v>0</v>
      </c>
      <c r="CY300" s="847">
        <v>0</v>
      </c>
      <c r="CZ300" s="847">
        <v>0</v>
      </c>
      <c r="DA300" s="847">
        <v>0</v>
      </c>
      <c r="DB300" s="847">
        <v>0</v>
      </c>
      <c r="DC300" s="847">
        <v>0</v>
      </c>
      <c r="DD300" s="847">
        <v>0</v>
      </c>
      <c r="DE300" s="847">
        <v>0</v>
      </c>
      <c r="DF300" s="847">
        <v>0</v>
      </c>
      <c r="DG300" s="847">
        <v>0</v>
      </c>
      <c r="DH300" s="847">
        <v>0</v>
      </c>
      <c r="DI300" s="847">
        <v>0</v>
      </c>
      <c r="DJ300" s="847">
        <v>0</v>
      </c>
      <c r="DK300" s="847">
        <v>0</v>
      </c>
      <c r="DL300" s="847">
        <v>0</v>
      </c>
      <c r="DM300" s="847">
        <v>0</v>
      </c>
      <c r="DN300" s="847">
        <v>0</v>
      </c>
      <c r="DO300" s="847">
        <v>0</v>
      </c>
      <c r="DP300" s="847">
        <v>0</v>
      </c>
      <c r="DQ300" s="847">
        <v>0</v>
      </c>
      <c r="DR300" s="847">
        <v>0</v>
      </c>
      <c r="DS300" s="847">
        <v>0</v>
      </c>
      <c r="DT300" s="847">
        <v>0</v>
      </c>
      <c r="DU300" s="847">
        <v>0</v>
      </c>
      <c r="DV300" s="847">
        <v>0</v>
      </c>
      <c r="DW300" s="847">
        <v>0</v>
      </c>
      <c r="DY300" s="843" t="s">
        <v>1060</v>
      </c>
      <c r="DZ300" s="843" t="s">
        <v>1382</v>
      </c>
      <c r="EA300" s="843" t="s">
        <v>97</v>
      </c>
      <c r="EB300" s="844">
        <v>65</v>
      </c>
      <c r="EC300" s="780" t="str">
        <f t="shared" si="11"/>
        <v>IWT060265</v>
      </c>
      <c r="ED300" s="844">
        <v>5400.7</v>
      </c>
      <c r="EE300" s="844">
        <v>10801.4</v>
      </c>
      <c r="EF300" s="844">
        <v>16202.1</v>
      </c>
      <c r="EG300" s="844">
        <v>21602.799999999999</v>
      </c>
      <c r="EH300" s="844">
        <v>27003.5</v>
      </c>
      <c r="EI300" s="844">
        <v>32404.2</v>
      </c>
      <c r="EJ300" s="844">
        <v>32404.2</v>
      </c>
      <c r="EK300" s="844">
        <v>32404.2</v>
      </c>
      <c r="EL300" s="844">
        <v>32404.2</v>
      </c>
      <c r="EM300" s="844">
        <v>32697</v>
      </c>
      <c r="EN300" s="844">
        <v>33351</v>
      </c>
      <c r="EO300" s="844">
        <v>34018</v>
      </c>
      <c r="EP300" s="844">
        <v>34698</v>
      </c>
      <c r="EQ300" s="844">
        <v>35392</v>
      </c>
      <c r="ER300" s="844">
        <v>36100</v>
      </c>
      <c r="ES300" s="844">
        <v>36822</v>
      </c>
      <c r="ET300" s="844">
        <v>37558</v>
      </c>
      <c r="EU300" s="844">
        <v>38309</v>
      </c>
      <c r="EV300" s="844">
        <v>39075</v>
      </c>
      <c r="EW300" s="844">
        <v>39856</v>
      </c>
      <c r="EX300" s="844">
        <v>40653</v>
      </c>
      <c r="EY300" s="844">
        <v>41466</v>
      </c>
      <c r="EZ300" s="844">
        <v>42296</v>
      </c>
      <c r="FA300" s="844">
        <v>43141</v>
      </c>
      <c r="FB300" s="844">
        <v>44004</v>
      </c>
      <c r="FC300" s="844">
        <v>44884</v>
      </c>
      <c r="FD300" s="844">
        <v>45781</v>
      </c>
      <c r="FE300" s="844">
        <v>46696</v>
      </c>
      <c r="FF300" s="844">
        <v>47630</v>
      </c>
      <c r="FG300" s="844">
        <v>48582</v>
      </c>
      <c r="FH300" s="844">
        <v>49553</v>
      </c>
      <c r="FI300" s="844">
        <v>50543</v>
      </c>
      <c r="FJ300" s="844">
        <v>51553</v>
      </c>
      <c r="FK300" s="844">
        <v>52583</v>
      </c>
      <c r="FL300" s="844">
        <v>53634</v>
      </c>
      <c r="FM300" s="844">
        <v>54706</v>
      </c>
      <c r="FN300" s="844">
        <v>55798</v>
      </c>
      <c r="FO300" s="844">
        <v>56913</v>
      </c>
      <c r="FP300" s="844">
        <v>58049</v>
      </c>
      <c r="FQ300" s="844">
        <v>59208</v>
      </c>
      <c r="FR300" s="844">
        <v>60389</v>
      </c>
      <c r="FS300" s="844">
        <v>61594</v>
      </c>
      <c r="FT300" s="844">
        <v>62822</v>
      </c>
      <c r="FU300" s="844">
        <v>64074</v>
      </c>
      <c r="FV300" s="844">
        <v>65350</v>
      </c>
      <c r="FW300" s="844">
        <v>66000</v>
      </c>
      <c r="FX300" s="844">
        <v>0</v>
      </c>
      <c r="FY300" s="844">
        <v>0</v>
      </c>
      <c r="FZ300" s="844">
        <v>0</v>
      </c>
      <c r="GA300" s="844">
        <v>0</v>
      </c>
      <c r="GB300" s="844">
        <v>0</v>
      </c>
      <c r="GC300" s="844">
        <v>0</v>
      </c>
      <c r="GD300" s="844">
        <v>0</v>
      </c>
      <c r="GE300" s="844">
        <v>0</v>
      </c>
      <c r="GF300" s="844">
        <v>0</v>
      </c>
      <c r="GG300" s="844">
        <v>0</v>
      </c>
      <c r="GH300" s="844">
        <v>0</v>
      </c>
      <c r="GI300" s="844">
        <v>0</v>
      </c>
      <c r="GJ300" s="844">
        <v>0</v>
      </c>
      <c r="GK300" s="844">
        <v>0</v>
      </c>
      <c r="GL300" s="844">
        <v>0</v>
      </c>
      <c r="GM300" s="844">
        <v>0</v>
      </c>
      <c r="GN300" s="844">
        <v>0</v>
      </c>
      <c r="GO300" s="844">
        <v>0</v>
      </c>
      <c r="GP300" s="844">
        <v>0</v>
      </c>
      <c r="GQ300" s="844">
        <v>0</v>
      </c>
      <c r="GR300" s="844">
        <v>0</v>
      </c>
      <c r="GS300" s="844">
        <v>0</v>
      </c>
      <c r="GT300" s="844">
        <v>0</v>
      </c>
      <c r="GU300" s="844">
        <v>0</v>
      </c>
      <c r="GV300" s="844">
        <v>0</v>
      </c>
      <c r="GW300" s="844">
        <v>0</v>
      </c>
      <c r="GX300" s="844">
        <v>0</v>
      </c>
      <c r="GY300" s="844">
        <v>0</v>
      </c>
      <c r="GZ300" s="844">
        <v>0</v>
      </c>
      <c r="HA300" s="844">
        <v>0</v>
      </c>
      <c r="HB300" s="844">
        <v>0</v>
      </c>
      <c r="HC300" s="844">
        <v>0</v>
      </c>
      <c r="HD300" s="844">
        <v>0</v>
      </c>
      <c r="HE300" s="844">
        <v>0</v>
      </c>
      <c r="HF300" s="844">
        <v>0</v>
      </c>
      <c r="HG300" s="844">
        <v>0</v>
      </c>
      <c r="HH300" s="844">
        <v>0</v>
      </c>
      <c r="HI300" s="844">
        <v>0</v>
      </c>
      <c r="HJ300" s="844">
        <v>0</v>
      </c>
      <c r="HK300" s="844">
        <v>0</v>
      </c>
      <c r="HL300" s="844">
        <v>0</v>
      </c>
      <c r="HM300" s="844">
        <v>0</v>
      </c>
      <c r="HN300" s="844">
        <v>0</v>
      </c>
      <c r="HO300" s="844">
        <v>0</v>
      </c>
      <c r="HP300" s="844">
        <v>0</v>
      </c>
      <c r="HQ300" s="844">
        <v>0</v>
      </c>
      <c r="HR300" s="844">
        <v>0</v>
      </c>
      <c r="HS300" s="844">
        <v>0</v>
      </c>
      <c r="HT300" s="844">
        <v>0</v>
      </c>
      <c r="HU300" s="844">
        <v>0</v>
      </c>
      <c r="HV300" s="844">
        <v>0</v>
      </c>
      <c r="HW300" s="844">
        <v>0</v>
      </c>
      <c r="HX300" s="844">
        <v>0</v>
      </c>
      <c r="HY300" s="844">
        <v>0</v>
      </c>
      <c r="HZ300" s="844">
        <v>0</v>
      </c>
      <c r="IA300" s="844">
        <v>0</v>
      </c>
      <c r="IB300" s="844">
        <v>0</v>
      </c>
      <c r="IC300" s="844">
        <v>0</v>
      </c>
      <c r="ID300" s="844">
        <v>0</v>
      </c>
      <c r="IE300" s="844">
        <v>0</v>
      </c>
      <c r="IF300" s="844">
        <v>0</v>
      </c>
      <c r="IG300" s="844">
        <v>0</v>
      </c>
      <c r="IH300" s="844">
        <v>0</v>
      </c>
      <c r="II300" s="844">
        <v>0</v>
      </c>
      <c r="IJ300" s="844">
        <v>0</v>
      </c>
    </row>
    <row r="301" spans="9:245" hidden="1">
      <c r="I301" s="156"/>
      <c r="L301" s="846" t="s">
        <v>1060</v>
      </c>
      <c r="M301" s="846" t="s">
        <v>1382</v>
      </c>
      <c r="N301" s="846" t="s">
        <v>97</v>
      </c>
      <c r="O301" s="847">
        <v>66</v>
      </c>
      <c r="P301" s="780" t="str">
        <f t="shared" si="10"/>
        <v>IWT060266</v>
      </c>
      <c r="Q301" s="847">
        <v>0</v>
      </c>
      <c r="R301" s="847">
        <v>0</v>
      </c>
      <c r="S301" s="847">
        <v>0</v>
      </c>
      <c r="T301" s="847">
        <v>0</v>
      </c>
      <c r="U301" s="847">
        <v>0</v>
      </c>
      <c r="V301" s="847">
        <v>0</v>
      </c>
      <c r="W301" s="847">
        <v>0</v>
      </c>
      <c r="X301" s="847">
        <v>0</v>
      </c>
      <c r="Y301" s="847">
        <v>0</v>
      </c>
      <c r="Z301" s="847">
        <v>0</v>
      </c>
      <c r="AA301" s="847">
        <v>0</v>
      </c>
      <c r="AB301" s="847">
        <v>0</v>
      </c>
      <c r="AC301" s="847">
        <v>0</v>
      </c>
      <c r="AD301" s="847">
        <v>0</v>
      </c>
      <c r="AE301" s="847">
        <v>0</v>
      </c>
      <c r="AF301" s="847">
        <v>0</v>
      </c>
      <c r="AG301" s="847">
        <v>0</v>
      </c>
      <c r="AH301" s="847">
        <v>0</v>
      </c>
      <c r="AI301" s="847">
        <v>0</v>
      </c>
      <c r="AJ301" s="847">
        <v>0</v>
      </c>
      <c r="AK301" s="847">
        <v>0</v>
      </c>
      <c r="AL301" s="847">
        <v>0</v>
      </c>
      <c r="AM301" s="847">
        <v>0</v>
      </c>
      <c r="AN301" s="847">
        <v>0</v>
      </c>
      <c r="AO301" s="847">
        <v>0</v>
      </c>
      <c r="AP301" s="847">
        <v>0</v>
      </c>
      <c r="AQ301" s="847">
        <v>0</v>
      </c>
      <c r="AR301" s="847">
        <v>0</v>
      </c>
      <c r="AS301" s="847">
        <v>0</v>
      </c>
      <c r="AT301" s="847">
        <v>0</v>
      </c>
      <c r="AU301" s="847">
        <v>0</v>
      </c>
      <c r="AV301" s="847">
        <v>0</v>
      </c>
      <c r="AW301" s="847">
        <v>0</v>
      </c>
      <c r="AX301" s="847">
        <v>0</v>
      </c>
      <c r="AY301" s="847">
        <v>0</v>
      </c>
      <c r="AZ301" s="847">
        <v>0</v>
      </c>
      <c r="BA301" s="847">
        <v>0</v>
      </c>
      <c r="BB301" s="847">
        <v>0</v>
      </c>
      <c r="BC301" s="847">
        <v>0</v>
      </c>
      <c r="BD301" s="847">
        <v>0</v>
      </c>
      <c r="BE301" s="847">
        <v>0</v>
      </c>
      <c r="BF301" s="847">
        <v>0</v>
      </c>
      <c r="BG301" s="847">
        <v>0</v>
      </c>
      <c r="BH301" s="847">
        <v>0</v>
      </c>
      <c r="BI301" s="847">
        <v>64600</v>
      </c>
      <c r="BJ301" s="847">
        <v>0</v>
      </c>
      <c r="BK301" s="847">
        <v>0</v>
      </c>
      <c r="BL301" s="847">
        <v>0</v>
      </c>
      <c r="BM301" s="847">
        <v>0</v>
      </c>
      <c r="BN301" s="847">
        <v>0</v>
      </c>
      <c r="BO301" s="847">
        <v>0</v>
      </c>
      <c r="BP301" s="847">
        <v>0</v>
      </c>
      <c r="BQ301" s="847">
        <v>0</v>
      </c>
      <c r="BR301" s="847">
        <v>0</v>
      </c>
      <c r="BS301" s="847">
        <v>0</v>
      </c>
      <c r="BT301" s="847">
        <v>0</v>
      </c>
      <c r="BU301" s="847">
        <v>0</v>
      </c>
      <c r="BV301" s="847">
        <v>0</v>
      </c>
      <c r="BW301" s="847">
        <v>0</v>
      </c>
      <c r="BX301" s="847">
        <v>0</v>
      </c>
      <c r="BY301" s="847">
        <v>0</v>
      </c>
      <c r="BZ301" s="847">
        <v>0</v>
      </c>
      <c r="CA301" s="847">
        <v>0</v>
      </c>
      <c r="CB301" s="847">
        <v>0</v>
      </c>
      <c r="CC301" s="847">
        <v>0</v>
      </c>
      <c r="CD301" s="847">
        <v>0</v>
      </c>
      <c r="CE301" s="847">
        <v>0</v>
      </c>
      <c r="CF301" s="847">
        <v>0</v>
      </c>
      <c r="CG301" s="847">
        <v>0</v>
      </c>
      <c r="CH301" s="847">
        <v>0</v>
      </c>
      <c r="CI301" s="847">
        <v>0</v>
      </c>
      <c r="CJ301" s="847">
        <v>0</v>
      </c>
      <c r="CK301" s="847">
        <v>0</v>
      </c>
      <c r="CL301" s="847">
        <v>0</v>
      </c>
      <c r="CM301" s="847">
        <v>0</v>
      </c>
      <c r="CN301" s="847">
        <v>0</v>
      </c>
      <c r="CO301" s="847">
        <v>0</v>
      </c>
      <c r="CP301" s="847">
        <v>0</v>
      </c>
      <c r="CQ301" s="847">
        <v>0</v>
      </c>
      <c r="CR301" s="847">
        <v>0</v>
      </c>
      <c r="CS301" s="847">
        <v>0</v>
      </c>
      <c r="CT301" s="847">
        <v>0</v>
      </c>
      <c r="CU301" s="847">
        <v>0</v>
      </c>
      <c r="CV301" s="847">
        <v>0</v>
      </c>
      <c r="CW301" s="847">
        <v>0</v>
      </c>
      <c r="CX301" s="847">
        <v>0</v>
      </c>
      <c r="CY301" s="847">
        <v>0</v>
      </c>
      <c r="CZ301" s="847">
        <v>0</v>
      </c>
      <c r="DA301" s="847">
        <v>0</v>
      </c>
      <c r="DB301" s="847">
        <v>0</v>
      </c>
      <c r="DC301" s="847">
        <v>0</v>
      </c>
      <c r="DD301" s="847">
        <v>0</v>
      </c>
      <c r="DE301" s="847">
        <v>0</v>
      </c>
      <c r="DF301" s="847">
        <v>0</v>
      </c>
      <c r="DG301" s="847">
        <v>0</v>
      </c>
      <c r="DH301" s="847">
        <v>0</v>
      </c>
      <c r="DI301" s="847">
        <v>0</v>
      </c>
      <c r="DJ301" s="847">
        <v>0</v>
      </c>
      <c r="DK301" s="847">
        <v>0</v>
      </c>
      <c r="DL301" s="847">
        <v>0</v>
      </c>
      <c r="DM301" s="847">
        <v>0</v>
      </c>
      <c r="DN301" s="847">
        <v>0</v>
      </c>
      <c r="DO301" s="847">
        <v>0</v>
      </c>
      <c r="DP301" s="847">
        <v>0</v>
      </c>
      <c r="DQ301" s="847">
        <v>0</v>
      </c>
      <c r="DR301" s="847">
        <v>0</v>
      </c>
      <c r="DS301" s="847">
        <v>0</v>
      </c>
      <c r="DT301" s="847">
        <v>0</v>
      </c>
      <c r="DU301" s="847">
        <v>0</v>
      </c>
      <c r="DV301" s="847">
        <v>0</v>
      </c>
      <c r="DW301" s="847">
        <v>0</v>
      </c>
      <c r="DY301" s="843" t="s">
        <v>1060</v>
      </c>
      <c r="DZ301" s="843" t="s">
        <v>1382</v>
      </c>
      <c r="EA301" s="843" t="s">
        <v>97</v>
      </c>
      <c r="EB301" s="844">
        <v>66</v>
      </c>
      <c r="EC301" s="780" t="str">
        <f t="shared" si="11"/>
        <v>IWT060266</v>
      </c>
      <c r="ED301" s="844">
        <v>5403.9</v>
      </c>
      <c r="EE301" s="844">
        <v>10807.8</v>
      </c>
      <c r="EF301" s="844">
        <v>16211.6</v>
      </c>
      <c r="EG301" s="844">
        <v>21615.5</v>
      </c>
      <c r="EH301" s="844">
        <v>27019.4</v>
      </c>
      <c r="EI301" s="844">
        <v>32423.3</v>
      </c>
      <c r="EJ301" s="844">
        <v>32423.3</v>
      </c>
      <c r="EK301" s="844">
        <v>32423.3</v>
      </c>
      <c r="EL301" s="844">
        <v>32423.3</v>
      </c>
      <c r="EM301" s="844">
        <v>32644</v>
      </c>
      <c r="EN301" s="844">
        <v>33297</v>
      </c>
      <c r="EO301" s="844">
        <v>33963</v>
      </c>
      <c r="EP301" s="844">
        <v>34642</v>
      </c>
      <c r="EQ301" s="844">
        <v>35335</v>
      </c>
      <c r="ER301" s="844">
        <v>36041</v>
      </c>
      <c r="ES301" s="844">
        <v>36762</v>
      </c>
      <c r="ET301" s="844">
        <v>37497</v>
      </c>
      <c r="EU301" s="844">
        <v>38247</v>
      </c>
      <c r="EV301" s="844">
        <v>39012</v>
      </c>
      <c r="EW301" s="844">
        <v>39792</v>
      </c>
      <c r="EX301" s="844">
        <v>40587</v>
      </c>
      <c r="EY301" s="844">
        <v>41399</v>
      </c>
      <c r="EZ301" s="844">
        <v>42227</v>
      </c>
      <c r="FA301" s="844">
        <v>43071</v>
      </c>
      <c r="FB301" s="844">
        <v>43932</v>
      </c>
      <c r="FC301" s="844">
        <v>44811</v>
      </c>
      <c r="FD301" s="844">
        <v>45706</v>
      </c>
      <c r="FE301" s="844">
        <v>46620</v>
      </c>
      <c r="FF301" s="844">
        <v>47552</v>
      </c>
      <c r="FG301" s="844">
        <v>48503</v>
      </c>
      <c r="FH301" s="844">
        <v>49472</v>
      </c>
      <c r="FI301" s="844">
        <v>50461</v>
      </c>
      <c r="FJ301" s="844">
        <v>51469</v>
      </c>
      <c r="FK301" s="844">
        <v>52497</v>
      </c>
      <c r="FL301" s="844">
        <v>53546</v>
      </c>
      <c r="FM301" s="844">
        <v>54616</v>
      </c>
      <c r="FN301" s="844">
        <v>55707</v>
      </c>
      <c r="FO301" s="844">
        <v>56819</v>
      </c>
      <c r="FP301" s="844">
        <v>57953</v>
      </c>
      <c r="FQ301" s="844">
        <v>59109</v>
      </c>
      <c r="FR301" s="844">
        <v>60288</v>
      </c>
      <c r="FS301" s="844">
        <v>61490</v>
      </c>
      <c r="FT301" s="844">
        <v>62715</v>
      </c>
      <c r="FU301" s="844">
        <v>63964</v>
      </c>
      <c r="FV301" s="844">
        <v>64600</v>
      </c>
      <c r="FW301" s="844">
        <v>0</v>
      </c>
      <c r="FX301" s="844">
        <v>0</v>
      </c>
      <c r="FY301" s="844">
        <v>0</v>
      </c>
      <c r="FZ301" s="844">
        <v>0</v>
      </c>
      <c r="GA301" s="844">
        <v>0</v>
      </c>
      <c r="GB301" s="844">
        <v>0</v>
      </c>
      <c r="GC301" s="844">
        <v>0</v>
      </c>
      <c r="GD301" s="844">
        <v>0</v>
      </c>
      <c r="GE301" s="844">
        <v>0</v>
      </c>
      <c r="GF301" s="844">
        <v>0</v>
      </c>
      <c r="GG301" s="844">
        <v>0</v>
      </c>
      <c r="GH301" s="844">
        <v>0</v>
      </c>
      <c r="GI301" s="844">
        <v>0</v>
      </c>
      <c r="GJ301" s="844">
        <v>0</v>
      </c>
      <c r="GK301" s="844">
        <v>0</v>
      </c>
      <c r="GL301" s="844">
        <v>0</v>
      </c>
      <c r="GM301" s="844">
        <v>0</v>
      </c>
      <c r="GN301" s="844">
        <v>0</v>
      </c>
      <c r="GO301" s="844">
        <v>0</v>
      </c>
      <c r="GP301" s="844">
        <v>0</v>
      </c>
      <c r="GQ301" s="844">
        <v>0</v>
      </c>
      <c r="GR301" s="844">
        <v>0</v>
      </c>
      <c r="GS301" s="844">
        <v>0</v>
      </c>
      <c r="GT301" s="844">
        <v>0</v>
      </c>
      <c r="GU301" s="844">
        <v>0</v>
      </c>
      <c r="GV301" s="844">
        <v>0</v>
      </c>
      <c r="GW301" s="844">
        <v>0</v>
      </c>
      <c r="GX301" s="844">
        <v>0</v>
      </c>
      <c r="GY301" s="844">
        <v>0</v>
      </c>
      <c r="GZ301" s="844">
        <v>0</v>
      </c>
      <c r="HA301" s="844">
        <v>0</v>
      </c>
      <c r="HB301" s="844">
        <v>0</v>
      </c>
      <c r="HC301" s="844">
        <v>0</v>
      </c>
      <c r="HD301" s="844">
        <v>0</v>
      </c>
      <c r="HE301" s="844">
        <v>0</v>
      </c>
      <c r="HF301" s="844">
        <v>0</v>
      </c>
      <c r="HG301" s="844">
        <v>0</v>
      </c>
      <c r="HH301" s="844">
        <v>0</v>
      </c>
      <c r="HI301" s="844">
        <v>0</v>
      </c>
      <c r="HJ301" s="844">
        <v>0</v>
      </c>
      <c r="HK301" s="844">
        <v>0</v>
      </c>
      <c r="HL301" s="844">
        <v>0</v>
      </c>
      <c r="HM301" s="844">
        <v>0</v>
      </c>
      <c r="HN301" s="844">
        <v>0</v>
      </c>
      <c r="HO301" s="844">
        <v>0</v>
      </c>
      <c r="HP301" s="844">
        <v>0</v>
      </c>
      <c r="HQ301" s="844">
        <v>0</v>
      </c>
      <c r="HR301" s="844">
        <v>0</v>
      </c>
      <c r="HS301" s="844">
        <v>0</v>
      </c>
      <c r="HT301" s="844">
        <v>0</v>
      </c>
      <c r="HU301" s="844">
        <v>0</v>
      </c>
      <c r="HV301" s="844">
        <v>0</v>
      </c>
      <c r="HW301" s="844">
        <v>0</v>
      </c>
      <c r="HX301" s="844">
        <v>0</v>
      </c>
      <c r="HY301" s="844">
        <v>0</v>
      </c>
      <c r="HZ301" s="844">
        <v>0</v>
      </c>
      <c r="IA301" s="844">
        <v>0</v>
      </c>
      <c r="IB301" s="844">
        <v>0</v>
      </c>
      <c r="IC301" s="844">
        <v>0</v>
      </c>
      <c r="ID301" s="844">
        <v>0</v>
      </c>
      <c r="IE301" s="844">
        <v>0</v>
      </c>
      <c r="IF301" s="844">
        <v>0</v>
      </c>
      <c r="IG301" s="844">
        <v>0</v>
      </c>
      <c r="IH301" s="844">
        <v>0</v>
      </c>
      <c r="II301" s="844">
        <v>0</v>
      </c>
      <c r="IJ301" s="844">
        <v>0</v>
      </c>
    </row>
    <row r="302" spans="9:245" hidden="1">
      <c r="I302" s="156"/>
      <c r="L302" s="846" t="s">
        <v>1060</v>
      </c>
      <c r="M302" s="846" t="s">
        <v>1382</v>
      </c>
      <c r="N302" s="846" t="s">
        <v>97</v>
      </c>
      <c r="O302" s="847">
        <v>67</v>
      </c>
      <c r="P302" s="780" t="str">
        <f t="shared" si="10"/>
        <v>IWT060267</v>
      </c>
      <c r="Q302" s="847">
        <v>0</v>
      </c>
      <c r="R302" s="847">
        <v>0</v>
      </c>
      <c r="S302" s="847">
        <v>0</v>
      </c>
      <c r="T302" s="847">
        <v>0</v>
      </c>
      <c r="U302" s="847">
        <v>0</v>
      </c>
      <c r="V302" s="847">
        <v>0</v>
      </c>
      <c r="W302" s="847">
        <v>0</v>
      </c>
      <c r="X302" s="847">
        <v>0</v>
      </c>
      <c r="Y302" s="847">
        <v>0</v>
      </c>
      <c r="Z302" s="847">
        <v>0</v>
      </c>
      <c r="AA302" s="847">
        <v>0</v>
      </c>
      <c r="AB302" s="847">
        <v>0</v>
      </c>
      <c r="AC302" s="847">
        <v>0</v>
      </c>
      <c r="AD302" s="847">
        <v>0</v>
      </c>
      <c r="AE302" s="847">
        <v>0</v>
      </c>
      <c r="AF302" s="847">
        <v>0</v>
      </c>
      <c r="AG302" s="847">
        <v>0</v>
      </c>
      <c r="AH302" s="847">
        <v>0</v>
      </c>
      <c r="AI302" s="847">
        <v>0</v>
      </c>
      <c r="AJ302" s="847">
        <v>0</v>
      </c>
      <c r="AK302" s="847">
        <v>0</v>
      </c>
      <c r="AL302" s="847">
        <v>0</v>
      </c>
      <c r="AM302" s="847">
        <v>0</v>
      </c>
      <c r="AN302" s="847">
        <v>0</v>
      </c>
      <c r="AO302" s="847">
        <v>0</v>
      </c>
      <c r="AP302" s="847">
        <v>0</v>
      </c>
      <c r="AQ302" s="847">
        <v>0</v>
      </c>
      <c r="AR302" s="847">
        <v>0</v>
      </c>
      <c r="AS302" s="847">
        <v>0</v>
      </c>
      <c r="AT302" s="847">
        <v>0</v>
      </c>
      <c r="AU302" s="847">
        <v>0</v>
      </c>
      <c r="AV302" s="847">
        <v>0</v>
      </c>
      <c r="AW302" s="847">
        <v>0</v>
      </c>
      <c r="AX302" s="847">
        <v>0</v>
      </c>
      <c r="AY302" s="847">
        <v>0</v>
      </c>
      <c r="AZ302" s="847">
        <v>0</v>
      </c>
      <c r="BA302" s="847">
        <v>0</v>
      </c>
      <c r="BB302" s="847">
        <v>0</v>
      </c>
      <c r="BC302" s="847">
        <v>0</v>
      </c>
      <c r="BD302" s="847">
        <v>0</v>
      </c>
      <c r="BE302" s="847">
        <v>0</v>
      </c>
      <c r="BF302" s="847">
        <v>0</v>
      </c>
      <c r="BG302" s="847">
        <v>0</v>
      </c>
      <c r="BH302" s="847">
        <v>63200</v>
      </c>
      <c r="BI302" s="847">
        <v>0</v>
      </c>
      <c r="BJ302" s="847">
        <v>0</v>
      </c>
      <c r="BK302" s="847">
        <v>0</v>
      </c>
      <c r="BL302" s="847">
        <v>0</v>
      </c>
      <c r="BM302" s="847">
        <v>0</v>
      </c>
      <c r="BN302" s="847">
        <v>0</v>
      </c>
      <c r="BO302" s="847">
        <v>0</v>
      </c>
      <c r="BP302" s="847">
        <v>0</v>
      </c>
      <c r="BQ302" s="847">
        <v>0</v>
      </c>
      <c r="BR302" s="847">
        <v>0</v>
      </c>
      <c r="BS302" s="847">
        <v>0</v>
      </c>
      <c r="BT302" s="847">
        <v>0</v>
      </c>
      <c r="BU302" s="847">
        <v>0</v>
      </c>
      <c r="BV302" s="847">
        <v>0</v>
      </c>
      <c r="BW302" s="847">
        <v>0</v>
      </c>
      <c r="BX302" s="847">
        <v>0</v>
      </c>
      <c r="BY302" s="847">
        <v>0</v>
      </c>
      <c r="BZ302" s="847">
        <v>0</v>
      </c>
      <c r="CA302" s="847">
        <v>0</v>
      </c>
      <c r="CB302" s="847">
        <v>0</v>
      </c>
      <c r="CC302" s="847">
        <v>0</v>
      </c>
      <c r="CD302" s="847">
        <v>0</v>
      </c>
      <c r="CE302" s="847">
        <v>0</v>
      </c>
      <c r="CF302" s="847">
        <v>0</v>
      </c>
      <c r="CG302" s="847">
        <v>0</v>
      </c>
      <c r="CH302" s="847">
        <v>0</v>
      </c>
      <c r="CI302" s="847">
        <v>0</v>
      </c>
      <c r="CJ302" s="847">
        <v>0</v>
      </c>
      <c r="CK302" s="847">
        <v>0</v>
      </c>
      <c r="CL302" s="847">
        <v>0</v>
      </c>
      <c r="CM302" s="847">
        <v>0</v>
      </c>
      <c r="CN302" s="847">
        <v>0</v>
      </c>
      <c r="CO302" s="847">
        <v>0</v>
      </c>
      <c r="CP302" s="847">
        <v>0</v>
      </c>
      <c r="CQ302" s="847">
        <v>0</v>
      </c>
      <c r="CR302" s="847">
        <v>0</v>
      </c>
      <c r="CS302" s="847">
        <v>0</v>
      </c>
      <c r="CT302" s="847">
        <v>0</v>
      </c>
      <c r="CU302" s="847">
        <v>0</v>
      </c>
      <c r="CV302" s="847">
        <v>0</v>
      </c>
      <c r="CW302" s="847">
        <v>0</v>
      </c>
      <c r="CX302" s="847">
        <v>0</v>
      </c>
      <c r="CY302" s="847">
        <v>0</v>
      </c>
      <c r="CZ302" s="847">
        <v>0</v>
      </c>
      <c r="DA302" s="847">
        <v>0</v>
      </c>
      <c r="DB302" s="847">
        <v>0</v>
      </c>
      <c r="DC302" s="847">
        <v>0</v>
      </c>
      <c r="DD302" s="847">
        <v>0</v>
      </c>
      <c r="DE302" s="847">
        <v>0</v>
      </c>
      <c r="DF302" s="847">
        <v>0</v>
      </c>
      <c r="DG302" s="847">
        <v>0</v>
      </c>
      <c r="DH302" s="847">
        <v>0</v>
      </c>
      <c r="DI302" s="847">
        <v>0</v>
      </c>
      <c r="DJ302" s="847">
        <v>0</v>
      </c>
      <c r="DK302" s="847">
        <v>0</v>
      </c>
      <c r="DL302" s="847">
        <v>0</v>
      </c>
      <c r="DM302" s="847">
        <v>0</v>
      </c>
      <c r="DN302" s="847">
        <v>0</v>
      </c>
      <c r="DO302" s="847">
        <v>0</v>
      </c>
      <c r="DP302" s="847">
        <v>0</v>
      </c>
      <c r="DQ302" s="847">
        <v>0</v>
      </c>
      <c r="DR302" s="847">
        <v>0</v>
      </c>
      <c r="DS302" s="847">
        <v>0</v>
      </c>
      <c r="DT302" s="847">
        <v>0</v>
      </c>
      <c r="DU302" s="847">
        <v>0</v>
      </c>
      <c r="DV302" s="847">
        <v>0</v>
      </c>
      <c r="DW302" s="847">
        <v>0</v>
      </c>
      <c r="DY302" s="843" t="s">
        <v>1060</v>
      </c>
      <c r="DZ302" s="843" t="s">
        <v>1382</v>
      </c>
      <c r="EA302" s="843" t="s">
        <v>97</v>
      </c>
      <c r="EB302" s="844">
        <v>67</v>
      </c>
      <c r="EC302" s="780" t="str">
        <f t="shared" si="11"/>
        <v>IWT060267</v>
      </c>
      <c r="ED302" s="844">
        <v>5407.1</v>
      </c>
      <c r="EE302" s="844">
        <v>10814.1</v>
      </c>
      <c r="EF302" s="844">
        <v>16221.2</v>
      </c>
      <c r="EG302" s="844">
        <v>21628.2</v>
      </c>
      <c r="EH302" s="844">
        <v>27035.3</v>
      </c>
      <c r="EI302" s="844">
        <v>32442.400000000001</v>
      </c>
      <c r="EJ302" s="844">
        <v>32442.400000000001</v>
      </c>
      <c r="EK302" s="844">
        <v>32442.400000000001</v>
      </c>
      <c r="EL302" s="844">
        <v>32442.400000000001</v>
      </c>
      <c r="EM302" s="844">
        <v>32575</v>
      </c>
      <c r="EN302" s="844">
        <v>33226</v>
      </c>
      <c r="EO302" s="844">
        <v>33891</v>
      </c>
      <c r="EP302" s="844">
        <v>34568</v>
      </c>
      <c r="EQ302" s="844">
        <v>35260</v>
      </c>
      <c r="ER302" s="844">
        <v>35965</v>
      </c>
      <c r="ES302" s="844">
        <v>36684</v>
      </c>
      <c r="ET302" s="844">
        <v>37417</v>
      </c>
      <c r="EU302" s="844">
        <v>38166</v>
      </c>
      <c r="EV302" s="844">
        <v>38929</v>
      </c>
      <c r="EW302" s="844">
        <v>39707</v>
      </c>
      <c r="EX302" s="844">
        <v>40501</v>
      </c>
      <c r="EY302" s="844">
        <v>41311</v>
      </c>
      <c r="EZ302" s="844">
        <v>42137</v>
      </c>
      <c r="FA302" s="844">
        <v>42980</v>
      </c>
      <c r="FB302" s="844">
        <v>43839</v>
      </c>
      <c r="FC302" s="844">
        <v>44715</v>
      </c>
      <c r="FD302" s="844">
        <v>45609</v>
      </c>
      <c r="FE302" s="844">
        <v>46521</v>
      </c>
      <c r="FF302" s="844">
        <v>47451</v>
      </c>
      <c r="FG302" s="844">
        <v>48399</v>
      </c>
      <c r="FH302" s="844">
        <v>49367</v>
      </c>
      <c r="FI302" s="844">
        <v>50353</v>
      </c>
      <c r="FJ302" s="844">
        <v>51359</v>
      </c>
      <c r="FK302" s="844">
        <v>52385</v>
      </c>
      <c r="FL302" s="844">
        <v>53432</v>
      </c>
      <c r="FM302" s="844">
        <v>54499</v>
      </c>
      <c r="FN302" s="844">
        <v>55587</v>
      </c>
      <c r="FO302" s="844">
        <v>56696</v>
      </c>
      <c r="FP302" s="844">
        <v>57828</v>
      </c>
      <c r="FQ302" s="844">
        <v>58981</v>
      </c>
      <c r="FR302" s="844">
        <v>60157</v>
      </c>
      <c r="FS302" s="844">
        <v>61356</v>
      </c>
      <c r="FT302" s="844">
        <v>62577</v>
      </c>
      <c r="FU302" s="844">
        <v>63200</v>
      </c>
      <c r="FV302" s="844">
        <v>0</v>
      </c>
      <c r="FW302" s="844">
        <v>0</v>
      </c>
      <c r="FX302" s="844">
        <v>0</v>
      </c>
      <c r="FY302" s="844">
        <v>0</v>
      </c>
      <c r="FZ302" s="844">
        <v>0</v>
      </c>
      <c r="GA302" s="844">
        <v>0</v>
      </c>
      <c r="GB302" s="844">
        <v>0</v>
      </c>
      <c r="GC302" s="844">
        <v>0</v>
      </c>
      <c r="GD302" s="844">
        <v>0</v>
      </c>
      <c r="GE302" s="844">
        <v>0</v>
      </c>
      <c r="GF302" s="844">
        <v>0</v>
      </c>
      <c r="GG302" s="844">
        <v>0</v>
      </c>
      <c r="GH302" s="844">
        <v>0</v>
      </c>
      <c r="GI302" s="844">
        <v>0</v>
      </c>
      <c r="GJ302" s="844">
        <v>0</v>
      </c>
      <c r="GK302" s="844">
        <v>0</v>
      </c>
      <c r="GL302" s="844">
        <v>0</v>
      </c>
      <c r="GM302" s="844">
        <v>0</v>
      </c>
      <c r="GN302" s="844">
        <v>0</v>
      </c>
      <c r="GO302" s="844">
        <v>0</v>
      </c>
      <c r="GP302" s="844">
        <v>0</v>
      </c>
      <c r="GQ302" s="844">
        <v>0</v>
      </c>
      <c r="GR302" s="844">
        <v>0</v>
      </c>
      <c r="GS302" s="844">
        <v>0</v>
      </c>
      <c r="GT302" s="844">
        <v>0</v>
      </c>
      <c r="GU302" s="844">
        <v>0</v>
      </c>
      <c r="GV302" s="844">
        <v>0</v>
      </c>
      <c r="GW302" s="844">
        <v>0</v>
      </c>
      <c r="GX302" s="844">
        <v>0</v>
      </c>
      <c r="GY302" s="844">
        <v>0</v>
      </c>
      <c r="GZ302" s="844">
        <v>0</v>
      </c>
      <c r="HA302" s="844">
        <v>0</v>
      </c>
      <c r="HB302" s="844">
        <v>0</v>
      </c>
      <c r="HC302" s="844">
        <v>0</v>
      </c>
      <c r="HD302" s="844">
        <v>0</v>
      </c>
      <c r="HE302" s="844">
        <v>0</v>
      </c>
      <c r="HF302" s="844">
        <v>0</v>
      </c>
      <c r="HG302" s="844">
        <v>0</v>
      </c>
      <c r="HH302" s="844">
        <v>0</v>
      </c>
      <c r="HI302" s="844">
        <v>0</v>
      </c>
      <c r="HJ302" s="844">
        <v>0</v>
      </c>
      <c r="HK302" s="844">
        <v>0</v>
      </c>
      <c r="HL302" s="844">
        <v>0</v>
      </c>
      <c r="HM302" s="844">
        <v>0</v>
      </c>
      <c r="HN302" s="844">
        <v>0</v>
      </c>
      <c r="HO302" s="844">
        <v>0</v>
      </c>
      <c r="HP302" s="844">
        <v>0</v>
      </c>
      <c r="HQ302" s="844">
        <v>0</v>
      </c>
      <c r="HR302" s="844">
        <v>0</v>
      </c>
      <c r="HS302" s="844">
        <v>0</v>
      </c>
      <c r="HT302" s="844">
        <v>0</v>
      </c>
      <c r="HU302" s="844">
        <v>0</v>
      </c>
      <c r="HV302" s="844">
        <v>0</v>
      </c>
      <c r="HW302" s="844">
        <v>0</v>
      </c>
      <c r="HX302" s="844">
        <v>0</v>
      </c>
      <c r="HY302" s="844">
        <v>0</v>
      </c>
      <c r="HZ302" s="844">
        <v>0</v>
      </c>
      <c r="IA302" s="844">
        <v>0</v>
      </c>
      <c r="IB302" s="844">
        <v>0</v>
      </c>
      <c r="IC302" s="844">
        <v>0</v>
      </c>
      <c r="ID302" s="844">
        <v>0</v>
      </c>
      <c r="IE302" s="844">
        <v>0</v>
      </c>
      <c r="IF302" s="844">
        <v>0</v>
      </c>
      <c r="IG302" s="844">
        <v>0</v>
      </c>
      <c r="IH302" s="844">
        <v>0</v>
      </c>
      <c r="II302" s="844">
        <v>0</v>
      </c>
      <c r="IJ302" s="844">
        <v>0</v>
      </c>
    </row>
    <row r="303" spans="9:245" hidden="1">
      <c r="I303" s="156"/>
      <c r="L303" s="846" t="s">
        <v>1060</v>
      </c>
      <c r="M303" s="846" t="s">
        <v>1382</v>
      </c>
      <c r="N303" s="846" t="s">
        <v>97</v>
      </c>
      <c r="O303" s="847">
        <v>68</v>
      </c>
      <c r="P303" s="780" t="str">
        <f t="shared" si="10"/>
        <v>IWT060268</v>
      </c>
      <c r="Q303" s="847">
        <v>0</v>
      </c>
      <c r="R303" s="847">
        <v>0</v>
      </c>
      <c r="S303" s="847">
        <v>0</v>
      </c>
      <c r="T303" s="847">
        <v>0</v>
      </c>
      <c r="U303" s="847">
        <v>0</v>
      </c>
      <c r="V303" s="847">
        <v>0</v>
      </c>
      <c r="W303" s="847">
        <v>0</v>
      </c>
      <c r="X303" s="847">
        <v>0</v>
      </c>
      <c r="Y303" s="847">
        <v>0</v>
      </c>
      <c r="Z303" s="847">
        <v>0</v>
      </c>
      <c r="AA303" s="847">
        <v>0</v>
      </c>
      <c r="AB303" s="847">
        <v>0</v>
      </c>
      <c r="AC303" s="847">
        <v>0</v>
      </c>
      <c r="AD303" s="847">
        <v>0</v>
      </c>
      <c r="AE303" s="847">
        <v>0</v>
      </c>
      <c r="AF303" s="847">
        <v>0</v>
      </c>
      <c r="AG303" s="847">
        <v>0</v>
      </c>
      <c r="AH303" s="847">
        <v>0</v>
      </c>
      <c r="AI303" s="847">
        <v>0</v>
      </c>
      <c r="AJ303" s="847">
        <v>0</v>
      </c>
      <c r="AK303" s="847">
        <v>0</v>
      </c>
      <c r="AL303" s="847">
        <v>0</v>
      </c>
      <c r="AM303" s="847">
        <v>0</v>
      </c>
      <c r="AN303" s="847">
        <v>0</v>
      </c>
      <c r="AO303" s="847">
        <v>0</v>
      </c>
      <c r="AP303" s="847">
        <v>0</v>
      </c>
      <c r="AQ303" s="847">
        <v>0</v>
      </c>
      <c r="AR303" s="847">
        <v>0</v>
      </c>
      <c r="AS303" s="847">
        <v>0</v>
      </c>
      <c r="AT303" s="847">
        <v>0</v>
      </c>
      <c r="AU303" s="847">
        <v>0</v>
      </c>
      <c r="AV303" s="847">
        <v>0</v>
      </c>
      <c r="AW303" s="847">
        <v>0</v>
      </c>
      <c r="AX303" s="847">
        <v>0</v>
      </c>
      <c r="AY303" s="847">
        <v>0</v>
      </c>
      <c r="AZ303" s="847">
        <v>0</v>
      </c>
      <c r="BA303" s="847">
        <v>0</v>
      </c>
      <c r="BB303" s="847">
        <v>0</v>
      </c>
      <c r="BC303" s="847">
        <v>0</v>
      </c>
      <c r="BD303" s="847">
        <v>0</v>
      </c>
      <c r="BE303" s="847">
        <v>0</v>
      </c>
      <c r="BF303" s="847">
        <v>0</v>
      </c>
      <c r="BG303" s="847">
        <v>61800</v>
      </c>
      <c r="BH303" s="847">
        <v>0</v>
      </c>
      <c r="BI303" s="847">
        <v>0</v>
      </c>
      <c r="BJ303" s="847">
        <v>0</v>
      </c>
      <c r="BK303" s="847">
        <v>0</v>
      </c>
      <c r="BL303" s="847">
        <v>0</v>
      </c>
      <c r="BM303" s="847">
        <v>0</v>
      </c>
      <c r="BN303" s="847">
        <v>0</v>
      </c>
      <c r="BO303" s="847">
        <v>0</v>
      </c>
      <c r="BP303" s="847">
        <v>0</v>
      </c>
      <c r="BQ303" s="847">
        <v>0</v>
      </c>
      <c r="BR303" s="847">
        <v>0</v>
      </c>
      <c r="BS303" s="847">
        <v>0</v>
      </c>
      <c r="BT303" s="847">
        <v>0</v>
      </c>
      <c r="BU303" s="847">
        <v>0</v>
      </c>
      <c r="BV303" s="847">
        <v>0</v>
      </c>
      <c r="BW303" s="847">
        <v>0</v>
      </c>
      <c r="BX303" s="847">
        <v>0</v>
      </c>
      <c r="BY303" s="847">
        <v>0</v>
      </c>
      <c r="BZ303" s="847">
        <v>0</v>
      </c>
      <c r="CA303" s="847">
        <v>0</v>
      </c>
      <c r="CB303" s="847">
        <v>0</v>
      </c>
      <c r="CC303" s="847">
        <v>0</v>
      </c>
      <c r="CD303" s="847">
        <v>0</v>
      </c>
      <c r="CE303" s="847">
        <v>0</v>
      </c>
      <c r="CF303" s="847">
        <v>0</v>
      </c>
      <c r="CG303" s="847">
        <v>0</v>
      </c>
      <c r="CH303" s="847">
        <v>0</v>
      </c>
      <c r="CI303" s="847">
        <v>0</v>
      </c>
      <c r="CJ303" s="847">
        <v>0</v>
      </c>
      <c r="CK303" s="847">
        <v>0</v>
      </c>
      <c r="CL303" s="847">
        <v>0</v>
      </c>
      <c r="CM303" s="847">
        <v>0</v>
      </c>
      <c r="CN303" s="847">
        <v>0</v>
      </c>
      <c r="CO303" s="847">
        <v>0</v>
      </c>
      <c r="CP303" s="847">
        <v>0</v>
      </c>
      <c r="CQ303" s="847">
        <v>0</v>
      </c>
      <c r="CR303" s="847">
        <v>0</v>
      </c>
      <c r="CS303" s="847">
        <v>0</v>
      </c>
      <c r="CT303" s="847">
        <v>0</v>
      </c>
      <c r="CU303" s="847">
        <v>0</v>
      </c>
      <c r="CV303" s="847">
        <v>0</v>
      </c>
      <c r="CW303" s="847">
        <v>0</v>
      </c>
      <c r="CX303" s="847">
        <v>0</v>
      </c>
      <c r="CY303" s="847">
        <v>0</v>
      </c>
      <c r="CZ303" s="847">
        <v>0</v>
      </c>
      <c r="DA303" s="847">
        <v>0</v>
      </c>
      <c r="DB303" s="847">
        <v>0</v>
      </c>
      <c r="DC303" s="847">
        <v>0</v>
      </c>
      <c r="DD303" s="847">
        <v>0</v>
      </c>
      <c r="DE303" s="847">
        <v>0</v>
      </c>
      <c r="DF303" s="847">
        <v>0</v>
      </c>
      <c r="DG303" s="847">
        <v>0</v>
      </c>
      <c r="DH303" s="847">
        <v>0</v>
      </c>
      <c r="DI303" s="847">
        <v>0</v>
      </c>
      <c r="DJ303" s="847">
        <v>0</v>
      </c>
      <c r="DK303" s="847">
        <v>0</v>
      </c>
      <c r="DL303" s="847">
        <v>0</v>
      </c>
      <c r="DM303" s="847">
        <v>0</v>
      </c>
      <c r="DN303" s="847">
        <v>0</v>
      </c>
      <c r="DO303" s="847">
        <v>0</v>
      </c>
      <c r="DP303" s="847">
        <v>0</v>
      </c>
      <c r="DQ303" s="847">
        <v>0</v>
      </c>
      <c r="DR303" s="847">
        <v>0</v>
      </c>
      <c r="DS303" s="847">
        <v>0</v>
      </c>
      <c r="DT303" s="847">
        <v>0</v>
      </c>
      <c r="DU303" s="847">
        <v>0</v>
      </c>
      <c r="DV303" s="847">
        <v>0</v>
      </c>
      <c r="DW303" s="847">
        <v>0</v>
      </c>
      <c r="DY303" s="843" t="s">
        <v>1060</v>
      </c>
      <c r="DZ303" s="843" t="s">
        <v>1382</v>
      </c>
      <c r="EA303" s="843" t="s">
        <v>97</v>
      </c>
      <c r="EB303" s="844">
        <v>68</v>
      </c>
      <c r="EC303" s="780" t="str">
        <f t="shared" si="11"/>
        <v>IWT060268</v>
      </c>
      <c r="ED303" s="844">
        <v>5410.2</v>
      </c>
      <c r="EE303" s="844">
        <v>10820.5</v>
      </c>
      <c r="EF303" s="844">
        <v>16230.7</v>
      </c>
      <c r="EG303" s="844">
        <v>21641</v>
      </c>
      <c r="EH303" s="844">
        <v>27051.200000000001</v>
      </c>
      <c r="EI303" s="844">
        <v>32461.4</v>
      </c>
      <c r="EJ303" s="844">
        <v>32461.4</v>
      </c>
      <c r="EK303" s="844">
        <v>32461.4</v>
      </c>
      <c r="EL303" s="844">
        <v>32461.4</v>
      </c>
      <c r="EM303" s="844">
        <v>32490</v>
      </c>
      <c r="EN303" s="844">
        <v>33140</v>
      </c>
      <c r="EO303" s="844">
        <v>33803</v>
      </c>
      <c r="EP303" s="844">
        <v>34479</v>
      </c>
      <c r="EQ303" s="844">
        <v>35168</v>
      </c>
      <c r="ER303" s="844">
        <v>35872</v>
      </c>
      <c r="ES303" s="844">
        <v>36589</v>
      </c>
      <c r="ET303" s="844">
        <v>37321</v>
      </c>
      <c r="EU303" s="844">
        <v>38067</v>
      </c>
      <c r="EV303" s="844">
        <v>38828</v>
      </c>
      <c r="EW303" s="844">
        <v>39604</v>
      </c>
      <c r="EX303" s="844">
        <v>40396</v>
      </c>
      <c r="EY303" s="844">
        <v>41204</v>
      </c>
      <c r="EZ303" s="844">
        <v>42028</v>
      </c>
      <c r="FA303" s="844">
        <v>42868</v>
      </c>
      <c r="FB303" s="844">
        <v>43725</v>
      </c>
      <c r="FC303" s="844">
        <v>44599</v>
      </c>
      <c r="FD303" s="844">
        <v>45491</v>
      </c>
      <c r="FE303" s="844">
        <v>46400</v>
      </c>
      <c r="FF303" s="844">
        <v>47327</v>
      </c>
      <c r="FG303" s="844">
        <v>48273</v>
      </c>
      <c r="FH303" s="844">
        <v>49238</v>
      </c>
      <c r="FI303" s="844">
        <v>50222</v>
      </c>
      <c r="FJ303" s="844">
        <v>51225</v>
      </c>
      <c r="FK303" s="844">
        <v>52248</v>
      </c>
      <c r="FL303" s="844">
        <v>53292</v>
      </c>
      <c r="FM303" s="844">
        <v>54356</v>
      </c>
      <c r="FN303" s="844">
        <v>55441</v>
      </c>
      <c r="FO303" s="844">
        <v>56547</v>
      </c>
      <c r="FP303" s="844">
        <v>57675</v>
      </c>
      <c r="FQ303" s="844">
        <v>58825</v>
      </c>
      <c r="FR303" s="844">
        <v>59997</v>
      </c>
      <c r="FS303" s="844">
        <v>61191</v>
      </c>
      <c r="FT303" s="844">
        <v>61800</v>
      </c>
      <c r="FU303" s="844">
        <v>0</v>
      </c>
      <c r="FV303" s="844">
        <v>0</v>
      </c>
      <c r="FW303" s="844">
        <v>0</v>
      </c>
      <c r="FX303" s="844">
        <v>0</v>
      </c>
      <c r="FY303" s="844">
        <v>0</v>
      </c>
      <c r="FZ303" s="844">
        <v>0</v>
      </c>
      <c r="GA303" s="844">
        <v>0</v>
      </c>
      <c r="GB303" s="844">
        <v>0</v>
      </c>
      <c r="GC303" s="844">
        <v>0</v>
      </c>
      <c r="GD303" s="844">
        <v>0</v>
      </c>
      <c r="GE303" s="844">
        <v>0</v>
      </c>
      <c r="GF303" s="844">
        <v>0</v>
      </c>
      <c r="GG303" s="844">
        <v>0</v>
      </c>
      <c r="GH303" s="844">
        <v>0</v>
      </c>
      <c r="GI303" s="844">
        <v>0</v>
      </c>
      <c r="GJ303" s="844">
        <v>0</v>
      </c>
      <c r="GK303" s="844">
        <v>0</v>
      </c>
      <c r="GL303" s="844">
        <v>0</v>
      </c>
      <c r="GM303" s="844">
        <v>0</v>
      </c>
      <c r="GN303" s="844">
        <v>0</v>
      </c>
      <c r="GO303" s="844">
        <v>0</v>
      </c>
      <c r="GP303" s="844">
        <v>0</v>
      </c>
      <c r="GQ303" s="844">
        <v>0</v>
      </c>
      <c r="GR303" s="844">
        <v>0</v>
      </c>
      <c r="GS303" s="844">
        <v>0</v>
      </c>
      <c r="GT303" s="844">
        <v>0</v>
      </c>
      <c r="GU303" s="844">
        <v>0</v>
      </c>
      <c r="GV303" s="844">
        <v>0</v>
      </c>
      <c r="GW303" s="844">
        <v>0</v>
      </c>
      <c r="GX303" s="844">
        <v>0</v>
      </c>
      <c r="GY303" s="844">
        <v>0</v>
      </c>
      <c r="GZ303" s="844">
        <v>0</v>
      </c>
      <c r="HA303" s="844">
        <v>0</v>
      </c>
      <c r="HB303" s="844">
        <v>0</v>
      </c>
      <c r="HC303" s="844">
        <v>0</v>
      </c>
      <c r="HD303" s="844">
        <v>0</v>
      </c>
      <c r="HE303" s="844">
        <v>0</v>
      </c>
      <c r="HF303" s="844">
        <v>0</v>
      </c>
      <c r="HG303" s="844">
        <v>0</v>
      </c>
      <c r="HH303" s="844">
        <v>0</v>
      </c>
      <c r="HI303" s="844">
        <v>0</v>
      </c>
      <c r="HJ303" s="844">
        <v>0</v>
      </c>
      <c r="HK303" s="844">
        <v>0</v>
      </c>
      <c r="HL303" s="844">
        <v>0</v>
      </c>
      <c r="HM303" s="844">
        <v>0</v>
      </c>
      <c r="HN303" s="844">
        <v>0</v>
      </c>
      <c r="HO303" s="844">
        <v>0</v>
      </c>
      <c r="HP303" s="844">
        <v>0</v>
      </c>
      <c r="HQ303" s="844">
        <v>0</v>
      </c>
      <c r="HR303" s="844">
        <v>0</v>
      </c>
      <c r="HS303" s="844">
        <v>0</v>
      </c>
      <c r="HT303" s="844">
        <v>0</v>
      </c>
      <c r="HU303" s="844">
        <v>0</v>
      </c>
      <c r="HV303" s="844">
        <v>0</v>
      </c>
      <c r="HW303" s="844">
        <v>0</v>
      </c>
      <c r="HX303" s="844">
        <v>0</v>
      </c>
      <c r="HY303" s="844">
        <v>0</v>
      </c>
      <c r="HZ303" s="844">
        <v>0</v>
      </c>
      <c r="IA303" s="844">
        <v>0</v>
      </c>
      <c r="IB303" s="844">
        <v>0</v>
      </c>
      <c r="IC303" s="844">
        <v>0</v>
      </c>
      <c r="ID303" s="844">
        <v>0</v>
      </c>
      <c r="IE303" s="844">
        <v>0</v>
      </c>
      <c r="IF303" s="844">
        <v>0</v>
      </c>
      <c r="IG303" s="844">
        <v>0</v>
      </c>
      <c r="IH303" s="844">
        <v>0</v>
      </c>
      <c r="II303" s="844">
        <v>0</v>
      </c>
      <c r="IJ303" s="844">
        <v>0</v>
      </c>
      <c r="IK303" s="197"/>
    </row>
    <row r="304" spans="9:245" hidden="1">
      <c r="I304" s="156"/>
      <c r="L304" s="846" t="s">
        <v>1060</v>
      </c>
      <c r="M304" s="846" t="s">
        <v>1382</v>
      </c>
      <c r="N304" s="846" t="s">
        <v>97</v>
      </c>
      <c r="O304" s="847">
        <v>69</v>
      </c>
      <c r="P304" s="780" t="str">
        <f t="shared" si="10"/>
        <v>IWT060269</v>
      </c>
      <c r="Q304" s="847">
        <v>0</v>
      </c>
      <c r="R304" s="847">
        <v>0</v>
      </c>
      <c r="S304" s="847">
        <v>0</v>
      </c>
      <c r="T304" s="847">
        <v>0</v>
      </c>
      <c r="U304" s="847">
        <v>0</v>
      </c>
      <c r="V304" s="847">
        <v>0</v>
      </c>
      <c r="W304" s="847">
        <v>0</v>
      </c>
      <c r="X304" s="847">
        <v>0</v>
      </c>
      <c r="Y304" s="847">
        <v>0</v>
      </c>
      <c r="Z304" s="847">
        <v>0</v>
      </c>
      <c r="AA304" s="847">
        <v>0</v>
      </c>
      <c r="AB304" s="847">
        <v>0</v>
      </c>
      <c r="AC304" s="847">
        <v>0</v>
      </c>
      <c r="AD304" s="847">
        <v>0</v>
      </c>
      <c r="AE304" s="847">
        <v>0</v>
      </c>
      <c r="AF304" s="847">
        <v>0</v>
      </c>
      <c r="AG304" s="847">
        <v>0</v>
      </c>
      <c r="AH304" s="847">
        <v>0</v>
      </c>
      <c r="AI304" s="847">
        <v>0</v>
      </c>
      <c r="AJ304" s="847">
        <v>0</v>
      </c>
      <c r="AK304" s="847">
        <v>0</v>
      </c>
      <c r="AL304" s="847">
        <v>0</v>
      </c>
      <c r="AM304" s="847">
        <v>0</v>
      </c>
      <c r="AN304" s="847">
        <v>0</v>
      </c>
      <c r="AO304" s="847">
        <v>0</v>
      </c>
      <c r="AP304" s="847">
        <v>0</v>
      </c>
      <c r="AQ304" s="847">
        <v>0</v>
      </c>
      <c r="AR304" s="847">
        <v>0</v>
      </c>
      <c r="AS304" s="847">
        <v>0</v>
      </c>
      <c r="AT304" s="847">
        <v>0</v>
      </c>
      <c r="AU304" s="847">
        <v>0</v>
      </c>
      <c r="AV304" s="847">
        <v>0</v>
      </c>
      <c r="AW304" s="847">
        <v>0</v>
      </c>
      <c r="AX304" s="847">
        <v>0</v>
      </c>
      <c r="AY304" s="847">
        <v>0</v>
      </c>
      <c r="AZ304" s="847">
        <v>0</v>
      </c>
      <c r="BA304" s="847">
        <v>0</v>
      </c>
      <c r="BB304" s="847">
        <v>0</v>
      </c>
      <c r="BC304" s="847">
        <v>0</v>
      </c>
      <c r="BD304" s="847">
        <v>0</v>
      </c>
      <c r="BE304" s="847">
        <v>0</v>
      </c>
      <c r="BF304" s="847">
        <v>60400</v>
      </c>
      <c r="BG304" s="847">
        <v>0</v>
      </c>
      <c r="BH304" s="847">
        <v>0</v>
      </c>
      <c r="BI304" s="847">
        <v>0</v>
      </c>
      <c r="BJ304" s="847">
        <v>0</v>
      </c>
      <c r="BK304" s="847">
        <v>0</v>
      </c>
      <c r="BL304" s="847">
        <v>0</v>
      </c>
      <c r="BM304" s="847">
        <v>0</v>
      </c>
      <c r="BN304" s="847">
        <v>0</v>
      </c>
      <c r="BO304" s="847">
        <v>0</v>
      </c>
      <c r="BP304" s="847">
        <v>0</v>
      </c>
      <c r="BQ304" s="847">
        <v>0</v>
      </c>
      <c r="BR304" s="847">
        <v>0</v>
      </c>
      <c r="BS304" s="847">
        <v>0</v>
      </c>
      <c r="BT304" s="847">
        <v>0</v>
      </c>
      <c r="BU304" s="847">
        <v>0</v>
      </c>
      <c r="BV304" s="847">
        <v>0</v>
      </c>
      <c r="BW304" s="847">
        <v>0</v>
      </c>
      <c r="BX304" s="847">
        <v>0</v>
      </c>
      <c r="BY304" s="847">
        <v>0</v>
      </c>
      <c r="BZ304" s="847">
        <v>0</v>
      </c>
      <c r="CA304" s="847">
        <v>0</v>
      </c>
      <c r="CB304" s="847">
        <v>0</v>
      </c>
      <c r="CC304" s="847">
        <v>0</v>
      </c>
      <c r="CD304" s="847">
        <v>0</v>
      </c>
      <c r="CE304" s="847">
        <v>0</v>
      </c>
      <c r="CF304" s="847">
        <v>0</v>
      </c>
      <c r="CG304" s="847">
        <v>0</v>
      </c>
      <c r="CH304" s="847">
        <v>0</v>
      </c>
      <c r="CI304" s="847">
        <v>0</v>
      </c>
      <c r="CJ304" s="847">
        <v>0</v>
      </c>
      <c r="CK304" s="847">
        <v>0</v>
      </c>
      <c r="CL304" s="847">
        <v>0</v>
      </c>
      <c r="CM304" s="847">
        <v>0</v>
      </c>
      <c r="CN304" s="847">
        <v>0</v>
      </c>
      <c r="CO304" s="847">
        <v>0</v>
      </c>
      <c r="CP304" s="847">
        <v>0</v>
      </c>
      <c r="CQ304" s="847">
        <v>0</v>
      </c>
      <c r="CR304" s="847">
        <v>0</v>
      </c>
      <c r="CS304" s="847">
        <v>0</v>
      </c>
      <c r="CT304" s="847">
        <v>0</v>
      </c>
      <c r="CU304" s="847">
        <v>0</v>
      </c>
      <c r="CV304" s="847">
        <v>0</v>
      </c>
      <c r="CW304" s="847">
        <v>0</v>
      </c>
      <c r="CX304" s="847">
        <v>0</v>
      </c>
      <c r="CY304" s="847">
        <v>0</v>
      </c>
      <c r="CZ304" s="847">
        <v>0</v>
      </c>
      <c r="DA304" s="847">
        <v>0</v>
      </c>
      <c r="DB304" s="847">
        <v>0</v>
      </c>
      <c r="DC304" s="847">
        <v>0</v>
      </c>
      <c r="DD304" s="847">
        <v>0</v>
      </c>
      <c r="DE304" s="847">
        <v>0</v>
      </c>
      <c r="DF304" s="847">
        <v>0</v>
      </c>
      <c r="DG304" s="847">
        <v>0</v>
      </c>
      <c r="DH304" s="847">
        <v>0</v>
      </c>
      <c r="DI304" s="847">
        <v>0</v>
      </c>
      <c r="DJ304" s="847">
        <v>0</v>
      </c>
      <c r="DK304" s="847">
        <v>0</v>
      </c>
      <c r="DL304" s="847">
        <v>0</v>
      </c>
      <c r="DM304" s="847">
        <v>0</v>
      </c>
      <c r="DN304" s="847">
        <v>0</v>
      </c>
      <c r="DO304" s="847">
        <v>0</v>
      </c>
      <c r="DP304" s="847">
        <v>0</v>
      </c>
      <c r="DQ304" s="847">
        <v>0</v>
      </c>
      <c r="DR304" s="847">
        <v>0</v>
      </c>
      <c r="DS304" s="847">
        <v>0</v>
      </c>
      <c r="DT304" s="847">
        <v>0</v>
      </c>
      <c r="DU304" s="847">
        <v>0</v>
      </c>
      <c r="DV304" s="847">
        <v>0</v>
      </c>
      <c r="DW304" s="847">
        <v>0</v>
      </c>
      <c r="DY304" s="843" t="s">
        <v>1060</v>
      </c>
      <c r="DZ304" s="843" t="s">
        <v>1382</v>
      </c>
      <c r="EA304" s="843" t="s">
        <v>97</v>
      </c>
      <c r="EB304" s="844">
        <v>69</v>
      </c>
      <c r="EC304" s="780" t="str">
        <f t="shared" si="11"/>
        <v>IWT060269</v>
      </c>
      <c r="ED304" s="844">
        <v>5413.4</v>
      </c>
      <c r="EE304" s="844">
        <v>10826.8</v>
      </c>
      <c r="EF304" s="844">
        <v>16240.3</v>
      </c>
      <c r="EG304" s="844">
        <v>21653.7</v>
      </c>
      <c r="EH304" s="844">
        <v>27067.1</v>
      </c>
      <c r="EI304" s="844">
        <v>32480.5</v>
      </c>
      <c r="EJ304" s="844">
        <v>32480.5</v>
      </c>
      <c r="EK304" s="844">
        <v>32480.5</v>
      </c>
      <c r="EL304" s="844">
        <v>32480.5</v>
      </c>
      <c r="EM304" s="844">
        <v>32480.5</v>
      </c>
      <c r="EN304" s="844">
        <v>33037</v>
      </c>
      <c r="EO304" s="844">
        <v>33697</v>
      </c>
      <c r="EP304" s="844">
        <v>34371</v>
      </c>
      <c r="EQ304" s="844">
        <v>35059</v>
      </c>
      <c r="ER304" s="844">
        <v>35760</v>
      </c>
      <c r="ES304" s="844">
        <v>36475</v>
      </c>
      <c r="ET304" s="844">
        <v>37204</v>
      </c>
      <c r="EU304" s="844">
        <v>37948</v>
      </c>
      <c r="EV304" s="844">
        <v>38707</v>
      </c>
      <c r="EW304" s="844">
        <v>39481</v>
      </c>
      <c r="EX304" s="844">
        <v>40270</v>
      </c>
      <c r="EY304" s="844">
        <v>41075</v>
      </c>
      <c r="EZ304" s="844">
        <v>41896</v>
      </c>
      <c r="FA304" s="844">
        <v>42734</v>
      </c>
      <c r="FB304" s="844">
        <v>43588</v>
      </c>
      <c r="FC304" s="844">
        <v>44460</v>
      </c>
      <c r="FD304" s="844">
        <v>45348</v>
      </c>
      <c r="FE304" s="844">
        <v>46255</v>
      </c>
      <c r="FF304" s="844">
        <v>47179</v>
      </c>
      <c r="FG304" s="844">
        <v>48122</v>
      </c>
      <c r="FH304" s="844">
        <v>49084</v>
      </c>
      <c r="FI304" s="844">
        <v>50064</v>
      </c>
      <c r="FJ304" s="844">
        <v>51064</v>
      </c>
      <c r="FK304" s="844">
        <v>52084</v>
      </c>
      <c r="FL304" s="844">
        <v>53124</v>
      </c>
      <c r="FM304" s="844">
        <v>54185</v>
      </c>
      <c r="FN304" s="844">
        <v>55266</v>
      </c>
      <c r="FO304" s="844">
        <v>56368</v>
      </c>
      <c r="FP304" s="844">
        <v>57492</v>
      </c>
      <c r="FQ304" s="844">
        <v>58638</v>
      </c>
      <c r="FR304" s="844">
        <v>59805</v>
      </c>
      <c r="FS304" s="844">
        <v>60400</v>
      </c>
      <c r="FT304" s="844">
        <v>0</v>
      </c>
      <c r="FU304" s="844">
        <v>0</v>
      </c>
      <c r="FV304" s="844">
        <v>0</v>
      </c>
      <c r="FW304" s="844">
        <v>0</v>
      </c>
      <c r="FX304" s="844">
        <v>0</v>
      </c>
      <c r="FY304" s="844">
        <v>0</v>
      </c>
      <c r="FZ304" s="844">
        <v>0</v>
      </c>
      <c r="GA304" s="844">
        <v>0</v>
      </c>
      <c r="GB304" s="844">
        <v>0</v>
      </c>
      <c r="GC304" s="844">
        <v>0</v>
      </c>
      <c r="GD304" s="844">
        <v>0</v>
      </c>
      <c r="GE304" s="844">
        <v>0</v>
      </c>
      <c r="GF304" s="844">
        <v>0</v>
      </c>
      <c r="GG304" s="844">
        <v>0</v>
      </c>
      <c r="GH304" s="844">
        <v>0</v>
      </c>
      <c r="GI304" s="844">
        <v>0</v>
      </c>
      <c r="GJ304" s="844">
        <v>0</v>
      </c>
      <c r="GK304" s="844">
        <v>0</v>
      </c>
      <c r="GL304" s="844">
        <v>0</v>
      </c>
      <c r="GM304" s="844">
        <v>0</v>
      </c>
      <c r="GN304" s="844">
        <v>0</v>
      </c>
      <c r="GO304" s="844">
        <v>0</v>
      </c>
      <c r="GP304" s="844">
        <v>0</v>
      </c>
      <c r="GQ304" s="844">
        <v>0</v>
      </c>
      <c r="GR304" s="844">
        <v>0</v>
      </c>
      <c r="GS304" s="844">
        <v>0</v>
      </c>
      <c r="GT304" s="844">
        <v>0</v>
      </c>
      <c r="GU304" s="844">
        <v>0</v>
      </c>
      <c r="GV304" s="844">
        <v>0</v>
      </c>
      <c r="GW304" s="844">
        <v>0</v>
      </c>
      <c r="GX304" s="844">
        <v>0</v>
      </c>
      <c r="GY304" s="844">
        <v>0</v>
      </c>
      <c r="GZ304" s="844">
        <v>0</v>
      </c>
      <c r="HA304" s="844">
        <v>0</v>
      </c>
      <c r="HB304" s="844">
        <v>0</v>
      </c>
      <c r="HC304" s="844">
        <v>0</v>
      </c>
      <c r="HD304" s="844">
        <v>0</v>
      </c>
      <c r="HE304" s="844">
        <v>0</v>
      </c>
      <c r="HF304" s="844">
        <v>0</v>
      </c>
      <c r="HG304" s="844">
        <v>0</v>
      </c>
      <c r="HH304" s="844">
        <v>0</v>
      </c>
      <c r="HI304" s="844">
        <v>0</v>
      </c>
      <c r="HJ304" s="844">
        <v>0</v>
      </c>
      <c r="HK304" s="844">
        <v>0</v>
      </c>
      <c r="HL304" s="844">
        <v>0</v>
      </c>
      <c r="HM304" s="844">
        <v>0</v>
      </c>
      <c r="HN304" s="844">
        <v>0</v>
      </c>
      <c r="HO304" s="844">
        <v>0</v>
      </c>
      <c r="HP304" s="844">
        <v>0</v>
      </c>
      <c r="HQ304" s="844">
        <v>0</v>
      </c>
      <c r="HR304" s="844">
        <v>0</v>
      </c>
      <c r="HS304" s="844">
        <v>0</v>
      </c>
      <c r="HT304" s="844">
        <v>0</v>
      </c>
      <c r="HU304" s="844">
        <v>0</v>
      </c>
      <c r="HV304" s="844">
        <v>0</v>
      </c>
      <c r="HW304" s="844">
        <v>0</v>
      </c>
      <c r="HX304" s="844">
        <v>0</v>
      </c>
      <c r="HY304" s="844">
        <v>0</v>
      </c>
      <c r="HZ304" s="844">
        <v>0</v>
      </c>
      <c r="IA304" s="844">
        <v>0</v>
      </c>
      <c r="IB304" s="844">
        <v>0</v>
      </c>
      <c r="IC304" s="844">
        <v>0</v>
      </c>
      <c r="ID304" s="844">
        <v>0</v>
      </c>
      <c r="IE304" s="844">
        <v>0</v>
      </c>
      <c r="IF304" s="844">
        <v>0</v>
      </c>
      <c r="IG304" s="844">
        <v>0</v>
      </c>
      <c r="IH304" s="844">
        <v>0</v>
      </c>
      <c r="II304" s="844">
        <v>0</v>
      </c>
      <c r="IJ304" s="844">
        <v>0</v>
      </c>
      <c r="IK304" s="198"/>
    </row>
    <row r="305" spans="9:245" ht="16.5" hidden="1">
      <c r="I305" s="156"/>
      <c r="L305" s="846" t="s">
        <v>1060</v>
      </c>
      <c r="M305" s="846" t="s">
        <v>1382</v>
      </c>
      <c r="N305" s="846" t="s">
        <v>97</v>
      </c>
      <c r="O305" s="847">
        <v>70</v>
      </c>
      <c r="P305" s="780" t="str">
        <f t="shared" si="10"/>
        <v>IWT060270</v>
      </c>
      <c r="Q305" s="847">
        <v>0</v>
      </c>
      <c r="R305" s="847">
        <v>0</v>
      </c>
      <c r="S305" s="847">
        <v>0</v>
      </c>
      <c r="T305" s="847">
        <v>0</v>
      </c>
      <c r="U305" s="847">
        <v>0</v>
      </c>
      <c r="V305" s="847">
        <v>0</v>
      </c>
      <c r="W305" s="847">
        <v>0</v>
      </c>
      <c r="X305" s="847">
        <v>0</v>
      </c>
      <c r="Y305" s="847">
        <v>0</v>
      </c>
      <c r="Z305" s="847">
        <v>0</v>
      </c>
      <c r="AA305" s="847">
        <v>0</v>
      </c>
      <c r="AB305" s="847">
        <v>0</v>
      </c>
      <c r="AC305" s="847">
        <v>0</v>
      </c>
      <c r="AD305" s="847">
        <v>0</v>
      </c>
      <c r="AE305" s="847">
        <v>0</v>
      </c>
      <c r="AF305" s="847">
        <v>0</v>
      </c>
      <c r="AG305" s="847">
        <v>0</v>
      </c>
      <c r="AH305" s="847">
        <v>0</v>
      </c>
      <c r="AI305" s="847">
        <v>0</v>
      </c>
      <c r="AJ305" s="847">
        <v>0</v>
      </c>
      <c r="AK305" s="847">
        <v>0</v>
      </c>
      <c r="AL305" s="847">
        <v>0</v>
      </c>
      <c r="AM305" s="847">
        <v>0</v>
      </c>
      <c r="AN305" s="847">
        <v>0</v>
      </c>
      <c r="AO305" s="847">
        <v>0</v>
      </c>
      <c r="AP305" s="847">
        <v>0</v>
      </c>
      <c r="AQ305" s="847">
        <v>0</v>
      </c>
      <c r="AR305" s="847">
        <v>0</v>
      </c>
      <c r="AS305" s="847">
        <v>0</v>
      </c>
      <c r="AT305" s="847">
        <v>0</v>
      </c>
      <c r="AU305" s="847">
        <v>0</v>
      </c>
      <c r="AV305" s="847">
        <v>0</v>
      </c>
      <c r="AW305" s="847">
        <v>0</v>
      </c>
      <c r="AX305" s="847">
        <v>0</v>
      </c>
      <c r="AY305" s="847">
        <v>0</v>
      </c>
      <c r="AZ305" s="847">
        <v>0</v>
      </c>
      <c r="BA305" s="847">
        <v>0</v>
      </c>
      <c r="BB305" s="847">
        <v>0</v>
      </c>
      <c r="BC305" s="847">
        <v>0</v>
      </c>
      <c r="BD305" s="847">
        <v>0</v>
      </c>
      <c r="BE305" s="847">
        <v>59000</v>
      </c>
      <c r="BF305" s="847">
        <v>0</v>
      </c>
      <c r="BG305" s="847">
        <v>0</v>
      </c>
      <c r="BH305" s="847">
        <v>0</v>
      </c>
      <c r="BI305" s="847">
        <v>0</v>
      </c>
      <c r="BJ305" s="847">
        <v>0</v>
      </c>
      <c r="BK305" s="847">
        <v>0</v>
      </c>
      <c r="BL305" s="847">
        <v>0</v>
      </c>
      <c r="BM305" s="847">
        <v>0</v>
      </c>
      <c r="BN305" s="847">
        <v>0</v>
      </c>
      <c r="BO305" s="847">
        <v>0</v>
      </c>
      <c r="BP305" s="847">
        <v>0</v>
      </c>
      <c r="BQ305" s="847">
        <v>0</v>
      </c>
      <c r="BR305" s="847">
        <v>0</v>
      </c>
      <c r="BS305" s="847">
        <v>0</v>
      </c>
      <c r="BT305" s="847">
        <v>0</v>
      </c>
      <c r="BU305" s="847">
        <v>0</v>
      </c>
      <c r="BV305" s="847">
        <v>0</v>
      </c>
      <c r="BW305" s="847">
        <v>0</v>
      </c>
      <c r="BX305" s="847">
        <v>0</v>
      </c>
      <c r="BY305" s="847">
        <v>0</v>
      </c>
      <c r="BZ305" s="847">
        <v>0</v>
      </c>
      <c r="CA305" s="847">
        <v>0</v>
      </c>
      <c r="CB305" s="847">
        <v>0</v>
      </c>
      <c r="CC305" s="847">
        <v>0</v>
      </c>
      <c r="CD305" s="847">
        <v>0</v>
      </c>
      <c r="CE305" s="847">
        <v>0</v>
      </c>
      <c r="CF305" s="847">
        <v>0</v>
      </c>
      <c r="CG305" s="847">
        <v>0</v>
      </c>
      <c r="CH305" s="847">
        <v>0</v>
      </c>
      <c r="CI305" s="847">
        <v>0</v>
      </c>
      <c r="CJ305" s="847">
        <v>0</v>
      </c>
      <c r="CK305" s="847">
        <v>0</v>
      </c>
      <c r="CL305" s="847">
        <v>0</v>
      </c>
      <c r="CM305" s="847">
        <v>0</v>
      </c>
      <c r="CN305" s="847">
        <v>0</v>
      </c>
      <c r="CO305" s="847">
        <v>0</v>
      </c>
      <c r="CP305" s="847">
        <v>0</v>
      </c>
      <c r="CQ305" s="847">
        <v>0</v>
      </c>
      <c r="CR305" s="847">
        <v>0</v>
      </c>
      <c r="CS305" s="847">
        <v>0</v>
      </c>
      <c r="CT305" s="847">
        <v>0</v>
      </c>
      <c r="CU305" s="847">
        <v>0</v>
      </c>
      <c r="CV305" s="847">
        <v>0</v>
      </c>
      <c r="CW305" s="847">
        <v>0</v>
      </c>
      <c r="CX305" s="847">
        <v>0</v>
      </c>
      <c r="CY305" s="847">
        <v>0</v>
      </c>
      <c r="CZ305" s="847">
        <v>0</v>
      </c>
      <c r="DA305" s="847">
        <v>0</v>
      </c>
      <c r="DB305" s="847">
        <v>0</v>
      </c>
      <c r="DC305" s="847">
        <v>0</v>
      </c>
      <c r="DD305" s="847">
        <v>0</v>
      </c>
      <c r="DE305" s="847">
        <v>0</v>
      </c>
      <c r="DF305" s="847">
        <v>0</v>
      </c>
      <c r="DG305" s="847">
        <v>0</v>
      </c>
      <c r="DH305" s="847">
        <v>0</v>
      </c>
      <c r="DI305" s="847">
        <v>0</v>
      </c>
      <c r="DJ305" s="847">
        <v>0</v>
      </c>
      <c r="DK305" s="847">
        <v>0</v>
      </c>
      <c r="DL305" s="847">
        <v>0</v>
      </c>
      <c r="DM305" s="847">
        <v>0</v>
      </c>
      <c r="DN305" s="847">
        <v>0</v>
      </c>
      <c r="DO305" s="847">
        <v>0</v>
      </c>
      <c r="DP305" s="847">
        <v>0</v>
      </c>
      <c r="DQ305" s="847">
        <v>0</v>
      </c>
      <c r="DR305" s="847">
        <v>0</v>
      </c>
      <c r="DS305" s="847">
        <v>0</v>
      </c>
      <c r="DT305" s="847">
        <v>0</v>
      </c>
      <c r="DU305" s="847">
        <v>0</v>
      </c>
      <c r="DV305" s="847">
        <v>0</v>
      </c>
      <c r="DW305" s="847">
        <v>0</v>
      </c>
      <c r="DY305" s="843" t="s">
        <v>1060</v>
      </c>
      <c r="DZ305" s="843" t="s">
        <v>1382</v>
      </c>
      <c r="EA305" s="843" t="s">
        <v>97</v>
      </c>
      <c r="EB305" s="844">
        <v>70</v>
      </c>
      <c r="EC305" s="780" t="str">
        <f t="shared" si="11"/>
        <v>IWT060270</v>
      </c>
      <c r="ED305" s="844">
        <v>5416.6</v>
      </c>
      <c r="EE305" s="844">
        <v>10833.2</v>
      </c>
      <c r="EF305" s="844">
        <v>16249.8</v>
      </c>
      <c r="EG305" s="844">
        <v>21666.400000000001</v>
      </c>
      <c r="EH305" s="844">
        <v>27083</v>
      </c>
      <c r="EI305" s="844">
        <v>32499.599999999999</v>
      </c>
      <c r="EJ305" s="844">
        <v>32499.599999999999</v>
      </c>
      <c r="EK305" s="844">
        <v>32499.599999999999</v>
      </c>
      <c r="EL305" s="844">
        <v>32499.599999999999</v>
      </c>
      <c r="EM305" s="844">
        <v>32499.599999999999</v>
      </c>
      <c r="EN305" s="844">
        <v>32917</v>
      </c>
      <c r="EO305" s="844">
        <v>33575</v>
      </c>
      <c r="EP305" s="844">
        <v>34246</v>
      </c>
      <c r="EQ305" s="844">
        <v>34931</v>
      </c>
      <c r="ER305" s="844">
        <v>35630</v>
      </c>
      <c r="ES305" s="844">
        <v>36342</v>
      </c>
      <c r="ET305" s="844">
        <v>37069</v>
      </c>
      <c r="EU305" s="844">
        <v>37810</v>
      </c>
      <c r="EV305" s="844">
        <v>38566</v>
      </c>
      <c r="EW305" s="844">
        <v>39337</v>
      </c>
      <c r="EX305" s="844">
        <v>40124</v>
      </c>
      <c r="EY305" s="844">
        <v>40926</v>
      </c>
      <c r="EZ305" s="844">
        <v>41744</v>
      </c>
      <c r="FA305" s="844">
        <v>42579</v>
      </c>
      <c r="FB305" s="844">
        <v>43430</v>
      </c>
      <c r="FC305" s="844">
        <v>44298</v>
      </c>
      <c r="FD305" s="844">
        <v>45183</v>
      </c>
      <c r="FE305" s="844">
        <v>46086</v>
      </c>
      <c r="FF305" s="844">
        <v>47007</v>
      </c>
      <c r="FG305" s="844">
        <v>47946</v>
      </c>
      <c r="FH305" s="844">
        <v>48904</v>
      </c>
      <c r="FI305" s="844">
        <v>49881</v>
      </c>
      <c r="FJ305" s="844">
        <v>50877</v>
      </c>
      <c r="FK305" s="844">
        <v>51893</v>
      </c>
      <c r="FL305" s="844">
        <v>52929</v>
      </c>
      <c r="FM305" s="844">
        <v>53985</v>
      </c>
      <c r="FN305" s="844">
        <v>55062</v>
      </c>
      <c r="FO305" s="844">
        <v>56160</v>
      </c>
      <c r="FP305" s="844">
        <v>57279</v>
      </c>
      <c r="FQ305" s="844">
        <v>58419</v>
      </c>
      <c r="FR305" s="844">
        <v>59000</v>
      </c>
      <c r="FS305" s="844">
        <v>0</v>
      </c>
      <c r="FT305" s="844">
        <v>0</v>
      </c>
      <c r="FU305" s="844">
        <v>0</v>
      </c>
      <c r="FV305" s="844">
        <v>0</v>
      </c>
      <c r="FW305" s="844">
        <v>0</v>
      </c>
      <c r="FX305" s="844">
        <v>0</v>
      </c>
      <c r="FY305" s="844">
        <v>0</v>
      </c>
      <c r="FZ305" s="844">
        <v>0</v>
      </c>
      <c r="GA305" s="844">
        <v>0</v>
      </c>
      <c r="GB305" s="844">
        <v>0</v>
      </c>
      <c r="GC305" s="844">
        <v>0</v>
      </c>
      <c r="GD305" s="844">
        <v>0</v>
      </c>
      <c r="GE305" s="844">
        <v>0</v>
      </c>
      <c r="GF305" s="844">
        <v>0</v>
      </c>
      <c r="GG305" s="844">
        <v>0</v>
      </c>
      <c r="GH305" s="844">
        <v>0</v>
      </c>
      <c r="GI305" s="844">
        <v>0</v>
      </c>
      <c r="GJ305" s="844">
        <v>0</v>
      </c>
      <c r="GK305" s="844">
        <v>0</v>
      </c>
      <c r="GL305" s="844">
        <v>0</v>
      </c>
      <c r="GM305" s="844">
        <v>0</v>
      </c>
      <c r="GN305" s="844">
        <v>0</v>
      </c>
      <c r="GO305" s="844">
        <v>0</v>
      </c>
      <c r="GP305" s="844">
        <v>0</v>
      </c>
      <c r="GQ305" s="844">
        <v>0</v>
      </c>
      <c r="GR305" s="844">
        <v>0</v>
      </c>
      <c r="GS305" s="844">
        <v>0</v>
      </c>
      <c r="GT305" s="844">
        <v>0</v>
      </c>
      <c r="GU305" s="844">
        <v>0</v>
      </c>
      <c r="GV305" s="844">
        <v>0</v>
      </c>
      <c r="GW305" s="844">
        <v>0</v>
      </c>
      <c r="GX305" s="844">
        <v>0</v>
      </c>
      <c r="GY305" s="844">
        <v>0</v>
      </c>
      <c r="GZ305" s="844">
        <v>0</v>
      </c>
      <c r="HA305" s="844">
        <v>0</v>
      </c>
      <c r="HB305" s="844">
        <v>0</v>
      </c>
      <c r="HC305" s="844">
        <v>0</v>
      </c>
      <c r="HD305" s="844">
        <v>0</v>
      </c>
      <c r="HE305" s="844">
        <v>0</v>
      </c>
      <c r="HF305" s="844">
        <v>0</v>
      </c>
      <c r="HG305" s="844">
        <v>0</v>
      </c>
      <c r="HH305" s="844">
        <v>0</v>
      </c>
      <c r="HI305" s="844">
        <v>0</v>
      </c>
      <c r="HJ305" s="844">
        <v>0</v>
      </c>
      <c r="HK305" s="844">
        <v>0</v>
      </c>
      <c r="HL305" s="844">
        <v>0</v>
      </c>
      <c r="HM305" s="844">
        <v>0</v>
      </c>
      <c r="HN305" s="844">
        <v>0</v>
      </c>
      <c r="HO305" s="844">
        <v>0</v>
      </c>
      <c r="HP305" s="844">
        <v>0</v>
      </c>
      <c r="HQ305" s="844">
        <v>0</v>
      </c>
      <c r="HR305" s="844">
        <v>0</v>
      </c>
      <c r="HS305" s="844">
        <v>0</v>
      </c>
      <c r="HT305" s="844">
        <v>0</v>
      </c>
      <c r="HU305" s="844">
        <v>0</v>
      </c>
      <c r="HV305" s="844">
        <v>0</v>
      </c>
      <c r="HW305" s="844">
        <v>0</v>
      </c>
      <c r="HX305" s="844">
        <v>0</v>
      </c>
      <c r="HY305" s="844">
        <v>0</v>
      </c>
      <c r="HZ305" s="844">
        <v>0</v>
      </c>
      <c r="IA305" s="844">
        <v>0</v>
      </c>
      <c r="IB305" s="844">
        <v>0</v>
      </c>
      <c r="IC305" s="844">
        <v>0</v>
      </c>
      <c r="ID305" s="844">
        <v>0</v>
      </c>
      <c r="IE305" s="844">
        <v>0</v>
      </c>
      <c r="IF305" s="844">
        <v>0</v>
      </c>
      <c r="IG305" s="844">
        <v>0</v>
      </c>
      <c r="IH305" s="844">
        <v>0</v>
      </c>
      <c r="II305" s="844">
        <v>0</v>
      </c>
      <c r="IJ305" s="844">
        <v>0</v>
      </c>
      <c r="IK305" s="199"/>
    </row>
    <row r="306" spans="9:245" ht="16.5" hidden="1">
      <c r="I306" s="156"/>
      <c r="L306" s="846" t="s">
        <v>1060</v>
      </c>
      <c r="M306" s="846" t="s">
        <v>1382</v>
      </c>
      <c r="N306" s="846" t="s">
        <v>97</v>
      </c>
      <c r="O306" s="847">
        <v>71</v>
      </c>
      <c r="P306" s="780" t="str">
        <f t="shared" si="10"/>
        <v>IWT060271</v>
      </c>
      <c r="Q306" s="847">
        <v>0</v>
      </c>
      <c r="R306" s="847">
        <v>0</v>
      </c>
      <c r="S306" s="847">
        <v>0</v>
      </c>
      <c r="T306" s="847">
        <v>0</v>
      </c>
      <c r="U306" s="847">
        <v>0</v>
      </c>
      <c r="V306" s="847">
        <v>0</v>
      </c>
      <c r="W306" s="847">
        <v>0</v>
      </c>
      <c r="X306" s="847">
        <v>0</v>
      </c>
      <c r="Y306" s="847">
        <v>0</v>
      </c>
      <c r="Z306" s="847">
        <v>0</v>
      </c>
      <c r="AA306" s="847">
        <v>0</v>
      </c>
      <c r="AB306" s="847">
        <v>0</v>
      </c>
      <c r="AC306" s="847">
        <v>0</v>
      </c>
      <c r="AD306" s="847">
        <v>0</v>
      </c>
      <c r="AE306" s="847">
        <v>0</v>
      </c>
      <c r="AF306" s="847">
        <v>0</v>
      </c>
      <c r="AG306" s="847">
        <v>0</v>
      </c>
      <c r="AH306" s="847">
        <v>0</v>
      </c>
      <c r="AI306" s="847">
        <v>0</v>
      </c>
      <c r="AJ306" s="847">
        <v>0</v>
      </c>
      <c r="AK306" s="847">
        <v>0</v>
      </c>
      <c r="AL306" s="847">
        <v>0</v>
      </c>
      <c r="AM306" s="847">
        <v>0</v>
      </c>
      <c r="AN306" s="847">
        <v>0</v>
      </c>
      <c r="AO306" s="847">
        <v>0</v>
      </c>
      <c r="AP306" s="847">
        <v>0</v>
      </c>
      <c r="AQ306" s="847">
        <v>0</v>
      </c>
      <c r="AR306" s="847">
        <v>0</v>
      </c>
      <c r="AS306" s="847">
        <v>0</v>
      </c>
      <c r="AT306" s="847">
        <v>0</v>
      </c>
      <c r="AU306" s="847">
        <v>0</v>
      </c>
      <c r="AV306" s="847">
        <v>0</v>
      </c>
      <c r="AW306" s="847">
        <v>0</v>
      </c>
      <c r="AX306" s="847">
        <v>0</v>
      </c>
      <c r="AY306" s="847">
        <v>0</v>
      </c>
      <c r="AZ306" s="847">
        <v>0</v>
      </c>
      <c r="BA306" s="847">
        <v>0</v>
      </c>
      <c r="BB306" s="847">
        <v>0</v>
      </c>
      <c r="BC306" s="847">
        <v>0</v>
      </c>
      <c r="BD306" s="847">
        <v>57600</v>
      </c>
      <c r="BE306" s="847">
        <v>0</v>
      </c>
      <c r="BF306" s="847">
        <v>0</v>
      </c>
      <c r="BG306" s="847">
        <v>0</v>
      </c>
      <c r="BH306" s="847">
        <v>0</v>
      </c>
      <c r="BI306" s="847">
        <v>0</v>
      </c>
      <c r="BJ306" s="847">
        <v>0</v>
      </c>
      <c r="BK306" s="847">
        <v>0</v>
      </c>
      <c r="BL306" s="847">
        <v>0</v>
      </c>
      <c r="BM306" s="847">
        <v>0</v>
      </c>
      <c r="BN306" s="847">
        <v>0</v>
      </c>
      <c r="BO306" s="847">
        <v>0</v>
      </c>
      <c r="BP306" s="847">
        <v>0</v>
      </c>
      <c r="BQ306" s="847">
        <v>0</v>
      </c>
      <c r="BR306" s="847">
        <v>0</v>
      </c>
      <c r="BS306" s="847">
        <v>0</v>
      </c>
      <c r="BT306" s="847">
        <v>0</v>
      </c>
      <c r="BU306" s="847">
        <v>0</v>
      </c>
      <c r="BV306" s="847">
        <v>0</v>
      </c>
      <c r="BW306" s="847">
        <v>0</v>
      </c>
      <c r="BX306" s="847">
        <v>0</v>
      </c>
      <c r="BY306" s="847">
        <v>0</v>
      </c>
      <c r="BZ306" s="847">
        <v>0</v>
      </c>
      <c r="CA306" s="847">
        <v>0</v>
      </c>
      <c r="CB306" s="847">
        <v>0</v>
      </c>
      <c r="CC306" s="847">
        <v>0</v>
      </c>
      <c r="CD306" s="847">
        <v>0</v>
      </c>
      <c r="CE306" s="847">
        <v>0</v>
      </c>
      <c r="CF306" s="847">
        <v>0</v>
      </c>
      <c r="CG306" s="847">
        <v>0</v>
      </c>
      <c r="CH306" s="847">
        <v>0</v>
      </c>
      <c r="CI306" s="847">
        <v>0</v>
      </c>
      <c r="CJ306" s="847">
        <v>0</v>
      </c>
      <c r="CK306" s="847">
        <v>0</v>
      </c>
      <c r="CL306" s="847">
        <v>0</v>
      </c>
      <c r="CM306" s="847">
        <v>0</v>
      </c>
      <c r="CN306" s="847">
        <v>0</v>
      </c>
      <c r="CO306" s="847">
        <v>0</v>
      </c>
      <c r="CP306" s="847">
        <v>0</v>
      </c>
      <c r="CQ306" s="847">
        <v>0</v>
      </c>
      <c r="CR306" s="847">
        <v>0</v>
      </c>
      <c r="CS306" s="847">
        <v>0</v>
      </c>
      <c r="CT306" s="847">
        <v>0</v>
      </c>
      <c r="CU306" s="847">
        <v>0</v>
      </c>
      <c r="CV306" s="847">
        <v>0</v>
      </c>
      <c r="CW306" s="847">
        <v>0</v>
      </c>
      <c r="CX306" s="847">
        <v>0</v>
      </c>
      <c r="CY306" s="847">
        <v>0</v>
      </c>
      <c r="CZ306" s="847">
        <v>0</v>
      </c>
      <c r="DA306" s="847">
        <v>0</v>
      </c>
      <c r="DB306" s="847">
        <v>0</v>
      </c>
      <c r="DC306" s="847">
        <v>0</v>
      </c>
      <c r="DD306" s="847">
        <v>0</v>
      </c>
      <c r="DE306" s="847">
        <v>0</v>
      </c>
      <c r="DF306" s="847">
        <v>0</v>
      </c>
      <c r="DG306" s="847">
        <v>0</v>
      </c>
      <c r="DH306" s="847">
        <v>0</v>
      </c>
      <c r="DI306" s="847">
        <v>0</v>
      </c>
      <c r="DJ306" s="847">
        <v>0</v>
      </c>
      <c r="DK306" s="847">
        <v>0</v>
      </c>
      <c r="DL306" s="847">
        <v>0</v>
      </c>
      <c r="DM306" s="847">
        <v>0</v>
      </c>
      <c r="DN306" s="847">
        <v>0</v>
      </c>
      <c r="DO306" s="847">
        <v>0</v>
      </c>
      <c r="DP306" s="847">
        <v>0</v>
      </c>
      <c r="DQ306" s="847">
        <v>0</v>
      </c>
      <c r="DR306" s="847">
        <v>0</v>
      </c>
      <c r="DS306" s="847">
        <v>0</v>
      </c>
      <c r="DT306" s="847">
        <v>0</v>
      </c>
      <c r="DU306" s="847">
        <v>0</v>
      </c>
      <c r="DV306" s="847">
        <v>0</v>
      </c>
      <c r="DW306" s="847">
        <v>0</v>
      </c>
      <c r="DY306" s="843" t="s">
        <v>1060</v>
      </c>
      <c r="DZ306" s="843" t="s">
        <v>1382</v>
      </c>
      <c r="EA306" s="843" t="s">
        <v>97</v>
      </c>
      <c r="EB306" s="844">
        <v>71</v>
      </c>
      <c r="EC306" s="780" t="str">
        <f t="shared" si="11"/>
        <v>IWT060271</v>
      </c>
      <c r="ED306" s="844">
        <v>5421.9</v>
      </c>
      <c r="EE306" s="844">
        <v>10843.8</v>
      </c>
      <c r="EF306" s="844">
        <v>16265.7</v>
      </c>
      <c r="EG306" s="844">
        <v>21687.599999999999</v>
      </c>
      <c r="EH306" s="844">
        <v>27109.5</v>
      </c>
      <c r="EI306" s="844">
        <v>32531.4</v>
      </c>
      <c r="EJ306" s="844">
        <v>32531.4</v>
      </c>
      <c r="EK306" s="844">
        <v>32531.4</v>
      </c>
      <c r="EL306" s="844">
        <v>32531.4</v>
      </c>
      <c r="EM306" s="844">
        <v>32531.4</v>
      </c>
      <c r="EN306" s="844">
        <v>32778</v>
      </c>
      <c r="EO306" s="844">
        <v>33434</v>
      </c>
      <c r="EP306" s="844">
        <v>34102</v>
      </c>
      <c r="EQ306" s="844">
        <v>34784</v>
      </c>
      <c r="ER306" s="844">
        <v>35480</v>
      </c>
      <c r="ES306" s="844">
        <v>36189</v>
      </c>
      <c r="ET306" s="844">
        <v>36913</v>
      </c>
      <c r="EU306" s="844">
        <v>37651</v>
      </c>
      <c r="EV306" s="844">
        <v>38404</v>
      </c>
      <c r="EW306" s="844">
        <v>39172</v>
      </c>
      <c r="EX306" s="844">
        <v>39955</v>
      </c>
      <c r="EY306" s="844">
        <v>40754</v>
      </c>
      <c r="EZ306" s="844">
        <v>41568</v>
      </c>
      <c r="FA306" s="844">
        <v>42399</v>
      </c>
      <c r="FB306" s="844">
        <v>43247</v>
      </c>
      <c r="FC306" s="844">
        <v>44111</v>
      </c>
      <c r="FD306" s="844">
        <v>44993</v>
      </c>
      <c r="FE306" s="844">
        <v>45892</v>
      </c>
      <c r="FF306" s="844">
        <v>46809</v>
      </c>
      <c r="FG306" s="844">
        <v>47744</v>
      </c>
      <c r="FH306" s="844">
        <v>48698</v>
      </c>
      <c r="FI306" s="844">
        <v>49670</v>
      </c>
      <c r="FJ306" s="844">
        <v>50662</v>
      </c>
      <c r="FK306" s="844">
        <v>51673</v>
      </c>
      <c r="FL306" s="844">
        <v>52704</v>
      </c>
      <c r="FM306" s="844">
        <v>53755</v>
      </c>
      <c r="FN306" s="844">
        <v>54827</v>
      </c>
      <c r="FO306" s="844">
        <v>55919</v>
      </c>
      <c r="FP306" s="844">
        <v>57032</v>
      </c>
      <c r="FQ306" s="844">
        <v>57600</v>
      </c>
      <c r="FR306" s="844">
        <v>0</v>
      </c>
      <c r="FS306" s="844">
        <v>0</v>
      </c>
      <c r="FT306" s="844">
        <v>0</v>
      </c>
      <c r="FU306" s="844">
        <v>0</v>
      </c>
      <c r="FV306" s="844">
        <v>0</v>
      </c>
      <c r="FW306" s="844">
        <v>0</v>
      </c>
      <c r="FX306" s="844">
        <v>0</v>
      </c>
      <c r="FY306" s="844">
        <v>0</v>
      </c>
      <c r="FZ306" s="844">
        <v>0</v>
      </c>
      <c r="GA306" s="844">
        <v>0</v>
      </c>
      <c r="GB306" s="844">
        <v>0</v>
      </c>
      <c r="GC306" s="844">
        <v>0</v>
      </c>
      <c r="GD306" s="844">
        <v>0</v>
      </c>
      <c r="GE306" s="844">
        <v>0</v>
      </c>
      <c r="GF306" s="844">
        <v>0</v>
      </c>
      <c r="GG306" s="844">
        <v>0</v>
      </c>
      <c r="GH306" s="844">
        <v>0</v>
      </c>
      <c r="GI306" s="844">
        <v>0</v>
      </c>
      <c r="GJ306" s="844">
        <v>0</v>
      </c>
      <c r="GK306" s="844">
        <v>0</v>
      </c>
      <c r="GL306" s="844">
        <v>0</v>
      </c>
      <c r="GM306" s="844">
        <v>0</v>
      </c>
      <c r="GN306" s="844">
        <v>0</v>
      </c>
      <c r="GO306" s="844">
        <v>0</v>
      </c>
      <c r="GP306" s="844">
        <v>0</v>
      </c>
      <c r="GQ306" s="844">
        <v>0</v>
      </c>
      <c r="GR306" s="844">
        <v>0</v>
      </c>
      <c r="GS306" s="844">
        <v>0</v>
      </c>
      <c r="GT306" s="844">
        <v>0</v>
      </c>
      <c r="GU306" s="844">
        <v>0</v>
      </c>
      <c r="GV306" s="844">
        <v>0</v>
      </c>
      <c r="GW306" s="844">
        <v>0</v>
      </c>
      <c r="GX306" s="844">
        <v>0</v>
      </c>
      <c r="GY306" s="844">
        <v>0</v>
      </c>
      <c r="GZ306" s="844">
        <v>0</v>
      </c>
      <c r="HA306" s="844">
        <v>0</v>
      </c>
      <c r="HB306" s="844">
        <v>0</v>
      </c>
      <c r="HC306" s="844">
        <v>0</v>
      </c>
      <c r="HD306" s="844">
        <v>0</v>
      </c>
      <c r="HE306" s="844">
        <v>0</v>
      </c>
      <c r="HF306" s="844">
        <v>0</v>
      </c>
      <c r="HG306" s="844">
        <v>0</v>
      </c>
      <c r="HH306" s="844">
        <v>0</v>
      </c>
      <c r="HI306" s="844">
        <v>0</v>
      </c>
      <c r="HJ306" s="844">
        <v>0</v>
      </c>
      <c r="HK306" s="844">
        <v>0</v>
      </c>
      <c r="HL306" s="844">
        <v>0</v>
      </c>
      <c r="HM306" s="844">
        <v>0</v>
      </c>
      <c r="HN306" s="844">
        <v>0</v>
      </c>
      <c r="HO306" s="844">
        <v>0</v>
      </c>
      <c r="HP306" s="844">
        <v>0</v>
      </c>
      <c r="HQ306" s="844">
        <v>0</v>
      </c>
      <c r="HR306" s="844">
        <v>0</v>
      </c>
      <c r="HS306" s="844">
        <v>0</v>
      </c>
      <c r="HT306" s="844">
        <v>0</v>
      </c>
      <c r="HU306" s="844">
        <v>0</v>
      </c>
      <c r="HV306" s="844">
        <v>0</v>
      </c>
      <c r="HW306" s="844">
        <v>0</v>
      </c>
      <c r="HX306" s="844">
        <v>0</v>
      </c>
      <c r="HY306" s="844">
        <v>0</v>
      </c>
      <c r="HZ306" s="844">
        <v>0</v>
      </c>
      <c r="IA306" s="844">
        <v>0</v>
      </c>
      <c r="IB306" s="844">
        <v>0</v>
      </c>
      <c r="IC306" s="844">
        <v>0</v>
      </c>
      <c r="ID306" s="844">
        <v>0</v>
      </c>
      <c r="IE306" s="844">
        <v>0</v>
      </c>
      <c r="IF306" s="844">
        <v>0</v>
      </c>
      <c r="IG306" s="844">
        <v>0</v>
      </c>
      <c r="IH306" s="844">
        <v>0</v>
      </c>
      <c r="II306" s="844">
        <v>0</v>
      </c>
      <c r="IJ306" s="844">
        <v>0</v>
      </c>
      <c r="IK306" s="199"/>
    </row>
    <row r="307" spans="9:245" ht="16.5" hidden="1">
      <c r="I307" s="156"/>
      <c r="L307" s="846" t="s">
        <v>1060</v>
      </c>
      <c r="M307" s="846" t="s">
        <v>1382</v>
      </c>
      <c r="N307" s="846" t="s">
        <v>97</v>
      </c>
      <c r="O307" s="847">
        <v>72</v>
      </c>
      <c r="P307" s="780" t="str">
        <f t="shared" si="10"/>
        <v>IWT060272</v>
      </c>
      <c r="Q307" s="847">
        <v>0</v>
      </c>
      <c r="R307" s="847">
        <v>0</v>
      </c>
      <c r="S307" s="847">
        <v>0</v>
      </c>
      <c r="T307" s="847">
        <v>0</v>
      </c>
      <c r="U307" s="847">
        <v>0</v>
      </c>
      <c r="V307" s="847">
        <v>0</v>
      </c>
      <c r="W307" s="847">
        <v>0</v>
      </c>
      <c r="X307" s="847">
        <v>0</v>
      </c>
      <c r="Y307" s="847">
        <v>0</v>
      </c>
      <c r="Z307" s="847">
        <v>0</v>
      </c>
      <c r="AA307" s="847">
        <v>0</v>
      </c>
      <c r="AB307" s="847">
        <v>0</v>
      </c>
      <c r="AC307" s="847">
        <v>0</v>
      </c>
      <c r="AD307" s="847">
        <v>0</v>
      </c>
      <c r="AE307" s="847">
        <v>0</v>
      </c>
      <c r="AF307" s="847">
        <v>0</v>
      </c>
      <c r="AG307" s="847">
        <v>0</v>
      </c>
      <c r="AH307" s="847">
        <v>0</v>
      </c>
      <c r="AI307" s="847">
        <v>0</v>
      </c>
      <c r="AJ307" s="847">
        <v>0</v>
      </c>
      <c r="AK307" s="847">
        <v>0</v>
      </c>
      <c r="AL307" s="847">
        <v>0</v>
      </c>
      <c r="AM307" s="847">
        <v>0</v>
      </c>
      <c r="AN307" s="847">
        <v>0</v>
      </c>
      <c r="AO307" s="847">
        <v>0</v>
      </c>
      <c r="AP307" s="847">
        <v>0</v>
      </c>
      <c r="AQ307" s="847">
        <v>0</v>
      </c>
      <c r="AR307" s="847">
        <v>0</v>
      </c>
      <c r="AS307" s="847">
        <v>0</v>
      </c>
      <c r="AT307" s="847">
        <v>0</v>
      </c>
      <c r="AU307" s="847">
        <v>0</v>
      </c>
      <c r="AV307" s="847">
        <v>0</v>
      </c>
      <c r="AW307" s="847">
        <v>0</v>
      </c>
      <c r="AX307" s="847">
        <v>0</v>
      </c>
      <c r="AY307" s="847">
        <v>0</v>
      </c>
      <c r="AZ307" s="847">
        <v>0</v>
      </c>
      <c r="BA307" s="847">
        <v>0</v>
      </c>
      <c r="BB307" s="847">
        <v>0</v>
      </c>
      <c r="BC307" s="847">
        <v>56200</v>
      </c>
      <c r="BD307" s="847">
        <v>0</v>
      </c>
      <c r="BE307" s="847">
        <v>0</v>
      </c>
      <c r="BF307" s="847">
        <v>0</v>
      </c>
      <c r="BG307" s="847">
        <v>0</v>
      </c>
      <c r="BH307" s="847">
        <v>0</v>
      </c>
      <c r="BI307" s="847">
        <v>0</v>
      </c>
      <c r="BJ307" s="847">
        <v>0</v>
      </c>
      <c r="BK307" s="847">
        <v>0</v>
      </c>
      <c r="BL307" s="847">
        <v>0</v>
      </c>
      <c r="BM307" s="847">
        <v>0</v>
      </c>
      <c r="BN307" s="847">
        <v>0</v>
      </c>
      <c r="BO307" s="847">
        <v>0</v>
      </c>
      <c r="BP307" s="847">
        <v>0</v>
      </c>
      <c r="BQ307" s="847">
        <v>0</v>
      </c>
      <c r="BR307" s="847">
        <v>0</v>
      </c>
      <c r="BS307" s="847">
        <v>0</v>
      </c>
      <c r="BT307" s="847">
        <v>0</v>
      </c>
      <c r="BU307" s="847">
        <v>0</v>
      </c>
      <c r="BV307" s="847">
        <v>0</v>
      </c>
      <c r="BW307" s="847">
        <v>0</v>
      </c>
      <c r="BX307" s="847">
        <v>0</v>
      </c>
      <c r="BY307" s="847">
        <v>0</v>
      </c>
      <c r="BZ307" s="847">
        <v>0</v>
      </c>
      <c r="CA307" s="847">
        <v>0</v>
      </c>
      <c r="CB307" s="847">
        <v>0</v>
      </c>
      <c r="CC307" s="847">
        <v>0</v>
      </c>
      <c r="CD307" s="847">
        <v>0</v>
      </c>
      <c r="CE307" s="847">
        <v>0</v>
      </c>
      <c r="CF307" s="847">
        <v>0</v>
      </c>
      <c r="CG307" s="847">
        <v>0</v>
      </c>
      <c r="CH307" s="847">
        <v>0</v>
      </c>
      <c r="CI307" s="847">
        <v>0</v>
      </c>
      <c r="CJ307" s="847">
        <v>0</v>
      </c>
      <c r="CK307" s="847">
        <v>0</v>
      </c>
      <c r="CL307" s="847">
        <v>0</v>
      </c>
      <c r="CM307" s="847">
        <v>0</v>
      </c>
      <c r="CN307" s="847">
        <v>0</v>
      </c>
      <c r="CO307" s="847">
        <v>0</v>
      </c>
      <c r="CP307" s="847">
        <v>0</v>
      </c>
      <c r="CQ307" s="847">
        <v>0</v>
      </c>
      <c r="CR307" s="847">
        <v>0</v>
      </c>
      <c r="CS307" s="847">
        <v>0</v>
      </c>
      <c r="CT307" s="847">
        <v>0</v>
      </c>
      <c r="CU307" s="847">
        <v>0</v>
      </c>
      <c r="CV307" s="847">
        <v>0</v>
      </c>
      <c r="CW307" s="847">
        <v>0</v>
      </c>
      <c r="CX307" s="847">
        <v>0</v>
      </c>
      <c r="CY307" s="847">
        <v>0</v>
      </c>
      <c r="CZ307" s="847">
        <v>0</v>
      </c>
      <c r="DA307" s="847">
        <v>0</v>
      </c>
      <c r="DB307" s="847">
        <v>0</v>
      </c>
      <c r="DC307" s="847">
        <v>0</v>
      </c>
      <c r="DD307" s="847">
        <v>0</v>
      </c>
      <c r="DE307" s="847">
        <v>0</v>
      </c>
      <c r="DF307" s="847">
        <v>0</v>
      </c>
      <c r="DG307" s="847">
        <v>0</v>
      </c>
      <c r="DH307" s="847">
        <v>0</v>
      </c>
      <c r="DI307" s="847">
        <v>0</v>
      </c>
      <c r="DJ307" s="847">
        <v>0</v>
      </c>
      <c r="DK307" s="847">
        <v>0</v>
      </c>
      <c r="DL307" s="847">
        <v>0</v>
      </c>
      <c r="DM307" s="847">
        <v>0</v>
      </c>
      <c r="DN307" s="847">
        <v>0</v>
      </c>
      <c r="DO307" s="847">
        <v>0</v>
      </c>
      <c r="DP307" s="847">
        <v>0</v>
      </c>
      <c r="DQ307" s="847">
        <v>0</v>
      </c>
      <c r="DR307" s="847">
        <v>0</v>
      </c>
      <c r="DS307" s="847">
        <v>0</v>
      </c>
      <c r="DT307" s="847">
        <v>0</v>
      </c>
      <c r="DU307" s="847">
        <v>0</v>
      </c>
      <c r="DV307" s="847">
        <v>0</v>
      </c>
      <c r="DW307" s="847">
        <v>0</v>
      </c>
      <c r="DY307" s="843" t="s">
        <v>1060</v>
      </c>
      <c r="DZ307" s="843" t="s">
        <v>1382</v>
      </c>
      <c r="EA307" s="843" t="s">
        <v>97</v>
      </c>
      <c r="EB307" s="844">
        <v>72</v>
      </c>
      <c r="EC307" s="780" t="str">
        <f t="shared" si="11"/>
        <v>IWT060272</v>
      </c>
      <c r="ED307" s="844">
        <v>5427.2</v>
      </c>
      <c r="EE307" s="844">
        <v>10854.4</v>
      </c>
      <c r="EF307" s="844">
        <v>16281.6</v>
      </c>
      <c r="EG307" s="844">
        <v>21708.799999999999</v>
      </c>
      <c r="EH307" s="844">
        <v>27136</v>
      </c>
      <c r="EI307" s="844">
        <v>32563.200000000001</v>
      </c>
      <c r="EJ307" s="844">
        <v>32563.200000000001</v>
      </c>
      <c r="EK307" s="844">
        <v>32563.200000000001</v>
      </c>
      <c r="EL307" s="844">
        <v>32563.200000000001</v>
      </c>
      <c r="EM307" s="844">
        <v>32563.200000000001</v>
      </c>
      <c r="EN307" s="844">
        <v>32621</v>
      </c>
      <c r="EO307" s="844">
        <v>33273</v>
      </c>
      <c r="EP307" s="844">
        <v>33938</v>
      </c>
      <c r="EQ307" s="844">
        <v>34617</v>
      </c>
      <c r="ER307" s="844">
        <v>35309</v>
      </c>
      <c r="ES307" s="844">
        <v>36015</v>
      </c>
      <c r="ET307" s="844">
        <v>36735</v>
      </c>
      <c r="EU307" s="844">
        <v>37470</v>
      </c>
      <c r="EV307" s="844">
        <v>38219</v>
      </c>
      <c r="EW307" s="844">
        <v>38983</v>
      </c>
      <c r="EX307" s="844">
        <v>39762</v>
      </c>
      <c r="EY307" s="844">
        <v>40557</v>
      </c>
      <c r="EZ307" s="844">
        <v>41368</v>
      </c>
      <c r="FA307" s="844">
        <v>42195</v>
      </c>
      <c r="FB307" s="844">
        <v>43038</v>
      </c>
      <c r="FC307" s="844">
        <v>43898</v>
      </c>
      <c r="FD307" s="844">
        <v>44775</v>
      </c>
      <c r="FE307" s="844">
        <v>45670</v>
      </c>
      <c r="FF307" s="844">
        <v>46582</v>
      </c>
      <c r="FG307" s="844">
        <v>47513</v>
      </c>
      <c r="FH307" s="844">
        <v>48462</v>
      </c>
      <c r="FI307" s="844">
        <v>49429</v>
      </c>
      <c r="FJ307" s="844">
        <v>50416</v>
      </c>
      <c r="FK307" s="844">
        <v>51422</v>
      </c>
      <c r="FL307" s="844">
        <v>52448</v>
      </c>
      <c r="FM307" s="844">
        <v>53494</v>
      </c>
      <c r="FN307" s="844">
        <v>54560</v>
      </c>
      <c r="FO307" s="844">
        <v>55646</v>
      </c>
      <c r="FP307" s="844">
        <v>56200</v>
      </c>
      <c r="FQ307" s="844">
        <v>0</v>
      </c>
      <c r="FR307" s="844">
        <v>0</v>
      </c>
      <c r="FS307" s="844">
        <v>0</v>
      </c>
      <c r="FT307" s="844">
        <v>0</v>
      </c>
      <c r="FU307" s="844">
        <v>0</v>
      </c>
      <c r="FV307" s="844">
        <v>0</v>
      </c>
      <c r="FW307" s="844">
        <v>0</v>
      </c>
      <c r="FX307" s="844">
        <v>0</v>
      </c>
      <c r="FY307" s="844">
        <v>0</v>
      </c>
      <c r="FZ307" s="844">
        <v>0</v>
      </c>
      <c r="GA307" s="844">
        <v>0</v>
      </c>
      <c r="GB307" s="844">
        <v>0</v>
      </c>
      <c r="GC307" s="844">
        <v>0</v>
      </c>
      <c r="GD307" s="844">
        <v>0</v>
      </c>
      <c r="GE307" s="844">
        <v>0</v>
      </c>
      <c r="GF307" s="844">
        <v>0</v>
      </c>
      <c r="GG307" s="844">
        <v>0</v>
      </c>
      <c r="GH307" s="844">
        <v>0</v>
      </c>
      <c r="GI307" s="844">
        <v>0</v>
      </c>
      <c r="GJ307" s="844">
        <v>0</v>
      </c>
      <c r="GK307" s="844">
        <v>0</v>
      </c>
      <c r="GL307" s="844">
        <v>0</v>
      </c>
      <c r="GM307" s="844">
        <v>0</v>
      </c>
      <c r="GN307" s="844">
        <v>0</v>
      </c>
      <c r="GO307" s="844">
        <v>0</v>
      </c>
      <c r="GP307" s="844">
        <v>0</v>
      </c>
      <c r="GQ307" s="844">
        <v>0</v>
      </c>
      <c r="GR307" s="844">
        <v>0</v>
      </c>
      <c r="GS307" s="844">
        <v>0</v>
      </c>
      <c r="GT307" s="844">
        <v>0</v>
      </c>
      <c r="GU307" s="844">
        <v>0</v>
      </c>
      <c r="GV307" s="844">
        <v>0</v>
      </c>
      <c r="GW307" s="844">
        <v>0</v>
      </c>
      <c r="GX307" s="844">
        <v>0</v>
      </c>
      <c r="GY307" s="844">
        <v>0</v>
      </c>
      <c r="GZ307" s="844">
        <v>0</v>
      </c>
      <c r="HA307" s="844">
        <v>0</v>
      </c>
      <c r="HB307" s="844">
        <v>0</v>
      </c>
      <c r="HC307" s="844">
        <v>0</v>
      </c>
      <c r="HD307" s="844">
        <v>0</v>
      </c>
      <c r="HE307" s="844">
        <v>0</v>
      </c>
      <c r="HF307" s="844">
        <v>0</v>
      </c>
      <c r="HG307" s="844">
        <v>0</v>
      </c>
      <c r="HH307" s="844">
        <v>0</v>
      </c>
      <c r="HI307" s="844">
        <v>0</v>
      </c>
      <c r="HJ307" s="844">
        <v>0</v>
      </c>
      <c r="HK307" s="844">
        <v>0</v>
      </c>
      <c r="HL307" s="844">
        <v>0</v>
      </c>
      <c r="HM307" s="844">
        <v>0</v>
      </c>
      <c r="HN307" s="844">
        <v>0</v>
      </c>
      <c r="HO307" s="844">
        <v>0</v>
      </c>
      <c r="HP307" s="844">
        <v>0</v>
      </c>
      <c r="HQ307" s="844">
        <v>0</v>
      </c>
      <c r="HR307" s="844">
        <v>0</v>
      </c>
      <c r="HS307" s="844">
        <v>0</v>
      </c>
      <c r="HT307" s="844">
        <v>0</v>
      </c>
      <c r="HU307" s="844">
        <v>0</v>
      </c>
      <c r="HV307" s="844">
        <v>0</v>
      </c>
      <c r="HW307" s="844">
        <v>0</v>
      </c>
      <c r="HX307" s="844">
        <v>0</v>
      </c>
      <c r="HY307" s="844">
        <v>0</v>
      </c>
      <c r="HZ307" s="844">
        <v>0</v>
      </c>
      <c r="IA307" s="844">
        <v>0</v>
      </c>
      <c r="IB307" s="844">
        <v>0</v>
      </c>
      <c r="IC307" s="844">
        <v>0</v>
      </c>
      <c r="ID307" s="844">
        <v>0</v>
      </c>
      <c r="IE307" s="844">
        <v>0</v>
      </c>
      <c r="IF307" s="844">
        <v>0</v>
      </c>
      <c r="IG307" s="844">
        <v>0</v>
      </c>
      <c r="IH307" s="844">
        <v>0</v>
      </c>
      <c r="II307" s="844">
        <v>0</v>
      </c>
      <c r="IJ307" s="844">
        <v>0</v>
      </c>
      <c r="IK307" s="199"/>
    </row>
    <row r="308" spans="9:245" ht="16.5" hidden="1">
      <c r="I308" s="156"/>
      <c r="L308" s="846" t="s">
        <v>1060</v>
      </c>
      <c r="M308" s="846" t="s">
        <v>1382</v>
      </c>
      <c r="N308" s="846" t="s">
        <v>97</v>
      </c>
      <c r="O308" s="847">
        <v>73</v>
      </c>
      <c r="P308" s="780" t="str">
        <f t="shared" si="10"/>
        <v>IWT060273</v>
      </c>
      <c r="Q308" s="847">
        <v>0</v>
      </c>
      <c r="R308" s="847">
        <v>0</v>
      </c>
      <c r="S308" s="847">
        <v>0</v>
      </c>
      <c r="T308" s="847">
        <v>0</v>
      </c>
      <c r="U308" s="847">
        <v>0</v>
      </c>
      <c r="V308" s="847">
        <v>0</v>
      </c>
      <c r="W308" s="847">
        <v>0</v>
      </c>
      <c r="X308" s="847">
        <v>0</v>
      </c>
      <c r="Y308" s="847">
        <v>0</v>
      </c>
      <c r="Z308" s="847">
        <v>0</v>
      </c>
      <c r="AA308" s="847">
        <v>0</v>
      </c>
      <c r="AB308" s="847">
        <v>0</v>
      </c>
      <c r="AC308" s="847">
        <v>0</v>
      </c>
      <c r="AD308" s="847">
        <v>0</v>
      </c>
      <c r="AE308" s="847">
        <v>0</v>
      </c>
      <c r="AF308" s="847">
        <v>0</v>
      </c>
      <c r="AG308" s="847">
        <v>0</v>
      </c>
      <c r="AH308" s="847">
        <v>0</v>
      </c>
      <c r="AI308" s="847">
        <v>0</v>
      </c>
      <c r="AJ308" s="847">
        <v>0</v>
      </c>
      <c r="AK308" s="847">
        <v>0</v>
      </c>
      <c r="AL308" s="847">
        <v>0</v>
      </c>
      <c r="AM308" s="847">
        <v>0</v>
      </c>
      <c r="AN308" s="847">
        <v>0</v>
      </c>
      <c r="AO308" s="847">
        <v>0</v>
      </c>
      <c r="AP308" s="847">
        <v>0</v>
      </c>
      <c r="AQ308" s="847">
        <v>0</v>
      </c>
      <c r="AR308" s="847">
        <v>0</v>
      </c>
      <c r="AS308" s="847">
        <v>0</v>
      </c>
      <c r="AT308" s="847">
        <v>0</v>
      </c>
      <c r="AU308" s="847">
        <v>0</v>
      </c>
      <c r="AV308" s="847">
        <v>0</v>
      </c>
      <c r="AW308" s="847">
        <v>0</v>
      </c>
      <c r="AX308" s="847">
        <v>0</v>
      </c>
      <c r="AY308" s="847">
        <v>0</v>
      </c>
      <c r="AZ308" s="847">
        <v>0</v>
      </c>
      <c r="BA308" s="847">
        <v>0</v>
      </c>
      <c r="BB308" s="847">
        <v>54800</v>
      </c>
      <c r="BC308" s="847">
        <v>0</v>
      </c>
      <c r="BD308" s="847">
        <v>0</v>
      </c>
      <c r="BE308" s="847">
        <v>0</v>
      </c>
      <c r="BF308" s="847">
        <v>0</v>
      </c>
      <c r="BG308" s="847">
        <v>0</v>
      </c>
      <c r="BH308" s="847">
        <v>0</v>
      </c>
      <c r="BI308" s="847">
        <v>0</v>
      </c>
      <c r="BJ308" s="847">
        <v>0</v>
      </c>
      <c r="BK308" s="847">
        <v>0</v>
      </c>
      <c r="BL308" s="847">
        <v>0</v>
      </c>
      <c r="BM308" s="847">
        <v>0</v>
      </c>
      <c r="BN308" s="847">
        <v>0</v>
      </c>
      <c r="BO308" s="847">
        <v>0</v>
      </c>
      <c r="BP308" s="847">
        <v>0</v>
      </c>
      <c r="BQ308" s="847">
        <v>0</v>
      </c>
      <c r="BR308" s="847">
        <v>0</v>
      </c>
      <c r="BS308" s="847">
        <v>0</v>
      </c>
      <c r="BT308" s="847">
        <v>0</v>
      </c>
      <c r="BU308" s="847">
        <v>0</v>
      </c>
      <c r="BV308" s="847">
        <v>0</v>
      </c>
      <c r="BW308" s="847">
        <v>0</v>
      </c>
      <c r="BX308" s="847">
        <v>0</v>
      </c>
      <c r="BY308" s="847">
        <v>0</v>
      </c>
      <c r="BZ308" s="847">
        <v>0</v>
      </c>
      <c r="CA308" s="847">
        <v>0</v>
      </c>
      <c r="CB308" s="847">
        <v>0</v>
      </c>
      <c r="CC308" s="847">
        <v>0</v>
      </c>
      <c r="CD308" s="847">
        <v>0</v>
      </c>
      <c r="CE308" s="847">
        <v>0</v>
      </c>
      <c r="CF308" s="847">
        <v>0</v>
      </c>
      <c r="CG308" s="847">
        <v>0</v>
      </c>
      <c r="CH308" s="847">
        <v>0</v>
      </c>
      <c r="CI308" s="847">
        <v>0</v>
      </c>
      <c r="CJ308" s="847">
        <v>0</v>
      </c>
      <c r="CK308" s="847">
        <v>0</v>
      </c>
      <c r="CL308" s="847">
        <v>0</v>
      </c>
      <c r="CM308" s="847">
        <v>0</v>
      </c>
      <c r="CN308" s="847">
        <v>0</v>
      </c>
      <c r="CO308" s="847">
        <v>0</v>
      </c>
      <c r="CP308" s="847">
        <v>0</v>
      </c>
      <c r="CQ308" s="847">
        <v>0</v>
      </c>
      <c r="CR308" s="847">
        <v>0</v>
      </c>
      <c r="CS308" s="847">
        <v>0</v>
      </c>
      <c r="CT308" s="847">
        <v>0</v>
      </c>
      <c r="CU308" s="847">
        <v>0</v>
      </c>
      <c r="CV308" s="847">
        <v>0</v>
      </c>
      <c r="CW308" s="847">
        <v>0</v>
      </c>
      <c r="CX308" s="847">
        <v>0</v>
      </c>
      <c r="CY308" s="847">
        <v>0</v>
      </c>
      <c r="CZ308" s="847">
        <v>0</v>
      </c>
      <c r="DA308" s="847">
        <v>0</v>
      </c>
      <c r="DB308" s="847">
        <v>0</v>
      </c>
      <c r="DC308" s="847">
        <v>0</v>
      </c>
      <c r="DD308" s="847">
        <v>0</v>
      </c>
      <c r="DE308" s="847">
        <v>0</v>
      </c>
      <c r="DF308" s="847">
        <v>0</v>
      </c>
      <c r="DG308" s="847">
        <v>0</v>
      </c>
      <c r="DH308" s="847">
        <v>0</v>
      </c>
      <c r="DI308" s="847">
        <v>0</v>
      </c>
      <c r="DJ308" s="847">
        <v>0</v>
      </c>
      <c r="DK308" s="847">
        <v>0</v>
      </c>
      <c r="DL308" s="847">
        <v>0</v>
      </c>
      <c r="DM308" s="847">
        <v>0</v>
      </c>
      <c r="DN308" s="847">
        <v>0</v>
      </c>
      <c r="DO308" s="847">
        <v>0</v>
      </c>
      <c r="DP308" s="847">
        <v>0</v>
      </c>
      <c r="DQ308" s="847">
        <v>0</v>
      </c>
      <c r="DR308" s="847">
        <v>0</v>
      </c>
      <c r="DS308" s="847">
        <v>0</v>
      </c>
      <c r="DT308" s="847">
        <v>0</v>
      </c>
      <c r="DU308" s="847">
        <v>0</v>
      </c>
      <c r="DV308" s="847">
        <v>0</v>
      </c>
      <c r="DW308" s="847">
        <v>0</v>
      </c>
      <c r="DY308" s="843" t="s">
        <v>1060</v>
      </c>
      <c r="DZ308" s="843" t="s">
        <v>1382</v>
      </c>
      <c r="EA308" s="843" t="s">
        <v>97</v>
      </c>
      <c r="EB308" s="844">
        <v>73</v>
      </c>
      <c r="EC308" s="780" t="str">
        <f t="shared" si="11"/>
        <v>IWT060273</v>
      </c>
      <c r="ED308" s="844">
        <v>5432.5</v>
      </c>
      <c r="EE308" s="844">
        <v>10865</v>
      </c>
      <c r="EF308" s="844">
        <v>16297.5</v>
      </c>
      <c r="EG308" s="844">
        <v>21730</v>
      </c>
      <c r="EH308" s="844">
        <v>27162.5</v>
      </c>
      <c r="EI308" s="844">
        <v>32595</v>
      </c>
      <c r="EJ308" s="844">
        <v>32595</v>
      </c>
      <c r="EK308" s="844">
        <v>32595</v>
      </c>
      <c r="EL308" s="844">
        <v>32595</v>
      </c>
      <c r="EM308" s="844">
        <v>32595</v>
      </c>
      <c r="EN308" s="844">
        <v>32595</v>
      </c>
      <c r="EO308" s="844">
        <v>33093</v>
      </c>
      <c r="EP308" s="844">
        <v>33755</v>
      </c>
      <c r="EQ308" s="844">
        <v>34430</v>
      </c>
      <c r="ER308" s="844">
        <v>35118</v>
      </c>
      <c r="ES308" s="844">
        <v>35820</v>
      </c>
      <c r="ET308" s="844">
        <v>36537</v>
      </c>
      <c r="EU308" s="844">
        <v>37267</v>
      </c>
      <c r="EV308" s="844">
        <v>38012</v>
      </c>
      <c r="EW308" s="844">
        <v>38772</v>
      </c>
      <c r="EX308" s="844">
        <v>39547</v>
      </c>
      <c r="EY308" s="844">
        <v>40338</v>
      </c>
      <c r="EZ308" s="844">
        <v>41144</v>
      </c>
      <c r="FA308" s="844">
        <v>41967</v>
      </c>
      <c r="FB308" s="844">
        <v>42805</v>
      </c>
      <c r="FC308" s="844">
        <v>43661</v>
      </c>
      <c r="FD308" s="844">
        <v>44533</v>
      </c>
      <c r="FE308" s="844">
        <v>45423</v>
      </c>
      <c r="FF308" s="844">
        <v>46330</v>
      </c>
      <c r="FG308" s="844">
        <v>47255</v>
      </c>
      <c r="FH308" s="844">
        <v>48199</v>
      </c>
      <c r="FI308" s="844">
        <v>49161</v>
      </c>
      <c r="FJ308" s="844">
        <v>50142</v>
      </c>
      <c r="FK308" s="844">
        <v>51142</v>
      </c>
      <c r="FL308" s="844">
        <v>52162</v>
      </c>
      <c r="FM308" s="844">
        <v>53201</v>
      </c>
      <c r="FN308" s="844">
        <v>54260</v>
      </c>
      <c r="FO308" s="844">
        <v>54800</v>
      </c>
      <c r="FP308" s="844">
        <v>0</v>
      </c>
      <c r="FQ308" s="844">
        <v>0</v>
      </c>
      <c r="FR308" s="844">
        <v>0</v>
      </c>
      <c r="FS308" s="844">
        <v>0</v>
      </c>
      <c r="FT308" s="844">
        <v>0</v>
      </c>
      <c r="FU308" s="844">
        <v>0</v>
      </c>
      <c r="FV308" s="844">
        <v>0</v>
      </c>
      <c r="FW308" s="844">
        <v>0</v>
      </c>
      <c r="FX308" s="844">
        <v>0</v>
      </c>
      <c r="FY308" s="844">
        <v>0</v>
      </c>
      <c r="FZ308" s="844">
        <v>0</v>
      </c>
      <c r="GA308" s="844">
        <v>0</v>
      </c>
      <c r="GB308" s="844">
        <v>0</v>
      </c>
      <c r="GC308" s="844">
        <v>0</v>
      </c>
      <c r="GD308" s="844">
        <v>0</v>
      </c>
      <c r="GE308" s="844">
        <v>0</v>
      </c>
      <c r="GF308" s="844">
        <v>0</v>
      </c>
      <c r="GG308" s="844">
        <v>0</v>
      </c>
      <c r="GH308" s="844">
        <v>0</v>
      </c>
      <c r="GI308" s="844">
        <v>0</v>
      </c>
      <c r="GJ308" s="844">
        <v>0</v>
      </c>
      <c r="GK308" s="844">
        <v>0</v>
      </c>
      <c r="GL308" s="844">
        <v>0</v>
      </c>
      <c r="GM308" s="844">
        <v>0</v>
      </c>
      <c r="GN308" s="844">
        <v>0</v>
      </c>
      <c r="GO308" s="844">
        <v>0</v>
      </c>
      <c r="GP308" s="844">
        <v>0</v>
      </c>
      <c r="GQ308" s="844">
        <v>0</v>
      </c>
      <c r="GR308" s="844">
        <v>0</v>
      </c>
      <c r="GS308" s="844">
        <v>0</v>
      </c>
      <c r="GT308" s="844">
        <v>0</v>
      </c>
      <c r="GU308" s="844">
        <v>0</v>
      </c>
      <c r="GV308" s="844">
        <v>0</v>
      </c>
      <c r="GW308" s="844">
        <v>0</v>
      </c>
      <c r="GX308" s="844">
        <v>0</v>
      </c>
      <c r="GY308" s="844">
        <v>0</v>
      </c>
      <c r="GZ308" s="844">
        <v>0</v>
      </c>
      <c r="HA308" s="844">
        <v>0</v>
      </c>
      <c r="HB308" s="844">
        <v>0</v>
      </c>
      <c r="HC308" s="844">
        <v>0</v>
      </c>
      <c r="HD308" s="844">
        <v>0</v>
      </c>
      <c r="HE308" s="844">
        <v>0</v>
      </c>
      <c r="HF308" s="844">
        <v>0</v>
      </c>
      <c r="HG308" s="844">
        <v>0</v>
      </c>
      <c r="HH308" s="844">
        <v>0</v>
      </c>
      <c r="HI308" s="844">
        <v>0</v>
      </c>
      <c r="HJ308" s="844">
        <v>0</v>
      </c>
      <c r="HK308" s="844">
        <v>0</v>
      </c>
      <c r="HL308" s="844">
        <v>0</v>
      </c>
      <c r="HM308" s="844">
        <v>0</v>
      </c>
      <c r="HN308" s="844">
        <v>0</v>
      </c>
      <c r="HO308" s="844">
        <v>0</v>
      </c>
      <c r="HP308" s="844">
        <v>0</v>
      </c>
      <c r="HQ308" s="844">
        <v>0</v>
      </c>
      <c r="HR308" s="844">
        <v>0</v>
      </c>
      <c r="HS308" s="844">
        <v>0</v>
      </c>
      <c r="HT308" s="844">
        <v>0</v>
      </c>
      <c r="HU308" s="844">
        <v>0</v>
      </c>
      <c r="HV308" s="844">
        <v>0</v>
      </c>
      <c r="HW308" s="844">
        <v>0</v>
      </c>
      <c r="HX308" s="844">
        <v>0</v>
      </c>
      <c r="HY308" s="844">
        <v>0</v>
      </c>
      <c r="HZ308" s="844">
        <v>0</v>
      </c>
      <c r="IA308" s="844">
        <v>0</v>
      </c>
      <c r="IB308" s="844">
        <v>0</v>
      </c>
      <c r="IC308" s="844">
        <v>0</v>
      </c>
      <c r="ID308" s="844">
        <v>0</v>
      </c>
      <c r="IE308" s="844">
        <v>0</v>
      </c>
      <c r="IF308" s="844">
        <v>0</v>
      </c>
      <c r="IG308" s="844">
        <v>0</v>
      </c>
      <c r="IH308" s="844">
        <v>0</v>
      </c>
      <c r="II308" s="844">
        <v>0</v>
      </c>
      <c r="IJ308" s="844">
        <v>0</v>
      </c>
      <c r="IK308" s="199"/>
    </row>
    <row r="309" spans="9:245" ht="16.5" hidden="1">
      <c r="I309" s="156"/>
      <c r="L309" s="846" t="s">
        <v>1060</v>
      </c>
      <c r="M309" s="846" t="s">
        <v>1382</v>
      </c>
      <c r="N309" s="846" t="s">
        <v>97</v>
      </c>
      <c r="O309" s="847">
        <v>74</v>
      </c>
      <c r="P309" s="780" t="str">
        <f t="shared" si="10"/>
        <v>IWT060274</v>
      </c>
      <c r="Q309" s="847">
        <v>0</v>
      </c>
      <c r="R309" s="847">
        <v>0</v>
      </c>
      <c r="S309" s="847">
        <v>0</v>
      </c>
      <c r="T309" s="847">
        <v>0</v>
      </c>
      <c r="U309" s="847">
        <v>0</v>
      </c>
      <c r="V309" s="847">
        <v>0</v>
      </c>
      <c r="W309" s="847">
        <v>0</v>
      </c>
      <c r="X309" s="847">
        <v>0</v>
      </c>
      <c r="Y309" s="847">
        <v>0</v>
      </c>
      <c r="Z309" s="847">
        <v>0</v>
      </c>
      <c r="AA309" s="847">
        <v>0</v>
      </c>
      <c r="AB309" s="847">
        <v>0</v>
      </c>
      <c r="AC309" s="847">
        <v>0</v>
      </c>
      <c r="AD309" s="847">
        <v>0</v>
      </c>
      <c r="AE309" s="847">
        <v>0</v>
      </c>
      <c r="AF309" s="847">
        <v>0</v>
      </c>
      <c r="AG309" s="847">
        <v>0</v>
      </c>
      <c r="AH309" s="847">
        <v>0</v>
      </c>
      <c r="AI309" s="847">
        <v>0</v>
      </c>
      <c r="AJ309" s="847">
        <v>0</v>
      </c>
      <c r="AK309" s="847">
        <v>0</v>
      </c>
      <c r="AL309" s="847">
        <v>0</v>
      </c>
      <c r="AM309" s="847">
        <v>0</v>
      </c>
      <c r="AN309" s="847">
        <v>0</v>
      </c>
      <c r="AO309" s="847">
        <v>0</v>
      </c>
      <c r="AP309" s="847">
        <v>0</v>
      </c>
      <c r="AQ309" s="847">
        <v>0</v>
      </c>
      <c r="AR309" s="847">
        <v>0</v>
      </c>
      <c r="AS309" s="847">
        <v>0</v>
      </c>
      <c r="AT309" s="847">
        <v>0</v>
      </c>
      <c r="AU309" s="847">
        <v>0</v>
      </c>
      <c r="AV309" s="847">
        <v>0</v>
      </c>
      <c r="AW309" s="847">
        <v>0</v>
      </c>
      <c r="AX309" s="847">
        <v>0</v>
      </c>
      <c r="AY309" s="847">
        <v>0</v>
      </c>
      <c r="AZ309" s="847">
        <v>0</v>
      </c>
      <c r="BA309" s="847">
        <v>53400</v>
      </c>
      <c r="BB309" s="847">
        <v>0</v>
      </c>
      <c r="BC309" s="847">
        <v>0</v>
      </c>
      <c r="BD309" s="847">
        <v>0</v>
      </c>
      <c r="BE309" s="847">
        <v>0</v>
      </c>
      <c r="BF309" s="847">
        <v>0</v>
      </c>
      <c r="BG309" s="847">
        <v>0</v>
      </c>
      <c r="BH309" s="847">
        <v>0</v>
      </c>
      <c r="BI309" s="847">
        <v>0</v>
      </c>
      <c r="BJ309" s="847">
        <v>0</v>
      </c>
      <c r="BK309" s="847">
        <v>0</v>
      </c>
      <c r="BL309" s="847">
        <v>0</v>
      </c>
      <c r="BM309" s="847">
        <v>0</v>
      </c>
      <c r="BN309" s="847">
        <v>0</v>
      </c>
      <c r="BO309" s="847">
        <v>0</v>
      </c>
      <c r="BP309" s="847">
        <v>0</v>
      </c>
      <c r="BQ309" s="847">
        <v>0</v>
      </c>
      <c r="BR309" s="847">
        <v>0</v>
      </c>
      <c r="BS309" s="847">
        <v>0</v>
      </c>
      <c r="BT309" s="847">
        <v>0</v>
      </c>
      <c r="BU309" s="847">
        <v>0</v>
      </c>
      <c r="BV309" s="847">
        <v>0</v>
      </c>
      <c r="BW309" s="847">
        <v>0</v>
      </c>
      <c r="BX309" s="847">
        <v>0</v>
      </c>
      <c r="BY309" s="847">
        <v>0</v>
      </c>
      <c r="BZ309" s="847">
        <v>0</v>
      </c>
      <c r="CA309" s="847">
        <v>0</v>
      </c>
      <c r="CB309" s="847">
        <v>0</v>
      </c>
      <c r="CC309" s="847">
        <v>0</v>
      </c>
      <c r="CD309" s="847">
        <v>0</v>
      </c>
      <c r="CE309" s="847">
        <v>0</v>
      </c>
      <c r="CF309" s="847">
        <v>0</v>
      </c>
      <c r="CG309" s="847">
        <v>0</v>
      </c>
      <c r="CH309" s="847">
        <v>0</v>
      </c>
      <c r="CI309" s="847">
        <v>0</v>
      </c>
      <c r="CJ309" s="847">
        <v>0</v>
      </c>
      <c r="CK309" s="847">
        <v>0</v>
      </c>
      <c r="CL309" s="847">
        <v>0</v>
      </c>
      <c r="CM309" s="847">
        <v>0</v>
      </c>
      <c r="CN309" s="847">
        <v>0</v>
      </c>
      <c r="CO309" s="847">
        <v>0</v>
      </c>
      <c r="CP309" s="847">
        <v>0</v>
      </c>
      <c r="CQ309" s="847">
        <v>0</v>
      </c>
      <c r="CR309" s="847">
        <v>0</v>
      </c>
      <c r="CS309" s="847">
        <v>0</v>
      </c>
      <c r="CT309" s="847">
        <v>0</v>
      </c>
      <c r="CU309" s="847">
        <v>0</v>
      </c>
      <c r="CV309" s="847">
        <v>0</v>
      </c>
      <c r="CW309" s="847">
        <v>0</v>
      </c>
      <c r="CX309" s="847">
        <v>0</v>
      </c>
      <c r="CY309" s="847">
        <v>0</v>
      </c>
      <c r="CZ309" s="847">
        <v>0</v>
      </c>
      <c r="DA309" s="847">
        <v>0</v>
      </c>
      <c r="DB309" s="847">
        <v>0</v>
      </c>
      <c r="DC309" s="847">
        <v>0</v>
      </c>
      <c r="DD309" s="847">
        <v>0</v>
      </c>
      <c r="DE309" s="847">
        <v>0</v>
      </c>
      <c r="DF309" s="847">
        <v>0</v>
      </c>
      <c r="DG309" s="847">
        <v>0</v>
      </c>
      <c r="DH309" s="847">
        <v>0</v>
      </c>
      <c r="DI309" s="847">
        <v>0</v>
      </c>
      <c r="DJ309" s="847">
        <v>0</v>
      </c>
      <c r="DK309" s="847">
        <v>0</v>
      </c>
      <c r="DL309" s="847">
        <v>0</v>
      </c>
      <c r="DM309" s="847">
        <v>0</v>
      </c>
      <c r="DN309" s="847">
        <v>0</v>
      </c>
      <c r="DO309" s="847">
        <v>0</v>
      </c>
      <c r="DP309" s="847">
        <v>0</v>
      </c>
      <c r="DQ309" s="847">
        <v>0</v>
      </c>
      <c r="DR309" s="847">
        <v>0</v>
      </c>
      <c r="DS309" s="847">
        <v>0</v>
      </c>
      <c r="DT309" s="847">
        <v>0</v>
      </c>
      <c r="DU309" s="847">
        <v>0</v>
      </c>
      <c r="DV309" s="847">
        <v>0</v>
      </c>
      <c r="DW309" s="847">
        <v>0</v>
      </c>
      <c r="DY309" s="843" t="s">
        <v>1060</v>
      </c>
      <c r="DZ309" s="843" t="s">
        <v>1382</v>
      </c>
      <c r="EA309" s="843" t="s">
        <v>97</v>
      </c>
      <c r="EB309" s="844">
        <v>74</v>
      </c>
      <c r="EC309" s="780" t="str">
        <f t="shared" si="11"/>
        <v>IWT060274</v>
      </c>
      <c r="ED309" s="844">
        <v>5437.8</v>
      </c>
      <c r="EE309" s="844">
        <v>10875.6</v>
      </c>
      <c r="EF309" s="844">
        <v>16313.4</v>
      </c>
      <c r="EG309" s="844">
        <v>21751.200000000001</v>
      </c>
      <c r="EH309" s="844">
        <v>27189</v>
      </c>
      <c r="EI309" s="844">
        <v>32626.799999999999</v>
      </c>
      <c r="EJ309" s="844">
        <v>32626.799999999999</v>
      </c>
      <c r="EK309" s="844">
        <v>32626.799999999999</v>
      </c>
      <c r="EL309" s="844">
        <v>32626.799999999999</v>
      </c>
      <c r="EM309" s="844">
        <v>32626.799999999999</v>
      </c>
      <c r="EN309" s="844">
        <v>32626.799999999999</v>
      </c>
      <c r="EO309" s="844">
        <v>32893</v>
      </c>
      <c r="EP309" s="844">
        <v>33551</v>
      </c>
      <c r="EQ309" s="844">
        <v>34222</v>
      </c>
      <c r="ER309" s="844">
        <v>34906</v>
      </c>
      <c r="ES309" s="844">
        <v>35604</v>
      </c>
      <c r="ET309" s="844">
        <v>36316</v>
      </c>
      <c r="EU309" s="844">
        <v>37042</v>
      </c>
      <c r="EV309" s="844">
        <v>37782</v>
      </c>
      <c r="EW309" s="844">
        <v>38538</v>
      </c>
      <c r="EX309" s="844">
        <v>39308</v>
      </c>
      <c r="EY309" s="844">
        <v>40094</v>
      </c>
      <c r="EZ309" s="844">
        <v>40895</v>
      </c>
      <c r="FA309" s="844">
        <v>41712</v>
      </c>
      <c r="FB309" s="844">
        <v>42546</v>
      </c>
      <c r="FC309" s="844">
        <v>43396</v>
      </c>
      <c r="FD309" s="844">
        <v>44263</v>
      </c>
      <c r="FE309" s="844">
        <v>45147</v>
      </c>
      <c r="FF309" s="844">
        <v>46048</v>
      </c>
      <c r="FG309" s="844">
        <v>46968</v>
      </c>
      <c r="FH309" s="844">
        <v>47905</v>
      </c>
      <c r="FI309" s="844">
        <v>48861</v>
      </c>
      <c r="FJ309" s="844">
        <v>49836</v>
      </c>
      <c r="FK309" s="844">
        <v>50829</v>
      </c>
      <c r="FL309" s="844">
        <v>51842</v>
      </c>
      <c r="FM309" s="844">
        <v>52874</v>
      </c>
      <c r="FN309" s="844">
        <v>53400</v>
      </c>
      <c r="FO309" s="844">
        <v>0</v>
      </c>
      <c r="FP309" s="844">
        <v>0</v>
      </c>
      <c r="FQ309" s="844">
        <v>0</v>
      </c>
      <c r="FR309" s="844">
        <v>0</v>
      </c>
      <c r="FS309" s="844">
        <v>0</v>
      </c>
      <c r="FT309" s="844">
        <v>0</v>
      </c>
      <c r="FU309" s="844">
        <v>0</v>
      </c>
      <c r="FV309" s="844">
        <v>0</v>
      </c>
      <c r="FW309" s="844">
        <v>0</v>
      </c>
      <c r="FX309" s="844">
        <v>0</v>
      </c>
      <c r="FY309" s="844">
        <v>0</v>
      </c>
      <c r="FZ309" s="844">
        <v>0</v>
      </c>
      <c r="GA309" s="844">
        <v>0</v>
      </c>
      <c r="GB309" s="844">
        <v>0</v>
      </c>
      <c r="GC309" s="844">
        <v>0</v>
      </c>
      <c r="GD309" s="844">
        <v>0</v>
      </c>
      <c r="GE309" s="844">
        <v>0</v>
      </c>
      <c r="GF309" s="844">
        <v>0</v>
      </c>
      <c r="GG309" s="844">
        <v>0</v>
      </c>
      <c r="GH309" s="844">
        <v>0</v>
      </c>
      <c r="GI309" s="844">
        <v>0</v>
      </c>
      <c r="GJ309" s="844">
        <v>0</v>
      </c>
      <c r="GK309" s="844">
        <v>0</v>
      </c>
      <c r="GL309" s="844">
        <v>0</v>
      </c>
      <c r="GM309" s="844">
        <v>0</v>
      </c>
      <c r="GN309" s="844">
        <v>0</v>
      </c>
      <c r="GO309" s="844">
        <v>0</v>
      </c>
      <c r="GP309" s="844">
        <v>0</v>
      </c>
      <c r="GQ309" s="844">
        <v>0</v>
      </c>
      <c r="GR309" s="844">
        <v>0</v>
      </c>
      <c r="GS309" s="844">
        <v>0</v>
      </c>
      <c r="GT309" s="844">
        <v>0</v>
      </c>
      <c r="GU309" s="844">
        <v>0</v>
      </c>
      <c r="GV309" s="844">
        <v>0</v>
      </c>
      <c r="GW309" s="844">
        <v>0</v>
      </c>
      <c r="GX309" s="844">
        <v>0</v>
      </c>
      <c r="GY309" s="844">
        <v>0</v>
      </c>
      <c r="GZ309" s="844">
        <v>0</v>
      </c>
      <c r="HA309" s="844">
        <v>0</v>
      </c>
      <c r="HB309" s="844">
        <v>0</v>
      </c>
      <c r="HC309" s="844">
        <v>0</v>
      </c>
      <c r="HD309" s="844">
        <v>0</v>
      </c>
      <c r="HE309" s="844">
        <v>0</v>
      </c>
      <c r="HF309" s="844">
        <v>0</v>
      </c>
      <c r="HG309" s="844">
        <v>0</v>
      </c>
      <c r="HH309" s="844">
        <v>0</v>
      </c>
      <c r="HI309" s="844">
        <v>0</v>
      </c>
      <c r="HJ309" s="844">
        <v>0</v>
      </c>
      <c r="HK309" s="844">
        <v>0</v>
      </c>
      <c r="HL309" s="844">
        <v>0</v>
      </c>
      <c r="HM309" s="844">
        <v>0</v>
      </c>
      <c r="HN309" s="844">
        <v>0</v>
      </c>
      <c r="HO309" s="844">
        <v>0</v>
      </c>
      <c r="HP309" s="844">
        <v>0</v>
      </c>
      <c r="HQ309" s="844">
        <v>0</v>
      </c>
      <c r="HR309" s="844">
        <v>0</v>
      </c>
      <c r="HS309" s="844">
        <v>0</v>
      </c>
      <c r="HT309" s="844">
        <v>0</v>
      </c>
      <c r="HU309" s="844">
        <v>0</v>
      </c>
      <c r="HV309" s="844">
        <v>0</v>
      </c>
      <c r="HW309" s="844">
        <v>0</v>
      </c>
      <c r="HX309" s="844">
        <v>0</v>
      </c>
      <c r="HY309" s="844">
        <v>0</v>
      </c>
      <c r="HZ309" s="844">
        <v>0</v>
      </c>
      <c r="IA309" s="844">
        <v>0</v>
      </c>
      <c r="IB309" s="844">
        <v>0</v>
      </c>
      <c r="IC309" s="844">
        <v>0</v>
      </c>
      <c r="ID309" s="844">
        <v>0</v>
      </c>
      <c r="IE309" s="844">
        <v>0</v>
      </c>
      <c r="IF309" s="844">
        <v>0</v>
      </c>
      <c r="IG309" s="844">
        <v>0</v>
      </c>
      <c r="IH309" s="844">
        <v>0</v>
      </c>
      <c r="II309" s="844">
        <v>0</v>
      </c>
      <c r="IJ309" s="844">
        <v>0</v>
      </c>
      <c r="IK309" s="199"/>
    </row>
    <row r="310" spans="9:245" ht="16.5" hidden="1">
      <c r="I310" s="156"/>
      <c r="L310" s="846" t="s">
        <v>1060</v>
      </c>
      <c r="M310" s="846" t="s">
        <v>1382</v>
      </c>
      <c r="N310" s="846" t="s">
        <v>97</v>
      </c>
      <c r="O310" s="847">
        <v>75</v>
      </c>
      <c r="P310" s="780" t="str">
        <f t="shared" si="10"/>
        <v>IWT060275</v>
      </c>
      <c r="Q310" s="847">
        <v>0</v>
      </c>
      <c r="R310" s="847">
        <v>0</v>
      </c>
      <c r="S310" s="847">
        <v>0</v>
      </c>
      <c r="T310" s="847">
        <v>0</v>
      </c>
      <c r="U310" s="847">
        <v>0</v>
      </c>
      <c r="V310" s="847">
        <v>0</v>
      </c>
      <c r="W310" s="847">
        <v>0</v>
      </c>
      <c r="X310" s="847">
        <v>0</v>
      </c>
      <c r="Y310" s="847">
        <v>0</v>
      </c>
      <c r="Z310" s="847">
        <v>0</v>
      </c>
      <c r="AA310" s="847">
        <v>0</v>
      </c>
      <c r="AB310" s="847">
        <v>0</v>
      </c>
      <c r="AC310" s="847">
        <v>0</v>
      </c>
      <c r="AD310" s="847">
        <v>0</v>
      </c>
      <c r="AE310" s="847">
        <v>0</v>
      </c>
      <c r="AF310" s="847">
        <v>0</v>
      </c>
      <c r="AG310" s="847">
        <v>0</v>
      </c>
      <c r="AH310" s="847">
        <v>0</v>
      </c>
      <c r="AI310" s="847">
        <v>0</v>
      </c>
      <c r="AJ310" s="847">
        <v>0</v>
      </c>
      <c r="AK310" s="847">
        <v>0</v>
      </c>
      <c r="AL310" s="847">
        <v>0</v>
      </c>
      <c r="AM310" s="847">
        <v>0</v>
      </c>
      <c r="AN310" s="847">
        <v>0</v>
      </c>
      <c r="AO310" s="847">
        <v>0</v>
      </c>
      <c r="AP310" s="847">
        <v>0</v>
      </c>
      <c r="AQ310" s="847">
        <v>0</v>
      </c>
      <c r="AR310" s="847">
        <v>0</v>
      </c>
      <c r="AS310" s="847">
        <v>0</v>
      </c>
      <c r="AT310" s="847">
        <v>0</v>
      </c>
      <c r="AU310" s="847">
        <v>0</v>
      </c>
      <c r="AV310" s="847">
        <v>0</v>
      </c>
      <c r="AW310" s="847">
        <v>0</v>
      </c>
      <c r="AX310" s="847">
        <v>0</v>
      </c>
      <c r="AY310" s="847">
        <v>0</v>
      </c>
      <c r="AZ310" s="847">
        <v>52000</v>
      </c>
      <c r="BA310" s="847">
        <v>0</v>
      </c>
      <c r="BB310" s="847">
        <v>0</v>
      </c>
      <c r="BC310" s="847">
        <v>0</v>
      </c>
      <c r="BD310" s="847">
        <v>0</v>
      </c>
      <c r="BE310" s="847">
        <v>0</v>
      </c>
      <c r="BF310" s="847">
        <v>0</v>
      </c>
      <c r="BG310" s="847">
        <v>0</v>
      </c>
      <c r="BH310" s="847">
        <v>0</v>
      </c>
      <c r="BI310" s="847">
        <v>0</v>
      </c>
      <c r="BJ310" s="847">
        <v>0</v>
      </c>
      <c r="BK310" s="847">
        <v>0</v>
      </c>
      <c r="BL310" s="847">
        <v>0</v>
      </c>
      <c r="BM310" s="847">
        <v>0</v>
      </c>
      <c r="BN310" s="847">
        <v>0</v>
      </c>
      <c r="BO310" s="847">
        <v>0</v>
      </c>
      <c r="BP310" s="847">
        <v>0</v>
      </c>
      <c r="BQ310" s="847">
        <v>0</v>
      </c>
      <c r="BR310" s="847">
        <v>0</v>
      </c>
      <c r="BS310" s="847">
        <v>0</v>
      </c>
      <c r="BT310" s="847">
        <v>0</v>
      </c>
      <c r="BU310" s="847">
        <v>0</v>
      </c>
      <c r="BV310" s="847">
        <v>0</v>
      </c>
      <c r="BW310" s="847">
        <v>0</v>
      </c>
      <c r="BX310" s="847">
        <v>0</v>
      </c>
      <c r="BY310" s="847">
        <v>0</v>
      </c>
      <c r="BZ310" s="847">
        <v>0</v>
      </c>
      <c r="CA310" s="847">
        <v>0</v>
      </c>
      <c r="CB310" s="847">
        <v>0</v>
      </c>
      <c r="CC310" s="847">
        <v>0</v>
      </c>
      <c r="CD310" s="847">
        <v>0</v>
      </c>
      <c r="CE310" s="847">
        <v>0</v>
      </c>
      <c r="CF310" s="847">
        <v>0</v>
      </c>
      <c r="CG310" s="847">
        <v>0</v>
      </c>
      <c r="CH310" s="847">
        <v>0</v>
      </c>
      <c r="CI310" s="847">
        <v>0</v>
      </c>
      <c r="CJ310" s="847">
        <v>0</v>
      </c>
      <c r="CK310" s="847">
        <v>0</v>
      </c>
      <c r="CL310" s="847">
        <v>0</v>
      </c>
      <c r="CM310" s="847">
        <v>0</v>
      </c>
      <c r="CN310" s="847">
        <v>0</v>
      </c>
      <c r="CO310" s="847">
        <v>0</v>
      </c>
      <c r="CP310" s="847">
        <v>0</v>
      </c>
      <c r="CQ310" s="847">
        <v>0</v>
      </c>
      <c r="CR310" s="847">
        <v>0</v>
      </c>
      <c r="CS310" s="847">
        <v>0</v>
      </c>
      <c r="CT310" s="847">
        <v>0</v>
      </c>
      <c r="CU310" s="847">
        <v>0</v>
      </c>
      <c r="CV310" s="847">
        <v>0</v>
      </c>
      <c r="CW310" s="847">
        <v>0</v>
      </c>
      <c r="CX310" s="847">
        <v>0</v>
      </c>
      <c r="CY310" s="847">
        <v>0</v>
      </c>
      <c r="CZ310" s="847">
        <v>0</v>
      </c>
      <c r="DA310" s="847">
        <v>0</v>
      </c>
      <c r="DB310" s="847">
        <v>0</v>
      </c>
      <c r="DC310" s="847">
        <v>0</v>
      </c>
      <c r="DD310" s="847">
        <v>0</v>
      </c>
      <c r="DE310" s="847">
        <v>0</v>
      </c>
      <c r="DF310" s="847">
        <v>0</v>
      </c>
      <c r="DG310" s="847">
        <v>0</v>
      </c>
      <c r="DH310" s="847">
        <v>0</v>
      </c>
      <c r="DI310" s="847">
        <v>0</v>
      </c>
      <c r="DJ310" s="847">
        <v>0</v>
      </c>
      <c r="DK310" s="847">
        <v>0</v>
      </c>
      <c r="DL310" s="847">
        <v>0</v>
      </c>
      <c r="DM310" s="847">
        <v>0</v>
      </c>
      <c r="DN310" s="847">
        <v>0</v>
      </c>
      <c r="DO310" s="847">
        <v>0</v>
      </c>
      <c r="DP310" s="847">
        <v>0</v>
      </c>
      <c r="DQ310" s="847">
        <v>0</v>
      </c>
      <c r="DR310" s="847">
        <v>0</v>
      </c>
      <c r="DS310" s="847">
        <v>0</v>
      </c>
      <c r="DT310" s="847">
        <v>0</v>
      </c>
      <c r="DU310" s="847">
        <v>0</v>
      </c>
      <c r="DV310" s="847">
        <v>0</v>
      </c>
      <c r="DW310" s="847">
        <v>0</v>
      </c>
      <c r="DY310" s="843" t="s">
        <v>1060</v>
      </c>
      <c r="DZ310" s="843" t="s">
        <v>1382</v>
      </c>
      <c r="EA310" s="843" t="s">
        <v>97</v>
      </c>
      <c r="EB310" s="844">
        <v>75</v>
      </c>
      <c r="EC310" s="780" t="str">
        <f t="shared" si="11"/>
        <v>IWT060275</v>
      </c>
      <c r="ED310" s="844">
        <v>5443.1</v>
      </c>
      <c r="EE310" s="844">
        <v>10886.2</v>
      </c>
      <c r="EF310" s="844">
        <v>16329.3</v>
      </c>
      <c r="EG310" s="844">
        <v>21772.400000000001</v>
      </c>
      <c r="EH310" s="844">
        <v>27215.5</v>
      </c>
      <c r="EI310" s="844">
        <v>32658.6</v>
      </c>
      <c r="EJ310" s="844">
        <v>32658.6</v>
      </c>
      <c r="EK310" s="844">
        <v>32658.6</v>
      </c>
      <c r="EL310" s="844">
        <v>32658.6</v>
      </c>
      <c r="EM310" s="844">
        <v>32658.6</v>
      </c>
      <c r="EN310" s="844">
        <v>32658.6</v>
      </c>
      <c r="EO310" s="844">
        <v>32671</v>
      </c>
      <c r="EP310" s="844">
        <v>33324</v>
      </c>
      <c r="EQ310" s="844">
        <v>33990</v>
      </c>
      <c r="ER310" s="844">
        <v>34670</v>
      </c>
      <c r="ES310" s="844">
        <v>35363</v>
      </c>
      <c r="ET310" s="844">
        <v>36070</v>
      </c>
      <c r="EU310" s="844">
        <v>36791</v>
      </c>
      <c r="EV310" s="844">
        <v>37527</v>
      </c>
      <c r="EW310" s="844">
        <v>38277</v>
      </c>
      <c r="EX310" s="844">
        <v>39042</v>
      </c>
      <c r="EY310" s="844">
        <v>39822</v>
      </c>
      <c r="EZ310" s="844">
        <v>40618</v>
      </c>
      <c r="FA310" s="844">
        <v>41430</v>
      </c>
      <c r="FB310" s="844">
        <v>42258</v>
      </c>
      <c r="FC310" s="844">
        <v>43102</v>
      </c>
      <c r="FD310" s="844">
        <v>43963</v>
      </c>
      <c r="FE310" s="844">
        <v>44841</v>
      </c>
      <c r="FF310" s="844">
        <v>45736</v>
      </c>
      <c r="FG310" s="844">
        <v>46649</v>
      </c>
      <c r="FH310" s="844">
        <v>47580</v>
      </c>
      <c r="FI310" s="844">
        <v>48529</v>
      </c>
      <c r="FJ310" s="844">
        <v>49497</v>
      </c>
      <c r="FK310" s="844">
        <v>50483</v>
      </c>
      <c r="FL310" s="844">
        <v>51488</v>
      </c>
      <c r="FM310" s="844">
        <v>52000</v>
      </c>
      <c r="FN310" s="844">
        <v>0</v>
      </c>
      <c r="FO310" s="844">
        <v>0</v>
      </c>
      <c r="FP310" s="844">
        <v>0</v>
      </c>
      <c r="FQ310" s="844">
        <v>0</v>
      </c>
      <c r="FR310" s="844">
        <v>0</v>
      </c>
      <c r="FS310" s="844">
        <v>0</v>
      </c>
      <c r="FT310" s="844">
        <v>0</v>
      </c>
      <c r="FU310" s="844">
        <v>0</v>
      </c>
      <c r="FV310" s="844">
        <v>0</v>
      </c>
      <c r="FW310" s="844">
        <v>0</v>
      </c>
      <c r="FX310" s="844">
        <v>0</v>
      </c>
      <c r="FY310" s="844">
        <v>0</v>
      </c>
      <c r="FZ310" s="844">
        <v>0</v>
      </c>
      <c r="GA310" s="844">
        <v>0</v>
      </c>
      <c r="GB310" s="844">
        <v>0</v>
      </c>
      <c r="GC310" s="844">
        <v>0</v>
      </c>
      <c r="GD310" s="844">
        <v>0</v>
      </c>
      <c r="GE310" s="844">
        <v>0</v>
      </c>
      <c r="GF310" s="844">
        <v>0</v>
      </c>
      <c r="GG310" s="844">
        <v>0</v>
      </c>
      <c r="GH310" s="844">
        <v>0</v>
      </c>
      <c r="GI310" s="844">
        <v>0</v>
      </c>
      <c r="GJ310" s="844">
        <v>0</v>
      </c>
      <c r="GK310" s="844">
        <v>0</v>
      </c>
      <c r="GL310" s="844">
        <v>0</v>
      </c>
      <c r="GM310" s="844">
        <v>0</v>
      </c>
      <c r="GN310" s="844">
        <v>0</v>
      </c>
      <c r="GO310" s="844">
        <v>0</v>
      </c>
      <c r="GP310" s="844">
        <v>0</v>
      </c>
      <c r="GQ310" s="844">
        <v>0</v>
      </c>
      <c r="GR310" s="844">
        <v>0</v>
      </c>
      <c r="GS310" s="844">
        <v>0</v>
      </c>
      <c r="GT310" s="844">
        <v>0</v>
      </c>
      <c r="GU310" s="844">
        <v>0</v>
      </c>
      <c r="GV310" s="844">
        <v>0</v>
      </c>
      <c r="GW310" s="844">
        <v>0</v>
      </c>
      <c r="GX310" s="844">
        <v>0</v>
      </c>
      <c r="GY310" s="844">
        <v>0</v>
      </c>
      <c r="GZ310" s="844">
        <v>0</v>
      </c>
      <c r="HA310" s="844">
        <v>0</v>
      </c>
      <c r="HB310" s="844">
        <v>0</v>
      </c>
      <c r="HC310" s="844">
        <v>0</v>
      </c>
      <c r="HD310" s="844">
        <v>0</v>
      </c>
      <c r="HE310" s="844">
        <v>0</v>
      </c>
      <c r="HF310" s="844">
        <v>0</v>
      </c>
      <c r="HG310" s="844">
        <v>0</v>
      </c>
      <c r="HH310" s="844">
        <v>0</v>
      </c>
      <c r="HI310" s="844">
        <v>0</v>
      </c>
      <c r="HJ310" s="844">
        <v>0</v>
      </c>
      <c r="HK310" s="844">
        <v>0</v>
      </c>
      <c r="HL310" s="844">
        <v>0</v>
      </c>
      <c r="HM310" s="844">
        <v>0</v>
      </c>
      <c r="HN310" s="844">
        <v>0</v>
      </c>
      <c r="HO310" s="844">
        <v>0</v>
      </c>
      <c r="HP310" s="844">
        <v>0</v>
      </c>
      <c r="HQ310" s="844">
        <v>0</v>
      </c>
      <c r="HR310" s="844">
        <v>0</v>
      </c>
      <c r="HS310" s="844">
        <v>0</v>
      </c>
      <c r="HT310" s="844">
        <v>0</v>
      </c>
      <c r="HU310" s="844">
        <v>0</v>
      </c>
      <c r="HV310" s="844">
        <v>0</v>
      </c>
      <c r="HW310" s="844">
        <v>0</v>
      </c>
      <c r="HX310" s="844">
        <v>0</v>
      </c>
      <c r="HY310" s="844">
        <v>0</v>
      </c>
      <c r="HZ310" s="844">
        <v>0</v>
      </c>
      <c r="IA310" s="844">
        <v>0</v>
      </c>
      <c r="IB310" s="844">
        <v>0</v>
      </c>
      <c r="IC310" s="844">
        <v>0</v>
      </c>
      <c r="ID310" s="844">
        <v>0</v>
      </c>
      <c r="IE310" s="844">
        <v>0</v>
      </c>
      <c r="IF310" s="844">
        <v>0</v>
      </c>
      <c r="IG310" s="844">
        <v>0</v>
      </c>
      <c r="IH310" s="844">
        <v>0</v>
      </c>
      <c r="II310" s="844">
        <v>0</v>
      </c>
      <c r="IJ310" s="844">
        <v>0</v>
      </c>
      <c r="IK310" s="199"/>
    </row>
    <row r="311" spans="9:245" hidden="1">
      <c r="P311" s="225"/>
    </row>
    <row r="312" spans="9:245" hidden="1">
      <c r="P312" s="225"/>
    </row>
    <row r="313" spans="9:245" s="781" customFormat="1" hidden="1">
      <c r="L313" s="781" t="s">
        <v>510</v>
      </c>
      <c r="P313" s="780" t="str">
        <f t="shared" ref="P313:P376" si="12">M313&amp;TEXT(N313,"00")&amp;TEXT(O313,"00")</f>
        <v>0000</v>
      </c>
      <c r="DY313" s="781" t="s">
        <v>511</v>
      </c>
      <c r="EC313" s="780" t="str">
        <f t="shared" ref="EC313:EC376" si="13">DZ313&amp;TEXT(EA313,"00")&amp;TEXT(EB313,"00")</f>
        <v>0000</v>
      </c>
    </row>
    <row r="314" spans="9:245" ht="24" hidden="1">
      <c r="L314" s="842" t="s">
        <v>91</v>
      </c>
      <c r="M314" s="842" t="s">
        <v>92</v>
      </c>
      <c r="N314" s="842" t="s">
        <v>93</v>
      </c>
      <c r="O314" s="842" t="s">
        <v>94</v>
      </c>
      <c r="P314" s="780" t="str">
        <f t="shared" si="12"/>
        <v>商品代號性別年齡</v>
      </c>
      <c r="Q314" s="842" t="s">
        <v>209</v>
      </c>
      <c r="R314" s="842" t="s">
        <v>210</v>
      </c>
      <c r="S314" s="842" t="s">
        <v>211</v>
      </c>
      <c r="T314" s="842" t="s">
        <v>212</v>
      </c>
      <c r="U314" s="842" t="s">
        <v>213</v>
      </c>
      <c r="V314" s="842" t="s">
        <v>214</v>
      </c>
      <c r="W314" s="842" t="s">
        <v>215</v>
      </c>
      <c r="X314" s="842" t="s">
        <v>216</v>
      </c>
      <c r="Y314" s="842" t="s">
        <v>217</v>
      </c>
      <c r="Z314" s="842" t="s">
        <v>218</v>
      </c>
      <c r="AA314" s="842" t="s">
        <v>219</v>
      </c>
      <c r="AB314" s="842" t="s">
        <v>220</v>
      </c>
      <c r="AC314" s="842" t="s">
        <v>221</v>
      </c>
      <c r="AD314" s="842" t="s">
        <v>222</v>
      </c>
      <c r="AE314" s="842" t="s">
        <v>223</v>
      </c>
      <c r="AF314" s="842" t="s">
        <v>224</v>
      </c>
      <c r="AG314" s="842" t="s">
        <v>225</v>
      </c>
      <c r="AH314" s="842" t="s">
        <v>226</v>
      </c>
      <c r="AI314" s="842" t="s">
        <v>227</v>
      </c>
      <c r="AJ314" s="842" t="s">
        <v>228</v>
      </c>
      <c r="AK314" s="842" t="s">
        <v>229</v>
      </c>
      <c r="AL314" s="842" t="s">
        <v>230</v>
      </c>
      <c r="AM314" s="842" t="s">
        <v>231</v>
      </c>
      <c r="AN314" s="842" t="s">
        <v>232</v>
      </c>
      <c r="AO314" s="842" t="s">
        <v>233</v>
      </c>
      <c r="AP314" s="842" t="s">
        <v>234</v>
      </c>
      <c r="AQ314" s="842" t="s">
        <v>235</v>
      </c>
      <c r="AR314" s="842" t="s">
        <v>236</v>
      </c>
      <c r="AS314" s="842" t="s">
        <v>237</v>
      </c>
      <c r="AT314" s="842" t="s">
        <v>238</v>
      </c>
      <c r="AU314" s="842" t="s">
        <v>239</v>
      </c>
      <c r="AV314" s="842" t="s">
        <v>240</v>
      </c>
      <c r="AW314" s="842" t="s">
        <v>241</v>
      </c>
      <c r="AX314" s="842" t="s">
        <v>242</v>
      </c>
      <c r="AY314" s="842" t="s">
        <v>243</v>
      </c>
      <c r="AZ314" s="842" t="s">
        <v>244</v>
      </c>
      <c r="BA314" s="842" t="s">
        <v>245</v>
      </c>
      <c r="BB314" s="842" t="s">
        <v>246</v>
      </c>
      <c r="BC314" s="842" t="s">
        <v>247</v>
      </c>
      <c r="BD314" s="842" t="s">
        <v>248</v>
      </c>
      <c r="BE314" s="842" t="s">
        <v>249</v>
      </c>
      <c r="BF314" s="842" t="s">
        <v>250</v>
      </c>
      <c r="BG314" s="842" t="s">
        <v>251</v>
      </c>
      <c r="BH314" s="842" t="s">
        <v>252</v>
      </c>
      <c r="BI314" s="842" t="s">
        <v>253</v>
      </c>
      <c r="BJ314" s="842" t="s">
        <v>254</v>
      </c>
      <c r="BK314" s="842" t="s">
        <v>255</v>
      </c>
      <c r="BL314" s="842" t="s">
        <v>256</v>
      </c>
      <c r="BM314" s="842" t="s">
        <v>257</v>
      </c>
      <c r="BN314" s="842" t="s">
        <v>258</v>
      </c>
      <c r="BO314" s="842" t="s">
        <v>259</v>
      </c>
      <c r="BP314" s="842" t="s">
        <v>260</v>
      </c>
      <c r="BQ314" s="842" t="s">
        <v>261</v>
      </c>
      <c r="BR314" s="842" t="s">
        <v>262</v>
      </c>
      <c r="BS314" s="842" t="s">
        <v>263</v>
      </c>
      <c r="BT314" s="842" t="s">
        <v>264</v>
      </c>
      <c r="BU314" s="842" t="s">
        <v>265</v>
      </c>
      <c r="BV314" s="842" t="s">
        <v>266</v>
      </c>
      <c r="BW314" s="842" t="s">
        <v>267</v>
      </c>
      <c r="BX314" s="842" t="s">
        <v>268</v>
      </c>
      <c r="BY314" s="842" t="s">
        <v>269</v>
      </c>
      <c r="BZ314" s="842" t="s">
        <v>270</v>
      </c>
      <c r="CA314" s="842" t="s">
        <v>271</v>
      </c>
      <c r="CB314" s="842" t="s">
        <v>272</v>
      </c>
      <c r="CC314" s="842" t="s">
        <v>273</v>
      </c>
      <c r="CD314" s="842" t="s">
        <v>274</v>
      </c>
      <c r="CE314" s="842" t="s">
        <v>275</v>
      </c>
      <c r="CF314" s="842" t="s">
        <v>276</v>
      </c>
      <c r="CG314" s="842" t="s">
        <v>277</v>
      </c>
      <c r="CH314" s="842" t="s">
        <v>278</v>
      </c>
      <c r="CI314" s="842" t="s">
        <v>279</v>
      </c>
      <c r="CJ314" s="842" t="s">
        <v>280</v>
      </c>
      <c r="CK314" s="842" t="s">
        <v>281</v>
      </c>
      <c r="CL314" s="842" t="s">
        <v>282</v>
      </c>
      <c r="CM314" s="842" t="s">
        <v>283</v>
      </c>
      <c r="CN314" s="842" t="s">
        <v>284</v>
      </c>
      <c r="CO314" s="842" t="s">
        <v>285</v>
      </c>
      <c r="CP314" s="842" t="s">
        <v>286</v>
      </c>
      <c r="CQ314" s="842" t="s">
        <v>287</v>
      </c>
      <c r="CR314" s="842" t="s">
        <v>288</v>
      </c>
      <c r="CS314" s="842" t="s">
        <v>289</v>
      </c>
      <c r="CT314" s="842" t="s">
        <v>290</v>
      </c>
      <c r="CU314" s="842" t="s">
        <v>291</v>
      </c>
      <c r="CV314" s="842" t="s">
        <v>292</v>
      </c>
      <c r="CW314" s="842" t="s">
        <v>293</v>
      </c>
      <c r="CX314" s="842" t="s">
        <v>294</v>
      </c>
      <c r="CY314" s="842" t="s">
        <v>295</v>
      </c>
      <c r="CZ314" s="842" t="s">
        <v>296</v>
      </c>
      <c r="DA314" s="842" t="s">
        <v>297</v>
      </c>
      <c r="DB314" s="842" t="s">
        <v>298</v>
      </c>
      <c r="DC314" s="842" t="s">
        <v>299</v>
      </c>
      <c r="DD314" s="842" t="s">
        <v>300</v>
      </c>
      <c r="DE314" s="842" t="s">
        <v>301</v>
      </c>
      <c r="DF314" s="842" t="s">
        <v>302</v>
      </c>
      <c r="DG314" s="842" t="s">
        <v>303</v>
      </c>
      <c r="DH314" s="842" t="s">
        <v>304</v>
      </c>
      <c r="DI314" s="842" t="s">
        <v>305</v>
      </c>
      <c r="DJ314" s="842" t="s">
        <v>306</v>
      </c>
      <c r="DK314" s="842" t="s">
        <v>307</v>
      </c>
      <c r="DL314" s="842" t="s">
        <v>308</v>
      </c>
      <c r="DM314" s="842" t="s">
        <v>309</v>
      </c>
      <c r="DN314" s="842" t="s">
        <v>310</v>
      </c>
      <c r="DO314" s="842" t="s">
        <v>311</v>
      </c>
      <c r="DP314" s="842" t="s">
        <v>312</v>
      </c>
      <c r="DQ314" s="842" t="s">
        <v>313</v>
      </c>
      <c r="DR314" s="842" t="s">
        <v>314</v>
      </c>
      <c r="DS314" s="842" t="s">
        <v>315</v>
      </c>
      <c r="DT314" s="842" t="s">
        <v>316</v>
      </c>
      <c r="DU314" s="842" t="s">
        <v>317</v>
      </c>
      <c r="DV314" s="842" t="s">
        <v>318</v>
      </c>
      <c r="DW314" s="842" t="s">
        <v>319</v>
      </c>
      <c r="DY314" s="845" t="s">
        <v>91</v>
      </c>
      <c r="DZ314" s="845" t="s">
        <v>92</v>
      </c>
      <c r="EA314" s="845" t="s">
        <v>93</v>
      </c>
      <c r="EB314" s="845" t="s">
        <v>94</v>
      </c>
      <c r="EC314" s="780" t="str">
        <f t="shared" si="13"/>
        <v>商品代號性別年齡</v>
      </c>
      <c r="ED314" s="845" t="s">
        <v>512</v>
      </c>
      <c r="EE314" s="845" t="s">
        <v>392</v>
      </c>
      <c r="EF314" s="845" t="s">
        <v>393</v>
      </c>
      <c r="EG314" s="845" t="s">
        <v>394</v>
      </c>
      <c r="EH314" s="845" t="s">
        <v>395</v>
      </c>
      <c r="EI314" s="845" t="s">
        <v>396</v>
      </c>
      <c r="EJ314" s="845" t="s">
        <v>397</v>
      </c>
      <c r="EK314" s="845" t="s">
        <v>398</v>
      </c>
      <c r="EL314" s="845" t="s">
        <v>399</v>
      </c>
      <c r="EM314" s="845" t="s">
        <v>400</v>
      </c>
      <c r="EN314" s="845" t="s">
        <v>401</v>
      </c>
      <c r="EO314" s="845" t="s">
        <v>402</v>
      </c>
      <c r="EP314" s="845" t="s">
        <v>403</v>
      </c>
      <c r="EQ314" s="845" t="s">
        <v>404</v>
      </c>
      <c r="ER314" s="845" t="s">
        <v>405</v>
      </c>
      <c r="ES314" s="845" t="s">
        <v>406</v>
      </c>
      <c r="ET314" s="845" t="s">
        <v>407</v>
      </c>
      <c r="EU314" s="845" t="s">
        <v>408</v>
      </c>
      <c r="EV314" s="845" t="s">
        <v>409</v>
      </c>
      <c r="EW314" s="845" t="s">
        <v>410</v>
      </c>
      <c r="EX314" s="845" t="s">
        <v>411</v>
      </c>
      <c r="EY314" s="845" t="s">
        <v>412</v>
      </c>
      <c r="EZ314" s="845" t="s">
        <v>413</v>
      </c>
      <c r="FA314" s="845" t="s">
        <v>414</v>
      </c>
      <c r="FB314" s="845" t="s">
        <v>415</v>
      </c>
      <c r="FC314" s="845" t="s">
        <v>416</v>
      </c>
      <c r="FD314" s="845" t="s">
        <v>417</v>
      </c>
      <c r="FE314" s="845" t="s">
        <v>418</v>
      </c>
      <c r="FF314" s="845" t="s">
        <v>419</v>
      </c>
      <c r="FG314" s="845" t="s">
        <v>420</v>
      </c>
      <c r="FH314" s="845" t="s">
        <v>421</v>
      </c>
      <c r="FI314" s="845" t="s">
        <v>422</v>
      </c>
      <c r="FJ314" s="845" t="s">
        <v>423</v>
      </c>
      <c r="FK314" s="845" t="s">
        <v>424</v>
      </c>
      <c r="FL314" s="845" t="s">
        <v>425</v>
      </c>
      <c r="FM314" s="845" t="s">
        <v>426</v>
      </c>
      <c r="FN314" s="845" t="s">
        <v>427</v>
      </c>
      <c r="FO314" s="845" t="s">
        <v>428</v>
      </c>
      <c r="FP314" s="845" t="s">
        <v>429</v>
      </c>
      <c r="FQ314" s="845" t="s">
        <v>430</v>
      </c>
      <c r="FR314" s="845" t="s">
        <v>431</v>
      </c>
      <c r="FS314" s="845" t="s">
        <v>432</v>
      </c>
      <c r="FT314" s="845" t="s">
        <v>433</v>
      </c>
      <c r="FU314" s="845" t="s">
        <v>434</v>
      </c>
      <c r="FV314" s="845" t="s">
        <v>435</v>
      </c>
      <c r="FW314" s="845" t="s">
        <v>436</v>
      </c>
      <c r="FX314" s="845" t="s">
        <v>437</v>
      </c>
      <c r="FY314" s="845" t="s">
        <v>438</v>
      </c>
      <c r="FZ314" s="845" t="s">
        <v>439</v>
      </c>
      <c r="GA314" s="845" t="s">
        <v>440</v>
      </c>
      <c r="GB314" s="845" t="s">
        <v>441</v>
      </c>
      <c r="GC314" s="845" t="s">
        <v>442</v>
      </c>
      <c r="GD314" s="845" t="s">
        <v>443</v>
      </c>
      <c r="GE314" s="845" t="s">
        <v>444</v>
      </c>
      <c r="GF314" s="845" t="s">
        <v>445</v>
      </c>
      <c r="GG314" s="845" t="s">
        <v>446</v>
      </c>
      <c r="GH314" s="845" t="s">
        <v>447</v>
      </c>
      <c r="GI314" s="845" t="s">
        <v>448</v>
      </c>
      <c r="GJ314" s="845" t="s">
        <v>449</v>
      </c>
      <c r="GK314" s="845" t="s">
        <v>450</v>
      </c>
      <c r="GL314" s="845" t="s">
        <v>451</v>
      </c>
      <c r="GM314" s="845" t="s">
        <v>452</v>
      </c>
      <c r="GN314" s="845" t="s">
        <v>453</v>
      </c>
      <c r="GO314" s="845" t="s">
        <v>454</v>
      </c>
      <c r="GP314" s="845" t="s">
        <v>455</v>
      </c>
      <c r="GQ314" s="845" t="s">
        <v>456</v>
      </c>
      <c r="GR314" s="845" t="s">
        <v>457</v>
      </c>
      <c r="GS314" s="845" t="s">
        <v>458</v>
      </c>
      <c r="GT314" s="845" t="s">
        <v>459</v>
      </c>
      <c r="GU314" s="845" t="s">
        <v>460</v>
      </c>
      <c r="GV314" s="845" t="s">
        <v>461</v>
      </c>
      <c r="GW314" s="845" t="s">
        <v>462</v>
      </c>
      <c r="GX314" s="845" t="s">
        <v>463</v>
      </c>
      <c r="GY314" s="845" t="s">
        <v>464</v>
      </c>
      <c r="GZ314" s="845" t="s">
        <v>465</v>
      </c>
      <c r="HA314" s="845" t="s">
        <v>466</v>
      </c>
      <c r="HB314" s="845" t="s">
        <v>467</v>
      </c>
      <c r="HC314" s="845" t="s">
        <v>468</v>
      </c>
      <c r="HD314" s="845" t="s">
        <v>469</v>
      </c>
      <c r="HE314" s="845" t="s">
        <v>470</v>
      </c>
      <c r="HF314" s="845" t="s">
        <v>471</v>
      </c>
      <c r="HG314" s="845" t="s">
        <v>472</v>
      </c>
      <c r="HH314" s="845" t="s">
        <v>473</v>
      </c>
      <c r="HI314" s="845" t="s">
        <v>474</v>
      </c>
      <c r="HJ314" s="845" t="s">
        <v>475</v>
      </c>
      <c r="HK314" s="845" t="s">
        <v>476</v>
      </c>
      <c r="HL314" s="845" t="s">
        <v>477</v>
      </c>
      <c r="HM314" s="845" t="s">
        <v>478</v>
      </c>
      <c r="HN314" s="845" t="s">
        <v>479</v>
      </c>
      <c r="HO314" s="845" t="s">
        <v>480</v>
      </c>
      <c r="HP314" s="845" t="s">
        <v>481</v>
      </c>
      <c r="HQ314" s="845" t="s">
        <v>482</v>
      </c>
      <c r="HR314" s="845" t="s">
        <v>483</v>
      </c>
      <c r="HS314" s="845" t="s">
        <v>484</v>
      </c>
      <c r="HT314" s="845" t="s">
        <v>485</v>
      </c>
      <c r="HU314" s="845" t="s">
        <v>486</v>
      </c>
      <c r="HV314" s="845" t="s">
        <v>487</v>
      </c>
      <c r="HW314" s="845" t="s">
        <v>488</v>
      </c>
      <c r="HX314" s="845" t="s">
        <v>489</v>
      </c>
      <c r="HY314" s="845" t="s">
        <v>490</v>
      </c>
      <c r="HZ314" s="845" t="s">
        <v>491</v>
      </c>
      <c r="IA314" s="845" t="s">
        <v>492</v>
      </c>
      <c r="IB314" s="845" t="s">
        <v>493</v>
      </c>
      <c r="IC314" s="845" t="s">
        <v>494</v>
      </c>
      <c r="ID314" s="845" t="s">
        <v>495</v>
      </c>
      <c r="IE314" s="845" t="s">
        <v>496</v>
      </c>
      <c r="IF314" s="845" t="s">
        <v>497</v>
      </c>
      <c r="IG314" s="845" t="s">
        <v>498</v>
      </c>
      <c r="IH314" s="845" t="s">
        <v>499</v>
      </c>
      <c r="II314" s="845" t="s">
        <v>500</v>
      </c>
      <c r="IJ314" s="845" t="s">
        <v>501</v>
      </c>
      <c r="IK314" s="845" t="s">
        <v>502</v>
      </c>
    </row>
    <row r="315" spans="9:245" hidden="1">
      <c r="L315" s="843" t="s">
        <v>1060</v>
      </c>
      <c r="M315" s="843" t="s">
        <v>1382</v>
      </c>
      <c r="N315" s="843" t="s">
        <v>96</v>
      </c>
      <c r="O315" s="844">
        <v>0</v>
      </c>
      <c r="P315" s="780" t="str">
        <f t="shared" si="12"/>
        <v>IWT060100</v>
      </c>
      <c r="Q315" s="844">
        <v>2066</v>
      </c>
      <c r="R315" s="844">
        <v>5842</v>
      </c>
      <c r="S315" s="844">
        <v>10151</v>
      </c>
      <c r="T315" s="844">
        <v>15008</v>
      </c>
      <c r="U315" s="844">
        <v>20427</v>
      </c>
      <c r="V315" s="844">
        <v>26162</v>
      </c>
      <c r="W315" s="844">
        <v>26954</v>
      </c>
      <c r="X315" s="844">
        <v>27493</v>
      </c>
      <c r="Y315" s="844">
        <v>28043</v>
      </c>
      <c r="Z315" s="844">
        <v>28604</v>
      </c>
      <c r="AA315" s="844">
        <v>29175</v>
      </c>
      <c r="AB315" s="844">
        <v>29759</v>
      </c>
      <c r="AC315" s="844">
        <v>30354</v>
      </c>
      <c r="AD315" s="844">
        <v>30960</v>
      </c>
      <c r="AE315" s="844">
        <v>31579</v>
      </c>
      <c r="AF315" s="844">
        <v>32210</v>
      </c>
      <c r="AG315" s="844">
        <v>32855</v>
      </c>
      <c r="AH315" s="844">
        <v>33512</v>
      </c>
      <c r="AI315" s="844">
        <v>34182</v>
      </c>
      <c r="AJ315" s="844">
        <v>34866</v>
      </c>
      <c r="AK315" s="844">
        <v>35563</v>
      </c>
      <c r="AL315" s="844">
        <v>36274</v>
      </c>
      <c r="AM315" s="844">
        <v>37000</v>
      </c>
      <c r="AN315" s="844">
        <v>37740</v>
      </c>
      <c r="AO315" s="844">
        <v>38494</v>
      </c>
      <c r="AP315" s="844">
        <v>39264</v>
      </c>
      <c r="AQ315" s="844">
        <v>40050</v>
      </c>
      <c r="AR315" s="844">
        <v>40850</v>
      </c>
      <c r="AS315" s="844">
        <v>41666</v>
      </c>
      <c r="AT315" s="844">
        <v>42498</v>
      </c>
      <c r="AU315" s="844">
        <v>43346</v>
      </c>
      <c r="AV315" s="844">
        <v>44210</v>
      </c>
      <c r="AW315" s="844">
        <v>45090</v>
      </c>
      <c r="AX315" s="844">
        <v>45987</v>
      </c>
      <c r="AY315" s="844">
        <v>46901</v>
      </c>
      <c r="AZ315" s="844">
        <v>47832</v>
      </c>
      <c r="BA315" s="844">
        <v>48780</v>
      </c>
      <c r="BB315" s="844">
        <v>49745</v>
      </c>
      <c r="BC315" s="844">
        <v>50728</v>
      </c>
      <c r="BD315" s="844">
        <v>51730</v>
      </c>
      <c r="BE315" s="844">
        <v>52749</v>
      </c>
      <c r="BF315" s="844">
        <v>53786</v>
      </c>
      <c r="BG315" s="844">
        <v>54842</v>
      </c>
      <c r="BH315" s="844">
        <v>55916</v>
      </c>
      <c r="BI315" s="844">
        <v>57009</v>
      </c>
      <c r="BJ315" s="844">
        <v>58120</v>
      </c>
      <c r="BK315" s="844">
        <v>59249</v>
      </c>
      <c r="BL315" s="844">
        <v>60397</v>
      </c>
      <c r="BM315" s="844">
        <v>61565</v>
      </c>
      <c r="BN315" s="844">
        <v>62750</v>
      </c>
      <c r="BO315" s="844">
        <v>63955</v>
      </c>
      <c r="BP315" s="844">
        <v>65179</v>
      </c>
      <c r="BQ315" s="844">
        <v>66423</v>
      </c>
      <c r="BR315" s="844">
        <v>67686</v>
      </c>
      <c r="BS315" s="844">
        <v>68969</v>
      </c>
      <c r="BT315" s="844">
        <v>70273</v>
      </c>
      <c r="BU315" s="844">
        <v>71597</v>
      </c>
      <c r="BV315" s="844">
        <v>72940</v>
      </c>
      <c r="BW315" s="844">
        <v>74301</v>
      </c>
      <c r="BX315" s="844">
        <v>75679</v>
      </c>
      <c r="BY315" s="844">
        <v>77074</v>
      </c>
      <c r="BZ315" s="844">
        <v>78490</v>
      </c>
      <c r="CA315" s="844">
        <v>79924</v>
      </c>
      <c r="CB315" s="844">
        <v>81375</v>
      </c>
      <c r="CC315" s="844">
        <v>82843</v>
      </c>
      <c r="CD315" s="844">
        <v>84326</v>
      </c>
      <c r="CE315" s="844">
        <v>85824</v>
      </c>
      <c r="CF315" s="844">
        <v>87337</v>
      </c>
      <c r="CG315" s="844">
        <v>88864</v>
      </c>
      <c r="CH315" s="844">
        <v>90403</v>
      </c>
      <c r="CI315" s="844">
        <v>91955</v>
      </c>
      <c r="CJ315" s="844">
        <v>93517</v>
      </c>
      <c r="CK315" s="844">
        <v>95090</v>
      </c>
      <c r="CL315" s="844">
        <v>96673</v>
      </c>
      <c r="CM315" s="844">
        <v>98266</v>
      </c>
      <c r="CN315" s="844">
        <v>99867</v>
      </c>
      <c r="CO315" s="844">
        <v>101478</v>
      </c>
      <c r="CP315" s="844">
        <v>103097</v>
      </c>
      <c r="CQ315" s="844">
        <v>104724</v>
      </c>
      <c r="CR315" s="844">
        <v>106357</v>
      </c>
      <c r="CS315" s="844">
        <v>107996</v>
      </c>
      <c r="CT315" s="844">
        <v>109639</v>
      </c>
      <c r="CU315" s="844">
        <v>111286</v>
      </c>
      <c r="CV315" s="844">
        <v>112937</v>
      </c>
      <c r="CW315" s="844">
        <v>114591</v>
      </c>
      <c r="CX315" s="844">
        <v>116248</v>
      </c>
      <c r="CY315" s="844">
        <v>117909</v>
      </c>
      <c r="CZ315" s="844">
        <v>119573</v>
      </c>
      <c r="DA315" s="844">
        <v>121238</v>
      </c>
      <c r="DB315" s="844">
        <v>122904</v>
      </c>
      <c r="DC315" s="844">
        <v>124566</v>
      </c>
      <c r="DD315" s="844">
        <v>126219</v>
      </c>
      <c r="DE315" s="844">
        <v>127867</v>
      </c>
      <c r="DF315" s="844">
        <v>129512</v>
      </c>
      <c r="DG315" s="844">
        <v>131153</v>
      </c>
      <c r="DH315" s="844">
        <v>132788</v>
      </c>
      <c r="DI315" s="844">
        <v>134419</v>
      </c>
      <c r="DJ315" s="844">
        <v>136044</v>
      </c>
      <c r="DK315" s="844">
        <v>137663</v>
      </c>
      <c r="DL315" s="844">
        <v>139276</v>
      </c>
      <c r="DM315" s="844">
        <v>140883</v>
      </c>
      <c r="DN315" s="844">
        <v>142484</v>
      </c>
      <c r="DO315" s="844">
        <v>144078</v>
      </c>
      <c r="DP315" s="844">
        <v>145665</v>
      </c>
      <c r="DQ315" s="844">
        <v>147247</v>
      </c>
      <c r="DR315" s="844">
        <v>148823</v>
      </c>
      <c r="DS315" s="844">
        <v>150398</v>
      </c>
      <c r="DT315" s="844">
        <v>151981</v>
      </c>
      <c r="DU315" s="844">
        <v>153608</v>
      </c>
      <c r="DV315" s="844">
        <v>155453</v>
      </c>
      <c r="DW315" s="844">
        <v>157000</v>
      </c>
      <c r="DY315" s="846" t="s">
        <v>1060</v>
      </c>
      <c r="DZ315" s="846" t="s">
        <v>1382</v>
      </c>
      <c r="EA315" s="846" t="s">
        <v>96</v>
      </c>
      <c r="EB315" s="847">
        <v>0</v>
      </c>
      <c r="EC315" s="780" t="str">
        <f t="shared" si="13"/>
        <v>IWT060100</v>
      </c>
      <c r="ED315" s="847">
        <v>0</v>
      </c>
      <c r="EE315" s="847">
        <v>2754</v>
      </c>
      <c r="EF315" s="847">
        <v>7302</v>
      </c>
      <c r="EG315" s="847">
        <v>11942</v>
      </c>
      <c r="EH315" s="847">
        <v>16675</v>
      </c>
      <c r="EI315" s="847">
        <v>21502</v>
      </c>
      <c r="EJ315" s="847">
        <v>26426</v>
      </c>
      <c r="EK315" s="847">
        <v>26954</v>
      </c>
      <c r="EL315" s="847">
        <v>27493</v>
      </c>
      <c r="EM315" s="847">
        <v>28043</v>
      </c>
      <c r="EN315" s="847">
        <v>28604</v>
      </c>
      <c r="EO315" s="847">
        <v>29175</v>
      </c>
      <c r="EP315" s="847">
        <v>29759</v>
      </c>
      <c r="EQ315" s="847">
        <v>30354</v>
      </c>
      <c r="ER315" s="847">
        <v>30960</v>
      </c>
      <c r="ES315" s="847">
        <v>31579</v>
      </c>
      <c r="ET315" s="847">
        <v>32210</v>
      </c>
      <c r="EU315" s="847">
        <v>32855</v>
      </c>
      <c r="EV315" s="847">
        <v>33512</v>
      </c>
      <c r="EW315" s="847">
        <v>34182</v>
      </c>
      <c r="EX315" s="847">
        <v>34866</v>
      </c>
      <c r="EY315" s="847">
        <v>35563</v>
      </c>
      <c r="EZ315" s="847">
        <v>36274</v>
      </c>
      <c r="FA315" s="847">
        <v>37000</v>
      </c>
      <c r="FB315" s="847">
        <v>37740</v>
      </c>
      <c r="FC315" s="847">
        <v>38494</v>
      </c>
      <c r="FD315" s="847">
        <v>39264</v>
      </c>
      <c r="FE315" s="847">
        <v>40050</v>
      </c>
      <c r="FF315" s="847">
        <v>40850</v>
      </c>
      <c r="FG315" s="847">
        <v>41666</v>
      </c>
      <c r="FH315" s="847">
        <v>42498</v>
      </c>
      <c r="FI315" s="847">
        <v>43346</v>
      </c>
      <c r="FJ315" s="847">
        <v>44210</v>
      </c>
      <c r="FK315" s="847">
        <v>45090</v>
      </c>
      <c r="FL315" s="847">
        <v>45987</v>
      </c>
      <c r="FM315" s="847">
        <v>46901</v>
      </c>
      <c r="FN315" s="847">
        <v>47832</v>
      </c>
      <c r="FO315" s="847">
        <v>48780</v>
      </c>
      <c r="FP315" s="847">
        <v>49745</v>
      </c>
      <c r="FQ315" s="847">
        <v>50728</v>
      </c>
      <c r="FR315" s="847">
        <v>51730</v>
      </c>
      <c r="FS315" s="847">
        <v>52749</v>
      </c>
      <c r="FT315" s="847">
        <v>53786</v>
      </c>
      <c r="FU315" s="847">
        <v>54842</v>
      </c>
      <c r="FV315" s="847">
        <v>55916</v>
      </c>
      <c r="FW315" s="847">
        <v>57009</v>
      </c>
      <c r="FX315" s="847">
        <v>58120</v>
      </c>
      <c r="FY315" s="847">
        <v>59249</v>
      </c>
      <c r="FZ315" s="847">
        <v>60397</v>
      </c>
      <c r="GA315" s="847">
        <v>61565</v>
      </c>
      <c r="GB315" s="847">
        <v>62750</v>
      </c>
      <c r="GC315" s="847">
        <v>63955</v>
      </c>
      <c r="GD315" s="847">
        <v>65179</v>
      </c>
      <c r="GE315" s="847">
        <v>66423</v>
      </c>
      <c r="GF315" s="847">
        <v>67686</v>
      </c>
      <c r="GG315" s="847">
        <v>68969</v>
      </c>
      <c r="GH315" s="847">
        <v>70273</v>
      </c>
      <c r="GI315" s="847">
        <v>71597</v>
      </c>
      <c r="GJ315" s="847">
        <v>72940</v>
      </c>
      <c r="GK315" s="847">
        <v>74301</v>
      </c>
      <c r="GL315" s="847">
        <v>75679</v>
      </c>
      <c r="GM315" s="847">
        <v>77074</v>
      </c>
      <c r="GN315" s="847">
        <v>78490</v>
      </c>
      <c r="GO315" s="847">
        <v>79924</v>
      </c>
      <c r="GP315" s="847">
        <v>81375</v>
      </c>
      <c r="GQ315" s="847">
        <v>82843</v>
      </c>
      <c r="GR315" s="847">
        <v>84326</v>
      </c>
      <c r="GS315" s="847">
        <v>85824</v>
      </c>
      <c r="GT315" s="847">
        <v>87337</v>
      </c>
      <c r="GU315" s="847">
        <v>88864</v>
      </c>
      <c r="GV315" s="847">
        <v>90403</v>
      </c>
      <c r="GW315" s="847">
        <v>91955</v>
      </c>
      <c r="GX315" s="847">
        <v>93517</v>
      </c>
      <c r="GY315" s="847">
        <v>95090</v>
      </c>
      <c r="GZ315" s="847">
        <v>96673</v>
      </c>
      <c r="HA315" s="847">
        <v>98266</v>
      </c>
      <c r="HB315" s="847">
        <v>99867</v>
      </c>
      <c r="HC315" s="847">
        <v>101478</v>
      </c>
      <c r="HD315" s="847">
        <v>103097</v>
      </c>
      <c r="HE315" s="847">
        <v>104724</v>
      </c>
      <c r="HF315" s="847">
        <v>106357</v>
      </c>
      <c r="HG315" s="847">
        <v>107996</v>
      </c>
      <c r="HH315" s="847">
        <v>109639</v>
      </c>
      <c r="HI315" s="847">
        <v>111286</v>
      </c>
      <c r="HJ315" s="847">
        <v>112937</v>
      </c>
      <c r="HK315" s="847">
        <v>114591</v>
      </c>
      <c r="HL315" s="847">
        <v>116248</v>
      </c>
      <c r="HM315" s="847">
        <v>117909</v>
      </c>
      <c r="HN315" s="847">
        <v>119573</v>
      </c>
      <c r="HO315" s="847">
        <v>121238</v>
      </c>
      <c r="HP315" s="847">
        <v>122904</v>
      </c>
      <c r="HQ315" s="847">
        <v>124566</v>
      </c>
      <c r="HR315" s="847">
        <v>126219</v>
      </c>
      <c r="HS315" s="847">
        <v>127867</v>
      </c>
      <c r="HT315" s="847">
        <v>129512</v>
      </c>
      <c r="HU315" s="847">
        <v>131153</v>
      </c>
      <c r="HV315" s="847">
        <v>132788</v>
      </c>
      <c r="HW315" s="847">
        <v>134419</v>
      </c>
      <c r="HX315" s="847">
        <v>136044</v>
      </c>
      <c r="HY315" s="847">
        <v>137663</v>
      </c>
      <c r="HZ315" s="847">
        <v>139276</v>
      </c>
      <c r="IA315" s="847">
        <v>140883</v>
      </c>
      <c r="IB315" s="847">
        <v>142484</v>
      </c>
      <c r="IC315" s="847">
        <v>144078</v>
      </c>
      <c r="ID315" s="847">
        <v>145665</v>
      </c>
      <c r="IE315" s="847">
        <v>147247</v>
      </c>
      <c r="IF315" s="847">
        <v>148823</v>
      </c>
      <c r="IG315" s="847">
        <v>150398</v>
      </c>
      <c r="IH315" s="847">
        <v>151981</v>
      </c>
      <c r="II315" s="847">
        <v>153608</v>
      </c>
      <c r="IJ315" s="847">
        <v>155453</v>
      </c>
      <c r="IK315" s="847">
        <v>157000</v>
      </c>
    </row>
    <row r="316" spans="9:245" hidden="1">
      <c r="L316" s="843" t="s">
        <v>1060</v>
      </c>
      <c r="M316" s="843" t="s">
        <v>1382</v>
      </c>
      <c r="N316" s="843" t="s">
        <v>96</v>
      </c>
      <c r="O316" s="844">
        <v>1</v>
      </c>
      <c r="P316" s="780" t="str">
        <f t="shared" si="12"/>
        <v>IWT060101</v>
      </c>
      <c r="Q316" s="844">
        <v>2078</v>
      </c>
      <c r="R316" s="844">
        <v>5879</v>
      </c>
      <c r="S316" s="844">
        <v>10216</v>
      </c>
      <c r="T316" s="844">
        <v>15103</v>
      </c>
      <c r="U316" s="844">
        <v>20558</v>
      </c>
      <c r="V316" s="844">
        <v>26329</v>
      </c>
      <c r="W316" s="844">
        <v>27127</v>
      </c>
      <c r="X316" s="844">
        <v>27669</v>
      </c>
      <c r="Y316" s="844">
        <v>28222</v>
      </c>
      <c r="Z316" s="844">
        <v>28787</v>
      </c>
      <c r="AA316" s="844">
        <v>29362</v>
      </c>
      <c r="AB316" s="844">
        <v>29949</v>
      </c>
      <c r="AC316" s="844">
        <v>30548</v>
      </c>
      <c r="AD316" s="844">
        <v>31158</v>
      </c>
      <c r="AE316" s="844">
        <v>31781</v>
      </c>
      <c r="AF316" s="844">
        <v>32417</v>
      </c>
      <c r="AG316" s="844">
        <v>33065</v>
      </c>
      <c r="AH316" s="844">
        <v>33726</v>
      </c>
      <c r="AI316" s="844">
        <v>34401</v>
      </c>
      <c r="AJ316" s="844">
        <v>35089</v>
      </c>
      <c r="AK316" s="844">
        <v>35791</v>
      </c>
      <c r="AL316" s="844">
        <v>36506</v>
      </c>
      <c r="AM316" s="844">
        <v>37236</v>
      </c>
      <c r="AN316" s="844">
        <v>37981</v>
      </c>
      <c r="AO316" s="844">
        <v>38741</v>
      </c>
      <c r="AP316" s="844">
        <v>39516</v>
      </c>
      <c r="AQ316" s="844">
        <v>40306</v>
      </c>
      <c r="AR316" s="844">
        <v>41112</v>
      </c>
      <c r="AS316" s="844">
        <v>41934</v>
      </c>
      <c r="AT316" s="844">
        <v>42771</v>
      </c>
      <c r="AU316" s="844">
        <v>43624</v>
      </c>
      <c r="AV316" s="844">
        <v>44494</v>
      </c>
      <c r="AW316" s="844">
        <v>45380</v>
      </c>
      <c r="AX316" s="844">
        <v>46283</v>
      </c>
      <c r="AY316" s="844">
        <v>47202</v>
      </c>
      <c r="AZ316" s="844">
        <v>48139</v>
      </c>
      <c r="BA316" s="844">
        <v>49093</v>
      </c>
      <c r="BB316" s="844">
        <v>50065</v>
      </c>
      <c r="BC316" s="844">
        <v>51054</v>
      </c>
      <c r="BD316" s="844">
        <v>52061</v>
      </c>
      <c r="BE316" s="844">
        <v>53087</v>
      </c>
      <c r="BF316" s="844">
        <v>54131</v>
      </c>
      <c r="BG316" s="844">
        <v>55192</v>
      </c>
      <c r="BH316" s="844">
        <v>56273</v>
      </c>
      <c r="BI316" s="844">
        <v>57371</v>
      </c>
      <c r="BJ316" s="844">
        <v>58488</v>
      </c>
      <c r="BK316" s="844">
        <v>59624</v>
      </c>
      <c r="BL316" s="844">
        <v>60778</v>
      </c>
      <c r="BM316" s="844">
        <v>61951</v>
      </c>
      <c r="BN316" s="844">
        <v>63143</v>
      </c>
      <c r="BO316" s="844">
        <v>64354</v>
      </c>
      <c r="BP316" s="844">
        <v>65584</v>
      </c>
      <c r="BQ316" s="844">
        <v>66834</v>
      </c>
      <c r="BR316" s="844">
        <v>68104</v>
      </c>
      <c r="BS316" s="844">
        <v>69395</v>
      </c>
      <c r="BT316" s="844">
        <v>70705</v>
      </c>
      <c r="BU316" s="844">
        <v>72034</v>
      </c>
      <c r="BV316" s="844">
        <v>73382</v>
      </c>
      <c r="BW316" s="844">
        <v>74746</v>
      </c>
      <c r="BX316" s="844">
        <v>76128</v>
      </c>
      <c r="BY316" s="844">
        <v>77530</v>
      </c>
      <c r="BZ316" s="844">
        <v>78951</v>
      </c>
      <c r="CA316" s="844">
        <v>80389</v>
      </c>
      <c r="CB316" s="844">
        <v>81843</v>
      </c>
      <c r="CC316" s="844">
        <v>83312</v>
      </c>
      <c r="CD316" s="844">
        <v>84797</v>
      </c>
      <c r="CE316" s="844">
        <v>86297</v>
      </c>
      <c r="CF316" s="844">
        <v>87811</v>
      </c>
      <c r="CG316" s="844">
        <v>89337</v>
      </c>
      <c r="CH316" s="844">
        <v>90875</v>
      </c>
      <c r="CI316" s="844">
        <v>92425</v>
      </c>
      <c r="CJ316" s="844">
        <v>93986</v>
      </c>
      <c r="CK316" s="844">
        <v>95557</v>
      </c>
      <c r="CL316" s="844">
        <v>97137</v>
      </c>
      <c r="CM316" s="844">
        <v>98727</v>
      </c>
      <c r="CN316" s="844">
        <v>100326</v>
      </c>
      <c r="CO316" s="844">
        <v>101934</v>
      </c>
      <c r="CP316" s="844">
        <v>103550</v>
      </c>
      <c r="CQ316" s="844">
        <v>105172</v>
      </c>
      <c r="CR316" s="844">
        <v>106800</v>
      </c>
      <c r="CS316" s="844">
        <v>108433</v>
      </c>
      <c r="CT316" s="844">
        <v>110070</v>
      </c>
      <c r="CU316" s="844">
        <v>111711</v>
      </c>
      <c r="CV316" s="844">
        <v>113356</v>
      </c>
      <c r="CW316" s="844">
        <v>115004</v>
      </c>
      <c r="CX316" s="844">
        <v>116655</v>
      </c>
      <c r="CY316" s="844">
        <v>118310</v>
      </c>
      <c r="CZ316" s="844">
        <v>119968</v>
      </c>
      <c r="DA316" s="844">
        <v>121625</v>
      </c>
      <c r="DB316" s="844">
        <v>123279</v>
      </c>
      <c r="DC316" s="844">
        <v>124924</v>
      </c>
      <c r="DD316" s="844">
        <v>126566</v>
      </c>
      <c r="DE316" s="844">
        <v>128204</v>
      </c>
      <c r="DF316" s="844">
        <v>129838</v>
      </c>
      <c r="DG316" s="844">
        <v>131468</v>
      </c>
      <c r="DH316" s="844">
        <v>133092</v>
      </c>
      <c r="DI316" s="844">
        <v>134712</v>
      </c>
      <c r="DJ316" s="844">
        <v>136325</v>
      </c>
      <c r="DK316" s="844">
        <v>137933</v>
      </c>
      <c r="DL316" s="844">
        <v>139536</v>
      </c>
      <c r="DM316" s="844">
        <v>141131</v>
      </c>
      <c r="DN316" s="844">
        <v>142721</v>
      </c>
      <c r="DO316" s="844">
        <v>144305</v>
      </c>
      <c r="DP316" s="844">
        <v>145883</v>
      </c>
      <c r="DQ316" s="844">
        <v>147456</v>
      </c>
      <c r="DR316" s="844">
        <v>149027</v>
      </c>
      <c r="DS316" s="844">
        <v>150606</v>
      </c>
      <c r="DT316" s="844">
        <v>152229</v>
      </c>
      <c r="DU316" s="844">
        <v>154067</v>
      </c>
      <c r="DV316" s="844">
        <v>155600</v>
      </c>
      <c r="DW316" s="844">
        <v>0</v>
      </c>
      <c r="DY316" s="846" t="s">
        <v>1060</v>
      </c>
      <c r="DZ316" s="846" t="s">
        <v>1382</v>
      </c>
      <c r="EA316" s="846" t="s">
        <v>96</v>
      </c>
      <c r="EB316" s="847">
        <v>1</v>
      </c>
      <c r="EC316" s="780" t="str">
        <f t="shared" si="13"/>
        <v>IWT060101</v>
      </c>
      <c r="ED316" s="847">
        <v>0</v>
      </c>
      <c r="EE316" s="847">
        <v>2771</v>
      </c>
      <c r="EF316" s="847">
        <v>7349</v>
      </c>
      <c r="EG316" s="847">
        <v>12019</v>
      </c>
      <c r="EH316" s="847">
        <v>16781</v>
      </c>
      <c r="EI316" s="847">
        <v>21640</v>
      </c>
      <c r="EJ316" s="847">
        <v>26595</v>
      </c>
      <c r="EK316" s="847">
        <v>27127</v>
      </c>
      <c r="EL316" s="847">
        <v>27669</v>
      </c>
      <c r="EM316" s="847">
        <v>28222</v>
      </c>
      <c r="EN316" s="847">
        <v>28787</v>
      </c>
      <c r="EO316" s="847">
        <v>29362</v>
      </c>
      <c r="EP316" s="847">
        <v>29949</v>
      </c>
      <c r="EQ316" s="847">
        <v>30548</v>
      </c>
      <c r="ER316" s="847">
        <v>31158</v>
      </c>
      <c r="ES316" s="847">
        <v>31781</v>
      </c>
      <c r="ET316" s="847">
        <v>32417</v>
      </c>
      <c r="EU316" s="847">
        <v>33065</v>
      </c>
      <c r="EV316" s="847">
        <v>33726</v>
      </c>
      <c r="EW316" s="847">
        <v>34401</v>
      </c>
      <c r="EX316" s="847">
        <v>35089</v>
      </c>
      <c r="EY316" s="847">
        <v>35791</v>
      </c>
      <c r="EZ316" s="847">
        <v>36506</v>
      </c>
      <c r="FA316" s="847">
        <v>37236</v>
      </c>
      <c r="FB316" s="847">
        <v>37981</v>
      </c>
      <c r="FC316" s="847">
        <v>38741</v>
      </c>
      <c r="FD316" s="847">
        <v>39516</v>
      </c>
      <c r="FE316" s="847">
        <v>40306</v>
      </c>
      <c r="FF316" s="847">
        <v>41112</v>
      </c>
      <c r="FG316" s="847">
        <v>41934</v>
      </c>
      <c r="FH316" s="847">
        <v>42771</v>
      </c>
      <c r="FI316" s="847">
        <v>43624</v>
      </c>
      <c r="FJ316" s="847">
        <v>44494</v>
      </c>
      <c r="FK316" s="847">
        <v>45380</v>
      </c>
      <c r="FL316" s="847">
        <v>46283</v>
      </c>
      <c r="FM316" s="847">
        <v>47202</v>
      </c>
      <c r="FN316" s="847">
        <v>48139</v>
      </c>
      <c r="FO316" s="847">
        <v>49093</v>
      </c>
      <c r="FP316" s="847">
        <v>50065</v>
      </c>
      <c r="FQ316" s="847">
        <v>51054</v>
      </c>
      <c r="FR316" s="847">
        <v>52061</v>
      </c>
      <c r="FS316" s="847">
        <v>53087</v>
      </c>
      <c r="FT316" s="847">
        <v>54131</v>
      </c>
      <c r="FU316" s="847">
        <v>55192</v>
      </c>
      <c r="FV316" s="847">
        <v>56273</v>
      </c>
      <c r="FW316" s="847">
        <v>57371</v>
      </c>
      <c r="FX316" s="847">
        <v>58488</v>
      </c>
      <c r="FY316" s="847">
        <v>59624</v>
      </c>
      <c r="FZ316" s="847">
        <v>60778</v>
      </c>
      <c r="GA316" s="847">
        <v>61951</v>
      </c>
      <c r="GB316" s="847">
        <v>63143</v>
      </c>
      <c r="GC316" s="847">
        <v>64354</v>
      </c>
      <c r="GD316" s="847">
        <v>65584</v>
      </c>
      <c r="GE316" s="847">
        <v>66834</v>
      </c>
      <c r="GF316" s="847">
        <v>68104</v>
      </c>
      <c r="GG316" s="847">
        <v>69395</v>
      </c>
      <c r="GH316" s="847">
        <v>70705</v>
      </c>
      <c r="GI316" s="847">
        <v>72034</v>
      </c>
      <c r="GJ316" s="847">
        <v>73382</v>
      </c>
      <c r="GK316" s="847">
        <v>74746</v>
      </c>
      <c r="GL316" s="847">
        <v>76128</v>
      </c>
      <c r="GM316" s="847">
        <v>77530</v>
      </c>
      <c r="GN316" s="847">
        <v>78951</v>
      </c>
      <c r="GO316" s="847">
        <v>80389</v>
      </c>
      <c r="GP316" s="847">
        <v>81843</v>
      </c>
      <c r="GQ316" s="847">
        <v>83312</v>
      </c>
      <c r="GR316" s="847">
        <v>84797</v>
      </c>
      <c r="GS316" s="847">
        <v>86297</v>
      </c>
      <c r="GT316" s="847">
        <v>87811</v>
      </c>
      <c r="GU316" s="847">
        <v>89337</v>
      </c>
      <c r="GV316" s="847">
        <v>90875</v>
      </c>
      <c r="GW316" s="847">
        <v>92425</v>
      </c>
      <c r="GX316" s="847">
        <v>93986</v>
      </c>
      <c r="GY316" s="847">
        <v>95557</v>
      </c>
      <c r="GZ316" s="847">
        <v>97137</v>
      </c>
      <c r="HA316" s="847">
        <v>98727</v>
      </c>
      <c r="HB316" s="847">
        <v>100326</v>
      </c>
      <c r="HC316" s="847">
        <v>101934</v>
      </c>
      <c r="HD316" s="847">
        <v>103550</v>
      </c>
      <c r="HE316" s="847">
        <v>105172</v>
      </c>
      <c r="HF316" s="847">
        <v>106800</v>
      </c>
      <c r="HG316" s="847">
        <v>108433</v>
      </c>
      <c r="HH316" s="847">
        <v>110070</v>
      </c>
      <c r="HI316" s="847">
        <v>111711</v>
      </c>
      <c r="HJ316" s="847">
        <v>113356</v>
      </c>
      <c r="HK316" s="847">
        <v>115004</v>
      </c>
      <c r="HL316" s="847">
        <v>116655</v>
      </c>
      <c r="HM316" s="847">
        <v>118310</v>
      </c>
      <c r="HN316" s="847">
        <v>119968</v>
      </c>
      <c r="HO316" s="847">
        <v>121625</v>
      </c>
      <c r="HP316" s="847">
        <v>123279</v>
      </c>
      <c r="HQ316" s="847">
        <v>124924</v>
      </c>
      <c r="HR316" s="847">
        <v>126566</v>
      </c>
      <c r="HS316" s="847">
        <v>128204</v>
      </c>
      <c r="HT316" s="847">
        <v>129838</v>
      </c>
      <c r="HU316" s="847">
        <v>131468</v>
      </c>
      <c r="HV316" s="847">
        <v>133092</v>
      </c>
      <c r="HW316" s="847">
        <v>134712</v>
      </c>
      <c r="HX316" s="847">
        <v>136325</v>
      </c>
      <c r="HY316" s="847">
        <v>137933</v>
      </c>
      <c r="HZ316" s="847">
        <v>139536</v>
      </c>
      <c r="IA316" s="847">
        <v>141131</v>
      </c>
      <c r="IB316" s="847">
        <v>142721</v>
      </c>
      <c r="IC316" s="847">
        <v>144305</v>
      </c>
      <c r="ID316" s="847">
        <v>145883</v>
      </c>
      <c r="IE316" s="847">
        <v>147456</v>
      </c>
      <c r="IF316" s="847">
        <v>149027</v>
      </c>
      <c r="IG316" s="847">
        <v>150606</v>
      </c>
      <c r="IH316" s="847">
        <v>152229</v>
      </c>
      <c r="II316" s="847">
        <v>154067</v>
      </c>
      <c r="IJ316" s="847">
        <v>155600</v>
      </c>
      <c r="IK316" s="847">
        <v>0</v>
      </c>
    </row>
    <row r="317" spans="9:245" hidden="1">
      <c r="L317" s="843" t="s">
        <v>1060</v>
      </c>
      <c r="M317" s="843" t="s">
        <v>1382</v>
      </c>
      <c r="N317" s="843" t="s">
        <v>96</v>
      </c>
      <c r="O317" s="844">
        <v>2</v>
      </c>
      <c r="P317" s="780" t="str">
        <f t="shared" si="12"/>
        <v>IWT060102</v>
      </c>
      <c r="Q317" s="844">
        <v>2091</v>
      </c>
      <c r="R317" s="844">
        <v>5916</v>
      </c>
      <c r="S317" s="844">
        <v>10279</v>
      </c>
      <c r="T317" s="844">
        <v>15197</v>
      </c>
      <c r="U317" s="844">
        <v>20686</v>
      </c>
      <c r="V317" s="844">
        <v>26493</v>
      </c>
      <c r="W317" s="844">
        <v>27296</v>
      </c>
      <c r="X317" s="844">
        <v>27842</v>
      </c>
      <c r="Y317" s="844">
        <v>28398</v>
      </c>
      <c r="Z317" s="844">
        <v>28966</v>
      </c>
      <c r="AA317" s="844">
        <v>29545</v>
      </c>
      <c r="AB317" s="844">
        <v>30136</v>
      </c>
      <c r="AC317" s="844">
        <v>30738</v>
      </c>
      <c r="AD317" s="844">
        <v>31352</v>
      </c>
      <c r="AE317" s="844">
        <v>31980</v>
      </c>
      <c r="AF317" s="844">
        <v>32619</v>
      </c>
      <c r="AG317" s="844">
        <v>33271</v>
      </c>
      <c r="AH317" s="844">
        <v>33937</v>
      </c>
      <c r="AI317" s="844">
        <v>34616</v>
      </c>
      <c r="AJ317" s="844">
        <v>35308</v>
      </c>
      <c r="AK317" s="844">
        <v>36014</v>
      </c>
      <c r="AL317" s="844">
        <v>36734</v>
      </c>
      <c r="AM317" s="844">
        <v>37469</v>
      </c>
      <c r="AN317" s="844">
        <v>38218</v>
      </c>
      <c r="AO317" s="844">
        <v>38983</v>
      </c>
      <c r="AP317" s="844">
        <v>39762</v>
      </c>
      <c r="AQ317" s="844">
        <v>40558</v>
      </c>
      <c r="AR317" s="844">
        <v>41369</v>
      </c>
      <c r="AS317" s="844">
        <v>42196</v>
      </c>
      <c r="AT317" s="844">
        <v>43039</v>
      </c>
      <c r="AU317" s="844">
        <v>43898</v>
      </c>
      <c r="AV317" s="844">
        <v>44773</v>
      </c>
      <c r="AW317" s="844">
        <v>45665</v>
      </c>
      <c r="AX317" s="844">
        <v>46573</v>
      </c>
      <c r="AY317" s="844">
        <v>47498</v>
      </c>
      <c r="AZ317" s="844">
        <v>48441</v>
      </c>
      <c r="BA317" s="844">
        <v>49401</v>
      </c>
      <c r="BB317" s="844">
        <v>50379</v>
      </c>
      <c r="BC317" s="844">
        <v>51374</v>
      </c>
      <c r="BD317" s="844">
        <v>52388</v>
      </c>
      <c r="BE317" s="844">
        <v>53419</v>
      </c>
      <c r="BF317" s="844">
        <v>54469</v>
      </c>
      <c r="BG317" s="844">
        <v>55536</v>
      </c>
      <c r="BH317" s="844">
        <v>56623</v>
      </c>
      <c r="BI317" s="844">
        <v>57727</v>
      </c>
      <c r="BJ317" s="844">
        <v>58850</v>
      </c>
      <c r="BK317" s="844">
        <v>59992</v>
      </c>
      <c r="BL317" s="844">
        <v>61152</v>
      </c>
      <c r="BM317" s="844">
        <v>62331</v>
      </c>
      <c r="BN317" s="844">
        <v>63529</v>
      </c>
      <c r="BO317" s="844">
        <v>64746</v>
      </c>
      <c r="BP317" s="844">
        <v>65983</v>
      </c>
      <c r="BQ317" s="844">
        <v>67240</v>
      </c>
      <c r="BR317" s="844">
        <v>68517</v>
      </c>
      <c r="BS317" s="844">
        <v>69813</v>
      </c>
      <c r="BT317" s="844">
        <v>71129</v>
      </c>
      <c r="BU317" s="844">
        <v>72463</v>
      </c>
      <c r="BV317" s="844">
        <v>73814</v>
      </c>
      <c r="BW317" s="844">
        <v>75183</v>
      </c>
      <c r="BX317" s="844">
        <v>76571</v>
      </c>
      <c r="BY317" s="844">
        <v>77978</v>
      </c>
      <c r="BZ317" s="844">
        <v>79402</v>
      </c>
      <c r="CA317" s="844">
        <v>80842</v>
      </c>
      <c r="CB317" s="844">
        <v>82298</v>
      </c>
      <c r="CC317" s="844">
        <v>83770</v>
      </c>
      <c r="CD317" s="844">
        <v>85256</v>
      </c>
      <c r="CE317" s="844">
        <v>86757</v>
      </c>
      <c r="CF317" s="844">
        <v>88271</v>
      </c>
      <c r="CG317" s="844">
        <v>89796</v>
      </c>
      <c r="CH317" s="844">
        <v>91333</v>
      </c>
      <c r="CI317" s="844">
        <v>92881</v>
      </c>
      <c r="CJ317" s="844">
        <v>94440</v>
      </c>
      <c r="CK317" s="844">
        <v>96009</v>
      </c>
      <c r="CL317" s="844">
        <v>97587</v>
      </c>
      <c r="CM317" s="844">
        <v>99175</v>
      </c>
      <c r="CN317" s="844">
        <v>100771</v>
      </c>
      <c r="CO317" s="844">
        <v>102376</v>
      </c>
      <c r="CP317" s="844">
        <v>103987</v>
      </c>
      <c r="CQ317" s="844">
        <v>105605</v>
      </c>
      <c r="CR317" s="844">
        <v>107227</v>
      </c>
      <c r="CS317" s="844">
        <v>108854</v>
      </c>
      <c r="CT317" s="844">
        <v>110485</v>
      </c>
      <c r="CU317" s="844">
        <v>112120</v>
      </c>
      <c r="CV317" s="844">
        <v>113759</v>
      </c>
      <c r="CW317" s="844">
        <v>115402</v>
      </c>
      <c r="CX317" s="844">
        <v>117048</v>
      </c>
      <c r="CY317" s="844">
        <v>118697</v>
      </c>
      <c r="CZ317" s="844">
        <v>120346</v>
      </c>
      <c r="DA317" s="844">
        <v>121992</v>
      </c>
      <c r="DB317" s="844">
        <v>123630</v>
      </c>
      <c r="DC317" s="844">
        <v>125264</v>
      </c>
      <c r="DD317" s="844">
        <v>126896</v>
      </c>
      <c r="DE317" s="844">
        <v>128523</v>
      </c>
      <c r="DF317" s="844">
        <v>130147</v>
      </c>
      <c r="DG317" s="844">
        <v>131765</v>
      </c>
      <c r="DH317" s="844">
        <v>133379</v>
      </c>
      <c r="DI317" s="844">
        <v>134988</v>
      </c>
      <c r="DJ317" s="844">
        <v>136591</v>
      </c>
      <c r="DK317" s="844">
        <v>138188</v>
      </c>
      <c r="DL317" s="844">
        <v>139779</v>
      </c>
      <c r="DM317" s="844">
        <v>141365</v>
      </c>
      <c r="DN317" s="844">
        <v>142944</v>
      </c>
      <c r="DO317" s="844">
        <v>144519</v>
      </c>
      <c r="DP317" s="844">
        <v>146088</v>
      </c>
      <c r="DQ317" s="844">
        <v>147656</v>
      </c>
      <c r="DR317" s="844">
        <v>149231</v>
      </c>
      <c r="DS317" s="844">
        <v>150851</v>
      </c>
      <c r="DT317" s="844">
        <v>152681</v>
      </c>
      <c r="DU317" s="844">
        <v>154200</v>
      </c>
      <c r="DV317" s="844">
        <v>0</v>
      </c>
      <c r="DW317" s="844">
        <v>0</v>
      </c>
      <c r="DY317" s="846" t="s">
        <v>1060</v>
      </c>
      <c r="DZ317" s="846" t="s">
        <v>1382</v>
      </c>
      <c r="EA317" s="846" t="s">
        <v>96</v>
      </c>
      <c r="EB317" s="847">
        <v>2</v>
      </c>
      <c r="EC317" s="780" t="str">
        <f t="shared" si="13"/>
        <v>IWT060102</v>
      </c>
      <c r="ED317" s="847">
        <v>0</v>
      </c>
      <c r="EE317" s="847">
        <v>2788</v>
      </c>
      <c r="EF317" s="847">
        <v>7395</v>
      </c>
      <c r="EG317" s="847">
        <v>12093</v>
      </c>
      <c r="EH317" s="847">
        <v>16886</v>
      </c>
      <c r="EI317" s="847">
        <v>21775</v>
      </c>
      <c r="EJ317" s="847">
        <v>26761</v>
      </c>
      <c r="EK317" s="847">
        <v>27296</v>
      </c>
      <c r="EL317" s="847">
        <v>27842</v>
      </c>
      <c r="EM317" s="847">
        <v>28398</v>
      </c>
      <c r="EN317" s="847">
        <v>28966</v>
      </c>
      <c r="EO317" s="847">
        <v>29545</v>
      </c>
      <c r="EP317" s="847">
        <v>30136</v>
      </c>
      <c r="EQ317" s="847">
        <v>30738</v>
      </c>
      <c r="ER317" s="847">
        <v>31352</v>
      </c>
      <c r="ES317" s="847">
        <v>31980</v>
      </c>
      <c r="ET317" s="847">
        <v>32619</v>
      </c>
      <c r="EU317" s="847">
        <v>33271</v>
      </c>
      <c r="EV317" s="847">
        <v>33937</v>
      </c>
      <c r="EW317" s="847">
        <v>34616</v>
      </c>
      <c r="EX317" s="847">
        <v>35308</v>
      </c>
      <c r="EY317" s="847">
        <v>36014</v>
      </c>
      <c r="EZ317" s="847">
        <v>36734</v>
      </c>
      <c r="FA317" s="847">
        <v>37469</v>
      </c>
      <c r="FB317" s="847">
        <v>38218</v>
      </c>
      <c r="FC317" s="847">
        <v>38983</v>
      </c>
      <c r="FD317" s="847">
        <v>39762</v>
      </c>
      <c r="FE317" s="847">
        <v>40558</v>
      </c>
      <c r="FF317" s="847">
        <v>41369</v>
      </c>
      <c r="FG317" s="847">
        <v>42196</v>
      </c>
      <c r="FH317" s="847">
        <v>43039</v>
      </c>
      <c r="FI317" s="847">
        <v>43898</v>
      </c>
      <c r="FJ317" s="847">
        <v>44773</v>
      </c>
      <c r="FK317" s="847">
        <v>45665</v>
      </c>
      <c r="FL317" s="847">
        <v>46573</v>
      </c>
      <c r="FM317" s="847">
        <v>47498</v>
      </c>
      <c r="FN317" s="847">
        <v>48441</v>
      </c>
      <c r="FO317" s="847">
        <v>49401</v>
      </c>
      <c r="FP317" s="847">
        <v>50379</v>
      </c>
      <c r="FQ317" s="847">
        <v>51374</v>
      </c>
      <c r="FR317" s="847">
        <v>52388</v>
      </c>
      <c r="FS317" s="847">
        <v>53419</v>
      </c>
      <c r="FT317" s="847">
        <v>54469</v>
      </c>
      <c r="FU317" s="847">
        <v>55536</v>
      </c>
      <c r="FV317" s="847">
        <v>56623</v>
      </c>
      <c r="FW317" s="847">
        <v>57727</v>
      </c>
      <c r="FX317" s="847">
        <v>58850</v>
      </c>
      <c r="FY317" s="847">
        <v>59992</v>
      </c>
      <c r="FZ317" s="847">
        <v>61152</v>
      </c>
      <c r="GA317" s="847">
        <v>62331</v>
      </c>
      <c r="GB317" s="847">
        <v>63529</v>
      </c>
      <c r="GC317" s="847">
        <v>64746</v>
      </c>
      <c r="GD317" s="847">
        <v>65983</v>
      </c>
      <c r="GE317" s="847">
        <v>67240</v>
      </c>
      <c r="GF317" s="847">
        <v>68517</v>
      </c>
      <c r="GG317" s="847">
        <v>69813</v>
      </c>
      <c r="GH317" s="847">
        <v>71129</v>
      </c>
      <c r="GI317" s="847">
        <v>72463</v>
      </c>
      <c r="GJ317" s="847">
        <v>73814</v>
      </c>
      <c r="GK317" s="847">
        <v>75183</v>
      </c>
      <c r="GL317" s="847">
        <v>76571</v>
      </c>
      <c r="GM317" s="847">
        <v>77978</v>
      </c>
      <c r="GN317" s="847">
        <v>79402</v>
      </c>
      <c r="GO317" s="847">
        <v>80842</v>
      </c>
      <c r="GP317" s="847">
        <v>82298</v>
      </c>
      <c r="GQ317" s="847">
        <v>83770</v>
      </c>
      <c r="GR317" s="847">
        <v>85256</v>
      </c>
      <c r="GS317" s="847">
        <v>86757</v>
      </c>
      <c r="GT317" s="847">
        <v>88271</v>
      </c>
      <c r="GU317" s="847">
        <v>89796</v>
      </c>
      <c r="GV317" s="847">
        <v>91333</v>
      </c>
      <c r="GW317" s="847">
        <v>92881</v>
      </c>
      <c r="GX317" s="847">
        <v>94440</v>
      </c>
      <c r="GY317" s="847">
        <v>96009</v>
      </c>
      <c r="GZ317" s="847">
        <v>97587</v>
      </c>
      <c r="HA317" s="847">
        <v>99175</v>
      </c>
      <c r="HB317" s="847">
        <v>100771</v>
      </c>
      <c r="HC317" s="847">
        <v>102376</v>
      </c>
      <c r="HD317" s="847">
        <v>103987</v>
      </c>
      <c r="HE317" s="847">
        <v>105605</v>
      </c>
      <c r="HF317" s="847">
        <v>107227</v>
      </c>
      <c r="HG317" s="847">
        <v>108854</v>
      </c>
      <c r="HH317" s="847">
        <v>110485</v>
      </c>
      <c r="HI317" s="847">
        <v>112120</v>
      </c>
      <c r="HJ317" s="847">
        <v>113759</v>
      </c>
      <c r="HK317" s="847">
        <v>115402</v>
      </c>
      <c r="HL317" s="847">
        <v>117048</v>
      </c>
      <c r="HM317" s="847">
        <v>118697</v>
      </c>
      <c r="HN317" s="847">
        <v>120346</v>
      </c>
      <c r="HO317" s="847">
        <v>121992</v>
      </c>
      <c r="HP317" s="847">
        <v>123630</v>
      </c>
      <c r="HQ317" s="847">
        <v>125264</v>
      </c>
      <c r="HR317" s="847">
        <v>126896</v>
      </c>
      <c r="HS317" s="847">
        <v>128523</v>
      </c>
      <c r="HT317" s="847">
        <v>130147</v>
      </c>
      <c r="HU317" s="847">
        <v>131765</v>
      </c>
      <c r="HV317" s="847">
        <v>133379</v>
      </c>
      <c r="HW317" s="847">
        <v>134988</v>
      </c>
      <c r="HX317" s="847">
        <v>136591</v>
      </c>
      <c r="HY317" s="847">
        <v>138188</v>
      </c>
      <c r="HZ317" s="847">
        <v>139779</v>
      </c>
      <c r="IA317" s="847">
        <v>141365</v>
      </c>
      <c r="IB317" s="847">
        <v>142944</v>
      </c>
      <c r="IC317" s="847">
        <v>144519</v>
      </c>
      <c r="ID317" s="847">
        <v>146088</v>
      </c>
      <c r="IE317" s="847">
        <v>147656</v>
      </c>
      <c r="IF317" s="847">
        <v>149231</v>
      </c>
      <c r="IG317" s="847">
        <v>150851</v>
      </c>
      <c r="IH317" s="847">
        <v>152681</v>
      </c>
      <c r="II317" s="847">
        <v>154200</v>
      </c>
      <c r="IJ317" s="847">
        <v>0</v>
      </c>
      <c r="IK317" s="847">
        <v>0</v>
      </c>
    </row>
    <row r="318" spans="9:245" hidden="1">
      <c r="L318" s="843" t="s">
        <v>1060</v>
      </c>
      <c r="M318" s="843" t="s">
        <v>1382</v>
      </c>
      <c r="N318" s="843" t="s">
        <v>96</v>
      </c>
      <c r="O318" s="844">
        <v>3</v>
      </c>
      <c r="P318" s="780" t="str">
        <f t="shared" si="12"/>
        <v>IWT060103</v>
      </c>
      <c r="Q318" s="844">
        <v>2104</v>
      </c>
      <c r="R318" s="844">
        <v>5951</v>
      </c>
      <c r="S318" s="844">
        <v>10342</v>
      </c>
      <c r="T318" s="844">
        <v>15290</v>
      </c>
      <c r="U318" s="844">
        <v>20812</v>
      </c>
      <c r="V318" s="844">
        <v>26655</v>
      </c>
      <c r="W318" s="844">
        <v>27462</v>
      </c>
      <c r="X318" s="844">
        <v>28011</v>
      </c>
      <c r="Y318" s="844">
        <v>28571</v>
      </c>
      <c r="Z318" s="844">
        <v>29142</v>
      </c>
      <c r="AA318" s="844">
        <v>29725</v>
      </c>
      <c r="AB318" s="844">
        <v>30319</v>
      </c>
      <c r="AC318" s="844">
        <v>30925</v>
      </c>
      <c r="AD318" s="844">
        <v>31543</v>
      </c>
      <c r="AE318" s="844">
        <v>32174</v>
      </c>
      <c r="AF318" s="844">
        <v>32818</v>
      </c>
      <c r="AG318" s="844">
        <v>33474</v>
      </c>
      <c r="AH318" s="844">
        <v>34144</v>
      </c>
      <c r="AI318" s="844">
        <v>34826</v>
      </c>
      <c r="AJ318" s="844">
        <v>35523</v>
      </c>
      <c r="AK318" s="844">
        <v>36233</v>
      </c>
      <c r="AL318" s="844">
        <v>36958</v>
      </c>
      <c r="AM318" s="844">
        <v>37697</v>
      </c>
      <c r="AN318" s="844">
        <v>38451</v>
      </c>
      <c r="AO318" s="844">
        <v>39220</v>
      </c>
      <c r="AP318" s="844">
        <v>40005</v>
      </c>
      <c r="AQ318" s="844">
        <v>40805</v>
      </c>
      <c r="AR318" s="844">
        <v>41621</v>
      </c>
      <c r="AS318" s="844">
        <v>42453</v>
      </c>
      <c r="AT318" s="844">
        <v>43301</v>
      </c>
      <c r="AU318" s="844">
        <v>44166</v>
      </c>
      <c r="AV318" s="844">
        <v>45046</v>
      </c>
      <c r="AW318" s="844">
        <v>45944</v>
      </c>
      <c r="AX318" s="844">
        <v>46858</v>
      </c>
      <c r="AY318" s="844">
        <v>47789</v>
      </c>
      <c r="AZ318" s="844">
        <v>48737</v>
      </c>
      <c r="BA318" s="844">
        <v>49703</v>
      </c>
      <c r="BB318" s="844">
        <v>50687</v>
      </c>
      <c r="BC318" s="844">
        <v>51688</v>
      </c>
      <c r="BD318" s="844">
        <v>52708</v>
      </c>
      <c r="BE318" s="844">
        <v>53745</v>
      </c>
      <c r="BF318" s="844">
        <v>54800</v>
      </c>
      <c r="BG318" s="844">
        <v>55874</v>
      </c>
      <c r="BH318" s="844">
        <v>56966</v>
      </c>
      <c r="BI318" s="844">
        <v>58077</v>
      </c>
      <c r="BJ318" s="844">
        <v>59205</v>
      </c>
      <c r="BK318" s="844">
        <v>60353</v>
      </c>
      <c r="BL318" s="844">
        <v>61519</v>
      </c>
      <c r="BM318" s="844">
        <v>62704</v>
      </c>
      <c r="BN318" s="844">
        <v>63908</v>
      </c>
      <c r="BO318" s="844">
        <v>65132</v>
      </c>
      <c r="BP318" s="844">
        <v>66375</v>
      </c>
      <c r="BQ318" s="844">
        <v>67639</v>
      </c>
      <c r="BR318" s="844">
        <v>68922</v>
      </c>
      <c r="BS318" s="844">
        <v>70224</v>
      </c>
      <c r="BT318" s="844">
        <v>71545</v>
      </c>
      <c r="BU318" s="844">
        <v>72882</v>
      </c>
      <c r="BV318" s="844">
        <v>74237</v>
      </c>
      <c r="BW318" s="844">
        <v>75611</v>
      </c>
      <c r="BX318" s="844">
        <v>77005</v>
      </c>
      <c r="BY318" s="844">
        <v>78415</v>
      </c>
      <c r="BZ318" s="844">
        <v>79842</v>
      </c>
      <c r="CA318" s="844">
        <v>81285</v>
      </c>
      <c r="CB318" s="844">
        <v>82743</v>
      </c>
      <c r="CC318" s="844">
        <v>84216</v>
      </c>
      <c r="CD318" s="844">
        <v>85704</v>
      </c>
      <c r="CE318" s="844">
        <v>87204</v>
      </c>
      <c r="CF318" s="844">
        <v>88717</v>
      </c>
      <c r="CG318" s="844">
        <v>90241</v>
      </c>
      <c r="CH318" s="844">
        <v>91777</v>
      </c>
      <c r="CI318" s="844">
        <v>93324</v>
      </c>
      <c r="CJ318" s="844">
        <v>94881</v>
      </c>
      <c r="CK318" s="844">
        <v>96447</v>
      </c>
      <c r="CL318" s="844">
        <v>98023</v>
      </c>
      <c r="CM318" s="844">
        <v>99608</v>
      </c>
      <c r="CN318" s="844">
        <v>101202</v>
      </c>
      <c r="CO318" s="844">
        <v>102802</v>
      </c>
      <c r="CP318" s="844">
        <v>104409</v>
      </c>
      <c r="CQ318" s="844">
        <v>106021</v>
      </c>
      <c r="CR318" s="844">
        <v>107638</v>
      </c>
      <c r="CS318" s="844">
        <v>109260</v>
      </c>
      <c r="CT318" s="844">
        <v>110885</v>
      </c>
      <c r="CU318" s="844">
        <v>112515</v>
      </c>
      <c r="CV318" s="844">
        <v>114149</v>
      </c>
      <c r="CW318" s="844">
        <v>115786</v>
      </c>
      <c r="CX318" s="844">
        <v>117426</v>
      </c>
      <c r="CY318" s="844">
        <v>119067</v>
      </c>
      <c r="CZ318" s="844">
        <v>120705</v>
      </c>
      <c r="DA318" s="844">
        <v>122335</v>
      </c>
      <c r="DB318" s="844">
        <v>123963</v>
      </c>
      <c r="DC318" s="844">
        <v>125587</v>
      </c>
      <c r="DD318" s="844">
        <v>127208</v>
      </c>
      <c r="DE318" s="844">
        <v>128826</v>
      </c>
      <c r="DF318" s="844">
        <v>130438</v>
      </c>
      <c r="DG318" s="844">
        <v>132047</v>
      </c>
      <c r="DH318" s="844">
        <v>133650</v>
      </c>
      <c r="DI318" s="844">
        <v>135248</v>
      </c>
      <c r="DJ318" s="844">
        <v>136840</v>
      </c>
      <c r="DK318" s="844">
        <v>138427</v>
      </c>
      <c r="DL318" s="844">
        <v>140009</v>
      </c>
      <c r="DM318" s="844">
        <v>141584</v>
      </c>
      <c r="DN318" s="844">
        <v>143154</v>
      </c>
      <c r="DO318" s="844">
        <v>144720</v>
      </c>
      <c r="DP318" s="844">
        <v>146285</v>
      </c>
      <c r="DQ318" s="844">
        <v>147857</v>
      </c>
      <c r="DR318" s="844">
        <v>149472</v>
      </c>
      <c r="DS318" s="844">
        <v>151295</v>
      </c>
      <c r="DT318" s="844">
        <v>152800</v>
      </c>
      <c r="DU318" s="844">
        <v>0</v>
      </c>
      <c r="DV318" s="844">
        <v>0</v>
      </c>
      <c r="DW318" s="844">
        <v>0</v>
      </c>
      <c r="DY318" s="846" t="s">
        <v>1060</v>
      </c>
      <c r="DZ318" s="846" t="s">
        <v>1382</v>
      </c>
      <c r="EA318" s="846" t="s">
        <v>96</v>
      </c>
      <c r="EB318" s="847">
        <v>3</v>
      </c>
      <c r="EC318" s="780" t="str">
        <f t="shared" si="13"/>
        <v>IWT060103</v>
      </c>
      <c r="ED318" s="847">
        <v>0</v>
      </c>
      <c r="EE318" s="847">
        <v>2805</v>
      </c>
      <c r="EF318" s="847">
        <v>7439</v>
      </c>
      <c r="EG318" s="847">
        <v>12167</v>
      </c>
      <c r="EH318" s="847">
        <v>16989</v>
      </c>
      <c r="EI318" s="847">
        <v>21907</v>
      </c>
      <c r="EJ318" s="847">
        <v>26924</v>
      </c>
      <c r="EK318" s="847">
        <v>27462</v>
      </c>
      <c r="EL318" s="847">
        <v>28011</v>
      </c>
      <c r="EM318" s="847">
        <v>28571</v>
      </c>
      <c r="EN318" s="847">
        <v>29142</v>
      </c>
      <c r="EO318" s="847">
        <v>29725</v>
      </c>
      <c r="EP318" s="847">
        <v>30319</v>
      </c>
      <c r="EQ318" s="847">
        <v>30925</v>
      </c>
      <c r="ER318" s="847">
        <v>31543</v>
      </c>
      <c r="ES318" s="847">
        <v>32174</v>
      </c>
      <c r="ET318" s="847">
        <v>32818</v>
      </c>
      <c r="EU318" s="847">
        <v>33474</v>
      </c>
      <c r="EV318" s="847">
        <v>34144</v>
      </c>
      <c r="EW318" s="847">
        <v>34826</v>
      </c>
      <c r="EX318" s="847">
        <v>35523</v>
      </c>
      <c r="EY318" s="847">
        <v>36233</v>
      </c>
      <c r="EZ318" s="847">
        <v>36958</v>
      </c>
      <c r="FA318" s="847">
        <v>37697</v>
      </c>
      <c r="FB318" s="847">
        <v>38451</v>
      </c>
      <c r="FC318" s="847">
        <v>39220</v>
      </c>
      <c r="FD318" s="847">
        <v>40005</v>
      </c>
      <c r="FE318" s="847">
        <v>40805</v>
      </c>
      <c r="FF318" s="847">
        <v>41621</v>
      </c>
      <c r="FG318" s="847">
        <v>42453</v>
      </c>
      <c r="FH318" s="847">
        <v>43301</v>
      </c>
      <c r="FI318" s="847">
        <v>44166</v>
      </c>
      <c r="FJ318" s="847">
        <v>45046</v>
      </c>
      <c r="FK318" s="847">
        <v>45944</v>
      </c>
      <c r="FL318" s="847">
        <v>46858</v>
      </c>
      <c r="FM318" s="847">
        <v>47789</v>
      </c>
      <c r="FN318" s="847">
        <v>48737</v>
      </c>
      <c r="FO318" s="847">
        <v>49703</v>
      </c>
      <c r="FP318" s="847">
        <v>50687</v>
      </c>
      <c r="FQ318" s="847">
        <v>51688</v>
      </c>
      <c r="FR318" s="847">
        <v>52708</v>
      </c>
      <c r="FS318" s="847">
        <v>53745</v>
      </c>
      <c r="FT318" s="847">
        <v>54800</v>
      </c>
      <c r="FU318" s="847">
        <v>55874</v>
      </c>
      <c r="FV318" s="847">
        <v>56966</v>
      </c>
      <c r="FW318" s="847">
        <v>58077</v>
      </c>
      <c r="FX318" s="847">
        <v>59205</v>
      </c>
      <c r="FY318" s="847">
        <v>60353</v>
      </c>
      <c r="FZ318" s="847">
        <v>61519</v>
      </c>
      <c r="GA318" s="847">
        <v>62704</v>
      </c>
      <c r="GB318" s="847">
        <v>63908</v>
      </c>
      <c r="GC318" s="847">
        <v>65132</v>
      </c>
      <c r="GD318" s="847">
        <v>66375</v>
      </c>
      <c r="GE318" s="847">
        <v>67639</v>
      </c>
      <c r="GF318" s="847">
        <v>68922</v>
      </c>
      <c r="GG318" s="847">
        <v>70224</v>
      </c>
      <c r="GH318" s="847">
        <v>71545</v>
      </c>
      <c r="GI318" s="847">
        <v>72882</v>
      </c>
      <c r="GJ318" s="847">
        <v>74237</v>
      </c>
      <c r="GK318" s="847">
        <v>75611</v>
      </c>
      <c r="GL318" s="847">
        <v>77005</v>
      </c>
      <c r="GM318" s="847">
        <v>78415</v>
      </c>
      <c r="GN318" s="847">
        <v>79842</v>
      </c>
      <c r="GO318" s="847">
        <v>81285</v>
      </c>
      <c r="GP318" s="847">
        <v>82743</v>
      </c>
      <c r="GQ318" s="847">
        <v>84216</v>
      </c>
      <c r="GR318" s="847">
        <v>85704</v>
      </c>
      <c r="GS318" s="847">
        <v>87204</v>
      </c>
      <c r="GT318" s="847">
        <v>88717</v>
      </c>
      <c r="GU318" s="847">
        <v>90241</v>
      </c>
      <c r="GV318" s="847">
        <v>91777</v>
      </c>
      <c r="GW318" s="847">
        <v>93324</v>
      </c>
      <c r="GX318" s="847">
        <v>94881</v>
      </c>
      <c r="GY318" s="847">
        <v>96447</v>
      </c>
      <c r="GZ318" s="847">
        <v>98023</v>
      </c>
      <c r="HA318" s="847">
        <v>99608</v>
      </c>
      <c r="HB318" s="847">
        <v>101202</v>
      </c>
      <c r="HC318" s="847">
        <v>102802</v>
      </c>
      <c r="HD318" s="847">
        <v>104409</v>
      </c>
      <c r="HE318" s="847">
        <v>106021</v>
      </c>
      <c r="HF318" s="847">
        <v>107638</v>
      </c>
      <c r="HG318" s="847">
        <v>109260</v>
      </c>
      <c r="HH318" s="847">
        <v>110885</v>
      </c>
      <c r="HI318" s="847">
        <v>112515</v>
      </c>
      <c r="HJ318" s="847">
        <v>114149</v>
      </c>
      <c r="HK318" s="847">
        <v>115786</v>
      </c>
      <c r="HL318" s="847">
        <v>117426</v>
      </c>
      <c r="HM318" s="847">
        <v>119067</v>
      </c>
      <c r="HN318" s="847">
        <v>120705</v>
      </c>
      <c r="HO318" s="847">
        <v>122335</v>
      </c>
      <c r="HP318" s="847">
        <v>123963</v>
      </c>
      <c r="HQ318" s="847">
        <v>125587</v>
      </c>
      <c r="HR318" s="847">
        <v>127208</v>
      </c>
      <c r="HS318" s="847">
        <v>128826</v>
      </c>
      <c r="HT318" s="847">
        <v>130438</v>
      </c>
      <c r="HU318" s="847">
        <v>132047</v>
      </c>
      <c r="HV318" s="847">
        <v>133650</v>
      </c>
      <c r="HW318" s="847">
        <v>135248</v>
      </c>
      <c r="HX318" s="847">
        <v>136840</v>
      </c>
      <c r="HY318" s="847">
        <v>138427</v>
      </c>
      <c r="HZ318" s="847">
        <v>140009</v>
      </c>
      <c r="IA318" s="847">
        <v>141584</v>
      </c>
      <c r="IB318" s="847">
        <v>143154</v>
      </c>
      <c r="IC318" s="847">
        <v>144720</v>
      </c>
      <c r="ID318" s="847">
        <v>146285</v>
      </c>
      <c r="IE318" s="847">
        <v>147857</v>
      </c>
      <c r="IF318" s="847">
        <v>149472</v>
      </c>
      <c r="IG318" s="847">
        <v>151295</v>
      </c>
      <c r="IH318" s="847">
        <v>152800</v>
      </c>
      <c r="II318" s="847">
        <v>0</v>
      </c>
      <c r="IJ318" s="847">
        <v>0</v>
      </c>
      <c r="IK318" s="847">
        <v>0</v>
      </c>
    </row>
    <row r="319" spans="9:245" hidden="1">
      <c r="L319" s="843" t="s">
        <v>1060</v>
      </c>
      <c r="M319" s="843" t="s">
        <v>1382</v>
      </c>
      <c r="N319" s="843" t="s">
        <v>96</v>
      </c>
      <c r="O319" s="844">
        <v>4</v>
      </c>
      <c r="P319" s="780" t="str">
        <f t="shared" si="12"/>
        <v>IWT060104</v>
      </c>
      <c r="Q319" s="844">
        <v>2116</v>
      </c>
      <c r="R319" s="844">
        <v>5986</v>
      </c>
      <c r="S319" s="844">
        <v>10403</v>
      </c>
      <c r="T319" s="844">
        <v>15380</v>
      </c>
      <c r="U319" s="844">
        <v>20935</v>
      </c>
      <c r="V319" s="844">
        <v>26812</v>
      </c>
      <c r="W319" s="844">
        <v>27625</v>
      </c>
      <c r="X319" s="844">
        <v>28177</v>
      </c>
      <c r="Y319" s="844">
        <v>28740</v>
      </c>
      <c r="Z319" s="844">
        <v>29315</v>
      </c>
      <c r="AA319" s="844">
        <v>29901</v>
      </c>
      <c r="AB319" s="844">
        <v>30498</v>
      </c>
      <c r="AC319" s="844">
        <v>31108</v>
      </c>
      <c r="AD319" s="844">
        <v>31730</v>
      </c>
      <c r="AE319" s="844">
        <v>32365</v>
      </c>
      <c r="AF319" s="844">
        <v>33012</v>
      </c>
      <c r="AG319" s="844">
        <v>33673</v>
      </c>
      <c r="AH319" s="844">
        <v>34346</v>
      </c>
      <c r="AI319" s="844">
        <v>35033</v>
      </c>
      <c r="AJ319" s="844">
        <v>35734</v>
      </c>
      <c r="AK319" s="844">
        <v>36448</v>
      </c>
      <c r="AL319" s="844">
        <v>37177</v>
      </c>
      <c r="AM319" s="844">
        <v>37921</v>
      </c>
      <c r="AN319" s="844">
        <v>38679</v>
      </c>
      <c r="AO319" s="844">
        <v>39453</v>
      </c>
      <c r="AP319" s="844">
        <v>40242</v>
      </c>
      <c r="AQ319" s="844">
        <v>41047</v>
      </c>
      <c r="AR319" s="844">
        <v>41868</v>
      </c>
      <c r="AS319" s="844">
        <v>42705</v>
      </c>
      <c r="AT319" s="844">
        <v>43558</v>
      </c>
      <c r="AU319" s="844">
        <v>44428</v>
      </c>
      <c r="AV319" s="844">
        <v>45314</v>
      </c>
      <c r="AW319" s="844">
        <v>46217</v>
      </c>
      <c r="AX319" s="844">
        <v>47137</v>
      </c>
      <c r="AY319" s="844">
        <v>48074</v>
      </c>
      <c r="AZ319" s="844">
        <v>49028</v>
      </c>
      <c r="BA319" s="844">
        <v>50000</v>
      </c>
      <c r="BB319" s="844">
        <v>50989</v>
      </c>
      <c r="BC319" s="844">
        <v>51996</v>
      </c>
      <c r="BD319" s="844">
        <v>53021</v>
      </c>
      <c r="BE319" s="844">
        <v>54064</v>
      </c>
      <c r="BF319" s="844">
        <v>55126</v>
      </c>
      <c r="BG319" s="844">
        <v>56205</v>
      </c>
      <c r="BH319" s="844">
        <v>57303</v>
      </c>
      <c r="BI319" s="844">
        <v>58419</v>
      </c>
      <c r="BJ319" s="844">
        <v>59554</v>
      </c>
      <c r="BK319" s="844">
        <v>60707</v>
      </c>
      <c r="BL319" s="844">
        <v>61879</v>
      </c>
      <c r="BM319" s="844">
        <v>63070</v>
      </c>
      <c r="BN319" s="844">
        <v>64280</v>
      </c>
      <c r="BO319" s="844">
        <v>65511</v>
      </c>
      <c r="BP319" s="844">
        <v>66761</v>
      </c>
      <c r="BQ319" s="844">
        <v>68030</v>
      </c>
      <c r="BR319" s="844">
        <v>69319</v>
      </c>
      <c r="BS319" s="844">
        <v>70626</v>
      </c>
      <c r="BT319" s="844">
        <v>71949</v>
      </c>
      <c r="BU319" s="844">
        <v>73291</v>
      </c>
      <c r="BV319" s="844">
        <v>74652</v>
      </c>
      <c r="BW319" s="844">
        <v>76031</v>
      </c>
      <c r="BX319" s="844">
        <v>77428</v>
      </c>
      <c r="BY319" s="844">
        <v>78842</v>
      </c>
      <c r="BZ319" s="844">
        <v>80271</v>
      </c>
      <c r="CA319" s="844">
        <v>81716</v>
      </c>
      <c r="CB319" s="844">
        <v>83176</v>
      </c>
      <c r="CC319" s="844">
        <v>84650</v>
      </c>
      <c r="CD319" s="844">
        <v>86138</v>
      </c>
      <c r="CE319" s="844">
        <v>87638</v>
      </c>
      <c r="CF319" s="844">
        <v>89150</v>
      </c>
      <c r="CG319" s="844">
        <v>90673</v>
      </c>
      <c r="CH319" s="844">
        <v>92208</v>
      </c>
      <c r="CI319" s="844">
        <v>93752</v>
      </c>
      <c r="CJ319" s="844">
        <v>95307</v>
      </c>
      <c r="CK319" s="844">
        <v>96872</v>
      </c>
      <c r="CL319" s="844">
        <v>98445</v>
      </c>
      <c r="CM319" s="844">
        <v>100028</v>
      </c>
      <c r="CN319" s="844">
        <v>101617</v>
      </c>
      <c r="CO319" s="844">
        <v>103214</v>
      </c>
      <c r="CP319" s="844">
        <v>104815</v>
      </c>
      <c r="CQ319" s="844">
        <v>106422</v>
      </c>
      <c r="CR319" s="844">
        <v>108034</v>
      </c>
      <c r="CS319" s="844">
        <v>109650</v>
      </c>
      <c r="CT319" s="844">
        <v>111271</v>
      </c>
      <c r="CU319" s="844">
        <v>112895</v>
      </c>
      <c r="CV319" s="844">
        <v>114524</v>
      </c>
      <c r="CW319" s="844">
        <v>116155</v>
      </c>
      <c r="CX319" s="844">
        <v>117788</v>
      </c>
      <c r="CY319" s="844">
        <v>119419</v>
      </c>
      <c r="CZ319" s="844">
        <v>121041</v>
      </c>
      <c r="DA319" s="844">
        <v>122661</v>
      </c>
      <c r="DB319" s="844">
        <v>124279</v>
      </c>
      <c r="DC319" s="844">
        <v>125894</v>
      </c>
      <c r="DD319" s="844">
        <v>127505</v>
      </c>
      <c r="DE319" s="844">
        <v>129112</v>
      </c>
      <c r="DF319" s="844">
        <v>130714</v>
      </c>
      <c r="DG319" s="844">
        <v>132312</v>
      </c>
      <c r="DH319" s="844">
        <v>133905</v>
      </c>
      <c r="DI319" s="844">
        <v>135493</v>
      </c>
      <c r="DJ319" s="844">
        <v>137075</v>
      </c>
      <c r="DK319" s="844">
        <v>138652</v>
      </c>
      <c r="DL319" s="844">
        <v>140224</v>
      </c>
      <c r="DM319" s="844">
        <v>141790</v>
      </c>
      <c r="DN319" s="844">
        <v>143353</v>
      </c>
      <c r="DO319" s="844">
        <v>144913</v>
      </c>
      <c r="DP319" s="844">
        <v>146482</v>
      </c>
      <c r="DQ319" s="844">
        <v>148093</v>
      </c>
      <c r="DR319" s="844">
        <v>149908</v>
      </c>
      <c r="DS319" s="844">
        <v>151400</v>
      </c>
      <c r="DT319" s="844">
        <v>0</v>
      </c>
      <c r="DU319" s="844">
        <v>0</v>
      </c>
      <c r="DV319" s="844">
        <v>0</v>
      </c>
      <c r="DW319" s="844">
        <v>0</v>
      </c>
      <c r="DY319" s="846" t="s">
        <v>1060</v>
      </c>
      <c r="DZ319" s="846" t="s">
        <v>1382</v>
      </c>
      <c r="EA319" s="846" t="s">
        <v>96</v>
      </c>
      <c r="EB319" s="847">
        <v>4</v>
      </c>
      <c r="EC319" s="780" t="str">
        <f t="shared" si="13"/>
        <v>IWT060104</v>
      </c>
      <c r="ED319" s="847">
        <v>0</v>
      </c>
      <c r="EE319" s="847">
        <v>2821</v>
      </c>
      <c r="EF319" s="847">
        <v>7483</v>
      </c>
      <c r="EG319" s="847">
        <v>12239</v>
      </c>
      <c r="EH319" s="847">
        <v>17089</v>
      </c>
      <c r="EI319" s="847">
        <v>22037</v>
      </c>
      <c r="EJ319" s="847">
        <v>27083</v>
      </c>
      <c r="EK319" s="847">
        <v>27625</v>
      </c>
      <c r="EL319" s="847">
        <v>28177</v>
      </c>
      <c r="EM319" s="847">
        <v>28740</v>
      </c>
      <c r="EN319" s="847">
        <v>29315</v>
      </c>
      <c r="EO319" s="847">
        <v>29901</v>
      </c>
      <c r="EP319" s="847">
        <v>30498</v>
      </c>
      <c r="EQ319" s="847">
        <v>31108</v>
      </c>
      <c r="ER319" s="847">
        <v>31730</v>
      </c>
      <c r="ES319" s="847">
        <v>32365</v>
      </c>
      <c r="ET319" s="847">
        <v>33012</v>
      </c>
      <c r="EU319" s="847">
        <v>33673</v>
      </c>
      <c r="EV319" s="847">
        <v>34346</v>
      </c>
      <c r="EW319" s="847">
        <v>35033</v>
      </c>
      <c r="EX319" s="847">
        <v>35734</v>
      </c>
      <c r="EY319" s="847">
        <v>36448</v>
      </c>
      <c r="EZ319" s="847">
        <v>37177</v>
      </c>
      <c r="FA319" s="847">
        <v>37921</v>
      </c>
      <c r="FB319" s="847">
        <v>38679</v>
      </c>
      <c r="FC319" s="847">
        <v>39453</v>
      </c>
      <c r="FD319" s="847">
        <v>40242</v>
      </c>
      <c r="FE319" s="847">
        <v>41047</v>
      </c>
      <c r="FF319" s="847">
        <v>41868</v>
      </c>
      <c r="FG319" s="847">
        <v>42705</v>
      </c>
      <c r="FH319" s="847">
        <v>43558</v>
      </c>
      <c r="FI319" s="847">
        <v>44428</v>
      </c>
      <c r="FJ319" s="847">
        <v>45314</v>
      </c>
      <c r="FK319" s="847">
        <v>46217</v>
      </c>
      <c r="FL319" s="847">
        <v>47137</v>
      </c>
      <c r="FM319" s="847">
        <v>48074</v>
      </c>
      <c r="FN319" s="847">
        <v>49028</v>
      </c>
      <c r="FO319" s="847">
        <v>50000</v>
      </c>
      <c r="FP319" s="847">
        <v>50989</v>
      </c>
      <c r="FQ319" s="847">
        <v>51996</v>
      </c>
      <c r="FR319" s="847">
        <v>53021</v>
      </c>
      <c r="FS319" s="847">
        <v>54064</v>
      </c>
      <c r="FT319" s="847">
        <v>55126</v>
      </c>
      <c r="FU319" s="847">
        <v>56205</v>
      </c>
      <c r="FV319" s="847">
        <v>57303</v>
      </c>
      <c r="FW319" s="847">
        <v>58419</v>
      </c>
      <c r="FX319" s="847">
        <v>59554</v>
      </c>
      <c r="FY319" s="847">
        <v>60707</v>
      </c>
      <c r="FZ319" s="847">
        <v>61879</v>
      </c>
      <c r="GA319" s="847">
        <v>63070</v>
      </c>
      <c r="GB319" s="847">
        <v>64280</v>
      </c>
      <c r="GC319" s="847">
        <v>65511</v>
      </c>
      <c r="GD319" s="847">
        <v>66761</v>
      </c>
      <c r="GE319" s="847">
        <v>68030</v>
      </c>
      <c r="GF319" s="847">
        <v>69319</v>
      </c>
      <c r="GG319" s="847">
        <v>70626</v>
      </c>
      <c r="GH319" s="847">
        <v>71949</v>
      </c>
      <c r="GI319" s="847">
        <v>73291</v>
      </c>
      <c r="GJ319" s="847">
        <v>74652</v>
      </c>
      <c r="GK319" s="847">
        <v>76031</v>
      </c>
      <c r="GL319" s="847">
        <v>77428</v>
      </c>
      <c r="GM319" s="847">
        <v>78842</v>
      </c>
      <c r="GN319" s="847">
        <v>80271</v>
      </c>
      <c r="GO319" s="847">
        <v>81716</v>
      </c>
      <c r="GP319" s="847">
        <v>83176</v>
      </c>
      <c r="GQ319" s="847">
        <v>84650</v>
      </c>
      <c r="GR319" s="847">
        <v>86138</v>
      </c>
      <c r="GS319" s="847">
        <v>87638</v>
      </c>
      <c r="GT319" s="847">
        <v>89150</v>
      </c>
      <c r="GU319" s="847">
        <v>90673</v>
      </c>
      <c r="GV319" s="847">
        <v>92208</v>
      </c>
      <c r="GW319" s="847">
        <v>93752</v>
      </c>
      <c r="GX319" s="847">
        <v>95307</v>
      </c>
      <c r="GY319" s="847">
        <v>96872</v>
      </c>
      <c r="GZ319" s="847">
        <v>98445</v>
      </c>
      <c r="HA319" s="847">
        <v>100028</v>
      </c>
      <c r="HB319" s="847">
        <v>101617</v>
      </c>
      <c r="HC319" s="847">
        <v>103214</v>
      </c>
      <c r="HD319" s="847">
        <v>104815</v>
      </c>
      <c r="HE319" s="847">
        <v>106422</v>
      </c>
      <c r="HF319" s="847">
        <v>108034</v>
      </c>
      <c r="HG319" s="847">
        <v>109650</v>
      </c>
      <c r="HH319" s="847">
        <v>111271</v>
      </c>
      <c r="HI319" s="847">
        <v>112895</v>
      </c>
      <c r="HJ319" s="847">
        <v>114524</v>
      </c>
      <c r="HK319" s="847">
        <v>116155</v>
      </c>
      <c r="HL319" s="847">
        <v>117788</v>
      </c>
      <c r="HM319" s="847">
        <v>119419</v>
      </c>
      <c r="HN319" s="847">
        <v>121041</v>
      </c>
      <c r="HO319" s="847">
        <v>122661</v>
      </c>
      <c r="HP319" s="847">
        <v>124279</v>
      </c>
      <c r="HQ319" s="847">
        <v>125894</v>
      </c>
      <c r="HR319" s="847">
        <v>127505</v>
      </c>
      <c r="HS319" s="847">
        <v>129112</v>
      </c>
      <c r="HT319" s="847">
        <v>130714</v>
      </c>
      <c r="HU319" s="847">
        <v>132312</v>
      </c>
      <c r="HV319" s="847">
        <v>133905</v>
      </c>
      <c r="HW319" s="847">
        <v>135493</v>
      </c>
      <c r="HX319" s="847">
        <v>137075</v>
      </c>
      <c r="HY319" s="847">
        <v>138652</v>
      </c>
      <c r="HZ319" s="847">
        <v>140224</v>
      </c>
      <c r="IA319" s="847">
        <v>141790</v>
      </c>
      <c r="IB319" s="847">
        <v>143353</v>
      </c>
      <c r="IC319" s="847">
        <v>144913</v>
      </c>
      <c r="ID319" s="847">
        <v>146482</v>
      </c>
      <c r="IE319" s="847">
        <v>148093</v>
      </c>
      <c r="IF319" s="847">
        <v>149908</v>
      </c>
      <c r="IG319" s="847">
        <v>151400</v>
      </c>
      <c r="IH319" s="847">
        <v>0</v>
      </c>
      <c r="II319" s="847">
        <v>0</v>
      </c>
      <c r="IJ319" s="847">
        <v>0</v>
      </c>
      <c r="IK319" s="847">
        <v>0</v>
      </c>
    </row>
    <row r="320" spans="9:245" hidden="1">
      <c r="L320" s="843" t="s">
        <v>1060</v>
      </c>
      <c r="M320" s="843" t="s">
        <v>1382</v>
      </c>
      <c r="N320" s="843" t="s">
        <v>96</v>
      </c>
      <c r="O320" s="844">
        <v>5</v>
      </c>
      <c r="P320" s="780" t="str">
        <f t="shared" si="12"/>
        <v>IWT060105</v>
      </c>
      <c r="Q320" s="844">
        <v>2128</v>
      </c>
      <c r="R320" s="844">
        <v>6021</v>
      </c>
      <c r="S320" s="844">
        <v>10463</v>
      </c>
      <c r="T320" s="844">
        <v>15469</v>
      </c>
      <c r="U320" s="844">
        <v>21056</v>
      </c>
      <c r="V320" s="844">
        <v>26968</v>
      </c>
      <c r="W320" s="844">
        <v>27784</v>
      </c>
      <c r="X320" s="844">
        <v>28339</v>
      </c>
      <c r="Y320" s="844">
        <v>28906</v>
      </c>
      <c r="Z320" s="844">
        <v>29484</v>
      </c>
      <c r="AA320" s="844">
        <v>30073</v>
      </c>
      <c r="AB320" s="844">
        <v>30674</v>
      </c>
      <c r="AC320" s="844">
        <v>31288</v>
      </c>
      <c r="AD320" s="844">
        <v>31913</v>
      </c>
      <c r="AE320" s="844">
        <v>32552</v>
      </c>
      <c r="AF320" s="844">
        <v>33203</v>
      </c>
      <c r="AG320" s="844">
        <v>33867</v>
      </c>
      <c r="AH320" s="844">
        <v>34544</v>
      </c>
      <c r="AI320" s="844">
        <v>35235</v>
      </c>
      <c r="AJ320" s="844">
        <v>35940</v>
      </c>
      <c r="AK320" s="844">
        <v>36658</v>
      </c>
      <c r="AL320" s="844">
        <v>37392</v>
      </c>
      <c r="AM320" s="844">
        <v>38139</v>
      </c>
      <c r="AN320" s="844">
        <v>38902</v>
      </c>
      <c r="AO320" s="844">
        <v>39680</v>
      </c>
      <c r="AP320" s="844">
        <v>40474</v>
      </c>
      <c r="AQ320" s="844">
        <v>41283</v>
      </c>
      <c r="AR320" s="844">
        <v>42109</v>
      </c>
      <c r="AS320" s="844">
        <v>42951</v>
      </c>
      <c r="AT320" s="844">
        <v>43810</v>
      </c>
      <c r="AU320" s="844">
        <v>44685</v>
      </c>
      <c r="AV320" s="844">
        <v>45577</v>
      </c>
      <c r="AW320" s="844">
        <v>46485</v>
      </c>
      <c r="AX320" s="844">
        <v>47410</v>
      </c>
      <c r="AY320" s="844">
        <v>48353</v>
      </c>
      <c r="AZ320" s="844">
        <v>49312</v>
      </c>
      <c r="BA320" s="844">
        <v>50290</v>
      </c>
      <c r="BB320" s="844">
        <v>51285</v>
      </c>
      <c r="BC320" s="844">
        <v>52298</v>
      </c>
      <c r="BD320" s="844">
        <v>53328</v>
      </c>
      <c r="BE320" s="844">
        <v>54377</v>
      </c>
      <c r="BF320" s="844">
        <v>55444</v>
      </c>
      <c r="BG320" s="844">
        <v>56529</v>
      </c>
      <c r="BH320" s="844">
        <v>57633</v>
      </c>
      <c r="BI320" s="844">
        <v>58754</v>
      </c>
      <c r="BJ320" s="844">
        <v>59895</v>
      </c>
      <c r="BK320" s="844">
        <v>61054</v>
      </c>
      <c r="BL320" s="844">
        <v>62232</v>
      </c>
      <c r="BM320" s="844">
        <v>63429</v>
      </c>
      <c r="BN320" s="844">
        <v>64646</v>
      </c>
      <c r="BO320" s="844">
        <v>65882</v>
      </c>
      <c r="BP320" s="844">
        <v>67139</v>
      </c>
      <c r="BQ320" s="844">
        <v>68414</v>
      </c>
      <c r="BR320" s="844">
        <v>69707</v>
      </c>
      <c r="BS320" s="844">
        <v>71017</v>
      </c>
      <c r="BT320" s="844">
        <v>72345</v>
      </c>
      <c r="BU320" s="844">
        <v>73692</v>
      </c>
      <c r="BV320" s="844">
        <v>75058</v>
      </c>
      <c r="BW320" s="844">
        <v>76442</v>
      </c>
      <c r="BX320" s="844">
        <v>77842</v>
      </c>
      <c r="BY320" s="844">
        <v>79257</v>
      </c>
      <c r="BZ320" s="844">
        <v>80689</v>
      </c>
      <c r="CA320" s="844">
        <v>82135</v>
      </c>
      <c r="CB320" s="844">
        <v>83597</v>
      </c>
      <c r="CC320" s="844">
        <v>85071</v>
      </c>
      <c r="CD320" s="844">
        <v>86559</v>
      </c>
      <c r="CE320" s="844">
        <v>88058</v>
      </c>
      <c r="CF320" s="844">
        <v>89569</v>
      </c>
      <c r="CG320" s="844">
        <v>91091</v>
      </c>
      <c r="CH320" s="844">
        <v>92624</v>
      </c>
      <c r="CI320" s="844">
        <v>94167</v>
      </c>
      <c r="CJ320" s="844">
        <v>95720</v>
      </c>
      <c r="CK320" s="844">
        <v>97283</v>
      </c>
      <c r="CL320" s="844">
        <v>98854</v>
      </c>
      <c r="CM320" s="844">
        <v>100432</v>
      </c>
      <c r="CN320" s="844">
        <v>102018</v>
      </c>
      <c r="CO320" s="844">
        <v>103610</v>
      </c>
      <c r="CP320" s="844">
        <v>105207</v>
      </c>
      <c r="CQ320" s="844">
        <v>106808</v>
      </c>
      <c r="CR320" s="844">
        <v>108415</v>
      </c>
      <c r="CS320" s="844">
        <v>110026</v>
      </c>
      <c r="CT320" s="844">
        <v>111642</v>
      </c>
      <c r="CU320" s="844">
        <v>113261</v>
      </c>
      <c r="CV320" s="844">
        <v>114884</v>
      </c>
      <c r="CW320" s="844">
        <v>116509</v>
      </c>
      <c r="CX320" s="844">
        <v>118132</v>
      </c>
      <c r="CY320" s="844">
        <v>119747</v>
      </c>
      <c r="CZ320" s="844">
        <v>121360</v>
      </c>
      <c r="DA320" s="844">
        <v>122971</v>
      </c>
      <c r="DB320" s="844">
        <v>124579</v>
      </c>
      <c r="DC320" s="844">
        <v>126184</v>
      </c>
      <c r="DD320" s="844">
        <v>127785</v>
      </c>
      <c r="DE320" s="844">
        <v>129382</v>
      </c>
      <c r="DF320" s="844">
        <v>130974</v>
      </c>
      <c r="DG320" s="844">
        <v>132562</v>
      </c>
      <c r="DH320" s="844">
        <v>134145</v>
      </c>
      <c r="DI320" s="844">
        <v>135723</v>
      </c>
      <c r="DJ320" s="844">
        <v>137296</v>
      </c>
      <c r="DK320" s="844">
        <v>138863</v>
      </c>
      <c r="DL320" s="844">
        <v>140426</v>
      </c>
      <c r="DM320" s="844">
        <v>141985</v>
      </c>
      <c r="DN320" s="844">
        <v>143542</v>
      </c>
      <c r="DO320" s="844">
        <v>145108</v>
      </c>
      <c r="DP320" s="844">
        <v>146715</v>
      </c>
      <c r="DQ320" s="844">
        <v>148522</v>
      </c>
      <c r="DR320" s="844">
        <v>150000</v>
      </c>
      <c r="DS320" s="844">
        <v>0</v>
      </c>
      <c r="DT320" s="844">
        <v>0</v>
      </c>
      <c r="DU320" s="844">
        <v>0</v>
      </c>
      <c r="DV320" s="844">
        <v>0</v>
      </c>
      <c r="DW320" s="844">
        <v>0</v>
      </c>
      <c r="DY320" s="846" t="s">
        <v>1060</v>
      </c>
      <c r="DZ320" s="846" t="s">
        <v>1382</v>
      </c>
      <c r="EA320" s="846" t="s">
        <v>96</v>
      </c>
      <c r="EB320" s="847">
        <v>5</v>
      </c>
      <c r="EC320" s="780" t="str">
        <f t="shared" si="13"/>
        <v>IWT060105</v>
      </c>
      <c r="ED320" s="847">
        <v>0</v>
      </c>
      <c r="EE320" s="847">
        <v>2837</v>
      </c>
      <c r="EF320" s="847">
        <v>7526</v>
      </c>
      <c r="EG320" s="847">
        <v>12309</v>
      </c>
      <c r="EH320" s="847">
        <v>17188</v>
      </c>
      <c r="EI320" s="847">
        <v>22164</v>
      </c>
      <c r="EJ320" s="847">
        <v>27240</v>
      </c>
      <c r="EK320" s="847">
        <v>27784</v>
      </c>
      <c r="EL320" s="847">
        <v>28339</v>
      </c>
      <c r="EM320" s="847">
        <v>28906</v>
      </c>
      <c r="EN320" s="847">
        <v>29484</v>
      </c>
      <c r="EO320" s="847">
        <v>30073</v>
      </c>
      <c r="EP320" s="847">
        <v>30674</v>
      </c>
      <c r="EQ320" s="847">
        <v>31288</v>
      </c>
      <c r="ER320" s="847">
        <v>31913</v>
      </c>
      <c r="ES320" s="847">
        <v>32552</v>
      </c>
      <c r="ET320" s="847">
        <v>33203</v>
      </c>
      <c r="EU320" s="847">
        <v>33867</v>
      </c>
      <c r="EV320" s="847">
        <v>34544</v>
      </c>
      <c r="EW320" s="847">
        <v>35235</v>
      </c>
      <c r="EX320" s="847">
        <v>35940</v>
      </c>
      <c r="EY320" s="847">
        <v>36658</v>
      </c>
      <c r="EZ320" s="847">
        <v>37392</v>
      </c>
      <c r="FA320" s="847">
        <v>38139</v>
      </c>
      <c r="FB320" s="847">
        <v>38902</v>
      </c>
      <c r="FC320" s="847">
        <v>39680</v>
      </c>
      <c r="FD320" s="847">
        <v>40474</v>
      </c>
      <c r="FE320" s="847">
        <v>41283</v>
      </c>
      <c r="FF320" s="847">
        <v>42109</v>
      </c>
      <c r="FG320" s="847">
        <v>42951</v>
      </c>
      <c r="FH320" s="847">
        <v>43810</v>
      </c>
      <c r="FI320" s="847">
        <v>44685</v>
      </c>
      <c r="FJ320" s="847">
        <v>45577</v>
      </c>
      <c r="FK320" s="847">
        <v>46485</v>
      </c>
      <c r="FL320" s="847">
        <v>47410</v>
      </c>
      <c r="FM320" s="847">
        <v>48353</v>
      </c>
      <c r="FN320" s="847">
        <v>49312</v>
      </c>
      <c r="FO320" s="847">
        <v>50290</v>
      </c>
      <c r="FP320" s="847">
        <v>51285</v>
      </c>
      <c r="FQ320" s="847">
        <v>52298</v>
      </c>
      <c r="FR320" s="847">
        <v>53328</v>
      </c>
      <c r="FS320" s="847">
        <v>54377</v>
      </c>
      <c r="FT320" s="847">
        <v>55444</v>
      </c>
      <c r="FU320" s="847">
        <v>56529</v>
      </c>
      <c r="FV320" s="847">
        <v>57633</v>
      </c>
      <c r="FW320" s="847">
        <v>58754</v>
      </c>
      <c r="FX320" s="847">
        <v>59895</v>
      </c>
      <c r="FY320" s="847">
        <v>61054</v>
      </c>
      <c r="FZ320" s="847">
        <v>62232</v>
      </c>
      <c r="GA320" s="847">
        <v>63429</v>
      </c>
      <c r="GB320" s="847">
        <v>64646</v>
      </c>
      <c r="GC320" s="847">
        <v>65882</v>
      </c>
      <c r="GD320" s="847">
        <v>67139</v>
      </c>
      <c r="GE320" s="847">
        <v>68414</v>
      </c>
      <c r="GF320" s="847">
        <v>69707</v>
      </c>
      <c r="GG320" s="847">
        <v>71017</v>
      </c>
      <c r="GH320" s="847">
        <v>72345</v>
      </c>
      <c r="GI320" s="847">
        <v>73692</v>
      </c>
      <c r="GJ320" s="847">
        <v>75058</v>
      </c>
      <c r="GK320" s="847">
        <v>76442</v>
      </c>
      <c r="GL320" s="847">
        <v>77842</v>
      </c>
      <c r="GM320" s="847">
        <v>79257</v>
      </c>
      <c r="GN320" s="847">
        <v>80689</v>
      </c>
      <c r="GO320" s="847">
        <v>82135</v>
      </c>
      <c r="GP320" s="847">
        <v>83597</v>
      </c>
      <c r="GQ320" s="847">
        <v>85071</v>
      </c>
      <c r="GR320" s="847">
        <v>86559</v>
      </c>
      <c r="GS320" s="847">
        <v>88058</v>
      </c>
      <c r="GT320" s="847">
        <v>89569</v>
      </c>
      <c r="GU320" s="847">
        <v>91091</v>
      </c>
      <c r="GV320" s="847">
        <v>92624</v>
      </c>
      <c r="GW320" s="847">
        <v>94167</v>
      </c>
      <c r="GX320" s="847">
        <v>95720</v>
      </c>
      <c r="GY320" s="847">
        <v>97283</v>
      </c>
      <c r="GZ320" s="847">
        <v>98854</v>
      </c>
      <c r="HA320" s="847">
        <v>100432</v>
      </c>
      <c r="HB320" s="847">
        <v>102018</v>
      </c>
      <c r="HC320" s="847">
        <v>103610</v>
      </c>
      <c r="HD320" s="847">
        <v>105207</v>
      </c>
      <c r="HE320" s="847">
        <v>106808</v>
      </c>
      <c r="HF320" s="847">
        <v>108415</v>
      </c>
      <c r="HG320" s="847">
        <v>110026</v>
      </c>
      <c r="HH320" s="847">
        <v>111642</v>
      </c>
      <c r="HI320" s="847">
        <v>113261</v>
      </c>
      <c r="HJ320" s="847">
        <v>114884</v>
      </c>
      <c r="HK320" s="847">
        <v>116509</v>
      </c>
      <c r="HL320" s="847">
        <v>118132</v>
      </c>
      <c r="HM320" s="847">
        <v>119747</v>
      </c>
      <c r="HN320" s="847">
        <v>121360</v>
      </c>
      <c r="HO320" s="847">
        <v>122971</v>
      </c>
      <c r="HP320" s="847">
        <v>124579</v>
      </c>
      <c r="HQ320" s="847">
        <v>126184</v>
      </c>
      <c r="HR320" s="847">
        <v>127785</v>
      </c>
      <c r="HS320" s="847">
        <v>129382</v>
      </c>
      <c r="HT320" s="847">
        <v>130974</v>
      </c>
      <c r="HU320" s="847">
        <v>132562</v>
      </c>
      <c r="HV320" s="847">
        <v>134145</v>
      </c>
      <c r="HW320" s="847">
        <v>135723</v>
      </c>
      <c r="HX320" s="847">
        <v>137296</v>
      </c>
      <c r="HY320" s="847">
        <v>138863</v>
      </c>
      <c r="HZ320" s="847">
        <v>140426</v>
      </c>
      <c r="IA320" s="847">
        <v>141985</v>
      </c>
      <c r="IB320" s="847">
        <v>143542</v>
      </c>
      <c r="IC320" s="847">
        <v>145108</v>
      </c>
      <c r="ID320" s="847">
        <v>146715</v>
      </c>
      <c r="IE320" s="847">
        <v>148522</v>
      </c>
      <c r="IF320" s="847">
        <v>150000</v>
      </c>
      <c r="IG320" s="847">
        <v>0</v>
      </c>
      <c r="IH320" s="847">
        <v>0</v>
      </c>
      <c r="II320" s="847">
        <v>0</v>
      </c>
      <c r="IJ320" s="847">
        <v>0</v>
      </c>
      <c r="IK320" s="847">
        <v>0</v>
      </c>
    </row>
    <row r="321" spans="12:245" hidden="1">
      <c r="L321" s="843" t="s">
        <v>1060</v>
      </c>
      <c r="M321" s="843" t="s">
        <v>1382</v>
      </c>
      <c r="N321" s="843" t="s">
        <v>96</v>
      </c>
      <c r="O321" s="844">
        <v>6</v>
      </c>
      <c r="P321" s="780" t="str">
        <f t="shared" si="12"/>
        <v>IWT060106</v>
      </c>
      <c r="Q321" s="844">
        <v>2139</v>
      </c>
      <c r="R321" s="844">
        <v>6054</v>
      </c>
      <c r="S321" s="844">
        <v>10521</v>
      </c>
      <c r="T321" s="844">
        <v>15556</v>
      </c>
      <c r="U321" s="844">
        <v>21174</v>
      </c>
      <c r="V321" s="844">
        <v>27118</v>
      </c>
      <c r="W321" s="844">
        <v>27939</v>
      </c>
      <c r="X321" s="844">
        <v>28498</v>
      </c>
      <c r="Y321" s="844">
        <v>29067</v>
      </c>
      <c r="Z321" s="844">
        <v>29648</v>
      </c>
      <c r="AA321" s="844">
        <v>30241</v>
      </c>
      <c r="AB321" s="844">
        <v>30846</v>
      </c>
      <c r="AC321" s="844">
        <v>31463</v>
      </c>
      <c r="AD321" s="844">
        <v>32092</v>
      </c>
      <c r="AE321" s="844">
        <v>32734</v>
      </c>
      <c r="AF321" s="844">
        <v>33389</v>
      </c>
      <c r="AG321" s="844">
        <v>34056</v>
      </c>
      <c r="AH321" s="844">
        <v>34738</v>
      </c>
      <c r="AI321" s="844">
        <v>35432</v>
      </c>
      <c r="AJ321" s="844">
        <v>36141</v>
      </c>
      <c r="AK321" s="844">
        <v>36864</v>
      </c>
      <c r="AL321" s="844">
        <v>37601</v>
      </c>
      <c r="AM321" s="844">
        <v>38353</v>
      </c>
      <c r="AN321" s="844">
        <v>39120</v>
      </c>
      <c r="AO321" s="844">
        <v>39903</v>
      </c>
      <c r="AP321" s="844">
        <v>40701</v>
      </c>
      <c r="AQ321" s="844">
        <v>41515</v>
      </c>
      <c r="AR321" s="844">
        <v>42345</v>
      </c>
      <c r="AS321" s="844">
        <v>43192</v>
      </c>
      <c r="AT321" s="844">
        <v>44056</v>
      </c>
      <c r="AU321" s="844">
        <v>44936</v>
      </c>
      <c r="AV321" s="844">
        <v>45833</v>
      </c>
      <c r="AW321" s="844">
        <v>46746</v>
      </c>
      <c r="AX321" s="844">
        <v>47677</v>
      </c>
      <c r="AY321" s="844">
        <v>48625</v>
      </c>
      <c r="AZ321" s="844">
        <v>49590</v>
      </c>
      <c r="BA321" s="844">
        <v>50573</v>
      </c>
      <c r="BB321" s="844">
        <v>51574</v>
      </c>
      <c r="BC321" s="844">
        <v>52592</v>
      </c>
      <c r="BD321" s="844">
        <v>53629</v>
      </c>
      <c r="BE321" s="844">
        <v>54683</v>
      </c>
      <c r="BF321" s="844">
        <v>55756</v>
      </c>
      <c r="BG321" s="844">
        <v>56846</v>
      </c>
      <c r="BH321" s="844">
        <v>57955</v>
      </c>
      <c r="BI321" s="844">
        <v>59083</v>
      </c>
      <c r="BJ321" s="844">
        <v>60229</v>
      </c>
      <c r="BK321" s="844">
        <v>61394</v>
      </c>
      <c r="BL321" s="844">
        <v>62578</v>
      </c>
      <c r="BM321" s="844">
        <v>63781</v>
      </c>
      <c r="BN321" s="844">
        <v>65004</v>
      </c>
      <c r="BO321" s="844">
        <v>66247</v>
      </c>
      <c r="BP321" s="844">
        <v>67508</v>
      </c>
      <c r="BQ321" s="844">
        <v>68788</v>
      </c>
      <c r="BR321" s="844">
        <v>70085</v>
      </c>
      <c r="BS321" s="844">
        <v>71399</v>
      </c>
      <c r="BT321" s="844">
        <v>72733</v>
      </c>
      <c r="BU321" s="844">
        <v>74085</v>
      </c>
      <c r="BV321" s="844">
        <v>75455</v>
      </c>
      <c r="BW321" s="844">
        <v>76841</v>
      </c>
      <c r="BX321" s="844">
        <v>78243</v>
      </c>
      <c r="BY321" s="844">
        <v>79661</v>
      </c>
      <c r="BZ321" s="844">
        <v>81095</v>
      </c>
      <c r="CA321" s="844">
        <v>82543</v>
      </c>
      <c r="CB321" s="844">
        <v>84005</v>
      </c>
      <c r="CC321" s="844">
        <v>85479</v>
      </c>
      <c r="CD321" s="844">
        <v>86966</v>
      </c>
      <c r="CE321" s="844">
        <v>88465</v>
      </c>
      <c r="CF321" s="844">
        <v>89975</v>
      </c>
      <c r="CG321" s="844">
        <v>91496</v>
      </c>
      <c r="CH321" s="844">
        <v>93027</v>
      </c>
      <c r="CI321" s="844">
        <v>94569</v>
      </c>
      <c r="CJ321" s="844">
        <v>96120</v>
      </c>
      <c r="CK321" s="844">
        <v>97680</v>
      </c>
      <c r="CL321" s="844">
        <v>99248</v>
      </c>
      <c r="CM321" s="844">
        <v>100823</v>
      </c>
      <c r="CN321" s="844">
        <v>102404</v>
      </c>
      <c r="CO321" s="844">
        <v>103991</v>
      </c>
      <c r="CP321" s="844">
        <v>105583</v>
      </c>
      <c r="CQ321" s="844">
        <v>107180</v>
      </c>
      <c r="CR321" s="844">
        <v>108782</v>
      </c>
      <c r="CS321" s="844">
        <v>110388</v>
      </c>
      <c r="CT321" s="844">
        <v>111999</v>
      </c>
      <c r="CU321" s="844">
        <v>113614</v>
      </c>
      <c r="CV321" s="844">
        <v>115230</v>
      </c>
      <c r="CW321" s="844">
        <v>116845</v>
      </c>
      <c r="CX321" s="844">
        <v>118452</v>
      </c>
      <c r="CY321" s="844">
        <v>120058</v>
      </c>
      <c r="CZ321" s="844">
        <v>121662</v>
      </c>
      <c r="DA321" s="844">
        <v>123264</v>
      </c>
      <c r="DB321" s="844">
        <v>124863</v>
      </c>
      <c r="DC321" s="844">
        <v>126458</v>
      </c>
      <c r="DD321" s="844">
        <v>128049</v>
      </c>
      <c r="DE321" s="844">
        <v>129636</v>
      </c>
      <c r="DF321" s="844">
        <v>131219</v>
      </c>
      <c r="DG321" s="844">
        <v>132798</v>
      </c>
      <c r="DH321" s="844">
        <v>134371</v>
      </c>
      <c r="DI321" s="844">
        <v>135940</v>
      </c>
      <c r="DJ321" s="844">
        <v>137503</v>
      </c>
      <c r="DK321" s="844">
        <v>139062</v>
      </c>
      <c r="DL321" s="844">
        <v>140617</v>
      </c>
      <c r="DM321" s="844">
        <v>142171</v>
      </c>
      <c r="DN321" s="844">
        <v>143733</v>
      </c>
      <c r="DO321" s="844">
        <v>145336</v>
      </c>
      <c r="DP321" s="844">
        <v>147136</v>
      </c>
      <c r="DQ321" s="844">
        <v>148600</v>
      </c>
      <c r="DR321" s="844">
        <v>0</v>
      </c>
      <c r="DS321" s="844">
        <v>0</v>
      </c>
      <c r="DT321" s="844">
        <v>0</v>
      </c>
      <c r="DU321" s="844">
        <v>0</v>
      </c>
      <c r="DV321" s="844">
        <v>0</v>
      </c>
      <c r="DW321" s="844">
        <v>0</v>
      </c>
      <c r="DY321" s="846" t="s">
        <v>1060</v>
      </c>
      <c r="DZ321" s="846" t="s">
        <v>1382</v>
      </c>
      <c r="EA321" s="846" t="s">
        <v>96</v>
      </c>
      <c r="EB321" s="847">
        <v>6</v>
      </c>
      <c r="EC321" s="780" t="str">
        <f t="shared" si="13"/>
        <v>IWT060106</v>
      </c>
      <c r="ED321" s="847">
        <v>0</v>
      </c>
      <c r="EE321" s="847">
        <v>2852</v>
      </c>
      <c r="EF321" s="847">
        <v>7568</v>
      </c>
      <c r="EG321" s="847">
        <v>12378</v>
      </c>
      <c r="EH321" s="847">
        <v>17284</v>
      </c>
      <c r="EI321" s="847">
        <v>22288</v>
      </c>
      <c r="EJ321" s="847">
        <v>27392</v>
      </c>
      <c r="EK321" s="847">
        <v>27939</v>
      </c>
      <c r="EL321" s="847">
        <v>28498</v>
      </c>
      <c r="EM321" s="847">
        <v>29067</v>
      </c>
      <c r="EN321" s="847">
        <v>29648</v>
      </c>
      <c r="EO321" s="847">
        <v>30241</v>
      </c>
      <c r="EP321" s="847">
        <v>30846</v>
      </c>
      <c r="EQ321" s="847">
        <v>31463</v>
      </c>
      <c r="ER321" s="847">
        <v>32092</v>
      </c>
      <c r="ES321" s="847">
        <v>32734</v>
      </c>
      <c r="ET321" s="847">
        <v>33389</v>
      </c>
      <c r="EU321" s="847">
        <v>34056</v>
      </c>
      <c r="EV321" s="847">
        <v>34738</v>
      </c>
      <c r="EW321" s="847">
        <v>35432</v>
      </c>
      <c r="EX321" s="847">
        <v>36141</v>
      </c>
      <c r="EY321" s="847">
        <v>36864</v>
      </c>
      <c r="EZ321" s="847">
        <v>37601</v>
      </c>
      <c r="FA321" s="847">
        <v>38353</v>
      </c>
      <c r="FB321" s="847">
        <v>39120</v>
      </c>
      <c r="FC321" s="847">
        <v>39903</v>
      </c>
      <c r="FD321" s="847">
        <v>40701</v>
      </c>
      <c r="FE321" s="847">
        <v>41515</v>
      </c>
      <c r="FF321" s="847">
        <v>42345</v>
      </c>
      <c r="FG321" s="847">
        <v>43192</v>
      </c>
      <c r="FH321" s="847">
        <v>44056</v>
      </c>
      <c r="FI321" s="847">
        <v>44936</v>
      </c>
      <c r="FJ321" s="847">
        <v>45833</v>
      </c>
      <c r="FK321" s="847">
        <v>46746</v>
      </c>
      <c r="FL321" s="847">
        <v>47677</v>
      </c>
      <c r="FM321" s="847">
        <v>48625</v>
      </c>
      <c r="FN321" s="847">
        <v>49590</v>
      </c>
      <c r="FO321" s="847">
        <v>50573</v>
      </c>
      <c r="FP321" s="847">
        <v>51574</v>
      </c>
      <c r="FQ321" s="847">
        <v>52592</v>
      </c>
      <c r="FR321" s="847">
        <v>53629</v>
      </c>
      <c r="FS321" s="847">
        <v>54683</v>
      </c>
      <c r="FT321" s="847">
        <v>55756</v>
      </c>
      <c r="FU321" s="847">
        <v>56846</v>
      </c>
      <c r="FV321" s="847">
        <v>57955</v>
      </c>
      <c r="FW321" s="847">
        <v>59083</v>
      </c>
      <c r="FX321" s="847">
        <v>60229</v>
      </c>
      <c r="FY321" s="847">
        <v>61394</v>
      </c>
      <c r="FZ321" s="847">
        <v>62578</v>
      </c>
      <c r="GA321" s="847">
        <v>63781</v>
      </c>
      <c r="GB321" s="847">
        <v>65004</v>
      </c>
      <c r="GC321" s="847">
        <v>66247</v>
      </c>
      <c r="GD321" s="847">
        <v>67508</v>
      </c>
      <c r="GE321" s="847">
        <v>68788</v>
      </c>
      <c r="GF321" s="847">
        <v>70085</v>
      </c>
      <c r="GG321" s="847">
        <v>71399</v>
      </c>
      <c r="GH321" s="847">
        <v>72733</v>
      </c>
      <c r="GI321" s="847">
        <v>74085</v>
      </c>
      <c r="GJ321" s="847">
        <v>75455</v>
      </c>
      <c r="GK321" s="847">
        <v>76841</v>
      </c>
      <c r="GL321" s="847">
        <v>78243</v>
      </c>
      <c r="GM321" s="847">
        <v>79661</v>
      </c>
      <c r="GN321" s="847">
        <v>81095</v>
      </c>
      <c r="GO321" s="847">
        <v>82543</v>
      </c>
      <c r="GP321" s="847">
        <v>84005</v>
      </c>
      <c r="GQ321" s="847">
        <v>85479</v>
      </c>
      <c r="GR321" s="847">
        <v>86966</v>
      </c>
      <c r="GS321" s="847">
        <v>88465</v>
      </c>
      <c r="GT321" s="847">
        <v>89975</v>
      </c>
      <c r="GU321" s="847">
        <v>91496</v>
      </c>
      <c r="GV321" s="847">
        <v>93027</v>
      </c>
      <c r="GW321" s="847">
        <v>94569</v>
      </c>
      <c r="GX321" s="847">
        <v>96120</v>
      </c>
      <c r="GY321" s="847">
        <v>97680</v>
      </c>
      <c r="GZ321" s="847">
        <v>99248</v>
      </c>
      <c r="HA321" s="847">
        <v>100823</v>
      </c>
      <c r="HB321" s="847">
        <v>102404</v>
      </c>
      <c r="HC321" s="847">
        <v>103991</v>
      </c>
      <c r="HD321" s="847">
        <v>105583</v>
      </c>
      <c r="HE321" s="847">
        <v>107180</v>
      </c>
      <c r="HF321" s="847">
        <v>108782</v>
      </c>
      <c r="HG321" s="847">
        <v>110388</v>
      </c>
      <c r="HH321" s="847">
        <v>111999</v>
      </c>
      <c r="HI321" s="847">
        <v>113614</v>
      </c>
      <c r="HJ321" s="847">
        <v>115230</v>
      </c>
      <c r="HK321" s="847">
        <v>116845</v>
      </c>
      <c r="HL321" s="847">
        <v>118452</v>
      </c>
      <c r="HM321" s="847">
        <v>120058</v>
      </c>
      <c r="HN321" s="847">
        <v>121662</v>
      </c>
      <c r="HO321" s="847">
        <v>123264</v>
      </c>
      <c r="HP321" s="847">
        <v>124863</v>
      </c>
      <c r="HQ321" s="847">
        <v>126458</v>
      </c>
      <c r="HR321" s="847">
        <v>128049</v>
      </c>
      <c r="HS321" s="847">
        <v>129636</v>
      </c>
      <c r="HT321" s="847">
        <v>131219</v>
      </c>
      <c r="HU321" s="847">
        <v>132798</v>
      </c>
      <c r="HV321" s="847">
        <v>134371</v>
      </c>
      <c r="HW321" s="847">
        <v>135940</v>
      </c>
      <c r="HX321" s="847">
        <v>137503</v>
      </c>
      <c r="HY321" s="847">
        <v>139062</v>
      </c>
      <c r="HZ321" s="847">
        <v>140617</v>
      </c>
      <c r="IA321" s="847">
        <v>142171</v>
      </c>
      <c r="IB321" s="847">
        <v>143733</v>
      </c>
      <c r="IC321" s="847">
        <v>145336</v>
      </c>
      <c r="ID321" s="847">
        <v>147136</v>
      </c>
      <c r="IE321" s="847">
        <v>148600</v>
      </c>
      <c r="IF321" s="847">
        <v>0</v>
      </c>
      <c r="IG321" s="847">
        <v>0</v>
      </c>
      <c r="IH321" s="847">
        <v>0</v>
      </c>
      <c r="II321" s="847">
        <v>0</v>
      </c>
      <c r="IJ321" s="847">
        <v>0</v>
      </c>
      <c r="IK321" s="847">
        <v>0</v>
      </c>
    </row>
    <row r="322" spans="12:245" hidden="1">
      <c r="L322" s="843" t="s">
        <v>1060</v>
      </c>
      <c r="M322" s="843" t="s">
        <v>1382</v>
      </c>
      <c r="N322" s="843" t="s">
        <v>96</v>
      </c>
      <c r="O322" s="844">
        <v>7</v>
      </c>
      <c r="P322" s="780" t="str">
        <f t="shared" si="12"/>
        <v>IWT060107</v>
      </c>
      <c r="Q322" s="844">
        <v>2151</v>
      </c>
      <c r="R322" s="844">
        <v>6087</v>
      </c>
      <c r="S322" s="844">
        <v>10578</v>
      </c>
      <c r="T322" s="844">
        <v>15639</v>
      </c>
      <c r="U322" s="844">
        <v>21289</v>
      </c>
      <c r="V322" s="844">
        <v>27266</v>
      </c>
      <c r="W322" s="844">
        <v>28091</v>
      </c>
      <c r="X322" s="844">
        <v>28652</v>
      </c>
      <c r="Y322" s="844">
        <v>29225</v>
      </c>
      <c r="Z322" s="844">
        <v>29809</v>
      </c>
      <c r="AA322" s="844">
        <v>30406</v>
      </c>
      <c r="AB322" s="844">
        <v>31014</v>
      </c>
      <c r="AC322" s="844">
        <v>31634</v>
      </c>
      <c r="AD322" s="844">
        <v>32267</v>
      </c>
      <c r="AE322" s="844">
        <v>32912</v>
      </c>
      <c r="AF322" s="844">
        <v>33570</v>
      </c>
      <c r="AG322" s="844">
        <v>34242</v>
      </c>
      <c r="AH322" s="844">
        <v>34926</v>
      </c>
      <c r="AI322" s="844">
        <v>35625</v>
      </c>
      <c r="AJ322" s="844">
        <v>36337</v>
      </c>
      <c r="AK322" s="844">
        <v>37064</v>
      </c>
      <c r="AL322" s="844">
        <v>37806</v>
      </c>
      <c r="AM322" s="844">
        <v>38562</v>
      </c>
      <c r="AN322" s="844">
        <v>39333</v>
      </c>
      <c r="AO322" s="844">
        <v>40120</v>
      </c>
      <c r="AP322" s="844">
        <v>40922</v>
      </c>
      <c r="AQ322" s="844">
        <v>41740</v>
      </c>
      <c r="AR322" s="844">
        <v>42575</v>
      </c>
      <c r="AS322" s="844">
        <v>43427</v>
      </c>
      <c r="AT322" s="844">
        <v>44295</v>
      </c>
      <c r="AU322" s="844">
        <v>45181</v>
      </c>
      <c r="AV322" s="844">
        <v>46083</v>
      </c>
      <c r="AW322" s="844">
        <v>47002</v>
      </c>
      <c r="AX322" s="844">
        <v>47938</v>
      </c>
      <c r="AY322" s="844">
        <v>48891</v>
      </c>
      <c r="AZ322" s="844">
        <v>49862</v>
      </c>
      <c r="BA322" s="844">
        <v>50850</v>
      </c>
      <c r="BB322" s="844">
        <v>51856</v>
      </c>
      <c r="BC322" s="844">
        <v>52880</v>
      </c>
      <c r="BD322" s="844">
        <v>53922</v>
      </c>
      <c r="BE322" s="844">
        <v>54982</v>
      </c>
      <c r="BF322" s="844">
        <v>56060</v>
      </c>
      <c r="BG322" s="844">
        <v>57156</v>
      </c>
      <c r="BH322" s="844">
        <v>58271</v>
      </c>
      <c r="BI322" s="844">
        <v>59404</v>
      </c>
      <c r="BJ322" s="844">
        <v>60556</v>
      </c>
      <c r="BK322" s="844">
        <v>61726</v>
      </c>
      <c r="BL322" s="844">
        <v>62917</v>
      </c>
      <c r="BM322" s="844">
        <v>64126</v>
      </c>
      <c r="BN322" s="844">
        <v>65355</v>
      </c>
      <c r="BO322" s="844">
        <v>66603</v>
      </c>
      <c r="BP322" s="844">
        <v>67869</v>
      </c>
      <c r="BQ322" s="844">
        <v>69152</v>
      </c>
      <c r="BR322" s="844">
        <v>70453</v>
      </c>
      <c r="BS322" s="844">
        <v>71773</v>
      </c>
      <c r="BT322" s="844">
        <v>73112</v>
      </c>
      <c r="BU322" s="844">
        <v>74468</v>
      </c>
      <c r="BV322" s="844">
        <v>75841</v>
      </c>
      <c r="BW322" s="844">
        <v>77230</v>
      </c>
      <c r="BX322" s="844">
        <v>78634</v>
      </c>
      <c r="BY322" s="844">
        <v>80055</v>
      </c>
      <c r="BZ322" s="844">
        <v>81490</v>
      </c>
      <c r="CA322" s="844">
        <v>82938</v>
      </c>
      <c r="CB322" s="844">
        <v>84400</v>
      </c>
      <c r="CC322" s="844">
        <v>85874</v>
      </c>
      <c r="CD322" s="844">
        <v>87361</v>
      </c>
      <c r="CE322" s="844">
        <v>88859</v>
      </c>
      <c r="CF322" s="844">
        <v>90368</v>
      </c>
      <c r="CG322" s="844">
        <v>91887</v>
      </c>
      <c r="CH322" s="844">
        <v>93417</v>
      </c>
      <c r="CI322" s="844">
        <v>94957</v>
      </c>
      <c r="CJ322" s="844">
        <v>96506</v>
      </c>
      <c r="CK322" s="844">
        <v>98063</v>
      </c>
      <c r="CL322" s="844">
        <v>99627</v>
      </c>
      <c r="CM322" s="844">
        <v>101198</v>
      </c>
      <c r="CN322" s="844">
        <v>102775</v>
      </c>
      <c r="CO322" s="844">
        <v>104357</v>
      </c>
      <c r="CP322" s="844">
        <v>105945</v>
      </c>
      <c r="CQ322" s="844">
        <v>107537</v>
      </c>
      <c r="CR322" s="844">
        <v>109135</v>
      </c>
      <c r="CS322" s="844">
        <v>110737</v>
      </c>
      <c r="CT322" s="844">
        <v>112343</v>
      </c>
      <c r="CU322" s="844">
        <v>113951</v>
      </c>
      <c r="CV322" s="844">
        <v>115558</v>
      </c>
      <c r="CW322" s="844">
        <v>117158</v>
      </c>
      <c r="CX322" s="844">
        <v>118757</v>
      </c>
      <c r="CY322" s="844">
        <v>120354</v>
      </c>
      <c r="CZ322" s="844">
        <v>121949</v>
      </c>
      <c r="DA322" s="844">
        <v>123542</v>
      </c>
      <c r="DB322" s="844">
        <v>125131</v>
      </c>
      <c r="DC322" s="844">
        <v>126717</v>
      </c>
      <c r="DD322" s="844">
        <v>128299</v>
      </c>
      <c r="DE322" s="844">
        <v>129877</v>
      </c>
      <c r="DF322" s="844">
        <v>131450</v>
      </c>
      <c r="DG322" s="844">
        <v>133019</v>
      </c>
      <c r="DH322" s="844">
        <v>134583</v>
      </c>
      <c r="DI322" s="844">
        <v>136143</v>
      </c>
      <c r="DJ322" s="844">
        <v>137698</v>
      </c>
      <c r="DK322" s="844">
        <v>139249</v>
      </c>
      <c r="DL322" s="844">
        <v>140800</v>
      </c>
      <c r="DM322" s="844">
        <v>142358</v>
      </c>
      <c r="DN322" s="844">
        <v>143957</v>
      </c>
      <c r="DO322" s="844">
        <v>145750</v>
      </c>
      <c r="DP322" s="844">
        <v>147200</v>
      </c>
      <c r="DQ322" s="844">
        <v>0</v>
      </c>
      <c r="DR322" s="844">
        <v>0</v>
      </c>
      <c r="DS322" s="844">
        <v>0</v>
      </c>
      <c r="DT322" s="844">
        <v>0</v>
      </c>
      <c r="DU322" s="844">
        <v>0</v>
      </c>
      <c r="DV322" s="844">
        <v>0</v>
      </c>
      <c r="DW322" s="844">
        <v>0</v>
      </c>
      <c r="DY322" s="846" t="s">
        <v>1060</v>
      </c>
      <c r="DZ322" s="846" t="s">
        <v>1382</v>
      </c>
      <c r="EA322" s="846" t="s">
        <v>96</v>
      </c>
      <c r="EB322" s="847">
        <v>7</v>
      </c>
      <c r="EC322" s="780" t="str">
        <f t="shared" si="13"/>
        <v>IWT060107</v>
      </c>
      <c r="ED322" s="847">
        <v>0</v>
      </c>
      <c r="EE322" s="847">
        <v>2868</v>
      </c>
      <c r="EF322" s="847">
        <v>7609</v>
      </c>
      <c r="EG322" s="847">
        <v>12445</v>
      </c>
      <c r="EH322" s="847">
        <v>17377</v>
      </c>
      <c r="EI322" s="847">
        <v>22409</v>
      </c>
      <c r="EJ322" s="847">
        <v>27541</v>
      </c>
      <c r="EK322" s="847">
        <v>28091</v>
      </c>
      <c r="EL322" s="847">
        <v>28652</v>
      </c>
      <c r="EM322" s="847">
        <v>29225</v>
      </c>
      <c r="EN322" s="847">
        <v>29809</v>
      </c>
      <c r="EO322" s="847">
        <v>30406</v>
      </c>
      <c r="EP322" s="847">
        <v>31014</v>
      </c>
      <c r="EQ322" s="847">
        <v>31634</v>
      </c>
      <c r="ER322" s="847">
        <v>32267</v>
      </c>
      <c r="ES322" s="847">
        <v>32912</v>
      </c>
      <c r="ET322" s="847">
        <v>33570</v>
      </c>
      <c r="EU322" s="847">
        <v>34242</v>
      </c>
      <c r="EV322" s="847">
        <v>34926</v>
      </c>
      <c r="EW322" s="847">
        <v>35625</v>
      </c>
      <c r="EX322" s="847">
        <v>36337</v>
      </c>
      <c r="EY322" s="847">
        <v>37064</v>
      </c>
      <c r="EZ322" s="847">
        <v>37806</v>
      </c>
      <c r="FA322" s="847">
        <v>38562</v>
      </c>
      <c r="FB322" s="847">
        <v>39333</v>
      </c>
      <c r="FC322" s="847">
        <v>40120</v>
      </c>
      <c r="FD322" s="847">
        <v>40922</v>
      </c>
      <c r="FE322" s="847">
        <v>41740</v>
      </c>
      <c r="FF322" s="847">
        <v>42575</v>
      </c>
      <c r="FG322" s="847">
        <v>43427</v>
      </c>
      <c r="FH322" s="847">
        <v>44295</v>
      </c>
      <c r="FI322" s="847">
        <v>45181</v>
      </c>
      <c r="FJ322" s="847">
        <v>46083</v>
      </c>
      <c r="FK322" s="847">
        <v>47002</v>
      </c>
      <c r="FL322" s="847">
        <v>47938</v>
      </c>
      <c r="FM322" s="847">
        <v>48891</v>
      </c>
      <c r="FN322" s="847">
        <v>49862</v>
      </c>
      <c r="FO322" s="847">
        <v>50850</v>
      </c>
      <c r="FP322" s="847">
        <v>51856</v>
      </c>
      <c r="FQ322" s="847">
        <v>52880</v>
      </c>
      <c r="FR322" s="847">
        <v>53922</v>
      </c>
      <c r="FS322" s="847">
        <v>54982</v>
      </c>
      <c r="FT322" s="847">
        <v>56060</v>
      </c>
      <c r="FU322" s="847">
        <v>57156</v>
      </c>
      <c r="FV322" s="847">
        <v>58271</v>
      </c>
      <c r="FW322" s="847">
        <v>59404</v>
      </c>
      <c r="FX322" s="847">
        <v>60556</v>
      </c>
      <c r="FY322" s="847">
        <v>61726</v>
      </c>
      <c r="FZ322" s="847">
        <v>62917</v>
      </c>
      <c r="GA322" s="847">
        <v>64126</v>
      </c>
      <c r="GB322" s="847">
        <v>65355</v>
      </c>
      <c r="GC322" s="847">
        <v>66603</v>
      </c>
      <c r="GD322" s="847">
        <v>67869</v>
      </c>
      <c r="GE322" s="847">
        <v>69152</v>
      </c>
      <c r="GF322" s="847">
        <v>70453</v>
      </c>
      <c r="GG322" s="847">
        <v>71773</v>
      </c>
      <c r="GH322" s="847">
        <v>73112</v>
      </c>
      <c r="GI322" s="847">
        <v>74468</v>
      </c>
      <c r="GJ322" s="847">
        <v>75841</v>
      </c>
      <c r="GK322" s="847">
        <v>77230</v>
      </c>
      <c r="GL322" s="847">
        <v>78634</v>
      </c>
      <c r="GM322" s="847">
        <v>80055</v>
      </c>
      <c r="GN322" s="847">
        <v>81490</v>
      </c>
      <c r="GO322" s="847">
        <v>82938</v>
      </c>
      <c r="GP322" s="847">
        <v>84400</v>
      </c>
      <c r="GQ322" s="847">
        <v>85874</v>
      </c>
      <c r="GR322" s="847">
        <v>87361</v>
      </c>
      <c r="GS322" s="847">
        <v>88859</v>
      </c>
      <c r="GT322" s="847">
        <v>90368</v>
      </c>
      <c r="GU322" s="847">
        <v>91887</v>
      </c>
      <c r="GV322" s="847">
        <v>93417</v>
      </c>
      <c r="GW322" s="847">
        <v>94957</v>
      </c>
      <c r="GX322" s="847">
        <v>96506</v>
      </c>
      <c r="GY322" s="847">
        <v>98063</v>
      </c>
      <c r="GZ322" s="847">
        <v>99627</v>
      </c>
      <c r="HA322" s="847">
        <v>101198</v>
      </c>
      <c r="HB322" s="847">
        <v>102775</v>
      </c>
      <c r="HC322" s="847">
        <v>104357</v>
      </c>
      <c r="HD322" s="847">
        <v>105945</v>
      </c>
      <c r="HE322" s="847">
        <v>107537</v>
      </c>
      <c r="HF322" s="847">
        <v>109135</v>
      </c>
      <c r="HG322" s="847">
        <v>110737</v>
      </c>
      <c r="HH322" s="847">
        <v>112343</v>
      </c>
      <c r="HI322" s="847">
        <v>113951</v>
      </c>
      <c r="HJ322" s="847">
        <v>115558</v>
      </c>
      <c r="HK322" s="847">
        <v>117158</v>
      </c>
      <c r="HL322" s="847">
        <v>118757</v>
      </c>
      <c r="HM322" s="847">
        <v>120354</v>
      </c>
      <c r="HN322" s="847">
        <v>121949</v>
      </c>
      <c r="HO322" s="847">
        <v>123542</v>
      </c>
      <c r="HP322" s="847">
        <v>125131</v>
      </c>
      <c r="HQ322" s="847">
        <v>126717</v>
      </c>
      <c r="HR322" s="847">
        <v>128299</v>
      </c>
      <c r="HS322" s="847">
        <v>129877</v>
      </c>
      <c r="HT322" s="847">
        <v>131450</v>
      </c>
      <c r="HU322" s="847">
        <v>133019</v>
      </c>
      <c r="HV322" s="847">
        <v>134583</v>
      </c>
      <c r="HW322" s="847">
        <v>136143</v>
      </c>
      <c r="HX322" s="847">
        <v>137698</v>
      </c>
      <c r="HY322" s="847">
        <v>139249</v>
      </c>
      <c r="HZ322" s="847">
        <v>140800</v>
      </c>
      <c r="IA322" s="847">
        <v>142358</v>
      </c>
      <c r="IB322" s="847">
        <v>143957</v>
      </c>
      <c r="IC322" s="847">
        <v>145750</v>
      </c>
      <c r="ID322" s="847">
        <v>147200</v>
      </c>
      <c r="IE322" s="847">
        <v>0</v>
      </c>
      <c r="IF322" s="847">
        <v>0</v>
      </c>
      <c r="IG322" s="847">
        <v>0</v>
      </c>
      <c r="IH322" s="847">
        <v>0</v>
      </c>
      <c r="II322" s="847">
        <v>0</v>
      </c>
      <c r="IJ322" s="847">
        <v>0</v>
      </c>
      <c r="IK322" s="847">
        <v>0</v>
      </c>
    </row>
    <row r="323" spans="12:245" hidden="1">
      <c r="L323" s="843" t="s">
        <v>1060</v>
      </c>
      <c r="M323" s="843" t="s">
        <v>1382</v>
      </c>
      <c r="N323" s="843" t="s">
        <v>96</v>
      </c>
      <c r="O323" s="844">
        <v>8</v>
      </c>
      <c r="P323" s="780" t="str">
        <f t="shared" si="12"/>
        <v>IWT060108</v>
      </c>
      <c r="Q323" s="844">
        <v>2162</v>
      </c>
      <c r="R323" s="844">
        <v>6118</v>
      </c>
      <c r="S323" s="844">
        <v>10634</v>
      </c>
      <c r="T323" s="844">
        <v>15722</v>
      </c>
      <c r="U323" s="844">
        <v>21401</v>
      </c>
      <c r="V323" s="844">
        <v>27409</v>
      </c>
      <c r="W323" s="844">
        <v>28239</v>
      </c>
      <c r="X323" s="844">
        <v>28803</v>
      </c>
      <c r="Y323" s="844">
        <v>29379</v>
      </c>
      <c r="Z323" s="844">
        <v>29966</v>
      </c>
      <c r="AA323" s="844">
        <v>30566</v>
      </c>
      <c r="AB323" s="844">
        <v>31177</v>
      </c>
      <c r="AC323" s="844">
        <v>31801</v>
      </c>
      <c r="AD323" s="844">
        <v>32437</v>
      </c>
      <c r="AE323" s="844">
        <v>33085</v>
      </c>
      <c r="AF323" s="844">
        <v>33747</v>
      </c>
      <c r="AG323" s="844">
        <v>34422</v>
      </c>
      <c r="AH323" s="844">
        <v>35110</v>
      </c>
      <c r="AI323" s="844">
        <v>35813</v>
      </c>
      <c r="AJ323" s="844">
        <v>36529</v>
      </c>
      <c r="AK323" s="844">
        <v>37259</v>
      </c>
      <c r="AL323" s="844">
        <v>38005</v>
      </c>
      <c r="AM323" s="844">
        <v>38765</v>
      </c>
      <c r="AN323" s="844">
        <v>39540</v>
      </c>
      <c r="AO323" s="844">
        <v>40331</v>
      </c>
      <c r="AP323" s="844">
        <v>41137</v>
      </c>
      <c r="AQ323" s="844">
        <v>41960</v>
      </c>
      <c r="AR323" s="844">
        <v>42799</v>
      </c>
      <c r="AS323" s="844">
        <v>43655</v>
      </c>
      <c r="AT323" s="844">
        <v>44529</v>
      </c>
      <c r="AU323" s="844">
        <v>45419</v>
      </c>
      <c r="AV323" s="844">
        <v>46326</v>
      </c>
      <c r="AW323" s="844">
        <v>47250</v>
      </c>
      <c r="AX323" s="844">
        <v>48192</v>
      </c>
      <c r="AY323" s="844">
        <v>49151</v>
      </c>
      <c r="AZ323" s="844">
        <v>50127</v>
      </c>
      <c r="BA323" s="844">
        <v>51120</v>
      </c>
      <c r="BB323" s="844">
        <v>52132</v>
      </c>
      <c r="BC323" s="844">
        <v>53161</v>
      </c>
      <c r="BD323" s="844">
        <v>54208</v>
      </c>
      <c r="BE323" s="844">
        <v>55274</v>
      </c>
      <c r="BF323" s="844">
        <v>56357</v>
      </c>
      <c r="BG323" s="844">
        <v>57459</v>
      </c>
      <c r="BH323" s="844">
        <v>58579</v>
      </c>
      <c r="BI323" s="844">
        <v>59718</v>
      </c>
      <c r="BJ323" s="844">
        <v>60875</v>
      </c>
      <c r="BK323" s="844">
        <v>62052</v>
      </c>
      <c r="BL323" s="844">
        <v>63248</v>
      </c>
      <c r="BM323" s="844">
        <v>64464</v>
      </c>
      <c r="BN323" s="844">
        <v>65698</v>
      </c>
      <c r="BO323" s="844">
        <v>66950</v>
      </c>
      <c r="BP323" s="844">
        <v>68220</v>
      </c>
      <c r="BQ323" s="844">
        <v>69507</v>
      </c>
      <c r="BR323" s="844">
        <v>70814</v>
      </c>
      <c r="BS323" s="844">
        <v>72139</v>
      </c>
      <c r="BT323" s="844">
        <v>73481</v>
      </c>
      <c r="BU323" s="844">
        <v>74841</v>
      </c>
      <c r="BV323" s="844">
        <v>76216</v>
      </c>
      <c r="BW323" s="844">
        <v>77607</v>
      </c>
      <c r="BX323" s="844">
        <v>79014</v>
      </c>
      <c r="BY323" s="844">
        <v>80436</v>
      </c>
      <c r="BZ323" s="844">
        <v>81872</v>
      </c>
      <c r="CA323" s="844">
        <v>83321</v>
      </c>
      <c r="CB323" s="844">
        <v>84783</v>
      </c>
      <c r="CC323" s="844">
        <v>86257</v>
      </c>
      <c r="CD323" s="844">
        <v>87742</v>
      </c>
      <c r="CE323" s="844">
        <v>89239</v>
      </c>
      <c r="CF323" s="844">
        <v>90747</v>
      </c>
      <c r="CG323" s="844">
        <v>92265</v>
      </c>
      <c r="CH323" s="844">
        <v>93794</v>
      </c>
      <c r="CI323" s="844">
        <v>95332</v>
      </c>
      <c r="CJ323" s="844">
        <v>96878</v>
      </c>
      <c r="CK323" s="844">
        <v>98432</v>
      </c>
      <c r="CL323" s="844">
        <v>99992</v>
      </c>
      <c r="CM323" s="844">
        <v>101559</v>
      </c>
      <c r="CN323" s="844">
        <v>103131</v>
      </c>
      <c r="CO323" s="844">
        <v>104709</v>
      </c>
      <c r="CP323" s="844">
        <v>106293</v>
      </c>
      <c r="CQ323" s="844">
        <v>107881</v>
      </c>
      <c r="CR323" s="844">
        <v>109475</v>
      </c>
      <c r="CS323" s="844">
        <v>111072</v>
      </c>
      <c r="CT323" s="844">
        <v>112672</v>
      </c>
      <c r="CU323" s="844">
        <v>114271</v>
      </c>
      <c r="CV323" s="844">
        <v>115864</v>
      </c>
      <c r="CW323" s="844">
        <v>117455</v>
      </c>
      <c r="CX323" s="844">
        <v>119046</v>
      </c>
      <c r="CY323" s="844">
        <v>120634</v>
      </c>
      <c r="CZ323" s="844">
        <v>122221</v>
      </c>
      <c r="DA323" s="844">
        <v>123804</v>
      </c>
      <c r="DB323" s="844">
        <v>125384</v>
      </c>
      <c r="DC323" s="844">
        <v>126961</v>
      </c>
      <c r="DD323" s="844">
        <v>128534</v>
      </c>
      <c r="DE323" s="844">
        <v>130102</v>
      </c>
      <c r="DF323" s="844">
        <v>131667</v>
      </c>
      <c r="DG323" s="844">
        <v>133227</v>
      </c>
      <c r="DH323" s="844">
        <v>134782</v>
      </c>
      <c r="DI323" s="844">
        <v>136334</v>
      </c>
      <c r="DJ323" s="844">
        <v>137882</v>
      </c>
      <c r="DK323" s="844">
        <v>139429</v>
      </c>
      <c r="DL323" s="844">
        <v>140984</v>
      </c>
      <c r="DM323" s="844">
        <v>142579</v>
      </c>
      <c r="DN323" s="844">
        <v>144364</v>
      </c>
      <c r="DO323" s="844">
        <v>145800</v>
      </c>
      <c r="DP323" s="844">
        <v>0</v>
      </c>
      <c r="DQ323" s="844">
        <v>0</v>
      </c>
      <c r="DR323" s="844">
        <v>0</v>
      </c>
      <c r="DS323" s="844">
        <v>0</v>
      </c>
      <c r="DT323" s="844">
        <v>0</v>
      </c>
      <c r="DU323" s="844">
        <v>0</v>
      </c>
      <c r="DV323" s="844">
        <v>0</v>
      </c>
      <c r="DW323" s="844">
        <v>0</v>
      </c>
      <c r="DY323" s="846" t="s">
        <v>1060</v>
      </c>
      <c r="DZ323" s="846" t="s">
        <v>1382</v>
      </c>
      <c r="EA323" s="846" t="s">
        <v>96</v>
      </c>
      <c r="EB323" s="847">
        <v>8</v>
      </c>
      <c r="EC323" s="780" t="str">
        <f t="shared" si="13"/>
        <v>IWT060108</v>
      </c>
      <c r="ED323" s="847">
        <v>0</v>
      </c>
      <c r="EE323" s="847">
        <v>2882</v>
      </c>
      <c r="EF323" s="847">
        <v>7648</v>
      </c>
      <c r="EG323" s="847">
        <v>12510</v>
      </c>
      <c r="EH323" s="847">
        <v>17469</v>
      </c>
      <c r="EI323" s="847">
        <v>22527</v>
      </c>
      <c r="EJ323" s="847">
        <v>27686</v>
      </c>
      <c r="EK323" s="847">
        <v>28239</v>
      </c>
      <c r="EL323" s="847">
        <v>28803</v>
      </c>
      <c r="EM323" s="847">
        <v>29379</v>
      </c>
      <c r="EN323" s="847">
        <v>29966</v>
      </c>
      <c r="EO323" s="847">
        <v>30566</v>
      </c>
      <c r="EP323" s="847">
        <v>31177</v>
      </c>
      <c r="EQ323" s="847">
        <v>31801</v>
      </c>
      <c r="ER323" s="847">
        <v>32437</v>
      </c>
      <c r="ES323" s="847">
        <v>33085</v>
      </c>
      <c r="ET323" s="847">
        <v>33747</v>
      </c>
      <c r="EU323" s="847">
        <v>34422</v>
      </c>
      <c r="EV323" s="847">
        <v>35110</v>
      </c>
      <c r="EW323" s="847">
        <v>35813</v>
      </c>
      <c r="EX323" s="847">
        <v>36529</v>
      </c>
      <c r="EY323" s="847">
        <v>37259</v>
      </c>
      <c r="EZ323" s="847">
        <v>38005</v>
      </c>
      <c r="FA323" s="847">
        <v>38765</v>
      </c>
      <c r="FB323" s="847">
        <v>39540</v>
      </c>
      <c r="FC323" s="847">
        <v>40331</v>
      </c>
      <c r="FD323" s="847">
        <v>41137</v>
      </c>
      <c r="FE323" s="847">
        <v>41960</v>
      </c>
      <c r="FF323" s="847">
        <v>42799</v>
      </c>
      <c r="FG323" s="847">
        <v>43655</v>
      </c>
      <c r="FH323" s="847">
        <v>44529</v>
      </c>
      <c r="FI323" s="847">
        <v>45419</v>
      </c>
      <c r="FJ323" s="847">
        <v>46326</v>
      </c>
      <c r="FK323" s="847">
        <v>47250</v>
      </c>
      <c r="FL323" s="847">
        <v>48192</v>
      </c>
      <c r="FM323" s="847">
        <v>49151</v>
      </c>
      <c r="FN323" s="847">
        <v>50127</v>
      </c>
      <c r="FO323" s="847">
        <v>51120</v>
      </c>
      <c r="FP323" s="847">
        <v>52132</v>
      </c>
      <c r="FQ323" s="847">
        <v>53161</v>
      </c>
      <c r="FR323" s="847">
        <v>54208</v>
      </c>
      <c r="FS323" s="847">
        <v>55274</v>
      </c>
      <c r="FT323" s="847">
        <v>56357</v>
      </c>
      <c r="FU323" s="847">
        <v>57459</v>
      </c>
      <c r="FV323" s="847">
        <v>58579</v>
      </c>
      <c r="FW323" s="847">
        <v>59718</v>
      </c>
      <c r="FX323" s="847">
        <v>60875</v>
      </c>
      <c r="FY323" s="847">
        <v>62052</v>
      </c>
      <c r="FZ323" s="847">
        <v>63248</v>
      </c>
      <c r="GA323" s="847">
        <v>64464</v>
      </c>
      <c r="GB323" s="847">
        <v>65698</v>
      </c>
      <c r="GC323" s="847">
        <v>66950</v>
      </c>
      <c r="GD323" s="847">
        <v>68220</v>
      </c>
      <c r="GE323" s="847">
        <v>69507</v>
      </c>
      <c r="GF323" s="847">
        <v>70814</v>
      </c>
      <c r="GG323" s="847">
        <v>72139</v>
      </c>
      <c r="GH323" s="847">
        <v>73481</v>
      </c>
      <c r="GI323" s="847">
        <v>74841</v>
      </c>
      <c r="GJ323" s="847">
        <v>76216</v>
      </c>
      <c r="GK323" s="847">
        <v>77607</v>
      </c>
      <c r="GL323" s="847">
        <v>79014</v>
      </c>
      <c r="GM323" s="847">
        <v>80436</v>
      </c>
      <c r="GN323" s="847">
        <v>81872</v>
      </c>
      <c r="GO323" s="847">
        <v>83321</v>
      </c>
      <c r="GP323" s="847">
        <v>84783</v>
      </c>
      <c r="GQ323" s="847">
        <v>86257</v>
      </c>
      <c r="GR323" s="847">
        <v>87742</v>
      </c>
      <c r="GS323" s="847">
        <v>89239</v>
      </c>
      <c r="GT323" s="847">
        <v>90747</v>
      </c>
      <c r="GU323" s="847">
        <v>92265</v>
      </c>
      <c r="GV323" s="847">
        <v>93794</v>
      </c>
      <c r="GW323" s="847">
        <v>95332</v>
      </c>
      <c r="GX323" s="847">
        <v>96878</v>
      </c>
      <c r="GY323" s="847">
        <v>98432</v>
      </c>
      <c r="GZ323" s="847">
        <v>99992</v>
      </c>
      <c r="HA323" s="847">
        <v>101559</v>
      </c>
      <c r="HB323" s="847">
        <v>103131</v>
      </c>
      <c r="HC323" s="847">
        <v>104709</v>
      </c>
      <c r="HD323" s="847">
        <v>106293</v>
      </c>
      <c r="HE323" s="847">
        <v>107881</v>
      </c>
      <c r="HF323" s="847">
        <v>109475</v>
      </c>
      <c r="HG323" s="847">
        <v>111072</v>
      </c>
      <c r="HH323" s="847">
        <v>112672</v>
      </c>
      <c r="HI323" s="847">
        <v>114271</v>
      </c>
      <c r="HJ323" s="847">
        <v>115864</v>
      </c>
      <c r="HK323" s="847">
        <v>117455</v>
      </c>
      <c r="HL323" s="847">
        <v>119046</v>
      </c>
      <c r="HM323" s="847">
        <v>120634</v>
      </c>
      <c r="HN323" s="847">
        <v>122221</v>
      </c>
      <c r="HO323" s="847">
        <v>123804</v>
      </c>
      <c r="HP323" s="847">
        <v>125384</v>
      </c>
      <c r="HQ323" s="847">
        <v>126961</v>
      </c>
      <c r="HR323" s="847">
        <v>128534</v>
      </c>
      <c r="HS323" s="847">
        <v>130102</v>
      </c>
      <c r="HT323" s="847">
        <v>131667</v>
      </c>
      <c r="HU323" s="847">
        <v>133227</v>
      </c>
      <c r="HV323" s="847">
        <v>134782</v>
      </c>
      <c r="HW323" s="847">
        <v>136334</v>
      </c>
      <c r="HX323" s="847">
        <v>137882</v>
      </c>
      <c r="HY323" s="847">
        <v>139429</v>
      </c>
      <c r="HZ323" s="847">
        <v>140984</v>
      </c>
      <c r="IA323" s="847">
        <v>142579</v>
      </c>
      <c r="IB323" s="847">
        <v>144364</v>
      </c>
      <c r="IC323" s="847">
        <v>145800</v>
      </c>
      <c r="ID323" s="847">
        <v>0</v>
      </c>
      <c r="IE323" s="847">
        <v>0</v>
      </c>
      <c r="IF323" s="847">
        <v>0</v>
      </c>
      <c r="IG323" s="847">
        <v>0</v>
      </c>
      <c r="IH323" s="847">
        <v>0</v>
      </c>
      <c r="II323" s="847">
        <v>0</v>
      </c>
      <c r="IJ323" s="847">
        <v>0</v>
      </c>
      <c r="IK323" s="847">
        <v>0</v>
      </c>
    </row>
    <row r="324" spans="12:245" hidden="1">
      <c r="L324" s="843" t="s">
        <v>1060</v>
      </c>
      <c r="M324" s="843" t="s">
        <v>1382</v>
      </c>
      <c r="N324" s="843" t="s">
        <v>96</v>
      </c>
      <c r="O324" s="844">
        <v>9</v>
      </c>
      <c r="P324" s="780" t="str">
        <f t="shared" si="12"/>
        <v>IWT060109</v>
      </c>
      <c r="Q324" s="844">
        <v>2172</v>
      </c>
      <c r="R324" s="844">
        <v>6150</v>
      </c>
      <c r="S324" s="844">
        <v>10688</v>
      </c>
      <c r="T324" s="844">
        <v>15802</v>
      </c>
      <c r="U324" s="844">
        <v>21510</v>
      </c>
      <c r="V324" s="844">
        <v>27549</v>
      </c>
      <c r="W324" s="844">
        <v>28383</v>
      </c>
      <c r="X324" s="844">
        <v>28950</v>
      </c>
      <c r="Y324" s="844">
        <v>29529</v>
      </c>
      <c r="Z324" s="844">
        <v>30119</v>
      </c>
      <c r="AA324" s="844">
        <v>30722</v>
      </c>
      <c r="AB324" s="844">
        <v>31336</v>
      </c>
      <c r="AC324" s="844">
        <v>31963</v>
      </c>
      <c r="AD324" s="844">
        <v>32602</v>
      </c>
      <c r="AE324" s="844">
        <v>33254</v>
      </c>
      <c r="AF324" s="844">
        <v>33919</v>
      </c>
      <c r="AG324" s="844">
        <v>34598</v>
      </c>
      <c r="AH324" s="844">
        <v>35290</v>
      </c>
      <c r="AI324" s="844">
        <v>35995</v>
      </c>
      <c r="AJ324" s="844">
        <v>36715</v>
      </c>
      <c r="AK324" s="844">
        <v>37450</v>
      </c>
      <c r="AL324" s="844">
        <v>38199</v>
      </c>
      <c r="AM324" s="844">
        <v>38963</v>
      </c>
      <c r="AN324" s="844">
        <v>39742</v>
      </c>
      <c r="AO324" s="844">
        <v>40537</v>
      </c>
      <c r="AP324" s="844">
        <v>41347</v>
      </c>
      <c r="AQ324" s="844">
        <v>42174</v>
      </c>
      <c r="AR324" s="844">
        <v>43018</v>
      </c>
      <c r="AS324" s="844">
        <v>43878</v>
      </c>
      <c r="AT324" s="844">
        <v>44756</v>
      </c>
      <c r="AU324" s="844">
        <v>45651</v>
      </c>
      <c r="AV324" s="844">
        <v>46563</v>
      </c>
      <c r="AW324" s="844">
        <v>47493</v>
      </c>
      <c r="AX324" s="844">
        <v>48439</v>
      </c>
      <c r="AY324" s="844">
        <v>49403</v>
      </c>
      <c r="AZ324" s="844">
        <v>50384</v>
      </c>
      <c r="BA324" s="844">
        <v>51383</v>
      </c>
      <c r="BB324" s="844">
        <v>52400</v>
      </c>
      <c r="BC324" s="844">
        <v>53435</v>
      </c>
      <c r="BD324" s="844">
        <v>54487</v>
      </c>
      <c r="BE324" s="844">
        <v>55558</v>
      </c>
      <c r="BF324" s="844">
        <v>56647</v>
      </c>
      <c r="BG324" s="844">
        <v>57754</v>
      </c>
      <c r="BH324" s="844">
        <v>58879</v>
      </c>
      <c r="BI324" s="844">
        <v>60024</v>
      </c>
      <c r="BJ324" s="844">
        <v>61187</v>
      </c>
      <c r="BK324" s="844">
        <v>62370</v>
      </c>
      <c r="BL324" s="844">
        <v>63572</v>
      </c>
      <c r="BM324" s="844">
        <v>64793</v>
      </c>
      <c r="BN324" s="844">
        <v>66032</v>
      </c>
      <c r="BO324" s="844">
        <v>67288</v>
      </c>
      <c r="BP324" s="844">
        <v>68561</v>
      </c>
      <c r="BQ324" s="844">
        <v>69854</v>
      </c>
      <c r="BR324" s="844">
        <v>71166</v>
      </c>
      <c r="BS324" s="844">
        <v>72495</v>
      </c>
      <c r="BT324" s="844">
        <v>73840</v>
      </c>
      <c r="BU324" s="844">
        <v>75202</v>
      </c>
      <c r="BV324" s="844">
        <v>76580</v>
      </c>
      <c r="BW324" s="844">
        <v>77974</v>
      </c>
      <c r="BX324" s="844">
        <v>79383</v>
      </c>
      <c r="BY324" s="844">
        <v>80806</v>
      </c>
      <c r="BZ324" s="844">
        <v>82242</v>
      </c>
      <c r="CA324" s="844">
        <v>83691</v>
      </c>
      <c r="CB324" s="844">
        <v>85152</v>
      </c>
      <c r="CC324" s="844">
        <v>86626</v>
      </c>
      <c r="CD324" s="844">
        <v>88111</v>
      </c>
      <c r="CE324" s="844">
        <v>89607</v>
      </c>
      <c r="CF324" s="844">
        <v>91114</v>
      </c>
      <c r="CG324" s="844">
        <v>92631</v>
      </c>
      <c r="CH324" s="844">
        <v>94158</v>
      </c>
      <c r="CI324" s="844">
        <v>95693</v>
      </c>
      <c r="CJ324" s="844">
        <v>97236</v>
      </c>
      <c r="CK324" s="844">
        <v>98786</v>
      </c>
      <c r="CL324" s="844">
        <v>100343</v>
      </c>
      <c r="CM324" s="844">
        <v>101906</v>
      </c>
      <c r="CN324" s="844">
        <v>103474</v>
      </c>
      <c r="CO324" s="844">
        <v>105048</v>
      </c>
      <c r="CP324" s="844">
        <v>106628</v>
      </c>
      <c r="CQ324" s="844">
        <v>108212</v>
      </c>
      <c r="CR324" s="844">
        <v>109801</v>
      </c>
      <c r="CS324" s="844">
        <v>111393</v>
      </c>
      <c r="CT324" s="844">
        <v>112984</v>
      </c>
      <c r="CU324" s="844">
        <v>114569</v>
      </c>
      <c r="CV324" s="844">
        <v>116154</v>
      </c>
      <c r="CW324" s="844">
        <v>117738</v>
      </c>
      <c r="CX324" s="844">
        <v>119320</v>
      </c>
      <c r="CY324" s="844">
        <v>120900</v>
      </c>
      <c r="CZ324" s="844">
        <v>122477</v>
      </c>
      <c r="DA324" s="844">
        <v>124052</v>
      </c>
      <c r="DB324" s="844">
        <v>125623</v>
      </c>
      <c r="DC324" s="844">
        <v>127191</v>
      </c>
      <c r="DD324" s="844">
        <v>128755</v>
      </c>
      <c r="DE324" s="844">
        <v>130315</v>
      </c>
      <c r="DF324" s="844">
        <v>131871</v>
      </c>
      <c r="DG324" s="844">
        <v>133422</v>
      </c>
      <c r="DH324" s="844">
        <v>134970</v>
      </c>
      <c r="DI324" s="844">
        <v>136514</v>
      </c>
      <c r="DJ324" s="844">
        <v>138058</v>
      </c>
      <c r="DK324" s="844">
        <v>139609</v>
      </c>
      <c r="DL324" s="844">
        <v>141200</v>
      </c>
      <c r="DM324" s="844">
        <v>142977</v>
      </c>
      <c r="DN324" s="844">
        <v>144400</v>
      </c>
      <c r="DO324" s="844">
        <v>0</v>
      </c>
      <c r="DP324" s="844">
        <v>0</v>
      </c>
      <c r="DQ324" s="844">
        <v>0</v>
      </c>
      <c r="DR324" s="844">
        <v>0</v>
      </c>
      <c r="DS324" s="844">
        <v>0</v>
      </c>
      <c r="DT324" s="844">
        <v>0</v>
      </c>
      <c r="DU324" s="844">
        <v>0</v>
      </c>
      <c r="DV324" s="844">
        <v>0</v>
      </c>
      <c r="DW324" s="844">
        <v>0</v>
      </c>
      <c r="DY324" s="846" t="s">
        <v>1060</v>
      </c>
      <c r="DZ324" s="846" t="s">
        <v>1382</v>
      </c>
      <c r="EA324" s="846" t="s">
        <v>96</v>
      </c>
      <c r="EB324" s="847">
        <v>9</v>
      </c>
      <c r="EC324" s="780" t="str">
        <f t="shared" si="13"/>
        <v>IWT060109</v>
      </c>
      <c r="ED324" s="847">
        <v>0</v>
      </c>
      <c r="EE324" s="847">
        <v>2896</v>
      </c>
      <c r="EF324" s="847">
        <v>7687</v>
      </c>
      <c r="EG324" s="847">
        <v>12574</v>
      </c>
      <c r="EH324" s="847">
        <v>17558</v>
      </c>
      <c r="EI324" s="847">
        <v>22642</v>
      </c>
      <c r="EJ324" s="847">
        <v>27827</v>
      </c>
      <c r="EK324" s="847">
        <v>28383</v>
      </c>
      <c r="EL324" s="847">
        <v>28950</v>
      </c>
      <c r="EM324" s="847">
        <v>29529</v>
      </c>
      <c r="EN324" s="847">
        <v>30119</v>
      </c>
      <c r="EO324" s="847">
        <v>30722</v>
      </c>
      <c r="EP324" s="847">
        <v>31336</v>
      </c>
      <c r="EQ324" s="847">
        <v>31963</v>
      </c>
      <c r="ER324" s="847">
        <v>32602</v>
      </c>
      <c r="ES324" s="847">
        <v>33254</v>
      </c>
      <c r="ET324" s="847">
        <v>33919</v>
      </c>
      <c r="EU324" s="847">
        <v>34598</v>
      </c>
      <c r="EV324" s="847">
        <v>35290</v>
      </c>
      <c r="EW324" s="847">
        <v>35995</v>
      </c>
      <c r="EX324" s="847">
        <v>36715</v>
      </c>
      <c r="EY324" s="847">
        <v>37450</v>
      </c>
      <c r="EZ324" s="847">
        <v>38199</v>
      </c>
      <c r="FA324" s="847">
        <v>38963</v>
      </c>
      <c r="FB324" s="847">
        <v>39742</v>
      </c>
      <c r="FC324" s="847">
        <v>40537</v>
      </c>
      <c r="FD324" s="847">
        <v>41347</v>
      </c>
      <c r="FE324" s="847">
        <v>42174</v>
      </c>
      <c r="FF324" s="847">
        <v>43018</v>
      </c>
      <c r="FG324" s="847">
        <v>43878</v>
      </c>
      <c r="FH324" s="847">
        <v>44756</v>
      </c>
      <c r="FI324" s="847">
        <v>45651</v>
      </c>
      <c r="FJ324" s="847">
        <v>46563</v>
      </c>
      <c r="FK324" s="847">
        <v>47493</v>
      </c>
      <c r="FL324" s="847">
        <v>48439</v>
      </c>
      <c r="FM324" s="847">
        <v>49403</v>
      </c>
      <c r="FN324" s="847">
        <v>50384</v>
      </c>
      <c r="FO324" s="847">
        <v>51383</v>
      </c>
      <c r="FP324" s="847">
        <v>52400</v>
      </c>
      <c r="FQ324" s="847">
        <v>53435</v>
      </c>
      <c r="FR324" s="847">
        <v>54487</v>
      </c>
      <c r="FS324" s="847">
        <v>55558</v>
      </c>
      <c r="FT324" s="847">
        <v>56647</v>
      </c>
      <c r="FU324" s="847">
        <v>57754</v>
      </c>
      <c r="FV324" s="847">
        <v>58879</v>
      </c>
      <c r="FW324" s="847">
        <v>60024</v>
      </c>
      <c r="FX324" s="847">
        <v>61187</v>
      </c>
      <c r="FY324" s="847">
        <v>62370</v>
      </c>
      <c r="FZ324" s="847">
        <v>63572</v>
      </c>
      <c r="GA324" s="847">
        <v>64793</v>
      </c>
      <c r="GB324" s="847">
        <v>66032</v>
      </c>
      <c r="GC324" s="847">
        <v>67288</v>
      </c>
      <c r="GD324" s="847">
        <v>68561</v>
      </c>
      <c r="GE324" s="847">
        <v>69854</v>
      </c>
      <c r="GF324" s="847">
        <v>71166</v>
      </c>
      <c r="GG324" s="847">
        <v>72495</v>
      </c>
      <c r="GH324" s="847">
        <v>73840</v>
      </c>
      <c r="GI324" s="847">
        <v>75202</v>
      </c>
      <c r="GJ324" s="847">
        <v>76580</v>
      </c>
      <c r="GK324" s="847">
        <v>77974</v>
      </c>
      <c r="GL324" s="847">
        <v>79383</v>
      </c>
      <c r="GM324" s="847">
        <v>80806</v>
      </c>
      <c r="GN324" s="847">
        <v>82242</v>
      </c>
      <c r="GO324" s="847">
        <v>83691</v>
      </c>
      <c r="GP324" s="847">
        <v>85152</v>
      </c>
      <c r="GQ324" s="847">
        <v>86626</v>
      </c>
      <c r="GR324" s="847">
        <v>88111</v>
      </c>
      <c r="GS324" s="847">
        <v>89607</v>
      </c>
      <c r="GT324" s="847">
        <v>91114</v>
      </c>
      <c r="GU324" s="847">
        <v>92631</v>
      </c>
      <c r="GV324" s="847">
        <v>94158</v>
      </c>
      <c r="GW324" s="847">
        <v>95693</v>
      </c>
      <c r="GX324" s="847">
        <v>97236</v>
      </c>
      <c r="GY324" s="847">
        <v>98786</v>
      </c>
      <c r="GZ324" s="847">
        <v>100343</v>
      </c>
      <c r="HA324" s="847">
        <v>101906</v>
      </c>
      <c r="HB324" s="847">
        <v>103474</v>
      </c>
      <c r="HC324" s="847">
        <v>105048</v>
      </c>
      <c r="HD324" s="847">
        <v>106628</v>
      </c>
      <c r="HE324" s="847">
        <v>108212</v>
      </c>
      <c r="HF324" s="847">
        <v>109801</v>
      </c>
      <c r="HG324" s="847">
        <v>111393</v>
      </c>
      <c r="HH324" s="847">
        <v>112984</v>
      </c>
      <c r="HI324" s="847">
        <v>114569</v>
      </c>
      <c r="HJ324" s="847">
        <v>116154</v>
      </c>
      <c r="HK324" s="847">
        <v>117738</v>
      </c>
      <c r="HL324" s="847">
        <v>119320</v>
      </c>
      <c r="HM324" s="847">
        <v>120900</v>
      </c>
      <c r="HN324" s="847">
        <v>122477</v>
      </c>
      <c r="HO324" s="847">
        <v>124052</v>
      </c>
      <c r="HP324" s="847">
        <v>125623</v>
      </c>
      <c r="HQ324" s="847">
        <v>127191</v>
      </c>
      <c r="HR324" s="847">
        <v>128755</v>
      </c>
      <c r="HS324" s="847">
        <v>130315</v>
      </c>
      <c r="HT324" s="847">
        <v>131871</v>
      </c>
      <c r="HU324" s="847">
        <v>133422</v>
      </c>
      <c r="HV324" s="847">
        <v>134970</v>
      </c>
      <c r="HW324" s="847">
        <v>136514</v>
      </c>
      <c r="HX324" s="847">
        <v>138058</v>
      </c>
      <c r="HY324" s="847">
        <v>139609</v>
      </c>
      <c r="HZ324" s="847">
        <v>141200</v>
      </c>
      <c r="IA324" s="847">
        <v>142977</v>
      </c>
      <c r="IB324" s="847">
        <v>144400</v>
      </c>
      <c r="IC324" s="847">
        <v>0</v>
      </c>
      <c r="ID324" s="847">
        <v>0</v>
      </c>
      <c r="IE324" s="847">
        <v>0</v>
      </c>
      <c r="IF324" s="847">
        <v>0</v>
      </c>
      <c r="IG324" s="847">
        <v>0</v>
      </c>
      <c r="IH324" s="847">
        <v>0</v>
      </c>
      <c r="II324" s="847">
        <v>0</v>
      </c>
      <c r="IJ324" s="847">
        <v>0</v>
      </c>
      <c r="IK324" s="847">
        <v>0</v>
      </c>
    </row>
    <row r="325" spans="12:245" hidden="1">
      <c r="L325" s="843" t="s">
        <v>1060</v>
      </c>
      <c r="M325" s="843" t="s">
        <v>1382</v>
      </c>
      <c r="N325" s="843" t="s">
        <v>96</v>
      </c>
      <c r="O325" s="844">
        <v>10</v>
      </c>
      <c r="P325" s="780" t="str">
        <f t="shared" si="12"/>
        <v>IWT060110</v>
      </c>
      <c r="Q325" s="844">
        <v>2183</v>
      </c>
      <c r="R325" s="844">
        <v>6180</v>
      </c>
      <c r="S325" s="844">
        <v>10740</v>
      </c>
      <c r="T325" s="844">
        <v>15880</v>
      </c>
      <c r="U325" s="844">
        <v>21615</v>
      </c>
      <c r="V325" s="844">
        <v>27684</v>
      </c>
      <c r="W325" s="844">
        <v>28523</v>
      </c>
      <c r="X325" s="844">
        <v>29093</v>
      </c>
      <c r="Y325" s="844">
        <v>29674</v>
      </c>
      <c r="Z325" s="844">
        <v>30268</v>
      </c>
      <c r="AA325" s="844">
        <v>30873</v>
      </c>
      <c r="AB325" s="844">
        <v>31491</v>
      </c>
      <c r="AC325" s="844">
        <v>32120</v>
      </c>
      <c r="AD325" s="844">
        <v>32763</v>
      </c>
      <c r="AE325" s="844">
        <v>33418</v>
      </c>
      <c r="AF325" s="844">
        <v>34087</v>
      </c>
      <c r="AG325" s="844">
        <v>34768</v>
      </c>
      <c r="AH325" s="844">
        <v>35464</v>
      </c>
      <c r="AI325" s="844">
        <v>36173</v>
      </c>
      <c r="AJ325" s="844">
        <v>36896</v>
      </c>
      <c r="AK325" s="844">
        <v>37634</v>
      </c>
      <c r="AL325" s="844">
        <v>38387</v>
      </c>
      <c r="AM325" s="844">
        <v>39155</v>
      </c>
      <c r="AN325" s="844">
        <v>39938</v>
      </c>
      <c r="AO325" s="844">
        <v>40737</v>
      </c>
      <c r="AP325" s="844">
        <v>41551</v>
      </c>
      <c r="AQ325" s="844">
        <v>42382</v>
      </c>
      <c r="AR325" s="844">
        <v>43230</v>
      </c>
      <c r="AS325" s="844">
        <v>44095</v>
      </c>
      <c r="AT325" s="844">
        <v>44976</v>
      </c>
      <c r="AU325" s="844">
        <v>45876</v>
      </c>
      <c r="AV325" s="844">
        <v>46793</v>
      </c>
      <c r="AW325" s="844">
        <v>47728</v>
      </c>
      <c r="AX325" s="844">
        <v>48679</v>
      </c>
      <c r="AY325" s="844">
        <v>49648</v>
      </c>
      <c r="AZ325" s="844">
        <v>50635</v>
      </c>
      <c r="BA325" s="844">
        <v>51639</v>
      </c>
      <c r="BB325" s="844">
        <v>52661</v>
      </c>
      <c r="BC325" s="844">
        <v>53701</v>
      </c>
      <c r="BD325" s="844">
        <v>54759</v>
      </c>
      <c r="BE325" s="844">
        <v>55835</v>
      </c>
      <c r="BF325" s="844">
        <v>56929</v>
      </c>
      <c r="BG325" s="844">
        <v>58041</v>
      </c>
      <c r="BH325" s="844">
        <v>59173</v>
      </c>
      <c r="BI325" s="844">
        <v>60323</v>
      </c>
      <c r="BJ325" s="844">
        <v>61492</v>
      </c>
      <c r="BK325" s="844">
        <v>62680</v>
      </c>
      <c r="BL325" s="844">
        <v>63888</v>
      </c>
      <c r="BM325" s="844">
        <v>65113</v>
      </c>
      <c r="BN325" s="844">
        <v>66355</v>
      </c>
      <c r="BO325" s="844">
        <v>67615</v>
      </c>
      <c r="BP325" s="844">
        <v>68895</v>
      </c>
      <c r="BQ325" s="844">
        <v>70193</v>
      </c>
      <c r="BR325" s="844">
        <v>71508</v>
      </c>
      <c r="BS325" s="844">
        <v>72840</v>
      </c>
      <c r="BT325" s="844">
        <v>74188</v>
      </c>
      <c r="BU325" s="844">
        <v>75553</v>
      </c>
      <c r="BV325" s="844">
        <v>76934</v>
      </c>
      <c r="BW325" s="844">
        <v>78329</v>
      </c>
      <c r="BX325" s="844">
        <v>79739</v>
      </c>
      <c r="BY325" s="844">
        <v>81163</v>
      </c>
      <c r="BZ325" s="844">
        <v>82599</v>
      </c>
      <c r="CA325" s="844">
        <v>84048</v>
      </c>
      <c r="CB325" s="844">
        <v>85510</v>
      </c>
      <c r="CC325" s="844">
        <v>86983</v>
      </c>
      <c r="CD325" s="844">
        <v>88467</v>
      </c>
      <c r="CE325" s="844">
        <v>89962</v>
      </c>
      <c r="CF325" s="844">
        <v>91468</v>
      </c>
      <c r="CG325" s="844">
        <v>92984</v>
      </c>
      <c r="CH325" s="844">
        <v>94508</v>
      </c>
      <c r="CI325" s="844">
        <v>96041</v>
      </c>
      <c r="CJ325" s="844">
        <v>97581</v>
      </c>
      <c r="CK325" s="844">
        <v>99127</v>
      </c>
      <c r="CL325" s="844">
        <v>100680</v>
      </c>
      <c r="CM325" s="844">
        <v>102239</v>
      </c>
      <c r="CN325" s="844">
        <v>103804</v>
      </c>
      <c r="CO325" s="844">
        <v>105374</v>
      </c>
      <c r="CP325" s="844">
        <v>106950</v>
      </c>
      <c r="CQ325" s="844">
        <v>108530</v>
      </c>
      <c r="CR325" s="844">
        <v>110114</v>
      </c>
      <c r="CS325" s="844">
        <v>111697</v>
      </c>
      <c r="CT325" s="844">
        <v>113275</v>
      </c>
      <c r="CU325" s="844">
        <v>114852</v>
      </c>
      <c r="CV325" s="844">
        <v>116429</v>
      </c>
      <c r="CW325" s="844">
        <v>118005</v>
      </c>
      <c r="CX325" s="844">
        <v>119579</v>
      </c>
      <c r="CY325" s="844">
        <v>121150</v>
      </c>
      <c r="CZ325" s="844">
        <v>122719</v>
      </c>
      <c r="DA325" s="844">
        <v>124285</v>
      </c>
      <c r="DB325" s="844">
        <v>125848</v>
      </c>
      <c r="DC325" s="844">
        <v>127407</v>
      </c>
      <c r="DD325" s="844">
        <v>128963</v>
      </c>
      <c r="DE325" s="844">
        <v>130514</v>
      </c>
      <c r="DF325" s="844">
        <v>132062</v>
      </c>
      <c r="DG325" s="844">
        <v>133606</v>
      </c>
      <c r="DH325" s="844">
        <v>135146</v>
      </c>
      <c r="DI325" s="844">
        <v>136687</v>
      </c>
      <c r="DJ325" s="844">
        <v>138234</v>
      </c>
      <c r="DK325" s="844">
        <v>139821</v>
      </c>
      <c r="DL325" s="844">
        <v>141591</v>
      </c>
      <c r="DM325" s="844">
        <v>143000</v>
      </c>
      <c r="DN325" s="844">
        <v>0</v>
      </c>
      <c r="DO325" s="844">
        <v>0</v>
      </c>
      <c r="DP325" s="844">
        <v>0</v>
      </c>
      <c r="DQ325" s="844">
        <v>0</v>
      </c>
      <c r="DR325" s="844">
        <v>0</v>
      </c>
      <c r="DS325" s="844">
        <v>0</v>
      </c>
      <c r="DT325" s="844">
        <v>0</v>
      </c>
      <c r="DU325" s="844">
        <v>0</v>
      </c>
      <c r="DV325" s="844">
        <v>0</v>
      </c>
      <c r="DW325" s="844">
        <v>0</v>
      </c>
      <c r="DY325" s="846" t="s">
        <v>1060</v>
      </c>
      <c r="DZ325" s="846" t="s">
        <v>1382</v>
      </c>
      <c r="EA325" s="846" t="s">
        <v>96</v>
      </c>
      <c r="EB325" s="847">
        <v>10</v>
      </c>
      <c r="EC325" s="780" t="str">
        <f t="shared" si="13"/>
        <v>IWT060110</v>
      </c>
      <c r="ED325" s="847">
        <v>0</v>
      </c>
      <c r="EE325" s="847">
        <v>2910</v>
      </c>
      <c r="EF325" s="847">
        <v>7725</v>
      </c>
      <c r="EG325" s="847">
        <v>12635</v>
      </c>
      <c r="EH325" s="847">
        <v>17644</v>
      </c>
      <c r="EI325" s="847">
        <v>22753</v>
      </c>
      <c r="EJ325" s="847">
        <v>27964</v>
      </c>
      <c r="EK325" s="847">
        <v>28523</v>
      </c>
      <c r="EL325" s="847">
        <v>29093</v>
      </c>
      <c r="EM325" s="847">
        <v>29674</v>
      </c>
      <c r="EN325" s="847">
        <v>30268</v>
      </c>
      <c r="EO325" s="847">
        <v>30873</v>
      </c>
      <c r="EP325" s="847">
        <v>31491</v>
      </c>
      <c r="EQ325" s="847">
        <v>32120</v>
      </c>
      <c r="ER325" s="847">
        <v>32763</v>
      </c>
      <c r="ES325" s="847">
        <v>33418</v>
      </c>
      <c r="ET325" s="847">
        <v>34087</v>
      </c>
      <c r="EU325" s="847">
        <v>34768</v>
      </c>
      <c r="EV325" s="847">
        <v>35464</v>
      </c>
      <c r="EW325" s="847">
        <v>36173</v>
      </c>
      <c r="EX325" s="847">
        <v>36896</v>
      </c>
      <c r="EY325" s="847">
        <v>37634</v>
      </c>
      <c r="EZ325" s="847">
        <v>38387</v>
      </c>
      <c r="FA325" s="847">
        <v>39155</v>
      </c>
      <c r="FB325" s="847">
        <v>39938</v>
      </c>
      <c r="FC325" s="847">
        <v>40737</v>
      </c>
      <c r="FD325" s="847">
        <v>41551</v>
      </c>
      <c r="FE325" s="847">
        <v>42382</v>
      </c>
      <c r="FF325" s="847">
        <v>43230</v>
      </c>
      <c r="FG325" s="847">
        <v>44095</v>
      </c>
      <c r="FH325" s="847">
        <v>44976</v>
      </c>
      <c r="FI325" s="847">
        <v>45876</v>
      </c>
      <c r="FJ325" s="847">
        <v>46793</v>
      </c>
      <c r="FK325" s="847">
        <v>47728</v>
      </c>
      <c r="FL325" s="847">
        <v>48679</v>
      </c>
      <c r="FM325" s="847">
        <v>49648</v>
      </c>
      <c r="FN325" s="847">
        <v>50635</v>
      </c>
      <c r="FO325" s="847">
        <v>51639</v>
      </c>
      <c r="FP325" s="847">
        <v>52661</v>
      </c>
      <c r="FQ325" s="847">
        <v>53701</v>
      </c>
      <c r="FR325" s="847">
        <v>54759</v>
      </c>
      <c r="FS325" s="847">
        <v>55835</v>
      </c>
      <c r="FT325" s="847">
        <v>56929</v>
      </c>
      <c r="FU325" s="847">
        <v>58041</v>
      </c>
      <c r="FV325" s="847">
        <v>59173</v>
      </c>
      <c r="FW325" s="847">
        <v>60323</v>
      </c>
      <c r="FX325" s="847">
        <v>61492</v>
      </c>
      <c r="FY325" s="847">
        <v>62680</v>
      </c>
      <c r="FZ325" s="847">
        <v>63888</v>
      </c>
      <c r="GA325" s="847">
        <v>65113</v>
      </c>
      <c r="GB325" s="847">
        <v>66355</v>
      </c>
      <c r="GC325" s="847">
        <v>67615</v>
      </c>
      <c r="GD325" s="847">
        <v>68895</v>
      </c>
      <c r="GE325" s="847">
        <v>70193</v>
      </c>
      <c r="GF325" s="847">
        <v>71508</v>
      </c>
      <c r="GG325" s="847">
        <v>72840</v>
      </c>
      <c r="GH325" s="847">
        <v>74188</v>
      </c>
      <c r="GI325" s="847">
        <v>75553</v>
      </c>
      <c r="GJ325" s="847">
        <v>76934</v>
      </c>
      <c r="GK325" s="847">
        <v>78329</v>
      </c>
      <c r="GL325" s="847">
        <v>79739</v>
      </c>
      <c r="GM325" s="847">
        <v>81163</v>
      </c>
      <c r="GN325" s="847">
        <v>82599</v>
      </c>
      <c r="GO325" s="847">
        <v>84048</v>
      </c>
      <c r="GP325" s="847">
        <v>85510</v>
      </c>
      <c r="GQ325" s="847">
        <v>86983</v>
      </c>
      <c r="GR325" s="847">
        <v>88467</v>
      </c>
      <c r="GS325" s="847">
        <v>89962</v>
      </c>
      <c r="GT325" s="847">
        <v>91468</v>
      </c>
      <c r="GU325" s="847">
        <v>92984</v>
      </c>
      <c r="GV325" s="847">
        <v>94508</v>
      </c>
      <c r="GW325" s="847">
        <v>96041</v>
      </c>
      <c r="GX325" s="847">
        <v>97581</v>
      </c>
      <c r="GY325" s="847">
        <v>99127</v>
      </c>
      <c r="GZ325" s="847">
        <v>100680</v>
      </c>
      <c r="HA325" s="847">
        <v>102239</v>
      </c>
      <c r="HB325" s="847">
        <v>103804</v>
      </c>
      <c r="HC325" s="847">
        <v>105374</v>
      </c>
      <c r="HD325" s="847">
        <v>106950</v>
      </c>
      <c r="HE325" s="847">
        <v>108530</v>
      </c>
      <c r="HF325" s="847">
        <v>110114</v>
      </c>
      <c r="HG325" s="847">
        <v>111697</v>
      </c>
      <c r="HH325" s="847">
        <v>113275</v>
      </c>
      <c r="HI325" s="847">
        <v>114852</v>
      </c>
      <c r="HJ325" s="847">
        <v>116429</v>
      </c>
      <c r="HK325" s="847">
        <v>118005</v>
      </c>
      <c r="HL325" s="847">
        <v>119579</v>
      </c>
      <c r="HM325" s="847">
        <v>121150</v>
      </c>
      <c r="HN325" s="847">
        <v>122719</v>
      </c>
      <c r="HO325" s="847">
        <v>124285</v>
      </c>
      <c r="HP325" s="847">
        <v>125848</v>
      </c>
      <c r="HQ325" s="847">
        <v>127407</v>
      </c>
      <c r="HR325" s="847">
        <v>128963</v>
      </c>
      <c r="HS325" s="847">
        <v>130514</v>
      </c>
      <c r="HT325" s="847">
        <v>132062</v>
      </c>
      <c r="HU325" s="847">
        <v>133606</v>
      </c>
      <c r="HV325" s="847">
        <v>135146</v>
      </c>
      <c r="HW325" s="847">
        <v>136687</v>
      </c>
      <c r="HX325" s="847">
        <v>138234</v>
      </c>
      <c r="HY325" s="847">
        <v>139821</v>
      </c>
      <c r="HZ325" s="847">
        <v>141591</v>
      </c>
      <c r="IA325" s="847">
        <v>143000</v>
      </c>
      <c r="IB325" s="847">
        <v>0</v>
      </c>
      <c r="IC325" s="847">
        <v>0</v>
      </c>
      <c r="ID325" s="847">
        <v>0</v>
      </c>
      <c r="IE325" s="847">
        <v>0</v>
      </c>
      <c r="IF325" s="847">
        <v>0</v>
      </c>
      <c r="IG325" s="847">
        <v>0</v>
      </c>
      <c r="IH325" s="847">
        <v>0</v>
      </c>
      <c r="II325" s="847">
        <v>0</v>
      </c>
      <c r="IJ325" s="847">
        <v>0</v>
      </c>
      <c r="IK325" s="847">
        <v>0</v>
      </c>
    </row>
    <row r="326" spans="12:245" hidden="1">
      <c r="L326" s="843" t="s">
        <v>1060</v>
      </c>
      <c r="M326" s="843" t="s">
        <v>1382</v>
      </c>
      <c r="N326" s="843" t="s">
        <v>96</v>
      </c>
      <c r="O326" s="844">
        <v>11</v>
      </c>
      <c r="P326" s="780" t="str">
        <f t="shared" si="12"/>
        <v>IWT060111</v>
      </c>
      <c r="Q326" s="844">
        <v>2193</v>
      </c>
      <c r="R326" s="844">
        <v>6209</v>
      </c>
      <c r="S326" s="844">
        <v>10792</v>
      </c>
      <c r="T326" s="844">
        <v>15955</v>
      </c>
      <c r="U326" s="844">
        <v>21719</v>
      </c>
      <c r="V326" s="844">
        <v>27817</v>
      </c>
      <c r="W326" s="844">
        <v>28659</v>
      </c>
      <c r="X326" s="844">
        <v>29231</v>
      </c>
      <c r="Y326" s="844">
        <v>29816</v>
      </c>
      <c r="Z326" s="844">
        <v>30412</v>
      </c>
      <c r="AA326" s="844">
        <v>31020</v>
      </c>
      <c r="AB326" s="844">
        <v>31641</v>
      </c>
      <c r="AC326" s="844">
        <v>32273</v>
      </c>
      <c r="AD326" s="844">
        <v>32919</v>
      </c>
      <c r="AE326" s="844">
        <v>33577</v>
      </c>
      <c r="AF326" s="844">
        <v>34249</v>
      </c>
      <c r="AG326" s="844">
        <v>34934</v>
      </c>
      <c r="AH326" s="844">
        <v>35632</v>
      </c>
      <c r="AI326" s="844">
        <v>36345</v>
      </c>
      <c r="AJ326" s="844">
        <v>37072</v>
      </c>
      <c r="AK326" s="844">
        <v>37813</v>
      </c>
      <c r="AL326" s="844">
        <v>38570</v>
      </c>
      <c r="AM326" s="844">
        <v>39341</v>
      </c>
      <c r="AN326" s="844">
        <v>40128</v>
      </c>
      <c r="AO326" s="844">
        <v>40931</v>
      </c>
      <c r="AP326" s="844">
        <v>41749</v>
      </c>
      <c r="AQ326" s="844">
        <v>42584</v>
      </c>
      <c r="AR326" s="844">
        <v>43436</v>
      </c>
      <c r="AS326" s="844">
        <v>44304</v>
      </c>
      <c r="AT326" s="844">
        <v>45191</v>
      </c>
      <c r="AU326" s="844">
        <v>46094</v>
      </c>
      <c r="AV326" s="844">
        <v>47016</v>
      </c>
      <c r="AW326" s="844">
        <v>47956</v>
      </c>
      <c r="AX326" s="844">
        <v>48912</v>
      </c>
      <c r="AY326" s="844">
        <v>49886</v>
      </c>
      <c r="AZ326" s="844">
        <v>50878</v>
      </c>
      <c r="BA326" s="844">
        <v>51887</v>
      </c>
      <c r="BB326" s="844">
        <v>52914</v>
      </c>
      <c r="BC326" s="844">
        <v>53959</v>
      </c>
      <c r="BD326" s="844">
        <v>55022</v>
      </c>
      <c r="BE326" s="844">
        <v>56104</v>
      </c>
      <c r="BF326" s="844">
        <v>57203</v>
      </c>
      <c r="BG326" s="844">
        <v>58321</v>
      </c>
      <c r="BH326" s="844">
        <v>59458</v>
      </c>
      <c r="BI326" s="844">
        <v>60614</v>
      </c>
      <c r="BJ326" s="844">
        <v>61789</v>
      </c>
      <c r="BK326" s="844">
        <v>62982</v>
      </c>
      <c r="BL326" s="844">
        <v>64194</v>
      </c>
      <c r="BM326" s="844">
        <v>65423</v>
      </c>
      <c r="BN326" s="844">
        <v>66670</v>
      </c>
      <c r="BO326" s="844">
        <v>67935</v>
      </c>
      <c r="BP326" s="844">
        <v>69219</v>
      </c>
      <c r="BQ326" s="844">
        <v>70521</v>
      </c>
      <c r="BR326" s="844">
        <v>71840</v>
      </c>
      <c r="BS326" s="844">
        <v>73175</v>
      </c>
      <c r="BT326" s="844">
        <v>74526</v>
      </c>
      <c r="BU326" s="844">
        <v>75893</v>
      </c>
      <c r="BV326" s="844">
        <v>77276</v>
      </c>
      <c r="BW326" s="844">
        <v>78673</v>
      </c>
      <c r="BX326" s="844">
        <v>80083</v>
      </c>
      <c r="BY326" s="844">
        <v>81507</v>
      </c>
      <c r="BZ326" s="844">
        <v>82944</v>
      </c>
      <c r="CA326" s="844">
        <v>84393</v>
      </c>
      <c r="CB326" s="844">
        <v>85854</v>
      </c>
      <c r="CC326" s="844">
        <v>87327</v>
      </c>
      <c r="CD326" s="844">
        <v>88811</v>
      </c>
      <c r="CE326" s="844">
        <v>90305</v>
      </c>
      <c r="CF326" s="844">
        <v>91810</v>
      </c>
      <c r="CG326" s="844">
        <v>93323</v>
      </c>
      <c r="CH326" s="844">
        <v>94845</v>
      </c>
      <c r="CI326" s="844">
        <v>96375</v>
      </c>
      <c r="CJ326" s="844">
        <v>97911</v>
      </c>
      <c r="CK326" s="844">
        <v>99454</v>
      </c>
      <c r="CL326" s="844">
        <v>101004</v>
      </c>
      <c r="CM326" s="844">
        <v>102559</v>
      </c>
      <c r="CN326" s="844">
        <v>104121</v>
      </c>
      <c r="CO326" s="844">
        <v>105688</v>
      </c>
      <c r="CP326" s="844">
        <v>107260</v>
      </c>
      <c r="CQ326" s="844">
        <v>108835</v>
      </c>
      <c r="CR326" s="844">
        <v>110410</v>
      </c>
      <c r="CS326" s="844">
        <v>111980</v>
      </c>
      <c r="CT326" s="844">
        <v>113551</v>
      </c>
      <c r="CU326" s="844">
        <v>115121</v>
      </c>
      <c r="CV326" s="844">
        <v>116690</v>
      </c>
      <c r="CW326" s="844">
        <v>118258</v>
      </c>
      <c r="CX326" s="844">
        <v>119823</v>
      </c>
      <c r="CY326" s="844">
        <v>121387</v>
      </c>
      <c r="CZ326" s="844">
        <v>122948</v>
      </c>
      <c r="DA326" s="844">
        <v>124505</v>
      </c>
      <c r="DB326" s="844">
        <v>126060</v>
      </c>
      <c r="DC326" s="844">
        <v>127611</v>
      </c>
      <c r="DD326" s="844">
        <v>129158</v>
      </c>
      <c r="DE326" s="844">
        <v>130701</v>
      </c>
      <c r="DF326" s="844">
        <v>132241</v>
      </c>
      <c r="DG326" s="844">
        <v>133779</v>
      </c>
      <c r="DH326" s="844">
        <v>135315</v>
      </c>
      <c r="DI326" s="844">
        <v>136860</v>
      </c>
      <c r="DJ326" s="844">
        <v>138442</v>
      </c>
      <c r="DK326" s="844">
        <v>140205</v>
      </c>
      <c r="DL326" s="844">
        <v>141600</v>
      </c>
      <c r="DM326" s="844">
        <v>0</v>
      </c>
      <c r="DN326" s="844">
        <v>0</v>
      </c>
      <c r="DO326" s="844">
        <v>0</v>
      </c>
      <c r="DP326" s="844">
        <v>0</v>
      </c>
      <c r="DQ326" s="844">
        <v>0</v>
      </c>
      <c r="DR326" s="844">
        <v>0</v>
      </c>
      <c r="DS326" s="844">
        <v>0</v>
      </c>
      <c r="DT326" s="844">
        <v>0</v>
      </c>
      <c r="DU326" s="844">
        <v>0</v>
      </c>
      <c r="DV326" s="844">
        <v>0</v>
      </c>
      <c r="DW326" s="844">
        <v>0</v>
      </c>
      <c r="DY326" s="846" t="s">
        <v>1060</v>
      </c>
      <c r="DZ326" s="846" t="s">
        <v>1382</v>
      </c>
      <c r="EA326" s="846" t="s">
        <v>96</v>
      </c>
      <c r="EB326" s="847">
        <v>11</v>
      </c>
      <c r="EC326" s="780" t="str">
        <f t="shared" si="13"/>
        <v>IWT060111</v>
      </c>
      <c r="ED326" s="847">
        <v>0</v>
      </c>
      <c r="EE326" s="847">
        <v>2924</v>
      </c>
      <c r="EF326" s="847">
        <v>7761</v>
      </c>
      <c r="EG326" s="847">
        <v>12696</v>
      </c>
      <c r="EH326" s="847">
        <v>17728</v>
      </c>
      <c r="EI326" s="847">
        <v>22862</v>
      </c>
      <c r="EJ326" s="847">
        <v>28098</v>
      </c>
      <c r="EK326" s="847">
        <v>28659</v>
      </c>
      <c r="EL326" s="847">
        <v>29231</v>
      </c>
      <c r="EM326" s="847">
        <v>29816</v>
      </c>
      <c r="EN326" s="847">
        <v>30412</v>
      </c>
      <c r="EO326" s="847">
        <v>31020</v>
      </c>
      <c r="EP326" s="847">
        <v>31641</v>
      </c>
      <c r="EQ326" s="847">
        <v>32273</v>
      </c>
      <c r="ER326" s="847">
        <v>32919</v>
      </c>
      <c r="ES326" s="847">
        <v>33577</v>
      </c>
      <c r="ET326" s="847">
        <v>34249</v>
      </c>
      <c r="EU326" s="847">
        <v>34934</v>
      </c>
      <c r="EV326" s="847">
        <v>35632</v>
      </c>
      <c r="EW326" s="847">
        <v>36345</v>
      </c>
      <c r="EX326" s="847">
        <v>37072</v>
      </c>
      <c r="EY326" s="847">
        <v>37813</v>
      </c>
      <c r="EZ326" s="847">
        <v>38570</v>
      </c>
      <c r="FA326" s="847">
        <v>39341</v>
      </c>
      <c r="FB326" s="847">
        <v>40128</v>
      </c>
      <c r="FC326" s="847">
        <v>40931</v>
      </c>
      <c r="FD326" s="847">
        <v>41749</v>
      </c>
      <c r="FE326" s="847">
        <v>42584</v>
      </c>
      <c r="FF326" s="847">
        <v>43436</v>
      </c>
      <c r="FG326" s="847">
        <v>44304</v>
      </c>
      <c r="FH326" s="847">
        <v>45191</v>
      </c>
      <c r="FI326" s="847">
        <v>46094</v>
      </c>
      <c r="FJ326" s="847">
        <v>47016</v>
      </c>
      <c r="FK326" s="847">
        <v>47956</v>
      </c>
      <c r="FL326" s="847">
        <v>48912</v>
      </c>
      <c r="FM326" s="847">
        <v>49886</v>
      </c>
      <c r="FN326" s="847">
        <v>50878</v>
      </c>
      <c r="FO326" s="847">
        <v>51887</v>
      </c>
      <c r="FP326" s="847">
        <v>52914</v>
      </c>
      <c r="FQ326" s="847">
        <v>53959</v>
      </c>
      <c r="FR326" s="847">
        <v>55022</v>
      </c>
      <c r="FS326" s="847">
        <v>56104</v>
      </c>
      <c r="FT326" s="847">
        <v>57203</v>
      </c>
      <c r="FU326" s="847">
        <v>58321</v>
      </c>
      <c r="FV326" s="847">
        <v>59458</v>
      </c>
      <c r="FW326" s="847">
        <v>60614</v>
      </c>
      <c r="FX326" s="847">
        <v>61789</v>
      </c>
      <c r="FY326" s="847">
        <v>62982</v>
      </c>
      <c r="FZ326" s="847">
        <v>64194</v>
      </c>
      <c r="GA326" s="847">
        <v>65423</v>
      </c>
      <c r="GB326" s="847">
        <v>66670</v>
      </c>
      <c r="GC326" s="847">
        <v>67935</v>
      </c>
      <c r="GD326" s="847">
        <v>69219</v>
      </c>
      <c r="GE326" s="847">
        <v>70521</v>
      </c>
      <c r="GF326" s="847">
        <v>71840</v>
      </c>
      <c r="GG326" s="847">
        <v>73175</v>
      </c>
      <c r="GH326" s="847">
        <v>74526</v>
      </c>
      <c r="GI326" s="847">
        <v>75893</v>
      </c>
      <c r="GJ326" s="847">
        <v>77276</v>
      </c>
      <c r="GK326" s="847">
        <v>78673</v>
      </c>
      <c r="GL326" s="847">
        <v>80083</v>
      </c>
      <c r="GM326" s="847">
        <v>81507</v>
      </c>
      <c r="GN326" s="847">
        <v>82944</v>
      </c>
      <c r="GO326" s="847">
        <v>84393</v>
      </c>
      <c r="GP326" s="847">
        <v>85854</v>
      </c>
      <c r="GQ326" s="847">
        <v>87327</v>
      </c>
      <c r="GR326" s="847">
        <v>88811</v>
      </c>
      <c r="GS326" s="847">
        <v>90305</v>
      </c>
      <c r="GT326" s="847">
        <v>91810</v>
      </c>
      <c r="GU326" s="847">
        <v>93323</v>
      </c>
      <c r="GV326" s="847">
        <v>94845</v>
      </c>
      <c r="GW326" s="847">
        <v>96375</v>
      </c>
      <c r="GX326" s="847">
        <v>97911</v>
      </c>
      <c r="GY326" s="847">
        <v>99454</v>
      </c>
      <c r="GZ326" s="847">
        <v>101004</v>
      </c>
      <c r="HA326" s="847">
        <v>102559</v>
      </c>
      <c r="HB326" s="847">
        <v>104121</v>
      </c>
      <c r="HC326" s="847">
        <v>105688</v>
      </c>
      <c r="HD326" s="847">
        <v>107260</v>
      </c>
      <c r="HE326" s="847">
        <v>108835</v>
      </c>
      <c r="HF326" s="847">
        <v>110410</v>
      </c>
      <c r="HG326" s="847">
        <v>111980</v>
      </c>
      <c r="HH326" s="847">
        <v>113551</v>
      </c>
      <c r="HI326" s="847">
        <v>115121</v>
      </c>
      <c r="HJ326" s="847">
        <v>116690</v>
      </c>
      <c r="HK326" s="847">
        <v>118258</v>
      </c>
      <c r="HL326" s="847">
        <v>119823</v>
      </c>
      <c r="HM326" s="847">
        <v>121387</v>
      </c>
      <c r="HN326" s="847">
        <v>122948</v>
      </c>
      <c r="HO326" s="847">
        <v>124505</v>
      </c>
      <c r="HP326" s="847">
        <v>126060</v>
      </c>
      <c r="HQ326" s="847">
        <v>127611</v>
      </c>
      <c r="HR326" s="847">
        <v>129158</v>
      </c>
      <c r="HS326" s="847">
        <v>130701</v>
      </c>
      <c r="HT326" s="847">
        <v>132241</v>
      </c>
      <c r="HU326" s="847">
        <v>133779</v>
      </c>
      <c r="HV326" s="847">
        <v>135315</v>
      </c>
      <c r="HW326" s="847">
        <v>136860</v>
      </c>
      <c r="HX326" s="847">
        <v>138442</v>
      </c>
      <c r="HY326" s="847">
        <v>140205</v>
      </c>
      <c r="HZ326" s="847">
        <v>141600</v>
      </c>
      <c r="IA326" s="847">
        <v>0</v>
      </c>
      <c r="IB326" s="847">
        <v>0</v>
      </c>
      <c r="IC326" s="847">
        <v>0</v>
      </c>
      <c r="ID326" s="847">
        <v>0</v>
      </c>
      <c r="IE326" s="847">
        <v>0</v>
      </c>
      <c r="IF326" s="847">
        <v>0</v>
      </c>
      <c r="IG326" s="847">
        <v>0</v>
      </c>
      <c r="IH326" s="847">
        <v>0</v>
      </c>
      <c r="II326" s="847">
        <v>0</v>
      </c>
      <c r="IJ326" s="847">
        <v>0</v>
      </c>
      <c r="IK326" s="847">
        <v>0</v>
      </c>
    </row>
    <row r="327" spans="12:245" hidden="1">
      <c r="L327" s="843" t="s">
        <v>1060</v>
      </c>
      <c r="M327" s="843" t="s">
        <v>1382</v>
      </c>
      <c r="N327" s="843" t="s">
        <v>96</v>
      </c>
      <c r="O327" s="844">
        <v>12</v>
      </c>
      <c r="P327" s="780" t="str">
        <f t="shared" si="12"/>
        <v>IWT060112</v>
      </c>
      <c r="Q327" s="844">
        <v>2203</v>
      </c>
      <c r="R327" s="844">
        <v>6238</v>
      </c>
      <c r="S327" s="844">
        <v>10841</v>
      </c>
      <c r="T327" s="844">
        <v>16029</v>
      </c>
      <c r="U327" s="844">
        <v>21819</v>
      </c>
      <c r="V327" s="844">
        <v>27945</v>
      </c>
      <c r="W327" s="844">
        <v>28790</v>
      </c>
      <c r="X327" s="844">
        <v>29365</v>
      </c>
      <c r="Y327" s="844">
        <v>29953</v>
      </c>
      <c r="Z327" s="844">
        <v>30552</v>
      </c>
      <c r="AA327" s="844">
        <v>31163</v>
      </c>
      <c r="AB327" s="844">
        <v>31786</v>
      </c>
      <c r="AC327" s="844">
        <v>32422</v>
      </c>
      <c r="AD327" s="844">
        <v>33070</v>
      </c>
      <c r="AE327" s="844">
        <v>33731</v>
      </c>
      <c r="AF327" s="844">
        <v>34406</v>
      </c>
      <c r="AG327" s="844">
        <v>35094</v>
      </c>
      <c r="AH327" s="844">
        <v>35796</v>
      </c>
      <c r="AI327" s="844">
        <v>36512</v>
      </c>
      <c r="AJ327" s="844">
        <v>37242</v>
      </c>
      <c r="AK327" s="844">
        <v>37987</v>
      </c>
      <c r="AL327" s="844">
        <v>38747</v>
      </c>
      <c r="AM327" s="844">
        <v>39522</v>
      </c>
      <c r="AN327" s="844">
        <v>40312</v>
      </c>
      <c r="AO327" s="844">
        <v>41118</v>
      </c>
      <c r="AP327" s="844">
        <v>41941</v>
      </c>
      <c r="AQ327" s="844">
        <v>42780</v>
      </c>
      <c r="AR327" s="844">
        <v>43635</v>
      </c>
      <c r="AS327" s="844">
        <v>44508</v>
      </c>
      <c r="AT327" s="844">
        <v>45398</v>
      </c>
      <c r="AU327" s="844">
        <v>46306</v>
      </c>
      <c r="AV327" s="844">
        <v>47232</v>
      </c>
      <c r="AW327" s="844">
        <v>48176</v>
      </c>
      <c r="AX327" s="844">
        <v>49138</v>
      </c>
      <c r="AY327" s="844">
        <v>50117</v>
      </c>
      <c r="AZ327" s="844">
        <v>51114</v>
      </c>
      <c r="BA327" s="844">
        <v>52128</v>
      </c>
      <c r="BB327" s="844">
        <v>53160</v>
      </c>
      <c r="BC327" s="844">
        <v>54210</v>
      </c>
      <c r="BD327" s="844">
        <v>55279</v>
      </c>
      <c r="BE327" s="844">
        <v>56365</v>
      </c>
      <c r="BF327" s="844">
        <v>57470</v>
      </c>
      <c r="BG327" s="844">
        <v>58594</v>
      </c>
      <c r="BH327" s="844">
        <v>59736</v>
      </c>
      <c r="BI327" s="844">
        <v>60897</v>
      </c>
      <c r="BJ327" s="844">
        <v>62077</v>
      </c>
      <c r="BK327" s="844">
        <v>63275</v>
      </c>
      <c r="BL327" s="844">
        <v>64490</v>
      </c>
      <c r="BM327" s="844">
        <v>65724</v>
      </c>
      <c r="BN327" s="844">
        <v>66976</v>
      </c>
      <c r="BO327" s="844">
        <v>68246</v>
      </c>
      <c r="BP327" s="844">
        <v>69534</v>
      </c>
      <c r="BQ327" s="844">
        <v>70839</v>
      </c>
      <c r="BR327" s="844">
        <v>72161</v>
      </c>
      <c r="BS327" s="844">
        <v>73499</v>
      </c>
      <c r="BT327" s="844">
        <v>74853</v>
      </c>
      <c r="BU327" s="844">
        <v>76222</v>
      </c>
      <c r="BV327" s="844">
        <v>77606</v>
      </c>
      <c r="BW327" s="844">
        <v>79004</v>
      </c>
      <c r="BX327" s="844">
        <v>80416</v>
      </c>
      <c r="BY327" s="844">
        <v>81840</v>
      </c>
      <c r="BZ327" s="844">
        <v>83277</v>
      </c>
      <c r="CA327" s="844">
        <v>84726</v>
      </c>
      <c r="CB327" s="844">
        <v>86187</v>
      </c>
      <c r="CC327" s="844">
        <v>87659</v>
      </c>
      <c r="CD327" s="844">
        <v>89142</v>
      </c>
      <c r="CE327" s="844">
        <v>90636</v>
      </c>
      <c r="CF327" s="844">
        <v>92138</v>
      </c>
      <c r="CG327" s="844">
        <v>93650</v>
      </c>
      <c r="CH327" s="844">
        <v>95169</v>
      </c>
      <c r="CI327" s="844">
        <v>96696</v>
      </c>
      <c r="CJ327" s="844">
        <v>98229</v>
      </c>
      <c r="CK327" s="844">
        <v>99769</v>
      </c>
      <c r="CL327" s="844">
        <v>101315</v>
      </c>
      <c r="CM327" s="844">
        <v>102867</v>
      </c>
      <c r="CN327" s="844">
        <v>104426</v>
      </c>
      <c r="CO327" s="844">
        <v>105989</v>
      </c>
      <c r="CP327" s="844">
        <v>107556</v>
      </c>
      <c r="CQ327" s="844">
        <v>109123</v>
      </c>
      <c r="CR327" s="844">
        <v>110686</v>
      </c>
      <c r="CS327" s="844">
        <v>112249</v>
      </c>
      <c r="CT327" s="844">
        <v>113813</v>
      </c>
      <c r="CU327" s="844">
        <v>115375</v>
      </c>
      <c r="CV327" s="844">
        <v>116937</v>
      </c>
      <c r="CW327" s="844">
        <v>118497</v>
      </c>
      <c r="CX327" s="844">
        <v>120054</v>
      </c>
      <c r="CY327" s="844">
        <v>121610</v>
      </c>
      <c r="CZ327" s="844">
        <v>123162</v>
      </c>
      <c r="DA327" s="844">
        <v>124712</v>
      </c>
      <c r="DB327" s="844">
        <v>126259</v>
      </c>
      <c r="DC327" s="844">
        <v>127802</v>
      </c>
      <c r="DD327" s="844">
        <v>129341</v>
      </c>
      <c r="DE327" s="844">
        <v>130877</v>
      </c>
      <c r="DF327" s="844">
        <v>132411</v>
      </c>
      <c r="DG327" s="844">
        <v>133944</v>
      </c>
      <c r="DH327" s="844">
        <v>135485</v>
      </c>
      <c r="DI327" s="844">
        <v>137064</v>
      </c>
      <c r="DJ327" s="844">
        <v>138819</v>
      </c>
      <c r="DK327" s="844">
        <v>140200</v>
      </c>
      <c r="DL327" s="844">
        <v>0</v>
      </c>
      <c r="DM327" s="844">
        <v>0</v>
      </c>
      <c r="DN327" s="844">
        <v>0</v>
      </c>
      <c r="DO327" s="844">
        <v>0</v>
      </c>
      <c r="DP327" s="844">
        <v>0</v>
      </c>
      <c r="DQ327" s="844">
        <v>0</v>
      </c>
      <c r="DR327" s="844">
        <v>0</v>
      </c>
      <c r="DS327" s="844">
        <v>0</v>
      </c>
      <c r="DT327" s="844">
        <v>0</v>
      </c>
      <c r="DU327" s="844">
        <v>0</v>
      </c>
      <c r="DV327" s="844">
        <v>0</v>
      </c>
      <c r="DW327" s="844">
        <v>0</v>
      </c>
      <c r="DY327" s="846" t="s">
        <v>1060</v>
      </c>
      <c r="DZ327" s="846" t="s">
        <v>1382</v>
      </c>
      <c r="EA327" s="846" t="s">
        <v>96</v>
      </c>
      <c r="EB327" s="847">
        <v>12</v>
      </c>
      <c r="EC327" s="780" t="str">
        <f t="shared" si="13"/>
        <v>IWT060112</v>
      </c>
      <c r="ED327" s="847">
        <v>0</v>
      </c>
      <c r="EE327" s="847">
        <v>2937</v>
      </c>
      <c r="EF327" s="847">
        <v>7797</v>
      </c>
      <c r="EG327" s="847">
        <v>12754</v>
      </c>
      <c r="EH327" s="847">
        <v>17810</v>
      </c>
      <c r="EI327" s="847">
        <v>22967</v>
      </c>
      <c r="EJ327" s="847">
        <v>28227</v>
      </c>
      <c r="EK327" s="847">
        <v>28790</v>
      </c>
      <c r="EL327" s="847">
        <v>29365</v>
      </c>
      <c r="EM327" s="847">
        <v>29953</v>
      </c>
      <c r="EN327" s="847">
        <v>30552</v>
      </c>
      <c r="EO327" s="847">
        <v>31163</v>
      </c>
      <c r="EP327" s="847">
        <v>31786</v>
      </c>
      <c r="EQ327" s="847">
        <v>32422</v>
      </c>
      <c r="ER327" s="847">
        <v>33070</v>
      </c>
      <c r="ES327" s="847">
        <v>33731</v>
      </c>
      <c r="ET327" s="847">
        <v>34406</v>
      </c>
      <c r="EU327" s="847">
        <v>35094</v>
      </c>
      <c r="EV327" s="847">
        <v>35796</v>
      </c>
      <c r="EW327" s="847">
        <v>36512</v>
      </c>
      <c r="EX327" s="847">
        <v>37242</v>
      </c>
      <c r="EY327" s="847">
        <v>37987</v>
      </c>
      <c r="EZ327" s="847">
        <v>38747</v>
      </c>
      <c r="FA327" s="847">
        <v>39522</v>
      </c>
      <c r="FB327" s="847">
        <v>40312</v>
      </c>
      <c r="FC327" s="847">
        <v>41118</v>
      </c>
      <c r="FD327" s="847">
        <v>41941</v>
      </c>
      <c r="FE327" s="847">
        <v>42780</v>
      </c>
      <c r="FF327" s="847">
        <v>43635</v>
      </c>
      <c r="FG327" s="847">
        <v>44508</v>
      </c>
      <c r="FH327" s="847">
        <v>45398</v>
      </c>
      <c r="FI327" s="847">
        <v>46306</v>
      </c>
      <c r="FJ327" s="847">
        <v>47232</v>
      </c>
      <c r="FK327" s="847">
        <v>48176</v>
      </c>
      <c r="FL327" s="847">
        <v>49138</v>
      </c>
      <c r="FM327" s="847">
        <v>50117</v>
      </c>
      <c r="FN327" s="847">
        <v>51114</v>
      </c>
      <c r="FO327" s="847">
        <v>52128</v>
      </c>
      <c r="FP327" s="847">
        <v>53160</v>
      </c>
      <c r="FQ327" s="847">
        <v>54210</v>
      </c>
      <c r="FR327" s="847">
        <v>55279</v>
      </c>
      <c r="FS327" s="847">
        <v>56365</v>
      </c>
      <c r="FT327" s="847">
        <v>57470</v>
      </c>
      <c r="FU327" s="847">
        <v>58594</v>
      </c>
      <c r="FV327" s="847">
        <v>59736</v>
      </c>
      <c r="FW327" s="847">
        <v>60897</v>
      </c>
      <c r="FX327" s="847">
        <v>62077</v>
      </c>
      <c r="FY327" s="847">
        <v>63275</v>
      </c>
      <c r="FZ327" s="847">
        <v>64490</v>
      </c>
      <c r="GA327" s="847">
        <v>65724</v>
      </c>
      <c r="GB327" s="847">
        <v>66976</v>
      </c>
      <c r="GC327" s="847">
        <v>68246</v>
      </c>
      <c r="GD327" s="847">
        <v>69534</v>
      </c>
      <c r="GE327" s="847">
        <v>70839</v>
      </c>
      <c r="GF327" s="847">
        <v>72161</v>
      </c>
      <c r="GG327" s="847">
        <v>73499</v>
      </c>
      <c r="GH327" s="847">
        <v>74853</v>
      </c>
      <c r="GI327" s="847">
        <v>76222</v>
      </c>
      <c r="GJ327" s="847">
        <v>77606</v>
      </c>
      <c r="GK327" s="847">
        <v>79004</v>
      </c>
      <c r="GL327" s="847">
        <v>80416</v>
      </c>
      <c r="GM327" s="847">
        <v>81840</v>
      </c>
      <c r="GN327" s="847">
        <v>83277</v>
      </c>
      <c r="GO327" s="847">
        <v>84726</v>
      </c>
      <c r="GP327" s="847">
        <v>86187</v>
      </c>
      <c r="GQ327" s="847">
        <v>87659</v>
      </c>
      <c r="GR327" s="847">
        <v>89142</v>
      </c>
      <c r="GS327" s="847">
        <v>90636</v>
      </c>
      <c r="GT327" s="847">
        <v>92138</v>
      </c>
      <c r="GU327" s="847">
        <v>93650</v>
      </c>
      <c r="GV327" s="847">
        <v>95169</v>
      </c>
      <c r="GW327" s="847">
        <v>96696</v>
      </c>
      <c r="GX327" s="847">
        <v>98229</v>
      </c>
      <c r="GY327" s="847">
        <v>99769</v>
      </c>
      <c r="GZ327" s="847">
        <v>101315</v>
      </c>
      <c r="HA327" s="847">
        <v>102867</v>
      </c>
      <c r="HB327" s="847">
        <v>104426</v>
      </c>
      <c r="HC327" s="847">
        <v>105989</v>
      </c>
      <c r="HD327" s="847">
        <v>107556</v>
      </c>
      <c r="HE327" s="847">
        <v>109123</v>
      </c>
      <c r="HF327" s="847">
        <v>110686</v>
      </c>
      <c r="HG327" s="847">
        <v>112249</v>
      </c>
      <c r="HH327" s="847">
        <v>113813</v>
      </c>
      <c r="HI327" s="847">
        <v>115375</v>
      </c>
      <c r="HJ327" s="847">
        <v>116937</v>
      </c>
      <c r="HK327" s="847">
        <v>118497</v>
      </c>
      <c r="HL327" s="847">
        <v>120054</v>
      </c>
      <c r="HM327" s="847">
        <v>121610</v>
      </c>
      <c r="HN327" s="847">
        <v>123162</v>
      </c>
      <c r="HO327" s="847">
        <v>124712</v>
      </c>
      <c r="HP327" s="847">
        <v>126259</v>
      </c>
      <c r="HQ327" s="847">
        <v>127802</v>
      </c>
      <c r="HR327" s="847">
        <v>129341</v>
      </c>
      <c r="HS327" s="847">
        <v>130877</v>
      </c>
      <c r="HT327" s="847">
        <v>132411</v>
      </c>
      <c r="HU327" s="847">
        <v>133944</v>
      </c>
      <c r="HV327" s="847">
        <v>135485</v>
      </c>
      <c r="HW327" s="847">
        <v>137064</v>
      </c>
      <c r="HX327" s="847">
        <v>138819</v>
      </c>
      <c r="HY327" s="847">
        <v>140200</v>
      </c>
      <c r="HZ327" s="847">
        <v>0</v>
      </c>
      <c r="IA327" s="847">
        <v>0</v>
      </c>
      <c r="IB327" s="847">
        <v>0</v>
      </c>
      <c r="IC327" s="847">
        <v>0</v>
      </c>
      <c r="ID327" s="847">
        <v>0</v>
      </c>
      <c r="IE327" s="847">
        <v>0</v>
      </c>
      <c r="IF327" s="847">
        <v>0</v>
      </c>
      <c r="IG327" s="847">
        <v>0</v>
      </c>
      <c r="IH327" s="847">
        <v>0</v>
      </c>
      <c r="II327" s="847">
        <v>0</v>
      </c>
      <c r="IJ327" s="847">
        <v>0</v>
      </c>
      <c r="IK327" s="847">
        <v>0</v>
      </c>
    </row>
    <row r="328" spans="12:245" hidden="1">
      <c r="L328" s="843" t="s">
        <v>1060</v>
      </c>
      <c r="M328" s="843" t="s">
        <v>1382</v>
      </c>
      <c r="N328" s="843" t="s">
        <v>96</v>
      </c>
      <c r="O328" s="844">
        <v>13</v>
      </c>
      <c r="P328" s="780" t="str">
        <f t="shared" si="12"/>
        <v>IWT060113</v>
      </c>
      <c r="Q328" s="844">
        <v>2212</v>
      </c>
      <c r="R328" s="844">
        <v>6265</v>
      </c>
      <c r="S328" s="844">
        <v>10889</v>
      </c>
      <c r="T328" s="844">
        <v>16099</v>
      </c>
      <c r="U328" s="844">
        <v>21915</v>
      </c>
      <c r="V328" s="844">
        <v>28067</v>
      </c>
      <c r="W328" s="844">
        <v>28917</v>
      </c>
      <c r="X328" s="844">
        <v>29495</v>
      </c>
      <c r="Y328" s="844">
        <v>30085</v>
      </c>
      <c r="Z328" s="844">
        <v>30687</v>
      </c>
      <c r="AA328" s="844">
        <v>31300</v>
      </c>
      <c r="AB328" s="844">
        <v>31926</v>
      </c>
      <c r="AC328" s="844">
        <v>32565</v>
      </c>
      <c r="AD328" s="844">
        <v>33216</v>
      </c>
      <c r="AE328" s="844">
        <v>33880</v>
      </c>
      <c r="AF328" s="844">
        <v>34558</v>
      </c>
      <c r="AG328" s="844">
        <v>35249</v>
      </c>
      <c r="AH328" s="844">
        <v>35954</v>
      </c>
      <c r="AI328" s="844">
        <v>36673</v>
      </c>
      <c r="AJ328" s="844">
        <v>37407</v>
      </c>
      <c r="AK328" s="844">
        <v>38155</v>
      </c>
      <c r="AL328" s="844">
        <v>38918</v>
      </c>
      <c r="AM328" s="844">
        <v>39696</v>
      </c>
      <c r="AN328" s="844">
        <v>40490</v>
      </c>
      <c r="AO328" s="844">
        <v>41300</v>
      </c>
      <c r="AP328" s="844">
        <v>42126</v>
      </c>
      <c r="AQ328" s="844">
        <v>42969</v>
      </c>
      <c r="AR328" s="844">
        <v>43828</v>
      </c>
      <c r="AS328" s="844">
        <v>44704</v>
      </c>
      <c r="AT328" s="844">
        <v>45599</v>
      </c>
      <c r="AU328" s="844">
        <v>46511</v>
      </c>
      <c r="AV328" s="844">
        <v>47441</v>
      </c>
      <c r="AW328" s="844">
        <v>48390</v>
      </c>
      <c r="AX328" s="844">
        <v>49356</v>
      </c>
      <c r="AY328" s="844">
        <v>50340</v>
      </c>
      <c r="AZ328" s="844">
        <v>51342</v>
      </c>
      <c r="BA328" s="844">
        <v>52361</v>
      </c>
      <c r="BB328" s="844">
        <v>53398</v>
      </c>
      <c r="BC328" s="844">
        <v>54454</v>
      </c>
      <c r="BD328" s="844">
        <v>55527</v>
      </c>
      <c r="BE328" s="844">
        <v>56619</v>
      </c>
      <c r="BF328" s="844">
        <v>57729</v>
      </c>
      <c r="BG328" s="844">
        <v>58858</v>
      </c>
      <c r="BH328" s="844">
        <v>60006</v>
      </c>
      <c r="BI328" s="844">
        <v>61172</v>
      </c>
      <c r="BJ328" s="844">
        <v>62356</v>
      </c>
      <c r="BK328" s="844">
        <v>63558</v>
      </c>
      <c r="BL328" s="844">
        <v>64778</v>
      </c>
      <c r="BM328" s="844">
        <v>66016</v>
      </c>
      <c r="BN328" s="844">
        <v>67273</v>
      </c>
      <c r="BO328" s="844">
        <v>68548</v>
      </c>
      <c r="BP328" s="844">
        <v>69839</v>
      </c>
      <c r="BQ328" s="844">
        <v>71147</v>
      </c>
      <c r="BR328" s="844">
        <v>72472</v>
      </c>
      <c r="BS328" s="844">
        <v>73813</v>
      </c>
      <c r="BT328" s="844">
        <v>75169</v>
      </c>
      <c r="BU328" s="844">
        <v>76540</v>
      </c>
      <c r="BV328" s="844">
        <v>77925</v>
      </c>
      <c r="BW328" s="844">
        <v>79324</v>
      </c>
      <c r="BX328" s="844">
        <v>80736</v>
      </c>
      <c r="BY328" s="844">
        <v>82161</v>
      </c>
      <c r="BZ328" s="844">
        <v>83598</v>
      </c>
      <c r="CA328" s="844">
        <v>85047</v>
      </c>
      <c r="CB328" s="844">
        <v>86507</v>
      </c>
      <c r="CC328" s="844">
        <v>87979</v>
      </c>
      <c r="CD328" s="844">
        <v>89461</v>
      </c>
      <c r="CE328" s="844">
        <v>90953</v>
      </c>
      <c r="CF328" s="844">
        <v>92454</v>
      </c>
      <c r="CG328" s="844">
        <v>93963</v>
      </c>
      <c r="CH328" s="844">
        <v>95480</v>
      </c>
      <c r="CI328" s="844">
        <v>97003</v>
      </c>
      <c r="CJ328" s="844">
        <v>98534</v>
      </c>
      <c r="CK328" s="844">
        <v>100071</v>
      </c>
      <c r="CL328" s="844">
        <v>101614</v>
      </c>
      <c r="CM328" s="844">
        <v>103163</v>
      </c>
      <c r="CN328" s="844">
        <v>104718</v>
      </c>
      <c r="CO328" s="844">
        <v>106277</v>
      </c>
      <c r="CP328" s="844">
        <v>107836</v>
      </c>
      <c r="CQ328" s="844">
        <v>109392</v>
      </c>
      <c r="CR328" s="844">
        <v>110948</v>
      </c>
      <c r="CS328" s="844">
        <v>112504</v>
      </c>
      <c r="CT328" s="844">
        <v>114061</v>
      </c>
      <c r="CU328" s="844">
        <v>115616</v>
      </c>
      <c r="CV328" s="844">
        <v>117170</v>
      </c>
      <c r="CW328" s="844">
        <v>118722</v>
      </c>
      <c r="CX328" s="844">
        <v>120272</v>
      </c>
      <c r="CY328" s="844">
        <v>121820</v>
      </c>
      <c r="CZ328" s="844">
        <v>123365</v>
      </c>
      <c r="DA328" s="844">
        <v>124906</v>
      </c>
      <c r="DB328" s="844">
        <v>126445</v>
      </c>
      <c r="DC328" s="844">
        <v>127981</v>
      </c>
      <c r="DD328" s="844">
        <v>129513</v>
      </c>
      <c r="DE328" s="844">
        <v>131043</v>
      </c>
      <c r="DF328" s="844">
        <v>132573</v>
      </c>
      <c r="DG328" s="844">
        <v>134111</v>
      </c>
      <c r="DH328" s="844">
        <v>135685</v>
      </c>
      <c r="DI328" s="844">
        <v>137432</v>
      </c>
      <c r="DJ328" s="844">
        <v>138800</v>
      </c>
      <c r="DK328" s="844">
        <v>0</v>
      </c>
      <c r="DL328" s="844">
        <v>0</v>
      </c>
      <c r="DM328" s="844">
        <v>0</v>
      </c>
      <c r="DN328" s="844">
        <v>0</v>
      </c>
      <c r="DO328" s="844">
        <v>0</v>
      </c>
      <c r="DP328" s="844">
        <v>0</v>
      </c>
      <c r="DQ328" s="844">
        <v>0</v>
      </c>
      <c r="DR328" s="844">
        <v>0</v>
      </c>
      <c r="DS328" s="844">
        <v>0</v>
      </c>
      <c r="DT328" s="844">
        <v>0</v>
      </c>
      <c r="DU328" s="844">
        <v>0</v>
      </c>
      <c r="DV328" s="844">
        <v>0</v>
      </c>
      <c r="DW328" s="844">
        <v>0</v>
      </c>
      <c r="DY328" s="846" t="s">
        <v>1060</v>
      </c>
      <c r="DZ328" s="846" t="s">
        <v>1382</v>
      </c>
      <c r="EA328" s="846" t="s">
        <v>96</v>
      </c>
      <c r="EB328" s="847">
        <v>13</v>
      </c>
      <c r="EC328" s="780" t="str">
        <f t="shared" si="13"/>
        <v>IWT060113</v>
      </c>
      <c r="ED328" s="847">
        <v>0</v>
      </c>
      <c r="EE328" s="847">
        <v>2949</v>
      </c>
      <c r="EF328" s="847">
        <v>7831</v>
      </c>
      <c r="EG328" s="847">
        <v>12810</v>
      </c>
      <c r="EH328" s="847">
        <v>17888</v>
      </c>
      <c r="EI328" s="847">
        <v>23068</v>
      </c>
      <c r="EJ328" s="847">
        <v>28351</v>
      </c>
      <c r="EK328" s="847">
        <v>28917</v>
      </c>
      <c r="EL328" s="847">
        <v>29495</v>
      </c>
      <c r="EM328" s="847">
        <v>30085</v>
      </c>
      <c r="EN328" s="847">
        <v>30687</v>
      </c>
      <c r="EO328" s="847">
        <v>31300</v>
      </c>
      <c r="EP328" s="847">
        <v>31926</v>
      </c>
      <c r="EQ328" s="847">
        <v>32565</v>
      </c>
      <c r="ER328" s="847">
        <v>33216</v>
      </c>
      <c r="ES328" s="847">
        <v>33880</v>
      </c>
      <c r="ET328" s="847">
        <v>34558</v>
      </c>
      <c r="EU328" s="847">
        <v>35249</v>
      </c>
      <c r="EV328" s="847">
        <v>35954</v>
      </c>
      <c r="EW328" s="847">
        <v>36673</v>
      </c>
      <c r="EX328" s="847">
        <v>37407</v>
      </c>
      <c r="EY328" s="847">
        <v>38155</v>
      </c>
      <c r="EZ328" s="847">
        <v>38918</v>
      </c>
      <c r="FA328" s="847">
        <v>39696</v>
      </c>
      <c r="FB328" s="847">
        <v>40490</v>
      </c>
      <c r="FC328" s="847">
        <v>41300</v>
      </c>
      <c r="FD328" s="847">
        <v>42126</v>
      </c>
      <c r="FE328" s="847">
        <v>42969</v>
      </c>
      <c r="FF328" s="847">
        <v>43828</v>
      </c>
      <c r="FG328" s="847">
        <v>44704</v>
      </c>
      <c r="FH328" s="847">
        <v>45599</v>
      </c>
      <c r="FI328" s="847">
        <v>46511</v>
      </c>
      <c r="FJ328" s="847">
        <v>47441</v>
      </c>
      <c r="FK328" s="847">
        <v>48390</v>
      </c>
      <c r="FL328" s="847">
        <v>49356</v>
      </c>
      <c r="FM328" s="847">
        <v>50340</v>
      </c>
      <c r="FN328" s="847">
        <v>51342</v>
      </c>
      <c r="FO328" s="847">
        <v>52361</v>
      </c>
      <c r="FP328" s="847">
        <v>53398</v>
      </c>
      <c r="FQ328" s="847">
        <v>54454</v>
      </c>
      <c r="FR328" s="847">
        <v>55527</v>
      </c>
      <c r="FS328" s="847">
        <v>56619</v>
      </c>
      <c r="FT328" s="847">
        <v>57729</v>
      </c>
      <c r="FU328" s="847">
        <v>58858</v>
      </c>
      <c r="FV328" s="847">
        <v>60006</v>
      </c>
      <c r="FW328" s="847">
        <v>61172</v>
      </c>
      <c r="FX328" s="847">
        <v>62356</v>
      </c>
      <c r="FY328" s="847">
        <v>63558</v>
      </c>
      <c r="FZ328" s="847">
        <v>64778</v>
      </c>
      <c r="GA328" s="847">
        <v>66016</v>
      </c>
      <c r="GB328" s="847">
        <v>67273</v>
      </c>
      <c r="GC328" s="847">
        <v>68548</v>
      </c>
      <c r="GD328" s="847">
        <v>69839</v>
      </c>
      <c r="GE328" s="847">
        <v>71147</v>
      </c>
      <c r="GF328" s="847">
        <v>72472</v>
      </c>
      <c r="GG328" s="847">
        <v>73813</v>
      </c>
      <c r="GH328" s="847">
        <v>75169</v>
      </c>
      <c r="GI328" s="847">
        <v>76540</v>
      </c>
      <c r="GJ328" s="847">
        <v>77925</v>
      </c>
      <c r="GK328" s="847">
        <v>79324</v>
      </c>
      <c r="GL328" s="847">
        <v>80736</v>
      </c>
      <c r="GM328" s="847">
        <v>82161</v>
      </c>
      <c r="GN328" s="847">
        <v>83598</v>
      </c>
      <c r="GO328" s="847">
        <v>85047</v>
      </c>
      <c r="GP328" s="847">
        <v>86507</v>
      </c>
      <c r="GQ328" s="847">
        <v>87979</v>
      </c>
      <c r="GR328" s="847">
        <v>89461</v>
      </c>
      <c r="GS328" s="847">
        <v>90953</v>
      </c>
      <c r="GT328" s="847">
        <v>92454</v>
      </c>
      <c r="GU328" s="847">
        <v>93963</v>
      </c>
      <c r="GV328" s="847">
        <v>95480</v>
      </c>
      <c r="GW328" s="847">
        <v>97003</v>
      </c>
      <c r="GX328" s="847">
        <v>98534</v>
      </c>
      <c r="GY328" s="847">
        <v>100071</v>
      </c>
      <c r="GZ328" s="847">
        <v>101614</v>
      </c>
      <c r="HA328" s="847">
        <v>103163</v>
      </c>
      <c r="HB328" s="847">
        <v>104718</v>
      </c>
      <c r="HC328" s="847">
        <v>106277</v>
      </c>
      <c r="HD328" s="847">
        <v>107836</v>
      </c>
      <c r="HE328" s="847">
        <v>109392</v>
      </c>
      <c r="HF328" s="847">
        <v>110948</v>
      </c>
      <c r="HG328" s="847">
        <v>112504</v>
      </c>
      <c r="HH328" s="847">
        <v>114061</v>
      </c>
      <c r="HI328" s="847">
        <v>115616</v>
      </c>
      <c r="HJ328" s="847">
        <v>117170</v>
      </c>
      <c r="HK328" s="847">
        <v>118722</v>
      </c>
      <c r="HL328" s="847">
        <v>120272</v>
      </c>
      <c r="HM328" s="847">
        <v>121820</v>
      </c>
      <c r="HN328" s="847">
        <v>123365</v>
      </c>
      <c r="HO328" s="847">
        <v>124906</v>
      </c>
      <c r="HP328" s="847">
        <v>126445</v>
      </c>
      <c r="HQ328" s="847">
        <v>127981</v>
      </c>
      <c r="HR328" s="847">
        <v>129513</v>
      </c>
      <c r="HS328" s="847">
        <v>131043</v>
      </c>
      <c r="HT328" s="847">
        <v>132573</v>
      </c>
      <c r="HU328" s="847">
        <v>134111</v>
      </c>
      <c r="HV328" s="847">
        <v>135685</v>
      </c>
      <c r="HW328" s="847">
        <v>137432</v>
      </c>
      <c r="HX328" s="847">
        <v>138800</v>
      </c>
      <c r="HY328" s="847">
        <v>0</v>
      </c>
      <c r="HZ328" s="847">
        <v>0</v>
      </c>
      <c r="IA328" s="847">
        <v>0</v>
      </c>
      <c r="IB328" s="847">
        <v>0</v>
      </c>
      <c r="IC328" s="847">
        <v>0</v>
      </c>
      <c r="ID328" s="847">
        <v>0</v>
      </c>
      <c r="IE328" s="847">
        <v>0</v>
      </c>
      <c r="IF328" s="847">
        <v>0</v>
      </c>
      <c r="IG328" s="847">
        <v>0</v>
      </c>
      <c r="IH328" s="847">
        <v>0</v>
      </c>
      <c r="II328" s="847">
        <v>0</v>
      </c>
      <c r="IJ328" s="847">
        <v>0</v>
      </c>
      <c r="IK328" s="847">
        <v>0</v>
      </c>
    </row>
    <row r="329" spans="12:245" hidden="1">
      <c r="L329" s="843" t="s">
        <v>1060</v>
      </c>
      <c r="M329" s="843" t="s">
        <v>1382</v>
      </c>
      <c r="N329" s="843" t="s">
        <v>96</v>
      </c>
      <c r="O329" s="844">
        <v>14</v>
      </c>
      <c r="P329" s="780" t="str">
        <f t="shared" si="12"/>
        <v>IWT060114</v>
      </c>
      <c r="Q329" s="844">
        <v>2222</v>
      </c>
      <c r="R329" s="844">
        <v>6291</v>
      </c>
      <c r="S329" s="844">
        <v>10934</v>
      </c>
      <c r="T329" s="844">
        <v>16168</v>
      </c>
      <c r="U329" s="844">
        <v>22008</v>
      </c>
      <c r="V329" s="844">
        <v>28187</v>
      </c>
      <c r="W329" s="844">
        <v>29040</v>
      </c>
      <c r="X329" s="844">
        <v>29620</v>
      </c>
      <c r="Y329" s="844">
        <v>30213</v>
      </c>
      <c r="Z329" s="844">
        <v>30817</v>
      </c>
      <c r="AA329" s="844">
        <v>31433</v>
      </c>
      <c r="AB329" s="844">
        <v>32062</v>
      </c>
      <c r="AC329" s="844">
        <v>32703</v>
      </c>
      <c r="AD329" s="844">
        <v>33357</v>
      </c>
      <c r="AE329" s="844">
        <v>34024</v>
      </c>
      <c r="AF329" s="844">
        <v>34705</v>
      </c>
      <c r="AG329" s="844">
        <v>35399</v>
      </c>
      <c r="AH329" s="844">
        <v>36107</v>
      </c>
      <c r="AI329" s="844">
        <v>36829</v>
      </c>
      <c r="AJ329" s="844">
        <v>37566</v>
      </c>
      <c r="AK329" s="844">
        <v>38317</v>
      </c>
      <c r="AL329" s="844">
        <v>39083</v>
      </c>
      <c r="AM329" s="844">
        <v>39865</v>
      </c>
      <c r="AN329" s="844">
        <v>40662</v>
      </c>
      <c r="AO329" s="844">
        <v>41475</v>
      </c>
      <c r="AP329" s="844">
        <v>42305</v>
      </c>
      <c r="AQ329" s="844">
        <v>43151</v>
      </c>
      <c r="AR329" s="844">
        <v>44014</v>
      </c>
      <c r="AS329" s="844">
        <v>44894</v>
      </c>
      <c r="AT329" s="844">
        <v>45792</v>
      </c>
      <c r="AU329" s="844">
        <v>46708</v>
      </c>
      <c r="AV329" s="844">
        <v>47642</v>
      </c>
      <c r="AW329" s="844">
        <v>48595</v>
      </c>
      <c r="AX329" s="844">
        <v>49566</v>
      </c>
      <c r="AY329" s="844">
        <v>50555</v>
      </c>
      <c r="AZ329" s="844">
        <v>51562</v>
      </c>
      <c r="BA329" s="844">
        <v>52586</v>
      </c>
      <c r="BB329" s="844">
        <v>53629</v>
      </c>
      <c r="BC329" s="844">
        <v>54689</v>
      </c>
      <c r="BD329" s="844">
        <v>55767</v>
      </c>
      <c r="BE329" s="844">
        <v>56864</v>
      </c>
      <c r="BF329" s="844">
        <v>57980</v>
      </c>
      <c r="BG329" s="844">
        <v>59114</v>
      </c>
      <c r="BH329" s="844">
        <v>60267</v>
      </c>
      <c r="BI329" s="844">
        <v>61437</v>
      </c>
      <c r="BJ329" s="844">
        <v>62626</v>
      </c>
      <c r="BK329" s="844">
        <v>63832</v>
      </c>
      <c r="BL329" s="844">
        <v>65057</v>
      </c>
      <c r="BM329" s="844">
        <v>66300</v>
      </c>
      <c r="BN329" s="844">
        <v>67561</v>
      </c>
      <c r="BO329" s="844">
        <v>68839</v>
      </c>
      <c r="BP329" s="844">
        <v>70134</v>
      </c>
      <c r="BQ329" s="844">
        <v>71445</v>
      </c>
      <c r="BR329" s="844">
        <v>72772</v>
      </c>
      <c r="BS329" s="844">
        <v>74116</v>
      </c>
      <c r="BT329" s="844">
        <v>75474</v>
      </c>
      <c r="BU329" s="844">
        <v>76846</v>
      </c>
      <c r="BV329" s="844">
        <v>78232</v>
      </c>
      <c r="BW329" s="844">
        <v>79632</v>
      </c>
      <c r="BX329" s="844">
        <v>81044</v>
      </c>
      <c r="BY329" s="844">
        <v>82470</v>
      </c>
      <c r="BZ329" s="844">
        <v>83907</v>
      </c>
      <c r="CA329" s="844">
        <v>85356</v>
      </c>
      <c r="CB329" s="844">
        <v>86816</v>
      </c>
      <c r="CC329" s="844">
        <v>88287</v>
      </c>
      <c r="CD329" s="844">
        <v>89769</v>
      </c>
      <c r="CE329" s="844">
        <v>91259</v>
      </c>
      <c r="CF329" s="844">
        <v>92757</v>
      </c>
      <c r="CG329" s="844">
        <v>94264</v>
      </c>
      <c r="CH329" s="844">
        <v>95777</v>
      </c>
      <c r="CI329" s="844">
        <v>97298</v>
      </c>
      <c r="CJ329" s="844">
        <v>98826</v>
      </c>
      <c r="CK329" s="844">
        <v>100360</v>
      </c>
      <c r="CL329" s="844">
        <v>101901</v>
      </c>
      <c r="CM329" s="844">
        <v>103447</v>
      </c>
      <c r="CN329" s="844">
        <v>104998</v>
      </c>
      <c r="CO329" s="844">
        <v>106549</v>
      </c>
      <c r="CP329" s="844">
        <v>108097</v>
      </c>
      <c r="CQ329" s="844">
        <v>109646</v>
      </c>
      <c r="CR329" s="844">
        <v>111196</v>
      </c>
      <c r="CS329" s="844">
        <v>112746</v>
      </c>
      <c r="CT329" s="844">
        <v>114295</v>
      </c>
      <c r="CU329" s="844">
        <v>115843</v>
      </c>
      <c r="CV329" s="844">
        <v>117389</v>
      </c>
      <c r="CW329" s="844">
        <v>118934</v>
      </c>
      <c r="CX329" s="844">
        <v>120477</v>
      </c>
      <c r="CY329" s="844">
        <v>122017</v>
      </c>
      <c r="CZ329" s="844">
        <v>123554</v>
      </c>
      <c r="DA329" s="844">
        <v>125089</v>
      </c>
      <c r="DB329" s="844">
        <v>126620</v>
      </c>
      <c r="DC329" s="844">
        <v>128149</v>
      </c>
      <c r="DD329" s="844">
        <v>129676</v>
      </c>
      <c r="DE329" s="844">
        <v>131202</v>
      </c>
      <c r="DF329" s="844">
        <v>132736</v>
      </c>
      <c r="DG329" s="844">
        <v>134306</v>
      </c>
      <c r="DH329" s="844">
        <v>136046</v>
      </c>
      <c r="DI329" s="844">
        <v>137400</v>
      </c>
      <c r="DJ329" s="844">
        <v>0</v>
      </c>
      <c r="DK329" s="844">
        <v>0</v>
      </c>
      <c r="DL329" s="844">
        <v>0</v>
      </c>
      <c r="DM329" s="844">
        <v>0</v>
      </c>
      <c r="DN329" s="844">
        <v>0</v>
      </c>
      <c r="DO329" s="844">
        <v>0</v>
      </c>
      <c r="DP329" s="844">
        <v>0</v>
      </c>
      <c r="DQ329" s="844">
        <v>0</v>
      </c>
      <c r="DR329" s="844">
        <v>0</v>
      </c>
      <c r="DS329" s="844">
        <v>0</v>
      </c>
      <c r="DT329" s="844">
        <v>0</v>
      </c>
      <c r="DU329" s="844">
        <v>0</v>
      </c>
      <c r="DV329" s="844">
        <v>0</v>
      </c>
      <c r="DW329" s="844">
        <v>0</v>
      </c>
      <c r="DY329" s="846" t="s">
        <v>1060</v>
      </c>
      <c r="DZ329" s="846" t="s">
        <v>1382</v>
      </c>
      <c r="EA329" s="846" t="s">
        <v>96</v>
      </c>
      <c r="EB329" s="847">
        <v>14</v>
      </c>
      <c r="EC329" s="780" t="str">
        <f t="shared" si="13"/>
        <v>IWT060114</v>
      </c>
      <c r="ED329" s="847">
        <v>0</v>
      </c>
      <c r="EE329" s="847">
        <v>2962</v>
      </c>
      <c r="EF329" s="847">
        <v>7864</v>
      </c>
      <c r="EG329" s="847">
        <v>12864</v>
      </c>
      <c r="EH329" s="847">
        <v>17964</v>
      </c>
      <c r="EI329" s="847">
        <v>23166</v>
      </c>
      <c r="EJ329" s="847">
        <v>28472</v>
      </c>
      <c r="EK329" s="847">
        <v>29040</v>
      </c>
      <c r="EL329" s="847">
        <v>29620</v>
      </c>
      <c r="EM329" s="847">
        <v>30213</v>
      </c>
      <c r="EN329" s="847">
        <v>30817</v>
      </c>
      <c r="EO329" s="847">
        <v>31433</v>
      </c>
      <c r="EP329" s="847">
        <v>32062</v>
      </c>
      <c r="EQ329" s="847">
        <v>32703</v>
      </c>
      <c r="ER329" s="847">
        <v>33357</v>
      </c>
      <c r="ES329" s="847">
        <v>34024</v>
      </c>
      <c r="ET329" s="847">
        <v>34705</v>
      </c>
      <c r="EU329" s="847">
        <v>35399</v>
      </c>
      <c r="EV329" s="847">
        <v>36107</v>
      </c>
      <c r="EW329" s="847">
        <v>36829</v>
      </c>
      <c r="EX329" s="847">
        <v>37566</v>
      </c>
      <c r="EY329" s="847">
        <v>38317</v>
      </c>
      <c r="EZ329" s="847">
        <v>39083</v>
      </c>
      <c r="FA329" s="847">
        <v>39865</v>
      </c>
      <c r="FB329" s="847">
        <v>40662</v>
      </c>
      <c r="FC329" s="847">
        <v>41475</v>
      </c>
      <c r="FD329" s="847">
        <v>42305</v>
      </c>
      <c r="FE329" s="847">
        <v>43151</v>
      </c>
      <c r="FF329" s="847">
        <v>44014</v>
      </c>
      <c r="FG329" s="847">
        <v>44894</v>
      </c>
      <c r="FH329" s="847">
        <v>45792</v>
      </c>
      <c r="FI329" s="847">
        <v>46708</v>
      </c>
      <c r="FJ329" s="847">
        <v>47642</v>
      </c>
      <c r="FK329" s="847">
        <v>48595</v>
      </c>
      <c r="FL329" s="847">
        <v>49566</v>
      </c>
      <c r="FM329" s="847">
        <v>50555</v>
      </c>
      <c r="FN329" s="847">
        <v>51562</v>
      </c>
      <c r="FO329" s="847">
        <v>52586</v>
      </c>
      <c r="FP329" s="847">
        <v>53629</v>
      </c>
      <c r="FQ329" s="847">
        <v>54689</v>
      </c>
      <c r="FR329" s="847">
        <v>55767</v>
      </c>
      <c r="FS329" s="847">
        <v>56864</v>
      </c>
      <c r="FT329" s="847">
        <v>57980</v>
      </c>
      <c r="FU329" s="847">
        <v>59114</v>
      </c>
      <c r="FV329" s="847">
        <v>60267</v>
      </c>
      <c r="FW329" s="847">
        <v>61437</v>
      </c>
      <c r="FX329" s="847">
        <v>62626</v>
      </c>
      <c r="FY329" s="847">
        <v>63832</v>
      </c>
      <c r="FZ329" s="847">
        <v>65057</v>
      </c>
      <c r="GA329" s="847">
        <v>66300</v>
      </c>
      <c r="GB329" s="847">
        <v>67561</v>
      </c>
      <c r="GC329" s="847">
        <v>68839</v>
      </c>
      <c r="GD329" s="847">
        <v>70134</v>
      </c>
      <c r="GE329" s="847">
        <v>71445</v>
      </c>
      <c r="GF329" s="847">
        <v>72772</v>
      </c>
      <c r="GG329" s="847">
        <v>74116</v>
      </c>
      <c r="GH329" s="847">
        <v>75474</v>
      </c>
      <c r="GI329" s="847">
        <v>76846</v>
      </c>
      <c r="GJ329" s="847">
        <v>78232</v>
      </c>
      <c r="GK329" s="847">
        <v>79632</v>
      </c>
      <c r="GL329" s="847">
        <v>81044</v>
      </c>
      <c r="GM329" s="847">
        <v>82470</v>
      </c>
      <c r="GN329" s="847">
        <v>83907</v>
      </c>
      <c r="GO329" s="847">
        <v>85356</v>
      </c>
      <c r="GP329" s="847">
        <v>86816</v>
      </c>
      <c r="GQ329" s="847">
        <v>88287</v>
      </c>
      <c r="GR329" s="847">
        <v>89769</v>
      </c>
      <c r="GS329" s="847">
        <v>91259</v>
      </c>
      <c r="GT329" s="847">
        <v>92757</v>
      </c>
      <c r="GU329" s="847">
        <v>94264</v>
      </c>
      <c r="GV329" s="847">
        <v>95777</v>
      </c>
      <c r="GW329" s="847">
        <v>97298</v>
      </c>
      <c r="GX329" s="847">
        <v>98826</v>
      </c>
      <c r="GY329" s="847">
        <v>100360</v>
      </c>
      <c r="GZ329" s="847">
        <v>101901</v>
      </c>
      <c r="HA329" s="847">
        <v>103447</v>
      </c>
      <c r="HB329" s="847">
        <v>104998</v>
      </c>
      <c r="HC329" s="847">
        <v>106549</v>
      </c>
      <c r="HD329" s="847">
        <v>108097</v>
      </c>
      <c r="HE329" s="847">
        <v>109646</v>
      </c>
      <c r="HF329" s="847">
        <v>111196</v>
      </c>
      <c r="HG329" s="847">
        <v>112746</v>
      </c>
      <c r="HH329" s="847">
        <v>114295</v>
      </c>
      <c r="HI329" s="847">
        <v>115843</v>
      </c>
      <c r="HJ329" s="847">
        <v>117389</v>
      </c>
      <c r="HK329" s="847">
        <v>118934</v>
      </c>
      <c r="HL329" s="847">
        <v>120477</v>
      </c>
      <c r="HM329" s="847">
        <v>122017</v>
      </c>
      <c r="HN329" s="847">
        <v>123554</v>
      </c>
      <c r="HO329" s="847">
        <v>125089</v>
      </c>
      <c r="HP329" s="847">
        <v>126620</v>
      </c>
      <c r="HQ329" s="847">
        <v>128149</v>
      </c>
      <c r="HR329" s="847">
        <v>129676</v>
      </c>
      <c r="HS329" s="847">
        <v>131202</v>
      </c>
      <c r="HT329" s="847">
        <v>132736</v>
      </c>
      <c r="HU329" s="847">
        <v>134306</v>
      </c>
      <c r="HV329" s="847">
        <v>136046</v>
      </c>
      <c r="HW329" s="847">
        <v>137400</v>
      </c>
      <c r="HX329" s="847">
        <v>0</v>
      </c>
      <c r="HY329" s="847">
        <v>0</v>
      </c>
      <c r="HZ329" s="847">
        <v>0</v>
      </c>
      <c r="IA329" s="847">
        <v>0</v>
      </c>
      <c r="IB329" s="847">
        <v>0</v>
      </c>
      <c r="IC329" s="847">
        <v>0</v>
      </c>
      <c r="ID329" s="847">
        <v>0</v>
      </c>
      <c r="IE329" s="847">
        <v>0</v>
      </c>
      <c r="IF329" s="847">
        <v>0</v>
      </c>
      <c r="IG329" s="847">
        <v>0</v>
      </c>
      <c r="IH329" s="847">
        <v>0</v>
      </c>
      <c r="II329" s="847">
        <v>0</v>
      </c>
      <c r="IJ329" s="847">
        <v>0</v>
      </c>
      <c r="IK329" s="847">
        <v>0</v>
      </c>
    </row>
    <row r="330" spans="12:245" hidden="1">
      <c r="L330" s="843" t="s">
        <v>1060</v>
      </c>
      <c r="M330" s="843" t="s">
        <v>1382</v>
      </c>
      <c r="N330" s="843" t="s">
        <v>96</v>
      </c>
      <c r="O330" s="844">
        <v>15</v>
      </c>
      <c r="P330" s="780" t="str">
        <f t="shared" si="12"/>
        <v>IWT060115</v>
      </c>
      <c r="Q330" s="844">
        <v>2231</v>
      </c>
      <c r="R330" s="844">
        <v>6317</v>
      </c>
      <c r="S330" s="844">
        <v>10979</v>
      </c>
      <c r="T330" s="844">
        <v>16233</v>
      </c>
      <c r="U330" s="844">
        <v>22097</v>
      </c>
      <c r="V330" s="844">
        <v>28302</v>
      </c>
      <c r="W330" s="844">
        <v>29159</v>
      </c>
      <c r="X330" s="844">
        <v>29741</v>
      </c>
      <c r="Y330" s="844">
        <v>30336</v>
      </c>
      <c r="Z330" s="844">
        <v>30943</v>
      </c>
      <c r="AA330" s="844">
        <v>31561</v>
      </c>
      <c r="AB330" s="844">
        <v>32193</v>
      </c>
      <c r="AC330" s="844">
        <v>32836</v>
      </c>
      <c r="AD330" s="844">
        <v>33493</v>
      </c>
      <c r="AE330" s="844">
        <v>34163</v>
      </c>
      <c r="AF330" s="844">
        <v>34846</v>
      </c>
      <c r="AG330" s="844">
        <v>35543</v>
      </c>
      <c r="AH330" s="844">
        <v>36254</v>
      </c>
      <c r="AI330" s="844">
        <v>36979</v>
      </c>
      <c r="AJ330" s="844">
        <v>37719</v>
      </c>
      <c r="AK330" s="844">
        <v>38473</v>
      </c>
      <c r="AL330" s="844">
        <v>39243</v>
      </c>
      <c r="AM330" s="844">
        <v>40027</v>
      </c>
      <c r="AN330" s="844">
        <v>40828</v>
      </c>
      <c r="AO330" s="844">
        <v>41645</v>
      </c>
      <c r="AP330" s="844">
        <v>42477</v>
      </c>
      <c r="AQ330" s="844">
        <v>43327</v>
      </c>
      <c r="AR330" s="844">
        <v>44194</v>
      </c>
      <c r="AS330" s="844">
        <v>45077</v>
      </c>
      <c r="AT330" s="844">
        <v>45979</v>
      </c>
      <c r="AU330" s="844">
        <v>46898</v>
      </c>
      <c r="AV330" s="844">
        <v>47836</v>
      </c>
      <c r="AW330" s="844">
        <v>48793</v>
      </c>
      <c r="AX330" s="844">
        <v>49769</v>
      </c>
      <c r="AY330" s="844">
        <v>50763</v>
      </c>
      <c r="AZ330" s="844">
        <v>51774</v>
      </c>
      <c r="BA330" s="844">
        <v>52803</v>
      </c>
      <c r="BB330" s="844">
        <v>53851</v>
      </c>
      <c r="BC330" s="844">
        <v>54916</v>
      </c>
      <c r="BD330" s="844">
        <v>56000</v>
      </c>
      <c r="BE330" s="844">
        <v>57102</v>
      </c>
      <c r="BF330" s="844">
        <v>58222</v>
      </c>
      <c r="BG330" s="844">
        <v>59361</v>
      </c>
      <c r="BH330" s="844">
        <v>60519</v>
      </c>
      <c r="BI330" s="844">
        <v>61693</v>
      </c>
      <c r="BJ330" s="844">
        <v>62886</v>
      </c>
      <c r="BK330" s="844">
        <v>64097</v>
      </c>
      <c r="BL330" s="844">
        <v>65327</v>
      </c>
      <c r="BM330" s="844">
        <v>66574</v>
      </c>
      <c r="BN330" s="844">
        <v>67839</v>
      </c>
      <c r="BO330" s="844">
        <v>69120</v>
      </c>
      <c r="BP330" s="844">
        <v>70418</v>
      </c>
      <c r="BQ330" s="844">
        <v>71732</v>
      </c>
      <c r="BR330" s="844">
        <v>73062</v>
      </c>
      <c r="BS330" s="844">
        <v>74407</v>
      </c>
      <c r="BT330" s="844">
        <v>75767</v>
      </c>
      <c r="BU330" s="844">
        <v>77140</v>
      </c>
      <c r="BV330" s="844">
        <v>78528</v>
      </c>
      <c r="BW330" s="844">
        <v>79928</v>
      </c>
      <c r="BX330" s="844">
        <v>81341</v>
      </c>
      <c r="BY330" s="844">
        <v>82767</v>
      </c>
      <c r="BZ330" s="844">
        <v>84204</v>
      </c>
      <c r="CA330" s="844">
        <v>85653</v>
      </c>
      <c r="CB330" s="844">
        <v>87113</v>
      </c>
      <c r="CC330" s="844">
        <v>88584</v>
      </c>
      <c r="CD330" s="844">
        <v>90063</v>
      </c>
      <c r="CE330" s="844">
        <v>91552</v>
      </c>
      <c r="CF330" s="844">
        <v>93048</v>
      </c>
      <c r="CG330" s="844">
        <v>94552</v>
      </c>
      <c r="CH330" s="844">
        <v>96063</v>
      </c>
      <c r="CI330" s="844">
        <v>97582</v>
      </c>
      <c r="CJ330" s="844">
        <v>99107</v>
      </c>
      <c r="CK330" s="844">
        <v>100639</v>
      </c>
      <c r="CL330" s="844">
        <v>102176</v>
      </c>
      <c r="CM330" s="844">
        <v>103719</v>
      </c>
      <c r="CN330" s="844">
        <v>105262</v>
      </c>
      <c r="CO330" s="844">
        <v>106803</v>
      </c>
      <c r="CP330" s="844">
        <v>108345</v>
      </c>
      <c r="CQ330" s="844">
        <v>109888</v>
      </c>
      <c r="CR330" s="844">
        <v>111431</v>
      </c>
      <c r="CS330" s="844">
        <v>112974</v>
      </c>
      <c r="CT330" s="844">
        <v>114516</v>
      </c>
      <c r="CU330" s="844">
        <v>116057</v>
      </c>
      <c r="CV330" s="844">
        <v>117596</v>
      </c>
      <c r="CW330" s="844">
        <v>119134</v>
      </c>
      <c r="CX330" s="844">
        <v>120669</v>
      </c>
      <c r="CY330" s="844">
        <v>122202</v>
      </c>
      <c r="CZ330" s="844">
        <v>123733</v>
      </c>
      <c r="DA330" s="844">
        <v>125260</v>
      </c>
      <c r="DB330" s="844">
        <v>126785</v>
      </c>
      <c r="DC330" s="844">
        <v>128308</v>
      </c>
      <c r="DD330" s="844">
        <v>129831</v>
      </c>
      <c r="DE330" s="844">
        <v>131361</v>
      </c>
      <c r="DF330" s="844">
        <v>132928</v>
      </c>
      <c r="DG330" s="844">
        <v>134660</v>
      </c>
      <c r="DH330" s="844">
        <v>136000</v>
      </c>
      <c r="DI330" s="844">
        <v>0</v>
      </c>
      <c r="DJ330" s="844">
        <v>0</v>
      </c>
      <c r="DK330" s="844">
        <v>0</v>
      </c>
      <c r="DL330" s="844">
        <v>0</v>
      </c>
      <c r="DM330" s="844">
        <v>0</v>
      </c>
      <c r="DN330" s="844">
        <v>0</v>
      </c>
      <c r="DO330" s="844">
        <v>0</v>
      </c>
      <c r="DP330" s="844">
        <v>0</v>
      </c>
      <c r="DQ330" s="844">
        <v>0</v>
      </c>
      <c r="DR330" s="844">
        <v>0</v>
      </c>
      <c r="DS330" s="844">
        <v>0</v>
      </c>
      <c r="DT330" s="844">
        <v>0</v>
      </c>
      <c r="DU330" s="844">
        <v>0</v>
      </c>
      <c r="DV330" s="844">
        <v>0</v>
      </c>
      <c r="DW330" s="844">
        <v>0</v>
      </c>
      <c r="DY330" s="846" t="s">
        <v>1060</v>
      </c>
      <c r="DZ330" s="846" t="s">
        <v>1382</v>
      </c>
      <c r="EA330" s="846" t="s">
        <v>96</v>
      </c>
      <c r="EB330" s="847">
        <v>15</v>
      </c>
      <c r="EC330" s="780" t="str">
        <f t="shared" si="13"/>
        <v>IWT060115</v>
      </c>
      <c r="ED330" s="847">
        <v>0</v>
      </c>
      <c r="EE330" s="847">
        <v>2974</v>
      </c>
      <c r="EF330" s="847">
        <v>7896</v>
      </c>
      <c r="EG330" s="847">
        <v>12916</v>
      </c>
      <c r="EH330" s="847">
        <v>18037</v>
      </c>
      <c r="EI330" s="847">
        <v>23260</v>
      </c>
      <c r="EJ330" s="847">
        <v>28588</v>
      </c>
      <c r="EK330" s="847">
        <v>29159</v>
      </c>
      <c r="EL330" s="847">
        <v>29741</v>
      </c>
      <c r="EM330" s="847">
        <v>30336</v>
      </c>
      <c r="EN330" s="847">
        <v>30943</v>
      </c>
      <c r="EO330" s="847">
        <v>31561</v>
      </c>
      <c r="EP330" s="847">
        <v>32193</v>
      </c>
      <c r="EQ330" s="847">
        <v>32836</v>
      </c>
      <c r="ER330" s="847">
        <v>33493</v>
      </c>
      <c r="ES330" s="847">
        <v>34163</v>
      </c>
      <c r="ET330" s="847">
        <v>34846</v>
      </c>
      <c r="EU330" s="847">
        <v>35543</v>
      </c>
      <c r="EV330" s="847">
        <v>36254</v>
      </c>
      <c r="EW330" s="847">
        <v>36979</v>
      </c>
      <c r="EX330" s="847">
        <v>37719</v>
      </c>
      <c r="EY330" s="847">
        <v>38473</v>
      </c>
      <c r="EZ330" s="847">
        <v>39243</v>
      </c>
      <c r="FA330" s="847">
        <v>40027</v>
      </c>
      <c r="FB330" s="847">
        <v>40828</v>
      </c>
      <c r="FC330" s="847">
        <v>41645</v>
      </c>
      <c r="FD330" s="847">
        <v>42477</v>
      </c>
      <c r="FE330" s="847">
        <v>43327</v>
      </c>
      <c r="FF330" s="847">
        <v>44194</v>
      </c>
      <c r="FG330" s="847">
        <v>45077</v>
      </c>
      <c r="FH330" s="847">
        <v>45979</v>
      </c>
      <c r="FI330" s="847">
        <v>46898</v>
      </c>
      <c r="FJ330" s="847">
        <v>47836</v>
      </c>
      <c r="FK330" s="847">
        <v>48793</v>
      </c>
      <c r="FL330" s="847">
        <v>49769</v>
      </c>
      <c r="FM330" s="847">
        <v>50763</v>
      </c>
      <c r="FN330" s="847">
        <v>51774</v>
      </c>
      <c r="FO330" s="847">
        <v>52803</v>
      </c>
      <c r="FP330" s="847">
        <v>53851</v>
      </c>
      <c r="FQ330" s="847">
        <v>54916</v>
      </c>
      <c r="FR330" s="847">
        <v>56000</v>
      </c>
      <c r="FS330" s="847">
        <v>57102</v>
      </c>
      <c r="FT330" s="847">
        <v>58222</v>
      </c>
      <c r="FU330" s="847">
        <v>59361</v>
      </c>
      <c r="FV330" s="847">
        <v>60519</v>
      </c>
      <c r="FW330" s="847">
        <v>61693</v>
      </c>
      <c r="FX330" s="847">
        <v>62886</v>
      </c>
      <c r="FY330" s="847">
        <v>64097</v>
      </c>
      <c r="FZ330" s="847">
        <v>65327</v>
      </c>
      <c r="GA330" s="847">
        <v>66574</v>
      </c>
      <c r="GB330" s="847">
        <v>67839</v>
      </c>
      <c r="GC330" s="847">
        <v>69120</v>
      </c>
      <c r="GD330" s="847">
        <v>70418</v>
      </c>
      <c r="GE330" s="847">
        <v>71732</v>
      </c>
      <c r="GF330" s="847">
        <v>73062</v>
      </c>
      <c r="GG330" s="847">
        <v>74407</v>
      </c>
      <c r="GH330" s="847">
        <v>75767</v>
      </c>
      <c r="GI330" s="847">
        <v>77140</v>
      </c>
      <c r="GJ330" s="847">
        <v>78528</v>
      </c>
      <c r="GK330" s="847">
        <v>79928</v>
      </c>
      <c r="GL330" s="847">
        <v>81341</v>
      </c>
      <c r="GM330" s="847">
        <v>82767</v>
      </c>
      <c r="GN330" s="847">
        <v>84204</v>
      </c>
      <c r="GO330" s="847">
        <v>85653</v>
      </c>
      <c r="GP330" s="847">
        <v>87113</v>
      </c>
      <c r="GQ330" s="847">
        <v>88584</v>
      </c>
      <c r="GR330" s="847">
        <v>90063</v>
      </c>
      <c r="GS330" s="847">
        <v>91552</v>
      </c>
      <c r="GT330" s="847">
        <v>93048</v>
      </c>
      <c r="GU330" s="847">
        <v>94552</v>
      </c>
      <c r="GV330" s="847">
        <v>96063</v>
      </c>
      <c r="GW330" s="847">
        <v>97582</v>
      </c>
      <c r="GX330" s="847">
        <v>99107</v>
      </c>
      <c r="GY330" s="847">
        <v>100639</v>
      </c>
      <c r="GZ330" s="847">
        <v>102176</v>
      </c>
      <c r="HA330" s="847">
        <v>103719</v>
      </c>
      <c r="HB330" s="847">
        <v>105262</v>
      </c>
      <c r="HC330" s="847">
        <v>106803</v>
      </c>
      <c r="HD330" s="847">
        <v>108345</v>
      </c>
      <c r="HE330" s="847">
        <v>109888</v>
      </c>
      <c r="HF330" s="847">
        <v>111431</v>
      </c>
      <c r="HG330" s="847">
        <v>112974</v>
      </c>
      <c r="HH330" s="847">
        <v>114516</v>
      </c>
      <c r="HI330" s="847">
        <v>116057</v>
      </c>
      <c r="HJ330" s="847">
        <v>117596</v>
      </c>
      <c r="HK330" s="847">
        <v>119134</v>
      </c>
      <c r="HL330" s="847">
        <v>120669</v>
      </c>
      <c r="HM330" s="847">
        <v>122202</v>
      </c>
      <c r="HN330" s="847">
        <v>123733</v>
      </c>
      <c r="HO330" s="847">
        <v>125260</v>
      </c>
      <c r="HP330" s="847">
        <v>126785</v>
      </c>
      <c r="HQ330" s="847">
        <v>128308</v>
      </c>
      <c r="HR330" s="847">
        <v>129831</v>
      </c>
      <c r="HS330" s="847">
        <v>131361</v>
      </c>
      <c r="HT330" s="847">
        <v>132928</v>
      </c>
      <c r="HU330" s="847">
        <v>134660</v>
      </c>
      <c r="HV330" s="847">
        <v>136000</v>
      </c>
      <c r="HW330" s="847">
        <v>0</v>
      </c>
      <c r="HX330" s="847">
        <v>0</v>
      </c>
      <c r="HY330" s="847">
        <v>0</v>
      </c>
      <c r="HZ330" s="847">
        <v>0</v>
      </c>
      <c r="IA330" s="847">
        <v>0</v>
      </c>
      <c r="IB330" s="847">
        <v>0</v>
      </c>
      <c r="IC330" s="847">
        <v>0</v>
      </c>
      <c r="ID330" s="847">
        <v>0</v>
      </c>
      <c r="IE330" s="847">
        <v>0</v>
      </c>
      <c r="IF330" s="847">
        <v>0</v>
      </c>
      <c r="IG330" s="847">
        <v>0</v>
      </c>
      <c r="IH330" s="847">
        <v>0</v>
      </c>
      <c r="II330" s="847">
        <v>0</v>
      </c>
      <c r="IJ330" s="847">
        <v>0</v>
      </c>
      <c r="IK330" s="847">
        <v>0</v>
      </c>
    </row>
    <row r="331" spans="12:245" hidden="1">
      <c r="L331" s="843" t="s">
        <v>1060</v>
      </c>
      <c r="M331" s="843" t="s">
        <v>1382</v>
      </c>
      <c r="N331" s="843" t="s">
        <v>96</v>
      </c>
      <c r="O331" s="844">
        <v>16</v>
      </c>
      <c r="P331" s="780" t="str">
        <f t="shared" si="12"/>
        <v>IWT060116</v>
      </c>
      <c r="Q331" s="844">
        <v>2239</v>
      </c>
      <c r="R331" s="844">
        <v>6342</v>
      </c>
      <c r="S331" s="844">
        <v>11022</v>
      </c>
      <c r="T331" s="844">
        <v>16297</v>
      </c>
      <c r="U331" s="844">
        <v>22183</v>
      </c>
      <c r="V331" s="844">
        <v>28413</v>
      </c>
      <c r="W331" s="844">
        <v>29273</v>
      </c>
      <c r="X331" s="844">
        <v>29858</v>
      </c>
      <c r="Y331" s="844">
        <v>30454</v>
      </c>
      <c r="Z331" s="844">
        <v>31064</v>
      </c>
      <c r="AA331" s="844">
        <v>31685</v>
      </c>
      <c r="AB331" s="844">
        <v>32319</v>
      </c>
      <c r="AC331" s="844">
        <v>32965</v>
      </c>
      <c r="AD331" s="844">
        <v>33624</v>
      </c>
      <c r="AE331" s="844">
        <v>34297</v>
      </c>
      <c r="AF331" s="844">
        <v>34983</v>
      </c>
      <c r="AG331" s="844">
        <v>35682</v>
      </c>
      <c r="AH331" s="844">
        <v>36396</v>
      </c>
      <c r="AI331" s="844">
        <v>37124</v>
      </c>
      <c r="AJ331" s="844">
        <v>37866</v>
      </c>
      <c r="AK331" s="844">
        <v>38624</v>
      </c>
      <c r="AL331" s="844">
        <v>39396</v>
      </c>
      <c r="AM331" s="844">
        <v>40184</v>
      </c>
      <c r="AN331" s="844">
        <v>40988</v>
      </c>
      <c r="AO331" s="844">
        <v>41807</v>
      </c>
      <c r="AP331" s="844">
        <v>42644</v>
      </c>
      <c r="AQ331" s="844">
        <v>43496</v>
      </c>
      <c r="AR331" s="844">
        <v>44366</v>
      </c>
      <c r="AS331" s="844">
        <v>45254</v>
      </c>
      <c r="AT331" s="844">
        <v>46159</v>
      </c>
      <c r="AU331" s="844">
        <v>47082</v>
      </c>
      <c r="AV331" s="844">
        <v>48023</v>
      </c>
      <c r="AW331" s="844">
        <v>48984</v>
      </c>
      <c r="AX331" s="844">
        <v>49964</v>
      </c>
      <c r="AY331" s="844">
        <v>50962</v>
      </c>
      <c r="AZ331" s="844">
        <v>51978</v>
      </c>
      <c r="BA331" s="844">
        <v>53013</v>
      </c>
      <c r="BB331" s="844">
        <v>54065</v>
      </c>
      <c r="BC331" s="844">
        <v>55135</v>
      </c>
      <c r="BD331" s="844">
        <v>56224</v>
      </c>
      <c r="BE331" s="844">
        <v>57331</v>
      </c>
      <c r="BF331" s="844">
        <v>58456</v>
      </c>
      <c r="BG331" s="844">
        <v>59600</v>
      </c>
      <c r="BH331" s="844">
        <v>60761</v>
      </c>
      <c r="BI331" s="844">
        <v>61940</v>
      </c>
      <c r="BJ331" s="844">
        <v>63138</v>
      </c>
      <c r="BK331" s="844">
        <v>64354</v>
      </c>
      <c r="BL331" s="844">
        <v>65587</v>
      </c>
      <c r="BM331" s="844">
        <v>66838</v>
      </c>
      <c r="BN331" s="844">
        <v>68106</v>
      </c>
      <c r="BO331" s="844">
        <v>69391</v>
      </c>
      <c r="BP331" s="844">
        <v>70692</v>
      </c>
      <c r="BQ331" s="844">
        <v>72009</v>
      </c>
      <c r="BR331" s="844">
        <v>73341</v>
      </c>
      <c r="BS331" s="844">
        <v>74688</v>
      </c>
      <c r="BT331" s="844">
        <v>76049</v>
      </c>
      <c r="BU331" s="844">
        <v>77423</v>
      </c>
      <c r="BV331" s="844">
        <v>78812</v>
      </c>
      <c r="BW331" s="844">
        <v>80213</v>
      </c>
      <c r="BX331" s="844">
        <v>81627</v>
      </c>
      <c r="BY331" s="844">
        <v>83053</v>
      </c>
      <c r="BZ331" s="844">
        <v>84490</v>
      </c>
      <c r="CA331" s="844">
        <v>85939</v>
      </c>
      <c r="CB331" s="844">
        <v>87399</v>
      </c>
      <c r="CC331" s="844">
        <v>88868</v>
      </c>
      <c r="CD331" s="844">
        <v>90346</v>
      </c>
      <c r="CE331" s="844">
        <v>91832</v>
      </c>
      <c r="CF331" s="844">
        <v>93326</v>
      </c>
      <c r="CG331" s="844">
        <v>94828</v>
      </c>
      <c r="CH331" s="844">
        <v>96337</v>
      </c>
      <c r="CI331" s="844">
        <v>97853</v>
      </c>
      <c r="CJ331" s="844">
        <v>99377</v>
      </c>
      <c r="CK331" s="844">
        <v>100906</v>
      </c>
      <c r="CL331" s="844">
        <v>102440</v>
      </c>
      <c r="CM331" s="844">
        <v>103975</v>
      </c>
      <c r="CN331" s="844">
        <v>105508</v>
      </c>
      <c r="CO331" s="844">
        <v>107043</v>
      </c>
      <c r="CP331" s="844">
        <v>108580</v>
      </c>
      <c r="CQ331" s="844">
        <v>110116</v>
      </c>
      <c r="CR331" s="844">
        <v>111653</v>
      </c>
      <c r="CS331" s="844">
        <v>113189</v>
      </c>
      <c r="CT331" s="844">
        <v>114724</v>
      </c>
      <c r="CU331" s="844">
        <v>116259</v>
      </c>
      <c r="CV331" s="844">
        <v>117791</v>
      </c>
      <c r="CW331" s="844">
        <v>119322</v>
      </c>
      <c r="CX331" s="844">
        <v>120850</v>
      </c>
      <c r="CY331" s="844">
        <v>122376</v>
      </c>
      <c r="CZ331" s="844">
        <v>123900</v>
      </c>
      <c r="DA331" s="844">
        <v>125421</v>
      </c>
      <c r="DB331" s="844">
        <v>126940</v>
      </c>
      <c r="DC331" s="844">
        <v>128460</v>
      </c>
      <c r="DD331" s="844">
        <v>129987</v>
      </c>
      <c r="DE331" s="844">
        <v>131549</v>
      </c>
      <c r="DF331" s="844">
        <v>133274</v>
      </c>
      <c r="DG331" s="844">
        <v>134600</v>
      </c>
      <c r="DH331" s="844">
        <v>0</v>
      </c>
      <c r="DI331" s="844">
        <v>0</v>
      </c>
      <c r="DJ331" s="844">
        <v>0</v>
      </c>
      <c r="DK331" s="844">
        <v>0</v>
      </c>
      <c r="DL331" s="844">
        <v>0</v>
      </c>
      <c r="DM331" s="844">
        <v>0</v>
      </c>
      <c r="DN331" s="844">
        <v>0</v>
      </c>
      <c r="DO331" s="844">
        <v>0</v>
      </c>
      <c r="DP331" s="844">
        <v>0</v>
      </c>
      <c r="DQ331" s="844">
        <v>0</v>
      </c>
      <c r="DR331" s="844">
        <v>0</v>
      </c>
      <c r="DS331" s="844">
        <v>0</v>
      </c>
      <c r="DT331" s="844">
        <v>0</v>
      </c>
      <c r="DU331" s="844">
        <v>0</v>
      </c>
      <c r="DV331" s="844">
        <v>0</v>
      </c>
      <c r="DW331" s="844">
        <v>0</v>
      </c>
      <c r="DY331" s="846" t="s">
        <v>1060</v>
      </c>
      <c r="DZ331" s="846" t="s">
        <v>1382</v>
      </c>
      <c r="EA331" s="846" t="s">
        <v>96</v>
      </c>
      <c r="EB331" s="847">
        <v>16</v>
      </c>
      <c r="EC331" s="780" t="str">
        <f t="shared" si="13"/>
        <v>IWT060116</v>
      </c>
      <c r="ED331" s="847">
        <v>0</v>
      </c>
      <c r="EE331" s="847">
        <v>2985</v>
      </c>
      <c r="EF331" s="847">
        <v>7927</v>
      </c>
      <c r="EG331" s="847">
        <v>12967</v>
      </c>
      <c r="EH331" s="847">
        <v>18108</v>
      </c>
      <c r="EI331" s="847">
        <v>23351</v>
      </c>
      <c r="EJ331" s="847">
        <v>28700</v>
      </c>
      <c r="EK331" s="847">
        <v>29273</v>
      </c>
      <c r="EL331" s="847">
        <v>29858</v>
      </c>
      <c r="EM331" s="847">
        <v>30454</v>
      </c>
      <c r="EN331" s="847">
        <v>31064</v>
      </c>
      <c r="EO331" s="847">
        <v>31685</v>
      </c>
      <c r="EP331" s="847">
        <v>32319</v>
      </c>
      <c r="EQ331" s="847">
        <v>32965</v>
      </c>
      <c r="ER331" s="847">
        <v>33624</v>
      </c>
      <c r="ES331" s="847">
        <v>34297</v>
      </c>
      <c r="ET331" s="847">
        <v>34983</v>
      </c>
      <c r="EU331" s="847">
        <v>35682</v>
      </c>
      <c r="EV331" s="847">
        <v>36396</v>
      </c>
      <c r="EW331" s="847">
        <v>37124</v>
      </c>
      <c r="EX331" s="847">
        <v>37866</v>
      </c>
      <c r="EY331" s="847">
        <v>38624</v>
      </c>
      <c r="EZ331" s="847">
        <v>39396</v>
      </c>
      <c r="FA331" s="847">
        <v>40184</v>
      </c>
      <c r="FB331" s="847">
        <v>40988</v>
      </c>
      <c r="FC331" s="847">
        <v>41807</v>
      </c>
      <c r="FD331" s="847">
        <v>42644</v>
      </c>
      <c r="FE331" s="847">
        <v>43496</v>
      </c>
      <c r="FF331" s="847">
        <v>44366</v>
      </c>
      <c r="FG331" s="847">
        <v>45254</v>
      </c>
      <c r="FH331" s="847">
        <v>46159</v>
      </c>
      <c r="FI331" s="847">
        <v>47082</v>
      </c>
      <c r="FJ331" s="847">
        <v>48023</v>
      </c>
      <c r="FK331" s="847">
        <v>48984</v>
      </c>
      <c r="FL331" s="847">
        <v>49964</v>
      </c>
      <c r="FM331" s="847">
        <v>50962</v>
      </c>
      <c r="FN331" s="847">
        <v>51978</v>
      </c>
      <c r="FO331" s="847">
        <v>53013</v>
      </c>
      <c r="FP331" s="847">
        <v>54065</v>
      </c>
      <c r="FQ331" s="847">
        <v>55135</v>
      </c>
      <c r="FR331" s="847">
        <v>56224</v>
      </c>
      <c r="FS331" s="847">
        <v>57331</v>
      </c>
      <c r="FT331" s="847">
        <v>58456</v>
      </c>
      <c r="FU331" s="847">
        <v>59600</v>
      </c>
      <c r="FV331" s="847">
        <v>60761</v>
      </c>
      <c r="FW331" s="847">
        <v>61940</v>
      </c>
      <c r="FX331" s="847">
        <v>63138</v>
      </c>
      <c r="FY331" s="847">
        <v>64354</v>
      </c>
      <c r="FZ331" s="847">
        <v>65587</v>
      </c>
      <c r="GA331" s="847">
        <v>66838</v>
      </c>
      <c r="GB331" s="847">
        <v>68106</v>
      </c>
      <c r="GC331" s="847">
        <v>69391</v>
      </c>
      <c r="GD331" s="847">
        <v>70692</v>
      </c>
      <c r="GE331" s="847">
        <v>72009</v>
      </c>
      <c r="GF331" s="847">
        <v>73341</v>
      </c>
      <c r="GG331" s="847">
        <v>74688</v>
      </c>
      <c r="GH331" s="847">
        <v>76049</v>
      </c>
      <c r="GI331" s="847">
        <v>77423</v>
      </c>
      <c r="GJ331" s="847">
        <v>78812</v>
      </c>
      <c r="GK331" s="847">
        <v>80213</v>
      </c>
      <c r="GL331" s="847">
        <v>81627</v>
      </c>
      <c r="GM331" s="847">
        <v>83053</v>
      </c>
      <c r="GN331" s="847">
        <v>84490</v>
      </c>
      <c r="GO331" s="847">
        <v>85939</v>
      </c>
      <c r="GP331" s="847">
        <v>87399</v>
      </c>
      <c r="GQ331" s="847">
        <v>88868</v>
      </c>
      <c r="GR331" s="847">
        <v>90346</v>
      </c>
      <c r="GS331" s="847">
        <v>91832</v>
      </c>
      <c r="GT331" s="847">
        <v>93326</v>
      </c>
      <c r="GU331" s="847">
        <v>94828</v>
      </c>
      <c r="GV331" s="847">
        <v>96337</v>
      </c>
      <c r="GW331" s="847">
        <v>97853</v>
      </c>
      <c r="GX331" s="847">
        <v>99377</v>
      </c>
      <c r="GY331" s="847">
        <v>100906</v>
      </c>
      <c r="GZ331" s="847">
        <v>102440</v>
      </c>
      <c r="HA331" s="847">
        <v>103975</v>
      </c>
      <c r="HB331" s="847">
        <v>105508</v>
      </c>
      <c r="HC331" s="847">
        <v>107043</v>
      </c>
      <c r="HD331" s="847">
        <v>108580</v>
      </c>
      <c r="HE331" s="847">
        <v>110116</v>
      </c>
      <c r="HF331" s="847">
        <v>111653</v>
      </c>
      <c r="HG331" s="847">
        <v>113189</v>
      </c>
      <c r="HH331" s="847">
        <v>114724</v>
      </c>
      <c r="HI331" s="847">
        <v>116259</v>
      </c>
      <c r="HJ331" s="847">
        <v>117791</v>
      </c>
      <c r="HK331" s="847">
        <v>119322</v>
      </c>
      <c r="HL331" s="847">
        <v>120850</v>
      </c>
      <c r="HM331" s="847">
        <v>122376</v>
      </c>
      <c r="HN331" s="847">
        <v>123900</v>
      </c>
      <c r="HO331" s="847">
        <v>125421</v>
      </c>
      <c r="HP331" s="847">
        <v>126940</v>
      </c>
      <c r="HQ331" s="847">
        <v>128460</v>
      </c>
      <c r="HR331" s="847">
        <v>129987</v>
      </c>
      <c r="HS331" s="847">
        <v>131549</v>
      </c>
      <c r="HT331" s="847">
        <v>133274</v>
      </c>
      <c r="HU331" s="847">
        <v>134600</v>
      </c>
      <c r="HV331" s="847">
        <v>0</v>
      </c>
      <c r="HW331" s="847">
        <v>0</v>
      </c>
      <c r="HX331" s="847">
        <v>0</v>
      </c>
      <c r="HY331" s="847">
        <v>0</v>
      </c>
      <c r="HZ331" s="847">
        <v>0</v>
      </c>
      <c r="IA331" s="847">
        <v>0</v>
      </c>
      <c r="IB331" s="847">
        <v>0</v>
      </c>
      <c r="IC331" s="847">
        <v>0</v>
      </c>
      <c r="ID331" s="847">
        <v>0</v>
      </c>
      <c r="IE331" s="847">
        <v>0</v>
      </c>
      <c r="IF331" s="847">
        <v>0</v>
      </c>
      <c r="IG331" s="847">
        <v>0</v>
      </c>
      <c r="IH331" s="847">
        <v>0</v>
      </c>
      <c r="II331" s="847">
        <v>0</v>
      </c>
      <c r="IJ331" s="847">
        <v>0</v>
      </c>
      <c r="IK331" s="847">
        <v>0</v>
      </c>
    </row>
    <row r="332" spans="12:245" hidden="1">
      <c r="L332" s="843" t="s">
        <v>1060</v>
      </c>
      <c r="M332" s="843" t="s">
        <v>1382</v>
      </c>
      <c r="N332" s="843" t="s">
        <v>96</v>
      </c>
      <c r="O332" s="844">
        <v>17</v>
      </c>
      <c r="P332" s="780" t="str">
        <f t="shared" si="12"/>
        <v>IWT060117</v>
      </c>
      <c r="Q332" s="844">
        <v>2247</v>
      </c>
      <c r="R332" s="844">
        <v>6365</v>
      </c>
      <c r="S332" s="844">
        <v>11063</v>
      </c>
      <c r="T332" s="844">
        <v>16358</v>
      </c>
      <c r="U332" s="844">
        <v>22267</v>
      </c>
      <c r="V332" s="844">
        <v>28519</v>
      </c>
      <c r="W332" s="844">
        <v>29382</v>
      </c>
      <c r="X332" s="844">
        <v>29969</v>
      </c>
      <c r="Y332" s="844">
        <v>30568</v>
      </c>
      <c r="Z332" s="844">
        <v>31180</v>
      </c>
      <c r="AA332" s="844">
        <v>31803</v>
      </c>
      <c r="AB332" s="844">
        <v>32439</v>
      </c>
      <c r="AC332" s="844">
        <v>33088</v>
      </c>
      <c r="AD332" s="844">
        <v>33750</v>
      </c>
      <c r="AE332" s="844">
        <v>34425</v>
      </c>
      <c r="AF332" s="844">
        <v>35113</v>
      </c>
      <c r="AG332" s="844">
        <v>35816</v>
      </c>
      <c r="AH332" s="844">
        <v>36532</v>
      </c>
      <c r="AI332" s="844">
        <v>37263</v>
      </c>
      <c r="AJ332" s="844">
        <v>38008</v>
      </c>
      <c r="AK332" s="844">
        <v>38768</v>
      </c>
      <c r="AL332" s="844">
        <v>39543</v>
      </c>
      <c r="AM332" s="844">
        <v>40334</v>
      </c>
      <c r="AN332" s="844">
        <v>41141</v>
      </c>
      <c r="AO332" s="844">
        <v>41964</v>
      </c>
      <c r="AP332" s="844">
        <v>42803</v>
      </c>
      <c r="AQ332" s="844">
        <v>43659</v>
      </c>
      <c r="AR332" s="844">
        <v>44532</v>
      </c>
      <c r="AS332" s="844">
        <v>45423</v>
      </c>
      <c r="AT332" s="844">
        <v>46331</v>
      </c>
      <c r="AU332" s="844">
        <v>47258</v>
      </c>
      <c r="AV332" s="844">
        <v>48203</v>
      </c>
      <c r="AW332" s="844">
        <v>49167</v>
      </c>
      <c r="AX332" s="844">
        <v>50150</v>
      </c>
      <c r="AY332" s="844">
        <v>51153</v>
      </c>
      <c r="AZ332" s="844">
        <v>52174</v>
      </c>
      <c r="BA332" s="844">
        <v>53213</v>
      </c>
      <c r="BB332" s="844">
        <v>54270</v>
      </c>
      <c r="BC332" s="844">
        <v>55346</v>
      </c>
      <c r="BD332" s="844">
        <v>56439</v>
      </c>
      <c r="BE332" s="844">
        <v>57551</v>
      </c>
      <c r="BF332" s="844">
        <v>58681</v>
      </c>
      <c r="BG332" s="844">
        <v>59829</v>
      </c>
      <c r="BH332" s="844">
        <v>60994</v>
      </c>
      <c r="BI332" s="844">
        <v>62178</v>
      </c>
      <c r="BJ332" s="844">
        <v>63381</v>
      </c>
      <c r="BK332" s="844">
        <v>64601</v>
      </c>
      <c r="BL332" s="844">
        <v>65838</v>
      </c>
      <c r="BM332" s="844">
        <v>67092</v>
      </c>
      <c r="BN332" s="844">
        <v>68364</v>
      </c>
      <c r="BO332" s="844">
        <v>69651</v>
      </c>
      <c r="BP332" s="844">
        <v>70955</v>
      </c>
      <c r="BQ332" s="844">
        <v>72274</v>
      </c>
      <c r="BR332" s="844">
        <v>73608</v>
      </c>
      <c r="BS332" s="844">
        <v>74957</v>
      </c>
      <c r="BT332" s="844">
        <v>76319</v>
      </c>
      <c r="BU332" s="844">
        <v>77695</v>
      </c>
      <c r="BV332" s="844">
        <v>79085</v>
      </c>
      <c r="BW332" s="844">
        <v>80487</v>
      </c>
      <c r="BX332" s="844">
        <v>81901</v>
      </c>
      <c r="BY332" s="844">
        <v>83328</v>
      </c>
      <c r="BZ332" s="844">
        <v>84765</v>
      </c>
      <c r="CA332" s="844">
        <v>86214</v>
      </c>
      <c r="CB332" s="844">
        <v>87672</v>
      </c>
      <c r="CC332" s="844">
        <v>89140</v>
      </c>
      <c r="CD332" s="844">
        <v>90616</v>
      </c>
      <c r="CE332" s="844">
        <v>92101</v>
      </c>
      <c r="CF332" s="844">
        <v>93593</v>
      </c>
      <c r="CG332" s="844">
        <v>95093</v>
      </c>
      <c r="CH332" s="844">
        <v>96600</v>
      </c>
      <c r="CI332" s="844">
        <v>98114</v>
      </c>
      <c r="CJ332" s="844">
        <v>99635</v>
      </c>
      <c r="CK332" s="844">
        <v>101161</v>
      </c>
      <c r="CL332" s="844">
        <v>102688</v>
      </c>
      <c r="CM332" s="844">
        <v>104214</v>
      </c>
      <c r="CN332" s="844">
        <v>105742</v>
      </c>
      <c r="CO332" s="844">
        <v>107271</v>
      </c>
      <c r="CP332" s="844">
        <v>108801</v>
      </c>
      <c r="CQ332" s="844">
        <v>110332</v>
      </c>
      <c r="CR332" s="844">
        <v>111862</v>
      </c>
      <c r="CS332" s="844">
        <v>113392</v>
      </c>
      <c r="CT332" s="844">
        <v>114921</v>
      </c>
      <c r="CU332" s="844">
        <v>116448</v>
      </c>
      <c r="CV332" s="844">
        <v>117974</v>
      </c>
      <c r="CW332" s="844">
        <v>119498</v>
      </c>
      <c r="CX332" s="844">
        <v>121020</v>
      </c>
      <c r="CY332" s="844">
        <v>122539</v>
      </c>
      <c r="CZ332" s="844">
        <v>124057</v>
      </c>
      <c r="DA332" s="844">
        <v>125572</v>
      </c>
      <c r="DB332" s="844">
        <v>127089</v>
      </c>
      <c r="DC332" s="844">
        <v>128612</v>
      </c>
      <c r="DD332" s="844">
        <v>130170</v>
      </c>
      <c r="DE332" s="844">
        <v>131888</v>
      </c>
      <c r="DF332" s="844">
        <v>133200</v>
      </c>
      <c r="DG332" s="844">
        <v>0</v>
      </c>
      <c r="DH332" s="844">
        <v>0</v>
      </c>
      <c r="DI332" s="844">
        <v>0</v>
      </c>
      <c r="DJ332" s="844">
        <v>0</v>
      </c>
      <c r="DK332" s="844">
        <v>0</v>
      </c>
      <c r="DL332" s="844">
        <v>0</v>
      </c>
      <c r="DM332" s="844">
        <v>0</v>
      </c>
      <c r="DN332" s="844">
        <v>0</v>
      </c>
      <c r="DO332" s="844">
        <v>0</v>
      </c>
      <c r="DP332" s="844">
        <v>0</v>
      </c>
      <c r="DQ332" s="844">
        <v>0</v>
      </c>
      <c r="DR332" s="844">
        <v>0</v>
      </c>
      <c r="DS332" s="844">
        <v>0</v>
      </c>
      <c r="DT332" s="844">
        <v>0</v>
      </c>
      <c r="DU332" s="844">
        <v>0</v>
      </c>
      <c r="DV332" s="844">
        <v>0</v>
      </c>
      <c r="DW332" s="844">
        <v>0</v>
      </c>
      <c r="DY332" s="846" t="s">
        <v>1060</v>
      </c>
      <c r="DZ332" s="846" t="s">
        <v>1382</v>
      </c>
      <c r="EA332" s="846" t="s">
        <v>96</v>
      </c>
      <c r="EB332" s="847">
        <v>17</v>
      </c>
      <c r="EC332" s="780" t="str">
        <f t="shared" si="13"/>
        <v>IWT060117</v>
      </c>
      <c r="ED332" s="847">
        <v>0</v>
      </c>
      <c r="EE332" s="847">
        <v>2996</v>
      </c>
      <c r="EF332" s="847">
        <v>7956</v>
      </c>
      <c r="EG332" s="847">
        <v>13015</v>
      </c>
      <c r="EH332" s="847">
        <v>18175</v>
      </c>
      <c r="EI332" s="847">
        <v>23439</v>
      </c>
      <c r="EJ332" s="847">
        <v>28807</v>
      </c>
      <c r="EK332" s="847">
        <v>29382</v>
      </c>
      <c r="EL332" s="847">
        <v>29969</v>
      </c>
      <c r="EM332" s="847">
        <v>30568</v>
      </c>
      <c r="EN332" s="847">
        <v>31180</v>
      </c>
      <c r="EO332" s="847">
        <v>31803</v>
      </c>
      <c r="EP332" s="847">
        <v>32439</v>
      </c>
      <c r="EQ332" s="847">
        <v>33088</v>
      </c>
      <c r="ER332" s="847">
        <v>33750</v>
      </c>
      <c r="ES332" s="847">
        <v>34425</v>
      </c>
      <c r="ET332" s="847">
        <v>35113</v>
      </c>
      <c r="EU332" s="847">
        <v>35816</v>
      </c>
      <c r="EV332" s="847">
        <v>36532</v>
      </c>
      <c r="EW332" s="847">
        <v>37263</v>
      </c>
      <c r="EX332" s="847">
        <v>38008</v>
      </c>
      <c r="EY332" s="847">
        <v>38768</v>
      </c>
      <c r="EZ332" s="847">
        <v>39543</v>
      </c>
      <c r="FA332" s="847">
        <v>40334</v>
      </c>
      <c r="FB332" s="847">
        <v>41141</v>
      </c>
      <c r="FC332" s="847">
        <v>41964</v>
      </c>
      <c r="FD332" s="847">
        <v>42803</v>
      </c>
      <c r="FE332" s="847">
        <v>43659</v>
      </c>
      <c r="FF332" s="847">
        <v>44532</v>
      </c>
      <c r="FG332" s="847">
        <v>45423</v>
      </c>
      <c r="FH332" s="847">
        <v>46331</v>
      </c>
      <c r="FI332" s="847">
        <v>47258</v>
      </c>
      <c r="FJ332" s="847">
        <v>48203</v>
      </c>
      <c r="FK332" s="847">
        <v>49167</v>
      </c>
      <c r="FL332" s="847">
        <v>50150</v>
      </c>
      <c r="FM332" s="847">
        <v>51153</v>
      </c>
      <c r="FN332" s="847">
        <v>52174</v>
      </c>
      <c r="FO332" s="847">
        <v>53213</v>
      </c>
      <c r="FP332" s="847">
        <v>54270</v>
      </c>
      <c r="FQ332" s="847">
        <v>55346</v>
      </c>
      <c r="FR332" s="847">
        <v>56439</v>
      </c>
      <c r="FS332" s="847">
        <v>57551</v>
      </c>
      <c r="FT332" s="847">
        <v>58681</v>
      </c>
      <c r="FU332" s="847">
        <v>59829</v>
      </c>
      <c r="FV332" s="847">
        <v>60994</v>
      </c>
      <c r="FW332" s="847">
        <v>62178</v>
      </c>
      <c r="FX332" s="847">
        <v>63381</v>
      </c>
      <c r="FY332" s="847">
        <v>64601</v>
      </c>
      <c r="FZ332" s="847">
        <v>65838</v>
      </c>
      <c r="GA332" s="847">
        <v>67092</v>
      </c>
      <c r="GB332" s="847">
        <v>68364</v>
      </c>
      <c r="GC332" s="847">
        <v>69651</v>
      </c>
      <c r="GD332" s="847">
        <v>70955</v>
      </c>
      <c r="GE332" s="847">
        <v>72274</v>
      </c>
      <c r="GF332" s="847">
        <v>73608</v>
      </c>
      <c r="GG332" s="847">
        <v>74957</v>
      </c>
      <c r="GH332" s="847">
        <v>76319</v>
      </c>
      <c r="GI332" s="847">
        <v>77695</v>
      </c>
      <c r="GJ332" s="847">
        <v>79085</v>
      </c>
      <c r="GK332" s="847">
        <v>80487</v>
      </c>
      <c r="GL332" s="847">
        <v>81901</v>
      </c>
      <c r="GM332" s="847">
        <v>83328</v>
      </c>
      <c r="GN332" s="847">
        <v>84765</v>
      </c>
      <c r="GO332" s="847">
        <v>86214</v>
      </c>
      <c r="GP332" s="847">
        <v>87672</v>
      </c>
      <c r="GQ332" s="847">
        <v>89140</v>
      </c>
      <c r="GR332" s="847">
        <v>90616</v>
      </c>
      <c r="GS332" s="847">
        <v>92101</v>
      </c>
      <c r="GT332" s="847">
        <v>93593</v>
      </c>
      <c r="GU332" s="847">
        <v>95093</v>
      </c>
      <c r="GV332" s="847">
        <v>96600</v>
      </c>
      <c r="GW332" s="847">
        <v>98114</v>
      </c>
      <c r="GX332" s="847">
        <v>99635</v>
      </c>
      <c r="GY332" s="847">
        <v>101161</v>
      </c>
      <c r="GZ332" s="847">
        <v>102688</v>
      </c>
      <c r="HA332" s="847">
        <v>104214</v>
      </c>
      <c r="HB332" s="847">
        <v>105742</v>
      </c>
      <c r="HC332" s="847">
        <v>107271</v>
      </c>
      <c r="HD332" s="847">
        <v>108801</v>
      </c>
      <c r="HE332" s="847">
        <v>110332</v>
      </c>
      <c r="HF332" s="847">
        <v>111862</v>
      </c>
      <c r="HG332" s="847">
        <v>113392</v>
      </c>
      <c r="HH332" s="847">
        <v>114921</v>
      </c>
      <c r="HI332" s="847">
        <v>116448</v>
      </c>
      <c r="HJ332" s="847">
        <v>117974</v>
      </c>
      <c r="HK332" s="847">
        <v>119498</v>
      </c>
      <c r="HL332" s="847">
        <v>121020</v>
      </c>
      <c r="HM332" s="847">
        <v>122539</v>
      </c>
      <c r="HN332" s="847">
        <v>124057</v>
      </c>
      <c r="HO332" s="847">
        <v>125572</v>
      </c>
      <c r="HP332" s="847">
        <v>127089</v>
      </c>
      <c r="HQ332" s="847">
        <v>128612</v>
      </c>
      <c r="HR332" s="847">
        <v>130170</v>
      </c>
      <c r="HS332" s="847">
        <v>131888</v>
      </c>
      <c r="HT332" s="847">
        <v>133200</v>
      </c>
      <c r="HU332" s="847">
        <v>0</v>
      </c>
      <c r="HV332" s="847">
        <v>0</v>
      </c>
      <c r="HW332" s="847">
        <v>0</v>
      </c>
      <c r="HX332" s="847">
        <v>0</v>
      </c>
      <c r="HY332" s="847">
        <v>0</v>
      </c>
      <c r="HZ332" s="847">
        <v>0</v>
      </c>
      <c r="IA332" s="847">
        <v>0</v>
      </c>
      <c r="IB332" s="847">
        <v>0</v>
      </c>
      <c r="IC332" s="847">
        <v>0</v>
      </c>
      <c r="ID332" s="847">
        <v>0</v>
      </c>
      <c r="IE332" s="847">
        <v>0</v>
      </c>
      <c r="IF332" s="847">
        <v>0</v>
      </c>
      <c r="IG332" s="847">
        <v>0</v>
      </c>
      <c r="IH332" s="847">
        <v>0</v>
      </c>
      <c r="II332" s="847">
        <v>0</v>
      </c>
      <c r="IJ332" s="847">
        <v>0</v>
      </c>
      <c r="IK332" s="847">
        <v>0</v>
      </c>
    </row>
    <row r="333" spans="12:245" hidden="1">
      <c r="L333" s="843" t="s">
        <v>1060</v>
      </c>
      <c r="M333" s="843" t="s">
        <v>1382</v>
      </c>
      <c r="N333" s="843" t="s">
        <v>96</v>
      </c>
      <c r="O333" s="844">
        <v>18</v>
      </c>
      <c r="P333" s="780" t="str">
        <f t="shared" si="12"/>
        <v>IWT060118</v>
      </c>
      <c r="Q333" s="844">
        <v>2255</v>
      </c>
      <c r="R333" s="844">
        <v>6387</v>
      </c>
      <c r="S333" s="844">
        <v>11103</v>
      </c>
      <c r="T333" s="844">
        <v>16416</v>
      </c>
      <c r="U333" s="844">
        <v>22347</v>
      </c>
      <c r="V333" s="844">
        <v>28621</v>
      </c>
      <c r="W333" s="844">
        <v>29487</v>
      </c>
      <c r="X333" s="844">
        <v>30076</v>
      </c>
      <c r="Y333" s="844">
        <v>30678</v>
      </c>
      <c r="Z333" s="844">
        <v>31291</v>
      </c>
      <c r="AA333" s="844">
        <v>31917</v>
      </c>
      <c r="AB333" s="844">
        <v>32555</v>
      </c>
      <c r="AC333" s="844">
        <v>33206</v>
      </c>
      <c r="AD333" s="844">
        <v>33871</v>
      </c>
      <c r="AE333" s="844">
        <v>34548</v>
      </c>
      <c r="AF333" s="844">
        <v>35239</v>
      </c>
      <c r="AG333" s="844">
        <v>35944</v>
      </c>
      <c r="AH333" s="844">
        <v>36663</v>
      </c>
      <c r="AI333" s="844">
        <v>37396</v>
      </c>
      <c r="AJ333" s="844">
        <v>38144</v>
      </c>
      <c r="AK333" s="844">
        <v>38907</v>
      </c>
      <c r="AL333" s="844">
        <v>39685</v>
      </c>
      <c r="AM333" s="844">
        <v>40478</v>
      </c>
      <c r="AN333" s="844">
        <v>41288</v>
      </c>
      <c r="AO333" s="844">
        <v>42114</v>
      </c>
      <c r="AP333" s="844">
        <v>42956</v>
      </c>
      <c r="AQ333" s="844">
        <v>43815</v>
      </c>
      <c r="AR333" s="844">
        <v>44691</v>
      </c>
      <c r="AS333" s="844">
        <v>45585</v>
      </c>
      <c r="AT333" s="844">
        <v>46497</v>
      </c>
      <c r="AU333" s="844">
        <v>47427</v>
      </c>
      <c r="AV333" s="844">
        <v>48375</v>
      </c>
      <c r="AW333" s="844">
        <v>49343</v>
      </c>
      <c r="AX333" s="844">
        <v>50330</v>
      </c>
      <c r="AY333" s="844">
        <v>51336</v>
      </c>
      <c r="AZ333" s="844">
        <v>52362</v>
      </c>
      <c r="BA333" s="844">
        <v>53406</v>
      </c>
      <c r="BB333" s="844">
        <v>54468</v>
      </c>
      <c r="BC333" s="844">
        <v>55548</v>
      </c>
      <c r="BD333" s="844">
        <v>56646</v>
      </c>
      <c r="BE333" s="844">
        <v>57762</v>
      </c>
      <c r="BF333" s="844">
        <v>58896</v>
      </c>
      <c r="BG333" s="844">
        <v>60048</v>
      </c>
      <c r="BH333" s="844">
        <v>61219</v>
      </c>
      <c r="BI333" s="844">
        <v>62407</v>
      </c>
      <c r="BJ333" s="844">
        <v>63614</v>
      </c>
      <c r="BK333" s="844">
        <v>64838</v>
      </c>
      <c r="BL333" s="844">
        <v>66079</v>
      </c>
      <c r="BM333" s="844">
        <v>67336</v>
      </c>
      <c r="BN333" s="844">
        <v>68611</v>
      </c>
      <c r="BO333" s="844">
        <v>69902</v>
      </c>
      <c r="BP333" s="844">
        <v>71208</v>
      </c>
      <c r="BQ333" s="844">
        <v>72529</v>
      </c>
      <c r="BR333" s="844">
        <v>73865</v>
      </c>
      <c r="BS333" s="844">
        <v>75215</v>
      </c>
      <c r="BT333" s="844">
        <v>76579</v>
      </c>
      <c r="BU333" s="844">
        <v>77956</v>
      </c>
      <c r="BV333" s="844">
        <v>79347</v>
      </c>
      <c r="BW333" s="844">
        <v>80750</v>
      </c>
      <c r="BX333" s="844">
        <v>82165</v>
      </c>
      <c r="BY333" s="844">
        <v>83591</v>
      </c>
      <c r="BZ333" s="844">
        <v>85029</v>
      </c>
      <c r="CA333" s="844">
        <v>86477</v>
      </c>
      <c r="CB333" s="844">
        <v>87934</v>
      </c>
      <c r="CC333" s="844">
        <v>89400</v>
      </c>
      <c r="CD333" s="844">
        <v>90875</v>
      </c>
      <c r="CE333" s="844">
        <v>92358</v>
      </c>
      <c r="CF333" s="844">
        <v>93848</v>
      </c>
      <c r="CG333" s="844">
        <v>95347</v>
      </c>
      <c r="CH333" s="844">
        <v>96852</v>
      </c>
      <c r="CI333" s="844">
        <v>98364</v>
      </c>
      <c r="CJ333" s="844">
        <v>99881</v>
      </c>
      <c r="CK333" s="844">
        <v>101401</v>
      </c>
      <c r="CL333" s="844">
        <v>102920</v>
      </c>
      <c r="CM333" s="844">
        <v>104440</v>
      </c>
      <c r="CN333" s="844">
        <v>105963</v>
      </c>
      <c r="CO333" s="844">
        <v>107487</v>
      </c>
      <c r="CP333" s="844">
        <v>109011</v>
      </c>
      <c r="CQ333" s="844">
        <v>110535</v>
      </c>
      <c r="CR333" s="844">
        <v>112060</v>
      </c>
      <c r="CS333" s="844">
        <v>113583</v>
      </c>
      <c r="CT333" s="844">
        <v>115106</v>
      </c>
      <c r="CU333" s="844">
        <v>116627</v>
      </c>
      <c r="CV333" s="844">
        <v>118146</v>
      </c>
      <c r="CW333" s="844">
        <v>119664</v>
      </c>
      <c r="CX333" s="844">
        <v>121179</v>
      </c>
      <c r="CY333" s="844">
        <v>122693</v>
      </c>
      <c r="CZ333" s="844">
        <v>124205</v>
      </c>
      <c r="DA333" s="844">
        <v>125718</v>
      </c>
      <c r="DB333" s="844">
        <v>127238</v>
      </c>
      <c r="DC333" s="844">
        <v>128792</v>
      </c>
      <c r="DD333" s="844">
        <v>130501</v>
      </c>
      <c r="DE333" s="844">
        <v>131800</v>
      </c>
      <c r="DF333" s="844">
        <v>0</v>
      </c>
      <c r="DG333" s="844">
        <v>0</v>
      </c>
      <c r="DH333" s="844">
        <v>0</v>
      </c>
      <c r="DI333" s="844">
        <v>0</v>
      </c>
      <c r="DJ333" s="844">
        <v>0</v>
      </c>
      <c r="DK333" s="844">
        <v>0</v>
      </c>
      <c r="DL333" s="844">
        <v>0</v>
      </c>
      <c r="DM333" s="844">
        <v>0</v>
      </c>
      <c r="DN333" s="844">
        <v>0</v>
      </c>
      <c r="DO333" s="844">
        <v>0</v>
      </c>
      <c r="DP333" s="844">
        <v>0</v>
      </c>
      <c r="DQ333" s="844">
        <v>0</v>
      </c>
      <c r="DR333" s="844">
        <v>0</v>
      </c>
      <c r="DS333" s="844">
        <v>0</v>
      </c>
      <c r="DT333" s="844">
        <v>0</v>
      </c>
      <c r="DU333" s="844">
        <v>0</v>
      </c>
      <c r="DV333" s="844">
        <v>0</v>
      </c>
      <c r="DW333" s="844">
        <v>0</v>
      </c>
      <c r="DY333" s="846" t="s">
        <v>1060</v>
      </c>
      <c r="DZ333" s="846" t="s">
        <v>1382</v>
      </c>
      <c r="EA333" s="846" t="s">
        <v>96</v>
      </c>
      <c r="EB333" s="847">
        <v>18</v>
      </c>
      <c r="EC333" s="780" t="str">
        <f t="shared" si="13"/>
        <v>IWT060118</v>
      </c>
      <c r="ED333" s="847">
        <v>0</v>
      </c>
      <c r="EE333" s="847">
        <v>3007</v>
      </c>
      <c r="EF333" s="847">
        <v>7984</v>
      </c>
      <c r="EG333" s="847">
        <v>13062</v>
      </c>
      <c r="EH333" s="847">
        <v>18240</v>
      </c>
      <c r="EI333" s="847">
        <v>23523</v>
      </c>
      <c r="EJ333" s="847">
        <v>28910</v>
      </c>
      <c r="EK333" s="847">
        <v>29487</v>
      </c>
      <c r="EL333" s="847">
        <v>30076</v>
      </c>
      <c r="EM333" s="847">
        <v>30678</v>
      </c>
      <c r="EN333" s="847">
        <v>31291</v>
      </c>
      <c r="EO333" s="847">
        <v>31917</v>
      </c>
      <c r="EP333" s="847">
        <v>32555</v>
      </c>
      <c r="EQ333" s="847">
        <v>33206</v>
      </c>
      <c r="ER333" s="847">
        <v>33871</v>
      </c>
      <c r="ES333" s="847">
        <v>34548</v>
      </c>
      <c r="ET333" s="847">
        <v>35239</v>
      </c>
      <c r="EU333" s="847">
        <v>35944</v>
      </c>
      <c r="EV333" s="847">
        <v>36663</v>
      </c>
      <c r="EW333" s="847">
        <v>37396</v>
      </c>
      <c r="EX333" s="847">
        <v>38144</v>
      </c>
      <c r="EY333" s="847">
        <v>38907</v>
      </c>
      <c r="EZ333" s="847">
        <v>39685</v>
      </c>
      <c r="FA333" s="847">
        <v>40478</v>
      </c>
      <c r="FB333" s="847">
        <v>41288</v>
      </c>
      <c r="FC333" s="847">
        <v>42114</v>
      </c>
      <c r="FD333" s="847">
        <v>42956</v>
      </c>
      <c r="FE333" s="847">
        <v>43815</v>
      </c>
      <c r="FF333" s="847">
        <v>44691</v>
      </c>
      <c r="FG333" s="847">
        <v>45585</v>
      </c>
      <c r="FH333" s="847">
        <v>46497</v>
      </c>
      <c r="FI333" s="847">
        <v>47427</v>
      </c>
      <c r="FJ333" s="847">
        <v>48375</v>
      </c>
      <c r="FK333" s="847">
        <v>49343</v>
      </c>
      <c r="FL333" s="847">
        <v>50330</v>
      </c>
      <c r="FM333" s="847">
        <v>51336</v>
      </c>
      <c r="FN333" s="847">
        <v>52362</v>
      </c>
      <c r="FO333" s="847">
        <v>53406</v>
      </c>
      <c r="FP333" s="847">
        <v>54468</v>
      </c>
      <c r="FQ333" s="847">
        <v>55548</v>
      </c>
      <c r="FR333" s="847">
        <v>56646</v>
      </c>
      <c r="FS333" s="847">
        <v>57762</v>
      </c>
      <c r="FT333" s="847">
        <v>58896</v>
      </c>
      <c r="FU333" s="847">
        <v>60048</v>
      </c>
      <c r="FV333" s="847">
        <v>61219</v>
      </c>
      <c r="FW333" s="847">
        <v>62407</v>
      </c>
      <c r="FX333" s="847">
        <v>63614</v>
      </c>
      <c r="FY333" s="847">
        <v>64838</v>
      </c>
      <c r="FZ333" s="847">
        <v>66079</v>
      </c>
      <c r="GA333" s="847">
        <v>67336</v>
      </c>
      <c r="GB333" s="847">
        <v>68611</v>
      </c>
      <c r="GC333" s="847">
        <v>69902</v>
      </c>
      <c r="GD333" s="847">
        <v>71208</v>
      </c>
      <c r="GE333" s="847">
        <v>72529</v>
      </c>
      <c r="GF333" s="847">
        <v>73865</v>
      </c>
      <c r="GG333" s="847">
        <v>75215</v>
      </c>
      <c r="GH333" s="847">
        <v>76579</v>
      </c>
      <c r="GI333" s="847">
        <v>77956</v>
      </c>
      <c r="GJ333" s="847">
        <v>79347</v>
      </c>
      <c r="GK333" s="847">
        <v>80750</v>
      </c>
      <c r="GL333" s="847">
        <v>82165</v>
      </c>
      <c r="GM333" s="847">
        <v>83591</v>
      </c>
      <c r="GN333" s="847">
        <v>85029</v>
      </c>
      <c r="GO333" s="847">
        <v>86477</v>
      </c>
      <c r="GP333" s="847">
        <v>87934</v>
      </c>
      <c r="GQ333" s="847">
        <v>89400</v>
      </c>
      <c r="GR333" s="847">
        <v>90875</v>
      </c>
      <c r="GS333" s="847">
        <v>92358</v>
      </c>
      <c r="GT333" s="847">
        <v>93848</v>
      </c>
      <c r="GU333" s="847">
        <v>95347</v>
      </c>
      <c r="GV333" s="847">
        <v>96852</v>
      </c>
      <c r="GW333" s="847">
        <v>98364</v>
      </c>
      <c r="GX333" s="847">
        <v>99881</v>
      </c>
      <c r="GY333" s="847">
        <v>101401</v>
      </c>
      <c r="GZ333" s="847">
        <v>102920</v>
      </c>
      <c r="HA333" s="847">
        <v>104440</v>
      </c>
      <c r="HB333" s="847">
        <v>105963</v>
      </c>
      <c r="HC333" s="847">
        <v>107487</v>
      </c>
      <c r="HD333" s="847">
        <v>109011</v>
      </c>
      <c r="HE333" s="847">
        <v>110535</v>
      </c>
      <c r="HF333" s="847">
        <v>112060</v>
      </c>
      <c r="HG333" s="847">
        <v>113583</v>
      </c>
      <c r="HH333" s="847">
        <v>115106</v>
      </c>
      <c r="HI333" s="847">
        <v>116627</v>
      </c>
      <c r="HJ333" s="847">
        <v>118146</v>
      </c>
      <c r="HK333" s="847">
        <v>119664</v>
      </c>
      <c r="HL333" s="847">
        <v>121179</v>
      </c>
      <c r="HM333" s="847">
        <v>122693</v>
      </c>
      <c r="HN333" s="847">
        <v>124205</v>
      </c>
      <c r="HO333" s="847">
        <v>125718</v>
      </c>
      <c r="HP333" s="847">
        <v>127238</v>
      </c>
      <c r="HQ333" s="847">
        <v>128792</v>
      </c>
      <c r="HR333" s="847">
        <v>130501</v>
      </c>
      <c r="HS333" s="847">
        <v>131800</v>
      </c>
      <c r="HT333" s="847">
        <v>0</v>
      </c>
      <c r="HU333" s="847">
        <v>0</v>
      </c>
      <c r="HV333" s="847">
        <v>0</v>
      </c>
      <c r="HW333" s="847">
        <v>0</v>
      </c>
      <c r="HX333" s="847">
        <v>0</v>
      </c>
      <c r="HY333" s="847">
        <v>0</v>
      </c>
      <c r="HZ333" s="847">
        <v>0</v>
      </c>
      <c r="IA333" s="847">
        <v>0</v>
      </c>
      <c r="IB333" s="847">
        <v>0</v>
      </c>
      <c r="IC333" s="847">
        <v>0</v>
      </c>
      <c r="ID333" s="847">
        <v>0</v>
      </c>
      <c r="IE333" s="847">
        <v>0</v>
      </c>
      <c r="IF333" s="847">
        <v>0</v>
      </c>
      <c r="IG333" s="847">
        <v>0</v>
      </c>
      <c r="IH333" s="847">
        <v>0</v>
      </c>
      <c r="II333" s="847">
        <v>0</v>
      </c>
      <c r="IJ333" s="847">
        <v>0</v>
      </c>
      <c r="IK333" s="847">
        <v>0</v>
      </c>
    </row>
    <row r="334" spans="12:245" hidden="1">
      <c r="L334" s="843" t="s">
        <v>1060</v>
      </c>
      <c r="M334" s="843" t="s">
        <v>1382</v>
      </c>
      <c r="N334" s="843" t="s">
        <v>96</v>
      </c>
      <c r="O334" s="844">
        <v>19</v>
      </c>
      <c r="P334" s="780" t="str">
        <f t="shared" si="12"/>
        <v>IWT060119</v>
      </c>
      <c r="Q334" s="844">
        <v>2263</v>
      </c>
      <c r="R334" s="844">
        <v>6409</v>
      </c>
      <c r="S334" s="844">
        <v>11140</v>
      </c>
      <c r="T334" s="844">
        <v>16472</v>
      </c>
      <c r="U334" s="844">
        <v>22423</v>
      </c>
      <c r="V334" s="844">
        <v>28719</v>
      </c>
      <c r="W334" s="844">
        <v>29588</v>
      </c>
      <c r="X334" s="844">
        <v>30179</v>
      </c>
      <c r="Y334" s="844">
        <v>30782</v>
      </c>
      <c r="Z334" s="844">
        <v>31398</v>
      </c>
      <c r="AA334" s="844">
        <v>32026</v>
      </c>
      <c r="AB334" s="844">
        <v>32666</v>
      </c>
      <c r="AC334" s="844">
        <v>33319</v>
      </c>
      <c r="AD334" s="844">
        <v>33986</v>
      </c>
      <c r="AE334" s="844">
        <v>34665</v>
      </c>
      <c r="AF334" s="844">
        <v>35359</v>
      </c>
      <c r="AG334" s="844">
        <v>36066</v>
      </c>
      <c r="AH334" s="844">
        <v>36787</v>
      </c>
      <c r="AI334" s="844">
        <v>37523</v>
      </c>
      <c r="AJ334" s="844">
        <v>38273</v>
      </c>
      <c r="AK334" s="844">
        <v>39039</v>
      </c>
      <c r="AL334" s="844">
        <v>39820</v>
      </c>
      <c r="AM334" s="844">
        <v>40616</v>
      </c>
      <c r="AN334" s="844">
        <v>41428</v>
      </c>
      <c r="AO334" s="844">
        <v>42257</v>
      </c>
      <c r="AP334" s="844">
        <v>43102</v>
      </c>
      <c r="AQ334" s="844">
        <v>43964</v>
      </c>
      <c r="AR334" s="844">
        <v>44843</v>
      </c>
      <c r="AS334" s="844">
        <v>45740</v>
      </c>
      <c r="AT334" s="844">
        <v>46655</v>
      </c>
      <c r="AU334" s="844">
        <v>47588</v>
      </c>
      <c r="AV334" s="844">
        <v>48540</v>
      </c>
      <c r="AW334" s="844">
        <v>49511</v>
      </c>
      <c r="AX334" s="844">
        <v>50501</v>
      </c>
      <c r="AY334" s="844">
        <v>51511</v>
      </c>
      <c r="AZ334" s="844">
        <v>52541</v>
      </c>
      <c r="BA334" s="844">
        <v>53589</v>
      </c>
      <c r="BB334" s="844">
        <v>54656</v>
      </c>
      <c r="BC334" s="844">
        <v>55741</v>
      </c>
      <c r="BD334" s="844">
        <v>56843</v>
      </c>
      <c r="BE334" s="844">
        <v>57964</v>
      </c>
      <c r="BF334" s="844">
        <v>59102</v>
      </c>
      <c r="BG334" s="844">
        <v>60259</v>
      </c>
      <c r="BH334" s="844">
        <v>61434</v>
      </c>
      <c r="BI334" s="844">
        <v>62627</v>
      </c>
      <c r="BJ334" s="844">
        <v>63837</v>
      </c>
      <c r="BK334" s="844">
        <v>65065</v>
      </c>
      <c r="BL334" s="844">
        <v>66309</v>
      </c>
      <c r="BM334" s="844">
        <v>67571</v>
      </c>
      <c r="BN334" s="844">
        <v>68848</v>
      </c>
      <c r="BO334" s="844">
        <v>70141</v>
      </c>
      <c r="BP334" s="844">
        <v>71450</v>
      </c>
      <c r="BQ334" s="844">
        <v>72773</v>
      </c>
      <c r="BR334" s="844">
        <v>74111</v>
      </c>
      <c r="BS334" s="844">
        <v>75463</v>
      </c>
      <c r="BT334" s="844">
        <v>76828</v>
      </c>
      <c r="BU334" s="844">
        <v>78207</v>
      </c>
      <c r="BV334" s="844">
        <v>79598</v>
      </c>
      <c r="BW334" s="844">
        <v>81002</v>
      </c>
      <c r="BX334" s="844">
        <v>82417</v>
      </c>
      <c r="BY334" s="844">
        <v>83844</v>
      </c>
      <c r="BZ334" s="844">
        <v>85281</v>
      </c>
      <c r="CA334" s="844">
        <v>86728</v>
      </c>
      <c r="CB334" s="844">
        <v>88184</v>
      </c>
      <c r="CC334" s="844">
        <v>89649</v>
      </c>
      <c r="CD334" s="844">
        <v>91122</v>
      </c>
      <c r="CE334" s="844">
        <v>92604</v>
      </c>
      <c r="CF334" s="844">
        <v>94093</v>
      </c>
      <c r="CG334" s="844">
        <v>95590</v>
      </c>
      <c r="CH334" s="844">
        <v>97093</v>
      </c>
      <c r="CI334" s="844">
        <v>98602</v>
      </c>
      <c r="CJ334" s="844">
        <v>100114</v>
      </c>
      <c r="CK334" s="844">
        <v>101625</v>
      </c>
      <c r="CL334" s="844">
        <v>103139</v>
      </c>
      <c r="CM334" s="844">
        <v>104655</v>
      </c>
      <c r="CN334" s="844">
        <v>106172</v>
      </c>
      <c r="CO334" s="844">
        <v>107690</v>
      </c>
      <c r="CP334" s="844">
        <v>109208</v>
      </c>
      <c r="CQ334" s="844">
        <v>110727</v>
      </c>
      <c r="CR334" s="844">
        <v>112245</v>
      </c>
      <c r="CS334" s="844">
        <v>113763</v>
      </c>
      <c r="CT334" s="844">
        <v>115279</v>
      </c>
      <c r="CU334" s="844">
        <v>116794</v>
      </c>
      <c r="CV334" s="844">
        <v>118307</v>
      </c>
      <c r="CW334" s="844">
        <v>119819</v>
      </c>
      <c r="CX334" s="844">
        <v>121329</v>
      </c>
      <c r="CY334" s="844">
        <v>122837</v>
      </c>
      <c r="CZ334" s="844">
        <v>124346</v>
      </c>
      <c r="DA334" s="844">
        <v>125863</v>
      </c>
      <c r="DB334" s="844">
        <v>127413</v>
      </c>
      <c r="DC334" s="844">
        <v>129115</v>
      </c>
      <c r="DD334" s="844">
        <v>130400</v>
      </c>
      <c r="DE334" s="844">
        <v>0</v>
      </c>
      <c r="DF334" s="844">
        <v>0</v>
      </c>
      <c r="DG334" s="844">
        <v>0</v>
      </c>
      <c r="DH334" s="844">
        <v>0</v>
      </c>
      <c r="DI334" s="844">
        <v>0</v>
      </c>
      <c r="DJ334" s="844">
        <v>0</v>
      </c>
      <c r="DK334" s="844">
        <v>0</v>
      </c>
      <c r="DL334" s="844">
        <v>0</v>
      </c>
      <c r="DM334" s="844">
        <v>0</v>
      </c>
      <c r="DN334" s="844">
        <v>0</v>
      </c>
      <c r="DO334" s="844">
        <v>0</v>
      </c>
      <c r="DP334" s="844">
        <v>0</v>
      </c>
      <c r="DQ334" s="844">
        <v>0</v>
      </c>
      <c r="DR334" s="844">
        <v>0</v>
      </c>
      <c r="DS334" s="844">
        <v>0</v>
      </c>
      <c r="DT334" s="844">
        <v>0</v>
      </c>
      <c r="DU334" s="844">
        <v>0</v>
      </c>
      <c r="DV334" s="844">
        <v>0</v>
      </c>
      <c r="DW334" s="844">
        <v>0</v>
      </c>
      <c r="DY334" s="846" t="s">
        <v>1060</v>
      </c>
      <c r="DZ334" s="846" t="s">
        <v>1382</v>
      </c>
      <c r="EA334" s="846" t="s">
        <v>96</v>
      </c>
      <c r="EB334" s="847">
        <v>19</v>
      </c>
      <c r="EC334" s="780" t="str">
        <f t="shared" si="13"/>
        <v>IWT060119</v>
      </c>
      <c r="ED334" s="847">
        <v>0</v>
      </c>
      <c r="EE334" s="847">
        <v>3017</v>
      </c>
      <c r="EF334" s="847">
        <v>8011</v>
      </c>
      <c r="EG334" s="847">
        <v>13106</v>
      </c>
      <c r="EH334" s="847">
        <v>18302</v>
      </c>
      <c r="EI334" s="847">
        <v>23603</v>
      </c>
      <c r="EJ334" s="847">
        <v>29009</v>
      </c>
      <c r="EK334" s="847">
        <v>29588</v>
      </c>
      <c r="EL334" s="847">
        <v>30179</v>
      </c>
      <c r="EM334" s="847">
        <v>30782</v>
      </c>
      <c r="EN334" s="847">
        <v>31398</v>
      </c>
      <c r="EO334" s="847">
        <v>32026</v>
      </c>
      <c r="EP334" s="847">
        <v>32666</v>
      </c>
      <c r="EQ334" s="847">
        <v>33319</v>
      </c>
      <c r="ER334" s="847">
        <v>33986</v>
      </c>
      <c r="ES334" s="847">
        <v>34665</v>
      </c>
      <c r="ET334" s="847">
        <v>35359</v>
      </c>
      <c r="EU334" s="847">
        <v>36066</v>
      </c>
      <c r="EV334" s="847">
        <v>36787</v>
      </c>
      <c r="EW334" s="847">
        <v>37523</v>
      </c>
      <c r="EX334" s="847">
        <v>38273</v>
      </c>
      <c r="EY334" s="847">
        <v>39039</v>
      </c>
      <c r="EZ334" s="847">
        <v>39820</v>
      </c>
      <c r="FA334" s="847">
        <v>40616</v>
      </c>
      <c r="FB334" s="847">
        <v>41428</v>
      </c>
      <c r="FC334" s="847">
        <v>42257</v>
      </c>
      <c r="FD334" s="847">
        <v>43102</v>
      </c>
      <c r="FE334" s="847">
        <v>43964</v>
      </c>
      <c r="FF334" s="847">
        <v>44843</v>
      </c>
      <c r="FG334" s="847">
        <v>45740</v>
      </c>
      <c r="FH334" s="847">
        <v>46655</v>
      </c>
      <c r="FI334" s="847">
        <v>47588</v>
      </c>
      <c r="FJ334" s="847">
        <v>48540</v>
      </c>
      <c r="FK334" s="847">
        <v>49511</v>
      </c>
      <c r="FL334" s="847">
        <v>50501</v>
      </c>
      <c r="FM334" s="847">
        <v>51511</v>
      </c>
      <c r="FN334" s="847">
        <v>52541</v>
      </c>
      <c r="FO334" s="847">
        <v>53589</v>
      </c>
      <c r="FP334" s="847">
        <v>54656</v>
      </c>
      <c r="FQ334" s="847">
        <v>55741</v>
      </c>
      <c r="FR334" s="847">
        <v>56843</v>
      </c>
      <c r="FS334" s="847">
        <v>57964</v>
      </c>
      <c r="FT334" s="847">
        <v>59102</v>
      </c>
      <c r="FU334" s="847">
        <v>60259</v>
      </c>
      <c r="FV334" s="847">
        <v>61434</v>
      </c>
      <c r="FW334" s="847">
        <v>62627</v>
      </c>
      <c r="FX334" s="847">
        <v>63837</v>
      </c>
      <c r="FY334" s="847">
        <v>65065</v>
      </c>
      <c r="FZ334" s="847">
        <v>66309</v>
      </c>
      <c r="GA334" s="847">
        <v>67571</v>
      </c>
      <c r="GB334" s="847">
        <v>68848</v>
      </c>
      <c r="GC334" s="847">
        <v>70141</v>
      </c>
      <c r="GD334" s="847">
        <v>71450</v>
      </c>
      <c r="GE334" s="847">
        <v>72773</v>
      </c>
      <c r="GF334" s="847">
        <v>74111</v>
      </c>
      <c r="GG334" s="847">
        <v>75463</v>
      </c>
      <c r="GH334" s="847">
        <v>76828</v>
      </c>
      <c r="GI334" s="847">
        <v>78207</v>
      </c>
      <c r="GJ334" s="847">
        <v>79598</v>
      </c>
      <c r="GK334" s="847">
        <v>81002</v>
      </c>
      <c r="GL334" s="847">
        <v>82417</v>
      </c>
      <c r="GM334" s="847">
        <v>83844</v>
      </c>
      <c r="GN334" s="847">
        <v>85281</v>
      </c>
      <c r="GO334" s="847">
        <v>86728</v>
      </c>
      <c r="GP334" s="847">
        <v>88184</v>
      </c>
      <c r="GQ334" s="847">
        <v>89649</v>
      </c>
      <c r="GR334" s="847">
        <v>91122</v>
      </c>
      <c r="GS334" s="847">
        <v>92604</v>
      </c>
      <c r="GT334" s="847">
        <v>94093</v>
      </c>
      <c r="GU334" s="847">
        <v>95590</v>
      </c>
      <c r="GV334" s="847">
        <v>97093</v>
      </c>
      <c r="GW334" s="847">
        <v>98602</v>
      </c>
      <c r="GX334" s="847">
        <v>100114</v>
      </c>
      <c r="GY334" s="847">
        <v>101625</v>
      </c>
      <c r="GZ334" s="847">
        <v>103139</v>
      </c>
      <c r="HA334" s="847">
        <v>104655</v>
      </c>
      <c r="HB334" s="847">
        <v>106172</v>
      </c>
      <c r="HC334" s="847">
        <v>107690</v>
      </c>
      <c r="HD334" s="847">
        <v>109208</v>
      </c>
      <c r="HE334" s="847">
        <v>110727</v>
      </c>
      <c r="HF334" s="847">
        <v>112245</v>
      </c>
      <c r="HG334" s="847">
        <v>113763</v>
      </c>
      <c r="HH334" s="847">
        <v>115279</v>
      </c>
      <c r="HI334" s="847">
        <v>116794</v>
      </c>
      <c r="HJ334" s="847">
        <v>118307</v>
      </c>
      <c r="HK334" s="847">
        <v>119819</v>
      </c>
      <c r="HL334" s="847">
        <v>121329</v>
      </c>
      <c r="HM334" s="847">
        <v>122837</v>
      </c>
      <c r="HN334" s="847">
        <v>124346</v>
      </c>
      <c r="HO334" s="847">
        <v>125863</v>
      </c>
      <c r="HP334" s="847">
        <v>127413</v>
      </c>
      <c r="HQ334" s="847">
        <v>129115</v>
      </c>
      <c r="HR334" s="847">
        <v>130400</v>
      </c>
      <c r="HS334" s="847">
        <v>0</v>
      </c>
      <c r="HT334" s="847">
        <v>0</v>
      </c>
      <c r="HU334" s="847">
        <v>0</v>
      </c>
      <c r="HV334" s="847">
        <v>0</v>
      </c>
      <c r="HW334" s="847">
        <v>0</v>
      </c>
      <c r="HX334" s="847">
        <v>0</v>
      </c>
      <c r="HY334" s="847">
        <v>0</v>
      </c>
      <c r="HZ334" s="847">
        <v>0</v>
      </c>
      <c r="IA334" s="847">
        <v>0</v>
      </c>
      <c r="IB334" s="847">
        <v>0</v>
      </c>
      <c r="IC334" s="847">
        <v>0</v>
      </c>
      <c r="ID334" s="847">
        <v>0</v>
      </c>
      <c r="IE334" s="847">
        <v>0</v>
      </c>
      <c r="IF334" s="847">
        <v>0</v>
      </c>
      <c r="IG334" s="847">
        <v>0</v>
      </c>
      <c r="IH334" s="847">
        <v>0</v>
      </c>
      <c r="II334" s="847">
        <v>0</v>
      </c>
      <c r="IJ334" s="847">
        <v>0</v>
      </c>
      <c r="IK334" s="847">
        <v>0</v>
      </c>
    </row>
    <row r="335" spans="12:245" hidden="1">
      <c r="L335" s="843" t="s">
        <v>1060</v>
      </c>
      <c r="M335" s="843" t="s">
        <v>1382</v>
      </c>
      <c r="N335" s="843" t="s">
        <v>96</v>
      </c>
      <c r="O335" s="844">
        <v>20</v>
      </c>
      <c r="P335" s="780" t="str">
        <f t="shared" si="12"/>
        <v>IWT060120</v>
      </c>
      <c r="Q335" s="844">
        <v>2270</v>
      </c>
      <c r="R335" s="844">
        <v>6430</v>
      </c>
      <c r="S335" s="844">
        <v>11176</v>
      </c>
      <c r="T335" s="844">
        <v>16526</v>
      </c>
      <c r="U335" s="844">
        <v>22495</v>
      </c>
      <c r="V335" s="844">
        <v>28812</v>
      </c>
      <c r="W335" s="844">
        <v>29684</v>
      </c>
      <c r="X335" s="844">
        <v>30277</v>
      </c>
      <c r="Y335" s="844">
        <v>30882</v>
      </c>
      <c r="Z335" s="844">
        <v>31499</v>
      </c>
      <c r="AA335" s="844">
        <v>32129</v>
      </c>
      <c r="AB335" s="844">
        <v>32772</v>
      </c>
      <c r="AC335" s="844">
        <v>33427</v>
      </c>
      <c r="AD335" s="844">
        <v>34096</v>
      </c>
      <c r="AE335" s="844">
        <v>34778</v>
      </c>
      <c r="AF335" s="844">
        <v>35473</v>
      </c>
      <c r="AG335" s="844">
        <v>36183</v>
      </c>
      <c r="AH335" s="844">
        <v>36907</v>
      </c>
      <c r="AI335" s="844">
        <v>37645</v>
      </c>
      <c r="AJ335" s="844">
        <v>38398</v>
      </c>
      <c r="AK335" s="844">
        <v>39165</v>
      </c>
      <c r="AL335" s="844">
        <v>39949</v>
      </c>
      <c r="AM335" s="844">
        <v>40748</v>
      </c>
      <c r="AN335" s="844">
        <v>41563</v>
      </c>
      <c r="AO335" s="844">
        <v>42394</v>
      </c>
      <c r="AP335" s="844">
        <v>43242</v>
      </c>
      <c r="AQ335" s="844">
        <v>44107</v>
      </c>
      <c r="AR335" s="844">
        <v>44989</v>
      </c>
      <c r="AS335" s="844">
        <v>45889</v>
      </c>
      <c r="AT335" s="844">
        <v>46806</v>
      </c>
      <c r="AU335" s="844">
        <v>47742</v>
      </c>
      <c r="AV335" s="844">
        <v>48697</v>
      </c>
      <c r="AW335" s="844">
        <v>49671</v>
      </c>
      <c r="AX335" s="844">
        <v>50665</v>
      </c>
      <c r="AY335" s="844">
        <v>51678</v>
      </c>
      <c r="AZ335" s="844">
        <v>52711</v>
      </c>
      <c r="BA335" s="844">
        <v>53764</v>
      </c>
      <c r="BB335" s="844">
        <v>54835</v>
      </c>
      <c r="BC335" s="844">
        <v>55924</v>
      </c>
      <c r="BD335" s="844">
        <v>57032</v>
      </c>
      <c r="BE335" s="844">
        <v>58156</v>
      </c>
      <c r="BF335" s="844">
        <v>59300</v>
      </c>
      <c r="BG335" s="844">
        <v>60461</v>
      </c>
      <c r="BH335" s="844">
        <v>61640</v>
      </c>
      <c r="BI335" s="844">
        <v>62837</v>
      </c>
      <c r="BJ335" s="844">
        <v>64051</v>
      </c>
      <c r="BK335" s="844">
        <v>65282</v>
      </c>
      <c r="BL335" s="844">
        <v>66530</v>
      </c>
      <c r="BM335" s="844">
        <v>67795</v>
      </c>
      <c r="BN335" s="844">
        <v>69075</v>
      </c>
      <c r="BO335" s="844">
        <v>70371</v>
      </c>
      <c r="BP335" s="844">
        <v>71681</v>
      </c>
      <c r="BQ335" s="844">
        <v>73007</v>
      </c>
      <c r="BR335" s="844">
        <v>74346</v>
      </c>
      <c r="BS335" s="844">
        <v>75700</v>
      </c>
      <c r="BT335" s="844">
        <v>77067</v>
      </c>
      <c r="BU335" s="844">
        <v>78446</v>
      </c>
      <c r="BV335" s="844">
        <v>79839</v>
      </c>
      <c r="BW335" s="844">
        <v>81243</v>
      </c>
      <c r="BX335" s="844">
        <v>82659</v>
      </c>
      <c r="BY335" s="844">
        <v>84086</v>
      </c>
      <c r="BZ335" s="844">
        <v>85523</v>
      </c>
      <c r="CA335" s="844">
        <v>86969</v>
      </c>
      <c r="CB335" s="844">
        <v>88424</v>
      </c>
      <c r="CC335" s="844">
        <v>89887</v>
      </c>
      <c r="CD335" s="844">
        <v>91359</v>
      </c>
      <c r="CE335" s="844">
        <v>92840</v>
      </c>
      <c r="CF335" s="844">
        <v>94328</v>
      </c>
      <c r="CG335" s="844">
        <v>95823</v>
      </c>
      <c r="CH335" s="844">
        <v>97323</v>
      </c>
      <c r="CI335" s="844">
        <v>98827</v>
      </c>
      <c r="CJ335" s="844">
        <v>100331</v>
      </c>
      <c r="CK335" s="844">
        <v>101838</v>
      </c>
      <c r="CL335" s="844">
        <v>103346</v>
      </c>
      <c r="CM335" s="844">
        <v>104857</v>
      </c>
      <c r="CN335" s="844">
        <v>106369</v>
      </c>
      <c r="CO335" s="844">
        <v>107882</v>
      </c>
      <c r="CP335" s="844">
        <v>109395</v>
      </c>
      <c r="CQ335" s="844">
        <v>110908</v>
      </c>
      <c r="CR335" s="844">
        <v>112420</v>
      </c>
      <c r="CS335" s="844">
        <v>113931</v>
      </c>
      <c r="CT335" s="844">
        <v>115442</v>
      </c>
      <c r="CU335" s="844">
        <v>116951</v>
      </c>
      <c r="CV335" s="844">
        <v>118458</v>
      </c>
      <c r="CW335" s="844">
        <v>119964</v>
      </c>
      <c r="CX335" s="844">
        <v>121469</v>
      </c>
      <c r="CY335" s="844">
        <v>122975</v>
      </c>
      <c r="CZ335" s="844">
        <v>124488</v>
      </c>
      <c r="DA335" s="844">
        <v>126034</v>
      </c>
      <c r="DB335" s="844">
        <v>127729</v>
      </c>
      <c r="DC335" s="844">
        <v>129000</v>
      </c>
      <c r="DD335" s="844">
        <v>0</v>
      </c>
      <c r="DE335" s="844">
        <v>0</v>
      </c>
      <c r="DF335" s="844">
        <v>0</v>
      </c>
      <c r="DG335" s="844">
        <v>0</v>
      </c>
      <c r="DH335" s="844">
        <v>0</v>
      </c>
      <c r="DI335" s="844">
        <v>0</v>
      </c>
      <c r="DJ335" s="844">
        <v>0</v>
      </c>
      <c r="DK335" s="844">
        <v>0</v>
      </c>
      <c r="DL335" s="844">
        <v>0</v>
      </c>
      <c r="DM335" s="844">
        <v>0</v>
      </c>
      <c r="DN335" s="844">
        <v>0</v>
      </c>
      <c r="DO335" s="844">
        <v>0</v>
      </c>
      <c r="DP335" s="844">
        <v>0</v>
      </c>
      <c r="DQ335" s="844">
        <v>0</v>
      </c>
      <c r="DR335" s="844">
        <v>0</v>
      </c>
      <c r="DS335" s="844">
        <v>0</v>
      </c>
      <c r="DT335" s="844">
        <v>0</v>
      </c>
      <c r="DU335" s="844">
        <v>0</v>
      </c>
      <c r="DV335" s="844">
        <v>0</v>
      </c>
      <c r="DW335" s="844">
        <v>0</v>
      </c>
      <c r="DY335" s="846" t="s">
        <v>1060</v>
      </c>
      <c r="DZ335" s="846" t="s">
        <v>1382</v>
      </c>
      <c r="EA335" s="846" t="s">
        <v>96</v>
      </c>
      <c r="EB335" s="847">
        <v>20</v>
      </c>
      <c r="EC335" s="780" t="str">
        <f t="shared" si="13"/>
        <v>IWT060120</v>
      </c>
      <c r="ED335" s="847">
        <v>0</v>
      </c>
      <c r="EE335" s="847">
        <v>3026</v>
      </c>
      <c r="EF335" s="847">
        <v>8037</v>
      </c>
      <c r="EG335" s="847">
        <v>13148</v>
      </c>
      <c r="EH335" s="847">
        <v>18362</v>
      </c>
      <c r="EI335" s="847">
        <v>23679</v>
      </c>
      <c r="EJ335" s="847">
        <v>29103</v>
      </c>
      <c r="EK335" s="847">
        <v>29684</v>
      </c>
      <c r="EL335" s="847">
        <v>30277</v>
      </c>
      <c r="EM335" s="847">
        <v>30882</v>
      </c>
      <c r="EN335" s="847">
        <v>31499</v>
      </c>
      <c r="EO335" s="847">
        <v>32129</v>
      </c>
      <c r="EP335" s="847">
        <v>32772</v>
      </c>
      <c r="EQ335" s="847">
        <v>33427</v>
      </c>
      <c r="ER335" s="847">
        <v>34096</v>
      </c>
      <c r="ES335" s="847">
        <v>34778</v>
      </c>
      <c r="ET335" s="847">
        <v>35473</v>
      </c>
      <c r="EU335" s="847">
        <v>36183</v>
      </c>
      <c r="EV335" s="847">
        <v>36907</v>
      </c>
      <c r="EW335" s="847">
        <v>37645</v>
      </c>
      <c r="EX335" s="847">
        <v>38398</v>
      </c>
      <c r="EY335" s="847">
        <v>39165</v>
      </c>
      <c r="EZ335" s="847">
        <v>39949</v>
      </c>
      <c r="FA335" s="847">
        <v>40748</v>
      </c>
      <c r="FB335" s="847">
        <v>41563</v>
      </c>
      <c r="FC335" s="847">
        <v>42394</v>
      </c>
      <c r="FD335" s="847">
        <v>43242</v>
      </c>
      <c r="FE335" s="847">
        <v>44107</v>
      </c>
      <c r="FF335" s="847">
        <v>44989</v>
      </c>
      <c r="FG335" s="847">
        <v>45889</v>
      </c>
      <c r="FH335" s="847">
        <v>46806</v>
      </c>
      <c r="FI335" s="847">
        <v>47742</v>
      </c>
      <c r="FJ335" s="847">
        <v>48697</v>
      </c>
      <c r="FK335" s="847">
        <v>49671</v>
      </c>
      <c r="FL335" s="847">
        <v>50665</v>
      </c>
      <c r="FM335" s="847">
        <v>51678</v>
      </c>
      <c r="FN335" s="847">
        <v>52711</v>
      </c>
      <c r="FO335" s="847">
        <v>53764</v>
      </c>
      <c r="FP335" s="847">
        <v>54835</v>
      </c>
      <c r="FQ335" s="847">
        <v>55924</v>
      </c>
      <c r="FR335" s="847">
        <v>57032</v>
      </c>
      <c r="FS335" s="847">
        <v>58156</v>
      </c>
      <c r="FT335" s="847">
        <v>59300</v>
      </c>
      <c r="FU335" s="847">
        <v>60461</v>
      </c>
      <c r="FV335" s="847">
        <v>61640</v>
      </c>
      <c r="FW335" s="847">
        <v>62837</v>
      </c>
      <c r="FX335" s="847">
        <v>64051</v>
      </c>
      <c r="FY335" s="847">
        <v>65282</v>
      </c>
      <c r="FZ335" s="847">
        <v>66530</v>
      </c>
      <c r="GA335" s="847">
        <v>67795</v>
      </c>
      <c r="GB335" s="847">
        <v>69075</v>
      </c>
      <c r="GC335" s="847">
        <v>70371</v>
      </c>
      <c r="GD335" s="847">
        <v>71681</v>
      </c>
      <c r="GE335" s="847">
        <v>73007</v>
      </c>
      <c r="GF335" s="847">
        <v>74346</v>
      </c>
      <c r="GG335" s="847">
        <v>75700</v>
      </c>
      <c r="GH335" s="847">
        <v>77067</v>
      </c>
      <c r="GI335" s="847">
        <v>78446</v>
      </c>
      <c r="GJ335" s="847">
        <v>79839</v>
      </c>
      <c r="GK335" s="847">
        <v>81243</v>
      </c>
      <c r="GL335" s="847">
        <v>82659</v>
      </c>
      <c r="GM335" s="847">
        <v>84086</v>
      </c>
      <c r="GN335" s="847">
        <v>85523</v>
      </c>
      <c r="GO335" s="847">
        <v>86969</v>
      </c>
      <c r="GP335" s="847">
        <v>88424</v>
      </c>
      <c r="GQ335" s="847">
        <v>89887</v>
      </c>
      <c r="GR335" s="847">
        <v>91359</v>
      </c>
      <c r="GS335" s="847">
        <v>92840</v>
      </c>
      <c r="GT335" s="847">
        <v>94328</v>
      </c>
      <c r="GU335" s="847">
        <v>95823</v>
      </c>
      <c r="GV335" s="847">
        <v>97323</v>
      </c>
      <c r="GW335" s="847">
        <v>98827</v>
      </c>
      <c r="GX335" s="847">
        <v>100331</v>
      </c>
      <c r="GY335" s="847">
        <v>101838</v>
      </c>
      <c r="GZ335" s="847">
        <v>103346</v>
      </c>
      <c r="HA335" s="847">
        <v>104857</v>
      </c>
      <c r="HB335" s="847">
        <v>106369</v>
      </c>
      <c r="HC335" s="847">
        <v>107882</v>
      </c>
      <c r="HD335" s="847">
        <v>109395</v>
      </c>
      <c r="HE335" s="847">
        <v>110908</v>
      </c>
      <c r="HF335" s="847">
        <v>112420</v>
      </c>
      <c r="HG335" s="847">
        <v>113931</v>
      </c>
      <c r="HH335" s="847">
        <v>115442</v>
      </c>
      <c r="HI335" s="847">
        <v>116951</v>
      </c>
      <c r="HJ335" s="847">
        <v>118458</v>
      </c>
      <c r="HK335" s="847">
        <v>119964</v>
      </c>
      <c r="HL335" s="847">
        <v>121469</v>
      </c>
      <c r="HM335" s="847">
        <v>122975</v>
      </c>
      <c r="HN335" s="847">
        <v>124488</v>
      </c>
      <c r="HO335" s="847">
        <v>126034</v>
      </c>
      <c r="HP335" s="847">
        <v>127729</v>
      </c>
      <c r="HQ335" s="847">
        <v>129000</v>
      </c>
      <c r="HR335" s="847">
        <v>0</v>
      </c>
      <c r="HS335" s="847">
        <v>0</v>
      </c>
      <c r="HT335" s="847">
        <v>0</v>
      </c>
      <c r="HU335" s="847">
        <v>0</v>
      </c>
      <c r="HV335" s="847">
        <v>0</v>
      </c>
      <c r="HW335" s="847">
        <v>0</v>
      </c>
      <c r="HX335" s="847">
        <v>0</v>
      </c>
      <c r="HY335" s="847">
        <v>0</v>
      </c>
      <c r="HZ335" s="847">
        <v>0</v>
      </c>
      <c r="IA335" s="847">
        <v>0</v>
      </c>
      <c r="IB335" s="847">
        <v>0</v>
      </c>
      <c r="IC335" s="847">
        <v>0</v>
      </c>
      <c r="ID335" s="847">
        <v>0</v>
      </c>
      <c r="IE335" s="847">
        <v>0</v>
      </c>
      <c r="IF335" s="847">
        <v>0</v>
      </c>
      <c r="IG335" s="847">
        <v>0</v>
      </c>
      <c r="IH335" s="847">
        <v>0</v>
      </c>
      <c r="II335" s="847">
        <v>0</v>
      </c>
      <c r="IJ335" s="847">
        <v>0</v>
      </c>
      <c r="IK335" s="847">
        <v>0</v>
      </c>
    </row>
    <row r="336" spans="12:245" hidden="1">
      <c r="L336" s="843" t="s">
        <v>1060</v>
      </c>
      <c r="M336" s="843" t="s">
        <v>1382</v>
      </c>
      <c r="N336" s="843" t="s">
        <v>96</v>
      </c>
      <c r="O336" s="844">
        <v>21</v>
      </c>
      <c r="P336" s="780" t="str">
        <f t="shared" si="12"/>
        <v>IWT060121</v>
      </c>
      <c r="Q336" s="844">
        <v>2276</v>
      </c>
      <c r="R336" s="844">
        <v>6449</v>
      </c>
      <c r="S336" s="844">
        <v>11210</v>
      </c>
      <c r="T336" s="844">
        <v>16576</v>
      </c>
      <c r="U336" s="844">
        <v>22564</v>
      </c>
      <c r="V336" s="844">
        <v>28900</v>
      </c>
      <c r="W336" s="844">
        <v>29775</v>
      </c>
      <c r="X336" s="844">
        <v>30369</v>
      </c>
      <c r="Y336" s="844">
        <v>30976</v>
      </c>
      <c r="Z336" s="844">
        <v>31596</v>
      </c>
      <c r="AA336" s="844">
        <v>32228</v>
      </c>
      <c r="AB336" s="844">
        <v>32872</v>
      </c>
      <c r="AC336" s="844">
        <v>33530</v>
      </c>
      <c r="AD336" s="844">
        <v>34200</v>
      </c>
      <c r="AE336" s="844">
        <v>34884</v>
      </c>
      <c r="AF336" s="844">
        <v>35582</v>
      </c>
      <c r="AG336" s="844">
        <v>36294</v>
      </c>
      <c r="AH336" s="844">
        <v>37019</v>
      </c>
      <c r="AI336" s="844">
        <v>37760</v>
      </c>
      <c r="AJ336" s="844">
        <v>38515</v>
      </c>
      <c r="AK336" s="844">
        <v>39285</v>
      </c>
      <c r="AL336" s="844">
        <v>40071</v>
      </c>
      <c r="AM336" s="844">
        <v>40872</v>
      </c>
      <c r="AN336" s="844">
        <v>41690</v>
      </c>
      <c r="AO336" s="844">
        <v>42524</v>
      </c>
      <c r="AP336" s="844">
        <v>43374</v>
      </c>
      <c r="AQ336" s="844">
        <v>44242</v>
      </c>
      <c r="AR336" s="844">
        <v>45126</v>
      </c>
      <c r="AS336" s="844">
        <v>46029</v>
      </c>
      <c r="AT336" s="844">
        <v>46950</v>
      </c>
      <c r="AU336" s="844">
        <v>47889</v>
      </c>
      <c r="AV336" s="844">
        <v>48846</v>
      </c>
      <c r="AW336" s="844">
        <v>49823</v>
      </c>
      <c r="AX336" s="844">
        <v>50820</v>
      </c>
      <c r="AY336" s="844">
        <v>51836</v>
      </c>
      <c r="AZ336" s="844">
        <v>52873</v>
      </c>
      <c r="BA336" s="844">
        <v>53930</v>
      </c>
      <c r="BB336" s="844">
        <v>55006</v>
      </c>
      <c r="BC336" s="844">
        <v>56099</v>
      </c>
      <c r="BD336" s="844">
        <v>57211</v>
      </c>
      <c r="BE336" s="844">
        <v>58340</v>
      </c>
      <c r="BF336" s="844">
        <v>59488</v>
      </c>
      <c r="BG336" s="844">
        <v>60654</v>
      </c>
      <c r="BH336" s="844">
        <v>61837</v>
      </c>
      <c r="BI336" s="844">
        <v>63037</v>
      </c>
      <c r="BJ336" s="844">
        <v>64255</v>
      </c>
      <c r="BK336" s="844">
        <v>65490</v>
      </c>
      <c r="BL336" s="844">
        <v>66741</v>
      </c>
      <c r="BM336" s="844">
        <v>68009</v>
      </c>
      <c r="BN336" s="844">
        <v>69292</v>
      </c>
      <c r="BO336" s="844">
        <v>70590</v>
      </c>
      <c r="BP336" s="844">
        <v>71903</v>
      </c>
      <c r="BQ336" s="844">
        <v>73230</v>
      </c>
      <c r="BR336" s="844">
        <v>74572</v>
      </c>
      <c r="BS336" s="844">
        <v>75927</v>
      </c>
      <c r="BT336" s="844">
        <v>77295</v>
      </c>
      <c r="BU336" s="844">
        <v>78676</v>
      </c>
      <c r="BV336" s="844">
        <v>80069</v>
      </c>
      <c r="BW336" s="844">
        <v>81474</v>
      </c>
      <c r="BX336" s="844">
        <v>82890</v>
      </c>
      <c r="BY336" s="844">
        <v>84317</v>
      </c>
      <c r="BZ336" s="844">
        <v>85753</v>
      </c>
      <c r="CA336" s="844">
        <v>87198</v>
      </c>
      <c r="CB336" s="844">
        <v>88652</v>
      </c>
      <c r="CC336" s="844">
        <v>90115</v>
      </c>
      <c r="CD336" s="844">
        <v>91586</v>
      </c>
      <c r="CE336" s="844">
        <v>93065</v>
      </c>
      <c r="CF336" s="844">
        <v>94552</v>
      </c>
      <c r="CG336" s="844">
        <v>96044</v>
      </c>
      <c r="CH336" s="844">
        <v>97540</v>
      </c>
      <c r="CI336" s="844">
        <v>99037</v>
      </c>
      <c r="CJ336" s="844">
        <v>100536</v>
      </c>
      <c r="CK336" s="844">
        <v>102038</v>
      </c>
      <c r="CL336" s="844">
        <v>103542</v>
      </c>
      <c r="CM336" s="844">
        <v>105048</v>
      </c>
      <c r="CN336" s="844">
        <v>106555</v>
      </c>
      <c r="CO336" s="844">
        <v>108062</v>
      </c>
      <c r="CP336" s="844">
        <v>109570</v>
      </c>
      <c r="CQ336" s="844">
        <v>111077</v>
      </c>
      <c r="CR336" s="844">
        <v>112584</v>
      </c>
      <c r="CS336" s="844">
        <v>114090</v>
      </c>
      <c r="CT336" s="844">
        <v>115595</v>
      </c>
      <c r="CU336" s="844">
        <v>117098</v>
      </c>
      <c r="CV336" s="844">
        <v>118600</v>
      </c>
      <c r="CW336" s="844">
        <v>120102</v>
      </c>
      <c r="CX336" s="844">
        <v>121604</v>
      </c>
      <c r="CY336" s="844">
        <v>123114</v>
      </c>
      <c r="CZ336" s="844">
        <v>124655</v>
      </c>
      <c r="DA336" s="844">
        <v>126343</v>
      </c>
      <c r="DB336" s="844">
        <v>127600</v>
      </c>
      <c r="DC336" s="844">
        <v>0</v>
      </c>
      <c r="DD336" s="844">
        <v>0</v>
      </c>
      <c r="DE336" s="844">
        <v>0</v>
      </c>
      <c r="DF336" s="844">
        <v>0</v>
      </c>
      <c r="DG336" s="844">
        <v>0</v>
      </c>
      <c r="DH336" s="844">
        <v>0</v>
      </c>
      <c r="DI336" s="844">
        <v>0</v>
      </c>
      <c r="DJ336" s="844">
        <v>0</v>
      </c>
      <c r="DK336" s="844">
        <v>0</v>
      </c>
      <c r="DL336" s="844">
        <v>0</v>
      </c>
      <c r="DM336" s="844">
        <v>0</v>
      </c>
      <c r="DN336" s="844">
        <v>0</v>
      </c>
      <c r="DO336" s="844">
        <v>0</v>
      </c>
      <c r="DP336" s="844">
        <v>0</v>
      </c>
      <c r="DQ336" s="844">
        <v>0</v>
      </c>
      <c r="DR336" s="844">
        <v>0</v>
      </c>
      <c r="DS336" s="844">
        <v>0</v>
      </c>
      <c r="DT336" s="844">
        <v>0</v>
      </c>
      <c r="DU336" s="844">
        <v>0</v>
      </c>
      <c r="DV336" s="844">
        <v>0</v>
      </c>
      <c r="DW336" s="844">
        <v>0</v>
      </c>
      <c r="DY336" s="846" t="s">
        <v>1060</v>
      </c>
      <c r="DZ336" s="846" t="s">
        <v>1382</v>
      </c>
      <c r="EA336" s="846" t="s">
        <v>96</v>
      </c>
      <c r="EB336" s="847">
        <v>21</v>
      </c>
      <c r="EC336" s="780" t="str">
        <f t="shared" si="13"/>
        <v>IWT060121</v>
      </c>
      <c r="ED336" s="847">
        <v>0</v>
      </c>
      <c r="EE336" s="847">
        <v>3035</v>
      </c>
      <c r="EF336" s="847">
        <v>8061</v>
      </c>
      <c r="EG336" s="847">
        <v>13188</v>
      </c>
      <c r="EH336" s="847">
        <v>18418</v>
      </c>
      <c r="EI336" s="847">
        <v>23752</v>
      </c>
      <c r="EJ336" s="847">
        <v>29192</v>
      </c>
      <c r="EK336" s="847">
        <v>29775</v>
      </c>
      <c r="EL336" s="847">
        <v>30369</v>
      </c>
      <c r="EM336" s="847">
        <v>30976</v>
      </c>
      <c r="EN336" s="847">
        <v>31596</v>
      </c>
      <c r="EO336" s="847">
        <v>32228</v>
      </c>
      <c r="EP336" s="847">
        <v>32872</v>
      </c>
      <c r="EQ336" s="847">
        <v>33530</v>
      </c>
      <c r="ER336" s="847">
        <v>34200</v>
      </c>
      <c r="ES336" s="847">
        <v>34884</v>
      </c>
      <c r="ET336" s="847">
        <v>35582</v>
      </c>
      <c r="EU336" s="847">
        <v>36294</v>
      </c>
      <c r="EV336" s="847">
        <v>37019</v>
      </c>
      <c r="EW336" s="847">
        <v>37760</v>
      </c>
      <c r="EX336" s="847">
        <v>38515</v>
      </c>
      <c r="EY336" s="847">
        <v>39285</v>
      </c>
      <c r="EZ336" s="847">
        <v>40071</v>
      </c>
      <c r="FA336" s="847">
        <v>40872</v>
      </c>
      <c r="FB336" s="847">
        <v>41690</v>
      </c>
      <c r="FC336" s="847">
        <v>42524</v>
      </c>
      <c r="FD336" s="847">
        <v>43374</v>
      </c>
      <c r="FE336" s="847">
        <v>44242</v>
      </c>
      <c r="FF336" s="847">
        <v>45126</v>
      </c>
      <c r="FG336" s="847">
        <v>46029</v>
      </c>
      <c r="FH336" s="847">
        <v>46950</v>
      </c>
      <c r="FI336" s="847">
        <v>47889</v>
      </c>
      <c r="FJ336" s="847">
        <v>48846</v>
      </c>
      <c r="FK336" s="847">
        <v>49823</v>
      </c>
      <c r="FL336" s="847">
        <v>50820</v>
      </c>
      <c r="FM336" s="847">
        <v>51836</v>
      </c>
      <c r="FN336" s="847">
        <v>52873</v>
      </c>
      <c r="FO336" s="847">
        <v>53930</v>
      </c>
      <c r="FP336" s="847">
        <v>55006</v>
      </c>
      <c r="FQ336" s="847">
        <v>56099</v>
      </c>
      <c r="FR336" s="847">
        <v>57211</v>
      </c>
      <c r="FS336" s="847">
        <v>58340</v>
      </c>
      <c r="FT336" s="847">
        <v>59488</v>
      </c>
      <c r="FU336" s="847">
        <v>60654</v>
      </c>
      <c r="FV336" s="847">
        <v>61837</v>
      </c>
      <c r="FW336" s="847">
        <v>63037</v>
      </c>
      <c r="FX336" s="847">
        <v>64255</v>
      </c>
      <c r="FY336" s="847">
        <v>65490</v>
      </c>
      <c r="FZ336" s="847">
        <v>66741</v>
      </c>
      <c r="GA336" s="847">
        <v>68009</v>
      </c>
      <c r="GB336" s="847">
        <v>69292</v>
      </c>
      <c r="GC336" s="847">
        <v>70590</v>
      </c>
      <c r="GD336" s="847">
        <v>71903</v>
      </c>
      <c r="GE336" s="847">
        <v>73230</v>
      </c>
      <c r="GF336" s="847">
        <v>74572</v>
      </c>
      <c r="GG336" s="847">
        <v>75927</v>
      </c>
      <c r="GH336" s="847">
        <v>77295</v>
      </c>
      <c r="GI336" s="847">
        <v>78676</v>
      </c>
      <c r="GJ336" s="847">
        <v>80069</v>
      </c>
      <c r="GK336" s="847">
        <v>81474</v>
      </c>
      <c r="GL336" s="847">
        <v>82890</v>
      </c>
      <c r="GM336" s="847">
        <v>84317</v>
      </c>
      <c r="GN336" s="847">
        <v>85753</v>
      </c>
      <c r="GO336" s="847">
        <v>87198</v>
      </c>
      <c r="GP336" s="847">
        <v>88652</v>
      </c>
      <c r="GQ336" s="847">
        <v>90115</v>
      </c>
      <c r="GR336" s="847">
        <v>91586</v>
      </c>
      <c r="GS336" s="847">
        <v>93065</v>
      </c>
      <c r="GT336" s="847">
        <v>94552</v>
      </c>
      <c r="GU336" s="847">
        <v>96044</v>
      </c>
      <c r="GV336" s="847">
        <v>97540</v>
      </c>
      <c r="GW336" s="847">
        <v>99037</v>
      </c>
      <c r="GX336" s="847">
        <v>100536</v>
      </c>
      <c r="GY336" s="847">
        <v>102038</v>
      </c>
      <c r="GZ336" s="847">
        <v>103542</v>
      </c>
      <c r="HA336" s="847">
        <v>105048</v>
      </c>
      <c r="HB336" s="847">
        <v>106555</v>
      </c>
      <c r="HC336" s="847">
        <v>108062</v>
      </c>
      <c r="HD336" s="847">
        <v>109570</v>
      </c>
      <c r="HE336" s="847">
        <v>111077</v>
      </c>
      <c r="HF336" s="847">
        <v>112584</v>
      </c>
      <c r="HG336" s="847">
        <v>114090</v>
      </c>
      <c r="HH336" s="847">
        <v>115595</v>
      </c>
      <c r="HI336" s="847">
        <v>117098</v>
      </c>
      <c r="HJ336" s="847">
        <v>118600</v>
      </c>
      <c r="HK336" s="847">
        <v>120102</v>
      </c>
      <c r="HL336" s="847">
        <v>121604</v>
      </c>
      <c r="HM336" s="847">
        <v>123114</v>
      </c>
      <c r="HN336" s="847">
        <v>124655</v>
      </c>
      <c r="HO336" s="847">
        <v>126343</v>
      </c>
      <c r="HP336" s="847">
        <v>127600</v>
      </c>
      <c r="HQ336" s="847">
        <v>0</v>
      </c>
      <c r="HR336" s="847">
        <v>0</v>
      </c>
      <c r="HS336" s="847">
        <v>0</v>
      </c>
      <c r="HT336" s="847">
        <v>0</v>
      </c>
      <c r="HU336" s="847">
        <v>0</v>
      </c>
      <c r="HV336" s="847">
        <v>0</v>
      </c>
      <c r="HW336" s="847">
        <v>0</v>
      </c>
      <c r="HX336" s="847">
        <v>0</v>
      </c>
      <c r="HY336" s="847">
        <v>0</v>
      </c>
      <c r="HZ336" s="847">
        <v>0</v>
      </c>
      <c r="IA336" s="847">
        <v>0</v>
      </c>
      <c r="IB336" s="847">
        <v>0</v>
      </c>
      <c r="IC336" s="847">
        <v>0</v>
      </c>
      <c r="ID336" s="847">
        <v>0</v>
      </c>
      <c r="IE336" s="847">
        <v>0</v>
      </c>
      <c r="IF336" s="847">
        <v>0</v>
      </c>
      <c r="IG336" s="847">
        <v>0</v>
      </c>
      <c r="IH336" s="847">
        <v>0</v>
      </c>
      <c r="II336" s="847">
        <v>0</v>
      </c>
      <c r="IJ336" s="847">
        <v>0</v>
      </c>
      <c r="IK336" s="847">
        <v>0</v>
      </c>
    </row>
    <row r="337" spans="12:245" hidden="1">
      <c r="L337" s="843" t="s">
        <v>1060</v>
      </c>
      <c r="M337" s="843" t="s">
        <v>1382</v>
      </c>
      <c r="N337" s="843" t="s">
        <v>96</v>
      </c>
      <c r="O337" s="844">
        <v>22</v>
      </c>
      <c r="P337" s="780" t="str">
        <f t="shared" si="12"/>
        <v>IWT060122</v>
      </c>
      <c r="Q337" s="844">
        <v>2282</v>
      </c>
      <c r="R337" s="844">
        <v>6467</v>
      </c>
      <c r="S337" s="844">
        <v>11242</v>
      </c>
      <c r="T337" s="844">
        <v>16624</v>
      </c>
      <c r="U337" s="844">
        <v>22630</v>
      </c>
      <c r="V337" s="844">
        <v>28984</v>
      </c>
      <c r="W337" s="844">
        <v>29861</v>
      </c>
      <c r="X337" s="844">
        <v>30458</v>
      </c>
      <c r="Y337" s="844">
        <v>31066</v>
      </c>
      <c r="Z337" s="844">
        <v>31688</v>
      </c>
      <c r="AA337" s="844">
        <v>32321</v>
      </c>
      <c r="AB337" s="844">
        <v>32968</v>
      </c>
      <c r="AC337" s="844">
        <v>33627</v>
      </c>
      <c r="AD337" s="844">
        <v>34300</v>
      </c>
      <c r="AE337" s="844">
        <v>34986</v>
      </c>
      <c r="AF337" s="844">
        <v>35685</v>
      </c>
      <c r="AG337" s="844">
        <v>36399</v>
      </c>
      <c r="AH337" s="844">
        <v>37127</v>
      </c>
      <c r="AI337" s="844">
        <v>37870</v>
      </c>
      <c r="AJ337" s="844">
        <v>38627</v>
      </c>
      <c r="AK337" s="844">
        <v>39400</v>
      </c>
      <c r="AL337" s="844">
        <v>40187</v>
      </c>
      <c r="AM337" s="844">
        <v>40991</v>
      </c>
      <c r="AN337" s="844">
        <v>41811</v>
      </c>
      <c r="AO337" s="844">
        <v>42647</v>
      </c>
      <c r="AP337" s="844">
        <v>43500</v>
      </c>
      <c r="AQ337" s="844">
        <v>44370</v>
      </c>
      <c r="AR337" s="844">
        <v>45258</v>
      </c>
      <c r="AS337" s="844">
        <v>46163</v>
      </c>
      <c r="AT337" s="844">
        <v>47086</v>
      </c>
      <c r="AU337" s="844">
        <v>48028</v>
      </c>
      <c r="AV337" s="844">
        <v>48988</v>
      </c>
      <c r="AW337" s="844">
        <v>49968</v>
      </c>
      <c r="AX337" s="844">
        <v>50967</v>
      </c>
      <c r="AY337" s="844">
        <v>51987</v>
      </c>
      <c r="AZ337" s="844">
        <v>53026</v>
      </c>
      <c r="BA337" s="844">
        <v>54087</v>
      </c>
      <c r="BB337" s="844">
        <v>55167</v>
      </c>
      <c r="BC337" s="844">
        <v>56265</v>
      </c>
      <c r="BD337" s="844">
        <v>57381</v>
      </c>
      <c r="BE337" s="844">
        <v>58515</v>
      </c>
      <c r="BF337" s="844">
        <v>59667</v>
      </c>
      <c r="BG337" s="844">
        <v>60837</v>
      </c>
      <c r="BH337" s="844">
        <v>62024</v>
      </c>
      <c r="BI337" s="844">
        <v>63228</v>
      </c>
      <c r="BJ337" s="844">
        <v>64450</v>
      </c>
      <c r="BK337" s="844">
        <v>65688</v>
      </c>
      <c r="BL337" s="844">
        <v>66942</v>
      </c>
      <c r="BM337" s="844">
        <v>68212</v>
      </c>
      <c r="BN337" s="844">
        <v>69498</v>
      </c>
      <c r="BO337" s="844">
        <v>70799</v>
      </c>
      <c r="BP337" s="844">
        <v>72114</v>
      </c>
      <c r="BQ337" s="844">
        <v>73443</v>
      </c>
      <c r="BR337" s="844">
        <v>74787</v>
      </c>
      <c r="BS337" s="844">
        <v>76143</v>
      </c>
      <c r="BT337" s="844">
        <v>77513</v>
      </c>
      <c r="BU337" s="844">
        <v>78895</v>
      </c>
      <c r="BV337" s="844">
        <v>80290</v>
      </c>
      <c r="BW337" s="844">
        <v>81695</v>
      </c>
      <c r="BX337" s="844">
        <v>83111</v>
      </c>
      <c r="BY337" s="844">
        <v>84537</v>
      </c>
      <c r="BZ337" s="844">
        <v>85972</v>
      </c>
      <c r="CA337" s="844">
        <v>87417</v>
      </c>
      <c r="CB337" s="844">
        <v>88871</v>
      </c>
      <c r="CC337" s="844">
        <v>90333</v>
      </c>
      <c r="CD337" s="844">
        <v>91803</v>
      </c>
      <c r="CE337" s="844">
        <v>93281</v>
      </c>
      <c r="CF337" s="844">
        <v>94765</v>
      </c>
      <c r="CG337" s="844">
        <v>96253</v>
      </c>
      <c r="CH337" s="844">
        <v>97742</v>
      </c>
      <c r="CI337" s="844">
        <v>99235</v>
      </c>
      <c r="CJ337" s="844">
        <v>100730</v>
      </c>
      <c r="CK337" s="844">
        <v>102227</v>
      </c>
      <c r="CL337" s="844">
        <v>103727</v>
      </c>
      <c r="CM337" s="844">
        <v>105228</v>
      </c>
      <c r="CN337" s="844">
        <v>106730</v>
      </c>
      <c r="CO337" s="844">
        <v>108232</v>
      </c>
      <c r="CP337" s="844">
        <v>109734</v>
      </c>
      <c r="CQ337" s="844">
        <v>111236</v>
      </c>
      <c r="CR337" s="844">
        <v>112738</v>
      </c>
      <c r="CS337" s="844">
        <v>114238</v>
      </c>
      <c r="CT337" s="844">
        <v>115738</v>
      </c>
      <c r="CU337" s="844">
        <v>117236</v>
      </c>
      <c r="CV337" s="844">
        <v>118734</v>
      </c>
      <c r="CW337" s="844">
        <v>120233</v>
      </c>
      <c r="CX337" s="844">
        <v>121739</v>
      </c>
      <c r="CY337" s="844">
        <v>123277</v>
      </c>
      <c r="CZ337" s="844">
        <v>124957</v>
      </c>
      <c r="DA337" s="844">
        <v>126200</v>
      </c>
      <c r="DB337" s="844">
        <v>0</v>
      </c>
      <c r="DC337" s="844">
        <v>0</v>
      </c>
      <c r="DD337" s="844">
        <v>0</v>
      </c>
      <c r="DE337" s="844">
        <v>0</v>
      </c>
      <c r="DF337" s="844">
        <v>0</v>
      </c>
      <c r="DG337" s="844">
        <v>0</v>
      </c>
      <c r="DH337" s="844">
        <v>0</v>
      </c>
      <c r="DI337" s="844">
        <v>0</v>
      </c>
      <c r="DJ337" s="844">
        <v>0</v>
      </c>
      <c r="DK337" s="844">
        <v>0</v>
      </c>
      <c r="DL337" s="844">
        <v>0</v>
      </c>
      <c r="DM337" s="844">
        <v>0</v>
      </c>
      <c r="DN337" s="844">
        <v>0</v>
      </c>
      <c r="DO337" s="844">
        <v>0</v>
      </c>
      <c r="DP337" s="844">
        <v>0</v>
      </c>
      <c r="DQ337" s="844">
        <v>0</v>
      </c>
      <c r="DR337" s="844">
        <v>0</v>
      </c>
      <c r="DS337" s="844">
        <v>0</v>
      </c>
      <c r="DT337" s="844">
        <v>0</v>
      </c>
      <c r="DU337" s="844">
        <v>0</v>
      </c>
      <c r="DV337" s="844">
        <v>0</v>
      </c>
      <c r="DW337" s="844">
        <v>0</v>
      </c>
      <c r="DY337" s="846" t="s">
        <v>1060</v>
      </c>
      <c r="DZ337" s="846" t="s">
        <v>1382</v>
      </c>
      <c r="EA337" s="846" t="s">
        <v>96</v>
      </c>
      <c r="EB337" s="847">
        <v>22</v>
      </c>
      <c r="EC337" s="780" t="str">
        <f t="shared" si="13"/>
        <v>IWT060122</v>
      </c>
      <c r="ED337" s="847">
        <v>0</v>
      </c>
      <c r="EE337" s="847">
        <v>3043</v>
      </c>
      <c r="EF337" s="847">
        <v>8084</v>
      </c>
      <c r="EG337" s="847">
        <v>13226</v>
      </c>
      <c r="EH337" s="847">
        <v>18471</v>
      </c>
      <c r="EI337" s="847">
        <v>23821</v>
      </c>
      <c r="EJ337" s="847">
        <v>29277</v>
      </c>
      <c r="EK337" s="847">
        <v>29861</v>
      </c>
      <c r="EL337" s="847">
        <v>30458</v>
      </c>
      <c r="EM337" s="847">
        <v>31066</v>
      </c>
      <c r="EN337" s="847">
        <v>31688</v>
      </c>
      <c r="EO337" s="847">
        <v>32321</v>
      </c>
      <c r="EP337" s="847">
        <v>32968</v>
      </c>
      <c r="EQ337" s="847">
        <v>33627</v>
      </c>
      <c r="ER337" s="847">
        <v>34300</v>
      </c>
      <c r="ES337" s="847">
        <v>34986</v>
      </c>
      <c r="ET337" s="847">
        <v>35685</v>
      </c>
      <c r="EU337" s="847">
        <v>36399</v>
      </c>
      <c r="EV337" s="847">
        <v>37127</v>
      </c>
      <c r="EW337" s="847">
        <v>37870</v>
      </c>
      <c r="EX337" s="847">
        <v>38627</v>
      </c>
      <c r="EY337" s="847">
        <v>39400</v>
      </c>
      <c r="EZ337" s="847">
        <v>40187</v>
      </c>
      <c r="FA337" s="847">
        <v>40991</v>
      </c>
      <c r="FB337" s="847">
        <v>41811</v>
      </c>
      <c r="FC337" s="847">
        <v>42647</v>
      </c>
      <c r="FD337" s="847">
        <v>43500</v>
      </c>
      <c r="FE337" s="847">
        <v>44370</v>
      </c>
      <c r="FF337" s="847">
        <v>45258</v>
      </c>
      <c r="FG337" s="847">
        <v>46163</v>
      </c>
      <c r="FH337" s="847">
        <v>47086</v>
      </c>
      <c r="FI337" s="847">
        <v>48028</v>
      </c>
      <c r="FJ337" s="847">
        <v>48988</v>
      </c>
      <c r="FK337" s="847">
        <v>49968</v>
      </c>
      <c r="FL337" s="847">
        <v>50967</v>
      </c>
      <c r="FM337" s="847">
        <v>51987</v>
      </c>
      <c r="FN337" s="847">
        <v>53026</v>
      </c>
      <c r="FO337" s="847">
        <v>54087</v>
      </c>
      <c r="FP337" s="847">
        <v>55167</v>
      </c>
      <c r="FQ337" s="847">
        <v>56265</v>
      </c>
      <c r="FR337" s="847">
        <v>57381</v>
      </c>
      <c r="FS337" s="847">
        <v>58515</v>
      </c>
      <c r="FT337" s="847">
        <v>59667</v>
      </c>
      <c r="FU337" s="847">
        <v>60837</v>
      </c>
      <c r="FV337" s="847">
        <v>62024</v>
      </c>
      <c r="FW337" s="847">
        <v>63228</v>
      </c>
      <c r="FX337" s="847">
        <v>64450</v>
      </c>
      <c r="FY337" s="847">
        <v>65688</v>
      </c>
      <c r="FZ337" s="847">
        <v>66942</v>
      </c>
      <c r="GA337" s="847">
        <v>68212</v>
      </c>
      <c r="GB337" s="847">
        <v>69498</v>
      </c>
      <c r="GC337" s="847">
        <v>70799</v>
      </c>
      <c r="GD337" s="847">
        <v>72114</v>
      </c>
      <c r="GE337" s="847">
        <v>73443</v>
      </c>
      <c r="GF337" s="847">
        <v>74787</v>
      </c>
      <c r="GG337" s="847">
        <v>76143</v>
      </c>
      <c r="GH337" s="847">
        <v>77513</v>
      </c>
      <c r="GI337" s="847">
        <v>78895</v>
      </c>
      <c r="GJ337" s="847">
        <v>80290</v>
      </c>
      <c r="GK337" s="847">
        <v>81695</v>
      </c>
      <c r="GL337" s="847">
        <v>83111</v>
      </c>
      <c r="GM337" s="847">
        <v>84537</v>
      </c>
      <c r="GN337" s="847">
        <v>85972</v>
      </c>
      <c r="GO337" s="847">
        <v>87417</v>
      </c>
      <c r="GP337" s="847">
        <v>88871</v>
      </c>
      <c r="GQ337" s="847">
        <v>90333</v>
      </c>
      <c r="GR337" s="847">
        <v>91803</v>
      </c>
      <c r="GS337" s="847">
        <v>93281</v>
      </c>
      <c r="GT337" s="847">
        <v>94765</v>
      </c>
      <c r="GU337" s="847">
        <v>96253</v>
      </c>
      <c r="GV337" s="847">
        <v>97742</v>
      </c>
      <c r="GW337" s="847">
        <v>99235</v>
      </c>
      <c r="GX337" s="847">
        <v>100730</v>
      </c>
      <c r="GY337" s="847">
        <v>102227</v>
      </c>
      <c r="GZ337" s="847">
        <v>103727</v>
      </c>
      <c r="HA337" s="847">
        <v>105228</v>
      </c>
      <c r="HB337" s="847">
        <v>106730</v>
      </c>
      <c r="HC337" s="847">
        <v>108232</v>
      </c>
      <c r="HD337" s="847">
        <v>109734</v>
      </c>
      <c r="HE337" s="847">
        <v>111236</v>
      </c>
      <c r="HF337" s="847">
        <v>112738</v>
      </c>
      <c r="HG337" s="847">
        <v>114238</v>
      </c>
      <c r="HH337" s="847">
        <v>115738</v>
      </c>
      <c r="HI337" s="847">
        <v>117236</v>
      </c>
      <c r="HJ337" s="847">
        <v>118734</v>
      </c>
      <c r="HK337" s="847">
        <v>120233</v>
      </c>
      <c r="HL337" s="847">
        <v>121739</v>
      </c>
      <c r="HM337" s="847">
        <v>123277</v>
      </c>
      <c r="HN337" s="847">
        <v>124957</v>
      </c>
      <c r="HO337" s="847">
        <v>126200</v>
      </c>
      <c r="HP337" s="847">
        <v>0</v>
      </c>
      <c r="HQ337" s="847">
        <v>0</v>
      </c>
      <c r="HR337" s="847">
        <v>0</v>
      </c>
      <c r="HS337" s="847">
        <v>0</v>
      </c>
      <c r="HT337" s="847">
        <v>0</v>
      </c>
      <c r="HU337" s="847">
        <v>0</v>
      </c>
      <c r="HV337" s="847">
        <v>0</v>
      </c>
      <c r="HW337" s="847">
        <v>0</v>
      </c>
      <c r="HX337" s="847">
        <v>0</v>
      </c>
      <c r="HY337" s="847">
        <v>0</v>
      </c>
      <c r="HZ337" s="847">
        <v>0</v>
      </c>
      <c r="IA337" s="847">
        <v>0</v>
      </c>
      <c r="IB337" s="847">
        <v>0</v>
      </c>
      <c r="IC337" s="847">
        <v>0</v>
      </c>
      <c r="ID337" s="847">
        <v>0</v>
      </c>
      <c r="IE337" s="847">
        <v>0</v>
      </c>
      <c r="IF337" s="847">
        <v>0</v>
      </c>
      <c r="IG337" s="847">
        <v>0</v>
      </c>
      <c r="IH337" s="847">
        <v>0</v>
      </c>
      <c r="II337" s="847">
        <v>0</v>
      </c>
      <c r="IJ337" s="847">
        <v>0</v>
      </c>
      <c r="IK337" s="847">
        <v>0</v>
      </c>
    </row>
    <row r="338" spans="12:245" hidden="1">
      <c r="L338" s="843" t="s">
        <v>1060</v>
      </c>
      <c r="M338" s="843" t="s">
        <v>1382</v>
      </c>
      <c r="N338" s="843" t="s">
        <v>96</v>
      </c>
      <c r="O338" s="844">
        <v>23</v>
      </c>
      <c r="P338" s="780" t="str">
        <f t="shared" si="12"/>
        <v>IWT060123</v>
      </c>
      <c r="Q338" s="844">
        <v>2288</v>
      </c>
      <c r="R338" s="844">
        <v>6485</v>
      </c>
      <c r="S338" s="844">
        <v>11273</v>
      </c>
      <c r="T338" s="844">
        <v>16669</v>
      </c>
      <c r="U338" s="844">
        <v>22692</v>
      </c>
      <c r="V338" s="844">
        <v>29063</v>
      </c>
      <c r="W338" s="844">
        <v>29943</v>
      </c>
      <c r="X338" s="844">
        <v>30541</v>
      </c>
      <c r="Y338" s="844">
        <v>31151</v>
      </c>
      <c r="Z338" s="844">
        <v>31774</v>
      </c>
      <c r="AA338" s="844">
        <v>32410</v>
      </c>
      <c r="AB338" s="844">
        <v>33058</v>
      </c>
      <c r="AC338" s="844">
        <v>33719</v>
      </c>
      <c r="AD338" s="844">
        <v>34393</v>
      </c>
      <c r="AE338" s="844">
        <v>35081</v>
      </c>
      <c r="AF338" s="844">
        <v>35783</v>
      </c>
      <c r="AG338" s="844">
        <v>36498</v>
      </c>
      <c r="AH338" s="844">
        <v>37228</v>
      </c>
      <c r="AI338" s="844">
        <v>37973</v>
      </c>
      <c r="AJ338" s="844">
        <v>38732</v>
      </c>
      <c r="AK338" s="844">
        <v>39507</v>
      </c>
      <c r="AL338" s="844">
        <v>40297</v>
      </c>
      <c r="AM338" s="844">
        <v>41103</v>
      </c>
      <c r="AN338" s="844">
        <v>41925</v>
      </c>
      <c r="AO338" s="844">
        <v>42764</v>
      </c>
      <c r="AP338" s="844">
        <v>43619</v>
      </c>
      <c r="AQ338" s="844">
        <v>44491</v>
      </c>
      <c r="AR338" s="844">
        <v>45381</v>
      </c>
      <c r="AS338" s="844">
        <v>46289</v>
      </c>
      <c r="AT338" s="844">
        <v>47214</v>
      </c>
      <c r="AU338" s="844">
        <v>48159</v>
      </c>
      <c r="AV338" s="844">
        <v>49122</v>
      </c>
      <c r="AW338" s="844">
        <v>50104</v>
      </c>
      <c r="AX338" s="844">
        <v>51106</v>
      </c>
      <c r="AY338" s="844">
        <v>52128</v>
      </c>
      <c r="AZ338" s="844">
        <v>53171</v>
      </c>
      <c r="BA338" s="844">
        <v>54234</v>
      </c>
      <c r="BB338" s="844">
        <v>55319</v>
      </c>
      <c r="BC338" s="844">
        <v>56421</v>
      </c>
      <c r="BD338" s="844">
        <v>57542</v>
      </c>
      <c r="BE338" s="844">
        <v>58680</v>
      </c>
      <c r="BF338" s="844">
        <v>59836</v>
      </c>
      <c r="BG338" s="844">
        <v>61010</v>
      </c>
      <c r="BH338" s="844">
        <v>62201</v>
      </c>
      <c r="BI338" s="844">
        <v>63409</v>
      </c>
      <c r="BJ338" s="844">
        <v>64634</v>
      </c>
      <c r="BK338" s="844">
        <v>65876</v>
      </c>
      <c r="BL338" s="844">
        <v>67133</v>
      </c>
      <c r="BM338" s="844">
        <v>68406</v>
      </c>
      <c r="BN338" s="844">
        <v>69694</v>
      </c>
      <c r="BO338" s="844">
        <v>70997</v>
      </c>
      <c r="BP338" s="844">
        <v>72315</v>
      </c>
      <c r="BQ338" s="844">
        <v>73646</v>
      </c>
      <c r="BR338" s="844">
        <v>74992</v>
      </c>
      <c r="BS338" s="844">
        <v>76350</v>
      </c>
      <c r="BT338" s="844">
        <v>77721</v>
      </c>
      <c r="BU338" s="844">
        <v>79105</v>
      </c>
      <c r="BV338" s="844">
        <v>80500</v>
      </c>
      <c r="BW338" s="844">
        <v>81905</v>
      </c>
      <c r="BX338" s="844">
        <v>83321</v>
      </c>
      <c r="BY338" s="844">
        <v>84747</v>
      </c>
      <c r="BZ338" s="844">
        <v>86182</v>
      </c>
      <c r="CA338" s="844">
        <v>87626</v>
      </c>
      <c r="CB338" s="844">
        <v>89079</v>
      </c>
      <c r="CC338" s="844">
        <v>90541</v>
      </c>
      <c r="CD338" s="844">
        <v>92010</v>
      </c>
      <c r="CE338" s="844">
        <v>93486</v>
      </c>
      <c r="CF338" s="844">
        <v>94967</v>
      </c>
      <c r="CG338" s="844">
        <v>96448</v>
      </c>
      <c r="CH338" s="844">
        <v>97933</v>
      </c>
      <c r="CI338" s="844">
        <v>99421</v>
      </c>
      <c r="CJ338" s="844">
        <v>100913</v>
      </c>
      <c r="CK338" s="844">
        <v>102406</v>
      </c>
      <c r="CL338" s="844">
        <v>103901</v>
      </c>
      <c r="CM338" s="844">
        <v>105397</v>
      </c>
      <c r="CN338" s="844">
        <v>106894</v>
      </c>
      <c r="CO338" s="844">
        <v>108391</v>
      </c>
      <c r="CP338" s="844">
        <v>109889</v>
      </c>
      <c r="CQ338" s="844">
        <v>111386</v>
      </c>
      <c r="CR338" s="844">
        <v>112882</v>
      </c>
      <c r="CS338" s="844">
        <v>114377</v>
      </c>
      <c r="CT338" s="844">
        <v>115872</v>
      </c>
      <c r="CU338" s="844">
        <v>117366</v>
      </c>
      <c r="CV338" s="844">
        <v>118862</v>
      </c>
      <c r="CW338" s="844">
        <v>120365</v>
      </c>
      <c r="CX338" s="844">
        <v>121898</v>
      </c>
      <c r="CY338" s="844">
        <v>123570</v>
      </c>
      <c r="CZ338" s="844">
        <v>124800</v>
      </c>
      <c r="DA338" s="844">
        <v>0</v>
      </c>
      <c r="DB338" s="844">
        <v>0</v>
      </c>
      <c r="DC338" s="844">
        <v>0</v>
      </c>
      <c r="DD338" s="844">
        <v>0</v>
      </c>
      <c r="DE338" s="844">
        <v>0</v>
      </c>
      <c r="DF338" s="844">
        <v>0</v>
      </c>
      <c r="DG338" s="844">
        <v>0</v>
      </c>
      <c r="DH338" s="844">
        <v>0</v>
      </c>
      <c r="DI338" s="844">
        <v>0</v>
      </c>
      <c r="DJ338" s="844">
        <v>0</v>
      </c>
      <c r="DK338" s="844">
        <v>0</v>
      </c>
      <c r="DL338" s="844">
        <v>0</v>
      </c>
      <c r="DM338" s="844">
        <v>0</v>
      </c>
      <c r="DN338" s="844">
        <v>0</v>
      </c>
      <c r="DO338" s="844">
        <v>0</v>
      </c>
      <c r="DP338" s="844">
        <v>0</v>
      </c>
      <c r="DQ338" s="844">
        <v>0</v>
      </c>
      <c r="DR338" s="844">
        <v>0</v>
      </c>
      <c r="DS338" s="844">
        <v>0</v>
      </c>
      <c r="DT338" s="844">
        <v>0</v>
      </c>
      <c r="DU338" s="844">
        <v>0</v>
      </c>
      <c r="DV338" s="844">
        <v>0</v>
      </c>
      <c r="DW338" s="844">
        <v>0</v>
      </c>
      <c r="DY338" s="846" t="s">
        <v>1060</v>
      </c>
      <c r="DZ338" s="846" t="s">
        <v>1382</v>
      </c>
      <c r="EA338" s="846" t="s">
        <v>96</v>
      </c>
      <c r="EB338" s="847">
        <v>23</v>
      </c>
      <c r="EC338" s="780" t="str">
        <f t="shared" si="13"/>
        <v>IWT060123</v>
      </c>
      <c r="ED338" s="847">
        <v>0</v>
      </c>
      <c r="EE338" s="847">
        <v>3051</v>
      </c>
      <c r="EF338" s="847">
        <v>8106</v>
      </c>
      <c r="EG338" s="847">
        <v>13262</v>
      </c>
      <c r="EH338" s="847">
        <v>18521</v>
      </c>
      <c r="EI338" s="847">
        <v>23886</v>
      </c>
      <c r="EJ338" s="847">
        <v>29357</v>
      </c>
      <c r="EK338" s="847">
        <v>29943</v>
      </c>
      <c r="EL338" s="847">
        <v>30541</v>
      </c>
      <c r="EM338" s="847">
        <v>31151</v>
      </c>
      <c r="EN338" s="847">
        <v>31774</v>
      </c>
      <c r="EO338" s="847">
        <v>32410</v>
      </c>
      <c r="EP338" s="847">
        <v>33058</v>
      </c>
      <c r="EQ338" s="847">
        <v>33719</v>
      </c>
      <c r="ER338" s="847">
        <v>34393</v>
      </c>
      <c r="ES338" s="847">
        <v>35081</v>
      </c>
      <c r="ET338" s="847">
        <v>35783</v>
      </c>
      <c r="EU338" s="847">
        <v>36498</v>
      </c>
      <c r="EV338" s="847">
        <v>37228</v>
      </c>
      <c r="EW338" s="847">
        <v>37973</v>
      </c>
      <c r="EX338" s="847">
        <v>38732</v>
      </c>
      <c r="EY338" s="847">
        <v>39507</v>
      </c>
      <c r="EZ338" s="847">
        <v>40297</v>
      </c>
      <c r="FA338" s="847">
        <v>41103</v>
      </c>
      <c r="FB338" s="847">
        <v>41925</v>
      </c>
      <c r="FC338" s="847">
        <v>42764</v>
      </c>
      <c r="FD338" s="847">
        <v>43619</v>
      </c>
      <c r="FE338" s="847">
        <v>44491</v>
      </c>
      <c r="FF338" s="847">
        <v>45381</v>
      </c>
      <c r="FG338" s="847">
        <v>46289</v>
      </c>
      <c r="FH338" s="847">
        <v>47214</v>
      </c>
      <c r="FI338" s="847">
        <v>48159</v>
      </c>
      <c r="FJ338" s="847">
        <v>49122</v>
      </c>
      <c r="FK338" s="847">
        <v>50104</v>
      </c>
      <c r="FL338" s="847">
        <v>51106</v>
      </c>
      <c r="FM338" s="847">
        <v>52128</v>
      </c>
      <c r="FN338" s="847">
        <v>53171</v>
      </c>
      <c r="FO338" s="847">
        <v>54234</v>
      </c>
      <c r="FP338" s="847">
        <v>55319</v>
      </c>
      <c r="FQ338" s="847">
        <v>56421</v>
      </c>
      <c r="FR338" s="847">
        <v>57542</v>
      </c>
      <c r="FS338" s="847">
        <v>58680</v>
      </c>
      <c r="FT338" s="847">
        <v>59836</v>
      </c>
      <c r="FU338" s="847">
        <v>61010</v>
      </c>
      <c r="FV338" s="847">
        <v>62201</v>
      </c>
      <c r="FW338" s="847">
        <v>63409</v>
      </c>
      <c r="FX338" s="847">
        <v>64634</v>
      </c>
      <c r="FY338" s="847">
        <v>65876</v>
      </c>
      <c r="FZ338" s="847">
        <v>67133</v>
      </c>
      <c r="GA338" s="847">
        <v>68406</v>
      </c>
      <c r="GB338" s="847">
        <v>69694</v>
      </c>
      <c r="GC338" s="847">
        <v>70997</v>
      </c>
      <c r="GD338" s="847">
        <v>72315</v>
      </c>
      <c r="GE338" s="847">
        <v>73646</v>
      </c>
      <c r="GF338" s="847">
        <v>74992</v>
      </c>
      <c r="GG338" s="847">
        <v>76350</v>
      </c>
      <c r="GH338" s="847">
        <v>77721</v>
      </c>
      <c r="GI338" s="847">
        <v>79105</v>
      </c>
      <c r="GJ338" s="847">
        <v>80500</v>
      </c>
      <c r="GK338" s="847">
        <v>81905</v>
      </c>
      <c r="GL338" s="847">
        <v>83321</v>
      </c>
      <c r="GM338" s="847">
        <v>84747</v>
      </c>
      <c r="GN338" s="847">
        <v>86182</v>
      </c>
      <c r="GO338" s="847">
        <v>87626</v>
      </c>
      <c r="GP338" s="847">
        <v>89079</v>
      </c>
      <c r="GQ338" s="847">
        <v>90541</v>
      </c>
      <c r="GR338" s="847">
        <v>92010</v>
      </c>
      <c r="GS338" s="847">
        <v>93486</v>
      </c>
      <c r="GT338" s="847">
        <v>94967</v>
      </c>
      <c r="GU338" s="847">
        <v>96448</v>
      </c>
      <c r="GV338" s="847">
        <v>97933</v>
      </c>
      <c r="GW338" s="847">
        <v>99421</v>
      </c>
      <c r="GX338" s="847">
        <v>100913</v>
      </c>
      <c r="GY338" s="847">
        <v>102406</v>
      </c>
      <c r="GZ338" s="847">
        <v>103901</v>
      </c>
      <c r="HA338" s="847">
        <v>105397</v>
      </c>
      <c r="HB338" s="847">
        <v>106894</v>
      </c>
      <c r="HC338" s="847">
        <v>108391</v>
      </c>
      <c r="HD338" s="847">
        <v>109889</v>
      </c>
      <c r="HE338" s="847">
        <v>111386</v>
      </c>
      <c r="HF338" s="847">
        <v>112882</v>
      </c>
      <c r="HG338" s="847">
        <v>114377</v>
      </c>
      <c r="HH338" s="847">
        <v>115872</v>
      </c>
      <c r="HI338" s="847">
        <v>117366</v>
      </c>
      <c r="HJ338" s="847">
        <v>118862</v>
      </c>
      <c r="HK338" s="847">
        <v>120365</v>
      </c>
      <c r="HL338" s="847">
        <v>121898</v>
      </c>
      <c r="HM338" s="847">
        <v>123570</v>
      </c>
      <c r="HN338" s="847">
        <v>124800</v>
      </c>
      <c r="HO338" s="847">
        <v>0</v>
      </c>
      <c r="HP338" s="847">
        <v>0</v>
      </c>
      <c r="HQ338" s="847">
        <v>0</v>
      </c>
      <c r="HR338" s="847">
        <v>0</v>
      </c>
      <c r="HS338" s="847">
        <v>0</v>
      </c>
      <c r="HT338" s="847">
        <v>0</v>
      </c>
      <c r="HU338" s="847">
        <v>0</v>
      </c>
      <c r="HV338" s="847">
        <v>0</v>
      </c>
      <c r="HW338" s="847">
        <v>0</v>
      </c>
      <c r="HX338" s="847">
        <v>0</v>
      </c>
      <c r="HY338" s="847">
        <v>0</v>
      </c>
      <c r="HZ338" s="847">
        <v>0</v>
      </c>
      <c r="IA338" s="847">
        <v>0</v>
      </c>
      <c r="IB338" s="847">
        <v>0</v>
      </c>
      <c r="IC338" s="847">
        <v>0</v>
      </c>
      <c r="ID338" s="847">
        <v>0</v>
      </c>
      <c r="IE338" s="847">
        <v>0</v>
      </c>
      <c r="IF338" s="847">
        <v>0</v>
      </c>
      <c r="IG338" s="847">
        <v>0</v>
      </c>
      <c r="IH338" s="847">
        <v>0</v>
      </c>
      <c r="II338" s="847">
        <v>0</v>
      </c>
      <c r="IJ338" s="847">
        <v>0</v>
      </c>
      <c r="IK338" s="847">
        <v>0</v>
      </c>
    </row>
    <row r="339" spans="12:245" hidden="1">
      <c r="L339" s="843" t="s">
        <v>1060</v>
      </c>
      <c r="M339" s="843" t="s">
        <v>1382</v>
      </c>
      <c r="N339" s="843" t="s">
        <v>96</v>
      </c>
      <c r="O339" s="844">
        <v>24</v>
      </c>
      <c r="P339" s="780" t="str">
        <f t="shared" si="12"/>
        <v>IWT060124</v>
      </c>
      <c r="Q339" s="844">
        <v>2294</v>
      </c>
      <c r="R339" s="844">
        <v>6501</v>
      </c>
      <c r="S339" s="844">
        <v>11302</v>
      </c>
      <c r="T339" s="844">
        <v>16712</v>
      </c>
      <c r="U339" s="844">
        <v>22750</v>
      </c>
      <c r="V339" s="844">
        <v>29139</v>
      </c>
      <c r="W339" s="844">
        <v>30020</v>
      </c>
      <c r="X339" s="844">
        <v>30619</v>
      </c>
      <c r="Y339" s="844">
        <v>31231</v>
      </c>
      <c r="Z339" s="844">
        <v>31856</v>
      </c>
      <c r="AA339" s="844">
        <v>32493</v>
      </c>
      <c r="AB339" s="844">
        <v>33143</v>
      </c>
      <c r="AC339" s="844">
        <v>33806</v>
      </c>
      <c r="AD339" s="844">
        <v>34482</v>
      </c>
      <c r="AE339" s="844">
        <v>35172</v>
      </c>
      <c r="AF339" s="844">
        <v>35875</v>
      </c>
      <c r="AG339" s="844">
        <v>36593</v>
      </c>
      <c r="AH339" s="844">
        <v>37324</v>
      </c>
      <c r="AI339" s="844">
        <v>38071</v>
      </c>
      <c r="AJ339" s="844">
        <v>38832</v>
      </c>
      <c r="AK339" s="844">
        <v>39609</v>
      </c>
      <c r="AL339" s="844">
        <v>40401</v>
      </c>
      <c r="AM339" s="844">
        <v>41209</v>
      </c>
      <c r="AN339" s="844">
        <v>42033</v>
      </c>
      <c r="AO339" s="844">
        <v>42874</v>
      </c>
      <c r="AP339" s="844">
        <v>43731</v>
      </c>
      <c r="AQ339" s="844">
        <v>44606</v>
      </c>
      <c r="AR339" s="844">
        <v>45498</v>
      </c>
      <c r="AS339" s="844">
        <v>46408</v>
      </c>
      <c r="AT339" s="844">
        <v>47336</v>
      </c>
      <c r="AU339" s="844">
        <v>48283</v>
      </c>
      <c r="AV339" s="844">
        <v>49249</v>
      </c>
      <c r="AW339" s="844">
        <v>50234</v>
      </c>
      <c r="AX339" s="844">
        <v>51238</v>
      </c>
      <c r="AY339" s="844">
        <v>52263</v>
      </c>
      <c r="AZ339" s="844">
        <v>53308</v>
      </c>
      <c r="BA339" s="844">
        <v>54374</v>
      </c>
      <c r="BB339" s="844">
        <v>55462</v>
      </c>
      <c r="BC339" s="844">
        <v>56569</v>
      </c>
      <c r="BD339" s="844">
        <v>57693</v>
      </c>
      <c r="BE339" s="844">
        <v>58836</v>
      </c>
      <c r="BF339" s="844">
        <v>59996</v>
      </c>
      <c r="BG339" s="844">
        <v>61174</v>
      </c>
      <c r="BH339" s="844">
        <v>62369</v>
      </c>
      <c r="BI339" s="844">
        <v>63581</v>
      </c>
      <c r="BJ339" s="844">
        <v>64809</v>
      </c>
      <c r="BK339" s="844">
        <v>66054</v>
      </c>
      <c r="BL339" s="844">
        <v>67314</v>
      </c>
      <c r="BM339" s="844">
        <v>68590</v>
      </c>
      <c r="BN339" s="844">
        <v>69881</v>
      </c>
      <c r="BO339" s="844">
        <v>71187</v>
      </c>
      <c r="BP339" s="844">
        <v>72506</v>
      </c>
      <c r="BQ339" s="844">
        <v>73840</v>
      </c>
      <c r="BR339" s="844">
        <v>75187</v>
      </c>
      <c r="BS339" s="844">
        <v>76547</v>
      </c>
      <c r="BT339" s="844">
        <v>77920</v>
      </c>
      <c r="BU339" s="844">
        <v>79304</v>
      </c>
      <c r="BV339" s="844">
        <v>80699</v>
      </c>
      <c r="BW339" s="844">
        <v>82105</v>
      </c>
      <c r="BX339" s="844">
        <v>83521</v>
      </c>
      <c r="BY339" s="844">
        <v>84947</v>
      </c>
      <c r="BZ339" s="844">
        <v>86382</v>
      </c>
      <c r="CA339" s="844">
        <v>87826</v>
      </c>
      <c r="CB339" s="844">
        <v>89279</v>
      </c>
      <c r="CC339" s="844">
        <v>90739</v>
      </c>
      <c r="CD339" s="844">
        <v>92207</v>
      </c>
      <c r="CE339" s="844">
        <v>93680</v>
      </c>
      <c r="CF339" s="844">
        <v>95153</v>
      </c>
      <c r="CG339" s="844">
        <v>96632</v>
      </c>
      <c r="CH339" s="844">
        <v>98113</v>
      </c>
      <c r="CI339" s="844">
        <v>99598</v>
      </c>
      <c r="CJ339" s="844">
        <v>101085</v>
      </c>
      <c r="CK339" s="844">
        <v>102574</v>
      </c>
      <c r="CL339" s="844">
        <v>104065</v>
      </c>
      <c r="CM339" s="844">
        <v>105556</v>
      </c>
      <c r="CN339" s="844">
        <v>107049</v>
      </c>
      <c r="CO339" s="844">
        <v>108541</v>
      </c>
      <c r="CP339" s="844">
        <v>110034</v>
      </c>
      <c r="CQ339" s="844">
        <v>111526</v>
      </c>
      <c r="CR339" s="844">
        <v>113017</v>
      </c>
      <c r="CS339" s="844">
        <v>114508</v>
      </c>
      <c r="CT339" s="844">
        <v>115999</v>
      </c>
      <c r="CU339" s="844">
        <v>117491</v>
      </c>
      <c r="CV339" s="844">
        <v>118990</v>
      </c>
      <c r="CW339" s="844">
        <v>120519</v>
      </c>
      <c r="CX339" s="844">
        <v>122184</v>
      </c>
      <c r="CY339" s="844">
        <v>123400</v>
      </c>
      <c r="CZ339" s="844">
        <v>0</v>
      </c>
      <c r="DA339" s="844">
        <v>0</v>
      </c>
      <c r="DB339" s="844">
        <v>0</v>
      </c>
      <c r="DC339" s="844">
        <v>0</v>
      </c>
      <c r="DD339" s="844">
        <v>0</v>
      </c>
      <c r="DE339" s="844">
        <v>0</v>
      </c>
      <c r="DF339" s="844">
        <v>0</v>
      </c>
      <c r="DG339" s="844">
        <v>0</v>
      </c>
      <c r="DH339" s="844">
        <v>0</v>
      </c>
      <c r="DI339" s="844">
        <v>0</v>
      </c>
      <c r="DJ339" s="844">
        <v>0</v>
      </c>
      <c r="DK339" s="844">
        <v>0</v>
      </c>
      <c r="DL339" s="844">
        <v>0</v>
      </c>
      <c r="DM339" s="844">
        <v>0</v>
      </c>
      <c r="DN339" s="844">
        <v>0</v>
      </c>
      <c r="DO339" s="844">
        <v>0</v>
      </c>
      <c r="DP339" s="844">
        <v>0</v>
      </c>
      <c r="DQ339" s="844">
        <v>0</v>
      </c>
      <c r="DR339" s="844">
        <v>0</v>
      </c>
      <c r="DS339" s="844">
        <v>0</v>
      </c>
      <c r="DT339" s="844">
        <v>0</v>
      </c>
      <c r="DU339" s="844">
        <v>0</v>
      </c>
      <c r="DV339" s="844">
        <v>0</v>
      </c>
      <c r="DW339" s="844">
        <v>0</v>
      </c>
      <c r="DY339" s="846" t="s">
        <v>1060</v>
      </c>
      <c r="DZ339" s="846" t="s">
        <v>1382</v>
      </c>
      <c r="EA339" s="846" t="s">
        <v>96</v>
      </c>
      <c r="EB339" s="847">
        <v>24</v>
      </c>
      <c r="EC339" s="780" t="str">
        <f t="shared" si="13"/>
        <v>IWT060124</v>
      </c>
      <c r="ED339" s="847">
        <v>0</v>
      </c>
      <c r="EE339" s="847">
        <v>3058</v>
      </c>
      <c r="EF339" s="847">
        <v>8126</v>
      </c>
      <c r="EG339" s="847">
        <v>13296</v>
      </c>
      <c r="EH339" s="847">
        <v>18569</v>
      </c>
      <c r="EI339" s="847">
        <v>23947</v>
      </c>
      <c r="EJ339" s="847">
        <v>29433</v>
      </c>
      <c r="EK339" s="847">
        <v>30020</v>
      </c>
      <c r="EL339" s="847">
        <v>30619</v>
      </c>
      <c r="EM339" s="847">
        <v>31231</v>
      </c>
      <c r="EN339" s="847">
        <v>31856</v>
      </c>
      <c r="EO339" s="847">
        <v>32493</v>
      </c>
      <c r="EP339" s="847">
        <v>33143</v>
      </c>
      <c r="EQ339" s="847">
        <v>33806</v>
      </c>
      <c r="ER339" s="847">
        <v>34482</v>
      </c>
      <c r="ES339" s="847">
        <v>35172</v>
      </c>
      <c r="ET339" s="847">
        <v>35875</v>
      </c>
      <c r="EU339" s="847">
        <v>36593</v>
      </c>
      <c r="EV339" s="847">
        <v>37324</v>
      </c>
      <c r="EW339" s="847">
        <v>38071</v>
      </c>
      <c r="EX339" s="847">
        <v>38832</v>
      </c>
      <c r="EY339" s="847">
        <v>39609</v>
      </c>
      <c r="EZ339" s="847">
        <v>40401</v>
      </c>
      <c r="FA339" s="847">
        <v>41209</v>
      </c>
      <c r="FB339" s="847">
        <v>42033</v>
      </c>
      <c r="FC339" s="847">
        <v>42874</v>
      </c>
      <c r="FD339" s="847">
        <v>43731</v>
      </c>
      <c r="FE339" s="847">
        <v>44606</v>
      </c>
      <c r="FF339" s="847">
        <v>45498</v>
      </c>
      <c r="FG339" s="847">
        <v>46408</v>
      </c>
      <c r="FH339" s="847">
        <v>47336</v>
      </c>
      <c r="FI339" s="847">
        <v>48283</v>
      </c>
      <c r="FJ339" s="847">
        <v>49249</v>
      </c>
      <c r="FK339" s="847">
        <v>50234</v>
      </c>
      <c r="FL339" s="847">
        <v>51238</v>
      </c>
      <c r="FM339" s="847">
        <v>52263</v>
      </c>
      <c r="FN339" s="847">
        <v>53308</v>
      </c>
      <c r="FO339" s="847">
        <v>54374</v>
      </c>
      <c r="FP339" s="847">
        <v>55462</v>
      </c>
      <c r="FQ339" s="847">
        <v>56569</v>
      </c>
      <c r="FR339" s="847">
        <v>57693</v>
      </c>
      <c r="FS339" s="847">
        <v>58836</v>
      </c>
      <c r="FT339" s="847">
        <v>59996</v>
      </c>
      <c r="FU339" s="847">
        <v>61174</v>
      </c>
      <c r="FV339" s="847">
        <v>62369</v>
      </c>
      <c r="FW339" s="847">
        <v>63581</v>
      </c>
      <c r="FX339" s="847">
        <v>64809</v>
      </c>
      <c r="FY339" s="847">
        <v>66054</v>
      </c>
      <c r="FZ339" s="847">
        <v>67314</v>
      </c>
      <c r="GA339" s="847">
        <v>68590</v>
      </c>
      <c r="GB339" s="847">
        <v>69881</v>
      </c>
      <c r="GC339" s="847">
        <v>71187</v>
      </c>
      <c r="GD339" s="847">
        <v>72506</v>
      </c>
      <c r="GE339" s="847">
        <v>73840</v>
      </c>
      <c r="GF339" s="847">
        <v>75187</v>
      </c>
      <c r="GG339" s="847">
        <v>76547</v>
      </c>
      <c r="GH339" s="847">
        <v>77920</v>
      </c>
      <c r="GI339" s="847">
        <v>79304</v>
      </c>
      <c r="GJ339" s="847">
        <v>80699</v>
      </c>
      <c r="GK339" s="847">
        <v>82105</v>
      </c>
      <c r="GL339" s="847">
        <v>83521</v>
      </c>
      <c r="GM339" s="847">
        <v>84947</v>
      </c>
      <c r="GN339" s="847">
        <v>86382</v>
      </c>
      <c r="GO339" s="847">
        <v>87826</v>
      </c>
      <c r="GP339" s="847">
        <v>89279</v>
      </c>
      <c r="GQ339" s="847">
        <v>90739</v>
      </c>
      <c r="GR339" s="847">
        <v>92207</v>
      </c>
      <c r="GS339" s="847">
        <v>93680</v>
      </c>
      <c r="GT339" s="847">
        <v>95153</v>
      </c>
      <c r="GU339" s="847">
        <v>96632</v>
      </c>
      <c r="GV339" s="847">
        <v>98113</v>
      </c>
      <c r="GW339" s="847">
        <v>99598</v>
      </c>
      <c r="GX339" s="847">
        <v>101085</v>
      </c>
      <c r="GY339" s="847">
        <v>102574</v>
      </c>
      <c r="GZ339" s="847">
        <v>104065</v>
      </c>
      <c r="HA339" s="847">
        <v>105556</v>
      </c>
      <c r="HB339" s="847">
        <v>107049</v>
      </c>
      <c r="HC339" s="847">
        <v>108541</v>
      </c>
      <c r="HD339" s="847">
        <v>110034</v>
      </c>
      <c r="HE339" s="847">
        <v>111526</v>
      </c>
      <c r="HF339" s="847">
        <v>113017</v>
      </c>
      <c r="HG339" s="847">
        <v>114508</v>
      </c>
      <c r="HH339" s="847">
        <v>115999</v>
      </c>
      <c r="HI339" s="847">
        <v>117491</v>
      </c>
      <c r="HJ339" s="847">
        <v>118990</v>
      </c>
      <c r="HK339" s="847">
        <v>120519</v>
      </c>
      <c r="HL339" s="847">
        <v>122184</v>
      </c>
      <c r="HM339" s="847">
        <v>123400</v>
      </c>
      <c r="HN339" s="847">
        <v>0</v>
      </c>
      <c r="HO339" s="847">
        <v>0</v>
      </c>
      <c r="HP339" s="847">
        <v>0</v>
      </c>
      <c r="HQ339" s="847">
        <v>0</v>
      </c>
      <c r="HR339" s="847">
        <v>0</v>
      </c>
      <c r="HS339" s="847">
        <v>0</v>
      </c>
      <c r="HT339" s="847">
        <v>0</v>
      </c>
      <c r="HU339" s="847">
        <v>0</v>
      </c>
      <c r="HV339" s="847">
        <v>0</v>
      </c>
      <c r="HW339" s="847">
        <v>0</v>
      </c>
      <c r="HX339" s="847">
        <v>0</v>
      </c>
      <c r="HY339" s="847">
        <v>0</v>
      </c>
      <c r="HZ339" s="847">
        <v>0</v>
      </c>
      <c r="IA339" s="847">
        <v>0</v>
      </c>
      <c r="IB339" s="847">
        <v>0</v>
      </c>
      <c r="IC339" s="847">
        <v>0</v>
      </c>
      <c r="ID339" s="847">
        <v>0</v>
      </c>
      <c r="IE339" s="847">
        <v>0</v>
      </c>
      <c r="IF339" s="847">
        <v>0</v>
      </c>
      <c r="IG339" s="847">
        <v>0</v>
      </c>
      <c r="IH339" s="847">
        <v>0</v>
      </c>
      <c r="II339" s="847">
        <v>0</v>
      </c>
      <c r="IJ339" s="847">
        <v>0</v>
      </c>
      <c r="IK339" s="847">
        <v>0</v>
      </c>
    </row>
    <row r="340" spans="12:245" hidden="1">
      <c r="L340" s="843" t="s">
        <v>1060</v>
      </c>
      <c r="M340" s="843" t="s">
        <v>1382</v>
      </c>
      <c r="N340" s="843" t="s">
        <v>96</v>
      </c>
      <c r="O340" s="844">
        <v>25</v>
      </c>
      <c r="P340" s="780" t="str">
        <f t="shared" si="12"/>
        <v>IWT060125</v>
      </c>
      <c r="Q340" s="844">
        <v>2299</v>
      </c>
      <c r="R340" s="844">
        <v>6516</v>
      </c>
      <c r="S340" s="844">
        <v>11329</v>
      </c>
      <c r="T340" s="844">
        <v>16752</v>
      </c>
      <c r="U340" s="844">
        <v>22805</v>
      </c>
      <c r="V340" s="844">
        <v>29209</v>
      </c>
      <c r="W340" s="844">
        <v>30093</v>
      </c>
      <c r="X340" s="844">
        <v>30693</v>
      </c>
      <c r="Y340" s="844">
        <v>31307</v>
      </c>
      <c r="Z340" s="844">
        <v>31933</v>
      </c>
      <c r="AA340" s="844">
        <v>32571</v>
      </c>
      <c r="AB340" s="844">
        <v>33223</v>
      </c>
      <c r="AC340" s="844">
        <v>33887</v>
      </c>
      <c r="AD340" s="844">
        <v>34565</v>
      </c>
      <c r="AE340" s="844">
        <v>35256</v>
      </c>
      <c r="AF340" s="844">
        <v>35962</v>
      </c>
      <c r="AG340" s="844">
        <v>36681</v>
      </c>
      <c r="AH340" s="844">
        <v>37414</v>
      </c>
      <c r="AI340" s="844">
        <v>38163</v>
      </c>
      <c r="AJ340" s="844">
        <v>38926</v>
      </c>
      <c r="AK340" s="844">
        <v>39704</v>
      </c>
      <c r="AL340" s="844">
        <v>40499</v>
      </c>
      <c r="AM340" s="844">
        <v>41308</v>
      </c>
      <c r="AN340" s="844">
        <v>42135</v>
      </c>
      <c r="AO340" s="844">
        <v>42977</v>
      </c>
      <c r="AP340" s="844">
        <v>43837</v>
      </c>
      <c r="AQ340" s="844">
        <v>44714</v>
      </c>
      <c r="AR340" s="844">
        <v>45608</v>
      </c>
      <c r="AS340" s="844">
        <v>46520</v>
      </c>
      <c r="AT340" s="844">
        <v>47450</v>
      </c>
      <c r="AU340" s="844">
        <v>48399</v>
      </c>
      <c r="AV340" s="844">
        <v>49367</v>
      </c>
      <c r="AW340" s="844">
        <v>50355</v>
      </c>
      <c r="AX340" s="844">
        <v>51362</v>
      </c>
      <c r="AY340" s="844">
        <v>52389</v>
      </c>
      <c r="AZ340" s="844">
        <v>53437</v>
      </c>
      <c r="BA340" s="844">
        <v>54505</v>
      </c>
      <c r="BB340" s="844">
        <v>55595</v>
      </c>
      <c r="BC340" s="844">
        <v>56707</v>
      </c>
      <c r="BD340" s="844">
        <v>57836</v>
      </c>
      <c r="BE340" s="844">
        <v>58983</v>
      </c>
      <c r="BF340" s="844">
        <v>60147</v>
      </c>
      <c r="BG340" s="844">
        <v>61329</v>
      </c>
      <c r="BH340" s="844">
        <v>62527</v>
      </c>
      <c r="BI340" s="844">
        <v>63743</v>
      </c>
      <c r="BJ340" s="844">
        <v>64975</v>
      </c>
      <c r="BK340" s="844">
        <v>66223</v>
      </c>
      <c r="BL340" s="844">
        <v>67486</v>
      </c>
      <c r="BM340" s="844">
        <v>68765</v>
      </c>
      <c r="BN340" s="844">
        <v>70058</v>
      </c>
      <c r="BO340" s="844">
        <v>71366</v>
      </c>
      <c r="BP340" s="844">
        <v>72688</v>
      </c>
      <c r="BQ340" s="844">
        <v>74024</v>
      </c>
      <c r="BR340" s="844">
        <v>75373</v>
      </c>
      <c r="BS340" s="844">
        <v>76735</v>
      </c>
      <c r="BT340" s="844">
        <v>78109</v>
      </c>
      <c r="BU340" s="844">
        <v>79493</v>
      </c>
      <c r="BV340" s="844">
        <v>80889</v>
      </c>
      <c r="BW340" s="844">
        <v>82295</v>
      </c>
      <c r="BX340" s="844">
        <v>83711</v>
      </c>
      <c r="BY340" s="844">
        <v>85137</v>
      </c>
      <c r="BZ340" s="844">
        <v>86572</v>
      </c>
      <c r="CA340" s="844">
        <v>88016</v>
      </c>
      <c r="CB340" s="844">
        <v>89469</v>
      </c>
      <c r="CC340" s="844">
        <v>90928</v>
      </c>
      <c r="CD340" s="844">
        <v>92393</v>
      </c>
      <c r="CE340" s="844">
        <v>93859</v>
      </c>
      <c r="CF340" s="844">
        <v>95330</v>
      </c>
      <c r="CG340" s="844">
        <v>96805</v>
      </c>
      <c r="CH340" s="844">
        <v>98283</v>
      </c>
      <c r="CI340" s="844">
        <v>99764</v>
      </c>
      <c r="CJ340" s="844">
        <v>101247</v>
      </c>
      <c r="CK340" s="844">
        <v>102732</v>
      </c>
      <c r="CL340" s="844">
        <v>104219</v>
      </c>
      <c r="CM340" s="844">
        <v>105706</v>
      </c>
      <c r="CN340" s="844">
        <v>107194</v>
      </c>
      <c r="CO340" s="844">
        <v>108682</v>
      </c>
      <c r="CP340" s="844">
        <v>110169</v>
      </c>
      <c r="CQ340" s="844">
        <v>111657</v>
      </c>
      <c r="CR340" s="844">
        <v>113144</v>
      </c>
      <c r="CS340" s="844">
        <v>114631</v>
      </c>
      <c r="CT340" s="844">
        <v>116120</v>
      </c>
      <c r="CU340" s="844">
        <v>117615</v>
      </c>
      <c r="CV340" s="844">
        <v>119141</v>
      </c>
      <c r="CW340" s="844">
        <v>120798</v>
      </c>
      <c r="CX340" s="844">
        <v>122000</v>
      </c>
      <c r="CY340" s="844">
        <v>0</v>
      </c>
      <c r="CZ340" s="844">
        <v>0</v>
      </c>
      <c r="DA340" s="844">
        <v>0</v>
      </c>
      <c r="DB340" s="844">
        <v>0</v>
      </c>
      <c r="DC340" s="844">
        <v>0</v>
      </c>
      <c r="DD340" s="844">
        <v>0</v>
      </c>
      <c r="DE340" s="844">
        <v>0</v>
      </c>
      <c r="DF340" s="844">
        <v>0</v>
      </c>
      <c r="DG340" s="844">
        <v>0</v>
      </c>
      <c r="DH340" s="844">
        <v>0</v>
      </c>
      <c r="DI340" s="844">
        <v>0</v>
      </c>
      <c r="DJ340" s="844">
        <v>0</v>
      </c>
      <c r="DK340" s="844">
        <v>0</v>
      </c>
      <c r="DL340" s="844">
        <v>0</v>
      </c>
      <c r="DM340" s="844">
        <v>0</v>
      </c>
      <c r="DN340" s="844">
        <v>0</v>
      </c>
      <c r="DO340" s="844">
        <v>0</v>
      </c>
      <c r="DP340" s="844">
        <v>0</v>
      </c>
      <c r="DQ340" s="844">
        <v>0</v>
      </c>
      <c r="DR340" s="844">
        <v>0</v>
      </c>
      <c r="DS340" s="844">
        <v>0</v>
      </c>
      <c r="DT340" s="844">
        <v>0</v>
      </c>
      <c r="DU340" s="844">
        <v>0</v>
      </c>
      <c r="DV340" s="844">
        <v>0</v>
      </c>
      <c r="DW340" s="844">
        <v>0</v>
      </c>
      <c r="DY340" s="846" t="s">
        <v>1060</v>
      </c>
      <c r="DZ340" s="846" t="s">
        <v>1382</v>
      </c>
      <c r="EA340" s="846" t="s">
        <v>96</v>
      </c>
      <c r="EB340" s="847">
        <v>25</v>
      </c>
      <c r="EC340" s="780" t="str">
        <f t="shared" si="13"/>
        <v>IWT060125</v>
      </c>
      <c r="ED340" s="847">
        <v>0</v>
      </c>
      <c r="EE340" s="847">
        <v>3065</v>
      </c>
      <c r="EF340" s="847">
        <v>8145</v>
      </c>
      <c r="EG340" s="847">
        <v>13328</v>
      </c>
      <c r="EH340" s="847">
        <v>18613</v>
      </c>
      <c r="EI340" s="847">
        <v>24005</v>
      </c>
      <c r="EJ340" s="847">
        <v>29504</v>
      </c>
      <c r="EK340" s="847">
        <v>30093</v>
      </c>
      <c r="EL340" s="847">
        <v>30693</v>
      </c>
      <c r="EM340" s="847">
        <v>31307</v>
      </c>
      <c r="EN340" s="847">
        <v>31933</v>
      </c>
      <c r="EO340" s="847">
        <v>32571</v>
      </c>
      <c r="EP340" s="847">
        <v>33223</v>
      </c>
      <c r="EQ340" s="847">
        <v>33887</v>
      </c>
      <c r="ER340" s="847">
        <v>34565</v>
      </c>
      <c r="ES340" s="847">
        <v>35256</v>
      </c>
      <c r="ET340" s="847">
        <v>35962</v>
      </c>
      <c r="EU340" s="847">
        <v>36681</v>
      </c>
      <c r="EV340" s="847">
        <v>37414</v>
      </c>
      <c r="EW340" s="847">
        <v>38163</v>
      </c>
      <c r="EX340" s="847">
        <v>38926</v>
      </c>
      <c r="EY340" s="847">
        <v>39704</v>
      </c>
      <c r="EZ340" s="847">
        <v>40499</v>
      </c>
      <c r="FA340" s="847">
        <v>41308</v>
      </c>
      <c r="FB340" s="847">
        <v>42135</v>
      </c>
      <c r="FC340" s="847">
        <v>42977</v>
      </c>
      <c r="FD340" s="847">
        <v>43837</v>
      </c>
      <c r="FE340" s="847">
        <v>44714</v>
      </c>
      <c r="FF340" s="847">
        <v>45608</v>
      </c>
      <c r="FG340" s="847">
        <v>46520</v>
      </c>
      <c r="FH340" s="847">
        <v>47450</v>
      </c>
      <c r="FI340" s="847">
        <v>48399</v>
      </c>
      <c r="FJ340" s="847">
        <v>49367</v>
      </c>
      <c r="FK340" s="847">
        <v>50355</v>
      </c>
      <c r="FL340" s="847">
        <v>51362</v>
      </c>
      <c r="FM340" s="847">
        <v>52389</v>
      </c>
      <c r="FN340" s="847">
        <v>53437</v>
      </c>
      <c r="FO340" s="847">
        <v>54505</v>
      </c>
      <c r="FP340" s="847">
        <v>55595</v>
      </c>
      <c r="FQ340" s="847">
        <v>56707</v>
      </c>
      <c r="FR340" s="847">
        <v>57836</v>
      </c>
      <c r="FS340" s="847">
        <v>58983</v>
      </c>
      <c r="FT340" s="847">
        <v>60147</v>
      </c>
      <c r="FU340" s="847">
        <v>61329</v>
      </c>
      <c r="FV340" s="847">
        <v>62527</v>
      </c>
      <c r="FW340" s="847">
        <v>63743</v>
      </c>
      <c r="FX340" s="847">
        <v>64975</v>
      </c>
      <c r="FY340" s="847">
        <v>66223</v>
      </c>
      <c r="FZ340" s="847">
        <v>67486</v>
      </c>
      <c r="GA340" s="847">
        <v>68765</v>
      </c>
      <c r="GB340" s="847">
        <v>70058</v>
      </c>
      <c r="GC340" s="847">
        <v>71366</v>
      </c>
      <c r="GD340" s="847">
        <v>72688</v>
      </c>
      <c r="GE340" s="847">
        <v>74024</v>
      </c>
      <c r="GF340" s="847">
        <v>75373</v>
      </c>
      <c r="GG340" s="847">
        <v>76735</v>
      </c>
      <c r="GH340" s="847">
        <v>78109</v>
      </c>
      <c r="GI340" s="847">
        <v>79493</v>
      </c>
      <c r="GJ340" s="847">
        <v>80889</v>
      </c>
      <c r="GK340" s="847">
        <v>82295</v>
      </c>
      <c r="GL340" s="847">
        <v>83711</v>
      </c>
      <c r="GM340" s="847">
        <v>85137</v>
      </c>
      <c r="GN340" s="847">
        <v>86572</v>
      </c>
      <c r="GO340" s="847">
        <v>88016</v>
      </c>
      <c r="GP340" s="847">
        <v>89469</v>
      </c>
      <c r="GQ340" s="847">
        <v>90928</v>
      </c>
      <c r="GR340" s="847">
        <v>92393</v>
      </c>
      <c r="GS340" s="847">
        <v>93859</v>
      </c>
      <c r="GT340" s="847">
        <v>95330</v>
      </c>
      <c r="GU340" s="847">
        <v>96805</v>
      </c>
      <c r="GV340" s="847">
        <v>98283</v>
      </c>
      <c r="GW340" s="847">
        <v>99764</v>
      </c>
      <c r="GX340" s="847">
        <v>101247</v>
      </c>
      <c r="GY340" s="847">
        <v>102732</v>
      </c>
      <c r="GZ340" s="847">
        <v>104219</v>
      </c>
      <c r="HA340" s="847">
        <v>105706</v>
      </c>
      <c r="HB340" s="847">
        <v>107194</v>
      </c>
      <c r="HC340" s="847">
        <v>108682</v>
      </c>
      <c r="HD340" s="847">
        <v>110169</v>
      </c>
      <c r="HE340" s="847">
        <v>111657</v>
      </c>
      <c r="HF340" s="847">
        <v>113144</v>
      </c>
      <c r="HG340" s="847">
        <v>114631</v>
      </c>
      <c r="HH340" s="847">
        <v>116120</v>
      </c>
      <c r="HI340" s="847">
        <v>117615</v>
      </c>
      <c r="HJ340" s="847">
        <v>119141</v>
      </c>
      <c r="HK340" s="847">
        <v>120798</v>
      </c>
      <c r="HL340" s="847">
        <v>122000</v>
      </c>
      <c r="HM340" s="847">
        <v>0</v>
      </c>
      <c r="HN340" s="847">
        <v>0</v>
      </c>
      <c r="HO340" s="847">
        <v>0</v>
      </c>
      <c r="HP340" s="847">
        <v>0</v>
      </c>
      <c r="HQ340" s="847">
        <v>0</v>
      </c>
      <c r="HR340" s="847">
        <v>0</v>
      </c>
      <c r="HS340" s="847">
        <v>0</v>
      </c>
      <c r="HT340" s="847">
        <v>0</v>
      </c>
      <c r="HU340" s="847">
        <v>0</v>
      </c>
      <c r="HV340" s="847">
        <v>0</v>
      </c>
      <c r="HW340" s="847">
        <v>0</v>
      </c>
      <c r="HX340" s="847">
        <v>0</v>
      </c>
      <c r="HY340" s="847">
        <v>0</v>
      </c>
      <c r="HZ340" s="847">
        <v>0</v>
      </c>
      <c r="IA340" s="847">
        <v>0</v>
      </c>
      <c r="IB340" s="847">
        <v>0</v>
      </c>
      <c r="IC340" s="847">
        <v>0</v>
      </c>
      <c r="ID340" s="847">
        <v>0</v>
      </c>
      <c r="IE340" s="847">
        <v>0</v>
      </c>
      <c r="IF340" s="847">
        <v>0</v>
      </c>
      <c r="IG340" s="847">
        <v>0</v>
      </c>
      <c r="IH340" s="847">
        <v>0</v>
      </c>
      <c r="II340" s="847">
        <v>0</v>
      </c>
      <c r="IJ340" s="847">
        <v>0</v>
      </c>
      <c r="IK340" s="847">
        <v>0</v>
      </c>
    </row>
    <row r="341" spans="12:245" hidden="1">
      <c r="L341" s="843" t="s">
        <v>1060</v>
      </c>
      <c r="M341" s="843" t="s">
        <v>1382</v>
      </c>
      <c r="N341" s="843" t="s">
        <v>96</v>
      </c>
      <c r="O341" s="844">
        <v>26</v>
      </c>
      <c r="P341" s="780" t="str">
        <f t="shared" si="12"/>
        <v>IWT060126</v>
      </c>
      <c r="Q341" s="844">
        <v>2303</v>
      </c>
      <c r="R341" s="844">
        <v>6530</v>
      </c>
      <c r="S341" s="844">
        <v>11353</v>
      </c>
      <c r="T341" s="844">
        <v>16790</v>
      </c>
      <c r="U341" s="844">
        <v>22856</v>
      </c>
      <c r="V341" s="844">
        <v>29275</v>
      </c>
      <c r="W341" s="844">
        <v>30161</v>
      </c>
      <c r="X341" s="844">
        <v>30763</v>
      </c>
      <c r="Y341" s="844">
        <v>31377</v>
      </c>
      <c r="Z341" s="844">
        <v>32005</v>
      </c>
      <c r="AA341" s="844">
        <v>32645</v>
      </c>
      <c r="AB341" s="844">
        <v>33298</v>
      </c>
      <c r="AC341" s="844">
        <v>33964</v>
      </c>
      <c r="AD341" s="844">
        <v>34643</v>
      </c>
      <c r="AE341" s="844">
        <v>35336</v>
      </c>
      <c r="AF341" s="844">
        <v>36043</v>
      </c>
      <c r="AG341" s="844">
        <v>36764</v>
      </c>
      <c r="AH341" s="844">
        <v>37499</v>
      </c>
      <c r="AI341" s="844">
        <v>38249</v>
      </c>
      <c r="AJ341" s="844">
        <v>39014</v>
      </c>
      <c r="AK341" s="844">
        <v>39794</v>
      </c>
      <c r="AL341" s="844">
        <v>40590</v>
      </c>
      <c r="AM341" s="844">
        <v>41402</v>
      </c>
      <c r="AN341" s="844">
        <v>42230</v>
      </c>
      <c r="AO341" s="844">
        <v>43074</v>
      </c>
      <c r="AP341" s="844">
        <v>43936</v>
      </c>
      <c r="AQ341" s="844">
        <v>44815</v>
      </c>
      <c r="AR341" s="844">
        <v>45711</v>
      </c>
      <c r="AS341" s="844">
        <v>46625</v>
      </c>
      <c r="AT341" s="844">
        <v>47558</v>
      </c>
      <c r="AU341" s="844">
        <v>48509</v>
      </c>
      <c r="AV341" s="844">
        <v>49479</v>
      </c>
      <c r="AW341" s="844">
        <v>50468</v>
      </c>
      <c r="AX341" s="844">
        <v>51478</v>
      </c>
      <c r="AY341" s="844">
        <v>52507</v>
      </c>
      <c r="AZ341" s="844">
        <v>53557</v>
      </c>
      <c r="BA341" s="844">
        <v>54629</v>
      </c>
      <c r="BB341" s="844">
        <v>55721</v>
      </c>
      <c r="BC341" s="844">
        <v>56835</v>
      </c>
      <c r="BD341" s="844">
        <v>57969</v>
      </c>
      <c r="BE341" s="844">
        <v>59120</v>
      </c>
      <c r="BF341" s="844">
        <v>60288</v>
      </c>
      <c r="BG341" s="844">
        <v>61474</v>
      </c>
      <c r="BH341" s="844">
        <v>62677</v>
      </c>
      <c r="BI341" s="844">
        <v>63896</v>
      </c>
      <c r="BJ341" s="844">
        <v>65131</v>
      </c>
      <c r="BK341" s="844">
        <v>66382</v>
      </c>
      <c r="BL341" s="844">
        <v>67649</v>
      </c>
      <c r="BM341" s="844">
        <v>68930</v>
      </c>
      <c r="BN341" s="844">
        <v>70226</v>
      </c>
      <c r="BO341" s="844">
        <v>71537</v>
      </c>
      <c r="BP341" s="844">
        <v>72861</v>
      </c>
      <c r="BQ341" s="844">
        <v>74199</v>
      </c>
      <c r="BR341" s="844">
        <v>75550</v>
      </c>
      <c r="BS341" s="844">
        <v>76913</v>
      </c>
      <c r="BT341" s="844">
        <v>78288</v>
      </c>
      <c r="BU341" s="844">
        <v>79673</v>
      </c>
      <c r="BV341" s="844">
        <v>81070</v>
      </c>
      <c r="BW341" s="844">
        <v>82476</v>
      </c>
      <c r="BX341" s="844">
        <v>83893</v>
      </c>
      <c r="BY341" s="844">
        <v>85319</v>
      </c>
      <c r="BZ341" s="844">
        <v>86754</v>
      </c>
      <c r="CA341" s="844">
        <v>88198</v>
      </c>
      <c r="CB341" s="844">
        <v>89649</v>
      </c>
      <c r="CC341" s="844">
        <v>91106</v>
      </c>
      <c r="CD341" s="844">
        <v>92565</v>
      </c>
      <c r="CE341" s="844">
        <v>94029</v>
      </c>
      <c r="CF341" s="844">
        <v>95497</v>
      </c>
      <c r="CG341" s="844">
        <v>96968</v>
      </c>
      <c r="CH341" s="844">
        <v>98443</v>
      </c>
      <c r="CI341" s="844">
        <v>99920</v>
      </c>
      <c r="CJ341" s="844">
        <v>101400</v>
      </c>
      <c r="CK341" s="844">
        <v>102881</v>
      </c>
      <c r="CL341" s="844">
        <v>104363</v>
      </c>
      <c r="CM341" s="844">
        <v>105846</v>
      </c>
      <c r="CN341" s="844">
        <v>107329</v>
      </c>
      <c r="CO341" s="844">
        <v>108813</v>
      </c>
      <c r="CP341" s="844">
        <v>110296</v>
      </c>
      <c r="CQ341" s="844">
        <v>111780</v>
      </c>
      <c r="CR341" s="844">
        <v>113263</v>
      </c>
      <c r="CS341" s="844">
        <v>114748</v>
      </c>
      <c r="CT341" s="844">
        <v>116241</v>
      </c>
      <c r="CU341" s="844">
        <v>117762</v>
      </c>
      <c r="CV341" s="844">
        <v>119412</v>
      </c>
      <c r="CW341" s="844">
        <v>120600</v>
      </c>
      <c r="CX341" s="844">
        <v>0</v>
      </c>
      <c r="CY341" s="844">
        <v>0</v>
      </c>
      <c r="CZ341" s="844">
        <v>0</v>
      </c>
      <c r="DA341" s="844">
        <v>0</v>
      </c>
      <c r="DB341" s="844">
        <v>0</v>
      </c>
      <c r="DC341" s="844">
        <v>0</v>
      </c>
      <c r="DD341" s="844">
        <v>0</v>
      </c>
      <c r="DE341" s="844">
        <v>0</v>
      </c>
      <c r="DF341" s="844">
        <v>0</v>
      </c>
      <c r="DG341" s="844">
        <v>0</v>
      </c>
      <c r="DH341" s="844">
        <v>0</v>
      </c>
      <c r="DI341" s="844">
        <v>0</v>
      </c>
      <c r="DJ341" s="844">
        <v>0</v>
      </c>
      <c r="DK341" s="844">
        <v>0</v>
      </c>
      <c r="DL341" s="844">
        <v>0</v>
      </c>
      <c r="DM341" s="844">
        <v>0</v>
      </c>
      <c r="DN341" s="844">
        <v>0</v>
      </c>
      <c r="DO341" s="844">
        <v>0</v>
      </c>
      <c r="DP341" s="844">
        <v>0</v>
      </c>
      <c r="DQ341" s="844">
        <v>0</v>
      </c>
      <c r="DR341" s="844">
        <v>0</v>
      </c>
      <c r="DS341" s="844">
        <v>0</v>
      </c>
      <c r="DT341" s="844">
        <v>0</v>
      </c>
      <c r="DU341" s="844">
        <v>0</v>
      </c>
      <c r="DV341" s="844">
        <v>0</v>
      </c>
      <c r="DW341" s="844">
        <v>0</v>
      </c>
      <c r="DY341" s="846" t="s">
        <v>1060</v>
      </c>
      <c r="DZ341" s="846" t="s">
        <v>1382</v>
      </c>
      <c r="EA341" s="846" t="s">
        <v>96</v>
      </c>
      <c r="EB341" s="847">
        <v>26</v>
      </c>
      <c r="EC341" s="780" t="str">
        <f t="shared" si="13"/>
        <v>IWT060126</v>
      </c>
      <c r="ED341" s="847">
        <v>0</v>
      </c>
      <c r="EE341" s="847">
        <v>3071</v>
      </c>
      <c r="EF341" s="847">
        <v>8163</v>
      </c>
      <c r="EG341" s="847">
        <v>13357</v>
      </c>
      <c r="EH341" s="847">
        <v>18655</v>
      </c>
      <c r="EI341" s="847">
        <v>24059</v>
      </c>
      <c r="EJ341" s="847">
        <v>29571</v>
      </c>
      <c r="EK341" s="847">
        <v>30161</v>
      </c>
      <c r="EL341" s="847">
        <v>30763</v>
      </c>
      <c r="EM341" s="847">
        <v>31377</v>
      </c>
      <c r="EN341" s="847">
        <v>32005</v>
      </c>
      <c r="EO341" s="847">
        <v>32645</v>
      </c>
      <c r="EP341" s="847">
        <v>33298</v>
      </c>
      <c r="EQ341" s="847">
        <v>33964</v>
      </c>
      <c r="ER341" s="847">
        <v>34643</v>
      </c>
      <c r="ES341" s="847">
        <v>35336</v>
      </c>
      <c r="ET341" s="847">
        <v>36043</v>
      </c>
      <c r="EU341" s="847">
        <v>36764</v>
      </c>
      <c r="EV341" s="847">
        <v>37499</v>
      </c>
      <c r="EW341" s="847">
        <v>38249</v>
      </c>
      <c r="EX341" s="847">
        <v>39014</v>
      </c>
      <c r="EY341" s="847">
        <v>39794</v>
      </c>
      <c r="EZ341" s="847">
        <v>40590</v>
      </c>
      <c r="FA341" s="847">
        <v>41402</v>
      </c>
      <c r="FB341" s="847">
        <v>42230</v>
      </c>
      <c r="FC341" s="847">
        <v>43074</v>
      </c>
      <c r="FD341" s="847">
        <v>43936</v>
      </c>
      <c r="FE341" s="847">
        <v>44815</v>
      </c>
      <c r="FF341" s="847">
        <v>45711</v>
      </c>
      <c r="FG341" s="847">
        <v>46625</v>
      </c>
      <c r="FH341" s="847">
        <v>47558</v>
      </c>
      <c r="FI341" s="847">
        <v>48509</v>
      </c>
      <c r="FJ341" s="847">
        <v>49479</v>
      </c>
      <c r="FK341" s="847">
        <v>50468</v>
      </c>
      <c r="FL341" s="847">
        <v>51478</v>
      </c>
      <c r="FM341" s="847">
        <v>52507</v>
      </c>
      <c r="FN341" s="847">
        <v>53557</v>
      </c>
      <c r="FO341" s="847">
        <v>54629</v>
      </c>
      <c r="FP341" s="847">
        <v>55721</v>
      </c>
      <c r="FQ341" s="847">
        <v>56835</v>
      </c>
      <c r="FR341" s="847">
        <v>57969</v>
      </c>
      <c r="FS341" s="847">
        <v>59120</v>
      </c>
      <c r="FT341" s="847">
        <v>60288</v>
      </c>
      <c r="FU341" s="847">
        <v>61474</v>
      </c>
      <c r="FV341" s="847">
        <v>62677</v>
      </c>
      <c r="FW341" s="847">
        <v>63896</v>
      </c>
      <c r="FX341" s="847">
        <v>65131</v>
      </c>
      <c r="FY341" s="847">
        <v>66382</v>
      </c>
      <c r="FZ341" s="847">
        <v>67649</v>
      </c>
      <c r="GA341" s="847">
        <v>68930</v>
      </c>
      <c r="GB341" s="847">
        <v>70226</v>
      </c>
      <c r="GC341" s="847">
        <v>71537</v>
      </c>
      <c r="GD341" s="847">
        <v>72861</v>
      </c>
      <c r="GE341" s="847">
        <v>74199</v>
      </c>
      <c r="GF341" s="847">
        <v>75550</v>
      </c>
      <c r="GG341" s="847">
        <v>76913</v>
      </c>
      <c r="GH341" s="847">
        <v>78288</v>
      </c>
      <c r="GI341" s="847">
        <v>79673</v>
      </c>
      <c r="GJ341" s="847">
        <v>81070</v>
      </c>
      <c r="GK341" s="847">
        <v>82476</v>
      </c>
      <c r="GL341" s="847">
        <v>83893</v>
      </c>
      <c r="GM341" s="847">
        <v>85319</v>
      </c>
      <c r="GN341" s="847">
        <v>86754</v>
      </c>
      <c r="GO341" s="847">
        <v>88198</v>
      </c>
      <c r="GP341" s="847">
        <v>89649</v>
      </c>
      <c r="GQ341" s="847">
        <v>91106</v>
      </c>
      <c r="GR341" s="847">
        <v>92565</v>
      </c>
      <c r="GS341" s="847">
        <v>94029</v>
      </c>
      <c r="GT341" s="847">
        <v>95497</v>
      </c>
      <c r="GU341" s="847">
        <v>96968</v>
      </c>
      <c r="GV341" s="847">
        <v>98443</v>
      </c>
      <c r="GW341" s="847">
        <v>99920</v>
      </c>
      <c r="GX341" s="847">
        <v>101400</v>
      </c>
      <c r="GY341" s="847">
        <v>102881</v>
      </c>
      <c r="GZ341" s="847">
        <v>104363</v>
      </c>
      <c r="HA341" s="847">
        <v>105846</v>
      </c>
      <c r="HB341" s="847">
        <v>107329</v>
      </c>
      <c r="HC341" s="847">
        <v>108813</v>
      </c>
      <c r="HD341" s="847">
        <v>110296</v>
      </c>
      <c r="HE341" s="847">
        <v>111780</v>
      </c>
      <c r="HF341" s="847">
        <v>113263</v>
      </c>
      <c r="HG341" s="847">
        <v>114748</v>
      </c>
      <c r="HH341" s="847">
        <v>116241</v>
      </c>
      <c r="HI341" s="847">
        <v>117762</v>
      </c>
      <c r="HJ341" s="847">
        <v>119412</v>
      </c>
      <c r="HK341" s="847">
        <v>120600</v>
      </c>
      <c r="HL341" s="847">
        <v>0</v>
      </c>
      <c r="HM341" s="847">
        <v>0</v>
      </c>
      <c r="HN341" s="847">
        <v>0</v>
      </c>
      <c r="HO341" s="847">
        <v>0</v>
      </c>
      <c r="HP341" s="847">
        <v>0</v>
      </c>
      <c r="HQ341" s="847">
        <v>0</v>
      </c>
      <c r="HR341" s="847">
        <v>0</v>
      </c>
      <c r="HS341" s="847">
        <v>0</v>
      </c>
      <c r="HT341" s="847">
        <v>0</v>
      </c>
      <c r="HU341" s="847">
        <v>0</v>
      </c>
      <c r="HV341" s="847">
        <v>0</v>
      </c>
      <c r="HW341" s="847">
        <v>0</v>
      </c>
      <c r="HX341" s="847">
        <v>0</v>
      </c>
      <c r="HY341" s="847">
        <v>0</v>
      </c>
      <c r="HZ341" s="847">
        <v>0</v>
      </c>
      <c r="IA341" s="847">
        <v>0</v>
      </c>
      <c r="IB341" s="847">
        <v>0</v>
      </c>
      <c r="IC341" s="847">
        <v>0</v>
      </c>
      <c r="ID341" s="847">
        <v>0</v>
      </c>
      <c r="IE341" s="847">
        <v>0</v>
      </c>
      <c r="IF341" s="847">
        <v>0</v>
      </c>
      <c r="IG341" s="847">
        <v>0</v>
      </c>
      <c r="IH341" s="847">
        <v>0</v>
      </c>
      <c r="II341" s="847">
        <v>0</v>
      </c>
      <c r="IJ341" s="847">
        <v>0</v>
      </c>
      <c r="IK341" s="847">
        <v>0</v>
      </c>
    </row>
    <row r="342" spans="12:245" hidden="1">
      <c r="L342" s="843" t="s">
        <v>1060</v>
      </c>
      <c r="M342" s="843" t="s">
        <v>1382</v>
      </c>
      <c r="N342" s="843" t="s">
        <v>96</v>
      </c>
      <c r="O342" s="844">
        <v>27</v>
      </c>
      <c r="P342" s="780" t="str">
        <f t="shared" si="12"/>
        <v>IWT060127</v>
      </c>
      <c r="Q342" s="844">
        <v>2307</v>
      </c>
      <c r="R342" s="844">
        <v>6544</v>
      </c>
      <c r="S342" s="844">
        <v>11377</v>
      </c>
      <c r="T342" s="844">
        <v>16826</v>
      </c>
      <c r="U342" s="844">
        <v>22905</v>
      </c>
      <c r="V342" s="844">
        <v>29338</v>
      </c>
      <c r="W342" s="844">
        <v>30225</v>
      </c>
      <c r="X342" s="844">
        <v>30828</v>
      </c>
      <c r="Y342" s="844">
        <v>31444</v>
      </c>
      <c r="Z342" s="844">
        <v>32072</v>
      </c>
      <c r="AA342" s="844">
        <v>32714</v>
      </c>
      <c r="AB342" s="844">
        <v>33368</v>
      </c>
      <c r="AC342" s="844">
        <v>34035</v>
      </c>
      <c r="AD342" s="844">
        <v>34716</v>
      </c>
      <c r="AE342" s="844">
        <v>35410</v>
      </c>
      <c r="AF342" s="844">
        <v>36119</v>
      </c>
      <c r="AG342" s="844">
        <v>36841</v>
      </c>
      <c r="AH342" s="844">
        <v>37578</v>
      </c>
      <c r="AI342" s="844">
        <v>38329</v>
      </c>
      <c r="AJ342" s="844">
        <v>39096</v>
      </c>
      <c r="AK342" s="844">
        <v>39878</v>
      </c>
      <c r="AL342" s="844">
        <v>40675</v>
      </c>
      <c r="AM342" s="844">
        <v>41489</v>
      </c>
      <c r="AN342" s="844">
        <v>42319</v>
      </c>
      <c r="AO342" s="844">
        <v>43165</v>
      </c>
      <c r="AP342" s="844">
        <v>44028</v>
      </c>
      <c r="AQ342" s="844">
        <v>44909</v>
      </c>
      <c r="AR342" s="844">
        <v>45807</v>
      </c>
      <c r="AS342" s="844">
        <v>46723</v>
      </c>
      <c r="AT342" s="844">
        <v>47658</v>
      </c>
      <c r="AU342" s="844">
        <v>48611</v>
      </c>
      <c r="AV342" s="844">
        <v>49583</v>
      </c>
      <c r="AW342" s="844">
        <v>50575</v>
      </c>
      <c r="AX342" s="844">
        <v>51586</v>
      </c>
      <c r="AY342" s="844">
        <v>52618</v>
      </c>
      <c r="AZ342" s="844">
        <v>53670</v>
      </c>
      <c r="BA342" s="844">
        <v>54743</v>
      </c>
      <c r="BB342" s="844">
        <v>55838</v>
      </c>
      <c r="BC342" s="844">
        <v>56955</v>
      </c>
      <c r="BD342" s="844">
        <v>58093</v>
      </c>
      <c r="BE342" s="844">
        <v>59248</v>
      </c>
      <c r="BF342" s="844">
        <v>60421</v>
      </c>
      <c r="BG342" s="844">
        <v>61610</v>
      </c>
      <c r="BH342" s="844">
        <v>62816</v>
      </c>
      <c r="BI342" s="844">
        <v>64039</v>
      </c>
      <c r="BJ342" s="844">
        <v>65278</v>
      </c>
      <c r="BK342" s="844">
        <v>66532</v>
      </c>
      <c r="BL342" s="844">
        <v>67802</v>
      </c>
      <c r="BM342" s="844">
        <v>69086</v>
      </c>
      <c r="BN342" s="844">
        <v>70385</v>
      </c>
      <c r="BO342" s="844">
        <v>71698</v>
      </c>
      <c r="BP342" s="844">
        <v>73025</v>
      </c>
      <c r="BQ342" s="844">
        <v>74365</v>
      </c>
      <c r="BR342" s="844">
        <v>75718</v>
      </c>
      <c r="BS342" s="844">
        <v>77082</v>
      </c>
      <c r="BT342" s="844">
        <v>78458</v>
      </c>
      <c r="BU342" s="844">
        <v>79844</v>
      </c>
      <c r="BV342" s="844">
        <v>81241</v>
      </c>
      <c r="BW342" s="844">
        <v>82648</v>
      </c>
      <c r="BX342" s="844">
        <v>84065</v>
      </c>
      <c r="BY342" s="844">
        <v>85492</v>
      </c>
      <c r="BZ342" s="844">
        <v>86927</v>
      </c>
      <c r="CA342" s="844">
        <v>88370</v>
      </c>
      <c r="CB342" s="844">
        <v>89819</v>
      </c>
      <c r="CC342" s="844">
        <v>91270</v>
      </c>
      <c r="CD342" s="844">
        <v>92727</v>
      </c>
      <c r="CE342" s="844">
        <v>94188</v>
      </c>
      <c r="CF342" s="844">
        <v>95653</v>
      </c>
      <c r="CG342" s="844">
        <v>97122</v>
      </c>
      <c r="CH342" s="844">
        <v>98593</v>
      </c>
      <c r="CI342" s="844">
        <v>100067</v>
      </c>
      <c r="CJ342" s="844">
        <v>101543</v>
      </c>
      <c r="CK342" s="844">
        <v>103020</v>
      </c>
      <c r="CL342" s="844">
        <v>104498</v>
      </c>
      <c r="CM342" s="844">
        <v>105977</v>
      </c>
      <c r="CN342" s="844">
        <v>107457</v>
      </c>
      <c r="CO342" s="844">
        <v>108936</v>
      </c>
      <c r="CP342" s="844">
        <v>110416</v>
      </c>
      <c r="CQ342" s="844">
        <v>111896</v>
      </c>
      <c r="CR342" s="844">
        <v>113377</v>
      </c>
      <c r="CS342" s="844">
        <v>114866</v>
      </c>
      <c r="CT342" s="844">
        <v>116383</v>
      </c>
      <c r="CU342" s="844">
        <v>118026</v>
      </c>
      <c r="CV342" s="844">
        <v>119200</v>
      </c>
      <c r="CW342" s="844">
        <v>0</v>
      </c>
      <c r="CX342" s="844">
        <v>0</v>
      </c>
      <c r="CY342" s="844">
        <v>0</v>
      </c>
      <c r="CZ342" s="844">
        <v>0</v>
      </c>
      <c r="DA342" s="844">
        <v>0</v>
      </c>
      <c r="DB342" s="844">
        <v>0</v>
      </c>
      <c r="DC342" s="844">
        <v>0</v>
      </c>
      <c r="DD342" s="844">
        <v>0</v>
      </c>
      <c r="DE342" s="844">
        <v>0</v>
      </c>
      <c r="DF342" s="844">
        <v>0</v>
      </c>
      <c r="DG342" s="844">
        <v>0</v>
      </c>
      <c r="DH342" s="844">
        <v>0</v>
      </c>
      <c r="DI342" s="844">
        <v>0</v>
      </c>
      <c r="DJ342" s="844">
        <v>0</v>
      </c>
      <c r="DK342" s="844">
        <v>0</v>
      </c>
      <c r="DL342" s="844">
        <v>0</v>
      </c>
      <c r="DM342" s="844">
        <v>0</v>
      </c>
      <c r="DN342" s="844">
        <v>0</v>
      </c>
      <c r="DO342" s="844">
        <v>0</v>
      </c>
      <c r="DP342" s="844">
        <v>0</v>
      </c>
      <c r="DQ342" s="844">
        <v>0</v>
      </c>
      <c r="DR342" s="844">
        <v>0</v>
      </c>
      <c r="DS342" s="844">
        <v>0</v>
      </c>
      <c r="DT342" s="844">
        <v>0</v>
      </c>
      <c r="DU342" s="844">
        <v>0</v>
      </c>
      <c r="DV342" s="844">
        <v>0</v>
      </c>
      <c r="DW342" s="844">
        <v>0</v>
      </c>
      <c r="DY342" s="846" t="s">
        <v>1060</v>
      </c>
      <c r="DZ342" s="846" t="s">
        <v>1382</v>
      </c>
      <c r="EA342" s="846" t="s">
        <v>96</v>
      </c>
      <c r="EB342" s="847">
        <v>27</v>
      </c>
      <c r="EC342" s="780" t="str">
        <f t="shared" si="13"/>
        <v>IWT060127</v>
      </c>
      <c r="ED342" s="847">
        <v>0</v>
      </c>
      <c r="EE342" s="847">
        <v>3076</v>
      </c>
      <c r="EF342" s="847">
        <v>8180</v>
      </c>
      <c r="EG342" s="847">
        <v>13385</v>
      </c>
      <c r="EH342" s="847">
        <v>18695</v>
      </c>
      <c r="EI342" s="847">
        <v>24110</v>
      </c>
      <c r="EJ342" s="847">
        <v>29634</v>
      </c>
      <c r="EK342" s="847">
        <v>30225</v>
      </c>
      <c r="EL342" s="847">
        <v>30828</v>
      </c>
      <c r="EM342" s="847">
        <v>31444</v>
      </c>
      <c r="EN342" s="847">
        <v>32072</v>
      </c>
      <c r="EO342" s="847">
        <v>32714</v>
      </c>
      <c r="EP342" s="847">
        <v>33368</v>
      </c>
      <c r="EQ342" s="847">
        <v>34035</v>
      </c>
      <c r="ER342" s="847">
        <v>34716</v>
      </c>
      <c r="ES342" s="847">
        <v>35410</v>
      </c>
      <c r="ET342" s="847">
        <v>36119</v>
      </c>
      <c r="EU342" s="847">
        <v>36841</v>
      </c>
      <c r="EV342" s="847">
        <v>37578</v>
      </c>
      <c r="EW342" s="847">
        <v>38329</v>
      </c>
      <c r="EX342" s="847">
        <v>39096</v>
      </c>
      <c r="EY342" s="847">
        <v>39878</v>
      </c>
      <c r="EZ342" s="847">
        <v>40675</v>
      </c>
      <c r="FA342" s="847">
        <v>41489</v>
      </c>
      <c r="FB342" s="847">
        <v>42319</v>
      </c>
      <c r="FC342" s="847">
        <v>43165</v>
      </c>
      <c r="FD342" s="847">
        <v>44028</v>
      </c>
      <c r="FE342" s="847">
        <v>44909</v>
      </c>
      <c r="FF342" s="847">
        <v>45807</v>
      </c>
      <c r="FG342" s="847">
        <v>46723</v>
      </c>
      <c r="FH342" s="847">
        <v>47658</v>
      </c>
      <c r="FI342" s="847">
        <v>48611</v>
      </c>
      <c r="FJ342" s="847">
        <v>49583</v>
      </c>
      <c r="FK342" s="847">
        <v>50575</v>
      </c>
      <c r="FL342" s="847">
        <v>51586</v>
      </c>
      <c r="FM342" s="847">
        <v>52618</v>
      </c>
      <c r="FN342" s="847">
        <v>53670</v>
      </c>
      <c r="FO342" s="847">
        <v>54743</v>
      </c>
      <c r="FP342" s="847">
        <v>55838</v>
      </c>
      <c r="FQ342" s="847">
        <v>56955</v>
      </c>
      <c r="FR342" s="847">
        <v>58093</v>
      </c>
      <c r="FS342" s="847">
        <v>59248</v>
      </c>
      <c r="FT342" s="847">
        <v>60421</v>
      </c>
      <c r="FU342" s="847">
        <v>61610</v>
      </c>
      <c r="FV342" s="847">
        <v>62816</v>
      </c>
      <c r="FW342" s="847">
        <v>64039</v>
      </c>
      <c r="FX342" s="847">
        <v>65278</v>
      </c>
      <c r="FY342" s="847">
        <v>66532</v>
      </c>
      <c r="FZ342" s="847">
        <v>67802</v>
      </c>
      <c r="GA342" s="847">
        <v>69086</v>
      </c>
      <c r="GB342" s="847">
        <v>70385</v>
      </c>
      <c r="GC342" s="847">
        <v>71698</v>
      </c>
      <c r="GD342" s="847">
        <v>73025</v>
      </c>
      <c r="GE342" s="847">
        <v>74365</v>
      </c>
      <c r="GF342" s="847">
        <v>75718</v>
      </c>
      <c r="GG342" s="847">
        <v>77082</v>
      </c>
      <c r="GH342" s="847">
        <v>78458</v>
      </c>
      <c r="GI342" s="847">
        <v>79844</v>
      </c>
      <c r="GJ342" s="847">
        <v>81241</v>
      </c>
      <c r="GK342" s="847">
        <v>82648</v>
      </c>
      <c r="GL342" s="847">
        <v>84065</v>
      </c>
      <c r="GM342" s="847">
        <v>85492</v>
      </c>
      <c r="GN342" s="847">
        <v>86927</v>
      </c>
      <c r="GO342" s="847">
        <v>88370</v>
      </c>
      <c r="GP342" s="847">
        <v>89819</v>
      </c>
      <c r="GQ342" s="847">
        <v>91270</v>
      </c>
      <c r="GR342" s="847">
        <v>92727</v>
      </c>
      <c r="GS342" s="847">
        <v>94188</v>
      </c>
      <c r="GT342" s="847">
        <v>95653</v>
      </c>
      <c r="GU342" s="847">
        <v>97122</v>
      </c>
      <c r="GV342" s="847">
        <v>98593</v>
      </c>
      <c r="GW342" s="847">
        <v>100067</v>
      </c>
      <c r="GX342" s="847">
        <v>101543</v>
      </c>
      <c r="GY342" s="847">
        <v>103020</v>
      </c>
      <c r="GZ342" s="847">
        <v>104498</v>
      </c>
      <c r="HA342" s="847">
        <v>105977</v>
      </c>
      <c r="HB342" s="847">
        <v>107457</v>
      </c>
      <c r="HC342" s="847">
        <v>108936</v>
      </c>
      <c r="HD342" s="847">
        <v>110416</v>
      </c>
      <c r="HE342" s="847">
        <v>111896</v>
      </c>
      <c r="HF342" s="847">
        <v>113377</v>
      </c>
      <c r="HG342" s="847">
        <v>114866</v>
      </c>
      <c r="HH342" s="847">
        <v>116383</v>
      </c>
      <c r="HI342" s="847">
        <v>118026</v>
      </c>
      <c r="HJ342" s="847">
        <v>119200</v>
      </c>
      <c r="HK342" s="847">
        <v>0</v>
      </c>
      <c r="HL342" s="847">
        <v>0</v>
      </c>
      <c r="HM342" s="847">
        <v>0</v>
      </c>
      <c r="HN342" s="847">
        <v>0</v>
      </c>
      <c r="HO342" s="847">
        <v>0</v>
      </c>
      <c r="HP342" s="847">
        <v>0</v>
      </c>
      <c r="HQ342" s="847">
        <v>0</v>
      </c>
      <c r="HR342" s="847">
        <v>0</v>
      </c>
      <c r="HS342" s="847">
        <v>0</v>
      </c>
      <c r="HT342" s="847">
        <v>0</v>
      </c>
      <c r="HU342" s="847">
        <v>0</v>
      </c>
      <c r="HV342" s="847">
        <v>0</v>
      </c>
      <c r="HW342" s="847">
        <v>0</v>
      </c>
      <c r="HX342" s="847">
        <v>0</v>
      </c>
      <c r="HY342" s="847">
        <v>0</v>
      </c>
      <c r="HZ342" s="847">
        <v>0</v>
      </c>
      <c r="IA342" s="847">
        <v>0</v>
      </c>
      <c r="IB342" s="847">
        <v>0</v>
      </c>
      <c r="IC342" s="847">
        <v>0</v>
      </c>
      <c r="ID342" s="847">
        <v>0</v>
      </c>
      <c r="IE342" s="847">
        <v>0</v>
      </c>
      <c r="IF342" s="847">
        <v>0</v>
      </c>
      <c r="IG342" s="847">
        <v>0</v>
      </c>
      <c r="IH342" s="847">
        <v>0</v>
      </c>
      <c r="II342" s="847">
        <v>0</v>
      </c>
      <c r="IJ342" s="847">
        <v>0</v>
      </c>
      <c r="IK342" s="847">
        <v>0</v>
      </c>
    </row>
    <row r="343" spans="12:245" hidden="1">
      <c r="L343" s="843" t="s">
        <v>1060</v>
      </c>
      <c r="M343" s="843" t="s">
        <v>1382</v>
      </c>
      <c r="N343" s="843" t="s">
        <v>96</v>
      </c>
      <c r="O343" s="844">
        <v>28</v>
      </c>
      <c r="P343" s="780" t="str">
        <f t="shared" si="12"/>
        <v>IWT060128</v>
      </c>
      <c r="Q343" s="844">
        <v>2311</v>
      </c>
      <c r="R343" s="844">
        <v>6556</v>
      </c>
      <c r="S343" s="844">
        <v>11399</v>
      </c>
      <c r="T343" s="844">
        <v>16858</v>
      </c>
      <c r="U343" s="844">
        <v>22949</v>
      </c>
      <c r="V343" s="844">
        <v>29395</v>
      </c>
      <c r="W343" s="844">
        <v>30284</v>
      </c>
      <c r="X343" s="844">
        <v>30888</v>
      </c>
      <c r="Y343" s="844">
        <v>31505</v>
      </c>
      <c r="Z343" s="844">
        <v>32135</v>
      </c>
      <c r="AA343" s="844">
        <v>32778</v>
      </c>
      <c r="AB343" s="844">
        <v>33433</v>
      </c>
      <c r="AC343" s="844">
        <v>34102</v>
      </c>
      <c r="AD343" s="844">
        <v>34784</v>
      </c>
      <c r="AE343" s="844">
        <v>35480</v>
      </c>
      <c r="AF343" s="844">
        <v>36189</v>
      </c>
      <c r="AG343" s="844">
        <v>36913</v>
      </c>
      <c r="AH343" s="844">
        <v>37651</v>
      </c>
      <c r="AI343" s="844">
        <v>38404</v>
      </c>
      <c r="AJ343" s="844">
        <v>39172</v>
      </c>
      <c r="AK343" s="844">
        <v>39956</v>
      </c>
      <c r="AL343" s="844">
        <v>40755</v>
      </c>
      <c r="AM343" s="844">
        <v>41570</v>
      </c>
      <c r="AN343" s="844">
        <v>42401</v>
      </c>
      <c r="AO343" s="844">
        <v>43249</v>
      </c>
      <c r="AP343" s="844">
        <v>44114</v>
      </c>
      <c r="AQ343" s="844">
        <v>44997</v>
      </c>
      <c r="AR343" s="844">
        <v>45897</v>
      </c>
      <c r="AS343" s="844">
        <v>46815</v>
      </c>
      <c r="AT343" s="844">
        <v>47751</v>
      </c>
      <c r="AU343" s="844">
        <v>48706</v>
      </c>
      <c r="AV343" s="844">
        <v>49680</v>
      </c>
      <c r="AW343" s="844">
        <v>50673</v>
      </c>
      <c r="AX343" s="844">
        <v>51687</v>
      </c>
      <c r="AY343" s="844">
        <v>52721</v>
      </c>
      <c r="AZ343" s="844">
        <v>53775</v>
      </c>
      <c r="BA343" s="844">
        <v>54850</v>
      </c>
      <c r="BB343" s="844">
        <v>55947</v>
      </c>
      <c r="BC343" s="844">
        <v>57066</v>
      </c>
      <c r="BD343" s="844">
        <v>58208</v>
      </c>
      <c r="BE343" s="844">
        <v>59367</v>
      </c>
      <c r="BF343" s="844">
        <v>60544</v>
      </c>
      <c r="BG343" s="844">
        <v>61737</v>
      </c>
      <c r="BH343" s="844">
        <v>62947</v>
      </c>
      <c r="BI343" s="844">
        <v>64174</v>
      </c>
      <c r="BJ343" s="844">
        <v>65416</v>
      </c>
      <c r="BK343" s="844">
        <v>66674</v>
      </c>
      <c r="BL343" s="844">
        <v>67946</v>
      </c>
      <c r="BM343" s="844">
        <v>69234</v>
      </c>
      <c r="BN343" s="844">
        <v>70536</v>
      </c>
      <c r="BO343" s="844">
        <v>71851</v>
      </c>
      <c r="BP343" s="844">
        <v>73180</v>
      </c>
      <c r="BQ343" s="844">
        <v>74522</v>
      </c>
      <c r="BR343" s="844">
        <v>75876</v>
      </c>
      <c r="BS343" s="844">
        <v>77242</v>
      </c>
      <c r="BT343" s="844">
        <v>78618</v>
      </c>
      <c r="BU343" s="844">
        <v>80006</v>
      </c>
      <c r="BV343" s="844">
        <v>81404</v>
      </c>
      <c r="BW343" s="844">
        <v>82812</v>
      </c>
      <c r="BX343" s="844">
        <v>84230</v>
      </c>
      <c r="BY343" s="844">
        <v>85656</v>
      </c>
      <c r="BZ343" s="844">
        <v>87091</v>
      </c>
      <c r="CA343" s="844">
        <v>88532</v>
      </c>
      <c r="CB343" s="844">
        <v>89976</v>
      </c>
      <c r="CC343" s="844">
        <v>91426</v>
      </c>
      <c r="CD343" s="844">
        <v>92880</v>
      </c>
      <c r="CE343" s="844">
        <v>94339</v>
      </c>
      <c r="CF343" s="844">
        <v>95801</v>
      </c>
      <c r="CG343" s="844">
        <v>97267</v>
      </c>
      <c r="CH343" s="844">
        <v>98735</v>
      </c>
      <c r="CI343" s="844">
        <v>100205</v>
      </c>
      <c r="CJ343" s="844">
        <v>101677</v>
      </c>
      <c r="CK343" s="844">
        <v>103151</v>
      </c>
      <c r="CL343" s="844">
        <v>104625</v>
      </c>
      <c r="CM343" s="844">
        <v>106100</v>
      </c>
      <c r="CN343" s="844">
        <v>107576</v>
      </c>
      <c r="CO343" s="844">
        <v>109051</v>
      </c>
      <c r="CP343" s="844">
        <v>110528</v>
      </c>
      <c r="CQ343" s="844">
        <v>112006</v>
      </c>
      <c r="CR343" s="844">
        <v>113492</v>
      </c>
      <c r="CS343" s="844">
        <v>115004</v>
      </c>
      <c r="CT343" s="844">
        <v>116639</v>
      </c>
      <c r="CU343" s="844">
        <v>117800</v>
      </c>
      <c r="CV343" s="844">
        <v>0</v>
      </c>
      <c r="CW343" s="844">
        <v>0</v>
      </c>
      <c r="CX343" s="844">
        <v>0</v>
      </c>
      <c r="CY343" s="844">
        <v>0</v>
      </c>
      <c r="CZ343" s="844">
        <v>0</v>
      </c>
      <c r="DA343" s="844">
        <v>0</v>
      </c>
      <c r="DB343" s="844">
        <v>0</v>
      </c>
      <c r="DC343" s="844">
        <v>0</v>
      </c>
      <c r="DD343" s="844">
        <v>0</v>
      </c>
      <c r="DE343" s="844">
        <v>0</v>
      </c>
      <c r="DF343" s="844">
        <v>0</v>
      </c>
      <c r="DG343" s="844">
        <v>0</v>
      </c>
      <c r="DH343" s="844">
        <v>0</v>
      </c>
      <c r="DI343" s="844">
        <v>0</v>
      </c>
      <c r="DJ343" s="844">
        <v>0</v>
      </c>
      <c r="DK343" s="844">
        <v>0</v>
      </c>
      <c r="DL343" s="844">
        <v>0</v>
      </c>
      <c r="DM343" s="844">
        <v>0</v>
      </c>
      <c r="DN343" s="844">
        <v>0</v>
      </c>
      <c r="DO343" s="844">
        <v>0</v>
      </c>
      <c r="DP343" s="844">
        <v>0</v>
      </c>
      <c r="DQ343" s="844">
        <v>0</v>
      </c>
      <c r="DR343" s="844">
        <v>0</v>
      </c>
      <c r="DS343" s="844">
        <v>0</v>
      </c>
      <c r="DT343" s="844">
        <v>0</v>
      </c>
      <c r="DU343" s="844">
        <v>0</v>
      </c>
      <c r="DV343" s="844">
        <v>0</v>
      </c>
      <c r="DW343" s="844">
        <v>0</v>
      </c>
      <c r="DY343" s="846" t="s">
        <v>1060</v>
      </c>
      <c r="DZ343" s="846" t="s">
        <v>1382</v>
      </c>
      <c r="EA343" s="846" t="s">
        <v>96</v>
      </c>
      <c r="EB343" s="847">
        <v>28</v>
      </c>
      <c r="EC343" s="780" t="str">
        <f t="shared" si="13"/>
        <v>IWT060128</v>
      </c>
      <c r="ED343" s="847">
        <v>0</v>
      </c>
      <c r="EE343" s="847">
        <v>3081</v>
      </c>
      <c r="EF343" s="847">
        <v>8195</v>
      </c>
      <c r="EG343" s="847">
        <v>13411</v>
      </c>
      <c r="EH343" s="847">
        <v>18731</v>
      </c>
      <c r="EI343" s="847">
        <v>24157</v>
      </c>
      <c r="EJ343" s="847">
        <v>29692</v>
      </c>
      <c r="EK343" s="847">
        <v>30284</v>
      </c>
      <c r="EL343" s="847">
        <v>30888</v>
      </c>
      <c r="EM343" s="847">
        <v>31505</v>
      </c>
      <c r="EN343" s="847">
        <v>32135</v>
      </c>
      <c r="EO343" s="847">
        <v>32778</v>
      </c>
      <c r="EP343" s="847">
        <v>33433</v>
      </c>
      <c r="EQ343" s="847">
        <v>34102</v>
      </c>
      <c r="ER343" s="847">
        <v>34784</v>
      </c>
      <c r="ES343" s="847">
        <v>35480</v>
      </c>
      <c r="ET343" s="847">
        <v>36189</v>
      </c>
      <c r="EU343" s="847">
        <v>36913</v>
      </c>
      <c r="EV343" s="847">
        <v>37651</v>
      </c>
      <c r="EW343" s="847">
        <v>38404</v>
      </c>
      <c r="EX343" s="847">
        <v>39172</v>
      </c>
      <c r="EY343" s="847">
        <v>39956</v>
      </c>
      <c r="EZ343" s="847">
        <v>40755</v>
      </c>
      <c r="FA343" s="847">
        <v>41570</v>
      </c>
      <c r="FB343" s="847">
        <v>42401</v>
      </c>
      <c r="FC343" s="847">
        <v>43249</v>
      </c>
      <c r="FD343" s="847">
        <v>44114</v>
      </c>
      <c r="FE343" s="847">
        <v>44997</v>
      </c>
      <c r="FF343" s="847">
        <v>45897</v>
      </c>
      <c r="FG343" s="847">
        <v>46815</v>
      </c>
      <c r="FH343" s="847">
        <v>47751</v>
      </c>
      <c r="FI343" s="847">
        <v>48706</v>
      </c>
      <c r="FJ343" s="847">
        <v>49680</v>
      </c>
      <c r="FK343" s="847">
        <v>50673</v>
      </c>
      <c r="FL343" s="847">
        <v>51687</v>
      </c>
      <c r="FM343" s="847">
        <v>52721</v>
      </c>
      <c r="FN343" s="847">
        <v>53775</v>
      </c>
      <c r="FO343" s="847">
        <v>54850</v>
      </c>
      <c r="FP343" s="847">
        <v>55947</v>
      </c>
      <c r="FQ343" s="847">
        <v>57066</v>
      </c>
      <c r="FR343" s="847">
        <v>58208</v>
      </c>
      <c r="FS343" s="847">
        <v>59367</v>
      </c>
      <c r="FT343" s="847">
        <v>60544</v>
      </c>
      <c r="FU343" s="847">
        <v>61737</v>
      </c>
      <c r="FV343" s="847">
        <v>62947</v>
      </c>
      <c r="FW343" s="847">
        <v>64174</v>
      </c>
      <c r="FX343" s="847">
        <v>65416</v>
      </c>
      <c r="FY343" s="847">
        <v>66674</v>
      </c>
      <c r="FZ343" s="847">
        <v>67946</v>
      </c>
      <c r="GA343" s="847">
        <v>69234</v>
      </c>
      <c r="GB343" s="847">
        <v>70536</v>
      </c>
      <c r="GC343" s="847">
        <v>71851</v>
      </c>
      <c r="GD343" s="847">
        <v>73180</v>
      </c>
      <c r="GE343" s="847">
        <v>74522</v>
      </c>
      <c r="GF343" s="847">
        <v>75876</v>
      </c>
      <c r="GG343" s="847">
        <v>77242</v>
      </c>
      <c r="GH343" s="847">
        <v>78618</v>
      </c>
      <c r="GI343" s="847">
        <v>80006</v>
      </c>
      <c r="GJ343" s="847">
        <v>81404</v>
      </c>
      <c r="GK343" s="847">
        <v>82812</v>
      </c>
      <c r="GL343" s="847">
        <v>84230</v>
      </c>
      <c r="GM343" s="847">
        <v>85656</v>
      </c>
      <c r="GN343" s="847">
        <v>87091</v>
      </c>
      <c r="GO343" s="847">
        <v>88532</v>
      </c>
      <c r="GP343" s="847">
        <v>89976</v>
      </c>
      <c r="GQ343" s="847">
        <v>91426</v>
      </c>
      <c r="GR343" s="847">
        <v>92880</v>
      </c>
      <c r="GS343" s="847">
        <v>94339</v>
      </c>
      <c r="GT343" s="847">
        <v>95801</v>
      </c>
      <c r="GU343" s="847">
        <v>97267</v>
      </c>
      <c r="GV343" s="847">
        <v>98735</v>
      </c>
      <c r="GW343" s="847">
        <v>100205</v>
      </c>
      <c r="GX343" s="847">
        <v>101677</v>
      </c>
      <c r="GY343" s="847">
        <v>103151</v>
      </c>
      <c r="GZ343" s="847">
        <v>104625</v>
      </c>
      <c r="HA343" s="847">
        <v>106100</v>
      </c>
      <c r="HB343" s="847">
        <v>107576</v>
      </c>
      <c r="HC343" s="847">
        <v>109051</v>
      </c>
      <c r="HD343" s="847">
        <v>110528</v>
      </c>
      <c r="HE343" s="847">
        <v>112006</v>
      </c>
      <c r="HF343" s="847">
        <v>113492</v>
      </c>
      <c r="HG343" s="847">
        <v>115004</v>
      </c>
      <c r="HH343" s="847">
        <v>116639</v>
      </c>
      <c r="HI343" s="847">
        <v>117800</v>
      </c>
      <c r="HJ343" s="847">
        <v>0</v>
      </c>
      <c r="HK343" s="847">
        <v>0</v>
      </c>
      <c r="HL343" s="847">
        <v>0</v>
      </c>
      <c r="HM343" s="847">
        <v>0</v>
      </c>
      <c r="HN343" s="847">
        <v>0</v>
      </c>
      <c r="HO343" s="847">
        <v>0</v>
      </c>
      <c r="HP343" s="847">
        <v>0</v>
      </c>
      <c r="HQ343" s="847">
        <v>0</v>
      </c>
      <c r="HR343" s="847">
        <v>0</v>
      </c>
      <c r="HS343" s="847">
        <v>0</v>
      </c>
      <c r="HT343" s="847">
        <v>0</v>
      </c>
      <c r="HU343" s="847">
        <v>0</v>
      </c>
      <c r="HV343" s="847">
        <v>0</v>
      </c>
      <c r="HW343" s="847">
        <v>0</v>
      </c>
      <c r="HX343" s="847">
        <v>0</v>
      </c>
      <c r="HY343" s="847">
        <v>0</v>
      </c>
      <c r="HZ343" s="847">
        <v>0</v>
      </c>
      <c r="IA343" s="847">
        <v>0</v>
      </c>
      <c r="IB343" s="847">
        <v>0</v>
      </c>
      <c r="IC343" s="847">
        <v>0</v>
      </c>
      <c r="ID343" s="847">
        <v>0</v>
      </c>
      <c r="IE343" s="847">
        <v>0</v>
      </c>
      <c r="IF343" s="847">
        <v>0</v>
      </c>
      <c r="IG343" s="847">
        <v>0</v>
      </c>
      <c r="IH343" s="847">
        <v>0</v>
      </c>
      <c r="II343" s="847">
        <v>0</v>
      </c>
      <c r="IJ343" s="847">
        <v>0</v>
      </c>
      <c r="IK343" s="847">
        <v>0</v>
      </c>
    </row>
    <row r="344" spans="12:245" hidden="1">
      <c r="L344" s="843" t="s">
        <v>1060</v>
      </c>
      <c r="M344" s="843" t="s">
        <v>1382</v>
      </c>
      <c r="N344" s="843" t="s">
        <v>96</v>
      </c>
      <c r="O344" s="844">
        <v>29</v>
      </c>
      <c r="P344" s="780" t="str">
        <f t="shared" si="12"/>
        <v>IWT060129</v>
      </c>
      <c r="Q344" s="844">
        <v>2315</v>
      </c>
      <c r="R344" s="844">
        <v>6567</v>
      </c>
      <c r="S344" s="844">
        <v>11420</v>
      </c>
      <c r="T344" s="844">
        <v>16889</v>
      </c>
      <c r="U344" s="844">
        <v>22991</v>
      </c>
      <c r="V344" s="844">
        <v>29450</v>
      </c>
      <c r="W344" s="844">
        <v>30339</v>
      </c>
      <c r="X344" s="844">
        <v>30944</v>
      </c>
      <c r="Y344" s="844">
        <v>31562</v>
      </c>
      <c r="Z344" s="844">
        <v>32194</v>
      </c>
      <c r="AA344" s="844">
        <v>32838</v>
      </c>
      <c r="AB344" s="844">
        <v>33494</v>
      </c>
      <c r="AC344" s="844">
        <v>34164</v>
      </c>
      <c r="AD344" s="844">
        <v>34847</v>
      </c>
      <c r="AE344" s="844">
        <v>35544</v>
      </c>
      <c r="AF344" s="844">
        <v>36255</v>
      </c>
      <c r="AG344" s="844">
        <v>36980</v>
      </c>
      <c r="AH344" s="844">
        <v>37720</v>
      </c>
      <c r="AI344" s="844">
        <v>38474</v>
      </c>
      <c r="AJ344" s="844">
        <v>39244</v>
      </c>
      <c r="AK344" s="844">
        <v>40029</v>
      </c>
      <c r="AL344" s="844">
        <v>40829</v>
      </c>
      <c r="AM344" s="844">
        <v>41646</v>
      </c>
      <c r="AN344" s="844">
        <v>42479</v>
      </c>
      <c r="AO344" s="844">
        <v>43328</v>
      </c>
      <c r="AP344" s="844">
        <v>44195</v>
      </c>
      <c r="AQ344" s="844">
        <v>45079</v>
      </c>
      <c r="AR344" s="844">
        <v>45980</v>
      </c>
      <c r="AS344" s="844">
        <v>46900</v>
      </c>
      <c r="AT344" s="844">
        <v>47838</v>
      </c>
      <c r="AU344" s="844">
        <v>48795</v>
      </c>
      <c r="AV344" s="844">
        <v>49770</v>
      </c>
      <c r="AW344" s="844">
        <v>50766</v>
      </c>
      <c r="AX344" s="844">
        <v>51781</v>
      </c>
      <c r="AY344" s="844">
        <v>52817</v>
      </c>
      <c r="AZ344" s="844">
        <v>53873</v>
      </c>
      <c r="BA344" s="844">
        <v>54950</v>
      </c>
      <c r="BB344" s="844">
        <v>56049</v>
      </c>
      <c r="BC344" s="844">
        <v>57170</v>
      </c>
      <c r="BD344" s="844">
        <v>58314</v>
      </c>
      <c r="BE344" s="844">
        <v>59477</v>
      </c>
      <c r="BF344" s="844">
        <v>60658</v>
      </c>
      <c r="BG344" s="844">
        <v>61856</v>
      </c>
      <c r="BH344" s="844">
        <v>63070</v>
      </c>
      <c r="BI344" s="844">
        <v>64300</v>
      </c>
      <c r="BJ344" s="844">
        <v>65545</v>
      </c>
      <c r="BK344" s="844">
        <v>66806</v>
      </c>
      <c r="BL344" s="844">
        <v>68082</v>
      </c>
      <c r="BM344" s="844">
        <v>69373</v>
      </c>
      <c r="BN344" s="844">
        <v>70677</v>
      </c>
      <c r="BO344" s="844">
        <v>71995</v>
      </c>
      <c r="BP344" s="844">
        <v>73327</v>
      </c>
      <c r="BQ344" s="844">
        <v>74670</v>
      </c>
      <c r="BR344" s="844">
        <v>76026</v>
      </c>
      <c r="BS344" s="844">
        <v>77393</v>
      </c>
      <c r="BT344" s="844">
        <v>78771</v>
      </c>
      <c r="BU344" s="844">
        <v>80159</v>
      </c>
      <c r="BV344" s="844">
        <v>81558</v>
      </c>
      <c r="BW344" s="844">
        <v>82967</v>
      </c>
      <c r="BX344" s="844">
        <v>84385</v>
      </c>
      <c r="BY344" s="844">
        <v>85812</v>
      </c>
      <c r="BZ344" s="844">
        <v>87245</v>
      </c>
      <c r="CA344" s="844">
        <v>88682</v>
      </c>
      <c r="CB344" s="844">
        <v>90124</v>
      </c>
      <c r="CC344" s="844">
        <v>91572</v>
      </c>
      <c r="CD344" s="844">
        <v>93024</v>
      </c>
      <c r="CE344" s="844">
        <v>94480</v>
      </c>
      <c r="CF344" s="844">
        <v>95940</v>
      </c>
      <c r="CG344" s="844">
        <v>97402</v>
      </c>
      <c r="CH344" s="844">
        <v>98867</v>
      </c>
      <c r="CI344" s="844">
        <v>100335</v>
      </c>
      <c r="CJ344" s="844">
        <v>101803</v>
      </c>
      <c r="CK344" s="844">
        <v>103273</v>
      </c>
      <c r="CL344" s="844">
        <v>104744</v>
      </c>
      <c r="CM344" s="844">
        <v>106215</v>
      </c>
      <c r="CN344" s="844">
        <v>107687</v>
      </c>
      <c r="CO344" s="844">
        <v>109160</v>
      </c>
      <c r="CP344" s="844">
        <v>110635</v>
      </c>
      <c r="CQ344" s="844">
        <v>112117</v>
      </c>
      <c r="CR344" s="844">
        <v>113626</v>
      </c>
      <c r="CS344" s="844">
        <v>115253</v>
      </c>
      <c r="CT344" s="844">
        <v>116400</v>
      </c>
      <c r="CU344" s="844">
        <v>0</v>
      </c>
      <c r="CV344" s="844">
        <v>0</v>
      </c>
      <c r="CW344" s="844">
        <v>0</v>
      </c>
      <c r="CX344" s="844">
        <v>0</v>
      </c>
      <c r="CY344" s="844">
        <v>0</v>
      </c>
      <c r="CZ344" s="844">
        <v>0</v>
      </c>
      <c r="DA344" s="844">
        <v>0</v>
      </c>
      <c r="DB344" s="844">
        <v>0</v>
      </c>
      <c r="DC344" s="844">
        <v>0</v>
      </c>
      <c r="DD344" s="844">
        <v>0</v>
      </c>
      <c r="DE344" s="844">
        <v>0</v>
      </c>
      <c r="DF344" s="844">
        <v>0</v>
      </c>
      <c r="DG344" s="844">
        <v>0</v>
      </c>
      <c r="DH344" s="844">
        <v>0</v>
      </c>
      <c r="DI344" s="844">
        <v>0</v>
      </c>
      <c r="DJ344" s="844">
        <v>0</v>
      </c>
      <c r="DK344" s="844">
        <v>0</v>
      </c>
      <c r="DL344" s="844">
        <v>0</v>
      </c>
      <c r="DM344" s="844">
        <v>0</v>
      </c>
      <c r="DN344" s="844">
        <v>0</v>
      </c>
      <c r="DO344" s="844">
        <v>0</v>
      </c>
      <c r="DP344" s="844">
        <v>0</v>
      </c>
      <c r="DQ344" s="844">
        <v>0</v>
      </c>
      <c r="DR344" s="844">
        <v>0</v>
      </c>
      <c r="DS344" s="844">
        <v>0</v>
      </c>
      <c r="DT344" s="844">
        <v>0</v>
      </c>
      <c r="DU344" s="844">
        <v>0</v>
      </c>
      <c r="DV344" s="844">
        <v>0</v>
      </c>
      <c r="DW344" s="844">
        <v>0</v>
      </c>
      <c r="DY344" s="846" t="s">
        <v>1060</v>
      </c>
      <c r="DZ344" s="846" t="s">
        <v>1382</v>
      </c>
      <c r="EA344" s="846" t="s">
        <v>96</v>
      </c>
      <c r="EB344" s="847">
        <v>29</v>
      </c>
      <c r="EC344" s="780" t="str">
        <f t="shared" si="13"/>
        <v>IWT060129</v>
      </c>
      <c r="ED344" s="847">
        <v>0</v>
      </c>
      <c r="EE344" s="847">
        <v>3086</v>
      </c>
      <c r="EF344" s="847">
        <v>8209</v>
      </c>
      <c r="EG344" s="847">
        <v>13435</v>
      </c>
      <c r="EH344" s="847">
        <v>18765</v>
      </c>
      <c r="EI344" s="847">
        <v>24201</v>
      </c>
      <c r="EJ344" s="847">
        <v>29747</v>
      </c>
      <c r="EK344" s="847">
        <v>30339</v>
      </c>
      <c r="EL344" s="847">
        <v>30944</v>
      </c>
      <c r="EM344" s="847">
        <v>31562</v>
      </c>
      <c r="EN344" s="847">
        <v>32194</v>
      </c>
      <c r="EO344" s="847">
        <v>32838</v>
      </c>
      <c r="EP344" s="847">
        <v>33494</v>
      </c>
      <c r="EQ344" s="847">
        <v>34164</v>
      </c>
      <c r="ER344" s="847">
        <v>34847</v>
      </c>
      <c r="ES344" s="847">
        <v>35544</v>
      </c>
      <c r="ET344" s="847">
        <v>36255</v>
      </c>
      <c r="EU344" s="847">
        <v>36980</v>
      </c>
      <c r="EV344" s="847">
        <v>37720</v>
      </c>
      <c r="EW344" s="847">
        <v>38474</v>
      </c>
      <c r="EX344" s="847">
        <v>39244</v>
      </c>
      <c r="EY344" s="847">
        <v>40029</v>
      </c>
      <c r="EZ344" s="847">
        <v>40829</v>
      </c>
      <c r="FA344" s="847">
        <v>41646</v>
      </c>
      <c r="FB344" s="847">
        <v>42479</v>
      </c>
      <c r="FC344" s="847">
        <v>43328</v>
      </c>
      <c r="FD344" s="847">
        <v>44195</v>
      </c>
      <c r="FE344" s="847">
        <v>45079</v>
      </c>
      <c r="FF344" s="847">
        <v>45980</v>
      </c>
      <c r="FG344" s="847">
        <v>46900</v>
      </c>
      <c r="FH344" s="847">
        <v>47838</v>
      </c>
      <c r="FI344" s="847">
        <v>48795</v>
      </c>
      <c r="FJ344" s="847">
        <v>49770</v>
      </c>
      <c r="FK344" s="847">
        <v>50766</v>
      </c>
      <c r="FL344" s="847">
        <v>51781</v>
      </c>
      <c r="FM344" s="847">
        <v>52817</v>
      </c>
      <c r="FN344" s="847">
        <v>53873</v>
      </c>
      <c r="FO344" s="847">
        <v>54950</v>
      </c>
      <c r="FP344" s="847">
        <v>56049</v>
      </c>
      <c r="FQ344" s="847">
        <v>57170</v>
      </c>
      <c r="FR344" s="847">
        <v>58314</v>
      </c>
      <c r="FS344" s="847">
        <v>59477</v>
      </c>
      <c r="FT344" s="847">
        <v>60658</v>
      </c>
      <c r="FU344" s="847">
        <v>61856</v>
      </c>
      <c r="FV344" s="847">
        <v>63070</v>
      </c>
      <c r="FW344" s="847">
        <v>64300</v>
      </c>
      <c r="FX344" s="847">
        <v>65545</v>
      </c>
      <c r="FY344" s="847">
        <v>66806</v>
      </c>
      <c r="FZ344" s="847">
        <v>68082</v>
      </c>
      <c r="GA344" s="847">
        <v>69373</v>
      </c>
      <c r="GB344" s="847">
        <v>70677</v>
      </c>
      <c r="GC344" s="847">
        <v>71995</v>
      </c>
      <c r="GD344" s="847">
        <v>73327</v>
      </c>
      <c r="GE344" s="847">
        <v>74670</v>
      </c>
      <c r="GF344" s="847">
        <v>76026</v>
      </c>
      <c r="GG344" s="847">
        <v>77393</v>
      </c>
      <c r="GH344" s="847">
        <v>78771</v>
      </c>
      <c r="GI344" s="847">
        <v>80159</v>
      </c>
      <c r="GJ344" s="847">
        <v>81558</v>
      </c>
      <c r="GK344" s="847">
        <v>82967</v>
      </c>
      <c r="GL344" s="847">
        <v>84385</v>
      </c>
      <c r="GM344" s="847">
        <v>85812</v>
      </c>
      <c r="GN344" s="847">
        <v>87245</v>
      </c>
      <c r="GO344" s="847">
        <v>88682</v>
      </c>
      <c r="GP344" s="847">
        <v>90124</v>
      </c>
      <c r="GQ344" s="847">
        <v>91572</v>
      </c>
      <c r="GR344" s="847">
        <v>93024</v>
      </c>
      <c r="GS344" s="847">
        <v>94480</v>
      </c>
      <c r="GT344" s="847">
        <v>95940</v>
      </c>
      <c r="GU344" s="847">
        <v>97402</v>
      </c>
      <c r="GV344" s="847">
        <v>98867</v>
      </c>
      <c r="GW344" s="847">
        <v>100335</v>
      </c>
      <c r="GX344" s="847">
        <v>101803</v>
      </c>
      <c r="GY344" s="847">
        <v>103273</v>
      </c>
      <c r="GZ344" s="847">
        <v>104744</v>
      </c>
      <c r="HA344" s="847">
        <v>106215</v>
      </c>
      <c r="HB344" s="847">
        <v>107687</v>
      </c>
      <c r="HC344" s="847">
        <v>109160</v>
      </c>
      <c r="HD344" s="847">
        <v>110635</v>
      </c>
      <c r="HE344" s="847">
        <v>112117</v>
      </c>
      <c r="HF344" s="847">
        <v>113626</v>
      </c>
      <c r="HG344" s="847">
        <v>115253</v>
      </c>
      <c r="HH344" s="847">
        <v>116400</v>
      </c>
      <c r="HI344" s="847">
        <v>0</v>
      </c>
      <c r="HJ344" s="847">
        <v>0</v>
      </c>
      <c r="HK344" s="847">
        <v>0</v>
      </c>
      <c r="HL344" s="847">
        <v>0</v>
      </c>
      <c r="HM344" s="847">
        <v>0</v>
      </c>
      <c r="HN344" s="847">
        <v>0</v>
      </c>
      <c r="HO344" s="847">
        <v>0</v>
      </c>
      <c r="HP344" s="847">
        <v>0</v>
      </c>
      <c r="HQ344" s="847">
        <v>0</v>
      </c>
      <c r="HR344" s="847">
        <v>0</v>
      </c>
      <c r="HS344" s="847">
        <v>0</v>
      </c>
      <c r="HT344" s="847">
        <v>0</v>
      </c>
      <c r="HU344" s="847">
        <v>0</v>
      </c>
      <c r="HV344" s="847">
        <v>0</v>
      </c>
      <c r="HW344" s="847">
        <v>0</v>
      </c>
      <c r="HX344" s="847">
        <v>0</v>
      </c>
      <c r="HY344" s="847">
        <v>0</v>
      </c>
      <c r="HZ344" s="847">
        <v>0</v>
      </c>
      <c r="IA344" s="847">
        <v>0</v>
      </c>
      <c r="IB344" s="847">
        <v>0</v>
      </c>
      <c r="IC344" s="847">
        <v>0</v>
      </c>
      <c r="ID344" s="847">
        <v>0</v>
      </c>
      <c r="IE344" s="847">
        <v>0</v>
      </c>
      <c r="IF344" s="847">
        <v>0</v>
      </c>
      <c r="IG344" s="847">
        <v>0</v>
      </c>
      <c r="IH344" s="847">
        <v>0</v>
      </c>
      <c r="II344" s="847">
        <v>0</v>
      </c>
      <c r="IJ344" s="847">
        <v>0</v>
      </c>
      <c r="IK344" s="847">
        <v>0</v>
      </c>
    </row>
    <row r="345" spans="12:245" hidden="1">
      <c r="L345" s="843" t="s">
        <v>1060</v>
      </c>
      <c r="M345" s="843" t="s">
        <v>1382</v>
      </c>
      <c r="N345" s="843" t="s">
        <v>96</v>
      </c>
      <c r="O345" s="844">
        <v>30</v>
      </c>
      <c r="P345" s="780" t="str">
        <f t="shared" si="12"/>
        <v>IWT060130</v>
      </c>
      <c r="Q345" s="844">
        <v>2318</v>
      </c>
      <c r="R345" s="844">
        <v>6578</v>
      </c>
      <c r="S345" s="844">
        <v>11438</v>
      </c>
      <c r="T345" s="844">
        <v>16916</v>
      </c>
      <c r="U345" s="844">
        <v>23030</v>
      </c>
      <c r="V345" s="844">
        <v>29499</v>
      </c>
      <c r="W345" s="844">
        <v>30390</v>
      </c>
      <c r="X345" s="844">
        <v>30996</v>
      </c>
      <c r="Y345" s="844">
        <v>31615</v>
      </c>
      <c r="Z345" s="844">
        <v>32247</v>
      </c>
      <c r="AA345" s="844">
        <v>32892</v>
      </c>
      <c r="AB345" s="844">
        <v>33550</v>
      </c>
      <c r="AC345" s="844">
        <v>34221</v>
      </c>
      <c r="AD345" s="844">
        <v>34906</v>
      </c>
      <c r="AE345" s="844">
        <v>35604</v>
      </c>
      <c r="AF345" s="844">
        <v>36316</v>
      </c>
      <c r="AG345" s="844">
        <v>37042</v>
      </c>
      <c r="AH345" s="844">
        <v>37783</v>
      </c>
      <c r="AI345" s="844">
        <v>38539</v>
      </c>
      <c r="AJ345" s="844">
        <v>39309</v>
      </c>
      <c r="AK345" s="844">
        <v>40096</v>
      </c>
      <c r="AL345" s="844">
        <v>40897</v>
      </c>
      <c r="AM345" s="844">
        <v>41715</v>
      </c>
      <c r="AN345" s="844">
        <v>42550</v>
      </c>
      <c r="AO345" s="844">
        <v>43401</v>
      </c>
      <c r="AP345" s="844">
        <v>44269</v>
      </c>
      <c r="AQ345" s="844">
        <v>45154</v>
      </c>
      <c r="AR345" s="844">
        <v>46057</v>
      </c>
      <c r="AS345" s="844">
        <v>46978</v>
      </c>
      <c r="AT345" s="844">
        <v>47918</v>
      </c>
      <c r="AU345" s="844">
        <v>48876</v>
      </c>
      <c r="AV345" s="844">
        <v>49854</v>
      </c>
      <c r="AW345" s="844">
        <v>50851</v>
      </c>
      <c r="AX345" s="844">
        <v>51868</v>
      </c>
      <c r="AY345" s="844">
        <v>52905</v>
      </c>
      <c r="AZ345" s="844">
        <v>53963</v>
      </c>
      <c r="BA345" s="844">
        <v>55042</v>
      </c>
      <c r="BB345" s="844">
        <v>56143</v>
      </c>
      <c r="BC345" s="844">
        <v>57266</v>
      </c>
      <c r="BD345" s="844">
        <v>58411</v>
      </c>
      <c r="BE345" s="844">
        <v>59579</v>
      </c>
      <c r="BF345" s="844">
        <v>60764</v>
      </c>
      <c r="BG345" s="844">
        <v>61965</v>
      </c>
      <c r="BH345" s="844">
        <v>63183</v>
      </c>
      <c r="BI345" s="844">
        <v>64417</v>
      </c>
      <c r="BJ345" s="844">
        <v>65666</v>
      </c>
      <c r="BK345" s="844">
        <v>66931</v>
      </c>
      <c r="BL345" s="844">
        <v>68210</v>
      </c>
      <c r="BM345" s="844">
        <v>69503</v>
      </c>
      <c r="BN345" s="844">
        <v>70811</v>
      </c>
      <c r="BO345" s="844">
        <v>72131</v>
      </c>
      <c r="BP345" s="844">
        <v>73464</v>
      </c>
      <c r="BQ345" s="844">
        <v>74810</v>
      </c>
      <c r="BR345" s="844">
        <v>76167</v>
      </c>
      <c r="BS345" s="844">
        <v>77536</v>
      </c>
      <c r="BT345" s="844">
        <v>78915</v>
      </c>
      <c r="BU345" s="844">
        <v>80305</v>
      </c>
      <c r="BV345" s="844">
        <v>81705</v>
      </c>
      <c r="BW345" s="844">
        <v>83115</v>
      </c>
      <c r="BX345" s="844">
        <v>84533</v>
      </c>
      <c r="BY345" s="844">
        <v>85958</v>
      </c>
      <c r="BZ345" s="844">
        <v>87387</v>
      </c>
      <c r="CA345" s="844">
        <v>88823</v>
      </c>
      <c r="CB345" s="844">
        <v>90263</v>
      </c>
      <c r="CC345" s="844">
        <v>91709</v>
      </c>
      <c r="CD345" s="844">
        <v>93159</v>
      </c>
      <c r="CE345" s="844">
        <v>94613</v>
      </c>
      <c r="CF345" s="844">
        <v>96070</v>
      </c>
      <c r="CG345" s="844">
        <v>97530</v>
      </c>
      <c r="CH345" s="844">
        <v>98992</v>
      </c>
      <c r="CI345" s="844">
        <v>100456</v>
      </c>
      <c r="CJ345" s="844">
        <v>101921</v>
      </c>
      <c r="CK345" s="844">
        <v>103388</v>
      </c>
      <c r="CL345" s="844">
        <v>104855</v>
      </c>
      <c r="CM345" s="844">
        <v>106323</v>
      </c>
      <c r="CN345" s="844">
        <v>107792</v>
      </c>
      <c r="CO345" s="844">
        <v>109264</v>
      </c>
      <c r="CP345" s="844">
        <v>110742</v>
      </c>
      <c r="CQ345" s="844">
        <v>112247</v>
      </c>
      <c r="CR345" s="844">
        <v>113867</v>
      </c>
      <c r="CS345" s="844">
        <v>115000</v>
      </c>
      <c r="CT345" s="844">
        <v>0</v>
      </c>
      <c r="CU345" s="844">
        <v>0</v>
      </c>
      <c r="CV345" s="844">
        <v>0</v>
      </c>
      <c r="CW345" s="844">
        <v>0</v>
      </c>
      <c r="CX345" s="844">
        <v>0</v>
      </c>
      <c r="CY345" s="844">
        <v>0</v>
      </c>
      <c r="CZ345" s="844">
        <v>0</v>
      </c>
      <c r="DA345" s="844">
        <v>0</v>
      </c>
      <c r="DB345" s="844">
        <v>0</v>
      </c>
      <c r="DC345" s="844">
        <v>0</v>
      </c>
      <c r="DD345" s="844">
        <v>0</v>
      </c>
      <c r="DE345" s="844">
        <v>0</v>
      </c>
      <c r="DF345" s="844">
        <v>0</v>
      </c>
      <c r="DG345" s="844">
        <v>0</v>
      </c>
      <c r="DH345" s="844">
        <v>0</v>
      </c>
      <c r="DI345" s="844">
        <v>0</v>
      </c>
      <c r="DJ345" s="844">
        <v>0</v>
      </c>
      <c r="DK345" s="844">
        <v>0</v>
      </c>
      <c r="DL345" s="844">
        <v>0</v>
      </c>
      <c r="DM345" s="844">
        <v>0</v>
      </c>
      <c r="DN345" s="844">
        <v>0</v>
      </c>
      <c r="DO345" s="844">
        <v>0</v>
      </c>
      <c r="DP345" s="844">
        <v>0</v>
      </c>
      <c r="DQ345" s="844">
        <v>0</v>
      </c>
      <c r="DR345" s="844">
        <v>0</v>
      </c>
      <c r="DS345" s="844">
        <v>0</v>
      </c>
      <c r="DT345" s="844">
        <v>0</v>
      </c>
      <c r="DU345" s="844">
        <v>0</v>
      </c>
      <c r="DV345" s="844">
        <v>0</v>
      </c>
      <c r="DW345" s="844">
        <v>0</v>
      </c>
      <c r="DY345" s="846" t="s">
        <v>1060</v>
      </c>
      <c r="DZ345" s="846" t="s">
        <v>1382</v>
      </c>
      <c r="EA345" s="846" t="s">
        <v>96</v>
      </c>
      <c r="EB345" s="847">
        <v>30</v>
      </c>
      <c r="EC345" s="780" t="str">
        <f t="shared" si="13"/>
        <v>IWT060130</v>
      </c>
      <c r="ED345" s="847">
        <v>0</v>
      </c>
      <c r="EE345" s="847">
        <v>3090</v>
      </c>
      <c r="EF345" s="847">
        <v>8222</v>
      </c>
      <c r="EG345" s="847">
        <v>13457</v>
      </c>
      <c r="EH345" s="847">
        <v>18796</v>
      </c>
      <c r="EI345" s="847">
        <v>24242</v>
      </c>
      <c r="EJ345" s="847">
        <v>29797</v>
      </c>
      <c r="EK345" s="847">
        <v>30390</v>
      </c>
      <c r="EL345" s="847">
        <v>30996</v>
      </c>
      <c r="EM345" s="847">
        <v>31615</v>
      </c>
      <c r="EN345" s="847">
        <v>32247</v>
      </c>
      <c r="EO345" s="847">
        <v>32892</v>
      </c>
      <c r="EP345" s="847">
        <v>33550</v>
      </c>
      <c r="EQ345" s="847">
        <v>34221</v>
      </c>
      <c r="ER345" s="847">
        <v>34906</v>
      </c>
      <c r="ES345" s="847">
        <v>35604</v>
      </c>
      <c r="ET345" s="847">
        <v>36316</v>
      </c>
      <c r="EU345" s="847">
        <v>37042</v>
      </c>
      <c r="EV345" s="847">
        <v>37783</v>
      </c>
      <c r="EW345" s="847">
        <v>38539</v>
      </c>
      <c r="EX345" s="847">
        <v>39309</v>
      </c>
      <c r="EY345" s="847">
        <v>40096</v>
      </c>
      <c r="EZ345" s="847">
        <v>40897</v>
      </c>
      <c r="FA345" s="847">
        <v>41715</v>
      </c>
      <c r="FB345" s="847">
        <v>42550</v>
      </c>
      <c r="FC345" s="847">
        <v>43401</v>
      </c>
      <c r="FD345" s="847">
        <v>44269</v>
      </c>
      <c r="FE345" s="847">
        <v>45154</v>
      </c>
      <c r="FF345" s="847">
        <v>46057</v>
      </c>
      <c r="FG345" s="847">
        <v>46978</v>
      </c>
      <c r="FH345" s="847">
        <v>47918</v>
      </c>
      <c r="FI345" s="847">
        <v>48876</v>
      </c>
      <c r="FJ345" s="847">
        <v>49854</v>
      </c>
      <c r="FK345" s="847">
        <v>50851</v>
      </c>
      <c r="FL345" s="847">
        <v>51868</v>
      </c>
      <c r="FM345" s="847">
        <v>52905</v>
      </c>
      <c r="FN345" s="847">
        <v>53963</v>
      </c>
      <c r="FO345" s="847">
        <v>55042</v>
      </c>
      <c r="FP345" s="847">
        <v>56143</v>
      </c>
      <c r="FQ345" s="847">
        <v>57266</v>
      </c>
      <c r="FR345" s="847">
        <v>58411</v>
      </c>
      <c r="FS345" s="847">
        <v>59579</v>
      </c>
      <c r="FT345" s="847">
        <v>60764</v>
      </c>
      <c r="FU345" s="847">
        <v>61965</v>
      </c>
      <c r="FV345" s="847">
        <v>63183</v>
      </c>
      <c r="FW345" s="847">
        <v>64417</v>
      </c>
      <c r="FX345" s="847">
        <v>65666</v>
      </c>
      <c r="FY345" s="847">
        <v>66931</v>
      </c>
      <c r="FZ345" s="847">
        <v>68210</v>
      </c>
      <c r="GA345" s="847">
        <v>69503</v>
      </c>
      <c r="GB345" s="847">
        <v>70811</v>
      </c>
      <c r="GC345" s="847">
        <v>72131</v>
      </c>
      <c r="GD345" s="847">
        <v>73464</v>
      </c>
      <c r="GE345" s="847">
        <v>74810</v>
      </c>
      <c r="GF345" s="847">
        <v>76167</v>
      </c>
      <c r="GG345" s="847">
        <v>77536</v>
      </c>
      <c r="GH345" s="847">
        <v>78915</v>
      </c>
      <c r="GI345" s="847">
        <v>80305</v>
      </c>
      <c r="GJ345" s="847">
        <v>81705</v>
      </c>
      <c r="GK345" s="847">
        <v>83115</v>
      </c>
      <c r="GL345" s="847">
        <v>84533</v>
      </c>
      <c r="GM345" s="847">
        <v>85958</v>
      </c>
      <c r="GN345" s="847">
        <v>87387</v>
      </c>
      <c r="GO345" s="847">
        <v>88823</v>
      </c>
      <c r="GP345" s="847">
        <v>90263</v>
      </c>
      <c r="GQ345" s="847">
        <v>91709</v>
      </c>
      <c r="GR345" s="847">
        <v>93159</v>
      </c>
      <c r="GS345" s="847">
        <v>94613</v>
      </c>
      <c r="GT345" s="847">
        <v>96070</v>
      </c>
      <c r="GU345" s="847">
        <v>97530</v>
      </c>
      <c r="GV345" s="847">
        <v>98992</v>
      </c>
      <c r="GW345" s="847">
        <v>100456</v>
      </c>
      <c r="GX345" s="847">
        <v>101921</v>
      </c>
      <c r="GY345" s="847">
        <v>103388</v>
      </c>
      <c r="GZ345" s="847">
        <v>104855</v>
      </c>
      <c r="HA345" s="847">
        <v>106323</v>
      </c>
      <c r="HB345" s="847">
        <v>107792</v>
      </c>
      <c r="HC345" s="847">
        <v>109264</v>
      </c>
      <c r="HD345" s="847">
        <v>110742</v>
      </c>
      <c r="HE345" s="847">
        <v>112247</v>
      </c>
      <c r="HF345" s="847">
        <v>113867</v>
      </c>
      <c r="HG345" s="847">
        <v>115000</v>
      </c>
      <c r="HH345" s="847">
        <v>0</v>
      </c>
      <c r="HI345" s="847">
        <v>0</v>
      </c>
      <c r="HJ345" s="847">
        <v>0</v>
      </c>
      <c r="HK345" s="847">
        <v>0</v>
      </c>
      <c r="HL345" s="847">
        <v>0</v>
      </c>
      <c r="HM345" s="847">
        <v>0</v>
      </c>
      <c r="HN345" s="847">
        <v>0</v>
      </c>
      <c r="HO345" s="847">
        <v>0</v>
      </c>
      <c r="HP345" s="847">
        <v>0</v>
      </c>
      <c r="HQ345" s="847">
        <v>0</v>
      </c>
      <c r="HR345" s="847">
        <v>0</v>
      </c>
      <c r="HS345" s="847">
        <v>0</v>
      </c>
      <c r="HT345" s="847">
        <v>0</v>
      </c>
      <c r="HU345" s="847">
        <v>0</v>
      </c>
      <c r="HV345" s="847">
        <v>0</v>
      </c>
      <c r="HW345" s="847">
        <v>0</v>
      </c>
      <c r="HX345" s="847">
        <v>0</v>
      </c>
      <c r="HY345" s="847">
        <v>0</v>
      </c>
      <c r="HZ345" s="847">
        <v>0</v>
      </c>
      <c r="IA345" s="847">
        <v>0</v>
      </c>
      <c r="IB345" s="847">
        <v>0</v>
      </c>
      <c r="IC345" s="847">
        <v>0</v>
      </c>
      <c r="ID345" s="847">
        <v>0</v>
      </c>
      <c r="IE345" s="847">
        <v>0</v>
      </c>
      <c r="IF345" s="847">
        <v>0</v>
      </c>
      <c r="IG345" s="847">
        <v>0</v>
      </c>
      <c r="IH345" s="847">
        <v>0</v>
      </c>
      <c r="II345" s="847">
        <v>0</v>
      </c>
      <c r="IJ345" s="847">
        <v>0</v>
      </c>
      <c r="IK345" s="847">
        <v>0</v>
      </c>
    </row>
    <row r="346" spans="12:245" hidden="1">
      <c r="L346" s="843" t="s">
        <v>1060</v>
      </c>
      <c r="M346" s="843" t="s">
        <v>1382</v>
      </c>
      <c r="N346" s="843" t="s">
        <v>96</v>
      </c>
      <c r="O346" s="844">
        <v>31</v>
      </c>
      <c r="P346" s="780" t="str">
        <f t="shared" si="12"/>
        <v>IWT060131</v>
      </c>
      <c r="Q346" s="844">
        <v>2320</v>
      </c>
      <c r="R346" s="844">
        <v>6587</v>
      </c>
      <c r="S346" s="844">
        <v>11455</v>
      </c>
      <c r="T346" s="844">
        <v>16943</v>
      </c>
      <c r="U346" s="844">
        <v>23066</v>
      </c>
      <c r="V346" s="844">
        <v>29546</v>
      </c>
      <c r="W346" s="844">
        <v>30438</v>
      </c>
      <c r="X346" s="844">
        <v>31044</v>
      </c>
      <c r="Y346" s="844">
        <v>31665</v>
      </c>
      <c r="Z346" s="844">
        <v>32298</v>
      </c>
      <c r="AA346" s="844">
        <v>32944</v>
      </c>
      <c r="AB346" s="844">
        <v>33603</v>
      </c>
      <c r="AC346" s="844">
        <v>34275</v>
      </c>
      <c r="AD346" s="844">
        <v>34960</v>
      </c>
      <c r="AE346" s="844">
        <v>35659</v>
      </c>
      <c r="AF346" s="844">
        <v>36373</v>
      </c>
      <c r="AG346" s="844">
        <v>37100</v>
      </c>
      <c r="AH346" s="844">
        <v>37842</v>
      </c>
      <c r="AI346" s="844">
        <v>38599</v>
      </c>
      <c r="AJ346" s="844">
        <v>39371</v>
      </c>
      <c r="AK346" s="844">
        <v>40158</v>
      </c>
      <c r="AL346" s="844">
        <v>40961</v>
      </c>
      <c r="AM346" s="844">
        <v>41781</v>
      </c>
      <c r="AN346" s="844">
        <v>42616</v>
      </c>
      <c r="AO346" s="844">
        <v>43468</v>
      </c>
      <c r="AP346" s="844">
        <v>44338</v>
      </c>
      <c r="AQ346" s="844">
        <v>45225</v>
      </c>
      <c r="AR346" s="844">
        <v>46129</v>
      </c>
      <c r="AS346" s="844">
        <v>47052</v>
      </c>
      <c r="AT346" s="844">
        <v>47993</v>
      </c>
      <c r="AU346" s="844">
        <v>48952</v>
      </c>
      <c r="AV346" s="844">
        <v>49931</v>
      </c>
      <c r="AW346" s="844">
        <v>50930</v>
      </c>
      <c r="AX346" s="844">
        <v>51949</v>
      </c>
      <c r="AY346" s="844">
        <v>52987</v>
      </c>
      <c r="AZ346" s="844">
        <v>54047</v>
      </c>
      <c r="BA346" s="844">
        <v>55128</v>
      </c>
      <c r="BB346" s="844">
        <v>56231</v>
      </c>
      <c r="BC346" s="844">
        <v>57355</v>
      </c>
      <c r="BD346" s="844">
        <v>58502</v>
      </c>
      <c r="BE346" s="844">
        <v>59672</v>
      </c>
      <c r="BF346" s="844">
        <v>60861</v>
      </c>
      <c r="BG346" s="844">
        <v>62067</v>
      </c>
      <c r="BH346" s="844">
        <v>63289</v>
      </c>
      <c r="BI346" s="844">
        <v>64526</v>
      </c>
      <c r="BJ346" s="844">
        <v>65779</v>
      </c>
      <c r="BK346" s="844">
        <v>67047</v>
      </c>
      <c r="BL346" s="844">
        <v>68329</v>
      </c>
      <c r="BM346" s="844">
        <v>69626</v>
      </c>
      <c r="BN346" s="844">
        <v>70936</v>
      </c>
      <c r="BO346" s="844">
        <v>72259</v>
      </c>
      <c r="BP346" s="844">
        <v>73594</v>
      </c>
      <c r="BQ346" s="844">
        <v>74941</v>
      </c>
      <c r="BR346" s="844">
        <v>76300</v>
      </c>
      <c r="BS346" s="844">
        <v>77671</v>
      </c>
      <c r="BT346" s="844">
        <v>79051</v>
      </c>
      <c r="BU346" s="844">
        <v>80443</v>
      </c>
      <c r="BV346" s="844">
        <v>81844</v>
      </c>
      <c r="BW346" s="844">
        <v>83254</v>
      </c>
      <c r="BX346" s="844">
        <v>84671</v>
      </c>
      <c r="BY346" s="844">
        <v>86093</v>
      </c>
      <c r="BZ346" s="844">
        <v>87521</v>
      </c>
      <c r="CA346" s="844">
        <v>88955</v>
      </c>
      <c r="CB346" s="844">
        <v>90394</v>
      </c>
      <c r="CC346" s="844">
        <v>91838</v>
      </c>
      <c r="CD346" s="844">
        <v>93286</v>
      </c>
      <c r="CE346" s="844">
        <v>94737</v>
      </c>
      <c r="CF346" s="844">
        <v>96192</v>
      </c>
      <c r="CG346" s="844">
        <v>97649</v>
      </c>
      <c r="CH346" s="844">
        <v>99108</v>
      </c>
      <c r="CI346" s="844">
        <v>100569</v>
      </c>
      <c r="CJ346" s="844">
        <v>102031</v>
      </c>
      <c r="CK346" s="844">
        <v>103495</v>
      </c>
      <c r="CL346" s="844">
        <v>104959</v>
      </c>
      <c r="CM346" s="844">
        <v>106425</v>
      </c>
      <c r="CN346" s="844">
        <v>107893</v>
      </c>
      <c r="CO346" s="844">
        <v>109368</v>
      </c>
      <c r="CP346" s="844">
        <v>110868</v>
      </c>
      <c r="CQ346" s="844">
        <v>112481</v>
      </c>
      <c r="CR346" s="844">
        <v>113600</v>
      </c>
      <c r="CS346" s="844">
        <v>0</v>
      </c>
      <c r="CT346" s="844">
        <v>0</v>
      </c>
      <c r="CU346" s="844">
        <v>0</v>
      </c>
      <c r="CV346" s="844">
        <v>0</v>
      </c>
      <c r="CW346" s="844">
        <v>0</v>
      </c>
      <c r="CX346" s="844">
        <v>0</v>
      </c>
      <c r="CY346" s="844">
        <v>0</v>
      </c>
      <c r="CZ346" s="844">
        <v>0</v>
      </c>
      <c r="DA346" s="844">
        <v>0</v>
      </c>
      <c r="DB346" s="844">
        <v>0</v>
      </c>
      <c r="DC346" s="844">
        <v>0</v>
      </c>
      <c r="DD346" s="844">
        <v>0</v>
      </c>
      <c r="DE346" s="844">
        <v>0</v>
      </c>
      <c r="DF346" s="844">
        <v>0</v>
      </c>
      <c r="DG346" s="844">
        <v>0</v>
      </c>
      <c r="DH346" s="844">
        <v>0</v>
      </c>
      <c r="DI346" s="844">
        <v>0</v>
      </c>
      <c r="DJ346" s="844">
        <v>0</v>
      </c>
      <c r="DK346" s="844">
        <v>0</v>
      </c>
      <c r="DL346" s="844">
        <v>0</v>
      </c>
      <c r="DM346" s="844">
        <v>0</v>
      </c>
      <c r="DN346" s="844">
        <v>0</v>
      </c>
      <c r="DO346" s="844">
        <v>0</v>
      </c>
      <c r="DP346" s="844">
        <v>0</v>
      </c>
      <c r="DQ346" s="844">
        <v>0</v>
      </c>
      <c r="DR346" s="844">
        <v>0</v>
      </c>
      <c r="DS346" s="844">
        <v>0</v>
      </c>
      <c r="DT346" s="844">
        <v>0</v>
      </c>
      <c r="DU346" s="844">
        <v>0</v>
      </c>
      <c r="DV346" s="844">
        <v>0</v>
      </c>
      <c r="DW346" s="844">
        <v>0</v>
      </c>
      <c r="DY346" s="846" t="s">
        <v>1060</v>
      </c>
      <c r="DZ346" s="846" t="s">
        <v>1382</v>
      </c>
      <c r="EA346" s="846" t="s">
        <v>96</v>
      </c>
      <c r="EB346" s="847">
        <v>31</v>
      </c>
      <c r="EC346" s="780" t="str">
        <f t="shared" si="13"/>
        <v>IWT060131</v>
      </c>
      <c r="ED346" s="847">
        <v>0</v>
      </c>
      <c r="EE346" s="847">
        <v>3093</v>
      </c>
      <c r="EF346" s="847">
        <v>8234</v>
      </c>
      <c r="EG346" s="847">
        <v>13477</v>
      </c>
      <c r="EH346" s="847">
        <v>18825</v>
      </c>
      <c r="EI346" s="847">
        <v>24280</v>
      </c>
      <c r="EJ346" s="847">
        <v>29844</v>
      </c>
      <c r="EK346" s="847">
        <v>30438</v>
      </c>
      <c r="EL346" s="847">
        <v>31044</v>
      </c>
      <c r="EM346" s="847">
        <v>31665</v>
      </c>
      <c r="EN346" s="847">
        <v>32298</v>
      </c>
      <c r="EO346" s="847">
        <v>32944</v>
      </c>
      <c r="EP346" s="847">
        <v>33603</v>
      </c>
      <c r="EQ346" s="847">
        <v>34275</v>
      </c>
      <c r="ER346" s="847">
        <v>34960</v>
      </c>
      <c r="ES346" s="847">
        <v>35659</v>
      </c>
      <c r="ET346" s="847">
        <v>36373</v>
      </c>
      <c r="EU346" s="847">
        <v>37100</v>
      </c>
      <c r="EV346" s="847">
        <v>37842</v>
      </c>
      <c r="EW346" s="847">
        <v>38599</v>
      </c>
      <c r="EX346" s="847">
        <v>39371</v>
      </c>
      <c r="EY346" s="847">
        <v>40158</v>
      </c>
      <c r="EZ346" s="847">
        <v>40961</v>
      </c>
      <c r="FA346" s="847">
        <v>41781</v>
      </c>
      <c r="FB346" s="847">
        <v>42616</v>
      </c>
      <c r="FC346" s="847">
        <v>43468</v>
      </c>
      <c r="FD346" s="847">
        <v>44338</v>
      </c>
      <c r="FE346" s="847">
        <v>45225</v>
      </c>
      <c r="FF346" s="847">
        <v>46129</v>
      </c>
      <c r="FG346" s="847">
        <v>47052</v>
      </c>
      <c r="FH346" s="847">
        <v>47993</v>
      </c>
      <c r="FI346" s="847">
        <v>48952</v>
      </c>
      <c r="FJ346" s="847">
        <v>49931</v>
      </c>
      <c r="FK346" s="847">
        <v>50930</v>
      </c>
      <c r="FL346" s="847">
        <v>51949</v>
      </c>
      <c r="FM346" s="847">
        <v>52987</v>
      </c>
      <c r="FN346" s="847">
        <v>54047</v>
      </c>
      <c r="FO346" s="847">
        <v>55128</v>
      </c>
      <c r="FP346" s="847">
        <v>56231</v>
      </c>
      <c r="FQ346" s="847">
        <v>57355</v>
      </c>
      <c r="FR346" s="847">
        <v>58502</v>
      </c>
      <c r="FS346" s="847">
        <v>59672</v>
      </c>
      <c r="FT346" s="847">
        <v>60861</v>
      </c>
      <c r="FU346" s="847">
        <v>62067</v>
      </c>
      <c r="FV346" s="847">
        <v>63289</v>
      </c>
      <c r="FW346" s="847">
        <v>64526</v>
      </c>
      <c r="FX346" s="847">
        <v>65779</v>
      </c>
      <c r="FY346" s="847">
        <v>67047</v>
      </c>
      <c r="FZ346" s="847">
        <v>68329</v>
      </c>
      <c r="GA346" s="847">
        <v>69626</v>
      </c>
      <c r="GB346" s="847">
        <v>70936</v>
      </c>
      <c r="GC346" s="847">
        <v>72259</v>
      </c>
      <c r="GD346" s="847">
        <v>73594</v>
      </c>
      <c r="GE346" s="847">
        <v>74941</v>
      </c>
      <c r="GF346" s="847">
        <v>76300</v>
      </c>
      <c r="GG346" s="847">
        <v>77671</v>
      </c>
      <c r="GH346" s="847">
        <v>79051</v>
      </c>
      <c r="GI346" s="847">
        <v>80443</v>
      </c>
      <c r="GJ346" s="847">
        <v>81844</v>
      </c>
      <c r="GK346" s="847">
        <v>83254</v>
      </c>
      <c r="GL346" s="847">
        <v>84671</v>
      </c>
      <c r="GM346" s="847">
        <v>86093</v>
      </c>
      <c r="GN346" s="847">
        <v>87521</v>
      </c>
      <c r="GO346" s="847">
        <v>88955</v>
      </c>
      <c r="GP346" s="847">
        <v>90394</v>
      </c>
      <c r="GQ346" s="847">
        <v>91838</v>
      </c>
      <c r="GR346" s="847">
        <v>93286</v>
      </c>
      <c r="GS346" s="847">
        <v>94737</v>
      </c>
      <c r="GT346" s="847">
        <v>96192</v>
      </c>
      <c r="GU346" s="847">
        <v>97649</v>
      </c>
      <c r="GV346" s="847">
        <v>99108</v>
      </c>
      <c r="GW346" s="847">
        <v>100569</v>
      </c>
      <c r="GX346" s="847">
        <v>102031</v>
      </c>
      <c r="GY346" s="847">
        <v>103495</v>
      </c>
      <c r="GZ346" s="847">
        <v>104959</v>
      </c>
      <c r="HA346" s="847">
        <v>106425</v>
      </c>
      <c r="HB346" s="847">
        <v>107893</v>
      </c>
      <c r="HC346" s="847">
        <v>109368</v>
      </c>
      <c r="HD346" s="847">
        <v>110868</v>
      </c>
      <c r="HE346" s="847">
        <v>112481</v>
      </c>
      <c r="HF346" s="847">
        <v>113600</v>
      </c>
      <c r="HG346" s="847">
        <v>0</v>
      </c>
      <c r="HH346" s="847">
        <v>0</v>
      </c>
      <c r="HI346" s="847">
        <v>0</v>
      </c>
      <c r="HJ346" s="847">
        <v>0</v>
      </c>
      <c r="HK346" s="847">
        <v>0</v>
      </c>
      <c r="HL346" s="847">
        <v>0</v>
      </c>
      <c r="HM346" s="847">
        <v>0</v>
      </c>
      <c r="HN346" s="847">
        <v>0</v>
      </c>
      <c r="HO346" s="847">
        <v>0</v>
      </c>
      <c r="HP346" s="847">
        <v>0</v>
      </c>
      <c r="HQ346" s="847">
        <v>0</v>
      </c>
      <c r="HR346" s="847">
        <v>0</v>
      </c>
      <c r="HS346" s="847">
        <v>0</v>
      </c>
      <c r="HT346" s="847">
        <v>0</v>
      </c>
      <c r="HU346" s="847">
        <v>0</v>
      </c>
      <c r="HV346" s="847">
        <v>0</v>
      </c>
      <c r="HW346" s="847">
        <v>0</v>
      </c>
      <c r="HX346" s="847">
        <v>0</v>
      </c>
      <c r="HY346" s="847">
        <v>0</v>
      </c>
      <c r="HZ346" s="847">
        <v>0</v>
      </c>
      <c r="IA346" s="847">
        <v>0</v>
      </c>
      <c r="IB346" s="847">
        <v>0</v>
      </c>
      <c r="IC346" s="847">
        <v>0</v>
      </c>
      <c r="ID346" s="847">
        <v>0</v>
      </c>
      <c r="IE346" s="847">
        <v>0</v>
      </c>
      <c r="IF346" s="847">
        <v>0</v>
      </c>
      <c r="IG346" s="847">
        <v>0</v>
      </c>
      <c r="IH346" s="847">
        <v>0</v>
      </c>
      <c r="II346" s="847">
        <v>0</v>
      </c>
      <c r="IJ346" s="847">
        <v>0</v>
      </c>
      <c r="IK346" s="847">
        <v>0</v>
      </c>
    </row>
    <row r="347" spans="12:245" hidden="1">
      <c r="L347" s="843" t="s">
        <v>1060</v>
      </c>
      <c r="M347" s="843" t="s">
        <v>1382</v>
      </c>
      <c r="N347" s="843" t="s">
        <v>96</v>
      </c>
      <c r="O347" s="844">
        <v>32</v>
      </c>
      <c r="P347" s="780" t="str">
        <f t="shared" si="12"/>
        <v>IWT060132</v>
      </c>
      <c r="Q347" s="844">
        <v>2322</v>
      </c>
      <c r="R347" s="844">
        <v>6596</v>
      </c>
      <c r="S347" s="844">
        <v>11472</v>
      </c>
      <c r="T347" s="844">
        <v>16967</v>
      </c>
      <c r="U347" s="844">
        <v>23099</v>
      </c>
      <c r="V347" s="844">
        <v>29588</v>
      </c>
      <c r="W347" s="844">
        <v>30481</v>
      </c>
      <c r="X347" s="844">
        <v>31089</v>
      </c>
      <c r="Y347" s="844">
        <v>31710</v>
      </c>
      <c r="Z347" s="844">
        <v>32344</v>
      </c>
      <c r="AA347" s="844">
        <v>32991</v>
      </c>
      <c r="AB347" s="844">
        <v>33651</v>
      </c>
      <c r="AC347" s="844">
        <v>34324</v>
      </c>
      <c r="AD347" s="844">
        <v>35010</v>
      </c>
      <c r="AE347" s="844">
        <v>35710</v>
      </c>
      <c r="AF347" s="844">
        <v>36424</v>
      </c>
      <c r="AG347" s="844">
        <v>37153</v>
      </c>
      <c r="AH347" s="844">
        <v>37896</v>
      </c>
      <c r="AI347" s="844">
        <v>38654</v>
      </c>
      <c r="AJ347" s="844">
        <v>39427</v>
      </c>
      <c r="AK347" s="844">
        <v>40215</v>
      </c>
      <c r="AL347" s="844">
        <v>41020</v>
      </c>
      <c r="AM347" s="844">
        <v>41840</v>
      </c>
      <c r="AN347" s="844">
        <v>42677</v>
      </c>
      <c r="AO347" s="844">
        <v>43530</v>
      </c>
      <c r="AP347" s="844">
        <v>44401</v>
      </c>
      <c r="AQ347" s="844">
        <v>45289</v>
      </c>
      <c r="AR347" s="844">
        <v>46195</v>
      </c>
      <c r="AS347" s="844">
        <v>47119</v>
      </c>
      <c r="AT347" s="844">
        <v>48061</v>
      </c>
      <c r="AU347" s="844">
        <v>49022</v>
      </c>
      <c r="AV347" s="844">
        <v>50003</v>
      </c>
      <c r="AW347" s="844">
        <v>51003</v>
      </c>
      <c r="AX347" s="844">
        <v>52023</v>
      </c>
      <c r="AY347" s="844">
        <v>53063</v>
      </c>
      <c r="AZ347" s="844">
        <v>54124</v>
      </c>
      <c r="BA347" s="844">
        <v>55207</v>
      </c>
      <c r="BB347" s="844">
        <v>56311</v>
      </c>
      <c r="BC347" s="844">
        <v>57437</v>
      </c>
      <c r="BD347" s="844">
        <v>58585</v>
      </c>
      <c r="BE347" s="844">
        <v>59757</v>
      </c>
      <c r="BF347" s="844">
        <v>60951</v>
      </c>
      <c r="BG347" s="844">
        <v>62160</v>
      </c>
      <c r="BH347" s="844">
        <v>63386</v>
      </c>
      <c r="BI347" s="844">
        <v>64627</v>
      </c>
      <c r="BJ347" s="844">
        <v>65884</v>
      </c>
      <c r="BK347" s="844">
        <v>67155</v>
      </c>
      <c r="BL347" s="844">
        <v>68441</v>
      </c>
      <c r="BM347" s="844">
        <v>69740</v>
      </c>
      <c r="BN347" s="844">
        <v>71053</v>
      </c>
      <c r="BO347" s="844">
        <v>72378</v>
      </c>
      <c r="BP347" s="844">
        <v>73716</v>
      </c>
      <c r="BQ347" s="844">
        <v>75065</v>
      </c>
      <c r="BR347" s="844">
        <v>76426</v>
      </c>
      <c r="BS347" s="844">
        <v>77798</v>
      </c>
      <c r="BT347" s="844">
        <v>79181</v>
      </c>
      <c r="BU347" s="844">
        <v>80573</v>
      </c>
      <c r="BV347" s="844">
        <v>81975</v>
      </c>
      <c r="BW347" s="844">
        <v>83384</v>
      </c>
      <c r="BX347" s="844">
        <v>84798</v>
      </c>
      <c r="BY347" s="844">
        <v>86220</v>
      </c>
      <c r="BZ347" s="844">
        <v>87647</v>
      </c>
      <c r="CA347" s="844">
        <v>89080</v>
      </c>
      <c r="CB347" s="844">
        <v>90517</v>
      </c>
      <c r="CC347" s="844">
        <v>91959</v>
      </c>
      <c r="CD347" s="844">
        <v>93405</v>
      </c>
      <c r="CE347" s="844">
        <v>94854</v>
      </c>
      <c r="CF347" s="844">
        <v>96306</v>
      </c>
      <c r="CG347" s="844">
        <v>97761</v>
      </c>
      <c r="CH347" s="844">
        <v>99217</v>
      </c>
      <c r="CI347" s="844">
        <v>100675</v>
      </c>
      <c r="CJ347" s="844">
        <v>102134</v>
      </c>
      <c r="CK347" s="844">
        <v>103595</v>
      </c>
      <c r="CL347" s="844">
        <v>105057</v>
      </c>
      <c r="CM347" s="844">
        <v>106522</v>
      </c>
      <c r="CN347" s="844">
        <v>107993</v>
      </c>
      <c r="CO347" s="844">
        <v>109490</v>
      </c>
      <c r="CP347" s="844">
        <v>111095</v>
      </c>
      <c r="CQ347" s="844">
        <v>112200</v>
      </c>
      <c r="CR347" s="844">
        <v>0</v>
      </c>
      <c r="CS347" s="844">
        <v>0</v>
      </c>
      <c r="CT347" s="844">
        <v>0</v>
      </c>
      <c r="CU347" s="844">
        <v>0</v>
      </c>
      <c r="CV347" s="844">
        <v>0</v>
      </c>
      <c r="CW347" s="844">
        <v>0</v>
      </c>
      <c r="CX347" s="844">
        <v>0</v>
      </c>
      <c r="CY347" s="844">
        <v>0</v>
      </c>
      <c r="CZ347" s="844">
        <v>0</v>
      </c>
      <c r="DA347" s="844">
        <v>0</v>
      </c>
      <c r="DB347" s="844">
        <v>0</v>
      </c>
      <c r="DC347" s="844">
        <v>0</v>
      </c>
      <c r="DD347" s="844">
        <v>0</v>
      </c>
      <c r="DE347" s="844">
        <v>0</v>
      </c>
      <c r="DF347" s="844">
        <v>0</v>
      </c>
      <c r="DG347" s="844">
        <v>0</v>
      </c>
      <c r="DH347" s="844">
        <v>0</v>
      </c>
      <c r="DI347" s="844">
        <v>0</v>
      </c>
      <c r="DJ347" s="844">
        <v>0</v>
      </c>
      <c r="DK347" s="844">
        <v>0</v>
      </c>
      <c r="DL347" s="844">
        <v>0</v>
      </c>
      <c r="DM347" s="844">
        <v>0</v>
      </c>
      <c r="DN347" s="844">
        <v>0</v>
      </c>
      <c r="DO347" s="844">
        <v>0</v>
      </c>
      <c r="DP347" s="844">
        <v>0</v>
      </c>
      <c r="DQ347" s="844">
        <v>0</v>
      </c>
      <c r="DR347" s="844">
        <v>0</v>
      </c>
      <c r="DS347" s="844">
        <v>0</v>
      </c>
      <c r="DT347" s="844">
        <v>0</v>
      </c>
      <c r="DU347" s="844">
        <v>0</v>
      </c>
      <c r="DV347" s="844">
        <v>0</v>
      </c>
      <c r="DW347" s="844">
        <v>0</v>
      </c>
      <c r="DY347" s="846" t="s">
        <v>1060</v>
      </c>
      <c r="DZ347" s="846" t="s">
        <v>1382</v>
      </c>
      <c r="EA347" s="846" t="s">
        <v>96</v>
      </c>
      <c r="EB347" s="847">
        <v>32</v>
      </c>
      <c r="EC347" s="780" t="str">
        <f t="shared" si="13"/>
        <v>IWT060132</v>
      </c>
      <c r="ED347" s="847">
        <v>0</v>
      </c>
      <c r="EE347" s="847">
        <v>3096</v>
      </c>
      <c r="EF347" s="847">
        <v>8245</v>
      </c>
      <c r="EG347" s="847">
        <v>13496</v>
      </c>
      <c r="EH347" s="847">
        <v>18852</v>
      </c>
      <c r="EI347" s="847">
        <v>24315</v>
      </c>
      <c r="EJ347" s="847">
        <v>29887</v>
      </c>
      <c r="EK347" s="847">
        <v>30481</v>
      </c>
      <c r="EL347" s="847">
        <v>31089</v>
      </c>
      <c r="EM347" s="847">
        <v>31710</v>
      </c>
      <c r="EN347" s="847">
        <v>32344</v>
      </c>
      <c r="EO347" s="847">
        <v>32991</v>
      </c>
      <c r="EP347" s="847">
        <v>33651</v>
      </c>
      <c r="EQ347" s="847">
        <v>34324</v>
      </c>
      <c r="ER347" s="847">
        <v>35010</v>
      </c>
      <c r="ES347" s="847">
        <v>35710</v>
      </c>
      <c r="ET347" s="847">
        <v>36424</v>
      </c>
      <c r="EU347" s="847">
        <v>37153</v>
      </c>
      <c r="EV347" s="847">
        <v>37896</v>
      </c>
      <c r="EW347" s="847">
        <v>38654</v>
      </c>
      <c r="EX347" s="847">
        <v>39427</v>
      </c>
      <c r="EY347" s="847">
        <v>40215</v>
      </c>
      <c r="EZ347" s="847">
        <v>41020</v>
      </c>
      <c r="FA347" s="847">
        <v>41840</v>
      </c>
      <c r="FB347" s="847">
        <v>42677</v>
      </c>
      <c r="FC347" s="847">
        <v>43530</v>
      </c>
      <c r="FD347" s="847">
        <v>44401</v>
      </c>
      <c r="FE347" s="847">
        <v>45289</v>
      </c>
      <c r="FF347" s="847">
        <v>46195</v>
      </c>
      <c r="FG347" s="847">
        <v>47119</v>
      </c>
      <c r="FH347" s="847">
        <v>48061</v>
      </c>
      <c r="FI347" s="847">
        <v>49022</v>
      </c>
      <c r="FJ347" s="847">
        <v>50003</v>
      </c>
      <c r="FK347" s="847">
        <v>51003</v>
      </c>
      <c r="FL347" s="847">
        <v>52023</v>
      </c>
      <c r="FM347" s="847">
        <v>53063</v>
      </c>
      <c r="FN347" s="847">
        <v>54124</v>
      </c>
      <c r="FO347" s="847">
        <v>55207</v>
      </c>
      <c r="FP347" s="847">
        <v>56311</v>
      </c>
      <c r="FQ347" s="847">
        <v>57437</v>
      </c>
      <c r="FR347" s="847">
        <v>58585</v>
      </c>
      <c r="FS347" s="847">
        <v>59757</v>
      </c>
      <c r="FT347" s="847">
        <v>60951</v>
      </c>
      <c r="FU347" s="847">
        <v>62160</v>
      </c>
      <c r="FV347" s="847">
        <v>63386</v>
      </c>
      <c r="FW347" s="847">
        <v>64627</v>
      </c>
      <c r="FX347" s="847">
        <v>65884</v>
      </c>
      <c r="FY347" s="847">
        <v>67155</v>
      </c>
      <c r="FZ347" s="847">
        <v>68441</v>
      </c>
      <c r="GA347" s="847">
        <v>69740</v>
      </c>
      <c r="GB347" s="847">
        <v>71053</v>
      </c>
      <c r="GC347" s="847">
        <v>72378</v>
      </c>
      <c r="GD347" s="847">
        <v>73716</v>
      </c>
      <c r="GE347" s="847">
        <v>75065</v>
      </c>
      <c r="GF347" s="847">
        <v>76426</v>
      </c>
      <c r="GG347" s="847">
        <v>77798</v>
      </c>
      <c r="GH347" s="847">
        <v>79181</v>
      </c>
      <c r="GI347" s="847">
        <v>80573</v>
      </c>
      <c r="GJ347" s="847">
        <v>81975</v>
      </c>
      <c r="GK347" s="847">
        <v>83384</v>
      </c>
      <c r="GL347" s="847">
        <v>84798</v>
      </c>
      <c r="GM347" s="847">
        <v>86220</v>
      </c>
      <c r="GN347" s="847">
        <v>87647</v>
      </c>
      <c r="GO347" s="847">
        <v>89080</v>
      </c>
      <c r="GP347" s="847">
        <v>90517</v>
      </c>
      <c r="GQ347" s="847">
        <v>91959</v>
      </c>
      <c r="GR347" s="847">
        <v>93405</v>
      </c>
      <c r="GS347" s="847">
        <v>94854</v>
      </c>
      <c r="GT347" s="847">
        <v>96306</v>
      </c>
      <c r="GU347" s="847">
        <v>97761</v>
      </c>
      <c r="GV347" s="847">
        <v>99217</v>
      </c>
      <c r="GW347" s="847">
        <v>100675</v>
      </c>
      <c r="GX347" s="847">
        <v>102134</v>
      </c>
      <c r="GY347" s="847">
        <v>103595</v>
      </c>
      <c r="GZ347" s="847">
        <v>105057</v>
      </c>
      <c r="HA347" s="847">
        <v>106522</v>
      </c>
      <c r="HB347" s="847">
        <v>107993</v>
      </c>
      <c r="HC347" s="847">
        <v>109490</v>
      </c>
      <c r="HD347" s="847">
        <v>111095</v>
      </c>
      <c r="HE347" s="847">
        <v>112200</v>
      </c>
      <c r="HF347" s="847">
        <v>0</v>
      </c>
      <c r="HG347" s="847">
        <v>0</v>
      </c>
      <c r="HH347" s="847">
        <v>0</v>
      </c>
      <c r="HI347" s="847">
        <v>0</v>
      </c>
      <c r="HJ347" s="847">
        <v>0</v>
      </c>
      <c r="HK347" s="847">
        <v>0</v>
      </c>
      <c r="HL347" s="847">
        <v>0</v>
      </c>
      <c r="HM347" s="847">
        <v>0</v>
      </c>
      <c r="HN347" s="847">
        <v>0</v>
      </c>
      <c r="HO347" s="847">
        <v>0</v>
      </c>
      <c r="HP347" s="847">
        <v>0</v>
      </c>
      <c r="HQ347" s="847">
        <v>0</v>
      </c>
      <c r="HR347" s="847">
        <v>0</v>
      </c>
      <c r="HS347" s="847">
        <v>0</v>
      </c>
      <c r="HT347" s="847">
        <v>0</v>
      </c>
      <c r="HU347" s="847">
        <v>0</v>
      </c>
      <c r="HV347" s="847">
        <v>0</v>
      </c>
      <c r="HW347" s="847">
        <v>0</v>
      </c>
      <c r="HX347" s="847">
        <v>0</v>
      </c>
      <c r="HY347" s="847">
        <v>0</v>
      </c>
      <c r="HZ347" s="847">
        <v>0</v>
      </c>
      <c r="IA347" s="847">
        <v>0</v>
      </c>
      <c r="IB347" s="847">
        <v>0</v>
      </c>
      <c r="IC347" s="847">
        <v>0</v>
      </c>
      <c r="ID347" s="847">
        <v>0</v>
      </c>
      <c r="IE347" s="847">
        <v>0</v>
      </c>
      <c r="IF347" s="847">
        <v>0</v>
      </c>
      <c r="IG347" s="847">
        <v>0</v>
      </c>
      <c r="IH347" s="847">
        <v>0</v>
      </c>
      <c r="II347" s="847">
        <v>0</v>
      </c>
      <c r="IJ347" s="847">
        <v>0</v>
      </c>
      <c r="IK347" s="847">
        <v>0</v>
      </c>
    </row>
    <row r="348" spans="12:245" hidden="1">
      <c r="L348" s="843" t="s">
        <v>1060</v>
      </c>
      <c r="M348" s="843" t="s">
        <v>1382</v>
      </c>
      <c r="N348" s="843" t="s">
        <v>96</v>
      </c>
      <c r="O348" s="844">
        <v>33</v>
      </c>
      <c r="P348" s="780" t="str">
        <f t="shared" si="12"/>
        <v>IWT060133</v>
      </c>
      <c r="Q348" s="844">
        <v>2324</v>
      </c>
      <c r="R348" s="844">
        <v>6603</v>
      </c>
      <c r="S348" s="844">
        <v>11486</v>
      </c>
      <c r="T348" s="844">
        <v>16988</v>
      </c>
      <c r="U348" s="844">
        <v>23130</v>
      </c>
      <c r="V348" s="844">
        <v>29627</v>
      </c>
      <c r="W348" s="844">
        <v>30522</v>
      </c>
      <c r="X348" s="844">
        <v>31130</v>
      </c>
      <c r="Y348" s="844">
        <v>31751</v>
      </c>
      <c r="Z348" s="844">
        <v>32386</v>
      </c>
      <c r="AA348" s="844">
        <v>33034</v>
      </c>
      <c r="AB348" s="844">
        <v>33695</v>
      </c>
      <c r="AC348" s="844">
        <v>34369</v>
      </c>
      <c r="AD348" s="844">
        <v>35056</v>
      </c>
      <c r="AE348" s="844">
        <v>35757</v>
      </c>
      <c r="AF348" s="844">
        <v>36472</v>
      </c>
      <c r="AG348" s="844">
        <v>37202</v>
      </c>
      <c r="AH348" s="844">
        <v>37946</v>
      </c>
      <c r="AI348" s="844">
        <v>38705</v>
      </c>
      <c r="AJ348" s="844">
        <v>39479</v>
      </c>
      <c r="AK348" s="844">
        <v>40268</v>
      </c>
      <c r="AL348" s="844">
        <v>41074</v>
      </c>
      <c r="AM348" s="844">
        <v>41895</v>
      </c>
      <c r="AN348" s="844">
        <v>42733</v>
      </c>
      <c r="AO348" s="844">
        <v>43588</v>
      </c>
      <c r="AP348" s="844">
        <v>44459</v>
      </c>
      <c r="AQ348" s="844">
        <v>45348</v>
      </c>
      <c r="AR348" s="844">
        <v>46255</v>
      </c>
      <c r="AS348" s="844">
        <v>47180</v>
      </c>
      <c r="AT348" s="844">
        <v>48124</v>
      </c>
      <c r="AU348" s="844">
        <v>49086</v>
      </c>
      <c r="AV348" s="844">
        <v>50068</v>
      </c>
      <c r="AW348" s="844">
        <v>51069</v>
      </c>
      <c r="AX348" s="844">
        <v>52091</v>
      </c>
      <c r="AY348" s="844">
        <v>53133</v>
      </c>
      <c r="AZ348" s="844">
        <v>54195</v>
      </c>
      <c r="BA348" s="844">
        <v>55279</v>
      </c>
      <c r="BB348" s="844">
        <v>56385</v>
      </c>
      <c r="BC348" s="844">
        <v>57512</v>
      </c>
      <c r="BD348" s="844">
        <v>58662</v>
      </c>
      <c r="BE348" s="844">
        <v>59835</v>
      </c>
      <c r="BF348" s="844">
        <v>61032</v>
      </c>
      <c r="BG348" s="844">
        <v>62246</v>
      </c>
      <c r="BH348" s="844">
        <v>63476</v>
      </c>
      <c r="BI348" s="844">
        <v>64721</v>
      </c>
      <c r="BJ348" s="844">
        <v>65981</v>
      </c>
      <c r="BK348" s="844">
        <v>67256</v>
      </c>
      <c r="BL348" s="844">
        <v>68545</v>
      </c>
      <c r="BM348" s="844">
        <v>69847</v>
      </c>
      <c r="BN348" s="844">
        <v>71162</v>
      </c>
      <c r="BO348" s="844">
        <v>72490</v>
      </c>
      <c r="BP348" s="844">
        <v>73830</v>
      </c>
      <c r="BQ348" s="844">
        <v>75182</v>
      </c>
      <c r="BR348" s="844">
        <v>76545</v>
      </c>
      <c r="BS348" s="844">
        <v>77918</v>
      </c>
      <c r="BT348" s="844">
        <v>79302</v>
      </c>
      <c r="BU348" s="844">
        <v>80696</v>
      </c>
      <c r="BV348" s="844">
        <v>82097</v>
      </c>
      <c r="BW348" s="844">
        <v>83504</v>
      </c>
      <c r="BX348" s="844">
        <v>84918</v>
      </c>
      <c r="BY348" s="844">
        <v>86339</v>
      </c>
      <c r="BZ348" s="844">
        <v>87765</v>
      </c>
      <c r="CA348" s="844">
        <v>89196</v>
      </c>
      <c r="CB348" s="844">
        <v>90632</v>
      </c>
      <c r="CC348" s="844">
        <v>92072</v>
      </c>
      <c r="CD348" s="844">
        <v>93516</v>
      </c>
      <c r="CE348" s="844">
        <v>94963</v>
      </c>
      <c r="CF348" s="844">
        <v>96413</v>
      </c>
      <c r="CG348" s="844">
        <v>97865</v>
      </c>
      <c r="CH348" s="844">
        <v>99319</v>
      </c>
      <c r="CI348" s="844">
        <v>100774</v>
      </c>
      <c r="CJ348" s="844">
        <v>102231</v>
      </c>
      <c r="CK348" s="844">
        <v>103689</v>
      </c>
      <c r="CL348" s="844">
        <v>105150</v>
      </c>
      <c r="CM348" s="844">
        <v>106619</v>
      </c>
      <c r="CN348" s="844">
        <v>108111</v>
      </c>
      <c r="CO348" s="844">
        <v>109708</v>
      </c>
      <c r="CP348" s="844">
        <v>110800</v>
      </c>
      <c r="CQ348" s="844">
        <v>0</v>
      </c>
      <c r="CR348" s="844">
        <v>0</v>
      </c>
      <c r="CS348" s="844">
        <v>0</v>
      </c>
      <c r="CT348" s="844">
        <v>0</v>
      </c>
      <c r="CU348" s="844">
        <v>0</v>
      </c>
      <c r="CV348" s="844">
        <v>0</v>
      </c>
      <c r="CW348" s="844">
        <v>0</v>
      </c>
      <c r="CX348" s="844">
        <v>0</v>
      </c>
      <c r="CY348" s="844">
        <v>0</v>
      </c>
      <c r="CZ348" s="844">
        <v>0</v>
      </c>
      <c r="DA348" s="844">
        <v>0</v>
      </c>
      <c r="DB348" s="844">
        <v>0</v>
      </c>
      <c r="DC348" s="844">
        <v>0</v>
      </c>
      <c r="DD348" s="844">
        <v>0</v>
      </c>
      <c r="DE348" s="844">
        <v>0</v>
      </c>
      <c r="DF348" s="844">
        <v>0</v>
      </c>
      <c r="DG348" s="844">
        <v>0</v>
      </c>
      <c r="DH348" s="844">
        <v>0</v>
      </c>
      <c r="DI348" s="844">
        <v>0</v>
      </c>
      <c r="DJ348" s="844">
        <v>0</v>
      </c>
      <c r="DK348" s="844">
        <v>0</v>
      </c>
      <c r="DL348" s="844">
        <v>0</v>
      </c>
      <c r="DM348" s="844">
        <v>0</v>
      </c>
      <c r="DN348" s="844">
        <v>0</v>
      </c>
      <c r="DO348" s="844">
        <v>0</v>
      </c>
      <c r="DP348" s="844">
        <v>0</v>
      </c>
      <c r="DQ348" s="844">
        <v>0</v>
      </c>
      <c r="DR348" s="844">
        <v>0</v>
      </c>
      <c r="DS348" s="844">
        <v>0</v>
      </c>
      <c r="DT348" s="844">
        <v>0</v>
      </c>
      <c r="DU348" s="844">
        <v>0</v>
      </c>
      <c r="DV348" s="844">
        <v>0</v>
      </c>
      <c r="DW348" s="844">
        <v>0</v>
      </c>
      <c r="DY348" s="846" t="s">
        <v>1060</v>
      </c>
      <c r="DZ348" s="846" t="s">
        <v>1382</v>
      </c>
      <c r="EA348" s="846" t="s">
        <v>96</v>
      </c>
      <c r="EB348" s="847">
        <v>33</v>
      </c>
      <c r="EC348" s="780" t="str">
        <f t="shared" si="13"/>
        <v>IWT060133</v>
      </c>
      <c r="ED348" s="847">
        <v>0</v>
      </c>
      <c r="EE348" s="847">
        <v>3099</v>
      </c>
      <c r="EF348" s="847">
        <v>8254</v>
      </c>
      <c r="EG348" s="847">
        <v>13513</v>
      </c>
      <c r="EH348" s="847">
        <v>18876</v>
      </c>
      <c r="EI348" s="847">
        <v>24347</v>
      </c>
      <c r="EJ348" s="847">
        <v>29926</v>
      </c>
      <c r="EK348" s="847">
        <v>30522</v>
      </c>
      <c r="EL348" s="847">
        <v>31130</v>
      </c>
      <c r="EM348" s="847">
        <v>31751</v>
      </c>
      <c r="EN348" s="847">
        <v>32386</v>
      </c>
      <c r="EO348" s="847">
        <v>33034</v>
      </c>
      <c r="EP348" s="847">
        <v>33695</v>
      </c>
      <c r="EQ348" s="847">
        <v>34369</v>
      </c>
      <c r="ER348" s="847">
        <v>35056</v>
      </c>
      <c r="ES348" s="847">
        <v>35757</v>
      </c>
      <c r="ET348" s="847">
        <v>36472</v>
      </c>
      <c r="EU348" s="847">
        <v>37202</v>
      </c>
      <c r="EV348" s="847">
        <v>37946</v>
      </c>
      <c r="EW348" s="847">
        <v>38705</v>
      </c>
      <c r="EX348" s="847">
        <v>39479</v>
      </c>
      <c r="EY348" s="847">
        <v>40268</v>
      </c>
      <c r="EZ348" s="847">
        <v>41074</v>
      </c>
      <c r="FA348" s="847">
        <v>41895</v>
      </c>
      <c r="FB348" s="847">
        <v>42733</v>
      </c>
      <c r="FC348" s="847">
        <v>43588</v>
      </c>
      <c r="FD348" s="847">
        <v>44459</v>
      </c>
      <c r="FE348" s="847">
        <v>45348</v>
      </c>
      <c r="FF348" s="847">
        <v>46255</v>
      </c>
      <c r="FG348" s="847">
        <v>47180</v>
      </c>
      <c r="FH348" s="847">
        <v>48124</v>
      </c>
      <c r="FI348" s="847">
        <v>49086</v>
      </c>
      <c r="FJ348" s="847">
        <v>50068</v>
      </c>
      <c r="FK348" s="847">
        <v>51069</v>
      </c>
      <c r="FL348" s="847">
        <v>52091</v>
      </c>
      <c r="FM348" s="847">
        <v>53133</v>
      </c>
      <c r="FN348" s="847">
        <v>54195</v>
      </c>
      <c r="FO348" s="847">
        <v>55279</v>
      </c>
      <c r="FP348" s="847">
        <v>56385</v>
      </c>
      <c r="FQ348" s="847">
        <v>57512</v>
      </c>
      <c r="FR348" s="847">
        <v>58662</v>
      </c>
      <c r="FS348" s="847">
        <v>59835</v>
      </c>
      <c r="FT348" s="847">
        <v>61032</v>
      </c>
      <c r="FU348" s="847">
        <v>62246</v>
      </c>
      <c r="FV348" s="847">
        <v>63476</v>
      </c>
      <c r="FW348" s="847">
        <v>64721</v>
      </c>
      <c r="FX348" s="847">
        <v>65981</v>
      </c>
      <c r="FY348" s="847">
        <v>67256</v>
      </c>
      <c r="FZ348" s="847">
        <v>68545</v>
      </c>
      <c r="GA348" s="847">
        <v>69847</v>
      </c>
      <c r="GB348" s="847">
        <v>71162</v>
      </c>
      <c r="GC348" s="847">
        <v>72490</v>
      </c>
      <c r="GD348" s="847">
        <v>73830</v>
      </c>
      <c r="GE348" s="847">
        <v>75182</v>
      </c>
      <c r="GF348" s="847">
        <v>76545</v>
      </c>
      <c r="GG348" s="847">
        <v>77918</v>
      </c>
      <c r="GH348" s="847">
        <v>79302</v>
      </c>
      <c r="GI348" s="847">
        <v>80696</v>
      </c>
      <c r="GJ348" s="847">
        <v>82097</v>
      </c>
      <c r="GK348" s="847">
        <v>83504</v>
      </c>
      <c r="GL348" s="847">
        <v>84918</v>
      </c>
      <c r="GM348" s="847">
        <v>86339</v>
      </c>
      <c r="GN348" s="847">
        <v>87765</v>
      </c>
      <c r="GO348" s="847">
        <v>89196</v>
      </c>
      <c r="GP348" s="847">
        <v>90632</v>
      </c>
      <c r="GQ348" s="847">
        <v>92072</v>
      </c>
      <c r="GR348" s="847">
        <v>93516</v>
      </c>
      <c r="GS348" s="847">
        <v>94963</v>
      </c>
      <c r="GT348" s="847">
        <v>96413</v>
      </c>
      <c r="GU348" s="847">
        <v>97865</v>
      </c>
      <c r="GV348" s="847">
        <v>99319</v>
      </c>
      <c r="GW348" s="847">
        <v>100774</v>
      </c>
      <c r="GX348" s="847">
        <v>102231</v>
      </c>
      <c r="GY348" s="847">
        <v>103689</v>
      </c>
      <c r="GZ348" s="847">
        <v>105150</v>
      </c>
      <c r="HA348" s="847">
        <v>106619</v>
      </c>
      <c r="HB348" s="847">
        <v>108111</v>
      </c>
      <c r="HC348" s="847">
        <v>109708</v>
      </c>
      <c r="HD348" s="847">
        <v>110800</v>
      </c>
      <c r="HE348" s="847">
        <v>0</v>
      </c>
      <c r="HF348" s="847">
        <v>0</v>
      </c>
      <c r="HG348" s="847">
        <v>0</v>
      </c>
      <c r="HH348" s="847">
        <v>0</v>
      </c>
      <c r="HI348" s="847">
        <v>0</v>
      </c>
      <c r="HJ348" s="847">
        <v>0</v>
      </c>
      <c r="HK348" s="847">
        <v>0</v>
      </c>
      <c r="HL348" s="847">
        <v>0</v>
      </c>
      <c r="HM348" s="847">
        <v>0</v>
      </c>
      <c r="HN348" s="847">
        <v>0</v>
      </c>
      <c r="HO348" s="847">
        <v>0</v>
      </c>
      <c r="HP348" s="847">
        <v>0</v>
      </c>
      <c r="HQ348" s="847">
        <v>0</v>
      </c>
      <c r="HR348" s="847">
        <v>0</v>
      </c>
      <c r="HS348" s="847">
        <v>0</v>
      </c>
      <c r="HT348" s="847">
        <v>0</v>
      </c>
      <c r="HU348" s="847">
        <v>0</v>
      </c>
      <c r="HV348" s="847">
        <v>0</v>
      </c>
      <c r="HW348" s="847">
        <v>0</v>
      </c>
      <c r="HX348" s="847">
        <v>0</v>
      </c>
      <c r="HY348" s="847">
        <v>0</v>
      </c>
      <c r="HZ348" s="847">
        <v>0</v>
      </c>
      <c r="IA348" s="847">
        <v>0</v>
      </c>
      <c r="IB348" s="847">
        <v>0</v>
      </c>
      <c r="IC348" s="847">
        <v>0</v>
      </c>
      <c r="ID348" s="847">
        <v>0</v>
      </c>
      <c r="IE348" s="847">
        <v>0</v>
      </c>
      <c r="IF348" s="847">
        <v>0</v>
      </c>
      <c r="IG348" s="847">
        <v>0</v>
      </c>
      <c r="IH348" s="847">
        <v>0</v>
      </c>
      <c r="II348" s="847">
        <v>0</v>
      </c>
      <c r="IJ348" s="847">
        <v>0</v>
      </c>
      <c r="IK348" s="847">
        <v>0</v>
      </c>
    </row>
    <row r="349" spans="12:245" hidden="1">
      <c r="L349" s="843" t="s">
        <v>1060</v>
      </c>
      <c r="M349" s="843" t="s">
        <v>1382</v>
      </c>
      <c r="N349" s="843" t="s">
        <v>96</v>
      </c>
      <c r="O349" s="844">
        <v>34</v>
      </c>
      <c r="P349" s="780" t="str">
        <f t="shared" si="12"/>
        <v>IWT060134</v>
      </c>
      <c r="Q349" s="844">
        <v>2326</v>
      </c>
      <c r="R349" s="844">
        <v>6610</v>
      </c>
      <c r="S349" s="844">
        <v>11500</v>
      </c>
      <c r="T349" s="844">
        <v>17009</v>
      </c>
      <c r="U349" s="844">
        <v>23157</v>
      </c>
      <c r="V349" s="844">
        <v>29663</v>
      </c>
      <c r="W349" s="844">
        <v>30559</v>
      </c>
      <c r="X349" s="844">
        <v>31168</v>
      </c>
      <c r="Y349" s="844">
        <v>31790</v>
      </c>
      <c r="Z349" s="844">
        <v>32426</v>
      </c>
      <c r="AA349" s="844">
        <v>33074</v>
      </c>
      <c r="AB349" s="844">
        <v>33736</v>
      </c>
      <c r="AC349" s="844">
        <v>34410</v>
      </c>
      <c r="AD349" s="844">
        <v>35098</v>
      </c>
      <c r="AE349" s="844">
        <v>35800</v>
      </c>
      <c r="AF349" s="844">
        <v>36516</v>
      </c>
      <c r="AG349" s="844">
        <v>37247</v>
      </c>
      <c r="AH349" s="844">
        <v>37992</v>
      </c>
      <c r="AI349" s="844">
        <v>38752</v>
      </c>
      <c r="AJ349" s="844">
        <v>39527</v>
      </c>
      <c r="AK349" s="844">
        <v>40317</v>
      </c>
      <c r="AL349" s="844">
        <v>41123</v>
      </c>
      <c r="AM349" s="844">
        <v>41946</v>
      </c>
      <c r="AN349" s="844">
        <v>42785</v>
      </c>
      <c r="AO349" s="844">
        <v>43640</v>
      </c>
      <c r="AP349" s="844">
        <v>44513</v>
      </c>
      <c r="AQ349" s="844">
        <v>45403</v>
      </c>
      <c r="AR349" s="844">
        <v>46311</v>
      </c>
      <c r="AS349" s="844">
        <v>47238</v>
      </c>
      <c r="AT349" s="844">
        <v>48182</v>
      </c>
      <c r="AU349" s="844">
        <v>49146</v>
      </c>
      <c r="AV349" s="844">
        <v>50129</v>
      </c>
      <c r="AW349" s="844">
        <v>51131</v>
      </c>
      <c r="AX349" s="844">
        <v>52154</v>
      </c>
      <c r="AY349" s="844">
        <v>53197</v>
      </c>
      <c r="AZ349" s="844">
        <v>54261</v>
      </c>
      <c r="BA349" s="844">
        <v>55346</v>
      </c>
      <c r="BB349" s="844">
        <v>56453</v>
      </c>
      <c r="BC349" s="844">
        <v>57582</v>
      </c>
      <c r="BD349" s="844">
        <v>58733</v>
      </c>
      <c r="BE349" s="844">
        <v>59908</v>
      </c>
      <c r="BF349" s="844">
        <v>61106</v>
      </c>
      <c r="BG349" s="844">
        <v>62324</v>
      </c>
      <c r="BH349" s="844">
        <v>63558</v>
      </c>
      <c r="BI349" s="844">
        <v>64807</v>
      </c>
      <c r="BJ349" s="844">
        <v>66071</v>
      </c>
      <c r="BK349" s="844">
        <v>67349</v>
      </c>
      <c r="BL349" s="844">
        <v>68641</v>
      </c>
      <c r="BM349" s="844">
        <v>69946</v>
      </c>
      <c r="BN349" s="844">
        <v>71264</v>
      </c>
      <c r="BO349" s="844">
        <v>72595</v>
      </c>
      <c r="BP349" s="844">
        <v>73937</v>
      </c>
      <c r="BQ349" s="844">
        <v>75291</v>
      </c>
      <c r="BR349" s="844">
        <v>76656</v>
      </c>
      <c r="BS349" s="844">
        <v>78032</v>
      </c>
      <c r="BT349" s="844">
        <v>79417</v>
      </c>
      <c r="BU349" s="844">
        <v>80810</v>
      </c>
      <c r="BV349" s="844">
        <v>82210</v>
      </c>
      <c r="BW349" s="844">
        <v>83617</v>
      </c>
      <c r="BX349" s="844">
        <v>85030</v>
      </c>
      <c r="BY349" s="844">
        <v>86450</v>
      </c>
      <c r="BZ349" s="844">
        <v>87875</v>
      </c>
      <c r="CA349" s="844">
        <v>89305</v>
      </c>
      <c r="CB349" s="844">
        <v>90740</v>
      </c>
      <c r="CC349" s="844">
        <v>92179</v>
      </c>
      <c r="CD349" s="844">
        <v>93620</v>
      </c>
      <c r="CE349" s="844">
        <v>95065</v>
      </c>
      <c r="CF349" s="844">
        <v>96513</v>
      </c>
      <c r="CG349" s="844">
        <v>97962</v>
      </c>
      <c r="CH349" s="844">
        <v>99414</v>
      </c>
      <c r="CI349" s="844">
        <v>100867</v>
      </c>
      <c r="CJ349" s="844">
        <v>102322</v>
      </c>
      <c r="CK349" s="844">
        <v>103779</v>
      </c>
      <c r="CL349" s="844">
        <v>105244</v>
      </c>
      <c r="CM349" s="844">
        <v>106732</v>
      </c>
      <c r="CN349" s="844">
        <v>108322</v>
      </c>
      <c r="CO349" s="844">
        <v>109400</v>
      </c>
      <c r="CP349" s="844">
        <v>0</v>
      </c>
      <c r="CQ349" s="844">
        <v>0</v>
      </c>
      <c r="CR349" s="844">
        <v>0</v>
      </c>
      <c r="CS349" s="844">
        <v>0</v>
      </c>
      <c r="CT349" s="844">
        <v>0</v>
      </c>
      <c r="CU349" s="844">
        <v>0</v>
      </c>
      <c r="CV349" s="844">
        <v>0</v>
      </c>
      <c r="CW349" s="844">
        <v>0</v>
      </c>
      <c r="CX349" s="844">
        <v>0</v>
      </c>
      <c r="CY349" s="844">
        <v>0</v>
      </c>
      <c r="CZ349" s="844">
        <v>0</v>
      </c>
      <c r="DA349" s="844">
        <v>0</v>
      </c>
      <c r="DB349" s="844">
        <v>0</v>
      </c>
      <c r="DC349" s="844">
        <v>0</v>
      </c>
      <c r="DD349" s="844">
        <v>0</v>
      </c>
      <c r="DE349" s="844">
        <v>0</v>
      </c>
      <c r="DF349" s="844">
        <v>0</v>
      </c>
      <c r="DG349" s="844">
        <v>0</v>
      </c>
      <c r="DH349" s="844">
        <v>0</v>
      </c>
      <c r="DI349" s="844">
        <v>0</v>
      </c>
      <c r="DJ349" s="844">
        <v>0</v>
      </c>
      <c r="DK349" s="844">
        <v>0</v>
      </c>
      <c r="DL349" s="844">
        <v>0</v>
      </c>
      <c r="DM349" s="844">
        <v>0</v>
      </c>
      <c r="DN349" s="844">
        <v>0</v>
      </c>
      <c r="DO349" s="844">
        <v>0</v>
      </c>
      <c r="DP349" s="844">
        <v>0</v>
      </c>
      <c r="DQ349" s="844">
        <v>0</v>
      </c>
      <c r="DR349" s="844">
        <v>0</v>
      </c>
      <c r="DS349" s="844">
        <v>0</v>
      </c>
      <c r="DT349" s="844">
        <v>0</v>
      </c>
      <c r="DU349" s="844">
        <v>0</v>
      </c>
      <c r="DV349" s="844">
        <v>0</v>
      </c>
      <c r="DW349" s="844">
        <v>0</v>
      </c>
      <c r="DY349" s="846" t="s">
        <v>1060</v>
      </c>
      <c r="DZ349" s="846" t="s">
        <v>1382</v>
      </c>
      <c r="EA349" s="846" t="s">
        <v>96</v>
      </c>
      <c r="EB349" s="847">
        <v>34</v>
      </c>
      <c r="EC349" s="780" t="str">
        <f t="shared" si="13"/>
        <v>IWT060134</v>
      </c>
      <c r="ED349" s="847">
        <v>0</v>
      </c>
      <c r="EE349" s="847">
        <v>3101</v>
      </c>
      <c r="EF349" s="847">
        <v>8263</v>
      </c>
      <c r="EG349" s="847">
        <v>13529</v>
      </c>
      <c r="EH349" s="847">
        <v>18899</v>
      </c>
      <c r="EI349" s="847">
        <v>24376</v>
      </c>
      <c r="EJ349" s="847">
        <v>29963</v>
      </c>
      <c r="EK349" s="847">
        <v>30559</v>
      </c>
      <c r="EL349" s="847">
        <v>31168</v>
      </c>
      <c r="EM349" s="847">
        <v>31790</v>
      </c>
      <c r="EN349" s="847">
        <v>32426</v>
      </c>
      <c r="EO349" s="847">
        <v>33074</v>
      </c>
      <c r="EP349" s="847">
        <v>33736</v>
      </c>
      <c r="EQ349" s="847">
        <v>34410</v>
      </c>
      <c r="ER349" s="847">
        <v>35098</v>
      </c>
      <c r="ES349" s="847">
        <v>35800</v>
      </c>
      <c r="ET349" s="847">
        <v>36516</v>
      </c>
      <c r="EU349" s="847">
        <v>37247</v>
      </c>
      <c r="EV349" s="847">
        <v>37992</v>
      </c>
      <c r="EW349" s="847">
        <v>38752</v>
      </c>
      <c r="EX349" s="847">
        <v>39527</v>
      </c>
      <c r="EY349" s="847">
        <v>40317</v>
      </c>
      <c r="EZ349" s="847">
        <v>41123</v>
      </c>
      <c r="FA349" s="847">
        <v>41946</v>
      </c>
      <c r="FB349" s="847">
        <v>42785</v>
      </c>
      <c r="FC349" s="847">
        <v>43640</v>
      </c>
      <c r="FD349" s="847">
        <v>44513</v>
      </c>
      <c r="FE349" s="847">
        <v>45403</v>
      </c>
      <c r="FF349" s="847">
        <v>46311</v>
      </c>
      <c r="FG349" s="847">
        <v>47238</v>
      </c>
      <c r="FH349" s="847">
        <v>48182</v>
      </c>
      <c r="FI349" s="847">
        <v>49146</v>
      </c>
      <c r="FJ349" s="847">
        <v>50129</v>
      </c>
      <c r="FK349" s="847">
        <v>51131</v>
      </c>
      <c r="FL349" s="847">
        <v>52154</v>
      </c>
      <c r="FM349" s="847">
        <v>53197</v>
      </c>
      <c r="FN349" s="847">
        <v>54261</v>
      </c>
      <c r="FO349" s="847">
        <v>55346</v>
      </c>
      <c r="FP349" s="847">
        <v>56453</v>
      </c>
      <c r="FQ349" s="847">
        <v>57582</v>
      </c>
      <c r="FR349" s="847">
        <v>58733</v>
      </c>
      <c r="FS349" s="847">
        <v>59908</v>
      </c>
      <c r="FT349" s="847">
        <v>61106</v>
      </c>
      <c r="FU349" s="847">
        <v>62324</v>
      </c>
      <c r="FV349" s="847">
        <v>63558</v>
      </c>
      <c r="FW349" s="847">
        <v>64807</v>
      </c>
      <c r="FX349" s="847">
        <v>66071</v>
      </c>
      <c r="FY349" s="847">
        <v>67349</v>
      </c>
      <c r="FZ349" s="847">
        <v>68641</v>
      </c>
      <c r="GA349" s="847">
        <v>69946</v>
      </c>
      <c r="GB349" s="847">
        <v>71264</v>
      </c>
      <c r="GC349" s="847">
        <v>72595</v>
      </c>
      <c r="GD349" s="847">
        <v>73937</v>
      </c>
      <c r="GE349" s="847">
        <v>75291</v>
      </c>
      <c r="GF349" s="847">
        <v>76656</v>
      </c>
      <c r="GG349" s="847">
        <v>78032</v>
      </c>
      <c r="GH349" s="847">
        <v>79417</v>
      </c>
      <c r="GI349" s="847">
        <v>80810</v>
      </c>
      <c r="GJ349" s="847">
        <v>82210</v>
      </c>
      <c r="GK349" s="847">
        <v>83617</v>
      </c>
      <c r="GL349" s="847">
        <v>85030</v>
      </c>
      <c r="GM349" s="847">
        <v>86450</v>
      </c>
      <c r="GN349" s="847">
        <v>87875</v>
      </c>
      <c r="GO349" s="847">
        <v>89305</v>
      </c>
      <c r="GP349" s="847">
        <v>90740</v>
      </c>
      <c r="GQ349" s="847">
        <v>92179</v>
      </c>
      <c r="GR349" s="847">
        <v>93620</v>
      </c>
      <c r="GS349" s="847">
        <v>95065</v>
      </c>
      <c r="GT349" s="847">
        <v>96513</v>
      </c>
      <c r="GU349" s="847">
        <v>97962</v>
      </c>
      <c r="GV349" s="847">
        <v>99414</v>
      </c>
      <c r="GW349" s="847">
        <v>100867</v>
      </c>
      <c r="GX349" s="847">
        <v>102322</v>
      </c>
      <c r="GY349" s="847">
        <v>103779</v>
      </c>
      <c r="GZ349" s="847">
        <v>105244</v>
      </c>
      <c r="HA349" s="847">
        <v>106732</v>
      </c>
      <c r="HB349" s="847">
        <v>108322</v>
      </c>
      <c r="HC349" s="847">
        <v>109400</v>
      </c>
      <c r="HD349" s="847">
        <v>0</v>
      </c>
      <c r="HE349" s="847">
        <v>0</v>
      </c>
      <c r="HF349" s="847">
        <v>0</v>
      </c>
      <c r="HG349" s="847">
        <v>0</v>
      </c>
      <c r="HH349" s="847">
        <v>0</v>
      </c>
      <c r="HI349" s="847">
        <v>0</v>
      </c>
      <c r="HJ349" s="847">
        <v>0</v>
      </c>
      <c r="HK349" s="847">
        <v>0</v>
      </c>
      <c r="HL349" s="847">
        <v>0</v>
      </c>
      <c r="HM349" s="847">
        <v>0</v>
      </c>
      <c r="HN349" s="847">
        <v>0</v>
      </c>
      <c r="HO349" s="847">
        <v>0</v>
      </c>
      <c r="HP349" s="847">
        <v>0</v>
      </c>
      <c r="HQ349" s="847">
        <v>0</v>
      </c>
      <c r="HR349" s="847">
        <v>0</v>
      </c>
      <c r="HS349" s="847">
        <v>0</v>
      </c>
      <c r="HT349" s="847">
        <v>0</v>
      </c>
      <c r="HU349" s="847">
        <v>0</v>
      </c>
      <c r="HV349" s="847">
        <v>0</v>
      </c>
      <c r="HW349" s="847">
        <v>0</v>
      </c>
      <c r="HX349" s="847">
        <v>0</v>
      </c>
      <c r="HY349" s="847">
        <v>0</v>
      </c>
      <c r="HZ349" s="847">
        <v>0</v>
      </c>
      <c r="IA349" s="847">
        <v>0</v>
      </c>
      <c r="IB349" s="847">
        <v>0</v>
      </c>
      <c r="IC349" s="847">
        <v>0</v>
      </c>
      <c r="ID349" s="847">
        <v>0</v>
      </c>
      <c r="IE349" s="847">
        <v>0</v>
      </c>
      <c r="IF349" s="847">
        <v>0</v>
      </c>
      <c r="IG349" s="847">
        <v>0</v>
      </c>
      <c r="IH349" s="847">
        <v>0</v>
      </c>
      <c r="II349" s="847">
        <v>0</v>
      </c>
      <c r="IJ349" s="847">
        <v>0</v>
      </c>
      <c r="IK349" s="847">
        <v>0</v>
      </c>
    </row>
    <row r="350" spans="12:245" hidden="1">
      <c r="L350" s="843" t="s">
        <v>1060</v>
      </c>
      <c r="M350" s="843" t="s">
        <v>1382</v>
      </c>
      <c r="N350" s="843" t="s">
        <v>96</v>
      </c>
      <c r="O350" s="844">
        <v>35</v>
      </c>
      <c r="P350" s="780" t="str">
        <f t="shared" si="12"/>
        <v>IWT060135</v>
      </c>
      <c r="Q350" s="844">
        <v>2327</v>
      </c>
      <c r="R350" s="844">
        <v>6617</v>
      </c>
      <c r="S350" s="844">
        <v>11511</v>
      </c>
      <c r="T350" s="844">
        <v>17027</v>
      </c>
      <c r="U350" s="844">
        <v>23183</v>
      </c>
      <c r="V350" s="844">
        <v>29697</v>
      </c>
      <c r="W350" s="844">
        <v>30593</v>
      </c>
      <c r="X350" s="844">
        <v>31202</v>
      </c>
      <c r="Y350" s="844">
        <v>31825</v>
      </c>
      <c r="Z350" s="844">
        <v>32461</v>
      </c>
      <c r="AA350" s="844">
        <v>33110</v>
      </c>
      <c r="AB350" s="844">
        <v>33772</v>
      </c>
      <c r="AC350" s="844">
        <v>34448</v>
      </c>
      <c r="AD350" s="844">
        <v>35137</v>
      </c>
      <c r="AE350" s="844">
        <v>35840</v>
      </c>
      <c r="AF350" s="844">
        <v>36556</v>
      </c>
      <c r="AG350" s="844">
        <v>37287</v>
      </c>
      <c r="AH350" s="844">
        <v>38033</v>
      </c>
      <c r="AI350" s="844">
        <v>38794</v>
      </c>
      <c r="AJ350" s="844">
        <v>39570</v>
      </c>
      <c r="AK350" s="844">
        <v>40361</v>
      </c>
      <c r="AL350" s="844">
        <v>41168</v>
      </c>
      <c r="AM350" s="844">
        <v>41992</v>
      </c>
      <c r="AN350" s="844">
        <v>42831</v>
      </c>
      <c r="AO350" s="844">
        <v>43688</v>
      </c>
      <c r="AP350" s="844">
        <v>44562</v>
      </c>
      <c r="AQ350" s="844">
        <v>45453</v>
      </c>
      <c r="AR350" s="844">
        <v>46362</v>
      </c>
      <c r="AS350" s="844">
        <v>47289</v>
      </c>
      <c r="AT350" s="844">
        <v>48235</v>
      </c>
      <c r="AU350" s="844">
        <v>49200</v>
      </c>
      <c r="AV350" s="844">
        <v>50184</v>
      </c>
      <c r="AW350" s="844">
        <v>51187</v>
      </c>
      <c r="AX350" s="844">
        <v>52211</v>
      </c>
      <c r="AY350" s="844">
        <v>53255</v>
      </c>
      <c r="AZ350" s="844">
        <v>54320</v>
      </c>
      <c r="BA350" s="844">
        <v>55406</v>
      </c>
      <c r="BB350" s="844">
        <v>56514</v>
      </c>
      <c r="BC350" s="844">
        <v>57645</v>
      </c>
      <c r="BD350" s="844">
        <v>58797</v>
      </c>
      <c r="BE350" s="844">
        <v>59973</v>
      </c>
      <c r="BF350" s="844">
        <v>61173</v>
      </c>
      <c r="BG350" s="844">
        <v>62395</v>
      </c>
      <c r="BH350" s="844">
        <v>63633</v>
      </c>
      <c r="BI350" s="844">
        <v>64886</v>
      </c>
      <c r="BJ350" s="844">
        <v>66154</v>
      </c>
      <c r="BK350" s="844">
        <v>67435</v>
      </c>
      <c r="BL350" s="844">
        <v>68731</v>
      </c>
      <c r="BM350" s="844">
        <v>70039</v>
      </c>
      <c r="BN350" s="844">
        <v>71360</v>
      </c>
      <c r="BO350" s="844">
        <v>72693</v>
      </c>
      <c r="BP350" s="844">
        <v>74038</v>
      </c>
      <c r="BQ350" s="844">
        <v>75394</v>
      </c>
      <c r="BR350" s="844">
        <v>76761</v>
      </c>
      <c r="BS350" s="844">
        <v>78138</v>
      </c>
      <c r="BT350" s="844">
        <v>79523</v>
      </c>
      <c r="BU350" s="844">
        <v>80915</v>
      </c>
      <c r="BV350" s="844">
        <v>82315</v>
      </c>
      <c r="BW350" s="844">
        <v>83722</v>
      </c>
      <c r="BX350" s="844">
        <v>85135</v>
      </c>
      <c r="BY350" s="844">
        <v>86554</v>
      </c>
      <c r="BZ350" s="844">
        <v>87979</v>
      </c>
      <c r="CA350" s="844">
        <v>89408</v>
      </c>
      <c r="CB350" s="844">
        <v>90841</v>
      </c>
      <c r="CC350" s="844">
        <v>92278</v>
      </c>
      <c r="CD350" s="844">
        <v>93718</v>
      </c>
      <c r="CE350" s="844">
        <v>95161</v>
      </c>
      <c r="CF350" s="844">
        <v>96606</v>
      </c>
      <c r="CG350" s="844">
        <v>98053</v>
      </c>
      <c r="CH350" s="844">
        <v>99503</v>
      </c>
      <c r="CI350" s="844">
        <v>100954</v>
      </c>
      <c r="CJ350" s="844">
        <v>102408</v>
      </c>
      <c r="CK350" s="844">
        <v>103869</v>
      </c>
      <c r="CL350" s="844">
        <v>105354</v>
      </c>
      <c r="CM350" s="844">
        <v>106936</v>
      </c>
      <c r="CN350" s="844">
        <v>108000</v>
      </c>
      <c r="CO350" s="844">
        <v>0</v>
      </c>
      <c r="CP350" s="844">
        <v>0</v>
      </c>
      <c r="CQ350" s="844">
        <v>0</v>
      </c>
      <c r="CR350" s="844">
        <v>0</v>
      </c>
      <c r="CS350" s="844">
        <v>0</v>
      </c>
      <c r="CT350" s="844">
        <v>0</v>
      </c>
      <c r="CU350" s="844">
        <v>0</v>
      </c>
      <c r="CV350" s="844">
        <v>0</v>
      </c>
      <c r="CW350" s="844">
        <v>0</v>
      </c>
      <c r="CX350" s="844">
        <v>0</v>
      </c>
      <c r="CY350" s="844">
        <v>0</v>
      </c>
      <c r="CZ350" s="844">
        <v>0</v>
      </c>
      <c r="DA350" s="844">
        <v>0</v>
      </c>
      <c r="DB350" s="844">
        <v>0</v>
      </c>
      <c r="DC350" s="844">
        <v>0</v>
      </c>
      <c r="DD350" s="844">
        <v>0</v>
      </c>
      <c r="DE350" s="844">
        <v>0</v>
      </c>
      <c r="DF350" s="844">
        <v>0</v>
      </c>
      <c r="DG350" s="844">
        <v>0</v>
      </c>
      <c r="DH350" s="844">
        <v>0</v>
      </c>
      <c r="DI350" s="844">
        <v>0</v>
      </c>
      <c r="DJ350" s="844">
        <v>0</v>
      </c>
      <c r="DK350" s="844">
        <v>0</v>
      </c>
      <c r="DL350" s="844">
        <v>0</v>
      </c>
      <c r="DM350" s="844">
        <v>0</v>
      </c>
      <c r="DN350" s="844">
        <v>0</v>
      </c>
      <c r="DO350" s="844">
        <v>0</v>
      </c>
      <c r="DP350" s="844">
        <v>0</v>
      </c>
      <c r="DQ350" s="844">
        <v>0</v>
      </c>
      <c r="DR350" s="844">
        <v>0</v>
      </c>
      <c r="DS350" s="844">
        <v>0</v>
      </c>
      <c r="DT350" s="844">
        <v>0</v>
      </c>
      <c r="DU350" s="844">
        <v>0</v>
      </c>
      <c r="DV350" s="844">
        <v>0</v>
      </c>
      <c r="DW350" s="844">
        <v>0</v>
      </c>
      <c r="DY350" s="846" t="s">
        <v>1060</v>
      </c>
      <c r="DZ350" s="846" t="s">
        <v>1382</v>
      </c>
      <c r="EA350" s="846" t="s">
        <v>96</v>
      </c>
      <c r="EB350" s="847">
        <v>35</v>
      </c>
      <c r="EC350" s="780" t="str">
        <f t="shared" si="13"/>
        <v>IWT060135</v>
      </c>
      <c r="ED350" s="847">
        <v>0</v>
      </c>
      <c r="EE350" s="847">
        <v>3102</v>
      </c>
      <c r="EF350" s="847">
        <v>8271</v>
      </c>
      <c r="EG350" s="847">
        <v>13542</v>
      </c>
      <c r="EH350" s="847">
        <v>18919</v>
      </c>
      <c r="EI350" s="847">
        <v>24403</v>
      </c>
      <c r="EJ350" s="847">
        <v>29997</v>
      </c>
      <c r="EK350" s="847">
        <v>30593</v>
      </c>
      <c r="EL350" s="847">
        <v>31202</v>
      </c>
      <c r="EM350" s="847">
        <v>31825</v>
      </c>
      <c r="EN350" s="847">
        <v>32461</v>
      </c>
      <c r="EO350" s="847">
        <v>33110</v>
      </c>
      <c r="EP350" s="847">
        <v>33772</v>
      </c>
      <c r="EQ350" s="847">
        <v>34448</v>
      </c>
      <c r="ER350" s="847">
        <v>35137</v>
      </c>
      <c r="ES350" s="847">
        <v>35840</v>
      </c>
      <c r="ET350" s="847">
        <v>36556</v>
      </c>
      <c r="EU350" s="847">
        <v>37287</v>
      </c>
      <c r="EV350" s="847">
        <v>38033</v>
      </c>
      <c r="EW350" s="847">
        <v>38794</v>
      </c>
      <c r="EX350" s="847">
        <v>39570</v>
      </c>
      <c r="EY350" s="847">
        <v>40361</v>
      </c>
      <c r="EZ350" s="847">
        <v>41168</v>
      </c>
      <c r="FA350" s="847">
        <v>41992</v>
      </c>
      <c r="FB350" s="847">
        <v>42831</v>
      </c>
      <c r="FC350" s="847">
        <v>43688</v>
      </c>
      <c r="FD350" s="847">
        <v>44562</v>
      </c>
      <c r="FE350" s="847">
        <v>45453</v>
      </c>
      <c r="FF350" s="847">
        <v>46362</v>
      </c>
      <c r="FG350" s="847">
        <v>47289</v>
      </c>
      <c r="FH350" s="847">
        <v>48235</v>
      </c>
      <c r="FI350" s="847">
        <v>49200</v>
      </c>
      <c r="FJ350" s="847">
        <v>50184</v>
      </c>
      <c r="FK350" s="847">
        <v>51187</v>
      </c>
      <c r="FL350" s="847">
        <v>52211</v>
      </c>
      <c r="FM350" s="847">
        <v>53255</v>
      </c>
      <c r="FN350" s="847">
        <v>54320</v>
      </c>
      <c r="FO350" s="847">
        <v>55406</v>
      </c>
      <c r="FP350" s="847">
        <v>56514</v>
      </c>
      <c r="FQ350" s="847">
        <v>57645</v>
      </c>
      <c r="FR350" s="847">
        <v>58797</v>
      </c>
      <c r="FS350" s="847">
        <v>59973</v>
      </c>
      <c r="FT350" s="847">
        <v>61173</v>
      </c>
      <c r="FU350" s="847">
        <v>62395</v>
      </c>
      <c r="FV350" s="847">
        <v>63633</v>
      </c>
      <c r="FW350" s="847">
        <v>64886</v>
      </c>
      <c r="FX350" s="847">
        <v>66154</v>
      </c>
      <c r="FY350" s="847">
        <v>67435</v>
      </c>
      <c r="FZ350" s="847">
        <v>68731</v>
      </c>
      <c r="GA350" s="847">
        <v>70039</v>
      </c>
      <c r="GB350" s="847">
        <v>71360</v>
      </c>
      <c r="GC350" s="847">
        <v>72693</v>
      </c>
      <c r="GD350" s="847">
        <v>74038</v>
      </c>
      <c r="GE350" s="847">
        <v>75394</v>
      </c>
      <c r="GF350" s="847">
        <v>76761</v>
      </c>
      <c r="GG350" s="847">
        <v>78138</v>
      </c>
      <c r="GH350" s="847">
        <v>79523</v>
      </c>
      <c r="GI350" s="847">
        <v>80915</v>
      </c>
      <c r="GJ350" s="847">
        <v>82315</v>
      </c>
      <c r="GK350" s="847">
        <v>83722</v>
      </c>
      <c r="GL350" s="847">
        <v>85135</v>
      </c>
      <c r="GM350" s="847">
        <v>86554</v>
      </c>
      <c r="GN350" s="847">
        <v>87979</v>
      </c>
      <c r="GO350" s="847">
        <v>89408</v>
      </c>
      <c r="GP350" s="847">
        <v>90841</v>
      </c>
      <c r="GQ350" s="847">
        <v>92278</v>
      </c>
      <c r="GR350" s="847">
        <v>93718</v>
      </c>
      <c r="GS350" s="847">
        <v>95161</v>
      </c>
      <c r="GT350" s="847">
        <v>96606</v>
      </c>
      <c r="GU350" s="847">
        <v>98053</v>
      </c>
      <c r="GV350" s="847">
        <v>99503</v>
      </c>
      <c r="GW350" s="847">
        <v>100954</v>
      </c>
      <c r="GX350" s="847">
        <v>102408</v>
      </c>
      <c r="GY350" s="847">
        <v>103869</v>
      </c>
      <c r="GZ350" s="847">
        <v>105354</v>
      </c>
      <c r="HA350" s="847">
        <v>106936</v>
      </c>
      <c r="HB350" s="847">
        <v>108000</v>
      </c>
      <c r="HC350" s="847">
        <v>0</v>
      </c>
      <c r="HD350" s="847">
        <v>0</v>
      </c>
      <c r="HE350" s="847">
        <v>0</v>
      </c>
      <c r="HF350" s="847">
        <v>0</v>
      </c>
      <c r="HG350" s="847">
        <v>0</v>
      </c>
      <c r="HH350" s="847">
        <v>0</v>
      </c>
      <c r="HI350" s="847">
        <v>0</v>
      </c>
      <c r="HJ350" s="847">
        <v>0</v>
      </c>
      <c r="HK350" s="847">
        <v>0</v>
      </c>
      <c r="HL350" s="847">
        <v>0</v>
      </c>
      <c r="HM350" s="847">
        <v>0</v>
      </c>
      <c r="HN350" s="847">
        <v>0</v>
      </c>
      <c r="HO350" s="847">
        <v>0</v>
      </c>
      <c r="HP350" s="847">
        <v>0</v>
      </c>
      <c r="HQ350" s="847">
        <v>0</v>
      </c>
      <c r="HR350" s="847">
        <v>0</v>
      </c>
      <c r="HS350" s="847">
        <v>0</v>
      </c>
      <c r="HT350" s="847">
        <v>0</v>
      </c>
      <c r="HU350" s="847">
        <v>0</v>
      </c>
      <c r="HV350" s="847">
        <v>0</v>
      </c>
      <c r="HW350" s="847">
        <v>0</v>
      </c>
      <c r="HX350" s="847">
        <v>0</v>
      </c>
      <c r="HY350" s="847">
        <v>0</v>
      </c>
      <c r="HZ350" s="847">
        <v>0</v>
      </c>
      <c r="IA350" s="847">
        <v>0</v>
      </c>
      <c r="IB350" s="847">
        <v>0</v>
      </c>
      <c r="IC350" s="847">
        <v>0</v>
      </c>
      <c r="ID350" s="847">
        <v>0</v>
      </c>
      <c r="IE350" s="847">
        <v>0</v>
      </c>
      <c r="IF350" s="847">
        <v>0</v>
      </c>
      <c r="IG350" s="847">
        <v>0</v>
      </c>
      <c r="IH350" s="847">
        <v>0</v>
      </c>
      <c r="II350" s="847">
        <v>0</v>
      </c>
      <c r="IJ350" s="847">
        <v>0</v>
      </c>
      <c r="IK350" s="847">
        <v>0</v>
      </c>
    </row>
    <row r="351" spans="12:245" hidden="1">
      <c r="L351" s="843" t="s">
        <v>1060</v>
      </c>
      <c r="M351" s="843" t="s">
        <v>1382</v>
      </c>
      <c r="N351" s="843" t="s">
        <v>96</v>
      </c>
      <c r="O351" s="844">
        <v>36</v>
      </c>
      <c r="P351" s="780" t="str">
        <f t="shared" si="12"/>
        <v>IWT060136</v>
      </c>
      <c r="Q351" s="844">
        <v>2327</v>
      </c>
      <c r="R351" s="844">
        <v>6622</v>
      </c>
      <c r="S351" s="844">
        <v>11522</v>
      </c>
      <c r="T351" s="844">
        <v>17044</v>
      </c>
      <c r="U351" s="844">
        <v>23207</v>
      </c>
      <c r="V351" s="844">
        <v>29728</v>
      </c>
      <c r="W351" s="844">
        <v>30624</v>
      </c>
      <c r="X351" s="844">
        <v>31234</v>
      </c>
      <c r="Y351" s="844">
        <v>31857</v>
      </c>
      <c r="Z351" s="844">
        <v>32494</v>
      </c>
      <c r="AA351" s="844">
        <v>33144</v>
      </c>
      <c r="AB351" s="844">
        <v>33807</v>
      </c>
      <c r="AC351" s="844">
        <v>34483</v>
      </c>
      <c r="AD351" s="844">
        <v>35173</v>
      </c>
      <c r="AE351" s="844">
        <v>35876</v>
      </c>
      <c r="AF351" s="844">
        <v>36593</v>
      </c>
      <c r="AG351" s="844">
        <v>37325</v>
      </c>
      <c r="AH351" s="844">
        <v>38072</v>
      </c>
      <c r="AI351" s="844">
        <v>38833</v>
      </c>
      <c r="AJ351" s="844">
        <v>39610</v>
      </c>
      <c r="AK351" s="844">
        <v>40402</v>
      </c>
      <c r="AL351" s="844">
        <v>41210</v>
      </c>
      <c r="AM351" s="844">
        <v>42034</v>
      </c>
      <c r="AN351" s="844">
        <v>42875</v>
      </c>
      <c r="AO351" s="844">
        <v>43732</v>
      </c>
      <c r="AP351" s="844">
        <v>44607</v>
      </c>
      <c r="AQ351" s="844">
        <v>45499</v>
      </c>
      <c r="AR351" s="844">
        <v>46409</v>
      </c>
      <c r="AS351" s="844">
        <v>47337</v>
      </c>
      <c r="AT351" s="844">
        <v>48284</v>
      </c>
      <c r="AU351" s="844">
        <v>49250</v>
      </c>
      <c r="AV351" s="844">
        <v>50235</v>
      </c>
      <c r="AW351" s="844">
        <v>51239</v>
      </c>
      <c r="AX351" s="844">
        <v>52264</v>
      </c>
      <c r="AY351" s="844">
        <v>53309</v>
      </c>
      <c r="AZ351" s="844">
        <v>54375</v>
      </c>
      <c r="BA351" s="844">
        <v>55463</v>
      </c>
      <c r="BB351" s="844">
        <v>56572</v>
      </c>
      <c r="BC351" s="844">
        <v>57703</v>
      </c>
      <c r="BD351" s="844">
        <v>58857</v>
      </c>
      <c r="BE351" s="844">
        <v>60034</v>
      </c>
      <c r="BF351" s="844">
        <v>61235</v>
      </c>
      <c r="BG351" s="844">
        <v>62459</v>
      </c>
      <c r="BH351" s="844">
        <v>63701</v>
      </c>
      <c r="BI351" s="844">
        <v>64958</v>
      </c>
      <c r="BJ351" s="844">
        <v>66230</v>
      </c>
      <c r="BK351" s="844">
        <v>67515</v>
      </c>
      <c r="BL351" s="844">
        <v>68813</v>
      </c>
      <c r="BM351" s="844">
        <v>70125</v>
      </c>
      <c r="BN351" s="844">
        <v>71448</v>
      </c>
      <c r="BO351" s="844">
        <v>72784</v>
      </c>
      <c r="BP351" s="844">
        <v>74132</v>
      </c>
      <c r="BQ351" s="844">
        <v>75490</v>
      </c>
      <c r="BR351" s="844">
        <v>76859</v>
      </c>
      <c r="BS351" s="844">
        <v>78236</v>
      </c>
      <c r="BT351" s="844">
        <v>79621</v>
      </c>
      <c r="BU351" s="844">
        <v>81014</v>
      </c>
      <c r="BV351" s="844">
        <v>82414</v>
      </c>
      <c r="BW351" s="844">
        <v>83820</v>
      </c>
      <c r="BX351" s="844">
        <v>85233</v>
      </c>
      <c r="BY351" s="844">
        <v>86652</v>
      </c>
      <c r="BZ351" s="844">
        <v>88075</v>
      </c>
      <c r="CA351" s="844">
        <v>89503</v>
      </c>
      <c r="CB351" s="844">
        <v>90935</v>
      </c>
      <c r="CC351" s="844">
        <v>92370</v>
      </c>
      <c r="CD351" s="844">
        <v>93809</v>
      </c>
      <c r="CE351" s="844">
        <v>95250</v>
      </c>
      <c r="CF351" s="844">
        <v>96693</v>
      </c>
      <c r="CG351" s="844">
        <v>98139</v>
      </c>
      <c r="CH351" s="844">
        <v>99586</v>
      </c>
      <c r="CI351" s="844">
        <v>101037</v>
      </c>
      <c r="CJ351" s="844">
        <v>102495</v>
      </c>
      <c r="CK351" s="844">
        <v>103975</v>
      </c>
      <c r="CL351" s="844">
        <v>105550</v>
      </c>
      <c r="CM351" s="844">
        <v>106600</v>
      </c>
      <c r="CN351" s="844">
        <v>0</v>
      </c>
      <c r="CO351" s="844">
        <v>0</v>
      </c>
      <c r="CP351" s="844">
        <v>0</v>
      </c>
      <c r="CQ351" s="844">
        <v>0</v>
      </c>
      <c r="CR351" s="844">
        <v>0</v>
      </c>
      <c r="CS351" s="844">
        <v>0</v>
      </c>
      <c r="CT351" s="844">
        <v>0</v>
      </c>
      <c r="CU351" s="844">
        <v>0</v>
      </c>
      <c r="CV351" s="844">
        <v>0</v>
      </c>
      <c r="CW351" s="844">
        <v>0</v>
      </c>
      <c r="CX351" s="844">
        <v>0</v>
      </c>
      <c r="CY351" s="844">
        <v>0</v>
      </c>
      <c r="CZ351" s="844">
        <v>0</v>
      </c>
      <c r="DA351" s="844">
        <v>0</v>
      </c>
      <c r="DB351" s="844">
        <v>0</v>
      </c>
      <c r="DC351" s="844">
        <v>0</v>
      </c>
      <c r="DD351" s="844">
        <v>0</v>
      </c>
      <c r="DE351" s="844">
        <v>0</v>
      </c>
      <c r="DF351" s="844">
        <v>0</v>
      </c>
      <c r="DG351" s="844">
        <v>0</v>
      </c>
      <c r="DH351" s="844">
        <v>0</v>
      </c>
      <c r="DI351" s="844">
        <v>0</v>
      </c>
      <c r="DJ351" s="844">
        <v>0</v>
      </c>
      <c r="DK351" s="844">
        <v>0</v>
      </c>
      <c r="DL351" s="844">
        <v>0</v>
      </c>
      <c r="DM351" s="844">
        <v>0</v>
      </c>
      <c r="DN351" s="844">
        <v>0</v>
      </c>
      <c r="DO351" s="844">
        <v>0</v>
      </c>
      <c r="DP351" s="844">
        <v>0</v>
      </c>
      <c r="DQ351" s="844">
        <v>0</v>
      </c>
      <c r="DR351" s="844">
        <v>0</v>
      </c>
      <c r="DS351" s="844">
        <v>0</v>
      </c>
      <c r="DT351" s="844">
        <v>0</v>
      </c>
      <c r="DU351" s="844">
        <v>0</v>
      </c>
      <c r="DV351" s="844">
        <v>0</v>
      </c>
      <c r="DW351" s="844">
        <v>0</v>
      </c>
      <c r="DY351" s="846" t="s">
        <v>1060</v>
      </c>
      <c r="DZ351" s="846" t="s">
        <v>1382</v>
      </c>
      <c r="EA351" s="846" t="s">
        <v>96</v>
      </c>
      <c r="EB351" s="847">
        <v>36</v>
      </c>
      <c r="EC351" s="780" t="str">
        <f t="shared" si="13"/>
        <v>IWT060136</v>
      </c>
      <c r="ED351" s="847">
        <v>0</v>
      </c>
      <c r="EE351" s="847">
        <v>3103</v>
      </c>
      <c r="EF351" s="847">
        <v>8278</v>
      </c>
      <c r="EG351" s="847">
        <v>13555</v>
      </c>
      <c r="EH351" s="847">
        <v>18938</v>
      </c>
      <c r="EI351" s="847">
        <v>24428</v>
      </c>
      <c r="EJ351" s="847">
        <v>30028</v>
      </c>
      <c r="EK351" s="847">
        <v>30624</v>
      </c>
      <c r="EL351" s="847">
        <v>31234</v>
      </c>
      <c r="EM351" s="847">
        <v>31857</v>
      </c>
      <c r="EN351" s="847">
        <v>32494</v>
      </c>
      <c r="EO351" s="847">
        <v>33144</v>
      </c>
      <c r="EP351" s="847">
        <v>33807</v>
      </c>
      <c r="EQ351" s="847">
        <v>34483</v>
      </c>
      <c r="ER351" s="847">
        <v>35173</v>
      </c>
      <c r="ES351" s="847">
        <v>35876</v>
      </c>
      <c r="ET351" s="847">
        <v>36593</v>
      </c>
      <c r="EU351" s="847">
        <v>37325</v>
      </c>
      <c r="EV351" s="847">
        <v>38072</v>
      </c>
      <c r="EW351" s="847">
        <v>38833</v>
      </c>
      <c r="EX351" s="847">
        <v>39610</v>
      </c>
      <c r="EY351" s="847">
        <v>40402</v>
      </c>
      <c r="EZ351" s="847">
        <v>41210</v>
      </c>
      <c r="FA351" s="847">
        <v>42034</v>
      </c>
      <c r="FB351" s="847">
        <v>42875</v>
      </c>
      <c r="FC351" s="847">
        <v>43732</v>
      </c>
      <c r="FD351" s="847">
        <v>44607</v>
      </c>
      <c r="FE351" s="847">
        <v>45499</v>
      </c>
      <c r="FF351" s="847">
        <v>46409</v>
      </c>
      <c r="FG351" s="847">
        <v>47337</v>
      </c>
      <c r="FH351" s="847">
        <v>48284</v>
      </c>
      <c r="FI351" s="847">
        <v>49250</v>
      </c>
      <c r="FJ351" s="847">
        <v>50235</v>
      </c>
      <c r="FK351" s="847">
        <v>51239</v>
      </c>
      <c r="FL351" s="847">
        <v>52264</v>
      </c>
      <c r="FM351" s="847">
        <v>53309</v>
      </c>
      <c r="FN351" s="847">
        <v>54375</v>
      </c>
      <c r="FO351" s="847">
        <v>55463</v>
      </c>
      <c r="FP351" s="847">
        <v>56572</v>
      </c>
      <c r="FQ351" s="847">
        <v>57703</v>
      </c>
      <c r="FR351" s="847">
        <v>58857</v>
      </c>
      <c r="FS351" s="847">
        <v>60034</v>
      </c>
      <c r="FT351" s="847">
        <v>61235</v>
      </c>
      <c r="FU351" s="847">
        <v>62459</v>
      </c>
      <c r="FV351" s="847">
        <v>63701</v>
      </c>
      <c r="FW351" s="847">
        <v>64958</v>
      </c>
      <c r="FX351" s="847">
        <v>66230</v>
      </c>
      <c r="FY351" s="847">
        <v>67515</v>
      </c>
      <c r="FZ351" s="847">
        <v>68813</v>
      </c>
      <c r="GA351" s="847">
        <v>70125</v>
      </c>
      <c r="GB351" s="847">
        <v>71448</v>
      </c>
      <c r="GC351" s="847">
        <v>72784</v>
      </c>
      <c r="GD351" s="847">
        <v>74132</v>
      </c>
      <c r="GE351" s="847">
        <v>75490</v>
      </c>
      <c r="GF351" s="847">
        <v>76859</v>
      </c>
      <c r="GG351" s="847">
        <v>78236</v>
      </c>
      <c r="GH351" s="847">
        <v>79621</v>
      </c>
      <c r="GI351" s="847">
        <v>81014</v>
      </c>
      <c r="GJ351" s="847">
        <v>82414</v>
      </c>
      <c r="GK351" s="847">
        <v>83820</v>
      </c>
      <c r="GL351" s="847">
        <v>85233</v>
      </c>
      <c r="GM351" s="847">
        <v>86652</v>
      </c>
      <c r="GN351" s="847">
        <v>88075</v>
      </c>
      <c r="GO351" s="847">
        <v>89503</v>
      </c>
      <c r="GP351" s="847">
        <v>90935</v>
      </c>
      <c r="GQ351" s="847">
        <v>92370</v>
      </c>
      <c r="GR351" s="847">
        <v>93809</v>
      </c>
      <c r="GS351" s="847">
        <v>95250</v>
      </c>
      <c r="GT351" s="847">
        <v>96693</v>
      </c>
      <c r="GU351" s="847">
        <v>98139</v>
      </c>
      <c r="GV351" s="847">
        <v>99586</v>
      </c>
      <c r="GW351" s="847">
        <v>101037</v>
      </c>
      <c r="GX351" s="847">
        <v>102495</v>
      </c>
      <c r="GY351" s="847">
        <v>103975</v>
      </c>
      <c r="GZ351" s="847">
        <v>105550</v>
      </c>
      <c r="HA351" s="847">
        <v>106600</v>
      </c>
      <c r="HB351" s="847">
        <v>0</v>
      </c>
      <c r="HC351" s="847">
        <v>0</v>
      </c>
      <c r="HD351" s="847">
        <v>0</v>
      </c>
      <c r="HE351" s="847">
        <v>0</v>
      </c>
      <c r="HF351" s="847">
        <v>0</v>
      </c>
      <c r="HG351" s="847">
        <v>0</v>
      </c>
      <c r="HH351" s="847">
        <v>0</v>
      </c>
      <c r="HI351" s="847">
        <v>0</v>
      </c>
      <c r="HJ351" s="847">
        <v>0</v>
      </c>
      <c r="HK351" s="847">
        <v>0</v>
      </c>
      <c r="HL351" s="847">
        <v>0</v>
      </c>
      <c r="HM351" s="847">
        <v>0</v>
      </c>
      <c r="HN351" s="847">
        <v>0</v>
      </c>
      <c r="HO351" s="847">
        <v>0</v>
      </c>
      <c r="HP351" s="847">
        <v>0</v>
      </c>
      <c r="HQ351" s="847">
        <v>0</v>
      </c>
      <c r="HR351" s="847">
        <v>0</v>
      </c>
      <c r="HS351" s="847">
        <v>0</v>
      </c>
      <c r="HT351" s="847">
        <v>0</v>
      </c>
      <c r="HU351" s="847">
        <v>0</v>
      </c>
      <c r="HV351" s="847">
        <v>0</v>
      </c>
      <c r="HW351" s="847">
        <v>0</v>
      </c>
      <c r="HX351" s="847">
        <v>0</v>
      </c>
      <c r="HY351" s="847">
        <v>0</v>
      </c>
      <c r="HZ351" s="847">
        <v>0</v>
      </c>
      <c r="IA351" s="847">
        <v>0</v>
      </c>
      <c r="IB351" s="847">
        <v>0</v>
      </c>
      <c r="IC351" s="847">
        <v>0</v>
      </c>
      <c r="ID351" s="847">
        <v>0</v>
      </c>
      <c r="IE351" s="847">
        <v>0</v>
      </c>
      <c r="IF351" s="847">
        <v>0</v>
      </c>
      <c r="IG351" s="847">
        <v>0</v>
      </c>
      <c r="IH351" s="847">
        <v>0</v>
      </c>
      <c r="II351" s="847">
        <v>0</v>
      </c>
      <c r="IJ351" s="847">
        <v>0</v>
      </c>
      <c r="IK351" s="847">
        <v>0</v>
      </c>
    </row>
    <row r="352" spans="12:245" hidden="1">
      <c r="L352" s="843" t="s">
        <v>1060</v>
      </c>
      <c r="M352" s="843" t="s">
        <v>1382</v>
      </c>
      <c r="N352" s="843" t="s">
        <v>96</v>
      </c>
      <c r="O352" s="844">
        <v>37</v>
      </c>
      <c r="P352" s="780" t="str">
        <f t="shared" si="12"/>
        <v>IWT060137</v>
      </c>
      <c r="Q352" s="844">
        <v>2328</v>
      </c>
      <c r="R352" s="844">
        <v>6627</v>
      </c>
      <c r="S352" s="844">
        <v>11532</v>
      </c>
      <c r="T352" s="844">
        <v>17060</v>
      </c>
      <c r="U352" s="844">
        <v>23228</v>
      </c>
      <c r="V352" s="844">
        <v>29755</v>
      </c>
      <c r="W352" s="844">
        <v>30653</v>
      </c>
      <c r="X352" s="844">
        <v>31262</v>
      </c>
      <c r="Y352" s="844">
        <v>31886</v>
      </c>
      <c r="Z352" s="844">
        <v>32524</v>
      </c>
      <c r="AA352" s="844">
        <v>33174</v>
      </c>
      <c r="AB352" s="844">
        <v>33838</v>
      </c>
      <c r="AC352" s="844">
        <v>34515</v>
      </c>
      <c r="AD352" s="844">
        <v>35205</v>
      </c>
      <c r="AE352" s="844">
        <v>35909</v>
      </c>
      <c r="AF352" s="844">
        <v>36627</v>
      </c>
      <c r="AG352" s="844">
        <v>37360</v>
      </c>
      <c r="AH352" s="844">
        <v>38107</v>
      </c>
      <c r="AI352" s="844">
        <v>38869</v>
      </c>
      <c r="AJ352" s="844">
        <v>39646</v>
      </c>
      <c r="AK352" s="844">
        <v>40439</v>
      </c>
      <c r="AL352" s="844">
        <v>41248</v>
      </c>
      <c r="AM352" s="844">
        <v>42073</v>
      </c>
      <c r="AN352" s="844">
        <v>42914</v>
      </c>
      <c r="AO352" s="844">
        <v>43773</v>
      </c>
      <c r="AP352" s="844">
        <v>44648</v>
      </c>
      <c r="AQ352" s="844">
        <v>45541</v>
      </c>
      <c r="AR352" s="844">
        <v>46452</v>
      </c>
      <c r="AS352" s="844">
        <v>47381</v>
      </c>
      <c r="AT352" s="844">
        <v>48328</v>
      </c>
      <c r="AU352" s="844">
        <v>49295</v>
      </c>
      <c r="AV352" s="844">
        <v>50281</v>
      </c>
      <c r="AW352" s="844">
        <v>51286</v>
      </c>
      <c r="AX352" s="844">
        <v>52312</v>
      </c>
      <c r="AY352" s="844">
        <v>53358</v>
      </c>
      <c r="AZ352" s="844">
        <v>54425</v>
      </c>
      <c r="BA352" s="844">
        <v>55514</v>
      </c>
      <c r="BB352" s="844">
        <v>56624</v>
      </c>
      <c r="BC352" s="844">
        <v>57756</v>
      </c>
      <c r="BD352" s="844">
        <v>58911</v>
      </c>
      <c r="BE352" s="844">
        <v>60089</v>
      </c>
      <c r="BF352" s="844">
        <v>61291</v>
      </c>
      <c r="BG352" s="844">
        <v>62516</v>
      </c>
      <c r="BH352" s="844">
        <v>63763</v>
      </c>
      <c r="BI352" s="844">
        <v>65024</v>
      </c>
      <c r="BJ352" s="844">
        <v>66299</v>
      </c>
      <c r="BK352" s="844">
        <v>67588</v>
      </c>
      <c r="BL352" s="844">
        <v>68889</v>
      </c>
      <c r="BM352" s="844">
        <v>70204</v>
      </c>
      <c r="BN352" s="844">
        <v>71531</v>
      </c>
      <c r="BO352" s="844">
        <v>72869</v>
      </c>
      <c r="BP352" s="844">
        <v>74219</v>
      </c>
      <c r="BQ352" s="844">
        <v>75580</v>
      </c>
      <c r="BR352" s="844">
        <v>76949</v>
      </c>
      <c r="BS352" s="844">
        <v>78327</v>
      </c>
      <c r="BT352" s="844">
        <v>79712</v>
      </c>
      <c r="BU352" s="844">
        <v>81105</v>
      </c>
      <c r="BV352" s="844">
        <v>82506</v>
      </c>
      <c r="BW352" s="844">
        <v>83912</v>
      </c>
      <c r="BX352" s="844">
        <v>85325</v>
      </c>
      <c r="BY352" s="844">
        <v>86743</v>
      </c>
      <c r="BZ352" s="844">
        <v>88165</v>
      </c>
      <c r="CA352" s="844">
        <v>89592</v>
      </c>
      <c r="CB352" s="844">
        <v>91023</v>
      </c>
      <c r="CC352" s="844">
        <v>92457</v>
      </c>
      <c r="CD352" s="844">
        <v>93893</v>
      </c>
      <c r="CE352" s="844">
        <v>95333</v>
      </c>
      <c r="CF352" s="844">
        <v>96774</v>
      </c>
      <c r="CG352" s="844">
        <v>98219</v>
      </c>
      <c r="CH352" s="844">
        <v>99666</v>
      </c>
      <c r="CI352" s="844">
        <v>101120</v>
      </c>
      <c r="CJ352" s="844">
        <v>102596</v>
      </c>
      <c r="CK352" s="844">
        <v>104164</v>
      </c>
      <c r="CL352" s="844">
        <v>105200</v>
      </c>
      <c r="CM352" s="844">
        <v>0</v>
      </c>
      <c r="CN352" s="844">
        <v>0</v>
      </c>
      <c r="CO352" s="844">
        <v>0</v>
      </c>
      <c r="CP352" s="844">
        <v>0</v>
      </c>
      <c r="CQ352" s="844">
        <v>0</v>
      </c>
      <c r="CR352" s="844">
        <v>0</v>
      </c>
      <c r="CS352" s="844">
        <v>0</v>
      </c>
      <c r="CT352" s="844">
        <v>0</v>
      </c>
      <c r="CU352" s="844">
        <v>0</v>
      </c>
      <c r="CV352" s="844">
        <v>0</v>
      </c>
      <c r="CW352" s="844">
        <v>0</v>
      </c>
      <c r="CX352" s="844">
        <v>0</v>
      </c>
      <c r="CY352" s="844">
        <v>0</v>
      </c>
      <c r="CZ352" s="844">
        <v>0</v>
      </c>
      <c r="DA352" s="844">
        <v>0</v>
      </c>
      <c r="DB352" s="844">
        <v>0</v>
      </c>
      <c r="DC352" s="844">
        <v>0</v>
      </c>
      <c r="DD352" s="844">
        <v>0</v>
      </c>
      <c r="DE352" s="844">
        <v>0</v>
      </c>
      <c r="DF352" s="844">
        <v>0</v>
      </c>
      <c r="DG352" s="844">
        <v>0</v>
      </c>
      <c r="DH352" s="844">
        <v>0</v>
      </c>
      <c r="DI352" s="844">
        <v>0</v>
      </c>
      <c r="DJ352" s="844">
        <v>0</v>
      </c>
      <c r="DK352" s="844">
        <v>0</v>
      </c>
      <c r="DL352" s="844">
        <v>0</v>
      </c>
      <c r="DM352" s="844">
        <v>0</v>
      </c>
      <c r="DN352" s="844">
        <v>0</v>
      </c>
      <c r="DO352" s="844">
        <v>0</v>
      </c>
      <c r="DP352" s="844">
        <v>0</v>
      </c>
      <c r="DQ352" s="844">
        <v>0</v>
      </c>
      <c r="DR352" s="844">
        <v>0</v>
      </c>
      <c r="DS352" s="844">
        <v>0</v>
      </c>
      <c r="DT352" s="844">
        <v>0</v>
      </c>
      <c r="DU352" s="844">
        <v>0</v>
      </c>
      <c r="DV352" s="844">
        <v>0</v>
      </c>
      <c r="DW352" s="844">
        <v>0</v>
      </c>
      <c r="DY352" s="846" t="s">
        <v>1060</v>
      </c>
      <c r="DZ352" s="846" t="s">
        <v>1382</v>
      </c>
      <c r="EA352" s="846" t="s">
        <v>96</v>
      </c>
      <c r="EB352" s="847">
        <v>37</v>
      </c>
      <c r="EC352" s="780" t="str">
        <f t="shared" si="13"/>
        <v>IWT060137</v>
      </c>
      <c r="ED352" s="847">
        <v>0</v>
      </c>
      <c r="EE352" s="847">
        <v>3104</v>
      </c>
      <c r="EF352" s="847">
        <v>8284</v>
      </c>
      <c r="EG352" s="847">
        <v>13567</v>
      </c>
      <c r="EH352" s="847">
        <v>18955</v>
      </c>
      <c r="EI352" s="847">
        <v>24451</v>
      </c>
      <c r="EJ352" s="847">
        <v>30056</v>
      </c>
      <c r="EK352" s="847">
        <v>30653</v>
      </c>
      <c r="EL352" s="847">
        <v>31262</v>
      </c>
      <c r="EM352" s="847">
        <v>31886</v>
      </c>
      <c r="EN352" s="847">
        <v>32524</v>
      </c>
      <c r="EO352" s="847">
        <v>33174</v>
      </c>
      <c r="EP352" s="847">
        <v>33838</v>
      </c>
      <c r="EQ352" s="847">
        <v>34515</v>
      </c>
      <c r="ER352" s="847">
        <v>35205</v>
      </c>
      <c r="ES352" s="847">
        <v>35909</v>
      </c>
      <c r="ET352" s="847">
        <v>36627</v>
      </c>
      <c r="EU352" s="847">
        <v>37360</v>
      </c>
      <c r="EV352" s="847">
        <v>38107</v>
      </c>
      <c r="EW352" s="847">
        <v>38869</v>
      </c>
      <c r="EX352" s="847">
        <v>39646</v>
      </c>
      <c r="EY352" s="847">
        <v>40439</v>
      </c>
      <c r="EZ352" s="847">
        <v>41248</v>
      </c>
      <c r="FA352" s="847">
        <v>42073</v>
      </c>
      <c r="FB352" s="847">
        <v>42914</v>
      </c>
      <c r="FC352" s="847">
        <v>43773</v>
      </c>
      <c r="FD352" s="847">
        <v>44648</v>
      </c>
      <c r="FE352" s="847">
        <v>45541</v>
      </c>
      <c r="FF352" s="847">
        <v>46452</v>
      </c>
      <c r="FG352" s="847">
        <v>47381</v>
      </c>
      <c r="FH352" s="847">
        <v>48328</v>
      </c>
      <c r="FI352" s="847">
        <v>49295</v>
      </c>
      <c r="FJ352" s="847">
        <v>50281</v>
      </c>
      <c r="FK352" s="847">
        <v>51286</v>
      </c>
      <c r="FL352" s="847">
        <v>52312</v>
      </c>
      <c r="FM352" s="847">
        <v>53358</v>
      </c>
      <c r="FN352" s="847">
        <v>54425</v>
      </c>
      <c r="FO352" s="847">
        <v>55514</v>
      </c>
      <c r="FP352" s="847">
        <v>56624</v>
      </c>
      <c r="FQ352" s="847">
        <v>57756</v>
      </c>
      <c r="FR352" s="847">
        <v>58911</v>
      </c>
      <c r="FS352" s="847">
        <v>60089</v>
      </c>
      <c r="FT352" s="847">
        <v>61291</v>
      </c>
      <c r="FU352" s="847">
        <v>62516</v>
      </c>
      <c r="FV352" s="847">
        <v>63763</v>
      </c>
      <c r="FW352" s="847">
        <v>65024</v>
      </c>
      <c r="FX352" s="847">
        <v>66299</v>
      </c>
      <c r="FY352" s="847">
        <v>67588</v>
      </c>
      <c r="FZ352" s="847">
        <v>68889</v>
      </c>
      <c r="GA352" s="847">
        <v>70204</v>
      </c>
      <c r="GB352" s="847">
        <v>71531</v>
      </c>
      <c r="GC352" s="847">
        <v>72869</v>
      </c>
      <c r="GD352" s="847">
        <v>74219</v>
      </c>
      <c r="GE352" s="847">
        <v>75580</v>
      </c>
      <c r="GF352" s="847">
        <v>76949</v>
      </c>
      <c r="GG352" s="847">
        <v>78327</v>
      </c>
      <c r="GH352" s="847">
        <v>79712</v>
      </c>
      <c r="GI352" s="847">
        <v>81105</v>
      </c>
      <c r="GJ352" s="847">
        <v>82506</v>
      </c>
      <c r="GK352" s="847">
        <v>83912</v>
      </c>
      <c r="GL352" s="847">
        <v>85325</v>
      </c>
      <c r="GM352" s="847">
        <v>86743</v>
      </c>
      <c r="GN352" s="847">
        <v>88165</v>
      </c>
      <c r="GO352" s="847">
        <v>89592</v>
      </c>
      <c r="GP352" s="847">
        <v>91023</v>
      </c>
      <c r="GQ352" s="847">
        <v>92457</v>
      </c>
      <c r="GR352" s="847">
        <v>93893</v>
      </c>
      <c r="GS352" s="847">
        <v>95333</v>
      </c>
      <c r="GT352" s="847">
        <v>96774</v>
      </c>
      <c r="GU352" s="847">
        <v>98219</v>
      </c>
      <c r="GV352" s="847">
        <v>99666</v>
      </c>
      <c r="GW352" s="847">
        <v>101120</v>
      </c>
      <c r="GX352" s="847">
        <v>102596</v>
      </c>
      <c r="GY352" s="847">
        <v>104164</v>
      </c>
      <c r="GZ352" s="847">
        <v>105200</v>
      </c>
      <c r="HA352" s="847">
        <v>0</v>
      </c>
      <c r="HB352" s="847">
        <v>0</v>
      </c>
      <c r="HC352" s="847">
        <v>0</v>
      </c>
      <c r="HD352" s="847">
        <v>0</v>
      </c>
      <c r="HE352" s="847">
        <v>0</v>
      </c>
      <c r="HF352" s="847">
        <v>0</v>
      </c>
      <c r="HG352" s="847">
        <v>0</v>
      </c>
      <c r="HH352" s="847">
        <v>0</v>
      </c>
      <c r="HI352" s="847">
        <v>0</v>
      </c>
      <c r="HJ352" s="847">
        <v>0</v>
      </c>
      <c r="HK352" s="847">
        <v>0</v>
      </c>
      <c r="HL352" s="847">
        <v>0</v>
      </c>
      <c r="HM352" s="847">
        <v>0</v>
      </c>
      <c r="HN352" s="847">
        <v>0</v>
      </c>
      <c r="HO352" s="847">
        <v>0</v>
      </c>
      <c r="HP352" s="847">
        <v>0</v>
      </c>
      <c r="HQ352" s="847">
        <v>0</v>
      </c>
      <c r="HR352" s="847">
        <v>0</v>
      </c>
      <c r="HS352" s="847">
        <v>0</v>
      </c>
      <c r="HT352" s="847">
        <v>0</v>
      </c>
      <c r="HU352" s="847">
        <v>0</v>
      </c>
      <c r="HV352" s="847">
        <v>0</v>
      </c>
      <c r="HW352" s="847">
        <v>0</v>
      </c>
      <c r="HX352" s="847">
        <v>0</v>
      </c>
      <c r="HY352" s="847">
        <v>0</v>
      </c>
      <c r="HZ352" s="847">
        <v>0</v>
      </c>
      <c r="IA352" s="847">
        <v>0</v>
      </c>
      <c r="IB352" s="847">
        <v>0</v>
      </c>
      <c r="IC352" s="847">
        <v>0</v>
      </c>
      <c r="ID352" s="847">
        <v>0</v>
      </c>
      <c r="IE352" s="847">
        <v>0</v>
      </c>
      <c r="IF352" s="847">
        <v>0</v>
      </c>
      <c r="IG352" s="847">
        <v>0</v>
      </c>
      <c r="IH352" s="847">
        <v>0</v>
      </c>
      <c r="II352" s="847">
        <v>0</v>
      </c>
      <c r="IJ352" s="847">
        <v>0</v>
      </c>
      <c r="IK352" s="847">
        <v>0</v>
      </c>
    </row>
    <row r="353" spans="12:245" hidden="1">
      <c r="L353" s="843" t="s">
        <v>1060</v>
      </c>
      <c r="M353" s="843" t="s">
        <v>1382</v>
      </c>
      <c r="N353" s="843" t="s">
        <v>96</v>
      </c>
      <c r="O353" s="844">
        <v>38</v>
      </c>
      <c r="P353" s="780" t="str">
        <f t="shared" si="12"/>
        <v>IWT060138</v>
      </c>
      <c r="Q353" s="844">
        <v>2329</v>
      </c>
      <c r="R353" s="844">
        <v>6631</v>
      </c>
      <c r="S353" s="844">
        <v>11540</v>
      </c>
      <c r="T353" s="844">
        <v>17073</v>
      </c>
      <c r="U353" s="844">
        <v>23247</v>
      </c>
      <c r="V353" s="844">
        <v>29781</v>
      </c>
      <c r="W353" s="844">
        <v>30678</v>
      </c>
      <c r="X353" s="844">
        <v>31288</v>
      </c>
      <c r="Y353" s="844">
        <v>31912</v>
      </c>
      <c r="Z353" s="844">
        <v>32550</v>
      </c>
      <c r="AA353" s="844">
        <v>33201</v>
      </c>
      <c r="AB353" s="844">
        <v>33865</v>
      </c>
      <c r="AC353" s="844">
        <v>34543</v>
      </c>
      <c r="AD353" s="844">
        <v>35234</v>
      </c>
      <c r="AE353" s="844">
        <v>35938</v>
      </c>
      <c r="AF353" s="844">
        <v>36657</v>
      </c>
      <c r="AG353" s="844">
        <v>37390</v>
      </c>
      <c r="AH353" s="844">
        <v>38138</v>
      </c>
      <c r="AI353" s="844">
        <v>38901</v>
      </c>
      <c r="AJ353" s="844">
        <v>39679</v>
      </c>
      <c r="AK353" s="844">
        <v>40472</v>
      </c>
      <c r="AL353" s="844">
        <v>41282</v>
      </c>
      <c r="AM353" s="844">
        <v>42107</v>
      </c>
      <c r="AN353" s="844">
        <v>42949</v>
      </c>
      <c r="AO353" s="844">
        <v>43808</v>
      </c>
      <c r="AP353" s="844">
        <v>44685</v>
      </c>
      <c r="AQ353" s="844">
        <v>45578</v>
      </c>
      <c r="AR353" s="844">
        <v>46490</v>
      </c>
      <c r="AS353" s="844">
        <v>47419</v>
      </c>
      <c r="AT353" s="844">
        <v>48368</v>
      </c>
      <c r="AU353" s="844">
        <v>49335</v>
      </c>
      <c r="AV353" s="844">
        <v>50322</v>
      </c>
      <c r="AW353" s="844">
        <v>51328</v>
      </c>
      <c r="AX353" s="844">
        <v>52355</v>
      </c>
      <c r="AY353" s="844">
        <v>53402</v>
      </c>
      <c r="AZ353" s="844">
        <v>54470</v>
      </c>
      <c r="BA353" s="844">
        <v>55559</v>
      </c>
      <c r="BB353" s="844">
        <v>56670</v>
      </c>
      <c r="BC353" s="844">
        <v>57803</v>
      </c>
      <c r="BD353" s="844">
        <v>58959</v>
      </c>
      <c r="BE353" s="844">
        <v>60138</v>
      </c>
      <c r="BF353" s="844">
        <v>61341</v>
      </c>
      <c r="BG353" s="844">
        <v>62567</v>
      </c>
      <c r="BH353" s="844">
        <v>63818</v>
      </c>
      <c r="BI353" s="844">
        <v>65083</v>
      </c>
      <c r="BJ353" s="844">
        <v>66362</v>
      </c>
      <c r="BK353" s="844">
        <v>67654</v>
      </c>
      <c r="BL353" s="844">
        <v>68959</v>
      </c>
      <c r="BM353" s="844">
        <v>70277</v>
      </c>
      <c r="BN353" s="844">
        <v>71607</v>
      </c>
      <c r="BO353" s="844">
        <v>72948</v>
      </c>
      <c r="BP353" s="844">
        <v>74301</v>
      </c>
      <c r="BQ353" s="844">
        <v>75662</v>
      </c>
      <c r="BR353" s="844">
        <v>77032</v>
      </c>
      <c r="BS353" s="844">
        <v>78411</v>
      </c>
      <c r="BT353" s="844">
        <v>79797</v>
      </c>
      <c r="BU353" s="844">
        <v>81191</v>
      </c>
      <c r="BV353" s="844">
        <v>82591</v>
      </c>
      <c r="BW353" s="844">
        <v>83998</v>
      </c>
      <c r="BX353" s="844">
        <v>85410</v>
      </c>
      <c r="BY353" s="844">
        <v>86827</v>
      </c>
      <c r="BZ353" s="844">
        <v>88249</v>
      </c>
      <c r="CA353" s="844">
        <v>89675</v>
      </c>
      <c r="CB353" s="844">
        <v>91104</v>
      </c>
      <c r="CC353" s="844">
        <v>92537</v>
      </c>
      <c r="CD353" s="844">
        <v>93972</v>
      </c>
      <c r="CE353" s="844">
        <v>95410</v>
      </c>
      <c r="CF353" s="844">
        <v>96851</v>
      </c>
      <c r="CG353" s="844">
        <v>98295</v>
      </c>
      <c r="CH353" s="844">
        <v>99746</v>
      </c>
      <c r="CI353" s="844">
        <v>101217</v>
      </c>
      <c r="CJ353" s="844">
        <v>102777</v>
      </c>
      <c r="CK353" s="844">
        <v>103800</v>
      </c>
      <c r="CL353" s="844">
        <v>0</v>
      </c>
      <c r="CM353" s="844">
        <v>0</v>
      </c>
      <c r="CN353" s="844">
        <v>0</v>
      </c>
      <c r="CO353" s="844">
        <v>0</v>
      </c>
      <c r="CP353" s="844">
        <v>0</v>
      </c>
      <c r="CQ353" s="844">
        <v>0</v>
      </c>
      <c r="CR353" s="844">
        <v>0</v>
      </c>
      <c r="CS353" s="844">
        <v>0</v>
      </c>
      <c r="CT353" s="844">
        <v>0</v>
      </c>
      <c r="CU353" s="844">
        <v>0</v>
      </c>
      <c r="CV353" s="844">
        <v>0</v>
      </c>
      <c r="CW353" s="844">
        <v>0</v>
      </c>
      <c r="CX353" s="844">
        <v>0</v>
      </c>
      <c r="CY353" s="844">
        <v>0</v>
      </c>
      <c r="CZ353" s="844">
        <v>0</v>
      </c>
      <c r="DA353" s="844">
        <v>0</v>
      </c>
      <c r="DB353" s="844">
        <v>0</v>
      </c>
      <c r="DC353" s="844">
        <v>0</v>
      </c>
      <c r="DD353" s="844">
        <v>0</v>
      </c>
      <c r="DE353" s="844">
        <v>0</v>
      </c>
      <c r="DF353" s="844">
        <v>0</v>
      </c>
      <c r="DG353" s="844">
        <v>0</v>
      </c>
      <c r="DH353" s="844">
        <v>0</v>
      </c>
      <c r="DI353" s="844">
        <v>0</v>
      </c>
      <c r="DJ353" s="844">
        <v>0</v>
      </c>
      <c r="DK353" s="844">
        <v>0</v>
      </c>
      <c r="DL353" s="844">
        <v>0</v>
      </c>
      <c r="DM353" s="844">
        <v>0</v>
      </c>
      <c r="DN353" s="844">
        <v>0</v>
      </c>
      <c r="DO353" s="844">
        <v>0</v>
      </c>
      <c r="DP353" s="844">
        <v>0</v>
      </c>
      <c r="DQ353" s="844">
        <v>0</v>
      </c>
      <c r="DR353" s="844">
        <v>0</v>
      </c>
      <c r="DS353" s="844">
        <v>0</v>
      </c>
      <c r="DT353" s="844">
        <v>0</v>
      </c>
      <c r="DU353" s="844">
        <v>0</v>
      </c>
      <c r="DV353" s="844">
        <v>0</v>
      </c>
      <c r="DW353" s="844">
        <v>0</v>
      </c>
      <c r="DY353" s="846" t="s">
        <v>1060</v>
      </c>
      <c r="DZ353" s="846" t="s">
        <v>1382</v>
      </c>
      <c r="EA353" s="846" t="s">
        <v>96</v>
      </c>
      <c r="EB353" s="847">
        <v>38</v>
      </c>
      <c r="EC353" s="780" t="str">
        <f t="shared" si="13"/>
        <v>IWT060138</v>
      </c>
      <c r="ED353" s="847">
        <v>0</v>
      </c>
      <c r="EE353" s="847">
        <v>3105</v>
      </c>
      <c r="EF353" s="847">
        <v>8289</v>
      </c>
      <c r="EG353" s="847">
        <v>13577</v>
      </c>
      <c r="EH353" s="847">
        <v>18970</v>
      </c>
      <c r="EI353" s="847">
        <v>24471</v>
      </c>
      <c r="EJ353" s="847">
        <v>30082</v>
      </c>
      <c r="EK353" s="847">
        <v>30678</v>
      </c>
      <c r="EL353" s="847">
        <v>31288</v>
      </c>
      <c r="EM353" s="847">
        <v>31912</v>
      </c>
      <c r="EN353" s="847">
        <v>32550</v>
      </c>
      <c r="EO353" s="847">
        <v>33201</v>
      </c>
      <c r="EP353" s="847">
        <v>33865</v>
      </c>
      <c r="EQ353" s="847">
        <v>34543</v>
      </c>
      <c r="ER353" s="847">
        <v>35234</v>
      </c>
      <c r="ES353" s="847">
        <v>35938</v>
      </c>
      <c r="ET353" s="847">
        <v>36657</v>
      </c>
      <c r="EU353" s="847">
        <v>37390</v>
      </c>
      <c r="EV353" s="847">
        <v>38138</v>
      </c>
      <c r="EW353" s="847">
        <v>38901</v>
      </c>
      <c r="EX353" s="847">
        <v>39679</v>
      </c>
      <c r="EY353" s="847">
        <v>40472</v>
      </c>
      <c r="EZ353" s="847">
        <v>41282</v>
      </c>
      <c r="FA353" s="847">
        <v>42107</v>
      </c>
      <c r="FB353" s="847">
        <v>42949</v>
      </c>
      <c r="FC353" s="847">
        <v>43808</v>
      </c>
      <c r="FD353" s="847">
        <v>44685</v>
      </c>
      <c r="FE353" s="847">
        <v>45578</v>
      </c>
      <c r="FF353" s="847">
        <v>46490</v>
      </c>
      <c r="FG353" s="847">
        <v>47419</v>
      </c>
      <c r="FH353" s="847">
        <v>48368</v>
      </c>
      <c r="FI353" s="847">
        <v>49335</v>
      </c>
      <c r="FJ353" s="847">
        <v>50322</v>
      </c>
      <c r="FK353" s="847">
        <v>51328</v>
      </c>
      <c r="FL353" s="847">
        <v>52355</v>
      </c>
      <c r="FM353" s="847">
        <v>53402</v>
      </c>
      <c r="FN353" s="847">
        <v>54470</v>
      </c>
      <c r="FO353" s="847">
        <v>55559</v>
      </c>
      <c r="FP353" s="847">
        <v>56670</v>
      </c>
      <c r="FQ353" s="847">
        <v>57803</v>
      </c>
      <c r="FR353" s="847">
        <v>58959</v>
      </c>
      <c r="FS353" s="847">
        <v>60138</v>
      </c>
      <c r="FT353" s="847">
        <v>61341</v>
      </c>
      <c r="FU353" s="847">
        <v>62567</v>
      </c>
      <c r="FV353" s="847">
        <v>63818</v>
      </c>
      <c r="FW353" s="847">
        <v>65083</v>
      </c>
      <c r="FX353" s="847">
        <v>66362</v>
      </c>
      <c r="FY353" s="847">
        <v>67654</v>
      </c>
      <c r="FZ353" s="847">
        <v>68959</v>
      </c>
      <c r="GA353" s="847">
        <v>70277</v>
      </c>
      <c r="GB353" s="847">
        <v>71607</v>
      </c>
      <c r="GC353" s="847">
        <v>72948</v>
      </c>
      <c r="GD353" s="847">
        <v>74301</v>
      </c>
      <c r="GE353" s="847">
        <v>75662</v>
      </c>
      <c r="GF353" s="847">
        <v>77032</v>
      </c>
      <c r="GG353" s="847">
        <v>78411</v>
      </c>
      <c r="GH353" s="847">
        <v>79797</v>
      </c>
      <c r="GI353" s="847">
        <v>81191</v>
      </c>
      <c r="GJ353" s="847">
        <v>82591</v>
      </c>
      <c r="GK353" s="847">
        <v>83998</v>
      </c>
      <c r="GL353" s="847">
        <v>85410</v>
      </c>
      <c r="GM353" s="847">
        <v>86827</v>
      </c>
      <c r="GN353" s="847">
        <v>88249</v>
      </c>
      <c r="GO353" s="847">
        <v>89675</v>
      </c>
      <c r="GP353" s="847">
        <v>91104</v>
      </c>
      <c r="GQ353" s="847">
        <v>92537</v>
      </c>
      <c r="GR353" s="847">
        <v>93972</v>
      </c>
      <c r="GS353" s="847">
        <v>95410</v>
      </c>
      <c r="GT353" s="847">
        <v>96851</v>
      </c>
      <c r="GU353" s="847">
        <v>98295</v>
      </c>
      <c r="GV353" s="847">
        <v>99746</v>
      </c>
      <c r="GW353" s="847">
        <v>101217</v>
      </c>
      <c r="GX353" s="847">
        <v>102777</v>
      </c>
      <c r="GY353" s="847">
        <v>103800</v>
      </c>
      <c r="GZ353" s="847">
        <v>0</v>
      </c>
      <c r="HA353" s="847">
        <v>0</v>
      </c>
      <c r="HB353" s="847">
        <v>0</v>
      </c>
      <c r="HC353" s="847">
        <v>0</v>
      </c>
      <c r="HD353" s="847">
        <v>0</v>
      </c>
      <c r="HE353" s="847">
        <v>0</v>
      </c>
      <c r="HF353" s="847">
        <v>0</v>
      </c>
      <c r="HG353" s="847">
        <v>0</v>
      </c>
      <c r="HH353" s="847">
        <v>0</v>
      </c>
      <c r="HI353" s="847">
        <v>0</v>
      </c>
      <c r="HJ353" s="847">
        <v>0</v>
      </c>
      <c r="HK353" s="847">
        <v>0</v>
      </c>
      <c r="HL353" s="847">
        <v>0</v>
      </c>
      <c r="HM353" s="847">
        <v>0</v>
      </c>
      <c r="HN353" s="847">
        <v>0</v>
      </c>
      <c r="HO353" s="847">
        <v>0</v>
      </c>
      <c r="HP353" s="847">
        <v>0</v>
      </c>
      <c r="HQ353" s="847">
        <v>0</v>
      </c>
      <c r="HR353" s="847">
        <v>0</v>
      </c>
      <c r="HS353" s="847">
        <v>0</v>
      </c>
      <c r="HT353" s="847">
        <v>0</v>
      </c>
      <c r="HU353" s="847">
        <v>0</v>
      </c>
      <c r="HV353" s="847">
        <v>0</v>
      </c>
      <c r="HW353" s="847">
        <v>0</v>
      </c>
      <c r="HX353" s="847">
        <v>0</v>
      </c>
      <c r="HY353" s="847">
        <v>0</v>
      </c>
      <c r="HZ353" s="847">
        <v>0</v>
      </c>
      <c r="IA353" s="847">
        <v>0</v>
      </c>
      <c r="IB353" s="847">
        <v>0</v>
      </c>
      <c r="IC353" s="847">
        <v>0</v>
      </c>
      <c r="ID353" s="847">
        <v>0</v>
      </c>
      <c r="IE353" s="847">
        <v>0</v>
      </c>
      <c r="IF353" s="847">
        <v>0</v>
      </c>
      <c r="IG353" s="847">
        <v>0</v>
      </c>
      <c r="IH353" s="847">
        <v>0</v>
      </c>
      <c r="II353" s="847">
        <v>0</v>
      </c>
      <c r="IJ353" s="847">
        <v>0</v>
      </c>
      <c r="IK353" s="847">
        <v>0</v>
      </c>
    </row>
    <row r="354" spans="12:245" hidden="1">
      <c r="L354" s="843" t="s">
        <v>1060</v>
      </c>
      <c r="M354" s="843" t="s">
        <v>1382</v>
      </c>
      <c r="N354" s="843" t="s">
        <v>96</v>
      </c>
      <c r="O354" s="844">
        <v>39</v>
      </c>
      <c r="P354" s="780" t="str">
        <f t="shared" si="12"/>
        <v>IWT060139</v>
      </c>
      <c r="Q354" s="844">
        <v>2328</v>
      </c>
      <c r="R354" s="844">
        <v>6635</v>
      </c>
      <c r="S354" s="844">
        <v>11548</v>
      </c>
      <c r="T354" s="844">
        <v>17086</v>
      </c>
      <c r="U354" s="844">
        <v>23266</v>
      </c>
      <c r="V354" s="844">
        <v>29805</v>
      </c>
      <c r="W354" s="844">
        <v>30702</v>
      </c>
      <c r="X354" s="844">
        <v>31312</v>
      </c>
      <c r="Y354" s="844">
        <v>31937</v>
      </c>
      <c r="Z354" s="844">
        <v>32575</v>
      </c>
      <c r="AA354" s="844">
        <v>33227</v>
      </c>
      <c r="AB354" s="844">
        <v>33891</v>
      </c>
      <c r="AC354" s="844">
        <v>34569</v>
      </c>
      <c r="AD354" s="844">
        <v>35261</v>
      </c>
      <c r="AE354" s="844">
        <v>35966</v>
      </c>
      <c r="AF354" s="844">
        <v>36685</v>
      </c>
      <c r="AG354" s="844">
        <v>37419</v>
      </c>
      <c r="AH354" s="844">
        <v>38167</v>
      </c>
      <c r="AI354" s="844">
        <v>38930</v>
      </c>
      <c r="AJ354" s="844">
        <v>39709</v>
      </c>
      <c r="AK354" s="844">
        <v>40503</v>
      </c>
      <c r="AL354" s="844">
        <v>41313</v>
      </c>
      <c r="AM354" s="844">
        <v>42139</v>
      </c>
      <c r="AN354" s="844">
        <v>42982</v>
      </c>
      <c r="AO354" s="844">
        <v>43842</v>
      </c>
      <c r="AP354" s="844">
        <v>44719</v>
      </c>
      <c r="AQ354" s="844">
        <v>45613</v>
      </c>
      <c r="AR354" s="844">
        <v>46525</v>
      </c>
      <c r="AS354" s="844">
        <v>47456</v>
      </c>
      <c r="AT354" s="844">
        <v>48405</v>
      </c>
      <c r="AU354" s="844">
        <v>49373</v>
      </c>
      <c r="AV354" s="844">
        <v>50360</v>
      </c>
      <c r="AW354" s="844">
        <v>51367</v>
      </c>
      <c r="AX354" s="844">
        <v>52395</v>
      </c>
      <c r="AY354" s="844">
        <v>53442</v>
      </c>
      <c r="AZ354" s="844">
        <v>54511</v>
      </c>
      <c r="BA354" s="844">
        <v>55601</v>
      </c>
      <c r="BB354" s="844">
        <v>56713</v>
      </c>
      <c r="BC354" s="844">
        <v>57847</v>
      </c>
      <c r="BD354" s="844">
        <v>59004</v>
      </c>
      <c r="BE354" s="844">
        <v>60184</v>
      </c>
      <c r="BF354" s="844">
        <v>61387</v>
      </c>
      <c r="BG354" s="844">
        <v>62615</v>
      </c>
      <c r="BH354" s="844">
        <v>63867</v>
      </c>
      <c r="BI354" s="844">
        <v>65136</v>
      </c>
      <c r="BJ354" s="844">
        <v>66419</v>
      </c>
      <c r="BK354" s="844">
        <v>67715</v>
      </c>
      <c r="BL354" s="844">
        <v>69024</v>
      </c>
      <c r="BM354" s="844">
        <v>70345</v>
      </c>
      <c r="BN354" s="844">
        <v>71678</v>
      </c>
      <c r="BO354" s="844">
        <v>73021</v>
      </c>
      <c r="BP354" s="844">
        <v>74375</v>
      </c>
      <c r="BQ354" s="844">
        <v>75738</v>
      </c>
      <c r="BR354" s="844">
        <v>77109</v>
      </c>
      <c r="BS354" s="844">
        <v>78489</v>
      </c>
      <c r="BT354" s="844">
        <v>79876</v>
      </c>
      <c r="BU354" s="844">
        <v>81270</v>
      </c>
      <c r="BV354" s="844">
        <v>82671</v>
      </c>
      <c r="BW354" s="844">
        <v>84078</v>
      </c>
      <c r="BX354" s="844">
        <v>85490</v>
      </c>
      <c r="BY354" s="844">
        <v>86906</v>
      </c>
      <c r="BZ354" s="844">
        <v>88327</v>
      </c>
      <c r="CA354" s="844">
        <v>89752</v>
      </c>
      <c r="CB354" s="844">
        <v>91181</v>
      </c>
      <c r="CC354" s="844">
        <v>92612</v>
      </c>
      <c r="CD354" s="844">
        <v>94046</v>
      </c>
      <c r="CE354" s="844">
        <v>95483</v>
      </c>
      <c r="CF354" s="844">
        <v>96924</v>
      </c>
      <c r="CG354" s="844">
        <v>98371</v>
      </c>
      <c r="CH354" s="844">
        <v>99839</v>
      </c>
      <c r="CI354" s="844">
        <v>101391</v>
      </c>
      <c r="CJ354" s="844">
        <v>102400</v>
      </c>
      <c r="CK354" s="844">
        <v>0</v>
      </c>
      <c r="CL354" s="844">
        <v>0</v>
      </c>
      <c r="CM354" s="844">
        <v>0</v>
      </c>
      <c r="CN354" s="844">
        <v>0</v>
      </c>
      <c r="CO354" s="844">
        <v>0</v>
      </c>
      <c r="CP354" s="844">
        <v>0</v>
      </c>
      <c r="CQ354" s="844">
        <v>0</v>
      </c>
      <c r="CR354" s="844">
        <v>0</v>
      </c>
      <c r="CS354" s="844">
        <v>0</v>
      </c>
      <c r="CT354" s="844">
        <v>0</v>
      </c>
      <c r="CU354" s="844">
        <v>0</v>
      </c>
      <c r="CV354" s="844">
        <v>0</v>
      </c>
      <c r="CW354" s="844">
        <v>0</v>
      </c>
      <c r="CX354" s="844">
        <v>0</v>
      </c>
      <c r="CY354" s="844">
        <v>0</v>
      </c>
      <c r="CZ354" s="844">
        <v>0</v>
      </c>
      <c r="DA354" s="844">
        <v>0</v>
      </c>
      <c r="DB354" s="844">
        <v>0</v>
      </c>
      <c r="DC354" s="844">
        <v>0</v>
      </c>
      <c r="DD354" s="844">
        <v>0</v>
      </c>
      <c r="DE354" s="844">
        <v>0</v>
      </c>
      <c r="DF354" s="844">
        <v>0</v>
      </c>
      <c r="DG354" s="844">
        <v>0</v>
      </c>
      <c r="DH354" s="844">
        <v>0</v>
      </c>
      <c r="DI354" s="844">
        <v>0</v>
      </c>
      <c r="DJ354" s="844">
        <v>0</v>
      </c>
      <c r="DK354" s="844">
        <v>0</v>
      </c>
      <c r="DL354" s="844">
        <v>0</v>
      </c>
      <c r="DM354" s="844">
        <v>0</v>
      </c>
      <c r="DN354" s="844">
        <v>0</v>
      </c>
      <c r="DO354" s="844">
        <v>0</v>
      </c>
      <c r="DP354" s="844">
        <v>0</v>
      </c>
      <c r="DQ354" s="844">
        <v>0</v>
      </c>
      <c r="DR354" s="844">
        <v>0</v>
      </c>
      <c r="DS354" s="844">
        <v>0</v>
      </c>
      <c r="DT354" s="844">
        <v>0</v>
      </c>
      <c r="DU354" s="844">
        <v>0</v>
      </c>
      <c r="DV354" s="844">
        <v>0</v>
      </c>
      <c r="DW354" s="844">
        <v>0</v>
      </c>
      <c r="DY354" s="846" t="s">
        <v>1060</v>
      </c>
      <c r="DZ354" s="846" t="s">
        <v>1382</v>
      </c>
      <c r="EA354" s="846" t="s">
        <v>96</v>
      </c>
      <c r="EB354" s="847">
        <v>39</v>
      </c>
      <c r="EC354" s="780" t="str">
        <f t="shared" si="13"/>
        <v>IWT060139</v>
      </c>
      <c r="ED354" s="847">
        <v>0</v>
      </c>
      <c r="EE354" s="847">
        <v>3104</v>
      </c>
      <c r="EF354" s="847">
        <v>8294</v>
      </c>
      <c r="EG354" s="847">
        <v>13586</v>
      </c>
      <c r="EH354" s="847">
        <v>18984</v>
      </c>
      <c r="EI354" s="847">
        <v>24490</v>
      </c>
      <c r="EJ354" s="847">
        <v>30106</v>
      </c>
      <c r="EK354" s="847">
        <v>30702</v>
      </c>
      <c r="EL354" s="847">
        <v>31312</v>
      </c>
      <c r="EM354" s="847">
        <v>31937</v>
      </c>
      <c r="EN354" s="847">
        <v>32575</v>
      </c>
      <c r="EO354" s="847">
        <v>33227</v>
      </c>
      <c r="EP354" s="847">
        <v>33891</v>
      </c>
      <c r="EQ354" s="847">
        <v>34569</v>
      </c>
      <c r="ER354" s="847">
        <v>35261</v>
      </c>
      <c r="ES354" s="847">
        <v>35966</v>
      </c>
      <c r="ET354" s="847">
        <v>36685</v>
      </c>
      <c r="EU354" s="847">
        <v>37419</v>
      </c>
      <c r="EV354" s="847">
        <v>38167</v>
      </c>
      <c r="EW354" s="847">
        <v>38930</v>
      </c>
      <c r="EX354" s="847">
        <v>39709</v>
      </c>
      <c r="EY354" s="847">
        <v>40503</v>
      </c>
      <c r="EZ354" s="847">
        <v>41313</v>
      </c>
      <c r="FA354" s="847">
        <v>42139</v>
      </c>
      <c r="FB354" s="847">
        <v>42982</v>
      </c>
      <c r="FC354" s="847">
        <v>43842</v>
      </c>
      <c r="FD354" s="847">
        <v>44719</v>
      </c>
      <c r="FE354" s="847">
        <v>45613</v>
      </c>
      <c r="FF354" s="847">
        <v>46525</v>
      </c>
      <c r="FG354" s="847">
        <v>47456</v>
      </c>
      <c r="FH354" s="847">
        <v>48405</v>
      </c>
      <c r="FI354" s="847">
        <v>49373</v>
      </c>
      <c r="FJ354" s="847">
        <v>50360</v>
      </c>
      <c r="FK354" s="847">
        <v>51367</v>
      </c>
      <c r="FL354" s="847">
        <v>52395</v>
      </c>
      <c r="FM354" s="847">
        <v>53442</v>
      </c>
      <c r="FN354" s="847">
        <v>54511</v>
      </c>
      <c r="FO354" s="847">
        <v>55601</v>
      </c>
      <c r="FP354" s="847">
        <v>56713</v>
      </c>
      <c r="FQ354" s="847">
        <v>57847</v>
      </c>
      <c r="FR354" s="847">
        <v>59004</v>
      </c>
      <c r="FS354" s="847">
        <v>60184</v>
      </c>
      <c r="FT354" s="847">
        <v>61387</v>
      </c>
      <c r="FU354" s="847">
        <v>62615</v>
      </c>
      <c r="FV354" s="847">
        <v>63867</v>
      </c>
      <c r="FW354" s="847">
        <v>65136</v>
      </c>
      <c r="FX354" s="847">
        <v>66419</v>
      </c>
      <c r="FY354" s="847">
        <v>67715</v>
      </c>
      <c r="FZ354" s="847">
        <v>69024</v>
      </c>
      <c r="GA354" s="847">
        <v>70345</v>
      </c>
      <c r="GB354" s="847">
        <v>71678</v>
      </c>
      <c r="GC354" s="847">
        <v>73021</v>
      </c>
      <c r="GD354" s="847">
        <v>74375</v>
      </c>
      <c r="GE354" s="847">
        <v>75738</v>
      </c>
      <c r="GF354" s="847">
        <v>77109</v>
      </c>
      <c r="GG354" s="847">
        <v>78489</v>
      </c>
      <c r="GH354" s="847">
        <v>79876</v>
      </c>
      <c r="GI354" s="847">
        <v>81270</v>
      </c>
      <c r="GJ354" s="847">
        <v>82671</v>
      </c>
      <c r="GK354" s="847">
        <v>84078</v>
      </c>
      <c r="GL354" s="847">
        <v>85490</v>
      </c>
      <c r="GM354" s="847">
        <v>86906</v>
      </c>
      <c r="GN354" s="847">
        <v>88327</v>
      </c>
      <c r="GO354" s="847">
        <v>89752</v>
      </c>
      <c r="GP354" s="847">
        <v>91181</v>
      </c>
      <c r="GQ354" s="847">
        <v>92612</v>
      </c>
      <c r="GR354" s="847">
        <v>94046</v>
      </c>
      <c r="GS354" s="847">
        <v>95483</v>
      </c>
      <c r="GT354" s="847">
        <v>96924</v>
      </c>
      <c r="GU354" s="847">
        <v>98371</v>
      </c>
      <c r="GV354" s="847">
        <v>99839</v>
      </c>
      <c r="GW354" s="847">
        <v>101391</v>
      </c>
      <c r="GX354" s="847">
        <v>102400</v>
      </c>
      <c r="GY354" s="847">
        <v>0</v>
      </c>
      <c r="GZ354" s="847">
        <v>0</v>
      </c>
      <c r="HA354" s="847">
        <v>0</v>
      </c>
      <c r="HB354" s="847">
        <v>0</v>
      </c>
      <c r="HC354" s="847">
        <v>0</v>
      </c>
      <c r="HD354" s="847">
        <v>0</v>
      </c>
      <c r="HE354" s="847">
        <v>0</v>
      </c>
      <c r="HF354" s="847">
        <v>0</v>
      </c>
      <c r="HG354" s="847">
        <v>0</v>
      </c>
      <c r="HH354" s="847">
        <v>0</v>
      </c>
      <c r="HI354" s="847">
        <v>0</v>
      </c>
      <c r="HJ354" s="847">
        <v>0</v>
      </c>
      <c r="HK354" s="847">
        <v>0</v>
      </c>
      <c r="HL354" s="847">
        <v>0</v>
      </c>
      <c r="HM354" s="847">
        <v>0</v>
      </c>
      <c r="HN354" s="847">
        <v>0</v>
      </c>
      <c r="HO354" s="847">
        <v>0</v>
      </c>
      <c r="HP354" s="847">
        <v>0</v>
      </c>
      <c r="HQ354" s="847">
        <v>0</v>
      </c>
      <c r="HR354" s="847">
        <v>0</v>
      </c>
      <c r="HS354" s="847">
        <v>0</v>
      </c>
      <c r="HT354" s="847">
        <v>0</v>
      </c>
      <c r="HU354" s="847">
        <v>0</v>
      </c>
      <c r="HV354" s="847">
        <v>0</v>
      </c>
      <c r="HW354" s="847">
        <v>0</v>
      </c>
      <c r="HX354" s="847">
        <v>0</v>
      </c>
      <c r="HY354" s="847">
        <v>0</v>
      </c>
      <c r="HZ354" s="847">
        <v>0</v>
      </c>
      <c r="IA354" s="847">
        <v>0</v>
      </c>
      <c r="IB354" s="847">
        <v>0</v>
      </c>
      <c r="IC354" s="847">
        <v>0</v>
      </c>
      <c r="ID354" s="847">
        <v>0</v>
      </c>
      <c r="IE354" s="847">
        <v>0</v>
      </c>
      <c r="IF354" s="847">
        <v>0</v>
      </c>
      <c r="IG354" s="847">
        <v>0</v>
      </c>
      <c r="IH354" s="847">
        <v>0</v>
      </c>
      <c r="II354" s="847">
        <v>0</v>
      </c>
      <c r="IJ354" s="847">
        <v>0</v>
      </c>
      <c r="IK354" s="847">
        <v>0</v>
      </c>
    </row>
    <row r="355" spans="12:245" hidden="1">
      <c r="L355" s="843" t="s">
        <v>1060</v>
      </c>
      <c r="M355" s="843" t="s">
        <v>1382</v>
      </c>
      <c r="N355" s="843" t="s">
        <v>96</v>
      </c>
      <c r="O355" s="844">
        <v>40</v>
      </c>
      <c r="P355" s="780" t="str">
        <f t="shared" si="12"/>
        <v>IWT060140</v>
      </c>
      <c r="Q355" s="844">
        <v>2328</v>
      </c>
      <c r="R355" s="844">
        <v>6638</v>
      </c>
      <c r="S355" s="844">
        <v>11556</v>
      </c>
      <c r="T355" s="844">
        <v>17097</v>
      </c>
      <c r="U355" s="844">
        <v>23282</v>
      </c>
      <c r="V355" s="844">
        <v>29826</v>
      </c>
      <c r="W355" s="844">
        <v>30724</v>
      </c>
      <c r="X355" s="844">
        <v>31334</v>
      </c>
      <c r="Y355" s="844">
        <v>31958</v>
      </c>
      <c r="Z355" s="844">
        <v>32598</v>
      </c>
      <c r="AA355" s="844">
        <v>33250</v>
      </c>
      <c r="AB355" s="844">
        <v>33915</v>
      </c>
      <c r="AC355" s="844">
        <v>34593</v>
      </c>
      <c r="AD355" s="844">
        <v>35285</v>
      </c>
      <c r="AE355" s="844">
        <v>35990</v>
      </c>
      <c r="AF355" s="844">
        <v>36710</v>
      </c>
      <c r="AG355" s="844">
        <v>37444</v>
      </c>
      <c r="AH355" s="844">
        <v>38193</v>
      </c>
      <c r="AI355" s="844">
        <v>38957</v>
      </c>
      <c r="AJ355" s="844">
        <v>39736</v>
      </c>
      <c r="AK355" s="844">
        <v>40531</v>
      </c>
      <c r="AL355" s="844">
        <v>41342</v>
      </c>
      <c r="AM355" s="844">
        <v>42168</v>
      </c>
      <c r="AN355" s="844">
        <v>43012</v>
      </c>
      <c r="AO355" s="844">
        <v>43872</v>
      </c>
      <c r="AP355" s="844">
        <v>44749</v>
      </c>
      <c r="AQ355" s="844">
        <v>45644</v>
      </c>
      <c r="AR355" s="844">
        <v>46557</v>
      </c>
      <c r="AS355" s="844">
        <v>47488</v>
      </c>
      <c r="AT355" s="844">
        <v>48438</v>
      </c>
      <c r="AU355" s="844">
        <v>49407</v>
      </c>
      <c r="AV355" s="844">
        <v>50395</v>
      </c>
      <c r="AW355" s="844">
        <v>51402</v>
      </c>
      <c r="AX355" s="844">
        <v>52430</v>
      </c>
      <c r="AY355" s="844">
        <v>53479</v>
      </c>
      <c r="AZ355" s="844">
        <v>54548</v>
      </c>
      <c r="BA355" s="844">
        <v>55639</v>
      </c>
      <c r="BB355" s="844">
        <v>56752</v>
      </c>
      <c r="BC355" s="844">
        <v>57887</v>
      </c>
      <c r="BD355" s="844">
        <v>59044</v>
      </c>
      <c r="BE355" s="844">
        <v>60225</v>
      </c>
      <c r="BF355" s="844">
        <v>61429</v>
      </c>
      <c r="BG355" s="844">
        <v>62658</v>
      </c>
      <c r="BH355" s="844">
        <v>63911</v>
      </c>
      <c r="BI355" s="844">
        <v>65184</v>
      </c>
      <c r="BJ355" s="844">
        <v>66471</v>
      </c>
      <c r="BK355" s="844">
        <v>67770</v>
      </c>
      <c r="BL355" s="844">
        <v>69083</v>
      </c>
      <c r="BM355" s="844">
        <v>70407</v>
      </c>
      <c r="BN355" s="844">
        <v>71742</v>
      </c>
      <c r="BO355" s="844">
        <v>73088</v>
      </c>
      <c r="BP355" s="844">
        <v>74443</v>
      </c>
      <c r="BQ355" s="844">
        <v>75808</v>
      </c>
      <c r="BR355" s="844">
        <v>77180</v>
      </c>
      <c r="BS355" s="844">
        <v>78561</v>
      </c>
      <c r="BT355" s="844">
        <v>79949</v>
      </c>
      <c r="BU355" s="844">
        <v>81344</v>
      </c>
      <c r="BV355" s="844">
        <v>82745</v>
      </c>
      <c r="BW355" s="844">
        <v>84152</v>
      </c>
      <c r="BX355" s="844">
        <v>85564</v>
      </c>
      <c r="BY355" s="844">
        <v>86980</v>
      </c>
      <c r="BZ355" s="844">
        <v>88400</v>
      </c>
      <c r="CA355" s="844">
        <v>89824</v>
      </c>
      <c r="CB355" s="844">
        <v>91252</v>
      </c>
      <c r="CC355" s="844">
        <v>92682</v>
      </c>
      <c r="CD355" s="844">
        <v>94115</v>
      </c>
      <c r="CE355" s="844">
        <v>95552</v>
      </c>
      <c r="CF355" s="844">
        <v>96996</v>
      </c>
      <c r="CG355" s="844">
        <v>98460</v>
      </c>
      <c r="CH355" s="844">
        <v>100005</v>
      </c>
      <c r="CI355" s="844">
        <v>101000</v>
      </c>
      <c r="CJ355" s="844">
        <v>0</v>
      </c>
      <c r="CK355" s="844">
        <v>0</v>
      </c>
      <c r="CL355" s="844">
        <v>0</v>
      </c>
      <c r="CM355" s="844">
        <v>0</v>
      </c>
      <c r="CN355" s="844">
        <v>0</v>
      </c>
      <c r="CO355" s="844">
        <v>0</v>
      </c>
      <c r="CP355" s="844">
        <v>0</v>
      </c>
      <c r="CQ355" s="844">
        <v>0</v>
      </c>
      <c r="CR355" s="844">
        <v>0</v>
      </c>
      <c r="CS355" s="844">
        <v>0</v>
      </c>
      <c r="CT355" s="844">
        <v>0</v>
      </c>
      <c r="CU355" s="844">
        <v>0</v>
      </c>
      <c r="CV355" s="844">
        <v>0</v>
      </c>
      <c r="CW355" s="844">
        <v>0</v>
      </c>
      <c r="CX355" s="844">
        <v>0</v>
      </c>
      <c r="CY355" s="844">
        <v>0</v>
      </c>
      <c r="CZ355" s="844">
        <v>0</v>
      </c>
      <c r="DA355" s="844">
        <v>0</v>
      </c>
      <c r="DB355" s="844">
        <v>0</v>
      </c>
      <c r="DC355" s="844">
        <v>0</v>
      </c>
      <c r="DD355" s="844">
        <v>0</v>
      </c>
      <c r="DE355" s="844">
        <v>0</v>
      </c>
      <c r="DF355" s="844">
        <v>0</v>
      </c>
      <c r="DG355" s="844">
        <v>0</v>
      </c>
      <c r="DH355" s="844">
        <v>0</v>
      </c>
      <c r="DI355" s="844">
        <v>0</v>
      </c>
      <c r="DJ355" s="844">
        <v>0</v>
      </c>
      <c r="DK355" s="844">
        <v>0</v>
      </c>
      <c r="DL355" s="844">
        <v>0</v>
      </c>
      <c r="DM355" s="844">
        <v>0</v>
      </c>
      <c r="DN355" s="844">
        <v>0</v>
      </c>
      <c r="DO355" s="844">
        <v>0</v>
      </c>
      <c r="DP355" s="844">
        <v>0</v>
      </c>
      <c r="DQ355" s="844">
        <v>0</v>
      </c>
      <c r="DR355" s="844">
        <v>0</v>
      </c>
      <c r="DS355" s="844">
        <v>0</v>
      </c>
      <c r="DT355" s="844">
        <v>0</v>
      </c>
      <c r="DU355" s="844">
        <v>0</v>
      </c>
      <c r="DV355" s="844">
        <v>0</v>
      </c>
      <c r="DW355" s="844">
        <v>0</v>
      </c>
      <c r="DY355" s="846" t="s">
        <v>1060</v>
      </c>
      <c r="DZ355" s="846" t="s">
        <v>1382</v>
      </c>
      <c r="EA355" s="846" t="s">
        <v>96</v>
      </c>
      <c r="EB355" s="847">
        <v>40</v>
      </c>
      <c r="EC355" s="780" t="str">
        <f t="shared" si="13"/>
        <v>IWT060140</v>
      </c>
      <c r="ED355" s="847">
        <v>0</v>
      </c>
      <c r="EE355" s="847">
        <v>3104</v>
      </c>
      <c r="EF355" s="847">
        <v>8298</v>
      </c>
      <c r="EG355" s="847">
        <v>13595</v>
      </c>
      <c r="EH355" s="847">
        <v>18997</v>
      </c>
      <c r="EI355" s="847">
        <v>24507</v>
      </c>
      <c r="EJ355" s="847">
        <v>30127</v>
      </c>
      <c r="EK355" s="847">
        <v>30724</v>
      </c>
      <c r="EL355" s="847">
        <v>31334</v>
      </c>
      <c r="EM355" s="847">
        <v>31958</v>
      </c>
      <c r="EN355" s="847">
        <v>32598</v>
      </c>
      <c r="EO355" s="847">
        <v>33250</v>
      </c>
      <c r="EP355" s="847">
        <v>33915</v>
      </c>
      <c r="EQ355" s="847">
        <v>34593</v>
      </c>
      <c r="ER355" s="847">
        <v>35285</v>
      </c>
      <c r="ES355" s="847">
        <v>35990</v>
      </c>
      <c r="ET355" s="847">
        <v>36710</v>
      </c>
      <c r="EU355" s="847">
        <v>37444</v>
      </c>
      <c r="EV355" s="847">
        <v>38193</v>
      </c>
      <c r="EW355" s="847">
        <v>38957</v>
      </c>
      <c r="EX355" s="847">
        <v>39736</v>
      </c>
      <c r="EY355" s="847">
        <v>40531</v>
      </c>
      <c r="EZ355" s="847">
        <v>41342</v>
      </c>
      <c r="FA355" s="847">
        <v>42168</v>
      </c>
      <c r="FB355" s="847">
        <v>43012</v>
      </c>
      <c r="FC355" s="847">
        <v>43872</v>
      </c>
      <c r="FD355" s="847">
        <v>44749</v>
      </c>
      <c r="FE355" s="847">
        <v>45644</v>
      </c>
      <c r="FF355" s="847">
        <v>46557</v>
      </c>
      <c r="FG355" s="847">
        <v>47488</v>
      </c>
      <c r="FH355" s="847">
        <v>48438</v>
      </c>
      <c r="FI355" s="847">
        <v>49407</v>
      </c>
      <c r="FJ355" s="847">
        <v>50395</v>
      </c>
      <c r="FK355" s="847">
        <v>51402</v>
      </c>
      <c r="FL355" s="847">
        <v>52430</v>
      </c>
      <c r="FM355" s="847">
        <v>53479</v>
      </c>
      <c r="FN355" s="847">
        <v>54548</v>
      </c>
      <c r="FO355" s="847">
        <v>55639</v>
      </c>
      <c r="FP355" s="847">
        <v>56752</v>
      </c>
      <c r="FQ355" s="847">
        <v>57887</v>
      </c>
      <c r="FR355" s="847">
        <v>59044</v>
      </c>
      <c r="FS355" s="847">
        <v>60225</v>
      </c>
      <c r="FT355" s="847">
        <v>61429</v>
      </c>
      <c r="FU355" s="847">
        <v>62658</v>
      </c>
      <c r="FV355" s="847">
        <v>63911</v>
      </c>
      <c r="FW355" s="847">
        <v>65184</v>
      </c>
      <c r="FX355" s="847">
        <v>66471</v>
      </c>
      <c r="FY355" s="847">
        <v>67770</v>
      </c>
      <c r="FZ355" s="847">
        <v>69083</v>
      </c>
      <c r="GA355" s="847">
        <v>70407</v>
      </c>
      <c r="GB355" s="847">
        <v>71742</v>
      </c>
      <c r="GC355" s="847">
        <v>73088</v>
      </c>
      <c r="GD355" s="847">
        <v>74443</v>
      </c>
      <c r="GE355" s="847">
        <v>75808</v>
      </c>
      <c r="GF355" s="847">
        <v>77180</v>
      </c>
      <c r="GG355" s="847">
        <v>78561</v>
      </c>
      <c r="GH355" s="847">
        <v>79949</v>
      </c>
      <c r="GI355" s="847">
        <v>81344</v>
      </c>
      <c r="GJ355" s="847">
        <v>82745</v>
      </c>
      <c r="GK355" s="847">
        <v>84152</v>
      </c>
      <c r="GL355" s="847">
        <v>85564</v>
      </c>
      <c r="GM355" s="847">
        <v>86980</v>
      </c>
      <c r="GN355" s="847">
        <v>88400</v>
      </c>
      <c r="GO355" s="847">
        <v>89824</v>
      </c>
      <c r="GP355" s="847">
        <v>91252</v>
      </c>
      <c r="GQ355" s="847">
        <v>92682</v>
      </c>
      <c r="GR355" s="847">
        <v>94115</v>
      </c>
      <c r="GS355" s="847">
        <v>95552</v>
      </c>
      <c r="GT355" s="847">
        <v>96996</v>
      </c>
      <c r="GU355" s="847">
        <v>98460</v>
      </c>
      <c r="GV355" s="847">
        <v>100005</v>
      </c>
      <c r="GW355" s="847">
        <v>101000</v>
      </c>
      <c r="GX355" s="847">
        <v>0</v>
      </c>
      <c r="GY355" s="847">
        <v>0</v>
      </c>
      <c r="GZ355" s="847">
        <v>0</v>
      </c>
      <c r="HA355" s="847">
        <v>0</v>
      </c>
      <c r="HB355" s="847">
        <v>0</v>
      </c>
      <c r="HC355" s="847">
        <v>0</v>
      </c>
      <c r="HD355" s="847">
        <v>0</v>
      </c>
      <c r="HE355" s="847">
        <v>0</v>
      </c>
      <c r="HF355" s="847">
        <v>0</v>
      </c>
      <c r="HG355" s="847">
        <v>0</v>
      </c>
      <c r="HH355" s="847">
        <v>0</v>
      </c>
      <c r="HI355" s="847">
        <v>0</v>
      </c>
      <c r="HJ355" s="847">
        <v>0</v>
      </c>
      <c r="HK355" s="847">
        <v>0</v>
      </c>
      <c r="HL355" s="847">
        <v>0</v>
      </c>
      <c r="HM355" s="847">
        <v>0</v>
      </c>
      <c r="HN355" s="847">
        <v>0</v>
      </c>
      <c r="HO355" s="847">
        <v>0</v>
      </c>
      <c r="HP355" s="847">
        <v>0</v>
      </c>
      <c r="HQ355" s="847">
        <v>0</v>
      </c>
      <c r="HR355" s="847">
        <v>0</v>
      </c>
      <c r="HS355" s="847">
        <v>0</v>
      </c>
      <c r="HT355" s="847">
        <v>0</v>
      </c>
      <c r="HU355" s="847">
        <v>0</v>
      </c>
      <c r="HV355" s="847">
        <v>0</v>
      </c>
      <c r="HW355" s="847">
        <v>0</v>
      </c>
      <c r="HX355" s="847">
        <v>0</v>
      </c>
      <c r="HY355" s="847">
        <v>0</v>
      </c>
      <c r="HZ355" s="847">
        <v>0</v>
      </c>
      <c r="IA355" s="847">
        <v>0</v>
      </c>
      <c r="IB355" s="847">
        <v>0</v>
      </c>
      <c r="IC355" s="847">
        <v>0</v>
      </c>
      <c r="ID355" s="847">
        <v>0</v>
      </c>
      <c r="IE355" s="847">
        <v>0</v>
      </c>
      <c r="IF355" s="847">
        <v>0</v>
      </c>
      <c r="IG355" s="847">
        <v>0</v>
      </c>
      <c r="IH355" s="847">
        <v>0</v>
      </c>
      <c r="II355" s="847">
        <v>0</v>
      </c>
      <c r="IJ355" s="847">
        <v>0</v>
      </c>
      <c r="IK355" s="847">
        <v>0</v>
      </c>
    </row>
    <row r="356" spans="12:245" hidden="1">
      <c r="L356" s="843" t="s">
        <v>1060</v>
      </c>
      <c r="M356" s="843" t="s">
        <v>1382</v>
      </c>
      <c r="N356" s="843" t="s">
        <v>96</v>
      </c>
      <c r="O356" s="844">
        <v>41</v>
      </c>
      <c r="P356" s="780" t="str">
        <f t="shared" si="12"/>
        <v>IWT060141</v>
      </c>
      <c r="Q356" s="844">
        <v>2327</v>
      </c>
      <c r="R356" s="844">
        <v>6641</v>
      </c>
      <c r="S356" s="844">
        <v>11562</v>
      </c>
      <c r="T356" s="844">
        <v>17107</v>
      </c>
      <c r="U356" s="844">
        <v>23296</v>
      </c>
      <c r="V356" s="844">
        <v>29845</v>
      </c>
      <c r="W356" s="844">
        <v>30743</v>
      </c>
      <c r="X356" s="844">
        <v>31353</v>
      </c>
      <c r="Y356" s="844">
        <v>31978</v>
      </c>
      <c r="Z356" s="844">
        <v>32617</v>
      </c>
      <c r="AA356" s="844">
        <v>33270</v>
      </c>
      <c r="AB356" s="844">
        <v>33935</v>
      </c>
      <c r="AC356" s="844">
        <v>34614</v>
      </c>
      <c r="AD356" s="844">
        <v>35306</v>
      </c>
      <c r="AE356" s="844">
        <v>36012</v>
      </c>
      <c r="AF356" s="844">
        <v>36732</v>
      </c>
      <c r="AG356" s="844">
        <v>37467</v>
      </c>
      <c r="AH356" s="844">
        <v>38216</v>
      </c>
      <c r="AI356" s="844">
        <v>38980</v>
      </c>
      <c r="AJ356" s="844">
        <v>39760</v>
      </c>
      <c r="AK356" s="844">
        <v>40555</v>
      </c>
      <c r="AL356" s="844">
        <v>41366</v>
      </c>
      <c r="AM356" s="844">
        <v>42194</v>
      </c>
      <c r="AN356" s="844">
        <v>43037</v>
      </c>
      <c r="AO356" s="844">
        <v>43898</v>
      </c>
      <c r="AP356" s="844">
        <v>44776</v>
      </c>
      <c r="AQ356" s="844">
        <v>45672</v>
      </c>
      <c r="AR356" s="844">
        <v>46585</v>
      </c>
      <c r="AS356" s="844">
        <v>47517</v>
      </c>
      <c r="AT356" s="844">
        <v>48467</v>
      </c>
      <c r="AU356" s="844">
        <v>49436</v>
      </c>
      <c r="AV356" s="844">
        <v>50425</v>
      </c>
      <c r="AW356" s="844">
        <v>51433</v>
      </c>
      <c r="AX356" s="844">
        <v>52462</v>
      </c>
      <c r="AY356" s="844">
        <v>53511</v>
      </c>
      <c r="AZ356" s="844">
        <v>54581</v>
      </c>
      <c r="BA356" s="844">
        <v>55672</v>
      </c>
      <c r="BB356" s="844">
        <v>56786</v>
      </c>
      <c r="BC356" s="844">
        <v>57921</v>
      </c>
      <c r="BD356" s="844">
        <v>59080</v>
      </c>
      <c r="BE356" s="844">
        <v>60261</v>
      </c>
      <c r="BF356" s="844">
        <v>61466</v>
      </c>
      <c r="BG356" s="844">
        <v>62695</v>
      </c>
      <c r="BH356" s="844">
        <v>63949</v>
      </c>
      <c r="BI356" s="844">
        <v>65226</v>
      </c>
      <c r="BJ356" s="844">
        <v>66517</v>
      </c>
      <c r="BK356" s="844">
        <v>67820</v>
      </c>
      <c r="BL356" s="844">
        <v>69136</v>
      </c>
      <c r="BM356" s="844">
        <v>70463</v>
      </c>
      <c r="BN356" s="844">
        <v>71801</v>
      </c>
      <c r="BO356" s="844">
        <v>73149</v>
      </c>
      <c r="BP356" s="844">
        <v>74506</v>
      </c>
      <c r="BQ356" s="844">
        <v>75872</v>
      </c>
      <c r="BR356" s="844">
        <v>77246</v>
      </c>
      <c r="BS356" s="844">
        <v>78628</v>
      </c>
      <c r="BT356" s="844">
        <v>80017</v>
      </c>
      <c r="BU356" s="844">
        <v>81413</v>
      </c>
      <c r="BV356" s="844">
        <v>82814</v>
      </c>
      <c r="BW356" s="844">
        <v>84221</v>
      </c>
      <c r="BX356" s="844">
        <v>85632</v>
      </c>
      <c r="BY356" s="844">
        <v>87048</v>
      </c>
      <c r="BZ356" s="844">
        <v>88468</v>
      </c>
      <c r="CA356" s="844">
        <v>89891</v>
      </c>
      <c r="CB356" s="844">
        <v>91318</v>
      </c>
      <c r="CC356" s="844">
        <v>92748</v>
      </c>
      <c r="CD356" s="844">
        <v>94181</v>
      </c>
      <c r="CE356" s="844">
        <v>95622</v>
      </c>
      <c r="CF356" s="844">
        <v>97081</v>
      </c>
      <c r="CG356" s="844">
        <v>98619</v>
      </c>
      <c r="CH356" s="844">
        <v>99600</v>
      </c>
      <c r="CI356" s="844">
        <v>0</v>
      </c>
      <c r="CJ356" s="844">
        <v>0</v>
      </c>
      <c r="CK356" s="844">
        <v>0</v>
      </c>
      <c r="CL356" s="844">
        <v>0</v>
      </c>
      <c r="CM356" s="844">
        <v>0</v>
      </c>
      <c r="CN356" s="844">
        <v>0</v>
      </c>
      <c r="CO356" s="844">
        <v>0</v>
      </c>
      <c r="CP356" s="844">
        <v>0</v>
      </c>
      <c r="CQ356" s="844">
        <v>0</v>
      </c>
      <c r="CR356" s="844">
        <v>0</v>
      </c>
      <c r="CS356" s="844">
        <v>0</v>
      </c>
      <c r="CT356" s="844">
        <v>0</v>
      </c>
      <c r="CU356" s="844">
        <v>0</v>
      </c>
      <c r="CV356" s="844">
        <v>0</v>
      </c>
      <c r="CW356" s="844">
        <v>0</v>
      </c>
      <c r="CX356" s="844">
        <v>0</v>
      </c>
      <c r="CY356" s="844">
        <v>0</v>
      </c>
      <c r="CZ356" s="844">
        <v>0</v>
      </c>
      <c r="DA356" s="844">
        <v>0</v>
      </c>
      <c r="DB356" s="844">
        <v>0</v>
      </c>
      <c r="DC356" s="844">
        <v>0</v>
      </c>
      <c r="DD356" s="844">
        <v>0</v>
      </c>
      <c r="DE356" s="844">
        <v>0</v>
      </c>
      <c r="DF356" s="844">
        <v>0</v>
      </c>
      <c r="DG356" s="844">
        <v>0</v>
      </c>
      <c r="DH356" s="844">
        <v>0</v>
      </c>
      <c r="DI356" s="844">
        <v>0</v>
      </c>
      <c r="DJ356" s="844">
        <v>0</v>
      </c>
      <c r="DK356" s="844">
        <v>0</v>
      </c>
      <c r="DL356" s="844">
        <v>0</v>
      </c>
      <c r="DM356" s="844">
        <v>0</v>
      </c>
      <c r="DN356" s="844">
        <v>0</v>
      </c>
      <c r="DO356" s="844">
        <v>0</v>
      </c>
      <c r="DP356" s="844">
        <v>0</v>
      </c>
      <c r="DQ356" s="844">
        <v>0</v>
      </c>
      <c r="DR356" s="844">
        <v>0</v>
      </c>
      <c r="DS356" s="844">
        <v>0</v>
      </c>
      <c r="DT356" s="844">
        <v>0</v>
      </c>
      <c r="DU356" s="844">
        <v>0</v>
      </c>
      <c r="DV356" s="844">
        <v>0</v>
      </c>
      <c r="DW356" s="844">
        <v>0</v>
      </c>
      <c r="DY356" s="846" t="s">
        <v>1060</v>
      </c>
      <c r="DZ356" s="846" t="s">
        <v>1382</v>
      </c>
      <c r="EA356" s="846" t="s">
        <v>96</v>
      </c>
      <c r="EB356" s="847">
        <v>41</v>
      </c>
      <c r="EC356" s="780" t="str">
        <f t="shared" si="13"/>
        <v>IWT060141</v>
      </c>
      <c r="ED356" s="847">
        <v>0</v>
      </c>
      <c r="EE356" s="847">
        <v>3103</v>
      </c>
      <c r="EF356" s="847">
        <v>8301</v>
      </c>
      <c r="EG356" s="847">
        <v>13602</v>
      </c>
      <c r="EH356" s="847">
        <v>19008</v>
      </c>
      <c r="EI356" s="847">
        <v>24522</v>
      </c>
      <c r="EJ356" s="847">
        <v>30146</v>
      </c>
      <c r="EK356" s="847">
        <v>30743</v>
      </c>
      <c r="EL356" s="847">
        <v>31353</v>
      </c>
      <c r="EM356" s="847">
        <v>31978</v>
      </c>
      <c r="EN356" s="847">
        <v>32617</v>
      </c>
      <c r="EO356" s="847">
        <v>33270</v>
      </c>
      <c r="EP356" s="847">
        <v>33935</v>
      </c>
      <c r="EQ356" s="847">
        <v>34614</v>
      </c>
      <c r="ER356" s="847">
        <v>35306</v>
      </c>
      <c r="ES356" s="847">
        <v>36012</v>
      </c>
      <c r="ET356" s="847">
        <v>36732</v>
      </c>
      <c r="EU356" s="847">
        <v>37467</v>
      </c>
      <c r="EV356" s="847">
        <v>38216</v>
      </c>
      <c r="EW356" s="847">
        <v>38980</v>
      </c>
      <c r="EX356" s="847">
        <v>39760</v>
      </c>
      <c r="EY356" s="847">
        <v>40555</v>
      </c>
      <c r="EZ356" s="847">
        <v>41366</v>
      </c>
      <c r="FA356" s="847">
        <v>42194</v>
      </c>
      <c r="FB356" s="847">
        <v>43037</v>
      </c>
      <c r="FC356" s="847">
        <v>43898</v>
      </c>
      <c r="FD356" s="847">
        <v>44776</v>
      </c>
      <c r="FE356" s="847">
        <v>45672</v>
      </c>
      <c r="FF356" s="847">
        <v>46585</v>
      </c>
      <c r="FG356" s="847">
        <v>47517</v>
      </c>
      <c r="FH356" s="847">
        <v>48467</v>
      </c>
      <c r="FI356" s="847">
        <v>49436</v>
      </c>
      <c r="FJ356" s="847">
        <v>50425</v>
      </c>
      <c r="FK356" s="847">
        <v>51433</v>
      </c>
      <c r="FL356" s="847">
        <v>52462</v>
      </c>
      <c r="FM356" s="847">
        <v>53511</v>
      </c>
      <c r="FN356" s="847">
        <v>54581</v>
      </c>
      <c r="FO356" s="847">
        <v>55672</v>
      </c>
      <c r="FP356" s="847">
        <v>56786</v>
      </c>
      <c r="FQ356" s="847">
        <v>57921</v>
      </c>
      <c r="FR356" s="847">
        <v>59080</v>
      </c>
      <c r="FS356" s="847">
        <v>60261</v>
      </c>
      <c r="FT356" s="847">
        <v>61466</v>
      </c>
      <c r="FU356" s="847">
        <v>62695</v>
      </c>
      <c r="FV356" s="847">
        <v>63949</v>
      </c>
      <c r="FW356" s="847">
        <v>65226</v>
      </c>
      <c r="FX356" s="847">
        <v>66517</v>
      </c>
      <c r="FY356" s="847">
        <v>67820</v>
      </c>
      <c r="FZ356" s="847">
        <v>69136</v>
      </c>
      <c r="GA356" s="847">
        <v>70463</v>
      </c>
      <c r="GB356" s="847">
        <v>71801</v>
      </c>
      <c r="GC356" s="847">
        <v>73149</v>
      </c>
      <c r="GD356" s="847">
        <v>74506</v>
      </c>
      <c r="GE356" s="847">
        <v>75872</v>
      </c>
      <c r="GF356" s="847">
        <v>77246</v>
      </c>
      <c r="GG356" s="847">
        <v>78628</v>
      </c>
      <c r="GH356" s="847">
        <v>80017</v>
      </c>
      <c r="GI356" s="847">
        <v>81413</v>
      </c>
      <c r="GJ356" s="847">
        <v>82814</v>
      </c>
      <c r="GK356" s="847">
        <v>84221</v>
      </c>
      <c r="GL356" s="847">
        <v>85632</v>
      </c>
      <c r="GM356" s="847">
        <v>87048</v>
      </c>
      <c r="GN356" s="847">
        <v>88468</v>
      </c>
      <c r="GO356" s="847">
        <v>89891</v>
      </c>
      <c r="GP356" s="847">
        <v>91318</v>
      </c>
      <c r="GQ356" s="847">
        <v>92748</v>
      </c>
      <c r="GR356" s="847">
        <v>94181</v>
      </c>
      <c r="GS356" s="847">
        <v>95622</v>
      </c>
      <c r="GT356" s="847">
        <v>97081</v>
      </c>
      <c r="GU356" s="847">
        <v>98619</v>
      </c>
      <c r="GV356" s="847">
        <v>99600</v>
      </c>
      <c r="GW356" s="847">
        <v>0</v>
      </c>
      <c r="GX356" s="847">
        <v>0</v>
      </c>
      <c r="GY356" s="847">
        <v>0</v>
      </c>
      <c r="GZ356" s="847">
        <v>0</v>
      </c>
      <c r="HA356" s="847">
        <v>0</v>
      </c>
      <c r="HB356" s="847">
        <v>0</v>
      </c>
      <c r="HC356" s="847">
        <v>0</v>
      </c>
      <c r="HD356" s="847">
        <v>0</v>
      </c>
      <c r="HE356" s="847">
        <v>0</v>
      </c>
      <c r="HF356" s="847">
        <v>0</v>
      </c>
      <c r="HG356" s="847">
        <v>0</v>
      </c>
      <c r="HH356" s="847">
        <v>0</v>
      </c>
      <c r="HI356" s="847">
        <v>0</v>
      </c>
      <c r="HJ356" s="847">
        <v>0</v>
      </c>
      <c r="HK356" s="847">
        <v>0</v>
      </c>
      <c r="HL356" s="847">
        <v>0</v>
      </c>
      <c r="HM356" s="847">
        <v>0</v>
      </c>
      <c r="HN356" s="847">
        <v>0</v>
      </c>
      <c r="HO356" s="847">
        <v>0</v>
      </c>
      <c r="HP356" s="847">
        <v>0</v>
      </c>
      <c r="HQ356" s="847">
        <v>0</v>
      </c>
      <c r="HR356" s="847">
        <v>0</v>
      </c>
      <c r="HS356" s="847">
        <v>0</v>
      </c>
      <c r="HT356" s="847">
        <v>0</v>
      </c>
      <c r="HU356" s="847">
        <v>0</v>
      </c>
      <c r="HV356" s="847">
        <v>0</v>
      </c>
      <c r="HW356" s="847">
        <v>0</v>
      </c>
      <c r="HX356" s="847">
        <v>0</v>
      </c>
      <c r="HY356" s="847">
        <v>0</v>
      </c>
      <c r="HZ356" s="847">
        <v>0</v>
      </c>
      <c r="IA356" s="847">
        <v>0</v>
      </c>
      <c r="IB356" s="847">
        <v>0</v>
      </c>
      <c r="IC356" s="847">
        <v>0</v>
      </c>
      <c r="ID356" s="847">
        <v>0</v>
      </c>
      <c r="IE356" s="847">
        <v>0</v>
      </c>
      <c r="IF356" s="847">
        <v>0</v>
      </c>
      <c r="IG356" s="847">
        <v>0</v>
      </c>
      <c r="IH356" s="847">
        <v>0</v>
      </c>
      <c r="II356" s="847">
        <v>0</v>
      </c>
      <c r="IJ356" s="847">
        <v>0</v>
      </c>
      <c r="IK356" s="847">
        <v>0</v>
      </c>
    </row>
    <row r="357" spans="12:245" hidden="1">
      <c r="L357" s="843" t="s">
        <v>1060</v>
      </c>
      <c r="M357" s="843" t="s">
        <v>1382</v>
      </c>
      <c r="N357" s="843" t="s">
        <v>96</v>
      </c>
      <c r="O357" s="844">
        <v>42</v>
      </c>
      <c r="P357" s="780" t="str">
        <f t="shared" si="12"/>
        <v>IWT060142</v>
      </c>
      <c r="Q357" s="844">
        <v>2327</v>
      </c>
      <c r="R357" s="844">
        <v>6642</v>
      </c>
      <c r="S357" s="844">
        <v>11567</v>
      </c>
      <c r="T357" s="844">
        <v>17116</v>
      </c>
      <c r="U357" s="844">
        <v>23309</v>
      </c>
      <c r="V357" s="844">
        <v>29862</v>
      </c>
      <c r="W357" s="844">
        <v>30760</v>
      </c>
      <c r="X357" s="844">
        <v>31370</v>
      </c>
      <c r="Y357" s="844">
        <v>31995</v>
      </c>
      <c r="Z357" s="844">
        <v>32635</v>
      </c>
      <c r="AA357" s="844">
        <v>33288</v>
      </c>
      <c r="AB357" s="844">
        <v>33954</v>
      </c>
      <c r="AC357" s="844">
        <v>34633</v>
      </c>
      <c r="AD357" s="844">
        <v>35326</v>
      </c>
      <c r="AE357" s="844">
        <v>36032</v>
      </c>
      <c r="AF357" s="844">
        <v>36753</v>
      </c>
      <c r="AG357" s="844">
        <v>37488</v>
      </c>
      <c r="AH357" s="844">
        <v>38237</v>
      </c>
      <c r="AI357" s="844">
        <v>39002</v>
      </c>
      <c r="AJ357" s="844">
        <v>39782</v>
      </c>
      <c r="AK357" s="844">
        <v>40578</v>
      </c>
      <c r="AL357" s="844">
        <v>41389</v>
      </c>
      <c r="AM357" s="844">
        <v>42217</v>
      </c>
      <c r="AN357" s="844">
        <v>43061</v>
      </c>
      <c r="AO357" s="844">
        <v>43923</v>
      </c>
      <c r="AP357" s="844">
        <v>44801</v>
      </c>
      <c r="AQ357" s="844">
        <v>45697</v>
      </c>
      <c r="AR357" s="844">
        <v>46611</v>
      </c>
      <c r="AS357" s="844">
        <v>47543</v>
      </c>
      <c r="AT357" s="844">
        <v>48494</v>
      </c>
      <c r="AU357" s="844">
        <v>49464</v>
      </c>
      <c r="AV357" s="844">
        <v>50453</v>
      </c>
      <c r="AW357" s="844">
        <v>51462</v>
      </c>
      <c r="AX357" s="844">
        <v>52491</v>
      </c>
      <c r="AY357" s="844">
        <v>53540</v>
      </c>
      <c r="AZ357" s="844">
        <v>54611</v>
      </c>
      <c r="BA357" s="844">
        <v>55703</v>
      </c>
      <c r="BB357" s="844">
        <v>56817</v>
      </c>
      <c r="BC357" s="844">
        <v>57953</v>
      </c>
      <c r="BD357" s="844">
        <v>59112</v>
      </c>
      <c r="BE357" s="844">
        <v>60294</v>
      </c>
      <c r="BF357" s="844">
        <v>61500</v>
      </c>
      <c r="BG357" s="844">
        <v>62730</v>
      </c>
      <c r="BH357" s="844">
        <v>63984</v>
      </c>
      <c r="BI357" s="844">
        <v>65263</v>
      </c>
      <c r="BJ357" s="844">
        <v>66558</v>
      </c>
      <c r="BK357" s="844">
        <v>67865</v>
      </c>
      <c r="BL357" s="844">
        <v>69184</v>
      </c>
      <c r="BM357" s="844">
        <v>70515</v>
      </c>
      <c r="BN357" s="844">
        <v>71855</v>
      </c>
      <c r="BO357" s="844">
        <v>73205</v>
      </c>
      <c r="BP357" s="844">
        <v>74564</v>
      </c>
      <c r="BQ357" s="844">
        <v>75932</v>
      </c>
      <c r="BR357" s="844">
        <v>77307</v>
      </c>
      <c r="BS357" s="844">
        <v>78690</v>
      </c>
      <c r="BT357" s="844">
        <v>80080</v>
      </c>
      <c r="BU357" s="844">
        <v>81476</v>
      </c>
      <c r="BV357" s="844">
        <v>82878</v>
      </c>
      <c r="BW357" s="844">
        <v>84285</v>
      </c>
      <c r="BX357" s="844">
        <v>85696</v>
      </c>
      <c r="BY357" s="844">
        <v>87112</v>
      </c>
      <c r="BZ357" s="844">
        <v>88531</v>
      </c>
      <c r="CA357" s="844">
        <v>89954</v>
      </c>
      <c r="CB357" s="844">
        <v>91380</v>
      </c>
      <c r="CC357" s="844">
        <v>92810</v>
      </c>
      <c r="CD357" s="844">
        <v>94247</v>
      </c>
      <c r="CE357" s="844">
        <v>95703</v>
      </c>
      <c r="CF357" s="844">
        <v>97232</v>
      </c>
      <c r="CG357" s="844">
        <v>98200</v>
      </c>
      <c r="CH357" s="844">
        <v>0</v>
      </c>
      <c r="CI357" s="844">
        <v>0</v>
      </c>
      <c r="CJ357" s="844">
        <v>0</v>
      </c>
      <c r="CK357" s="844">
        <v>0</v>
      </c>
      <c r="CL357" s="844">
        <v>0</v>
      </c>
      <c r="CM357" s="844">
        <v>0</v>
      </c>
      <c r="CN357" s="844">
        <v>0</v>
      </c>
      <c r="CO357" s="844">
        <v>0</v>
      </c>
      <c r="CP357" s="844">
        <v>0</v>
      </c>
      <c r="CQ357" s="844">
        <v>0</v>
      </c>
      <c r="CR357" s="844">
        <v>0</v>
      </c>
      <c r="CS357" s="844">
        <v>0</v>
      </c>
      <c r="CT357" s="844">
        <v>0</v>
      </c>
      <c r="CU357" s="844">
        <v>0</v>
      </c>
      <c r="CV357" s="844">
        <v>0</v>
      </c>
      <c r="CW357" s="844">
        <v>0</v>
      </c>
      <c r="CX357" s="844">
        <v>0</v>
      </c>
      <c r="CY357" s="844">
        <v>0</v>
      </c>
      <c r="CZ357" s="844">
        <v>0</v>
      </c>
      <c r="DA357" s="844">
        <v>0</v>
      </c>
      <c r="DB357" s="844">
        <v>0</v>
      </c>
      <c r="DC357" s="844">
        <v>0</v>
      </c>
      <c r="DD357" s="844">
        <v>0</v>
      </c>
      <c r="DE357" s="844">
        <v>0</v>
      </c>
      <c r="DF357" s="844">
        <v>0</v>
      </c>
      <c r="DG357" s="844">
        <v>0</v>
      </c>
      <c r="DH357" s="844">
        <v>0</v>
      </c>
      <c r="DI357" s="844">
        <v>0</v>
      </c>
      <c r="DJ357" s="844">
        <v>0</v>
      </c>
      <c r="DK357" s="844">
        <v>0</v>
      </c>
      <c r="DL357" s="844">
        <v>0</v>
      </c>
      <c r="DM357" s="844">
        <v>0</v>
      </c>
      <c r="DN357" s="844">
        <v>0</v>
      </c>
      <c r="DO357" s="844">
        <v>0</v>
      </c>
      <c r="DP357" s="844">
        <v>0</v>
      </c>
      <c r="DQ357" s="844">
        <v>0</v>
      </c>
      <c r="DR357" s="844">
        <v>0</v>
      </c>
      <c r="DS357" s="844">
        <v>0</v>
      </c>
      <c r="DT357" s="844">
        <v>0</v>
      </c>
      <c r="DU357" s="844">
        <v>0</v>
      </c>
      <c r="DV357" s="844">
        <v>0</v>
      </c>
      <c r="DW357" s="844">
        <v>0</v>
      </c>
      <c r="DY357" s="846" t="s">
        <v>1060</v>
      </c>
      <c r="DZ357" s="846" t="s">
        <v>1382</v>
      </c>
      <c r="EA357" s="846" t="s">
        <v>96</v>
      </c>
      <c r="EB357" s="847">
        <v>42</v>
      </c>
      <c r="EC357" s="780" t="str">
        <f t="shared" si="13"/>
        <v>IWT060142</v>
      </c>
      <c r="ED357" s="847">
        <v>0</v>
      </c>
      <c r="EE357" s="847">
        <v>3102</v>
      </c>
      <c r="EF357" s="847">
        <v>8303</v>
      </c>
      <c r="EG357" s="847">
        <v>13608</v>
      </c>
      <c r="EH357" s="847">
        <v>19018</v>
      </c>
      <c r="EI357" s="847">
        <v>24536</v>
      </c>
      <c r="EJ357" s="847">
        <v>30164</v>
      </c>
      <c r="EK357" s="847">
        <v>30760</v>
      </c>
      <c r="EL357" s="847">
        <v>31370</v>
      </c>
      <c r="EM357" s="847">
        <v>31995</v>
      </c>
      <c r="EN357" s="847">
        <v>32635</v>
      </c>
      <c r="EO357" s="847">
        <v>33288</v>
      </c>
      <c r="EP357" s="847">
        <v>33954</v>
      </c>
      <c r="EQ357" s="847">
        <v>34633</v>
      </c>
      <c r="ER357" s="847">
        <v>35326</v>
      </c>
      <c r="ES357" s="847">
        <v>36032</v>
      </c>
      <c r="ET357" s="847">
        <v>36753</v>
      </c>
      <c r="EU357" s="847">
        <v>37488</v>
      </c>
      <c r="EV357" s="847">
        <v>38237</v>
      </c>
      <c r="EW357" s="847">
        <v>39002</v>
      </c>
      <c r="EX357" s="847">
        <v>39782</v>
      </c>
      <c r="EY357" s="847">
        <v>40578</v>
      </c>
      <c r="EZ357" s="847">
        <v>41389</v>
      </c>
      <c r="FA357" s="847">
        <v>42217</v>
      </c>
      <c r="FB357" s="847">
        <v>43061</v>
      </c>
      <c r="FC357" s="847">
        <v>43923</v>
      </c>
      <c r="FD357" s="847">
        <v>44801</v>
      </c>
      <c r="FE357" s="847">
        <v>45697</v>
      </c>
      <c r="FF357" s="847">
        <v>46611</v>
      </c>
      <c r="FG357" s="847">
        <v>47543</v>
      </c>
      <c r="FH357" s="847">
        <v>48494</v>
      </c>
      <c r="FI357" s="847">
        <v>49464</v>
      </c>
      <c r="FJ357" s="847">
        <v>50453</v>
      </c>
      <c r="FK357" s="847">
        <v>51462</v>
      </c>
      <c r="FL357" s="847">
        <v>52491</v>
      </c>
      <c r="FM357" s="847">
        <v>53540</v>
      </c>
      <c r="FN357" s="847">
        <v>54611</v>
      </c>
      <c r="FO357" s="847">
        <v>55703</v>
      </c>
      <c r="FP357" s="847">
        <v>56817</v>
      </c>
      <c r="FQ357" s="847">
        <v>57953</v>
      </c>
      <c r="FR357" s="847">
        <v>59112</v>
      </c>
      <c r="FS357" s="847">
        <v>60294</v>
      </c>
      <c r="FT357" s="847">
        <v>61500</v>
      </c>
      <c r="FU357" s="847">
        <v>62730</v>
      </c>
      <c r="FV357" s="847">
        <v>63984</v>
      </c>
      <c r="FW357" s="847">
        <v>65263</v>
      </c>
      <c r="FX357" s="847">
        <v>66558</v>
      </c>
      <c r="FY357" s="847">
        <v>67865</v>
      </c>
      <c r="FZ357" s="847">
        <v>69184</v>
      </c>
      <c r="GA357" s="847">
        <v>70515</v>
      </c>
      <c r="GB357" s="847">
        <v>71855</v>
      </c>
      <c r="GC357" s="847">
        <v>73205</v>
      </c>
      <c r="GD357" s="847">
        <v>74564</v>
      </c>
      <c r="GE357" s="847">
        <v>75932</v>
      </c>
      <c r="GF357" s="847">
        <v>77307</v>
      </c>
      <c r="GG357" s="847">
        <v>78690</v>
      </c>
      <c r="GH357" s="847">
        <v>80080</v>
      </c>
      <c r="GI357" s="847">
        <v>81476</v>
      </c>
      <c r="GJ357" s="847">
        <v>82878</v>
      </c>
      <c r="GK357" s="847">
        <v>84285</v>
      </c>
      <c r="GL357" s="847">
        <v>85696</v>
      </c>
      <c r="GM357" s="847">
        <v>87112</v>
      </c>
      <c r="GN357" s="847">
        <v>88531</v>
      </c>
      <c r="GO357" s="847">
        <v>89954</v>
      </c>
      <c r="GP357" s="847">
        <v>91380</v>
      </c>
      <c r="GQ357" s="847">
        <v>92810</v>
      </c>
      <c r="GR357" s="847">
        <v>94247</v>
      </c>
      <c r="GS357" s="847">
        <v>95703</v>
      </c>
      <c r="GT357" s="847">
        <v>97232</v>
      </c>
      <c r="GU357" s="847">
        <v>98200</v>
      </c>
      <c r="GV357" s="847">
        <v>0</v>
      </c>
      <c r="GW357" s="847">
        <v>0</v>
      </c>
      <c r="GX357" s="847">
        <v>0</v>
      </c>
      <c r="GY357" s="847">
        <v>0</v>
      </c>
      <c r="GZ357" s="847">
        <v>0</v>
      </c>
      <c r="HA357" s="847">
        <v>0</v>
      </c>
      <c r="HB357" s="847">
        <v>0</v>
      </c>
      <c r="HC357" s="847">
        <v>0</v>
      </c>
      <c r="HD357" s="847">
        <v>0</v>
      </c>
      <c r="HE357" s="847">
        <v>0</v>
      </c>
      <c r="HF357" s="847">
        <v>0</v>
      </c>
      <c r="HG357" s="847">
        <v>0</v>
      </c>
      <c r="HH357" s="847">
        <v>0</v>
      </c>
      <c r="HI357" s="847">
        <v>0</v>
      </c>
      <c r="HJ357" s="847">
        <v>0</v>
      </c>
      <c r="HK357" s="847">
        <v>0</v>
      </c>
      <c r="HL357" s="847">
        <v>0</v>
      </c>
      <c r="HM357" s="847">
        <v>0</v>
      </c>
      <c r="HN357" s="847">
        <v>0</v>
      </c>
      <c r="HO357" s="847">
        <v>0</v>
      </c>
      <c r="HP357" s="847">
        <v>0</v>
      </c>
      <c r="HQ357" s="847">
        <v>0</v>
      </c>
      <c r="HR357" s="847">
        <v>0</v>
      </c>
      <c r="HS357" s="847">
        <v>0</v>
      </c>
      <c r="HT357" s="847">
        <v>0</v>
      </c>
      <c r="HU357" s="847">
        <v>0</v>
      </c>
      <c r="HV357" s="847">
        <v>0</v>
      </c>
      <c r="HW357" s="847">
        <v>0</v>
      </c>
      <c r="HX357" s="847">
        <v>0</v>
      </c>
      <c r="HY357" s="847">
        <v>0</v>
      </c>
      <c r="HZ357" s="847">
        <v>0</v>
      </c>
      <c r="IA357" s="847">
        <v>0</v>
      </c>
      <c r="IB357" s="847">
        <v>0</v>
      </c>
      <c r="IC357" s="847">
        <v>0</v>
      </c>
      <c r="ID357" s="847">
        <v>0</v>
      </c>
      <c r="IE357" s="847">
        <v>0</v>
      </c>
      <c r="IF357" s="847">
        <v>0</v>
      </c>
      <c r="IG357" s="847">
        <v>0</v>
      </c>
      <c r="IH357" s="847">
        <v>0</v>
      </c>
      <c r="II357" s="847">
        <v>0</v>
      </c>
      <c r="IJ357" s="847">
        <v>0</v>
      </c>
      <c r="IK357" s="847">
        <v>0</v>
      </c>
    </row>
    <row r="358" spans="12:245" hidden="1">
      <c r="L358" s="843" t="s">
        <v>1060</v>
      </c>
      <c r="M358" s="843" t="s">
        <v>1382</v>
      </c>
      <c r="N358" s="843" t="s">
        <v>96</v>
      </c>
      <c r="O358" s="844">
        <v>43</v>
      </c>
      <c r="P358" s="780" t="str">
        <f t="shared" si="12"/>
        <v>IWT060143</v>
      </c>
      <c r="Q358" s="844">
        <v>2325</v>
      </c>
      <c r="R358" s="844">
        <v>6644</v>
      </c>
      <c r="S358" s="844">
        <v>11572</v>
      </c>
      <c r="T358" s="844">
        <v>17124</v>
      </c>
      <c r="U358" s="844">
        <v>23322</v>
      </c>
      <c r="V358" s="844">
        <v>29879</v>
      </c>
      <c r="W358" s="844">
        <v>30776</v>
      </c>
      <c r="X358" s="844">
        <v>31386</v>
      </c>
      <c r="Y358" s="844">
        <v>32012</v>
      </c>
      <c r="Z358" s="844">
        <v>32652</v>
      </c>
      <c r="AA358" s="844">
        <v>33305</v>
      </c>
      <c r="AB358" s="844">
        <v>33971</v>
      </c>
      <c r="AC358" s="844">
        <v>34650</v>
      </c>
      <c r="AD358" s="844">
        <v>35343</v>
      </c>
      <c r="AE358" s="844">
        <v>36050</v>
      </c>
      <c r="AF358" s="844">
        <v>36771</v>
      </c>
      <c r="AG358" s="844">
        <v>37507</v>
      </c>
      <c r="AH358" s="844">
        <v>38257</v>
      </c>
      <c r="AI358" s="844">
        <v>39022</v>
      </c>
      <c r="AJ358" s="844">
        <v>39802</v>
      </c>
      <c r="AK358" s="844">
        <v>40598</v>
      </c>
      <c r="AL358" s="844">
        <v>41410</v>
      </c>
      <c r="AM358" s="844">
        <v>42238</v>
      </c>
      <c r="AN358" s="844">
        <v>43083</v>
      </c>
      <c r="AO358" s="844">
        <v>43945</v>
      </c>
      <c r="AP358" s="844">
        <v>44823</v>
      </c>
      <c r="AQ358" s="844">
        <v>45720</v>
      </c>
      <c r="AR358" s="844">
        <v>46634</v>
      </c>
      <c r="AS358" s="844">
        <v>47567</v>
      </c>
      <c r="AT358" s="844">
        <v>48518</v>
      </c>
      <c r="AU358" s="844">
        <v>49488</v>
      </c>
      <c r="AV358" s="844">
        <v>50478</v>
      </c>
      <c r="AW358" s="844">
        <v>51488</v>
      </c>
      <c r="AX358" s="844">
        <v>52517</v>
      </c>
      <c r="AY358" s="844">
        <v>53567</v>
      </c>
      <c r="AZ358" s="844">
        <v>54639</v>
      </c>
      <c r="BA358" s="844">
        <v>55731</v>
      </c>
      <c r="BB358" s="844">
        <v>56846</v>
      </c>
      <c r="BC358" s="844">
        <v>57982</v>
      </c>
      <c r="BD358" s="844">
        <v>59142</v>
      </c>
      <c r="BE358" s="844">
        <v>60324</v>
      </c>
      <c r="BF358" s="844">
        <v>61531</v>
      </c>
      <c r="BG358" s="844">
        <v>62761</v>
      </c>
      <c r="BH358" s="844">
        <v>64016</v>
      </c>
      <c r="BI358" s="844">
        <v>65296</v>
      </c>
      <c r="BJ358" s="844">
        <v>66594</v>
      </c>
      <c r="BK358" s="844">
        <v>67905</v>
      </c>
      <c r="BL358" s="844">
        <v>69228</v>
      </c>
      <c r="BM358" s="844">
        <v>70560</v>
      </c>
      <c r="BN358" s="844">
        <v>71903</v>
      </c>
      <c r="BO358" s="844">
        <v>73256</v>
      </c>
      <c r="BP358" s="844">
        <v>74617</v>
      </c>
      <c r="BQ358" s="844">
        <v>75986</v>
      </c>
      <c r="BR358" s="844">
        <v>77364</v>
      </c>
      <c r="BS358" s="844">
        <v>78748</v>
      </c>
      <c r="BT358" s="844">
        <v>80138</v>
      </c>
      <c r="BU358" s="844">
        <v>81535</v>
      </c>
      <c r="BV358" s="844">
        <v>82937</v>
      </c>
      <c r="BW358" s="844">
        <v>84344</v>
      </c>
      <c r="BX358" s="844">
        <v>85755</v>
      </c>
      <c r="BY358" s="844">
        <v>87171</v>
      </c>
      <c r="BZ358" s="844">
        <v>88590</v>
      </c>
      <c r="CA358" s="844">
        <v>90012</v>
      </c>
      <c r="CB358" s="844">
        <v>91439</v>
      </c>
      <c r="CC358" s="844">
        <v>92873</v>
      </c>
      <c r="CD358" s="844">
        <v>94324</v>
      </c>
      <c r="CE358" s="844">
        <v>95846</v>
      </c>
      <c r="CF358" s="844">
        <v>96800</v>
      </c>
      <c r="CG358" s="844">
        <v>0</v>
      </c>
      <c r="CH358" s="844">
        <v>0</v>
      </c>
      <c r="CI358" s="844">
        <v>0</v>
      </c>
      <c r="CJ358" s="844">
        <v>0</v>
      </c>
      <c r="CK358" s="844">
        <v>0</v>
      </c>
      <c r="CL358" s="844">
        <v>0</v>
      </c>
      <c r="CM358" s="844">
        <v>0</v>
      </c>
      <c r="CN358" s="844">
        <v>0</v>
      </c>
      <c r="CO358" s="844">
        <v>0</v>
      </c>
      <c r="CP358" s="844">
        <v>0</v>
      </c>
      <c r="CQ358" s="844">
        <v>0</v>
      </c>
      <c r="CR358" s="844">
        <v>0</v>
      </c>
      <c r="CS358" s="844">
        <v>0</v>
      </c>
      <c r="CT358" s="844">
        <v>0</v>
      </c>
      <c r="CU358" s="844">
        <v>0</v>
      </c>
      <c r="CV358" s="844">
        <v>0</v>
      </c>
      <c r="CW358" s="844">
        <v>0</v>
      </c>
      <c r="CX358" s="844">
        <v>0</v>
      </c>
      <c r="CY358" s="844">
        <v>0</v>
      </c>
      <c r="CZ358" s="844">
        <v>0</v>
      </c>
      <c r="DA358" s="844">
        <v>0</v>
      </c>
      <c r="DB358" s="844">
        <v>0</v>
      </c>
      <c r="DC358" s="844">
        <v>0</v>
      </c>
      <c r="DD358" s="844">
        <v>0</v>
      </c>
      <c r="DE358" s="844">
        <v>0</v>
      </c>
      <c r="DF358" s="844">
        <v>0</v>
      </c>
      <c r="DG358" s="844">
        <v>0</v>
      </c>
      <c r="DH358" s="844">
        <v>0</v>
      </c>
      <c r="DI358" s="844">
        <v>0</v>
      </c>
      <c r="DJ358" s="844">
        <v>0</v>
      </c>
      <c r="DK358" s="844">
        <v>0</v>
      </c>
      <c r="DL358" s="844">
        <v>0</v>
      </c>
      <c r="DM358" s="844">
        <v>0</v>
      </c>
      <c r="DN358" s="844">
        <v>0</v>
      </c>
      <c r="DO358" s="844">
        <v>0</v>
      </c>
      <c r="DP358" s="844">
        <v>0</v>
      </c>
      <c r="DQ358" s="844">
        <v>0</v>
      </c>
      <c r="DR358" s="844">
        <v>0</v>
      </c>
      <c r="DS358" s="844">
        <v>0</v>
      </c>
      <c r="DT358" s="844">
        <v>0</v>
      </c>
      <c r="DU358" s="844">
        <v>0</v>
      </c>
      <c r="DV358" s="844">
        <v>0</v>
      </c>
      <c r="DW358" s="844">
        <v>0</v>
      </c>
      <c r="DY358" s="846" t="s">
        <v>1060</v>
      </c>
      <c r="DZ358" s="846" t="s">
        <v>1382</v>
      </c>
      <c r="EA358" s="846" t="s">
        <v>96</v>
      </c>
      <c r="EB358" s="847">
        <v>43</v>
      </c>
      <c r="EC358" s="780" t="str">
        <f t="shared" si="13"/>
        <v>IWT060143</v>
      </c>
      <c r="ED358" s="847">
        <v>0</v>
      </c>
      <c r="EE358" s="847">
        <v>3100</v>
      </c>
      <c r="EF358" s="847">
        <v>8305</v>
      </c>
      <c r="EG358" s="847">
        <v>13614</v>
      </c>
      <c r="EH358" s="847">
        <v>19027</v>
      </c>
      <c r="EI358" s="847">
        <v>24549</v>
      </c>
      <c r="EJ358" s="847">
        <v>30181</v>
      </c>
      <c r="EK358" s="847">
        <v>30776</v>
      </c>
      <c r="EL358" s="847">
        <v>31386</v>
      </c>
      <c r="EM358" s="847">
        <v>32012</v>
      </c>
      <c r="EN358" s="847">
        <v>32652</v>
      </c>
      <c r="EO358" s="847">
        <v>33305</v>
      </c>
      <c r="EP358" s="847">
        <v>33971</v>
      </c>
      <c r="EQ358" s="847">
        <v>34650</v>
      </c>
      <c r="ER358" s="847">
        <v>35343</v>
      </c>
      <c r="ES358" s="847">
        <v>36050</v>
      </c>
      <c r="ET358" s="847">
        <v>36771</v>
      </c>
      <c r="EU358" s="847">
        <v>37507</v>
      </c>
      <c r="EV358" s="847">
        <v>38257</v>
      </c>
      <c r="EW358" s="847">
        <v>39022</v>
      </c>
      <c r="EX358" s="847">
        <v>39802</v>
      </c>
      <c r="EY358" s="847">
        <v>40598</v>
      </c>
      <c r="EZ358" s="847">
        <v>41410</v>
      </c>
      <c r="FA358" s="847">
        <v>42238</v>
      </c>
      <c r="FB358" s="847">
        <v>43083</v>
      </c>
      <c r="FC358" s="847">
        <v>43945</v>
      </c>
      <c r="FD358" s="847">
        <v>44823</v>
      </c>
      <c r="FE358" s="847">
        <v>45720</v>
      </c>
      <c r="FF358" s="847">
        <v>46634</v>
      </c>
      <c r="FG358" s="847">
        <v>47567</v>
      </c>
      <c r="FH358" s="847">
        <v>48518</v>
      </c>
      <c r="FI358" s="847">
        <v>49488</v>
      </c>
      <c r="FJ358" s="847">
        <v>50478</v>
      </c>
      <c r="FK358" s="847">
        <v>51488</v>
      </c>
      <c r="FL358" s="847">
        <v>52517</v>
      </c>
      <c r="FM358" s="847">
        <v>53567</v>
      </c>
      <c r="FN358" s="847">
        <v>54639</v>
      </c>
      <c r="FO358" s="847">
        <v>55731</v>
      </c>
      <c r="FP358" s="847">
        <v>56846</v>
      </c>
      <c r="FQ358" s="847">
        <v>57982</v>
      </c>
      <c r="FR358" s="847">
        <v>59142</v>
      </c>
      <c r="FS358" s="847">
        <v>60324</v>
      </c>
      <c r="FT358" s="847">
        <v>61531</v>
      </c>
      <c r="FU358" s="847">
        <v>62761</v>
      </c>
      <c r="FV358" s="847">
        <v>64016</v>
      </c>
      <c r="FW358" s="847">
        <v>65296</v>
      </c>
      <c r="FX358" s="847">
        <v>66594</v>
      </c>
      <c r="FY358" s="847">
        <v>67905</v>
      </c>
      <c r="FZ358" s="847">
        <v>69228</v>
      </c>
      <c r="GA358" s="847">
        <v>70560</v>
      </c>
      <c r="GB358" s="847">
        <v>71903</v>
      </c>
      <c r="GC358" s="847">
        <v>73256</v>
      </c>
      <c r="GD358" s="847">
        <v>74617</v>
      </c>
      <c r="GE358" s="847">
        <v>75986</v>
      </c>
      <c r="GF358" s="847">
        <v>77364</v>
      </c>
      <c r="GG358" s="847">
        <v>78748</v>
      </c>
      <c r="GH358" s="847">
        <v>80138</v>
      </c>
      <c r="GI358" s="847">
        <v>81535</v>
      </c>
      <c r="GJ358" s="847">
        <v>82937</v>
      </c>
      <c r="GK358" s="847">
        <v>84344</v>
      </c>
      <c r="GL358" s="847">
        <v>85755</v>
      </c>
      <c r="GM358" s="847">
        <v>87171</v>
      </c>
      <c r="GN358" s="847">
        <v>88590</v>
      </c>
      <c r="GO358" s="847">
        <v>90012</v>
      </c>
      <c r="GP358" s="847">
        <v>91439</v>
      </c>
      <c r="GQ358" s="847">
        <v>92873</v>
      </c>
      <c r="GR358" s="847">
        <v>94324</v>
      </c>
      <c r="GS358" s="847">
        <v>95846</v>
      </c>
      <c r="GT358" s="847">
        <v>96800</v>
      </c>
      <c r="GU358" s="847">
        <v>0</v>
      </c>
      <c r="GV358" s="847">
        <v>0</v>
      </c>
      <c r="GW358" s="847">
        <v>0</v>
      </c>
      <c r="GX358" s="847">
        <v>0</v>
      </c>
      <c r="GY358" s="847">
        <v>0</v>
      </c>
      <c r="GZ358" s="847">
        <v>0</v>
      </c>
      <c r="HA358" s="847">
        <v>0</v>
      </c>
      <c r="HB358" s="847">
        <v>0</v>
      </c>
      <c r="HC358" s="847">
        <v>0</v>
      </c>
      <c r="HD358" s="847">
        <v>0</v>
      </c>
      <c r="HE358" s="847">
        <v>0</v>
      </c>
      <c r="HF358" s="847">
        <v>0</v>
      </c>
      <c r="HG358" s="847">
        <v>0</v>
      </c>
      <c r="HH358" s="847">
        <v>0</v>
      </c>
      <c r="HI358" s="847">
        <v>0</v>
      </c>
      <c r="HJ358" s="847">
        <v>0</v>
      </c>
      <c r="HK358" s="847">
        <v>0</v>
      </c>
      <c r="HL358" s="847">
        <v>0</v>
      </c>
      <c r="HM358" s="847">
        <v>0</v>
      </c>
      <c r="HN358" s="847">
        <v>0</v>
      </c>
      <c r="HO358" s="847">
        <v>0</v>
      </c>
      <c r="HP358" s="847">
        <v>0</v>
      </c>
      <c r="HQ358" s="847">
        <v>0</v>
      </c>
      <c r="HR358" s="847">
        <v>0</v>
      </c>
      <c r="HS358" s="847">
        <v>0</v>
      </c>
      <c r="HT358" s="847">
        <v>0</v>
      </c>
      <c r="HU358" s="847">
        <v>0</v>
      </c>
      <c r="HV358" s="847">
        <v>0</v>
      </c>
      <c r="HW358" s="847">
        <v>0</v>
      </c>
      <c r="HX358" s="847">
        <v>0</v>
      </c>
      <c r="HY358" s="847">
        <v>0</v>
      </c>
      <c r="HZ358" s="847">
        <v>0</v>
      </c>
      <c r="IA358" s="847">
        <v>0</v>
      </c>
      <c r="IB358" s="847">
        <v>0</v>
      </c>
      <c r="IC358" s="847">
        <v>0</v>
      </c>
      <c r="ID358" s="847">
        <v>0</v>
      </c>
      <c r="IE358" s="847">
        <v>0</v>
      </c>
      <c r="IF358" s="847">
        <v>0</v>
      </c>
      <c r="IG358" s="847">
        <v>0</v>
      </c>
      <c r="IH358" s="847">
        <v>0</v>
      </c>
      <c r="II358" s="847">
        <v>0</v>
      </c>
      <c r="IJ358" s="847">
        <v>0</v>
      </c>
      <c r="IK358" s="847">
        <v>0</v>
      </c>
    </row>
    <row r="359" spans="12:245" hidden="1">
      <c r="L359" s="843" t="s">
        <v>1060</v>
      </c>
      <c r="M359" s="843" t="s">
        <v>1382</v>
      </c>
      <c r="N359" s="843" t="s">
        <v>96</v>
      </c>
      <c r="O359" s="844">
        <v>44</v>
      </c>
      <c r="P359" s="780" t="str">
        <f t="shared" si="12"/>
        <v>IWT060144</v>
      </c>
      <c r="Q359" s="844">
        <v>2324</v>
      </c>
      <c r="R359" s="844">
        <v>6646</v>
      </c>
      <c r="S359" s="844">
        <v>11575</v>
      </c>
      <c r="T359" s="844">
        <v>17132</v>
      </c>
      <c r="U359" s="844">
        <v>23332</v>
      </c>
      <c r="V359" s="844">
        <v>29893</v>
      </c>
      <c r="W359" s="844">
        <v>30790</v>
      </c>
      <c r="X359" s="844">
        <v>31400</v>
      </c>
      <c r="Y359" s="844">
        <v>32025</v>
      </c>
      <c r="Z359" s="844">
        <v>32666</v>
      </c>
      <c r="AA359" s="844">
        <v>33319</v>
      </c>
      <c r="AB359" s="844">
        <v>33986</v>
      </c>
      <c r="AC359" s="844">
        <v>34665</v>
      </c>
      <c r="AD359" s="844">
        <v>35359</v>
      </c>
      <c r="AE359" s="844">
        <v>36066</v>
      </c>
      <c r="AF359" s="844">
        <v>36787</v>
      </c>
      <c r="AG359" s="844">
        <v>37523</v>
      </c>
      <c r="AH359" s="844">
        <v>38273</v>
      </c>
      <c r="AI359" s="844">
        <v>39039</v>
      </c>
      <c r="AJ359" s="844">
        <v>39819</v>
      </c>
      <c r="AK359" s="844">
        <v>40616</v>
      </c>
      <c r="AL359" s="844">
        <v>41428</v>
      </c>
      <c r="AM359" s="844">
        <v>42257</v>
      </c>
      <c r="AN359" s="844">
        <v>43102</v>
      </c>
      <c r="AO359" s="844">
        <v>43964</v>
      </c>
      <c r="AP359" s="844">
        <v>44843</v>
      </c>
      <c r="AQ359" s="844">
        <v>45740</v>
      </c>
      <c r="AR359" s="844">
        <v>46654</v>
      </c>
      <c r="AS359" s="844">
        <v>47587</v>
      </c>
      <c r="AT359" s="844">
        <v>48539</v>
      </c>
      <c r="AU359" s="844">
        <v>49510</v>
      </c>
      <c r="AV359" s="844">
        <v>50500</v>
      </c>
      <c r="AW359" s="844">
        <v>51510</v>
      </c>
      <c r="AX359" s="844">
        <v>52540</v>
      </c>
      <c r="AY359" s="844">
        <v>53590</v>
      </c>
      <c r="AZ359" s="844">
        <v>54662</v>
      </c>
      <c r="BA359" s="844">
        <v>55755</v>
      </c>
      <c r="BB359" s="844">
        <v>56870</v>
      </c>
      <c r="BC359" s="844">
        <v>58007</v>
      </c>
      <c r="BD359" s="844">
        <v>59167</v>
      </c>
      <c r="BE359" s="844">
        <v>60350</v>
      </c>
      <c r="BF359" s="844">
        <v>61557</v>
      </c>
      <c r="BG359" s="844">
        <v>62788</v>
      </c>
      <c r="BH359" s="844">
        <v>64043</v>
      </c>
      <c r="BI359" s="844">
        <v>65324</v>
      </c>
      <c r="BJ359" s="844">
        <v>66626</v>
      </c>
      <c r="BK359" s="844">
        <v>67941</v>
      </c>
      <c r="BL359" s="844">
        <v>69266</v>
      </c>
      <c r="BM359" s="844">
        <v>70602</v>
      </c>
      <c r="BN359" s="844">
        <v>71947</v>
      </c>
      <c r="BO359" s="844">
        <v>73302</v>
      </c>
      <c r="BP359" s="844">
        <v>74665</v>
      </c>
      <c r="BQ359" s="844">
        <v>76037</v>
      </c>
      <c r="BR359" s="844">
        <v>77415</v>
      </c>
      <c r="BS359" s="844">
        <v>78801</v>
      </c>
      <c r="BT359" s="844">
        <v>80192</v>
      </c>
      <c r="BU359" s="844">
        <v>81590</v>
      </c>
      <c r="BV359" s="844">
        <v>82992</v>
      </c>
      <c r="BW359" s="844">
        <v>84399</v>
      </c>
      <c r="BX359" s="844">
        <v>85810</v>
      </c>
      <c r="BY359" s="844">
        <v>87226</v>
      </c>
      <c r="BZ359" s="844">
        <v>88645</v>
      </c>
      <c r="CA359" s="844">
        <v>90068</v>
      </c>
      <c r="CB359" s="844">
        <v>91498</v>
      </c>
      <c r="CC359" s="844">
        <v>92945</v>
      </c>
      <c r="CD359" s="844">
        <v>94460</v>
      </c>
      <c r="CE359" s="844">
        <v>95400</v>
      </c>
      <c r="CF359" s="844">
        <v>0</v>
      </c>
      <c r="CG359" s="844">
        <v>0</v>
      </c>
      <c r="CH359" s="844">
        <v>0</v>
      </c>
      <c r="CI359" s="844">
        <v>0</v>
      </c>
      <c r="CJ359" s="844">
        <v>0</v>
      </c>
      <c r="CK359" s="844">
        <v>0</v>
      </c>
      <c r="CL359" s="844">
        <v>0</v>
      </c>
      <c r="CM359" s="844">
        <v>0</v>
      </c>
      <c r="CN359" s="844">
        <v>0</v>
      </c>
      <c r="CO359" s="844">
        <v>0</v>
      </c>
      <c r="CP359" s="844">
        <v>0</v>
      </c>
      <c r="CQ359" s="844">
        <v>0</v>
      </c>
      <c r="CR359" s="844">
        <v>0</v>
      </c>
      <c r="CS359" s="844">
        <v>0</v>
      </c>
      <c r="CT359" s="844">
        <v>0</v>
      </c>
      <c r="CU359" s="844">
        <v>0</v>
      </c>
      <c r="CV359" s="844">
        <v>0</v>
      </c>
      <c r="CW359" s="844">
        <v>0</v>
      </c>
      <c r="CX359" s="844">
        <v>0</v>
      </c>
      <c r="CY359" s="844">
        <v>0</v>
      </c>
      <c r="CZ359" s="844">
        <v>0</v>
      </c>
      <c r="DA359" s="844">
        <v>0</v>
      </c>
      <c r="DB359" s="844">
        <v>0</v>
      </c>
      <c r="DC359" s="844">
        <v>0</v>
      </c>
      <c r="DD359" s="844">
        <v>0</v>
      </c>
      <c r="DE359" s="844">
        <v>0</v>
      </c>
      <c r="DF359" s="844">
        <v>0</v>
      </c>
      <c r="DG359" s="844">
        <v>0</v>
      </c>
      <c r="DH359" s="844">
        <v>0</v>
      </c>
      <c r="DI359" s="844">
        <v>0</v>
      </c>
      <c r="DJ359" s="844">
        <v>0</v>
      </c>
      <c r="DK359" s="844">
        <v>0</v>
      </c>
      <c r="DL359" s="844">
        <v>0</v>
      </c>
      <c r="DM359" s="844">
        <v>0</v>
      </c>
      <c r="DN359" s="844">
        <v>0</v>
      </c>
      <c r="DO359" s="844">
        <v>0</v>
      </c>
      <c r="DP359" s="844">
        <v>0</v>
      </c>
      <c r="DQ359" s="844">
        <v>0</v>
      </c>
      <c r="DR359" s="844">
        <v>0</v>
      </c>
      <c r="DS359" s="844">
        <v>0</v>
      </c>
      <c r="DT359" s="844">
        <v>0</v>
      </c>
      <c r="DU359" s="844">
        <v>0</v>
      </c>
      <c r="DV359" s="844">
        <v>0</v>
      </c>
      <c r="DW359" s="844">
        <v>0</v>
      </c>
      <c r="DY359" s="846" t="s">
        <v>1060</v>
      </c>
      <c r="DZ359" s="846" t="s">
        <v>1382</v>
      </c>
      <c r="EA359" s="846" t="s">
        <v>96</v>
      </c>
      <c r="EB359" s="847">
        <v>44</v>
      </c>
      <c r="EC359" s="780" t="str">
        <f t="shared" si="13"/>
        <v>IWT060144</v>
      </c>
      <c r="ED359" s="847">
        <v>0</v>
      </c>
      <c r="EE359" s="847">
        <v>3098</v>
      </c>
      <c r="EF359" s="847">
        <v>8307</v>
      </c>
      <c r="EG359" s="847">
        <v>13618</v>
      </c>
      <c r="EH359" s="847">
        <v>19035</v>
      </c>
      <c r="EI359" s="847">
        <v>24560</v>
      </c>
      <c r="EJ359" s="847">
        <v>30195</v>
      </c>
      <c r="EK359" s="847">
        <v>30790</v>
      </c>
      <c r="EL359" s="847">
        <v>31400</v>
      </c>
      <c r="EM359" s="847">
        <v>32025</v>
      </c>
      <c r="EN359" s="847">
        <v>32666</v>
      </c>
      <c r="EO359" s="847">
        <v>33319</v>
      </c>
      <c r="EP359" s="847">
        <v>33986</v>
      </c>
      <c r="EQ359" s="847">
        <v>34665</v>
      </c>
      <c r="ER359" s="847">
        <v>35359</v>
      </c>
      <c r="ES359" s="847">
        <v>36066</v>
      </c>
      <c r="ET359" s="847">
        <v>36787</v>
      </c>
      <c r="EU359" s="847">
        <v>37523</v>
      </c>
      <c r="EV359" s="847">
        <v>38273</v>
      </c>
      <c r="EW359" s="847">
        <v>39039</v>
      </c>
      <c r="EX359" s="847">
        <v>39819</v>
      </c>
      <c r="EY359" s="847">
        <v>40616</v>
      </c>
      <c r="EZ359" s="847">
        <v>41428</v>
      </c>
      <c r="FA359" s="847">
        <v>42257</v>
      </c>
      <c r="FB359" s="847">
        <v>43102</v>
      </c>
      <c r="FC359" s="847">
        <v>43964</v>
      </c>
      <c r="FD359" s="847">
        <v>44843</v>
      </c>
      <c r="FE359" s="847">
        <v>45740</v>
      </c>
      <c r="FF359" s="847">
        <v>46654</v>
      </c>
      <c r="FG359" s="847">
        <v>47587</v>
      </c>
      <c r="FH359" s="847">
        <v>48539</v>
      </c>
      <c r="FI359" s="847">
        <v>49510</v>
      </c>
      <c r="FJ359" s="847">
        <v>50500</v>
      </c>
      <c r="FK359" s="847">
        <v>51510</v>
      </c>
      <c r="FL359" s="847">
        <v>52540</v>
      </c>
      <c r="FM359" s="847">
        <v>53590</v>
      </c>
      <c r="FN359" s="847">
        <v>54662</v>
      </c>
      <c r="FO359" s="847">
        <v>55755</v>
      </c>
      <c r="FP359" s="847">
        <v>56870</v>
      </c>
      <c r="FQ359" s="847">
        <v>58007</v>
      </c>
      <c r="FR359" s="847">
        <v>59167</v>
      </c>
      <c r="FS359" s="847">
        <v>60350</v>
      </c>
      <c r="FT359" s="847">
        <v>61557</v>
      </c>
      <c r="FU359" s="847">
        <v>62788</v>
      </c>
      <c r="FV359" s="847">
        <v>64043</v>
      </c>
      <c r="FW359" s="847">
        <v>65324</v>
      </c>
      <c r="FX359" s="847">
        <v>66626</v>
      </c>
      <c r="FY359" s="847">
        <v>67941</v>
      </c>
      <c r="FZ359" s="847">
        <v>69266</v>
      </c>
      <c r="GA359" s="847">
        <v>70602</v>
      </c>
      <c r="GB359" s="847">
        <v>71947</v>
      </c>
      <c r="GC359" s="847">
        <v>73302</v>
      </c>
      <c r="GD359" s="847">
        <v>74665</v>
      </c>
      <c r="GE359" s="847">
        <v>76037</v>
      </c>
      <c r="GF359" s="847">
        <v>77415</v>
      </c>
      <c r="GG359" s="847">
        <v>78801</v>
      </c>
      <c r="GH359" s="847">
        <v>80192</v>
      </c>
      <c r="GI359" s="847">
        <v>81590</v>
      </c>
      <c r="GJ359" s="847">
        <v>82992</v>
      </c>
      <c r="GK359" s="847">
        <v>84399</v>
      </c>
      <c r="GL359" s="847">
        <v>85810</v>
      </c>
      <c r="GM359" s="847">
        <v>87226</v>
      </c>
      <c r="GN359" s="847">
        <v>88645</v>
      </c>
      <c r="GO359" s="847">
        <v>90068</v>
      </c>
      <c r="GP359" s="847">
        <v>91498</v>
      </c>
      <c r="GQ359" s="847">
        <v>92945</v>
      </c>
      <c r="GR359" s="847">
        <v>94460</v>
      </c>
      <c r="GS359" s="847">
        <v>95400</v>
      </c>
      <c r="GT359" s="847">
        <v>0</v>
      </c>
      <c r="GU359" s="847">
        <v>0</v>
      </c>
      <c r="GV359" s="847">
        <v>0</v>
      </c>
      <c r="GW359" s="847">
        <v>0</v>
      </c>
      <c r="GX359" s="847">
        <v>0</v>
      </c>
      <c r="GY359" s="847">
        <v>0</v>
      </c>
      <c r="GZ359" s="847">
        <v>0</v>
      </c>
      <c r="HA359" s="847">
        <v>0</v>
      </c>
      <c r="HB359" s="847">
        <v>0</v>
      </c>
      <c r="HC359" s="847">
        <v>0</v>
      </c>
      <c r="HD359" s="847">
        <v>0</v>
      </c>
      <c r="HE359" s="847">
        <v>0</v>
      </c>
      <c r="HF359" s="847">
        <v>0</v>
      </c>
      <c r="HG359" s="847">
        <v>0</v>
      </c>
      <c r="HH359" s="847">
        <v>0</v>
      </c>
      <c r="HI359" s="847">
        <v>0</v>
      </c>
      <c r="HJ359" s="847">
        <v>0</v>
      </c>
      <c r="HK359" s="847">
        <v>0</v>
      </c>
      <c r="HL359" s="847">
        <v>0</v>
      </c>
      <c r="HM359" s="847">
        <v>0</v>
      </c>
      <c r="HN359" s="847">
        <v>0</v>
      </c>
      <c r="HO359" s="847">
        <v>0</v>
      </c>
      <c r="HP359" s="847">
        <v>0</v>
      </c>
      <c r="HQ359" s="847">
        <v>0</v>
      </c>
      <c r="HR359" s="847">
        <v>0</v>
      </c>
      <c r="HS359" s="847">
        <v>0</v>
      </c>
      <c r="HT359" s="847">
        <v>0</v>
      </c>
      <c r="HU359" s="847">
        <v>0</v>
      </c>
      <c r="HV359" s="847">
        <v>0</v>
      </c>
      <c r="HW359" s="847">
        <v>0</v>
      </c>
      <c r="HX359" s="847">
        <v>0</v>
      </c>
      <c r="HY359" s="847">
        <v>0</v>
      </c>
      <c r="HZ359" s="847">
        <v>0</v>
      </c>
      <c r="IA359" s="847">
        <v>0</v>
      </c>
      <c r="IB359" s="847">
        <v>0</v>
      </c>
      <c r="IC359" s="847">
        <v>0</v>
      </c>
      <c r="ID359" s="847">
        <v>0</v>
      </c>
      <c r="IE359" s="847">
        <v>0</v>
      </c>
      <c r="IF359" s="847">
        <v>0</v>
      </c>
      <c r="IG359" s="847">
        <v>0</v>
      </c>
      <c r="IH359" s="847">
        <v>0</v>
      </c>
      <c r="II359" s="847">
        <v>0</v>
      </c>
      <c r="IJ359" s="847">
        <v>0</v>
      </c>
      <c r="IK359" s="847">
        <v>0</v>
      </c>
    </row>
    <row r="360" spans="12:245" hidden="1">
      <c r="L360" s="843" t="s">
        <v>1060</v>
      </c>
      <c r="M360" s="843" t="s">
        <v>1382</v>
      </c>
      <c r="N360" s="843" t="s">
        <v>96</v>
      </c>
      <c r="O360" s="844">
        <v>45</v>
      </c>
      <c r="P360" s="780" t="str">
        <f t="shared" si="12"/>
        <v>IWT060145</v>
      </c>
      <c r="Q360" s="844">
        <v>2322</v>
      </c>
      <c r="R360" s="844">
        <v>6646</v>
      </c>
      <c r="S360" s="844">
        <v>11579</v>
      </c>
      <c r="T360" s="844">
        <v>17137</v>
      </c>
      <c r="U360" s="844">
        <v>23341</v>
      </c>
      <c r="V360" s="844">
        <v>29905</v>
      </c>
      <c r="W360" s="844">
        <v>30802</v>
      </c>
      <c r="X360" s="844">
        <v>31412</v>
      </c>
      <c r="Y360" s="844">
        <v>32037</v>
      </c>
      <c r="Z360" s="844">
        <v>32678</v>
      </c>
      <c r="AA360" s="844">
        <v>33331</v>
      </c>
      <c r="AB360" s="844">
        <v>33998</v>
      </c>
      <c r="AC360" s="844">
        <v>34678</v>
      </c>
      <c r="AD360" s="844">
        <v>35371</v>
      </c>
      <c r="AE360" s="844">
        <v>36079</v>
      </c>
      <c r="AF360" s="844">
        <v>36800</v>
      </c>
      <c r="AG360" s="844">
        <v>37536</v>
      </c>
      <c r="AH360" s="844">
        <v>38287</v>
      </c>
      <c r="AI360" s="844">
        <v>39053</v>
      </c>
      <c r="AJ360" s="844">
        <v>39834</v>
      </c>
      <c r="AK360" s="844">
        <v>40631</v>
      </c>
      <c r="AL360" s="844">
        <v>41443</v>
      </c>
      <c r="AM360" s="844">
        <v>42272</v>
      </c>
      <c r="AN360" s="844">
        <v>43117</v>
      </c>
      <c r="AO360" s="844">
        <v>43980</v>
      </c>
      <c r="AP360" s="844">
        <v>44859</v>
      </c>
      <c r="AQ360" s="844">
        <v>45756</v>
      </c>
      <c r="AR360" s="844">
        <v>46671</v>
      </c>
      <c r="AS360" s="844">
        <v>47605</v>
      </c>
      <c r="AT360" s="844">
        <v>48557</v>
      </c>
      <c r="AU360" s="844">
        <v>49528</v>
      </c>
      <c r="AV360" s="844">
        <v>50518</v>
      </c>
      <c r="AW360" s="844">
        <v>51528</v>
      </c>
      <c r="AX360" s="844">
        <v>52559</v>
      </c>
      <c r="AY360" s="844">
        <v>53610</v>
      </c>
      <c r="AZ360" s="844">
        <v>54682</v>
      </c>
      <c r="BA360" s="844">
        <v>55775</v>
      </c>
      <c r="BB360" s="844">
        <v>56891</v>
      </c>
      <c r="BC360" s="844">
        <v>58028</v>
      </c>
      <c r="BD360" s="844">
        <v>59189</v>
      </c>
      <c r="BE360" s="844">
        <v>60372</v>
      </c>
      <c r="BF360" s="844">
        <v>61579</v>
      </c>
      <c r="BG360" s="844">
        <v>62810</v>
      </c>
      <c r="BH360" s="844">
        <v>64066</v>
      </c>
      <c r="BI360" s="844">
        <v>65347</v>
      </c>
      <c r="BJ360" s="844">
        <v>66654</v>
      </c>
      <c r="BK360" s="844">
        <v>67972</v>
      </c>
      <c r="BL360" s="844">
        <v>69300</v>
      </c>
      <c r="BM360" s="844">
        <v>70639</v>
      </c>
      <c r="BN360" s="844">
        <v>71987</v>
      </c>
      <c r="BO360" s="844">
        <v>73344</v>
      </c>
      <c r="BP360" s="844">
        <v>74710</v>
      </c>
      <c r="BQ360" s="844">
        <v>76083</v>
      </c>
      <c r="BR360" s="844">
        <v>77463</v>
      </c>
      <c r="BS360" s="844">
        <v>78849</v>
      </c>
      <c r="BT360" s="844">
        <v>80242</v>
      </c>
      <c r="BU360" s="844">
        <v>81640</v>
      </c>
      <c r="BV360" s="844">
        <v>83043</v>
      </c>
      <c r="BW360" s="844">
        <v>84450</v>
      </c>
      <c r="BX360" s="844">
        <v>85862</v>
      </c>
      <c r="BY360" s="844">
        <v>87277</v>
      </c>
      <c r="BZ360" s="844">
        <v>88697</v>
      </c>
      <c r="CA360" s="844">
        <v>90123</v>
      </c>
      <c r="CB360" s="844">
        <v>91567</v>
      </c>
      <c r="CC360" s="844">
        <v>93074</v>
      </c>
      <c r="CD360" s="844">
        <v>94000</v>
      </c>
      <c r="CE360" s="844">
        <v>0</v>
      </c>
      <c r="CF360" s="844">
        <v>0</v>
      </c>
      <c r="CG360" s="844">
        <v>0</v>
      </c>
      <c r="CH360" s="844">
        <v>0</v>
      </c>
      <c r="CI360" s="844">
        <v>0</v>
      </c>
      <c r="CJ360" s="844">
        <v>0</v>
      </c>
      <c r="CK360" s="844">
        <v>0</v>
      </c>
      <c r="CL360" s="844">
        <v>0</v>
      </c>
      <c r="CM360" s="844">
        <v>0</v>
      </c>
      <c r="CN360" s="844">
        <v>0</v>
      </c>
      <c r="CO360" s="844">
        <v>0</v>
      </c>
      <c r="CP360" s="844">
        <v>0</v>
      </c>
      <c r="CQ360" s="844">
        <v>0</v>
      </c>
      <c r="CR360" s="844">
        <v>0</v>
      </c>
      <c r="CS360" s="844">
        <v>0</v>
      </c>
      <c r="CT360" s="844">
        <v>0</v>
      </c>
      <c r="CU360" s="844">
        <v>0</v>
      </c>
      <c r="CV360" s="844">
        <v>0</v>
      </c>
      <c r="CW360" s="844">
        <v>0</v>
      </c>
      <c r="CX360" s="844">
        <v>0</v>
      </c>
      <c r="CY360" s="844">
        <v>0</v>
      </c>
      <c r="CZ360" s="844">
        <v>0</v>
      </c>
      <c r="DA360" s="844">
        <v>0</v>
      </c>
      <c r="DB360" s="844">
        <v>0</v>
      </c>
      <c r="DC360" s="844">
        <v>0</v>
      </c>
      <c r="DD360" s="844">
        <v>0</v>
      </c>
      <c r="DE360" s="844">
        <v>0</v>
      </c>
      <c r="DF360" s="844">
        <v>0</v>
      </c>
      <c r="DG360" s="844">
        <v>0</v>
      </c>
      <c r="DH360" s="844">
        <v>0</v>
      </c>
      <c r="DI360" s="844">
        <v>0</v>
      </c>
      <c r="DJ360" s="844">
        <v>0</v>
      </c>
      <c r="DK360" s="844">
        <v>0</v>
      </c>
      <c r="DL360" s="844">
        <v>0</v>
      </c>
      <c r="DM360" s="844">
        <v>0</v>
      </c>
      <c r="DN360" s="844">
        <v>0</v>
      </c>
      <c r="DO360" s="844">
        <v>0</v>
      </c>
      <c r="DP360" s="844">
        <v>0</v>
      </c>
      <c r="DQ360" s="844">
        <v>0</v>
      </c>
      <c r="DR360" s="844">
        <v>0</v>
      </c>
      <c r="DS360" s="844">
        <v>0</v>
      </c>
      <c r="DT360" s="844">
        <v>0</v>
      </c>
      <c r="DU360" s="844">
        <v>0</v>
      </c>
      <c r="DV360" s="844">
        <v>0</v>
      </c>
      <c r="DW360" s="844">
        <v>0</v>
      </c>
      <c r="DY360" s="846" t="s">
        <v>1060</v>
      </c>
      <c r="DZ360" s="846" t="s">
        <v>1382</v>
      </c>
      <c r="EA360" s="846" t="s">
        <v>96</v>
      </c>
      <c r="EB360" s="847">
        <v>45</v>
      </c>
      <c r="EC360" s="780" t="str">
        <f t="shared" si="13"/>
        <v>IWT060145</v>
      </c>
      <c r="ED360" s="847">
        <v>0</v>
      </c>
      <c r="EE360" s="847">
        <v>3096</v>
      </c>
      <c r="EF360" s="847">
        <v>8307</v>
      </c>
      <c r="EG360" s="847">
        <v>13622</v>
      </c>
      <c r="EH360" s="847">
        <v>19041</v>
      </c>
      <c r="EI360" s="847">
        <v>24569</v>
      </c>
      <c r="EJ360" s="847">
        <v>30207</v>
      </c>
      <c r="EK360" s="847">
        <v>30802</v>
      </c>
      <c r="EL360" s="847">
        <v>31412</v>
      </c>
      <c r="EM360" s="847">
        <v>32037</v>
      </c>
      <c r="EN360" s="847">
        <v>32678</v>
      </c>
      <c r="EO360" s="847">
        <v>33331</v>
      </c>
      <c r="EP360" s="847">
        <v>33998</v>
      </c>
      <c r="EQ360" s="847">
        <v>34678</v>
      </c>
      <c r="ER360" s="847">
        <v>35371</v>
      </c>
      <c r="ES360" s="847">
        <v>36079</v>
      </c>
      <c r="ET360" s="847">
        <v>36800</v>
      </c>
      <c r="EU360" s="847">
        <v>37536</v>
      </c>
      <c r="EV360" s="847">
        <v>38287</v>
      </c>
      <c r="EW360" s="847">
        <v>39053</v>
      </c>
      <c r="EX360" s="847">
        <v>39834</v>
      </c>
      <c r="EY360" s="847">
        <v>40631</v>
      </c>
      <c r="EZ360" s="847">
        <v>41443</v>
      </c>
      <c r="FA360" s="847">
        <v>42272</v>
      </c>
      <c r="FB360" s="847">
        <v>43117</v>
      </c>
      <c r="FC360" s="847">
        <v>43980</v>
      </c>
      <c r="FD360" s="847">
        <v>44859</v>
      </c>
      <c r="FE360" s="847">
        <v>45756</v>
      </c>
      <c r="FF360" s="847">
        <v>46671</v>
      </c>
      <c r="FG360" s="847">
        <v>47605</v>
      </c>
      <c r="FH360" s="847">
        <v>48557</v>
      </c>
      <c r="FI360" s="847">
        <v>49528</v>
      </c>
      <c r="FJ360" s="847">
        <v>50518</v>
      </c>
      <c r="FK360" s="847">
        <v>51528</v>
      </c>
      <c r="FL360" s="847">
        <v>52559</v>
      </c>
      <c r="FM360" s="847">
        <v>53610</v>
      </c>
      <c r="FN360" s="847">
        <v>54682</v>
      </c>
      <c r="FO360" s="847">
        <v>55775</v>
      </c>
      <c r="FP360" s="847">
        <v>56891</v>
      </c>
      <c r="FQ360" s="847">
        <v>58028</v>
      </c>
      <c r="FR360" s="847">
        <v>59189</v>
      </c>
      <c r="FS360" s="847">
        <v>60372</v>
      </c>
      <c r="FT360" s="847">
        <v>61579</v>
      </c>
      <c r="FU360" s="847">
        <v>62810</v>
      </c>
      <c r="FV360" s="847">
        <v>64066</v>
      </c>
      <c r="FW360" s="847">
        <v>65347</v>
      </c>
      <c r="FX360" s="847">
        <v>66654</v>
      </c>
      <c r="FY360" s="847">
        <v>67972</v>
      </c>
      <c r="FZ360" s="847">
        <v>69300</v>
      </c>
      <c r="GA360" s="847">
        <v>70639</v>
      </c>
      <c r="GB360" s="847">
        <v>71987</v>
      </c>
      <c r="GC360" s="847">
        <v>73344</v>
      </c>
      <c r="GD360" s="847">
        <v>74710</v>
      </c>
      <c r="GE360" s="847">
        <v>76083</v>
      </c>
      <c r="GF360" s="847">
        <v>77463</v>
      </c>
      <c r="GG360" s="847">
        <v>78849</v>
      </c>
      <c r="GH360" s="847">
        <v>80242</v>
      </c>
      <c r="GI360" s="847">
        <v>81640</v>
      </c>
      <c r="GJ360" s="847">
        <v>83043</v>
      </c>
      <c r="GK360" s="847">
        <v>84450</v>
      </c>
      <c r="GL360" s="847">
        <v>85862</v>
      </c>
      <c r="GM360" s="847">
        <v>87277</v>
      </c>
      <c r="GN360" s="847">
        <v>88697</v>
      </c>
      <c r="GO360" s="847">
        <v>90123</v>
      </c>
      <c r="GP360" s="847">
        <v>91567</v>
      </c>
      <c r="GQ360" s="847">
        <v>93074</v>
      </c>
      <c r="GR360" s="847">
        <v>94000</v>
      </c>
      <c r="GS360" s="847">
        <v>0</v>
      </c>
      <c r="GT360" s="847">
        <v>0</v>
      </c>
      <c r="GU360" s="847">
        <v>0</v>
      </c>
      <c r="GV360" s="847">
        <v>0</v>
      </c>
      <c r="GW360" s="847">
        <v>0</v>
      </c>
      <c r="GX360" s="847">
        <v>0</v>
      </c>
      <c r="GY360" s="847">
        <v>0</v>
      </c>
      <c r="GZ360" s="847">
        <v>0</v>
      </c>
      <c r="HA360" s="847">
        <v>0</v>
      </c>
      <c r="HB360" s="847">
        <v>0</v>
      </c>
      <c r="HC360" s="847">
        <v>0</v>
      </c>
      <c r="HD360" s="847">
        <v>0</v>
      </c>
      <c r="HE360" s="847">
        <v>0</v>
      </c>
      <c r="HF360" s="847">
        <v>0</v>
      </c>
      <c r="HG360" s="847">
        <v>0</v>
      </c>
      <c r="HH360" s="847">
        <v>0</v>
      </c>
      <c r="HI360" s="847">
        <v>0</v>
      </c>
      <c r="HJ360" s="847">
        <v>0</v>
      </c>
      <c r="HK360" s="847">
        <v>0</v>
      </c>
      <c r="HL360" s="847">
        <v>0</v>
      </c>
      <c r="HM360" s="847">
        <v>0</v>
      </c>
      <c r="HN360" s="847">
        <v>0</v>
      </c>
      <c r="HO360" s="847">
        <v>0</v>
      </c>
      <c r="HP360" s="847">
        <v>0</v>
      </c>
      <c r="HQ360" s="847">
        <v>0</v>
      </c>
      <c r="HR360" s="847">
        <v>0</v>
      </c>
      <c r="HS360" s="847">
        <v>0</v>
      </c>
      <c r="HT360" s="847">
        <v>0</v>
      </c>
      <c r="HU360" s="847">
        <v>0</v>
      </c>
      <c r="HV360" s="847">
        <v>0</v>
      </c>
      <c r="HW360" s="847">
        <v>0</v>
      </c>
      <c r="HX360" s="847">
        <v>0</v>
      </c>
      <c r="HY360" s="847">
        <v>0</v>
      </c>
      <c r="HZ360" s="847">
        <v>0</v>
      </c>
      <c r="IA360" s="847">
        <v>0</v>
      </c>
      <c r="IB360" s="847">
        <v>0</v>
      </c>
      <c r="IC360" s="847">
        <v>0</v>
      </c>
      <c r="ID360" s="847">
        <v>0</v>
      </c>
      <c r="IE360" s="847">
        <v>0</v>
      </c>
      <c r="IF360" s="847">
        <v>0</v>
      </c>
      <c r="IG360" s="847">
        <v>0</v>
      </c>
      <c r="IH360" s="847">
        <v>0</v>
      </c>
      <c r="II360" s="847">
        <v>0</v>
      </c>
      <c r="IJ360" s="847">
        <v>0</v>
      </c>
      <c r="IK360" s="847">
        <v>0</v>
      </c>
    </row>
    <row r="361" spans="12:245" hidden="1">
      <c r="L361" s="843" t="s">
        <v>1060</v>
      </c>
      <c r="M361" s="843" t="s">
        <v>1382</v>
      </c>
      <c r="N361" s="843" t="s">
        <v>96</v>
      </c>
      <c r="O361" s="844">
        <v>46</v>
      </c>
      <c r="P361" s="780" t="str">
        <f t="shared" si="12"/>
        <v>IWT060146</v>
      </c>
      <c r="Q361" s="844">
        <v>2320</v>
      </c>
      <c r="R361" s="844">
        <v>6646</v>
      </c>
      <c r="S361" s="844">
        <v>11581</v>
      </c>
      <c r="T361" s="844">
        <v>17142</v>
      </c>
      <c r="U361" s="844">
        <v>23349</v>
      </c>
      <c r="V361" s="844">
        <v>29918</v>
      </c>
      <c r="W361" s="844">
        <v>30814</v>
      </c>
      <c r="X361" s="844">
        <v>31423</v>
      </c>
      <c r="Y361" s="844">
        <v>32049</v>
      </c>
      <c r="Z361" s="844">
        <v>32690</v>
      </c>
      <c r="AA361" s="844">
        <v>33343</v>
      </c>
      <c r="AB361" s="844">
        <v>34010</v>
      </c>
      <c r="AC361" s="844">
        <v>34691</v>
      </c>
      <c r="AD361" s="844">
        <v>35384</v>
      </c>
      <c r="AE361" s="844">
        <v>36092</v>
      </c>
      <c r="AF361" s="844">
        <v>36814</v>
      </c>
      <c r="AG361" s="844">
        <v>37550</v>
      </c>
      <c r="AH361" s="844">
        <v>38301</v>
      </c>
      <c r="AI361" s="844">
        <v>39067</v>
      </c>
      <c r="AJ361" s="844">
        <v>39848</v>
      </c>
      <c r="AK361" s="844">
        <v>40645</v>
      </c>
      <c r="AL361" s="844">
        <v>41458</v>
      </c>
      <c r="AM361" s="844">
        <v>42287</v>
      </c>
      <c r="AN361" s="844">
        <v>43133</v>
      </c>
      <c r="AO361" s="844">
        <v>43996</v>
      </c>
      <c r="AP361" s="844">
        <v>44875</v>
      </c>
      <c r="AQ361" s="844">
        <v>45773</v>
      </c>
      <c r="AR361" s="844">
        <v>46688</v>
      </c>
      <c r="AS361" s="844">
        <v>47622</v>
      </c>
      <c r="AT361" s="844">
        <v>48574</v>
      </c>
      <c r="AU361" s="844">
        <v>49546</v>
      </c>
      <c r="AV361" s="844">
        <v>50536</v>
      </c>
      <c r="AW361" s="844">
        <v>51547</v>
      </c>
      <c r="AX361" s="844">
        <v>52578</v>
      </c>
      <c r="AY361" s="844">
        <v>53629</v>
      </c>
      <c r="AZ361" s="844">
        <v>54702</v>
      </c>
      <c r="BA361" s="844">
        <v>55795</v>
      </c>
      <c r="BB361" s="844">
        <v>56911</v>
      </c>
      <c r="BC361" s="844">
        <v>58049</v>
      </c>
      <c r="BD361" s="844">
        <v>59210</v>
      </c>
      <c r="BE361" s="844">
        <v>60394</v>
      </c>
      <c r="BF361" s="844">
        <v>61601</v>
      </c>
      <c r="BG361" s="844">
        <v>62833</v>
      </c>
      <c r="BH361" s="844">
        <v>64089</v>
      </c>
      <c r="BI361" s="844">
        <v>65370</v>
      </c>
      <c r="BJ361" s="844">
        <v>66677</v>
      </c>
      <c r="BK361" s="844">
        <v>67999</v>
      </c>
      <c r="BL361" s="844">
        <v>69331</v>
      </c>
      <c r="BM361" s="844">
        <v>70673</v>
      </c>
      <c r="BN361" s="844">
        <v>72023</v>
      </c>
      <c r="BO361" s="844">
        <v>73383</v>
      </c>
      <c r="BP361" s="844">
        <v>74750</v>
      </c>
      <c r="BQ361" s="844">
        <v>76125</v>
      </c>
      <c r="BR361" s="844">
        <v>77507</v>
      </c>
      <c r="BS361" s="844">
        <v>78894</v>
      </c>
      <c r="BT361" s="844">
        <v>80288</v>
      </c>
      <c r="BU361" s="844">
        <v>81686</v>
      </c>
      <c r="BV361" s="844">
        <v>83090</v>
      </c>
      <c r="BW361" s="844">
        <v>84497</v>
      </c>
      <c r="BX361" s="844">
        <v>85909</v>
      </c>
      <c r="BY361" s="844">
        <v>87326</v>
      </c>
      <c r="BZ361" s="844">
        <v>88749</v>
      </c>
      <c r="CA361" s="844">
        <v>90188</v>
      </c>
      <c r="CB361" s="844">
        <v>91688</v>
      </c>
      <c r="CC361" s="844">
        <v>92600</v>
      </c>
      <c r="CD361" s="844">
        <v>0</v>
      </c>
      <c r="CE361" s="844">
        <v>0</v>
      </c>
      <c r="CF361" s="844">
        <v>0</v>
      </c>
      <c r="CG361" s="844">
        <v>0</v>
      </c>
      <c r="CH361" s="844">
        <v>0</v>
      </c>
      <c r="CI361" s="844">
        <v>0</v>
      </c>
      <c r="CJ361" s="844">
        <v>0</v>
      </c>
      <c r="CK361" s="844">
        <v>0</v>
      </c>
      <c r="CL361" s="844">
        <v>0</v>
      </c>
      <c r="CM361" s="844">
        <v>0</v>
      </c>
      <c r="CN361" s="844">
        <v>0</v>
      </c>
      <c r="CO361" s="844">
        <v>0</v>
      </c>
      <c r="CP361" s="844">
        <v>0</v>
      </c>
      <c r="CQ361" s="844">
        <v>0</v>
      </c>
      <c r="CR361" s="844">
        <v>0</v>
      </c>
      <c r="CS361" s="844">
        <v>0</v>
      </c>
      <c r="CT361" s="844">
        <v>0</v>
      </c>
      <c r="CU361" s="844">
        <v>0</v>
      </c>
      <c r="CV361" s="844">
        <v>0</v>
      </c>
      <c r="CW361" s="844">
        <v>0</v>
      </c>
      <c r="CX361" s="844">
        <v>0</v>
      </c>
      <c r="CY361" s="844">
        <v>0</v>
      </c>
      <c r="CZ361" s="844">
        <v>0</v>
      </c>
      <c r="DA361" s="844">
        <v>0</v>
      </c>
      <c r="DB361" s="844">
        <v>0</v>
      </c>
      <c r="DC361" s="844">
        <v>0</v>
      </c>
      <c r="DD361" s="844">
        <v>0</v>
      </c>
      <c r="DE361" s="844">
        <v>0</v>
      </c>
      <c r="DF361" s="844">
        <v>0</v>
      </c>
      <c r="DG361" s="844">
        <v>0</v>
      </c>
      <c r="DH361" s="844">
        <v>0</v>
      </c>
      <c r="DI361" s="844">
        <v>0</v>
      </c>
      <c r="DJ361" s="844">
        <v>0</v>
      </c>
      <c r="DK361" s="844">
        <v>0</v>
      </c>
      <c r="DL361" s="844">
        <v>0</v>
      </c>
      <c r="DM361" s="844">
        <v>0</v>
      </c>
      <c r="DN361" s="844">
        <v>0</v>
      </c>
      <c r="DO361" s="844">
        <v>0</v>
      </c>
      <c r="DP361" s="844">
        <v>0</v>
      </c>
      <c r="DQ361" s="844">
        <v>0</v>
      </c>
      <c r="DR361" s="844">
        <v>0</v>
      </c>
      <c r="DS361" s="844">
        <v>0</v>
      </c>
      <c r="DT361" s="844">
        <v>0</v>
      </c>
      <c r="DU361" s="844">
        <v>0</v>
      </c>
      <c r="DV361" s="844">
        <v>0</v>
      </c>
      <c r="DW361" s="844">
        <v>0</v>
      </c>
      <c r="DY361" s="846" t="s">
        <v>1060</v>
      </c>
      <c r="DZ361" s="846" t="s">
        <v>1382</v>
      </c>
      <c r="EA361" s="846" t="s">
        <v>96</v>
      </c>
      <c r="EB361" s="847">
        <v>46</v>
      </c>
      <c r="EC361" s="780" t="str">
        <f t="shared" si="13"/>
        <v>IWT060146</v>
      </c>
      <c r="ED361" s="847">
        <v>0</v>
      </c>
      <c r="EE361" s="847">
        <v>3093</v>
      </c>
      <c r="EF361" s="847">
        <v>8307</v>
      </c>
      <c r="EG361" s="847">
        <v>13625</v>
      </c>
      <c r="EH361" s="847">
        <v>19047</v>
      </c>
      <c r="EI361" s="847">
        <v>24578</v>
      </c>
      <c r="EJ361" s="847">
        <v>30220</v>
      </c>
      <c r="EK361" s="847">
        <v>30814</v>
      </c>
      <c r="EL361" s="847">
        <v>31423</v>
      </c>
      <c r="EM361" s="847">
        <v>32049</v>
      </c>
      <c r="EN361" s="847">
        <v>32690</v>
      </c>
      <c r="EO361" s="847">
        <v>33343</v>
      </c>
      <c r="EP361" s="847">
        <v>34010</v>
      </c>
      <c r="EQ361" s="847">
        <v>34691</v>
      </c>
      <c r="ER361" s="847">
        <v>35384</v>
      </c>
      <c r="ES361" s="847">
        <v>36092</v>
      </c>
      <c r="ET361" s="847">
        <v>36814</v>
      </c>
      <c r="EU361" s="847">
        <v>37550</v>
      </c>
      <c r="EV361" s="847">
        <v>38301</v>
      </c>
      <c r="EW361" s="847">
        <v>39067</v>
      </c>
      <c r="EX361" s="847">
        <v>39848</v>
      </c>
      <c r="EY361" s="847">
        <v>40645</v>
      </c>
      <c r="EZ361" s="847">
        <v>41458</v>
      </c>
      <c r="FA361" s="847">
        <v>42287</v>
      </c>
      <c r="FB361" s="847">
        <v>43133</v>
      </c>
      <c r="FC361" s="847">
        <v>43996</v>
      </c>
      <c r="FD361" s="847">
        <v>44875</v>
      </c>
      <c r="FE361" s="847">
        <v>45773</v>
      </c>
      <c r="FF361" s="847">
        <v>46688</v>
      </c>
      <c r="FG361" s="847">
        <v>47622</v>
      </c>
      <c r="FH361" s="847">
        <v>48574</v>
      </c>
      <c r="FI361" s="847">
        <v>49546</v>
      </c>
      <c r="FJ361" s="847">
        <v>50536</v>
      </c>
      <c r="FK361" s="847">
        <v>51547</v>
      </c>
      <c r="FL361" s="847">
        <v>52578</v>
      </c>
      <c r="FM361" s="847">
        <v>53629</v>
      </c>
      <c r="FN361" s="847">
        <v>54702</v>
      </c>
      <c r="FO361" s="847">
        <v>55795</v>
      </c>
      <c r="FP361" s="847">
        <v>56911</v>
      </c>
      <c r="FQ361" s="847">
        <v>58049</v>
      </c>
      <c r="FR361" s="847">
        <v>59210</v>
      </c>
      <c r="FS361" s="847">
        <v>60394</v>
      </c>
      <c r="FT361" s="847">
        <v>61601</v>
      </c>
      <c r="FU361" s="847">
        <v>62833</v>
      </c>
      <c r="FV361" s="847">
        <v>64089</v>
      </c>
      <c r="FW361" s="847">
        <v>65370</v>
      </c>
      <c r="FX361" s="847">
        <v>66677</v>
      </c>
      <c r="FY361" s="847">
        <v>67999</v>
      </c>
      <c r="FZ361" s="847">
        <v>69331</v>
      </c>
      <c r="GA361" s="847">
        <v>70673</v>
      </c>
      <c r="GB361" s="847">
        <v>72023</v>
      </c>
      <c r="GC361" s="847">
        <v>73383</v>
      </c>
      <c r="GD361" s="847">
        <v>74750</v>
      </c>
      <c r="GE361" s="847">
        <v>76125</v>
      </c>
      <c r="GF361" s="847">
        <v>77507</v>
      </c>
      <c r="GG361" s="847">
        <v>78894</v>
      </c>
      <c r="GH361" s="847">
        <v>80288</v>
      </c>
      <c r="GI361" s="847">
        <v>81686</v>
      </c>
      <c r="GJ361" s="847">
        <v>83090</v>
      </c>
      <c r="GK361" s="847">
        <v>84497</v>
      </c>
      <c r="GL361" s="847">
        <v>85909</v>
      </c>
      <c r="GM361" s="847">
        <v>87326</v>
      </c>
      <c r="GN361" s="847">
        <v>88749</v>
      </c>
      <c r="GO361" s="847">
        <v>90188</v>
      </c>
      <c r="GP361" s="847">
        <v>91688</v>
      </c>
      <c r="GQ361" s="847">
        <v>92600</v>
      </c>
      <c r="GR361" s="847">
        <v>0</v>
      </c>
      <c r="GS361" s="847">
        <v>0</v>
      </c>
      <c r="GT361" s="847">
        <v>0</v>
      </c>
      <c r="GU361" s="847">
        <v>0</v>
      </c>
      <c r="GV361" s="847">
        <v>0</v>
      </c>
      <c r="GW361" s="847">
        <v>0</v>
      </c>
      <c r="GX361" s="847">
        <v>0</v>
      </c>
      <c r="GY361" s="847">
        <v>0</v>
      </c>
      <c r="GZ361" s="847">
        <v>0</v>
      </c>
      <c r="HA361" s="847">
        <v>0</v>
      </c>
      <c r="HB361" s="847">
        <v>0</v>
      </c>
      <c r="HC361" s="847">
        <v>0</v>
      </c>
      <c r="HD361" s="847">
        <v>0</v>
      </c>
      <c r="HE361" s="847">
        <v>0</v>
      </c>
      <c r="HF361" s="847">
        <v>0</v>
      </c>
      <c r="HG361" s="847">
        <v>0</v>
      </c>
      <c r="HH361" s="847">
        <v>0</v>
      </c>
      <c r="HI361" s="847">
        <v>0</v>
      </c>
      <c r="HJ361" s="847">
        <v>0</v>
      </c>
      <c r="HK361" s="847">
        <v>0</v>
      </c>
      <c r="HL361" s="847">
        <v>0</v>
      </c>
      <c r="HM361" s="847">
        <v>0</v>
      </c>
      <c r="HN361" s="847">
        <v>0</v>
      </c>
      <c r="HO361" s="847">
        <v>0</v>
      </c>
      <c r="HP361" s="847">
        <v>0</v>
      </c>
      <c r="HQ361" s="847">
        <v>0</v>
      </c>
      <c r="HR361" s="847">
        <v>0</v>
      </c>
      <c r="HS361" s="847">
        <v>0</v>
      </c>
      <c r="HT361" s="847">
        <v>0</v>
      </c>
      <c r="HU361" s="847">
        <v>0</v>
      </c>
      <c r="HV361" s="847">
        <v>0</v>
      </c>
      <c r="HW361" s="847">
        <v>0</v>
      </c>
      <c r="HX361" s="847">
        <v>0</v>
      </c>
      <c r="HY361" s="847">
        <v>0</v>
      </c>
      <c r="HZ361" s="847">
        <v>0</v>
      </c>
      <c r="IA361" s="847">
        <v>0</v>
      </c>
      <c r="IB361" s="847">
        <v>0</v>
      </c>
      <c r="IC361" s="847">
        <v>0</v>
      </c>
      <c r="ID361" s="847">
        <v>0</v>
      </c>
      <c r="IE361" s="847">
        <v>0</v>
      </c>
      <c r="IF361" s="847">
        <v>0</v>
      </c>
      <c r="IG361" s="847">
        <v>0</v>
      </c>
      <c r="IH361" s="847">
        <v>0</v>
      </c>
      <c r="II361" s="847">
        <v>0</v>
      </c>
      <c r="IJ361" s="847">
        <v>0</v>
      </c>
      <c r="IK361" s="847">
        <v>0</v>
      </c>
    </row>
    <row r="362" spans="12:245" hidden="1">
      <c r="L362" s="843" t="s">
        <v>1060</v>
      </c>
      <c r="M362" s="843" t="s">
        <v>1382</v>
      </c>
      <c r="N362" s="843" t="s">
        <v>96</v>
      </c>
      <c r="O362" s="844">
        <v>47</v>
      </c>
      <c r="P362" s="780" t="str">
        <f t="shared" si="12"/>
        <v>IWT060147</v>
      </c>
      <c r="Q362" s="844">
        <v>2318</v>
      </c>
      <c r="R362" s="844">
        <v>6646</v>
      </c>
      <c r="S362" s="844">
        <v>11583</v>
      </c>
      <c r="T362" s="844">
        <v>17147</v>
      </c>
      <c r="U362" s="844">
        <v>23357</v>
      </c>
      <c r="V362" s="844">
        <v>29928</v>
      </c>
      <c r="W362" s="844">
        <v>30824</v>
      </c>
      <c r="X362" s="844">
        <v>31433</v>
      </c>
      <c r="Y362" s="844">
        <v>32059</v>
      </c>
      <c r="Z362" s="844">
        <v>32700</v>
      </c>
      <c r="AA362" s="844">
        <v>33354</v>
      </c>
      <c r="AB362" s="844">
        <v>34021</v>
      </c>
      <c r="AC362" s="844">
        <v>34701</v>
      </c>
      <c r="AD362" s="844">
        <v>35395</v>
      </c>
      <c r="AE362" s="844">
        <v>36103</v>
      </c>
      <c r="AF362" s="844">
        <v>36825</v>
      </c>
      <c r="AG362" s="844">
        <v>37562</v>
      </c>
      <c r="AH362" s="844">
        <v>38313</v>
      </c>
      <c r="AI362" s="844">
        <v>39079</v>
      </c>
      <c r="AJ362" s="844">
        <v>39861</v>
      </c>
      <c r="AK362" s="844">
        <v>40658</v>
      </c>
      <c r="AL362" s="844">
        <v>41471</v>
      </c>
      <c r="AM362" s="844">
        <v>42300</v>
      </c>
      <c r="AN362" s="844">
        <v>43146</v>
      </c>
      <c r="AO362" s="844">
        <v>44009</v>
      </c>
      <c r="AP362" s="844">
        <v>44889</v>
      </c>
      <c r="AQ362" s="844">
        <v>45787</v>
      </c>
      <c r="AR362" s="844">
        <v>46703</v>
      </c>
      <c r="AS362" s="844">
        <v>47637</v>
      </c>
      <c r="AT362" s="844">
        <v>48589</v>
      </c>
      <c r="AU362" s="844">
        <v>49561</v>
      </c>
      <c r="AV362" s="844">
        <v>50552</v>
      </c>
      <c r="AW362" s="844">
        <v>51563</v>
      </c>
      <c r="AX362" s="844">
        <v>52594</v>
      </c>
      <c r="AY362" s="844">
        <v>53646</v>
      </c>
      <c r="AZ362" s="844">
        <v>54718</v>
      </c>
      <c r="BA362" s="844">
        <v>55812</v>
      </c>
      <c r="BB362" s="844">
        <v>56928</v>
      </c>
      <c r="BC362" s="844">
        <v>58067</v>
      </c>
      <c r="BD362" s="844">
        <v>59228</v>
      </c>
      <c r="BE362" s="844">
        <v>60412</v>
      </c>
      <c r="BF362" s="844">
        <v>61620</v>
      </c>
      <c r="BG362" s="844">
        <v>62852</v>
      </c>
      <c r="BH362" s="844">
        <v>64108</v>
      </c>
      <c r="BI362" s="844">
        <v>65390</v>
      </c>
      <c r="BJ362" s="844">
        <v>66697</v>
      </c>
      <c r="BK362" s="844">
        <v>68022</v>
      </c>
      <c r="BL362" s="844">
        <v>69358</v>
      </c>
      <c r="BM362" s="844">
        <v>70702</v>
      </c>
      <c r="BN362" s="844">
        <v>72056</v>
      </c>
      <c r="BO362" s="844">
        <v>73418</v>
      </c>
      <c r="BP362" s="844">
        <v>74787</v>
      </c>
      <c r="BQ362" s="844">
        <v>76164</v>
      </c>
      <c r="BR362" s="844">
        <v>77547</v>
      </c>
      <c r="BS362" s="844">
        <v>78936</v>
      </c>
      <c r="BT362" s="844">
        <v>80330</v>
      </c>
      <c r="BU362" s="844">
        <v>81729</v>
      </c>
      <c r="BV362" s="844">
        <v>83133</v>
      </c>
      <c r="BW362" s="844">
        <v>84542</v>
      </c>
      <c r="BX362" s="844">
        <v>85954</v>
      </c>
      <c r="BY362" s="844">
        <v>87374</v>
      </c>
      <c r="BZ362" s="844">
        <v>88809</v>
      </c>
      <c r="CA362" s="844">
        <v>90301</v>
      </c>
      <c r="CB362" s="844">
        <v>91200</v>
      </c>
      <c r="CC362" s="844">
        <v>0</v>
      </c>
      <c r="CD362" s="844">
        <v>0</v>
      </c>
      <c r="CE362" s="844">
        <v>0</v>
      </c>
      <c r="CF362" s="844">
        <v>0</v>
      </c>
      <c r="CG362" s="844">
        <v>0</v>
      </c>
      <c r="CH362" s="844">
        <v>0</v>
      </c>
      <c r="CI362" s="844">
        <v>0</v>
      </c>
      <c r="CJ362" s="844">
        <v>0</v>
      </c>
      <c r="CK362" s="844">
        <v>0</v>
      </c>
      <c r="CL362" s="844">
        <v>0</v>
      </c>
      <c r="CM362" s="844">
        <v>0</v>
      </c>
      <c r="CN362" s="844">
        <v>0</v>
      </c>
      <c r="CO362" s="844">
        <v>0</v>
      </c>
      <c r="CP362" s="844">
        <v>0</v>
      </c>
      <c r="CQ362" s="844">
        <v>0</v>
      </c>
      <c r="CR362" s="844">
        <v>0</v>
      </c>
      <c r="CS362" s="844">
        <v>0</v>
      </c>
      <c r="CT362" s="844">
        <v>0</v>
      </c>
      <c r="CU362" s="844">
        <v>0</v>
      </c>
      <c r="CV362" s="844">
        <v>0</v>
      </c>
      <c r="CW362" s="844">
        <v>0</v>
      </c>
      <c r="CX362" s="844">
        <v>0</v>
      </c>
      <c r="CY362" s="844">
        <v>0</v>
      </c>
      <c r="CZ362" s="844">
        <v>0</v>
      </c>
      <c r="DA362" s="844">
        <v>0</v>
      </c>
      <c r="DB362" s="844">
        <v>0</v>
      </c>
      <c r="DC362" s="844">
        <v>0</v>
      </c>
      <c r="DD362" s="844">
        <v>0</v>
      </c>
      <c r="DE362" s="844">
        <v>0</v>
      </c>
      <c r="DF362" s="844">
        <v>0</v>
      </c>
      <c r="DG362" s="844">
        <v>0</v>
      </c>
      <c r="DH362" s="844">
        <v>0</v>
      </c>
      <c r="DI362" s="844">
        <v>0</v>
      </c>
      <c r="DJ362" s="844">
        <v>0</v>
      </c>
      <c r="DK362" s="844">
        <v>0</v>
      </c>
      <c r="DL362" s="844">
        <v>0</v>
      </c>
      <c r="DM362" s="844">
        <v>0</v>
      </c>
      <c r="DN362" s="844">
        <v>0</v>
      </c>
      <c r="DO362" s="844">
        <v>0</v>
      </c>
      <c r="DP362" s="844">
        <v>0</v>
      </c>
      <c r="DQ362" s="844">
        <v>0</v>
      </c>
      <c r="DR362" s="844">
        <v>0</v>
      </c>
      <c r="DS362" s="844">
        <v>0</v>
      </c>
      <c r="DT362" s="844">
        <v>0</v>
      </c>
      <c r="DU362" s="844">
        <v>0</v>
      </c>
      <c r="DV362" s="844">
        <v>0</v>
      </c>
      <c r="DW362" s="844">
        <v>0</v>
      </c>
      <c r="DY362" s="846" t="s">
        <v>1060</v>
      </c>
      <c r="DZ362" s="846" t="s">
        <v>1382</v>
      </c>
      <c r="EA362" s="846" t="s">
        <v>96</v>
      </c>
      <c r="EB362" s="847">
        <v>47</v>
      </c>
      <c r="EC362" s="780" t="str">
        <f t="shared" si="13"/>
        <v>IWT060147</v>
      </c>
      <c r="ED362" s="847">
        <v>0</v>
      </c>
      <c r="EE362" s="847">
        <v>3090</v>
      </c>
      <c r="EF362" s="847">
        <v>8307</v>
      </c>
      <c r="EG362" s="847">
        <v>13627</v>
      </c>
      <c r="EH362" s="847">
        <v>19052</v>
      </c>
      <c r="EI362" s="847">
        <v>24586</v>
      </c>
      <c r="EJ362" s="847">
        <v>30230</v>
      </c>
      <c r="EK362" s="847">
        <v>30824</v>
      </c>
      <c r="EL362" s="847">
        <v>31433</v>
      </c>
      <c r="EM362" s="847">
        <v>32059</v>
      </c>
      <c r="EN362" s="847">
        <v>32700</v>
      </c>
      <c r="EO362" s="847">
        <v>33354</v>
      </c>
      <c r="EP362" s="847">
        <v>34021</v>
      </c>
      <c r="EQ362" s="847">
        <v>34701</v>
      </c>
      <c r="ER362" s="847">
        <v>35395</v>
      </c>
      <c r="ES362" s="847">
        <v>36103</v>
      </c>
      <c r="ET362" s="847">
        <v>36825</v>
      </c>
      <c r="EU362" s="847">
        <v>37562</v>
      </c>
      <c r="EV362" s="847">
        <v>38313</v>
      </c>
      <c r="EW362" s="847">
        <v>39079</v>
      </c>
      <c r="EX362" s="847">
        <v>39861</v>
      </c>
      <c r="EY362" s="847">
        <v>40658</v>
      </c>
      <c r="EZ362" s="847">
        <v>41471</v>
      </c>
      <c r="FA362" s="847">
        <v>42300</v>
      </c>
      <c r="FB362" s="847">
        <v>43146</v>
      </c>
      <c r="FC362" s="847">
        <v>44009</v>
      </c>
      <c r="FD362" s="847">
        <v>44889</v>
      </c>
      <c r="FE362" s="847">
        <v>45787</v>
      </c>
      <c r="FF362" s="847">
        <v>46703</v>
      </c>
      <c r="FG362" s="847">
        <v>47637</v>
      </c>
      <c r="FH362" s="847">
        <v>48589</v>
      </c>
      <c r="FI362" s="847">
        <v>49561</v>
      </c>
      <c r="FJ362" s="847">
        <v>50552</v>
      </c>
      <c r="FK362" s="847">
        <v>51563</v>
      </c>
      <c r="FL362" s="847">
        <v>52594</v>
      </c>
      <c r="FM362" s="847">
        <v>53646</v>
      </c>
      <c r="FN362" s="847">
        <v>54718</v>
      </c>
      <c r="FO362" s="847">
        <v>55812</v>
      </c>
      <c r="FP362" s="847">
        <v>56928</v>
      </c>
      <c r="FQ362" s="847">
        <v>58067</v>
      </c>
      <c r="FR362" s="847">
        <v>59228</v>
      </c>
      <c r="FS362" s="847">
        <v>60412</v>
      </c>
      <c r="FT362" s="847">
        <v>61620</v>
      </c>
      <c r="FU362" s="847">
        <v>62852</v>
      </c>
      <c r="FV362" s="847">
        <v>64108</v>
      </c>
      <c r="FW362" s="847">
        <v>65390</v>
      </c>
      <c r="FX362" s="847">
        <v>66697</v>
      </c>
      <c r="FY362" s="847">
        <v>68022</v>
      </c>
      <c r="FZ362" s="847">
        <v>69358</v>
      </c>
      <c r="GA362" s="847">
        <v>70702</v>
      </c>
      <c r="GB362" s="847">
        <v>72056</v>
      </c>
      <c r="GC362" s="847">
        <v>73418</v>
      </c>
      <c r="GD362" s="847">
        <v>74787</v>
      </c>
      <c r="GE362" s="847">
        <v>76164</v>
      </c>
      <c r="GF362" s="847">
        <v>77547</v>
      </c>
      <c r="GG362" s="847">
        <v>78936</v>
      </c>
      <c r="GH362" s="847">
        <v>80330</v>
      </c>
      <c r="GI362" s="847">
        <v>81729</v>
      </c>
      <c r="GJ362" s="847">
        <v>83133</v>
      </c>
      <c r="GK362" s="847">
        <v>84542</v>
      </c>
      <c r="GL362" s="847">
        <v>85954</v>
      </c>
      <c r="GM362" s="847">
        <v>87374</v>
      </c>
      <c r="GN362" s="847">
        <v>88809</v>
      </c>
      <c r="GO362" s="847">
        <v>90301</v>
      </c>
      <c r="GP362" s="847">
        <v>91200</v>
      </c>
      <c r="GQ362" s="847">
        <v>0</v>
      </c>
      <c r="GR362" s="847">
        <v>0</v>
      </c>
      <c r="GS362" s="847">
        <v>0</v>
      </c>
      <c r="GT362" s="847">
        <v>0</v>
      </c>
      <c r="GU362" s="847">
        <v>0</v>
      </c>
      <c r="GV362" s="847">
        <v>0</v>
      </c>
      <c r="GW362" s="847">
        <v>0</v>
      </c>
      <c r="GX362" s="847">
        <v>0</v>
      </c>
      <c r="GY362" s="847">
        <v>0</v>
      </c>
      <c r="GZ362" s="847">
        <v>0</v>
      </c>
      <c r="HA362" s="847">
        <v>0</v>
      </c>
      <c r="HB362" s="847">
        <v>0</v>
      </c>
      <c r="HC362" s="847">
        <v>0</v>
      </c>
      <c r="HD362" s="847">
        <v>0</v>
      </c>
      <c r="HE362" s="847">
        <v>0</v>
      </c>
      <c r="HF362" s="847">
        <v>0</v>
      </c>
      <c r="HG362" s="847">
        <v>0</v>
      </c>
      <c r="HH362" s="847">
        <v>0</v>
      </c>
      <c r="HI362" s="847">
        <v>0</v>
      </c>
      <c r="HJ362" s="847">
        <v>0</v>
      </c>
      <c r="HK362" s="847">
        <v>0</v>
      </c>
      <c r="HL362" s="847">
        <v>0</v>
      </c>
      <c r="HM362" s="847">
        <v>0</v>
      </c>
      <c r="HN362" s="847">
        <v>0</v>
      </c>
      <c r="HO362" s="847">
        <v>0</v>
      </c>
      <c r="HP362" s="847">
        <v>0</v>
      </c>
      <c r="HQ362" s="847">
        <v>0</v>
      </c>
      <c r="HR362" s="847">
        <v>0</v>
      </c>
      <c r="HS362" s="847">
        <v>0</v>
      </c>
      <c r="HT362" s="847">
        <v>0</v>
      </c>
      <c r="HU362" s="847">
        <v>0</v>
      </c>
      <c r="HV362" s="847">
        <v>0</v>
      </c>
      <c r="HW362" s="847">
        <v>0</v>
      </c>
      <c r="HX362" s="847">
        <v>0</v>
      </c>
      <c r="HY362" s="847">
        <v>0</v>
      </c>
      <c r="HZ362" s="847">
        <v>0</v>
      </c>
      <c r="IA362" s="847">
        <v>0</v>
      </c>
      <c r="IB362" s="847">
        <v>0</v>
      </c>
      <c r="IC362" s="847">
        <v>0</v>
      </c>
      <c r="ID362" s="847">
        <v>0</v>
      </c>
      <c r="IE362" s="847">
        <v>0</v>
      </c>
      <c r="IF362" s="847">
        <v>0</v>
      </c>
      <c r="IG362" s="847">
        <v>0</v>
      </c>
      <c r="IH362" s="847">
        <v>0</v>
      </c>
      <c r="II362" s="847">
        <v>0</v>
      </c>
      <c r="IJ362" s="847">
        <v>0</v>
      </c>
      <c r="IK362" s="847">
        <v>0</v>
      </c>
    </row>
    <row r="363" spans="12:245" hidden="1">
      <c r="L363" s="843" t="s">
        <v>1060</v>
      </c>
      <c r="M363" s="843" t="s">
        <v>1382</v>
      </c>
      <c r="N363" s="843" t="s">
        <v>96</v>
      </c>
      <c r="O363" s="844">
        <v>48</v>
      </c>
      <c r="P363" s="780" t="str">
        <f t="shared" si="12"/>
        <v>IWT060148</v>
      </c>
      <c r="Q363" s="844">
        <v>2315</v>
      </c>
      <c r="R363" s="844">
        <v>6645</v>
      </c>
      <c r="S363" s="844">
        <v>11584</v>
      </c>
      <c r="T363" s="844">
        <v>17150</v>
      </c>
      <c r="U363" s="844">
        <v>23363</v>
      </c>
      <c r="V363" s="844">
        <v>29938</v>
      </c>
      <c r="W363" s="844">
        <v>30833</v>
      </c>
      <c r="X363" s="844">
        <v>31442</v>
      </c>
      <c r="Y363" s="844">
        <v>32067</v>
      </c>
      <c r="Z363" s="844">
        <v>32708</v>
      </c>
      <c r="AA363" s="844">
        <v>33363</v>
      </c>
      <c r="AB363" s="844">
        <v>34030</v>
      </c>
      <c r="AC363" s="844">
        <v>34710</v>
      </c>
      <c r="AD363" s="844">
        <v>35405</v>
      </c>
      <c r="AE363" s="844">
        <v>36113</v>
      </c>
      <c r="AF363" s="844">
        <v>36835</v>
      </c>
      <c r="AG363" s="844">
        <v>37572</v>
      </c>
      <c r="AH363" s="844">
        <v>38323</v>
      </c>
      <c r="AI363" s="844">
        <v>39089</v>
      </c>
      <c r="AJ363" s="844">
        <v>39871</v>
      </c>
      <c r="AK363" s="844">
        <v>40669</v>
      </c>
      <c r="AL363" s="844">
        <v>41482</v>
      </c>
      <c r="AM363" s="844">
        <v>42311</v>
      </c>
      <c r="AN363" s="844">
        <v>43158</v>
      </c>
      <c r="AO363" s="844">
        <v>44021</v>
      </c>
      <c r="AP363" s="844">
        <v>44901</v>
      </c>
      <c r="AQ363" s="844">
        <v>45799</v>
      </c>
      <c r="AR363" s="844">
        <v>46715</v>
      </c>
      <c r="AS363" s="844">
        <v>47649</v>
      </c>
      <c r="AT363" s="844">
        <v>48602</v>
      </c>
      <c r="AU363" s="844">
        <v>49574</v>
      </c>
      <c r="AV363" s="844">
        <v>50565</v>
      </c>
      <c r="AW363" s="844">
        <v>51576</v>
      </c>
      <c r="AX363" s="844">
        <v>52608</v>
      </c>
      <c r="AY363" s="844">
        <v>53660</v>
      </c>
      <c r="AZ363" s="844">
        <v>54733</v>
      </c>
      <c r="BA363" s="844">
        <v>55827</v>
      </c>
      <c r="BB363" s="844">
        <v>56943</v>
      </c>
      <c r="BC363" s="844">
        <v>58082</v>
      </c>
      <c r="BD363" s="844">
        <v>59243</v>
      </c>
      <c r="BE363" s="844">
        <v>60428</v>
      </c>
      <c r="BF363" s="844">
        <v>61636</v>
      </c>
      <c r="BG363" s="844">
        <v>62868</v>
      </c>
      <c r="BH363" s="844">
        <v>64125</v>
      </c>
      <c r="BI363" s="844">
        <v>65407</v>
      </c>
      <c r="BJ363" s="844">
        <v>66714</v>
      </c>
      <c r="BK363" s="844">
        <v>68043</v>
      </c>
      <c r="BL363" s="844">
        <v>69381</v>
      </c>
      <c r="BM363" s="844">
        <v>70729</v>
      </c>
      <c r="BN363" s="844">
        <v>72085</v>
      </c>
      <c r="BO363" s="844">
        <v>73450</v>
      </c>
      <c r="BP363" s="844">
        <v>74821</v>
      </c>
      <c r="BQ363" s="844">
        <v>76199</v>
      </c>
      <c r="BR363" s="844">
        <v>77584</v>
      </c>
      <c r="BS363" s="844">
        <v>78974</v>
      </c>
      <c r="BT363" s="844">
        <v>80369</v>
      </c>
      <c r="BU363" s="844">
        <v>81769</v>
      </c>
      <c r="BV363" s="844">
        <v>83174</v>
      </c>
      <c r="BW363" s="844">
        <v>84583</v>
      </c>
      <c r="BX363" s="844">
        <v>85999</v>
      </c>
      <c r="BY363" s="844">
        <v>87430</v>
      </c>
      <c r="BZ363" s="844">
        <v>88915</v>
      </c>
      <c r="CA363" s="844">
        <v>89800</v>
      </c>
      <c r="CB363" s="844">
        <v>0</v>
      </c>
      <c r="CC363" s="844">
        <v>0</v>
      </c>
      <c r="CD363" s="844">
        <v>0</v>
      </c>
      <c r="CE363" s="844">
        <v>0</v>
      </c>
      <c r="CF363" s="844">
        <v>0</v>
      </c>
      <c r="CG363" s="844">
        <v>0</v>
      </c>
      <c r="CH363" s="844">
        <v>0</v>
      </c>
      <c r="CI363" s="844">
        <v>0</v>
      </c>
      <c r="CJ363" s="844">
        <v>0</v>
      </c>
      <c r="CK363" s="844">
        <v>0</v>
      </c>
      <c r="CL363" s="844">
        <v>0</v>
      </c>
      <c r="CM363" s="844">
        <v>0</v>
      </c>
      <c r="CN363" s="844">
        <v>0</v>
      </c>
      <c r="CO363" s="844">
        <v>0</v>
      </c>
      <c r="CP363" s="844">
        <v>0</v>
      </c>
      <c r="CQ363" s="844">
        <v>0</v>
      </c>
      <c r="CR363" s="844">
        <v>0</v>
      </c>
      <c r="CS363" s="844">
        <v>0</v>
      </c>
      <c r="CT363" s="844">
        <v>0</v>
      </c>
      <c r="CU363" s="844">
        <v>0</v>
      </c>
      <c r="CV363" s="844">
        <v>0</v>
      </c>
      <c r="CW363" s="844">
        <v>0</v>
      </c>
      <c r="CX363" s="844">
        <v>0</v>
      </c>
      <c r="CY363" s="844">
        <v>0</v>
      </c>
      <c r="CZ363" s="844">
        <v>0</v>
      </c>
      <c r="DA363" s="844">
        <v>0</v>
      </c>
      <c r="DB363" s="844">
        <v>0</v>
      </c>
      <c r="DC363" s="844">
        <v>0</v>
      </c>
      <c r="DD363" s="844">
        <v>0</v>
      </c>
      <c r="DE363" s="844">
        <v>0</v>
      </c>
      <c r="DF363" s="844">
        <v>0</v>
      </c>
      <c r="DG363" s="844">
        <v>0</v>
      </c>
      <c r="DH363" s="844">
        <v>0</v>
      </c>
      <c r="DI363" s="844">
        <v>0</v>
      </c>
      <c r="DJ363" s="844">
        <v>0</v>
      </c>
      <c r="DK363" s="844">
        <v>0</v>
      </c>
      <c r="DL363" s="844">
        <v>0</v>
      </c>
      <c r="DM363" s="844">
        <v>0</v>
      </c>
      <c r="DN363" s="844">
        <v>0</v>
      </c>
      <c r="DO363" s="844">
        <v>0</v>
      </c>
      <c r="DP363" s="844">
        <v>0</v>
      </c>
      <c r="DQ363" s="844">
        <v>0</v>
      </c>
      <c r="DR363" s="844">
        <v>0</v>
      </c>
      <c r="DS363" s="844">
        <v>0</v>
      </c>
      <c r="DT363" s="844">
        <v>0</v>
      </c>
      <c r="DU363" s="844">
        <v>0</v>
      </c>
      <c r="DV363" s="844">
        <v>0</v>
      </c>
      <c r="DW363" s="844">
        <v>0</v>
      </c>
      <c r="DY363" s="846" t="s">
        <v>1060</v>
      </c>
      <c r="DZ363" s="846" t="s">
        <v>1382</v>
      </c>
      <c r="EA363" s="846" t="s">
        <v>96</v>
      </c>
      <c r="EB363" s="847">
        <v>48</v>
      </c>
      <c r="EC363" s="780" t="str">
        <f t="shared" si="13"/>
        <v>IWT060148</v>
      </c>
      <c r="ED363" s="847">
        <v>0</v>
      </c>
      <c r="EE363" s="847">
        <v>3086</v>
      </c>
      <c r="EF363" s="847">
        <v>8306</v>
      </c>
      <c r="EG363" s="847">
        <v>13628</v>
      </c>
      <c r="EH363" s="847">
        <v>19056</v>
      </c>
      <c r="EI363" s="847">
        <v>24593</v>
      </c>
      <c r="EJ363" s="847">
        <v>30240</v>
      </c>
      <c r="EK363" s="847">
        <v>30833</v>
      </c>
      <c r="EL363" s="847">
        <v>31442</v>
      </c>
      <c r="EM363" s="847">
        <v>32067</v>
      </c>
      <c r="EN363" s="847">
        <v>32708</v>
      </c>
      <c r="EO363" s="847">
        <v>33363</v>
      </c>
      <c r="EP363" s="847">
        <v>34030</v>
      </c>
      <c r="EQ363" s="847">
        <v>34710</v>
      </c>
      <c r="ER363" s="847">
        <v>35405</v>
      </c>
      <c r="ES363" s="847">
        <v>36113</v>
      </c>
      <c r="ET363" s="847">
        <v>36835</v>
      </c>
      <c r="EU363" s="847">
        <v>37572</v>
      </c>
      <c r="EV363" s="847">
        <v>38323</v>
      </c>
      <c r="EW363" s="847">
        <v>39089</v>
      </c>
      <c r="EX363" s="847">
        <v>39871</v>
      </c>
      <c r="EY363" s="847">
        <v>40669</v>
      </c>
      <c r="EZ363" s="847">
        <v>41482</v>
      </c>
      <c r="FA363" s="847">
        <v>42311</v>
      </c>
      <c r="FB363" s="847">
        <v>43158</v>
      </c>
      <c r="FC363" s="847">
        <v>44021</v>
      </c>
      <c r="FD363" s="847">
        <v>44901</v>
      </c>
      <c r="FE363" s="847">
        <v>45799</v>
      </c>
      <c r="FF363" s="847">
        <v>46715</v>
      </c>
      <c r="FG363" s="847">
        <v>47649</v>
      </c>
      <c r="FH363" s="847">
        <v>48602</v>
      </c>
      <c r="FI363" s="847">
        <v>49574</v>
      </c>
      <c r="FJ363" s="847">
        <v>50565</v>
      </c>
      <c r="FK363" s="847">
        <v>51576</v>
      </c>
      <c r="FL363" s="847">
        <v>52608</v>
      </c>
      <c r="FM363" s="847">
        <v>53660</v>
      </c>
      <c r="FN363" s="847">
        <v>54733</v>
      </c>
      <c r="FO363" s="847">
        <v>55827</v>
      </c>
      <c r="FP363" s="847">
        <v>56943</v>
      </c>
      <c r="FQ363" s="847">
        <v>58082</v>
      </c>
      <c r="FR363" s="847">
        <v>59243</v>
      </c>
      <c r="FS363" s="847">
        <v>60428</v>
      </c>
      <c r="FT363" s="847">
        <v>61636</v>
      </c>
      <c r="FU363" s="847">
        <v>62868</v>
      </c>
      <c r="FV363" s="847">
        <v>64125</v>
      </c>
      <c r="FW363" s="847">
        <v>65407</v>
      </c>
      <c r="FX363" s="847">
        <v>66714</v>
      </c>
      <c r="FY363" s="847">
        <v>68043</v>
      </c>
      <c r="FZ363" s="847">
        <v>69381</v>
      </c>
      <c r="GA363" s="847">
        <v>70729</v>
      </c>
      <c r="GB363" s="847">
        <v>72085</v>
      </c>
      <c r="GC363" s="847">
        <v>73450</v>
      </c>
      <c r="GD363" s="847">
        <v>74821</v>
      </c>
      <c r="GE363" s="847">
        <v>76199</v>
      </c>
      <c r="GF363" s="847">
        <v>77584</v>
      </c>
      <c r="GG363" s="847">
        <v>78974</v>
      </c>
      <c r="GH363" s="847">
        <v>80369</v>
      </c>
      <c r="GI363" s="847">
        <v>81769</v>
      </c>
      <c r="GJ363" s="847">
        <v>83174</v>
      </c>
      <c r="GK363" s="847">
        <v>84583</v>
      </c>
      <c r="GL363" s="847">
        <v>85999</v>
      </c>
      <c r="GM363" s="847">
        <v>87430</v>
      </c>
      <c r="GN363" s="847">
        <v>88915</v>
      </c>
      <c r="GO363" s="847">
        <v>89800</v>
      </c>
      <c r="GP363" s="847">
        <v>0</v>
      </c>
      <c r="GQ363" s="847">
        <v>0</v>
      </c>
      <c r="GR363" s="847">
        <v>0</v>
      </c>
      <c r="GS363" s="847">
        <v>0</v>
      </c>
      <c r="GT363" s="847">
        <v>0</v>
      </c>
      <c r="GU363" s="847">
        <v>0</v>
      </c>
      <c r="GV363" s="847">
        <v>0</v>
      </c>
      <c r="GW363" s="847">
        <v>0</v>
      </c>
      <c r="GX363" s="847">
        <v>0</v>
      </c>
      <c r="GY363" s="847">
        <v>0</v>
      </c>
      <c r="GZ363" s="847">
        <v>0</v>
      </c>
      <c r="HA363" s="847">
        <v>0</v>
      </c>
      <c r="HB363" s="847">
        <v>0</v>
      </c>
      <c r="HC363" s="847">
        <v>0</v>
      </c>
      <c r="HD363" s="847">
        <v>0</v>
      </c>
      <c r="HE363" s="847">
        <v>0</v>
      </c>
      <c r="HF363" s="847">
        <v>0</v>
      </c>
      <c r="HG363" s="847">
        <v>0</v>
      </c>
      <c r="HH363" s="847">
        <v>0</v>
      </c>
      <c r="HI363" s="847">
        <v>0</v>
      </c>
      <c r="HJ363" s="847">
        <v>0</v>
      </c>
      <c r="HK363" s="847">
        <v>0</v>
      </c>
      <c r="HL363" s="847">
        <v>0</v>
      </c>
      <c r="HM363" s="847">
        <v>0</v>
      </c>
      <c r="HN363" s="847">
        <v>0</v>
      </c>
      <c r="HO363" s="847">
        <v>0</v>
      </c>
      <c r="HP363" s="847">
        <v>0</v>
      </c>
      <c r="HQ363" s="847">
        <v>0</v>
      </c>
      <c r="HR363" s="847">
        <v>0</v>
      </c>
      <c r="HS363" s="847">
        <v>0</v>
      </c>
      <c r="HT363" s="847">
        <v>0</v>
      </c>
      <c r="HU363" s="847">
        <v>0</v>
      </c>
      <c r="HV363" s="847">
        <v>0</v>
      </c>
      <c r="HW363" s="847">
        <v>0</v>
      </c>
      <c r="HX363" s="847">
        <v>0</v>
      </c>
      <c r="HY363" s="847">
        <v>0</v>
      </c>
      <c r="HZ363" s="847">
        <v>0</v>
      </c>
      <c r="IA363" s="847">
        <v>0</v>
      </c>
      <c r="IB363" s="847">
        <v>0</v>
      </c>
      <c r="IC363" s="847">
        <v>0</v>
      </c>
      <c r="ID363" s="847">
        <v>0</v>
      </c>
      <c r="IE363" s="847">
        <v>0</v>
      </c>
      <c r="IF363" s="847">
        <v>0</v>
      </c>
      <c r="IG363" s="847">
        <v>0</v>
      </c>
      <c r="IH363" s="847">
        <v>0</v>
      </c>
      <c r="II363" s="847">
        <v>0</v>
      </c>
      <c r="IJ363" s="847">
        <v>0</v>
      </c>
      <c r="IK363" s="847">
        <v>0</v>
      </c>
    </row>
    <row r="364" spans="12:245" hidden="1">
      <c r="L364" s="843" t="s">
        <v>1060</v>
      </c>
      <c r="M364" s="843" t="s">
        <v>1382</v>
      </c>
      <c r="N364" s="843" t="s">
        <v>96</v>
      </c>
      <c r="O364" s="844">
        <v>49</v>
      </c>
      <c r="P364" s="780" t="str">
        <f t="shared" si="12"/>
        <v>IWT060149</v>
      </c>
      <c r="Q364" s="844">
        <v>2312</v>
      </c>
      <c r="R364" s="844">
        <v>6643</v>
      </c>
      <c r="S364" s="844">
        <v>11585</v>
      </c>
      <c r="T364" s="844">
        <v>17153</v>
      </c>
      <c r="U364" s="844">
        <v>23368</v>
      </c>
      <c r="V364" s="844">
        <v>29946</v>
      </c>
      <c r="W364" s="844">
        <v>30841</v>
      </c>
      <c r="X364" s="844">
        <v>31449</v>
      </c>
      <c r="Y364" s="844">
        <v>32074</v>
      </c>
      <c r="Z364" s="844">
        <v>32715</v>
      </c>
      <c r="AA364" s="844">
        <v>33370</v>
      </c>
      <c r="AB364" s="844">
        <v>34037</v>
      </c>
      <c r="AC364" s="844">
        <v>34718</v>
      </c>
      <c r="AD364" s="844">
        <v>35412</v>
      </c>
      <c r="AE364" s="844">
        <v>36120</v>
      </c>
      <c r="AF364" s="844">
        <v>36843</v>
      </c>
      <c r="AG364" s="844">
        <v>37580</v>
      </c>
      <c r="AH364" s="844">
        <v>38331</v>
      </c>
      <c r="AI364" s="844">
        <v>39098</v>
      </c>
      <c r="AJ364" s="844">
        <v>39880</v>
      </c>
      <c r="AK364" s="844">
        <v>40677</v>
      </c>
      <c r="AL364" s="844">
        <v>41491</v>
      </c>
      <c r="AM364" s="844">
        <v>42320</v>
      </c>
      <c r="AN364" s="844">
        <v>43167</v>
      </c>
      <c r="AO364" s="844">
        <v>44030</v>
      </c>
      <c r="AP364" s="844">
        <v>44911</v>
      </c>
      <c r="AQ364" s="844">
        <v>45809</v>
      </c>
      <c r="AR364" s="844">
        <v>46725</v>
      </c>
      <c r="AS364" s="844">
        <v>47659</v>
      </c>
      <c r="AT364" s="844">
        <v>48612</v>
      </c>
      <c r="AU364" s="844">
        <v>49584</v>
      </c>
      <c r="AV364" s="844">
        <v>50576</v>
      </c>
      <c r="AW364" s="844">
        <v>51587</v>
      </c>
      <c r="AX364" s="844">
        <v>52619</v>
      </c>
      <c r="AY364" s="844">
        <v>53671</v>
      </c>
      <c r="AZ364" s="844">
        <v>54744</v>
      </c>
      <c r="BA364" s="844">
        <v>55839</v>
      </c>
      <c r="BB364" s="844">
        <v>56955</v>
      </c>
      <c r="BC364" s="844">
        <v>58094</v>
      </c>
      <c r="BD364" s="844">
        <v>59256</v>
      </c>
      <c r="BE364" s="844">
        <v>60440</v>
      </c>
      <c r="BF364" s="844">
        <v>61649</v>
      </c>
      <c r="BG364" s="844">
        <v>62881</v>
      </c>
      <c r="BH364" s="844">
        <v>64138</v>
      </c>
      <c r="BI364" s="844">
        <v>65420</v>
      </c>
      <c r="BJ364" s="844">
        <v>66728</v>
      </c>
      <c r="BK364" s="844">
        <v>68061</v>
      </c>
      <c r="BL364" s="844">
        <v>69402</v>
      </c>
      <c r="BM364" s="844">
        <v>70753</v>
      </c>
      <c r="BN364" s="844">
        <v>72112</v>
      </c>
      <c r="BO364" s="844">
        <v>73478</v>
      </c>
      <c r="BP364" s="844">
        <v>74852</v>
      </c>
      <c r="BQ364" s="844">
        <v>76232</v>
      </c>
      <c r="BR364" s="844">
        <v>77617</v>
      </c>
      <c r="BS364" s="844">
        <v>79009</v>
      </c>
      <c r="BT364" s="844">
        <v>80405</v>
      </c>
      <c r="BU364" s="844">
        <v>81806</v>
      </c>
      <c r="BV364" s="844">
        <v>83212</v>
      </c>
      <c r="BW364" s="844">
        <v>84625</v>
      </c>
      <c r="BX364" s="844">
        <v>86052</v>
      </c>
      <c r="BY364" s="844">
        <v>87529</v>
      </c>
      <c r="BZ364" s="844">
        <v>88400</v>
      </c>
      <c r="CA364" s="844">
        <v>0</v>
      </c>
      <c r="CB364" s="844">
        <v>0</v>
      </c>
      <c r="CC364" s="844">
        <v>0</v>
      </c>
      <c r="CD364" s="844">
        <v>0</v>
      </c>
      <c r="CE364" s="844">
        <v>0</v>
      </c>
      <c r="CF364" s="844">
        <v>0</v>
      </c>
      <c r="CG364" s="844">
        <v>0</v>
      </c>
      <c r="CH364" s="844">
        <v>0</v>
      </c>
      <c r="CI364" s="844">
        <v>0</v>
      </c>
      <c r="CJ364" s="844">
        <v>0</v>
      </c>
      <c r="CK364" s="844">
        <v>0</v>
      </c>
      <c r="CL364" s="844">
        <v>0</v>
      </c>
      <c r="CM364" s="844">
        <v>0</v>
      </c>
      <c r="CN364" s="844">
        <v>0</v>
      </c>
      <c r="CO364" s="844">
        <v>0</v>
      </c>
      <c r="CP364" s="844">
        <v>0</v>
      </c>
      <c r="CQ364" s="844">
        <v>0</v>
      </c>
      <c r="CR364" s="844">
        <v>0</v>
      </c>
      <c r="CS364" s="844">
        <v>0</v>
      </c>
      <c r="CT364" s="844">
        <v>0</v>
      </c>
      <c r="CU364" s="844">
        <v>0</v>
      </c>
      <c r="CV364" s="844">
        <v>0</v>
      </c>
      <c r="CW364" s="844">
        <v>0</v>
      </c>
      <c r="CX364" s="844">
        <v>0</v>
      </c>
      <c r="CY364" s="844">
        <v>0</v>
      </c>
      <c r="CZ364" s="844">
        <v>0</v>
      </c>
      <c r="DA364" s="844">
        <v>0</v>
      </c>
      <c r="DB364" s="844">
        <v>0</v>
      </c>
      <c r="DC364" s="844">
        <v>0</v>
      </c>
      <c r="DD364" s="844">
        <v>0</v>
      </c>
      <c r="DE364" s="844">
        <v>0</v>
      </c>
      <c r="DF364" s="844">
        <v>0</v>
      </c>
      <c r="DG364" s="844">
        <v>0</v>
      </c>
      <c r="DH364" s="844">
        <v>0</v>
      </c>
      <c r="DI364" s="844">
        <v>0</v>
      </c>
      <c r="DJ364" s="844">
        <v>0</v>
      </c>
      <c r="DK364" s="844">
        <v>0</v>
      </c>
      <c r="DL364" s="844">
        <v>0</v>
      </c>
      <c r="DM364" s="844">
        <v>0</v>
      </c>
      <c r="DN364" s="844">
        <v>0</v>
      </c>
      <c r="DO364" s="844">
        <v>0</v>
      </c>
      <c r="DP364" s="844">
        <v>0</v>
      </c>
      <c r="DQ364" s="844">
        <v>0</v>
      </c>
      <c r="DR364" s="844">
        <v>0</v>
      </c>
      <c r="DS364" s="844">
        <v>0</v>
      </c>
      <c r="DT364" s="844">
        <v>0</v>
      </c>
      <c r="DU364" s="844">
        <v>0</v>
      </c>
      <c r="DV364" s="844">
        <v>0</v>
      </c>
      <c r="DW364" s="844">
        <v>0</v>
      </c>
      <c r="DY364" s="846" t="s">
        <v>1060</v>
      </c>
      <c r="DZ364" s="846" t="s">
        <v>1382</v>
      </c>
      <c r="EA364" s="846" t="s">
        <v>96</v>
      </c>
      <c r="EB364" s="847">
        <v>49</v>
      </c>
      <c r="EC364" s="780" t="str">
        <f t="shared" si="13"/>
        <v>IWT060149</v>
      </c>
      <c r="ED364" s="847">
        <v>0</v>
      </c>
      <c r="EE364" s="847">
        <v>3082</v>
      </c>
      <c r="EF364" s="847">
        <v>8304</v>
      </c>
      <c r="EG364" s="847">
        <v>13629</v>
      </c>
      <c r="EH364" s="847">
        <v>19059</v>
      </c>
      <c r="EI364" s="847">
        <v>24598</v>
      </c>
      <c r="EJ364" s="847">
        <v>30248</v>
      </c>
      <c r="EK364" s="847">
        <v>30841</v>
      </c>
      <c r="EL364" s="847">
        <v>31449</v>
      </c>
      <c r="EM364" s="847">
        <v>32074</v>
      </c>
      <c r="EN364" s="847">
        <v>32715</v>
      </c>
      <c r="EO364" s="847">
        <v>33370</v>
      </c>
      <c r="EP364" s="847">
        <v>34037</v>
      </c>
      <c r="EQ364" s="847">
        <v>34718</v>
      </c>
      <c r="ER364" s="847">
        <v>35412</v>
      </c>
      <c r="ES364" s="847">
        <v>36120</v>
      </c>
      <c r="ET364" s="847">
        <v>36843</v>
      </c>
      <c r="EU364" s="847">
        <v>37580</v>
      </c>
      <c r="EV364" s="847">
        <v>38331</v>
      </c>
      <c r="EW364" s="847">
        <v>39098</v>
      </c>
      <c r="EX364" s="847">
        <v>39880</v>
      </c>
      <c r="EY364" s="847">
        <v>40677</v>
      </c>
      <c r="EZ364" s="847">
        <v>41491</v>
      </c>
      <c r="FA364" s="847">
        <v>42320</v>
      </c>
      <c r="FB364" s="847">
        <v>43167</v>
      </c>
      <c r="FC364" s="847">
        <v>44030</v>
      </c>
      <c r="FD364" s="847">
        <v>44911</v>
      </c>
      <c r="FE364" s="847">
        <v>45809</v>
      </c>
      <c r="FF364" s="847">
        <v>46725</v>
      </c>
      <c r="FG364" s="847">
        <v>47659</v>
      </c>
      <c r="FH364" s="847">
        <v>48612</v>
      </c>
      <c r="FI364" s="847">
        <v>49584</v>
      </c>
      <c r="FJ364" s="847">
        <v>50576</v>
      </c>
      <c r="FK364" s="847">
        <v>51587</v>
      </c>
      <c r="FL364" s="847">
        <v>52619</v>
      </c>
      <c r="FM364" s="847">
        <v>53671</v>
      </c>
      <c r="FN364" s="847">
        <v>54744</v>
      </c>
      <c r="FO364" s="847">
        <v>55839</v>
      </c>
      <c r="FP364" s="847">
        <v>56955</v>
      </c>
      <c r="FQ364" s="847">
        <v>58094</v>
      </c>
      <c r="FR364" s="847">
        <v>59256</v>
      </c>
      <c r="FS364" s="847">
        <v>60440</v>
      </c>
      <c r="FT364" s="847">
        <v>61649</v>
      </c>
      <c r="FU364" s="847">
        <v>62881</v>
      </c>
      <c r="FV364" s="847">
        <v>64138</v>
      </c>
      <c r="FW364" s="847">
        <v>65420</v>
      </c>
      <c r="FX364" s="847">
        <v>66728</v>
      </c>
      <c r="FY364" s="847">
        <v>68061</v>
      </c>
      <c r="FZ364" s="847">
        <v>69402</v>
      </c>
      <c r="GA364" s="847">
        <v>70753</v>
      </c>
      <c r="GB364" s="847">
        <v>72112</v>
      </c>
      <c r="GC364" s="847">
        <v>73478</v>
      </c>
      <c r="GD364" s="847">
        <v>74852</v>
      </c>
      <c r="GE364" s="847">
        <v>76232</v>
      </c>
      <c r="GF364" s="847">
        <v>77617</v>
      </c>
      <c r="GG364" s="847">
        <v>79009</v>
      </c>
      <c r="GH364" s="847">
        <v>80405</v>
      </c>
      <c r="GI364" s="847">
        <v>81806</v>
      </c>
      <c r="GJ364" s="847">
        <v>83212</v>
      </c>
      <c r="GK364" s="847">
        <v>84625</v>
      </c>
      <c r="GL364" s="847">
        <v>86052</v>
      </c>
      <c r="GM364" s="847">
        <v>87529</v>
      </c>
      <c r="GN364" s="847">
        <v>88400</v>
      </c>
      <c r="GO364" s="847">
        <v>0</v>
      </c>
      <c r="GP364" s="847">
        <v>0</v>
      </c>
      <c r="GQ364" s="847">
        <v>0</v>
      </c>
      <c r="GR364" s="847">
        <v>0</v>
      </c>
      <c r="GS364" s="847">
        <v>0</v>
      </c>
      <c r="GT364" s="847">
        <v>0</v>
      </c>
      <c r="GU364" s="847">
        <v>0</v>
      </c>
      <c r="GV364" s="847">
        <v>0</v>
      </c>
      <c r="GW364" s="847">
        <v>0</v>
      </c>
      <c r="GX364" s="847">
        <v>0</v>
      </c>
      <c r="GY364" s="847">
        <v>0</v>
      </c>
      <c r="GZ364" s="847">
        <v>0</v>
      </c>
      <c r="HA364" s="847">
        <v>0</v>
      </c>
      <c r="HB364" s="847">
        <v>0</v>
      </c>
      <c r="HC364" s="847">
        <v>0</v>
      </c>
      <c r="HD364" s="847">
        <v>0</v>
      </c>
      <c r="HE364" s="847">
        <v>0</v>
      </c>
      <c r="HF364" s="847">
        <v>0</v>
      </c>
      <c r="HG364" s="847">
        <v>0</v>
      </c>
      <c r="HH364" s="847">
        <v>0</v>
      </c>
      <c r="HI364" s="847">
        <v>0</v>
      </c>
      <c r="HJ364" s="847">
        <v>0</v>
      </c>
      <c r="HK364" s="847">
        <v>0</v>
      </c>
      <c r="HL364" s="847">
        <v>0</v>
      </c>
      <c r="HM364" s="847">
        <v>0</v>
      </c>
      <c r="HN364" s="847">
        <v>0</v>
      </c>
      <c r="HO364" s="847">
        <v>0</v>
      </c>
      <c r="HP364" s="847">
        <v>0</v>
      </c>
      <c r="HQ364" s="847">
        <v>0</v>
      </c>
      <c r="HR364" s="847">
        <v>0</v>
      </c>
      <c r="HS364" s="847">
        <v>0</v>
      </c>
      <c r="HT364" s="847">
        <v>0</v>
      </c>
      <c r="HU364" s="847">
        <v>0</v>
      </c>
      <c r="HV364" s="847">
        <v>0</v>
      </c>
      <c r="HW364" s="847">
        <v>0</v>
      </c>
      <c r="HX364" s="847">
        <v>0</v>
      </c>
      <c r="HY364" s="847">
        <v>0</v>
      </c>
      <c r="HZ364" s="847">
        <v>0</v>
      </c>
      <c r="IA364" s="847">
        <v>0</v>
      </c>
      <c r="IB364" s="847">
        <v>0</v>
      </c>
      <c r="IC364" s="847">
        <v>0</v>
      </c>
      <c r="ID364" s="847">
        <v>0</v>
      </c>
      <c r="IE364" s="847">
        <v>0</v>
      </c>
      <c r="IF364" s="847">
        <v>0</v>
      </c>
      <c r="IG364" s="847">
        <v>0</v>
      </c>
      <c r="IH364" s="847">
        <v>0</v>
      </c>
      <c r="II364" s="847">
        <v>0</v>
      </c>
      <c r="IJ364" s="847">
        <v>0</v>
      </c>
      <c r="IK364" s="847">
        <v>0</v>
      </c>
    </row>
    <row r="365" spans="12:245" hidden="1">
      <c r="L365" s="843" t="s">
        <v>1060</v>
      </c>
      <c r="M365" s="843" t="s">
        <v>1382</v>
      </c>
      <c r="N365" s="843" t="s">
        <v>96</v>
      </c>
      <c r="O365" s="844">
        <v>50</v>
      </c>
      <c r="P365" s="780" t="str">
        <f t="shared" si="12"/>
        <v>IWT060150</v>
      </c>
      <c r="Q365" s="844">
        <v>2307</v>
      </c>
      <c r="R365" s="844">
        <v>6641</v>
      </c>
      <c r="S365" s="844">
        <v>11585</v>
      </c>
      <c r="T365" s="844">
        <v>17156</v>
      </c>
      <c r="U365" s="844">
        <v>23374</v>
      </c>
      <c r="V365" s="844">
        <v>29953</v>
      </c>
      <c r="W365" s="844">
        <v>30848</v>
      </c>
      <c r="X365" s="844">
        <v>31456</v>
      </c>
      <c r="Y365" s="844">
        <v>32081</v>
      </c>
      <c r="Z365" s="844">
        <v>32722</v>
      </c>
      <c r="AA365" s="844">
        <v>33377</v>
      </c>
      <c r="AB365" s="844">
        <v>34044</v>
      </c>
      <c r="AC365" s="844">
        <v>34725</v>
      </c>
      <c r="AD365" s="844">
        <v>35420</v>
      </c>
      <c r="AE365" s="844">
        <v>36128</v>
      </c>
      <c r="AF365" s="844">
        <v>36851</v>
      </c>
      <c r="AG365" s="844">
        <v>37587</v>
      </c>
      <c r="AH365" s="844">
        <v>38339</v>
      </c>
      <c r="AI365" s="844">
        <v>39106</v>
      </c>
      <c r="AJ365" s="844">
        <v>39888</v>
      </c>
      <c r="AK365" s="844">
        <v>40686</v>
      </c>
      <c r="AL365" s="844">
        <v>41499</v>
      </c>
      <c r="AM365" s="844">
        <v>42329</v>
      </c>
      <c r="AN365" s="844">
        <v>43176</v>
      </c>
      <c r="AO365" s="844">
        <v>44039</v>
      </c>
      <c r="AP365" s="844">
        <v>44920</v>
      </c>
      <c r="AQ365" s="844">
        <v>45818</v>
      </c>
      <c r="AR365" s="844">
        <v>46735</v>
      </c>
      <c r="AS365" s="844">
        <v>47669</v>
      </c>
      <c r="AT365" s="844">
        <v>48622</v>
      </c>
      <c r="AU365" s="844">
        <v>49595</v>
      </c>
      <c r="AV365" s="844">
        <v>50586</v>
      </c>
      <c r="AW365" s="844">
        <v>51598</v>
      </c>
      <c r="AX365" s="844">
        <v>52630</v>
      </c>
      <c r="AY365" s="844">
        <v>53682</v>
      </c>
      <c r="AZ365" s="844">
        <v>54755</v>
      </c>
      <c r="BA365" s="844">
        <v>55850</v>
      </c>
      <c r="BB365" s="844">
        <v>56967</v>
      </c>
      <c r="BC365" s="844">
        <v>58106</v>
      </c>
      <c r="BD365" s="844">
        <v>59268</v>
      </c>
      <c r="BE365" s="844">
        <v>60453</v>
      </c>
      <c r="BF365" s="844">
        <v>61661</v>
      </c>
      <c r="BG365" s="844">
        <v>62894</v>
      </c>
      <c r="BH365" s="844">
        <v>64151</v>
      </c>
      <c r="BI365" s="844">
        <v>65433</v>
      </c>
      <c r="BJ365" s="844">
        <v>66741</v>
      </c>
      <c r="BK365" s="844">
        <v>68075</v>
      </c>
      <c r="BL365" s="844">
        <v>69420</v>
      </c>
      <c r="BM365" s="844">
        <v>70774</v>
      </c>
      <c r="BN365" s="844">
        <v>72135</v>
      </c>
      <c r="BO365" s="844">
        <v>73504</v>
      </c>
      <c r="BP365" s="844">
        <v>74880</v>
      </c>
      <c r="BQ365" s="844">
        <v>76261</v>
      </c>
      <c r="BR365" s="844">
        <v>77648</v>
      </c>
      <c r="BS365" s="844">
        <v>79041</v>
      </c>
      <c r="BT365" s="844">
        <v>80438</v>
      </c>
      <c r="BU365" s="844">
        <v>81841</v>
      </c>
      <c r="BV365" s="844">
        <v>83250</v>
      </c>
      <c r="BW365" s="844">
        <v>84673</v>
      </c>
      <c r="BX365" s="844">
        <v>86143</v>
      </c>
      <c r="BY365" s="844">
        <v>87000</v>
      </c>
      <c r="BZ365" s="844">
        <v>0</v>
      </c>
      <c r="CA365" s="844">
        <v>0</v>
      </c>
      <c r="CB365" s="844">
        <v>0</v>
      </c>
      <c r="CC365" s="844">
        <v>0</v>
      </c>
      <c r="CD365" s="844">
        <v>0</v>
      </c>
      <c r="CE365" s="844">
        <v>0</v>
      </c>
      <c r="CF365" s="844">
        <v>0</v>
      </c>
      <c r="CG365" s="844">
        <v>0</v>
      </c>
      <c r="CH365" s="844">
        <v>0</v>
      </c>
      <c r="CI365" s="844">
        <v>0</v>
      </c>
      <c r="CJ365" s="844">
        <v>0</v>
      </c>
      <c r="CK365" s="844">
        <v>0</v>
      </c>
      <c r="CL365" s="844">
        <v>0</v>
      </c>
      <c r="CM365" s="844">
        <v>0</v>
      </c>
      <c r="CN365" s="844">
        <v>0</v>
      </c>
      <c r="CO365" s="844">
        <v>0</v>
      </c>
      <c r="CP365" s="844">
        <v>0</v>
      </c>
      <c r="CQ365" s="844">
        <v>0</v>
      </c>
      <c r="CR365" s="844">
        <v>0</v>
      </c>
      <c r="CS365" s="844">
        <v>0</v>
      </c>
      <c r="CT365" s="844">
        <v>0</v>
      </c>
      <c r="CU365" s="844">
        <v>0</v>
      </c>
      <c r="CV365" s="844">
        <v>0</v>
      </c>
      <c r="CW365" s="844">
        <v>0</v>
      </c>
      <c r="CX365" s="844">
        <v>0</v>
      </c>
      <c r="CY365" s="844">
        <v>0</v>
      </c>
      <c r="CZ365" s="844">
        <v>0</v>
      </c>
      <c r="DA365" s="844">
        <v>0</v>
      </c>
      <c r="DB365" s="844">
        <v>0</v>
      </c>
      <c r="DC365" s="844">
        <v>0</v>
      </c>
      <c r="DD365" s="844">
        <v>0</v>
      </c>
      <c r="DE365" s="844">
        <v>0</v>
      </c>
      <c r="DF365" s="844">
        <v>0</v>
      </c>
      <c r="DG365" s="844">
        <v>0</v>
      </c>
      <c r="DH365" s="844">
        <v>0</v>
      </c>
      <c r="DI365" s="844">
        <v>0</v>
      </c>
      <c r="DJ365" s="844">
        <v>0</v>
      </c>
      <c r="DK365" s="844">
        <v>0</v>
      </c>
      <c r="DL365" s="844">
        <v>0</v>
      </c>
      <c r="DM365" s="844">
        <v>0</v>
      </c>
      <c r="DN365" s="844">
        <v>0</v>
      </c>
      <c r="DO365" s="844">
        <v>0</v>
      </c>
      <c r="DP365" s="844">
        <v>0</v>
      </c>
      <c r="DQ365" s="844">
        <v>0</v>
      </c>
      <c r="DR365" s="844">
        <v>0</v>
      </c>
      <c r="DS365" s="844">
        <v>0</v>
      </c>
      <c r="DT365" s="844">
        <v>0</v>
      </c>
      <c r="DU365" s="844">
        <v>0</v>
      </c>
      <c r="DV365" s="844">
        <v>0</v>
      </c>
      <c r="DW365" s="844">
        <v>0</v>
      </c>
      <c r="DY365" s="846" t="s">
        <v>1060</v>
      </c>
      <c r="DZ365" s="846" t="s">
        <v>1382</v>
      </c>
      <c r="EA365" s="846" t="s">
        <v>96</v>
      </c>
      <c r="EB365" s="847">
        <v>50</v>
      </c>
      <c r="EC365" s="780" t="str">
        <f t="shared" si="13"/>
        <v>IWT060150</v>
      </c>
      <c r="ED365" s="847">
        <v>0</v>
      </c>
      <c r="EE365" s="847">
        <v>3076</v>
      </c>
      <c r="EF365" s="847">
        <v>8301</v>
      </c>
      <c r="EG365" s="847">
        <v>13629</v>
      </c>
      <c r="EH365" s="847">
        <v>19062</v>
      </c>
      <c r="EI365" s="847">
        <v>24604</v>
      </c>
      <c r="EJ365" s="847">
        <v>30256</v>
      </c>
      <c r="EK365" s="847">
        <v>30848</v>
      </c>
      <c r="EL365" s="847">
        <v>31456</v>
      </c>
      <c r="EM365" s="847">
        <v>32081</v>
      </c>
      <c r="EN365" s="847">
        <v>32722</v>
      </c>
      <c r="EO365" s="847">
        <v>33377</v>
      </c>
      <c r="EP365" s="847">
        <v>34044</v>
      </c>
      <c r="EQ365" s="847">
        <v>34725</v>
      </c>
      <c r="ER365" s="847">
        <v>35420</v>
      </c>
      <c r="ES365" s="847">
        <v>36128</v>
      </c>
      <c r="ET365" s="847">
        <v>36851</v>
      </c>
      <c r="EU365" s="847">
        <v>37587</v>
      </c>
      <c r="EV365" s="847">
        <v>38339</v>
      </c>
      <c r="EW365" s="847">
        <v>39106</v>
      </c>
      <c r="EX365" s="847">
        <v>39888</v>
      </c>
      <c r="EY365" s="847">
        <v>40686</v>
      </c>
      <c r="EZ365" s="847">
        <v>41499</v>
      </c>
      <c r="FA365" s="847">
        <v>42329</v>
      </c>
      <c r="FB365" s="847">
        <v>43176</v>
      </c>
      <c r="FC365" s="847">
        <v>44039</v>
      </c>
      <c r="FD365" s="847">
        <v>44920</v>
      </c>
      <c r="FE365" s="847">
        <v>45818</v>
      </c>
      <c r="FF365" s="847">
        <v>46735</v>
      </c>
      <c r="FG365" s="847">
        <v>47669</v>
      </c>
      <c r="FH365" s="847">
        <v>48622</v>
      </c>
      <c r="FI365" s="847">
        <v>49595</v>
      </c>
      <c r="FJ365" s="847">
        <v>50586</v>
      </c>
      <c r="FK365" s="847">
        <v>51598</v>
      </c>
      <c r="FL365" s="847">
        <v>52630</v>
      </c>
      <c r="FM365" s="847">
        <v>53682</v>
      </c>
      <c r="FN365" s="847">
        <v>54755</v>
      </c>
      <c r="FO365" s="847">
        <v>55850</v>
      </c>
      <c r="FP365" s="847">
        <v>56967</v>
      </c>
      <c r="FQ365" s="847">
        <v>58106</v>
      </c>
      <c r="FR365" s="847">
        <v>59268</v>
      </c>
      <c r="FS365" s="847">
        <v>60453</v>
      </c>
      <c r="FT365" s="847">
        <v>61661</v>
      </c>
      <c r="FU365" s="847">
        <v>62894</v>
      </c>
      <c r="FV365" s="847">
        <v>64151</v>
      </c>
      <c r="FW365" s="847">
        <v>65433</v>
      </c>
      <c r="FX365" s="847">
        <v>66741</v>
      </c>
      <c r="FY365" s="847">
        <v>68075</v>
      </c>
      <c r="FZ365" s="847">
        <v>69420</v>
      </c>
      <c r="GA365" s="847">
        <v>70774</v>
      </c>
      <c r="GB365" s="847">
        <v>72135</v>
      </c>
      <c r="GC365" s="847">
        <v>73504</v>
      </c>
      <c r="GD365" s="847">
        <v>74880</v>
      </c>
      <c r="GE365" s="847">
        <v>76261</v>
      </c>
      <c r="GF365" s="847">
        <v>77648</v>
      </c>
      <c r="GG365" s="847">
        <v>79041</v>
      </c>
      <c r="GH365" s="847">
        <v>80438</v>
      </c>
      <c r="GI365" s="847">
        <v>81841</v>
      </c>
      <c r="GJ365" s="847">
        <v>83250</v>
      </c>
      <c r="GK365" s="847">
        <v>84673</v>
      </c>
      <c r="GL365" s="847">
        <v>86143</v>
      </c>
      <c r="GM365" s="847">
        <v>87000</v>
      </c>
      <c r="GN365" s="847">
        <v>0</v>
      </c>
      <c r="GO365" s="847">
        <v>0</v>
      </c>
      <c r="GP365" s="847">
        <v>0</v>
      </c>
      <c r="GQ365" s="847">
        <v>0</v>
      </c>
      <c r="GR365" s="847">
        <v>0</v>
      </c>
      <c r="GS365" s="847">
        <v>0</v>
      </c>
      <c r="GT365" s="847">
        <v>0</v>
      </c>
      <c r="GU365" s="847">
        <v>0</v>
      </c>
      <c r="GV365" s="847">
        <v>0</v>
      </c>
      <c r="GW365" s="847">
        <v>0</v>
      </c>
      <c r="GX365" s="847">
        <v>0</v>
      </c>
      <c r="GY365" s="847">
        <v>0</v>
      </c>
      <c r="GZ365" s="847">
        <v>0</v>
      </c>
      <c r="HA365" s="847">
        <v>0</v>
      </c>
      <c r="HB365" s="847">
        <v>0</v>
      </c>
      <c r="HC365" s="847">
        <v>0</v>
      </c>
      <c r="HD365" s="847">
        <v>0</v>
      </c>
      <c r="HE365" s="847">
        <v>0</v>
      </c>
      <c r="HF365" s="847">
        <v>0</v>
      </c>
      <c r="HG365" s="847">
        <v>0</v>
      </c>
      <c r="HH365" s="847">
        <v>0</v>
      </c>
      <c r="HI365" s="847">
        <v>0</v>
      </c>
      <c r="HJ365" s="847">
        <v>0</v>
      </c>
      <c r="HK365" s="847">
        <v>0</v>
      </c>
      <c r="HL365" s="847">
        <v>0</v>
      </c>
      <c r="HM365" s="847">
        <v>0</v>
      </c>
      <c r="HN365" s="847">
        <v>0</v>
      </c>
      <c r="HO365" s="847">
        <v>0</v>
      </c>
      <c r="HP365" s="847">
        <v>0</v>
      </c>
      <c r="HQ365" s="847">
        <v>0</v>
      </c>
      <c r="HR365" s="847">
        <v>0</v>
      </c>
      <c r="HS365" s="847">
        <v>0</v>
      </c>
      <c r="HT365" s="847">
        <v>0</v>
      </c>
      <c r="HU365" s="847">
        <v>0</v>
      </c>
      <c r="HV365" s="847">
        <v>0</v>
      </c>
      <c r="HW365" s="847">
        <v>0</v>
      </c>
      <c r="HX365" s="847">
        <v>0</v>
      </c>
      <c r="HY365" s="847">
        <v>0</v>
      </c>
      <c r="HZ365" s="847">
        <v>0</v>
      </c>
      <c r="IA365" s="847">
        <v>0</v>
      </c>
      <c r="IB365" s="847">
        <v>0</v>
      </c>
      <c r="IC365" s="847">
        <v>0</v>
      </c>
      <c r="ID365" s="847">
        <v>0</v>
      </c>
      <c r="IE365" s="847">
        <v>0</v>
      </c>
      <c r="IF365" s="847">
        <v>0</v>
      </c>
      <c r="IG365" s="847">
        <v>0</v>
      </c>
      <c r="IH365" s="847">
        <v>0</v>
      </c>
      <c r="II365" s="847">
        <v>0</v>
      </c>
      <c r="IJ365" s="847">
        <v>0</v>
      </c>
      <c r="IK365" s="847">
        <v>0</v>
      </c>
    </row>
    <row r="366" spans="12:245" hidden="1">
      <c r="L366" s="843" t="s">
        <v>1060</v>
      </c>
      <c r="M366" s="843" t="s">
        <v>1382</v>
      </c>
      <c r="N366" s="843" t="s">
        <v>96</v>
      </c>
      <c r="O366" s="844">
        <v>51</v>
      </c>
      <c r="P366" s="780" t="str">
        <f t="shared" si="12"/>
        <v>IWT060151</v>
      </c>
      <c r="Q366" s="844">
        <v>2303</v>
      </c>
      <c r="R366" s="844">
        <v>6638</v>
      </c>
      <c r="S366" s="844">
        <v>11585</v>
      </c>
      <c r="T366" s="844">
        <v>17159</v>
      </c>
      <c r="U366" s="844">
        <v>23379</v>
      </c>
      <c r="V366" s="844">
        <v>29962</v>
      </c>
      <c r="W366" s="844">
        <v>30856</v>
      </c>
      <c r="X366" s="844">
        <v>31463</v>
      </c>
      <c r="Y366" s="844">
        <v>32087</v>
      </c>
      <c r="Z366" s="844">
        <v>32729</v>
      </c>
      <c r="AA366" s="844">
        <v>33383</v>
      </c>
      <c r="AB366" s="844">
        <v>34051</v>
      </c>
      <c r="AC366" s="844">
        <v>34732</v>
      </c>
      <c r="AD366" s="844">
        <v>35427</v>
      </c>
      <c r="AE366" s="844">
        <v>36135</v>
      </c>
      <c r="AF366" s="844">
        <v>36858</v>
      </c>
      <c r="AG366" s="844">
        <v>37595</v>
      </c>
      <c r="AH366" s="844">
        <v>38347</v>
      </c>
      <c r="AI366" s="844">
        <v>39114</v>
      </c>
      <c r="AJ366" s="844">
        <v>39896</v>
      </c>
      <c r="AK366" s="844">
        <v>40694</v>
      </c>
      <c r="AL366" s="844">
        <v>41508</v>
      </c>
      <c r="AM366" s="844">
        <v>42338</v>
      </c>
      <c r="AN366" s="844">
        <v>43184</v>
      </c>
      <c r="AO366" s="844">
        <v>44048</v>
      </c>
      <c r="AP366" s="844">
        <v>44929</v>
      </c>
      <c r="AQ366" s="844">
        <v>45827</v>
      </c>
      <c r="AR366" s="844">
        <v>46744</v>
      </c>
      <c r="AS366" s="844">
        <v>47678</v>
      </c>
      <c r="AT366" s="844">
        <v>48632</v>
      </c>
      <c r="AU366" s="844">
        <v>49604</v>
      </c>
      <c r="AV366" s="844">
        <v>50596</v>
      </c>
      <c r="AW366" s="844">
        <v>51608</v>
      </c>
      <c r="AX366" s="844">
        <v>52640</v>
      </c>
      <c r="AY366" s="844">
        <v>53693</v>
      </c>
      <c r="AZ366" s="844">
        <v>54766</v>
      </c>
      <c r="BA366" s="844">
        <v>55861</v>
      </c>
      <c r="BB366" s="844">
        <v>56978</v>
      </c>
      <c r="BC366" s="844">
        <v>58117</v>
      </c>
      <c r="BD366" s="844">
        <v>59279</v>
      </c>
      <c r="BE366" s="844">
        <v>60464</v>
      </c>
      <c r="BF366" s="844">
        <v>61673</v>
      </c>
      <c r="BG366" s="844">
        <v>62906</v>
      </c>
      <c r="BH366" s="844">
        <v>64163</v>
      </c>
      <c r="BI366" s="844">
        <v>65446</v>
      </c>
      <c r="BJ366" s="844">
        <v>66754</v>
      </c>
      <c r="BK366" s="844">
        <v>68088</v>
      </c>
      <c r="BL366" s="844">
        <v>69436</v>
      </c>
      <c r="BM366" s="844">
        <v>70793</v>
      </c>
      <c r="BN366" s="844">
        <v>72157</v>
      </c>
      <c r="BO366" s="844">
        <v>73527</v>
      </c>
      <c r="BP366" s="844">
        <v>74905</v>
      </c>
      <c r="BQ366" s="844">
        <v>76288</v>
      </c>
      <c r="BR366" s="844">
        <v>77677</v>
      </c>
      <c r="BS366" s="844">
        <v>79071</v>
      </c>
      <c r="BT366" s="844">
        <v>80470</v>
      </c>
      <c r="BU366" s="844">
        <v>81876</v>
      </c>
      <c r="BV366" s="844">
        <v>83294</v>
      </c>
      <c r="BW366" s="844">
        <v>84757</v>
      </c>
      <c r="BX366" s="844">
        <v>85600</v>
      </c>
      <c r="BY366" s="844">
        <v>0</v>
      </c>
      <c r="BZ366" s="844">
        <v>0</v>
      </c>
      <c r="CA366" s="844">
        <v>0</v>
      </c>
      <c r="CB366" s="844">
        <v>0</v>
      </c>
      <c r="CC366" s="844">
        <v>0</v>
      </c>
      <c r="CD366" s="844">
        <v>0</v>
      </c>
      <c r="CE366" s="844">
        <v>0</v>
      </c>
      <c r="CF366" s="844">
        <v>0</v>
      </c>
      <c r="CG366" s="844">
        <v>0</v>
      </c>
      <c r="CH366" s="844">
        <v>0</v>
      </c>
      <c r="CI366" s="844">
        <v>0</v>
      </c>
      <c r="CJ366" s="844">
        <v>0</v>
      </c>
      <c r="CK366" s="844">
        <v>0</v>
      </c>
      <c r="CL366" s="844">
        <v>0</v>
      </c>
      <c r="CM366" s="844">
        <v>0</v>
      </c>
      <c r="CN366" s="844">
        <v>0</v>
      </c>
      <c r="CO366" s="844">
        <v>0</v>
      </c>
      <c r="CP366" s="844">
        <v>0</v>
      </c>
      <c r="CQ366" s="844">
        <v>0</v>
      </c>
      <c r="CR366" s="844">
        <v>0</v>
      </c>
      <c r="CS366" s="844">
        <v>0</v>
      </c>
      <c r="CT366" s="844">
        <v>0</v>
      </c>
      <c r="CU366" s="844">
        <v>0</v>
      </c>
      <c r="CV366" s="844">
        <v>0</v>
      </c>
      <c r="CW366" s="844">
        <v>0</v>
      </c>
      <c r="CX366" s="844">
        <v>0</v>
      </c>
      <c r="CY366" s="844">
        <v>0</v>
      </c>
      <c r="CZ366" s="844">
        <v>0</v>
      </c>
      <c r="DA366" s="844">
        <v>0</v>
      </c>
      <c r="DB366" s="844">
        <v>0</v>
      </c>
      <c r="DC366" s="844">
        <v>0</v>
      </c>
      <c r="DD366" s="844">
        <v>0</v>
      </c>
      <c r="DE366" s="844">
        <v>0</v>
      </c>
      <c r="DF366" s="844">
        <v>0</v>
      </c>
      <c r="DG366" s="844">
        <v>0</v>
      </c>
      <c r="DH366" s="844">
        <v>0</v>
      </c>
      <c r="DI366" s="844">
        <v>0</v>
      </c>
      <c r="DJ366" s="844">
        <v>0</v>
      </c>
      <c r="DK366" s="844">
        <v>0</v>
      </c>
      <c r="DL366" s="844">
        <v>0</v>
      </c>
      <c r="DM366" s="844">
        <v>0</v>
      </c>
      <c r="DN366" s="844">
        <v>0</v>
      </c>
      <c r="DO366" s="844">
        <v>0</v>
      </c>
      <c r="DP366" s="844">
        <v>0</v>
      </c>
      <c r="DQ366" s="844">
        <v>0</v>
      </c>
      <c r="DR366" s="844">
        <v>0</v>
      </c>
      <c r="DS366" s="844">
        <v>0</v>
      </c>
      <c r="DT366" s="844">
        <v>0</v>
      </c>
      <c r="DU366" s="844">
        <v>0</v>
      </c>
      <c r="DV366" s="844">
        <v>0</v>
      </c>
      <c r="DW366" s="844">
        <v>0</v>
      </c>
      <c r="DY366" s="846" t="s">
        <v>1060</v>
      </c>
      <c r="DZ366" s="846" t="s">
        <v>1382</v>
      </c>
      <c r="EA366" s="846" t="s">
        <v>96</v>
      </c>
      <c r="EB366" s="847">
        <v>51</v>
      </c>
      <c r="EC366" s="780" t="str">
        <f t="shared" si="13"/>
        <v>IWT060151</v>
      </c>
      <c r="ED366" s="847">
        <v>0</v>
      </c>
      <c r="EE366" s="847">
        <v>3071</v>
      </c>
      <c r="EF366" s="847">
        <v>8298</v>
      </c>
      <c r="EG366" s="847">
        <v>13629</v>
      </c>
      <c r="EH366" s="847">
        <v>19065</v>
      </c>
      <c r="EI366" s="847">
        <v>24609</v>
      </c>
      <c r="EJ366" s="847">
        <v>30265</v>
      </c>
      <c r="EK366" s="847">
        <v>30856</v>
      </c>
      <c r="EL366" s="847">
        <v>31463</v>
      </c>
      <c r="EM366" s="847">
        <v>32087</v>
      </c>
      <c r="EN366" s="847">
        <v>32729</v>
      </c>
      <c r="EO366" s="847">
        <v>33383</v>
      </c>
      <c r="EP366" s="847">
        <v>34051</v>
      </c>
      <c r="EQ366" s="847">
        <v>34732</v>
      </c>
      <c r="ER366" s="847">
        <v>35427</v>
      </c>
      <c r="ES366" s="847">
        <v>36135</v>
      </c>
      <c r="ET366" s="847">
        <v>36858</v>
      </c>
      <c r="EU366" s="847">
        <v>37595</v>
      </c>
      <c r="EV366" s="847">
        <v>38347</v>
      </c>
      <c r="EW366" s="847">
        <v>39114</v>
      </c>
      <c r="EX366" s="847">
        <v>39896</v>
      </c>
      <c r="EY366" s="847">
        <v>40694</v>
      </c>
      <c r="EZ366" s="847">
        <v>41508</v>
      </c>
      <c r="FA366" s="847">
        <v>42338</v>
      </c>
      <c r="FB366" s="847">
        <v>43184</v>
      </c>
      <c r="FC366" s="847">
        <v>44048</v>
      </c>
      <c r="FD366" s="847">
        <v>44929</v>
      </c>
      <c r="FE366" s="847">
        <v>45827</v>
      </c>
      <c r="FF366" s="847">
        <v>46744</v>
      </c>
      <c r="FG366" s="847">
        <v>47678</v>
      </c>
      <c r="FH366" s="847">
        <v>48632</v>
      </c>
      <c r="FI366" s="847">
        <v>49604</v>
      </c>
      <c r="FJ366" s="847">
        <v>50596</v>
      </c>
      <c r="FK366" s="847">
        <v>51608</v>
      </c>
      <c r="FL366" s="847">
        <v>52640</v>
      </c>
      <c r="FM366" s="847">
        <v>53693</v>
      </c>
      <c r="FN366" s="847">
        <v>54766</v>
      </c>
      <c r="FO366" s="847">
        <v>55861</v>
      </c>
      <c r="FP366" s="847">
        <v>56978</v>
      </c>
      <c r="FQ366" s="847">
        <v>58117</v>
      </c>
      <c r="FR366" s="847">
        <v>59279</v>
      </c>
      <c r="FS366" s="847">
        <v>60464</v>
      </c>
      <c r="FT366" s="847">
        <v>61673</v>
      </c>
      <c r="FU366" s="847">
        <v>62906</v>
      </c>
      <c r="FV366" s="847">
        <v>64163</v>
      </c>
      <c r="FW366" s="847">
        <v>65446</v>
      </c>
      <c r="FX366" s="847">
        <v>66754</v>
      </c>
      <c r="FY366" s="847">
        <v>68088</v>
      </c>
      <c r="FZ366" s="847">
        <v>69436</v>
      </c>
      <c r="GA366" s="847">
        <v>70793</v>
      </c>
      <c r="GB366" s="847">
        <v>72157</v>
      </c>
      <c r="GC366" s="847">
        <v>73527</v>
      </c>
      <c r="GD366" s="847">
        <v>74905</v>
      </c>
      <c r="GE366" s="847">
        <v>76288</v>
      </c>
      <c r="GF366" s="847">
        <v>77677</v>
      </c>
      <c r="GG366" s="847">
        <v>79071</v>
      </c>
      <c r="GH366" s="847">
        <v>80470</v>
      </c>
      <c r="GI366" s="847">
        <v>81876</v>
      </c>
      <c r="GJ366" s="847">
        <v>83294</v>
      </c>
      <c r="GK366" s="847">
        <v>84757</v>
      </c>
      <c r="GL366" s="847">
        <v>85600</v>
      </c>
      <c r="GM366" s="847">
        <v>0</v>
      </c>
      <c r="GN366" s="847">
        <v>0</v>
      </c>
      <c r="GO366" s="847">
        <v>0</v>
      </c>
      <c r="GP366" s="847">
        <v>0</v>
      </c>
      <c r="GQ366" s="847">
        <v>0</v>
      </c>
      <c r="GR366" s="847">
        <v>0</v>
      </c>
      <c r="GS366" s="847">
        <v>0</v>
      </c>
      <c r="GT366" s="847">
        <v>0</v>
      </c>
      <c r="GU366" s="847">
        <v>0</v>
      </c>
      <c r="GV366" s="847">
        <v>0</v>
      </c>
      <c r="GW366" s="847">
        <v>0</v>
      </c>
      <c r="GX366" s="847">
        <v>0</v>
      </c>
      <c r="GY366" s="847">
        <v>0</v>
      </c>
      <c r="GZ366" s="847">
        <v>0</v>
      </c>
      <c r="HA366" s="847">
        <v>0</v>
      </c>
      <c r="HB366" s="847">
        <v>0</v>
      </c>
      <c r="HC366" s="847">
        <v>0</v>
      </c>
      <c r="HD366" s="847">
        <v>0</v>
      </c>
      <c r="HE366" s="847">
        <v>0</v>
      </c>
      <c r="HF366" s="847">
        <v>0</v>
      </c>
      <c r="HG366" s="847">
        <v>0</v>
      </c>
      <c r="HH366" s="847">
        <v>0</v>
      </c>
      <c r="HI366" s="847">
        <v>0</v>
      </c>
      <c r="HJ366" s="847">
        <v>0</v>
      </c>
      <c r="HK366" s="847">
        <v>0</v>
      </c>
      <c r="HL366" s="847">
        <v>0</v>
      </c>
      <c r="HM366" s="847">
        <v>0</v>
      </c>
      <c r="HN366" s="847">
        <v>0</v>
      </c>
      <c r="HO366" s="847">
        <v>0</v>
      </c>
      <c r="HP366" s="847">
        <v>0</v>
      </c>
      <c r="HQ366" s="847">
        <v>0</v>
      </c>
      <c r="HR366" s="847">
        <v>0</v>
      </c>
      <c r="HS366" s="847">
        <v>0</v>
      </c>
      <c r="HT366" s="847">
        <v>0</v>
      </c>
      <c r="HU366" s="847">
        <v>0</v>
      </c>
      <c r="HV366" s="847">
        <v>0</v>
      </c>
      <c r="HW366" s="847">
        <v>0</v>
      </c>
      <c r="HX366" s="847">
        <v>0</v>
      </c>
      <c r="HY366" s="847">
        <v>0</v>
      </c>
      <c r="HZ366" s="847">
        <v>0</v>
      </c>
      <c r="IA366" s="847">
        <v>0</v>
      </c>
      <c r="IB366" s="847">
        <v>0</v>
      </c>
      <c r="IC366" s="847">
        <v>0</v>
      </c>
      <c r="ID366" s="847">
        <v>0</v>
      </c>
      <c r="IE366" s="847">
        <v>0</v>
      </c>
      <c r="IF366" s="847">
        <v>0</v>
      </c>
      <c r="IG366" s="847">
        <v>0</v>
      </c>
      <c r="IH366" s="847">
        <v>0</v>
      </c>
      <c r="II366" s="847">
        <v>0</v>
      </c>
      <c r="IJ366" s="847">
        <v>0</v>
      </c>
      <c r="IK366" s="847">
        <v>0</v>
      </c>
    </row>
    <row r="367" spans="12:245" hidden="1">
      <c r="L367" s="843" t="s">
        <v>1060</v>
      </c>
      <c r="M367" s="843" t="s">
        <v>1382</v>
      </c>
      <c r="N367" s="843" t="s">
        <v>96</v>
      </c>
      <c r="O367" s="844">
        <v>52</v>
      </c>
      <c r="P367" s="780" t="str">
        <f t="shared" si="12"/>
        <v>IWT060152</v>
      </c>
      <c r="Q367" s="844">
        <v>2298</v>
      </c>
      <c r="R367" s="844">
        <v>6636</v>
      </c>
      <c r="S367" s="844">
        <v>11584</v>
      </c>
      <c r="T367" s="844">
        <v>17160</v>
      </c>
      <c r="U367" s="844">
        <v>23384</v>
      </c>
      <c r="V367" s="844">
        <v>29970</v>
      </c>
      <c r="W367" s="844">
        <v>30863</v>
      </c>
      <c r="X367" s="844">
        <v>31469</v>
      </c>
      <c r="Y367" s="844">
        <v>32093</v>
      </c>
      <c r="Z367" s="844">
        <v>32735</v>
      </c>
      <c r="AA367" s="844">
        <v>33389</v>
      </c>
      <c r="AB367" s="844">
        <v>34057</v>
      </c>
      <c r="AC367" s="844">
        <v>34738</v>
      </c>
      <c r="AD367" s="844">
        <v>35433</v>
      </c>
      <c r="AE367" s="844">
        <v>36141</v>
      </c>
      <c r="AF367" s="844">
        <v>36864</v>
      </c>
      <c r="AG367" s="844">
        <v>37601</v>
      </c>
      <c r="AH367" s="844">
        <v>38353</v>
      </c>
      <c r="AI367" s="844">
        <v>39120</v>
      </c>
      <c r="AJ367" s="844">
        <v>39903</v>
      </c>
      <c r="AK367" s="844">
        <v>40701</v>
      </c>
      <c r="AL367" s="844">
        <v>41515</v>
      </c>
      <c r="AM367" s="844">
        <v>42345</v>
      </c>
      <c r="AN367" s="844">
        <v>43192</v>
      </c>
      <c r="AO367" s="844">
        <v>44056</v>
      </c>
      <c r="AP367" s="844">
        <v>44937</v>
      </c>
      <c r="AQ367" s="844">
        <v>45835</v>
      </c>
      <c r="AR367" s="844">
        <v>46752</v>
      </c>
      <c r="AS367" s="844">
        <v>47687</v>
      </c>
      <c r="AT367" s="844">
        <v>48640</v>
      </c>
      <c r="AU367" s="844">
        <v>49613</v>
      </c>
      <c r="AV367" s="844">
        <v>50605</v>
      </c>
      <c r="AW367" s="844">
        <v>51617</v>
      </c>
      <c r="AX367" s="844">
        <v>52649</v>
      </c>
      <c r="AY367" s="844">
        <v>53701</v>
      </c>
      <c r="AZ367" s="844">
        <v>54775</v>
      </c>
      <c r="BA367" s="844">
        <v>55870</v>
      </c>
      <c r="BB367" s="844">
        <v>56987</v>
      </c>
      <c r="BC367" s="844">
        <v>58127</v>
      </c>
      <c r="BD367" s="844">
        <v>59289</v>
      </c>
      <c r="BE367" s="844">
        <v>60474</v>
      </c>
      <c r="BF367" s="844">
        <v>61683</v>
      </c>
      <c r="BG367" s="844">
        <v>62916</v>
      </c>
      <c r="BH367" s="844">
        <v>64173</v>
      </c>
      <c r="BI367" s="844">
        <v>65456</v>
      </c>
      <c r="BJ367" s="844">
        <v>66764</v>
      </c>
      <c r="BK367" s="844">
        <v>68098</v>
      </c>
      <c r="BL367" s="844">
        <v>69450</v>
      </c>
      <c r="BM367" s="844">
        <v>70809</v>
      </c>
      <c r="BN367" s="844">
        <v>72175</v>
      </c>
      <c r="BO367" s="844">
        <v>73548</v>
      </c>
      <c r="BP367" s="844">
        <v>74928</v>
      </c>
      <c r="BQ367" s="844">
        <v>76313</v>
      </c>
      <c r="BR367" s="844">
        <v>77703</v>
      </c>
      <c r="BS367" s="844">
        <v>79099</v>
      </c>
      <c r="BT367" s="844">
        <v>80501</v>
      </c>
      <c r="BU367" s="844">
        <v>81916</v>
      </c>
      <c r="BV367" s="844">
        <v>83370</v>
      </c>
      <c r="BW367" s="844">
        <v>84200</v>
      </c>
      <c r="BX367" s="844">
        <v>0</v>
      </c>
      <c r="BY367" s="844">
        <v>0</v>
      </c>
      <c r="BZ367" s="844">
        <v>0</v>
      </c>
      <c r="CA367" s="844">
        <v>0</v>
      </c>
      <c r="CB367" s="844">
        <v>0</v>
      </c>
      <c r="CC367" s="844">
        <v>0</v>
      </c>
      <c r="CD367" s="844">
        <v>0</v>
      </c>
      <c r="CE367" s="844">
        <v>0</v>
      </c>
      <c r="CF367" s="844">
        <v>0</v>
      </c>
      <c r="CG367" s="844">
        <v>0</v>
      </c>
      <c r="CH367" s="844">
        <v>0</v>
      </c>
      <c r="CI367" s="844">
        <v>0</v>
      </c>
      <c r="CJ367" s="844">
        <v>0</v>
      </c>
      <c r="CK367" s="844">
        <v>0</v>
      </c>
      <c r="CL367" s="844">
        <v>0</v>
      </c>
      <c r="CM367" s="844">
        <v>0</v>
      </c>
      <c r="CN367" s="844">
        <v>0</v>
      </c>
      <c r="CO367" s="844">
        <v>0</v>
      </c>
      <c r="CP367" s="844">
        <v>0</v>
      </c>
      <c r="CQ367" s="844">
        <v>0</v>
      </c>
      <c r="CR367" s="844">
        <v>0</v>
      </c>
      <c r="CS367" s="844">
        <v>0</v>
      </c>
      <c r="CT367" s="844">
        <v>0</v>
      </c>
      <c r="CU367" s="844">
        <v>0</v>
      </c>
      <c r="CV367" s="844">
        <v>0</v>
      </c>
      <c r="CW367" s="844">
        <v>0</v>
      </c>
      <c r="CX367" s="844">
        <v>0</v>
      </c>
      <c r="CY367" s="844">
        <v>0</v>
      </c>
      <c r="CZ367" s="844">
        <v>0</v>
      </c>
      <c r="DA367" s="844">
        <v>0</v>
      </c>
      <c r="DB367" s="844">
        <v>0</v>
      </c>
      <c r="DC367" s="844">
        <v>0</v>
      </c>
      <c r="DD367" s="844">
        <v>0</v>
      </c>
      <c r="DE367" s="844">
        <v>0</v>
      </c>
      <c r="DF367" s="844">
        <v>0</v>
      </c>
      <c r="DG367" s="844">
        <v>0</v>
      </c>
      <c r="DH367" s="844">
        <v>0</v>
      </c>
      <c r="DI367" s="844">
        <v>0</v>
      </c>
      <c r="DJ367" s="844">
        <v>0</v>
      </c>
      <c r="DK367" s="844">
        <v>0</v>
      </c>
      <c r="DL367" s="844">
        <v>0</v>
      </c>
      <c r="DM367" s="844">
        <v>0</v>
      </c>
      <c r="DN367" s="844">
        <v>0</v>
      </c>
      <c r="DO367" s="844">
        <v>0</v>
      </c>
      <c r="DP367" s="844">
        <v>0</v>
      </c>
      <c r="DQ367" s="844">
        <v>0</v>
      </c>
      <c r="DR367" s="844">
        <v>0</v>
      </c>
      <c r="DS367" s="844">
        <v>0</v>
      </c>
      <c r="DT367" s="844">
        <v>0</v>
      </c>
      <c r="DU367" s="844">
        <v>0</v>
      </c>
      <c r="DV367" s="844">
        <v>0</v>
      </c>
      <c r="DW367" s="844">
        <v>0</v>
      </c>
      <c r="DY367" s="846" t="s">
        <v>1060</v>
      </c>
      <c r="DZ367" s="846" t="s">
        <v>1382</v>
      </c>
      <c r="EA367" s="846" t="s">
        <v>96</v>
      </c>
      <c r="EB367" s="847">
        <v>52</v>
      </c>
      <c r="EC367" s="780" t="str">
        <f t="shared" si="13"/>
        <v>IWT060152</v>
      </c>
      <c r="ED367" s="847">
        <v>0</v>
      </c>
      <c r="EE367" s="847">
        <v>3064</v>
      </c>
      <c r="EF367" s="847">
        <v>8295</v>
      </c>
      <c r="EG367" s="847">
        <v>13628</v>
      </c>
      <c r="EH367" s="847">
        <v>19067</v>
      </c>
      <c r="EI367" s="847">
        <v>24615</v>
      </c>
      <c r="EJ367" s="847">
        <v>30273</v>
      </c>
      <c r="EK367" s="847">
        <v>30863</v>
      </c>
      <c r="EL367" s="847">
        <v>31469</v>
      </c>
      <c r="EM367" s="847">
        <v>32093</v>
      </c>
      <c r="EN367" s="847">
        <v>32735</v>
      </c>
      <c r="EO367" s="847">
        <v>33389</v>
      </c>
      <c r="EP367" s="847">
        <v>34057</v>
      </c>
      <c r="EQ367" s="847">
        <v>34738</v>
      </c>
      <c r="ER367" s="847">
        <v>35433</v>
      </c>
      <c r="ES367" s="847">
        <v>36141</v>
      </c>
      <c r="ET367" s="847">
        <v>36864</v>
      </c>
      <c r="EU367" s="847">
        <v>37601</v>
      </c>
      <c r="EV367" s="847">
        <v>38353</v>
      </c>
      <c r="EW367" s="847">
        <v>39120</v>
      </c>
      <c r="EX367" s="847">
        <v>39903</v>
      </c>
      <c r="EY367" s="847">
        <v>40701</v>
      </c>
      <c r="EZ367" s="847">
        <v>41515</v>
      </c>
      <c r="FA367" s="847">
        <v>42345</v>
      </c>
      <c r="FB367" s="847">
        <v>43192</v>
      </c>
      <c r="FC367" s="847">
        <v>44056</v>
      </c>
      <c r="FD367" s="847">
        <v>44937</v>
      </c>
      <c r="FE367" s="847">
        <v>45835</v>
      </c>
      <c r="FF367" s="847">
        <v>46752</v>
      </c>
      <c r="FG367" s="847">
        <v>47687</v>
      </c>
      <c r="FH367" s="847">
        <v>48640</v>
      </c>
      <c r="FI367" s="847">
        <v>49613</v>
      </c>
      <c r="FJ367" s="847">
        <v>50605</v>
      </c>
      <c r="FK367" s="847">
        <v>51617</v>
      </c>
      <c r="FL367" s="847">
        <v>52649</v>
      </c>
      <c r="FM367" s="847">
        <v>53701</v>
      </c>
      <c r="FN367" s="847">
        <v>54775</v>
      </c>
      <c r="FO367" s="847">
        <v>55870</v>
      </c>
      <c r="FP367" s="847">
        <v>56987</v>
      </c>
      <c r="FQ367" s="847">
        <v>58127</v>
      </c>
      <c r="FR367" s="847">
        <v>59289</v>
      </c>
      <c r="FS367" s="847">
        <v>60474</v>
      </c>
      <c r="FT367" s="847">
        <v>61683</v>
      </c>
      <c r="FU367" s="847">
        <v>62916</v>
      </c>
      <c r="FV367" s="847">
        <v>64173</v>
      </c>
      <c r="FW367" s="847">
        <v>65456</v>
      </c>
      <c r="FX367" s="847">
        <v>66764</v>
      </c>
      <c r="FY367" s="847">
        <v>68098</v>
      </c>
      <c r="FZ367" s="847">
        <v>69450</v>
      </c>
      <c r="GA367" s="847">
        <v>70809</v>
      </c>
      <c r="GB367" s="847">
        <v>72175</v>
      </c>
      <c r="GC367" s="847">
        <v>73548</v>
      </c>
      <c r="GD367" s="847">
        <v>74928</v>
      </c>
      <c r="GE367" s="847">
        <v>76313</v>
      </c>
      <c r="GF367" s="847">
        <v>77703</v>
      </c>
      <c r="GG367" s="847">
        <v>79099</v>
      </c>
      <c r="GH367" s="847">
        <v>80501</v>
      </c>
      <c r="GI367" s="847">
        <v>81916</v>
      </c>
      <c r="GJ367" s="847">
        <v>83370</v>
      </c>
      <c r="GK367" s="847">
        <v>84200</v>
      </c>
      <c r="GL367" s="847">
        <v>0</v>
      </c>
      <c r="GM367" s="847">
        <v>0</v>
      </c>
      <c r="GN367" s="847">
        <v>0</v>
      </c>
      <c r="GO367" s="847">
        <v>0</v>
      </c>
      <c r="GP367" s="847">
        <v>0</v>
      </c>
      <c r="GQ367" s="847">
        <v>0</v>
      </c>
      <c r="GR367" s="847">
        <v>0</v>
      </c>
      <c r="GS367" s="847">
        <v>0</v>
      </c>
      <c r="GT367" s="847">
        <v>0</v>
      </c>
      <c r="GU367" s="847">
        <v>0</v>
      </c>
      <c r="GV367" s="847">
        <v>0</v>
      </c>
      <c r="GW367" s="847">
        <v>0</v>
      </c>
      <c r="GX367" s="847">
        <v>0</v>
      </c>
      <c r="GY367" s="847">
        <v>0</v>
      </c>
      <c r="GZ367" s="847">
        <v>0</v>
      </c>
      <c r="HA367" s="847">
        <v>0</v>
      </c>
      <c r="HB367" s="847">
        <v>0</v>
      </c>
      <c r="HC367" s="847">
        <v>0</v>
      </c>
      <c r="HD367" s="847">
        <v>0</v>
      </c>
      <c r="HE367" s="847">
        <v>0</v>
      </c>
      <c r="HF367" s="847">
        <v>0</v>
      </c>
      <c r="HG367" s="847">
        <v>0</v>
      </c>
      <c r="HH367" s="847">
        <v>0</v>
      </c>
      <c r="HI367" s="847">
        <v>0</v>
      </c>
      <c r="HJ367" s="847">
        <v>0</v>
      </c>
      <c r="HK367" s="847">
        <v>0</v>
      </c>
      <c r="HL367" s="847">
        <v>0</v>
      </c>
      <c r="HM367" s="847">
        <v>0</v>
      </c>
      <c r="HN367" s="847">
        <v>0</v>
      </c>
      <c r="HO367" s="847">
        <v>0</v>
      </c>
      <c r="HP367" s="847">
        <v>0</v>
      </c>
      <c r="HQ367" s="847">
        <v>0</v>
      </c>
      <c r="HR367" s="847">
        <v>0</v>
      </c>
      <c r="HS367" s="847">
        <v>0</v>
      </c>
      <c r="HT367" s="847">
        <v>0</v>
      </c>
      <c r="HU367" s="847">
        <v>0</v>
      </c>
      <c r="HV367" s="847">
        <v>0</v>
      </c>
      <c r="HW367" s="847">
        <v>0</v>
      </c>
      <c r="HX367" s="847">
        <v>0</v>
      </c>
      <c r="HY367" s="847">
        <v>0</v>
      </c>
      <c r="HZ367" s="847">
        <v>0</v>
      </c>
      <c r="IA367" s="847">
        <v>0</v>
      </c>
      <c r="IB367" s="847">
        <v>0</v>
      </c>
      <c r="IC367" s="847">
        <v>0</v>
      </c>
      <c r="ID367" s="847">
        <v>0</v>
      </c>
      <c r="IE367" s="847">
        <v>0</v>
      </c>
      <c r="IF367" s="847">
        <v>0</v>
      </c>
      <c r="IG367" s="847">
        <v>0</v>
      </c>
      <c r="IH367" s="847">
        <v>0</v>
      </c>
      <c r="II367" s="847">
        <v>0</v>
      </c>
      <c r="IJ367" s="847">
        <v>0</v>
      </c>
      <c r="IK367" s="847">
        <v>0</v>
      </c>
    </row>
    <row r="368" spans="12:245" hidden="1">
      <c r="L368" s="843" t="s">
        <v>1060</v>
      </c>
      <c r="M368" s="843" t="s">
        <v>1382</v>
      </c>
      <c r="N368" s="843" t="s">
        <v>96</v>
      </c>
      <c r="O368" s="844">
        <v>53</v>
      </c>
      <c r="P368" s="780" t="str">
        <f t="shared" si="12"/>
        <v>IWT060153</v>
      </c>
      <c r="Q368" s="844">
        <v>2292</v>
      </c>
      <c r="R368" s="844">
        <v>6632</v>
      </c>
      <c r="S368" s="844">
        <v>11583</v>
      </c>
      <c r="T368" s="844">
        <v>17162</v>
      </c>
      <c r="U368" s="844">
        <v>23388</v>
      </c>
      <c r="V368" s="844">
        <v>29978</v>
      </c>
      <c r="W368" s="844">
        <v>30869</v>
      </c>
      <c r="X368" s="844">
        <v>31474</v>
      </c>
      <c r="Y368" s="844">
        <v>32097</v>
      </c>
      <c r="Z368" s="844">
        <v>32739</v>
      </c>
      <c r="AA368" s="844">
        <v>33394</v>
      </c>
      <c r="AB368" s="844">
        <v>34062</v>
      </c>
      <c r="AC368" s="844">
        <v>34743</v>
      </c>
      <c r="AD368" s="844">
        <v>35438</v>
      </c>
      <c r="AE368" s="844">
        <v>36147</v>
      </c>
      <c r="AF368" s="844">
        <v>36870</v>
      </c>
      <c r="AG368" s="844">
        <v>37607</v>
      </c>
      <c r="AH368" s="844">
        <v>38359</v>
      </c>
      <c r="AI368" s="844">
        <v>39126</v>
      </c>
      <c r="AJ368" s="844">
        <v>39909</v>
      </c>
      <c r="AK368" s="844">
        <v>40707</v>
      </c>
      <c r="AL368" s="844">
        <v>41521</v>
      </c>
      <c r="AM368" s="844">
        <v>42351</v>
      </c>
      <c r="AN368" s="844">
        <v>43198</v>
      </c>
      <c r="AO368" s="844">
        <v>44062</v>
      </c>
      <c r="AP368" s="844">
        <v>44943</v>
      </c>
      <c r="AQ368" s="844">
        <v>45842</v>
      </c>
      <c r="AR368" s="844">
        <v>46758</v>
      </c>
      <c r="AS368" s="844">
        <v>47693</v>
      </c>
      <c r="AT368" s="844">
        <v>48647</v>
      </c>
      <c r="AU368" s="844">
        <v>49620</v>
      </c>
      <c r="AV368" s="844">
        <v>50612</v>
      </c>
      <c r="AW368" s="844">
        <v>51624</v>
      </c>
      <c r="AX368" s="844">
        <v>52656</v>
      </c>
      <c r="AY368" s="844">
        <v>53709</v>
      </c>
      <c r="AZ368" s="844">
        <v>54783</v>
      </c>
      <c r="BA368" s="844">
        <v>55878</v>
      </c>
      <c r="BB368" s="844">
        <v>56995</v>
      </c>
      <c r="BC368" s="844">
        <v>58135</v>
      </c>
      <c r="BD368" s="844">
        <v>59297</v>
      </c>
      <c r="BE368" s="844">
        <v>60482</v>
      </c>
      <c r="BF368" s="844">
        <v>61691</v>
      </c>
      <c r="BG368" s="844">
        <v>62924</v>
      </c>
      <c r="BH368" s="844">
        <v>64182</v>
      </c>
      <c r="BI368" s="844">
        <v>65464</v>
      </c>
      <c r="BJ368" s="844">
        <v>66773</v>
      </c>
      <c r="BK368" s="844">
        <v>68107</v>
      </c>
      <c r="BL368" s="844">
        <v>69461</v>
      </c>
      <c r="BM368" s="844">
        <v>70823</v>
      </c>
      <c r="BN368" s="844">
        <v>72192</v>
      </c>
      <c r="BO368" s="844">
        <v>73567</v>
      </c>
      <c r="BP368" s="844">
        <v>74949</v>
      </c>
      <c r="BQ368" s="844">
        <v>76335</v>
      </c>
      <c r="BR368" s="844">
        <v>77728</v>
      </c>
      <c r="BS368" s="844">
        <v>79126</v>
      </c>
      <c r="BT368" s="844">
        <v>80537</v>
      </c>
      <c r="BU368" s="844">
        <v>81984</v>
      </c>
      <c r="BV368" s="844">
        <v>82800</v>
      </c>
      <c r="BW368" s="844">
        <v>0</v>
      </c>
      <c r="BX368" s="844">
        <v>0</v>
      </c>
      <c r="BY368" s="844">
        <v>0</v>
      </c>
      <c r="BZ368" s="844">
        <v>0</v>
      </c>
      <c r="CA368" s="844">
        <v>0</v>
      </c>
      <c r="CB368" s="844">
        <v>0</v>
      </c>
      <c r="CC368" s="844">
        <v>0</v>
      </c>
      <c r="CD368" s="844">
        <v>0</v>
      </c>
      <c r="CE368" s="844">
        <v>0</v>
      </c>
      <c r="CF368" s="844">
        <v>0</v>
      </c>
      <c r="CG368" s="844">
        <v>0</v>
      </c>
      <c r="CH368" s="844">
        <v>0</v>
      </c>
      <c r="CI368" s="844">
        <v>0</v>
      </c>
      <c r="CJ368" s="844">
        <v>0</v>
      </c>
      <c r="CK368" s="844">
        <v>0</v>
      </c>
      <c r="CL368" s="844">
        <v>0</v>
      </c>
      <c r="CM368" s="844">
        <v>0</v>
      </c>
      <c r="CN368" s="844">
        <v>0</v>
      </c>
      <c r="CO368" s="844">
        <v>0</v>
      </c>
      <c r="CP368" s="844">
        <v>0</v>
      </c>
      <c r="CQ368" s="844">
        <v>0</v>
      </c>
      <c r="CR368" s="844">
        <v>0</v>
      </c>
      <c r="CS368" s="844">
        <v>0</v>
      </c>
      <c r="CT368" s="844">
        <v>0</v>
      </c>
      <c r="CU368" s="844">
        <v>0</v>
      </c>
      <c r="CV368" s="844">
        <v>0</v>
      </c>
      <c r="CW368" s="844">
        <v>0</v>
      </c>
      <c r="CX368" s="844">
        <v>0</v>
      </c>
      <c r="CY368" s="844">
        <v>0</v>
      </c>
      <c r="CZ368" s="844">
        <v>0</v>
      </c>
      <c r="DA368" s="844">
        <v>0</v>
      </c>
      <c r="DB368" s="844">
        <v>0</v>
      </c>
      <c r="DC368" s="844">
        <v>0</v>
      </c>
      <c r="DD368" s="844">
        <v>0</v>
      </c>
      <c r="DE368" s="844">
        <v>0</v>
      </c>
      <c r="DF368" s="844">
        <v>0</v>
      </c>
      <c r="DG368" s="844">
        <v>0</v>
      </c>
      <c r="DH368" s="844">
        <v>0</v>
      </c>
      <c r="DI368" s="844">
        <v>0</v>
      </c>
      <c r="DJ368" s="844">
        <v>0</v>
      </c>
      <c r="DK368" s="844">
        <v>0</v>
      </c>
      <c r="DL368" s="844">
        <v>0</v>
      </c>
      <c r="DM368" s="844">
        <v>0</v>
      </c>
      <c r="DN368" s="844">
        <v>0</v>
      </c>
      <c r="DO368" s="844">
        <v>0</v>
      </c>
      <c r="DP368" s="844">
        <v>0</v>
      </c>
      <c r="DQ368" s="844">
        <v>0</v>
      </c>
      <c r="DR368" s="844">
        <v>0</v>
      </c>
      <c r="DS368" s="844">
        <v>0</v>
      </c>
      <c r="DT368" s="844">
        <v>0</v>
      </c>
      <c r="DU368" s="844">
        <v>0</v>
      </c>
      <c r="DV368" s="844">
        <v>0</v>
      </c>
      <c r="DW368" s="844">
        <v>0</v>
      </c>
      <c r="DY368" s="846" t="s">
        <v>1060</v>
      </c>
      <c r="DZ368" s="846" t="s">
        <v>1382</v>
      </c>
      <c r="EA368" s="846" t="s">
        <v>96</v>
      </c>
      <c r="EB368" s="847">
        <v>53</v>
      </c>
      <c r="EC368" s="780" t="str">
        <f t="shared" si="13"/>
        <v>IWT060153</v>
      </c>
      <c r="ED368" s="847">
        <v>0</v>
      </c>
      <c r="EE368" s="847">
        <v>3056</v>
      </c>
      <c r="EF368" s="847">
        <v>8290</v>
      </c>
      <c r="EG368" s="847">
        <v>13627</v>
      </c>
      <c r="EH368" s="847">
        <v>19069</v>
      </c>
      <c r="EI368" s="847">
        <v>24619</v>
      </c>
      <c r="EJ368" s="847">
        <v>30281</v>
      </c>
      <c r="EK368" s="847">
        <v>30869</v>
      </c>
      <c r="EL368" s="847">
        <v>31474</v>
      </c>
      <c r="EM368" s="847">
        <v>32097</v>
      </c>
      <c r="EN368" s="847">
        <v>32739</v>
      </c>
      <c r="EO368" s="847">
        <v>33394</v>
      </c>
      <c r="EP368" s="847">
        <v>34062</v>
      </c>
      <c r="EQ368" s="847">
        <v>34743</v>
      </c>
      <c r="ER368" s="847">
        <v>35438</v>
      </c>
      <c r="ES368" s="847">
        <v>36147</v>
      </c>
      <c r="ET368" s="847">
        <v>36870</v>
      </c>
      <c r="EU368" s="847">
        <v>37607</v>
      </c>
      <c r="EV368" s="847">
        <v>38359</v>
      </c>
      <c r="EW368" s="847">
        <v>39126</v>
      </c>
      <c r="EX368" s="847">
        <v>39909</v>
      </c>
      <c r="EY368" s="847">
        <v>40707</v>
      </c>
      <c r="EZ368" s="847">
        <v>41521</v>
      </c>
      <c r="FA368" s="847">
        <v>42351</v>
      </c>
      <c r="FB368" s="847">
        <v>43198</v>
      </c>
      <c r="FC368" s="847">
        <v>44062</v>
      </c>
      <c r="FD368" s="847">
        <v>44943</v>
      </c>
      <c r="FE368" s="847">
        <v>45842</v>
      </c>
      <c r="FF368" s="847">
        <v>46758</v>
      </c>
      <c r="FG368" s="847">
        <v>47693</v>
      </c>
      <c r="FH368" s="847">
        <v>48647</v>
      </c>
      <c r="FI368" s="847">
        <v>49620</v>
      </c>
      <c r="FJ368" s="847">
        <v>50612</v>
      </c>
      <c r="FK368" s="847">
        <v>51624</v>
      </c>
      <c r="FL368" s="847">
        <v>52656</v>
      </c>
      <c r="FM368" s="847">
        <v>53709</v>
      </c>
      <c r="FN368" s="847">
        <v>54783</v>
      </c>
      <c r="FO368" s="847">
        <v>55878</v>
      </c>
      <c r="FP368" s="847">
        <v>56995</v>
      </c>
      <c r="FQ368" s="847">
        <v>58135</v>
      </c>
      <c r="FR368" s="847">
        <v>59297</v>
      </c>
      <c r="FS368" s="847">
        <v>60482</v>
      </c>
      <c r="FT368" s="847">
        <v>61691</v>
      </c>
      <c r="FU368" s="847">
        <v>62924</v>
      </c>
      <c r="FV368" s="847">
        <v>64182</v>
      </c>
      <c r="FW368" s="847">
        <v>65464</v>
      </c>
      <c r="FX368" s="847">
        <v>66773</v>
      </c>
      <c r="FY368" s="847">
        <v>68107</v>
      </c>
      <c r="FZ368" s="847">
        <v>69461</v>
      </c>
      <c r="GA368" s="847">
        <v>70823</v>
      </c>
      <c r="GB368" s="847">
        <v>72192</v>
      </c>
      <c r="GC368" s="847">
        <v>73567</v>
      </c>
      <c r="GD368" s="847">
        <v>74949</v>
      </c>
      <c r="GE368" s="847">
        <v>76335</v>
      </c>
      <c r="GF368" s="847">
        <v>77728</v>
      </c>
      <c r="GG368" s="847">
        <v>79126</v>
      </c>
      <c r="GH368" s="847">
        <v>80537</v>
      </c>
      <c r="GI368" s="847">
        <v>81984</v>
      </c>
      <c r="GJ368" s="847">
        <v>82800</v>
      </c>
      <c r="GK368" s="847">
        <v>0</v>
      </c>
      <c r="GL368" s="847">
        <v>0</v>
      </c>
      <c r="GM368" s="847">
        <v>0</v>
      </c>
      <c r="GN368" s="847">
        <v>0</v>
      </c>
      <c r="GO368" s="847">
        <v>0</v>
      </c>
      <c r="GP368" s="847">
        <v>0</v>
      </c>
      <c r="GQ368" s="847">
        <v>0</v>
      </c>
      <c r="GR368" s="847">
        <v>0</v>
      </c>
      <c r="GS368" s="847">
        <v>0</v>
      </c>
      <c r="GT368" s="847">
        <v>0</v>
      </c>
      <c r="GU368" s="847">
        <v>0</v>
      </c>
      <c r="GV368" s="847">
        <v>0</v>
      </c>
      <c r="GW368" s="847">
        <v>0</v>
      </c>
      <c r="GX368" s="847">
        <v>0</v>
      </c>
      <c r="GY368" s="847">
        <v>0</v>
      </c>
      <c r="GZ368" s="847">
        <v>0</v>
      </c>
      <c r="HA368" s="847">
        <v>0</v>
      </c>
      <c r="HB368" s="847">
        <v>0</v>
      </c>
      <c r="HC368" s="847">
        <v>0</v>
      </c>
      <c r="HD368" s="847">
        <v>0</v>
      </c>
      <c r="HE368" s="847">
        <v>0</v>
      </c>
      <c r="HF368" s="847">
        <v>0</v>
      </c>
      <c r="HG368" s="847">
        <v>0</v>
      </c>
      <c r="HH368" s="847">
        <v>0</v>
      </c>
      <c r="HI368" s="847">
        <v>0</v>
      </c>
      <c r="HJ368" s="847">
        <v>0</v>
      </c>
      <c r="HK368" s="847">
        <v>0</v>
      </c>
      <c r="HL368" s="847">
        <v>0</v>
      </c>
      <c r="HM368" s="847">
        <v>0</v>
      </c>
      <c r="HN368" s="847">
        <v>0</v>
      </c>
      <c r="HO368" s="847">
        <v>0</v>
      </c>
      <c r="HP368" s="847">
        <v>0</v>
      </c>
      <c r="HQ368" s="847">
        <v>0</v>
      </c>
      <c r="HR368" s="847">
        <v>0</v>
      </c>
      <c r="HS368" s="847">
        <v>0</v>
      </c>
      <c r="HT368" s="847">
        <v>0</v>
      </c>
      <c r="HU368" s="847">
        <v>0</v>
      </c>
      <c r="HV368" s="847">
        <v>0</v>
      </c>
      <c r="HW368" s="847">
        <v>0</v>
      </c>
      <c r="HX368" s="847">
        <v>0</v>
      </c>
      <c r="HY368" s="847">
        <v>0</v>
      </c>
      <c r="HZ368" s="847">
        <v>0</v>
      </c>
      <c r="IA368" s="847">
        <v>0</v>
      </c>
      <c r="IB368" s="847">
        <v>0</v>
      </c>
      <c r="IC368" s="847">
        <v>0</v>
      </c>
      <c r="ID368" s="847">
        <v>0</v>
      </c>
      <c r="IE368" s="847">
        <v>0</v>
      </c>
      <c r="IF368" s="847">
        <v>0</v>
      </c>
      <c r="IG368" s="847">
        <v>0</v>
      </c>
      <c r="IH368" s="847">
        <v>0</v>
      </c>
      <c r="II368" s="847">
        <v>0</v>
      </c>
      <c r="IJ368" s="847">
        <v>0</v>
      </c>
      <c r="IK368" s="847">
        <v>0</v>
      </c>
    </row>
    <row r="369" spans="12:245" hidden="1">
      <c r="L369" s="843" t="s">
        <v>1060</v>
      </c>
      <c r="M369" s="843" t="s">
        <v>1382</v>
      </c>
      <c r="N369" s="843" t="s">
        <v>96</v>
      </c>
      <c r="O369" s="844">
        <v>54</v>
      </c>
      <c r="P369" s="780" t="str">
        <f t="shared" si="12"/>
        <v>IWT060154</v>
      </c>
      <c r="Q369" s="844">
        <v>2286</v>
      </c>
      <c r="R369" s="844">
        <v>6628</v>
      </c>
      <c r="S369" s="844">
        <v>11581</v>
      </c>
      <c r="T369" s="844">
        <v>17163</v>
      </c>
      <c r="U369" s="844">
        <v>23392</v>
      </c>
      <c r="V369" s="844">
        <v>29984</v>
      </c>
      <c r="W369" s="844">
        <v>30874</v>
      </c>
      <c r="X369" s="844">
        <v>31478</v>
      </c>
      <c r="Y369" s="844">
        <v>32101</v>
      </c>
      <c r="Z369" s="844">
        <v>32743</v>
      </c>
      <c r="AA369" s="844">
        <v>33398</v>
      </c>
      <c r="AB369" s="844">
        <v>34066</v>
      </c>
      <c r="AC369" s="844">
        <v>34747</v>
      </c>
      <c r="AD369" s="844">
        <v>35442</v>
      </c>
      <c r="AE369" s="844">
        <v>36151</v>
      </c>
      <c r="AF369" s="844">
        <v>36874</v>
      </c>
      <c r="AG369" s="844">
        <v>37611</v>
      </c>
      <c r="AH369" s="844">
        <v>38363</v>
      </c>
      <c r="AI369" s="844">
        <v>39131</v>
      </c>
      <c r="AJ369" s="844">
        <v>39913</v>
      </c>
      <c r="AK369" s="844">
        <v>40711</v>
      </c>
      <c r="AL369" s="844">
        <v>41525</v>
      </c>
      <c r="AM369" s="844">
        <v>42356</v>
      </c>
      <c r="AN369" s="844">
        <v>43203</v>
      </c>
      <c r="AO369" s="844">
        <v>44067</v>
      </c>
      <c r="AP369" s="844">
        <v>44948</v>
      </c>
      <c r="AQ369" s="844">
        <v>45847</v>
      </c>
      <c r="AR369" s="844">
        <v>46764</v>
      </c>
      <c r="AS369" s="844">
        <v>47699</v>
      </c>
      <c r="AT369" s="844">
        <v>48652</v>
      </c>
      <c r="AU369" s="844">
        <v>49625</v>
      </c>
      <c r="AV369" s="844">
        <v>50618</v>
      </c>
      <c r="AW369" s="844">
        <v>51630</v>
      </c>
      <c r="AX369" s="844">
        <v>52662</v>
      </c>
      <c r="AY369" s="844">
        <v>53715</v>
      </c>
      <c r="AZ369" s="844">
        <v>54789</v>
      </c>
      <c r="BA369" s="844">
        <v>55884</v>
      </c>
      <c r="BB369" s="844">
        <v>57001</v>
      </c>
      <c r="BC369" s="844">
        <v>58141</v>
      </c>
      <c r="BD369" s="844">
        <v>59303</v>
      </c>
      <c r="BE369" s="844">
        <v>60488</v>
      </c>
      <c r="BF369" s="844">
        <v>61697</v>
      </c>
      <c r="BG369" s="844">
        <v>62931</v>
      </c>
      <c r="BH369" s="844">
        <v>64188</v>
      </c>
      <c r="BI369" s="844">
        <v>65471</v>
      </c>
      <c r="BJ369" s="844">
        <v>66779</v>
      </c>
      <c r="BK369" s="844">
        <v>68114</v>
      </c>
      <c r="BL369" s="844">
        <v>69471</v>
      </c>
      <c r="BM369" s="844">
        <v>70836</v>
      </c>
      <c r="BN369" s="844">
        <v>72207</v>
      </c>
      <c r="BO369" s="844">
        <v>73584</v>
      </c>
      <c r="BP369" s="844">
        <v>74968</v>
      </c>
      <c r="BQ369" s="844">
        <v>76357</v>
      </c>
      <c r="BR369" s="844">
        <v>77752</v>
      </c>
      <c r="BS369" s="844">
        <v>79158</v>
      </c>
      <c r="BT369" s="844">
        <v>80598</v>
      </c>
      <c r="BU369" s="844">
        <v>81400</v>
      </c>
      <c r="BV369" s="844">
        <v>0</v>
      </c>
      <c r="BW369" s="844">
        <v>0</v>
      </c>
      <c r="BX369" s="844">
        <v>0</v>
      </c>
      <c r="BY369" s="844">
        <v>0</v>
      </c>
      <c r="BZ369" s="844">
        <v>0</v>
      </c>
      <c r="CA369" s="844">
        <v>0</v>
      </c>
      <c r="CB369" s="844">
        <v>0</v>
      </c>
      <c r="CC369" s="844">
        <v>0</v>
      </c>
      <c r="CD369" s="844">
        <v>0</v>
      </c>
      <c r="CE369" s="844">
        <v>0</v>
      </c>
      <c r="CF369" s="844">
        <v>0</v>
      </c>
      <c r="CG369" s="844">
        <v>0</v>
      </c>
      <c r="CH369" s="844">
        <v>0</v>
      </c>
      <c r="CI369" s="844">
        <v>0</v>
      </c>
      <c r="CJ369" s="844">
        <v>0</v>
      </c>
      <c r="CK369" s="844">
        <v>0</v>
      </c>
      <c r="CL369" s="844">
        <v>0</v>
      </c>
      <c r="CM369" s="844">
        <v>0</v>
      </c>
      <c r="CN369" s="844">
        <v>0</v>
      </c>
      <c r="CO369" s="844">
        <v>0</v>
      </c>
      <c r="CP369" s="844">
        <v>0</v>
      </c>
      <c r="CQ369" s="844">
        <v>0</v>
      </c>
      <c r="CR369" s="844">
        <v>0</v>
      </c>
      <c r="CS369" s="844">
        <v>0</v>
      </c>
      <c r="CT369" s="844">
        <v>0</v>
      </c>
      <c r="CU369" s="844">
        <v>0</v>
      </c>
      <c r="CV369" s="844">
        <v>0</v>
      </c>
      <c r="CW369" s="844">
        <v>0</v>
      </c>
      <c r="CX369" s="844">
        <v>0</v>
      </c>
      <c r="CY369" s="844">
        <v>0</v>
      </c>
      <c r="CZ369" s="844">
        <v>0</v>
      </c>
      <c r="DA369" s="844">
        <v>0</v>
      </c>
      <c r="DB369" s="844">
        <v>0</v>
      </c>
      <c r="DC369" s="844">
        <v>0</v>
      </c>
      <c r="DD369" s="844">
        <v>0</v>
      </c>
      <c r="DE369" s="844">
        <v>0</v>
      </c>
      <c r="DF369" s="844">
        <v>0</v>
      </c>
      <c r="DG369" s="844">
        <v>0</v>
      </c>
      <c r="DH369" s="844">
        <v>0</v>
      </c>
      <c r="DI369" s="844">
        <v>0</v>
      </c>
      <c r="DJ369" s="844">
        <v>0</v>
      </c>
      <c r="DK369" s="844">
        <v>0</v>
      </c>
      <c r="DL369" s="844">
        <v>0</v>
      </c>
      <c r="DM369" s="844">
        <v>0</v>
      </c>
      <c r="DN369" s="844">
        <v>0</v>
      </c>
      <c r="DO369" s="844">
        <v>0</v>
      </c>
      <c r="DP369" s="844">
        <v>0</v>
      </c>
      <c r="DQ369" s="844">
        <v>0</v>
      </c>
      <c r="DR369" s="844">
        <v>0</v>
      </c>
      <c r="DS369" s="844">
        <v>0</v>
      </c>
      <c r="DT369" s="844">
        <v>0</v>
      </c>
      <c r="DU369" s="844">
        <v>0</v>
      </c>
      <c r="DV369" s="844">
        <v>0</v>
      </c>
      <c r="DW369" s="844">
        <v>0</v>
      </c>
      <c r="DY369" s="846" t="s">
        <v>1060</v>
      </c>
      <c r="DZ369" s="846" t="s">
        <v>1382</v>
      </c>
      <c r="EA369" s="846" t="s">
        <v>96</v>
      </c>
      <c r="EB369" s="847">
        <v>54</v>
      </c>
      <c r="EC369" s="780" t="str">
        <f t="shared" si="13"/>
        <v>IWT060154</v>
      </c>
      <c r="ED369" s="847">
        <v>0</v>
      </c>
      <c r="EE369" s="847">
        <v>3048</v>
      </c>
      <c r="EF369" s="847">
        <v>8285</v>
      </c>
      <c r="EG369" s="847">
        <v>13625</v>
      </c>
      <c r="EH369" s="847">
        <v>19070</v>
      </c>
      <c r="EI369" s="847">
        <v>24623</v>
      </c>
      <c r="EJ369" s="847">
        <v>30287</v>
      </c>
      <c r="EK369" s="847">
        <v>30874</v>
      </c>
      <c r="EL369" s="847">
        <v>31478</v>
      </c>
      <c r="EM369" s="847">
        <v>32101</v>
      </c>
      <c r="EN369" s="847">
        <v>32743</v>
      </c>
      <c r="EO369" s="847">
        <v>33398</v>
      </c>
      <c r="EP369" s="847">
        <v>34066</v>
      </c>
      <c r="EQ369" s="847">
        <v>34747</v>
      </c>
      <c r="ER369" s="847">
        <v>35442</v>
      </c>
      <c r="ES369" s="847">
        <v>36151</v>
      </c>
      <c r="ET369" s="847">
        <v>36874</v>
      </c>
      <c r="EU369" s="847">
        <v>37611</v>
      </c>
      <c r="EV369" s="847">
        <v>38363</v>
      </c>
      <c r="EW369" s="847">
        <v>39131</v>
      </c>
      <c r="EX369" s="847">
        <v>39913</v>
      </c>
      <c r="EY369" s="847">
        <v>40711</v>
      </c>
      <c r="EZ369" s="847">
        <v>41525</v>
      </c>
      <c r="FA369" s="847">
        <v>42356</v>
      </c>
      <c r="FB369" s="847">
        <v>43203</v>
      </c>
      <c r="FC369" s="847">
        <v>44067</v>
      </c>
      <c r="FD369" s="847">
        <v>44948</v>
      </c>
      <c r="FE369" s="847">
        <v>45847</v>
      </c>
      <c r="FF369" s="847">
        <v>46764</v>
      </c>
      <c r="FG369" s="847">
        <v>47699</v>
      </c>
      <c r="FH369" s="847">
        <v>48652</v>
      </c>
      <c r="FI369" s="847">
        <v>49625</v>
      </c>
      <c r="FJ369" s="847">
        <v>50618</v>
      </c>
      <c r="FK369" s="847">
        <v>51630</v>
      </c>
      <c r="FL369" s="847">
        <v>52662</v>
      </c>
      <c r="FM369" s="847">
        <v>53715</v>
      </c>
      <c r="FN369" s="847">
        <v>54789</v>
      </c>
      <c r="FO369" s="847">
        <v>55884</v>
      </c>
      <c r="FP369" s="847">
        <v>57001</v>
      </c>
      <c r="FQ369" s="847">
        <v>58141</v>
      </c>
      <c r="FR369" s="847">
        <v>59303</v>
      </c>
      <c r="FS369" s="847">
        <v>60488</v>
      </c>
      <c r="FT369" s="847">
        <v>61697</v>
      </c>
      <c r="FU369" s="847">
        <v>62931</v>
      </c>
      <c r="FV369" s="847">
        <v>64188</v>
      </c>
      <c r="FW369" s="847">
        <v>65471</v>
      </c>
      <c r="FX369" s="847">
        <v>66779</v>
      </c>
      <c r="FY369" s="847">
        <v>68114</v>
      </c>
      <c r="FZ369" s="847">
        <v>69471</v>
      </c>
      <c r="GA369" s="847">
        <v>70836</v>
      </c>
      <c r="GB369" s="847">
        <v>72207</v>
      </c>
      <c r="GC369" s="847">
        <v>73584</v>
      </c>
      <c r="GD369" s="847">
        <v>74968</v>
      </c>
      <c r="GE369" s="847">
        <v>76357</v>
      </c>
      <c r="GF369" s="847">
        <v>77752</v>
      </c>
      <c r="GG369" s="847">
        <v>79158</v>
      </c>
      <c r="GH369" s="847">
        <v>80598</v>
      </c>
      <c r="GI369" s="847">
        <v>81400</v>
      </c>
      <c r="GJ369" s="847">
        <v>0</v>
      </c>
      <c r="GK369" s="847">
        <v>0</v>
      </c>
      <c r="GL369" s="847">
        <v>0</v>
      </c>
      <c r="GM369" s="847">
        <v>0</v>
      </c>
      <c r="GN369" s="847">
        <v>0</v>
      </c>
      <c r="GO369" s="847">
        <v>0</v>
      </c>
      <c r="GP369" s="847">
        <v>0</v>
      </c>
      <c r="GQ369" s="847">
        <v>0</v>
      </c>
      <c r="GR369" s="847">
        <v>0</v>
      </c>
      <c r="GS369" s="847">
        <v>0</v>
      </c>
      <c r="GT369" s="847">
        <v>0</v>
      </c>
      <c r="GU369" s="847">
        <v>0</v>
      </c>
      <c r="GV369" s="847">
        <v>0</v>
      </c>
      <c r="GW369" s="847">
        <v>0</v>
      </c>
      <c r="GX369" s="847">
        <v>0</v>
      </c>
      <c r="GY369" s="847">
        <v>0</v>
      </c>
      <c r="GZ369" s="847">
        <v>0</v>
      </c>
      <c r="HA369" s="847">
        <v>0</v>
      </c>
      <c r="HB369" s="847">
        <v>0</v>
      </c>
      <c r="HC369" s="847">
        <v>0</v>
      </c>
      <c r="HD369" s="847">
        <v>0</v>
      </c>
      <c r="HE369" s="847">
        <v>0</v>
      </c>
      <c r="HF369" s="847">
        <v>0</v>
      </c>
      <c r="HG369" s="847">
        <v>0</v>
      </c>
      <c r="HH369" s="847">
        <v>0</v>
      </c>
      <c r="HI369" s="847">
        <v>0</v>
      </c>
      <c r="HJ369" s="847">
        <v>0</v>
      </c>
      <c r="HK369" s="847">
        <v>0</v>
      </c>
      <c r="HL369" s="847">
        <v>0</v>
      </c>
      <c r="HM369" s="847">
        <v>0</v>
      </c>
      <c r="HN369" s="847">
        <v>0</v>
      </c>
      <c r="HO369" s="847">
        <v>0</v>
      </c>
      <c r="HP369" s="847">
        <v>0</v>
      </c>
      <c r="HQ369" s="847">
        <v>0</v>
      </c>
      <c r="HR369" s="847">
        <v>0</v>
      </c>
      <c r="HS369" s="847">
        <v>0</v>
      </c>
      <c r="HT369" s="847">
        <v>0</v>
      </c>
      <c r="HU369" s="847">
        <v>0</v>
      </c>
      <c r="HV369" s="847">
        <v>0</v>
      </c>
      <c r="HW369" s="847">
        <v>0</v>
      </c>
      <c r="HX369" s="847">
        <v>0</v>
      </c>
      <c r="HY369" s="847">
        <v>0</v>
      </c>
      <c r="HZ369" s="847">
        <v>0</v>
      </c>
      <c r="IA369" s="847">
        <v>0</v>
      </c>
      <c r="IB369" s="847">
        <v>0</v>
      </c>
      <c r="IC369" s="847">
        <v>0</v>
      </c>
      <c r="ID369" s="847">
        <v>0</v>
      </c>
      <c r="IE369" s="847">
        <v>0</v>
      </c>
      <c r="IF369" s="847">
        <v>0</v>
      </c>
      <c r="IG369" s="847">
        <v>0</v>
      </c>
      <c r="IH369" s="847">
        <v>0</v>
      </c>
      <c r="II369" s="847">
        <v>0</v>
      </c>
      <c r="IJ369" s="847">
        <v>0</v>
      </c>
      <c r="IK369" s="847">
        <v>0</v>
      </c>
    </row>
    <row r="370" spans="12:245" hidden="1">
      <c r="L370" s="843" t="s">
        <v>1060</v>
      </c>
      <c r="M370" s="843" t="s">
        <v>1382</v>
      </c>
      <c r="N370" s="843" t="s">
        <v>96</v>
      </c>
      <c r="O370" s="844">
        <v>55</v>
      </c>
      <c r="P370" s="780" t="str">
        <f t="shared" si="12"/>
        <v>IWT060155</v>
      </c>
      <c r="Q370" s="844">
        <v>2279</v>
      </c>
      <c r="R370" s="844">
        <v>6623</v>
      </c>
      <c r="S370" s="844">
        <v>11580</v>
      </c>
      <c r="T370" s="844">
        <v>17164</v>
      </c>
      <c r="U370" s="844">
        <v>23396</v>
      </c>
      <c r="V370" s="844">
        <v>29991</v>
      </c>
      <c r="W370" s="844">
        <v>30879</v>
      </c>
      <c r="X370" s="844">
        <v>31482</v>
      </c>
      <c r="Y370" s="844">
        <v>32104</v>
      </c>
      <c r="Z370" s="844">
        <v>32746</v>
      </c>
      <c r="AA370" s="844">
        <v>33401</v>
      </c>
      <c r="AB370" s="844">
        <v>34069</v>
      </c>
      <c r="AC370" s="844">
        <v>34750</v>
      </c>
      <c r="AD370" s="844">
        <v>35445</v>
      </c>
      <c r="AE370" s="844">
        <v>36154</v>
      </c>
      <c r="AF370" s="844">
        <v>36877</v>
      </c>
      <c r="AG370" s="844">
        <v>37615</v>
      </c>
      <c r="AH370" s="844">
        <v>38367</v>
      </c>
      <c r="AI370" s="844">
        <v>39134</v>
      </c>
      <c r="AJ370" s="844">
        <v>39917</v>
      </c>
      <c r="AK370" s="844">
        <v>40715</v>
      </c>
      <c r="AL370" s="844">
        <v>41529</v>
      </c>
      <c r="AM370" s="844">
        <v>42360</v>
      </c>
      <c r="AN370" s="844">
        <v>43207</v>
      </c>
      <c r="AO370" s="844">
        <v>44071</v>
      </c>
      <c r="AP370" s="844">
        <v>44952</v>
      </c>
      <c r="AQ370" s="844">
        <v>45851</v>
      </c>
      <c r="AR370" s="844">
        <v>46768</v>
      </c>
      <c r="AS370" s="844">
        <v>47703</v>
      </c>
      <c r="AT370" s="844">
        <v>48657</v>
      </c>
      <c r="AU370" s="844">
        <v>49630</v>
      </c>
      <c r="AV370" s="844">
        <v>50622</v>
      </c>
      <c r="AW370" s="844">
        <v>51635</v>
      </c>
      <c r="AX370" s="844">
        <v>52667</v>
      </c>
      <c r="AY370" s="844">
        <v>53720</v>
      </c>
      <c r="AZ370" s="844">
        <v>54794</v>
      </c>
      <c r="BA370" s="844">
        <v>55889</v>
      </c>
      <c r="BB370" s="844">
        <v>57007</v>
      </c>
      <c r="BC370" s="844">
        <v>58146</v>
      </c>
      <c r="BD370" s="844">
        <v>59308</v>
      </c>
      <c r="BE370" s="844">
        <v>60494</v>
      </c>
      <c r="BF370" s="844">
        <v>61703</v>
      </c>
      <c r="BG370" s="844">
        <v>62936</v>
      </c>
      <c r="BH370" s="844">
        <v>64194</v>
      </c>
      <c r="BI370" s="844">
        <v>65477</v>
      </c>
      <c r="BJ370" s="844">
        <v>66785</v>
      </c>
      <c r="BK370" s="844">
        <v>68119</v>
      </c>
      <c r="BL370" s="844">
        <v>69479</v>
      </c>
      <c r="BM370" s="844">
        <v>70847</v>
      </c>
      <c r="BN370" s="844">
        <v>72220</v>
      </c>
      <c r="BO370" s="844">
        <v>73600</v>
      </c>
      <c r="BP370" s="844">
        <v>74985</v>
      </c>
      <c r="BQ370" s="844">
        <v>76377</v>
      </c>
      <c r="BR370" s="844">
        <v>77780</v>
      </c>
      <c r="BS370" s="844">
        <v>79212</v>
      </c>
      <c r="BT370" s="844">
        <v>80000</v>
      </c>
      <c r="BU370" s="844">
        <v>0</v>
      </c>
      <c r="BV370" s="844">
        <v>0</v>
      </c>
      <c r="BW370" s="844">
        <v>0</v>
      </c>
      <c r="BX370" s="844">
        <v>0</v>
      </c>
      <c r="BY370" s="844">
        <v>0</v>
      </c>
      <c r="BZ370" s="844">
        <v>0</v>
      </c>
      <c r="CA370" s="844">
        <v>0</v>
      </c>
      <c r="CB370" s="844">
        <v>0</v>
      </c>
      <c r="CC370" s="844">
        <v>0</v>
      </c>
      <c r="CD370" s="844">
        <v>0</v>
      </c>
      <c r="CE370" s="844">
        <v>0</v>
      </c>
      <c r="CF370" s="844">
        <v>0</v>
      </c>
      <c r="CG370" s="844">
        <v>0</v>
      </c>
      <c r="CH370" s="844">
        <v>0</v>
      </c>
      <c r="CI370" s="844">
        <v>0</v>
      </c>
      <c r="CJ370" s="844">
        <v>0</v>
      </c>
      <c r="CK370" s="844">
        <v>0</v>
      </c>
      <c r="CL370" s="844">
        <v>0</v>
      </c>
      <c r="CM370" s="844">
        <v>0</v>
      </c>
      <c r="CN370" s="844">
        <v>0</v>
      </c>
      <c r="CO370" s="844">
        <v>0</v>
      </c>
      <c r="CP370" s="844">
        <v>0</v>
      </c>
      <c r="CQ370" s="844">
        <v>0</v>
      </c>
      <c r="CR370" s="844">
        <v>0</v>
      </c>
      <c r="CS370" s="844">
        <v>0</v>
      </c>
      <c r="CT370" s="844">
        <v>0</v>
      </c>
      <c r="CU370" s="844">
        <v>0</v>
      </c>
      <c r="CV370" s="844">
        <v>0</v>
      </c>
      <c r="CW370" s="844">
        <v>0</v>
      </c>
      <c r="CX370" s="844">
        <v>0</v>
      </c>
      <c r="CY370" s="844">
        <v>0</v>
      </c>
      <c r="CZ370" s="844">
        <v>0</v>
      </c>
      <c r="DA370" s="844">
        <v>0</v>
      </c>
      <c r="DB370" s="844">
        <v>0</v>
      </c>
      <c r="DC370" s="844">
        <v>0</v>
      </c>
      <c r="DD370" s="844">
        <v>0</v>
      </c>
      <c r="DE370" s="844">
        <v>0</v>
      </c>
      <c r="DF370" s="844">
        <v>0</v>
      </c>
      <c r="DG370" s="844">
        <v>0</v>
      </c>
      <c r="DH370" s="844">
        <v>0</v>
      </c>
      <c r="DI370" s="844">
        <v>0</v>
      </c>
      <c r="DJ370" s="844">
        <v>0</v>
      </c>
      <c r="DK370" s="844">
        <v>0</v>
      </c>
      <c r="DL370" s="844">
        <v>0</v>
      </c>
      <c r="DM370" s="844">
        <v>0</v>
      </c>
      <c r="DN370" s="844">
        <v>0</v>
      </c>
      <c r="DO370" s="844">
        <v>0</v>
      </c>
      <c r="DP370" s="844">
        <v>0</v>
      </c>
      <c r="DQ370" s="844">
        <v>0</v>
      </c>
      <c r="DR370" s="844">
        <v>0</v>
      </c>
      <c r="DS370" s="844">
        <v>0</v>
      </c>
      <c r="DT370" s="844">
        <v>0</v>
      </c>
      <c r="DU370" s="844">
        <v>0</v>
      </c>
      <c r="DV370" s="844">
        <v>0</v>
      </c>
      <c r="DW370" s="844">
        <v>0</v>
      </c>
      <c r="DY370" s="846" t="s">
        <v>1060</v>
      </c>
      <c r="DZ370" s="846" t="s">
        <v>1382</v>
      </c>
      <c r="EA370" s="846" t="s">
        <v>96</v>
      </c>
      <c r="EB370" s="847">
        <v>55</v>
      </c>
      <c r="EC370" s="780" t="str">
        <f t="shared" si="13"/>
        <v>IWT060155</v>
      </c>
      <c r="ED370" s="847">
        <v>0</v>
      </c>
      <c r="EE370" s="847">
        <v>3038</v>
      </c>
      <c r="EF370" s="847">
        <v>8279</v>
      </c>
      <c r="EG370" s="847">
        <v>13623</v>
      </c>
      <c r="EH370" s="847">
        <v>19071</v>
      </c>
      <c r="EI370" s="847">
        <v>24627</v>
      </c>
      <c r="EJ370" s="847">
        <v>30294</v>
      </c>
      <c r="EK370" s="847">
        <v>30879</v>
      </c>
      <c r="EL370" s="847">
        <v>31482</v>
      </c>
      <c r="EM370" s="847">
        <v>32104</v>
      </c>
      <c r="EN370" s="847">
        <v>32746</v>
      </c>
      <c r="EO370" s="847">
        <v>33401</v>
      </c>
      <c r="EP370" s="847">
        <v>34069</v>
      </c>
      <c r="EQ370" s="847">
        <v>34750</v>
      </c>
      <c r="ER370" s="847">
        <v>35445</v>
      </c>
      <c r="ES370" s="847">
        <v>36154</v>
      </c>
      <c r="ET370" s="847">
        <v>36877</v>
      </c>
      <c r="EU370" s="847">
        <v>37615</v>
      </c>
      <c r="EV370" s="847">
        <v>38367</v>
      </c>
      <c r="EW370" s="847">
        <v>39134</v>
      </c>
      <c r="EX370" s="847">
        <v>39917</v>
      </c>
      <c r="EY370" s="847">
        <v>40715</v>
      </c>
      <c r="EZ370" s="847">
        <v>41529</v>
      </c>
      <c r="FA370" s="847">
        <v>42360</v>
      </c>
      <c r="FB370" s="847">
        <v>43207</v>
      </c>
      <c r="FC370" s="847">
        <v>44071</v>
      </c>
      <c r="FD370" s="847">
        <v>44952</v>
      </c>
      <c r="FE370" s="847">
        <v>45851</v>
      </c>
      <c r="FF370" s="847">
        <v>46768</v>
      </c>
      <c r="FG370" s="847">
        <v>47703</v>
      </c>
      <c r="FH370" s="847">
        <v>48657</v>
      </c>
      <c r="FI370" s="847">
        <v>49630</v>
      </c>
      <c r="FJ370" s="847">
        <v>50622</v>
      </c>
      <c r="FK370" s="847">
        <v>51635</v>
      </c>
      <c r="FL370" s="847">
        <v>52667</v>
      </c>
      <c r="FM370" s="847">
        <v>53720</v>
      </c>
      <c r="FN370" s="847">
        <v>54794</v>
      </c>
      <c r="FO370" s="847">
        <v>55889</v>
      </c>
      <c r="FP370" s="847">
        <v>57007</v>
      </c>
      <c r="FQ370" s="847">
        <v>58146</v>
      </c>
      <c r="FR370" s="847">
        <v>59308</v>
      </c>
      <c r="FS370" s="847">
        <v>60494</v>
      </c>
      <c r="FT370" s="847">
        <v>61703</v>
      </c>
      <c r="FU370" s="847">
        <v>62936</v>
      </c>
      <c r="FV370" s="847">
        <v>64194</v>
      </c>
      <c r="FW370" s="847">
        <v>65477</v>
      </c>
      <c r="FX370" s="847">
        <v>66785</v>
      </c>
      <c r="FY370" s="847">
        <v>68119</v>
      </c>
      <c r="FZ370" s="847">
        <v>69479</v>
      </c>
      <c r="GA370" s="847">
        <v>70847</v>
      </c>
      <c r="GB370" s="847">
        <v>72220</v>
      </c>
      <c r="GC370" s="847">
        <v>73600</v>
      </c>
      <c r="GD370" s="847">
        <v>74985</v>
      </c>
      <c r="GE370" s="847">
        <v>76377</v>
      </c>
      <c r="GF370" s="847">
        <v>77780</v>
      </c>
      <c r="GG370" s="847">
        <v>79212</v>
      </c>
      <c r="GH370" s="847">
        <v>80000</v>
      </c>
      <c r="GI370" s="847">
        <v>0</v>
      </c>
      <c r="GJ370" s="847">
        <v>0</v>
      </c>
      <c r="GK370" s="847">
        <v>0</v>
      </c>
      <c r="GL370" s="847">
        <v>0</v>
      </c>
      <c r="GM370" s="847">
        <v>0</v>
      </c>
      <c r="GN370" s="847">
        <v>0</v>
      </c>
      <c r="GO370" s="847">
        <v>0</v>
      </c>
      <c r="GP370" s="847">
        <v>0</v>
      </c>
      <c r="GQ370" s="847">
        <v>0</v>
      </c>
      <c r="GR370" s="847">
        <v>0</v>
      </c>
      <c r="GS370" s="847">
        <v>0</v>
      </c>
      <c r="GT370" s="847">
        <v>0</v>
      </c>
      <c r="GU370" s="847">
        <v>0</v>
      </c>
      <c r="GV370" s="847">
        <v>0</v>
      </c>
      <c r="GW370" s="847">
        <v>0</v>
      </c>
      <c r="GX370" s="847">
        <v>0</v>
      </c>
      <c r="GY370" s="847">
        <v>0</v>
      </c>
      <c r="GZ370" s="847">
        <v>0</v>
      </c>
      <c r="HA370" s="847">
        <v>0</v>
      </c>
      <c r="HB370" s="847">
        <v>0</v>
      </c>
      <c r="HC370" s="847">
        <v>0</v>
      </c>
      <c r="HD370" s="847">
        <v>0</v>
      </c>
      <c r="HE370" s="847">
        <v>0</v>
      </c>
      <c r="HF370" s="847">
        <v>0</v>
      </c>
      <c r="HG370" s="847">
        <v>0</v>
      </c>
      <c r="HH370" s="847">
        <v>0</v>
      </c>
      <c r="HI370" s="847">
        <v>0</v>
      </c>
      <c r="HJ370" s="847">
        <v>0</v>
      </c>
      <c r="HK370" s="847">
        <v>0</v>
      </c>
      <c r="HL370" s="847">
        <v>0</v>
      </c>
      <c r="HM370" s="847">
        <v>0</v>
      </c>
      <c r="HN370" s="847">
        <v>0</v>
      </c>
      <c r="HO370" s="847">
        <v>0</v>
      </c>
      <c r="HP370" s="847">
        <v>0</v>
      </c>
      <c r="HQ370" s="847">
        <v>0</v>
      </c>
      <c r="HR370" s="847">
        <v>0</v>
      </c>
      <c r="HS370" s="847">
        <v>0</v>
      </c>
      <c r="HT370" s="847">
        <v>0</v>
      </c>
      <c r="HU370" s="847">
        <v>0</v>
      </c>
      <c r="HV370" s="847">
        <v>0</v>
      </c>
      <c r="HW370" s="847">
        <v>0</v>
      </c>
      <c r="HX370" s="847">
        <v>0</v>
      </c>
      <c r="HY370" s="847">
        <v>0</v>
      </c>
      <c r="HZ370" s="847">
        <v>0</v>
      </c>
      <c r="IA370" s="847">
        <v>0</v>
      </c>
      <c r="IB370" s="847">
        <v>0</v>
      </c>
      <c r="IC370" s="847">
        <v>0</v>
      </c>
      <c r="ID370" s="847">
        <v>0</v>
      </c>
      <c r="IE370" s="847">
        <v>0</v>
      </c>
      <c r="IF370" s="847">
        <v>0</v>
      </c>
      <c r="IG370" s="847">
        <v>0</v>
      </c>
      <c r="IH370" s="847">
        <v>0</v>
      </c>
      <c r="II370" s="847">
        <v>0</v>
      </c>
      <c r="IJ370" s="847">
        <v>0</v>
      </c>
      <c r="IK370" s="847">
        <v>0</v>
      </c>
    </row>
    <row r="371" spans="12:245" hidden="1">
      <c r="L371" s="843" t="s">
        <v>1060</v>
      </c>
      <c r="M371" s="843" t="s">
        <v>1382</v>
      </c>
      <c r="N371" s="843" t="s">
        <v>96</v>
      </c>
      <c r="O371" s="844">
        <v>56</v>
      </c>
      <c r="P371" s="780" t="str">
        <f t="shared" si="12"/>
        <v>IWT060156</v>
      </c>
      <c r="Q371" s="844">
        <v>2271</v>
      </c>
      <c r="R371" s="844">
        <v>6618</v>
      </c>
      <c r="S371" s="844">
        <v>11576</v>
      </c>
      <c r="T371" s="844">
        <v>17164</v>
      </c>
      <c r="U371" s="844">
        <v>23399</v>
      </c>
      <c r="V371" s="844">
        <v>29998</v>
      </c>
      <c r="W371" s="844">
        <v>30885</v>
      </c>
      <c r="X371" s="844">
        <v>31486</v>
      </c>
      <c r="Y371" s="844">
        <v>32108</v>
      </c>
      <c r="Z371" s="844">
        <v>32750</v>
      </c>
      <c r="AA371" s="844">
        <v>33405</v>
      </c>
      <c r="AB371" s="844">
        <v>34073</v>
      </c>
      <c r="AC371" s="844">
        <v>34754</v>
      </c>
      <c r="AD371" s="844">
        <v>35449</v>
      </c>
      <c r="AE371" s="844">
        <v>36158</v>
      </c>
      <c r="AF371" s="844">
        <v>36881</v>
      </c>
      <c r="AG371" s="844">
        <v>37619</v>
      </c>
      <c r="AH371" s="844">
        <v>38371</v>
      </c>
      <c r="AI371" s="844">
        <v>39139</v>
      </c>
      <c r="AJ371" s="844">
        <v>39921</v>
      </c>
      <c r="AK371" s="844">
        <v>40720</v>
      </c>
      <c r="AL371" s="844">
        <v>41534</v>
      </c>
      <c r="AM371" s="844">
        <v>42364</v>
      </c>
      <c r="AN371" s="844">
        <v>43212</v>
      </c>
      <c r="AO371" s="844">
        <v>44076</v>
      </c>
      <c r="AP371" s="844">
        <v>44957</v>
      </c>
      <c r="AQ371" s="844">
        <v>45856</v>
      </c>
      <c r="AR371" s="844">
        <v>46773</v>
      </c>
      <c r="AS371" s="844">
        <v>47708</v>
      </c>
      <c r="AT371" s="844">
        <v>48662</v>
      </c>
      <c r="AU371" s="844">
        <v>49635</v>
      </c>
      <c r="AV371" s="844">
        <v>50628</v>
      </c>
      <c r="AW371" s="844">
        <v>51640</v>
      </c>
      <c r="AX371" s="844">
        <v>52672</v>
      </c>
      <c r="AY371" s="844">
        <v>53725</v>
      </c>
      <c r="AZ371" s="844">
        <v>54799</v>
      </c>
      <c r="BA371" s="844">
        <v>55895</v>
      </c>
      <c r="BB371" s="844">
        <v>57012</v>
      </c>
      <c r="BC371" s="844">
        <v>58152</v>
      </c>
      <c r="BD371" s="844">
        <v>59314</v>
      </c>
      <c r="BE371" s="844">
        <v>60500</v>
      </c>
      <c r="BF371" s="844">
        <v>61709</v>
      </c>
      <c r="BG371" s="844">
        <v>62942</v>
      </c>
      <c r="BH371" s="844">
        <v>64200</v>
      </c>
      <c r="BI371" s="844">
        <v>65483</v>
      </c>
      <c r="BJ371" s="844">
        <v>66791</v>
      </c>
      <c r="BK371" s="844">
        <v>68126</v>
      </c>
      <c r="BL371" s="844">
        <v>69486</v>
      </c>
      <c r="BM371" s="844">
        <v>70856</v>
      </c>
      <c r="BN371" s="844">
        <v>72232</v>
      </c>
      <c r="BO371" s="844">
        <v>73614</v>
      </c>
      <c r="BP371" s="844">
        <v>75003</v>
      </c>
      <c r="BQ371" s="844">
        <v>76401</v>
      </c>
      <c r="BR371" s="844">
        <v>77826</v>
      </c>
      <c r="BS371" s="844">
        <v>78600</v>
      </c>
      <c r="BT371" s="844">
        <v>0</v>
      </c>
      <c r="BU371" s="844">
        <v>0</v>
      </c>
      <c r="BV371" s="844">
        <v>0</v>
      </c>
      <c r="BW371" s="844">
        <v>0</v>
      </c>
      <c r="BX371" s="844">
        <v>0</v>
      </c>
      <c r="BY371" s="844">
        <v>0</v>
      </c>
      <c r="BZ371" s="844">
        <v>0</v>
      </c>
      <c r="CA371" s="844">
        <v>0</v>
      </c>
      <c r="CB371" s="844">
        <v>0</v>
      </c>
      <c r="CC371" s="844">
        <v>0</v>
      </c>
      <c r="CD371" s="844">
        <v>0</v>
      </c>
      <c r="CE371" s="844">
        <v>0</v>
      </c>
      <c r="CF371" s="844">
        <v>0</v>
      </c>
      <c r="CG371" s="844">
        <v>0</v>
      </c>
      <c r="CH371" s="844">
        <v>0</v>
      </c>
      <c r="CI371" s="844">
        <v>0</v>
      </c>
      <c r="CJ371" s="844">
        <v>0</v>
      </c>
      <c r="CK371" s="844">
        <v>0</v>
      </c>
      <c r="CL371" s="844">
        <v>0</v>
      </c>
      <c r="CM371" s="844">
        <v>0</v>
      </c>
      <c r="CN371" s="844">
        <v>0</v>
      </c>
      <c r="CO371" s="844">
        <v>0</v>
      </c>
      <c r="CP371" s="844">
        <v>0</v>
      </c>
      <c r="CQ371" s="844">
        <v>0</v>
      </c>
      <c r="CR371" s="844">
        <v>0</v>
      </c>
      <c r="CS371" s="844">
        <v>0</v>
      </c>
      <c r="CT371" s="844">
        <v>0</v>
      </c>
      <c r="CU371" s="844">
        <v>0</v>
      </c>
      <c r="CV371" s="844">
        <v>0</v>
      </c>
      <c r="CW371" s="844">
        <v>0</v>
      </c>
      <c r="CX371" s="844">
        <v>0</v>
      </c>
      <c r="CY371" s="844">
        <v>0</v>
      </c>
      <c r="CZ371" s="844">
        <v>0</v>
      </c>
      <c r="DA371" s="844">
        <v>0</v>
      </c>
      <c r="DB371" s="844">
        <v>0</v>
      </c>
      <c r="DC371" s="844">
        <v>0</v>
      </c>
      <c r="DD371" s="844">
        <v>0</v>
      </c>
      <c r="DE371" s="844">
        <v>0</v>
      </c>
      <c r="DF371" s="844">
        <v>0</v>
      </c>
      <c r="DG371" s="844">
        <v>0</v>
      </c>
      <c r="DH371" s="844">
        <v>0</v>
      </c>
      <c r="DI371" s="844">
        <v>0</v>
      </c>
      <c r="DJ371" s="844">
        <v>0</v>
      </c>
      <c r="DK371" s="844">
        <v>0</v>
      </c>
      <c r="DL371" s="844">
        <v>0</v>
      </c>
      <c r="DM371" s="844">
        <v>0</v>
      </c>
      <c r="DN371" s="844">
        <v>0</v>
      </c>
      <c r="DO371" s="844">
        <v>0</v>
      </c>
      <c r="DP371" s="844">
        <v>0</v>
      </c>
      <c r="DQ371" s="844">
        <v>0</v>
      </c>
      <c r="DR371" s="844">
        <v>0</v>
      </c>
      <c r="DS371" s="844">
        <v>0</v>
      </c>
      <c r="DT371" s="844">
        <v>0</v>
      </c>
      <c r="DU371" s="844">
        <v>0</v>
      </c>
      <c r="DV371" s="844">
        <v>0</v>
      </c>
      <c r="DW371" s="844">
        <v>0</v>
      </c>
      <c r="DY371" s="846" t="s">
        <v>1060</v>
      </c>
      <c r="DZ371" s="846" t="s">
        <v>1382</v>
      </c>
      <c r="EA371" s="846" t="s">
        <v>96</v>
      </c>
      <c r="EB371" s="847">
        <v>56</v>
      </c>
      <c r="EC371" s="780" t="str">
        <f t="shared" si="13"/>
        <v>IWT060156</v>
      </c>
      <c r="ED371" s="847">
        <v>0</v>
      </c>
      <c r="EE371" s="847">
        <v>3028</v>
      </c>
      <c r="EF371" s="847">
        <v>8273</v>
      </c>
      <c r="EG371" s="847">
        <v>13619</v>
      </c>
      <c r="EH371" s="847">
        <v>19071</v>
      </c>
      <c r="EI371" s="847">
        <v>24630</v>
      </c>
      <c r="EJ371" s="847">
        <v>30301</v>
      </c>
      <c r="EK371" s="847">
        <v>30885</v>
      </c>
      <c r="EL371" s="847">
        <v>31486</v>
      </c>
      <c r="EM371" s="847">
        <v>32108</v>
      </c>
      <c r="EN371" s="847">
        <v>32750</v>
      </c>
      <c r="EO371" s="847">
        <v>33405</v>
      </c>
      <c r="EP371" s="847">
        <v>34073</v>
      </c>
      <c r="EQ371" s="847">
        <v>34754</v>
      </c>
      <c r="ER371" s="847">
        <v>35449</v>
      </c>
      <c r="ES371" s="847">
        <v>36158</v>
      </c>
      <c r="ET371" s="847">
        <v>36881</v>
      </c>
      <c r="EU371" s="847">
        <v>37619</v>
      </c>
      <c r="EV371" s="847">
        <v>38371</v>
      </c>
      <c r="EW371" s="847">
        <v>39139</v>
      </c>
      <c r="EX371" s="847">
        <v>39921</v>
      </c>
      <c r="EY371" s="847">
        <v>40720</v>
      </c>
      <c r="EZ371" s="847">
        <v>41534</v>
      </c>
      <c r="FA371" s="847">
        <v>42364</v>
      </c>
      <c r="FB371" s="847">
        <v>43212</v>
      </c>
      <c r="FC371" s="847">
        <v>44076</v>
      </c>
      <c r="FD371" s="847">
        <v>44957</v>
      </c>
      <c r="FE371" s="847">
        <v>45856</v>
      </c>
      <c r="FF371" s="847">
        <v>46773</v>
      </c>
      <c r="FG371" s="847">
        <v>47708</v>
      </c>
      <c r="FH371" s="847">
        <v>48662</v>
      </c>
      <c r="FI371" s="847">
        <v>49635</v>
      </c>
      <c r="FJ371" s="847">
        <v>50628</v>
      </c>
      <c r="FK371" s="847">
        <v>51640</v>
      </c>
      <c r="FL371" s="847">
        <v>52672</v>
      </c>
      <c r="FM371" s="847">
        <v>53725</v>
      </c>
      <c r="FN371" s="847">
        <v>54799</v>
      </c>
      <c r="FO371" s="847">
        <v>55895</v>
      </c>
      <c r="FP371" s="847">
        <v>57012</v>
      </c>
      <c r="FQ371" s="847">
        <v>58152</v>
      </c>
      <c r="FR371" s="847">
        <v>59314</v>
      </c>
      <c r="FS371" s="847">
        <v>60500</v>
      </c>
      <c r="FT371" s="847">
        <v>61709</v>
      </c>
      <c r="FU371" s="847">
        <v>62942</v>
      </c>
      <c r="FV371" s="847">
        <v>64200</v>
      </c>
      <c r="FW371" s="847">
        <v>65483</v>
      </c>
      <c r="FX371" s="847">
        <v>66791</v>
      </c>
      <c r="FY371" s="847">
        <v>68126</v>
      </c>
      <c r="FZ371" s="847">
        <v>69486</v>
      </c>
      <c r="GA371" s="847">
        <v>70856</v>
      </c>
      <c r="GB371" s="847">
        <v>72232</v>
      </c>
      <c r="GC371" s="847">
        <v>73614</v>
      </c>
      <c r="GD371" s="847">
        <v>75003</v>
      </c>
      <c r="GE371" s="847">
        <v>76401</v>
      </c>
      <c r="GF371" s="847">
        <v>77826</v>
      </c>
      <c r="GG371" s="847">
        <v>78600</v>
      </c>
      <c r="GH371" s="847">
        <v>0</v>
      </c>
      <c r="GI371" s="847">
        <v>0</v>
      </c>
      <c r="GJ371" s="847">
        <v>0</v>
      </c>
      <c r="GK371" s="847">
        <v>0</v>
      </c>
      <c r="GL371" s="847">
        <v>0</v>
      </c>
      <c r="GM371" s="847">
        <v>0</v>
      </c>
      <c r="GN371" s="847">
        <v>0</v>
      </c>
      <c r="GO371" s="847">
        <v>0</v>
      </c>
      <c r="GP371" s="847">
        <v>0</v>
      </c>
      <c r="GQ371" s="847">
        <v>0</v>
      </c>
      <c r="GR371" s="847">
        <v>0</v>
      </c>
      <c r="GS371" s="847">
        <v>0</v>
      </c>
      <c r="GT371" s="847">
        <v>0</v>
      </c>
      <c r="GU371" s="847">
        <v>0</v>
      </c>
      <c r="GV371" s="847">
        <v>0</v>
      </c>
      <c r="GW371" s="847">
        <v>0</v>
      </c>
      <c r="GX371" s="847">
        <v>0</v>
      </c>
      <c r="GY371" s="847">
        <v>0</v>
      </c>
      <c r="GZ371" s="847">
        <v>0</v>
      </c>
      <c r="HA371" s="847">
        <v>0</v>
      </c>
      <c r="HB371" s="847">
        <v>0</v>
      </c>
      <c r="HC371" s="847">
        <v>0</v>
      </c>
      <c r="HD371" s="847">
        <v>0</v>
      </c>
      <c r="HE371" s="847">
        <v>0</v>
      </c>
      <c r="HF371" s="847">
        <v>0</v>
      </c>
      <c r="HG371" s="847">
        <v>0</v>
      </c>
      <c r="HH371" s="847">
        <v>0</v>
      </c>
      <c r="HI371" s="847">
        <v>0</v>
      </c>
      <c r="HJ371" s="847">
        <v>0</v>
      </c>
      <c r="HK371" s="847">
        <v>0</v>
      </c>
      <c r="HL371" s="847">
        <v>0</v>
      </c>
      <c r="HM371" s="847">
        <v>0</v>
      </c>
      <c r="HN371" s="847">
        <v>0</v>
      </c>
      <c r="HO371" s="847">
        <v>0</v>
      </c>
      <c r="HP371" s="847">
        <v>0</v>
      </c>
      <c r="HQ371" s="847">
        <v>0</v>
      </c>
      <c r="HR371" s="847">
        <v>0</v>
      </c>
      <c r="HS371" s="847">
        <v>0</v>
      </c>
      <c r="HT371" s="847">
        <v>0</v>
      </c>
      <c r="HU371" s="847">
        <v>0</v>
      </c>
      <c r="HV371" s="847">
        <v>0</v>
      </c>
      <c r="HW371" s="847">
        <v>0</v>
      </c>
      <c r="HX371" s="847">
        <v>0</v>
      </c>
      <c r="HY371" s="847">
        <v>0</v>
      </c>
      <c r="HZ371" s="847">
        <v>0</v>
      </c>
      <c r="IA371" s="847">
        <v>0</v>
      </c>
      <c r="IB371" s="847">
        <v>0</v>
      </c>
      <c r="IC371" s="847">
        <v>0</v>
      </c>
      <c r="ID371" s="847">
        <v>0</v>
      </c>
      <c r="IE371" s="847">
        <v>0</v>
      </c>
      <c r="IF371" s="847">
        <v>0</v>
      </c>
      <c r="IG371" s="847">
        <v>0</v>
      </c>
      <c r="IH371" s="847">
        <v>0</v>
      </c>
      <c r="II371" s="847">
        <v>0</v>
      </c>
      <c r="IJ371" s="847">
        <v>0</v>
      </c>
      <c r="IK371" s="847">
        <v>0</v>
      </c>
    </row>
    <row r="372" spans="12:245" hidden="1">
      <c r="L372" s="843" t="s">
        <v>1060</v>
      </c>
      <c r="M372" s="843" t="s">
        <v>1382</v>
      </c>
      <c r="N372" s="843" t="s">
        <v>96</v>
      </c>
      <c r="O372" s="844">
        <v>57</v>
      </c>
      <c r="P372" s="780" t="str">
        <f t="shared" si="12"/>
        <v>IWT060157</v>
      </c>
      <c r="Q372" s="844">
        <v>2262</v>
      </c>
      <c r="R372" s="844">
        <v>6612</v>
      </c>
      <c r="S372" s="844">
        <v>11573</v>
      </c>
      <c r="T372" s="844">
        <v>17163</v>
      </c>
      <c r="U372" s="844">
        <v>23402</v>
      </c>
      <c r="V372" s="844">
        <v>30006</v>
      </c>
      <c r="W372" s="844">
        <v>30891</v>
      </c>
      <c r="X372" s="844">
        <v>31491</v>
      </c>
      <c r="Y372" s="844">
        <v>32111</v>
      </c>
      <c r="Z372" s="844">
        <v>32754</v>
      </c>
      <c r="AA372" s="844">
        <v>33409</v>
      </c>
      <c r="AB372" s="844">
        <v>34077</v>
      </c>
      <c r="AC372" s="844">
        <v>34758</v>
      </c>
      <c r="AD372" s="844">
        <v>35453</v>
      </c>
      <c r="AE372" s="844">
        <v>36162</v>
      </c>
      <c r="AF372" s="844">
        <v>36886</v>
      </c>
      <c r="AG372" s="844">
        <v>37623</v>
      </c>
      <c r="AH372" s="844">
        <v>38376</v>
      </c>
      <c r="AI372" s="844">
        <v>39143</v>
      </c>
      <c r="AJ372" s="844">
        <v>39926</v>
      </c>
      <c r="AK372" s="844">
        <v>40724</v>
      </c>
      <c r="AL372" s="844">
        <v>41539</v>
      </c>
      <c r="AM372" s="844">
        <v>42369</v>
      </c>
      <c r="AN372" s="844">
        <v>43216</v>
      </c>
      <c r="AO372" s="844">
        <v>44081</v>
      </c>
      <c r="AP372" s="844">
        <v>44962</v>
      </c>
      <c r="AQ372" s="844">
        <v>45861</v>
      </c>
      <c r="AR372" s="844">
        <v>46778</v>
      </c>
      <c r="AS372" s="844">
        <v>47714</v>
      </c>
      <c r="AT372" s="844">
        <v>48668</v>
      </c>
      <c r="AU372" s="844">
        <v>49641</v>
      </c>
      <c r="AV372" s="844">
        <v>50633</v>
      </c>
      <c r="AW372" s="844">
        <v>51645</v>
      </c>
      <c r="AX372" s="844">
        <v>52678</v>
      </c>
      <c r="AY372" s="844">
        <v>53731</v>
      </c>
      <c r="AZ372" s="844">
        <v>54805</v>
      </c>
      <c r="BA372" s="844">
        <v>55901</v>
      </c>
      <c r="BB372" s="844">
        <v>57018</v>
      </c>
      <c r="BC372" s="844">
        <v>58158</v>
      </c>
      <c r="BD372" s="844">
        <v>59320</v>
      </c>
      <c r="BE372" s="844">
        <v>60506</v>
      </c>
      <c r="BF372" s="844">
        <v>61715</v>
      </c>
      <c r="BG372" s="844">
        <v>62948</v>
      </c>
      <c r="BH372" s="844">
        <v>64206</v>
      </c>
      <c r="BI372" s="844">
        <v>65489</v>
      </c>
      <c r="BJ372" s="844">
        <v>66797</v>
      </c>
      <c r="BK372" s="844">
        <v>68131</v>
      </c>
      <c r="BL372" s="844">
        <v>69492</v>
      </c>
      <c r="BM372" s="844">
        <v>70865</v>
      </c>
      <c r="BN372" s="844">
        <v>72243</v>
      </c>
      <c r="BO372" s="844">
        <v>73628</v>
      </c>
      <c r="BP372" s="844">
        <v>75022</v>
      </c>
      <c r="BQ372" s="844">
        <v>76439</v>
      </c>
      <c r="BR372" s="844">
        <v>77200</v>
      </c>
      <c r="BS372" s="844">
        <v>0</v>
      </c>
      <c r="BT372" s="844">
        <v>0</v>
      </c>
      <c r="BU372" s="844">
        <v>0</v>
      </c>
      <c r="BV372" s="844">
        <v>0</v>
      </c>
      <c r="BW372" s="844">
        <v>0</v>
      </c>
      <c r="BX372" s="844">
        <v>0</v>
      </c>
      <c r="BY372" s="844">
        <v>0</v>
      </c>
      <c r="BZ372" s="844">
        <v>0</v>
      </c>
      <c r="CA372" s="844">
        <v>0</v>
      </c>
      <c r="CB372" s="844">
        <v>0</v>
      </c>
      <c r="CC372" s="844">
        <v>0</v>
      </c>
      <c r="CD372" s="844">
        <v>0</v>
      </c>
      <c r="CE372" s="844">
        <v>0</v>
      </c>
      <c r="CF372" s="844">
        <v>0</v>
      </c>
      <c r="CG372" s="844">
        <v>0</v>
      </c>
      <c r="CH372" s="844">
        <v>0</v>
      </c>
      <c r="CI372" s="844">
        <v>0</v>
      </c>
      <c r="CJ372" s="844">
        <v>0</v>
      </c>
      <c r="CK372" s="844">
        <v>0</v>
      </c>
      <c r="CL372" s="844">
        <v>0</v>
      </c>
      <c r="CM372" s="844">
        <v>0</v>
      </c>
      <c r="CN372" s="844">
        <v>0</v>
      </c>
      <c r="CO372" s="844">
        <v>0</v>
      </c>
      <c r="CP372" s="844">
        <v>0</v>
      </c>
      <c r="CQ372" s="844">
        <v>0</v>
      </c>
      <c r="CR372" s="844">
        <v>0</v>
      </c>
      <c r="CS372" s="844">
        <v>0</v>
      </c>
      <c r="CT372" s="844">
        <v>0</v>
      </c>
      <c r="CU372" s="844">
        <v>0</v>
      </c>
      <c r="CV372" s="844">
        <v>0</v>
      </c>
      <c r="CW372" s="844">
        <v>0</v>
      </c>
      <c r="CX372" s="844">
        <v>0</v>
      </c>
      <c r="CY372" s="844">
        <v>0</v>
      </c>
      <c r="CZ372" s="844">
        <v>0</v>
      </c>
      <c r="DA372" s="844">
        <v>0</v>
      </c>
      <c r="DB372" s="844">
        <v>0</v>
      </c>
      <c r="DC372" s="844">
        <v>0</v>
      </c>
      <c r="DD372" s="844">
        <v>0</v>
      </c>
      <c r="DE372" s="844">
        <v>0</v>
      </c>
      <c r="DF372" s="844">
        <v>0</v>
      </c>
      <c r="DG372" s="844">
        <v>0</v>
      </c>
      <c r="DH372" s="844">
        <v>0</v>
      </c>
      <c r="DI372" s="844">
        <v>0</v>
      </c>
      <c r="DJ372" s="844">
        <v>0</v>
      </c>
      <c r="DK372" s="844">
        <v>0</v>
      </c>
      <c r="DL372" s="844">
        <v>0</v>
      </c>
      <c r="DM372" s="844">
        <v>0</v>
      </c>
      <c r="DN372" s="844">
        <v>0</v>
      </c>
      <c r="DO372" s="844">
        <v>0</v>
      </c>
      <c r="DP372" s="844">
        <v>0</v>
      </c>
      <c r="DQ372" s="844">
        <v>0</v>
      </c>
      <c r="DR372" s="844">
        <v>0</v>
      </c>
      <c r="DS372" s="844">
        <v>0</v>
      </c>
      <c r="DT372" s="844">
        <v>0</v>
      </c>
      <c r="DU372" s="844">
        <v>0</v>
      </c>
      <c r="DV372" s="844">
        <v>0</v>
      </c>
      <c r="DW372" s="844">
        <v>0</v>
      </c>
      <c r="DY372" s="846" t="s">
        <v>1060</v>
      </c>
      <c r="DZ372" s="846" t="s">
        <v>1382</v>
      </c>
      <c r="EA372" s="846" t="s">
        <v>96</v>
      </c>
      <c r="EB372" s="847">
        <v>57</v>
      </c>
      <c r="EC372" s="780" t="str">
        <f t="shared" si="13"/>
        <v>IWT060157</v>
      </c>
      <c r="ED372" s="847">
        <v>0</v>
      </c>
      <c r="EE372" s="847">
        <v>3016</v>
      </c>
      <c r="EF372" s="847">
        <v>8265</v>
      </c>
      <c r="EG372" s="847">
        <v>13615</v>
      </c>
      <c r="EH372" s="847">
        <v>19070</v>
      </c>
      <c r="EI372" s="847">
        <v>24634</v>
      </c>
      <c r="EJ372" s="847">
        <v>30309</v>
      </c>
      <c r="EK372" s="847">
        <v>30891</v>
      </c>
      <c r="EL372" s="847">
        <v>31491</v>
      </c>
      <c r="EM372" s="847">
        <v>32111</v>
      </c>
      <c r="EN372" s="847">
        <v>32754</v>
      </c>
      <c r="EO372" s="847">
        <v>33409</v>
      </c>
      <c r="EP372" s="847">
        <v>34077</v>
      </c>
      <c r="EQ372" s="847">
        <v>34758</v>
      </c>
      <c r="ER372" s="847">
        <v>35453</v>
      </c>
      <c r="ES372" s="847">
        <v>36162</v>
      </c>
      <c r="ET372" s="847">
        <v>36886</v>
      </c>
      <c r="EU372" s="847">
        <v>37623</v>
      </c>
      <c r="EV372" s="847">
        <v>38376</v>
      </c>
      <c r="EW372" s="847">
        <v>39143</v>
      </c>
      <c r="EX372" s="847">
        <v>39926</v>
      </c>
      <c r="EY372" s="847">
        <v>40724</v>
      </c>
      <c r="EZ372" s="847">
        <v>41539</v>
      </c>
      <c r="FA372" s="847">
        <v>42369</v>
      </c>
      <c r="FB372" s="847">
        <v>43216</v>
      </c>
      <c r="FC372" s="847">
        <v>44081</v>
      </c>
      <c r="FD372" s="847">
        <v>44962</v>
      </c>
      <c r="FE372" s="847">
        <v>45861</v>
      </c>
      <c r="FF372" s="847">
        <v>46778</v>
      </c>
      <c r="FG372" s="847">
        <v>47714</v>
      </c>
      <c r="FH372" s="847">
        <v>48668</v>
      </c>
      <c r="FI372" s="847">
        <v>49641</v>
      </c>
      <c r="FJ372" s="847">
        <v>50633</v>
      </c>
      <c r="FK372" s="847">
        <v>51645</v>
      </c>
      <c r="FL372" s="847">
        <v>52678</v>
      </c>
      <c r="FM372" s="847">
        <v>53731</v>
      </c>
      <c r="FN372" s="847">
        <v>54805</v>
      </c>
      <c r="FO372" s="847">
        <v>55901</v>
      </c>
      <c r="FP372" s="847">
        <v>57018</v>
      </c>
      <c r="FQ372" s="847">
        <v>58158</v>
      </c>
      <c r="FR372" s="847">
        <v>59320</v>
      </c>
      <c r="FS372" s="847">
        <v>60506</v>
      </c>
      <c r="FT372" s="847">
        <v>61715</v>
      </c>
      <c r="FU372" s="847">
        <v>62948</v>
      </c>
      <c r="FV372" s="847">
        <v>64206</v>
      </c>
      <c r="FW372" s="847">
        <v>65489</v>
      </c>
      <c r="FX372" s="847">
        <v>66797</v>
      </c>
      <c r="FY372" s="847">
        <v>68131</v>
      </c>
      <c r="FZ372" s="847">
        <v>69492</v>
      </c>
      <c r="GA372" s="847">
        <v>70865</v>
      </c>
      <c r="GB372" s="847">
        <v>72243</v>
      </c>
      <c r="GC372" s="847">
        <v>73628</v>
      </c>
      <c r="GD372" s="847">
        <v>75022</v>
      </c>
      <c r="GE372" s="847">
        <v>76439</v>
      </c>
      <c r="GF372" s="847">
        <v>77200</v>
      </c>
      <c r="GG372" s="847">
        <v>0</v>
      </c>
      <c r="GH372" s="847">
        <v>0</v>
      </c>
      <c r="GI372" s="847">
        <v>0</v>
      </c>
      <c r="GJ372" s="847">
        <v>0</v>
      </c>
      <c r="GK372" s="847">
        <v>0</v>
      </c>
      <c r="GL372" s="847">
        <v>0</v>
      </c>
      <c r="GM372" s="847">
        <v>0</v>
      </c>
      <c r="GN372" s="847">
        <v>0</v>
      </c>
      <c r="GO372" s="847">
        <v>0</v>
      </c>
      <c r="GP372" s="847">
        <v>0</v>
      </c>
      <c r="GQ372" s="847">
        <v>0</v>
      </c>
      <c r="GR372" s="847">
        <v>0</v>
      </c>
      <c r="GS372" s="847">
        <v>0</v>
      </c>
      <c r="GT372" s="847">
        <v>0</v>
      </c>
      <c r="GU372" s="847">
        <v>0</v>
      </c>
      <c r="GV372" s="847">
        <v>0</v>
      </c>
      <c r="GW372" s="847">
        <v>0</v>
      </c>
      <c r="GX372" s="847">
        <v>0</v>
      </c>
      <c r="GY372" s="847">
        <v>0</v>
      </c>
      <c r="GZ372" s="847">
        <v>0</v>
      </c>
      <c r="HA372" s="847">
        <v>0</v>
      </c>
      <c r="HB372" s="847">
        <v>0</v>
      </c>
      <c r="HC372" s="847">
        <v>0</v>
      </c>
      <c r="HD372" s="847">
        <v>0</v>
      </c>
      <c r="HE372" s="847">
        <v>0</v>
      </c>
      <c r="HF372" s="847">
        <v>0</v>
      </c>
      <c r="HG372" s="847">
        <v>0</v>
      </c>
      <c r="HH372" s="847">
        <v>0</v>
      </c>
      <c r="HI372" s="847">
        <v>0</v>
      </c>
      <c r="HJ372" s="847">
        <v>0</v>
      </c>
      <c r="HK372" s="847">
        <v>0</v>
      </c>
      <c r="HL372" s="847">
        <v>0</v>
      </c>
      <c r="HM372" s="847">
        <v>0</v>
      </c>
      <c r="HN372" s="847">
        <v>0</v>
      </c>
      <c r="HO372" s="847">
        <v>0</v>
      </c>
      <c r="HP372" s="847">
        <v>0</v>
      </c>
      <c r="HQ372" s="847">
        <v>0</v>
      </c>
      <c r="HR372" s="847">
        <v>0</v>
      </c>
      <c r="HS372" s="847">
        <v>0</v>
      </c>
      <c r="HT372" s="847">
        <v>0</v>
      </c>
      <c r="HU372" s="847">
        <v>0</v>
      </c>
      <c r="HV372" s="847">
        <v>0</v>
      </c>
      <c r="HW372" s="847">
        <v>0</v>
      </c>
      <c r="HX372" s="847">
        <v>0</v>
      </c>
      <c r="HY372" s="847">
        <v>0</v>
      </c>
      <c r="HZ372" s="847">
        <v>0</v>
      </c>
      <c r="IA372" s="847">
        <v>0</v>
      </c>
      <c r="IB372" s="847">
        <v>0</v>
      </c>
      <c r="IC372" s="847">
        <v>0</v>
      </c>
      <c r="ID372" s="847">
        <v>0</v>
      </c>
      <c r="IE372" s="847">
        <v>0</v>
      </c>
      <c r="IF372" s="847">
        <v>0</v>
      </c>
      <c r="IG372" s="847">
        <v>0</v>
      </c>
      <c r="IH372" s="847">
        <v>0</v>
      </c>
      <c r="II372" s="847">
        <v>0</v>
      </c>
      <c r="IJ372" s="847">
        <v>0</v>
      </c>
      <c r="IK372" s="847">
        <v>0</v>
      </c>
    </row>
    <row r="373" spans="12:245" hidden="1">
      <c r="L373" s="843" t="s">
        <v>1060</v>
      </c>
      <c r="M373" s="843" t="s">
        <v>1382</v>
      </c>
      <c r="N373" s="843" t="s">
        <v>96</v>
      </c>
      <c r="O373" s="844">
        <v>58</v>
      </c>
      <c r="P373" s="780" t="str">
        <f t="shared" si="12"/>
        <v>IWT060158</v>
      </c>
      <c r="Q373" s="844">
        <v>2253</v>
      </c>
      <c r="R373" s="844">
        <v>6606</v>
      </c>
      <c r="S373" s="844">
        <v>11569</v>
      </c>
      <c r="T373" s="844">
        <v>17164</v>
      </c>
      <c r="U373" s="844">
        <v>23406</v>
      </c>
      <c r="V373" s="844">
        <v>30015</v>
      </c>
      <c r="W373" s="844">
        <v>30897</v>
      </c>
      <c r="X373" s="844">
        <v>31495</v>
      </c>
      <c r="Y373" s="844">
        <v>32115</v>
      </c>
      <c r="Z373" s="844">
        <v>32757</v>
      </c>
      <c r="AA373" s="844">
        <v>33412</v>
      </c>
      <c r="AB373" s="844">
        <v>34080</v>
      </c>
      <c r="AC373" s="844">
        <v>34762</v>
      </c>
      <c r="AD373" s="844">
        <v>35457</v>
      </c>
      <c r="AE373" s="844">
        <v>36166</v>
      </c>
      <c r="AF373" s="844">
        <v>36889</v>
      </c>
      <c r="AG373" s="844">
        <v>37627</v>
      </c>
      <c r="AH373" s="844">
        <v>38379</v>
      </c>
      <c r="AI373" s="844">
        <v>39147</v>
      </c>
      <c r="AJ373" s="844">
        <v>39930</v>
      </c>
      <c r="AK373" s="844">
        <v>40728</v>
      </c>
      <c r="AL373" s="844">
        <v>41543</v>
      </c>
      <c r="AM373" s="844">
        <v>42373</v>
      </c>
      <c r="AN373" s="844">
        <v>43221</v>
      </c>
      <c r="AO373" s="844">
        <v>44085</v>
      </c>
      <c r="AP373" s="844">
        <v>44966</v>
      </c>
      <c r="AQ373" s="844">
        <v>45866</v>
      </c>
      <c r="AR373" s="844">
        <v>46783</v>
      </c>
      <c r="AS373" s="844">
        <v>47718</v>
      </c>
      <c r="AT373" s="844">
        <v>48672</v>
      </c>
      <c r="AU373" s="844">
        <v>49645</v>
      </c>
      <c r="AV373" s="844">
        <v>50638</v>
      </c>
      <c r="AW373" s="844">
        <v>51650</v>
      </c>
      <c r="AX373" s="844">
        <v>52683</v>
      </c>
      <c r="AY373" s="844">
        <v>53736</v>
      </c>
      <c r="AZ373" s="844">
        <v>54810</v>
      </c>
      <c r="BA373" s="844">
        <v>55906</v>
      </c>
      <c r="BB373" s="844">
        <v>57023</v>
      </c>
      <c r="BC373" s="844">
        <v>58163</v>
      </c>
      <c r="BD373" s="844">
        <v>59325</v>
      </c>
      <c r="BE373" s="844">
        <v>60511</v>
      </c>
      <c r="BF373" s="844">
        <v>61720</v>
      </c>
      <c r="BG373" s="844">
        <v>62953</v>
      </c>
      <c r="BH373" s="844">
        <v>64211</v>
      </c>
      <c r="BI373" s="844">
        <v>65494</v>
      </c>
      <c r="BJ373" s="844">
        <v>66802</v>
      </c>
      <c r="BK373" s="844">
        <v>68136</v>
      </c>
      <c r="BL373" s="844">
        <v>69497</v>
      </c>
      <c r="BM373" s="844">
        <v>70872</v>
      </c>
      <c r="BN373" s="844">
        <v>72253</v>
      </c>
      <c r="BO373" s="844">
        <v>73643</v>
      </c>
      <c r="BP373" s="844">
        <v>75053</v>
      </c>
      <c r="BQ373" s="844">
        <v>75800</v>
      </c>
      <c r="BR373" s="844">
        <v>0</v>
      </c>
      <c r="BS373" s="844">
        <v>0</v>
      </c>
      <c r="BT373" s="844">
        <v>0</v>
      </c>
      <c r="BU373" s="844">
        <v>0</v>
      </c>
      <c r="BV373" s="844">
        <v>0</v>
      </c>
      <c r="BW373" s="844">
        <v>0</v>
      </c>
      <c r="BX373" s="844">
        <v>0</v>
      </c>
      <c r="BY373" s="844">
        <v>0</v>
      </c>
      <c r="BZ373" s="844">
        <v>0</v>
      </c>
      <c r="CA373" s="844">
        <v>0</v>
      </c>
      <c r="CB373" s="844">
        <v>0</v>
      </c>
      <c r="CC373" s="844">
        <v>0</v>
      </c>
      <c r="CD373" s="844">
        <v>0</v>
      </c>
      <c r="CE373" s="844">
        <v>0</v>
      </c>
      <c r="CF373" s="844">
        <v>0</v>
      </c>
      <c r="CG373" s="844">
        <v>0</v>
      </c>
      <c r="CH373" s="844">
        <v>0</v>
      </c>
      <c r="CI373" s="844">
        <v>0</v>
      </c>
      <c r="CJ373" s="844">
        <v>0</v>
      </c>
      <c r="CK373" s="844">
        <v>0</v>
      </c>
      <c r="CL373" s="844">
        <v>0</v>
      </c>
      <c r="CM373" s="844">
        <v>0</v>
      </c>
      <c r="CN373" s="844">
        <v>0</v>
      </c>
      <c r="CO373" s="844">
        <v>0</v>
      </c>
      <c r="CP373" s="844">
        <v>0</v>
      </c>
      <c r="CQ373" s="844">
        <v>0</v>
      </c>
      <c r="CR373" s="844">
        <v>0</v>
      </c>
      <c r="CS373" s="844">
        <v>0</v>
      </c>
      <c r="CT373" s="844">
        <v>0</v>
      </c>
      <c r="CU373" s="844">
        <v>0</v>
      </c>
      <c r="CV373" s="844">
        <v>0</v>
      </c>
      <c r="CW373" s="844">
        <v>0</v>
      </c>
      <c r="CX373" s="844">
        <v>0</v>
      </c>
      <c r="CY373" s="844">
        <v>0</v>
      </c>
      <c r="CZ373" s="844">
        <v>0</v>
      </c>
      <c r="DA373" s="844">
        <v>0</v>
      </c>
      <c r="DB373" s="844">
        <v>0</v>
      </c>
      <c r="DC373" s="844">
        <v>0</v>
      </c>
      <c r="DD373" s="844">
        <v>0</v>
      </c>
      <c r="DE373" s="844">
        <v>0</v>
      </c>
      <c r="DF373" s="844">
        <v>0</v>
      </c>
      <c r="DG373" s="844">
        <v>0</v>
      </c>
      <c r="DH373" s="844">
        <v>0</v>
      </c>
      <c r="DI373" s="844">
        <v>0</v>
      </c>
      <c r="DJ373" s="844">
        <v>0</v>
      </c>
      <c r="DK373" s="844">
        <v>0</v>
      </c>
      <c r="DL373" s="844">
        <v>0</v>
      </c>
      <c r="DM373" s="844">
        <v>0</v>
      </c>
      <c r="DN373" s="844">
        <v>0</v>
      </c>
      <c r="DO373" s="844">
        <v>0</v>
      </c>
      <c r="DP373" s="844">
        <v>0</v>
      </c>
      <c r="DQ373" s="844">
        <v>0</v>
      </c>
      <c r="DR373" s="844">
        <v>0</v>
      </c>
      <c r="DS373" s="844">
        <v>0</v>
      </c>
      <c r="DT373" s="844">
        <v>0</v>
      </c>
      <c r="DU373" s="844">
        <v>0</v>
      </c>
      <c r="DV373" s="844">
        <v>0</v>
      </c>
      <c r="DW373" s="844">
        <v>0</v>
      </c>
      <c r="DY373" s="846" t="s">
        <v>1060</v>
      </c>
      <c r="DZ373" s="846" t="s">
        <v>1382</v>
      </c>
      <c r="EA373" s="846" t="s">
        <v>96</v>
      </c>
      <c r="EB373" s="847">
        <v>58</v>
      </c>
      <c r="EC373" s="780" t="str">
        <f t="shared" si="13"/>
        <v>IWT060158</v>
      </c>
      <c r="ED373" s="847">
        <v>0</v>
      </c>
      <c r="EE373" s="847">
        <v>3004</v>
      </c>
      <c r="EF373" s="847">
        <v>8257</v>
      </c>
      <c r="EG373" s="847">
        <v>13611</v>
      </c>
      <c r="EH373" s="847">
        <v>19071</v>
      </c>
      <c r="EI373" s="847">
        <v>24638</v>
      </c>
      <c r="EJ373" s="847">
        <v>30318</v>
      </c>
      <c r="EK373" s="847">
        <v>30897</v>
      </c>
      <c r="EL373" s="847">
        <v>31495</v>
      </c>
      <c r="EM373" s="847">
        <v>32115</v>
      </c>
      <c r="EN373" s="847">
        <v>32757</v>
      </c>
      <c r="EO373" s="847">
        <v>33412</v>
      </c>
      <c r="EP373" s="847">
        <v>34080</v>
      </c>
      <c r="EQ373" s="847">
        <v>34762</v>
      </c>
      <c r="ER373" s="847">
        <v>35457</v>
      </c>
      <c r="ES373" s="847">
        <v>36166</v>
      </c>
      <c r="ET373" s="847">
        <v>36889</v>
      </c>
      <c r="EU373" s="847">
        <v>37627</v>
      </c>
      <c r="EV373" s="847">
        <v>38379</v>
      </c>
      <c r="EW373" s="847">
        <v>39147</v>
      </c>
      <c r="EX373" s="847">
        <v>39930</v>
      </c>
      <c r="EY373" s="847">
        <v>40728</v>
      </c>
      <c r="EZ373" s="847">
        <v>41543</v>
      </c>
      <c r="FA373" s="847">
        <v>42373</v>
      </c>
      <c r="FB373" s="847">
        <v>43221</v>
      </c>
      <c r="FC373" s="847">
        <v>44085</v>
      </c>
      <c r="FD373" s="847">
        <v>44966</v>
      </c>
      <c r="FE373" s="847">
        <v>45866</v>
      </c>
      <c r="FF373" s="847">
        <v>46783</v>
      </c>
      <c r="FG373" s="847">
        <v>47718</v>
      </c>
      <c r="FH373" s="847">
        <v>48672</v>
      </c>
      <c r="FI373" s="847">
        <v>49645</v>
      </c>
      <c r="FJ373" s="847">
        <v>50638</v>
      </c>
      <c r="FK373" s="847">
        <v>51650</v>
      </c>
      <c r="FL373" s="847">
        <v>52683</v>
      </c>
      <c r="FM373" s="847">
        <v>53736</v>
      </c>
      <c r="FN373" s="847">
        <v>54810</v>
      </c>
      <c r="FO373" s="847">
        <v>55906</v>
      </c>
      <c r="FP373" s="847">
        <v>57023</v>
      </c>
      <c r="FQ373" s="847">
        <v>58163</v>
      </c>
      <c r="FR373" s="847">
        <v>59325</v>
      </c>
      <c r="FS373" s="847">
        <v>60511</v>
      </c>
      <c r="FT373" s="847">
        <v>61720</v>
      </c>
      <c r="FU373" s="847">
        <v>62953</v>
      </c>
      <c r="FV373" s="847">
        <v>64211</v>
      </c>
      <c r="FW373" s="847">
        <v>65494</v>
      </c>
      <c r="FX373" s="847">
        <v>66802</v>
      </c>
      <c r="FY373" s="847">
        <v>68136</v>
      </c>
      <c r="FZ373" s="847">
        <v>69497</v>
      </c>
      <c r="GA373" s="847">
        <v>70872</v>
      </c>
      <c r="GB373" s="847">
        <v>72253</v>
      </c>
      <c r="GC373" s="847">
        <v>73643</v>
      </c>
      <c r="GD373" s="847">
        <v>75053</v>
      </c>
      <c r="GE373" s="847">
        <v>75800</v>
      </c>
      <c r="GF373" s="847">
        <v>0</v>
      </c>
      <c r="GG373" s="847">
        <v>0</v>
      </c>
      <c r="GH373" s="847">
        <v>0</v>
      </c>
      <c r="GI373" s="847">
        <v>0</v>
      </c>
      <c r="GJ373" s="847">
        <v>0</v>
      </c>
      <c r="GK373" s="847">
        <v>0</v>
      </c>
      <c r="GL373" s="847">
        <v>0</v>
      </c>
      <c r="GM373" s="847">
        <v>0</v>
      </c>
      <c r="GN373" s="847">
        <v>0</v>
      </c>
      <c r="GO373" s="847">
        <v>0</v>
      </c>
      <c r="GP373" s="847">
        <v>0</v>
      </c>
      <c r="GQ373" s="847">
        <v>0</v>
      </c>
      <c r="GR373" s="847">
        <v>0</v>
      </c>
      <c r="GS373" s="847">
        <v>0</v>
      </c>
      <c r="GT373" s="847">
        <v>0</v>
      </c>
      <c r="GU373" s="847">
        <v>0</v>
      </c>
      <c r="GV373" s="847">
        <v>0</v>
      </c>
      <c r="GW373" s="847">
        <v>0</v>
      </c>
      <c r="GX373" s="847">
        <v>0</v>
      </c>
      <c r="GY373" s="847">
        <v>0</v>
      </c>
      <c r="GZ373" s="847">
        <v>0</v>
      </c>
      <c r="HA373" s="847">
        <v>0</v>
      </c>
      <c r="HB373" s="847">
        <v>0</v>
      </c>
      <c r="HC373" s="847">
        <v>0</v>
      </c>
      <c r="HD373" s="847">
        <v>0</v>
      </c>
      <c r="HE373" s="847">
        <v>0</v>
      </c>
      <c r="HF373" s="847">
        <v>0</v>
      </c>
      <c r="HG373" s="847">
        <v>0</v>
      </c>
      <c r="HH373" s="847">
        <v>0</v>
      </c>
      <c r="HI373" s="847">
        <v>0</v>
      </c>
      <c r="HJ373" s="847">
        <v>0</v>
      </c>
      <c r="HK373" s="847">
        <v>0</v>
      </c>
      <c r="HL373" s="847">
        <v>0</v>
      </c>
      <c r="HM373" s="847">
        <v>0</v>
      </c>
      <c r="HN373" s="847">
        <v>0</v>
      </c>
      <c r="HO373" s="847">
        <v>0</v>
      </c>
      <c r="HP373" s="847">
        <v>0</v>
      </c>
      <c r="HQ373" s="847">
        <v>0</v>
      </c>
      <c r="HR373" s="847">
        <v>0</v>
      </c>
      <c r="HS373" s="847">
        <v>0</v>
      </c>
      <c r="HT373" s="847">
        <v>0</v>
      </c>
      <c r="HU373" s="847">
        <v>0</v>
      </c>
      <c r="HV373" s="847">
        <v>0</v>
      </c>
      <c r="HW373" s="847">
        <v>0</v>
      </c>
      <c r="HX373" s="847">
        <v>0</v>
      </c>
      <c r="HY373" s="847">
        <v>0</v>
      </c>
      <c r="HZ373" s="847">
        <v>0</v>
      </c>
      <c r="IA373" s="847">
        <v>0</v>
      </c>
      <c r="IB373" s="847">
        <v>0</v>
      </c>
      <c r="IC373" s="847">
        <v>0</v>
      </c>
      <c r="ID373" s="847">
        <v>0</v>
      </c>
      <c r="IE373" s="847">
        <v>0</v>
      </c>
      <c r="IF373" s="847">
        <v>0</v>
      </c>
      <c r="IG373" s="847">
        <v>0</v>
      </c>
      <c r="IH373" s="847">
        <v>0</v>
      </c>
      <c r="II373" s="847">
        <v>0</v>
      </c>
      <c r="IJ373" s="847">
        <v>0</v>
      </c>
      <c r="IK373" s="847">
        <v>0</v>
      </c>
    </row>
    <row r="374" spans="12:245" hidden="1">
      <c r="L374" s="843" t="s">
        <v>1060</v>
      </c>
      <c r="M374" s="843" t="s">
        <v>1382</v>
      </c>
      <c r="N374" s="843" t="s">
        <v>96</v>
      </c>
      <c r="O374" s="844">
        <v>59</v>
      </c>
      <c r="P374" s="780" t="str">
        <f t="shared" si="12"/>
        <v>IWT060159</v>
      </c>
      <c r="Q374" s="844">
        <v>2243</v>
      </c>
      <c r="R374" s="844">
        <v>6598</v>
      </c>
      <c r="S374" s="844">
        <v>11567</v>
      </c>
      <c r="T374" s="844">
        <v>17165</v>
      </c>
      <c r="U374" s="844">
        <v>23412</v>
      </c>
      <c r="V374" s="844">
        <v>30024</v>
      </c>
      <c r="W374" s="844">
        <v>30904</v>
      </c>
      <c r="X374" s="844">
        <v>31500</v>
      </c>
      <c r="Y374" s="844">
        <v>32118</v>
      </c>
      <c r="Z374" s="844">
        <v>32760</v>
      </c>
      <c r="AA374" s="844">
        <v>33416</v>
      </c>
      <c r="AB374" s="844">
        <v>34084</v>
      </c>
      <c r="AC374" s="844">
        <v>34766</v>
      </c>
      <c r="AD374" s="844">
        <v>35461</v>
      </c>
      <c r="AE374" s="844">
        <v>36170</v>
      </c>
      <c r="AF374" s="844">
        <v>36893</v>
      </c>
      <c r="AG374" s="844">
        <v>37631</v>
      </c>
      <c r="AH374" s="844">
        <v>38384</v>
      </c>
      <c r="AI374" s="844">
        <v>39151</v>
      </c>
      <c r="AJ374" s="844">
        <v>39934</v>
      </c>
      <c r="AK374" s="844">
        <v>40733</v>
      </c>
      <c r="AL374" s="844">
        <v>41547</v>
      </c>
      <c r="AM374" s="844">
        <v>42378</v>
      </c>
      <c r="AN374" s="844">
        <v>43225</v>
      </c>
      <c r="AO374" s="844">
        <v>44090</v>
      </c>
      <c r="AP374" s="844">
        <v>44971</v>
      </c>
      <c r="AQ374" s="844">
        <v>45871</v>
      </c>
      <c r="AR374" s="844">
        <v>46788</v>
      </c>
      <c r="AS374" s="844">
        <v>47723</v>
      </c>
      <c r="AT374" s="844">
        <v>48677</v>
      </c>
      <c r="AU374" s="844">
        <v>49651</v>
      </c>
      <c r="AV374" s="844">
        <v>50643</v>
      </c>
      <c r="AW374" s="844">
        <v>51656</v>
      </c>
      <c r="AX374" s="844">
        <v>52688</v>
      </c>
      <c r="AY374" s="844">
        <v>53742</v>
      </c>
      <c r="AZ374" s="844">
        <v>54816</v>
      </c>
      <c r="BA374" s="844">
        <v>55911</v>
      </c>
      <c r="BB374" s="844">
        <v>57029</v>
      </c>
      <c r="BC374" s="844">
        <v>58169</v>
      </c>
      <c r="BD374" s="844">
        <v>59331</v>
      </c>
      <c r="BE374" s="844">
        <v>60517</v>
      </c>
      <c r="BF374" s="844">
        <v>61726</v>
      </c>
      <c r="BG374" s="844">
        <v>62959</v>
      </c>
      <c r="BH374" s="844">
        <v>64216</v>
      </c>
      <c r="BI374" s="844">
        <v>65499</v>
      </c>
      <c r="BJ374" s="844">
        <v>66807</v>
      </c>
      <c r="BK374" s="844">
        <v>68141</v>
      </c>
      <c r="BL374" s="844">
        <v>69501</v>
      </c>
      <c r="BM374" s="844">
        <v>70879</v>
      </c>
      <c r="BN374" s="844">
        <v>72265</v>
      </c>
      <c r="BO374" s="844">
        <v>73667</v>
      </c>
      <c r="BP374" s="844">
        <v>74400</v>
      </c>
      <c r="BQ374" s="844">
        <v>0</v>
      </c>
      <c r="BR374" s="844">
        <v>0</v>
      </c>
      <c r="BS374" s="844">
        <v>0</v>
      </c>
      <c r="BT374" s="844">
        <v>0</v>
      </c>
      <c r="BU374" s="844">
        <v>0</v>
      </c>
      <c r="BV374" s="844">
        <v>0</v>
      </c>
      <c r="BW374" s="844">
        <v>0</v>
      </c>
      <c r="BX374" s="844">
        <v>0</v>
      </c>
      <c r="BY374" s="844">
        <v>0</v>
      </c>
      <c r="BZ374" s="844">
        <v>0</v>
      </c>
      <c r="CA374" s="844">
        <v>0</v>
      </c>
      <c r="CB374" s="844">
        <v>0</v>
      </c>
      <c r="CC374" s="844">
        <v>0</v>
      </c>
      <c r="CD374" s="844">
        <v>0</v>
      </c>
      <c r="CE374" s="844">
        <v>0</v>
      </c>
      <c r="CF374" s="844">
        <v>0</v>
      </c>
      <c r="CG374" s="844">
        <v>0</v>
      </c>
      <c r="CH374" s="844">
        <v>0</v>
      </c>
      <c r="CI374" s="844">
        <v>0</v>
      </c>
      <c r="CJ374" s="844">
        <v>0</v>
      </c>
      <c r="CK374" s="844">
        <v>0</v>
      </c>
      <c r="CL374" s="844">
        <v>0</v>
      </c>
      <c r="CM374" s="844">
        <v>0</v>
      </c>
      <c r="CN374" s="844">
        <v>0</v>
      </c>
      <c r="CO374" s="844">
        <v>0</v>
      </c>
      <c r="CP374" s="844">
        <v>0</v>
      </c>
      <c r="CQ374" s="844">
        <v>0</v>
      </c>
      <c r="CR374" s="844">
        <v>0</v>
      </c>
      <c r="CS374" s="844">
        <v>0</v>
      </c>
      <c r="CT374" s="844">
        <v>0</v>
      </c>
      <c r="CU374" s="844">
        <v>0</v>
      </c>
      <c r="CV374" s="844">
        <v>0</v>
      </c>
      <c r="CW374" s="844">
        <v>0</v>
      </c>
      <c r="CX374" s="844">
        <v>0</v>
      </c>
      <c r="CY374" s="844">
        <v>0</v>
      </c>
      <c r="CZ374" s="844">
        <v>0</v>
      </c>
      <c r="DA374" s="844">
        <v>0</v>
      </c>
      <c r="DB374" s="844">
        <v>0</v>
      </c>
      <c r="DC374" s="844">
        <v>0</v>
      </c>
      <c r="DD374" s="844">
        <v>0</v>
      </c>
      <c r="DE374" s="844">
        <v>0</v>
      </c>
      <c r="DF374" s="844">
        <v>0</v>
      </c>
      <c r="DG374" s="844">
        <v>0</v>
      </c>
      <c r="DH374" s="844">
        <v>0</v>
      </c>
      <c r="DI374" s="844">
        <v>0</v>
      </c>
      <c r="DJ374" s="844">
        <v>0</v>
      </c>
      <c r="DK374" s="844">
        <v>0</v>
      </c>
      <c r="DL374" s="844">
        <v>0</v>
      </c>
      <c r="DM374" s="844">
        <v>0</v>
      </c>
      <c r="DN374" s="844">
        <v>0</v>
      </c>
      <c r="DO374" s="844">
        <v>0</v>
      </c>
      <c r="DP374" s="844">
        <v>0</v>
      </c>
      <c r="DQ374" s="844">
        <v>0</v>
      </c>
      <c r="DR374" s="844">
        <v>0</v>
      </c>
      <c r="DS374" s="844">
        <v>0</v>
      </c>
      <c r="DT374" s="844">
        <v>0</v>
      </c>
      <c r="DU374" s="844">
        <v>0</v>
      </c>
      <c r="DV374" s="844">
        <v>0</v>
      </c>
      <c r="DW374" s="844">
        <v>0</v>
      </c>
      <c r="DY374" s="846" t="s">
        <v>1060</v>
      </c>
      <c r="DZ374" s="846" t="s">
        <v>1382</v>
      </c>
      <c r="EA374" s="846" t="s">
        <v>96</v>
      </c>
      <c r="EB374" s="847">
        <v>59</v>
      </c>
      <c r="EC374" s="780" t="str">
        <f t="shared" si="13"/>
        <v>IWT060159</v>
      </c>
      <c r="ED374" s="847">
        <v>0</v>
      </c>
      <c r="EE374" s="847">
        <v>2991</v>
      </c>
      <c r="EF374" s="847">
        <v>8248</v>
      </c>
      <c r="EG374" s="847">
        <v>13608</v>
      </c>
      <c r="EH374" s="847">
        <v>19072</v>
      </c>
      <c r="EI374" s="847">
        <v>24644</v>
      </c>
      <c r="EJ374" s="847">
        <v>30327</v>
      </c>
      <c r="EK374" s="847">
        <v>30904</v>
      </c>
      <c r="EL374" s="847">
        <v>31500</v>
      </c>
      <c r="EM374" s="847">
        <v>32118</v>
      </c>
      <c r="EN374" s="847">
        <v>32760</v>
      </c>
      <c r="EO374" s="847">
        <v>33416</v>
      </c>
      <c r="EP374" s="847">
        <v>34084</v>
      </c>
      <c r="EQ374" s="847">
        <v>34766</v>
      </c>
      <c r="ER374" s="847">
        <v>35461</v>
      </c>
      <c r="ES374" s="847">
        <v>36170</v>
      </c>
      <c r="ET374" s="847">
        <v>36893</v>
      </c>
      <c r="EU374" s="847">
        <v>37631</v>
      </c>
      <c r="EV374" s="847">
        <v>38384</v>
      </c>
      <c r="EW374" s="847">
        <v>39151</v>
      </c>
      <c r="EX374" s="847">
        <v>39934</v>
      </c>
      <c r="EY374" s="847">
        <v>40733</v>
      </c>
      <c r="EZ374" s="847">
        <v>41547</v>
      </c>
      <c r="FA374" s="847">
        <v>42378</v>
      </c>
      <c r="FB374" s="847">
        <v>43225</v>
      </c>
      <c r="FC374" s="847">
        <v>44090</v>
      </c>
      <c r="FD374" s="847">
        <v>44971</v>
      </c>
      <c r="FE374" s="847">
        <v>45871</v>
      </c>
      <c r="FF374" s="847">
        <v>46788</v>
      </c>
      <c r="FG374" s="847">
        <v>47723</v>
      </c>
      <c r="FH374" s="847">
        <v>48677</v>
      </c>
      <c r="FI374" s="847">
        <v>49651</v>
      </c>
      <c r="FJ374" s="847">
        <v>50643</v>
      </c>
      <c r="FK374" s="847">
        <v>51656</v>
      </c>
      <c r="FL374" s="847">
        <v>52688</v>
      </c>
      <c r="FM374" s="847">
        <v>53742</v>
      </c>
      <c r="FN374" s="847">
        <v>54816</v>
      </c>
      <c r="FO374" s="847">
        <v>55911</v>
      </c>
      <c r="FP374" s="847">
        <v>57029</v>
      </c>
      <c r="FQ374" s="847">
        <v>58169</v>
      </c>
      <c r="FR374" s="847">
        <v>59331</v>
      </c>
      <c r="FS374" s="847">
        <v>60517</v>
      </c>
      <c r="FT374" s="847">
        <v>61726</v>
      </c>
      <c r="FU374" s="847">
        <v>62959</v>
      </c>
      <c r="FV374" s="847">
        <v>64216</v>
      </c>
      <c r="FW374" s="847">
        <v>65499</v>
      </c>
      <c r="FX374" s="847">
        <v>66807</v>
      </c>
      <c r="FY374" s="847">
        <v>68141</v>
      </c>
      <c r="FZ374" s="847">
        <v>69501</v>
      </c>
      <c r="GA374" s="847">
        <v>70879</v>
      </c>
      <c r="GB374" s="847">
        <v>72265</v>
      </c>
      <c r="GC374" s="847">
        <v>73667</v>
      </c>
      <c r="GD374" s="847">
        <v>74400</v>
      </c>
      <c r="GE374" s="847">
        <v>0</v>
      </c>
      <c r="GF374" s="847">
        <v>0</v>
      </c>
      <c r="GG374" s="847">
        <v>0</v>
      </c>
      <c r="GH374" s="847">
        <v>0</v>
      </c>
      <c r="GI374" s="847">
        <v>0</v>
      </c>
      <c r="GJ374" s="847">
        <v>0</v>
      </c>
      <c r="GK374" s="847">
        <v>0</v>
      </c>
      <c r="GL374" s="847">
        <v>0</v>
      </c>
      <c r="GM374" s="847">
        <v>0</v>
      </c>
      <c r="GN374" s="847">
        <v>0</v>
      </c>
      <c r="GO374" s="847">
        <v>0</v>
      </c>
      <c r="GP374" s="847">
        <v>0</v>
      </c>
      <c r="GQ374" s="847">
        <v>0</v>
      </c>
      <c r="GR374" s="847">
        <v>0</v>
      </c>
      <c r="GS374" s="847">
        <v>0</v>
      </c>
      <c r="GT374" s="847">
        <v>0</v>
      </c>
      <c r="GU374" s="847">
        <v>0</v>
      </c>
      <c r="GV374" s="847">
        <v>0</v>
      </c>
      <c r="GW374" s="847">
        <v>0</v>
      </c>
      <c r="GX374" s="847">
        <v>0</v>
      </c>
      <c r="GY374" s="847">
        <v>0</v>
      </c>
      <c r="GZ374" s="847">
        <v>0</v>
      </c>
      <c r="HA374" s="847">
        <v>0</v>
      </c>
      <c r="HB374" s="847">
        <v>0</v>
      </c>
      <c r="HC374" s="847">
        <v>0</v>
      </c>
      <c r="HD374" s="847">
        <v>0</v>
      </c>
      <c r="HE374" s="847">
        <v>0</v>
      </c>
      <c r="HF374" s="847">
        <v>0</v>
      </c>
      <c r="HG374" s="847">
        <v>0</v>
      </c>
      <c r="HH374" s="847">
        <v>0</v>
      </c>
      <c r="HI374" s="847">
        <v>0</v>
      </c>
      <c r="HJ374" s="847">
        <v>0</v>
      </c>
      <c r="HK374" s="847">
        <v>0</v>
      </c>
      <c r="HL374" s="847">
        <v>0</v>
      </c>
      <c r="HM374" s="847">
        <v>0</v>
      </c>
      <c r="HN374" s="847">
        <v>0</v>
      </c>
      <c r="HO374" s="847">
        <v>0</v>
      </c>
      <c r="HP374" s="847">
        <v>0</v>
      </c>
      <c r="HQ374" s="847">
        <v>0</v>
      </c>
      <c r="HR374" s="847">
        <v>0</v>
      </c>
      <c r="HS374" s="847">
        <v>0</v>
      </c>
      <c r="HT374" s="847">
        <v>0</v>
      </c>
      <c r="HU374" s="847">
        <v>0</v>
      </c>
      <c r="HV374" s="847">
        <v>0</v>
      </c>
      <c r="HW374" s="847">
        <v>0</v>
      </c>
      <c r="HX374" s="847">
        <v>0</v>
      </c>
      <c r="HY374" s="847">
        <v>0</v>
      </c>
      <c r="HZ374" s="847">
        <v>0</v>
      </c>
      <c r="IA374" s="847">
        <v>0</v>
      </c>
      <c r="IB374" s="847">
        <v>0</v>
      </c>
      <c r="IC374" s="847">
        <v>0</v>
      </c>
      <c r="ID374" s="847">
        <v>0</v>
      </c>
      <c r="IE374" s="847">
        <v>0</v>
      </c>
      <c r="IF374" s="847">
        <v>0</v>
      </c>
      <c r="IG374" s="847">
        <v>0</v>
      </c>
      <c r="IH374" s="847">
        <v>0</v>
      </c>
      <c r="II374" s="847">
        <v>0</v>
      </c>
      <c r="IJ374" s="847">
        <v>0</v>
      </c>
      <c r="IK374" s="847">
        <v>0</v>
      </c>
    </row>
    <row r="375" spans="12:245" hidden="1">
      <c r="L375" s="843" t="s">
        <v>1060</v>
      </c>
      <c r="M375" s="843" t="s">
        <v>1382</v>
      </c>
      <c r="N375" s="843" t="s">
        <v>96</v>
      </c>
      <c r="O375" s="844">
        <v>60</v>
      </c>
      <c r="P375" s="780" t="str">
        <f t="shared" si="12"/>
        <v>IWT060160</v>
      </c>
      <c r="Q375" s="844">
        <v>2232</v>
      </c>
      <c r="R375" s="844">
        <v>6591</v>
      </c>
      <c r="S375" s="844">
        <v>11563</v>
      </c>
      <c r="T375" s="844">
        <v>17165</v>
      </c>
      <c r="U375" s="844">
        <v>23417</v>
      </c>
      <c r="V375" s="844">
        <v>30034</v>
      </c>
      <c r="W375" s="844">
        <v>30910</v>
      </c>
      <c r="X375" s="844">
        <v>31504</v>
      </c>
      <c r="Y375" s="844">
        <v>32121</v>
      </c>
      <c r="Z375" s="844">
        <v>32763</v>
      </c>
      <c r="AA375" s="844">
        <v>33418</v>
      </c>
      <c r="AB375" s="844">
        <v>34086</v>
      </c>
      <c r="AC375" s="844">
        <v>34768</v>
      </c>
      <c r="AD375" s="844">
        <v>35463</v>
      </c>
      <c r="AE375" s="844">
        <v>36173</v>
      </c>
      <c r="AF375" s="844">
        <v>36896</v>
      </c>
      <c r="AG375" s="844">
        <v>37634</v>
      </c>
      <c r="AH375" s="844">
        <v>38386</v>
      </c>
      <c r="AI375" s="844">
        <v>39154</v>
      </c>
      <c r="AJ375" s="844">
        <v>39937</v>
      </c>
      <c r="AK375" s="844">
        <v>40736</v>
      </c>
      <c r="AL375" s="844">
        <v>41550</v>
      </c>
      <c r="AM375" s="844">
        <v>42381</v>
      </c>
      <c r="AN375" s="844">
        <v>43229</v>
      </c>
      <c r="AO375" s="844">
        <v>44093</v>
      </c>
      <c r="AP375" s="844">
        <v>44975</v>
      </c>
      <c r="AQ375" s="844">
        <v>45874</v>
      </c>
      <c r="AR375" s="844">
        <v>46791</v>
      </c>
      <c r="AS375" s="844">
        <v>47727</v>
      </c>
      <c r="AT375" s="844">
        <v>48681</v>
      </c>
      <c r="AU375" s="844">
        <v>49654</v>
      </c>
      <c r="AV375" s="844">
        <v>50647</v>
      </c>
      <c r="AW375" s="844">
        <v>51659</v>
      </c>
      <c r="AX375" s="844">
        <v>52692</v>
      </c>
      <c r="AY375" s="844">
        <v>53745</v>
      </c>
      <c r="AZ375" s="844">
        <v>54819</v>
      </c>
      <c r="BA375" s="844">
        <v>55915</v>
      </c>
      <c r="BB375" s="844">
        <v>57032</v>
      </c>
      <c r="BC375" s="844">
        <v>58172</v>
      </c>
      <c r="BD375" s="844">
        <v>59334</v>
      </c>
      <c r="BE375" s="844">
        <v>60520</v>
      </c>
      <c r="BF375" s="844">
        <v>61729</v>
      </c>
      <c r="BG375" s="844">
        <v>62962</v>
      </c>
      <c r="BH375" s="844">
        <v>64220</v>
      </c>
      <c r="BI375" s="844">
        <v>65502</v>
      </c>
      <c r="BJ375" s="844">
        <v>66810</v>
      </c>
      <c r="BK375" s="844">
        <v>68144</v>
      </c>
      <c r="BL375" s="844">
        <v>69504</v>
      </c>
      <c r="BM375" s="844">
        <v>70886</v>
      </c>
      <c r="BN375" s="844">
        <v>72281</v>
      </c>
      <c r="BO375" s="844">
        <v>73000</v>
      </c>
      <c r="BP375" s="844">
        <v>0</v>
      </c>
      <c r="BQ375" s="844">
        <v>0</v>
      </c>
      <c r="BR375" s="844">
        <v>0</v>
      </c>
      <c r="BS375" s="844">
        <v>0</v>
      </c>
      <c r="BT375" s="844">
        <v>0</v>
      </c>
      <c r="BU375" s="844">
        <v>0</v>
      </c>
      <c r="BV375" s="844">
        <v>0</v>
      </c>
      <c r="BW375" s="844">
        <v>0</v>
      </c>
      <c r="BX375" s="844">
        <v>0</v>
      </c>
      <c r="BY375" s="844">
        <v>0</v>
      </c>
      <c r="BZ375" s="844">
        <v>0</v>
      </c>
      <c r="CA375" s="844">
        <v>0</v>
      </c>
      <c r="CB375" s="844">
        <v>0</v>
      </c>
      <c r="CC375" s="844">
        <v>0</v>
      </c>
      <c r="CD375" s="844">
        <v>0</v>
      </c>
      <c r="CE375" s="844">
        <v>0</v>
      </c>
      <c r="CF375" s="844">
        <v>0</v>
      </c>
      <c r="CG375" s="844">
        <v>0</v>
      </c>
      <c r="CH375" s="844">
        <v>0</v>
      </c>
      <c r="CI375" s="844">
        <v>0</v>
      </c>
      <c r="CJ375" s="844">
        <v>0</v>
      </c>
      <c r="CK375" s="844">
        <v>0</v>
      </c>
      <c r="CL375" s="844">
        <v>0</v>
      </c>
      <c r="CM375" s="844">
        <v>0</v>
      </c>
      <c r="CN375" s="844">
        <v>0</v>
      </c>
      <c r="CO375" s="844">
        <v>0</v>
      </c>
      <c r="CP375" s="844">
        <v>0</v>
      </c>
      <c r="CQ375" s="844">
        <v>0</v>
      </c>
      <c r="CR375" s="844">
        <v>0</v>
      </c>
      <c r="CS375" s="844">
        <v>0</v>
      </c>
      <c r="CT375" s="844">
        <v>0</v>
      </c>
      <c r="CU375" s="844">
        <v>0</v>
      </c>
      <c r="CV375" s="844">
        <v>0</v>
      </c>
      <c r="CW375" s="844">
        <v>0</v>
      </c>
      <c r="CX375" s="844">
        <v>0</v>
      </c>
      <c r="CY375" s="844">
        <v>0</v>
      </c>
      <c r="CZ375" s="844">
        <v>0</v>
      </c>
      <c r="DA375" s="844">
        <v>0</v>
      </c>
      <c r="DB375" s="844">
        <v>0</v>
      </c>
      <c r="DC375" s="844">
        <v>0</v>
      </c>
      <c r="DD375" s="844">
        <v>0</v>
      </c>
      <c r="DE375" s="844">
        <v>0</v>
      </c>
      <c r="DF375" s="844">
        <v>0</v>
      </c>
      <c r="DG375" s="844">
        <v>0</v>
      </c>
      <c r="DH375" s="844">
        <v>0</v>
      </c>
      <c r="DI375" s="844">
        <v>0</v>
      </c>
      <c r="DJ375" s="844">
        <v>0</v>
      </c>
      <c r="DK375" s="844">
        <v>0</v>
      </c>
      <c r="DL375" s="844">
        <v>0</v>
      </c>
      <c r="DM375" s="844">
        <v>0</v>
      </c>
      <c r="DN375" s="844">
        <v>0</v>
      </c>
      <c r="DO375" s="844">
        <v>0</v>
      </c>
      <c r="DP375" s="844">
        <v>0</v>
      </c>
      <c r="DQ375" s="844">
        <v>0</v>
      </c>
      <c r="DR375" s="844">
        <v>0</v>
      </c>
      <c r="DS375" s="844">
        <v>0</v>
      </c>
      <c r="DT375" s="844">
        <v>0</v>
      </c>
      <c r="DU375" s="844">
        <v>0</v>
      </c>
      <c r="DV375" s="844">
        <v>0</v>
      </c>
      <c r="DW375" s="844">
        <v>0</v>
      </c>
      <c r="DY375" s="846" t="s">
        <v>1060</v>
      </c>
      <c r="DZ375" s="846" t="s">
        <v>1382</v>
      </c>
      <c r="EA375" s="846" t="s">
        <v>96</v>
      </c>
      <c r="EB375" s="847">
        <v>60</v>
      </c>
      <c r="EC375" s="780" t="str">
        <f t="shared" si="13"/>
        <v>IWT060160</v>
      </c>
      <c r="ED375" s="847">
        <v>0</v>
      </c>
      <c r="EE375" s="847">
        <v>2976</v>
      </c>
      <c r="EF375" s="847">
        <v>8239</v>
      </c>
      <c r="EG375" s="847">
        <v>13604</v>
      </c>
      <c r="EH375" s="847">
        <v>19072</v>
      </c>
      <c r="EI375" s="847">
        <v>24649</v>
      </c>
      <c r="EJ375" s="847">
        <v>30337</v>
      </c>
      <c r="EK375" s="847">
        <v>30910</v>
      </c>
      <c r="EL375" s="847">
        <v>31504</v>
      </c>
      <c r="EM375" s="847">
        <v>32121</v>
      </c>
      <c r="EN375" s="847">
        <v>32763</v>
      </c>
      <c r="EO375" s="847">
        <v>33418</v>
      </c>
      <c r="EP375" s="847">
        <v>34086</v>
      </c>
      <c r="EQ375" s="847">
        <v>34768</v>
      </c>
      <c r="ER375" s="847">
        <v>35463</v>
      </c>
      <c r="ES375" s="847">
        <v>36173</v>
      </c>
      <c r="ET375" s="847">
        <v>36896</v>
      </c>
      <c r="EU375" s="847">
        <v>37634</v>
      </c>
      <c r="EV375" s="847">
        <v>38386</v>
      </c>
      <c r="EW375" s="847">
        <v>39154</v>
      </c>
      <c r="EX375" s="847">
        <v>39937</v>
      </c>
      <c r="EY375" s="847">
        <v>40736</v>
      </c>
      <c r="EZ375" s="847">
        <v>41550</v>
      </c>
      <c r="FA375" s="847">
        <v>42381</v>
      </c>
      <c r="FB375" s="847">
        <v>43229</v>
      </c>
      <c r="FC375" s="847">
        <v>44093</v>
      </c>
      <c r="FD375" s="847">
        <v>44975</v>
      </c>
      <c r="FE375" s="847">
        <v>45874</v>
      </c>
      <c r="FF375" s="847">
        <v>46791</v>
      </c>
      <c r="FG375" s="847">
        <v>47727</v>
      </c>
      <c r="FH375" s="847">
        <v>48681</v>
      </c>
      <c r="FI375" s="847">
        <v>49654</v>
      </c>
      <c r="FJ375" s="847">
        <v>50647</v>
      </c>
      <c r="FK375" s="847">
        <v>51659</v>
      </c>
      <c r="FL375" s="847">
        <v>52692</v>
      </c>
      <c r="FM375" s="847">
        <v>53745</v>
      </c>
      <c r="FN375" s="847">
        <v>54819</v>
      </c>
      <c r="FO375" s="847">
        <v>55915</v>
      </c>
      <c r="FP375" s="847">
        <v>57032</v>
      </c>
      <c r="FQ375" s="847">
        <v>58172</v>
      </c>
      <c r="FR375" s="847">
        <v>59334</v>
      </c>
      <c r="FS375" s="847">
        <v>60520</v>
      </c>
      <c r="FT375" s="847">
        <v>61729</v>
      </c>
      <c r="FU375" s="847">
        <v>62962</v>
      </c>
      <c r="FV375" s="847">
        <v>64220</v>
      </c>
      <c r="FW375" s="847">
        <v>65502</v>
      </c>
      <c r="FX375" s="847">
        <v>66810</v>
      </c>
      <c r="FY375" s="847">
        <v>68144</v>
      </c>
      <c r="FZ375" s="847">
        <v>69504</v>
      </c>
      <c r="GA375" s="847">
        <v>70886</v>
      </c>
      <c r="GB375" s="847">
        <v>72281</v>
      </c>
      <c r="GC375" s="847">
        <v>73000</v>
      </c>
      <c r="GD375" s="847">
        <v>0</v>
      </c>
      <c r="GE375" s="847">
        <v>0</v>
      </c>
      <c r="GF375" s="847">
        <v>0</v>
      </c>
      <c r="GG375" s="847">
        <v>0</v>
      </c>
      <c r="GH375" s="847">
        <v>0</v>
      </c>
      <c r="GI375" s="847">
        <v>0</v>
      </c>
      <c r="GJ375" s="847">
        <v>0</v>
      </c>
      <c r="GK375" s="847">
        <v>0</v>
      </c>
      <c r="GL375" s="847">
        <v>0</v>
      </c>
      <c r="GM375" s="847">
        <v>0</v>
      </c>
      <c r="GN375" s="847">
        <v>0</v>
      </c>
      <c r="GO375" s="847">
        <v>0</v>
      </c>
      <c r="GP375" s="847">
        <v>0</v>
      </c>
      <c r="GQ375" s="847">
        <v>0</v>
      </c>
      <c r="GR375" s="847">
        <v>0</v>
      </c>
      <c r="GS375" s="847">
        <v>0</v>
      </c>
      <c r="GT375" s="847">
        <v>0</v>
      </c>
      <c r="GU375" s="847">
        <v>0</v>
      </c>
      <c r="GV375" s="847">
        <v>0</v>
      </c>
      <c r="GW375" s="847">
        <v>0</v>
      </c>
      <c r="GX375" s="847">
        <v>0</v>
      </c>
      <c r="GY375" s="847">
        <v>0</v>
      </c>
      <c r="GZ375" s="847">
        <v>0</v>
      </c>
      <c r="HA375" s="847">
        <v>0</v>
      </c>
      <c r="HB375" s="847">
        <v>0</v>
      </c>
      <c r="HC375" s="847">
        <v>0</v>
      </c>
      <c r="HD375" s="847">
        <v>0</v>
      </c>
      <c r="HE375" s="847">
        <v>0</v>
      </c>
      <c r="HF375" s="847">
        <v>0</v>
      </c>
      <c r="HG375" s="847">
        <v>0</v>
      </c>
      <c r="HH375" s="847">
        <v>0</v>
      </c>
      <c r="HI375" s="847">
        <v>0</v>
      </c>
      <c r="HJ375" s="847">
        <v>0</v>
      </c>
      <c r="HK375" s="847">
        <v>0</v>
      </c>
      <c r="HL375" s="847">
        <v>0</v>
      </c>
      <c r="HM375" s="847">
        <v>0</v>
      </c>
      <c r="HN375" s="847">
        <v>0</v>
      </c>
      <c r="HO375" s="847">
        <v>0</v>
      </c>
      <c r="HP375" s="847">
        <v>0</v>
      </c>
      <c r="HQ375" s="847">
        <v>0</v>
      </c>
      <c r="HR375" s="847">
        <v>0</v>
      </c>
      <c r="HS375" s="847">
        <v>0</v>
      </c>
      <c r="HT375" s="847">
        <v>0</v>
      </c>
      <c r="HU375" s="847">
        <v>0</v>
      </c>
      <c r="HV375" s="847">
        <v>0</v>
      </c>
      <c r="HW375" s="847">
        <v>0</v>
      </c>
      <c r="HX375" s="847">
        <v>0</v>
      </c>
      <c r="HY375" s="847">
        <v>0</v>
      </c>
      <c r="HZ375" s="847">
        <v>0</v>
      </c>
      <c r="IA375" s="847">
        <v>0</v>
      </c>
      <c r="IB375" s="847">
        <v>0</v>
      </c>
      <c r="IC375" s="847">
        <v>0</v>
      </c>
      <c r="ID375" s="847">
        <v>0</v>
      </c>
      <c r="IE375" s="847">
        <v>0</v>
      </c>
      <c r="IF375" s="847">
        <v>0</v>
      </c>
      <c r="IG375" s="847">
        <v>0</v>
      </c>
      <c r="IH375" s="847">
        <v>0</v>
      </c>
      <c r="II375" s="847">
        <v>0</v>
      </c>
      <c r="IJ375" s="847">
        <v>0</v>
      </c>
      <c r="IK375" s="847">
        <v>0</v>
      </c>
    </row>
    <row r="376" spans="12:245" hidden="1">
      <c r="L376" s="843" t="s">
        <v>1060</v>
      </c>
      <c r="M376" s="843" t="s">
        <v>1382</v>
      </c>
      <c r="N376" s="843" t="s">
        <v>96</v>
      </c>
      <c r="O376" s="844">
        <v>61</v>
      </c>
      <c r="P376" s="780" t="str">
        <f t="shared" si="12"/>
        <v>IWT060161</v>
      </c>
      <c r="Q376" s="844">
        <v>2220</v>
      </c>
      <c r="R376" s="844">
        <v>6583</v>
      </c>
      <c r="S376" s="844">
        <v>11559</v>
      </c>
      <c r="T376" s="844">
        <v>17166</v>
      </c>
      <c r="U376" s="844">
        <v>23422</v>
      </c>
      <c r="V376" s="844">
        <v>30045</v>
      </c>
      <c r="W376" s="844">
        <v>30919</v>
      </c>
      <c r="X376" s="844">
        <v>31510</v>
      </c>
      <c r="Y376" s="844">
        <v>32124</v>
      </c>
      <c r="Z376" s="844">
        <v>32766</v>
      </c>
      <c r="AA376" s="844">
        <v>33421</v>
      </c>
      <c r="AB376" s="844">
        <v>34090</v>
      </c>
      <c r="AC376" s="844">
        <v>34772</v>
      </c>
      <c r="AD376" s="844">
        <v>35467</v>
      </c>
      <c r="AE376" s="844">
        <v>36176</v>
      </c>
      <c r="AF376" s="844">
        <v>36900</v>
      </c>
      <c r="AG376" s="844">
        <v>37638</v>
      </c>
      <c r="AH376" s="844">
        <v>38390</v>
      </c>
      <c r="AI376" s="844">
        <v>39158</v>
      </c>
      <c r="AJ376" s="844">
        <v>39941</v>
      </c>
      <c r="AK376" s="844">
        <v>40740</v>
      </c>
      <c r="AL376" s="844">
        <v>41554</v>
      </c>
      <c r="AM376" s="844">
        <v>42385</v>
      </c>
      <c r="AN376" s="844">
        <v>43233</v>
      </c>
      <c r="AO376" s="844">
        <v>44097</v>
      </c>
      <c r="AP376" s="844">
        <v>44979</v>
      </c>
      <c r="AQ376" s="844">
        <v>45878</v>
      </c>
      <c r="AR376" s="844">
        <v>46795</v>
      </c>
      <c r="AS376" s="844">
        <v>47731</v>
      </c>
      <c r="AT376" s="844">
        <v>48685</v>
      </c>
      <c r="AU376" s="844">
        <v>49659</v>
      </c>
      <c r="AV376" s="844">
        <v>50651</v>
      </c>
      <c r="AW376" s="844">
        <v>51664</v>
      </c>
      <c r="AX376" s="844">
        <v>52697</v>
      </c>
      <c r="AY376" s="844">
        <v>53750</v>
      </c>
      <c r="AZ376" s="844">
        <v>54824</v>
      </c>
      <c r="BA376" s="844">
        <v>55920</v>
      </c>
      <c r="BB376" s="844">
        <v>57037</v>
      </c>
      <c r="BC376" s="844">
        <v>58177</v>
      </c>
      <c r="BD376" s="844">
        <v>59340</v>
      </c>
      <c r="BE376" s="844">
        <v>60525</v>
      </c>
      <c r="BF376" s="844">
        <v>61734</v>
      </c>
      <c r="BG376" s="844">
        <v>62967</v>
      </c>
      <c r="BH376" s="844">
        <v>64225</v>
      </c>
      <c r="BI376" s="844">
        <v>65507</v>
      </c>
      <c r="BJ376" s="844">
        <v>66815</v>
      </c>
      <c r="BK376" s="844">
        <v>68148</v>
      </c>
      <c r="BL376" s="844">
        <v>69508</v>
      </c>
      <c r="BM376" s="844">
        <v>70895</v>
      </c>
      <c r="BN376" s="844">
        <v>71600</v>
      </c>
      <c r="BO376" s="844">
        <v>0</v>
      </c>
      <c r="BP376" s="844">
        <v>0</v>
      </c>
      <c r="BQ376" s="844">
        <v>0</v>
      </c>
      <c r="BR376" s="844">
        <v>0</v>
      </c>
      <c r="BS376" s="844">
        <v>0</v>
      </c>
      <c r="BT376" s="844">
        <v>0</v>
      </c>
      <c r="BU376" s="844">
        <v>0</v>
      </c>
      <c r="BV376" s="844">
        <v>0</v>
      </c>
      <c r="BW376" s="844">
        <v>0</v>
      </c>
      <c r="BX376" s="844">
        <v>0</v>
      </c>
      <c r="BY376" s="844">
        <v>0</v>
      </c>
      <c r="BZ376" s="844">
        <v>0</v>
      </c>
      <c r="CA376" s="844">
        <v>0</v>
      </c>
      <c r="CB376" s="844">
        <v>0</v>
      </c>
      <c r="CC376" s="844">
        <v>0</v>
      </c>
      <c r="CD376" s="844">
        <v>0</v>
      </c>
      <c r="CE376" s="844">
        <v>0</v>
      </c>
      <c r="CF376" s="844">
        <v>0</v>
      </c>
      <c r="CG376" s="844">
        <v>0</v>
      </c>
      <c r="CH376" s="844">
        <v>0</v>
      </c>
      <c r="CI376" s="844">
        <v>0</v>
      </c>
      <c r="CJ376" s="844">
        <v>0</v>
      </c>
      <c r="CK376" s="844">
        <v>0</v>
      </c>
      <c r="CL376" s="844">
        <v>0</v>
      </c>
      <c r="CM376" s="844">
        <v>0</v>
      </c>
      <c r="CN376" s="844">
        <v>0</v>
      </c>
      <c r="CO376" s="844">
        <v>0</v>
      </c>
      <c r="CP376" s="844">
        <v>0</v>
      </c>
      <c r="CQ376" s="844">
        <v>0</v>
      </c>
      <c r="CR376" s="844">
        <v>0</v>
      </c>
      <c r="CS376" s="844">
        <v>0</v>
      </c>
      <c r="CT376" s="844">
        <v>0</v>
      </c>
      <c r="CU376" s="844">
        <v>0</v>
      </c>
      <c r="CV376" s="844">
        <v>0</v>
      </c>
      <c r="CW376" s="844">
        <v>0</v>
      </c>
      <c r="CX376" s="844">
        <v>0</v>
      </c>
      <c r="CY376" s="844">
        <v>0</v>
      </c>
      <c r="CZ376" s="844">
        <v>0</v>
      </c>
      <c r="DA376" s="844">
        <v>0</v>
      </c>
      <c r="DB376" s="844">
        <v>0</v>
      </c>
      <c r="DC376" s="844">
        <v>0</v>
      </c>
      <c r="DD376" s="844">
        <v>0</v>
      </c>
      <c r="DE376" s="844">
        <v>0</v>
      </c>
      <c r="DF376" s="844">
        <v>0</v>
      </c>
      <c r="DG376" s="844">
        <v>0</v>
      </c>
      <c r="DH376" s="844">
        <v>0</v>
      </c>
      <c r="DI376" s="844">
        <v>0</v>
      </c>
      <c r="DJ376" s="844">
        <v>0</v>
      </c>
      <c r="DK376" s="844">
        <v>0</v>
      </c>
      <c r="DL376" s="844">
        <v>0</v>
      </c>
      <c r="DM376" s="844">
        <v>0</v>
      </c>
      <c r="DN376" s="844">
        <v>0</v>
      </c>
      <c r="DO376" s="844">
        <v>0</v>
      </c>
      <c r="DP376" s="844">
        <v>0</v>
      </c>
      <c r="DQ376" s="844">
        <v>0</v>
      </c>
      <c r="DR376" s="844">
        <v>0</v>
      </c>
      <c r="DS376" s="844">
        <v>0</v>
      </c>
      <c r="DT376" s="844">
        <v>0</v>
      </c>
      <c r="DU376" s="844">
        <v>0</v>
      </c>
      <c r="DV376" s="844">
        <v>0</v>
      </c>
      <c r="DW376" s="844">
        <v>0</v>
      </c>
      <c r="DY376" s="846" t="s">
        <v>1060</v>
      </c>
      <c r="DZ376" s="846" t="s">
        <v>1382</v>
      </c>
      <c r="EA376" s="846" t="s">
        <v>96</v>
      </c>
      <c r="EB376" s="847">
        <v>61</v>
      </c>
      <c r="EC376" s="780" t="str">
        <f t="shared" si="13"/>
        <v>IWT060161</v>
      </c>
      <c r="ED376" s="847">
        <v>0</v>
      </c>
      <c r="EE376" s="847">
        <v>2960</v>
      </c>
      <c r="EF376" s="847">
        <v>8229</v>
      </c>
      <c r="EG376" s="847">
        <v>13599</v>
      </c>
      <c r="EH376" s="847">
        <v>19073</v>
      </c>
      <c r="EI376" s="847">
        <v>24655</v>
      </c>
      <c r="EJ376" s="847">
        <v>30348</v>
      </c>
      <c r="EK376" s="847">
        <v>30919</v>
      </c>
      <c r="EL376" s="847">
        <v>31510</v>
      </c>
      <c r="EM376" s="847">
        <v>32124</v>
      </c>
      <c r="EN376" s="847">
        <v>32766</v>
      </c>
      <c r="EO376" s="847">
        <v>33421</v>
      </c>
      <c r="EP376" s="847">
        <v>34090</v>
      </c>
      <c r="EQ376" s="847">
        <v>34772</v>
      </c>
      <c r="ER376" s="847">
        <v>35467</v>
      </c>
      <c r="ES376" s="847">
        <v>36176</v>
      </c>
      <c r="ET376" s="847">
        <v>36900</v>
      </c>
      <c r="EU376" s="847">
        <v>37638</v>
      </c>
      <c r="EV376" s="847">
        <v>38390</v>
      </c>
      <c r="EW376" s="847">
        <v>39158</v>
      </c>
      <c r="EX376" s="847">
        <v>39941</v>
      </c>
      <c r="EY376" s="847">
        <v>40740</v>
      </c>
      <c r="EZ376" s="847">
        <v>41554</v>
      </c>
      <c r="FA376" s="847">
        <v>42385</v>
      </c>
      <c r="FB376" s="847">
        <v>43233</v>
      </c>
      <c r="FC376" s="847">
        <v>44097</v>
      </c>
      <c r="FD376" s="847">
        <v>44979</v>
      </c>
      <c r="FE376" s="847">
        <v>45878</v>
      </c>
      <c r="FF376" s="847">
        <v>46795</v>
      </c>
      <c r="FG376" s="847">
        <v>47731</v>
      </c>
      <c r="FH376" s="847">
        <v>48685</v>
      </c>
      <c r="FI376" s="847">
        <v>49659</v>
      </c>
      <c r="FJ376" s="847">
        <v>50651</v>
      </c>
      <c r="FK376" s="847">
        <v>51664</v>
      </c>
      <c r="FL376" s="847">
        <v>52697</v>
      </c>
      <c r="FM376" s="847">
        <v>53750</v>
      </c>
      <c r="FN376" s="847">
        <v>54824</v>
      </c>
      <c r="FO376" s="847">
        <v>55920</v>
      </c>
      <c r="FP376" s="847">
        <v>57037</v>
      </c>
      <c r="FQ376" s="847">
        <v>58177</v>
      </c>
      <c r="FR376" s="847">
        <v>59340</v>
      </c>
      <c r="FS376" s="847">
        <v>60525</v>
      </c>
      <c r="FT376" s="847">
        <v>61734</v>
      </c>
      <c r="FU376" s="847">
        <v>62967</v>
      </c>
      <c r="FV376" s="847">
        <v>64225</v>
      </c>
      <c r="FW376" s="847">
        <v>65507</v>
      </c>
      <c r="FX376" s="847">
        <v>66815</v>
      </c>
      <c r="FY376" s="847">
        <v>68148</v>
      </c>
      <c r="FZ376" s="847">
        <v>69508</v>
      </c>
      <c r="GA376" s="847">
        <v>70895</v>
      </c>
      <c r="GB376" s="847">
        <v>71600</v>
      </c>
      <c r="GC376" s="847">
        <v>0</v>
      </c>
      <c r="GD376" s="847">
        <v>0</v>
      </c>
      <c r="GE376" s="847">
        <v>0</v>
      </c>
      <c r="GF376" s="847">
        <v>0</v>
      </c>
      <c r="GG376" s="847">
        <v>0</v>
      </c>
      <c r="GH376" s="847">
        <v>0</v>
      </c>
      <c r="GI376" s="847">
        <v>0</v>
      </c>
      <c r="GJ376" s="847">
        <v>0</v>
      </c>
      <c r="GK376" s="847">
        <v>0</v>
      </c>
      <c r="GL376" s="847">
        <v>0</v>
      </c>
      <c r="GM376" s="847">
        <v>0</v>
      </c>
      <c r="GN376" s="847">
        <v>0</v>
      </c>
      <c r="GO376" s="847">
        <v>0</v>
      </c>
      <c r="GP376" s="847">
        <v>0</v>
      </c>
      <c r="GQ376" s="847">
        <v>0</v>
      </c>
      <c r="GR376" s="847">
        <v>0</v>
      </c>
      <c r="GS376" s="847">
        <v>0</v>
      </c>
      <c r="GT376" s="847">
        <v>0</v>
      </c>
      <c r="GU376" s="847">
        <v>0</v>
      </c>
      <c r="GV376" s="847">
        <v>0</v>
      </c>
      <c r="GW376" s="847">
        <v>0</v>
      </c>
      <c r="GX376" s="847">
        <v>0</v>
      </c>
      <c r="GY376" s="847">
        <v>0</v>
      </c>
      <c r="GZ376" s="847">
        <v>0</v>
      </c>
      <c r="HA376" s="847">
        <v>0</v>
      </c>
      <c r="HB376" s="847">
        <v>0</v>
      </c>
      <c r="HC376" s="847">
        <v>0</v>
      </c>
      <c r="HD376" s="847">
        <v>0</v>
      </c>
      <c r="HE376" s="847">
        <v>0</v>
      </c>
      <c r="HF376" s="847">
        <v>0</v>
      </c>
      <c r="HG376" s="847">
        <v>0</v>
      </c>
      <c r="HH376" s="847">
        <v>0</v>
      </c>
      <c r="HI376" s="847">
        <v>0</v>
      </c>
      <c r="HJ376" s="847">
        <v>0</v>
      </c>
      <c r="HK376" s="847">
        <v>0</v>
      </c>
      <c r="HL376" s="847">
        <v>0</v>
      </c>
      <c r="HM376" s="847">
        <v>0</v>
      </c>
      <c r="HN376" s="847">
        <v>0</v>
      </c>
      <c r="HO376" s="847">
        <v>0</v>
      </c>
      <c r="HP376" s="847">
        <v>0</v>
      </c>
      <c r="HQ376" s="847">
        <v>0</v>
      </c>
      <c r="HR376" s="847">
        <v>0</v>
      </c>
      <c r="HS376" s="847">
        <v>0</v>
      </c>
      <c r="HT376" s="847">
        <v>0</v>
      </c>
      <c r="HU376" s="847">
        <v>0</v>
      </c>
      <c r="HV376" s="847">
        <v>0</v>
      </c>
      <c r="HW376" s="847">
        <v>0</v>
      </c>
      <c r="HX376" s="847">
        <v>0</v>
      </c>
      <c r="HY376" s="847">
        <v>0</v>
      </c>
      <c r="HZ376" s="847">
        <v>0</v>
      </c>
      <c r="IA376" s="847">
        <v>0</v>
      </c>
      <c r="IB376" s="847">
        <v>0</v>
      </c>
      <c r="IC376" s="847">
        <v>0</v>
      </c>
      <c r="ID376" s="847">
        <v>0</v>
      </c>
      <c r="IE376" s="847">
        <v>0</v>
      </c>
      <c r="IF376" s="847">
        <v>0</v>
      </c>
      <c r="IG376" s="847">
        <v>0</v>
      </c>
      <c r="IH376" s="847">
        <v>0</v>
      </c>
      <c r="II376" s="847">
        <v>0</v>
      </c>
      <c r="IJ376" s="847">
        <v>0</v>
      </c>
      <c r="IK376" s="847">
        <v>0</v>
      </c>
    </row>
    <row r="377" spans="12:245" hidden="1">
      <c r="L377" s="843" t="s">
        <v>1060</v>
      </c>
      <c r="M377" s="843" t="s">
        <v>1382</v>
      </c>
      <c r="N377" s="843" t="s">
        <v>96</v>
      </c>
      <c r="O377" s="844">
        <v>62</v>
      </c>
      <c r="P377" s="780" t="str">
        <f t="shared" ref="P377:P440" si="14">M377&amp;TEXT(N377,"00")&amp;TEXT(O377,"00")</f>
        <v>IWT060162</v>
      </c>
      <c r="Q377" s="844">
        <v>2207</v>
      </c>
      <c r="R377" s="844">
        <v>6574</v>
      </c>
      <c r="S377" s="844">
        <v>11555</v>
      </c>
      <c r="T377" s="844">
        <v>17166</v>
      </c>
      <c r="U377" s="844">
        <v>23428</v>
      </c>
      <c r="V377" s="844">
        <v>30056</v>
      </c>
      <c r="W377" s="844">
        <v>30927</v>
      </c>
      <c r="X377" s="844">
        <v>31515</v>
      </c>
      <c r="Y377" s="844">
        <v>32128</v>
      </c>
      <c r="Z377" s="844">
        <v>32769</v>
      </c>
      <c r="AA377" s="844">
        <v>33424</v>
      </c>
      <c r="AB377" s="844">
        <v>34092</v>
      </c>
      <c r="AC377" s="844">
        <v>34774</v>
      </c>
      <c r="AD377" s="844">
        <v>35469</v>
      </c>
      <c r="AE377" s="844">
        <v>36179</v>
      </c>
      <c r="AF377" s="844">
        <v>36902</v>
      </c>
      <c r="AG377" s="844">
        <v>37640</v>
      </c>
      <c r="AH377" s="844">
        <v>38393</v>
      </c>
      <c r="AI377" s="844">
        <v>39161</v>
      </c>
      <c r="AJ377" s="844">
        <v>39944</v>
      </c>
      <c r="AK377" s="844">
        <v>40742</v>
      </c>
      <c r="AL377" s="844">
        <v>41557</v>
      </c>
      <c r="AM377" s="844">
        <v>42388</v>
      </c>
      <c r="AN377" s="844">
        <v>43236</v>
      </c>
      <c r="AO377" s="844">
        <v>44100</v>
      </c>
      <c r="AP377" s="844">
        <v>44982</v>
      </c>
      <c r="AQ377" s="844">
        <v>45881</v>
      </c>
      <c r="AR377" s="844">
        <v>46799</v>
      </c>
      <c r="AS377" s="844">
        <v>47734</v>
      </c>
      <c r="AT377" s="844">
        <v>48689</v>
      </c>
      <c r="AU377" s="844">
        <v>49662</v>
      </c>
      <c r="AV377" s="844">
        <v>50655</v>
      </c>
      <c r="AW377" s="844">
        <v>51667</v>
      </c>
      <c r="AX377" s="844">
        <v>52700</v>
      </c>
      <c r="AY377" s="844">
        <v>53753</v>
      </c>
      <c r="AZ377" s="844">
        <v>54827</v>
      </c>
      <c r="BA377" s="844">
        <v>55923</v>
      </c>
      <c r="BB377" s="844">
        <v>57041</v>
      </c>
      <c r="BC377" s="844">
        <v>58180</v>
      </c>
      <c r="BD377" s="844">
        <v>59343</v>
      </c>
      <c r="BE377" s="844">
        <v>60528</v>
      </c>
      <c r="BF377" s="844">
        <v>61737</v>
      </c>
      <c r="BG377" s="844">
        <v>62970</v>
      </c>
      <c r="BH377" s="844">
        <v>64227</v>
      </c>
      <c r="BI377" s="844">
        <v>65509</v>
      </c>
      <c r="BJ377" s="844">
        <v>66816</v>
      </c>
      <c r="BK377" s="844">
        <v>68149</v>
      </c>
      <c r="BL377" s="844">
        <v>69508</v>
      </c>
      <c r="BM377" s="844">
        <v>70200</v>
      </c>
      <c r="BN377" s="844">
        <v>0</v>
      </c>
      <c r="BO377" s="844">
        <v>0</v>
      </c>
      <c r="BP377" s="844">
        <v>0</v>
      </c>
      <c r="BQ377" s="844">
        <v>0</v>
      </c>
      <c r="BR377" s="844">
        <v>0</v>
      </c>
      <c r="BS377" s="844">
        <v>0</v>
      </c>
      <c r="BT377" s="844">
        <v>0</v>
      </c>
      <c r="BU377" s="844">
        <v>0</v>
      </c>
      <c r="BV377" s="844">
        <v>0</v>
      </c>
      <c r="BW377" s="844">
        <v>0</v>
      </c>
      <c r="BX377" s="844">
        <v>0</v>
      </c>
      <c r="BY377" s="844">
        <v>0</v>
      </c>
      <c r="BZ377" s="844">
        <v>0</v>
      </c>
      <c r="CA377" s="844">
        <v>0</v>
      </c>
      <c r="CB377" s="844">
        <v>0</v>
      </c>
      <c r="CC377" s="844">
        <v>0</v>
      </c>
      <c r="CD377" s="844">
        <v>0</v>
      </c>
      <c r="CE377" s="844">
        <v>0</v>
      </c>
      <c r="CF377" s="844">
        <v>0</v>
      </c>
      <c r="CG377" s="844">
        <v>0</v>
      </c>
      <c r="CH377" s="844">
        <v>0</v>
      </c>
      <c r="CI377" s="844">
        <v>0</v>
      </c>
      <c r="CJ377" s="844">
        <v>0</v>
      </c>
      <c r="CK377" s="844">
        <v>0</v>
      </c>
      <c r="CL377" s="844">
        <v>0</v>
      </c>
      <c r="CM377" s="844">
        <v>0</v>
      </c>
      <c r="CN377" s="844">
        <v>0</v>
      </c>
      <c r="CO377" s="844">
        <v>0</v>
      </c>
      <c r="CP377" s="844">
        <v>0</v>
      </c>
      <c r="CQ377" s="844">
        <v>0</v>
      </c>
      <c r="CR377" s="844">
        <v>0</v>
      </c>
      <c r="CS377" s="844">
        <v>0</v>
      </c>
      <c r="CT377" s="844">
        <v>0</v>
      </c>
      <c r="CU377" s="844">
        <v>0</v>
      </c>
      <c r="CV377" s="844">
        <v>0</v>
      </c>
      <c r="CW377" s="844">
        <v>0</v>
      </c>
      <c r="CX377" s="844">
        <v>0</v>
      </c>
      <c r="CY377" s="844">
        <v>0</v>
      </c>
      <c r="CZ377" s="844">
        <v>0</v>
      </c>
      <c r="DA377" s="844">
        <v>0</v>
      </c>
      <c r="DB377" s="844">
        <v>0</v>
      </c>
      <c r="DC377" s="844">
        <v>0</v>
      </c>
      <c r="DD377" s="844">
        <v>0</v>
      </c>
      <c r="DE377" s="844">
        <v>0</v>
      </c>
      <c r="DF377" s="844">
        <v>0</v>
      </c>
      <c r="DG377" s="844">
        <v>0</v>
      </c>
      <c r="DH377" s="844">
        <v>0</v>
      </c>
      <c r="DI377" s="844">
        <v>0</v>
      </c>
      <c r="DJ377" s="844">
        <v>0</v>
      </c>
      <c r="DK377" s="844">
        <v>0</v>
      </c>
      <c r="DL377" s="844">
        <v>0</v>
      </c>
      <c r="DM377" s="844">
        <v>0</v>
      </c>
      <c r="DN377" s="844">
        <v>0</v>
      </c>
      <c r="DO377" s="844">
        <v>0</v>
      </c>
      <c r="DP377" s="844">
        <v>0</v>
      </c>
      <c r="DQ377" s="844">
        <v>0</v>
      </c>
      <c r="DR377" s="844">
        <v>0</v>
      </c>
      <c r="DS377" s="844">
        <v>0</v>
      </c>
      <c r="DT377" s="844">
        <v>0</v>
      </c>
      <c r="DU377" s="844">
        <v>0</v>
      </c>
      <c r="DV377" s="844">
        <v>0</v>
      </c>
      <c r="DW377" s="844">
        <v>0</v>
      </c>
      <c r="DY377" s="846" t="s">
        <v>1060</v>
      </c>
      <c r="DZ377" s="846" t="s">
        <v>1382</v>
      </c>
      <c r="EA377" s="846" t="s">
        <v>96</v>
      </c>
      <c r="EB377" s="847">
        <v>62</v>
      </c>
      <c r="EC377" s="780" t="str">
        <f t="shared" ref="EC377:EC440" si="15">DZ377&amp;TEXT(EA377,"00")&amp;TEXT(EB377,"00")</f>
        <v>IWT060162</v>
      </c>
      <c r="ED377" s="847">
        <v>0</v>
      </c>
      <c r="EE377" s="847">
        <v>2942</v>
      </c>
      <c r="EF377" s="847">
        <v>8217</v>
      </c>
      <c r="EG377" s="847">
        <v>13594</v>
      </c>
      <c r="EH377" s="847">
        <v>19073</v>
      </c>
      <c r="EI377" s="847">
        <v>24661</v>
      </c>
      <c r="EJ377" s="847">
        <v>30360</v>
      </c>
      <c r="EK377" s="847">
        <v>30927</v>
      </c>
      <c r="EL377" s="847">
        <v>31515</v>
      </c>
      <c r="EM377" s="847">
        <v>32128</v>
      </c>
      <c r="EN377" s="847">
        <v>32769</v>
      </c>
      <c r="EO377" s="847">
        <v>33424</v>
      </c>
      <c r="EP377" s="847">
        <v>34092</v>
      </c>
      <c r="EQ377" s="847">
        <v>34774</v>
      </c>
      <c r="ER377" s="847">
        <v>35469</v>
      </c>
      <c r="ES377" s="847">
        <v>36179</v>
      </c>
      <c r="ET377" s="847">
        <v>36902</v>
      </c>
      <c r="EU377" s="847">
        <v>37640</v>
      </c>
      <c r="EV377" s="847">
        <v>38393</v>
      </c>
      <c r="EW377" s="847">
        <v>39161</v>
      </c>
      <c r="EX377" s="847">
        <v>39944</v>
      </c>
      <c r="EY377" s="847">
        <v>40742</v>
      </c>
      <c r="EZ377" s="847">
        <v>41557</v>
      </c>
      <c r="FA377" s="847">
        <v>42388</v>
      </c>
      <c r="FB377" s="847">
        <v>43236</v>
      </c>
      <c r="FC377" s="847">
        <v>44100</v>
      </c>
      <c r="FD377" s="847">
        <v>44982</v>
      </c>
      <c r="FE377" s="847">
        <v>45881</v>
      </c>
      <c r="FF377" s="847">
        <v>46799</v>
      </c>
      <c r="FG377" s="847">
        <v>47734</v>
      </c>
      <c r="FH377" s="847">
        <v>48689</v>
      </c>
      <c r="FI377" s="847">
        <v>49662</v>
      </c>
      <c r="FJ377" s="847">
        <v>50655</v>
      </c>
      <c r="FK377" s="847">
        <v>51667</v>
      </c>
      <c r="FL377" s="847">
        <v>52700</v>
      </c>
      <c r="FM377" s="847">
        <v>53753</v>
      </c>
      <c r="FN377" s="847">
        <v>54827</v>
      </c>
      <c r="FO377" s="847">
        <v>55923</v>
      </c>
      <c r="FP377" s="847">
        <v>57041</v>
      </c>
      <c r="FQ377" s="847">
        <v>58180</v>
      </c>
      <c r="FR377" s="847">
        <v>59343</v>
      </c>
      <c r="FS377" s="847">
        <v>60528</v>
      </c>
      <c r="FT377" s="847">
        <v>61737</v>
      </c>
      <c r="FU377" s="847">
        <v>62970</v>
      </c>
      <c r="FV377" s="847">
        <v>64227</v>
      </c>
      <c r="FW377" s="847">
        <v>65509</v>
      </c>
      <c r="FX377" s="847">
        <v>66816</v>
      </c>
      <c r="FY377" s="847">
        <v>68149</v>
      </c>
      <c r="FZ377" s="847">
        <v>69508</v>
      </c>
      <c r="GA377" s="847">
        <v>70200</v>
      </c>
      <c r="GB377" s="847">
        <v>0</v>
      </c>
      <c r="GC377" s="847">
        <v>0</v>
      </c>
      <c r="GD377" s="847">
        <v>0</v>
      </c>
      <c r="GE377" s="847">
        <v>0</v>
      </c>
      <c r="GF377" s="847">
        <v>0</v>
      </c>
      <c r="GG377" s="847">
        <v>0</v>
      </c>
      <c r="GH377" s="847">
        <v>0</v>
      </c>
      <c r="GI377" s="847">
        <v>0</v>
      </c>
      <c r="GJ377" s="847">
        <v>0</v>
      </c>
      <c r="GK377" s="847">
        <v>0</v>
      </c>
      <c r="GL377" s="847">
        <v>0</v>
      </c>
      <c r="GM377" s="847">
        <v>0</v>
      </c>
      <c r="GN377" s="847">
        <v>0</v>
      </c>
      <c r="GO377" s="847">
        <v>0</v>
      </c>
      <c r="GP377" s="847">
        <v>0</v>
      </c>
      <c r="GQ377" s="847">
        <v>0</v>
      </c>
      <c r="GR377" s="847">
        <v>0</v>
      </c>
      <c r="GS377" s="847">
        <v>0</v>
      </c>
      <c r="GT377" s="847">
        <v>0</v>
      </c>
      <c r="GU377" s="847">
        <v>0</v>
      </c>
      <c r="GV377" s="847">
        <v>0</v>
      </c>
      <c r="GW377" s="847">
        <v>0</v>
      </c>
      <c r="GX377" s="847">
        <v>0</v>
      </c>
      <c r="GY377" s="847">
        <v>0</v>
      </c>
      <c r="GZ377" s="847">
        <v>0</v>
      </c>
      <c r="HA377" s="847">
        <v>0</v>
      </c>
      <c r="HB377" s="847">
        <v>0</v>
      </c>
      <c r="HC377" s="847">
        <v>0</v>
      </c>
      <c r="HD377" s="847">
        <v>0</v>
      </c>
      <c r="HE377" s="847">
        <v>0</v>
      </c>
      <c r="HF377" s="847">
        <v>0</v>
      </c>
      <c r="HG377" s="847">
        <v>0</v>
      </c>
      <c r="HH377" s="847">
        <v>0</v>
      </c>
      <c r="HI377" s="847">
        <v>0</v>
      </c>
      <c r="HJ377" s="847">
        <v>0</v>
      </c>
      <c r="HK377" s="847">
        <v>0</v>
      </c>
      <c r="HL377" s="847">
        <v>0</v>
      </c>
      <c r="HM377" s="847">
        <v>0</v>
      </c>
      <c r="HN377" s="847">
        <v>0</v>
      </c>
      <c r="HO377" s="847">
        <v>0</v>
      </c>
      <c r="HP377" s="847">
        <v>0</v>
      </c>
      <c r="HQ377" s="847">
        <v>0</v>
      </c>
      <c r="HR377" s="847">
        <v>0</v>
      </c>
      <c r="HS377" s="847">
        <v>0</v>
      </c>
      <c r="HT377" s="847">
        <v>0</v>
      </c>
      <c r="HU377" s="847">
        <v>0</v>
      </c>
      <c r="HV377" s="847">
        <v>0</v>
      </c>
      <c r="HW377" s="847">
        <v>0</v>
      </c>
      <c r="HX377" s="847">
        <v>0</v>
      </c>
      <c r="HY377" s="847">
        <v>0</v>
      </c>
      <c r="HZ377" s="847">
        <v>0</v>
      </c>
      <c r="IA377" s="847">
        <v>0</v>
      </c>
      <c r="IB377" s="847">
        <v>0</v>
      </c>
      <c r="IC377" s="847">
        <v>0</v>
      </c>
      <c r="ID377" s="847">
        <v>0</v>
      </c>
      <c r="IE377" s="847">
        <v>0</v>
      </c>
      <c r="IF377" s="847">
        <v>0</v>
      </c>
      <c r="IG377" s="847">
        <v>0</v>
      </c>
      <c r="IH377" s="847">
        <v>0</v>
      </c>
      <c r="II377" s="847">
        <v>0</v>
      </c>
      <c r="IJ377" s="847">
        <v>0</v>
      </c>
      <c r="IK377" s="847">
        <v>0</v>
      </c>
    </row>
    <row r="378" spans="12:245" hidden="1">
      <c r="L378" s="843" t="s">
        <v>1060</v>
      </c>
      <c r="M378" s="843" t="s">
        <v>1382</v>
      </c>
      <c r="N378" s="843" t="s">
        <v>96</v>
      </c>
      <c r="O378" s="844">
        <v>63</v>
      </c>
      <c r="P378" s="780" t="str">
        <f t="shared" si="14"/>
        <v>IWT060163</v>
      </c>
      <c r="Q378" s="844">
        <v>2191</v>
      </c>
      <c r="R378" s="844">
        <v>6562</v>
      </c>
      <c r="S378" s="844">
        <v>11546</v>
      </c>
      <c r="T378" s="844">
        <v>17160</v>
      </c>
      <c r="U378" s="844">
        <v>23426</v>
      </c>
      <c r="V378" s="844">
        <v>30059</v>
      </c>
      <c r="W378" s="844">
        <v>30925</v>
      </c>
      <c r="X378" s="844">
        <v>31509</v>
      </c>
      <c r="Y378" s="844">
        <v>32118</v>
      </c>
      <c r="Z378" s="844">
        <v>32758</v>
      </c>
      <c r="AA378" s="844">
        <v>33413</v>
      </c>
      <c r="AB378" s="844">
        <v>34081</v>
      </c>
      <c r="AC378" s="844">
        <v>34763</v>
      </c>
      <c r="AD378" s="844">
        <v>35458</v>
      </c>
      <c r="AE378" s="844">
        <v>36167</v>
      </c>
      <c r="AF378" s="844">
        <v>36890</v>
      </c>
      <c r="AG378" s="844">
        <v>37628</v>
      </c>
      <c r="AH378" s="844">
        <v>38380</v>
      </c>
      <c r="AI378" s="844">
        <v>39148</v>
      </c>
      <c r="AJ378" s="844">
        <v>39931</v>
      </c>
      <c r="AK378" s="844">
        <v>40729</v>
      </c>
      <c r="AL378" s="844">
        <v>41543</v>
      </c>
      <c r="AM378" s="844">
        <v>42374</v>
      </c>
      <c r="AN378" s="844">
        <v>43221</v>
      </c>
      <c r="AO378" s="844">
        <v>44086</v>
      </c>
      <c r="AP378" s="844">
        <v>44967</v>
      </c>
      <c r="AQ378" s="844">
        <v>45866</v>
      </c>
      <c r="AR378" s="844">
        <v>46783</v>
      </c>
      <c r="AS378" s="844">
        <v>47718</v>
      </c>
      <c r="AT378" s="844">
        <v>48672</v>
      </c>
      <c r="AU378" s="844">
        <v>49645</v>
      </c>
      <c r="AV378" s="844">
        <v>50638</v>
      </c>
      <c r="AW378" s="844">
        <v>51650</v>
      </c>
      <c r="AX378" s="844">
        <v>52682</v>
      </c>
      <c r="AY378" s="844">
        <v>53735</v>
      </c>
      <c r="AZ378" s="844">
        <v>54809</v>
      </c>
      <c r="BA378" s="844">
        <v>55904</v>
      </c>
      <c r="BB378" s="844">
        <v>57021</v>
      </c>
      <c r="BC378" s="844">
        <v>58160</v>
      </c>
      <c r="BD378" s="844">
        <v>59322</v>
      </c>
      <c r="BE378" s="844">
        <v>60507</v>
      </c>
      <c r="BF378" s="844">
        <v>61715</v>
      </c>
      <c r="BG378" s="844">
        <v>62947</v>
      </c>
      <c r="BH378" s="844">
        <v>64203</v>
      </c>
      <c r="BI378" s="844">
        <v>65484</v>
      </c>
      <c r="BJ378" s="844">
        <v>66790</v>
      </c>
      <c r="BK378" s="844">
        <v>68122</v>
      </c>
      <c r="BL378" s="844">
        <v>68800</v>
      </c>
      <c r="BM378" s="844">
        <v>0</v>
      </c>
      <c r="BN378" s="844">
        <v>0</v>
      </c>
      <c r="BO378" s="844">
        <v>0</v>
      </c>
      <c r="BP378" s="844">
        <v>0</v>
      </c>
      <c r="BQ378" s="844">
        <v>0</v>
      </c>
      <c r="BR378" s="844">
        <v>0</v>
      </c>
      <c r="BS378" s="844">
        <v>0</v>
      </c>
      <c r="BT378" s="844">
        <v>0</v>
      </c>
      <c r="BU378" s="844">
        <v>0</v>
      </c>
      <c r="BV378" s="844">
        <v>0</v>
      </c>
      <c r="BW378" s="844">
        <v>0</v>
      </c>
      <c r="BX378" s="844">
        <v>0</v>
      </c>
      <c r="BY378" s="844">
        <v>0</v>
      </c>
      <c r="BZ378" s="844">
        <v>0</v>
      </c>
      <c r="CA378" s="844">
        <v>0</v>
      </c>
      <c r="CB378" s="844">
        <v>0</v>
      </c>
      <c r="CC378" s="844">
        <v>0</v>
      </c>
      <c r="CD378" s="844">
        <v>0</v>
      </c>
      <c r="CE378" s="844">
        <v>0</v>
      </c>
      <c r="CF378" s="844">
        <v>0</v>
      </c>
      <c r="CG378" s="844">
        <v>0</v>
      </c>
      <c r="CH378" s="844">
        <v>0</v>
      </c>
      <c r="CI378" s="844">
        <v>0</v>
      </c>
      <c r="CJ378" s="844">
        <v>0</v>
      </c>
      <c r="CK378" s="844">
        <v>0</v>
      </c>
      <c r="CL378" s="844">
        <v>0</v>
      </c>
      <c r="CM378" s="844">
        <v>0</v>
      </c>
      <c r="CN378" s="844">
        <v>0</v>
      </c>
      <c r="CO378" s="844">
        <v>0</v>
      </c>
      <c r="CP378" s="844">
        <v>0</v>
      </c>
      <c r="CQ378" s="844">
        <v>0</v>
      </c>
      <c r="CR378" s="844">
        <v>0</v>
      </c>
      <c r="CS378" s="844">
        <v>0</v>
      </c>
      <c r="CT378" s="844">
        <v>0</v>
      </c>
      <c r="CU378" s="844">
        <v>0</v>
      </c>
      <c r="CV378" s="844">
        <v>0</v>
      </c>
      <c r="CW378" s="844">
        <v>0</v>
      </c>
      <c r="CX378" s="844">
        <v>0</v>
      </c>
      <c r="CY378" s="844">
        <v>0</v>
      </c>
      <c r="CZ378" s="844">
        <v>0</v>
      </c>
      <c r="DA378" s="844">
        <v>0</v>
      </c>
      <c r="DB378" s="844">
        <v>0</v>
      </c>
      <c r="DC378" s="844">
        <v>0</v>
      </c>
      <c r="DD378" s="844">
        <v>0</v>
      </c>
      <c r="DE378" s="844">
        <v>0</v>
      </c>
      <c r="DF378" s="844">
        <v>0</v>
      </c>
      <c r="DG378" s="844">
        <v>0</v>
      </c>
      <c r="DH378" s="844">
        <v>0</v>
      </c>
      <c r="DI378" s="844">
        <v>0</v>
      </c>
      <c r="DJ378" s="844">
        <v>0</v>
      </c>
      <c r="DK378" s="844">
        <v>0</v>
      </c>
      <c r="DL378" s="844">
        <v>0</v>
      </c>
      <c r="DM378" s="844">
        <v>0</v>
      </c>
      <c r="DN378" s="844">
        <v>0</v>
      </c>
      <c r="DO378" s="844">
        <v>0</v>
      </c>
      <c r="DP378" s="844">
        <v>0</v>
      </c>
      <c r="DQ378" s="844">
        <v>0</v>
      </c>
      <c r="DR378" s="844">
        <v>0</v>
      </c>
      <c r="DS378" s="844">
        <v>0</v>
      </c>
      <c r="DT378" s="844">
        <v>0</v>
      </c>
      <c r="DU378" s="844">
        <v>0</v>
      </c>
      <c r="DV378" s="844">
        <v>0</v>
      </c>
      <c r="DW378" s="844">
        <v>0</v>
      </c>
      <c r="DY378" s="846" t="s">
        <v>1060</v>
      </c>
      <c r="DZ378" s="846" t="s">
        <v>1382</v>
      </c>
      <c r="EA378" s="846" t="s">
        <v>96</v>
      </c>
      <c r="EB378" s="847">
        <v>63</v>
      </c>
      <c r="EC378" s="780" t="str">
        <f t="shared" si="15"/>
        <v>IWT060163</v>
      </c>
      <c r="ED378" s="847">
        <v>0</v>
      </c>
      <c r="EE378" s="847">
        <v>2921</v>
      </c>
      <c r="EF378" s="847">
        <v>8202</v>
      </c>
      <c r="EG378" s="847">
        <v>13583</v>
      </c>
      <c r="EH378" s="847">
        <v>19067</v>
      </c>
      <c r="EI378" s="847">
        <v>24659</v>
      </c>
      <c r="EJ378" s="847">
        <v>30363</v>
      </c>
      <c r="EK378" s="847">
        <v>30925</v>
      </c>
      <c r="EL378" s="847">
        <v>31509</v>
      </c>
      <c r="EM378" s="847">
        <v>32118</v>
      </c>
      <c r="EN378" s="847">
        <v>32758</v>
      </c>
      <c r="EO378" s="847">
        <v>33413</v>
      </c>
      <c r="EP378" s="847">
        <v>34081</v>
      </c>
      <c r="EQ378" s="847">
        <v>34763</v>
      </c>
      <c r="ER378" s="847">
        <v>35458</v>
      </c>
      <c r="ES378" s="847">
        <v>36167</v>
      </c>
      <c r="ET378" s="847">
        <v>36890</v>
      </c>
      <c r="EU378" s="847">
        <v>37628</v>
      </c>
      <c r="EV378" s="847">
        <v>38380</v>
      </c>
      <c r="EW378" s="847">
        <v>39148</v>
      </c>
      <c r="EX378" s="847">
        <v>39931</v>
      </c>
      <c r="EY378" s="847">
        <v>40729</v>
      </c>
      <c r="EZ378" s="847">
        <v>41543</v>
      </c>
      <c r="FA378" s="847">
        <v>42374</v>
      </c>
      <c r="FB378" s="847">
        <v>43221</v>
      </c>
      <c r="FC378" s="847">
        <v>44086</v>
      </c>
      <c r="FD378" s="847">
        <v>44967</v>
      </c>
      <c r="FE378" s="847">
        <v>45866</v>
      </c>
      <c r="FF378" s="847">
        <v>46783</v>
      </c>
      <c r="FG378" s="847">
        <v>47718</v>
      </c>
      <c r="FH378" s="847">
        <v>48672</v>
      </c>
      <c r="FI378" s="847">
        <v>49645</v>
      </c>
      <c r="FJ378" s="847">
        <v>50638</v>
      </c>
      <c r="FK378" s="847">
        <v>51650</v>
      </c>
      <c r="FL378" s="847">
        <v>52682</v>
      </c>
      <c r="FM378" s="847">
        <v>53735</v>
      </c>
      <c r="FN378" s="847">
        <v>54809</v>
      </c>
      <c r="FO378" s="847">
        <v>55904</v>
      </c>
      <c r="FP378" s="847">
        <v>57021</v>
      </c>
      <c r="FQ378" s="847">
        <v>58160</v>
      </c>
      <c r="FR378" s="847">
        <v>59322</v>
      </c>
      <c r="FS378" s="847">
        <v>60507</v>
      </c>
      <c r="FT378" s="847">
        <v>61715</v>
      </c>
      <c r="FU378" s="847">
        <v>62947</v>
      </c>
      <c r="FV378" s="847">
        <v>64203</v>
      </c>
      <c r="FW378" s="847">
        <v>65484</v>
      </c>
      <c r="FX378" s="847">
        <v>66790</v>
      </c>
      <c r="FY378" s="847">
        <v>68122</v>
      </c>
      <c r="FZ378" s="847">
        <v>68800</v>
      </c>
      <c r="GA378" s="847">
        <v>0</v>
      </c>
      <c r="GB378" s="847">
        <v>0</v>
      </c>
      <c r="GC378" s="847">
        <v>0</v>
      </c>
      <c r="GD378" s="847">
        <v>0</v>
      </c>
      <c r="GE378" s="847">
        <v>0</v>
      </c>
      <c r="GF378" s="847">
        <v>0</v>
      </c>
      <c r="GG378" s="847">
        <v>0</v>
      </c>
      <c r="GH378" s="847">
        <v>0</v>
      </c>
      <c r="GI378" s="847">
        <v>0</v>
      </c>
      <c r="GJ378" s="847">
        <v>0</v>
      </c>
      <c r="GK378" s="847">
        <v>0</v>
      </c>
      <c r="GL378" s="847">
        <v>0</v>
      </c>
      <c r="GM378" s="847">
        <v>0</v>
      </c>
      <c r="GN378" s="847">
        <v>0</v>
      </c>
      <c r="GO378" s="847">
        <v>0</v>
      </c>
      <c r="GP378" s="847">
        <v>0</v>
      </c>
      <c r="GQ378" s="847">
        <v>0</v>
      </c>
      <c r="GR378" s="847">
        <v>0</v>
      </c>
      <c r="GS378" s="847">
        <v>0</v>
      </c>
      <c r="GT378" s="847">
        <v>0</v>
      </c>
      <c r="GU378" s="847">
        <v>0</v>
      </c>
      <c r="GV378" s="847">
        <v>0</v>
      </c>
      <c r="GW378" s="847">
        <v>0</v>
      </c>
      <c r="GX378" s="847">
        <v>0</v>
      </c>
      <c r="GY378" s="847">
        <v>0</v>
      </c>
      <c r="GZ378" s="847">
        <v>0</v>
      </c>
      <c r="HA378" s="847">
        <v>0</v>
      </c>
      <c r="HB378" s="847">
        <v>0</v>
      </c>
      <c r="HC378" s="847">
        <v>0</v>
      </c>
      <c r="HD378" s="847">
        <v>0</v>
      </c>
      <c r="HE378" s="847">
        <v>0</v>
      </c>
      <c r="HF378" s="847">
        <v>0</v>
      </c>
      <c r="HG378" s="847">
        <v>0</v>
      </c>
      <c r="HH378" s="847">
        <v>0</v>
      </c>
      <c r="HI378" s="847">
        <v>0</v>
      </c>
      <c r="HJ378" s="847">
        <v>0</v>
      </c>
      <c r="HK378" s="847">
        <v>0</v>
      </c>
      <c r="HL378" s="847">
        <v>0</v>
      </c>
      <c r="HM378" s="847">
        <v>0</v>
      </c>
      <c r="HN378" s="847">
        <v>0</v>
      </c>
      <c r="HO378" s="847">
        <v>0</v>
      </c>
      <c r="HP378" s="847">
        <v>0</v>
      </c>
      <c r="HQ378" s="847">
        <v>0</v>
      </c>
      <c r="HR378" s="847">
        <v>0</v>
      </c>
      <c r="HS378" s="847">
        <v>0</v>
      </c>
      <c r="HT378" s="847">
        <v>0</v>
      </c>
      <c r="HU378" s="847">
        <v>0</v>
      </c>
      <c r="HV378" s="847">
        <v>0</v>
      </c>
      <c r="HW378" s="847">
        <v>0</v>
      </c>
      <c r="HX378" s="847">
        <v>0</v>
      </c>
      <c r="HY378" s="847">
        <v>0</v>
      </c>
      <c r="HZ378" s="847">
        <v>0</v>
      </c>
      <c r="IA378" s="847">
        <v>0</v>
      </c>
      <c r="IB378" s="847">
        <v>0</v>
      </c>
      <c r="IC378" s="847">
        <v>0</v>
      </c>
      <c r="ID378" s="847">
        <v>0</v>
      </c>
      <c r="IE378" s="847">
        <v>0</v>
      </c>
      <c r="IF378" s="847">
        <v>0</v>
      </c>
      <c r="IG378" s="847">
        <v>0</v>
      </c>
      <c r="IH378" s="847">
        <v>0</v>
      </c>
      <c r="II378" s="847">
        <v>0</v>
      </c>
      <c r="IJ378" s="847">
        <v>0</v>
      </c>
      <c r="IK378" s="847">
        <v>0</v>
      </c>
    </row>
    <row r="379" spans="12:245" hidden="1">
      <c r="L379" s="843" t="s">
        <v>1060</v>
      </c>
      <c r="M379" s="843" t="s">
        <v>1382</v>
      </c>
      <c r="N379" s="843" t="s">
        <v>96</v>
      </c>
      <c r="O379" s="844">
        <v>64</v>
      </c>
      <c r="P379" s="780" t="str">
        <f t="shared" si="14"/>
        <v>IWT060164</v>
      </c>
      <c r="Q379" s="844">
        <v>2174</v>
      </c>
      <c r="R379" s="844">
        <v>6546</v>
      </c>
      <c r="S379" s="844">
        <v>11532</v>
      </c>
      <c r="T379" s="844">
        <v>17149</v>
      </c>
      <c r="U379" s="844">
        <v>23417</v>
      </c>
      <c r="V379" s="844">
        <v>30051</v>
      </c>
      <c r="W379" s="844">
        <v>30911</v>
      </c>
      <c r="X379" s="844">
        <v>31490</v>
      </c>
      <c r="Y379" s="844">
        <v>32096</v>
      </c>
      <c r="Z379" s="844">
        <v>32733</v>
      </c>
      <c r="AA379" s="844">
        <v>33387</v>
      </c>
      <c r="AB379" s="844">
        <v>34055</v>
      </c>
      <c r="AC379" s="844">
        <v>34736</v>
      </c>
      <c r="AD379" s="844">
        <v>35431</v>
      </c>
      <c r="AE379" s="844">
        <v>36139</v>
      </c>
      <c r="AF379" s="844">
        <v>36862</v>
      </c>
      <c r="AG379" s="844">
        <v>37599</v>
      </c>
      <c r="AH379" s="844">
        <v>38351</v>
      </c>
      <c r="AI379" s="844">
        <v>39118</v>
      </c>
      <c r="AJ379" s="844">
        <v>39900</v>
      </c>
      <c r="AK379" s="844">
        <v>40698</v>
      </c>
      <c r="AL379" s="844">
        <v>41512</v>
      </c>
      <c r="AM379" s="844">
        <v>42342</v>
      </c>
      <c r="AN379" s="844">
        <v>43188</v>
      </c>
      <c r="AO379" s="844">
        <v>44052</v>
      </c>
      <c r="AP379" s="844">
        <v>44933</v>
      </c>
      <c r="AQ379" s="844">
        <v>45831</v>
      </c>
      <c r="AR379" s="844">
        <v>46747</v>
      </c>
      <c r="AS379" s="844">
        <v>47682</v>
      </c>
      <c r="AT379" s="844">
        <v>48635</v>
      </c>
      <c r="AU379" s="844">
        <v>49607</v>
      </c>
      <c r="AV379" s="844">
        <v>50598</v>
      </c>
      <c r="AW379" s="844">
        <v>51610</v>
      </c>
      <c r="AX379" s="844">
        <v>52641</v>
      </c>
      <c r="AY379" s="844">
        <v>53693</v>
      </c>
      <c r="AZ379" s="844">
        <v>54766</v>
      </c>
      <c r="BA379" s="844">
        <v>55860</v>
      </c>
      <c r="BB379" s="844">
        <v>56976</v>
      </c>
      <c r="BC379" s="844">
        <v>58114</v>
      </c>
      <c r="BD379" s="844">
        <v>59274</v>
      </c>
      <c r="BE379" s="844">
        <v>60458</v>
      </c>
      <c r="BF379" s="844">
        <v>61665</v>
      </c>
      <c r="BG379" s="844">
        <v>62896</v>
      </c>
      <c r="BH379" s="844">
        <v>64151</v>
      </c>
      <c r="BI379" s="844">
        <v>65431</v>
      </c>
      <c r="BJ379" s="844">
        <v>66736</v>
      </c>
      <c r="BK379" s="844">
        <v>67400</v>
      </c>
      <c r="BL379" s="844">
        <v>0</v>
      </c>
      <c r="BM379" s="844">
        <v>0</v>
      </c>
      <c r="BN379" s="844">
        <v>0</v>
      </c>
      <c r="BO379" s="844">
        <v>0</v>
      </c>
      <c r="BP379" s="844">
        <v>0</v>
      </c>
      <c r="BQ379" s="844">
        <v>0</v>
      </c>
      <c r="BR379" s="844">
        <v>0</v>
      </c>
      <c r="BS379" s="844">
        <v>0</v>
      </c>
      <c r="BT379" s="844">
        <v>0</v>
      </c>
      <c r="BU379" s="844">
        <v>0</v>
      </c>
      <c r="BV379" s="844">
        <v>0</v>
      </c>
      <c r="BW379" s="844">
        <v>0</v>
      </c>
      <c r="BX379" s="844">
        <v>0</v>
      </c>
      <c r="BY379" s="844">
        <v>0</v>
      </c>
      <c r="BZ379" s="844">
        <v>0</v>
      </c>
      <c r="CA379" s="844">
        <v>0</v>
      </c>
      <c r="CB379" s="844">
        <v>0</v>
      </c>
      <c r="CC379" s="844">
        <v>0</v>
      </c>
      <c r="CD379" s="844">
        <v>0</v>
      </c>
      <c r="CE379" s="844">
        <v>0</v>
      </c>
      <c r="CF379" s="844">
        <v>0</v>
      </c>
      <c r="CG379" s="844">
        <v>0</v>
      </c>
      <c r="CH379" s="844">
        <v>0</v>
      </c>
      <c r="CI379" s="844">
        <v>0</v>
      </c>
      <c r="CJ379" s="844">
        <v>0</v>
      </c>
      <c r="CK379" s="844">
        <v>0</v>
      </c>
      <c r="CL379" s="844">
        <v>0</v>
      </c>
      <c r="CM379" s="844">
        <v>0</v>
      </c>
      <c r="CN379" s="844">
        <v>0</v>
      </c>
      <c r="CO379" s="844">
        <v>0</v>
      </c>
      <c r="CP379" s="844">
        <v>0</v>
      </c>
      <c r="CQ379" s="844">
        <v>0</v>
      </c>
      <c r="CR379" s="844">
        <v>0</v>
      </c>
      <c r="CS379" s="844">
        <v>0</v>
      </c>
      <c r="CT379" s="844">
        <v>0</v>
      </c>
      <c r="CU379" s="844">
        <v>0</v>
      </c>
      <c r="CV379" s="844">
        <v>0</v>
      </c>
      <c r="CW379" s="844">
        <v>0</v>
      </c>
      <c r="CX379" s="844">
        <v>0</v>
      </c>
      <c r="CY379" s="844">
        <v>0</v>
      </c>
      <c r="CZ379" s="844">
        <v>0</v>
      </c>
      <c r="DA379" s="844">
        <v>0</v>
      </c>
      <c r="DB379" s="844">
        <v>0</v>
      </c>
      <c r="DC379" s="844">
        <v>0</v>
      </c>
      <c r="DD379" s="844">
        <v>0</v>
      </c>
      <c r="DE379" s="844">
        <v>0</v>
      </c>
      <c r="DF379" s="844">
        <v>0</v>
      </c>
      <c r="DG379" s="844">
        <v>0</v>
      </c>
      <c r="DH379" s="844">
        <v>0</v>
      </c>
      <c r="DI379" s="844">
        <v>0</v>
      </c>
      <c r="DJ379" s="844">
        <v>0</v>
      </c>
      <c r="DK379" s="844">
        <v>0</v>
      </c>
      <c r="DL379" s="844">
        <v>0</v>
      </c>
      <c r="DM379" s="844">
        <v>0</v>
      </c>
      <c r="DN379" s="844">
        <v>0</v>
      </c>
      <c r="DO379" s="844">
        <v>0</v>
      </c>
      <c r="DP379" s="844">
        <v>0</v>
      </c>
      <c r="DQ379" s="844">
        <v>0</v>
      </c>
      <c r="DR379" s="844">
        <v>0</v>
      </c>
      <c r="DS379" s="844">
        <v>0</v>
      </c>
      <c r="DT379" s="844">
        <v>0</v>
      </c>
      <c r="DU379" s="844">
        <v>0</v>
      </c>
      <c r="DV379" s="844">
        <v>0</v>
      </c>
      <c r="DW379" s="844">
        <v>0</v>
      </c>
      <c r="DY379" s="846" t="s">
        <v>1060</v>
      </c>
      <c r="DZ379" s="846" t="s">
        <v>1382</v>
      </c>
      <c r="EA379" s="846" t="s">
        <v>96</v>
      </c>
      <c r="EB379" s="847">
        <v>64</v>
      </c>
      <c r="EC379" s="780" t="str">
        <f t="shared" si="15"/>
        <v>IWT060164</v>
      </c>
      <c r="ED379" s="847">
        <v>0</v>
      </c>
      <c r="EE379" s="847">
        <v>2898</v>
      </c>
      <c r="EF379" s="847">
        <v>8183</v>
      </c>
      <c r="EG379" s="847">
        <v>13567</v>
      </c>
      <c r="EH379" s="847">
        <v>19054</v>
      </c>
      <c r="EI379" s="847">
        <v>24649</v>
      </c>
      <c r="EJ379" s="847">
        <v>30355</v>
      </c>
      <c r="EK379" s="847">
        <v>30911</v>
      </c>
      <c r="EL379" s="847">
        <v>31490</v>
      </c>
      <c r="EM379" s="847">
        <v>32096</v>
      </c>
      <c r="EN379" s="847">
        <v>32733</v>
      </c>
      <c r="EO379" s="847">
        <v>33387</v>
      </c>
      <c r="EP379" s="847">
        <v>34055</v>
      </c>
      <c r="EQ379" s="847">
        <v>34736</v>
      </c>
      <c r="ER379" s="847">
        <v>35431</v>
      </c>
      <c r="ES379" s="847">
        <v>36139</v>
      </c>
      <c r="ET379" s="847">
        <v>36862</v>
      </c>
      <c r="EU379" s="847">
        <v>37599</v>
      </c>
      <c r="EV379" s="847">
        <v>38351</v>
      </c>
      <c r="EW379" s="847">
        <v>39118</v>
      </c>
      <c r="EX379" s="847">
        <v>39900</v>
      </c>
      <c r="EY379" s="847">
        <v>40698</v>
      </c>
      <c r="EZ379" s="847">
        <v>41512</v>
      </c>
      <c r="FA379" s="847">
        <v>42342</v>
      </c>
      <c r="FB379" s="847">
        <v>43188</v>
      </c>
      <c r="FC379" s="847">
        <v>44052</v>
      </c>
      <c r="FD379" s="847">
        <v>44933</v>
      </c>
      <c r="FE379" s="847">
        <v>45831</v>
      </c>
      <c r="FF379" s="847">
        <v>46747</v>
      </c>
      <c r="FG379" s="847">
        <v>47682</v>
      </c>
      <c r="FH379" s="847">
        <v>48635</v>
      </c>
      <c r="FI379" s="847">
        <v>49607</v>
      </c>
      <c r="FJ379" s="847">
        <v>50598</v>
      </c>
      <c r="FK379" s="847">
        <v>51610</v>
      </c>
      <c r="FL379" s="847">
        <v>52641</v>
      </c>
      <c r="FM379" s="847">
        <v>53693</v>
      </c>
      <c r="FN379" s="847">
        <v>54766</v>
      </c>
      <c r="FO379" s="847">
        <v>55860</v>
      </c>
      <c r="FP379" s="847">
        <v>56976</v>
      </c>
      <c r="FQ379" s="847">
        <v>58114</v>
      </c>
      <c r="FR379" s="847">
        <v>59274</v>
      </c>
      <c r="FS379" s="847">
        <v>60458</v>
      </c>
      <c r="FT379" s="847">
        <v>61665</v>
      </c>
      <c r="FU379" s="847">
        <v>62896</v>
      </c>
      <c r="FV379" s="847">
        <v>64151</v>
      </c>
      <c r="FW379" s="847">
        <v>65431</v>
      </c>
      <c r="FX379" s="847">
        <v>66736</v>
      </c>
      <c r="FY379" s="847">
        <v>67400</v>
      </c>
      <c r="FZ379" s="847">
        <v>0</v>
      </c>
      <c r="GA379" s="847">
        <v>0</v>
      </c>
      <c r="GB379" s="847">
        <v>0</v>
      </c>
      <c r="GC379" s="847">
        <v>0</v>
      </c>
      <c r="GD379" s="847">
        <v>0</v>
      </c>
      <c r="GE379" s="847">
        <v>0</v>
      </c>
      <c r="GF379" s="847">
        <v>0</v>
      </c>
      <c r="GG379" s="847">
        <v>0</v>
      </c>
      <c r="GH379" s="847">
        <v>0</v>
      </c>
      <c r="GI379" s="847">
        <v>0</v>
      </c>
      <c r="GJ379" s="847">
        <v>0</v>
      </c>
      <c r="GK379" s="847">
        <v>0</v>
      </c>
      <c r="GL379" s="847">
        <v>0</v>
      </c>
      <c r="GM379" s="847">
        <v>0</v>
      </c>
      <c r="GN379" s="847">
        <v>0</v>
      </c>
      <c r="GO379" s="847">
        <v>0</v>
      </c>
      <c r="GP379" s="847">
        <v>0</v>
      </c>
      <c r="GQ379" s="847">
        <v>0</v>
      </c>
      <c r="GR379" s="847">
        <v>0</v>
      </c>
      <c r="GS379" s="847">
        <v>0</v>
      </c>
      <c r="GT379" s="847">
        <v>0</v>
      </c>
      <c r="GU379" s="847">
        <v>0</v>
      </c>
      <c r="GV379" s="847">
        <v>0</v>
      </c>
      <c r="GW379" s="847">
        <v>0</v>
      </c>
      <c r="GX379" s="847">
        <v>0</v>
      </c>
      <c r="GY379" s="847">
        <v>0</v>
      </c>
      <c r="GZ379" s="847">
        <v>0</v>
      </c>
      <c r="HA379" s="847">
        <v>0</v>
      </c>
      <c r="HB379" s="847">
        <v>0</v>
      </c>
      <c r="HC379" s="847">
        <v>0</v>
      </c>
      <c r="HD379" s="847">
        <v>0</v>
      </c>
      <c r="HE379" s="847">
        <v>0</v>
      </c>
      <c r="HF379" s="847">
        <v>0</v>
      </c>
      <c r="HG379" s="847">
        <v>0</v>
      </c>
      <c r="HH379" s="847">
        <v>0</v>
      </c>
      <c r="HI379" s="847">
        <v>0</v>
      </c>
      <c r="HJ379" s="847">
        <v>0</v>
      </c>
      <c r="HK379" s="847">
        <v>0</v>
      </c>
      <c r="HL379" s="847">
        <v>0</v>
      </c>
      <c r="HM379" s="847">
        <v>0</v>
      </c>
      <c r="HN379" s="847">
        <v>0</v>
      </c>
      <c r="HO379" s="847">
        <v>0</v>
      </c>
      <c r="HP379" s="847">
        <v>0</v>
      </c>
      <c r="HQ379" s="847">
        <v>0</v>
      </c>
      <c r="HR379" s="847">
        <v>0</v>
      </c>
      <c r="HS379" s="847">
        <v>0</v>
      </c>
      <c r="HT379" s="847">
        <v>0</v>
      </c>
      <c r="HU379" s="847">
        <v>0</v>
      </c>
      <c r="HV379" s="847">
        <v>0</v>
      </c>
      <c r="HW379" s="847">
        <v>0</v>
      </c>
      <c r="HX379" s="847">
        <v>0</v>
      </c>
      <c r="HY379" s="847">
        <v>0</v>
      </c>
      <c r="HZ379" s="847">
        <v>0</v>
      </c>
      <c r="IA379" s="847">
        <v>0</v>
      </c>
      <c r="IB379" s="847">
        <v>0</v>
      </c>
      <c r="IC379" s="847">
        <v>0</v>
      </c>
      <c r="ID379" s="847">
        <v>0</v>
      </c>
      <c r="IE379" s="847">
        <v>0</v>
      </c>
      <c r="IF379" s="847">
        <v>0</v>
      </c>
      <c r="IG379" s="847">
        <v>0</v>
      </c>
      <c r="IH379" s="847">
        <v>0</v>
      </c>
      <c r="II379" s="847">
        <v>0</v>
      </c>
      <c r="IJ379" s="847">
        <v>0</v>
      </c>
      <c r="IK379" s="847">
        <v>0</v>
      </c>
    </row>
    <row r="380" spans="12:245" hidden="1">
      <c r="L380" s="843" t="s">
        <v>1060</v>
      </c>
      <c r="M380" s="843" t="s">
        <v>1382</v>
      </c>
      <c r="N380" s="843" t="s">
        <v>96</v>
      </c>
      <c r="O380" s="844">
        <v>65</v>
      </c>
      <c r="P380" s="780" t="str">
        <f t="shared" si="14"/>
        <v>IWT060165</v>
      </c>
      <c r="Q380" s="844">
        <v>2155</v>
      </c>
      <c r="R380" s="844">
        <v>6528</v>
      </c>
      <c r="S380" s="844">
        <v>11515</v>
      </c>
      <c r="T380" s="844">
        <v>17132</v>
      </c>
      <c r="U380" s="844">
        <v>23399</v>
      </c>
      <c r="V380" s="844">
        <v>30034</v>
      </c>
      <c r="W380" s="844">
        <v>30887</v>
      </c>
      <c r="X380" s="844">
        <v>31461</v>
      </c>
      <c r="Y380" s="844">
        <v>32061</v>
      </c>
      <c r="Z380" s="844">
        <v>32694</v>
      </c>
      <c r="AA380" s="844">
        <v>33348</v>
      </c>
      <c r="AB380" s="844">
        <v>34015</v>
      </c>
      <c r="AC380" s="844">
        <v>34695</v>
      </c>
      <c r="AD380" s="844">
        <v>35389</v>
      </c>
      <c r="AE380" s="844">
        <v>36097</v>
      </c>
      <c r="AF380" s="844">
        <v>36819</v>
      </c>
      <c r="AG380" s="844">
        <v>37555</v>
      </c>
      <c r="AH380" s="844">
        <v>38306</v>
      </c>
      <c r="AI380" s="844">
        <v>39072</v>
      </c>
      <c r="AJ380" s="844">
        <v>39853</v>
      </c>
      <c r="AK380" s="844">
        <v>40650</v>
      </c>
      <c r="AL380" s="844">
        <v>41463</v>
      </c>
      <c r="AM380" s="844">
        <v>42292</v>
      </c>
      <c r="AN380" s="844">
        <v>43137</v>
      </c>
      <c r="AO380" s="844">
        <v>44000</v>
      </c>
      <c r="AP380" s="844">
        <v>44879</v>
      </c>
      <c r="AQ380" s="844">
        <v>45777</v>
      </c>
      <c r="AR380" s="844">
        <v>46692</v>
      </c>
      <c r="AS380" s="844">
        <v>47625</v>
      </c>
      <c r="AT380" s="844">
        <v>48577</v>
      </c>
      <c r="AU380" s="844">
        <v>49548</v>
      </c>
      <c r="AV380" s="844">
        <v>50538</v>
      </c>
      <c r="AW380" s="844">
        <v>51548</v>
      </c>
      <c r="AX380" s="844">
        <v>52578</v>
      </c>
      <c r="AY380" s="844">
        <v>53629</v>
      </c>
      <c r="AZ380" s="844">
        <v>54700</v>
      </c>
      <c r="BA380" s="844">
        <v>55793</v>
      </c>
      <c r="BB380" s="844">
        <v>56907</v>
      </c>
      <c r="BC380" s="844">
        <v>58044</v>
      </c>
      <c r="BD380" s="844">
        <v>59203</v>
      </c>
      <c r="BE380" s="844">
        <v>60385</v>
      </c>
      <c r="BF380" s="844">
        <v>61590</v>
      </c>
      <c r="BG380" s="844">
        <v>62819</v>
      </c>
      <c r="BH380" s="844">
        <v>64072</v>
      </c>
      <c r="BI380" s="844">
        <v>65350</v>
      </c>
      <c r="BJ380" s="844">
        <v>66000</v>
      </c>
      <c r="BK380" s="844">
        <v>0</v>
      </c>
      <c r="BL380" s="844">
        <v>0</v>
      </c>
      <c r="BM380" s="844">
        <v>0</v>
      </c>
      <c r="BN380" s="844">
        <v>0</v>
      </c>
      <c r="BO380" s="844">
        <v>0</v>
      </c>
      <c r="BP380" s="844">
        <v>0</v>
      </c>
      <c r="BQ380" s="844">
        <v>0</v>
      </c>
      <c r="BR380" s="844">
        <v>0</v>
      </c>
      <c r="BS380" s="844">
        <v>0</v>
      </c>
      <c r="BT380" s="844">
        <v>0</v>
      </c>
      <c r="BU380" s="844">
        <v>0</v>
      </c>
      <c r="BV380" s="844">
        <v>0</v>
      </c>
      <c r="BW380" s="844">
        <v>0</v>
      </c>
      <c r="BX380" s="844">
        <v>0</v>
      </c>
      <c r="BY380" s="844">
        <v>0</v>
      </c>
      <c r="BZ380" s="844">
        <v>0</v>
      </c>
      <c r="CA380" s="844">
        <v>0</v>
      </c>
      <c r="CB380" s="844">
        <v>0</v>
      </c>
      <c r="CC380" s="844">
        <v>0</v>
      </c>
      <c r="CD380" s="844">
        <v>0</v>
      </c>
      <c r="CE380" s="844">
        <v>0</v>
      </c>
      <c r="CF380" s="844">
        <v>0</v>
      </c>
      <c r="CG380" s="844">
        <v>0</v>
      </c>
      <c r="CH380" s="844">
        <v>0</v>
      </c>
      <c r="CI380" s="844">
        <v>0</v>
      </c>
      <c r="CJ380" s="844">
        <v>0</v>
      </c>
      <c r="CK380" s="844">
        <v>0</v>
      </c>
      <c r="CL380" s="844">
        <v>0</v>
      </c>
      <c r="CM380" s="844">
        <v>0</v>
      </c>
      <c r="CN380" s="844">
        <v>0</v>
      </c>
      <c r="CO380" s="844">
        <v>0</v>
      </c>
      <c r="CP380" s="844">
        <v>0</v>
      </c>
      <c r="CQ380" s="844">
        <v>0</v>
      </c>
      <c r="CR380" s="844">
        <v>0</v>
      </c>
      <c r="CS380" s="844">
        <v>0</v>
      </c>
      <c r="CT380" s="844">
        <v>0</v>
      </c>
      <c r="CU380" s="844">
        <v>0</v>
      </c>
      <c r="CV380" s="844">
        <v>0</v>
      </c>
      <c r="CW380" s="844">
        <v>0</v>
      </c>
      <c r="CX380" s="844">
        <v>0</v>
      </c>
      <c r="CY380" s="844">
        <v>0</v>
      </c>
      <c r="CZ380" s="844">
        <v>0</v>
      </c>
      <c r="DA380" s="844">
        <v>0</v>
      </c>
      <c r="DB380" s="844">
        <v>0</v>
      </c>
      <c r="DC380" s="844">
        <v>0</v>
      </c>
      <c r="DD380" s="844">
        <v>0</v>
      </c>
      <c r="DE380" s="844">
        <v>0</v>
      </c>
      <c r="DF380" s="844">
        <v>0</v>
      </c>
      <c r="DG380" s="844">
        <v>0</v>
      </c>
      <c r="DH380" s="844">
        <v>0</v>
      </c>
      <c r="DI380" s="844">
        <v>0</v>
      </c>
      <c r="DJ380" s="844">
        <v>0</v>
      </c>
      <c r="DK380" s="844">
        <v>0</v>
      </c>
      <c r="DL380" s="844">
        <v>0</v>
      </c>
      <c r="DM380" s="844">
        <v>0</v>
      </c>
      <c r="DN380" s="844">
        <v>0</v>
      </c>
      <c r="DO380" s="844">
        <v>0</v>
      </c>
      <c r="DP380" s="844">
        <v>0</v>
      </c>
      <c r="DQ380" s="844">
        <v>0</v>
      </c>
      <c r="DR380" s="844">
        <v>0</v>
      </c>
      <c r="DS380" s="844">
        <v>0</v>
      </c>
      <c r="DT380" s="844">
        <v>0</v>
      </c>
      <c r="DU380" s="844">
        <v>0</v>
      </c>
      <c r="DV380" s="844">
        <v>0</v>
      </c>
      <c r="DW380" s="844">
        <v>0</v>
      </c>
      <c r="DY380" s="846" t="s">
        <v>1060</v>
      </c>
      <c r="DZ380" s="846" t="s">
        <v>1382</v>
      </c>
      <c r="EA380" s="846" t="s">
        <v>96</v>
      </c>
      <c r="EB380" s="847">
        <v>65</v>
      </c>
      <c r="EC380" s="780" t="str">
        <f t="shared" si="15"/>
        <v>IWT060165</v>
      </c>
      <c r="ED380" s="847">
        <v>0</v>
      </c>
      <c r="EE380" s="847">
        <v>2873</v>
      </c>
      <c r="EF380" s="847">
        <v>8160</v>
      </c>
      <c r="EG380" s="847">
        <v>13547</v>
      </c>
      <c r="EH380" s="847">
        <v>19035</v>
      </c>
      <c r="EI380" s="847">
        <v>24631</v>
      </c>
      <c r="EJ380" s="847">
        <v>30337</v>
      </c>
      <c r="EK380" s="847">
        <v>30887</v>
      </c>
      <c r="EL380" s="847">
        <v>31461</v>
      </c>
      <c r="EM380" s="847">
        <v>32061</v>
      </c>
      <c r="EN380" s="847">
        <v>32694</v>
      </c>
      <c r="EO380" s="847">
        <v>33348</v>
      </c>
      <c r="EP380" s="847">
        <v>34015</v>
      </c>
      <c r="EQ380" s="847">
        <v>34695</v>
      </c>
      <c r="ER380" s="847">
        <v>35389</v>
      </c>
      <c r="ES380" s="847">
        <v>36097</v>
      </c>
      <c r="ET380" s="847">
        <v>36819</v>
      </c>
      <c r="EU380" s="847">
        <v>37555</v>
      </c>
      <c r="EV380" s="847">
        <v>38306</v>
      </c>
      <c r="EW380" s="847">
        <v>39072</v>
      </c>
      <c r="EX380" s="847">
        <v>39853</v>
      </c>
      <c r="EY380" s="847">
        <v>40650</v>
      </c>
      <c r="EZ380" s="847">
        <v>41463</v>
      </c>
      <c r="FA380" s="847">
        <v>42292</v>
      </c>
      <c r="FB380" s="847">
        <v>43137</v>
      </c>
      <c r="FC380" s="847">
        <v>44000</v>
      </c>
      <c r="FD380" s="847">
        <v>44879</v>
      </c>
      <c r="FE380" s="847">
        <v>45777</v>
      </c>
      <c r="FF380" s="847">
        <v>46692</v>
      </c>
      <c r="FG380" s="847">
        <v>47625</v>
      </c>
      <c r="FH380" s="847">
        <v>48577</v>
      </c>
      <c r="FI380" s="847">
        <v>49548</v>
      </c>
      <c r="FJ380" s="847">
        <v>50538</v>
      </c>
      <c r="FK380" s="847">
        <v>51548</v>
      </c>
      <c r="FL380" s="847">
        <v>52578</v>
      </c>
      <c r="FM380" s="847">
        <v>53629</v>
      </c>
      <c r="FN380" s="847">
        <v>54700</v>
      </c>
      <c r="FO380" s="847">
        <v>55793</v>
      </c>
      <c r="FP380" s="847">
        <v>56907</v>
      </c>
      <c r="FQ380" s="847">
        <v>58044</v>
      </c>
      <c r="FR380" s="847">
        <v>59203</v>
      </c>
      <c r="FS380" s="847">
        <v>60385</v>
      </c>
      <c r="FT380" s="847">
        <v>61590</v>
      </c>
      <c r="FU380" s="847">
        <v>62819</v>
      </c>
      <c r="FV380" s="847">
        <v>64072</v>
      </c>
      <c r="FW380" s="847">
        <v>65350</v>
      </c>
      <c r="FX380" s="847">
        <v>66000</v>
      </c>
      <c r="FY380" s="847">
        <v>0</v>
      </c>
      <c r="FZ380" s="847">
        <v>0</v>
      </c>
      <c r="GA380" s="847">
        <v>0</v>
      </c>
      <c r="GB380" s="847">
        <v>0</v>
      </c>
      <c r="GC380" s="847">
        <v>0</v>
      </c>
      <c r="GD380" s="847">
        <v>0</v>
      </c>
      <c r="GE380" s="847">
        <v>0</v>
      </c>
      <c r="GF380" s="847">
        <v>0</v>
      </c>
      <c r="GG380" s="847">
        <v>0</v>
      </c>
      <c r="GH380" s="847">
        <v>0</v>
      </c>
      <c r="GI380" s="847">
        <v>0</v>
      </c>
      <c r="GJ380" s="847">
        <v>0</v>
      </c>
      <c r="GK380" s="847">
        <v>0</v>
      </c>
      <c r="GL380" s="847">
        <v>0</v>
      </c>
      <c r="GM380" s="847">
        <v>0</v>
      </c>
      <c r="GN380" s="847">
        <v>0</v>
      </c>
      <c r="GO380" s="847">
        <v>0</v>
      </c>
      <c r="GP380" s="847">
        <v>0</v>
      </c>
      <c r="GQ380" s="847">
        <v>0</v>
      </c>
      <c r="GR380" s="847">
        <v>0</v>
      </c>
      <c r="GS380" s="847">
        <v>0</v>
      </c>
      <c r="GT380" s="847">
        <v>0</v>
      </c>
      <c r="GU380" s="847">
        <v>0</v>
      </c>
      <c r="GV380" s="847">
        <v>0</v>
      </c>
      <c r="GW380" s="847">
        <v>0</v>
      </c>
      <c r="GX380" s="847">
        <v>0</v>
      </c>
      <c r="GY380" s="847">
        <v>0</v>
      </c>
      <c r="GZ380" s="847">
        <v>0</v>
      </c>
      <c r="HA380" s="847">
        <v>0</v>
      </c>
      <c r="HB380" s="847">
        <v>0</v>
      </c>
      <c r="HC380" s="847">
        <v>0</v>
      </c>
      <c r="HD380" s="847">
        <v>0</v>
      </c>
      <c r="HE380" s="847">
        <v>0</v>
      </c>
      <c r="HF380" s="847">
        <v>0</v>
      </c>
      <c r="HG380" s="847">
        <v>0</v>
      </c>
      <c r="HH380" s="847">
        <v>0</v>
      </c>
      <c r="HI380" s="847">
        <v>0</v>
      </c>
      <c r="HJ380" s="847">
        <v>0</v>
      </c>
      <c r="HK380" s="847">
        <v>0</v>
      </c>
      <c r="HL380" s="847">
        <v>0</v>
      </c>
      <c r="HM380" s="847">
        <v>0</v>
      </c>
      <c r="HN380" s="847">
        <v>0</v>
      </c>
      <c r="HO380" s="847">
        <v>0</v>
      </c>
      <c r="HP380" s="847">
        <v>0</v>
      </c>
      <c r="HQ380" s="847">
        <v>0</v>
      </c>
      <c r="HR380" s="847">
        <v>0</v>
      </c>
      <c r="HS380" s="847">
        <v>0</v>
      </c>
      <c r="HT380" s="847">
        <v>0</v>
      </c>
      <c r="HU380" s="847">
        <v>0</v>
      </c>
      <c r="HV380" s="847">
        <v>0</v>
      </c>
      <c r="HW380" s="847">
        <v>0</v>
      </c>
      <c r="HX380" s="847">
        <v>0</v>
      </c>
      <c r="HY380" s="847">
        <v>0</v>
      </c>
      <c r="HZ380" s="847">
        <v>0</v>
      </c>
      <c r="IA380" s="847">
        <v>0</v>
      </c>
      <c r="IB380" s="847">
        <v>0</v>
      </c>
      <c r="IC380" s="847">
        <v>0</v>
      </c>
      <c r="ID380" s="847">
        <v>0</v>
      </c>
      <c r="IE380" s="847">
        <v>0</v>
      </c>
      <c r="IF380" s="847">
        <v>0</v>
      </c>
      <c r="IG380" s="847">
        <v>0</v>
      </c>
      <c r="IH380" s="847">
        <v>0</v>
      </c>
      <c r="II380" s="847">
        <v>0</v>
      </c>
      <c r="IJ380" s="847">
        <v>0</v>
      </c>
      <c r="IK380" s="847">
        <v>0</v>
      </c>
    </row>
    <row r="381" spans="12:245" hidden="1">
      <c r="L381" s="843" t="s">
        <v>1060</v>
      </c>
      <c r="M381" s="843" t="s">
        <v>1382</v>
      </c>
      <c r="N381" s="843" t="s">
        <v>96</v>
      </c>
      <c r="O381" s="844">
        <v>66</v>
      </c>
      <c r="P381" s="780" t="str">
        <f t="shared" si="14"/>
        <v>IWT060166</v>
      </c>
      <c r="Q381" s="844">
        <v>2133</v>
      </c>
      <c r="R381" s="844">
        <v>6506</v>
      </c>
      <c r="S381" s="844">
        <v>11492</v>
      </c>
      <c r="T381" s="844">
        <v>17108</v>
      </c>
      <c r="U381" s="844">
        <v>23374</v>
      </c>
      <c r="V381" s="844">
        <v>30007</v>
      </c>
      <c r="W381" s="844">
        <v>30852</v>
      </c>
      <c r="X381" s="844">
        <v>31418</v>
      </c>
      <c r="Y381" s="844">
        <v>32013</v>
      </c>
      <c r="Z381" s="844">
        <v>32641</v>
      </c>
      <c r="AA381" s="844">
        <v>33293</v>
      </c>
      <c r="AB381" s="844">
        <v>33959</v>
      </c>
      <c r="AC381" s="844">
        <v>34638</v>
      </c>
      <c r="AD381" s="844">
        <v>35331</v>
      </c>
      <c r="AE381" s="844">
        <v>36037</v>
      </c>
      <c r="AF381" s="844">
        <v>36758</v>
      </c>
      <c r="AG381" s="844">
        <v>37493</v>
      </c>
      <c r="AH381" s="844">
        <v>38243</v>
      </c>
      <c r="AI381" s="844">
        <v>39007</v>
      </c>
      <c r="AJ381" s="844">
        <v>39787</v>
      </c>
      <c r="AK381" s="844">
        <v>40583</v>
      </c>
      <c r="AL381" s="844">
        <v>41394</v>
      </c>
      <c r="AM381" s="844">
        <v>42222</v>
      </c>
      <c r="AN381" s="844">
        <v>43066</v>
      </c>
      <c r="AO381" s="844">
        <v>43927</v>
      </c>
      <c r="AP381" s="844">
        <v>44805</v>
      </c>
      <c r="AQ381" s="844">
        <v>45701</v>
      </c>
      <c r="AR381" s="844">
        <v>46615</v>
      </c>
      <c r="AS381" s="844">
        <v>47546</v>
      </c>
      <c r="AT381" s="844">
        <v>48497</v>
      </c>
      <c r="AU381" s="844">
        <v>49466</v>
      </c>
      <c r="AV381" s="844">
        <v>50455</v>
      </c>
      <c r="AW381" s="844">
        <v>51463</v>
      </c>
      <c r="AX381" s="844">
        <v>52491</v>
      </c>
      <c r="AY381" s="844">
        <v>53540</v>
      </c>
      <c r="AZ381" s="844">
        <v>54609</v>
      </c>
      <c r="BA381" s="844">
        <v>55700</v>
      </c>
      <c r="BB381" s="844">
        <v>56813</v>
      </c>
      <c r="BC381" s="844">
        <v>57947</v>
      </c>
      <c r="BD381" s="844">
        <v>59104</v>
      </c>
      <c r="BE381" s="844">
        <v>60284</v>
      </c>
      <c r="BF381" s="844">
        <v>61487</v>
      </c>
      <c r="BG381" s="844">
        <v>62713</v>
      </c>
      <c r="BH381" s="844">
        <v>63964</v>
      </c>
      <c r="BI381" s="844">
        <v>64600</v>
      </c>
      <c r="BJ381" s="844">
        <v>0</v>
      </c>
      <c r="BK381" s="844">
        <v>0</v>
      </c>
      <c r="BL381" s="844">
        <v>0</v>
      </c>
      <c r="BM381" s="844">
        <v>0</v>
      </c>
      <c r="BN381" s="844">
        <v>0</v>
      </c>
      <c r="BO381" s="844">
        <v>0</v>
      </c>
      <c r="BP381" s="844">
        <v>0</v>
      </c>
      <c r="BQ381" s="844">
        <v>0</v>
      </c>
      <c r="BR381" s="844">
        <v>0</v>
      </c>
      <c r="BS381" s="844">
        <v>0</v>
      </c>
      <c r="BT381" s="844">
        <v>0</v>
      </c>
      <c r="BU381" s="844">
        <v>0</v>
      </c>
      <c r="BV381" s="844">
        <v>0</v>
      </c>
      <c r="BW381" s="844">
        <v>0</v>
      </c>
      <c r="BX381" s="844">
        <v>0</v>
      </c>
      <c r="BY381" s="844">
        <v>0</v>
      </c>
      <c r="BZ381" s="844">
        <v>0</v>
      </c>
      <c r="CA381" s="844">
        <v>0</v>
      </c>
      <c r="CB381" s="844">
        <v>0</v>
      </c>
      <c r="CC381" s="844">
        <v>0</v>
      </c>
      <c r="CD381" s="844">
        <v>0</v>
      </c>
      <c r="CE381" s="844">
        <v>0</v>
      </c>
      <c r="CF381" s="844">
        <v>0</v>
      </c>
      <c r="CG381" s="844">
        <v>0</v>
      </c>
      <c r="CH381" s="844">
        <v>0</v>
      </c>
      <c r="CI381" s="844">
        <v>0</v>
      </c>
      <c r="CJ381" s="844">
        <v>0</v>
      </c>
      <c r="CK381" s="844">
        <v>0</v>
      </c>
      <c r="CL381" s="844">
        <v>0</v>
      </c>
      <c r="CM381" s="844">
        <v>0</v>
      </c>
      <c r="CN381" s="844">
        <v>0</v>
      </c>
      <c r="CO381" s="844">
        <v>0</v>
      </c>
      <c r="CP381" s="844">
        <v>0</v>
      </c>
      <c r="CQ381" s="844">
        <v>0</v>
      </c>
      <c r="CR381" s="844">
        <v>0</v>
      </c>
      <c r="CS381" s="844">
        <v>0</v>
      </c>
      <c r="CT381" s="844">
        <v>0</v>
      </c>
      <c r="CU381" s="844">
        <v>0</v>
      </c>
      <c r="CV381" s="844">
        <v>0</v>
      </c>
      <c r="CW381" s="844">
        <v>0</v>
      </c>
      <c r="CX381" s="844">
        <v>0</v>
      </c>
      <c r="CY381" s="844">
        <v>0</v>
      </c>
      <c r="CZ381" s="844">
        <v>0</v>
      </c>
      <c r="DA381" s="844">
        <v>0</v>
      </c>
      <c r="DB381" s="844">
        <v>0</v>
      </c>
      <c r="DC381" s="844">
        <v>0</v>
      </c>
      <c r="DD381" s="844">
        <v>0</v>
      </c>
      <c r="DE381" s="844">
        <v>0</v>
      </c>
      <c r="DF381" s="844">
        <v>0</v>
      </c>
      <c r="DG381" s="844">
        <v>0</v>
      </c>
      <c r="DH381" s="844">
        <v>0</v>
      </c>
      <c r="DI381" s="844">
        <v>0</v>
      </c>
      <c r="DJ381" s="844">
        <v>0</v>
      </c>
      <c r="DK381" s="844">
        <v>0</v>
      </c>
      <c r="DL381" s="844">
        <v>0</v>
      </c>
      <c r="DM381" s="844">
        <v>0</v>
      </c>
      <c r="DN381" s="844">
        <v>0</v>
      </c>
      <c r="DO381" s="844">
        <v>0</v>
      </c>
      <c r="DP381" s="844">
        <v>0</v>
      </c>
      <c r="DQ381" s="844">
        <v>0</v>
      </c>
      <c r="DR381" s="844">
        <v>0</v>
      </c>
      <c r="DS381" s="844">
        <v>0</v>
      </c>
      <c r="DT381" s="844">
        <v>0</v>
      </c>
      <c r="DU381" s="844">
        <v>0</v>
      </c>
      <c r="DV381" s="844">
        <v>0</v>
      </c>
      <c r="DW381" s="844">
        <v>0</v>
      </c>
      <c r="DY381" s="846" t="s">
        <v>1060</v>
      </c>
      <c r="DZ381" s="846" t="s">
        <v>1382</v>
      </c>
      <c r="EA381" s="846" t="s">
        <v>96</v>
      </c>
      <c r="EB381" s="847">
        <v>66</v>
      </c>
      <c r="EC381" s="780" t="str">
        <f t="shared" si="15"/>
        <v>IWT060166</v>
      </c>
      <c r="ED381" s="847">
        <v>0</v>
      </c>
      <c r="EE381" s="847">
        <v>2844</v>
      </c>
      <c r="EF381" s="847">
        <v>8133</v>
      </c>
      <c r="EG381" s="847">
        <v>13520</v>
      </c>
      <c r="EH381" s="847">
        <v>19009</v>
      </c>
      <c r="EI381" s="847">
        <v>24604</v>
      </c>
      <c r="EJ381" s="847">
        <v>30310</v>
      </c>
      <c r="EK381" s="847">
        <v>30852</v>
      </c>
      <c r="EL381" s="847">
        <v>31418</v>
      </c>
      <c r="EM381" s="847">
        <v>32013</v>
      </c>
      <c r="EN381" s="847">
        <v>32641</v>
      </c>
      <c r="EO381" s="847">
        <v>33293</v>
      </c>
      <c r="EP381" s="847">
        <v>33959</v>
      </c>
      <c r="EQ381" s="847">
        <v>34638</v>
      </c>
      <c r="ER381" s="847">
        <v>35331</v>
      </c>
      <c r="ES381" s="847">
        <v>36037</v>
      </c>
      <c r="ET381" s="847">
        <v>36758</v>
      </c>
      <c r="EU381" s="847">
        <v>37493</v>
      </c>
      <c r="EV381" s="847">
        <v>38243</v>
      </c>
      <c r="EW381" s="847">
        <v>39007</v>
      </c>
      <c r="EX381" s="847">
        <v>39787</v>
      </c>
      <c r="EY381" s="847">
        <v>40583</v>
      </c>
      <c r="EZ381" s="847">
        <v>41394</v>
      </c>
      <c r="FA381" s="847">
        <v>42222</v>
      </c>
      <c r="FB381" s="847">
        <v>43066</v>
      </c>
      <c r="FC381" s="847">
        <v>43927</v>
      </c>
      <c r="FD381" s="847">
        <v>44805</v>
      </c>
      <c r="FE381" s="847">
        <v>45701</v>
      </c>
      <c r="FF381" s="847">
        <v>46615</v>
      </c>
      <c r="FG381" s="847">
        <v>47546</v>
      </c>
      <c r="FH381" s="847">
        <v>48497</v>
      </c>
      <c r="FI381" s="847">
        <v>49466</v>
      </c>
      <c r="FJ381" s="847">
        <v>50455</v>
      </c>
      <c r="FK381" s="847">
        <v>51463</v>
      </c>
      <c r="FL381" s="847">
        <v>52491</v>
      </c>
      <c r="FM381" s="847">
        <v>53540</v>
      </c>
      <c r="FN381" s="847">
        <v>54609</v>
      </c>
      <c r="FO381" s="847">
        <v>55700</v>
      </c>
      <c r="FP381" s="847">
        <v>56813</v>
      </c>
      <c r="FQ381" s="847">
        <v>57947</v>
      </c>
      <c r="FR381" s="847">
        <v>59104</v>
      </c>
      <c r="FS381" s="847">
        <v>60284</v>
      </c>
      <c r="FT381" s="847">
        <v>61487</v>
      </c>
      <c r="FU381" s="847">
        <v>62713</v>
      </c>
      <c r="FV381" s="847">
        <v>63964</v>
      </c>
      <c r="FW381" s="847">
        <v>64600</v>
      </c>
      <c r="FX381" s="847">
        <v>0</v>
      </c>
      <c r="FY381" s="847">
        <v>0</v>
      </c>
      <c r="FZ381" s="847">
        <v>0</v>
      </c>
      <c r="GA381" s="847">
        <v>0</v>
      </c>
      <c r="GB381" s="847">
        <v>0</v>
      </c>
      <c r="GC381" s="847">
        <v>0</v>
      </c>
      <c r="GD381" s="847">
        <v>0</v>
      </c>
      <c r="GE381" s="847">
        <v>0</v>
      </c>
      <c r="GF381" s="847">
        <v>0</v>
      </c>
      <c r="GG381" s="847">
        <v>0</v>
      </c>
      <c r="GH381" s="847">
        <v>0</v>
      </c>
      <c r="GI381" s="847">
        <v>0</v>
      </c>
      <c r="GJ381" s="847">
        <v>0</v>
      </c>
      <c r="GK381" s="847">
        <v>0</v>
      </c>
      <c r="GL381" s="847">
        <v>0</v>
      </c>
      <c r="GM381" s="847">
        <v>0</v>
      </c>
      <c r="GN381" s="847">
        <v>0</v>
      </c>
      <c r="GO381" s="847">
        <v>0</v>
      </c>
      <c r="GP381" s="847">
        <v>0</v>
      </c>
      <c r="GQ381" s="847">
        <v>0</v>
      </c>
      <c r="GR381" s="847">
        <v>0</v>
      </c>
      <c r="GS381" s="847">
        <v>0</v>
      </c>
      <c r="GT381" s="847">
        <v>0</v>
      </c>
      <c r="GU381" s="847">
        <v>0</v>
      </c>
      <c r="GV381" s="847">
        <v>0</v>
      </c>
      <c r="GW381" s="847">
        <v>0</v>
      </c>
      <c r="GX381" s="847">
        <v>0</v>
      </c>
      <c r="GY381" s="847">
        <v>0</v>
      </c>
      <c r="GZ381" s="847">
        <v>0</v>
      </c>
      <c r="HA381" s="847">
        <v>0</v>
      </c>
      <c r="HB381" s="847">
        <v>0</v>
      </c>
      <c r="HC381" s="847">
        <v>0</v>
      </c>
      <c r="HD381" s="847">
        <v>0</v>
      </c>
      <c r="HE381" s="847">
        <v>0</v>
      </c>
      <c r="HF381" s="847">
        <v>0</v>
      </c>
      <c r="HG381" s="847">
        <v>0</v>
      </c>
      <c r="HH381" s="847">
        <v>0</v>
      </c>
      <c r="HI381" s="847">
        <v>0</v>
      </c>
      <c r="HJ381" s="847">
        <v>0</v>
      </c>
      <c r="HK381" s="847">
        <v>0</v>
      </c>
      <c r="HL381" s="847">
        <v>0</v>
      </c>
      <c r="HM381" s="847">
        <v>0</v>
      </c>
      <c r="HN381" s="847">
        <v>0</v>
      </c>
      <c r="HO381" s="847">
        <v>0</v>
      </c>
      <c r="HP381" s="847">
        <v>0</v>
      </c>
      <c r="HQ381" s="847">
        <v>0</v>
      </c>
      <c r="HR381" s="847">
        <v>0</v>
      </c>
      <c r="HS381" s="847">
        <v>0</v>
      </c>
      <c r="HT381" s="847">
        <v>0</v>
      </c>
      <c r="HU381" s="847">
        <v>0</v>
      </c>
      <c r="HV381" s="847">
        <v>0</v>
      </c>
      <c r="HW381" s="847">
        <v>0</v>
      </c>
      <c r="HX381" s="847">
        <v>0</v>
      </c>
      <c r="HY381" s="847">
        <v>0</v>
      </c>
      <c r="HZ381" s="847">
        <v>0</v>
      </c>
      <c r="IA381" s="847">
        <v>0</v>
      </c>
      <c r="IB381" s="847">
        <v>0</v>
      </c>
      <c r="IC381" s="847">
        <v>0</v>
      </c>
      <c r="ID381" s="847">
        <v>0</v>
      </c>
      <c r="IE381" s="847">
        <v>0</v>
      </c>
      <c r="IF381" s="847">
        <v>0</v>
      </c>
      <c r="IG381" s="847">
        <v>0</v>
      </c>
      <c r="IH381" s="847">
        <v>0</v>
      </c>
      <c r="II381" s="847">
        <v>0</v>
      </c>
      <c r="IJ381" s="847">
        <v>0</v>
      </c>
      <c r="IK381" s="847">
        <v>0</v>
      </c>
    </row>
    <row r="382" spans="12:245" hidden="1">
      <c r="L382" s="843" t="s">
        <v>1060</v>
      </c>
      <c r="M382" s="843" t="s">
        <v>1382</v>
      </c>
      <c r="N382" s="843" t="s">
        <v>96</v>
      </c>
      <c r="O382" s="844">
        <v>67</v>
      </c>
      <c r="P382" s="780" t="str">
        <f t="shared" si="14"/>
        <v>IWT060167</v>
      </c>
      <c r="Q382" s="844">
        <v>2110</v>
      </c>
      <c r="R382" s="844">
        <v>6482</v>
      </c>
      <c r="S382" s="844">
        <v>11466</v>
      </c>
      <c r="T382" s="844">
        <v>17079</v>
      </c>
      <c r="U382" s="844">
        <v>23342</v>
      </c>
      <c r="V382" s="844">
        <v>29970</v>
      </c>
      <c r="W382" s="844">
        <v>30806</v>
      </c>
      <c r="X382" s="844">
        <v>31364</v>
      </c>
      <c r="Y382" s="844">
        <v>31950</v>
      </c>
      <c r="Z382" s="844">
        <v>32572</v>
      </c>
      <c r="AA382" s="844">
        <v>33223</v>
      </c>
      <c r="AB382" s="844">
        <v>33887</v>
      </c>
      <c r="AC382" s="844">
        <v>34565</v>
      </c>
      <c r="AD382" s="844">
        <v>35256</v>
      </c>
      <c r="AE382" s="844">
        <v>35961</v>
      </c>
      <c r="AF382" s="844">
        <v>36680</v>
      </c>
      <c r="AG382" s="844">
        <v>37414</v>
      </c>
      <c r="AH382" s="844">
        <v>38162</v>
      </c>
      <c r="AI382" s="844">
        <v>38925</v>
      </c>
      <c r="AJ382" s="844">
        <v>39703</v>
      </c>
      <c r="AK382" s="844">
        <v>40497</v>
      </c>
      <c r="AL382" s="844">
        <v>41307</v>
      </c>
      <c r="AM382" s="844">
        <v>42133</v>
      </c>
      <c r="AN382" s="844">
        <v>42975</v>
      </c>
      <c r="AO382" s="844">
        <v>43834</v>
      </c>
      <c r="AP382" s="844">
        <v>44710</v>
      </c>
      <c r="AQ382" s="844">
        <v>45604</v>
      </c>
      <c r="AR382" s="844">
        <v>46516</v>
      </c>
      <c r="AS382" s="844">
        <v>47445</v>
      </c>
      <c r="AT382" s="844">
        <v>48394</v>
      </c>
      <c r="AU382" s="844">
        <v>49361</v>
      </c>
      <c r="AV382" s="844">
        <v>50347</v>
      </c>
      <c r="AW382" s="844">
        <v>51353</v>
      </c>
      <c r="AX382" s="844">
        <v>52379</v>
      </c>
      <c r="AY382" s="844">
        <v>53426</v>
      </c>
      <c r="AZ382" s="844">
        <v>54493</v>
      </c>
      <c r="BA382" s="844">
        <v>55581</v>
      </c>
      <c r="BB382" s="844">
        <v>56691</v>
      </c>
      <c r="BC382" s="844">
        <v>57823</v>
      </c>
      <c r="BD382" s="844">
        <v>58977</v>
      </c>
      <c r="BE382" s="844">
        <v>60154</v>
      </c>
      <c r="BF382" s="844">
        <v>61354</v>
      </c>
      <c r="BG382" s="844">
        <v>62577</v>
      </c>
      <c r="BH382" s="844">
        <v>63200</v>
      </c>
      <c r="BI382" s="844">
        <v>0</v>
      </c>
      <c r="BJ382" s="844">
        <v>0</v>
      </c>
      <c r="BK382" s="844">
        <v>0</v>
      </c>
      <c r="BL382" s="844">
        <v>0</v>
      </c>
      <c r="BM382" s="844">
        <v>0</v>
      </c>
      <c r="BN382" s="844">
        <v>0</v>
      </c>
      <c r="BO382" s="844">
        <v>0</v>
      </c>
      <c r="BP382" s="844">
        <v>0</v>
      </c>
      <c r="BQ382" s="844">
        <v>0</v>
      </c>
      <c r="BR382" s="844">
        <v>0</v>
      </c>
      <c r="BS382" s="844">
        <v>0</v>
      </c>
      <c r="BT382" s="844">
        <v>0</v>
      </c>
      <c r="BU382" s="844">
        <v>0</v>
      </c>
      <c r="BV382" s="844">
        <v>0</v>
      </c>
      <c r="BW382" s="844">
        <v>0</v>
      </c>
      <c r="BX382" s="844">
        <v>0</v>
      </c>
      <c r="BY382" s="844">
        <v>0</v>
      </c>
      <c r="BZ382" s="844">
        <v>0</v>
      </c>
      <c r="CA382" s="844">
        <v>0</v>
      </c>
      <c r="CB382" s="844">
        <v>0</v>
      </c>
      <c r="CC382" s="844">
        <v>0</v>
      </c>
      <c r="CD382" s="844">
        <v>0</v>
      </c>
      <c r="CE382" s="844">
        <v>0</v>
      </c>
      <c r="CF382" s="844">
        <v>0</v>
      </c>
      <c r="CG382" s="844">
        <v>0</v>
      </c>
      <c r="CH382" s="844">
        <v>0</v>
      </c>
      <c r="CI382" s="844">
        <v>0</v>
      </c>
      <c r="CJ382" s="844">
        <v>0</v>
      </c>
      <c r="CK382" s="844">
        <v>0</v>
      </c>
      <c r="CL382" s="844">
        <v>0</v>
      </c>
      <c r="CM382" s="844">
        <v>0</v>
      </c>
      <c r="CN382" s="844">
        <v>0</v>
      </c>
      <c r="CO382" s="844">
        <v>0</v>
      </c>
      <c r="CP382" s="844">
        <v>0</v>
      </c>
      <c r="CQ382" s="844">
        <v>0</v>
      </c>
      <c r="CR382" s="844">
        <v>0</v>
      </c>
      <c r="CS382" s="844">
        <v>0</v>
      </c>
      <c r="CT382" s="844">
        <v>0</v>
      </c>
      <c r="CU382" s="844">
        <v>0</v>
      </c>
      <c r="CV382" s="844">
        <v>0</v>
      </c>
      <c r="CW382" s="844">
        <v>0</v>
      </c>
      <c r="CX382" s="844">
        <v>0</v>
      </c>
      <c r="CY382" s="844">
        <v>0</v>
      </c>
      <c r="CZ382" s="844">
        <v>0</v>
      </c>
      <c r="DA382" s="844">
        <v>0</v>
      </c>
      <c r="DB382" s="844">
        <v>0</v>
      </c>
      <c r="DC382" s="844">
        <v>0</v>
      </c>
      <c r="DD382" s="844">
        <v>0</v>
      </c>
      <c r="DE382" s="844">
        <v>0</v>
      </c>
      <c r="DF382" s="844">
        <v>0</v>
      </c>
      <c r="DG382" s="844">
        <v>0</v>
      </c>
      <c r="DH382" s="844">
        <v>0</v>
      </c>
      <c r="DI382" s="844">
        <v>0</v>
      </c>
      <c r="DJ382" s="844">
        <v>0</v>
      </c>
      <c r="DK382" s="844">
        <v>0</v>
      </c>
      <c r="DL382" s="844">
        <v>0</v>
      </c>
      <c r="DM382" s="844">
        <v>0</v>
      </c>
      <c r="DN382" s="844">
        <v>0</v>
      </c>
      <c r="DO382" s="844">
        <v>0</v>
      </c>
      <c r="DP382" s="844">
        <v>0</v>
      </c>
      <c r="DQ382" s="844">
        <v>0</v>
      </c>
      <c r="DR382" s="844">
        <v>0</v>
      </c>
      <c r="DS382" s="844">
        <v>0</v>
      </c>
      <c r="DT382" s="844">
        <v>0</v>
      </c>
      <c r="DU382" s="844">
        <v>0</v>
      </c>
      <c r="DV382" s="844">
        <v>0</v>
      </c>
      <c r="DW382" s="844">
        <v>0</v>
      </c>
      <c r="DY382" s="846" t="s">
        <v>1060</v>
      </c>
      <c r="DZ382" s="846" t="s">
        <v>1382</v>
      </c>
      <c r="EA382" s="846" t="s">
        <v>96</v>
      </c>
      <c r="EB382" s="847">
        <v>67</v>
      </c>
      <c r="EC382" s="780" t="str">
        <f t="shared" si="15"/>
        <v>IWT060167</v>
      </c>
      <c r="ED382" s="847">
        <v>0</v>
      </c>
      <c r="EE382" s="847">
        <v>2813</v>
      </c>
      <c r="EF382" s="847">
        <v>8102</v>
      </c>
      <c r="EG382" s="847">
        <v>13489</v>
      </c>
      <c r="EH382" s="847">
        <v>18977</v>
      </c>
      <c r="EI382" s="847">
        <v>24570</v>
      </c>
      <c r="EJ382" s="847">
        <v>30273</v>
      </c>
      <c r="EK382" s="847">
        <v>30806</v>
      </c>
      <c r="EL382" s="847">
        <v>31364</v>
      </c>
      <c r="EM382" s="847">
        <v>31950</v>
      </c>
      <c r="EN382" s="847">
        <v>32572</v>
      </c>
      <c r="EO382" s="847">
        <v>33223</v>
      </c>
      <c r="EP382" s="847">
        <v>33887</v>
      </c>
      <c r="EQ382" s="847">
        <v>34565</v>
      </c>
      <c r="ER382" s="847">
        <v>35256</v>
      </c>
      <c r="ES382" s="847">
        <v>35961</v>
      </c>
      <c r="ET382" s="847">
        <v>36680</v>
      </c>
      <c r="EU382" s="847">
        <v>37414</v>
      </c>
      <c r="EV382" s="847">
        <v>38162</v>
      </c>
      <c r="EW382" s="847">
        <v>38925</v>
      </c>
      <c r="EX382" s="847">
        <v>39703</v>
      </c>
      <c r="EY382" s="847">
        <v>40497</v>
      </c>
      <c r="EZ382" s="847">
        <v>41307</v>
      </c>
      <c r="FA382" s="847">
        <v>42133</v>
      </c>
      <c r="FB382" s="847">
        <v>42975</v>
      </c>
      <c r="FC382" s="847">
        <v>43834</v>
      </c>
      <c r="FD382" s="847">
        <v>44710</v>
      </c>
      <c r="FE382" s="847">
        <v>45604</v>
      </c>
      <c r="FF382" s="847">
        <v>46516</v>
      </c>
      <c r="FG382" s="847">
        <v>47445</v>
      </c>
      <c r="FH382" s="847">
        <v>48394</v>
      </c>
      <c r="FI382" s="847">
        <v>49361</v>
      </c>
      <c r="FJ382" s="847">
        <v>50347</v>
      </c>
      <c r="FK382" s="847">
        <v>51353</v>
      </c>
      <c r="FL382" s="847">
        <v>52379</v>
      </c>
      <c r="FM382" s="847">
        <v>53426</v>
      </c>
      <c r="FN382" s="847">
        <v>54493</v>
      </c>
      <c r="FO382" s="847">
        <v>55581</v>
      </c>
      <c r="FP382" s="847">
        <v>56691</v>
      </c>
      <c r="FQ382" s="847">
        <v>57823</v>
      </c>
      <c r="FR382" s="847">
        <v>58977</v>
      </c>
      <c r="FS382" s="847">
        <v>60154</v>
      </c>
      <c r="FT382" s="847">
        <v>61354</v>
      </c>
      <c r="FU382" s="847">
        <v>62577</v>
      </c>
      <c r="FV382" s="847">
        <v>63200</v>
      </c>
      <c r="FW382" s="847">
        <v>0</v>
      </c>
      <c r="FX382" s="847">
        <v>0</v>
      </c>
      <c r="FY382" s="847">
        <v>0</v>
      </c>
      <c r="FZ382" s="847">
        <v>0</v>
      </c>
      <c r="GA382" s="847">
        <v>0</v>
      </c>
      <c r="GB382" s="847">
        <v>0</v>
      </c>
      <c r="GC382" s="847">
        <v>0</v>
      </c>
      <c r="GD382" s="847">
        <v>0</v>
      </c>
      <c r="GE382" s="847">
        <v>0</v>
      </c>
      <c r="GF382" s="847">
        <v>0</v>
      </c>
      <c r="GG382" s="847">
        <v>0</v>
      </c>
      <c r="GH382" s="847">
        <v>0</v>
      </c>
      <c r="GI382" s="847">
        <v>0</v>
      </c>
      <c r="GJ382" s="847">
        <v>0</v>
      </c>
      <c r="GK382" s="847">
        <v>0</v>
      </c>
      <c r="GL382" s="847">
        <v>0</v>
      </c>
      <c r="GM382" s="847">
        <v>0</v>
      </c>
      <c r="GN382" s="847">
        <v>0</v>
      </c>
      <c r="GO382" s="847">
        <v>0</v>
      </c>
      <c r="GP382" s="847">
        <v>0</v>
      </c>
      <c r="GQ382" s="847">
        <v>0</v>
      </c>
      <c r="GR382" s="847">
        <v>0</v>
      </c>
      <c r="GS382" s="847">
        <v>0</v>
      </c>
      <c r="GT382" s="847">
        <v>0</v>
      </c>
      <c r="GU382" s="847">
        <v>0</v>
      </c>
      <c r="GV382" s="847">
        <v>0</v>
      </c>
      <c r="GW382" s="847">
        <v>0</v>
      </c>
      <c r="GX382" s="847">
        <v>0</v>
      </c>
      <c r="GY382" s="847">
        <v>0</v>
      </c>
      <c r="GZ382" s="847">
        <v>0</v>
      </c>
      <c r="HA382" s="847">
        <v>0</v>
      </c>
      <c r="HB382" s="847">
        <v>0</v>
      </c>
      <c r="HC382" s="847">
        <v>0</v>
      </c>
      <c r="HD382" s="847">
        <v>0</v>
      </c>
      <c r="HE382" s="847">
        <v>0</v>
      </c>
      <c r="HF382" s="847">
        <v>0</v>
      </c>
      <c r="HG382" s="847">
        <v>0</v>
      </c>
      <c r="HH382" s="847">
        <v>0</v>
      </c>
      <c r="HI382" s="847">
        <v>0</v>
      </c>
      <c r="HJ382" s="847">
        <v>0</v>
      </c>
      <c r="HK382" s="847">
        <v>0</v>
      </c>
      <c r="HL382" s="847">
        <v>0</v>
      </c>
      <c r="HM382" s="847">
        <v>0</v>
      </c>
      <c r="HN382" s="847">
        <v>0</v>
      </c>
      <c r="HO382" s="847">
        <v>0</v>
      </c>
      <c r="HP382" s="847">
        <v>0</v>
      </c>
      <c r="HQ382" s="847">
        <v>0</v>
      </c>
      <c r="HR382" s="847">
        <v>0</v>
      </c>
      <c r="HS382" s="847">
        <v>0</v>
      </c>
      <c r="HT382" s="847">
        <v>0</v>
      </c>
      <c r="HU382" s="847">
        <v>0</v>
      </c>
      <c r="HV382" s="847">
        <v>0</v>
      </c>
      <c r="HW382" s="847">
        <v>0</v>
      </c>
      <c r="HX382" s="847">
        <v>0</v>
      </c>
      <c r="HY382" s="847">
        <v>0</v>
      </c>
      <c r="HZ382" s="847">
        <v>0</v>
      </c>
      <c r="IA382" s="847">
        <v>0</v>
      </c>
      <c r="IB382" s="847">
        <v>0</v>
      </c>
      <c r="IC382" s="847">
        <v>0</v>
      </c>
      <c r="ID382" s="847">
        <v>0</v>
      </c>
      <c r="IE382" s="847">
        <v>0</v>
      </c>
      <c r="IF382" s="847">
        <v>0</v>
      </c>
      <c r="IG382" s="847">
        <v>0</v>
      </c>
      <c r="IH382" s="847">
        <v>0</v>
      </c>
      <c r="II382" s="847">
        <v>0</v>
      </c>
      <c r="IJ382" s="847">
        <v>0</v>
      </c>
      <c r="IK382" s="847">
        <v>0</v>
      </c>
    </row>
    <row r="383" spans="12:245" hidden="1">
      <c r="L383" s="843" t="s">
        <v>1060</v>
      </c>
      <c r="M383" s="843" t="s">
        <v>1382</v>
      </c>
      <c r="N383" s="843" t="s">
        <v>96</v>
      </c>
      <c r="O383" s="844">
        <v>68</v>
      </c>
      <c r="P383" s="780" t="str">
        <f t="shared" si="14"/>
        <v>IWT060168</v>
      </c>
      <c r="Q383" s="844">
        <v>2084</v>
      </c>
      <c r="R383" s="844">
        <v>6454</v>
      </c>
      <c r="S383" s="844">
        <v>11435</v>
      </c>
      <c r="T383" s="844">
        <v>17044</v>
      </c>
      <c r="U383" s="844">
        <v>23302</v>
      </c>
      <c r="V383" s="844">
        <v>29926</v>
      </c>
      <c r="W383" s="844">
        <v>30750</v>
      </c>
      <c r="X383" s="844">
        <v>31297</v>
      </c>
      <c r="Y383" s="844">
        <v>31874</v>
      </c>
      <c r="Z383" s="844">
        <v>32487</v>
      </c>
      <c r="AA383" s="844">
        <v>33137</v>
      </c>
      <c r="AB383" s="844">
        <v>33799</v>
      </c>
      <c r="AC383" s="844">
        <v>34475</v>
      </c>
      <c r="AD383" s="844">
        <v>35165</v>
      </c>
      <c r="AE383" s="844">
        <v>35868</v>
      </c>
      <c r="AF383" s="844">
        <v>36585</v>
      </c>
      <c r="AG383" s="844">
        <v>37317</v>
      </c>
      <c r="AH383" s="844">
        <v>38063</v>
      </c>
      <c r="AI383" s="844">
        <v>38824</v>
      </c>
      <c r="AJ383" s="844">
        <v>39600</v>
      </c>
      <c r="AK383" s="844">
        <v>40392</v>
      </c>
      <c r="AL383" s="844">
        <v>41199</v>
      </c>
      <c r="AM383" s="844">
        <v>42023</v>
      </c>
      <c r="AN383" s="844">
        <v>42863</v>
      </c>
      <c r="AO383" s="844">
        <v>43720</v>
      </c>
      <c r="AP383" s="844">
        <v>44594</v>
      </c>
      <c r="AQ383" s="844">
        <v>45486</v>
      </c>
      <c r="AR383" s="844">
        <v>46395</v>
      </c>
      <c r="AS383" s="844">
        <v>47322</v>
      </c>
      <c r="AT383" s="844">
        <v>48268</v>
      </c>
      <c r="AU383" s="844">
        <v>49232</v>
      </c>
      <c r="AV383" s="844">
        <v>50216</v>
      </c>
      <c r="AW383" s="844">
        <v>51219</v>
      </c>
      <c r="AX383" s="844">
        <v>52242</v>
      </c>
      <c r="AY383" s="844">
        <v>53286</v>
      </c>
      <c r="AZ383" s="844">
        <v>54350</v>
      </c>
      <c r="BA383" s="844">
        <v>55435</v>
      </c>
      <c r="BB383" s="844">
        <v>56542</v>
      </c>
      <c r="BC383" s="844">
        <v>57671</v>
      </c>
      <c r="BD383" s="844">
        <v>58822</v>
      </c>
      <c r="BE383" s="844">
        <v>59995</v>
      </c>
      <c r="BF383" s="844">
        <v>61191</v>
      </c>
      <c r="BG383" s="844">
        <v>61800</v>
      </c>
      <c r="BH383" s="844">
        <v>0</v>
      </c>
      <c r="BI383" s="844">
        <v>0</v>
      </c>
      <c r="BJ383" s="844">
        <v>0</v>
      </c>
      <c r="BK383" s="844">
        <v>0</v>
      </c>
      <c r="BL383" s="844">
        <v>0</v>
      </c>
      <c r="BM383" s="844">
        <v>0</v>
      </c>
      <c r="BN383" s="844">
        <v>0</v>
      </c>
      <c r="BO383" s="844">
        <v>0</v>
      </c>
      <c r="BP383" s="844">
        <v>0</v>
      </c>
      <c r="BQ383" s="844">
        <v>0</v>
      </c>
      <c r="BR383" s="844">
        <v>0</v>
      </c>
      <c r="BS383" s="844">
        <v>0</v>
      </c>
      <c r="BT383" s="844">
        <v>0</v>
      </c>
      <c r="BU383" s="844">
        <v>0</v>
      </c>
      <c r="BV383" s="844">
        <v>0</v>
      </c>
      <c r="BW383" s="844">
        <v>0</v>
      </c>
      <c r="BX383" s="844">
        <v>0</v>
      </c>
      <c r="BY383" s="844">
        <v>0</v>
      </c>
      <c r="BZ383" s="844">
        <v>0</v>
      </c>
      <c r="CA383" s="844">
        <v>0</v>
      </c>
      <c r="CB383" s="844">
        <v>0</v>
      </c>
      <c r="CC383" s="844">
        <v>0</v>
      </c>
      <c r="CD383" s="844">
        <v>0</v>
      </c>
      <c r="CE383" s="844">
        <v>0</v>
      </c>
      <c r="CF383" s="844">
        <v>0</v>
      </c>
      <c r="CG383" s="844">
        <v>0</v>
      </c>
      <c r="CH383" s="844">
        <v>0</v>
      </c>
      <c r="CI383" s="844">
        <v>0</v>
      </c>
      <c r="CJ383" s="844">
        <v>0</v>
      </c>
      <c r="CK383" s="844">
        <v>0</v>
      </c>
      <c r="CL383" s="844">
        <v>0</v>
      </c>
      <c r="CM383" s="844">
        <v>0</v>
      </c>
      <c r="CN383" s="844">
        <v>0</v>
      </c>
      <c r="CO383" s="844">
        <v>0</v>
      </c>
      <c r="CP383" s="844">
        <v>0</v>
      </c>
      <c r="CQ383" s="844">
        <v>0</v>
      </c>
      <c r="CR383" s="844">
        <v>0</v>
      </c>
      <c r="CS383" s="844">
        <v>0</v>
      </c>
      <c r="CT383" s="844">
        <v>0</v>
      </c>
      <c r="CU383" s="844">
        <v>0</v>
      </c>
      <c r="CV383" s="844">
        <v>0</v>
      </c>
      <c r="CW383" s="844">
        <v>0</v>
      </c>
      <c r="CX383" s="844">
        <v>0</v>
      </c>
      <c r="CY383" s="844">
        <v>0</v>
      </c>
      <c r="CZ383" s="844">
        <v>0</v>
      </c>
      <c r="DA383" s="844">
        <v>0</v>
      </c>
      <c r="DB383" s="844">
        <v>0</v>
      </c>
      <c r="DC383" s="844">
        <v>0</v>
      </c>
      <c r="DD383" s="844">
        <v>0</v>
      </c>
      <c r="DE383" s="844">
        <v>0</v>
      </c>
      <c r="DF383" s="844">
        <v>0</v>
      </c>
      <c r="DG383" s="844">
        <v>0</v>
      </c>
      <c r="DH383" s="844">
        <v>0</v>
      </c>
      <c r="DI383" s="844">
        <v>0</v>
      </c>
      <c r="DJ383" s="844">
        <v>0</v>
      </c>
      <c r="DK383" s="844">
        <v>0</v>
      </c>
      <c r="DL383" s="844">
        <v>0</v>
      </c>
      <c r="DM383" s="844">
        <v>0</v>
      </c>
      <c r="DN383" s="844">
        <v>0</v>
      </c>
      <c r="DO383" s="844">
        <v>0</v>
      </c>
      <c r="DP383" s="844">
        <v>0</v>
      </c>
      <c r="DQ383" s="844">
        <v>0</v>
      </c>
      <c r="DR383" s="844">
        <v>0</v>
      </c>
      <c r="DS383" s="844">
        <v>0</v>
      </c>
      <c r="DT383" s="844">
        <v>0</v>
      </c>
      <c r="DU383" s="844">
        <v>0</v>
      </c>
      <c r="DV383" s="844">
        <v>0</v>
      </c>
      <c r="DW383" s="844">
        <v>0</v>
      </c>
      <c r="DY383" s="846" t="s">
        <v>1060</v>
      </c>
      <c r="DZ383" s="846" t="s">
        <v>1382</v>
      </c>
      <c r="EA383" s="846" t="s">
        <v>96</v>
      </c>
      <c r="EB383" s="847">
        <v>68</v>
      </c>
      <c r="EC383" s="780" t="str">
        <f t="shared" si="15"/>
        <v>IWT060168</v>
      </c>
      <c r="ED383" s="847">
        <v>0</v>
      </c>
      <c r="EE383" s="847">
        <v>2779</v>
      </c>
      <c r="EF383" s="847">
        <v>8068</v>
      </c>
      <c r="EG383" s="847">
        <v>13453</v>
      </c>
      <c r="EH383" s="847">
        <v>18938</v>
      </c>
      <c r="EI383" s="847">
        <v>24528</v>
      </c>
      <c r="EJ383" s="847">
        <v>30228</v>
      </c>
      <c r="EK383" s="847">
        <v>30750</v>
      </c>
      <c r="EL383" s="847">
        <v>31297</v>
      </c>
      <c r="EM383" s="847">
        <v>31874</v>
      </c>
      <c r="EN383" s="847">
        <v>32487</v>
      </c>
      <c r="EO383" s="847">
        <v>33137</v>
      </c>
      <c r="EP383" s="847">
        <v>33799</v>
      </c>
      <c r="EQ383" s="847">
        <v>34475</v>
      </c>
      <c r="ER383" s="847">
        <v>35165</v>
      </c>
      <c r="ES383" s="847">
        <v>35868</v>
      </c>
      <c r="ET383" s="847">
        <v>36585</v>
      </c>
      <c r="EU383" s="847">
        <v>37317</v>
      </c>
      <c r="EV383" s="847">
        <v>38063</v>
      </c>
      <c r="EW383" s="847">
        <v>38824</v>
      </c>
      <c r="EX383" s="847">
        <v>39600</v>
      </c>
      <c r="EY383" s="847">
        <v>40392</v>
      </c>
      <c r="EZ383" s="847">
        <v>41199</v>
      </c>
      <c r="FA383" s="847">
        <v>42023</v>
      </c>
      <c r="FB383" s="847">
        <v>42863</v>
      </c>
      <c r="FC383" s="847">
        <v>43720</v>
      </c>
      <c r="FD383" s="847">
        <v>44594</v>
      </c>
      <c r="FE383" s="847">
        <v>45486</v>
      </c>
      <c r="FF383" s="847">
        <v>46395</v>
      </c>
      <c r="FG383" s="847">
        <v>47322</v>
      </c>
      <c r="FH383" s="847">
        <v>48268</v>
      </c>
      <c r="FI383" s="847">
        <v>49232</v>
      </c>
      <c r="FJ383" s="847">
        <v>50216</v>
      </c>
      <c r="FK383" s="847">
        <v>51219</v>
      </c>
      <c r="FL383" s="847">
        <v>52242</v>
      </c>
      <c r="FM383" s="847">
        <v>53286</v>
      </c>
      <c r="FN383" s="847">
        <v>54350</v>
      </c>
      <c r="FO383" s="847">
        <v>55435</v>
      </c>
      <c r="FP383" s="847">
        <v>56542</v>
      </c>
      <c r="FQ383" s="847">
        <v>57671</v>
      </c>
      <c r="FR383" s="847">
        <v>58822</v>
      </c>
      <c r="FS383" s="847">
        <v>59995</v>
      </c>
      <c r="FT383" s="847">
        <v>61191</v>
      </c>
      <c r="FU383" s="847">
        <v>61800</v>
      </c>
      <c r="FV383" s="847">
        <v>0</v>
      </c>
      <c r="FW383" s="847">
        <v>0</v>
      </c>
      <c r="FX383" s="847">
        <v>0</v>
      </c>
      <c r="FY383" s="847">
        <v>0</v>
      </c>
      <c r="FZ383" s="847">
        <v>0</v>
      </c>
      <c r="GA383" s="847">
        <v>0</v>
      </c>
      <c r="GB383" s="847">
        <v>0</v>
      </c>
      <c r="GC383" s="847">
        <v>0</v>
      </c>
      <c r="GD383" s="847">
        <v>0</v>
      </c>
      <c r="GE383" s="847">
        <v>0</v>
      </c>
      <c r="GF383" s="847">
        <v>0</v>
      </c>
      <c r="GG383" s="847">
        <v>0</v>
      </c>
      <c r="GH383" s="847">
        <v>0</v>
      </c>
      <c r="GI383" s="847">
        <v>0</v>
      </c>
      <c r="GJ383" s="847">
        <v>0</v>
      </c>
      <c r="GK383" s="847">
        <v>0</v>
      </c>
      <c r="GL383" s="847">
        <v>0</v>
      </c>
      <c r="GM383" s="847">
        <v>0</v>
      </c>
      <c r="GN383" s="847">
        <v>0</v>
      </c>
      <c r="GO383" s="847">
        <v>0</v>
      </c>
      <c r="GP383" s="847">
        <v>0</v>
      </c>
      <c r="GQ383" s="847">
        <v>0</v>
      </c>
      <c r="GR383" s="847">
        <v>0</v>
      </c>
      <c r="GS383" s="847">
        <v>0</v>
      </c>
      <c r="GT383" s="847">
        <v>0</v>
      </c>
      <c r="GU383" s="847">
        <v>0</v>
      </c>
      <c r="GV383" s="847">
        <v>0</v>
      </c>
      <c r="GW383" s="847">
        <v>0</v>
      </c>
      <c r="GX383" s="847">
        <v>0</v>
      </c>
      <c r="GY383" s="847">
        <v>0</v>
      </c>
      <c r="GZ383" s="847">
        <v>0</v>
      </c>
      <c r="HA383" s="847">
        <v>0</v>
      </c>
      <c r="HB383" s="847">
        <v>0</v>
      </c>
      <c r="HC383" s="847">
        <v>0</v>
      </c>
      <c r="HD383" s="847">
        <v>0</v>
      </c>
      <c r="HE383" s="847">
        <v>0</v>
      </c>
      <c r="HF383" s="847">
        <v>0</v>
      </c>
      <c r="HG383" s="847">
        <v>0</v>
      </c>
      <c r="HH383" s="847">
        <v>0</v>
      </c>
      <c r="HI383" s="847">
        <v>0</v>
      </c>
      <c r="HJ383" s="847">
        <v>0</v>
      </c>
      <c r="HK383" s="847">
        <v>0</v>
      </c>
      <c r="HL383" s="847">
        <v>0</v>
      </c>
      <c r="HM383" s="847">
        <v>0</v>
      </c>
      <c r="HN383" s="847">
        <v>0</v>
      </c>
      <c r="HO383" s="847">
        <v>0</v>
      </c>
      <c r="HP383" s="847">
        <v>0</v>
      </c>
      <c r="HQ383" s="847">
        <v>0</v>
      </c>
      <c r="HR383" s="847">
        <v>0</v>
      </c>
      <c r="HS383" s="847">
        <v>0</v>
      </c>
      <c r="HT383" s="847">
        <v>0</v>
      </c>
      <c r="HU383" s="847">
        <v>0</v>
      </c>
      <c r="HV383" s="847">
        <v>0</v>
      </c>
      <c r="HW383" s="847">
        <v>0</v>
      </c>
      <c r="HX383" s="847">
        <v>0</v>
      </c>
      <c r="HY383" s="847">
        <v>0</v>
      </c>
      <c r="HZ383" s="847">
        <v>0</v>
      </c>
      <c r="IA383" s="847">
        <v>0</v>
      </c>
      <c r="IB383" s="847">
        <v>0</v>
      </c>
      <c r="IC383" s="847">
        <v>0</v>
      </c>
      <c r="ID383" s="847">
        <v>0</v>
      </c>
      <c r="IE383" s="847">
        <v>0</v>
      </c>
      <c r="IF383" s="847">
        <v>0</v>
      </c>
      <c r="IG383" s="847">
        <v>0</v>
      </c>
      <c r="IH383" s="847">
        <v>0</v>
      </c>
      <c r="II383" s="847">
        <v>0</v>
      </c>
      <c r="IJ383" s="847">
        <v>0</v>
      </c>
      <c r="IK383" s="847">
        <v>0</v>
      </c>
    </row>
    <row r="384" spans="12:245" hidden="1">
      <c r="L384" s="843" t="s">
        <v>1060</v>
      </c>
      <c r="M384" s="843" t="s">
        <v>1382</v>
      </c>
      <c r="N384" s="843" t="s">
        <v>96</v>
      </c>
      <c r="O384" s="844">
        <v>69</v>
      </c>
      <c r="P384" s="780" t="str">
        <f t="shared" si="14"/>
        <v>IWT060169</v>
      </c>
      <c r="Q384" s="844">
        <v>2056</v>
      </c>
      <c r="R384" s="844">
        <v>6423</v>
      </c>
      <c r="S384" s="844">
        <v>11400</v>
      </c>
      <c r="T384" s="844">
        <v>17005</v>
      </c>
      <c r="U384" s="844">
        <v>23255</v>
      </c>
      <c r="V384" s="844">
        <v>29872</v>
      </c>
      <c r="W384" s="844">
        <v>30684</v>
      </c>
      <c r="X384" s="844">
        <v>31219</v>
      </c>
      <c r="Y384" s="844">
        <v>31785</v>
      </c>
      <c r="Z384" s="844">
        <v>32387</v>
      </c>
      <c r="AA384" s="844">
        <v>33034</v>
      </c>
      <c r="AB384" s="844">
        <v>33694</v>
      </c>
      <c r="AC384" s="844">
        <v>34368</v>
      </c>
      <c r="AD384" s="844">
        <v>35055</v>
      </c>
      <c r="AE384" s="844">
        <v>35756</v>
      </c>
      <c r="AF384" s="844">
        <v>36471</v>
      </c>
      <c r="AG384" s="844">
        <v>37201</v>
      </c>
      <c r="AH384" s="844">
        <v>37944</v>
      </c>
      <c r="AI384" s="844">
        <v>38703</v>
      </c>
      <c r="AJ384" s="844">
        <v>39477</v>
      </c>
      <c r="AK384" s="844">
        <v>40266</v>
      </c>
      <c r="AL384" s="844">
        <v>41071</v>
      </c>
      <c r="AM384" s="844">
        <v>41892</v>
      </c>
      <c r="AN384" s="844">
        <v>42730</v>
      </c>
      <c r="AO384" s="844">
        <v>43584</v>
      </c>
      <c r="AP384" s="844">
        <v>44455</v>
      </c>
      <c r="AQ384" s="844">
        <v>45344</v>
      </c>
      <c r="AR384" s="844">
        <v>46250</v>
      </c>
      <c r="AS384" s="844">
        <v>47174</v>
      </c>
      <c r="AT384" s="844">
        <v>48117</v>
      </c>
      <c r="AU384" s="844">
        <v>49078</v>
      </c>
      <c r="AV384" s="844">
        <v>50059</v>
      </c>
      <c r="AW384" s="844">
        <v>51059</v>
      </c>
      <c r="AX384" s="844">
        <v>52079</v>
      </c>
      <c r="AY384" s="844">
        <v>53119</v>
      </c>
      <c r="AZ384" s="844">
        <v>54179</v>
      </c>
      <c r="BA384" s="844">
        <v>55261</v>
      </c>
      <c r="BB384" s="844">
        <v>56364</v>
      </c>
      <c r="BC384" s="844">
        <v>57489</v>
      </c>
      <c r="BD384" s="844">
        <v>58636</v>
      </c>
      <c r="BE384" s="844">
        <v>59805</v>
      </c>
      <c r="BF384" s="844">
        <v>60400</v>
      </c>
      <c r="BG384" s="844">
        <v>0</v>
      </c>
      <c r="BH384" s="844">
        <v>0</v>
      </c>
      <c r="BI384" s="844">
        <v>0</v>
      </c>
      <c r="BJ384" s="844">
        <v>0</v>
      </c>
      <c r="BK384" s="844">
        <v>0</v>
      </c>
      <c r="BL384" s="844">
        <v>0</v>
      </c>
      <c r="BM384" s="844">
        <v>0</v>
      </c>
      <c r="BN384" s="844">
        <v>0</v>
      </c>
      <c r="BO384" s="844">
        <v>0</v>
      </c>
      <c r="BP384" s="844">
        <v>0</v>
      </c>
      <c r="BQ384" s="844">
        <v>0</v>
      </c>
      <c r="BR384" s="844">
        <v>0</v>
      </c>
      <c r="BS384" s="844">
        <v>0</v>
      </c>
      <c r="BT384" s="844">
        <v>0</v>
      </c>
      <c r="BU384" s="844">
        <v>0</v>
      </c>
      <c r="BV384" s="844">
        <v>0</v>
      </c>
      <c r="BW384" s="844">
        <v>0</v>
      </c>
      <c r="BX384" s="844">
        <v>0</v>
      </c>
      <c r="BY384" s="844">
        <v>0</v>
      </c>
      <c r="BZ384" s="844">
        <v>0</v>
      </c>
      <c r="CA384" s="844">
        <v>0</v>
      </c>
      <c r="CB384" s="844">
        <v>0</v>
      </c>
      <c r="CC384" s="844">
        <v>0</v>
      </c>
      <c r="CD384" s="844">
        <v>0</v>
      </c>
      <c r="CE384" s="844">
        <v>0</v>
      </c>
      <c r="CF384" s="844">
        <v>0</v>
      </c>
      <c r="CG384" s="844">
        <v>0</v>
      </c>
      <c r="CH384" s="844">
        <v>0</v>
      </c>
      <c r="CI384" s="844">
        <v>0</v>
      </c>
      <c r="CJ384" s="844">
        <v>0</v>
      </c>
      <c r="CK384" s="844">
        <v>0</v>
      </c>
      <c r="CL384" s="844">
        <v>0</v>
      </c>
      <c r="CM384" s="844">
        <v>0</v>
      </c>
      <c r="CN384" s="844">
        <v>0</v>
      </c>
      <c r="CO384" s="844">
        <v>0</v>
      </c>
      <c r="CP384" s="844">
        <v>0</v>
      </c>
      <c r="CQ384" s="844">
        <v>0</v>
      </c>
      <c r="CR384" s="844">
        <v>0</v>
      </c>
      <c r="CS384" s="844">
        <v>0</v>
      </c>
      <c r="CT384" s="844">
        <v>0</v>
      </c>
      <c r="CU384" s="844">
        <v>0</v>
      </c>
      <c r="CV384" s="844">
        <v>0</v>
      </c>
      <c r="CW384" s="844">
        <v>0</v>
      </c>
      <c r="CX384" s="844">
        <v>0</v>
      </c>
      <c r="CY384" s="844">
        <v>0</v>
      </c>
      <c r="CZ384" s="844">
        <v>0</v>
      </c>
      <c r="DA384" s="844">
        <v>0</v>
      </c>
      <c r="DB384" s="844">
        <v>0</v>
      </c>
      <c r="DC384" s="844">
        <v>0</v>
      </c>
      <c r="DD384" s="844">
        <v>0</v>
      </c>
      <c r="DE384" s="844">
        <v>0</v>
      </c>
      <c r="DF384" s="844">
        <v>0</v>
      </c>
      <c r="DG384" s="844">
        <v>0</v>
      </c>
      <c r="DH384" s="844">
        <v>0</v>
      </c>
      <c r="DI384" s="844">
        <v>0</v>
      </c>
      <c r="DJ384" s="844">
        <v>0</v>
      </c>
      <c r="DK384" s="844">
        <v>0</v>
      </c>
      <c r="DL384" s="844">
        <v>0</v>
      </c>
      <c r="DM384" s="844">
        <v>0</v>
      </c>
      <c r="DN384" s="844">
        <v>0</v>
      </c>
      <c r="DO384" s="844">
        <v>0</v>
      </c>
      <c r="DP384" s="844">
        <v>0</v>
      </c>
      <c r="DQ384" s="844">
        <v>0</v>
      </c>
      <c r="DR384" s="844">
        <v>0</v>
      </c>
      <c r="DS384" s="844">
        <v>0</v>
      </c>
      <c r="DT384" s="844">
        <v>0</v>
      </c>
      <c r="DU384" s="844">
        <v>0</v>
      </c>
      <c r="DV384" s="844">
        <v>0</v>
      </c>
      <c r="DW384" s="844">
        <v>0</v>
      </c>
      <c r="DY384" s="846" t="s">
        <v>1060</v>
      </c>
      <c r="DZ384" s="846" t="s">
        <v>1382</v>
      </c>
      <c r="EA384" s="846" t="s">
        <v>96</v>
      </c>
      <c r="EB384" s="847">
        <v>69</v>
      </c>
      <c r="EC384" s="780" t="str">
        <f t="shared" si="15"/>
        <v>IWT060169</v>
      </c>
      <c r="ED384" s="847">
        <v>0</v>
      </c>
      <c r="EE384" s="847">
        <v>2741</v>
      </c>
      <c r="EF384" s="847">
        <v>8029</v>
      </c>
      <c r="EG384" s="847">
        <v>13412</v>
      </c>
      <c r="EH384" s="847">
        <v>18894</v>
      </c>
      <c r="EI384" s="847">
        <v>24479</v>
      </c>
      <c r="EJ384" s="847">
        <v>30174</v>
      </c>
      <c r="EK384" s="847">
        <v>30684</v>
      </c>
      <c r="EL384" s="847">
        <v>31219</v>
      </c>
      <c r="EM384" s="847">
        <v>31785</v>
      </c>
      <c r="EN384" s="847">
        <v>32387</v>
      </c>
      <c r="EO384" s="847">
        <v>33034</v>
      </c>
      <c r="EP384" s="847">
        <v>33694</v>
      </c>
      <c r="EQ384" s="847">
        <v>34368</v>
      </c>
      <c r="ER384" s="847">
        <v>35055</v>
      </c>
      <c r="ES384" s="847">
        <v>35756</v>
      </c>
      <c r="ET384" s="847">
        <v>36471</v>
      </c>
      <c r="EU384" s="847">
        <v>37201</v>
      </c>
      <c r="EV384" s="847">
        <v>37944</v>
      </c>
      <c r="EW384" s="847">
        <v>38703</v>
      </c>
      <c r="EX384" s="847">
        <v>39477</v>
      </c>
      <c r="EY384" s="847">
        <v>40266</v>
      </c>
      <c r="EZ384" s="847">
        <v>41071</v>
      </c>
      <c r="FA384" s="847">
        <v>41892</v>
      </c>
      <c r="FB384" s="847">
        <v>42730</v>
      </c>
      <c r="FC384" s="847">
        <v>43584</v>
      </c>
      <c r="FD384" s="847">
        <v>44455</v>
      </c>
      <c r="FE384" s="847">
        <v>45344</v>
      </c>
      <c r="FF384" s="847">
        <v>46250</v>
      </c>
      <c r="FG384" s="847">
        <v>47174</v>
      </c>
      <c r="FH384" s="847">
        <v>48117</v>
      </c>
      <c r="FI384" s="847">
        <v>49078</v>
      </c>
      <c r="FJ384" s="847">
        <v>50059</v>
      </c>
      <c r="FK384" s="847">
        <v>51059</v>
      </c>
      <c r="FL384" s="847">
        <v>52079</v>
      </c>
      <c r="FM384" s="847">
        <v>53119</v>
      </c>
      <c r="FN384" s="847">
        <v>54179</v>
      </c>
      <c r="FO384" s="847">
        <v>55261</v>
      </c>
      <c r="FP384" s="847">
        <v>56364</v>
      </c>
      <c r="FQ384" s="847">
        <v>57489</v>
      </c>
      <c r="FR384" s="847">
        <v>58636</v>
      </c>
      <c r="FS384" s="847">
        <v>59805</v>
      </c>
      <c r="FT384" s="847">
        <v>60400</v>
      </c>
      <c r="FU384" s="847">
        <v>0</v>
      </c>
      <c r="FV384" s="847">
        <v>0</v>
      </c>
      <c r="FW384" s="847">
        <v>0</v>
      </c>
      <c r="FX384" s="847">
        <v>0</v>
      </c>
      <c r="FY384" s="847">
        <v>0</v>
      </c>
      <c r="FZ384" s="847">
        <v>0</v>
      </c>
      <c r="GA384" s="847">
        <v>0</v>
      </c>
      <c r="GB384" s="847">
        <v>0</v>
      </c>
      <c r="GC384" s="847">
        <v>0</v>
      </c>
      <c r="GD384" s="847">
        <v>0</v>
      </c>
      <c r="GE384" s="847">
        <v>0</v>
      </c>
      <c r="GF384" s="847">
        <v>0</v>
      </c>
      <c r="GG384" s="847">
        <v>0</v>
      </c>
      <c r="GH384" s="847">
        <v>0</v>
      </c>
      <c r="GI384" s="847">
        <v>0</v>
      </c>
      <c r="GJ384" s="847">
        <v>0</v>
      </c>
      <c r="GK384" s="847">
        <v>0</v>
      </c>
      <c r="GL384" s="847">
        <v>0</v>
      </c>
      <c r="GM384" s="847">
        <v>0</v>
      </c>
      <c r="GN384" s="847">
        <v>0</v>
      </c>
      <c r="GO384" s="847">
        <v>0</v>
      </c>
      <c r="GP384" s="847">
        <v>0</v>
      </c>
      <c r="GQ384" s="847">
        <v>0</v>
      </c>
      <c r="GR384" s="847">
        <v>0</v>
      </c>
      <c r="GS384" s="847">
        <v>0</v>
      </c>
      <c r="GT384" s="847">
        <v>0</v>
      </c>
      <c r="GU384" s="847">
        <v>0</v>
      </c>
      <c r="GV384" s="847">
        <v>0</v>
      </c>
      <c r="GW384" s="847">
        <v>0</v>
      </c>
      <c r="GX384" s="847">
        <v>0</v>
      </c>
      <c r="GY384" s="847">
        <v>0</v>
      </c>
      <c r="GZ384" s="847">
        <v>0</v>
      </c>
      <c r="HA384" s="847">
        <v>0</v>
      </c>
      <c r="HB384" s="847">
        <v>0</v>
      </c>
      <c r="HC384" s="847">
        <v>0</v>
      </c>
      <c r="HD384" s="847">
        <v>0</v>
      </c>
      <c r="HE384" s="847">
        <v>0</v>
      </c>
      <c r="HF384" s="847">
        <v>0</v>
      </c>
      <c r="HG384" s="847">
        <v>0</v>
      </c>
      <c r="HH384" s="847">
        <v>0</v>
      </c>
      <c r="HI384" s="847">
        <v>0</v>
      </c>
      <c r="HJ384" s="847">
        <v>0</v>
      </c>
      <c r="HK384" s="847">
        <v>0</v>
      </c>
      <c r="HL384" s="847">
        <v>0</v>
      </c>
      <c r="HM384" s="847">
        <v>0</v>
      </c>
      <c r="HN384" s="847">
        <v>0</v>
      </c>
      <c r="HO384" s="847">
        <v>0</v>
      </c>
      <c r="HP384" s="847">
        <v>0</v>
      </c>
      <c r="HQ384" s="847">
        <v>0</v>
      </c>
      <c r="HR384" s="847">
        <v>0</v>
      </c>
      <c r="HS384" s="847">
        <v>0</v>
      </c>
      <c r="HT384" s="847">
        <v>0</v>
      </c>
      <c r="HU384" s="847">
        <v>0</v>
      </c>
      <c r="HV384" s="847">
        <v>0</v>
      </c>
      <c r="HW384" s="847">
        <v>0</v>
      </c>
      <c r="HX384" s="847">
        <v>0</v>
      </c>
      <c r="HY384" s="847">
        <v>0</v>
      </c>
      <c r="HZ384" s="847">
        <v>0</v>
      </c>
      <c r="IA384" s="847">
        <v>0</v>
      </c>
      <c r="IB384" s="847">
        <v>0</v>
      </c>
      <c r="IC384" s="847">
        <v>0</v>
      </c>
      <c r="ID384" s="847">
        <v>0</v>
      </c>
      <c r="IE384" s="847">
        <v>0</v>
      </c>
      <c r="IF384" s="847">
        <v>0</v>
      </c>
      <c r="IG384" s="847">
        <v>0</v>
      </c>
      <c r="IH384" s="847">
        <v>0</v>
      </c>
      <c r="II384" s="847">
        <v>0</v>
      </c>
      <c r="IJ384" s="847">
        <v>0</v>
      </c>
      <c r="IK384" s="847">
        <v>0</v>
      </c>
    </row>
    <row r="385" spans="12:245" hidden="1">
      <c r="L385" s="843" t="s">
        <v>1060</v>
      </c>
      <c r="M385" s="843" t="s">
        <v>1382</v>
      </c>
      <c r="N385" s="843" t="s">
        <v>96</v>
      </c>
      <c r="O385" s="844">
        <v>70</v>
      </c>
      <c r="P385" s="780" t="str">
        <f t="shared" si="14"/>
        <v>IWT060170</v>
      </c>
      <c r="Q385" s="844">
        <v>2027</v>
      </c>
      <c r="R385" s="844">
        <v>6391</v>
      </c>
      <c r="S385" s="844">
        <v>11364</v>
      </c>
      <c r="T385" s="844">
        <v>16963</v>
      </c>
      <c r="U385" s="844">
        <v>23208</v>
      </c>
      <c r="V385" s="844">
        <v>29817</v>
      </c>
      <c r="W385" s="844">
        <v>30615</v>
      </c>
      <c r="X385" s="844">
        <v>31136</v>
      </c>
      <c r="Y385" s="844">
        <v>31688</v>
      </c>
      <c r="Z385" s="844">
        <v>32278</v>
      </c>
      <c r="AA385" s="844">
        <v>32914</v>
      </c>
      <c r="AB385" s="844">
        <v>33572</v>
      </c>
      <c r="AC385" s="844">
        <v>34243</v>
      </c>
      <c r="AD385" s="844">
        <v>34928</v>
      </c>
      <c r="AE385" s="844">
        <v>35626</v>
      </c>
      <c r="AF385" s="844">
        <v>36339</v>
      </c>
      <c r="AG385" s="844">
        <v>37065</v>
      </c>
      <c r="AH385" s="844">
        <v>37806</v>
      </c>
      <c r="AI385" s="844">
        <v>38562</v>
      </c>
      <c r="AJ385" s="844">
        <v>39333</v>
      </c>
      <c r="AK385" s="844">
        <v>40120</v>
      </c>
      <c r="AL385" s="844">
        <v>40922</v>
      </c>
      <c r="AM385" s="844">
        <v>41740</v>
      </c>
      <c r="AN385" s="844">
        <v>42574</v>
      </c>
      <c r="AO385" s="844">
        <v>43425</v>
      </c>
      <c r="AP385" s="844">
        <v>44293</v>
      </c>
      <c r="AQ385" s="844">
        <v>45178</v>
      </c>
      <c r="AR385" s="844">
        <v>46081</v>
      </c>
      <c r="AS385" s="844">
        <v>47002</v>
      </c>
      <c r="AT385" s="844">
        <v>47941</v>
      </c>
      <c r="AU385" s="844">
        <v>48899</v>
      </c>
      <c r="AV385" s="844">
        <v>49876</v>
      </c>
      <c r="AW385" s="844">
        <v>50872</v>
      </c>
      <c r="AX385" s="844">
        <v>51888</v>
      </c>
      <c r="AY385" s="844">
        <v>52924</v>
      </c>
      <c r="AZ385" s="844">
        <v>53981</v>
      </c>
      <c r="BA385" s="844">
        <v>55058</v>
      </c>
      <c r="BB385" s="844">
        <v>56157</v>
      </c>
      <c r="BC385" s="844">
        <v>57277</v>
      </c>
      <c r="BD385" s="844">
        <v>58419</v>
      </c>
      <c r="BE385" s="844">
        <v>59000</v>
      </c>
      <c r="BF385" s="844">
        <v>0</v>
      </c>
      <c r="BG385" s="844">
        <v>0</v>
      </c>
      <c r="BH385" s="844">
        <v>0</v>
      </c>
      <c r="BI385" s="844">
        <v>0</v>
      </c>
      <c r="BJ385" s="844">
        <v>0</v>
      </c>
      <c r="BK385" s="844">
        <v>0</v>
      </c>
      <c r="BL385" s="844">
        <v>0</v>
      </c>
      <c r="BM385" s="844">
        <v>0</v>
      </c>
      <c r="BN385" s="844">
        <v>0</v>
      </c>
      <c r="BO385" s="844">
        <v>0</v>
      </c>
      <c r="BP385" s="844">
        <v>0</v>
      </c>
      <c r="BQ385" s="844">
        <v>0</v>
      </c>
      <c r="BR385" s="844">
        <v>0</v>
      </c>
      <c r="BS385" s="844">
        <v>0</v>
      </c>
      <c r="BT385" s="844">
        <v>0</v>
      </c>
      <c r="BU385" s="844">
        <v>0</v>
      </c>
      <c r="BV385" s="844">
        <v>0</v>
      </c>
      <c r="BW385" s="844">
        <v>0</v>
      </c>
      <c r="BX385" s="844">
        <v>0</v>
      </c>
      <c r="BY385" s="844">
        <v>0</v>
      </c>
      <c r="BZ385" s="844">
        <v>0</v>
      </c>
      <c r="CA385" s="844">
        <v>0</v>
      </c>
      <c r="CB385" s="844">
        <v>0</v>
      </c>
      <c r="CC385" s="844">
        <v>0</v>
      </c>
      <c r="CD385" s="844">
        <v>0</v>
      </c>
      <c r="CE385" s="844">
        <v>0</v>
      </c>
      <c r="CF385" s="844">
        <v>0</v>
      </c>
      <c r="CG385" s="844">
        <v>0</v>
      </c>
      <c r="CH385" s="844">
        <v>0</v>
      </c>
      <c r="CI385" s="844">
        <v>0</v>
      </c>
      <c r="CJ385" s="844">
        <v>0</v>
      </c>
      <c r="CK385" s="844">
        <v>0</v>
      </c>
      <c r="CL385" s="844">
        <v>0</v>
      </c>
      <c r="CM385" s="844">
        <v>0</v>
      </c>
      <c r="CN385" s="844">
        <v>0</v>
      </c>
      <c r="CO385" s="844">
        <v>0</v>
      </c>
      <c r="CP385" s="844">
        <v>0</v>
      </c>
      <c r="CQ385" s="844">
        <v>0</v>
      </c>
      <c r="CR385" s="844">
        <v>0</v>
      </c>
      <c r="CS385" s="844">
        <v>0</v>
      </c>
      <c r="CT385" s="844">
        <v>0</v>
      </c>
      <c r="CU385" s="844">
        <v>0</v>
      </c>
      <c r="CV385" s="844">
        <v>0</v>
      </c>
      <c r="CW385" s="844">
        <v>0</v>
      </c>
      <c r="CX385" s="844">
        <v>0</v>
      </c>
      <c r="CY385" s="844">
        <v>0</v>
      </c>
      <c r="CZ385" s="844">
        <v>0</v>
      </c>
      <c r="DA385" s="844">
        <v>0</v>
      </c>
      <c r="DB385" s="844">
        <v>0</v>
      </c>
      <c r="DC385" s="844">
        <v>0</v>
      </c>
      <c r="DD385" s="844">
        <v>0</v>
      </c>
      <c r="DE385" s="844">
        <v>0</v>
      </c>
      <c r="DF385" s="844">
        <v>0</v>
      </c>
      <c r="DG385" s="844">
        <v>0</v>
      </c>
      <c r="DH385" s="844">
        <v>0</v>
      </c>
      <c r="DI385" s="844">
        <v>0</v>
      </c>
      <c r="DJ385" s="844">
        <v>0</v>
      </c>
      <c r="DK385" s="844">
        <v>0</v>
      </c>
      <c r="DL385" s="844">
        <v>0</v>
      </c>
      <c r="DM385" s="844">
        <v>0</v>
      </c>
      <c r="DN385" s="844">
        <v>0</v>
      </c>
      <c r="DO385" s="844">
        <v>0</v>
      </c>
      <c r="DP385" s="844">
        <v>0</v>
      </c>
      <c r="DQ385" s="844">
        <v>0</v>
      </c>
      <c r="DR385" s="844">
        <v>0</v>
      </c>
      <c r="DS385" s="844">
        <v>0</v>
      </c>
      <c r="DT385" s="844">
        <v>0</v>
      </c>
      <c r="DU385" s="844">
        <v>0</v>
      </c>
      <c r="DV385" s="844">
        <v>0</v>
      </c>
      <c r="DW385" s="844">
        <v>0</v>
      </c>
      <c r="DY385" s="846" t="s">
        <v>1060</v>
      </c>
      <c r="DZ385" s="846" t="s">
        <v>1382</v>
      </c>
      <c r="EA385" s="846" t="s">
        <v>96</v>
      </c>
      <c r="EB385" s="847">
        <v>70</v>
      </c>
      <c r="EC385" s="780" t="str">
        <f t="shared" si="15"/>
        <v>IWT060170</v>
      </c>
      <c r="ED385" s="847">
        <v>0</v>
      </c>
      <c r="EE385" s="847">
        <v>2702</v>
      </c>
      <c r="EF385" s="847">
        <v>7989</v>
      </c>
      <c r="EG385" s="847">
        <v>13369</v>
      </c>
      <c r="EH385" s="847">
        <v>18848</v>
      </c>
      <c r="EI385" s="847">
        <v>24429</v>
      </c>
      <c r="EJ385" s="847">
        <v>30118</v>
      </c>
      <c r="EK385" s="847">
        <v>30615</v>
      </c>
      <c r="EL385" s="847">
        <v>31136</v>
      </c>
      <c r="EM385" s="847">
        <v>31688</v>
      </c>
      <c r="EN385" s="847">
        <v>32278</v>
      </c>
      <c r="EO385" s="847">
        <v>32914</v>
      </c>
      <c r="EP385" s="847">
        <v>33572</v>
      </c>
      <c r="EQ385" s="847">
        <v>34243</v>
      </c>
      <c r="ER385" s="847">
        <v>34928</v>
      </c>
      <c r="ES385" s="847">
        <v>35626</v>
      </c>
      <c r="ET385" s="847">
        <v>36339</v>
      </c>
      <c r="EU385" s="847">
        <v>37065</v>
      </c>
      <c r="EV385" s="847">
        <v>37806</v>
      </c>
      <c r="EW385" s="847">
        <v>38562</v>
      </c>
      <c r="EX385" s="847">
        <v>39333</v>
      </c>
      <c r="EY385" s="847">
        <v>40120</v>
      </c>
      <c r="EZ385" s="847">
        <v>40922</v>
      </c>
      <c r="FA385" s="847">
        <v>41740</v>
      </c>
      <c r="FB385" s="847">
        <v>42574</v>
      </c>
      <c r="FC385" s="847">
        <v>43425</v>
      </c>
      <c r="FD385" s="847">
        <v>44293</v>
      </c>
      <c r="FE385" s="847">
        <v>45178</v>
      </c>
      <c r="FF385" s="847">
        <v>46081</v>
      </c>
      <c r="FG385" s="847">
        <v>47002</v>
      </c>
      <c r="FH385" s="847">
        <v>47941</v>
      </c>
      <c r="FI385" s="847">
        <v>48899</v>
      </c>
      <c r="FJ385" s="847">
        <v>49876</v>
      </c>
      <c r="FK385" s="847">
        <v>50872</v>
      </c>
      <c r="FL385" s="847">
        <v>51888</v>
      </c>
      <c r="FM385" s="847">
        <v>52924</v>
      </c>
      <c r="FN385" s="847">
        <v>53981</v>
      </c>
      <c r="FO385" s="847">
        <v>55058</v>
      </c>
      <c r="FP385" s="847">
        <v>56157</v>
      </c>
      <c r="FQ385" s="847">
        <v>57277</v>
      </c>
      <c r="FR385" s="847">
        <v>58419</v>
      </c>
      <c r="FS385" s="847">
        <v>59000</v>
      </c>
      <c r="FT385" s="847">
        <v>0</v>
      </c>
      <c r="FU385" s="847">
        <v>0</v>
      </c>
      <c r="FV385" s="847">
        <v>0</v>
      </c>
      <c r="FW385" s="847">
        <v>0</v>
      </c>
      <c r="FX385" s="847">
        <v>0</v>
      </c>
      <c r="FY385" s="847">
        <v>0</v>
      </c>
      <c r="FZ385" s="847">
        <v>0</v>
      </c>
      <c r="GA385" s="847">
        <v>0</v>
      </c>
      <c r="GB385" s="847">
        <v>0</v>
      </c>
      <c r="GC385" s="847">
        <v>0</v>
      </c>
      <c r="GD385" s="847">
        <v>0</v>
      </c>
      <c r="GE385" s="847">
        <v>0</v>
      </c>
      <c r="GF385" s="847">
        <v>0</v>
      </c>
      <c r="GG385" s="847">
        <v>0</v>
      </c>
      <c r="GH385" s="847">
        <v>0</v>
      </c>
      <c r="GI385" s="847">
        <v>0</v>
      </c>
      <c r="GJ385" s="847">
        <v>0</v>
      </c>
      <c r="GK385" s="847">
        <v>0</v>
      </c>
      <c r="GL385" s="847">
        <v>0</v>
      </c>
      <c r="GM385" s="847">
        <v>0</v>
      </c>
      <c r="GN385" s="847">
        <v>0</v>
      </c>
      <c r="GO385" s="847">
        <v>0</v>
      </c>
      <c r="GP385" s="847">
        <v>0</v>
      </c>
      <c r="GQ385" s="847">
        <v>0</v>
      </c>
      <c r="GR385" s="847">
        <v>0</v>
      </c>
      <c r="GS385" s="847">
        <v>0</v>
      </c>
      <c r="GT385" s="847">
        <v>0</v>
      </c>
      <c r="GU385" s="847">
        <v>0</v>
      </c>
      <c r="GV385" s="847">
        <v>0</v>
      </c>
      <c r="GW385" s="847">
        <v>0</v>
      </c>
      <c r="GX385" s="847">
        <v>0</v>
      </c>
      <c r="GY385" s="847">
        <v>0</v>
      </c>
      <c r="GZ385" s="847">
        <v>0</v>
      </c>
      <c r="HA385" s="847">
        <v>0</v>
      </c>
      <c r="HB385" s="847">
        <v>0</v>
      </c>
      <c r="HC385" s="847">
        <v>0</v>
      </c>
      <c r="HD385" s="847">
        <v>0</v>
      </c>
      <c r="HE385" s="847">
        <v>0</v>
      </c>
      <c r="HF385" s="847">
        <v>0</v>
      </c>
      <c r="HG385" s="847">
        <v>0</v>
      </c>
      <c r="HH385" s="847">
        <v>0</v>
      </c>
      <c r="HI385" s="847">
        <v>0</v>
      </c>
      <c r="HJ385" s="847">
        <v>0</v>
      </c>
      <c r="HK385" s="847">
        <v>0</v>
      </c>
      <c r="HL385" s="847">
        <v>0</v>
      </c>
      <c r="HM385" s="847">
        <v>0</v>
      </c>
      <c r="HN385" s="847">
        <v>0</v>
      </c>
      <c r="HO385" s="847">
        <v>0</v>
      </c>
      <c r="HP385" s="847">
        <v>0</v>
      </c>
      <c r="HQ385" s="847">
        <v>0</v>
      </c>
      <c r="HR385" s="847">
        <v>0</v>
      </c>
      <c r="HS385" s="847">
        <v>0</v>
      </c>
      <c r="HT385" s="847">
        <v>0</v>
      </c>
      <c r="HU385" s="847">
        <v>0</v>
      </c>
      <c r="HV385" s="847">
        <v>0</v>
      </c>
      <c r="HW385" s="847">
        <v>0</v>
      </c>
      <c r="HX385" s="847">
        <v>0</v>
      </c>
      <c r="HY385" s="847">
        <v>0</v>
      </c>
      <c r="HZ385" s="847">
        <v>0</v>
      </c>
      <c r="IA385" s="847">
        <v>0</v>
      </c>
      <c r="IB385" s="847">
        <v>0</v>
      </c>
      <c r="IC385" s="847">
        <v>0</v>
      </c>
      <c r="ID385" s="847">
        <v>0</v>
      </c>
      <c r="IE385" s="847">
        <v>0</v>
      </c>
      <c r="IF385" s="847">
        <v>0</v>
      </c>
      <c r="IG385" s="847">
        <v>0</v>
      </c>
      <c r="IH385" s="847">
        <v>0</v>
      </c>
      <c r="II385" s="847">
        <v>0</v>
      </c>
      <c r="IJ385" s="847">
        <v>0</v>
      </c>
      <c r="IK385" s="847">
        <v>0</v>
      </c>
    </row>
    <row r="386" spans="12:245" hidden="1">
      <c r="L386" s="843" t="s">
        <v>1060</v>
      </c>
      <c r="M386" s="843" t="s">
        <v>1382</v>
      </c>
      <c r="N386" s="843" t="s">
        <v>96</v>
      </c>
      <c r="O386" s="844">
        <v>71</v>
      </c>
      <c r="P386" s="780" t="str">
        <f t="shared" si="14"/>
        <v>IWT060171</v>
      </c>
      <c r="Q386" s="844">
        <v>1995</v>
      </c>
      <c r="R386" s="844">
        <v>6358</v>
      </c>
      <c r="S386" s="844">
        <v>11328</v>
      </c>
      <c r="T386" s="844">
        <v>16923</v>
      </c>
      <c r="U386" s="844">
        <v>23160</v>
      </c>
      <c r="V386" s="844">
        <v>29763</v>
      </c>
      <c r="W386" s="844">
        <v>30544</v>
      </c>
      <c r="X386" s="844">
        <v>31048</v>
      </c>
      <c r="Y386" s="844">
        <v>31583</v>
      </c>
      <c r="Z386" s="844">
        <v>32156</v>
      </c>
      <c r="AA386" s="844">
        <v>32775</v>
      </c>
      <c r="AB386" s="844">
        <v>33430</v>
      </c>
      <c r="AC386" s="844">
        <v>34099</v>
      </c>
      <c r="AD386" s="844">
        <v>34780</v>
      </c>
      <c r="AE386" s="844">
        <v>35476</v>
      </c>
      <c r="AF386" s="844">
        <v>36185</v>
      </c>
      <c r="AG386" s="844">
        <v>36909</v>
      </c>
      <c r="AH386" s="844">
        <v>37647</v>
      </c>
      <c r="AI386" s="844">
        <v>38399</v>
      </c>
      <c r="AJ386" s="844">
        <v>39167</v>
      </c>
      <c r="AK386" s="844">
        <v>39950</v>
      </c>
      <c r="AL386" s="844">
        <v>40749</v>
      </c>
      <c r="AM386" s="844">
        <v>41563</v>
      </c>
      <c r="AN386" s="844">
        <v>42394</v>
      </c>
      <c r="AO386" s="844">
        <v>43241</v>
      </c>
      <c r="AP386" s="844">
        <v>44106</v>
      </c>
      <c r="AQ386" s="844">
        <v>44987</v>
      </c>
      <c r="AR386" s="844">
        <v>45886</v>
      </c>
      <c r="AS386" s="844">
        <v>46803</v>
      </c>
      <c r="AT386" s="844">
        <v>47738</v>
      </c>
      <c r="AU386" s="844">
        <v>48692</v>
      </c>
      <c r="AV386" s="844">
        <v>49664</v>
      </c>
      <c r="AW386" s="844">
        <v>50656</v>
      </c>
      <c r="AX386" s="844">
        <v>51668</v>
      </c>
      <c r="AY386" s="844">
        <v>52699</v>
      </c>
      <c r="AZ386" s="844">
        <v>53751</v>
      </c>
      <c r="BA386" s="844">
        <v>54824</v>
      </c>
      <c r="BB386" s="844">
        <v>55917</v>
      </c>
      <c r="BC386" s="844">
        <v>57032</v>
      </c>
      <c r="BD386" s="844">
        <v>57600</v>
      </c>
      <c r="BE386" s="844">
        <v>0</v>
      </c>
      <c r="BF386" s="844">
        <v>0</v>
      </c>
      <c r="BG386" s="844">
        <v>0</v>
      </c>
      <c r="BH386" s="844">
        <v>0</v>
      </c>
      <c r="BI386" s="844">
        <v>0</v>
      </c>
      <c r="BJ386" s="844">
        <v>0</v>
      </c>
      <c r="BK386" s="844">
        <v>0</v>
      </c>
      <c r="BL386" s="844">
        <v>0</v>
      </c>
      <c r="BM386" s="844">
        <v>0</v>
      </c>
      <c r="BN386" s="844">
        <v>0</v>
      </c>
      <c r="BO386" s="844">
        <v>0</v>
      </c>
      <c r="BP386" s="844">
        <v>0</v>
      </c>
      <c r="BQ386" s="844">
        <v>0</v>
      </c>
      <c r="BR386" s="844">
        <v>0</v>
      </c>
      <c r="BS386" s="844">
        <v>0</v>
      </c>
      <c r="BT386" s="844">
        <v>0</v>
      </c>
      <c r="BU386" s="844">
        <v>0</v>
      </c>
      <c r="BV386" s="844">
        <v>0</v>
      </c>
      <c r="BW386" s="844">
        <v>0</v>
      </c>
      <c r="BX386" s="844">
        <v>0</v>
      </c>
      <c r="BY386" s="844">
        <v>0</v>
      </c>
      <c r="BZ386" s="844">
        <v>0</v>
      </c>
      <c r="CA386" s="844">
        <v>0</v>
      </c>
      <c r="CB386" s="844">
        <v>0</v>
      </c>
      <c r="CC386" s="844">
        <v>0</v>
      </c>
      <c r="CD386" s="844">
        <v>0</v>
      </c>
      <c r="CE386" s="844">
        <v>0</v>
      </c>
      <c r="CF386" s="844">
        <v>0</v>
      </c>
      <c r="CG386" s="844">
        <v>0</v>
      </c>
      <c r="CH386" s="844">
        <v>0</v>
      </c>
      <c r="CI386" s="844">
        <v>0</v>
      </c>
      <c r="CJ386" s="844">
        <v>0</v>
      </c>
      <c r="CK386" s="844">
        <v>0</v>
      </c>
      <c r="CL386" s="844">
        <v>0</v>
      </c>
      <c r="CM386" s="844">
        <v>0</v>
      </c>
      <c r="CN386" s="844">
        <v>0</v>
      </c>
      <c r="CO386" s="844">
        <v>0</v>
      </c>
      <c r="CP386" s="844">
        <v>0</v>
      </c>
      <c r="CQ386" s="844">
        <v>0</v>
      </c>
      <c r="CR386" s="844">
        <v>0</v>
      </c>
      <c r="CS386" s="844">
        <v>0</v>
      </c>
      <c r="CT386" s="844">
        <v>0</v>
      </c>
      <c r="CU386" s="844">
        <v>0</v>
      </c>
      <c r="CV386" s="844">
        <v>0</v>
      </c>
      <c r="CW386" s="844">
        <v>0</v>
      </c>
      <c r="CX386" s="844">
        <v>0</v>
      </c>
      <c r="CY386" s="844">
        <v>0</v>
      </c>
      <c r="CZ386" s="844">
        <v>0</v>
      </c>
      <c r="DA386" s="844">
        <v>0</v>
      </c>
      <c r="DB386" s="844">
        <v>0</v>
      </c>
      <c r="DC386" s="844">
        <v>0</v>
      </c>
      <c r="DD386" s="844">
        <v>0</v>
      </c>
      <c r="DE386" s="844">
        <v>0</v>
      </c>
      <c r="DF386" s="844">
        <v>0</v>
      </c>
      <c r="DG386" s="844">
        <v>0</v>
      </c>
      <c r="DH386" s="844">
        <v>0</v>
      </c>
      <c r="DI386" s="844">
        <v>0</v>
      </c>
      <c r="DJ386" s="844">
        <v>0</v>
      </c>
      <c r="DK386" s="844">
        <v>0</v>
      </c>
      <c r="DL386" s="844">
        <v>0</v>
      </c>
      <c r="DM386" s="844">
        <v>0</v>
      </c>
      <c r="DN386" s="844">
        <v>0</v>
      </c>
      <c r="DO386" s="844">
        <v>0</v>
      </c>
      <c r="DP386" s="844">
        <v>0</v>
      </c>
      <c r="DQ386" s="844">
        <v>0</v>
      </c>
      <c r="DR386" s="844">
        <v>0</v>
      </c>
      <c r="DS386" s="844">
        <v>0</v>
      </c>
      <c r="DT386" s="844">
        <v>0</v>
      </c>
      <c r="DU386" s="844">
        <v>0</v>
      </c>
      <c r="DV386" s="844">
        <v>0</v>
      </c>
      <c r="DW386" s="844">
        <v>0</v>
      </c>
      <c r="DY386" s="846" t="s">
        <v>1060</v>
      </c>
      <c r="DZ386" s="846" t="s">
        <v>1382</v>
      </c>
      <c r="EA386" s="846" t="s">
        <v>96</v>
      </c>
      <c r="EB386" s="847">
        <v>71</v>
      </c>
      <c r="EC386" s="780" t="str">
        <f t="shared" si="15"/>
        <v>IWT060171</v>
      </c>
      <c r="ED386" s="847">
        <v>0</v>
      </c>
      <c r="EE386" s="847">
        <v>2660</v>
      </c>
      <c r="EF386" s="847">
        <v>7947</v>
      </c>
      <c r="EG386" s="847">
        <v>13327</v>
      </c>
      <c r="EH386" s="847">
        <v>18803</v>
      </c>
      <c r="EI386" s="847">
        <v>24379</v>
      </c>
      <c r="EJ386" s="847">
        <v>30064</v>
      </c>
      <c r="EK386" s="847">
        <v>30544</v>
      </c>
      <c r="EL386" s="847">
        <v>31048</v>
      </c>
      <c r="EM386" s="847">
        <v>31583</v>
      </c>
      <c r="EN386" s="847">
        <v>32156</v>
      </c>
      <c r="EO386" s="847">
        <v>32775</v>
      </c>
      <c r="EP386" s="847">
        <v>33430</v>
      </c>
      <c r="EQ386" s="847">
        <v>34099</v>
      </c>
      <c r="ER386" s="847">
        <v>34780</v>
      </c>
      <c r="ES386" s="847">
        <v>35476</v>
      </c>
      <c r="ET386" s="847">
        <v>36185</v>
      </c>
      <c r="EU386" s="847">
        <v>36909</v>
      </c>
      <c r="EV386" s="847">
        <v>37647</v>
      </c>
      <c r="EW386" s="847">
        <v>38399</v>
      </c>
      <c r="EX386" s="847">
        <v>39167</v>
      </c>
      <c r="EY386" s="847">
        <v>39950</v>
      </c>
      <c r="EZ386" s="847">
        <v>40749</v>
      </c>
      <c r="FA386" s="847">
        <v>41563</v>
      </c>
      <c r="FB386" s="847">
        <v>42394</v>
      </c>
      <c r="FC386" s="847">
        <v>43241</v>
      </c>
      <c r="FD386" s="847">
        <v>44106</v>
      </c>
      <c r="FE386" s="847">
        <v>44987</v>
      </c>
      <c r="FF386" s="847">
        <v>45886</v>
      </c>
      <c r="FG386" s="847">
        <v>46803</v>
      </c>
      <c r="FH386" s="847">
        <v>47738</v>
      </c>
      <c r="FI386" s="847">
        <v>48692</v>
      </c>
      <c r="FJ386" s="847">
        <v>49664</v>
      </c>
      <c r="FK386" s="847">
        <v>50656</v>
      </c>
      <c r="FL386" s="847">
        <v>51668</v>
      </c>
      <c r="FM386" s="847">
        <v>52699</v>
      </c>
      <c r="FN386" s="847">
        <v>53751</v>
      </c>
      <c r="FO386" s="847">
        <v>54824</v>
      </c>
      <c r="FP386" s="847">
        <v>55917</v>
      </c>
      <c r="FQ386" s="847">
        <v>57032</v>
      </c>
      <c r="FR386" s="847">
        <v>57600</v>
      </c>
      <c r="FS386" s="847">
        <v>0</v>
      </c>
      <c r="FT386" s="847">
        <v>0</v>
      </c>
      <c r="FU386" s="847">
        <v>0</v>
      </c>
      <c r="FV386" s="847">
        <v>0</v>
      </c>
      <c r="FW386" s="847">
        <v>0</v>
      </c>
      <c r="FX386" s="847">
        <v>0</v>
      </c>
      <c r="FY386" s="847">
        <v>0</v>
      </c>
      <c r="FZ386" s="847">
        <v>0</v>
      </c>
      <c r="GA386" s="847">
        <v>0</v>
      </c>
      <c r="GB386" s="847">
        <v>0</v>
      </c>
      <c r="GC386" s="847">
        <v>0</v>
      </c>
      <c r="GD386" s="847">
        <v>0</v>
      </c>
      <c r="GE386" s="847">
        <v>0</v>
      </c>
      <c r="GF386" s="847">
        <v>0</v>
      </c>
      <c r="GG386" s="847">
        <v>0</v>
      </c>
      <c r="GH386" s="847">
        <v>0</v>
      </c>
      <c r="GI386" s="847">
        <v>0</v>
      </c>
      <c r="GJ386" s="847">
        <v>0</v>
      </c>
      <c r="GK386" s="847">
        <v>0</v>
      </c>
      <c r="GL386" s="847">
        <v>0</v>
      </c>
      <c r="GM386" s="847">
        <v>0</v>
      </c>
      <c r="GN386" s="847">
        <v>0</v>
      </c>
      <c r="GO386" s="847">
        <v>0</v>
      </c>
      <c r="GP386" s="847">
        <v>0</v>
      </c>
      <c r="GQ386" s="847">
        <v>0</v>
      </c>
      <c r="GR386" s="847">
        <v>0</v>
      </c>
      <c r="GS386" s="847">
        <v>0</v>
      </c>
      <c r="GT386" s="847">
        <v>0</v>
      </c>
      <c r="GU386" s="847">
        <v>0</v>
      </c>
      <c r="GV386" s="847">
        <v>0</v>
      </c>
      <c r="GW386" s="847">
        <v>0</v>
      </c>
      <c r="GX386" s="847">
        <v>0</v>
      </c>
      <c r="GY386" s="847">
        <v>0</v>
      </c>
      <c r="GZ386" s="847">
        <v>0</v>
      </c>
      <c r="HA386" s="847">
        <v>0</v>
      </c>
      <c r="HB386" s="847">
        <v>0</v>
      </c>
      <c r="HC386" s="847">
        <v>0</v>
      </c>
      <c r="HD386" s="847">
        <v>0</v>
      </c>
      <c r="HE386" s="847">
        <v>0</v>
      </c>
      <c r="HF386" s="847">
        <v>0</v>
      </c>
      <c r="HG386" s="847">
        <v>0</v>
      </c>
      <c r="HH386" s="847">
        <v>0</v>
      </c>
      <c r="HI386" s="847">
        <v>0</v>
      </c>
      <c r="HJ386" s="847">
        <v>0</v>
      </c>
      <c r="HK386" s="847">
        <v>0</v>
      </c>
      <c r="HL386" s="847">
        <v>0</v>
      </c>
      <c r="HM386" s="847">
        <v>0</v>
      </c>
      <c r="HN386" s="847">
        <v>0</v>
      </c>
      <c r="HO386" s="847">
        <v>0</v>
      </c>
      <c r="HP386" s="847">
        <v>0</v>
      </c>
      <c r="HQ386" s="847">
        <v>0</v>
      </c>
      <c r="HR386" s="847">
        <v>0</v>
      </c>
      <c r="HS386" s="847">
        <v>0</v>
      </c>
      <c r="HT386" s="847">
        <v>0</v>
      </c>
      <c r="HU386" s="847">
        <v>0</v>
      </c>
      <c r="HV386" s="847">
        <v>0</v>
      </c>
      <c r="HW386" s="847">
        <v>0</v>
      </c>
      <c r="HX386" s="847">
        <v>0</v>
      </c>
      <c r="HY386" s="847">
        <v>0</v>
      </c>
      <c r="HZ386" s="847">
        <v>0</v>
      </c>
      <c r="IA386" s="847">
        <v>0</v>
      </c>
      <c r="IB386" s="847">
        <v>0</v>
      </c>
      <c r="IC386" s="847">
        <v>0</v>
      </c>
      <c r="ID386" s="847">
        <v>0</v>
      </c>
      <c r="IE386" s="847">
        <v>0</v>
      </c>
      <c r="IF386" s="847">
        <v>0</v>
      </c>
      <c r="IG386" s="847">
        <v>0</v>
      </c>
      <c r="IH386" s="847">
        <v>0</v>
      </c>
      <c r="II386" s="847">
        <v>0</v>
      </c>
      <c r="IJ386" s="847">
        <v>0</v>
      </c>
      <c r="IK386" s="847">
        <v>0</v>
      </c>
    </row>
    <row r="387" spans="12:245" hidden="1">
      <c r="L387" s="843" t="s">
        <v>1060</v>
      </c>
      <c r="M387" s="843" t="s">
        <v>1382</v>
      </c>
      <c r="N387" s="843" t="s">
        <v>96</v>
      </c>
      <c r="O387" s="844">
        <v>72</v>
      </c>
      <c r="P387" s="780" t="str">
        <f t="shared" si="14"/>
        <v>IWT060172</v>
      </c>
      <c r="Q387" s="844">
        <v>1961</v>
      </c>
      <c r="R387" s="844">
        <v>6322</v>
      </c>
      <c r="S387" s="844">
        <v>11290</v>
      </c>
      <c r="T387" s="844">
        <v>16880</v>
      </c>
      <c r="U387" s="844">
        <v>23112</v>
      </c>
      <c r="V387" s="844">
        <v>29706</v>
      </c>
      <c r="W387" s="844">
        <v>30468</v>
      </c>
      <c r="X387" s="844">
        <v>30953</v>
      </c>
      <c r="Y387" s="844">
        <v>31468</v>
      </c>
      <c r="Z387" s="844">
        <v>32019</v>
      </c>
      <c r="AA387" s="844">
        <v>32618</v>
      </c>
      <c r="AB387" s="844">
        <v>33270</v>
      </c>
      <c r="AC387" s="844">
        <v>33935</v>
      </c>
      <c r="AD387" s="844">
        <v>34614</v>
      </c>
      <c r="AE387" s="844">
        <v>35306</v>
      </c>
      <c r="AF387" s="844">
        <v>36012</v>
      </c>
      <c r="AG387" s="844">
        <v>36732</v>
      </c>
      <c r="AH387" s="844">
        <v>37466</v>
      </c>
      <c r="AI387" s="844">
        <v>38215</v>
      </c>
      <c r="AJ387" s="844">
        <v>38979</v>
      </c>
      <c r="AK387" s="844">
        <v>39758</v>
      </c>
      <c r="AL387" s="844">
        <v>40553</v>
      </c>
      <c r="AM387" s="844">
        <v>41364</v>
      </c>
      <c r="AN387" s="844">
        <v>42191</v>
      </c>
      <c r="AO387" s="844">
        <v>43034</v>
      </c>
      <c r="AP387" s="844">
        <v>43894</v>
      </c>
      <c r="AQ387" s="844">
        <v>44771</v>
      </c>
      <c r="AR387" s="844">
        <v>45665</v>
      </c>
      <c r="AS387" s="844">
        <v>46578</v>
      </c>
      <c r="AT387" s="844">
        <v>47508</v>
      </c>
      <c r="AU387" s="844">
        <v>48457</v>
      </c>
      <c r="AV387" s="844">
        <v>49425</v>
      </c>
      <c r="AW387" s="844">
        <v>50412</v>
      </c>
      <c r="AX387" s="844">
        <v>51419</v>
      </c>
      <c r="AY387" s="844">
        <v>52445</v>
      </c>
      <c r="AZ387" s="844">
        <v>53491</v>
      </c>
      <c r="BA387" s="844">
        <v>54558</v>
      </c>
      <c r="BB387" s="844">
        <v>55646</v>
      </c>
      <c r="BC387" s="844">
        <v>56200</v>
      </c>
      <c r="BD387" s="844">
        <v>0</v>
      </c>
      <c r="BE387" s="844">
        <v>0</v>
      </c>
      <c r="BF387" s="844">
        <v>0</v>
      </c>
      <c r="BG387" s="844">
        <v>0</v>
      </c>
      <c r="BH387" s="844">
        <v>0</v>
      </c>
      <c r="BI387" s="844">
        <v>0</v>
      </c>
      <c r="BJ387" s="844">
        <v>0</v>
      </c>
      <c r="BK387" s="844">
        <v>0</v>
      </c>
      <c r="BL387" s="844">
        <v>0</v>
      </c>
      <c r="BM387" s="844">
        <v>0</v>
      </c>
      <c r="BN387" s="844">
        <v>0</v>
      </c>
      <c r="BO387" s="844">
        <v>0</v>
      </c>
      <c r="BP387" s="844">
        <v>0</v>
      </c>
      <c r="BQ387" s="844">
        <v>0</v>
      </c>
      <c r="BR387" s="844">
        <v>0</v>
      </c>
      <c r="BS387" s="844">
        <v>0</v>
      </c>
      <c r="BT387" s="844">
        <v>0</v>
      </c>
      <c r="BU387" s="844">
        <v>0</v>
      </c>
      <c r="BV387" s="844">
        <v>0</v>
      </c>
      <c r="BW387" s="844">
        <v>0</v>
      </c>
      <c r="BX387" s="844">
        <v>0</v>
      </c>
      <c r="BY387" s="844">
        <v>0</v>
      </c>
      <c r="BZ387" s="844">
        <v>0</v>
      </c>
      <c r="CA387" s="844">
        <v>0</v>
      </c>
      <c r="CB387" s="844">
        <v>0</v>
      </c>
      <c r="CC387" s="844">
        <v>0</v>
      </c>
      <c r="CD387" s="844">
        <v>0</v>
      </c>
      <c r="CE387" s="844">
        <v>0</v>
      </c>
      <c r="CF387" s="844">
        <v>0</v>
      </c>
      <c r="CG387" s="844">
        <v>0</v>
      </c>
      <c r="CH387" s="844">
        <v>0</v>
      </c>
      <c r="CI387" s="844">
        <v>0</v>
      </c>
      <c r="CJ387" s="844">
        <v>0</v>
      </c>
      <c r="CK387" s="844">
        <v>0</v>
      </c>
      <c r="CL387" s="844">
        <v>0</v>
      </c>
      <c r="CM387" s="844">
        <v>0</v>
      </c>
      <c r="CN387" s="844">
        <v>0</v>
      </c>
      <c r="CO387" s="844">
        <v>0</v>
      </c>
      <c r="CP387" s="844">
        <v>0</v>
      </c>
      <c r="CQ387" s="844">
        <v>0</v>
      </c>
      <c r="CR387" s="844">
        <v>0</v>
      </c>
      <c r="CS387" s="844">
        <v>0</v>
      </c>
      <c r="CT387" s="844">
        <v>0</v>
      </c>
      <c r="CU387" s="844">
        <v>0</v>
      </c>
      <c r="CV387" s="844">
        <v>0</v>
      </c>
      <c r="CW387" s="844">
        <v>0</v>
      </c>
      <c r="CX387" s="844">
        <v>0</v>
      </c>
      <c r="CY387" s="844">
        <v>0</v>
      </c>
      <c r="CZ387" s="844">
        <v>0</v>
      </c>
      <c r="DA387" s="844">
        <v>0</v>
      </c>
      <c r="DB387" s="844">
        <v>0</v>
      </c>
      <c r="DC387" s="844">
        <v>0</v>
      </c>
      <c r="DD387" s="844">
        <v>0</v>
      </c>
      <c r="DE387" s="844">
        <v>0</v>
      </c>
      <c r="DF387" s="844">
        <v>0</v>
      </c>
      <c r="DG387" s="844">
        <v>0</v>
      </c>
      <c r="DH387" s="844">
        <v>0</v>
      </c>
      <c r="DI387" s="844">
        <v>0</v>
      </c>
      <c r="DJ387" s="844">
        <v>0</v>
      </c>
      <c r="DK387" s="844">
        <v>0</v>
      </c>
      <c r="DL387" s="844">
        <v>0</v>
      </c>
      <c r="DM387" s="844">
        <v>0</v>
      </c>
      <c r="DN387" s="844">
        <v>0</v>
      </c>
      <c r="DO387" s="844">
        <v>0</v>
      </c>
      <c r="DP387" s="844">
        <v>0</v>
      </c>
      <c r="DQ387" s="844">
        <v>0</v>
      </c>
      <c r="DR387" s="844">
        <v>0</v>
      </c>
      <c r="DS387" s="844">
        <v>0</v>
      </c>
      <c r="DT387" s="844">
        <v>0</v>
      </c>
      <c r="DU387" s="844">
        <v>0</v>
      </c>
      <c r="DV387" s="844">
        <v>0</v>
      </c>
      <c r="DW387" s="844">
        <v>0</v>
      </c>
      <c r="DY387" s="846" t="s">
        <v>1060</v>
      </c>
      <c r="DZ387" s="846" t="s">
        <v>1382</v>
      </c>
      <c r="EA387" s="846" t="s">
        <v>96</v>
      </c>
      <c r="EB387" s="847">
        <v>72</v>
      </c>
      <c r="EC387" s="780" t="str">
        <f t="shared" si="15"/>
        <v>IWT060172</v>
      </c>
      <c r="ED387" s="847">
        <v>0</v>
      </c>
      <c r="EE387" s="847">
        <v>2614</v>
      </c>
      <c r="EF387" s="847">
        <v>7903</v>
      </c>
      <c r="EG387" s="847">
        <v>13282</v>
      </c>
      <c r="EH387" s="847">
        <v>18755</v>
      </c>
      <c r="EI387" s="847">
        <v>24328</v>
      </c>
      <c r="EJ387" s="847">
        <v>30006</v>
      </c>
      <c r="EK387" s="847">
        <v>30468</v>
      </c>
      <c r="EL387" s="847">
        <v>30953</v>
      </c>
      <c r="EM387" s="847">
        <v>31468</v>
      </c>
      <c r="EN387" s="847">
        <v>32019</v>
      </c>
      <c r="EO387" s="847">
        <v>32618</v>
      </c>
      <c r="EP387" s="847">
        <v>33270</v>
      </c>
      <c r="EQ387" s="847">
        <v>33935</v>
      </c>
      <c r="ER387" s="847">
        <v>34614</v>
      </c>
      <c r="ES387" s="847">
        <v>35306</v>
      </c>
      <c r="ET387" s="847">
        <v>36012</v>
      </c>
      <c r="EU387" s="847">
        <v>36732</v>
      </c>
      <c r="EV387" s="847">
        <v>37466</v>
      </c>
      <c r="EW387" s="847">
        <v>38215</v>
      </c>
      <c r="EX387" s="847">
        <v>38979</v>
      </c>
      <c r="EY387" s="847">
        <v>39758</v>
      </c>
      <c r="EZ387" s="847">
        <v>40553</v>
      </c>
      <c r="FA387" s="847">
        <v>41364</v>
      </c>
      <c r="FB387" s="847">
        <v>42191</v>
      </c>
      <c r="FC387" s="847">
        <v>43034</v>
      </c>
      <c r="FD387" s="847">
        <v>43894</v>
      </c>
      <c r="FE387" s="847">
        <v>44771</v>
      </c>
      <c r="FF387" s="847">
        <v>45665</v>
      </c>
      <c r="FG387" s="847">
        <v>46578</v>
      </c>
      <c r="FH387" s="847">
        <v>47508</v>
      </c>
      <c r="FI387" s="847">
        <v>48457</v>
      </c>
      <c r="FJ387" s="847">
        <v>49425</v>
      </c>
      <c r="FK387" s="847">
        <v>50412</v>
      </c>
      <c r="FL387" s="847">
        <v>51419</v>
      </c>
      <c r="FM387" s="847">
        <v>52445</v>
      </c>
      <c r="FN387" s="847">
        <v>53491</v>
      </c>
      <c r="FO387" s="847">
        <v>54558</v>
      </c>
      <c r="FP387" s="847">
        <v>55646</v>
      </c>
      <c r="FQ387" s="847">
        <v>56200</v>
      </c>
      <c r="FR387" s="847">
        <v>0</v>
      </c>
      <c r="FS387" s="847">
        <v>0</v>
      </c>
      <c r="FT387" s="847">
        <v>0</v>
      </c>
      <c r="FU387" s="847">
        <v>0</v>
      </c>
      <c r="FV387" s="847">
        <v>0</v>
      </c>
      <c r="FW387" s="847">
        <v>0</v>
      </c>
      <c r="FX387" s="847">
        <v>0</v>
      </c>
      <c r="FY387" s="847">
        <v>0</v>
      </c>
      <c r="FZ387" s="847">
        <v>0</v>
      </c>
      <c r="GA387" s="847">
        <v>0</v>
      </c>
      <c r="GB387" s="847">
        <v>0</v>
      </c>
      <c r="GC387" s="847">
        <v>0</v>
      </c>
      <c r="GD387" s="847">
        <v>0</v>
      </c>
      <c r="GE387" s="847">
        <v>0</v>
      </c>
      <c r="GF387" s="847">
        <v>0</v>
      </c>
      <c r="GG387" s="847">
        <v>0</v>
      </c>
      <c r="GH387" s="847">
        <v>0</v>
      </c>
      <c r="GI387" s="847">
        <v>0</v>
      </c>
      <c r="GJ387" s="847">
        <v>0</v>
      </c>
      <c r="GK387" s="847">
        <v>0</v>
      </c>
      <c r="GL387" s="847">
        <v>0</v>
      </c>
      <c r="GM387" s="847">
        <v>0</v>
      </c>
      <c r="GN387" s="847">
        <v>0</v>
      </c>
      <c r="GO387" s="847">
        <v>0</v>
      </c>
      <c r="GP387" s="847">
        <v>0</v>
      </c>
      <c r="GQ387" s="847">
        <v>0</v>
      </c>
      <c r="GR387" s="847">
        <v>0</v>
      </c>
      <c r="GS387" s="847">
        <v>0</v>
      </c>
      <c r="GT387" s="847">
        <v>0</v>
      </c>
      <c r="GU387" s="847">
        <v>0</v>
      </c>
      <c r="GV387" s="847">
        <v>0</v>
      </c>
      <c r="GW387" s="847">
        <v>0</v>
      </c>
      <c r="GX387" s="847">
        <v>0</v>
      </c>
      <c r="GY387" s="847">
        <v>0</v>
      </c>
      <c r="GZ387" s="847">
        <v>0</v>
      </c>
      <c r="HA387" s="847">
        <v>0</v>
      </c>
      <c r="HB387" s="847">
        <v>0</v>
      </c>
      <c r="HC387" s="847">
        <v>0</v>
      </c>
      <c r="HD387" s="847">
        <v>0</v>
      </c>
      <c r="HE387" s="847">
        <v>0</v>
      </c>
      <c r="HF387" s="847">
        <v>0</v>
      </c>
      <c r="HG387" s="847">
        <v>0</v>
      </c>
      <c r="HH387" s="847">
        <v>0</v>
      </c>
      <c r="HI387" s="847">
        <v>0</v>
      </c>
      <c r="HJ387" s="847">
        <v>0</v>
      </c>
      <c r="HK387" s="847">
        <v>0</v>
      </c>
      <c r="HL387" s="847">
        <v>0</v>
      </c>
      <c r="HM387" s="847">
        <v>0</v>
      </c>
      <c r="HN387" s="847">
        <v>0</v>
      </c>
      <c r="HO387" s="847">
        <v>0</v>
      </c>
      <c r="HP387" s="847">
        <v>0</v>
      </c>
      <c r="HQ387" s="847">
        <v>0</v>
      </c>
      <c r="HR387" s="847">
        <v>0</v>
      </c>
      <c r="HS387" s="847">
        <v>0</v>
      </c>
      <c r="HT387" s="847">
        <v>0</v>
      </c>
      <c r="HU387" s="847">
        <v>0</v>
      </c>
      <c r="HV387" s="847">
        <v>0</v>
      </c>
      <c r="HW387" s="847">
        <v>0</v>
      </c>
      <c r="HX387" s="847">
        <v>0</v>
      </c>
      <c r="HY387" s="847">
        <v>0</v>
      </c>
      <c r="HZ387" s="847">
        <v>0</v>
      </c>
      <c r="IA387" s="847">
        <v>0</v>
      </c>
      <c r="IB387" s="847">
        <v>0</v>
      </c>
      <c r="IC387" s="847">
        <v>0</v>
      </c>
      <c r="ID387" s="847">
        <v>0</v>
      </c>
      <c r="IE387" s="847">
        <v>0</v>
      </c>
      <c r="IF387" s="847">
        <v>0</v>
      </c>
      <c r="IG387" s="847">
        <v>0</v>
      </c>
      <c r="IH387" s="847">
        <v>0</v>
      </c>
      <c r="II387" s="847">
        <v>0</v>
      </c>
      <c r="IJ387" s="847">
        <v>0</v>
      </c>
      <c r="IK387" s="847">
        <v>0</v>
      </c>
    </row>
    <row r="388" spans="12:245" hidden="1">
      <c r="L388" s="843" t="s">
        <v>1060</v>
      </c>
      <c r="M388" s="843" t="s">
        <v>1382</v>
      </c>
      <c r="N388" s="843" t="s">
        <v>96</v>
      </c>
      <c r="O388" s="844">
        <v>73</v>
      </c>
      <c r="P388" s="780" t="str">
        <f t="shared" si="14"/>
        <v>IWT060173</v>
      </c>
      <c r="Q388" s="844">
        <v>1925</v>
      </c>
      <c r="R388" s="844">
        <v>6286</v>
      </c>
      <c r="S388" s="844">
        <v>11252</v>
      </c>
      <c r="T388" s="844">
        <v>16840</v>
      </c>
      <c r="U388" s="844">
        <v>23068</v>
      </c>
      <c r="V388" s="844">
        <v>29657</v>
      </c>
      <c r="W388" s="844">
        <v>30398</v>
      </c>
      <c r="X388" s="844">
        <v>30861</v>
      </c>
      <c r="Y388" s="844">
        <v>31353</v>
      </c>
      <c r="Z388" s="844">
        <v>31882</v>
      </c>
      <c r="AA388" s="844">
        <v>32456</v>
      </c>
      <c r="AB388" s="844">
        <v>33090</v>
      </c>
      <c r="AC388" s="844">
        <v>33752</v>
      </c>
      <c r="AD388" s="844">
        <v>34426</v>
      </c>
      <c r="AE388" s="844">
        <v>35115</v>
      </c>
      <c r="AF388" s="844">
        <v>35817</v>
      </c>
      <c r="AG388" s="844">
        <v>36533</v>
      </c>
      <c r="AH388" s="844">
        <v>37263</v>
      </c>
      <c r="AI388" s="844">
        <v>38008</v>
      </c>
      <c r="AJ388" s="844">
        <v>38768</v>
      </c>
      <c r="AK388" s="844">
        <v>39543</v>
      </c>
      <c r="AL388" s="844">
        <v>40334</v>
      </c>
      <c r="AM388" s="844">
        <v>41140</v>
      </c>
      <c r="AN388" s="844">
        <v>41962</v>
      </c>
      <c r="AO388" s="844">
        <v>42801</v>
      </c>
      <c r="AP388" s="844">
        <v>43656</v>
      </c>
      <c r="AQ388" s="844">
        <v>44528</v>
      </c>
      <c r="AR388" s="844">
        <v>45418</v>
      </c>
      <c r="AS388" s="844">
        <v>46325</v>
      </c>
      <c r="AT388" s="844">
        <v>47250</v>
      </c>
      <c r="AU388" s="844">
        <v>48194</v>
      </c>
      <c r="AV388" s="844">
        <v>49156</v>
      </c>
      <c r="AW388" s="844">
        <v>50137</v>
      </c>
      <c r="AX388" s="844">
        <v>51138</v>
      </c>
      <c r="AY388" s="844">
        <v>52159</v>
      </c>
      <c r="AZ388" s="844">
        <v>53199</v>
      </c>
      <c r="BA388" s="844">
        <v>54260</v>
      </c>
      <c r="BB388" s="844">
        <v>54800</v>
      </c>
      <c r="BC388" s="844">
        <v>0</v>
      </c>
      <c r="BD388" s="844">
        <v>0</v>
      </c>
      <c r="BE388" s="844">
        <v>0</v>
      </c>
      <c r="BF388" s="844">
        <v>0</v>
      </c>
      <c r="BG388" s="844">
        <v>0</v>
      </c>
      <c r="BH388" s="844">
        <v>0</v>
      </c>
      <c r="BI388" s="844">
        <v>0</v>
      </c>
      <c r="BJ388" s="844">
        <v>0</v>
      </c>
      <c r="BK388" s="844">
        <v>0</v>
      </c>
      <c r="BL388" s="844">
        <v>0</v>
      </c>
      <c r="BM388" s="844">
        <v>0</v>
      </c>
      <c r="BN388" s="844">
        <v>0</v>
      </c>
      <c r="BO388" s="844">
        <v>0</v>
      </c>
      <c r="BP388" s="844">
        <v>0</v>
      </c>
      <c r="BQ388" s="844">
        <v>0</v>
      </c>
      <c r="BR388" s="844">
        <v>0</v>
      </c>
      <c r="BS388" s="844">
        <v>0</v>
      </c>
      <c r="BT388" s="844">
        <v>0</v>
      </c>
      <c r="BU388" s="844">
        <v>0</v>
      </c>
      <c r="BV388" s="844">
        <v>0</v>
      </c>
      <c r="BW388" s="844">
        <v>0</v>
      </c>
      <c r="BX388" s="844">
        <v>0</v>
      </c>
      <c r="BY388" s="844">
        <v>0</v>
      </c>
      <c r="BZ388" s="844">
        <v>0</v>
      </c>
      <c r="CA388" s="844">
        <v>0</v>
      </c>
      <c r="CB388" s="844">
        <v>0</v>
      </c>
      <c r="CC388" s="844">
        <v>0</v>
      </c>
      <c r="CD388" s="844">
        <v>0</v>
      </c>
      <c r="CE388" s="844">
        <v>0</v>
      </c>
      <c r="CF388" s="844">
        <v>0</v>
      </c>
      <c r="CG388" s="844">
        <v>0</v>
      </c>
      <c r="CH388" s="844">
        <v>0</v>
      </c>
      <c r="CI388" s="844">
        <v>0</v>
      </c>
      <c r="CJ388" s="844">
        <v>0</v>
      </c>
      <c r="CK388" s="844">
        <v>0</v>
      </c>
      <c r="CL388" s="844">
        <v>0</v>
      </c>
      <c r="CM388" s="844">
        <v>0</v>
      </c>
      <c r="CN388" s="844">
        <v>0</v>
      </c>
      <c r="CO388" s="844">
        <v>0</v>
      </c>
      <c r="CP388" s="844">
        <v>0</v>
      </c>
      <c r="CQ388" s="844">
        <v>0</v>
      </c>
      <c r="CR388" s="844">
        <v>0</v>
      </c>
      <c r="CS388" s="844">
        <v>0</v>
      </c>
      <c r="CT388" s="844">
        <v>0</v>
      </c>
      <c r="CU388" s="844">
        <v>0</v>
      </c>
      <c r="CV388" s="844">
        <v>0</v>
      </c>
      <c r="CW388" s="844">
        <v>0</v>
      </c>
      <c r="CX388" s="844">
        <v>0</v>
      </c>
      <c r="CY388" s="844">
        <v>0</v>
      </c>
      <c r="CZ388" s="844">
        <v>0</v>
      </c>
      <c r="DA388" s="844">
        <v>0</v>
      </c>
      <c r="DB388" s="844">
        <v>0</v>
      </c>
      <c r="DC388" s="844">
        <v>0</v>
      </c>
      <c r="DD388" s="844">
        <v>0</v>
      </c>
      <c r="DE388" s="844">
        <v>0</v>
      </c>
      <c r="DF388" s="844">
        <v>0</v>
      </c>
      <c r="DG388" s="844">
        <v>0</v>
      </c>
      <c r="DH388" s="844">
        <v>0</v>
      </c>
      <c r="DI388" s="844">
        <v>0</v>
      </c>
      <c r="DJ388" s="844">
        <v>0</v>
      </c>
      <c r="DK388" s="844">
        <v>0</v>
      </c>
      <c r="DL388" s="844">
        <v>0</v>
      </c>
      <c r="DM388" s="844">
        <v>0</v>
      </c>
      <c r="DN388" s="844">
        <v>0</v>
      </c>
      <c r="DO388" s="844">
        <v>0</v>
      </c>
      <c r="DP388" s="844">
        <v>0</v>
      </c>
      <c r="DQ388" s="844">
        <v>0</v>
      </c>
      <c r="DR388" s="844">
        <v>0</v>
      </c>
      <c r="DS388" s="844">
        <v>0</v>
      </c>
      <c r="DT388" s="844">
        <v>0</v>
      </c>
      <c r="DU388" s="844">
        <v>0</v>
      </c>
      <c r="DV388" s="844">
        <v>0</v>
      </c>
      <c r="DW388" s="844">
        <v>0</v>
      </c>
      <c r="DY388" s="846" t="s">
        <v>1060</v>
      </c>
      <c r="DZ388" s="846" t="s">
        <v>1382</v>
      </c>
      <c r="EA388" s="846" t="s">
        <v>96</v>
      </c>
      <c r="EB388" s="847">
        <v>73</v>
      </c>
      <c r="EC388" s="780" t="str">
        <f t="shared" si="15"/>
        <v>IWT060173</v>
      </c>
      <c r="ED388" s="847">
        <v>0</v>
      </c>
      <c r="EE388" s="847">
        <v>2567</v>
      </c>
      <c r="EF388" s="847">
        <v>7858</v>
      </c>
      <c r="EG388" s="847">
        <v>13238</v>
      </c>
      <c r="EH388" s="847">
        <v>18711</v>
      </c>
      <c r="EI388" s="847">
        <v>24282</v>
      </c>
      <c r="EJ388" s="847">
        <v>29957</v>
      </c>
      <c r="EK388" s="847">
        <v>30398</v>
      </c>
      <c r="EL388" s="847">
        <v>30861</v>
      </c>
      <c r="EM388" s="847">
        <v>31353</v>
      </c>
      <c r="EN388" s="847">
        <v>31882</v>
      </c>
      <c r="EO388" s="847">
        <v>32456</v>
      </c>
      <c r="EP388" s="847">
        <v>33090</v>
      </c>
      <c r="EQ388" s="847">
        <v>33752</v>
      </c>
      <c r="ER388" s="847">
        <v>34426</v>
      </c>
      <c r="ES388" s="847">
        <v>35115</v>
      </c>
      <c r="ET388" s="847">
        <v>35817</v>
      </c>
      <c r="EU388" s="847">
        <v>36533</v>
      </c>
      <c r="EV388" s="847">
        <v>37263</v>
      </c>
      <c r="EW388" s="847">
        <v>38008</v>
      </c>
      <c r="EX388" s="847">
        <v>38768</v>
      </c>
      <c r="EY388" s="847">
        <v>39543</v>
      </c>
      <c r="EZ388" s="847">
        <v>40334</v>
      </c>
      <c r="FA388" s="847">
        <v>41140</v>
      </c>
      <c r="FB388" s="847">
        <v>41962</v>
      </c>
      <c r="FC388" s="847">
        <v>42801</v>
      </c>
      <c r="FD388" s="847">
        <v>43656</v>
      </c>
      <c r="FE388" s="847">
        <v>44528</v>
      </c>
      <c r="FF388" s="847">
        <v>45418</v>
      </c>
      <c r="FG388" s="847">
        <v>46325</v>
      </c>
      <c r="FH388" s="847">
        <v>47250</v>
      </c>
      <c r="FI388" s="847">
        <v>48194</v>
      </c>
      <c r="FJ388" s="847">
        <v>49156</v>
      </c>
      <c r="FK388" s="847">
        <v>50137</v>
      </c>
      <c r="FL388" s="847">
        <v>51138</v>
      </c>
      <c r="FM388" s="847">
        <v>52159</v>
      </c>
      <c r="FN388" s="847">
        <v>53199</v>
      </c>
      <c r="FO388" s="847">
        <v>54260</v>
      </c>
      <c r="FP388" s="847">
        <v>54800</v>
      </c>
      <c r="FQ388" s="847">
        <v>0</v>
      </c>
      <c r="FR388" s="847">
        <v>0</v>
      </c>
      <c r="FS388" s="847">
        <v>0</v>
      </c>
      <c r="FT388" s="847">
        <v>0</v>
      </c>
      <c r="FU388" s="847">
        <v>0</v>
      </c>
      <c r="FV388" s="847">
        <v>0</v>
      </c>
      <c r="FW388" s="847">
        <v>0</v>
      </c>
      <c r="FX388" s="847">
        <v>0</v>
      </c>
      <c r="FY388" s="847">
        <v>0</v>
      </c>
      <c r="FZ388" s="847">
        <v>0</v>
      </c>
      <c r="GA388" s="847">
        <v>0</v>
      </c>
      <c r="GB388" s="847">
        <v>0</v>
      </c>
      <c r="GC388" s="847">
        <v>0</v>
      </c>
      <c r="GD388" s="847">
        <v>0</v>
      </c>
      <c r="GE388" s="847">
        <v>0</v>
      </c>
      <c r="GF388" s="847">
        <v>0</v>
      </c>
      <c r="GG388" s="847">
        <v>0</v>
      </c>
      <c r="GH388" s="847">
        <v>0</v>
      </c>
      <c r="GI388" s="847">
        <v>0</v>
      </c>
      <c r="GJ388" s="847">
        <v>0</v>
      </c>
      <c r="GK388" s="847">
        <v>0</v>
      </c>
      <c r="GL388" s="847">
        <v>0</v>
      </c>
      <c r="GM388" s="847">
        <v>0</v>
      </c>
      <c r="GN388" s="847">
        <v>0</v>
      </c>
      <c r="GO388" s="847">
        <v>0</v>
      </c>
      <c r="GP388" s="847">
        <v>0</v>
      </c>
      <c r="GQ388" s="847">
        <v>0</v>
      </c>
      <c r="GR388" s="847">
        <v>0</v>
      </c>
      <c r="GS388" s="847">
        <v>0</v>
      </c>
      <c r="GT388" s="847">
        <v>0</v>
      </c>
      <c r="GU388" s="847">
        <v>0</v>
      </c>
      <c r="GV388" s="847">
        <v>0</v>
      </c>
      <c r="GW388" s="847">
        <v>0</v>
      </c>
      <c r="GX388" s="847">
        <v>0</v>
      </c>
      <c r="GY388" s="847">
        <v>0</v>
      </c>
      <c r="GZ388" s="847">
        <v>0</v>
      </c>
      <c r="HA388" s="847">
        <v>0</v>
      </c>
      <c r="HB388" s="847">
        <v>0</v>
      </c>
      <c r="HC388" s="847">
        <v>0</v>
      </c>
      <c r="HD388" s="847">
        <v>0</v>
      </c>
      <c r="HE388" s="847">
        <v>0</v>
      </c>
      <c r="HF388" s="847">
        <v>0</v>
      </c>
      <c r="HG388" s="847">
        <v>0</v>
      </c>
      <c r="HH388" s="847">
        <v>0</v>
      </c>
      <c r="HI388" s="847">
        <v>0</v>
      </c>
      <c r="HJ388" s="847">
        <v>0</v>
      </c>
      <c r="HK388" s="847">
        <v>0</v>
      </c>
      <c r="HL388" s="847">
        <v>0</v>
      </c>
      <c r="HM388" s="847">
        <v>0</v>
      </c>
      <c r="HN388" s="847">
        <v>0</v>
      </c>
      <c r="HO388" s="847">
        <v>0</v>
      </c>
      <c r="HP388" s="847">
        <v>0</v>
      </c>
      <c r="HQ388" s="847">
        <v>0</v>
      </c>
      <c r="HR388" s="847">
        <v>0</v>
      </c>
      <c r="HS388" s="847">
        <v>0</v>
      </c>
      <c r="HT388" s="847">
        <v>0</v>
      </c>
      <c r="HU388" s="847">
        <v>0</v>
      </c>
      <c r="HV388" s="847">
        <v>0</v>
      </c>
      <c r="HW388" s="847">
        <v>0</v>
      </c>
      <c r="HX388" s="847">
        <v>0</v>
      </c>
      <c r="HY388" s="847">
        <v>0</v>
      </c>
      <c r="HZ388" s="847">
        <v>0</v>
      </c>
      <c r="IA388" s="847">
        <v>0</v>
      </c>
      <c r="IB388" s="847">
        <v>0</v>
      </c>
      <c r="IC388" s="847">
        <v>0</v>
      </c>
      <c r="ID388" s="847">
        <v>0</v>
      </c>
      <c r="IE388" s="847">
        <v>0</v>
      </c>
      <c r="IF388" s="847">
        <v>0</v>
      </c>
      <c r="IG388" s="847">
        <v>0</v>
      </c>
      <c r="IH388" s="847">
        <v>0</v>
      </c>
      <c r="II388" s="847">
        <v>0</v>
      </c>
      <c r="IJ388" s="847">
        <v>0</v>
      </c>
      <c r="IK388" s="847">
        <v>0</v>
      </c>
    </row>
    <row r="389" spans="12:245" hidden="1">
      <c r="L389" s="843" t="s">
        <v>1060</v>
      </c>
      <c r="M389" s="843" t="s">
        <v>1382</v>
      </c>
      <c r="N389" s="843" t="s">
        <v>96</v>
      </c>
      <c r="O389" s="844">
        <v>74</v>
      </c>
      <c r="P389" s="780" t="str">
        <f t="shared" si="14"/>
        <v>IWT060174</v>
      </c>
      <c r="Q389" s="844">
        <v>1886</v>
      </c>
      <c r="R389" s="844">
        <v>6250</v>
      </c>
      <c r="S389" s="844">
        <v>11216</v>
      </c>
      <c r="T389" s="844">
        <v>16803</v>
      </c>
      <c r="U389" s="844">
        <v>23028</v>
      </c>
      <c r="V389" s="844">
        <v>29614</v>
      </c>
      <c r="W389" s="844">
        <v>30331</v>
      </c>
      <c r="X389" s="844">
        <v>30770</v>
      </c>
      <c r="Y389" s="844">
        <v>31237</v>
      </c>
      <c r="Z389" s="844">
        <v>31738</v>
      </c>
      <c r="AA389" s="844">
        <v>32284</v>
      </c>
      <c r="AB389" s="844">
        <v>32889</v>
      </c>
      <c r="AC389" s="844">
        <v>33547</v>
      </c>
      <c r="AD389" s="844">
        <v>34218</v>
      </c>
      <c r="AE389" s="844">
        <v>34902</v>
      </c>
      <c r="AF389" s="844">
        <v>35600</v>
      </c>
      <c r="AG389" s="844">
        <v>36311</v>
      </c>
      <c r="AH389" s="844">
        <v>37037</v>
      </c>
      <c r="AI389" s="844">
        <v>37778</v>
      </c>
      <c r="AJ389" s="844">
        <v>38533</v>
      </c>
      <c r="AK389" s="844">
        <v>39303</v>
      </c>
      <c r="AL389" s="844">
        <v>40089</v>
      </c>
      <c r="AM389" s="844">
        <v>40890</v>
      </c>
      <c r="AN389" s="844">
        <v>41707</v>
      </c>
      <c r="AO389" s="844">
        <v>42541</v>
      </c>
      <c r="AP389" s="844">
        <v>43391</v>
      </c>
      <c r="AQ389" s="844">
        <v>44258</v>
      </c>
      <c r="AR389" s="844">
        <v>45142</v>
      </c>
      <c r="AS389" s="844">
        <v>46043</v>
      </c>
      <c r="AT389" s="844">
        <v>46963</v>
      </c>
      <c r="AU389" s="844">
        <v>47901</v>
      </c>
      <c r="AV389" s="844">
        <v>48857</v>
      </c>
      <c r="AW389" s="844">
        <v>49832</v>
      </c>
      <c r="AX389" s="844">
        <v>50826</v>
      </c>
      <c r="AY389" s="844">
        <v>51840</v>
      </c>
      <c r="AZ389" s="844">
        <v>52874</v>
      </c>
      <c r="BA389" s="844">
        <v>53400</v>
      </c>
      <c r="BB389" s="844">
        <v>0</v>
      </c>
      <c r="BC389" s="844">
        <v>0</v>
      </c>
      <c r="BD389" s="844">
        <v>0</v>
      </c>
      <c r="BE389" s="844">
        <v>0</v>
      </c>
      <c r="BF389" s="844">
        <v>0</v>
      </c>
      <c r="BG389" s="844">
        <v>0</v>
      </c>
      <c r="BH389" s="844">
        <v>0</v>
      </c>
      <c r="BI389" s="844">
        <v>0</v>
      </c>
      <c r="BJ389" s="844">
        <v>0</v>
      </c>
      <c r="BK389" s="844">
        <v>0</v>
      </c>
      <c r="BL389" s="844">
        <v>0</v>
      </c>
      <c r="BM389" s="844">
        <v>0</v>
      </c>
      <c r="BN389" s="844">
        <v>0</v>
      </c>
      <c r="BO389" s="844">
        <v>0</v>
      </c>
      <c r="BP389" s="844">
        <v>0</v>
      </c>
      <c r="BQ389" s="844">
        <v>0</v>
      </c>
      <c r="BR389" s="844">
        <v>0</v>
      </c>
      <c r="BS389" s="844">
        <v>0</v>
      </c>
      <c r="BT389" s="844">
        <v>0</v>
      </c>
      <c r="BU389" s="844">
        <v>0</v>
      </c>
      <c r="BV389" s="844">
        <v>0</v>
      </c>
      <c r="BW389" s="844">
        <v>0</v>
      </c>
      <c r="BX389" s="844">
        <v>0</v>
      </c>
      <c r="BY389" s="844">
        <v>0</v>
      </c>
      <c r="BZ389" s="844">
        <v>0</v>
      </c>
      <c r="CA389" s="844">
        <v>0</v>
      </c>
      <c r="CB389" s="844">
        <v>0</v>
      </c>
      <c r="CC389" s="844">
        <v>0</v>
      </c>
      <c r="CD389" s="844">
        <v>0</v>
      </c>
      <c r="CE389" s="844">
        <v>0</v>
      </c>
      <c r="CF389" s="844">
        <v>0</v>
      </c>
      <c r="CG389" s="844">
        <v>0</v>
      </c>
      <c r="CH389" s="844">
        <v>0</v>
      </c>
      <c r="CI389" s="844">
        <v>0</v>
      </c>
      <c r="CJ389" s="844">
        <v>0</v>
      </c>
      <c r="CK389" s="844">
        <v>0</v>
      </c>
      <c r="CL389" s="844">
        <v>0</v>
      </c>
      <c r="CM389" s="844">
        <v>0</v>
      </c>
      <c r="CN389" s="844">
        <v>0</v>
      </c>
      <c r="CO389" s="844">
        <v>0</v>
      </c>
      <c r="CP389" s="844">
        <v>0</v>
      </c>
      <c r="CQ389" s="844">
        <v>0</v>
      </c>
      <c r="CR389" s="844">
        <v>0</v>
      </c>
      <c r="CS389" s="844">
        <v>0</v>
      </c>
      <c r="CT389" s="844">
        <v>0</v>
      </c>
      <c r="CU389" s="844">
        <v>0</v>
      </c>
      <c r="CV389" s="844">
        <v>0</v>
      </c>
      <c r="CW389" s="844">
        <v>0</v>
      </c>
      <c r="CX389" s="844">
        <v>0</v>
      </c>
      <c r="CY389" s="844">
        <v>0</v>
      </c>
      <c r="CZ389" s="844">
        <v>0</v>
      </c>
      <c r="DA389" s="844">
        <v>0</v>
      </c>
      <c r="DB389" s="844">
        <v>0</v>
      </c>
      <c r="DC389" s="844">
        <v>0</v>
      </c>
      <c r="DD389" s="844">
        <v>0</v>
      </c>
      <c r="DE389" s="844">
        <v>0</v>
      </c>
      <c r="DF389" s="844">
        <v>0</v>
      </c>
      <c r="DG389" s="844">
        <v>0</v>
      </c>
      <c r="DH389" s="844">
        <v>0</v>
      </c>
      <c r="DI389" s="844">
        <v>0</v>
      </c>
      <c r="DJ389" s="844">
        <v>0</v>
      </c>
      <c r="DK389" s="844">
        <v>0</v>
      </c>
      <c r="DL389" s="844">
        <v>0</v>
      </c>
      <c r="DM389" s="844">
        <v>0</v>
      </c>
      <c r="DN389" s="844">
        <v>0</v>
      </c>
      <c r="DO389" s="844">
        <v>0</v>
      </c>
      <c r="DP389" s="844">
        <v>0</v>
      </c>
      <c r="DQ389" s="844">
        <v>0</v>
      </c>
      <c r="DR389" s="844">
        <v>0</v>
      </c>
      <c r="DS389" s="844">
        <v>0</v>
      </c>
      <c r="DT389" s="844">
        <v>0</v>
      </c>
      <c r="DU389" s="844">
        <v>0</v>
      </c>
      <c r="DV389" s="844">
        <v>0</v>
      </c>
      <c r="DW389" s="844">
        <v>0</v>
      </c>
      <c r="DY389" s="846" t="s">
        <v>1060</v>
      </c>
      <c r="DZ389" s="846" t="s">
        <v>1382</v>
      </c>
      <c r="EA389" s="846" t="s">
        <v>96</v>
      </c>
      <c r="EB389" s="847">
        <v>74</v>
      </c>
      <c r="EC389" s="780" t="str">
        <f t="shared" si="15"/>
        <v>IWT060174</v>
      </c>
      <c r="ED389" s="847">
        <v>0</v>
      </c>
      <c r="EE389" s="847">
        <v>2515</v>
      </c>
      <c r="EF389" s="847">
        <v>7812</v>
      </c>
      <c r="EG389" s="847">
        <v>13195</v>
      </c>
      <c r="EH389" s="847">
        <v>18670</v>
      </c>
      <c r="EI389" s="847">
        <v>24240</v>
      </c>
      <c r="EJ389" s="847">
        <v>29913</v>
      </c>
      <c r="EK389" s="847">
        <v>30331</v>
      </c>
      <c r="EL389" s="847">
        <v>30770</v>
      </c>
      <c r="EM389" s="847">
        <v>31237</v>
      </c>
      <c r="EN389" s="847">
        <v>31738</v>
      </c>
      <c r="EO389" s="847">
        <v>32284</v>
      </c>
      <c r="EP389" s="847">
        <v>32889</v>
      </c>
      <c r="EQ389" s="847">
        <v>33547</v>
      </c>
      <c r="ER389" s="847">
        <v>34218</v>
      </c>
      <c r="ES389" s="847">
        <v>34902</v>
      </c>
      <c r="ET389" s="847">
        <v>35600</v>
      </c>
      <c r="EU389" s="847">
        <v>36311</v>
      </c>
      <c r="EV389" s="847">
        <v>37037</v>
      </c>
      <c r="EW389" s="847">
        <v>37778</v>
      </c>
      <c r="EX389" s="847">
        <v>38533</v>
      </c>
      <c r="EY389" s="847">
        <v>39303</v>
      </c>
      <c r="EZ389" s="847">
        <v>40089</v>
      </c>
      <c r="FA389" s="847">
        <v>40890</v>
      </c>
      <c r="FB389" s="847">
        <v>41707</v>
      </c>
      <c r="FC389" s="847">
        <v>42541</v>
      </c>
      <c r="FD389" s="847">
        <v>43391</v>
      </c>
      <c r="FE389" s="847">
        <v>44258</v>
      </c>
      <c r="FF389" s="847">
        <v>45142</v>
      </c>
      <c r="FG389" s="847">
        <v>46043</v>
      </c>
      <c r="FH389" s="847">
        <v>46963</v>
      </c>
      <c r="FI389" s="847">
        <v>47901</v>
      </c>
      <c r="FJ389" s="847">
        <v>48857</v>
      </c>
      <c r="FK389" s="847">
        <v>49832</v>
      </c>
      <c r="FL389" s="847">
        <v>50826</v>
      </c>
      <c r="FM389" s="847">
        <v>51840</v>
      </c>
      <c r="FN389" s="847">
        <v>52874</v>
      </c>
      <c r="FO389" s="847">
        <v>53400</v>
      </c>
      <c r="FP389" s="847">
        <v>0</v>
      </c>
      <c r="FQ389" s="847">
        <v>0</v>
      </c>
      <c r="FR389" s="847">
        <v>0</v>
      </c>
      <c r="FS389" s="847">
        <v>0</v>
      </c>
      <c r="FT389" s="847">
        <v>0</v>
      </c>
      <c r="FU389" s="847">
        <v>0</v>
      </c>
      <c r="FV389" s="847">
        <v>0</v>
      </c>
      <c r="FW389" s="847">
        <v>0</v>
      </c>
      <c r="FX389" s="847">
        <v>0</v>
      </c>
      <c r="FY389" s="847">
        <v>0</v>
      </c>
      <c r="FZ389" s="847">
        <v>0</v>
      </c>
      <c r="GA389" s="847">
        <v>0</v>
      </c>
      <c r="GB389" s="847">
        <v>0</v>
      </c>
      <c r="GC389" s="847">
        <v>0</v>
      </c>
      <c r="GD389" s="847">
        <v>0</v>
      </c>
      <c r="GE389" s="847">
        <v>0</v>
      </c>
      <c r="GF389" s="847">
        <v>0</v>
      </c>
      <c r="GG389" s="847">
        <v>0</v>
      </c>
      <c r="GH389" s="847">
        <v>0</v>
      </c>
      <c r="GI389" s="847">
        <v>0</v>
      </c>
      <c r="GJ389" s="847">
        <v>0</v>
      </c>
      <c r="GK389" s="847">
        <v>0</v>
      </c>
      <c r="GL389" s="847">
        <v>0</v>
      </c>
      <c r="GM389" s="847">
        <v>0</v>
      </c>
      <c r="GN389" s="847">
        <v>0</v>
      </c>
      <c r="GO389" s="847">
        <v>0</v>
      </c>
      <c r="GP389" s="847">
        <v>0</v>
      </c>
      <c r="GQ389" s="847">
        <v>0</v>
      </c>
      <c r="GR389" s="847">
        <v>0</v>
      </c>
      <c r="GS389" s="847">
        <v>0</v>
      </c>
      <c r="GT389" s="847">
        <v>0</v>
      </c>
      <c r="GU389" s="847">
        <v>0</v>
      </c>
      <c r="GV389" s="847">
        <v>0</v>
      </c>
      <c r="GW389" s="847">
        <v>0</v>
      </c>
      <c r="GX389" s="847">
        <v>0</v>
      </c>
      <c r="GY389" s="847">
        <v>0</v>
      </c>
      <c r="GZ389" s="847">
        <v>0</v>
      </c>
      <c r="HA389" s="847">
        <v>0</v>
      </c>
      <c r="HB389" s="847">
        <v>0</v>
      </c>
      <c r="HC389" s="847">
        <v>0</v>
      </c>
      <c r="HD389" s="847">
        <v>0</v>
      </c>
      <c r="HE389" s="847">
        <v>0</v>
      </c>
      <c r="HF389" s="847">
        <v>0</v>
      </c>
      <c r="HG389" s="847">
        <v>0</v>
      </c>
      <c r="HH389" s="847">
        <v>0</v>
      </c>
      <c r="HI389" s="847">
        <v>0</v>
      </c>
      <c r="HJ389" s="847">
        <v>0</v>
      </c>
      <c r="HK389" s="847">
        <v>0</v>
      </c>
      <c r="HL389" s="847">
        <v>0</v>
      </c>
      <c r="HM389" s="847">
        <v>0</v>
      </c>
      <c r="HN389" s="847">
        <v>0</v>
      </c>
      <c r="HO389" s="847">
        <v>0</v>
      </c>
      <c r="HP389" s="847">
        <v>0</v>
      </c>
      <c r="HQ389" s="847">
        <v>0</v>
      </c>
      <c r="HR389" s="847">
        <v>0</v>
      </c>
      <c r="HS389" s="847">
        <v>0</v>
      </c>
      <c r="HT389" s="847">
        <v>0</v>
      </c>
      <c r="HU389" s="847">
        <v>0</v>
      </c>
      <c r="HV389" s="847">
        <v>0</v>
      </c>
      <c r="HW389" s="847">
        <v>0</v>
      </c>
      <c r="HX389" s="847">
        <v>0</v>
      </c>
      <c r="HY389" s="847">
        <v>0</v>
      </c>
      <c r="HZ389" s="847">
        <v>0</v>
      </c>
      <c r="IA389" s="847">
        <v>0</v>
      </c>
      <c r="IB389" s="847">
        <v>0</v>
      </c>
      <c r="IC389" s="847">
        <v>0</v>
      </c>
      <c r="ID389" s="847">
        <v>0</v>
      </c>
      <c r="IE389" s="847">
        <v>0</v>
      </c>
      <c r="IF389" s="847">
        <v>0</v>
      </c>
      <c r="IG389" s="847">
        <v>0</v>
      </c>
      <c r="IH389" s="847">
        <v>0</v>
      </c>
      <c r="II389" s="847">
        <v>0</v>
      </c>
      <c r="IJ389" s="847">
        <v>0</v>
      </c>
      <c r="IK389" s="847">
        <v>0</v>
      </c>
    </row>
    <row r="390" spans="12:245" hidden="1">
      <c r="L390" s="843" t="s">
        <v>1060</v>
      </c>
      <c r="M390" s="843" t="s">
        <v>1382</v>
      </c>
      <c r="N390" s="843" t="s">
        <v>96</v>
      </c>
      <c r="O390" s="844">
        <v>75</v>
      </c>
      <c r="P390" s="780" t="str">
        <f t="shared" si="14"/>
        <v>IWT060175</v>
      </c>
      <c r="Q390" s="844">
        <v>1846</v>
      </c>
      <c r="R390" s="844">
        <v>6212</v>
      </c>
      <c r="S390" s="844">
        <v>11182</v>
      </c>
      <c r="T390" s="844">
        <v>16770</v>
      </c>
      <c r="U390" s="844">
        <v>22995</v>
      </c>
      <c r="V390" s="844">
        <v>29578</v>
      </c>
      <c r="W390" s="844">
        <v>30271</v>
      </c>
      <c r="X390" s="844">
        <v>30683</v>
      </c>
      <c r="Y390" s="844">
        <v>31121</v>
      </c>
      <c r="Z390" s="844">
        <v>31591</v>
      </c>
      <c r="AA390" s="844">
        <v>32105</v>
      </c>
      <c r="AB390" s="844">
        <v>32676</v>
      </c>
      <c r="AC390" s="844">
        <v>33321</v>
      </c>
      <c r="AD390" s="844">
        <v>33987</v>
      </c>
      <c r="AE390" s="844">
        <v>34666</v>
      </c>
      <c r="AF390" s="844">
        <v>35359</v>
      </c>
      <c r="AG390" s="844">
        <v>36066</v>
      </c>
      <c r="AH390" s="844">
        <v>36787</v>
      </c>
      <c r="AI390" s="844">
        <v>37523</v>
      </c>
      <c r="AJ390" s="844">
        <v>38273</v>
      </c>
      <c r="AK390" s="844">
        <v>39038</v>
      </c>
      <c r="AL390" s="844">
        <v>39818</v>
      </c>
      <c r="AM390" s="844">
        <v>40614</v>
      </c>
      <c r="AN390" s="844">
        <v>41425</v>
      </c>
      <c r="AO390" s="844">
        <v>42253</v>
      </c>
      <c r="AP390" s="844">
        <v>43097</v>
      </c>
      <c r="AQ390" s="844">
        <v>43958</v>
      </c>
      <c r="AR390" s="844">
        <v>44836</v>
      </c>
      <c r="AS390" s="844">
        <v>45732</v>
      </c>
      <c r="AT390" s="844">
        <v>46645</v>
      </c>
      <c r="AU390" s="844">
        <v>47576</v>
      </c>
      <c r="AV390" s="844">
        <v>48526</v>
      </c>
      <c r="AW390" s="844">
        <v>49494</v>
      </c>
      <c r="AX390" s="844">
        <v>50481</v>
      </c>
      <c r="AY390" s="844">
        <v>51488</v>
      </c>
      <c r="AZ390" s="844">
        <v>52000</v>
      </c>
      <c r="BA390" s="844">
        <v>0</v>
      </c>
      <c r="BB390" s="844">
        <v>0</v>
      </c>
      <c r="BC390" s="844">
        <v>0</v>
      </c>
      <c r="BD390" s="844">
        <v>0</v>
      </c>
      <c r="BE390" s="844">
        <v>0</v>
      </c>
      <c r="BF390" s="844">
        <v>0</v>
      </c>
      <c r="BG390" s="844">
        <v>0</v>
      </c>
      <c r="BH390" s="844">
        <v>0</v>
      </c>
      <c r="BI390" s="844">
        <v>0</v>
      </c>
      <c r="BJ390" s="844">
        <v>0</v>
      </c>
      <c r="BK390" s="844">
        <v>0</v>
      </c>
      <c r="BL390" s="844">
        <v>0</v>
      </c>
      <c r="BM390" s="844">
        <v>0</v>
      </c>
      <c r="BN390" s="844">
        <v>0</v>
      </c>
      <c r="BO390" s="844">
        <v>0</v>
      </c>
      <c r="BP390" s="844">
        <v>0</v>
      </c>
      <c r="BQ390" s="844">
        <v>0</v>
      </c>
      <c r="BR390" s="844">
        <v>0</v>
      </c>
      <c r="BS390" s="844">
        <v>0</v>
      </c>
      <c r="BT390" s="844">
        <v>0</v>
      </c>
      <c r="BU390" s="844">
        <v>0</v>
      </c>
      <c r="BV390" s="844">
        <v>0</v>
      </c>
      <c r="BW390" s="844">
        <v>0</v>
      </c>
      <c r="BX390" s="844">
        <v>0</v>
      </c>
      <c r="BY390" s="844">
        <v>0</v>
      </c>
      <c r="BZ390" s="844">
        <v>0</v>
      </c>
      <c r="CA390" s="844">
        <v>0</v>
      </c>
      <c r="CB390" s="844">
        <v>0</v>
      </c>
      <c r="CC390" s="844">
        <v>0</v>
      </c>
      <c r="CD390" s="844">
        <v>0</v>
      </c>
      <c r="CE390" s="844">
        <v>0</v>
      </c>
      <c r="CF390" s="844">
        <v>0</v>
      </c>
      <c r="CG390" s="844">
        <v>0</v>
      </c>
      <c r="CH390" s="844">
        <v>0</v>
      </c>
      <c r="CI390" s="844">
        <v>0</v>
      </c>
      <c r="CJ390" s="844">
        <v>0</v>
      </c>
      <c r="CK390" s="844">
        <v>0</v>
      </c>
      <c r="CL390" s="844">
        <v>0</v>
      </c>
      <c r="CM390" s="844">
        <v>0</v>
      </c>
      <c r="CN390" s="844">
        <v>0</v>
      </c>
      <c r="CO390" s="844">
        <v>0</v>
      </c>
      <c r="CP390" s="844">
        <v>0</v>
      </c>
      <c r="CQ390" s="844">
        <v>0</v>
      </c>
      <c r="CR390" s="844">
        <v>0</v>
      </c>
      <c r="CS390" s="844">
        <v>0</v>
      </c>
      <c r="CT390" s="844">
        <v>0</v>
      </c>
      <c r="CU390" s="844">
        <v>0</v>
      </c>
      <c r="CV390" s="844">
        <v>0</v>
      </c>
      <c r="CW390" s="844">
        <v>0</v>
      </c>
      <c r="CX390" s="844">
        <v>0</v>
      </c>
      <c r="CY390" s="844">
        <v>0</v>
      </c>
      <c r="CZ390" s="844">
        <v>0</v>
      </c>
      <c r="DA390" s="844">
        <v>0</v>
      </c>
      <c r="DB390" s="844">
        <v>0</v>
      </c>
      <c r="DC390" s="844">
        <v>0</v>
      </c>
      <c r="DD390" s="844">
        <v>0</v>
      </c>
      <c r="DE390" s="844">
        <v>0</v>
      </c>
      <c r="DF390" s="844">
        <v>0</v>
      </c>
      <c r="DG390" s="844">
        <v>0</v>
      </c>
      <c r="DH390" s="844">
        <v>0</v>
      </c>
      <c r="DI390" s="844">
        <v>0</v>
      </c>
      <c r="DJ390" s="844">
        <v>0</v>
      </c>
      <c r="DK390" s="844">
        <v>0</v>
      </c>
      <c r="DL390" s="844">
        <v>0</v>
      </c>
      <c r="DM390" s="844">
        <v>0</v>
      </c>
      <c r="DN390" s="844">
        <v>0</v>
      </c>
      <c r="DO390" s="844">
        <v>0</v>
      </c>
      <c r="DP390" s="844">
        <v>0</v>
      </c>
      <c r="DQ390" s="844">
        <v>0</v>
      </c>
      <c r="DR390" s="844">
        <v>0</v>
      </c>
      <c r="DS390" s="844">
        <v>0</v>
      </c>
      <c r="DT390" s="844">
        <v>0</v>
      </c>
      <c r="DU390" s="844">
        <v>0</v>
      </c>
      <c r="DV390" s="844">
        <v>0</v>
      </c>
      <c r="DW390" s="844">
        <v>0</v>
      </c>
      <c r="DY390" s="846" t="s">
        <v>1060</v>
      </c>
      <c r="DZ390" s="846" t="s">
        <v>1382</v>
      </c>
      <c r="EA390" s="846" t="s">
        <v>96</v>
      </c>
      <c r="EB390" s="847">
        <v>75</v>
      </c>
      <c r="EC390" s="780" t="str">
        <f t="shared" si="15"/>
        <v>IWT060175</v>
      </c>
      <c r="ED390" s="847">
        <v>0</v>
      </c>
      <c r="EE390" s="847">
        <v>2461</v>
      </c>
      <c r="EF390" s="847">
        <v>7765</v>
      </c>
      <c r="EG390" s="847">
        <v>13155</v>
      </c>
      <c r="EH390" s="847">
        <v>18633</v>
      </c>
      <c r="EI390" s="847">
        <v>24205</v>
      </c>
      <c r="EJ390" s="847">
        <v>29877</v>
      </c>
      <c r="EK390" s="847">
        <v>30271</v>
      </c>
      <c r="EL390" s="847">
        <v>30683</v>
      </c>
      <c r="EM390" s="847">
        <v>31121</v>
      </c>
      <c r="EN390" s="847">
        <v>31591</v>
      </c>
      <c r="EO390" s="847">
        <v>32105</v>
      </c>
      <c r="EP390" s="847">
        <v>32676</v>
      </c>
      <c r="EQ390" s="847">
        <v>33321</v>
      </c>
      <c r="ER390" s="847">
        <v>33987</v>
      </c>
      <c r="ES390" s="847">
        <v>34666</v>
      </c>
      <c r="ET390" s="847">
        <v>35359</v>
      </c>
      <c r="EU390" s="847">
        <v>36066</v>
      </c>
      <c r="EV390" s="847">
        <v>36787</v>
      </c>
      <c r="EW390" s="847">
        <v>37523</v>
      </c>
      <c r="EX390" s="847">
        <v>38273</v>
      </c>
      <c r="EY390" s="847">
        <v>39038</v>
      </c>
      <c r="EZ390" s="847">
        <v>39818</v>
      </c>
      <c r="FA390" s="847">
        <v>40614</v>
      </c>
      <c r="FB390" s="847">
        <v>41425</v>
      </c>
      <c r="FC390" s="847">
        <v>42253</v>
      </c>
      <c r="FD390" s="847">
        <v>43097</v>
      </c>
      <c r="FE390" s="847">
        <v>43958</v>
      </c>
      <c r="FF390" s="847">
        <v>44836</v>
      </c>
      <c r="FG390" s="847">
        <v>45732</v>
      </c>
      <c r="FH390" s="847">
        <v>46645</v>
      </c>
      <c r="FI390" s="847">
        <v>47576</v>
      </c>
      <c r="FJ390" s="847">
        <v>48526</v>
      </c>
      <c r="FK390" s="847">
        <v>49494</v>
      </c>
      <c r="FL390" s="847">
        <v>50481</v>
      </c>
      <c r="FM390" s="847">
        <v>51488</v>
      </c>
      <c r="FN390" s="847">
        <v>52000</v>
      </c>
      <c r="FO390" s="847">
        <v>0</v>
      </c>
      <c r="FP390" s="847">
        <v>0</v>
      </c>
      <c r="FQ390" s="847">
        <v>0</v>
      </c>
      <c r="FR390" s="847">
        <v>0</v>
      </c>
      <c r="FS390" s="847">
        <v>0</v>
      </c>
      <c r="FT390" s="847">
        <v>0</v>
      </c>
      <c r="FU390" s="847">
        <v>0</v>
      </c>
      <c r="FV390" s="847">
        <v>0</v>
      </c>
      <c r="FW390" s="847">
        <v>0</v>
      </c>
      <c r="FX390" s="847">
        <v>0</v>
      </c>
      <c r="FY390" s="847">
        <v>0</v>
      </c>
      <c r="FZ390" s="847">
        <v>0</v>
      </c>
      <c r="GA390" s="847">
        <v>0</v>
      </c>
      <c r="GB390" s="847">
        <v>0</v>
      </c>
      <c r="GC390" s="847">
        <v>0</v>
      </c>
      <c r="GD390" s="847">
        <v>0</v>
      </c>
      <c r="GE390" s="847">
        <v>0</v>
      </c>
      <c r="GF390" s="847">
        <v>0</v>
      </c>
      <c r="GG390" s="847">
        <v>0</v>
      </c>
      <c r="GH390" s="847">
        <v>0</v>
      </c>
      <c r="GI390" s="847">
        <v>0</v>
      </c>
      <c r="GJ390" s="847">
        <v>0</v>
      </c>
      <c r="GK390" s="847">
        <v>0</v>
      </c>
      <c r="GL390" s="847">
        <v>0</v>
      </c>
      <c r="GM390" s="847">
        <v>0</v>
      </c>
      <c r="GN390" s="847">
        <v>0</v>
      </c>
      <c r="GO390" s="847">
        <v>0</v>
      </c>
      <c r="GP390" s="847">
        <v>0</v>
      </c>
      <c r="GQ390" s="847">
        <v>0</v>
      </c>
      <c r="GR390" s="847">
        <v>0</v>
      </c>
      <c r="GS390" s="847">
        <v>0</v>
      </c>
      <c r="GT390" s="847">
        <v>0</v>
      </c>
      <c r="GU390" s="847">
        <v>0</v>
      </c>
      <c r="GV390" s="847">
        <v>0</v>
      </c>
      <c r="GW390" s="847">
        <v>0</v>
      </c>
      <c r="GX390" s="847">
        <v>0</v>
      </c>
      <c r="GY390" s="847">
        <v>0</v>
      </c>
      <c r="GZ390" s="847">
        <v>0</v>
      </c>
      <c r="HA390" s="847">
        <v>0</v>
      </c>
      <c r="HB390" s="847">
        <v>0</v>
      </c>
      <c r="HC390" s="847">
        <v>0</v>
      </c>
      <c r="HD390" s="847">
        <v>0</v>
      </c>
      <c r="HE390" s="847">
        <v>0</v>
      </c>
      <c r="HF390" s="847">
        <v>0</v>
      </c>
      <c r="HG390" s="847">
        <v>0</v>
      </c>
      <c r="HH390" s="847">
        <v>0</v>
      </c>
      <c r="HI390" s="847">
        <v>0</v>
      </c>
      <c r="HJ390" s="847">
        <v>0</v>
      </c>
      <c r="HK390" s="847">
        <v>0</v>
      </c>
      <c r="HL390" s="847">
        <v>0</v>
      </c>
      <c r="HM390" s="847">
        <v>0</v>
      </c>
      <c r="HN390" s="847">
        <v>0</v>
      </c>
      <c r="HO390" s="847">
        <v>0</v>
      </c>
      <c r="HP390" s="847">
        <v>0</v>
      </c>
      <c r="HQ390" s="847">
        <v>0</v>
      </c>
      <c r="HR390" s="847">
        <v>0</v>
      </c>
      <c r="HS390" s="847">
        <v>0</v>
      </c>
      <c r="HT390" s="847">
        <v>0</v>
      </c>
      <c r="HU390" s="847">
        <v>0</v>
      </c>
      <c r="HV390" s="847">
        <v>0</v>
      </c>
      <c r="HW390" s="847">
        <v>0</v>
      </c>
      <c r="HX390" s="847">
        <v>0</v>
      </c>
      <c r="HY390" s="847">
        <v>0</v>
      </c>
      <c r="HZ390" s="847">
        <v>0</v>
      </c>
      <c r="IA390" s="847">
        <v>0</v>
      </c>
      <c r="IB390" s="847">
        <v>0</v>
      </c>
      <c r="IC390" s="847">
        <v>0</v>
      </c>
      <c r="ID390" s="847">
        <v>0</v>
      </c>
      <c r="IE390" s="847">
        <v>0</v>
      </c>
      <c r="IF390" s="847">
        <v>0</v>
      </c>
      <c r="IG390" s="847">
        <v>0</v>
      </c>
      <c r="IH390" s="847">
        <v>0</v>
      </c>
      <c r="II390" s="847">
        <v>0</v>
      </c>
      <c r="IJ390" s="847">
        <v>0</v>
      </c>
      <c r="IK390" s="847">
        <v>0</v>
      </c>
    </row>
    <row r="391" spans="12:245" hidden="1">
      <c r="L391" s="843" t="s">
        <v>1060</v>
      </c>
      <c r="M391" s="843" t="s">
        <v>1382</v>
      </c>
      <c r="N391" s="843" t="s">
        <v>97</v>
      </c>
      <c r="O391" s="844">
        <v>0</v>
      </c>
      <c r="P391" s="780" t="str">
        <f t="shared" si="14"/>
        <v>IWT060200</v>
      </c>
      <c r="Q391" s="844">
        <v>1990</v>
      </c>
      <c r="R391" s="844">
        <v>5628</v>
      </c>
      <c r="S391" s="844">
        <v>9778</v>
      </c>
      <c r="T391" s="844">
        <v>14457</v>
      </c>
      <c r="U391" s="844">
        <v>19677</v>
      </c>
      <c r="V391" s="844">
        <v>25201</v>
      </c>
      <c r="W391" s="844">
        <v>25965</v>
      </c>
      <c r="X391" s="844">
        <v>26484</v>
      </c>
      <c r="Y391" s="844">
        <v>27014</v>
      </c>
      <c r="Z391" s="844">
        <v>27554</v>
      </c>
      <c r="AA391" s="844">
        <v>28105</v>
      </c>
      <c r="AB391" s="844">
        <v>28667</v>
      </c>
      <c r="AC391" s="844">
        <v>29240</v>
      </c>
      <c r="AD391" s="844">
        <v>29824</v>
      </c>
      <c r="AE391" s="844">
        <v>30421</v>
      </c>
      <c r="AF391" s="844">
        <v>31029</v>
      </c>
      <c r="AG391" s="844">
        <v>31649</v>
      </c>
      <c r="AH391" s="844">
        <v>32282</v>
      </c>
      <c r="AI391" s="844">
        <v>32928</v>
      </c>
      <c r="AJ391" s="844">
        <v>33587</v>
      </c>
      <c r="AK391" s="844">
        <v>34258</v>
      </c>
      <c r="AL391" s="844">
        <v>34943</v>
      </c>
      <c r="AM391" s="844">
        <v>35642</v>
      </c>
      <c r="AN391" s="844">
        <v>36355</v>
      </c>
      <c r="AO391" s="844">
        <v>37082</v>
      </c>
      <c r="AP391" s="844">
        <v>37824</v>
      </c>
      <c r="AQ391" s="844">
        <v>38580</v>
      </c>
      <c r="AR391" s="844">
        <v>39351</v>
      </c>
      <c r="AS391" s="844">
        <v>40137</v>
      </c>
      <c r="AT391" s="844">
        <v>40938</v>
      </c>
      <c r="AU391" s="844">
        <v>41756</v>
      </c>
      <c r="AV391" s="844">
        <v>42589</v>
      </c>
      <c r="AW391" s="844">
        <v>43439</v>
      </c>
      <c r="AX391" s="844">
        <v>44305</v>
      </c>
      <c r="AY391" s="844">
        <v>45188</v>
      </c>
      <c r="AZ391" s="844">
        <v>46088</v>
      </c>
      <c r="BA391" s="844">
        <v>47006</v>
      </c>
      <c r="BB391" s="844">
        <v>47941</v>
      </c>
      <c r="BC391" s="844">
        <v>48894</v>
      </c>
      <c r="BD391" s="844">
        <v>49866</v>
      </c>
      <c r="BE391" s="844">
        <v>50856</v>
      </c>
      <c r="BF391" s="844">
        <v>51865</v>
      </c>
      <c r="BG391" s="844">
        <v>52893</v>
      </c>
      <c r="BH391" s="844">
        <v>53941</v>
      </c>
      <c r="BI391" s="844">
        <v>55008</v>
      </c>
      <c r="BJ391" s="844">
        <v>56096</v>
      </c>
      <c r="BK391" s="844">
        <v>57203</v>
      </c>
      <c r="BL391" s="844">
        <v>58330</v>
      </c>
      <c r="BM391" s="844">
        <v>59478</v>
      </c>
      <c r="BN391" s="844">
        <v>60647</v>
      </c>
      <c r="BO391" s="844">
        <v>61836</v>
      </c>
      <c r="BP391" s="844">
        <v>63046</v>
      </c>
      <c r="BQ391" s="844">
        <v>64277</v>
      </c>
      <c r="BR391" s="844">
        <v>65530</v>
      </c>
      <c r="BS391" s="844">
        <v>66805</v>
      </c>
      <c r="BT391" s="844">
        <v>68103</v>
      </c>
      <c r="BU391" s="844">
        <v>69423</v>
      </c>
      <c r="BV391" s="844">
        <v>70765</v>
      </c>
      <c r="BW391" s="844">
        <v>72129</v>
      </c>
      <c r="BX391" s="844">
        <v>73514</v>
      </c>
      <c r="BY391" s="844">
        <v>74920</v>
      </c>
      <c r="BZ391" s="844">
        <v>76347</v>
      </c>
      <c r="CA391" s="844">
        <v>77797</v>
      </c>
      <c r="CB391" s="844">
        <v>79269</v>
      </c>
      <c r="CC391" s="844">
        <v>80762</v>
      </c>
      <c r="CD391" s="844">
        <v>82276</v>
      </c>
      <c r="CE391" s="844">
        <v>83810</v>
      </c>
      <c r="CF391" s="844">
        <v>85363</v>
      </c>
      <c r="CG391" s="844">
        <v>86933</v>
      </c>
      <c r="CH391" s="844">
        <v>88521</v>
      </c>
      <c r="CI391" s="844">
        <v>90124</v>
      </c>
      <c r="CJ391" s="844">
        <v>91742</v>
      </c>
      <c r="CK391" s="844">
        <v>93376</v>
      </c>
      <c r="CL391" s="844">
        <v>95024</v>
      </c>
      <c r="CM391" s="844">
        <v>96686</v>
      </c>
      <c r="CN391" s="844">
        <v>98360</v>
      </c>
      <c r="CO391" s="844">
        <v>100044</v>
      </c>
      <c r="CP391" s="844">
        <v>101738</v>
      </c>
      <c r="CQ391" s="844">
        <v>103440</v>
      </c>
      <c r="CR391" s="844">
        <v>105150</v>
      </c>
      <c r="CS391" s="844">
        <v>106867</v>
      </c>
      <c r="CT391" s="844">
        <v>108590</v>
      </c>
      <c r="CU391" s="844">
        <v>110318</v>
      </c>
      <c r="CV391" s="844">
        <v>112051</v>
      </c>
      <c r="CW391" s="844">
        <v>113788</v>
      </c>
      <c r="CX391" s="844">
        <v>115529</v>
      </c>
      <c r="CY391" s="844">
        <v>117272</v>
      </c>
      <c r="CZ391" s="844">
        <v>119017</v>
      </c>
      <c r="DA391" s="844">
        <v>120763</v>
      </c>
      <c r="DB391" s="844">
        <v>122510</v>
      </c>
      <c r="DC391" s="844">
        <v>124257</v>
      </c>
      <c r="DD391" s="844">
        <v>125996</v>
      </c>
      <c r="DE391" s="844">
        <v>127717</v>
      </c>
      <c r="DF391" s="844">
        <v>129430</v>
      </c>
      <c r="DG391" s="844">
        <v>131136</v>
      </c>
      <c r="DH391" s="844">
        <v>132832</v>
      </c>
      <c r="DI391" s="844">
        <v>134520</v>
      </c>
      <c r="DJ391" s="844">
        <v>136197</v>
      </c>
      <c r="DK391" s="844">
        <v>137865</v>
      </c>
      <c r="DL391" s="844">
        <v>139522</v>
      </c>
      <c r="DM391" s="844">
        <v>141168</v>
      </c>
      <c r="DN391" s="844">
        <v>142804</v>
      </c>
      <c r="DO391" s="844">
        <v>144428</v>
      </c>
      <c r="DP391" s="844">
        <v>146042</v>
      </c>
      <c r="DQ391" s="844">
        <v>147645</v>
      </c>
      <c r="DR391" s="844">
        <v>149237</v>
      </c>
      <c r="DS391" s="844">
        <v>150819</v>
      </c>
      <c r="DT391" s="844">
        <v>152390</v>
      </c>
      <c r="DU391" s="844">
        <v>153949</v>
      </c>
      <c r="DV391" s="844">
        <v>155453</v>
      </c>
      <c r="DW391" s="844">
        <v>157000</v>
      </c>
      <c r="DY391" s="846" t="s">
        <v>1060</v>
      </c>
      <c r="DZ391" s="846" t="s">
        <v>1382</v>
      </c>
      <c r="EA391" s="846" t="s">
        <v>97</v>
      </c>
      <c r="EB391" s="847">
        <v>0</v>
      </c>
      <c r="EC391" s="780" t="str">
        <f t="shared" si="15"/>
        <v>IWT060200</v>
      </c>
      <c r="ED391" s="847">
        <v>0</v>
      </c>
      <c r="EE391" s="847">
        <v>2653</v>
      </c>
      <c r="EF391" s="847">
        <v>7035</v>
      </c>
      <c r="EG391" s="847">
        <v>11504</v>
      </c>
      <c r="EH391" s="847">
        <v>16063</v>
      </c>
      <c r="EI391" s="847">
        <v>20713</v>
      </c>
      <c r="EJ391" s="847">
        <v>25456</v>
      </c>
      <c r="EK391" s="847">
        <v>25965</v>
      </c>
      <c r="EL391" s="847">
        <v>26484</v>
      </c>
      <c r="EM391" s="847">
        <v>27014</v>
      </c>
      <c r="EN391" s="847">
        <v>27554</v>
      </c>
      <c r="EO391" s="847">
        <v>28105</v>
      </c>
      <c r="EP391" s="847">
        <v>28667</v>
      </c>
      <c r="EQ391" s="847">
        <v>29240</v>
      </c>
      <c r="ER391" s="847">
        <v>29824</v>
      </c>
      <c r="ES391" s="847">
        <v>30421</v>
      </c>
      <c r="ET391" s="847">
        <v>31029</v>
      </c>
      <c r="EU391" s="847">
        <v>31649</v>
      </c>
      <c r="EV391" s="847">
        <v>32282</v>
      </c>
      <c r="EW391" s="847">
        <v>32928</v>
      </c>
      <c r="EX391" s="847">
        <v>33587</v>
      </c>
      <c r="EY391" s="847">
        <v>34258</v>
      </c>
      <c r="EZ391" s="847">
        <v>34943</v>
      </c>
      <c r="FA391" s="847">
        <v>35642</v>
      </c>
      <c r="FB391" s="847">
        <v>36355</v>
      </c>
      <c r="FC391" s="847">
        <v>37082</v>
      </c>
      <c r="FD391" s="847">
        <v>37824</v>
      </c>
      <c r="FE391" s="847">
        <v>38580</v>
      </c>
      <c r="FF391" s="847">
        <v>39351</v>
      </c>
      <c r="FG391" s="847">
        <v>40137</v>
      </c>
      <c r="FH391" s="847">
        <v>40938</v>
      </c>
      <c r="FI391" s="847">
        <v>41756</v>
      </c>
      <c r="FJ391" s="847">
        <v>42589</v>
      </c>
      <c r="FK391" s="847">
        <v>43439</v>
      </c>
      <c r="FL391" s="847">
        <v>44305</v>
      </c>
      <c r="FM391" s="847">
        <v>45188</v>
      </c>
      <c r="FN391" s="847">
        <v>46088</v>
      </c>
      <c r="FO391" s="847">
        <v>47006</v>
      </c>
      <c r="FP391" s="847">
        <v>47941</v>
      </c>
      <c r="FQ391" s="847">
        <v>48894</v>
      </c>
      <c r="FR391" s="847">
        <v>49866</v>
      </c>
      <c r="FS391" s="847">
        <v>50856</v>
      </c>
      <c r="FT391" s="847">
        <v>51865</v>
      </c>
      <c r="FU391" s="847">
        <v>52893</v>
      </c>
      <c r="FV391" s="847">
        <v>53941</v>
      </c>
      <c r="FW391" s="847">
        <v>55008</v>
      </c>
      <c r="FX391" s="847">
        <v>56096</v>
      </c>
      <c r="FY391" s="847">
        <v>57203</v>
      </c>
      <c r="FZ391" s="847">
        <v>58330</v>
      </c>
      <c r="GA391" s="847">
        <v>59478</v>
      </c>
      <c r="GB391" s="847">
        <v>60647</v>
      </c>
      <c r="GC391" s="847">
        <v>61836</v>
      </c>
      <c r="GD391" s="847">
        <v>63046</v>
      </c>
      <c r="GE391" s="847">
        <v>64277</v>
      </c>
      <c r="GF391" s="847">
        <v>65530</v>
      </c>
      <c r="GG391" s="847">
        <v>66805</v>
      </c>
      <c r="GH391" s="847">
        <v>68103</v>
      </c>
      <c r="GI391" s="847">
        <v>69423</v>
      </c>
      <c r="GJ391" s="847">
        <v>70765</v>
      </c>
      <c r="GK391" s="847">
        <v>72129</v>
      </c>
      <c r="GL391" s="847">
        <v>73514</v>
      </c>
      <c r="GM391" s="847">
        <v>74920</v>
      </c>
      <c r="GN391" s="847">
        <v>76347</v>
      </c>
      <c r="GO391" s="847">
        <v>77797</v>
      </c>
      <c r="GP391" s="847">
        <v>79269</v>
      </c>
      <c r="GQ391" s="847">
        <v>80762</v>
      </c>
      <c r="GR391" s="847">
        <v>82276</v>
      </c>
      <c r="GS391" s="847">
        <v>83810</v>
      </c>
      <c r="GT391" s="847">
        <v>85363</v>
      </c>
      <c r="GU391" s="847">
        <v>86933</v>
      </c>
      <c r="GV391" s="847">
        <v>88521</v>
      </c>
      <c r="GW391" s="847">
        <v>90124</v>
      </c>
      <c r="GX391" s="847">
        <v>91742</v>
      </c>
      <c r="GY391" s="847">
        <v>93376</v>
      </c>
      <c r="GZ391" s="847">
        <v>95024</v>
      </c>
      <c r="HA391" s="847">
        <v>96686</v>
      </c>
      <c r="HB391" s="847">
        <v>98360</v>
      </c>
      <c r="HC391" s="847">
        <v>100044</v>
      </c>
      <c r="HD391" s="847">
        <v>101738</v>
      </c>
      <c r="HE391" s="847">
        <v>103440</v>
      </c>
      <c r="HF391" s="847">
        <v>105150</v>
      </c>
      <c r="HG391" s="847">
        <v>106867</v>
      </c>
      <c r="HH391" s="847">
        <v>108590</v>
      </c>
      <c r="HI391" s="847">
        <v>110318</v>
      </c>
      <c r="HJ391" s="847">
        <v>112051</v>
      </c>
      <c r="HK391" s="847">
        <v>113788</v>
      </c>
      <c r="HL391" s="847">
        <v>115529</v>
      </c>
      <c r="HM391" s="847">
        <v>117272</v>
      </c>
      <c r="HN391" s="847">
        <v>119017</v>
      </c>
      <c r="HO391" s="847">
        <v>120763</v>
      </c>
      <c r="HP391" s="847">
        <v>122510</v>
      </c>
      <c r="HQ391" s="847">
        <v>124257</v>
      </c>
      <c r="HR391" s="847">
        <v>125996</v>
      </c>
      <c r="HS391" s="847">
        <v>127717</v>
      </c>
      <c r="HT391" s="847">
        <v>129430</v>
      </c>
      <c r="HU391" s="847">
        <v>131136</v>
      </c>
      <c r="HV391" s="847">
        <v>132832</v>
      </c>
      <c r="HW391" s="847">
        <v>134520</v>
      </c>
      <c r="HX391" s="847">
        <v>136197</v>
      </c>
      <c r="HY391" s="847">
        <v>137865</v>
      </c>
      <c r="HZ391" s="847">
        <v>139522</v>
      </c>
      <c r="IA391" s="847">
        <v>141168</v>
      </c>
      <c r="IB391" s="847">
        <v>142804</v>
      </c>
      <c r="IC391" s="847">
        <v>144428</v>
      </c>
      <c r="ID391" s="847">
        <v>146042</v>
      </c>
      <c r="IE391" s="847">
        <v>147645</v>
      </c>
      <c r="IF391" s="847">
        <v>149237</v>
      </c>
      <c r="IG391" s="847">
        <v>150819</v>
      </c>
      <c r="IH391" s="847">
        <v>152390</v>
      </c>
      <c r="II391" s="847">
        <v>153949</v>
      </c>
      <c r="IJ391" s="847">
        <v>155453</v>
      </c>
      <c r="IK391" s="847">
        <v>157000</v>
      </c>
    </row>
    <row r="392" spans="12:245" hidden="1">
      <c r="L392" s="843" t="s">
        <v>1060</v>
      </c>
      <c r="M392" s="843" t="s">
        <v>1382</v>
      </c>
      <c r="N392" s="843" t="s">
        <v>97</v>
      </c>
      <c r="O392" s="844">
        <v>1</v>
      </c>
      <c r="P392" s="780" t="str">
        <f t="shared" si="14"/>
        <v>IWT060201</v>
      </c>
      <c r="Q392" s="844">
        <v>2005</v>
      </c>
      <c r="R392" s="844">
        <v>5670</v>
      </c>
      <c r="S392" s="844">
        <v>9852</v>
      </c>
      <c r="T392" s="844">
        <v>14566</v>
      </c>
      <c r="U392" s="844">
        <v>19826</v>
      </c>
      <c r="V392" s="844">
        <v>25392</v>
      </c>
      <c r="W392" s="844">
        <v>26160</v>
      </c>
      <c r="X392" s="844">
        <v>26683</v>
      </c>
      <c r="Y392" s="844">
        <v>27217</v>
      </c>
      <c r="Z392" s="844">
        <v>27761</v>
      </c>
      <c r="AA392" s="844">
        <v>28316</v>
      </c>
      <c r="AB392" s="844">
        <v>28882</v>
      </c>
      <c r="AC392" s="844">
        <v>29460</v>
      </c>
      <c r="AD392" s="844">
        <v>30049</v>
      </c>
      <c r="AE392" s="844">
        <v>30649</v>
      </c>
      <c r="AF392" s="844">
        <v>31262</v>
      </c>
      <c r="AG392" s="844">
        <v>31888</v>
      </c>
      <c r="AH392" s="844">
        <v>32525</v>
      </c>
      <c r="AI392" s="844">
        <v>33176</v>
      </c>
      <c r="AJ392" s="844">
        <v>33839</v>
      </c>
      <c r="AK392" s="844">
        <v>34516</v>
      </c>
      <c r="AL392" s="844">
        <v>35207</v>
      </c>
      <c r="AM392" s="844">
        <v>35911</v>
      </c>
      <c r="AN392" s="844">
        <v>36629</v>
      </c>
      <c r="AO392" s="844">
        <v>37361</v>
      </c>
      <c r="AP392" s="844">
        <v>38109</v>
      </c>
      <c r="AQ392" s="844">
        <v>38870</v>
      </c>
      <c r="AR392" s="844">
        <v>39647</v>
      </c>
      <c r="AS392" s="844">
        <v>40439</v>
      </c>
      <c r="AT392" s="844">
        <v>41247</v>
      </c>
      <c r="AU392" s="844">
        <v>42071</v>
      </c>
      <c r="AV392" s="844">
        <v>42910</v>
      </c>
      <c r="AW392" s="844">
        <v>43766</v>
      </c>
      <c r="AX392" s="844">
        <v>44639</v>
      </c>
      <c r="AY392" s="844">
        <v>45529</v>
      </c>
      <c r="AZ392" s="844">
        <v>46436</v>
      </c>
      <c r="BA392" s="844">
        <v>47360</v>
      </c>
      <c r="BB392" s="844">
        <v>48302</v>
      </c>
      <c r="BC392" s="844">
        <v>49263</v>
      </c>
      <c r="BD392" s="844">
        <v>50242</v>
      </c>
      <c r="BE392" s="844">
        <v>51239</v>
      </c>
      <c r="BF392" s="844">
        <v>52255</v>
      </c>
      <c r="BG392" s="844">
        <v>53291</v>
      </c>
      <c r="BH392" s="844">
        <v>54346</v>
      </c>
      <c r="BI392" s="844">
        <v>55421</v>
      </c>
      <c r="BJ392" s="844">
        <v>56516</v>
      </c>
      <c r="BK392" s="844">
        <v>57631</v>
      </c>
      <c r="BL392" s="844">
        <v>58766</v>
      </c>
      <c r="BM392" s="844">
        <v>59921</v>
      </c>
      <c r="BN392" s="844">
        <v>61097</v>
      </c>
      <c r="BO392" s="844">
        <v>62294</v>
      </c>
      <c r="BP392" s="844">
        <v>63512</v>
      </c>
      <c r="BQ392" s="844">
        <v>64751</v>
      </c>
      <c r="BR392" s="844">
        <v>66013</v>
      </c>
      <c r="BS392" s="844">
        <v>67296</v>
      </c>
      <c r="BT392" s="844">
        <v>68602</v>
      </c>
      <c r="BU392" s="844">
        <v>69930</v>
      </c>
      <c r="BV392" s="844">
        <v>71279</v>
      </c>
      <c r="BW392" s="844">
        <v>72650</v>
      </c>
      <c r="BX392" s="844">
        <v>74041</v>
      </c>
      <c r="BY392" s="844">
        <v>75453</v>
      </c>
      <c r="BZ392" s="844">
        <v>76888</v>
      </c>
      <c r="CA392" s="844">
        <v>78345</v>
      </c>
      <c r="CB392" s="844">
        <v>79823</v>
      </c>
      <c r="CC392" s="844">
        <v>81322</v>
      </c>
      <c r="CD392" s="844">
        <v>82841</v>
      </c>
      <c r="CE392" s="844">
        <v>84379</v>
      </c>
      <c r="CF392" s="844">
        <v>85935</v>
      </c>
      <c r="CG392" s="844">
        <v>87507</v>
      </c>
      <c r="CH392" s="844">
        <v>89095</v>
      </c>
      <c r="CI392" s="844">
        <v>90699</v>
      </c>
      <c r="CJ392" s="844">
        <v>92318</v>
      </c>
      <c r="CK392" s="844">
        <v>93952</v>
      </c>
      <c r="CL392" s="844">
        <v>95599</v>
      </c>
      <c r="CM392" s="844">
        <v>97259</v>
      </c>
      <c r="CN392" s="844">
        <v>98929</v>
      </c>
      <c r="CO392" s="844">
        <v>100609</v>
      </c>
      <c r="CP392" s="844">
        <v>102298</v>
      </c>
      <c r="CQ392" s="844">
        <v>103995</v>
      </c>
      <c r="CR392" s="844">
        <v>105699</v>
      </c>
      <c r="CS392" s="844">
        <v>107409</v>
      </c>
      <c r="CT392" s="844">
        <v>109125</v>
      </c>
      <c r="CU392" s="844">
        <v>110846</v>
      </c>
      <c r="CV392" s="844">
        <v>112572</v>
      </c>
      <c r="CW392" s="844">
        <v>114301</v>
      </c>
      <c r="CX392" s="844">
        <v>116033</v>
      </c>
      <c r="CY392" s="844">
        <v>117767</v>
      </c>
      <c r="CZ392" s="844">
        <v>119503</v>
      </c>
      <c r="DA392" s="844">
        <v>121240</v>
      </c>
      <c r="DB392" s="844">
        <v>122977</v>
      </c>
      <c r="DC392" s="844">
        <v>124707</v>
      </c>
      <c r="DD392" s="844">
        <v>126419</v>
      </c>
      <c r="DE392" s="844">
        <v>128124</v>
      </c>
      <c r="DF392" s="844">
        <v>129822</v>
      </c>
      <c r="DG392" s="844">
        <v>131511</v>
      </c>
      <c r="DH392" s="844">
        <v>133191</v>
      </c>
      <c r="DI392" s="844">
        <v>134862</v>
      </c>
      <c r="DJ392" s="844">
        <v>136523</v>
      </c>
      <c r="DK392" s="844">
        <v>138175</v>
      </c>
      <c r="DL392" s="844">
        <v>139815</v>
      </c>
      <c r="DM392" s="844">
        <v>141446</v>
      </c>
      <c r="DN392" s="844">
        <v>143066</v>
      </c>
      <c r="DO392" s="844">
        <v>144675</v>
      </c>
      <c r="DP392" s="844">
        <v>146274</v>
      </c>
      <c r="DQ392" s="844">
        <v>147862</v>
      </c>
      <c r="DR392" s="844">
        <v>149441</v>
      </c>
      <c r="DS392" s="844">
        <v>151009</v>
      </c>
      <c r="DT392" s="844">
        <v>152565</v>
      </c>
      <c r="DU392" s="844">
        <v>154067</v>
      </c>
      <c r="DV392" s="844">
        <v>155600</v>
      </c>
      <c r="DW392" s="844">
        <v>0</v>
      </c>
      <c r="DY392" s="846" t="s">
        <v>1060</v>
      </c>
      <c r="DZ392" s="846" t="s">
        <v>1382</v>
      </c>
      <c r="EA392" s="846" t="s">
        <v>97</v>
      </c>
      <c r="EB392" s="847">
        <v>1</v>
      </c>
      <c r="EC392" s="780" t="str">
        <f t="shared" si="15"/>
        <v>IWT060201</v>
      </c>
      <c r="ED392" s="847">
        <v>0</v>
      </c>
      <c r="EE392" s="847">
        <v>2673</v>
      </c>
      <c r="EF392" s="847">
        <v>7087</v>
      </c>
      <c r="EG392" s="847">
        <v>11591</v>
      </c>
      <c r="EH392" s="847">
        <v>16184</v>
      </c>
      <c r="EI392" s="847">
        <v>20869</v>
      </c>
      <c r="EJ392" s="847">
        <v>25648</v>
      </c>
      <c r="EK392" s="847">
        <v>26160</v>
      </c>
      <c r="EL392" s="847">
        <v>26683</v>
      </c>
      <c r="EM392" s="847">
        <v>27217</v>
      </c>
      <c r="EN392" s="847">
        <v>27761</v>
      </c>
      <c r="EO392" s="847">
        <v>28316</v>
      </c>
      <c r="EP392" s="847">
        <v>28882</v>
      </c>
      <c r="EQ392" s="847">
        <v>29460</v>
      </c>
      <c r="ER392" s="847">
        <v>30049</v>
      </c>
      <c r="ES392" s="847">
        <v>30649</v>
      </c>
      <c r="ET392" s="847">
        <v>31262</v>
      </c>
      <c r="EU392" s="847">
        <v>31888</v>
      </c>
      <c r="EV392" s="847">
        <v>32525</v>
      </c>
      <c r="EW392" s="847">
        <v>33176</v>
      </c>
      <c r="EX392" s="847">
        <v>33839</v>
      </c>
      <c r="EY392" s="847">
        <v>34516</v>
      </c>
      <c r="EZ392" s="847">
        <v>35207</v>
      </c>
      <c r="FA392" s="847">
        <v>35911</v>
      </c>
      <c r="FB392" s="847">
        <v>36629</v>
      </c>
      <c r="FC392" s="847">
        <v>37361</v>
      </c>
      <c r="FD392" s="847">
        <v>38109</v>
      </c>
      <c r="FE392" s="847">
        <v>38870</v>
      </c>
      <c r="FF392" s="847">
        <v>39647</v>
      </c>
      <c r="FG392" s="847">
        <v>40439</v>
      </c>
      <c r="FH392" s="847">
        <v>41247</v>
      </c>
      <c r="FI392" s="847">
        <v>42071</v>
      </c>
      <c r="FJ392" s="847">
        <v>42910</v>
      </c>
      <c r="FK392" s="847">
        <v>43766</v>
      </c>
      <c r="FL392" s="847">
        <v>44639</v>
      </c>
      <c r="FM392" s="847">
        <v>45529</v>
      </c>
      <c r="FN392" s="847">
        <v>46436</v>
      </c>
      <c r="FO392" s="847">
        <v>47360</v>
      </c>
      <c r="FP392" s="847">
        <v>48302</v>
      </c>
      <c r="FQ392" s="847">
        <v>49263</v>
      </c>
      <c r="FR392" s="847">
        <v>50242</v>
      </c>
      <c r="FS392" s="847">
        <v>51239</v>
      </c>
      <c r="FT392" s="847">
        <v>52255</v>
      </c>
      <c r="FU392" s="847">
        <v>53291</v>
      </c>
      <c r="FV392" s="847">
        <v>54346</v>
      </c>
      <c r="FW392" s="847">
        <v>55421</v>
      </c>
      <c r="FX392" s="847">
        <v>56516</v>
      </c>
      <c r="FY392" s="847">
        <v>57631</v>
      </c>
      <c r="FZ392" s="847">
        <v>58766</v>
      </c>
      <c r="GA392" s="847">
        <v>59921</v>
      </c>
      <c r="GB392" s="847">
        <v>61097</v>
      </c>
      <c r="GC392" s="847">
        <v>62294</v>
      </c>
      <c r="GD392" s="847">
        <v>63512</v>
      </c>
      <c r="GE392" s="847">
        <v>64751</v>
      </c>
      <c r="GF392" s="847">
        <v>66013</v>
      </c>
      <c r="GG392" s="847">
        <v>67296</v>
      </c>
      <c r="GH392" s="847">
        <v>68602</v>
      </c>
      <c r="GI392" s="847">
        <v>69930</v>
      </c>
      <c r="GJ392" s="847">
        <v>71279</v>
      </c>
      <c r="GK392" s="847">
        <v>72650</v>
      </c>
      <c r="GL392" s="847">
        <v>74041</v>
      </c>
      <c r="GM392" s="847">
        <v>75453</v>
      </c>
      <c r="GN392" s="847">
        <v>76888</v>
      </c>
      <c r="GO392" s="847">
        <v>78345</v>
      </c>
      <c r="GP392" s="847">
        <v>79823</v>
      </c>
      <c r="GQ392" s="847">
        <v>81322</v>
      </c>
      <c r="GR392" s="847">
        <v>82841</v>
      </c>
      <c r="GS392" s="847">
        <v>84379</v>
      </c>
      <c r="GT392" s="847">
        <v>85935</v>
      </c>
      <c r="GU392" s="847">
        <v>87507</v>
      </c>
      <c r="GV392" s="847">
        <v>89095</v>
      </c>
      <c r="GW392" s="847">
        <v>90699</v>
      </c>
      <c r="GX392" s="847">
        <v>92318</v>
      </c>
      <c r="GY392" s="847">
        <v>93952</v>
      </c>
      <c r="GZ392" s="847">
        <v>95599</v>
      </c>
      <c r="HA392" s="847">
        <v>97259</v>
      </c>
      <c r="HB392" s="847">
        <v>98929</v>
      </c>
      <c r="HC392" s="847">
        <v>100609</v>
      </c>
      <c r="HD392" s="847">
        <v>102298</v>
      </c>
      <c r="HE392" s="847">
        <v>103995</v>
      </c>
      <c r="HF392" s="847">
        <v>105699</v>
      </c>
      <c r="HG392" s="847">
        <v>107409</v>
      </c>
      <c r="HH392" s="847">
        <v>109125</v>
      </c>
      <c r="HI392" s="847">
        <v>110846</v>
      </c>
      <c r="HJ392" s="847">
        <v>112572</v>
      </c>
      <c r="HK392" s="847">
        <v>114301</v>
      </c>
      <c r="HL392" s="847">
        <v>116033</v>
      </c>
      <c r="HM392" s="847">
        <v>117767</v>
      </c>
      <c r="HN392" s="847">
        <v>119503</v>
      </c>
      <c r="HO392" s="847">
        <v>121240</v>
      </c>
      <c r="HP392" s="847">
        <v>122977</v>
      </c>
      <c r="HQ392" s="847">
        <v>124707</v>
      </c>
      <c r="HR392" s="847">
        <v>126419</v>
      </c>
      <c r="HS392" s="847">
        <v>128124</v>
      </c>
      <c r="HT392" s="847">
        <v>129822</v>
      </c>
      <c r="HU392" s="847">
        <v>131511</v>
      </c>
      <c r="HV392" s="847">
        <v>133191</v>
      </c>
      <c r="HW392" s="847">
        <v>134862</v>
      </c>
      <c r="HX392" s="847">
        <v>136523</v>
      </c>
      <c r="HY392" s="847">
        <v>138175</v>
      </c>
      <c r="HZ392" s="847">
        <v>139815</v>
      </c>
      <c r="IA392" s="847">
        <v>141446</v>
      </c>
      <c r="IB392" s="847">
        <v>143066</v>
      </c>
      <c r="IC392" s="847">
        <v>144675</v>
      </c>
      <c r="ID392" s="847">
        <v>146274</v>
      </c>
      <c r="IE392" s="847">
        <v>147862</v>
      </c>
      <c r="IF392" s="847">
        <v>149441</v>
      </c>
      <c r="IG392" s="847">
        <v>151009</v>
      </c>
      <c r="IH392" s="847">
        <v>152565</v>
      </c>
      <c r="II392" s="847">
        <v>154067</v>
      </c>
      <c r="IJ392" s="847">
        <v>155600</v>
      </c>
      <c r="IK392" s="847">
        <v>0</v>
      </c>
    </row>
    <row r="393" spans="12:245" hidden="1">
      <c r="L393" s="843" t="s">
        <v>1060</v>
      </c>
      <c r="M393" s="843" t="s">
        <v>1382</v>
      </c>
      <c r="N393" s="843" t="s">
        <v>97</v>
      </c>
      <c r="O393" s="844">
        <v>2</v>
      </c>
      <c r="P393" s="780" t="str">
        <f t="shared" si="14"/>
        <v>IWT060202</v>
      </c>
      <c r="Q393" s="844">
        <v>2019</v>
      </c>
      <c r="R393" s="844">
        <v>5712</v>
      </c>
      <c r="S393" s="844">
        <v>9925</v>
      </c>
      <c r="T393" s="844">
        <v>14673</v>
      </c>
      <c r="U393" s="844">
        <v>19972</v>
      </c>
      <c r="V393" s="844">
        <v>25579</v>
      </c>
      <c r="W393" s="844">
        <v>26354</v>
      </c>
      <c r="X393" s="844">
        <v>26880</v>
      </c>
      <c r="Y393" s="844">
        <v>27418</v>
      </c>
      <c r="Z393" s="844">
        <v>27966</v>
      </c>
      <c r="AA393" s="844">
        <v>28525</v>
      </c>
      <c r="AB393" s="844">
        <v>29095</v>
      </c>
      <c r="AC393" s="844">
        <v>29677</v>
      </c>
      <c r="AD393" s="844">
        <v>30270</v>
      </c>
      <c r="AE393" s="844">
        <v>30876</v>
      </c>
      <c r="AF393" s="844">
        <v>31493</v>
      </c>
      <c r="AG393" s="844">
        <v>32123</v>
      </c>
      <c r="AH393" s="844">
        <v>32766</v>
      </c>
      <c r="AI393" s="844">
        <v>33421</v>
      </c>
      <c r="AJ393" s="844">
        <v>34089</v>
      </c>
      <c r="AK393" s="844">
        <v>34771</v>
      </c>
      <c r="AL393" s="844">
        <v>35467</v>
      </c>
      <c r="AM393" s="844">
        <v>36176</v>
      </c>
      <c r="AN393" s="844">
        <v>36899</v>
      </c>
      <c r="AO393" s="844">
        <v>37637</v>
      </c>
      <c r="AP393" s="844">
        <v>38390</v>
      </c>
      <c r="AQ393" s="844">
        <v>39158</v>
      </c>
      <c r="AR393" s="844">
        <v>39940</v>
      </c>
      <c r="AS393" s="844">
        <v>40738</v>
      </c>
      <c r="AT393" s="844">
        <v>41552</v>
      </c>
      <c r="AU393" s="844">
        <v>42382</v>
      </c>
      <c r="AV393" s="844">
        <v>43228</v>
      </c>
      <c r="AW393" s="844">
        <v>44090</v>
      </c>
      <c r="AX393" s="844">
        <v>44969</v>
      </c>
      <c r="AY393" s="844">
        <v>45866</v>
      </c>
      <c r="AZ393" s="844">
        <v>46779</v>
      </c>
      <c r="BA393" s="844">
        <v>47711</v>
      </c>
      <c r="BB393" s="844">
        <v>48660</v>
      </c>
      <c r="BC393" s="844">
        <v>49627</v>
      </c>
      <c r="BD393" s="844">
        <v>50613</v>
      </c>
      <c r="BE393" s="844">
        <v>51618</v>
      </c>
      <c r="BF393" s="844">
        <v>52641</v>
      </c>
      <c r="BG393" s="844">
        <v>53684</v>
      </c>
      <c r="BH393" s="844">
        <v>54747</v>
      </c>
      <c r="BI393" s="844">
        <v>55829</v>
      </c>
      <c r="BJ393" s="844">
        <v>56931</v>
      </c>
      <c r="BK393" s="844">
        <v>58053</v>
      </c>
      <c r="BL393" s="844">
        <v>59196</v>
      </c>
      <c r="BM393" s="844">
        <v>60359</v>
      </c>
      <c r="BN393" s="844">
        <v>61542</v>
      </c>
      <c r="BO393" s="844">
        <v>62746</v>
      </c>
      <c r="BP393" s="844">
        <v>63972</v>
      </c>
      <c r="BQ393" s="844">
        <v>65220</v>
      </c>
      <c r="BR393" s="844">
        <v>66489</v>
      </c>
      <c r="BS393" s="844">
        <v>67781</v>
      </c>
      <c r="BT393" s="844">
        <v>69095</v>
      </c>
      <c r="BU393" s="844">
        <v>70429</v>
      </c>
      <c r="BV393" s="844">
        <v>71785</v>
      </c>
      <c r="BW393" s="844">
        <v>73162</v>
      </c>
      <c r="BX393" s="844">
        <v>74560</v>
      </c>
      <c r="BY393" s="844">
        <v>75980</v>
      </c>
      <c r="BZ393" s="844">
        <v>77422</v>
      </c>
      <c r="CA393" s="844">
        <v>78885</v>
      </c>
      <c r="CB393" s="844">
        <v>80369</v>
      </c>
      <c r="CC393" s="844">
        <v>81872</v>
      </c>
      <c r="CD393" s="844">
        <v>83395</v>
      </c>
      <c r="CE393" s="844">
        <v>84936</v>
      </c>
      <c r="CF393" s="844">
        <v>86493</v>
      </c>
      <c r="CG393" s="844">
        <v>88066</v>
      </c>
      <c r="CH393" s="844">
        <v>89655</v>
      </c>
      <c r="CI393" s="844">
        <v>91260</v>
      </c>
      <c r="CJ393" s="844">
        <v>92879</v>
      </c>
      <c r="CK393" s="844">
        <v>94512</v>
      </c>
      <c r="CL393" s="844">
        <v>96158</v>
      </c>
      <c r="CM393" s="844">
        <v>97814</v>
      </c>
      <c r="CN393" s="844">
        <v>99481</v>
      </c>
      <c r="CO393" s="844">
        <v>101156</v>
      </c>
      <c r="CP393" s="844">
        <v>102840</v>
      </c>
      <c r="CQ393" s="844">
        <v>104531</v>
      </c>
      <c r="CR393" s="844">
        <v>106229</v>
      </c>
      <c r="CS393" s="844">
        <v>107932</v>
      </c>
      <c r="CT393" s="844">
        <v>109641</v>
      </c>
      <c r="CU393" s="844">
        <v>111355</v>
      </c>
      <c r="CV393" s="844">
        <v>113073</v>
      </c>
      <c r="CW393" s="844">
        <v>114794</v>
      </c>
      <c r="CX393" s="844">
        <v>116517</v>
      </c>
      <c r="CY393" s="844">
        <v>118242</v>
      </c>
      <c r="CZ393" s="844">
        <v>119969</v>
      </c>
      <c r="DA393" s="844">
        <v>121696</v>
      </c>
      <c r="DB393" s="844">
        <v>123417</v>
      </c>
      <c r="DC393" s="844">
        <v>125121</v>
      </c>
      <c r="DD393" s="844">
        <v>126817</v>
      </c>
      <c r="DE393" s="844">
        <v>128507</v>
      </c>
      <c r="DF393" s="844">
        <v>130189</v>
      </c>
      <c r="DG393" s="844">
        <v>131862</v>
      </c>
      <c r="DH393" s="844">
        <v>133527</v>
      </c>
      <c r="DI393" s="844">
        <v>135182</v>
      </c>
      <c r="DJ393" s="844">
        <v>136827</v>
      </c>
      <c r="DK393" s="844">
        <v>138463</v>
      </c>
      <c r="DL393" s="844">
        <v>140088</v>
      </c>
      <c r="DM393" s="844">
        <v>141703</v>
      </c>
      <c r="DN393" s="844">
        <v>143308</v>
      </c>
      <c r="DO393" s="844">
        <v>144903</v>
      </c>
      <c r="DP393" s="844">
        <v>146488</v>
      </c>
      <c r="DQ393" s="844">
        <v>148063</v>
      </c>
      <c r="DR393" s="844">
        <v>149628</v>
      </c>
      <c r="DS393" s="844">
        <v>151181</v>
      </c>
      <c r="DT393" s="844">
        <v>152681</v>
      </c>
      <c r="DU393" s="844">
        <v>154200</v>
      </c>
      <c r="DV393" s="844">
        <v>0</v>
      </c>
      <c r="DW393" s="844">
        <v>0</v>
      </c>
      <c r="DY393" s="846" t="s">
        <v>1060</v>
      </c>
      <c r="DZ393" s="846" t="s">
        <v>1382</v>
      </c>
      <c r="EA393" s="846" t="s">
        <v>97</v>
      </c>
      <c r="EB393" s="847">
        <v>2</v>
      </c>
      <c r="EC393" s="780" t="str">
        <f t="shared" si="15"/>
        <v>IWT060202</v>
      </c>
      <c r="ED393" s="847">
        <v>0</v>
      </c>
      <c r="EE393" s="847">
        <v>2692</v>
      </c>
      <c r="EF393" s="847">
        <v>7140</v>
      </c>
      <c r="EG393" s="847">
        <v>11676</v>
      </c>
      <c r="EH393" s="847">
        <v>16303</v>
      </c>
      <c r="EI393" s="847">
        <v>21023</v>
      </c>
      <c r="EJ393" s="847">
        <v>25837</v>
      </c>
      <c r="EK393" s="847">
        <v>26354</v>
      </c>
      <c r="EL393" s="847">
        <v>26880</v>
      </c>
      <c r="EM393" s="847">
        <v>27418</v>
      </c>
      <c r="EN393" s="847">
        <v>27966</v>
      </c>
      <c r="EO393" s="847">
        <v>28525</v>
      </c>
      <c r="EP393" s="847">
        <v>29095</v>
      </c>
      <c r="EQ393" s="847">
        <v>29677</v>
      </c>
      <c r="ER393" s="847">
        <v>30270</v>
      </c>
      <c r="ES393" s="847">
        <v>30876</v>
      </c>
      <c r="ET393" s="847">
        <v>31493</v>
      </c>
      <c r="EU393" s="847">
        <v>32123</v>
      </c>
      <c r="EV393" s="847">
        <v>32766</v>
      </c>
      <c r="EW393" s="847">
        <v>33421</v>
      </c>
      <c r="EX393" s="847">
        <v>34089</v>
      </c>
      <c r="EY393" s="847">
        <v>34771</v>
      </c>
      <c r="EZ393" s="847">
        <v>35467</v>
      </c>
      <c r="FA393" s="847">
        <v>36176</v>
      </c>
      <c r="FB393" s="847">
        <v>36899</v>
      </c>
      <c r="FC393" s="847">
        <v>37637</v>
      </c>
      <c r="FD393" s="847">
        <v>38390</v>
      </c>
      <c r="FE393" s="847">
        <v>39158</v>
      </c>
      <c r="FF393" s="847">
        <v>39940</v>
      </c>
      <c r="FG393" s="847">
        <v>40738</v>
      </c>
      <c r="FH393" s="847">
        <v>41552</v>
      </c>
      <c r="FI393" s="847">
        <v>42382</v>
      </c>
      <c r="FJ393" s="847">
        <v>43228</v>
      </c>
      <c r="FK393" s="847">
        <v>44090</v>
      </c>
      <c r="FL393" s="847">
        <v>44969</v>
      </c>
      <c r="FM393" s="847">
        <v>45866</v>
      </c>
      <c r="FN393" s="847">
        <v>46779</v>
      </c>
      <c r="FO393" s="847">
        <v>47711</v>
      </c>
      <c r="FP393" s="847">
        <v>48660</v>
      </c>
      <c r="FQ393" s="847">
        <v>49627</v>
      </c>
      <c r="FR393" s="847">
        <v>50613</v>
      </c>
      <c r="FS393" s="847">
        <v>51618</v>
      </c>
      <c r="FT393" s="847">
        <v>52641</v>
      </c>
      <c r="FU393" s="847">
        <v>53684</v>
      </c>
      <c r="FV393" s="847">
        <v>54747</v>
      </c>
      <c r="FW393" s="847">
        <v>55829</v>
      </c>
      <c r="FX393" s="847">
        <v>56931</v>
      </c>
      <c r="FY393" s="847">
        <v>58053</v>
      </c>
      <c r="FZ393" s="847">
        <v>59196</v>
      </c>
      <c r="GA393" s="847">
        <v>60359</v>
      </c>
      <c r="GB393" s="847">
        <v>61542</v>
      </c>
      <c r="GC393" s="847">
        <v>62746</v>
      </c>
      <c r="GD393" s="847">
        <v>63972</v>
      </c>
      <c r="GE393" s="847">
        <v>65220</v>
      </c>
      <c r="GF393" s="847">
        <v>66489</v>
      </c>
      <c r="GG393" s="847">
        <v>67781</v>
      </c>
      <c r="GH393" s="847">
        <v>69095</v>
      </c>
      <c r="GI393" s="847">
        <v>70429</v>
      </c>
      <c r="GJ393" s="847">
        <v>71785</v>
      </c>
      <c r="GK393" s="847">
        <v>73162</v>
      </c>
      <c r="GL393" s="847">
        <v>74560</v>
      </c>
      <c r="GM393" s="847">
        <v>75980</v>
      </c>
      <c r="GN393" s="847">
        <v>77422</v>
      </c>
      <c r="GO393" s="847">
        <v>78885</v>
      </c>
      <c r="GP393" s="847">
        <v>80369</v>
      </c>
      <c r="GQ393" s="847">
        <v>81872</v>
      </c>
      <c r="GR393" s="847">
        <v>83395</v>
      </c>
      <c r="GS393" s="847">
        <v>84936</v>
      </c>
      <c r="GT393" s="847">
        <v>86493</v>
      </c>
      <c r="GU393" s="847">
        <v>88066</v>
      </c>
      <c r="GV393" s="847">
        <v>89655</v>
      </c>
      <c r="GW393" s="847">
        <v>91260</v>
      </c>
      <c r="GX393" s="847">
        <v>92879</v>
      </c>
      <c r="GY393" s="847">
        <v>94512</v>
      </c>
      <c r="GZ393" s="847">
        <v>96158</v>
      </c>
      <c r="HA393" s="847">
        <v>97814</v>
      </c>
      <c r="HB393" s="847">
        <v>99481</v>
      </c>
      <c r="HC393" s="847">
        <v>101156</v>
      </c>
      <c r="HD393" s="847">
        <v>102840</v>
      </c>
      <c r="HE393" s="847">
        <v>104531</v>
      </c>
      <c r="HF393" s="847">
        <v>106229</v>
      </c>
      <c r="HG393" s="847">
        <v>107932</v>
      </c>
      <c r="HH393" s="847">
        <v>109641</v>
      </c>
      <c r="HI393" s="847">
        <v>111355</v>
      </c>
      <c r="HJ393" s="847">
        <v>113073</v>
      </c>
      <c r="HK393" s="847">
        <v>114794</v>
      </c>
      <c r="HL393" s="847">
        <v>116517</v>
      </c>
      <c r="HM393" s="847">
        <v>118242</v>
      </c>
      <c r="HN393" s="847">
        <v>119969</v>
      </c>
      <c r="HO393" s="847">
        <v>121696</v>
      </c>
      <c r="HP393" s="847">
        <v>123417</v>
      </c>
      <c r="HQ393" s="847">
        <v>125121</v>
      </c>
      <c r="HR393" s="847">
        <v>126817</v>
      </c>
      <c r="HS393" s="847">
        <v>128507</v>
      </c>
      <c r="HT393" s="847">
        <v>130189</v>
      </c>
      <c r="HU393" s="847">
        <v>131862</v>
      </c>
      <c r="HV393" s="847">
        <v>133527</v>
      </c>
      <c r="HW393" s="847">
        <v>135182</v>
      </c>
      <c r="HX393" s="847">
        <v>136827</v>
      </c>
      <c r="HY393" s="847">
        <v>138463</v>
      </c>
      <c r="HZ393" s="847">
        <v>140088</v>
      </c>
      <c r="IA393" s="847">
        <v>141703</v>
      </c>
      <c r="IB393" s="847">
        <v>143308</v>
      </c>
      <c r="IC393" s="847">
        <v>144903</v>
      </c>
      <c r="ID393" s="847">
        <v>146488</v>
      </c>
      <c r="IE393" s="847">
        <v>148063</v>
      </c>
      <c r="IF393" s="847">
        <v>149628</v>
      </c>
      <c r="IG393" s="847">
        <v>151181</v>
      </c>
      <c r="IH393" s="847">
        <v>152681</v>
      </c>
      <c r="II393" s="847">
        <v>154200</v>
      </c>
      <c r="IJ393" s="847">
        <v>0</v>
      </c>
      <c r="IK393" s="847">
        <v>0</v>
      </c>
    </row>
    <row r="394" spans="12:245" hidden="1">
      <c r="L394" s="843" t="s">
        <v>1060</v>
      </c>
      <c r="M394" s="843" t="s">
        <v>1382</v>
      </c>
      <c r="N394" s="843" t="s">
        <v>97</v>
      </c>
      <c r="O394" s="844">
        <v>3</v>
      </c>
      <c r="P394" s="780" t="str">
        <f t="shared" si="14"/>
        <v>IWT060203</v>
      </c>
      <c r="Q394" s="844">
        <v>2034</v>
      </c>
      <c r="R394" s="844">
        <v>5753</v>
      </c>
      <c r="S394" s="844">
        <v>9996</v>
      </c>
      <c r="T394" s="844">
        <v>14779</v>
      </c>
      <c r="U394" s="844">
        <v>20116</v>
      </c>
      <c r="V394" s="844">
        <v>25764</v>
      </c>
      <c r="W394" s="844">
        <v>26544</v>
      </c>
      <c r="X394" s="844">
        <v>27075</v>
      </c>
      <c r="Y394" s="844">
        <v>27616</v>
      </c>
      <c r="Z394" s="844">
        <v>28168</v>
      </c>
      <c r="AA394" s="844">
        <v>28732</v>
      </c>
      <c r="AB394" s="844">
        <v>29306</v>
      </c>
      <c r="AC394" s="844">
        <v>29892</v>
      </c>
      <c r="AD394" s="844">
        <v>30490</v>
      </c>
      <c r="AE394" s="844">
        <v>31099</v>
      </c>
      <c r="AF394" s="844">
        <v>31721</v>
      </c>
      <c r="AG394" s="844">
        <v>32356</v>
      </c>
      <c r="AH394" s="844">
        <v>33003</v>
      </c>
      <c r="AI394" s="844">
        <v>33663</v>
      </c>
      <c r="AJ394" s="844">
        <v>34336</v>
      </c>
      <c r="AK394" s="844">
        <v>35023</v>
      </c>
      <c r="AL394" s="844">
        <v>35723</v>
      </c>
      <c r="AM394" s="844">
        <v>36438</v>
      </c>
      <c r="AN394" s="844">
        <v>37167</v>
      </c>
      <c r="AO394" s="844">
        <v>37910</v>
      </c>
      <c r="AP394" s="844">
        <v>38668</v>
      </c>
      <c r="AQ394" s="844">
        <v>39441</v>
      </c>
      <c r="AR394" s="844">
        <v>40230</v>
      </c>
      <c r="AS394" s="844">
        <v>41034</v>
      </c>
      <c r="AT394" s="844">
        <v>41854</v>
      </c>
      <c r="AU394" s="844">
        <v>42689</v>
      </c>
      <c r="AV394" s="844">
        <v>43541</v>
      </c>
      <c r="AW394" s="844">
        <v>44410</v>
      </c>
      <c r="AX394" s="844">
        <v>45296</v>
      </c>
      <c r="AY394" s="844">
        <v>46198</v>
      </c>
      <c r="AZ394" s="844">
        <v>47119</v>
      </c>
      <c r="BA394" s="844">
        <v>48057</v>
      </c>
      <c r="BB394" s="844">
        <v>49012</v>
      </c>
      <c r="BC394" s="844">
        <v>49987</v>
      </c>
      <c r="BD394" s="844">
        <v>50980</v>
      </c>
      <c r="BE394" s="844">
        <v>51991</v>
      </c>
      <c r="BF394" s="844">
        <v>53022</v>
      </c>
      <c r="BG394" s="844">
        <v>54072</v>
      </c>
      <c r="BH394" s="844">
        <v>55142</v>
      </c>
      <c r="BI394" s="844">
        <v>56232</v>
      </c>
      <c r="BJ394" s="844">
        <v>57341</v>
      </c>
      <c r="BK394" s="844">
        <v>58470</v>
      </c>
      <c r="BL394" s="844">
        <v>59620</v>
      </c>
      <c r="BM394" s="844">
        <v>60790</v>
      </c>
      <c r="BN394" s="844">
        <v>61981</v>
      </c>
      <c r="BO394" s="844">
        <v>63193</v>
      </c>
      <c r="BP394" s="844">
        <v>64427</v>
      </c>
      <c r="BQ394" s="844">
        <v>65683</v>
      </c>
      <c r="BR394" s="844">
        <v>66960</v>
      </c>
      <c r="BS394" s="844">
        <v>68259</v>
      </c>
      <c r="BT394" s="844">
        <v>69580</v>
      </c>
      <c r="BU394" s="844">
        <v>70921</v>
      </c>
      <c r="BV394" s="844">
        <v>72283</v>
      </c>
      <c r="BW394" s="844">
        <v>73666</v>
      </c>
      <c r="BX394" s="844">
        <v>75071</v>
      </c>
      <c r="BY394" s="844">
        <v>76498</v>
      </c>
      <c r="BZ394" s="844">
        <v>77946</v>
      </c>
      <c r="CA394" s="844">
        <v>79415</v>
      </c>
      <c r="CB394" s="844">
        <v>80904</v>
      </c>
      <c r="CC394" s="844">
        <v>82411</v>
      </c>
      <c r="CD394" s="844">
        <v>83937</v>
      </c>
      <c r="CE394" s="844">
        <v>85479</v>
      </c>
      <c r="CF394" s="844">
        <v>87038</v>
      </c>
      <c r="CG394" s="844">
        <v>88612</v>
      </c>
      <c r="CH394" s="844">
        <v>90202</v>
      </c>
      <c r="CI394" s="844">
        <v>91807</v>
      </c>
      <c r="CJ394" s="844">
        <v>93426</v>
      </c>
      <c r="CK394" s="844">
        <v>95057</v>
      </c>
      <c r="CL394" s="844">
        <v>96699</v>
      </c>
      <c r="CM394" s="844">
        <v>98352</v>
      </c>
      <c r="CN394" s="844">
        <v>100014</v>
      </c>
      <c r="CO394" s="844">
        <v>101685</v>
      </c>
      <c r="CP394" s="844">
        <v>103363</v>
      </c>
      <c r="CQ394" s="844">
        <v>105048</v>
      </c>
      <c r="CR394" s="844">
        <v>106739</v>
      </c>
      <c r="CS394" s="844">
        <v>108436</v>
      </c>
      <c r="CT394" s="844">
        <v>110138</v>
      </c>
      <c r="CU394" s="844">
        <v>111845</v>
      </c>
      <c r="CV394" s="844">
        <v>113555</v>
      </c>
      <c r="CW394" s="844">
        <v>115267</v>
      </c>
      <c r="CX394" s="844">
        <v>116982</v>
      </c>
      <c r="CY394" s="844">
        <v>118699</v>
      </c>
      <c r="CZ394" s="844">
        <v>120416</v>
      </c>
      <c r="DA394" s="844">
        <v>122127</v>
      </c>
      <c r="DB394" s="844">
        <v>123822</v>
      </c>
      <c r="DC394" s="844">
        <v>125511</v>
      </c>
      <c r="DD394" s="844">
        <v>127193</v>
      </c>
      <c r="DE394" s="844">
        <v>128867</v>
      </c>
      <c r="DF394" s="844">
        <v>130534</v>
      </c>
      <c r="DG394" s="844">
        <v>132192</v>
      </c>
      <c r="DH394" s="844">
        <v>133840</v>
      </c>
      <c r="DI394" s="844">
        <v>135480</v>
      </c>
      <c r="DJ394" s="844">
        <v>137110</v>
      </c>
      <c r="DK394" s="844">
        <v>138730</v>
      </c>
      <c r="DL394" s="844">
        <v>140341</v>
      </c>
      <c r="DM394" s="844">
        <v>141941</v>
      </c>
      <c r="DN394" s="844">
        <v>143532</v>
      </c>
      <c r="DO394" s="844">
        <v>145113</v>
      </c>
      <c r="DP394" s="844">
        <v>146684</v>
      </c>
      <c r="DQ394" s="844">
        <v>148246</v>
      </c>
      <c r="DR394" s="844">
        <v>149796</v>
      </c>
      <c r="DS394" s="844">
        <v>151295</v>
      </c>
      <c r="DT394" s="844">
        <v>152800</v>
      </c>
      <c r="DU394" s="844">
        <v>0</v>
      </c>
      <c r="DV394" s="844">
        <v>0</v>
      </c>
      <c r="DW394" s="844">
        <v>0</v>
      </c>
      <c r="DY394" s="846" t="s">
        <v>1060</v>
      </c>
      <c r="DZ394" s="846" t="s">
        <v>1382</v>
      </c>
      <c r="EA394" s="846" t="s">
        <v>97</v>
      </c>
      <c r="EB394" s="847">
        <v>3</v>
      </c>
      <c r="EC394" s="780" t="str">
        <f t="shared" si="15"/>
        <v>IWT060203</v>
      </c>
      <c r="ED394" s="847">
        <v>0</v>
      </c>
      <c r="EE394" s="847">
        <v>2712</v>
      </c>
      <c r="EF394" s="847">
        <v>7191</v>
      </c>
      <c r="EG394" s="847">
        <v>11760</v>
      </c>
      <c r="EH394" s="847">
        <v>16421</v>
      </c>
      <c r="EI394" s="847">
        <v>21175</v>
      </c>
      <c r="EJ394" s="847">
        <v>26024</v>
      </c>
      <c r="EK394" s="847">
        <v>26544</v>
      </c>
      <c r="EL394" s="847">
        <v>27075</v>
      </c>
      <c r="EM394" s="847">
        <v>27616</v>
      </c>
      <c r="EN394" s="847">
        <v>28168</v>
      </c>
      <c r="EO394" s="847">
        <v>28732</v>
      </c>
      <c r="EP394" s="847">
        <v>29306</v>
      </c>
      <c r="EQ394" s="847">
        <v>29892</v>
      </c>
      <c r="ER394" s="847">
        <v>30490</v>
      </c>
      <c r="ES394" s="847">
        <v>31099</v>
      </c>
      <c r="ET394" s="847">
        <v>31721</v>
      </c>
      <c r="EU394" s="847">
        <v>32356</v>
      </c>
      <c r="EV394" s="847">
        <v>33003</v>
      </c>
      <c r="EW394" s="847">
        <v>33663</v>
      </c>
      <c r="EX394" s="847">
        <v>34336</v>
      </c>
      <c r="EY394" s="847">
        <v>35023</v>
      </c>
      <c r="EZ394" s="847">
        <v>35723</v>
      </c>
      <c r="FA394" s="847">
        <v>36438</v>
      </c>
      <c r="FB394" s="847">
        <v>37167</v>
      </c>
      <c r="FC394" s="847">
        <v>37910</v>
      </c>
      <c r="FD394" s="847">
        <v>38668</v>
      </c>
      <c r="FE394" s="847">
        <v>39441</v>
      </c>
      <c r="FF394" s="847">
        <v>40230</v>
      </c>
      <c r="FG394" s="847">
        <v>41034</v>
      </c>
      <c r="FH394" s="847">
        <v>41854</v>
      </c>
      <c r="FI394" s="847">
        <v>42689</v>
      </c>
      <c r="FJ394" s="847">
        <v>43541</v>
      </c>
      <c r="FK394" s="847">
        <v>44410</v>
      </c>
      <c r="FL394" s="847">
        <v>45296</v>
      </c>
      <c r="FM394" s="847">
        <v>46198</v>
      </c>
      <c r="FN394" s="847">
        <v>47119</v>
      </c>
      <c r="FO394" s="847">
        <v>48057</v>
      </c>
      <c r="FP394" s="847">
        <v>49012</v>
      </c>
      <c r="FQ394" s="847">
        <v>49987</v>
      </c>
      <c r="FR394" s="847">
        <v>50980</v>
      </c>
      <c r="FS394" s="847">
        <v>51991</v>
      </c>
      <c r="FT394" s="847">
        <v>53022</v>
      </c>
      <c r="FU394" s="847">
        <v>54072</v>
      </c>
      <c r="FV394" s="847">
        <v>55142</v>
      </c>
      <c r="FW394" s="847">
        <v>56232</v>
      </c>
      <c r="FX394" s="847">
        <v>57341</v>
      </c>
      <c r="FY394" s="847">
        <v>58470</v>
      </c>
      <c r="FZ394" s="847">
        <v>59620</v>
      </c>
      <c r="GA394" s="847">
        <v>60790</v>
      </c>
      <c r="GB394" s="847">
        <v>61981</v>
      </c>
      <c r="GC394" s="847">
        <v>63193</v>
      </c>
      <c r="GD394" s="847">
        <v>64427</v>
      </c>
      <c r="GE394" s="847">
        <v>65683</v>
      </c>
      <c r="GF394" s="847">
        <v>66960</v>
      </c>
      <c r="GG394" s="847">
        <v>68259</v>
      </c>
      <c r="GH394" s="847">
        <v>69580</v>
      </c>
      <c r="GI394" s="847">
        <v>70921</v>
      </c>
      <c r="GJ394" s="847">
        <v>72283</v>
      </c>
      <c r="GK394" s="847">
        <v>73666</v>
      </c>
      <c r="GL394" s="847">
        <v>75071</v>
      </c>
      <c r="GM394" s="847">
        <v>76498</v>
      </c>
      <c r="GN394" s="847">
        <v>77946</v>
      </c>
      <c r="GO394" s="847">
        <v>79415</v>
      </c>
      <c r="GP394" s="847">
        <v>80904</v>
      </c>
      <c r="GQ394" s="847">
        <v>82411</v>
      </c>
      <c r="GR394" s="847">
        <v>83937</v>
      </c>
      <c r="GS394" s="847">
        <v>85479</v>
      </c>
      <c r="GT394" s="847">
        <v>87038</v>
      </c>
      <c r="GU394" s="847">
        <v>88612</v>
      </c>
      <c r="GV394" s="847">
        <v>90202</v>
      </c>
      <c r="GW394" s="847">
        <v>91807</v>
      </c>
      <c r="GX394" s="847">
        <v>93426</v>
      </c>
      <c r="GY394" s="847">
        <v>95057</v>
      </c>
      <c r="GZ394" s="847">
        <v>96699</v>
      </c>
      <c r="HA394" s="847">
        <v>98352</v>
      </c>
      <c r="HB394" s="847">
        <v>100014</v>
      </c>
      <c r="HC394" s="847">
        <v>101685</v>
      </c>
      <c r="HD394" s="847">
        <v>103363</v>
      </c>
      <c r="HE394" s="847">
        <v>105048</v>
      </c>
      <c r="HF394" s="847">
        <v>106739</v>
      </c>
      <c r="HG394" s="847">
        <v>108436</v>
      </c>
      <c r="HH394" s="847">
        <v>110138</v>
      </c>
      <c r="HI394" s="847">
        <v>111845</v>
      </c>
      <c r="HJ394" s="847">
        <v>113555</v>
      </c>
      <c r="HK394" s="847">
        <v>115267</v>
      </c>
      <c r="HL394" s="847">
        <v>116982</v>
      </c>
      <c r="HM394" s="847">
        <v>118699</v>
      </c>
      <c r="HN394" s="847">
        <v>120416</v>
      </c>
      <c r="HO394" s="847">
        <v>122127</v>
      </c>
      <c r="HP394" s="847">
        <v>123822</v>
      </c>
      <c r="HQ394" s="847">
        <v>125511</v>
      </c>
      <c r="HR394" s="847">
        <v>127193</v>
      </c>
      <c r="HS394" s="847">
        <v>128867</v>
      </c>
      <c r="HT394" s="847">
        <v>130534</v>
      </c>
      <c r="HU394" s="847">
        <v>132192</v>
      </c>
      <c r="HV394" s="847">
        <v>133840</v>
      </c>
      <c r="HW394" s="847">
        <v>135480</v>
      </c>
      <c r="HX394" s="847">
        <v>137110</v>
      </c>
      <c r="HY394" s="847">
        <v>138730</v>
      </c>
      <c r="HZ394" s="847">
        <v>140341</v>
      </c>
      <c r="IA394" s="847">
        <v>141941</v>
      </c>
      <c r="IB394" s="847">
        <v>143532</v>
      </c>
      <c r="IC394" s="847">
        <v>145113</v>
      </c>
      <c r="ID394" s="847">
        <v>146684</v>
      </c>
      <c r="IE394" s="847">
        <v>148246</v>
      </c>
      <c r="IF394" s="847">
        <v>149796</v>
      </c>
      <c r="IG394" s="847">
        <v>151295</v>
      </c>
      <c r="IH394" s="847">
        <v>152800</v>
      </c>
      <c r="II394" s="847">
        <v>0</v>
      </c>
      <c r="IJ394" s="847">
        <v>0</v>
      </c>
      <c r="IK394" s="847">
        <v>0</v>
      </c>
    </row>
    <row r="395" spans="12:245" hidden="1">
      <c r="L395" s="843" t="s">
        <v>1060</v>
      </c>
      <c r="M395" s="843" t="s">
        <v>1382</v>
      </c>
      <c r="N395" s="843" t="s">
        <v>97</v>
      </c>
      <c r="O395" s="844">
        <v>4</v>
      </c>
      <c r="P395" s="780" t="str">
        <f t="shared" si="14"/>
        <v>IWT060204</v>
      </c>
      <c r="Q395" s="844">
        <v>2048</v>
      </c>
      <c r="R395" s="844">
        <v>5794</v>
      </c>
      <c r="S395" s="844">
        <v>10067</v>
      </c>
      <c r="T395" s="844">
        <v>14883</v>
      </c>
      <c r="U395" s="844">
        <v>20259</v>
      </c>
      <c r="V395" s="844">
        <v>25946</v>
      </c>
      <c r="W395" s="844">
        <v>26732</v>
      </c>
      <c r="X395" s="844">
        <v>27267</v>
      </c>
      <c r="Y395" s="844">
        <v>27812</v>
      </c>
      <c r="Z395" s="844">
        <v>28368</v>
      </c>
      <c r="AA395" s="844">
        <v>28935</v>
      </c>
      <c r="AB395" s="844">
        <v>29514</v>
      </c>
      <c r="AC395" s="844">
        <v>30104</v>
      </c>
      <c r="AD395" s="844">
        <v>30706</v>
      </c>
      <c r="AE395" s="844">
        <v>31320</v>
      </c>
      <c r="AF395" s="844">
        <v>31946</v>
      </c>
      <c r="AG395" s="844">
        <v>32585</v>
      </c>
      <c r="AH395" s="844">
        <v>33237</v>
      </c>
      <c r="AI395" s="844">
        <v>33902</v>
      </c>
      <c r="AJ395" s="844">
        <v>34580</v>
      </c>
      <c r="AK395" s="844">
        <v>35271</v>
      </c>
      <c r="AL395" s="844">
        <v>35977</v>
      </c>
      <c r="AM395" s="844">
        <v>36696</v>
      </c>
      <c r="AN395" s="844">
        <v>37430</v>
      </c>
      <c r="AO395" s="844">
        <v>38179</v>
      </c>
      <c r="AP395" s="844">
        <v>38942</v>
      </c>
      <c r="AQ395" s="844">
        <v>39721</v>
      </c>
      <c r="AR395" s="844">
        <v>40515</v>
      </c>
      <c r="AS395" s="844">
        <v>41325</v>
      </c>
      <c r="AT395" s="844">
        <v>42151</v>
      </c>
      <c r="AU395" s="844">
        <v>42993</v>
      </c>
      <c r="AV395" s="844">
        <v>43851</v>
      </c>
      <c r="AW395" s="844">
        <v>44726</v>
      </c>
      <c r="AX395" s="844">
        <v>45618</v>
      </c>
      <c r="AY395" s="844">
        <v>46527</v>
      </c>
      <c r="AZ395" s="844">
        <v>47453</v>
      </c>
      <c r="BA395" s="844">
        <v>48398</v>
      </c>
      <c r="BB395" s="844">
        <v>49361</v>
      </c>
      <c r="BC395" s="844">
        <v>50342</v>
      </c>
      <c r="BD395" s="844">
        <v>51342</v>
      </c>
      <c r="BE395" s="844">
        <v>52360</v>
      </c>
      <c r="BF395" s="844">
        <v>53398</v>
      </c>
      <c r="BG395" s="844">
        <v>54455</v>
      </c>
      <c r="BH395" s="844">
        <v>55532</v>
      </c>
      <c r="BI395" s="844">
        <v>56629</v>
      </c>
      <c r="BJ395" s="844">
        <v>57745</v>
      </c>
      <c r="BK395" s="844">
        <v>58882</v>
      </c>
      <c r="BL395" s="844">
        <v>60038</v>
      </c>
      <c r="BM395" s="844">
        <v>61216</v>
      </c>
      <c r="BN395" s="844">
        <v>62414</v>
      </c>
      <c r="BO395" s="844">
        <v>63634</v>
      </c>
      <c r="BP395" s="844">
        <v>64876</v>
      </c>
      <c r="BQ395" s="844">
        <v>66139</v>
      </c>
      <c r="BR395" s="844">
        <v>67424</v>
      </c>
      <c r="BS395" s="844">
        <v>68730</v>
      </c>
      <c r="BT395" s="844">
        <v>70056</v>
      </c>
      <c r="BU395" s="844">
        <v>71404</v>
      </c>
      <c r="BV395" s="844">
        <v>72772</v>
      </c>
      <c r="BW395" s="844">
        <v>74163</v>
      </c>
      <c r="BX395" s="844">
        <v>75575</v>
      </c>
      <c r="BY395" s="844">
        <v>77008</v>
      </c>
      <c r="BZ395" s="844">
        <v>78461</v>
      </c>
      <c r="CA395" s="844">
        <v>79935</v>
      </c>
      <c r="CB395" s="844">
        <v>81427</v>
      </c>
      <c r="CC395" s="844">
        <v>82938</v>
      </c>
      <c r="CD395" s="844">
        <v>84465</v>
      </c>
      <c r="CE395" s="844">
        <v>86009</v>
      </c>
      <c r="CF395" s="844">
        <v>87568</v>
      </c>
      <c r="CG395" s="844">
        <v>89144</v>
      </c>
      <c r="CH395" s="844">
        <v>90734</v>
      </c>
      <c r="CI395" s="844">
        <v>92339</v>
      </c>
      <c r="CJ395" s="844">
        <v>93956</v>
      </c>
      <c r="CK395" s="844">
        <v>95584</v>
      </c>
      <c r="CL395" s="844">
        <v>97223</v>
      </c>
      <c r="CM395" s="844">
        <v>98872</v>
      </c>
      <c r="CN395" s="844">
        <v>100529</v>
      </c>
      <c r="CO395" s="844">
        <v>102195</v>
      </c>
      <c r="CP395" s="844">
        <v>103867</v>
      </c>
      <c r="CQ395" s="844">
        <v>105546</v>
      </c>
      <c r="CR395" s="844">
        <v>107231</v>
      </c>
      <c r="CS395" s="844">
        <v>108922</v>
      </c>
      <c r="CT395" s="844">
        <v>110617</v>
      </c>
      <c r="CU395" s="844">
        <v>112315</v>
      </c>
      <c r="CV395" s="844">
        <v>114017</v>
      </c>
      <c r="CW395" s="844">
        <v>115722</v>
      </c>
      <c r="CX395" s="844">
        <v>117428</v>
      </c>
      <c r="CY395" s="844">
        <v>119136</v>
      </c>
      <c r="CZ395" s="844">
        <v>120838</v>
      </c>
      <c r="DA395" s="844">
        <v>122524</v>
      </c>
      <c r="DB395" s="844">
        <v>124204</v>
      </c>
      <c r="DC395" s="844">
        <v>125879</v>
      </c>
      <c r="DD395" s="844">
        <v>127546</v>
      </c>
      <c r="DE395" s="844">
        <v>129205</v>
      </c>
      <c r="DF395" s="844">
        <v>130856</v>
      </c>
      <c r="DG395" s="844">
        <v>132499</v>
      </c>
      <c r="DH395" s="844">
        <v>134133</v>
      </c>
      <c r="DI395" s="844">
        <v>135757</v>
      </c>
      <c r="DJ395" s="844">
        <v>137372</v>
      </c>
      <c r="DK395" s="844">
        <v>138978</v>
      </c>
      <c r="DL395" s="844">
        <v>140574</v>
      </c>
      <c r="DM395" s="844">
        <v>142161</v>
      </c>
      <c r="DN395" s="844">
        <v>143738</v>
      </c>
      <c r="DO395" s="844">
        <v>145306</v>
      </c>
      <c r="DP395" s="844">
        <v>146865</v>
      </c>
      <c r="DQ395" s="844">
        <v>148412</v>
      </c>
      <c r="DR395" s="844">
        <v>149908</v>
      </c>
      <c r="DS395" s="844">
        <v>151400</v>
      </c>
      <c r="DT395" s="844">
        <v>0</v>
      </c>
      <c r="DU395" s="844">
        <v>0</v>
      </c>
      <c r="DV395" s="844">
        <v>0</v>
      </c>
      <c r="DW395" s="844">
        <v>0</v>
      </c>
      <c r="DY395" s="846" t="s">
        <v>1060</v>
      </c>
      <c r="DZ395" s="846" t="s">
        <v>1382</v>
      </c>
      <c r="EA395" s="846" t="s">
        <v>97</v>
      </c>
      <c r="EB395" s="847">
        <v>4</v>
      </c>
      <c r="EC395" s="780" t="str">
        <f t="shared" si="15"/>
        <v>IWT060204</v>
      </c>
      <c r="ED395" s="847">
        <v>0</v>
      </c>
      <c r="EE395" s="847">
        <v>2731</v>
      </c>
      <c r="EF395" s="847">
        <v>7242</v>
      </c>
      <c r="EG395" s="847">
        <v>11844</v>
      </c>
      <c r="EH395" s="847">
        <v>16537</v>
      </c>
      <c r="EI395" s="847">
        <v>21325</v>
      </c>
      <c r="EJ395" s="847">
        <v>26208</v>
      </c>
      <c r="EK395" s="847">
        <v>26732</v>
      </c>
      <c r="EL395" s="847">
        <v>27267</v>
      </c>
      <c r="EM395" s="847">
        <v>27812</v>
      </c>
      <c r="EN395" s="847">
        <v>28368</v>
      </c>
      <c r="EO395" s="847">
        <v>28935</v>
      </c>
      <c r="EP395" s="847">
        <v>29514</v>
      </c>
      <c r="EQ395" s="847">
        <v>30104</v>
      </c>
      <c r="ER395" s="847">
        <v>30706</v>
      </c>
      <c r="ES395" s="847">
        <v>31320</v>
      </c>
      <c r="ET395" s="847">
        <v>31946</v>
      </c>
      <c r="EU395" s="847">
        <v>32585</v>
      </c>
      <c r="EV395" s="847">
        <v>33237</v>
      </c>
      <c r="EW395" s="847">
        <v>33902</v>
      </c>
      <c r="EX395" s="847">
        <v>34580</v>
      </c>
      <c r="EY395" s="847">
        <v>35271</v>
      </c>
      <c r="EZ395" s="847">
        <v>35977</v>
      </c>
      <c r="FA395" s="847">
        <v>36696</v>
      </c>
      <c r="FB395" s="847">
        <v>37430</v>
      </c>
      <c r="FC395" s="847">
        <v>38179</v>
      </c>
      <c r="FD395" s="847">
        <v>38942</v>
      </c>
      <c r="FE395" s="847">
        <v>39721</v>
      </c>
      <c r="FF395" s="847">
        <v>40515</v>
      </c>
      <c r="FG395" s="847">
        <v>41325</v>
      </c>
      <c r="FH395" s="847">
        <v>42151</v>
      </c>
      <c r="FI395" s="847">
        <v>42993</v>
      </c>
      <c r="FJ395" s="847">
        <v>43851</v>
      </c>
      <c r="FK395" s="847">
        <v>44726</v>
      </c>
      <c r="FL395" s="847">
        <v>45618</v>
      </c>
      <c r="FM395" s="847">
        <v>46527</v>
      </c>
      <c r="FN395" s="847">
        <v>47453</v>
      </c>
      <c r="FO395" s="847">
        <v>48398</v>
      </c>
      <c r="FP395" s="847">
        <v>49361</v>
      </c>
      <c r="FQ395" s="847">
        <v>50342</v>
      </c>
      <c r="FR395" s="847">
        <v>51342</v>
      </c>
      <c r="FS395" s="847">
        <v>52360</v>
      </c>
      <c r="FT395" s="847">
        <v>53398</v>
      </c>
      <c r="FU395" s="847">
        <v>54455</v>
      </c>
      <c r="FV395" s="847">
        <v>55532</v>
      </c>
      <c r="FW395" s="847">
        <v>56629</v>
      </c>
      <c r="FX395" s="847">
        <v>57745</v>
      </c>
      <c r="FY395" s="847">
        <v>58882</v>
      </c>
      <c r="FZ395" s="847">
        <v>60038</v>
      </c>
      <c r="GA395" s="847">
        <v>61216</v>
      </c>
      <c r="GB395" s="847">
        <v>62414</v>
      </c>
      <c r="GC395" s="847">
        <v>63634</v>
      </c>
      <c r="GD395" s="847">
        <v>64876</v>
      </c>
      <c r="GE395" s="847">
        <v>66139</v>
      </c>
      <c r="GF395" s="847">
        <v>67424</v>
      </c>
      <c r="GG395" s="847">
        <v>68730</v>
      </c>
      <c r="GH395" s="847">
        <v>70056</v>
      </c>
      <c r="GI395" s="847">
        <v>71404</v>
      </c>
      <c r="GJ395" s="847">
        <v>72772</v>
      </c>
      <c r="GK395" s="847">
        <v>74163</v>
      </c>
      <c r="GL395" s="847">
        <v>75575</v>
      </c>
      <c r="GM395" s="847">
        <v>77008</v>
      </c>
      <c r="GN395" s="847">
        <v>78461</v>
      </c>
      <c r="GO395" s="847">
        <v>79935</v>
      </c>
      <c r="GP395" s="847">
        <v>81427</v>
      </c>
      <c r="GQ395" s="847">
        <v>82938</v>
      </c>
      <c r="GR395" s="847">
        <v>84465</v>
      </c>
      <c r="GS395" s="847">
        <v>86009</v>
      </c>
      <c r="GT395" s="847">
        <v>87568</v>
      </c>
      <c r="GU395" s="847">
        <v>89144</v>
      </c>
      <c r="GV395" s="847">
        <v>90734</v>
      </c>
      <c r="GW395" s="847">
        <v>92339</v>
      </c>
      <c r="GX395" s="847">
        <v>93956</v>
      </c>
      <c r="GY395" s="847">
        <v>95584</v>
      </c>
      <c r="GZ395" s="847">
        <v>97223</v>
      </c>
      <c r="HA395" s="847">
        <v>98872</v>
      </c>
      <c r="HB395" s="847">
        <v>100529</v>
      </c>
      <c r="HC395" s="847">
        <v>102195</v>
      </c>
      <c r="HD395" s="847">
        <v>103867</v>
      </c>
      <c r="HE395" s="847">
        <v>105546</v>
      </c>
      <c r="HF395" s="847">
        <v>107231</v>
      </c>
      <c r="HG395" s="847">
        <v>108922</v>
      </c>
      <c r="HH395" s="847">
        <v>110617</v>
      </c>
      <c r="HI395" s="847">
        <v>112315</v>
      </c>
      <c r="HJ395" s="847">
        <v>114017</v>
      </c>
      <c r="HK395" s="847">
        <v>115722</v>
      </c>
      <c r="HL395" s="847">
        <v>117428</v>
      </c>
      <c r="HM395" s="847">
        <v>119136</v>
      </c>
      <c r="HN395" s="847">
        <v>120838</v>
      </c>
      <c r="HO395" s="847">
        <v>122524</v>
      </c>
      <c r="HP395" s="847">
        <v>124204</v>
      </c>
      <c r="HQ395" s="847">
        <v>125879</v>
      </c>
      <c r="HR395" s="847">
        <v>127546</v>
      </c>
      <c r="HS395" s="847">
        <v>129205</v>
      </c>
      <c r="HT395" s="847">
        <v>130856</v>
      </c>
      <c r="HU395" s="847">
        <v>132499</v>
      </c>
      <c r="HV395" s="847">
        <v>134133</v>
      </c>
      <c r="HW395" s="847">
        <v>135757</v>
      </c>
      <c r="HX395" s="847">
        <v>137372</v>
      </c>
      <c r="HY395" s="847">
        <v>138978</v>
      </c>
      <c r="HZ395" s="847">
        <v>140574</v>
      </c>
      <c r="IA395" s="847">
        <v>142161</v>
      </c>
      <c r="IB395" s="847">
        <v>143738</v>
      </c>
      <c r="IC395" s="847">
        <v>145306</v>
      </c>
      <c r="ID395" s="847">
        <v>146865</v>
      </c>
      <c r="IE395" s="847">
        <v>148412</v>
      </c>
      <c r="IF395" s="847">
        <v>149908</v>
      </c>
      <c r="IG395" s="847">
        <v>151400</v>
      </c>
      <c r="IH395" s="847">
        <v>0</v>
      </c>
      <c r="II395" s="847">
        <v>0</v>
      </c>
      <c r="IJ395" s="847">
        <v>0</v>
      </c>
      <c r="IK395" s="847">
        <v>0</v>
      </c>
    </row>
    <row r="396" spans="12:245" hidden="1">
      <c r="L396" s="843" t="s">
        <v>1060</v>
      </c>
      <c r="M396" s="843" t="s">
        <v>1382</v>
      </c>
      <c r="N396" s="843" t="s">
        <v>97</v>
      </c>
      <c r="O396" s="844">
        <v>5</v>
      </c>
      <c r="P396" s="780" t="str">
        <f t="shared" si="14"/>
        <v>IWT060205</v>
      </c>
      <c r="Q396" s="844">
        <v>2062</v>
      </c>
      <c r="R396" s="844">
        <v>5834</v>
      </c>
      <c r="S396" s="844">
        <v>10137</v>
      </c>
      <c r="T396" s="844">
        <v>14987</v>
      </c>
      <c r="U396" s="844">
        <v>20399</v>
      </c>
      <c r="V396" s="844">
        <v>26126</v>
      </c>
      <c r="W396" s="844">
        <v>26918</v>
      </c>
      <c r="X396" s="844">
        <v>27456</v>
      </c>
      <c r="Y396" s="844">
        <v>28005</v>
      </c>
      <c r="Z396" s="844">
        <v>28565</v>
      </c>
      <c r="AA396" s="844">
        <v>29136</v>
      </c>
      <c r="AB396" s="844">
        <v>29718</v>
      </c>
      <c r="AC396" s="844">
        <v>30313</v>
      </c>
      <c r="AD396" s="844">
        <v>30919</v>
      </c>
      <c r="AE396" s="844">
        <v>31537</v>
      </c>
      <c r="AF396" s="844">
        <v>32168</v>
      </c>
      <c r="AG396" s="844">
        <v>32812</v>
      </c>
      <c r="AH396" s="844">
        <v>33468</v>
      </c>
      <c r="AI396" s="844">
        <v>34137</v>
      </c>
      <c r="AJ396" s="844">
        <v>34820</v>
      </c>
      <c r="AK396" s="844">
        <v>35516</v>
      </c>
      <c r="AL396" s="844">
        <v>36227</v>
      </c>
      <c r="AM396" s="844">
        <v>36951</v>
      </c>
      <c r="AN396" s="844">
        <v>37690</v>
      </c>
      <c r="AO396" s="844">
        <v>38444</v>
      </c>
      <c r="AP396" s="844">
        <v>39213</v>
      </c>
      <c r="AQ396" s="844">
        <v>39997</v>
      </c>
      <c r="AR396" s="844">
        <v>40797</v>
      </c>
      <c r="AS396" s="844">
        <v>41612</v>
      </c>
      <c r="AT396" s="844">
        <v>42444</v>
      </c>
      <c r="AU396" s="844">
        <v>43291</v>
      </c>
      <c r="AV396" s="844">
        <v>44156</v>
      </c>
      <c r="AW396" s="844">
        <v>45037</v>
      </c>
      <c r="AX396" s="844">
        <v>45935</v>
      </c>
      <c r="AY396" s="844">
        <v>46850</v>
      </c>
      <c r="AZ396" s="844">
        <v>47783</v>
      </c>
      <c r="BA396" s="844">
        <v>48734</v>
      </c>
      <c r="BB396" s="844">
        <v>49704</v>
      </c>
      <c r="BC396" s="844">
        <v>50692</v>
      </c>
      <c r="BD396" s="844">
        <v>51698</v>
      </c>
      <c r="BE396" s="844">
        <v>52724</v>
      </c>
      <c r="BF396" s="844">
        <v>53768</v>
      </c>
      <c r="BG396" s="844">
        <v>54832</v>
      </c>
      <c r="BH396" s="844">
        <v>55916</v>
      </c>
      <c r="BI396" s="844">
        <v>57020</v>
      </c>
      <c r="BJ396" s="844">
        <v>58143</v>
      </c>
      <c r="BK396" s="844">
        <v>59287</v>
      </c>
      <c r="BL396" s="844">
        <v>60450</v>
      </c>
      <c r="BM396" s="844">
        <v>61635</v>
      </c>
      <c r="BN396" s="844">
        <v>62841</v>
      </c>
      <c r="BO396" s="844">
        <v>64069</v>
      </c>
      <c r="BP396" s="844">
        <v>65318</v>
      </c>
      <c r="BQ396" s="844">
        <v>66589</v>
      </c>
      <c r="BR396" s="844">
        <v>67880</v>
      </c>
      <c r="BS396" s="844">
        <v>69192</v>
      </c>
      <c r="BT396" s="844">
        <v>70525</v>
      </c>
      <c r="BU396" s="844">
        <v>71879</v>
      </c>
      <c r="BV396" s="844">
        <v>73254</v>
      </c>
      <c r="BW396" s="844">
        <v>74651</v>
      </c>
      <c r="BX396" s="844">
        <v>76069</v>
      </c>
      <c r="BY396" s="844">
        <v>77508</v>
      </c>
      <c r="BZ396" s="844">
        <v>78966</v>
      </c>
      <c r="CA396" s="844">
        <v>80444</v>
      </c>
      <c r="CB396" s="844">
        <v>81939</v>
      </c>
      <c r="CC396" s="844">
        <v>83451</v>
      </c>
      <c r="CD396" s="844">
        <v>84980</v>
      </c>
      <c r="CE396" s="844">
        <v>86525</v>
      </c>
      <c r="CF396" s="844">
        <v>88086</v>
      </c>
      <c r="CG396" s="844">
        <v>89662</v>
      </c>
      <c r="CH396" s="844">
        <v>91252</v>
      </c>
      <c r="CI396" s="844">
        <v>92855</v>
      </c>
      <c r="CJ396" s="844">
        <v>94469</v>
      </c>
      <c r="CK396" s="844">
        <v>96095</v>
      </c>
      <c r="CL396" s="844">
        <v>97730</v>
      </c>
      <c r="CM396" s="844">
        <v>99374</v>
      </c>
      <c r="CN396" s="844">
        <v>101027</v>
      </c>
      <c r="CO396" s="844">
        <v>102686</v>
      </c>
      <c r="CP396" s="844">
        <v>104353</v>
      </c>
      <c r="CQ396" s="844">
        <v>106026</v>
      </c>
      <c r="CR396" s="844">
        <v>107705</v>
      </c>
      <c r="CS396" s="844">
        <v>109389</v>
      </c>
      <c r="CT396" s="844">
        <v>111076</v>
      </c>
      <c r="CU396" s="844">
        <v>112767</v>
      </c>
      <c r="CV396" s="844">
        <v>114461</v>
      </c>
      <c r="CW396" s="844">
        <v>116158</v>
      </c>
      <c r="CX396" s="844">
        <v>117856</v>
      </c>
      <c r="CY396" s="844">
        <v>119548</v>
      </c>
      <c r="CZ396" s="844">
        <v>121226</v>
      </c>
      <c r="DA396" s="844">
        <v>122898</v>
      </c>
      <c r="DB396" s="844">
        <v>124564</v>
      </c>
      <c r="DC396" s="844">
        <v>126224</v>
      </c>
      <c r="DD396" s="844">
        <v>127876</v>
      </c>
      <c r="DE396" s="844">
        <v>129521</v>
      </c>
      <c r="DF396" s="844">
        <v>131157</v>
      </c>
      <c r="DG396" s="844">
        <v>132785</v>
      </c>
      <c r="DH396" s="844">
        <v>134405</v>
      </c>
      <c r="DI396" s="844">
        <v>136015</v>
      </c>
      <c r="DJ396" s="844">
        <v>137616</v>
      </c>
      <c r="DK396" s="844">
        <v>139207</v>
      </c>
      <c r="DL396" s="844">
        <v>140790</v>
      </c>
      <c r="DM396" s="844">
        <v>142364</v>
      </c>
      <c r="DN396" s="844">
        <v>143928</v>
      </c>
      <c r="DO396" s="844">
        <v>145483</v>
      </c>
      <c r="DP396" s="844">
        <v>147028</v>
      </c>
      <c r="DQ396" s="844">
        <v>148522</v>
      </c>
      <c r="DR396" s="844">
        <v>150000</v>
      </c>
      <c r="DS396" s="844">
        <v>0</v>
      </c>
      <c r="DT396" s="844">
        <v>0</v>
      </c>
      <c r="DU396" s="844">
        <v>0</v>
      </c>
      <c r="DV396" s="844">
        <v>0</v>
      </c>
      <c r="DW396" s="844">
        <v>0</v>
      </c>
      <c r="DY396" s="846" t="s">
        <v>1060</v>
      </c>
      <c r="DZ396" s="846" t="s">
        <v>1382</v>
      </c>
      <c r="EA396" s="846" t="s">
        <v>97</v>
      </c>
      <c r="EB396" s="847">
        <v>5</v>
      </c>
      <c r="EC396" s="780" t="str">
        <f t="shared" si="15"/>
        <v>IWT060205</v>
      </c>
      <c r="ED396" s="847">
        <v>0</v>
      </c>
      <c r="EE396" s="847">
        <v>2749</v>
      </c>
      <c r="EF396" s="847">
        <v>7292</v>
      </c>
      <c r="EG396" s="847">
        <v>11926</v>
      </c>
      <c r="EH396" s="847">
        <v>16652</v>
      </c>
      <c r="EI396" s="847">
        <v>21473</v>
      </c>
      <c r="EJ396" s="847">
        <v>26390</v>
      </c>
      <c r="EK396" s="847">
        <v>26918</v>
      </c>
      <c r="EL396" s="847">
        <v>27456</v>
      </c>
      <c r="EM396" s="847">
        <v>28005</v>
      </c>
      <c r="EN396" s="847">
        <v>28565</v>
      </c>
      <c r="EO396" s="847">
        <v>29136</v>
      </c>
      <c r="EP396" s="847">
        <v>29718</v>
      </c>
      <c r="EQ396" s="847">
        <v>30313</v>
      </c>
      <c r="ER396" s="847">
        <v>30919</v>
      </c>
      <c r="ES396" s="847">
        <v>31537</v>
      </c>
      <c r="ET396" s="847">
        <v>32168</v>
      </c>
      <c r="EU396" s="847">
        <v>32812</v>
      </c>
      <c r="EV396" s="847">
        <v>33468</v>
      </c>
      <c r="EW396" s="847">
        <v>34137</v>
      </c>
      <c r="EX396" s="847">
        <v>34820</v>
      </c>
      <c r="EY396" s="847">
        <v>35516</v>
      </c>
      <c r="EZ396" s="847">
        <v>36227</v>
      </c>
      <c r="FA396" s="847">
        <v>36951</v>
      </c>
      <c r="FB396" s="847">
        <v>37690</v>
      </c>
      <c r="FC396" s="847">
        <v>38444</v>
      </c>
      <c r="FD396" s="847">
        <v>39213</v>
      </c>
      <c r="FE396" s="847">
        <v>39997</v>
      </c>
      <c r="FF396" s="847">
        <v>40797</v>
      </c>
      <c r="FG396" s="847">
        <v>41612</v>
      </c>
      <c r="FH396" s="847">
        <v>42444</v>
      </c>
      <c r="FI396" s="847">
        <v>43291</v>
      </c>
      <c r="FJ396" s="847">
        <v>44156</v>
      </c>
      <c r="FK396" s="847">
        <v>45037</v>
      </c>
      <c r="FL396" s="847">
        <v>45935</v>
      </c>
      <c r="FM396" s="847">
        <v>46850</v>
      </c>
      <c r="FN396" s="847">
        <v>47783</v>
      </c>
      <c r="FO396" s="847">
        <v>48734</v>
      </c>
      <c r="FP396" s="847">
        <v>49704</v>
      </c>
      <c r="FQ396" s="847">
        <v>50692</v>
      </c>
      <c r="FR396" s="847">
        <v>51698</v>
      </c>
      <c r="FS396" s="847">
        <v>52724</v>
      </c>
      <c r="FT396" s="847">
        <v>53768</v>
      </c>
      <c r="FU396" s="847">
        <v>54832</v>
      </c>
      <c r="FV396" s="847">
        <v>55916</v>
      </c>
      <c r="FW396" s="847">
        <v>57020</v>
      </c>
      <c r="FX396" s="847">
        <v>58143</v>
      </c>
      <c r="FY396" s="847">
        <v>59287</v>
      </c>
      <c r="FZ396" s="847">
        <v>60450</v>
      </c>
      <c r="GA396" s="847">
        <v>61635</v>
      </c>
      <c r="GB396" s="847">
        <v>62841</v>
      </c>
      <c r="GC396" s="847">
        <v>64069</v>
      </c>
      <c r="GD396" s="847">
        <v>65318</v>
      </c>
      <c r="GE396" s="847">
        <v>66589</v>
      </c>
      <c r="GF396" s="847">
        <v>67880</v>
      </c>
      <c r="GG396" s="847">
        <v>69192</v>
      </c>
      <c r="GH396" s="847">
        <v>70525</v>
      </c>
      <c r="GI396" s="847">
        <v>71879</v>
      </c>
      <c r="GJ396" s="847">
        <v>73254</v>
      </c>
      <c r="GK396" s="847">
        <v>74651</v>
      </c>
      <c r="GL396" s="847">
        <v>76069</v>
      </c>
      <c r="GM396" s="847">
        <v>77508</v>
      </c>
      <c r="GN396" s="847">
        <v>78966</v>
      </c>
      <c r="GO396" s="847">
        <v>80444</v>
      </c>
      <c r="GP396" s="847">
        <v>81939</v>
      </c>
      <c r="GQ396" s="847">
        <v>83451</v>
      </c>
      <c r="GR396" s="847">
        <v>84980</v>
      </c>
      <c r="GS396" s="847">
        <v>86525</v>
      </c>
      <c r="GT396" s="847">
        <v>88086</v>
      </c>
      <c r="GU396" s="847">
        <v>89662</v>
      </c>
      <c r="GV396" s="847">
        <v>91252</v>
      </c>
      <c r="GW396" s="847">
        <v>92855</v>
      </c>
      <c r="GX396" s="847">
        <v>94469</v>
      </c>
      <c r="GY396" s="847">
        <v>96095</v>
      </c>
      <c r="GZ396" s="847">
        <v>97730</v>
      </c>
      <c r="HA396" s="847">
        <v>99374</v>
      </c>
      <c r="HB396" s="847">
        <v>101027</v>
      </c>
      <c r="HC396" s="847">
        <v>102686</v>
      </c>
      <c r="HD396" s="847">
        <v>104353</v>
      </c>
      <c r="HE396" s="847">
        <v>106026</v>
      </c>
      <c r="HF396" s="847">
        <v>107705</v>
      </c>
      <c r="HG396" s="847">
        <v>109389</v>
      </c>
      <c r="HH396" s="847">
        <v>111076</v>
      </c>
      <c r="HI396" s="847">
        <v>112767</v>
      </c>
      <c r="HJ396" s="847">
        <v>114461</v>
      </c>
      <c r="HK396" s="847">
        <v>116158</v>
      </c>
      <c r="HL396" s="847">
        <v>117856</v>
      </c>
      <c r="HM396" s="847">
        <v>119548</v>
      </c>
      <c r="HN396" s="847">
        <v>121226</v>
      </c>
      <c r="HO396" s="847">
        <v>122898</v>
      </c>
      <c r="HP396" s="847">
        <v>124564</v>
      </c>
      <c r="HQ396" s="847">
        <v>126224</v>
      </c>
      <c r="HR396" s="847">
        <v>127876</v>
      </c>
      <c r="HS396" s="847">
        <v>129521</v>
      </c>
      <c r="HT396" s="847">
        <v>131157</v>
      </c>
      <c r="HU396" s="847">
        <v>132785</v>
      </c>
      <c r="HV396" s="847">
        <v>134405</v>
      </c>
      <c r="HW396" s="847">
        <v>136015</v>
      </c>
      <c r="HX396" s="847">
        <v>137616</v>
      </c>
      <c r="HY396" s="847">
        <v>139207</v>
      </c>
      <c r="HZ396" s="847">
        <v>140790</v>
      </c>
      <c r="IA396" s="847">
        <v>142364</v>
      </c>
      <c r="IB396" s="847">
        <v>143928</v>
      </c>
      <c r="IC396" s="847">
        <v>145483</v>
      </c>
      <c r="ID396" s="847">
        <v>147028</v>
      </c>
      <c r="IE396" s="847">
        <v>148522</v>
      </c>
      <c r="IF396" s="847">
        <v>150000</v>
      </c>
      <c r="IG396" s="847">
        <v>0</v>
      </c>
      <c r="IH396" s="847">
        <v>0</v>
      </c>
      <c r="II396" s="847">
        <v>0</v>
      </c>
      <c r="IJ396" s="847">
        <v>0</v>
      </c>
      <c r="IK396" s="847">
        <v>0</v>
      </c>
    </row>
    <row r="397" spans="12:245" hidden="1">
      <c r="L397" s="843" t="s">
        <v>1060</v>
      </c>
      <c r="M397" s="843" t="s">
        <v>1382</v>
      </c>
      <c r="N397" s="843" t="s">
        <v>97</v>
      </c>
      <c r="O397" s="844">
        <v>6</v>
      </c>
      <c r="P397" s="780" t="str">
        <f t="shared" si="14"/>
        <v>IWT060206</v>
      </c>
      <c r="Q397" s="844">
        <v>2076</v>
      </c>
      <c r="R397" s="844">
        <v>5874</v>
      </c>
      <c r="S397" s="844">
        <v>10206</v>
      </c>
      <c r="T397" s="844">
        <v>15089</v>
      </c>
      <c r="U397" s="844">
        <v>20538</v>
      </c>
      <c r="V397" s="844">
        <v>26303</v>
      </c>
      <c r="W397" s="844">
        <v>27100</v>
      </c>
      <c r="X397" s="844">
        <v>27642</v>
      </c>
      <c r="Y397" s="844">
        <v>28195</v>
      </c>
      <c r="Z397" s="844">
        <v>28758</v>
      </c>
      <c r="AA397" s="844">
        <v>29333</v>
      </c>
      <c r="AB397" s="844">
        <v>29920</v>
      </c>
      <c r="AC397" s="844">
        <v>30519</v>
      </c>
      <c r="AD397" s="844">
        <v>31129</v>
      </c>
      <c r="AE397" s="844">
        <v>31751</v>
      </c>
      <c r="AF397" s="844">
        <v>32386</v>
      </c>
      <c r="AG397" s="844">
        <v>33034</v>
      </c>
      <c r="AH397" s="844">
        <v>33695</v>
      </c>
      <c r="AI397" s="844">
        <v>34369</v>
      </c>
      <c r="AJ397" s="844">
        <v>35056</v>
      </c>
      <c r="AK397" s="844">
        <v>35757</v>
      </c>
      <c r="AL397" s="844">
        <v>36472</v>
      </c>
      <c r="AM397" s="844">
        <v>37202</v>
      </c>
      <c r="AN397" s="844">
        <v>37946</v>
      </c>
      <c r="AO397" s="844">
        <v>38705</v>
      </c>
      <c r="AP397" s="844">
        <v>39479</v>
      </c>
      <c r="AQ397" s="844">
        <v>40269</v>
      </c>
      <c r="AR397" s="844">
        <v>41074</v>
      </c>
      <c r="AS397" s="844">
        <v>41895</v>
      </c>
      <c r="AT397" s="844">
        <v>42732</v>
      </c>
      <c r="AU397" s="844">
        <v>43586</v>
      </c>
      <c r="AV397" s="844">
        <v>44456</v>
      </c>
      <c r="AW397" s="844">
        <v>45343</v>
      </c>
      <c r="AX397" s="844">
        <v>46247</v>
      </c>
      <c r="AY397" s="844">
        <v>47169</v>
      </c>
      <c r="AZ397" s="844">
        <v>48108</v>
      </c>
      <c r="BA397" s="844">
        <v>49066</v>
      </c>
      <c r="BB397" s="844">
        <v>50042</v>
      </c>
      <c r="BC397" s="844">
        <v>51036</v>
      </c>
      <c r="BD397" s="844">
        <v>52049</v>
      </c>
      <c r="BE397" s="844">
        <v>53082</v>
      </c>
      <c r="BF397" s="844">
        <v>54133</v>
      </c>
      <c r="BG397" s="844">
        <v>55204</v>
      </c>
      <c r="BH397" s="844">
        <v>56294</v>
      </c>
      <c r="BI397" s="844">
        <v>57405</v>
      </c>
      <c r="BJ397" s="844">
        <v>58535</v>
      </c>
      <c r="BK397" s="844">
        <v>59685</v>
      </c>
      <c r="BL397" s="844">
        <v>60856</v>
      </c>
      <c r="BM397" s="844">
        <v>62048</v>
      </c>
      <c r="BN397" s="844">
        <v>63262</v>
      </c>
      <c r="BO397" s="844">
        <v>64497</v>
      </c>
      <c r="BP397" s="844">
        <v>65753</v>
      </c>
      <c r="BQ397" s="844">
        <v>67030</v>
      </c>
      <c r="BR397" s="844">
        <v>68328</v>
      </c>
      <c r="BS397" s="844">
        <v>69646</v>
      </c>
      <c r="BT397" s="844">
        <v>70985</v>
      </c>
      <c r="BU397" s="844">
        <v>72346</v>
      </c>
      <c r="BV397" s="844">
        <v>73728</v>
      </c>
      <c r="BW397" s="844">
        <v>75131</v>
      </c>
      <c r="BX397" s="844">
        <v>76554</v>
      </c>
      <c r="BY397" s="844">
        <v>77997</v>
      </c>
      <c r="BZ397" s="844">
        <v>79460</v>
      </c>
      <c r="CA397" s="844">
        <v>80940</v>
      </c>
      <c r="CB397" s="844">
        <v>82438</v>
      </c>
      <c r="CC397" s="844">
        <v>83952</v>
      </c>
      <c r="CD397" s="844">
        <v>85481</v>
      </c>
      <c r="CE397" s="844">
        <v>87028</v>
      </c>
      <c r="CF397" s="844">
        <v>88589</v>
      </c>
      <c r="CG397" s="844">
        <v>90165</v>
      </c>
      <c r="CH397" s="844">
        <v>91754</v>
      </c>
      <c r="CI397" s="844">
        <v>93354</v>
      </c>
      <c r="CJ397" s="844">
        <v>94966</v>
      </c>
      <c r="CK397" s="844">
        <v>96588</v>
      </c>
      <c r="CL397" s="844">
        <v>98219</v>
      </c>
      <c r="CM397" s="844">
        <v>99858</v>
      </c>
      <c r="CN397" s="844">
        <v>101506</v>
      </c>
      <c r="CO397" s="844">
        <v>103160</v>
      </c>
      <c r="CP397" s="844">
        <v>104822</v>
      </c>
      <c r="CQ397" s="844">
        <v>106488</v>
      </c>
      <c r="CR397" s="844">
        <v>108161</v>
      </c>
      <c r="CS397" s="844">
        <v>109837</v>
      </c>
      <c r="CT397" s="844">
        <v>111518</v>
      </c>
      <c r="CU397" s="844">
        <v>113201</v>
      </c>
      <c r="CV397" s="844">
        <v>114887</v>
      </c>
      <c r="CW397" s="844">
        <v>116575</v>
      </c>
      <c r="CX397" s="844">
        <v>118259</v>
      </c>
      <c r="CY397" s="844">
        <v>119927</v>
      </c>
      <c r="CZ397" s="844">
        <v>121591</v>
      </c>
      <c r="DA397" s="844">
        <v>123250</v>
      </c>
      <c r="DB397" s="844">
        <v>124902</v>
      </c>
      <c r="DC397" s="844">
        <v>126548</v>
      </c>
      <c r="DD397" s="844">
        <v>128186</v>
      </c>
      <c r="DE397" s="844">
        <v>129816</v>
      </c>
      <c r="DF397" s="844">
        <v>131438</v>
      </c>
      <c r="DG397" s="844">
        <v>133052</v>
      </c>
      <c r="DH397" s="844">
        <v>134657</v>
      </c>
      <c r="DI397" s="844">
        <v>136253</v>
      </c>
      <c r="DJ397" s="844">
        <v>137841</v>
      </c>
      <c r="DK397" s="844">
        <v>139419</v>
      </c>
      <c r="DL397" s="844">
        <v>140989</v>
      </c>
      <c r="DM397" s="844">
        <v>142550</v>
      </c>
      <c r="DN397" s="844">
        <v>144102</v>
      </c>
      <c r="DO397" s="844">
        <v>145644</v>
      </c>
      <c r="DP397" s="844">
        <v>147136</v>
      </c>
      <c r="DQ397" s="844">
        <v>148600</v>
      </c>
      <c r="DR397" s="844">
        <v>0</v>
      </c>
      <c r="DS397" s="844">
        <v>0</v>
      </c>
      <c r="DT397" s="844">
        <v>0</v>
      </c>
      <c r="DU397" s="844">
        <v>0</v>
      </c>
      <c r="DV397" s="844">
        <v>0</v>
      </c>
      <c r="DW397" s="844">
        <v>0</v>
      </c>
      <c r="DY397" s="846" t="s">
        <v>1060</v>
      </c>
      <c r="DZ397" s="846" t="s">
        <v>1382</v>
      </c>
      <c r="EA397" s="846" t="s">
        <v>97</v>
      </c>
      <c r="EB397" s="847">
        <v>6</v>
      </c>
      <c r="EC397" s="780" t="str">
        <f t="shared" si="15"/>
        <v>IWT060206</v>
      </c>
      <c r="ED397" s="847">
        <v>0</v>
      </c>
      <c r="EE397" s="847">
        <v>2768</v>
      </c>
      <c r="EF397" s="847">
        <v>7342</v>
      </c>
      <c r="EG397" s="847">
        <v>12007</v>
      </c>
      <c r="EH397" s="847">
        <v>16765</v>
      </c>
      <c r="EI397" s="847">
        <v>21619</v>
      </c>
      <c r="EJ397" s="847">
        <v>26569</v>
      </c>
      <c r="EK397" s="847">
        <v>27100</v>
      </c>
      <c r="EL397" s="847">
        <v>27642</v>
      </c>
      <c r="EM397" s="847">
        <v>28195</v>
      </c>
      <c r="EN397" s="847">
        <v>28758</v>
      </c>
      <c r="EO397" s="847">
        <v>29333</v>
      </c>
      <c r="EP397" s="847">
        <v>29920</v>
      </c>
      <c r="EQ397" s="847">
        <v>30519</v>
      </c>
      <c r="ER397" s="847">
        <v>31129</v>
      </c>
      <c r="ES397" s="847">
        <v>31751</v>
      </c>
      <c r="ET397" s="847">
        <v>32386</v>
      </c>
      <c r="EU397" s="847">
        <v>33034</v>
      </c>
      <c r="EV397" s="847">
        <v>33695</v>
      </c>
      <c r="EW397" s="847">
        <v>34369</v>
      </c>
      <c r="EX397" s="847">
        <v>35056</v>
      </c>
      <c r="EY397" s="847">
        <v>35757</v>
      </c>
      <c r="EZ397" s="847">
        <v>36472</v>
      </c>
      <c r="FA397" s="847">
        <v>37202</v>
      </c>
      <c r="FB397" s="847">
        <v>37946</v>
      </c>
      <c r="FC397" s="847">
        <v>38705</v>
      </c>
      <c r="FD397" s="847">
        <v>39479</v>
      </c>
      <c r="FE397" s="847">
        <v>40269</v>
      </c>
      <c r="FF397" s="847">
        <v>41074</v>
      </c>
      <c r="FG397" s="847">
        <v>41895</v>
      </c>
      <c r="FH397" s="847">
        <v>42732</v>
      </c>
      <c r="FI397" s="847">
        <v>43586</v>
      </c>
      <c r="FJ397" s="847">
        <v>44456</v>
      </c>
      <c r="FK397" s="847">
        <v>45343</v>
      </c>
      <c r="FL397" s="847">
        <v>46247</v>
      </c>
      <c r="FM397" s="847">
        <v>47169</v>
      </c>
      <c r="FN397" s="847">
        <v>48108</v>
      </c>
      <c r="FO397" s="847">
        <v>49066</v>
      </c>
      <c r="FP397" s="847">
        <v>50042</v>
      </c>
      <c r="FQ397" s="847">
        <v>51036</v>
      </c>
      <c r="FR397" s="847">
        <v>52049</v>
      </c>
      <c r="FS397" s="847">
        <v>53082</v>
      </c>
      <c r="FT397" s="847">
        <v>54133</v>
      </c>
      <c r="FU397" s="847">
        <v>55204</v>
      </c>
      <c r="FV397" s="847">
        <v>56294</v>
      </c>
      <c r="FW397" s="847">
        <v>57405</v>
      </c>
      <c r="FX397" s="847">
        <v>58535</v>
      </c>
      <c r="FY397" s="847">
        <v>59685</v>
      </c>
      <c r="FZ397" s="847">
        <v>60856</v>
      </c>
      <c r="GA397" s="847">
        <v>62048</v>
      </c>
      <c r="GB397" s="847">
        <v>63262</v>
      </c>
      <c r="GC397" s="847">
        <v>64497</v>
      </c>
      <c r="GD397" s="847">
        <v>65753</v>
      </c>
      <c r="GE397" s="847">
        <v>67030</v>
      </c>
      <c r="GF397" s="847">
        <v>68328</v>
      </c>
      <c r="GG397" s="847">
        <v>69646</v>
      </c>
      <c r="GH397" s="847">
        <v>70985</v>
      </c>
      <c r="GI397" s="847">
        <v>72346</v>
      </c>
      <c r="GJ397" s="847">
        <v>73728</v>
      </c>
      <c r="GK397" s="847">
        <v>75131</v>
      </c>
      <c r="GL397" s="847">
        <v>76554</v>
      </c>
      <c r="GM397" s="847">
        <v>77997</v>
      </c>
      <c r="GN397" s="847">
        <v>79460</v>
      </c>
      <c r="GO397" s="847">
        <v>80940</v>
      </c>
      <c r="GP397" s="847">
        <v>82438</v>
      </c>
      <c r="GQ397" s="847">
        <v>83952</v>
      </c>
      <c r="GR397" s="847">
        <v>85481</v>
      </c>
      <c r="GS397" s="847">
        <v>87028</v>
      </c>
      <c r="GT397" s="847">
        <v>88589</v>
      </c>
      <c r="GU397" s="847">
        <v>90165</v>
      </c>
      <c r="GV397" s="847">
        <v>91754</v>
      </c>
      <c r="GW397" s="847">
        <v>93354</v>
      </c>
      <c r="GX397" s="847">
        <v>94966</v>
      </c>
      <c r="GY397" s="847">
        <v>96588</v>
      </c>
      <c r="GZ397" s="847">
        <v>98219</v>
      </c>
      <c r="HA397" s="847">
        <v>99858</v>
      </c>
      <c r="HB397" s="847">
        <v>101506</v>
      </c>
      <c r="HC397" s="847">
        <v>103160</v>
      </c>
      <c r="HD397" s="847">
        <v>104822</v>
      </c>
      <c r="HE397" s="847">
        <v>106488</v>
      </c>
      <c r="HF397" s="847">
        <v>108161</v>
      </c>
      <c r="HG397" s="847">
        <v>109837</v>
      </c>
      <c r="HH397" s="847">
        <v>111518</v>
      </c>
      <c r="HI397" s="847">
        <v>113201</v>
      </c>
      <c r="HJ397" s="847">
        <v>114887</v>
      </c>
      <c r="HK397" s="847">
        <v>116575</v>
      </c>
      <c r="HL397" s="847">
        <v>118259</v>
      </c>
      <c r="HM397" s="847">
        <v>119927</v>
      </c>
      <c r="HN397" s="847">
        <v>121591</v>
      </c>
      <c r="HO397" s="847">
        <v>123250</v>
      </c>
      <c r="HP397" s="847">
        <v>124902</v>
      </c>
      <c r="HQ397" s="847">
        <v>126548</v>
      </c>
      <c r="HR397" s="847">
        <v>128186</v>
      </c>
      <c r="HS397" s="847">
        <v>129816</v>
      </c>
      <c r="HT397" s="847">
        <v>131438</v>
      </c>
      <c r="HU397" s="847">
        <v>133052</v>
      </c>
      <c r="HV397" s="847">
        <v>134657</v>
      </c>
      <c r="HW397" s="847">
        <v>136253</v>
      </c>
      <c r="HX397" s="847">
        <v>137841</v>
      </c>
      <c r="HY397" s="847">
        <v>139419</v>
      </c>
      <c r="HZ397" s="847">
        <v>140989</v>
      </c>
      <c r="IA397" s="847">
        <v>142550</v>
      </c>
      <c r="IB397" s="847">
        <v>144102</v>
      </c>
      <c r="IC397" s="847">
        <v>145644</v>
      </c>
      <c r="ID397" s="847">
        <v>147136</v>
      </c>
      <c r="IE397" s="847">
        <v>148600</v>
      </c>
      <c r="IF397" s="847">
        <v>0</v>
      </c>
      <c r="IG397" s="847">
        <v>0</v>
      </c>
      <c r="IH397" s="847">
        <v>0</v>
      </c>
      <c r="II397" s="847">
        <v>0</v>
      </c>
      <c r="IJ397" s="847">
        <v>0</v>
      </c>
      <c r="IK397" s="847">
        <v>0</v>
      </c>
    </row>
    <row r="398" spans="12:245" hidden="1">
      <c r="L398" s="843" t="s">
        <v>1060</v>
      </c>
      <c r="M398" s="843" t="s">
        <v>1382</v>
      </c>
      <c r="N398" s="843" t="s">
        <v>97</v>
      </c>
      <c r="O398" s="844">
        <v>7</v>
      </c>
      <c r="P398" s="780" t="str">
        <f t="shared" si="14"/>
        <v>IWT060207</v>
      </c>
      <c r="Q398" s="844">
        <v>2090</v>
      </c>
      <c r="R398" s="844">
        <v>5912</v>
      </c>
      <c r="S398" s="844">
        <v>10273</v>
      </c>
      <c r="T398" s="844">
        <v>15188</v>
      </c>
      <c r="U398" s="844">
        <v>20674</v>
      </c>
      <c r="V398" s="844">
        <v>26478</v>
      </c>
      <c r="W398" s="844">
        <v>27280</v>
      </c>
      <c r="X398" s="844">
        <v>27825</v>
      </c>
      <c r="Y398" s="844">
        <v>28381</v>
      </c>
      <c r="Z398" s="844">
        <v>28949</v>
      </c>
      <c r="AA398" s="844">
        <v>29528</v>
      </c>
      <c r="AB398" s="844">
        <v>30118</v>
      </c>
      <c r="AC398" s="844">
        <v>30721</v>
      </c>
      <c r="AD398" s="844">
        <v>31335</v>
      </c>
      <c r="AE398" s="844">
        <v>31962</v>
      </c>
      <c r="AF398" s="844">
        <v>32601</v>
      </c>
      <c r="AG398" s="844">
        <v>33253</v>
      </c>
      <c r="AH398" s="844">
        <v>33918</v>
      </c>
      <c r="AI398" s="844">
        <v>34597</v>
      </c>
      <c r="AJ398" s="844">
        <v>35289</v>
      </c>
      <c r="AK398" s="844">
        <v>35994</v>
      </c>
      <c r="AL398" s="844">
        <v>36714</v>
      </c>
      <c r="AM398" s="844">
        <v>37448</v>
      </c>
      <c r="AN398" s="844">
        <v>38197</v>
      </c>
      <c r="AO398" s="844">
        <v>38961</v>
      </c>
      <c r="AP398" s="844">
        <v>39741</v>
      </c>
      <c r="AQ398" s="844">
        <v>40535</v>
      </c>
      <c r="AR398" s="844">
        <v>41346</v>
      </c>
      <c r="AS398" s="844">
        <v>42173</v>
      </c>
      <c r="AT398" s="844">
        <v>43016</v>
      </c>
      <c r="AU398" s="844">
        <v>43875</v>
      </c>
      <c r="AV398" s="844">
        <v>44751</v>
      </c>
      <c r="AW398" s="844">
        <v>45644</v>
      </c>
      <c r="AX398" s="844">
        <v>46554</v>
      </c>
      <c r="AY398" s="844">
        <v>47482</v>
      </c>
      <c r="AZ398" s="844">
        <v>48428</v>
      </c>
      <c r="BA398" s="844">
        <v>49392</v>
      </c>
      <c r="BB398" s="844">
        <v>50374</v>
      </c>
      <c r="BC398" s="844">
        <v>51375</v>
      </c>
      <c r="BD398" s="844">
        <v>52395</v>
      </c>
      <c r="BE398" s="844">
        <v>53433</v>
      </c>
      <c r="BF398" s="844">
        <v>54491</v>
      </c>
      <c r="BG398" s="844">
        <v>55569</v>
      </c>
      <c r="BH398" s="844">
        <v>56666</v>
      </c>
      <c r="BI398" s="844">
        <v>57783</v>
      </c>
      <c r="BJ398" s="844">
        <v>58920</v>
      </c>
      <c r="BK398" s="844">
        <v>60077</v>
      </c>
      <c r="BL398" s="844">
        <v>61256</v>
      </c>
      <c r="BM398" s="844">
        <v>62455</v>
      </c>
      <c r="BN398" s="844">
        <v>63676</v>
      </c>
      <c r="BO398" s="844">
        <v>64918</v>
      </c>
      <c r="BP398" s="844">
        <v>66180</v>
      </c>
      <c r="BQ398" s="844">
        <v>67463</v>
      </c>
      <c r="BR398" s="844">
        <v>68767</v>
      </c>
      <c r="BS398" s="844">
        <v>70091</v>
      </c>
      <c r="BT398" s="844">
        <v>71437</v>
      </c>
      <c r="BU398" s="844">
        <v>72804</v>
      </c>
      <c r="BV398" s="844">
        <v>74192</v>
      </c>
      <c r="BW398" s="844">
        <v>75600</v>
      </c>
      <c r="BX398" s="844">
        <v>77029</v>
      </c>
      <c r="BY398" s="844">
        <v>78476</v>
      </c>
      <c r="BZ398" s="844">
        <v>79941</v>
      </c>
      <c r="CA398" s="844">
        <v>81424</v>
      </c>
      <c r="CB398" s="844">
        <v>82923</v>
      </c>
      <c r="CC398" s="844">
        <v>84438</v>
      </c>
      <c r="CD398" s="844">
        <v>85970</v>
      </c>
      <c r="CE398" s="844">
        <v>87516</v>
      </c>
      <c r="CF398" s="844">
        <v>89078</v>
      </c>
      <c r="CG398" s="844">
        <v>90653</v>
      </c>
      <c r="CH398" s="844">
        <v>92239</v>
      </c>
      <c r="CI398" s="844">
        <v>93837</v>
      </c>
      <c r="CJ398" s="844">
        <v>95446</v>
      </c>
      <c r="CK398" s="844">
        <v>97064</v>
      </c>
      <c r="CL398" s="844">
        <v>98690</v>
      </c>
      <c r="CM398" s="844">
        <v>100325</v>
      </c>
      <c r="CN398" s="844">
        <v>101967</v>
      </c>
      <c r="CO398" s="844">
        <v>103617</v>
      </c>
      <c r="CP398" s="844">
        <v>105272</v>
      </c>
      <c r="CQ398" s="844">
        <v>106933</v>
      </c>
      <c r="CR398" s="844">
        <v>108598</v>
      </c>
      <c r="CS398" s="844">
        <v>110268</v>
      </c>
      <c r="CT398" s="844">
        <v>111941</v>
      </c>
      <c r="CU398" s="844">
        <v>113617</v>
      </c>
      <c r="CV398" s="844">
        <v>115295</v>
      </c>
      <c r="CW398" s="844">
        <v>116969</v>
      </c>
      <c r="CX398" s="844">
        <v>118629</v>
      </c>
      <c r="CY398" s="844">
        <v>120285</v>
      </c>
      <c r="CZ398" s="844">
        <v>121936</v>
      </c>
      <c r="DA398" s="844">
        <v>123580</v>
      </c>
      <c r="DB398" s="844">
        <v>125219</v>
      </c>
      <c r="DC398" s="844">
        <v>126850</v>
      </c>
      <c r="DD398" s="844">
        <v>128474</v>
      </c>
      <c r="DE398" s="844">
        <v>130091</v>
      </c>
      <c r="DF398" s="844">
        <v>131699</v>
      </c>
      <c r="DG398" s="844">
        <v>133299</v>
      </c>
      <c r="DH398" s="844">
        <v>134891</v>
      </c>
      <c r="DI398" s="844">
        <v>136474</v>
      </c>
      <c r="DJ398" s="844">
        <v>138048</v>
      </c>
      <c r="DK398" s="844">
        <v>139614</v>
      </c>
      <c r="DL398" s="844">
        <v>141172</v>
      </c>
      <c r="DM398" s="844">
        <v>142721</v>
      </c>
      <c r="DN398" s="844">
        <v>144259</v>
      </c>
      <c r="DO398" s="844">
        <v>145750</v>
      </c>
      <c r="DP398" s="844">
        <v>147200</v>
      </c>
      <c r="DQ398" s="844">
        <v>0</v>
      </c>
      <c r="DR398" s="844">
        <v>0</v>
      </c>
      <c r="DS398" s="844">
        <v>0</v>
      </c>
      <c r="DT398" s="844">
        <v>0</v>
      </c>
      <c r="DU398" s="844">
        <v>0</v>
      </c>
      <c r="DV398" s="844">
        <v>0</v>
      </c>
      <c r="DW398" s="844">
        <v>0</v>
      </c>
      <c r="DY398" s="846" t="s">
        <v>1060</v>
      </c>
      <c r="DZ398" s="846" t="s">
        <v>1382</v>
      </c>
      <c r="EA398" s="846" t="s">
        <v>97</v>
      </c>
      <c r="EB398" s="847">
        <v>7</v>
      </c>
      <c r="EC398" s="780" t="str">
        <f t="shared" si="15"/>
        <v>IWT060207</v>
      </c>
      <c r="ED398" s="847">
        <v>0</v>
      </c>
      <c r="EE398" s="847">
        <v>2786</v>
      </c>
      <c r="EF398" s="847">
        <v>7390</v>
      </c>
      <c r="EG398" s="847">
        <v>12086</v>
      </c>
      <c r="EH398" s="847">
        <v>16876</v>
      </c>
      <c r="EI398" s="847">
        <v>21762</v>
      </c>
      <c r="EJ398" s="847">
        <v>26745</v>
      </c>
      <c r="EK398" s="847">
        <v>27280</v>
      </c>
      <c r="EL398" s="847">
        <v>27825</v>
      </c>
      <c r="EM398" s="847">
        <v>28381</v>
      </c>
      <c r="EN398" s="847">
        <v>28949</v>
      </c>
      <c r="EO398" s="847">
        <v>29528</v>
      </c>
      <c r="EP398" s="847">
        <v>30118</v>
      </c>
      <c r="EQ398" s="847">
        <v>30721</v>
      </c>
      <c r="ER398" s="847">
        <v>31335</v>
      </c>
      <c r="ES398" s="847">
        <v>31962</v>
      </c>
      <c r="ET398" s="847">
        <v>32601</v>
      </c>
      <c r="EU398" s="847">
        <v>33253</v>
      </c>
      <c r="EV398" s="847">
        <v>33918</v>
      </c>
      <c r="EW398" s="847">
        <v>34597</v>
      </c>
      <c r="EX398" s="847">
        <v>35289</v>
      </c>
      <c r="EY398" s="847">
        <v>35994</v>
      </c>
      <c r="EZ398" s="847">
        <v>36714</v>
      </c>
      <c r="FA398" s="847">
        <v>37448</v>
      </c>
      <c r="FB398" s="847">
        <v>38197</v>
      </c>
      <c r="FC398" s="847">
        <v>38961</v>
      </c>
      <c r="FD398" s="847">
        <v>39741</v>
      </c>
      <c r="FE398" s="847">
        <v>40535</v>
      </c>
      <c r="FF398" s="847">
        <v>41346</v>
      </c>
      <c r="FG398" s="847">
        <v>42173</v>
      </c>
      <c r="FH398" s="847">
        <v>43016</v>
      </c>
      <c r="FI398" s="847">
        <v>43875</v>
      </c>
      <c r="FJ398" s="847">
        <v>44751</v>
      </c>
      <c r="FK398" s="847">
        <v>45644</v>
      </c>
      <c r="FL398" s="847">
        <v>46554</v>
      </c>
      <c r="FM398" s="847">
        <v>47482</v>
      </c>
      <c r="FN398" s="847">
        <v>48428</v>
      </c>
      <c r="FO398" s="847">
        <v>49392</v>
      </c>
      <c r="FP398" s="847">
        <v>50374</v>
      </c>
      <c r="FQ398" s="847">
        <v>51375</v>
      </c>
      <c r="FR398" s="847">
        <v>52395</v>
      </c>
      <c r="FS398" s="847">
        <v>53433</v>
      </c>
      <c r="FT398" s="847">
        <v>54491</v>
      </c>
      <c r="FU398" s="847">
        <v>55569</v>
      </c>
      <c r="FV398" s="847">
        <v>56666</v>
      </c>
      <c r="FW398" s="847">
        <v>57783</v>
      </c>
      <c r="FX398" s="847">
        <v>58920</v>
      </c>
      <c r="FY398" s="847">
        <v>60077</v>
      </c>
      <c r="FZ398" s="847">
        <v>61256</v>
      </c>
      <c r="GA398" s="847">
        <v>62455</v>
      </c>
      <c r="GB398" s="847">
        <v>63676</v>
      </c>
      <c r="GC398" s="847">
        <v>64918</v>
      </c>
      <c r="GD398" s="847">
        <v>66180</v>
      </c>
      <c r="GE398" s="847">
        <v>67463</v>
      </c>
      <c r="GF398" s="847">
        <v>68767</v>
      </c>
      <c r="GG398" s="847">
        <v>70091</v>
      </c>
      <c r="GH398" s="847">
        <v>71437</v>
      </c>
      <c r="GI398" s="847">
        <v>72804</v>
      </c>
      <c r="GJ398" s="847">
        <v>74192</v>
      </c>
      <c r="GK398" s="847">
        <v>75600</v>
      </c>
      <c r="GL398" s="847">
        <v>77029</v>
      </c>
      <c r="GM398" s="847">
        <v>78476</v>
      </c>
      <c r="GN398" s="847">
        <v>79941</v>
      </c>
      <c r="GO398" s="847">
        <v>81424</v>
      </c>
      <c r="GP398" s="847">
        <v>82923</v>
      </c>
      <c r="GQ398" s="847">
        <v>84438</v>
      </c>
      <c r="GR398" s="847">
        <v>85970</v>
      </c>
      <c r="GS398" s="847">
        <v>87516</v>
      </c>
      <c r="GT398" s="847">
        <v>89078</v>
      </c>
      <c r="GU398" s="847">
        <v>90653</v>
      </c>
      <c r="GV398" s="847">
        <v>92239</v>
      </c>
      <c r="GW398" s="847">
        <v>93837</v>
      </c>
      <c r="GX398" s="847">
        <v>95446</v>
      </c>
      <c r="GY398" s="847">
        <v>97064</v>
      </c>
      <c r="GZ398" s="847">
        <v>98690</v>
      </c>
      <c r="HA398" s="847">
        <v>100325</v>
      </c>
      <c r="HB398" s="847">
        <v>101967</v>
      </c>
      <c r="HC398" s="847">
        <v>103617</v>
      </c>
      <c r="HD398" s="847">
        <v>105272</v>
      </c>
      <c r="HE398" s="847">
        <v>106933</v>
      </c>
      <c r="HF398" s="847">
        <v>108598</v>
      </c>
      <c r="HG398" s="847">
        <v>110268</v>
      </c>
      <c r="HH398" s="847">
        <v>111941</v>
      </c>
      <c r="HI398" s="847">
        <v>113617</v>
      </c>
      <c r="HJ398" s="847">
        <v>115295</v>
      </c>
      <c r="HK398" s="847">
        <v>116969</v>
      </c>
      <c r="HL398" s="847">
        <v>118629</v>
      </c>
      <c r="HM398" s="847">
        <v>120285</v>
      </c>
      <c r="HN398" s="847">
        <v>121936</v>
      </c>
      <c r="HO398" s="847">
        <v>123580</v>
      </c>
      <c r="HP398" s="847">
        <v>125219</v>
      </c>
      <c r="HQ398" s="847">
        <v>126850</v>
      </c>
      <c r="HR398" s="847">
        <v>128474</v>
      </c>
      <c r="HS398" s="847">
        <v>130091</v>
      </c>
      <c r="HT398" s="847">
        <v>131699</v>
      </c>
      <c r="HU398" s="847">
        <v>133299</v>
      </c>
      <c r="HV398" s="847">
        <v>134891</v>
      </c>
      <c r="HW398" s="847">
        <v>136474</v>
      </c>
      <c r="HX398" s="847">
        <v>138048</v>
      </c>
      <c r="HY398" s="847">
        <v>139614</v>
      </c>
      <c r="HZ398" s="847">
        <v>141172</v>
      </c>
      <c r="IA398" s="847">
        <v>142721</v>
      </c>
      <c r="IB398" s="847">
        <v>144259</v>
      </c>
      <c r="IC398" s="847">
        <v>145750</v>
      </c>
      <c r="ID398" s="847">
        <v>147200</v>
      </c>
      <c r="IE398" s="847">
        <v>0</v>
      </c>
      <c r="IF398" s="847">
        <v>0</v>
      </c>
      <c r="IG398" s="847">
        <v>0</v>
      </c>
      <c r="IH398" s="847">
        <v>0</v>
      </c>
      <c r="II398" s="847">
        <v>0</v>
      </c>
      <c r="IJ398" s="847">
        <v>0</v>
      </c>
      <c r="IK398" s="847">
        <v>0</v>
      </c>
    </row>
    <row r="399" spans="12:245" hidden="1">
      <c r="L399" s="843" t="s">
        <v>1060</v>
      </c>
      <c r="M399" s="843" t="s">
        <v>1382</v>
      </c>
      <c r="N399" s="843" t="s">
        <v>97</v>
      </c>
      <c r="O399" s="844">
        <v>8</v>
      </c>
      <c r="P399" s="780" t="str">
        <f t="shared" si="14"/>
        <v>IWT060208</v>
      </c>
      <c r="Q399" s="844">
        <v>2103</v>
      </c>
      <c r="R399" s="844">
        <v>5950</v>
      </c>
      <c r="S399" s="844">
        <v>10339</v>
      </c>
      <c r="T399" s="844">
        <v>15287</v>
      </c>
      <c r="U399" s="844">
        <v>20807</v>
      </c>
      <c r="V399" s="844">
        <v>26649</v>
      </c>
      <c r="W399" s="844">
        <v>27456</v>
      </c>
      <c r="X399" s="844">
        <v>28005</v>
      </c>
      <c r="Y399" s="844">
        <v>28565</v>
      </c>
      <c r="Z399" s="844">
        <v>29136</v>
      </c>
      <c r="AA399" s="844">
        <v>29719</v>
      </c>
      <c r="AB399" s="844">
        <v>30313</v>
      </c>
      <c r="AC399" s="844">
        <v>30919</v>
      </c>
      <c r="AD399" s="844">
        <v>31538</v>
      </c>
      <c r="AE399" s="844">
        <v>32169</v>
      </c>
      <c r="AF399" s="844">
        <v>32812</v>
      </c>
      <c r="AG399" s="844">
        <v>33468</v>
      </c>
      <c r="AH399" s="844">
        <v>34138</v>
      </c>
      <c r="AI399" s="844">
        <v>34820</v>
      </c>
      <c r="AJ399" s="844">
        <v>35517</v>
      </c>
      <c r="AK399" s="844">
        <v>36227</v>
      </c>
      <c r="AL399" s="844">
        <v>36952</v>
      </c>
      <c r="AM399" s="844">
        <v>37691</v>
      </c>
      <c r="AN399" s="844">
        <v>38444</v>
      </c>
      <c r="AO399" s="844">
        <v>39213</v>
      </c>
      <c r="AP399" s="844">
        <v>39998</v>
      </c>
      <c r="AQ399" s="844">
        <v>40798</v>
      </c>
      <c r="AR399" s="844">
        <v>41613</v>
      </c>
      <c r="AS399" s="844">
        <v>42446</v>
      </c>
      <c r="AT399" s="844">
        <v>43294</v>
      </c>
      <c r="AU399" s="844">
        <v>44159</v>
      </c>
      <c r="AV399" s="844">
        <v>45041</v>
      </c>
      <c r="AW399" s="844">
        <v>45940</v>
      </c>
      <c r="AX399" s="844">
        <v>46856</v>
      </c>
      <c r="AY399" s="844">
        <v>47790</v>
      </c>
      <c r="AZ399" s="844">
        <v>48742</v>
      </c>
      <c r="BA399" s="844">
        <v>49712</v>
      </c>
      <c r="BB399" s="844">
        <v>50701</v>
      </c>
      <c r="BC399" s="844">
        <v>51708</v>
      </c>
      <c r="BD399" s="844">
        <v>52734</v>
      </c>
      <c r="BE399" s="844">
        <v>53779</v>
      </c>
      <c r="BF399" s="844">
        <v>54843</v>
      </c>
      <c r="BG399" s="844">
        <v>55927</v>
      </c>
      <c r="BH399" s="844">
        <v>57031</v>
      </c>
      <c r="BI399" s="844">
        <v>58154</v>
      </c>
      <c r="BJ399" s="844">
        <v>59298</v>
      </c>
      <c r="BK399" s="844">
        <v>60463</v>
      </c>
      <c r="BL399" s="844">
        <v>61648</v>
      </c>
      <c r="BM399" s="844">
        <v>62855</v>
      </c>
      <c r="BN399" s="844">
        <v>64083</v>
      </c>
      <c r="BO399" s="844">
        <v>65331</v>
      </c>
      <c r="BP399" s="844">
        <v>66599</v>
      </c>
      <c r="BQ399" s="844">
        <v>67888</v>
      </c>
      <c r="BR399" s="844">
        <v>69197</v>
      </c>
      <c r="BS399" s="844">
        <v>70528</v>
      </c>
      <c r="BT399" s="844">
        <v>71881</v>
      </c>
      <c r="BU399" s="844">
        <v>73254</v>
      </c>
      <c r="BV399" s="844">
        <v>74647</v>
      </c>
      <c r="BW399" s="844">
        <v>76060</v>
      </c>
      <c r="BX399" s="844">
        <v>77492</v>
      </c>
      <c r="BY399" s="844">
        <v>78942</v>
      </c>
      <c r="BZ399" s="844">
        <v>80410</v>
      </c>
      <c r="CA399" s="844">
        <v>81894</v>
      </c>
      <c r="CB399" s="844">
        <v>83395</v>
      </c>
      <c r="CC399" s="844">
        <v>84911</v>
      </c>
      <c r="CD399" s="844">
        <v>86444</v>
      </c>
      <c r="CE399" s="844">
        <v>87991</v>
      </c>
      <c r="CF399" s="844">
        <v>89552</v>
      </c>
      <c r="CG399" s="844">
        <v>91124</v>
      </c>
      <c r="CH399" s="844">
        <v>92709</v>
      </c>
      <c r="CI399" s="844">
        <v>94304</v>
      </c>
      <c r="CJ399" s="844">
        <v>95908</v>
      </c>
      <c r="CK399" s="844">
        <v>97522</v>
      </c>
      <c r="CL399" s="844">
        <v>99144</v>
      </c>
      <c r="CM399" s="844">
        <v>100775</v>
      </c>
      <c r="CN399" s="844">
        <v>102412</v>
      </c>
      <c r="CO399" s="844">
        <v>104055</v>
      </c>
      <c r="CP399" s="844">
        <v>105705</v>
      </c>
      <c r="CQ399" s="844">
        <v>107359</v>
      </c>
      <c r="CR399" s="844">
        <v>109018</v>
      </c>
      <c r="CS399" s="844">
        <v>110680</v>
      </c>
      <c r="CT399" s="844">
        <v>112347</v>
      </c>
      <c r="CU399" s="844">
        <v>114015</v>
      </c>
      <c r="CV399" s="844">
        <v>115679</v>
      </c>
      <c r="CW399" s="844">
        <v>117331</v>
      </c>
      <c r="CX399" s="844">
        <v>118978</v>
      </c>
      <c r="CY399" s="844">
        <v>120621</v>
      </c>
      <c r="CZ399" s="844">
        <v>122259</v>
      </c>
      <c r="DA399" s="844">
        <v>123890</v>
      </c>
      <c r="DB399" s="844">
        <v>125515</v>
      </c>
      <c r="DC399" s="844">
        <v>127133</v>
      </c>
      <c r="DD399" s="844">
        <v>128744</v>
      </c>
      <c r="DE399" s="844">
        <v>130346</v>
      </c>
      <c r="DF399" s="844">
        <v>131941</v>
      </c>
      <c r="DG399" s="844">
        <v>133528</v>
      </c>
      <c r="DH399" s="844">
        <v>135107</v>
      </c>
      <c r="DI399" s="844">
        <v>136677</v>
      </c>
      <c r="DJ399" s="844">
        <v>138239</v>
      </c>
      <c r="DK399" s="844">
        <v>139794</v>
      </c>
      <c r="DL399" s="844">
        <v>141339</v>
      </c>
      <c r="DM399" s="844">
        <v>142875</v>
      </c>
      <c r="DN399" s="844">
        <v>144364</v>
      </c>
      <c r="DO399" s="844">
        <v>145800</v>
      </c>
      <c r="DP399" s="844">
        <v>0</v>
      </c>
      <c r="DQ399" s="844">
        <v>0</v>
      </c>
      <c r="DR399" s="844">
        <v>0</v>
      </c>
      <c r="DS399" s="844">
        <v>0</v>
      </c>
      <c r="DT399" s="844">
        <v>0</v>
      </c>
      <c r="DU399" s="844">
        <v>0</v>
      </c>
      <c r="DV399" s="844">
        <v>0</v>
      </c>
      <c r="DW399" s="844">
        <v>0</v>
      </c>
      <c r="DY399" s="846" t="s">
        <v>1060</v>
      </c>
      <c r="DZ399" s="846" t="s">
        <v>1382</v>
      </c>
      <c r="EA399" s="846" t="s">
        <v>97</v>
      </c>
      <c r="EB399" s="847">
        <v>8</v>
      </c>
      <c r="EC399" s="780" t="str">
        <f t="shared" si="15"/>
        <v>IWT060208</v>
      </c>
      <c r="ED399" s="847">
        <v>0</v>
      </c>
      <c r="EE399" s="847">
        <v>2804</v>
      </c>
      <c r="EF399" s="847">
        <v>7438</v>
      </c>
      <c r="EG399" s="847">
        <v>12164</v>
      </c>
      <c r="EH399" s="847">
        <v>16985</v>
      </c>
      <c r="EI399" s="847">
        <v>21902</v>
      </c>
      <c r="EJ399" s="847">
        <v>26918</v>
      </c>
      <c r="EK399" s="847">
        <v>27456</v>
      </c>
      <c r="EL399" s="847">
        <v>28005</v>
      </c>
      <c r="EM399" s="847">
        <v>28565</v>
      </c>
      <c r="EN399" s="847">
        <v>29136</v>
      </c>
      <c r="EO399" s="847">
        <v>29719</v>
      </c>
      <c r="EP399" s="847">
        <v>30313</v>
      </c>
      <c r="EQ399" s="847">
        <v>30919</v>
      </c>
      <c r="ER399" s="847">
        <v>31538</v>
      </c>
      <c r="ES399" s="847">
        <v>32169</v>
      </c>
      <c r="ET399" s="847">
        <v>32812</v>
      </c>
      <c r="EU399" s="847">
        <v>33468</v>
      </c>
      <c r="EV399" s="847">
        <v>34138</v>
      </c>
      <c r="EW399" s="847">
        <v>34820</v>
      </c>
      <c r="EX399" s="847">
        <v>35517</v>
      </c>
      <c r="EY399" s="847">
        <v>36227</v>
      </c>
      <c r="EZ399" s="847">
        <v>36952</v>
      </c>
      <c r="FA399" s="847">
        <v>37691</v>
      </c>
      <c r="FB399" s="847">
        <v>38444</v>
      </c>
      <c r="FC399" s="847">
        <v>39213</v>
      </c>
      <c r="FD399" s="847">
        <v>39998</v>
      </c>
      <c r="FE399" s="847">
        <v>40798</v>
      </c>
      <c r="FF399" s="847">
        <v>41613</v>
      </c>
      <c r="FG399" s="847">
        <v>42446</v>
      </c>
      <c r="FH399" s="847">
        <v>43294</v>
      </c>
      <c r="FI399" s="847">
        <v>44159</v>
      </c>
      <c r="FJ399" s="847">
        <v>45041</v>
      </c>
      <c r="FK399" s="847">
        <v>45940</v>
      </c>
      <c r="FL399" s="847">
        <v>46856</v>
      </c>
      <c r="FM399" s="847">
        <v>47790</v>
      </c>
      <c r="FN399" s="847">
        <v>48742</v>
      </c>
      <c r="FO399" s="847">
        <v>49712</v>
      </c>
      <c r="FP399" s="847">
        <v>50701</v>
      </c>
      <c r="FQ399" s="847">
        <v>51708</v>
      </c>
      <c r="FR399" s="847">
        <v>52734</v>
      </c>
      <c r="FS399" s="847">
        <v>53779</v>
      </c>
      <c r="FT399" s="847">
        <v>54843</v>
      </c>
      <c r="FU399" s="847">
        <v>55927</v>
      </c>
      <c r="FV399" s="847">
        <v>57031</v>
      </c>
      <c r="FW399" s="847">
        <v>58154</v>
      </c>
      <c r="FX399" s="847">
        <v>59298</v>
      </c>
      <c r="FY399" s="847">
        <v>60463</v>
      </c>
      <c r="FZ399" s="847">
        <v>61648</v>
      </c>
      <c r="GA399" s="847">
        <v>62855</v>
      </c>
      <c r="GB399" s="847">
        <v>64083</v>
      </c>
      <c r="GC399" s="847">
        <v>65331</v>
      </c>
      <c r="GD399" s="847">
        <v>66599</v>
      </c>
      <c r="GE399" s="847">
        <v>67888</v>
      </c>
      <c r="GF399" s="847">
        <v>69197</v>
      </c>
      <c r="GG399" s="847">
        <v>70528</v>
      </c>
      <c r="GH399" s="847">
        <v>71881</v>
      </c>
      <c r="GI399" s="847">
        <v>73254</v>
      </c>
      <c r="GJ399" s="847">
        <v>74647</v>
      </c>
      <c r="GK399" s="847">
        <v>76060</v>
      </c>
      <c r="GL399" s="847">
        <v>77492</v>
      </c>
      <c r="GM399" s="847">
        <v>78942</v>
      </c>
      <c r="GN399" s="847">
        <v>80410</v>
      </c>
      <c r="GO399" s="847">
        <v>81894</v>
      </c>
      <c r="GP399" s="847">
        <v>83395</v>
      </c>
      <c r="GQ399" s="847">
        <v>84911</v>
      </c>
      <c r="GR399" s="847">
        <v>86444</v>
      </c>
      <c r="GS399" s="847">
        <v>87991</v>
      </c>
      <c r="GT399" s="847">
        <v>89552</v>
      </c>
      <c r="GU399" s="847">
        <v>91124</v>
      </c>
      <c r="GV399" s="847">
        <v>92709</v>
      </c>
      <c r="GW399" s="847">
        <v>94304</v>
      </c>
      <c r="GX399" s="847">
        <v>95908</v>
      </c>
      <c r="GY399" s="847">
        <v>97522</v>
      </c>
      <c r="GZ399" s="847">
        <v>99144</v>
      </c>
      <c r="HA399" s="847">
        <v>100775</v>
      </c>
      <c r="HB399" s="847">
        <v>102412</v>
      </c>
      <c r="HC399" s="847">
        <v>104055</v>
      </c>
      <c r="HD399" s="847">
        <v>105705</v>
      </c>
      <c r="HE399" s="847">
        <v>107359</v>
      </c>
      <c r="HF399" s="847">
        <v>109018</v>
      </c>
      <c r="HG399" s="847">
        <v>110680</v>
      </c>
      <c r="HH399" s="847">
        <v>112347</v>
      </c>
      <c r="HI399" s="847">
        <v>114015</v>
      </c>
      <c r="HJ399" s="847">
        <v>115679</v>
      </c>
      <c r="HK399" s="847">
        <v>117331</v>
      </c>
      <c r="HL399" s="847">
        <v>118978</v>
      </c>
      <c r="HM399" s="847">
        <v>120621</v>
      </c>
      <c r="HN399" s="847">
        <v>122259</v>
      </c>
      <c r="HO399" s="847">
        <v>123890</v>
      </c>
      <c r="HP399" s="847">
        <v>125515</v>
      </c>
      <c r="HQ399" s="847">
        <v>127133</v>
      </c>
      <c r="HR399" s="847">
        <v>128744</v>
      </c>
      <c r="HS399" s="847">
        <v>130346</v>
      </c>
      <c r="HT399" s="847">
        <v>131941</v>
      </c>
      <c r="HU399" s="847">
        <v>133528</v>
      </c>
      <c r="HV399" s="847">
        <v>135107</v>
      </c>
      <c r="HW399" s="847">
        <v>136677</v>
      </c>
      <c r="HX399" s="847">
        <v>138239</v>
      </c>
      <c r="HY399" s="847">
        <v>139794</v>
      </c>
      <c r="HZ399" s="847">
        <v>141339</v>
      </c>
      <c r="IA399" s="847">
        <v>142875</v>
      </c>
      <c r="IB399" s="847">
        <v>144364</v>
      </c>
      <c r="IC399" s="847">
        <v>145800</v>
      </c>
      <c r="ID399" s="847">
        <v>0</v>
      </c>
      <c r="IE399" s="847">
        <v>0</v>
      </c>
      <c r="IF399" s="847">
        <v>0</v>
      </c>
      <c r="IG399" s="847">
        <v>0</v>
      </c>
      <c r="IH399" s="847">
        <v>0</v>
      </c>
      <c r="II399" s="847">
        <v>0</v>
      </c>
      <c r="IJ399" s="847">
        <v>0</v>
      </c>
      <c r="IK399" s="847">
        <v>0</v>
      </c>
    </row>
    <row r="400" spans="12:245" hidden="1">
      <c r="L400" s="843" t="s">
        <v>1060</v>
      </c>
      <c r="M400" s="843" t="s">
        <v>1382</v>
      </c>
      <c r="N400" s="843" t="s">
        <v>97</v>
      </c>
      <c r="O400" s="844">
        <v>9</v>
      </c>
      <c r="P400" s="780" t="str">
        <f t="shared" si="14"/>
        <v>IWT060209</v>
      </c>
      <c r="Q400" s="844">
        <v>2117</v>
      </c>
      <c r="R400" s="844">
        <v>5987</v>
      </c>
      <c r="S400" s="844">
        <v>10405</v>
      </c>
      <c r="T400" s="844">
        <v>15383</v>
      </c>
      <c r="U400" s="844">
        <v>20938</v>
      </c>
      <c r="V400" s="844">
        <v>26816</v>
      </c>
      <c r="W400" s="844">
        <v>27629</v>
      </c>
      <c r="X400" s="844">
        <v>28181</v>
      </c>
      <c r="Y400" s="844">
        <v>28745</v>
      </c>
      <c r="Z400" s="844">
        <v>29320</v>
      </c>
      <c r="AA400" s="844">
        <v>29906</v>
      </c>
      <c r="AB400" s="844">
        <v>30504</v>
      </c>
      <c r="AC400" s="844">
        <v>31114</v>
      </c>
      <c r="AD400" s="844">
        <v>31737</v>
      </c>
      <c r="AE400" s="844">
        <v>32371</v>
      </c>
      <c r="AF400" s="844">
        <v>33019</v>
      </c>
      <c r="AG400" s="844">
        <v>33679</v>
      </c>
      <c r="AH400" s="844">
        <v>34353</v>
      </c>
      <c r="AI400" s="844">
        <v>35040</v>
      </c>
      <c r="AJ400" s="844">
        <v>35741</v>
      </c>
      <c r="AK400" s="844">
        <v>36455</v>
      </c>
      <c r="AL400" s="844">
        <v>37184</v>
      </c>
      <c r="AM400" s="844">
        <v>37928</v>
      </c>
      <c r="AN400" s="844">
        <v>38687</v>
      </c>
      <c r="AO400" s="844">
        <v>39460</v>
      </c>
      <c r="AP400" s="844">
        <v>40250</v>
      </c>
      <c r="AQ400" s="844">
        <v>41055</v>
      </c>
      <c r="AR400" s="844">
        <v>41876</v>
      </c>
      <c r="AS400" s="844">
        <v>42713</v>
      </c>
      <c r="AT400" s="844">
        <v>43567</v>
      </c>
      <c r="AU400" s="844">
        <v>44438</v>
      </c>
      <c r="AV400" s="844">
        <v>45325</v>
      </c>
      <c r="AW400" s="844">
        <v>46230</v>
      </c>
      <c r="AX400" s="844">
        <v>47152</v>
      </c>
      <c r="AY400" s="844">
        <v>48092</v>
      </c>
      <c r="AZ400" s="844">
        <v>49050</v>
      </c>
      <c r="BA400" s="844">
        <v>50026</v>
      </c>
      <c r="BB400" s="844">
        <v>51021</v>
      </c>
      <c r="BC400" s="844">
        <v>52034</v>
      </c>
      <c r="BD400" s="844">
        <v>53067</v>
      </c>
      <c r="BE400" s="844">
        <v>54118</v>
      </c>
      <c r="BF400" s="844">
        <v>55189</v>
      </c>
      <c r="BG400" s="844">
        <v>56279</v>
      </c>
      <c r="BH400" s="844">
        <v>57389</v>
      </c>
      <c r="BI400" s="844">
        <v>58519</v>
      </c>
      <c r="BJ400" s="844">
        <v>59670</v>
      </c>
      <c r="BK400" s="844">
        <v>60842</v>
      </c>
      <c r="BL400" s="844">
        <v>62034</v>
      </c>
      <c r="BM400" s="844">
        <v>63247</v>
      </c>
      <c r="BN400" s="844">
        <v>64481</v>
      </c>
      <c r="BO400" s="844">
        <v>65735</v>
      </c>
      <c r="BP400" s="844">
        <v>67009</v>
      </c>
      <c r="BQ400" s="844">
        <v>68304</v>
      </c>
      <c r="BR400" s="844">
        <v>69620</v>
      </c>
      <c r="BS400" s="844">
        <v>70957</v>
      </c>
      <c r="BT400" s="844">
        <v>72315</v>
      </c>
      <c r="BU400" s="844">
        <v>73693</v>
      </c>
      <c r="BV400" s="844">
        <v>75091</v>
      </c>
      <c r="BW400" s="844">
        <v>76508</v>
      </c>
      <c r="BX400" s="844">
        <v>77943</v>
      </c>
      <c r="BY400" s="844">
        <v>79396</v>
      </c>
      <c r="BZ400" s="844">
        <v>80865</v>
      </c>
      <c r="CA400" s="844">
        <v>82351</v>
      </c>
      <c r="CB400" s="844">
        <v>83853</v>
      </c>
      <c r="CC400" s="844">
        <v>85371</v>
      </c>
      <c r="CD400" s="844">
        <v>86904</v>
      </c>
      <c r="CE400" s="844">
        <v>88450</v>
      </c>
      <c r="CF400" s="844">
        <v>90009</v>
      </c>
      <c r="CG400" s="844">
        <v>91580</v>
      </c>
      <c r="CH400" s="844">
        <v>93162</v>
      </c>
      <c r="CI400" s="844">
        <v>94753</v>
      </c>
      <c r="CJ400" s="844">
        <v>96354</v>
      </c>
      <c r="CK400" s="844">
        <v>97964</v>
      </c>
      <c r="CL400" s="844">
        <v>99582</v>
      </c>
      <c r="CM400" s="844">
        <v>101207</v>
      </c>
      <c r="CN400" s="844">
        <v>102838</v>
      </c>
      <c r="CO400" s="844">
        <v>104477</v>
      </c>
      <c r="CP400" s="844">
        <v>106120</v>
      </c>
      <c r="CQ400" s="844">
        <v>107768</v>
      </c>
      <c r="CR400" s="844">
        <v>109420</v>
      </c>
      <c r="CS400" s="844">
        <v>111076</v>
      </c>
      <c r="CT400" s="844">
        <v>112735</v>
      </c>
      <c r="CU400" s="844">
        <v>114390</v>
      </c>
      <c r="CV400" s="844">
        <v>116033</v>
      </c>
      <c r="CW400" s="844">
        <v>117672</v>
      </c>
      <c r="CX400" s="844">
        <v>119307</v>
      </c>
      <c r="CY400" s="844">
        <v>120937</v>
      </c>
      <c r="CZ400" s="844">
        <v>122561</v>
      </c>
      <c r="DA400" s="844">
        <v>124180</v>
      </c>
      <c r="DB400" s="844">
        <v>125791</v>
      </c>
      <c r="DC400" s="844">
        <v>127396</v>
      </c>
      <c r="DD400" s="844">
        <v>128994</v>
      </c>
      <c r="DE400" s="844">
        <v>130583</v>
      </c>
      <c r="DF400" s="844">
        <v>132166</v>
      </c>
      <c r="DG400" s="844">
        <v>133740</v>
      </c>
      <c r="DH400" s="844">
        <v>135306</v>
      </c>
      <c r="DI400" s="844">
        <v>136865</v>
      </c>
      <c r="DJ400" s="844">
        <v>138415</v>
      </c>
      <c r="DK400" s="844">
        <v>139958</v>
      </c>
      <c r="DL400" s="844">
        <v>141491</v>
      </c>
      <c r="DM400" s="844">
        <v>142977</v>
      </c>
      <c r="DN400" s="844">
        <v>144400</v>
      </c>
      <c r="DO400" s="844">
        <v>0</v>
      </c>
      <c r="DP400" s="844">
        <v>0</v>
      </c>
      <c r="DQ400" s="844">
        <v>0</v>
      </c>
      <c r="DR400" s="844">
        <v>0</v>
      </c>
      <c r="DS400" s="844">
        <v>0</v>
      </c>
      <c r="DT400" s="844">
        <v>0</v>
      </c>
      <c r="DU400" s="844">
        <v>0</v>
      </c>
      <c r="DV400" s="844">
        <v>0</v>
      </c>
      <c r="DW400" s="844">
        <v>0</v>
      </c>
      <c r="DY400" s="846" t="s">
        <v>1060</v>
      </c>
      <c r="DZ400" s="846" t="s">
        <v>1382</v>
      </c>
      <c r="EA400" s="846" t="s">
        <v>97</v>
      </c>
      <c r="EB400" s="847">
        <v>9</v>
      </c>
      <c r="EC400" s="780" t="str">
        <f t="shared" si="15"/>
        <v>IWT060209</v>
      </c>
      <c r="ED400" s="847">
        <v>0</v>
      </c>
      <c r="EE400" s="847">
        <v>2822</v>
      </c>
      <c r="EF400" s="847">
        <v>7484</v>
      </c>
      <c r="EG400" s="847">
        <v>12241</v>
      </c>
      <c r="EH400" s="847">
        <v>17092</v>
      </c>
      <c r="EI400" s="847">
        <v>22040</v>
      </c>
      <c r="EJ400" s="847">
        <v>27087</v>
      </c>
      <c r="EK400" s="847">
        <v>27629</v>
      </c>
      <c r="EL400" s="847">
        <v>28181</v>
      </c>
      <c r="EM400" s="847">
        <v>28745</v>
      </c>
      <c r="EN400" s="847">
        <v>29320</v>
      </c>
      <c r="EO400" s="847">
        <v>29906</v>
      </c>
      <c r="EP400" s="847">
        <v>30504</v>
      </c>
      <c r="EQ400" s="847">
        <v>31114</v>
      </c>
      <c r="ER400" s="847">
        <v>31737</v>
      </c>
      <c r="ES400" s="847">
        <v>32371</v>
      </c>
      <c r="ET400" s="847">
        <v>33019</v>
      </c>
      <c r="EU400" s="847">
        <v>33679</v>
      </c>
      <c r="EV400" s="847">
        <v>34353</v>
      </c>
      <c r="EW400" s="847">
        <v>35040</v>
      </c>
      <c r="EX400" s="847">
        <v>35741</v>
      </c>
      <c r="EY400" s="847">
        <v>36455</v>
      </c>
      <c r="EZ400" s="847">
        <v>37184</v>
      </c>
      <c r="FA400" s="847">
        <v>37928</v>
      </c>
      <c r="FB400" s="847">
        <v>38687</v>
      </c>
      <c r="FC400" s="847">
        <v>39460</v>
      </c>
      <c r="FD400" s="847">
        <v>40250</v>
      </c>
      <c r="FE400" s="847">
        <v>41055</v>
      </c>
      <c r="FF400" s="847">
        <v>41876</v>
      </c>
      <c r="FG400" s="847">
        <v>42713</v>
      </c>
      <c r="FH400" s="847">
        <v>43567</v>
      </c>
      <c r="FI400" s="847">
        <v>44438</v>
      </c>
      <c r="FJ400" s="847">
        <v>45325</v>
      </c>
      <c r="FK400" s="847">
        <v>46230</v>
      </c>
      <c r="FL400" s="847">
        <v>47152</v>
      </c>
      <c r="FM400" s="847">
        <v>48092</v>
      </c>
      <c r="FN400" s="847">
        <v>49050</v>
      </c>
      <c r="FO400" s="847">
        <v>50026</v>
      </c>
      <c r="FP400" s="847">
        <v>51021</v>
      </c>
      <c r="FQ400" s="847">
        <v>52034</v>
      </c>
      <c r="FR400" s="847">
        <v>53067</v>
      </c>
      <c r="FS400" s="847">
        <v>54118</v>
      </c>
      <c r="FT400" s="847">
        <v>55189</v>
      </c>
      <c r="FU400" s="847">
        <v>56279</v>
      </c>
      <c r="FV400" s="847">
        <v>57389</v>
      </c>
      <c r="FW400" s="847">
        <v>58519</v>
      </c>
      <c r="FX400" s="847">
        <v>59670</v>
      </c>
      <c r="FY400" s="847">
        <v>60842</v>
      </c>
      <c r="FZ400" s="847">
        <v>62034</v>
      </c>
      <c r="GA400" s="847">
        <v>63247</v>
      </c>
      <c r="GB400" s="847">
        <v>64481</v>
      </c>
      <c r="GC400" s="847">
        <v>65735</v>
      </c>
      <c r="GD400" s="847">
        <v>67009</v>
      </c>
      <c r="GE400" s="847">
        <v>68304</v>
      </c>
      <c r="GF400" s="847">
        <v>69620</v>
      </c>
      <c r="GG400" s="847">
        <v>70957</v>
      </c>
      <c r="GH400" s="847">
        <v>72315</v>
      </c>
      <c r="GI400" s="847">
        <v>73693</v>
      </c>
      <c r="GJ400" s="847">
        <v>75091</v>
      </c>
      <c r="GK400" s="847">
        <v>76508</v>
      </c>
      <c r="GL400" s="847">
        <v>77943</v>
      </c>
      <c r="GM400" s="847">
        <v>79396</v>
      </c>
      <c r="GN400" s="847">
        <v>80865</v>
      </c>
      <c r="GO400" s="847">
        <v>82351</v>
      </c>
      <c r="GP400" s="847">
        <v>83853</v>
      </c>
      <c r="GQ400" s="847">
        <v>85371</v>
      </c>
      <c r="GR400" s="847">
        <v>86904</v>
      </c>
      <c r="GS400" s="847">
        <v>88450</v>
      </c>
      <c r="GT400" s="847">
        <v>90009</v>
      </c>
      <c r="GU400" s="847">
        <v>91580</v>
      </c>
      <c r="GV400" s="847">
        <v>93162</v>
      </c>
      <c r="GW400" s="847">
        <v>94753</v>
      </c>
      <c r="GX400" s="847">
        <v>96354</v>
      </c>
      <c r="GY400" s="847">
        <v>97964</v>
      </c>
      <c r="GZ400" s="847">
        <v>99582</v>
      </c>
      <c r="HA400" s="847">
        <v>101207</v>
      </c>
      <c r="HB400" s="847">
        <v>102838</v>
      </c>
      <c r="HC400" s="847">
        <v>104477</v>
      </c>
      <c r="HD400" s="847">
        <v>106120</v>
      </c>
      <c r="HE400" s="847">
        <v>107768</v>
      </c>
      <c r="HF400" s="847">
        <v>109420</v>
      </c>
      <c r="HG400" s="847">
        <v>111076</v>
      </c>
      <c r="HH400" s="847">
        <v>112735</v>
      </c>
      <c r="HI400" s="847">
        <v>114390</v>
      </c>
      <c r="HJ400" s="847">
        <v>116033</v>
      </c>
      <c r="HK400" s="847">
        <v>117672</v>
      </c>
      <c r="HL400" s="847">
        <v>119307</v>
      </c>
      <c r="HM400" s="847">
        <v>120937</v>
      </c>
      <c r="HN400" s="847">
        <v>122561</v>
      </c>
      <c r="HO400" s="847">
        <v>124180</v>
      </c>
      <c r="HP400" s="847">
        <v>125791</v>
      </c>
      <c r="HQ400" s="847">
        <v>127396</v>
      </c>
      <c r="HR400" s="847">
        <v>128994</v>
      </c>
      <c r="HS400" s="847">
        <v>130583</v>
      </c>
      <c r="HT400" s="847">
        <v>132166</v>
      </c>
      <c r="HU400" s="847">
        <v>133740</v>
      </c>
      <c r="HV400" s="847">
        <v>135306</v>
      </c>
      <c r="HW400" s="847">
        <v>136865</v>
      </c>
      <c r="HX400" s="847">
        <v>138415</v>
      </c>
      <c r="HY400" s="847">
        <v>139958</v>
      </c>
      <c r="HZ400" s="847">
        <v>141491</v>
      </c>
      <c r="IA400" s="847">
        <v>142977</v>
      </c>
      <c r="IB400" s="847">
        <v>144400</v>
      </c>
      <c r="IC400" s="847">
        <v>0</v>
      </c>
      <c r="ID400" s="847">
        <v>0</v>
      </c>
      <c r="IE400" s="847">
        <v>0</v>
      </c>
      <c r="IF400" s="847">
        <v>0</v>
      </c>
      <c r="IG400" s="847">
        <v>0</v>
      </c>
      <c r="IH400" s="847">
        <v>0</v>
      </c>
      <c r="II400" s="847">
        <v>0</v>
      </c>
      <c r="IJ400" s="847">
        <v>0</v>
      </c>
      <c r="IK400" s="847">
        <v>0</v>
      </c>
    </row>
    <row r="401" spans="12:245" hidden="1">
      <c r="L401" s="843" t="s">
        <v>1060</v>
      </c>
      <c r="M401" s="843" t="s">
        <v>1382</v>
      </c>
      <c r="N401" s="843" t="s">
        <v>97</v>
      </c>
      <c r="O401" s="844">
        <v>10</v>
      </c>
      <c r="P401" s="780" t="str">
        <f t="shared" si="14"/>
        <v>IWT060210</v>
      </c>
      <c r="Q401" s="844">
        <v>2129</v>
      </c>
      <c r="R401" s="844">
        <v>6024</v>
      </c>
      <c r="S401" s="844">
        <v>10469</v>
      </c>
      <c r="T401" s="844">
        <v>15477</v>
      </c>
      <c r="U401" s="844">
        <v>21066</v>
      </c>
      <c r="V401" s="844">
        <v>26981</v>
      </c>
      <c r="W401" s="844">
        <v>27798</v>
      </c>
      <c r="X401" s="844">
        <v>28354</v>
      </c>
      <c r="Y401" s="844">
        <v>28921</v>
      </c>
      <c r="Z401" s="844">
        <v>29500</v>
      </c>
      <c r="AA401" s="844">
        <v>30090</v>
      </c>
      <c r="AB401" s="844">
        <v>30691</v>
      </c>
      <c r="AC401" s="844">
        <v>31305</v>
      </c>
      <c r="AD401" s="844">
        <v>31931</v>
      </c>
      <c r="AE401" s="844">
        <v>32570</v>
      </c>
      <c r="AF401" s="844">
        <v>33221</v>
      </c>
      <c r="AG401" s="844">
        <v>33886</v>
      </c>
      <c r="AH401" s="844">
        <v>34563</v>
      </c>
      <c r="AI401" s="844">
        <v>35255</v>
      </c>
      <c r="AJ401" s="844">
        <v>35960</v>
      </c>
      <c r="AK401" s="844">
        <v>36679</v>
      </c>
      <c r="AL401" s="844">
        <v>37413</v>
      </c>
      <c r="AM401" s="844">
        <v>38161</v>
      </c>
      <c r="AN401" s="844">
        <v>38924</v>
      </c>
      <c r="AO401" s="844">
        <v>39703</v>
      </c>
      <c r="AP401" s="844">
        <v>40497</v>
      </c>
      <c r="AQ401" s="844">
        <v>41306</v>
      </c>
      <c r="AR401" s="844">
        <v>42133</v>
      </c>
      <c r="AS401" s="844">
        <v>42975</v>
      </c>
      <c r="AT401" s="844">
        <v>43835</v>
      </c>
      <c r="AU401" s="844">
        <v>44711</v>
      </c>
      <c r="AV401" s="844">
        <v>45604</v>
      </c>
      <c r="AW401" s="844">
        <v>46514</v>
      </c>
      <c r="AX401" s="844">
        <v>47442</v>
      </c>
      <c r="AY401" s="844">
        <v>48388</v>
      </c>
      <c r="AZ401" s="844">
        <v>49352</v>
      </c>
      <c r="BA401" s="844">
        <v>50334</v>
      </c>
      <c r="BB401" s="844">
        <v>51335</v>
      </c>
      <c r="BC401" s="844">
        <v>52354</v>
      </c>
      <c r="BD401" s="844">
        <v>53393</v>
      </c>
      <c r="BE401" s="844">
        <v>54450</v>
      </c>
      <c r="BF401" s="844">
        <v>55527</v>
      </c>
      <c r="BG401" s="844">
        <v>56624</v>
      </c>
      <c r="BH401" s="844">
        <v>57740</v>
      </c>
      <c r="BI401" s="844">
        <v>58877</v>
      </c>
      <c r="BJ401" s="844">
        <v>60035</v>
      </c>
      <c r="BK401" s="844">
        <v>61213</v>
      </c>
      <c r="BL401" s="844">
        <v>62412</v>
      </c>
      <c r="BM401" s="844">
        <v>63631</v>
      </c>
      <c r="BN401" s="844">
        <v>64870</v>
      </c>
      <c r="BO401" s="844">
        <v>66130</v>
      </c>
      <c r="BP401" s="844">
        <v>67410</v>
      </c>
      <c r="BQ401" s="844">
        <v>68711</v>
      </c>
      <c r="BR401" s="844">
        <v>70034</v>
      </c>
      <c r="BS401" s="844">
        <v>71376</v>
      </c>
      <c r="BT401" s="844">
        <v>72740</v>
      </c>
      <c r="BU401" s="844">
        <v>74122</v>
      </c>
      <c r="BV401" s="844">
        <v>75524</v>
      </c>
      <c r="BW401" s="844">
        <v>76944</v>
      </c>
      <c r="BX401" s="844">
        <v>78382</v>
      </c>
      <c r="BY401" s="844">
        <v>79837</v>
      </c>
      <c r="BZ401" s="844">
        <v>81308</v>
      </c>
      <c r="CA401" s="844">
        <v>82795</v>
      </c>
      <c r="CB401" s="844">
        <v>84299</v>
      </c>
      <c r="CC401" s="844">
        <v>85817</v>
      </c>
      <c r="CD401" s="844">
        <v>87349</v>
      </c>
      <c r="CE401" s="844">
        <v>88894</v>
      </c>
      <c r="CF401" s="844">
        <v>90451</v>
      </c>
      <c r="CG401" s="844">
        <v>92020</v>
      </c>
      <c r="CH401" s="844">
        <v>93598</v>
      </c>
      <c r="CI401" s="844">
        <v>95186</v>
      </c>
      <c r="CJ401" s="844">
        <v>96783</v>
      </c>
      <c r="CK401" s="844">
        <v>98389</v>
      </c>
      <c r="CL401" s="844">
        <v>100002</v>
      </c>
      <c r="CM401" s="844">
        <v>101622</v>
      </c>
      <c r="CN401" s="844">
        <v>103249</v>
      </c>
      <c r="CO401" s="844">
        <v>104881</v>
      </c>
      <c r="CP401" s="844">
        <v>106518</v>
      </c>
      <c r="CQ401" s="844">
        <v>108160</v>
      </c>
      <c r="CR401" s="844">
        <v>109806</v>
      </c>
      <c r="CS401" s="844">
        <v>111454</v>
      </c>
      <c r="CT401" s="844">
        <v>113100</v>
      </c>
      <c r="CU401" s="844">
        <v>114734</v>
      </c>
      <c r="CV401" s="844">
        <v>116365</v>
      </c>
      <c r="CW401" s="844">
        <v>117993</v>
      </c>
      <c r="CX401" s="844">
        <v>119615</v>
      </c>
      <c r="CY401" s="844">
        <v>121233</v>
      </c>
      <c r="CZ401" s="844">
        <v>122844</v>
      </c>
      <c r="DA401" s="844">
        <v>124450</v>
      </c>
      <c r="DB401" s="844">
        <v>126049</v>
      </c>
      <c r="DC401" s="844">
        <v>127641</v>
      </c>
      <c r="DD401" s="844">
        <v>129226</v>
      </c>
      <c r="DE401" s="844">
        <v>130803</v>
      </c>
      <c r="DF401" s="844">
        <v>132373</v>
      </c>
      <c r="DG401" s="844">
        <v>133935</v>
      </c>
      <c r="DH401" s="844">
        <v>135490</v>
      </c>
      <c r="DI401" s="844">
        <v>137037</v>
      </c>
      <c r="DJ401" s="844">
        <v>138577</v>
      </c>
      <c r="DK401" s="844">
        <v>140106</v>
      </c>
      <c r="DL401" s="844">
        <v>141591</v>
      </c>
      <c r="DM401" s="844">
        <v>143000</v>
      </c>
      <c r="DN401" s="844">
        <v>0</v>
      </c>
      <c r="DO401" s="844">
        <v>0</v>
      </c>
      <c r="DP401" s="844">
        <v>0</v>
      </c>
      <c r="DQ401" s="844">
        <v>0</v>
      </c>
      <c r="DR401" s="844">
        <v>0</v>
      </c>
      <c r="DS401" s="844">
        <v>0</v>
      </c>
      <c r="DT401" s="844">
        <v>0</v>
      </c>
      <c r="DU401" s="844">
        <v>0</v>
      </c>
      <c r="DV401" s="844">
        <v>0</v>
      </c>
      <c r="DW401" s="844">
        <v>0</v>
      </c>
      <c r="DY401" s="846" t="s">
        <v>1060</v>
      </c>
      <c r="DZ401" s="846" t="s">
        <v>1382</v>
      </c>
      <c r="EA401" s="846" t="s">
        <v>97</v>
      </c>
      <c r="EB401" s="847">
        <v>10</v>
      </c>
      <c r="EC401" s="780" t="str">
        <f t="shared" si="15"/>
        <v>IWT060210</v>
      </c>
      <c r="ED401" s="847">
        <v>0</v>
      </c>
      <c r="EE401" s="847">
        <v>2839</v>
      </c>
      <c r="EF401" s="847">
        <v>7530</v>
      </c>
      <c r="EG401" s="847">
        <v>12316</v>
      </c>
      <c r="EH401" s="847">
        <v>17197</v>
      </c>
      <c r="EI401" s="847">
        <v>22175</v>
      </c>
      <c r="EJ401" s="847">
        <v>27254</v>
      </c>
      <c r="EK401" s="847">
        <v>27798</v>
      </c>
      <c r="EL401" s="847">
        <v>28354</v>
      </c>
      <c r="EM401" s="847">
        <v>28921</v>
      </c>
      <c r="EN401" s="847">
        <v>29500</v>
      </c>
      <c r="EO401" s="847">
        <v>30090</v>
      </c>
      <c r="EP401" s="847">
        <v>30691</v>
      </c>
      <c r="EQ401" s="847">
        <v>31305</v>
      </c>
      <c r="ER401" s="847">
        <v>31931</v>
      </c>
      <c r="ES401" s="847">
        <v>32570</v>
      </c>
      <c r="ET401" s="847">
        <v>33221</v>
      </c>
      <c r="EU401" s="847">
        <v>33886</v>
      </c>
      <c r="EV401" s="847">
        <v>34563</v>
      </c>
      <c r="EW401" s="847">
        <v>35255</v>
      </c>
      <c r="EX401" s="847">
        <v>35960</v>
      </c>
      <c r="EY401" s="847">
        <v>36679</v>
      </c>
      <c r="EZ401" s="847">
        <v>37413</v>
      </c>
      <c r="FA401" s="847">
        <v>38161</v>
      </c>
      <c r="FB401" s="847">
        <v>38924</v>
      </c>
      <c r="FC401" s="847">
        <v>39703</v>
      </c>
      <c r="FD401" s="847">
        <v>40497</v>
      </c>
      <c r="FE401" s="847">
        <v>41306</v>
      </c>
      <c r="FF401" s="847">
        <v>42133</v>
      </c>
      <c r="FG401" s="847">
        <v>42975</v>
      </c>
      <c r="FH401" s="847">
        <v>43835</v>
      </c>
      <c r="FI401" s="847">
        <v>44711</v>
      </c>
      <c r="FJ401" s="847">
        <v>45604</v>
      </c>
      <c r="FK401" s="847">
        <v>46514</v>
      </c>
      <c r="FL401" s="847">
        <v>47442</v>
      </c>
      <c r="FM401" s="847">
        <v>48388</v>
      </c>
      <c r="FN401" s="847">
        <v>49352</v>
      </c>
      <c r="FO401" s="847">
        <v>50334</v>
      </c>
      <c r="FP401" s="847">
        <v>51335</v>
      </c>
      <c r="FQ401" s="847">
        <v>52354</v>
      </c>
      <c r="FR401" s="847">
        <v>53393</v>
      </c>
      <c r="FS401" s="847">
        <v>54450</v>
      </c>
      <c r="FT401" s="847">
        <v>55527</v>
      </c>
      <c r="FU401" s="847">
        <v>56624</v>
      </c>
      <c r="FV401" s="847">
        <v>57740</v>
      </c>
      <c r="FW401" s="847">
        <v>58877</v>
      </c>
      <c r="FX401" s="847">
        <v>60035</v>
      </c>
      <c r="FY401" s="847">
        <v>61213</v>
      </c>
      <c r="FZ401" s="847">
        <v>62412</v>
      </c>
      <c r="GA401" s="847">
        <v>63631</v>
      </c>
      <c r="GB401" s="847">
        <v>64870</v>
      </c>
      <c r="GC401" s="847">
        <v>66130</v>
      </c>
      <c r="GD401" s="847">
        <v>67410</v>
      </c>
      <c r="GE401" s="847">
        <v>68711</v>
      </c>
      <c r="GF401" s="847">
        <v>70034</v>
      </c>
      <c r="GG401" s="847">
        <v>71376</v>
      </c>
      <c r="GH401" s="847">
        <v>72740</v>
      </c>
      <c r="GI401" s="847">
        <v>74122</v>
      </c>
      <c r="GJ401" s="847">
        <v>75524</v>
      </c>
      <c r="GK401" s="847">
        <v>76944</v>
      </c>
      <c r="GL401" s="847">
        <v>78382</v>
      </c>
      <c r="GM401" s="847">
        <v>79837</v>
      </c>
      <c r="GN401" s="847">
        <v>81308</v>
      </c>
      <c r="GO401" s="847">
        <v>82795</v>
      </c>
      <c r="GP401" s="847">
        <v>84299</v>
      </c>
      <c r="GQ401" s="847">
        <v>85817</v>
      </c>
      <c r="GR401" s="847">
        <v>87349</v>
      </c>
      <c r="GS401" s="847">
        <v>88894</v>
      </c>
      <c r="GT401" s="847">
        <v>90451</v>
      </c>
      <c r="GU401" s="847">
        <v>92020</v>
      </c>
      <c r="GV401" s="847">
        <v>93598</v>
      </c>
      <c r="GW401" s="847">
        <v>95186</v>
      </c>
      <c r="GX401" s="847">
        <v>96783</v>
      </c>
      <c r="GY401" s="847">
        <v>98389</v>
      </c>
      <c r="GZ401" s="847">
        <v>100002</v>
      </c>
      <c r="HA401" s="847">
        <v>101622</v>
      </c>
      <c r="HB401" s="847">
        <v>103249</v>
      </c>
      <c r="HC401" s="847">
        <v>104881</v>
      </c>
      <c r="HD401" s="847">
        <v>106518</v>
      </c>
      <c r="HE401" s="847">
        <v>108160</v>
      </c>
      <c r="HF401" s="847">
        <v>109806</v>
      </c>
      <c r="HG401" s="847">
        <v>111454</v>
      </c>
      <c r="HH401" s="847">
        <v>113100</v>
      </c>
      <c r="HI401" s="847">
        <v>114734</v>
      </c>
      <c r="HJ401" s="847">
        <v>116365</v>
      </c>
      <c r="HK401" s="847">
        <v>117993</v>
      </c>
      <c r="HL401" s="847">
        <v>119615</v>
      </c>
      <c r="HM401" s="847">
        <v>121233</v>
      </c>
      <c r="HN401" s="847">
        <v>122844</v>
      </c>
      <c r="HO401" s="847">
        <v>124450</v>
      </c>
      <c r="HP401" s="847">
        <v>126049</v>
      </c>
      <c r="HQ401" s="847">
        <v>127641</v>
      </c>
      <c r="HR401" s="847">
        <v>129226</v>
      </c>
      <c r="HS401" s="847">
        <v>130803</v>
      </c>
      <c r="HT401" s="847">
        <v>132373</v>
      </c>
      <c r="HU401" s="847">
        <v>133935</v>
      </c>
      <c r="HV401" s="847">
        <v>135490</v>
      </c>
      <c r="HW401" s="847">
        <v>137037</v>
      </c>
      <c r="HX401" s="847">
        <v>138577</v>
      </c>
      <c r="HY401" s="847">
        <v>140106</v>
      </c>
      <c r="HZ401" s="847">
        <v>141591</v>
      </c>
      <c r="IA401" s="847">
        <v>143000</v>
      </c>
      <c r="IB401" s="847">
        <v>0</v>
      </c>
      <c r="IC401" s="847">
        <v>0</v>
      </c>
      <c r="ID401" s="847">
        <v>0</v>
      </c>
      <c r="IE401" s="847">
        <v>0</v>
      </c>
      <c r="IF401" s="847">
        <v>0</v>
      </c>
      <c r="IG401" s="847">
        <v>0</v>
      </c>
      <c r="IH401" s="847">
        <v>0</v>
      </c>
      <c r="II401" s="847">
        <v>0</v>
      </c>
      <c r="IJ401" s="847">
        <v>0</v>
      </c>
      <c r="IK401" s="847">
        <v>0</v>
      </c>
    </row>
    <row r="402" spans="12:245" hidden="1">
      <c r="L402" s="843" t="s">
        <v>1060</v>
      </c>
      <c r="M402" s="843" t="s">
        <v>1382</v>
      </c>
      <c r="N402" s="843" t="s">
        <v>97</v>
      </c>
      <c r="O402" s="844">
        <v>11</v>
      </c>
      <c r="P402" s="780" t="str">
        <f t="shared" si="14"/>
        <v>IWT060211</v>
      </c>
      <c r="Q402" s="844">
        <v>2142</v>
      </c>
      <c r="R402" s="844">
        <v>6060</v>
      </c>
      <c r="S402" s="844">
        <v>10531</v>
      </c>
      <c r="T402" s="844">
        <v>15569</v>
      </c>
      <c r="U402" s="844">
        <v>21193</v>
      </c>
      <c r="V402" s="844">
        <v>27142</v>
      </c>
      <c r="W402" s="844">
        <v>27964</v>
      </c>
      <c r="X402" s="844">
        <v>28523</v>
      </c>
      <c r="Y402" s="844">
        <v>29094</v>
      </c>
      <c r="Z402" s="844">
        <v>29675</v>
      </c>
      <c r="AA402" s="844">
        <v>30269</v>
      </c>
      <c r="AB402" s="844">
        <v>30874</v>
      </c>
      <c r="AC402" s="844">
        <v>31492</v>
      </c>
      <c r="AD402" s="844">
        <v>32122</v>
      </c>
      <c r="AE402" s="844">
        <v>32764</v>
      </c>
      <c r="AF402" s="844">
        <v>33419</v>
      </c>
      <c r="AG402" s="844">
        <v>34088</v>
      </c>
      <c r="AH402" s="844">
        <v>34770</v>
      </c>
      <c r="AI402" s="844">
        <v>35465</v>
      </c>
      <c r="AJ402" s="844">
        <v>36174</v>
      </c>
      <c r="AK402" s="844">
        <v>36898</v>
      </c>
      <c r="AL402" s="844">
        <v>37636</v>
      </c>
      <c r="AM402" s="844">
        <v>38388</v>
      </c>
      <c r="AN402" s="844">
        <v>39156</v>
      </c>
      <c r="AO402" s="844">
        <v>39939</v>
      </c>
      <c r="AP402" s="844">
        <v>40738</v>
      </c>
      <c r="AQ402" s="844">
        <v>41553</v>
      </c>
      <c r="AR402" s="844">
        <v>42384</v>
      </c>
      <c r="AS402" s="844">
        <v>43232</v>
      </c>
      <c r="AT402" s="844">
        <v>44096</v>
      </c>
      <c r="AU402" s="844">
        <v>44978</v>
      </c>
      <c r="AV402" s="844">
        <v>45876</v>
      </c>
      <c r="AW402" s="844">
        <v>46792</v>
      </c>
      <c r="AX402" s="844">
        <v>47726</v>
      </c>
      <c r="AY402" s="844">
        <v>48677</v>
      </c>
      <c r="AZ402" s="844">
        <v>49647</v>
      </c>
      <c r="BA402" s="844">
        <v>50635</v>
      </c>
      <c r="BB402" s="844">
        <v>51642</v>
      </c>
      <c r="BC402" s="844">
        <v>52667</v>
      </c>
      <c r="BD402" s="844">
        <v>53712</v>
      </c>
      <c r="BE402" s="844">
        <v>54775</v>
      </c>
      <c r="BF402" s="844">
        <v>55858</v>
      </c>
      <c r="BG402" s="844">
        <v>56961</v>
      </c>
      <c r="BH402" s="844">
        <v>58084</v>
      </c>
      <c r="BI402" s="844">
        <v>59228</v>
      </c>
      <c r="BJ402" s="844">
        <v>60392</v>
      </c>
      <c r="BK402" s="844">
        <v>61576</v>
      </c>
      <c r="BL402" s="844">
        <v>62781</v>
      </c>
      <c r="BM402" s="844">
        <v>64006</v>
      </c>
      <c r="BN402" s="844">
        <v>65251</v>
      </c>
      <c r="BO402" s="844">
        <v>66516</v>
      </c>
      <c r="BP402" s="844">
        <v>67803</v>
      </c>
      <c r="BQ402" s="844">
        <v>69110</v>
      </c>
      <c r="BR402" s="844">
        <v>70438</v>
      </c>
      <c r="BS402" s="844">
        <v>71786</v>
      </c>
      <c r="BT402" s="844">
        <v>73154</v>
      </c>
      <c r="BU402" s="844">
        <v>74540</v>
      </c>
      <c r="BV402" s="844">
        <v>75945</v>
      </c>
      <c r="BW402" s="844">
        <v>77368</v>
      </c>
      <c r="BX402" s="844">
        <v>78808</v>
      </c>
      <c r="BY402" s="844">
        <v>80264</v>
      </c>
      <c r="BZ402" s="844">
        <v>81737</v>
      </c>
      <c r="CA402" s="844">
        <v>83226</v>
      </c>
      <c r="CB402" s="844">
        <v>84730</v>
      </c>
      <c r="CC402" s="844">
        <v>86248</v>
      </c>
      <c r="CD402" s="844">
        <v>87779</v>
      </c>
      <c r="CE402" s="844">
        <v>89323</v>
      </c>
      <c r="CF402" s="844">
        <v>90877</v>
      </c>
      <c r="CG402" s="844">
        <v>92443</v>
      </c>
      <c r="CH402" s="844">
        <v>94018</v>
      </c>
      <c r="CI402" s="844">
        <v>95602</v>
      </c>
      <c r="CJ402" s="844">
        <v>97196</v>
      </c>
      <c r="CK402" s="844">
        <v>98797</v>
      </c>
      <c r="CL402" s="844">
        <v>100405</v>
      </c>
      <c r="CM402" s="844">
        <v>102021</v>
      </c>
      <c r="CN402" s="844">
        <v>103641</v>
      </c>
      <c r="CO402" s="844">
        <v>105268</v>
      </c>
      <c r="CP402" s="844">
        <v>106899</v>
      </c>
      <c r="CQ402" s="844">
        <v>108535</v>
      </c>
      <c r="CR402" s="844">
        <v>110174</v>
      </c>
      <c r="CS402" s="844">
        <v>111811</v>
      </c>
      <c r="CT402" s="844">
        <v>113436</v>
      </c>
      <c r="CU402" s="844">
        <v>115059</v>
      </c>
      <c r="CV402" s="844">
        <v>116678</v>
      </c>
      <c r="CW402" s="844">
        <v>118293</v>
      </c>
      <c r="CX402" s="844">
        <v>119904</v>
      </c>
      <c r="CY402" s="844">
        <v>121509</v>
      </c>
      <c r="CZ402" s="844">
        <v>123108</v>
      </c>
      <c r="DA402" s="844">
        <v>124702</v>
      </c>
      <c r="DB402" s="844">
        <v>126288</v>
      </c>
      <c r="DC402" s="844">
        <v>127868</v>
      </c>
      <c r="DD402" s="844">
        <v>129441</v>
      </c>
      <c r="DE402" s="844">
        <v>131006</v>
      </c>
      <c r="DF402" s="844">
        <v>132564</v>
      </c>
      <c r="DG402" s="844">
        <v>134115</v>
      </c>
      <c r="DH402" s="844">
        <v>135659</v>
      </c>
      <c r="DI402" s="844">
        <v>137195</v>
      </c>
      <c r="DJ402" s="844">
        <v>138722</v>
      </c>
      <c r="DK402" s="844">
        <v>140205</v>
      </c>
      <c r="DL402" s="844">
        <v>141600</v>
      </c>
      <c r="DM402" s="844">
        <v>0</v>
      </c>
      <c r="DN402" s="844">
        <v>0</v>
      </c>
      <c r="DO402" s="844">
        <v>0</v>
      </c>
      <c r="DP402" s="844">
        <v>0</v>
      </c>
      <c r="DQ402" s="844">
        <v>0</v>
      </c>
      <c r="DR402" s="844">
        <v>0</v>
      </c>
      <c r="DS402" s="844">
        <v>0</v>
      </c>
      <c r="DT402" s="844">
        <v>0</v>
      </c>
      <c r="DU402" s="844">
        <v>0</v>
      </c>
      <c r="DV402" s="844">
        <v>0</v>
      </c>
      <c r="DW402" s="844">
        <v>0</v>
      </c>
      <c r="DY402" s="846" t="s">
        <v>1060</v>
      </c>
      <c r="DZ402" s="846" t="s">
        <v>1382</v>
      </c>
      <c r="EA402" s="846" t="s">
        <v>97</v>
      </c>
      <c r="EB402" s="847">
        <v>11</v>
      </c>
      <c r="EC402" s="780" t="str">
        <f t="shared" si="15"/>
        <v>IWT060211</v>
      </c>
      <c r="ED402" s="847">
        <v>0</v>
      </c>
      <c r="EE402" s="847">
        <v>2856</v>
      </c>
      <c r="EF402" s="847">
        <v>7575</v>
      </c>
      <c r="EG402" s="847">
        <v>12389</v>
      </c>
      <c r="EH402" s="847">
        <v>17299</v>
      </c>
      <c r="EI402" s="847">
        <v>22308</v>
      </c>
      <c r="EJ402" s="847">
        <v>27416</v>
      </c>
      <c r="EK402" s="847">
        <v>27964</v>
      </c>
      <c r="EL402" s="847">
        <v>28523</v>
      </c>
      <c r="EM402" s="847">
        <v>29094</v>
      </c>
      <c r="EN402" s="847">
        <v>29675</v>
      </c>
      <c r="EO402" s="847">
        <v>30269</v>
      </c>
      <c r="EP402" s="847">
        <v>30874</v>
      </c>
      <c r="EQ402" s="847">
        <v>31492</v>
      </c>
      <c r="ER402" s="847">
        <v>32122</v>
      </c>
      <c r="ES402" s="847">
        <v>32764</v>
      </c>
      <c r="ET402" s="847">
        <v>33419</v>
      </c>
      <c r="EU402" s="847">
        <v>34088</v>
      </c>
      <c r="EV402" s="847">
        <v>34770</v>
      </c>
      <c r="EW402" s="847">
        <v>35465</v>
      </c>
      <c r="EX402" s="847">
        <v>36174</v>
      </c>
      <c r="EY402" s="847">
        <v>36898</v>
      </c>
      <c r="EZ402" s="847">
        <v>37636</v>
      </c>
      <c r="FA402" s="847">
        <v>38388</v>
      </c>
      <c r="FB402" s="847">
        <v>39156</v>
      </c>
      <c r="FC402" s="847">
        <v>39939</v>
      </c>
      <c r="FD402" s="847">
        <v>40738</v>
      </c>
      <c r="FE402" s="847">
        <v>41553</v>
      </c>
      <c r="FF402" s="847">
        <v>42384</v>
      </c>
      <c r="FG402" s="847">
        <v>43232</v>
      </c>
      <c r="FH402" s="847">
        <v>44096</v>
      </c>
      <c r="FI402" s="847">
        <v>44978</v>
      </c>
      <c r="FJ402" s="847">
        <v>45876</v>
      </c>
      <c r="FK402" s="847">
        <v>46792</v>
      </c>
      <c r="FL402" s="847">
        <v>47726</v>
      </c>
      <c r="FM402" s="847">
        <v>48677</v>
      </c>
      <c r="FN402" s="847">
        <v>49647</v>
      </c>
      <c r="FO402" s="847">
        <v>50635</v>
      </c>
      <c r="FP402" s="847">
        <v>51642</v>
      </c>
      <c r="FQ402" s="847">
        <v>52667</v>
      </c>
      <c r="FR402" s="847">
        <v>53712</v>
      </c>
      <c r="FS402" s="847">
        <v>54775</v>
      </c>
      <c r="FT402" s="847">
        <v>55858</v>
      </c>
      <c r="FU402" s="847">
        <v>56961</v>
      </c>
      <c r="FV402" s="847">
        <v>58084</v>
      </c>
      <c r="FW402" s="847">
        <v>59228</v>
      </c>
      <c r="FX402" s="847">
        <v>60392</v>
      </c>
      <c r="FY402" s="847">
        <v>61576</v>
      </c>
      <c r="FZ402" s="847">
        <v>62781</v>
      </c>
      <c r="GA402" s="847">
        <v>64006</v>
      </c>
      <c r="GB402" s="847">
        <v>65251</v>
      </c>
      <c r="GC402" s="847">
        <v>66516</v>
      </c>
      <c r="GD402" s="847">
        <v>67803</v>
      </c>
      <c r="GE402" s="847">
        <v>69110</v>
      </c>
      <c r="GF402" s="847">
        <v>70438</v>
      </c>
      <c r="GG402" s="847">
        <v>71786</v>
      </c>
      <c r="GH402" s="847">
        <v>73154</v>
      </c>
      <c r="GI402" s="847">
        <v>74540</v>
      </c>
      <c r="GJ402" s="847">
        <v>75945</v>
      </c>
      <c r="GK402" s="847">
        <v>77368</v>
      </c>
      <c r="GL402" s="847">
        <v>78808</v>
      </c>
      <c r="GM402" s="847">
        <v>80264</v>
      </c>
      <c r="GN402" s="847">
        <v>81737</v>
      </c>
      <c r="GO402" s="847">
        <v>83226</v>
      </c>
      <c r="GP402" s="847">
        <v>84730</v>
      </c>
      <c r="GQ402" s="847">
        <v>86248</v>
      </c>
      <c r="GR402" s="847">
        <v>87779</v>
      </c>
      <c r="GS402" s="847">
        <v>89323</v>
      </c>
      <c r="GT402" s="847">
        <v>90877</v>
      </c>
      <c r="GU402" s="847">
        <v>92443</v>
      </c>
      <c r="GV402" s="847">
        <v>94018</v>
      </c>
      <c r="GW402" s="847">
        <v>95602</v>
      </c>
      <c r="GX402" s="847">
        <v>97196</v>
      </c>
      <c r="GY402" s="847">
        <v>98797</v>
      </c>
      <c r="GZ402" s="847">
        <v>100405</v>
      </c>
      <c r="HA402" s="847">
        <v>102021</v>
      </c>
      <c r="HB402" s="847">
        <v>103641</v>
      </c>
      <c r="HC402" s="847">
        <v>105268</v>
      </c>
      <c r="HD402" s="847">
        <v>106899</v>
      </c>
      <c r="HE402" s="847">
        <v>108535</v>
      </c>
      <c r="HF402" s="847">
        <v>110174</v>
      </c>
      <c r="HG402" s="847">
        <v>111811</v>
      </c>
      <c r="HH402" s="847">
        <v>113436</v>
      </c>
      <c r="HI402" s="847">
        <v>115059</v>
      </c>
      <c r="HJ402" s="847">
        <v>116678</v>
      </c>
      <c r="HK402" s="847">
        <v>118293</v>
      </c>
      <c r="HL402" s="847">
        <v>119904</v>
      </c>
      <c r="HM402" s="847">
        <v>121509</v>
      </c>
      <c r="HN402" s="847">
        <v>123108</v>
      </c>
      <c r="HO402" s="847">
        <v>124702</v>
      </c>
      <c r="HP402" s="847">
        <v>126288</v>
      </c>
      <c r="HQ402" s="847">
        <v>127868</v>
      </c>
      <c r="HR402" s="847">
        <v>129441</v>
      </c>
      <c r="HS402" s="847">
        <v>131006</v>
      </c>
      <c r="HT402" s="847">
        <v>132564</v>
      </c>
      <c r="HU402" s="847">
        <v>134115</v>
      </c>
      <c r="HV402" s="847">
        <v>135659</v>
      </c>
      <c r="HW402" s="847">
        <v>137195</v>
      </c>
      <c r="HX402" s="847">
        <v>138722</v>
      </c>
      <c r="HY402" s="847">
        <v>140205</v>
      </c>
      <c r="HZ402" s="847">
        <v>141600</v>
      </c>
      <c r="IA402" s="847">
        <v>0</v>
      </c>
      <c r="IB402" s="847">
        <v>0</v>
      </c>
      <c r="IC402" s="847">
        <v>0</v>
      </c>
      <c r="ID402" s="847">
        <v>0</v>
      </c>
      <c r="IE402" s="847">
        <v>0</v>
      </c>
      <c r="IF402" s="847">
        <v>0</v>
      </c>
      <c r="IG402" s="847">
        <v>0</v>
      </c>
      <c r="IH402" s="847">
        <v>0</v>
      </c>
      <c r="II402" s="847">
        <v>0</v>
      </c>
      <c r="IJ402" s="847">
        <v>0</v>
      </c>
      <c r="IK402" s="847">
        <v>0</v>
      </c>
    </row>
    <row r="403" spans="12:245" hidden="1">
      <c r="L403" s="843" t="s">
        <v>1060</v>
      </c>
      <c r="M403" s="843" t="s">
        <v>1382</v>
      </c>
      <c r="N403" s="843" t="s">
        <v>97</v>
      </c>
      <c r="O403" s="844">
        <v>12</v>
      </c>
      <c r="P403" s="780" t="str">
        <f t="shared" si="14"/>
        <v>IWT060212</v>
      </c>
      <c r="Q403" s="844">
        <v>2154</v>
      </c>
      <c r="R403" s="844">
        <v>6095</v>
      </c>
      <c r="S403" s="844">
        <v>10592</v>
      </c>
      <c r="T403" s="844">
        <v>15660</v>
      </c>
      <c r="U403" s="844">
        <v>21315</v>
      </c>
      <c r="V403" s="844">
        <v>27299</v>
      </c>
      <c r="W403" s="844">
        <v>28126</v>
      </c>
      <c r="X403" s="844">
        <v>28688</v>
      </c>
      <c r="Y403" s="844">
        <v>29262</v>
      </c>
      <c r="Z403" s="844">
        <v>29847</v>
      </c>
      <c r="AA403" s="844">
        <v>30444</v>
      </c>
      <c r="AB403" s="844">
        <v>31053</v>
      </c>
      <c r="AC403" s="844">
        <v>31674</v>
      </c>
      <c r="AD403" s="844">
        <v>32308</v>
      </c>
      <c r="AE403" s="844">
        <v>32954</v>
      </c>
      <c r="AF403" s="844">
        <v>33613</v>
      </c>
      <c r="AG403" s="844">
        <v>34285</v>
      </c>
      <c r="AH403" s="844">
        <v>34971</v>
      </c>
      <c r="AI403" s="844">
        <v>35670</v>
      </c>
      <c r="AJ403" s="844">
        <v>36384</v>
      </c>
      <c r="AK403" s="844">
        <v>37111</v>
      </c>
      <c r="AL403" s="844">
        <v>37854</v>
      </c>
      <c r="AM403" s="844">
        <v>38611</v>
      </c>
      <c r="AN403" s="844">
        <v>39383</v>
      </c>
      <c r="AO403" s="844">
        <v>40171</v>
      </c>
      <c r="AP403" s="844">
        <v>40974</v>
      </c>
      <c r="AQ403" s="844">
        <v>41793</v>
      </c>
      <c r="AR403" s="844">
        <v>42629</v>
      </c>
      <c r="AS403" s="844">
        <v>43482</v>
      </c>
      <c r="AT403" s="844">
        <v>44352</v>
      </c>
      <c r="AU403" s="844">
        <v>45238</v>
      </c>
      <c r="AV403" s="844">
        <v>46142</v>
      </c>
      <c r="AW403" s="844">
        <v>47064</v>
      </c>
      <c r="AX403" s="844">
        <v>48003</v>
      </c>
      <c r="AY403" s="844">
        <v>48960</v>
      </c>
      <c r="AZ403" s="844">
        <v>49936</v>
      </c>
      <c r="BA403" s="844">
        <v>50929</v>
      </c>
      <c r="BB403" s="844">
        <v>51942</v>
      </c>
      <c r="BC403" s="844">
        <v>52973</v>
      </c>
      <c r="BD403" s="844">
        <v>54023</v>
      </c>
      <c r="BE403" s="844">
        <v>55093</v>
      </c>
      <c r="BF403" s="844">
        <v>56182</v>
      </c>
      <c r="BG403" s="844">
        <v>57292</v>
      </c>
      <c r="BH403" s="844">
        <v>58421</v>
      </c>
      <c r="BI403" s="844">
        <v>59571</v>
      </c>
      <c r="BJ403" s="844">
        <v>60741</v>
      </c>
      <c r="BK403" s="844">
        <v>61931</v>
      </c>
      <c r="BL403" s="844">
        <v>63142</v>
      </c>
      <c r="BM403" s="844">
        <v>64372</v>
      </c>
      <c r="BN403" s="844">
        <v>65623</v>
      </c>
      <c r="BO403" s="844">
        <v>66894</v>
      </c>
      <c r="BP403" s="844">
        <v>68186</v>
      </c>
      <c r="BQ403" s="844">
        <v>69499</v>
      </c>
      <c r="BR403" s="844">
        <v>70832</v>
      </c>
      <c r="BS403" s="844">
        <v>72185</v>
      </c>
      <c r="BT403" s="844">
        <v>73557</v>
      </c>
      <c r="BU403" s="844">
        <v>74947</v>
      </c>
      <c r="BV403" s="844">
        <v>76354</v>
      </c>
      <c r="BW403" s="844">
        <v>77779</v>
      </c>
      <c r="BX403" s="844">
        <v>79221</v>
      </c>
      <c r="BY403" s="844">
        <v>80679</v>
      </c>
      <c r="BZ403" s="844">
        <v>82154</v>
      </c>
      <c r="CA403" s="844">
        <v>83643</v>
      </c>
      <c r="CB403" s="844">
        <v>85147</v>
      </c>
      <c r="CC403" s="844">
        <v>86664</v>
      </c>
      <c r="CD403" s="844">
        <v>88194</v>
      </c>
      <c r="CE403" s="844">
        <v>89735</v>
      </c>
      <c r="CF403" s="844">
        <v>91287</v>
      </c>
      <c r="CG403" s="844">
        <v>92850</v>
      </c>
      <c r="CH403" s="844">
        <v>94422</v>
      </c>
      <c r="CI403" s="844">
        <v>96003</v>
      </c>
      <c r="CJ403" s="844">
        <v>97592</v>
      </c>
      <c r="CK403" s="844">
        <v>99188</v>
      </c>
      <c r="CL403" s="844">
        <v>100792</v>
      </c>
      <c r="CM403" s="844">
        <v>102402</v>
      </c>
      <c r="CN403" s="844">
        <v>104018</v>
      </c>
      <c r="CO403" s="844">
        <v>105639</v>
      </c>
      <c r="CP403" s="844">
        <v>107265</v>
      </c>
      <c r="CQ403" s="844">
        <v>108894</v>
      </c>
      <c r="CR403" s="844">
        <v>110521</v>
      </c>
      <c r="CS403" s="844">
        <v>112138</v>
      </c>
      <c r="CT403" s="844">
        <v>113752</v>
      </c>
      <c r="CU403" s="844">
        <v>115364</v>
      </c>
      <c r="CV403" s="844">
        <v>116972</v>
      </c>
      <c r="CW403" s="844">
        <v>118575</v>
      </c>
      <c r="CX403" s="844">
        <v>120174</v>
      </c>
      <c r="CY403" s="844">
        <v>121767</v>
      </c>
      <c r="CZ403" s="844">
        <v>123354</v>
      </c>
      <c r="DA403" s="844">
        <v>124935</v>
      </c>
      <c r="DB403" s="844">
        <v>126510</v>
      </c>
      <c r="DC403" s="844">
        <v>128078</v>
      </c>
      <c r="DD403" s="844">
        <v>129639</v>
      </c>
      <c r="DE403" s="844">
        <v>131193</v>
      </c>
      <c r="DF403" s="844">
        <v>132741</v>
      </c>
      <c r="DG403" s="844">
        <v>134281</v>
      </c>
      <c r="DH403" s="844">
        <v>135814</v>
      </c>
      <c r="DI403" s="844">
        <v>137338</v>
      </c>
      <c r="DJ403" s="844">
        <v>138819</v>
      </c>
      <c r="DK403" s="844">
        <v>140200</v>
      </c>
      <c r="DL403" s="844">
        <v>0</v>
      </c>
      <c r="DM403" s="844">
        <v>0</v>
      </c>
      <c r="DN403" s="844">
        <v>0</v>
      </c>
      <c r="DO403" s="844">
        <v>0</v>
      </c>
      <c r="DP403" s="844">
        <v>0</v>
      </c>
      <c r="DQ403" s="844">
        <v>0</v>
      </c>
      <c r="DR403" s="844">
        <v>0</v>
      </c>
      <c r="DS403" s="844">
        <v>0</v>
      </c>
      <c r="DT403" s="844">
        <v>0</v>
      </c>
      <c r="DU403" s="844">
        <v>0</v>
      </c>
      <c r="DV403" s="844">
        <v>0</v>
      </c>
      <c r="DW403" s="844">
        <v>0</v>
      </c>
      <c r="DY403" s="846" t="s">
        <v>1060</v>
      </c>
      <c r="DZ403" s="846" t="s">
        <v>1382</v>
      </c>
      <c r="EA403" s="846" t="s">
        <v>97</v>
      </c>
      <c r="EB403" s="847">
        <v>12</v>
      </c>
      <c r="EC403" s="780" t="str">
        <f t="shared" si="15"/>
        <v>IWT060212</v>
      </c>
      <c r="ED403" s="847">
        <v>0</v>
      </c>
      <c r="EE403" s="847">
        <v>2872</v>
      </c>
      <c r="EF403" s="847">
        <v>7619</v>
      </c>
      <c r="EG403" s="847">
        <v>12461</v>
      </c>
      <c r="EH403" s="847">
        <v>17400</v>
      </c>
      <c r="EI403" s="847">
        <v>22437</v>
      </c>
      <c r="EJ403" s="847">
        <v>27575</v>
      </c>
      <c r="EK403" s="847">
        <v>28126</v>
      </c>
      <c r="EL403" s="847">
        <v>28688</v>
      </c>
      <c r="EM403" s="847">
        <v>29262</v>
      </c>
      <c r="EN403" s="847">
        <v>29847</v>
      </c>
      <c r="EO403" s="847">
        <v>30444</v>
      </c>
      <c r="EP403" s="847">
        <v>31053</v>
      </c>
      <c r="EQ403" s="847">
        <v>31674</v>
      </c>
      <c r="ER403" s="847">
        <v>32308</v>
      </c>
      <c r="ES403" s="847">
        <v>32954</v>
      </c>
      <c r="ET403" s="847">
        <v>33613</v>
      </c>
      <c r="EU403" s="847">
        <v>34285</v>
      </c>
      <c r="EV403" s="847">
        <v>34971</v>
      </c>
      <c r="EW403" s="847">
        <v>35670</v>
      </c>
      <c r="EX403" s="847">
        <v>36384</v>
      </c>
      <c r="EY403" s="847">
        <v>37111</v>
      </c>
      <c r="EZ403" s="847">
        <v>37854</v>
      </c>
      <c r="FA403" s="847">
        <v>38611</v>
      </c>
      <c r="FB403" s="847">
        <v>39383</v>
      </c>
      <c r="FC403" s="847">
        <v>40171</v>
      </c>
      <c r="FD403" s="847">
        <v>40974</v>
      </c>
      <c r="FE403" s="847">
        <v>41793</v>
      </c>
      <c r="FF403" s="847">
        <v>42629</v>
      </c>
      <c r="FG403" s="847">
        <v>43482</v>
      </c>
      <c r="FH403" s="847">
        <v>44352</v>
      </c>
      <c r="FI403" s="847">
        <v>45238</v>
      </c>
      <c r="FJ403" s="847">
        <v>46142</v>
      </c>
      <c r="FK403" s="847">
        <v>47064</v>
      </c>
      <c r="FL403" s="847">
        <v>48003</v>
      </c>
      <c r="FM403" s="847">
        <v>48960</v>
      </c>
      <c r="FN403" s="847">
        <v>49936</v>
      </c>
      <c r="FO403" s="847">
        <v>50929</v>
      </c>
      <c r="FP403" s="847">
        <v>51942</v>
      </c>
      <c r="FQ403" s="847">
        <v>52973</v>
      </c>
      <c r="FR403" s="847">
        <v>54023</v>
      </c>
      <c r="FS403" s="847">
        <v>55093</v>
      </c>
      <c r="FT403" s="847">
        <v>56182</v>
      </c>
      <c r="FU403" s="847">
        <v>57292</v>
      </c>
      <c r="FV403" s="847">
        <v>58421</v>
      </c>
      <c r="FW403" s="847">
        <v>59571</v>
      </c>
      <c r="FX403" s="847">
        <v>60741</v>
      </c>
      <c r="FY403" s="847">
        <v>61931</v>
      </c>
      <c r="FZ403" s="847">
        <v>63142</v>
      </c>
      <c r="GA403" s="847">
        <v>64372</v>
      </c>
      <c r="GB403" s="847">
        <v>65623</v>
      </c>
      <c r="GC403" s="847">
        <v>66894</v>
      </c>
      <c r="GD403" s="847">
        <v>68186</v>
      </c>
      <c r="GE403" s="847">
        <v>69499</v>
      </c>
      <c r="GF403" s="847">
        <v>70832</v>
      </c>
      <c r="GG403" s="847">
        <v>72185</v>
      </c>
      <c r="GH403" s="847">
        <v>73557</v>
      </c>
      <c r="GI403" s="847">
        <v>74947</v>
      </c>
      <c r="GJ403" s="847">
        <v>76354</v>
      </c>
      <c r="GK403" s="847">
        <v>77779</v>
      </c>
      <c r="GL403" s="847">
        <v>79221</v>
      </c>
      <c r="GM403" s="847">
        <v>80679</v>
      </c>
      <c r="GN403" s="847">
        <v>82154</v>
      </c>
      <c r="GO403" s="847">
        <v>83643</v>
      </c>
      <c r="GP403" s="847">
        <v>85147</v>
      </c>
      <c r="GQ403" s="847">
        <v>86664</v>
      </c>
      <c r="GR403" s="847">
        <v>88194</v>
      </c>
      <c r="GS403" s="847">
        <v>89735</v>
      </c>
      <c r="GT403" s="847">
        <v>91287</v>
      </c>
      <c r="GU403" s="847">
        <v>92850</v>
      </c>
      <c r="GV403" s="847">
        <v>94422</v>
      </c>
      <c r="GW403" s="847">
        <v>96003</v>
      </c>
      <c r="GX403" s="847">
        <v>97592</v>
      </c>
      <c r="GY403" s="847">
        <v>99188</v>
      </c>
      <c r="GZ403" s="847">
        <v>100792</v>
      </c>
      <c r="HA403" s="847">
        <v>102402</v>
      </c>
      <c r="HB403" s="847">
        <v>104018</v>
      </c>
      <c r="HC403" s="847">
        <v>105639</v>
      </c>
      <c r="HD403" s="847">
        <v>107265</v>
      </c>
      <c r="HE403" s="847">
        <v>108894</v>
      </c>
      <c r="HF403" s="847">
        <v>110521</v>
      </c>
      <c r="HG403" s="847">
        <v>112138</v>
      </c>
      <c r="HH403" s="847">
        <v>113752</v>
      </c>
      <c r="HI403" s="847">
        <v>115364</v>
      </c>
      <c r="HJ403" s="847">
        <v>116972</v>
      </c>
      <c r="HK403" s="847">
        <v>118575</v>
      </c>
      <c r="HL403" s="847">
        <v>120174</v>
      </c>
      <c r="HM403" s="847">
        <v>121767</v>
      </c>
      <c r="HN403" s="847">
        <v>123354</v>
      </c>
      <c r="HO403" s="847">
        <v>124935</v>
      </c>
      <c r="HP403" s="847">
        <v>126510</v>
      </c>
      <c r="HQ403" s="847">
        <v>128078</v>
      </c>
      <c r="HR403" s="847">
        <v>129639</v>
      </c>
      <c r="HS403" s="847">
        <v>131193</v>
      </c>
      <c r="HT403" s="847">
        <v>132741</v>
      </c>
      <c r="HU403" s="847">
        <v>134281</v>
      </c>
      <c r="HV403" s="847">
        <v>135814</v>
      </c>
      <c r="HW403" s="847">
        <v>137338</v>
      </c>
      <c r="HX403" s="847">
        <v>138819</v>
      </c>
      <c r="HY403" s="847">
        <v>140200</v>
      </c>
      <c r="HZ403" s="847">
        <v>0</v>
      </c>
      <c r="IA403" s="847">
        <v>0</v>
      </c>
      <c r="IB403" s="847">
        <v>0</v>
      </c>
      <c r="IC403" s="847">
        <v>0</v>
      </c>
      <c r="ID403" s="847">
        <v>0</v>
      </c>
      <c r="IE403" s="847">
        <v>0</v>
      </c>
      <c r="IF403" s="847">
        <v>0</v>
      </c>
      <c r="IG403" s="847">
        <v>0</v>
      </c>
      <c r="IH403" s="847">
        <v>0</v>
      </c>
      <c r="II403" s="847">
        <v>0</v>
      </c>
      <c r="IJ403" s="847">
        <v>0</v>
      </c>
      <c r="IK403" s="847">
        <v>0</v>
      </c>
    </row>
    <row r="404" spans="12:245" hidden="1">
      <c r="L404" s="843" t="s">
        <v>1060</v>
      </c>
      <c r="M404" s="843" t="s">
        <v>1382</v>
      </c>
      <c r="N404" s="843" t="s">
        <v>97</v>
      </c>
      <c r="O404" s="844">
        <v>13</v>
      </c>
      <c r="P404" s="780" t="str">
        <f t="shared" si="14"/>
        <v>IWT060213</v>
      </c>
      <c r="Q404" s="844">
        <v>2166</v>
      </c>
      <c r="R404" s="844">
        <v>6130</v>
      </c>
      <c r="S404" s="844">
        <v>10651</v>
      </c>
      <c r="T404" s="844">
        <v>15747</v>
      </c>
      <c r="U404" s="844">
        <v>21435</v>
      </c>
      <c r="V404" s="844">
        <v>27453</v>
      </c>
      <c r="W404" s="844">
        <v>28284</v>
      </c>
      <c r="X404" s="844">
        <v>28849</v>
      </c>
      <c r="Y404" s="844">
        <v>29426</v>
      </c>
      <c r="Z404" s="844">
        <v>30015</v>
      </c>
      <c r="AA404" s="844">
        <v>30615</v>
      </c>
      <c r="AB404" s="844">
        <v>31227</v>
      </c>
      <c r="AC404" s="844">
        <v>31852</v>
      </c>
      <c r="AD404" s="844">
        <v>32489</v>
      </c>
      <c r="AE404" s="844">
        <v>33139</v>
      </c>
      <c r="AF404" s="844">
        <v>33802</v>
      </c>
      <c r="AG404" s="844">
        <v>34478</v>
      </c>
      <c r="AH404" s="844">
        <v>35167</v>
      </c>
      <c r="AI404" s="844">
        <v>35871</v>
      </c>
      <c r="AJ404" s="844">
        <v>36588</v>
      </c>
      <c r="AK404" s="844">
        <v>37320</v>
      </c>
      <c r="AL404" s="844">
        <v>38066</v>
      </c>
      <c r="AM404" s="844">
        <v>38827</v>
      </c>
      <c r="AN404" s="844">
        <v>39604</v>
      </c>
      <c r="AO404" s="844">
        <v>40396</v>
      </c>
      <c r="AP404" s="844">
        <v>41204</v>
      </c>
      <c r="AQ404" s="844">
        <v>42028</v>
      </c>
      <c r="AR404" s="844">
        <v>42869</v>
      </c>
      <c r="AS404" s="844">
        <v>43726</v>
      </c>
      <c r="AT404" s="844">
        <v>44601</v>
      </c>
      <c r="AU404" s="844">
        <v>45493</v>
      </c>
      <c r="AV404" s="844">
        <v>46402</v>
      </c>
      <c r="AW404" s="844">
        <v>47329</v>
      </c>
      <c r="AX404" s="844">
        <v>48273</v>
      </c>
      <c r="AY404" s="844">
        <v>49236</v>
      </c>
      <c r="AZ404" s="844">
        <v>50217</v>
      </c>
      <c r="BA404" s="844">
        <v>51216</v>
      </c>
      <c r="BB404" s="844">
        <v>52235</v>
      </c>
      <c r="BC404" s="844">
        <v>53272</v>
      </c>
      <c r="BD404" s="844">
        <v>54328</v>
      </c>
      <c r="BE404" s="844">
        <v>55403</v>
      </c>
      <c r="BF404" s="844">
        <v>56499</v>
      </c>
      <c r="BG404" s="844">
        <v>57614</v>
      </c>
      <c r="BH404" s="844">
        <v>58750</v>
      </c>
      <c r="BI404" s="844">
        <v>59906</v>
      </c>
      <c r="BJ404" s="844">
        <v>61081</v>
      </c>
      <c r="BK404" s="844">
        <v>62277</v>
      </c>
      <c r="BL404" s="844">
        <v>63493</v>
      </c>
      <c r="BM404" s="844">
        <v>64729</v>
      </c>
      <c r="BN404" s="844">
        <v>65986</v>
      </c>
      <c r="BO404" s="844">
        <v>67263</v>
      </c>
      <c r="BP404" s="844">
        <v>68561</v>
      </c>
      <c r="BQ404" s="844">
        <v>69879</v>
      </c>
      <c r="BR404" s="844">
        <v>71216</v>
      </c>
      <c r="BS404" s="844">
        <v>72573</v>
      </c>
      <c r="BT404" s="844">
        <v>73948</v>
      </c>
      <c r="BU404" s="844">
        <v>75340</v>
      </c>
      <c r="BV404" s="844">
        <v>76750</v>
      </c>
      <c r="BW404" s="844">
        <v>78177</v>
      </c>
      <c r="BX404" s="844">
        <v>79621</v>
      </c>
      <c r="BY404" s="844">
        <v>81081</v>
      </c>
      <c r="BZ404" s="844">
        <v>82556</v>
      </c>
      <c r="CA404" s="844">
        <v>84046</v>
      </c>
      <c r="CB404" s="844">
        <v>85549</v>
      </c>
      <c r="CC404" s="844">
        <v>87065</v>
      </c>
      <c r="CD404" s="844">
        <v>88593</v>
      </c>
      <c r="CE404" s="844">
        <v>90132</v>
      </c>
      <c r="CF404" s="844">
        <v>91682</v>
      </c>
      <c r="CG404" s="844">
        <v>93241</v>
      </c>
      <c r="CH404" s="844">
        <v>94810</v>
      </c>
      <c r="CI404" s="844">
        <v>96387</v>
      </c>
      <c r="CJ404" s="844">
        <v>97972</v>
      </c>
      <c r="CK404" s="844">
        <v>99564</v>
      </c>
      <c r="CL404" s="844">
        <v>101163</v>
      </c>
      <c r="CM404" s="844">
        <v>102768</v>
      </c>
      <c r="CN404" s="844">
        <v>104379</v>
      </c>
      <c r="CO404" s="844">
        <v>105994</v>
      </c>
      <c r="CP404" s="844">
        <v>107613</v>
      </c>
      <c r="CQ404" s="844">
        <v>109231</v>
      </c>
      <c r="CR404" s="844">
        <v>110839</v>
      </c>
      <c r="CS404" s="844">
        <v>112446</v>
      </c>
      <c r="CT404" s="844">
        <v>114050</v>
      </c>
      <c r="CU404" s="844">
        <v>115650</v>
      </c>
      <c r="CV404" s="844">
        <v>117247</v>
      </c>
      <c r="CW404" s="844">
        <v>118839</v>
      </c>
      <c r="CX404" s="844">
        <v>120426</v>
      </c>
      <c r="CY404" s="844">
        <v>122007</v>
      </c>
      <c r="CZ404" s="844">
        <v>123583</v>
      </c>
      <c r="DA404" s="844">
        <v>125152</v>
      </c>
      <c r="DB404" s="844">
        <v>126716</v>
      </c>
      <c r="DC404" s="844">
        <v>128272</v>
      </c>
      <c r="DD404" s="844">
        <v>129822</v>
      </c>
      <c r="DE404" s="844">
        <v>131366</v>
      </c>
      <c r="DF404" s="844">
        <v>132903</v>
      </c>
      <c r="DG404" s="844">
        <v>134432</v>
      </c>
      <c r="DH404" s="844">
        <v>135954</v>
      </c>
      <c r="DI404" s="844">
        <v>137432</v>
      </c>
      <c r="DJ404" s="844">
        <v>138800</v>
      </c>
      <c r="DK404" s="844">
        <v>0</v>
      </c>
      <c r="DL404" s="844">
        <v>0</v>
      </c>
      <c r="DM404" s="844">
        <v>0</v>
      </c>
      <c r="DN404" s="844">
        <v>0</v>
      </c>
      <c r="DO404" s="844">
        <v>0</v>
      </c>
      <c r="DP404" s="844">
        <v>0</v>
      </c>
      <c r="DQ404" s="844">
        <v>0</v>
      </c>
      <c r="DR404" s="844">
        <v>0</v>
      </c>
      <c r="DS404" s="844">
        <v>0</v>
      </c>
      <c r="DT404" s="844">
        <v>0</v>
      </c>
      <c r="DU404" s="844">
        <v>0</v>
      </c>
      <c r="DV404" s="844">
        <v>0</v>
      </c>
      <c r="DW404" s="844">
        <v>0</v>
      </c>
      <c r="DY404" s="846" t="s">
        <v>1060</v>
      </c>
      <c r="DZ404" s="846" t="s">
        <v>1382</v>
      </c>
      <c r="EA404" s="846" t="s">
        <v>97</v>
      </c>
      <c r="EB404" s="847">
        <v>13</v>
      </c>
      <c r="EC404" s="780" t="str">
        <f t="shared" si="15"/>
        <v>IWT060213</v>
      </c>
      <c r="ED404" s="847">
        <v>0</v>
      </c>
      <c r="EE404" s="847">
        <v>2888</v>
      </c>
      <c r="EF404" s="847">
        <v>7662</v>
      </c>
      <c r="EG404" s="847">
        <v>12531</v>
      </c>
      <c r="EH404" s="847">
        <v>17497</v>
      </c>
      <c r="EI404" s="847">
        <v>22563</v>
      </c>
      <c r="EJ404" s="847">
        <v>27730</v>
      </c>
      <c r="EK404" s="847">
        <v>28284</v>
      </c>
      <c r="EL404" s="847">
        <v>28849</v>
      </c>
      <c r="EM404" s="847">
        <v>29426</v>
      </c>
      <c r="EN404" s="847">
        <v>30015</v>
      </c>
      <c r="EO404" s="847">
        <v>30615</v>
      </c>
      <c r="EP404" s="847">
        <v>31227</v>
      </c>
      <c r="EQ404" s="847">
        <v>31852</v>
      </c>
      <c r="ER404" s="847">
        <v>32489</v>
      </c>
      <c r="ES404" s="847">
        <v>33139</v>
      </c>
      <c r="ET404" s="847">
        <v>33802</v>
      </c>
      <c r="EU404" s="847">
        <v>34478</v>
      </c>
      <c r="EV404" s="847">
        <v>35167</v>
      </c>
      <c r="EW404" s="847">
        <v>35871</v>
      </c>
      <c r="EX404" s="847">
        <v>36588</v>
      </c>
      <c r="EY404" s="847">
        <v>37320</v>
      </c>
      <c r="EZ404" s="847">
        <v>38066</v>
      </c>
      <c r="FA404" s="847">
        <v>38827</v>
      </c>
      <c r="FB404" s="847">
        <v>39604</v>
      </c>
      <c r="FC404" s="847">
        <v>40396</v>
      </c>
      <c r="FD404" s="847">
        <v>41204</v>
      </c>
      <c r="FE404" s="847">
        <v>42028</v>
      </c>
      <c r="FF404" s="847">
        <v>42869</v>
      </c>
      <c r="FG404" s="847">
        <v>43726</v>
      </c>
      <c r="FH404" s="847">
        <v>44601</v>
      </c>
      <c r="FI404" s="847">
        <v>45493</v>
      </c>
      <c r="FJ404" s="847">
        <v>46402</v>
      </c>
      <c r="FK404" s="847">
        <v>47329</v>
      </c>
      <c r="FL404" s="847">
        <v>48273</v>
      </c>
      <c r="FM404" s="847">
        <v>49236</v>
      </c>
      <c r="FN404" s="847">
        <v>50217</v>
      </c>
      <c r="FO404" s="847">
        <v>51216</v>
      </c>
      <c r="FP404" s="847">
        <v>52235</v>
      </c>
      <c r="FQ404" s="847">
        <v>53272</v>
      </c>
      <c r="FR404" s="847">
        <v>54328</v>
      </c>
      <c r="FS404" s="847">
        <v>55403</v>
      </c>
      <c r="FT404" s="847">
        <v>56499</v>
      </c>
      <c r="FU404" s="847">
        <v>57614</v>
      </c>
      <c r="FV404" s="847">
        <v>58750</v>
      </c>
      <c r="FW404" s="847">
        <v>59906</v>
      </c>
      <c r="FX404" s="847">
        <v>61081</v>
      </c>
      <c r="FY404" s="847">
        <v>62277</v>
      </c>
      <c r="FZ404" s="847">
        <v>63493</v>
      </c>
      <c r="GA404" s="847">
        <v>64729</v>
      </c>
      <c r="GB404" s="847">
        <v>65986</v>
      </c>
      <c r="GC404" s="847">
        <v>67263</v>
      </c>
      <c r="GD404" s="847">
        <v>68561</v>
      </c>
      <c r="GE404" s="847">
        <v>69879</v>
      </c>
      <c r="GF404" s="847">
        <v>71216</v>
      </c>
      <c r="GG404" s="847">
        <v>72573</v>
      </c>
      <c r="GH404" s="847">
        <v>73948</v>
      </c>
      <c r="GI404" s="847">
        <v>75340</v>
      </c>
      <c r="GJ404" s="847">
        <v>76750</v>
      </c>
      <c r="GK404" s="847">
        <v>78177</v>
      </c>
      <c r="GL404" s="847">
        <v>79621</v>
      </c>
      <c r="GM404" s="847">
        <v>81081</v>
      </c>
      <c r="GN404" s="847">
        <v>82556</v>
      </c>
      <c r="GO404" s="847">
        <v>84046</v>
      </c>
      <c r="GP404" s="847">
        <v>85549</v>
      </c>
      <c r="GQ404" s="847">
        <v>87065</v>
      </c>
      <c r="GR404" s="847">
        <v>88593</v>
      </c>
      <c r="GS404" s="847">
        <v>90132</v>
      </c>
      <c r="GT404" s="847">
        <v>91682</v>
      </c>
      <c r="GU404" s="847">
        <v>93241</v>
      </c>
      <c r="GV404" s="847">
        <v>94810</v>
      </c>
      <c r="GW404" s="847">
        <v>96387</v>
      </c>
      <c r="GX404" s="847">
        <v>97972</v>
      </c>
      <c r="GY404" s="847">
        <v>99564</v>
      </c>
      <c r="GZ404" s="847">
        <v>101163</v>
      </c>
      <c r="HA404" s="847">
        <v>102768</v>
      </c>
      <c r="HB404" s="847">
        <v>104379</v>
      </c>
      <c r="HC404" s="847">
        <v>105994</v>
      </c>
      <c r="HD404" s="847">
        <v>107613</v>
      </c>
      <c r="HE404" s="847">
        <v>109231</v>
      </c>
      <c r="HF404" s="847">
        <v>110839</v>
      </c>
      <c r="HG404" s="847">
        <v>112446</v>
      </c>
      <c r="HH404" s="847">
        <v>114050</v>
      </c>
      <c r="HI404" s="847">
        <v>115650</v>
      </c>
      <c r="HJ404" s="847">
        <v>117247</v>
      </c>
      <c r="HK404" s="847">
        <v>118839</v>
      </c>
      <c r="HL404" s="847">
        <v>120426</v>
      </c>
      <c r="HM404" s="847">
        <v>122007</v>
      </c>
      <c r="HN404" s="847">
        <v>123583</v>
      </c>
      <c r="HO404" s="847">
        <v>125152</v>
      </c>
      <c r="HP404" s="847">
        <v>126716</v>
      </c>
      <c r="HQ404" s="847">
        <v>128272</v>
      </c>
      <c r="HR404" s="847">
        <v>129822</v>
      </c>
      <c r="HS404" s="847">
        <v>131366</v>
      </c>
      <c r="HT404" s="847">
        <v>132903</v>
      </c>
      <c r="HU404" s="847">
        <v>134432</v>
      </c>
      <c r="HV404" s="847">
        <v>135954</v>
      </c>
      <c r="HW404" s="847">
        <v>137432</v>
      </c>
      <c r="HX404" s="847">
        <v>138800</v>
      </c>
      <c r="HY404" s="847">
        <v>0</v>
      </c>
      <c r="HZ404" s="847">
        <v>0</v>
      </c>
      <c r="IA404" s="847">
        <v>0</v>
      </c>
      <c r="IB404" s="847">
        <v>0</v>
      </c>
      <c r="IC404" s="847">
        <v>0</v>
      </c>
      <c r="ID404" s="847">
        <v>0</v>
      </c>
      <c r="IE404" s="847">
        <v>0</v>
      </c>
      <c r="IF404" s="847">
        <v>0</v>
      </c>
      <c r="IG404" s="847">
        <v>0</v>
      </c>
      <c r="IH404" s="847">
        <v>0</v>
      </c>
      <c r="II404" s="847">
        <v>0</v>
      </c>
      <c r="IJ404" s="847">
        <v>0</v>
      </c>
      <c r="IK404" s="847">
        <v>0</v>
      </c>
    </row>
    <row r="405" spans="12:245" hidden="1">
      <c r="L405" s="843" t="s">
        <v>1060</v>
      </c>
      <c r="M405" s="843" t="s">
        <v>1382</v>
      </c>
      <c r="N405" s="843" t="s">
        <v>97</v>
      </c>
      <c r="O405" s="844">
        <v>14</v>
      </c>
      <c r="P405" s="780" t="str">
        <f t="shared" si="14"/>
        <v>IWT060214</v>
      </c>
      <c r="Q405" s="844">
        <v>2178</v>
      </c>
      <c r="R405" s="844">
        <v>6162</v>
      </c>
      <c r="S405" s="844">
        <v>10709</v>
      </c>
      <c r="T405" s="844">
        <v>15833</v>
      </c>
      <c r="U405" s="844">
        <v>21551</v>
      </c>
      <c r="V405" s="844">
        <v>27602</v>
      </c>
      <c r="W405" s="844">
        <v>28438</v>
      </c>
      <c r="X405" s="844">
        <v>29006</v>
      </c>
      <c r="Y405" s="844">
        <v>29586</v>
      </c>
      <c r="Z405" s="844">
        <v>30178</v>
      </c>
      <c r="AA405" s="844">
        <v>30782</v>
      </c>
      <c r="AB405" s="844">
        <v>31397</v>
      </c>
      <c r="AC405" s="844">
        <v>32025</v>
      </c>
      <c r="AD405" s="844">
        <v>32666</v>
      </c>
      <c r="AE405" s="844">
        <v>33319</v>
      </c>
      <c r="AF405" s="844">
        <v>33985</v>
      </c>
      <c r="AG405" s="844">
        <v>34665</v>
      </c>
      <c r="AH405" s="844">
        <v>35358</v>
      </c>
      <c r="AI405" s="844">
        <v>36066</v>
      </c>
      <c r="AJ405" s="844">
        <v>36787</v>
      </c>
      <c r="AK405" s="844">
        <v>37523</v>
      </c>
      <c r="AL405" s="844">
        <v>38273</v>
      </c>
      <c r="AM405" s="844">
        <v>39038</v>
      </c>
      <c r="AN405" s="844">
        <v>39819</v>
      </c>
      <c r="AO405" s="844">
        <v>40616</v>
      </c>
      <c r="AP405" s="844">
        <v>41428</v>
      </c>
      <c r="AQ405" s="844">
        <v>42257</v>
      </c>
      <c r="AR405" s="844">
        <v>43102</v>
      </c>
      <c r="AS405" s="844">
        <v>43964</v>
      </c>
      <c r="AT405" s="844">
        <v>44843</v>
      </c>
      <c r="AU405" s="844">
        <v>45740</v>
      </c>
      <c r="AV405" s="844">
        <v>46654</v>
      </c>
      <c r="AW405" s="844">
        <v>47587</v>
      </c>
      <c r="AX405" s="844">
        <v>48537</v>
      </c>
      <c r="AY405" s="844">
        <v>49505</v>
      </c>
      <c r="AZ405" s="844">
        <v>50491</v>
      </c>
      <c r="BA405" s="844">
        <v>51496</v>
      </c>
      <c r="BB405" s="844">
        <v>52520</v>
      </c>
      <c r="BC405" s="844">
        <v>53562</v>
      </c>
      <c r="BD405" s="844">
        <v>54624</v>
      </c>
      <c r="BE405" s="844">
        <v>55706</v>
      </c>
      <c r="BF405" s="844">
        <v>56807</v>
      </c>
      <c r="BG405" s="844">
        <v>57929</v>
      </c>
      <c r="BH405" s="844">
        <v>59070</v>
      </c>
      <c r="BI405" s="844">
        <v>60232</v>
      </c>
      <c r="BJ405" s="844">
        <v>61413</v>
      </c>
      <c r="BK405" s="844">
        <v>62614</v>
      </c>
      <c r="BL405" s="844">
        <v>63835</v>
      </c>
      <c r="BM405" s="844">
        <v>65077</v>
      </c>
      <c r="BN405" s="844">
        <v>66339</v>
      </c>
      <c r="BO405" s="844">
        <v>67622</v>
      </c>
      <c r="BP405" s="844">
        <v>68925</v>
      </c>
      <c r="BQ405" s="844">
        <v>70247</v>
      </c>
      <c r="BR405" s="844">
        <v>71589</v>
      </c>
      <c r="BS405" s="844">
        <v>72949</v>
      </c>
      <c r="BT405" s="844">
        <v>74327</v>
      </c>
      <c r="BU405" s="844">
        <v>75722</v>
      </c>
      <c r="BV405" s="844">
        <v>77134</v>
      </c>
      <c r="BW405" s="844">
        <v>78563</v>
      </c>
      <c r="BX405" s="844">
        <v>80008</v>
      </c>
      <c r="BY405" s="844">
        <v>81469</v>
      </c>
      <c r="BZ405" s="844">
        <v>82945</v>
      </c>
      <c r="CA405" s="844">
        <v>84434</v>
      </c>
      <c r="CB405" s="844">
        <v>85937</v>
      </c>
      <c r="CC405" s="844">
        <v>87451</v>
      </c>
      <c r="CD405" s="844">
        <v>88977</v>
      </c>
      <c r="CE405" s="844">
        <v>90514</v>
      </c>
      <c r="CF405" s="844">
        <v>92060</v>
      </c>
      <c r="CG405" s="844">
        <v>93617</v>
      </c>
      <c r="CH405" s="844">
        <v>95182</v>
      </c>
      <c r="CI405" s="844">
        <v>96755</v>
      </c>
      <c r="CJ405" s="844">
        <v>98336</v>
      </c>
      <c r="CK405" s="844">
        <v>99924</v>
      </c>
      <c r="CL405" s="844">
        <v>101518</v>
      </c>
      <c r="CM405" s="844">
        <v>103118</v>
      </c>
      <c r="CN405" s="844">
        <v>104724</v>
      </c>
      <c r="CO405" s="844">
        <v>106333</v>
      </c>
      <c r="CP405" s="844">
        <v>107942</v>
      </c>
      <c r="CQ405" s="844">
        <v>109541</v>
      </c>
      <c r="CR405" s="844">
        <v>111139</v>
      </c>
      <c r="CS405" s="844">
        <v>112735</v>
      </c>
      <c r="CT405" s="844">
        <v>114328</v>
      </c>
      <c r="CU405" s="844">
        <v>115918</v>
      </c>
      <c r="CV405" s="844">
        <v>117503</v>
      </c>
      <c r="CW405" s="844">
        <v>119084</v>
      </c>
      <c r="CX405" s="844">
        <v>120660</v>
      </c>
      <c r="CY405" s="844">
        <v>122230</v>
      </c>
      <c r="CZ405" s="844">
        <v>123795</v>
      </c>
      <c r="DA405" s="844">
        <v>125353</v>
      </c>
      <c r="DB405" s="844">
        <v>126905</v>
      </c>
      <c r="DC405" s="844">
        <v>128451</v>
      </c>
      <c r="DD405" s="844">
        <v>129991</v>
      </c>
      <c r="DE405" s="844">
        <v>131524</v>
      </c>
      <c r="DF405" s="844">
        <v>133051</v>
      </c>
      <c r="DG405" s="844">
        <v>134569</v>
      </c>
      <c r="DH405" s="844">
        <v>136046</v>
      </c>
      <c r="DI405" s="844">
        <v>137400</v>
      </c>
      <c r="DJ405" s="844">
        <v>0</v>
      </c>
      <c r="DK405" s="844">
        <v>0</v>
      </c>
      <c r="DL405" s="844">
        <v>0</v>
      </c>
      <c r="DM405" s="844">
        <v>0</v>
      </c>
      <c r="DN405" s="844">
        <v>0</v>
      </c>
      <c r="DO405" s="844">
        <v>0</v>
      </c>
      <c r="DP405" s="844">
        <v>0</v>
      </c>
      <c r="DQ405" s="844">
        <v>0</v>
      </c>
      <c r="DR405" s="844">
        <v>0</v>
      </c>
      <c r="DS405" s="844">
        <v>0</v>
      </c>
      <c r="DT405" s="844">
        <v>0</v>
      </c>
      <c r="DU405" s="844">
        <v>0</v>
      </c>
      <c r="DV405" s="844">
        <v>0</v>
      </c>
      <c r="DW405" s="844">
        <v>0</v>
      </c>
      <c r="DY405" s="846" t="s">
        <v>1060</v>
      </c>
      <c r="DZ405" s="846" t="s">
        <v>1382</v>
      </c>
      <c r="EA405" s="846" t="s">
        <v>97</v>
      </c>
      <c r="EB405" s="847">
        <v>14</v>
      </c>
      <c r="EC405" s="780" t="str">
        <f t="shared" si="15"/>
        <v>IWT060214</v>
      </c>
      <c r="ED405" s="847">
        <v>0</v>
      </c>
      <c r="EE405" s="847">
        <v>2904</v>
      </c>
      <c r="EF405" s="847">
        <v>7703</v>
      </c>
      <c r="EG405" s="847">
        <v>12599</v>
      </c>
      <c r="EH405" s="847">
        <v>17592</v>
      </c>
      <c r="EI405" s="847">
        <v>22685</v>
      </c>
      <c r="EJ405" s="847">
        <v>27881</v>
      </c>
      <c r="EK405" s="847">
        <v>28438</v>
      </c>
      <c r="EL405" s="847">
        <v>29006</v>
      </c>
      <c r="EM405" s="847">
        <v>29586</v>
      </c>
      <c r="EN405" s="847">
        <v>30178</v>
      </c>
      <c r="EO405" s="847">
        <v>30782</v>
      </c>
      <c r="EP405" s="847">
        <v>31397</v>
      </c>
      <c r="EQ405" s="847">
        <v>32025</v>
      </c>
      <c r="ER405" s="847">
        <v>32666</v>
      </c>
      <c r="ES405" s="847">
        <v>33319</v>
      </c>
      <c r="ET405" s="847">
        <v>33985</v>
      </c>
      <c r="EU405" s="847">
        <v>34665</v>
      </c>
      <c r="EV405" s="847">
        <v>35358</v>
      </c>
      <c r="EW405" s="847">
        <v>36066</v>
      </c>
      <c r="EX405" s="847">
        <v>36787</v>
      </c>
      <c r="EY405" s="847">
        <v>37523</v>
      </c>
      <c r="EZ405" s="847">
        <v>38273</v>
      </c>
      <c r="FA405" s="847">
        <v>39038</v>
      </c>
      <c r="FB405" s="847">
        <v>39819</v>
      </c>
      <c r="FC405" s="847">
        <v>40616</v>
      </c>
      <c r="FD405" s="847">
        <v>41428</v>
      </c>
      <c r="FE405" s="847">
        <v>42257</v>
      </c>
      <c r="FF405" s="847">
        <v>43102</v>
      </c>
      <c r="FG405" s="847">
        <v>43964</v>
      </c>
      <c r="FH405" s="847">
        <v>44843</v>
      </c>
      <c r="FI405" s="847">
        <v>45740</v>
      </c>
      <c r="FJ405" s="847">
        <v>46654</v>
      </c>
      <c r="FK405" s="847">
        <v>47587</v>
      </c>
      <c r="FL405" s="847">
        <v>48537</v>
      </c>
      <c r="FM405" s="847">
        <v>49505</v>
      </c>
      <c r="FN405" s="847">
        <v>50491</v>
      </c>
      <c r="FO405" s="847">
        <v>51496</v>
      </c>
      <c r="FP405" s="847">
        <v>52520</v>
      </c>
      <c r="FQ405" s="847">
        <v>53562</v>
      </c>
      <c r="FR405" s="847">
        <v>54624</v>
      </c>
      <c r="FS405" s="847">
        <v>55706</v>
      </c>
      <c r="FT405" s="847">
        <v>56807</v>
      </c>
      <c r="FU405" s="847">
        <v>57929</v>
      </c>
      <c r="FV405" s="847">
        <v>59070</v>
      </c>
      <c r="FW405" s="847">
        <v>60232</v>
      </c>
      <c r="FX405" s="847">
        <v>61413</v>
      </c>
      <c r="FY405" s="847">
        <v>62614</v>
      </c>
      <c r="FZ405" s="847">
        <v>63835</v>
      </c>
      <c r="GA405" s="847">
        <v>65077</v>
      </c>
      <c r="GB405" s="847">
        <v>66339</v>
      </c>
      <c r="GC405" s="847">
        <v>67622</v>
      </c>
      <c r="GD405" s="847">
        <v>68925</v>
      </c>
      <c r="GE405" s="847">
        <v>70247</v>
      </c>
      <c r="GF405" s="847">
        <v>71589</v>
      </c>
      <c r="GG405" s="847">
        <v>72949</v>
      </c>
      <c r="GH405" s="847">
        <v>74327</v>
      </c>
      <c r="GI405" s="847">
        <v>75722</v>
      </c>
      <c r="GJ405" s="847">
        <v>77134</v>
      </c>
      <c r="GK405" s="847">
        <v>78563</v>
      </c>
      <c r="GL405" s="847">
        <v>80008</v>
      </c>
      <c r="GM405" s="847">
        <v>81469</v>
      </c>
      <c r="GN405" s="847">
        <v>82945</v>
      </c>
      <c r="GO405" s="847">
        <v>84434</v>
      </c>
      <c r="GP405" s="847">
        <v>85937</v>
      </c>
      <c r="GQ405" s="847">
        <v>87451</v>
      </c>
      <c r="GR405" s="847">
        <v>88977</v>
      </c>
      <c r="GS405" s="847">
        <v>90514</v>
      </c>
      <c r="GT405" s="847">
        <v>92060</v>
      </c>
      <c r="GU405" s="847">
        <v>93617</v>
      </c>
      <c r="GV405" s="847">
        <v>95182</v>
      </c>
      <c r="GW405" s="847">
        <v>96755</v>
      </c>
      <c r="GX405" s="847">
        <v>98336</v>
      </c>
      <c r="GY405" s="847">
        <v>99924</v>
      </c>
      <c r="GZ405" s="847">
        <v>101518</v>
      </c>
      <c r="HA405" s="847">
        <v>103118</v>
      </c>
      <c r="HB405" s="847">
        <v>104724</v>
      </c>
      <c r="HC405" s="847">
        <v>106333</v>
      </c>
      <c r="HD405" s="847">
        <v>107942</v>
      </c>
      <c r="HE405" s="847">
        <v>109541</v>
      </c>
      <c r="HF405" s="847">
        <v>111139</v>
      </c>
      <c r="HG405" s="847">
        <v>112735</v>
      </c>
      <c r="HH405" s="847">
        <v>114328</v>
      </c>
      <c r="HI405" s="847">
        <v>115918</v>
      </c>
      <c r="HJ405" s="847">
        <v>117503</v>
      </c>
      <c r="HK405" s="847">
        <v>119084</v>
      </c>
      <c r="HL405" s="847">
        <v>120660</v>
      </c>
      <c r="HM405" s="847">
        <v>122230</v>
      </c>
      <c r="HN405" s="847">
        <v>123795</v>
      </c>
      <c r="HO405" s="847">
        <v>125353</v>
      </c>
      <c r="HP405" s="847">
        <v>126905</v>
      </c>
      <c r="HQ405" s="847">
        <v>128451</v>
      </c>
      <c r="HR405" s="847">
        <v>129991</v>
      </c>
      <c r="HS405" s="847">
        <v>131524</v>
      </c>
      <c r="HT405" s="847">
        <v>133051</v>
      </c>
      <c r="HU405" s="847">
        <v>134569</v>
      </c>
      <c r="HV405" s="847">
        <v>136046</v>
      </c>
      <c r="HW405" s="847">
        <v>137400</v>
      </c>
      <c r="HX405" s="847">
        <v>0</v>
      </c>
      <c r="HY405" s="847">
        <v>0</v>
      </c>
      <c r="HZ405" s="847">
        <v>0</v>
      </c>
      <c r="IA405" s="847">
        <v>0</v>
      </c>
      <c r="IB405" s="847">
        <v>0</v>
      </c>
      <c r="IC405" s="847">
        <v>0</v>
      </c>
      <c r="ID405" s="847">
        <v>0</v>
      </c>
      <c r="IE405" s="847">
        <v>0</v>
      </c>
      <c r="IF405" s="847">
        <v>0</v>
      </c>
      <c r="IG405" s="847">
        <v>0</v>
      </c>
      <c r="IH405" s="847">
        <v>0</v>
      </c>
      <c r="II405" s="847">
        <v>0</v>
      </c>
      <c r="IJ405" s="847">
        <v>0</v>
      </c>
      <c r="IK405" s="847">
        <v>0</v>
      </c>
    </row>
    <row r="406" spans="12:245" hidden="1">
      <c r="L406" s="843" t="s">
        <v>1060</v>
      </c>
      <c r="M406" s="843" t="s">
        <v>1382</v>
      </c>
      <c r="N406" s="843" t="s">
        <v>97</v>
      </c>
      <c r="O406" s="844">
        <v>15</v>
      </c>
      <c r="P406" s="780" t="str">
        <f t="shared" si="14"/>
        <v>IWT060215</v>
      </c>
      <c r="Q406" s="844">
        <v>2189</v>
      </c>
      <c r="R406" s="844">
        <v>6195</v>
      </c>
      <c r="S406" s="844">
        <v>10765</v>
      </c>
      <c r="T406" s="844">
        <v>15916</v>
      </c>
      <c r="U406" s="844">
        <v>21665</v>
      </c>
      <c r="V406" s="844">
        <v>27747</v>
      </c>
      <c r="W406" s="844">
        <v>28587</v>
      </c>
      <c r="X406" s="844">
        <v>29159</v>
      </c>
      <c r="Y406" s="844">
        <v>29742</v>
      </c>
      <c r="Z406" s="844">
        <v>30337</v>
      </c>
      <c r="AA406" s="844">
        <v>30943</v>
      </c>
      <c r="AB406" s="844">
        <v>31562</v>
      </c>
      <c r="AC406" s="844">
        <v>32193</v>
      </c>
      <c r="AD406" s="844">
        <v>32837</v>
      </c>
      <c r="AE406" s="844">
        <v>33494</v>
      </c>
      <c r="AF406" s="844">
        <v>34164</v>
      </c>
      <c r="AG406" s="844">
        <v>34847</v>
      </c>
      <c r="AH406" s="844">
        <v>35544</v>
      </c>
      <c r="AI406" s="844">
        <v>36255</v>
      </c>
      <c r="AJ406" s="844">
        <v>36980</v>
      </c>
      <c r="AK406" s="844">
        <v>37720</v>
      </c>
      <c r="AL406" s="844">
        <v>38474</v>
      </c>
      <c r="AM406" s="844">
        <v>39244</v>
      </c>
      <c r="AN406" s="844">
        <v>40028</v>
      </c>
      <c r="AO406" s="844">
        <v>40829</v>
      </c>
      <c r="AP406" s="844">
        <v>41646</v>
      </c>
      <c r="AQ406" s="844">
        <v>42478</v>
      </c>
      <c r="AR406" s="844">
        <v>43328</v>
      </c>
      <c r="AS406" s="844">
        <v>44195</v>
      </c>
      <c r="AT406" s="844">
        <v>45078</v>
      </c>
      <c r="AU406" s="844">
        <v>45980</v>
      </c>
      <c r="AV406" s="844">
        <v>46900</v>
      </c>
      <c r="AW406" s="844">
        <v>47837</v>
      </c>
      <c r="AX406" s="844">
        <v>48792</v>
      </c>
      <c r="AY406" s="844">
        <v>49766</v>
      </c>
      <c r="AZ406" s="844">
        <v>50757</v>
      </c>
      <c r="BA406" s="844">
        <v>51768</v>
      </c>
      <c r="BB406" s="844">
        <v>52797</v>
      </c>
      <c r="BC406" s="844">
        <v>53845</v>
      </c>
      <c r="BD406" s="844">
        <v>54913</v>
      </c>
      <c r="BE406" s="844">
        <v>56001</v>
      </c>
      <c r="BF406" s="844">
        <v>57108</v>
      </c>
      <c r="BG406" s="844">
        <v>58235</v>
      </c>
      <c r="BH406" s="844">
        <v>59382</v>
      </c>
      <c r="BI406" s="844">
        <v>60548</v>
      </c>
      <c r="BJ406" s="844">
        <v>61735</v>
      </c>
      <c r="BK406" s="844">
        <v>62941</v>
      </c>
      <c r="BL406" s="844">
        <v>64168</v>
      </c>
      <c r="BM406" s="844">
        <v>65416</v>
      </c>
      <c r="BN406" s="844">
        <v>66684</v>
      </c>
      <c r="BO406" s="844">
        <v>67971</v>
      </c>
      <c r="BP406" s="844">
        <v>69279</v>
      </c>
      <c r="BQ406" s="844">
        <v>70605</v>
      </c>
      <c r="BR406" s="844">
        <v>71950</v>
      </c>
      <c r="BS406" s="844">
        <v>73313</v>
      </c>
      <c r="BT406" s="844">
        <v>74693</v>
      </c>
      <c r="BU406" s="844">
        <v>76090</v>
      </c>
      <c r="BV406" s="844">
        <v>77505</v>
      </c>
      <c r="BW406" s="844">
        <v>78936</v>
      </c>
      <c r="BX406" s="844">
        <v>80383</v>
      </c>
      <c r="BY406" s="844">
        <v>81844</v>
      </c>
      <c r="BZ406" s="844">
        <v>83320</v>
      </c>
      <c r="CA406" s="844">
        <v>84808</v>
      </c>
      <c r="CB406" s="844">
        <v>86309</v>
      </c>
      <c r="CC406" s="844">
        <v>87822</v>
      </c>
      <c r="CD406" s="844">
        <v>89345</v>
      </c>
      <c r="CE406" s="844">
        <v>90880</v>
      </c>
      <c r="CF406" s="844">
        <v>92424</v>
      </c>
      <c r="CG406" s="844">
        <v>93977</v>
      </c>
      <c r="CH406" s="844">
        <v>95538</v>
      </c>
      <c r="CI406" s="844">
        <v>97108</v>
      </c>
      <c r="CJ406" s="844">
        <v>98685</v>
      </c>
      <c r="CK406" s="844">
        <v>100269</v>
      </c>
      <c r="CL406" s="844">
        <v>101858</v>
      </c>
      <c r="CM406" s="844">
        <v>103453</v>
      </c>
      <c r="CN406" s="844">
        <v>105053</v>
      </c>
      <c r="CO406" s="844">
        <v>106652</v>
      </c>
      <c r="CP406" s="844">
        <v>108243</v>
      </c>
      <c r="CQ406" s="844">
        <v>109833</v>
      </c>
      <c r="CR406" s="844">
        <v>111421</v>
      </c>
      <c r="CS406" s="844">
        <v>113007</v>
      </c>
      <c r="CT406" s="844">
        <v>114589</v>
      </c>
      <c r="CU406" s="844">
        <v>116168</v>
      </c>
      <c r="CV406" s="844">
        <v>117743</v>
      </c>
      <c r="CW406" s="844">
        <v>119312</v>
      </c>
      <c r="CX406" s="844">
        <v>120877</v>
      </c>
      <c r="CY406" s="844">
        <v>122437</v>
      </c>
      <c r="CZ406" s="844">
        <v>123991</v>
      </c>
      <c r="DA406" s="844">
        <v>125539</v>
      </c>
      <c r="DB406" s="844">
        <v>127081</v>
      </c>
      <c r="DC406" s="844">
        <v>128616</v>
      </c>
      <c r="DD406" s="844">
        <v>130146</v>
      </c>
      <c r="DE406" s="844">
        <v>131670</v>
      </c>
      <c r="DF406" s="844">
        <v>133185</v>
      </c>
      <c r="DG406" s="844">
        <v>134660</v>
      </c>
      <c r="DH406" s="844">
        <v>136000</v>
      </c>
      <c r="DI406" s="844">
        <v>0</v>
      </c>
      <c r="DJ406" s="844">
        <v>0</v>
      </c>
      <c r="DK406" s="844">
        <v>0</v>
      </c>
      <c r="DL406" s="844">
        <v>0</v>
      </c>
      <c r="DM406" s="844">
        <v>0</v>
      </c>
      <c r="DN406" s="844">
        <v>0</v>
      </c>
      <c r="DO406" s="844">
        <v>0</v>
      </c>
      <c r="DP406" s="844">
        <v>0</v>
      </c>
      <c r="DQ406" s="844">
        <v>0</v>
      </c>
      <c r="DR406" s="844">
        <v>0</v>
      </c>
      <c r="DS406" s="844">
        <v>0</v>
      </c>
      <c r="DT406" s="844">
        <v>0</v>
      </c>
      <c r="DU406" s="844">
        <v>0</v>
      </c>
      <c r="DV406" s="844">
        <v>0</v>
      </c>
      <c r="DW406" s="844">
        <v>0</v>
      </c>
      <c r="DY406" s="846" t="s">
        <v>1060</v>
      </c>
      <c r="DZ406" s="846" t="s">
        <v>1382</v>
      </c>
      <c r="EA406" s="846" t="s">
        <v>97</v>
      </c>
      <c r="EB406" s="847">
        <v>15</v>
      </c>
      <c r="EC406" s="780" t="str">
        <f t="shared" si="15"/>
        <v>IWT060215</v>
      </c>
      <c r="ED406" s="847">
        <v>0</v>
      </c>
      <c r="EE406" s="847">
        <v>2919</v>
      </c>
      <c r="EF406" s="847">
        <v>7744</v>
      </c>
      <c r="EG406" s="847">
        <v>12665</v>
      </c>
      <c r="EH406" s="847">
        <v>17684</v>
      </c>
      <c r="EI406" s="847">
        <v>22805</v>
      </c>
      <c r="EJ406" s="847">
        <v>28027</v>
      </c>
      <c r="EK406" s="847">
        <v>28587</v>
      </c>
      <c r="EL406" s="847">
        <v>29159</v>
      </c>
      <c r="EM406" s="847">
        <v>29742</v>
      </c>
      <c r="EN406" s="847">
        <v>30337</v>
      </c>
      <c r="EO406" s="847">
        <v>30943</v>
      </c>
      <c r="EP406" s="847">
        <v>31562</v>
      </c>
      <c r="EQ406" s="847">
        <v>32193</v>
      </c>
      <c r="ER406" s="847">
        <v>32837</v>
      </c>
      <c r="ES406" s="847">
        <v>33494</v>
      </c>
      <c r="ET406" s="847">
        <v>34164</v>
      </c>
      <c r="EU406" s="847">
        <v>34847</v>
      </c>
      <c r="EV406" s="847">
        <v>35544</v>
      </c>
      <c r="EW406" s="847">
        <v>36255</v>
      </c>
      <c r="EX406" s="847">
        <v>36980</v>
      </c>
      <c r="EY406" s="847">
        <v>37720</v>
      </c>
      <c r="EZ406" s="847">
        <v>38474</v>
      </c>
      <c r="FA406" s="847">
        <v>39244</v>
      </c>
      <c r="FB406" s="847">
        <v>40028</v>
      </c>
      <c r="FC406" s="847">
        <v>40829</v>
      </c>
      <c r="FD406" s="847">
        <v>41646</v>
      </c>
      <c r="FE406" s="847">
        <v>42478</v>
      </c>
      <c r="FF406" s="847">
        <v>43328</v>
      </c>
      <c r="FG406" s="847">
        <v>44195</v>
      </c>
      <c r="FH406" s="847">
        <v>45078</v>
      </c>
      <c r="FI406" s="847">
        <v>45980</v>
      </c>
      <c r="FJ406" s="847">
        <v>46900</v>
      </c>
      <c r="FK406" s="847">
        <v>47837</v>
      </c>
      <c r="FL406" s="847">
        <v>48792</v>
      </c>
      <c r="FM406" s="847">
        <v>49766</v>
      </c>
      <c r="FN406" s="847">
        <v>50757</v>
      </c>
      <c r="FO406" s="847">
        <v>51768</v>
      </c>
      <c r="FP406" s="847">
        <v>52797</v>
      </c>
      <c r="FQ406" s="847">
        <v>53845</v>
      </c>
      <c r="FR406" s="847">
        <v>54913</v>
      </c>
      <c r="FS406" s="847">
        <v>56001</v>
      </c>
      <c r="FT406" s="847">
        <v>57108</v>
      </c>
      <c r="FU406" s="847">
        <v>58235</v>
      </c>
      <c r="FV406" s="847">
        <v>59382</v>
      </c>
      <c r="FW406" s="847">
        <v>60548</v>
      </c>
      <c r="FX406" s="847">
        <v>61735</v>
      </c>
      <c r="FY406" s="847">
        <v>62941</v>
      </c>
      <c r="FZ406" s="847">
        <v>64168</v>
      </c>
      <c r="GA406" s="847">
        <v>65416</v>
      </c>
      <c r="GB406" s="847">
        <v>66684</v>
      </c>
      <c r="GC406" s="847">
        <v>67971</v>
      </c>
      <c r="GD406" s="847">
        <v>69279</v>
      </c>
      <c r="GE406" s="847">
        <v>70605</v>
      </c>
      <c r="GF406" s="847">
        <v>71950</v>
      </c>
      <c r="GG406" s="847">
        <v>73313</v>
      </c>
      <c r="GH406" s="847">
        <v>74693</v>
      </c>
      <c r="GI406" s="847">
        <v>76090</v>
      </c>
      <c r="GJ406" s="847">
        <v>77505</v>
      </c>
      <c r="GK406" s="847">
        <v>78936</v>
      </c>
      <c r="GL406" s="847">
        <v>80383</v>
      </c>
      <c r="GM406" s="847">
        <v>81844</v>
      </c>
      <c r="GN406" s="847">
        <v>83320</v>
      </c>
      <c r="GO406" s="847">
        <v>84808</v>
      </c>
      <c r="GP406" s="847">
        <v>86309</v>
      </c>
      <c r="GQ406" s="847">
        <v>87822</v>
      </c>
      <c r="GR406" s="847">
        <v>89345</v>
      </c>
      <c r="GS406" s="847">
        <v>90880</v>
      </c>
      <c r="GT406" s="847">
        <v>92424</v>
      </c>
      <c r="GU406" s="847">
        <v>93977</v>
      </c>
      <c r="GV406" s="847">
        <v>95538</v>
      </c>
      <c r="GW406" s="847">
        <v>97108</v>
      </c>
      <c r="GX406" s="847">
        <v>98685</v>
      </c>
      <c r="GY406" s="847">
        <v>100269</v>
      </c>
      <c r="GZ406" s="847">
        <v>101858</v>
      </c>
      <c r="HA406" s="847">
        <v>103453</v>
      </c>
      <c r="HB406" s="847">
        <v>105053</v>
      </c>
      <c r="HC406" s="847">
        <v>106652</v>
      </c>
      <c r="HD406" s="847">
        <v>108243</v>
      </c>
      <c r="HE406" s="847">
        <v>109833</v>
      </c>
      <c r="HF406" s="847">
        <v>111421</v>
      </c>
      <c r="HG406" s="847">
        <v>113007</v>
      </c>
      <c r="HH406" s="847">
        <v>114589</v>
      </c>
      <c r="HI406" s="847">
        <v>116168</v>
      </c>
      <c r="HJ406" s="847">
        <v>117743</v>
      </c>
      <c r="HK406" s="847">
        <v>119312</v>
      </c>
      <c r="HL406" s="847">
        <v>120877</v>
      </c>
      <c r="HM406" s="847">
        <v>122437</v>
      </c>
      <c r="HN406" s="847">
        <v>123991</v>
      </c>
      <c r="HO406" s="847">
        <v>125539</v>
      </c>
      <c r="HP406" s="847">
        <v>127081</v>
      </c>
      <c r="HQ406" s="847">
        <v>128616</v>
      </c>
      <c r="HR406" s="847">
        <v>130146</v>
      </c>
      <c r="HS406" s="847">
        <v>131670</v>
      </c>
      <c r="HT406" s="847">
        <v>133185</v>
      </c>
      <c r="HU406" s="847">
        <v>134660</v>
      </c>
      <c r="HV406" s="847">
        <v>136000</v>
      </c>
      <c r="HW406" s="847">
        <v>0</v>
      </c>
      <c r="HX406" s="847">
        <v>0</v>
      </c>
      <c r="HY406" s="847">
        <v>0</v>
      </c>
      <c r="HZ406" s="847">
        <v>0</v>
      </c>
      <c r="IA406" s="847">
        <v>0</v>
      </c>
      <c r="IB406" s="847">
        <v>0</v>
      </c>
      <c r="IC406" s="847">
        <v>0</v>
      </c>
      <c r="ID406" s="847">
        <v>0</v>
      </c>
      <c r="IE406" s="847">
        <v>0</v>
      </c>
      <c r="IF406" s="847">
        <v>0</v>
      </c>
      <c r="IG406" s="847">
        <v>0</v>
      </c>
      <c r="IH406" s="847">
        <v>0</v>
      </c>
      <c r="II406" s="847">
        <v>0</v>
      </c>
      <c r="IJ406" s="847">
        <v>0</v>
      </c>
      <c r="IK406" s="847">
        <v>0</v>
      </c>
    </row>
    <row r="407" spans="12:245" hidden="1">
      <c r="L407" s="843" t="s">
        <v>1060</v>
      </c>
      <c r="M407" s="843" t="s">
        <v>1382</v>
      </c>
      <c r="N407" s="843" t="s">
        <v>97</v>
      </c>
      <c r="O407" s="844">
        <v>16</v>
      </c>
      <c r="P407" s="780" t="str">
        <f t="shared" si="14"/>
        <v>IWT060216</v>
      </c>
      <c r="Q407" s="844">
        <v>2201</v>
      </c>
      <c r="R407" s="844">
        <v>6226</v>
      </c>
      <c r="S407" s="844">
        <v>10820</v>
      </c>
      <c r="T407" s="844">
        <v>15997</v>
      </c>
      <c r="U407" s="844">
        <v>21774</v>
      </c>
      <c r="V407" s="844">
        <v>27887</v>
      </c>
      <c r="W407" s="844">
        <v>28732</v>
      </c>
      <c r="X407" s="844">
        <v>29306</v>
      </c>
      <c r="Y407" s="844">
        <v>29892</v>
      </c>
      <c r="Z407" s="844">
        <v>30490</v>
      </c>
      <c r="AA407" s="844">
        <v>31100</v>
      </c>
      <c r="AB407" s="844">
        <v>31722</v>
      </c>
      <c r="AC407" s="844">
        <v>32357</v>
      </c>
      <c r="AD407" s="844">
        <v>33004</v>
      </c>
      <c r="AE407" s="844">
        <v>33664</v>
      </c>
      <c r="AF407" s="844">
        <v>34337</v>
      </c>
      <c r="AG407" s="844">
        <v>35024</v>
      </c>
      <c r="AH407" s="844">
        <v>35724</v>
      </c>
      <c r="AI407" s="844">
        <v>36439</v>
      </c>
      <c r="AJ407" s="844">
        <v>37168</v>
      </c>
      <c r="AK407" s="844">
        <v>37911</v>
      </c>
      <c r="AL407" s="844">
        <v>38669</v>
      </c>
      <c r="AM407" s="844">
        <v>39442</v>
      </c>
      <c r="AN407" s="844">
        <v>40231</v>
      </c>
      <c r="AO407" s="844">
        <v>41036</v>
      </c>
      <c r="AP407" s="844">
        <v>41857</v>
      </c>
      <c r="AQ407" s="844">
        <v>42694</v>
      </c>
      <c r="AR407" s="844">
        <v>43548</v>
      </c>
      <c r="AS407" s="844">
        <v>44419</v>
      </c>
      <c r="AT407" s="844">
        <v>45307</v>
      </c>
      <c r="AU407" s="844">
        <v>46213</v>
      </c>
      <c r="AV407" s="844">
        <v>47137</v>
      </c>
      <c r="AW407" s="844">
        <v>48080</v>
      </c>
      <c r="AX407" s="844">
        <v>49040</v>
      </c>
      <c r="AY407" s="844">
        <v>50019</v>
      </c>
      <c r="AZ407" s="844">
        <v>51016</v>
      </c>
      <c r="BA407" s="844">
        <v>52032</v>
      </c>
      <c r="BB407" s="844">
        <v>53066</v>
      </c>
      <c r="BC407" s="844">
        <v>54120</v>
      </c>
      <c r="BD407" s="844">
        <v>55194</v>
      </c>
      <c r="BE407" s="844">
        <v>56287</v>
      </c>
      <c r="BF407" s="844">
        <v>57400</v>
      </c>
      <c r="BG407" s="844">
        <v>58532</v>
      </c>
      <c r="BH407" s="844">
        <v>59684</v>
      </c>
      <c r="BI407" s="844">
        <v>60856</v>
      </c>
      <c r="BJ407" s="844">
        <v>62048</v>
      </c>
      <c r="BK407" s="844">
        <v>63260</v>
      </c>
      <c r="BL407" s="844">
        <v>64492</v>
      </c>
      <c r="BM407" s="844">
        <v>65745</v>
      </c>
      <c r="BN407" s="844">
        <v>67018</v>
      </c>
      <c r="BO407" s="844">
        <v>68310</v>
      </c>
      <c r="BP407" s="844">
        <v>69621</v>
      </c>
      <c r="BQ407" s="844">
        <v>70951</v>
      </c>
      <c r="BR407" s="844">
        <v>72299</v>
      </c>
      <c r="BS407" s="844">
        <v>73664</v>
      </c>
      <c r="BT407" s="844">
        <v>75047</v>
      </c>
      <c r="BU407" s="844">
        <v>76447</v>
      </c>
      <c r="BV407" s="844">
        <v>77863</v>
      </c>
      <c r="BW407" s="844">
        <v>79296</v>
      </c>
      <c r="BX407" s="844">
        <v>80743</v>
      </c>
      <c r="BY407" s="844">
        <v>82205</v>
      </c>
      <c r="BZ407" s="844">
        <v>83679</v>
      </c>
      <c r="CA407" s="844">
        <v>85167</v>
      </c>
      <c r="CB407" s="844">
        <v>86666</v>
      </c>
      <c r="CC407" s="844">
        <v>88177</v>
      </c>
      <c r="CD407" s="844">
        <v>89699</v>
      </c>
      <c r="CE407" s="844">
        <v>91231</v>
      </c>
      <c r="CF407" s="844">
        <v>92772</v>
      </c>
      <c r="CG407" s="844">
        <v>94322</v>
      </c>
      <c r="CH407" s="844">
        <v>95880</v>
      </c>
      <c r="CI407" s="844">
        <v>97446</v>
      </c>
      <c r="CJ407" s="844">
        <v>99019</v>
      </c>
      <c r="CK407" s="844">
        <v>100598</v>
      </c>
      <c r="CL407" s="844">
        <v>102183</v>
      </c>
      <c r="CM407" s="844">
        <v>103773</v>
      </c>
      <c r="CN407" s="844">
        <v>105362</v>
      </c>
      <c r="CO407" s="844">
        <v>106945</v>
      </c>
      <c r="CP407" s="844">
        <v>108526</v>
      </c>
      <c r="CQ407" s="844">
        <v>110107</v>
      </c>
      <c r="CR407" s="844">
        <v>111685</v>
      </c>
      <c r="CS407" s="844">
        <v>113260</v>
      </c>
      <c r="CT407" s="844">
        <v>114833</v>
      </c>
      <c r="CU407" s="844">
        <v>116401</v>
      </c>
      <c r="CV407" s="844">
        <v>117965</v>
      </c>
      <c r="CW407" s="844">
        <v>119525</v>
      </c>
      <c r="CX407" s="844">
        <v>121079</v>
      </c>
      <c r="CY407" s="844">
        <v>122628</v>
      </c>
      <c r="CZ407" s="844">
        <v>124172</v>
      </c>
      <c r="DA407" s="844">
        <v>125710</v>
      </c>
      <c r="DB407" s="844">
        <v>127242</v>
      </c>
      <c r="DC407" s="844">
        <v>128768</v>
      </c>
      <c r="DD407" s="844">
        <v>130288</v>
      </c>
      <c r="DE407" s="844">
        <v>131801</v>
      </c>
      <c r="DF407" s="844">
        <v>133274</v>
      </c>
      <c r="DG407" s="844">
        <v>134600</v>
      </c>
      <c r="DH407" s="844">
        <v>0</v>
      </c>
      <c r="DI407" s="844">
        <v>0</v>
      </c>
      <c r="DJ407" s="844">
        <v>0</v>
      </c>
      <c r="DK407" s="844">
        <v>0</v>
      </c>
      <c r="DL407" s="844">
        <v>0</v>
      </c>
      <c r="DM407" s="844">
        <v>0</v>
      </c>
      <c r="DN407" s="844">
        <v>0</v>
      </c>
      <c r="DO407" s="844">
        <v>0</v>
      </c>
      <c r="DP407" s="844">
        <v>0</v>
      </c>
      <c r="DQ407" s="844">
        <v>0</v>
      </c>
      <c r="DR407" s="844">
        <v>0</v>
      </c>
      <c r="DS407" s="844">
        <v>0</v>
      </c>
      <c r="DT407" s="844">
        <v>0</v>
      </c>
      <c r="DU407" s="844">
        <v>0</v>
      </c>
      <c r="DV407" s="844">
        <v>0</v>
      </c>
      <c r="DW407" s="844">
        <v>0</v>
      </c>
      <c r="DY407" s="846" t="s">
        <v>1060</v>
      </c>
      <c r="DZ407" s="846" t="s">
        <v>1382</v>
      </c>
      <c r="EA407" s="846" t="s">
        <v>97</v>
      </c>
      <c r="EB407" s="847">
        <v>16</v>
      </c>
      <c r="EC407" s="780" t="str">
        <f t="shared" si="15"/>
        <v>IWT060216</v>
      </c>
      <c r="ED407" s="847">
        <v>0</v>
      </c>
      <c r="EE407" s="847">
        <v>2934</v>
      </c>
      <c r="EF407" s="847">
        <v>7783</v>
      </c>
      <c r="EG407" s="847">
        <v>12729</v>
      </c>
      <c r="EH407" s="847">
        <v>17774</v>
      </c>
      <c r="EI407" s="847">
        <v>22920</v>
      </c>
      <c r="EJ407" s="847">
        <v>28169</v>
      </c>
      <c r="EK407" s="847">
        <v>28732</v>
      </c>
      <c r="EL407" s="847">
        <v>29306</v>
      </c>
      <c r="EM407" s="847">
        <v>29892</v>
      </c>
      <c r="EN407" s="847">
        <v>30490</v>
      </c>
      <c r="EO407" s="847">
        <v>31100</v>
      </c>
      <c r="EP407" s="847">
        <v>31722</v>
      </c>
      <c r="EQ407" s="847">
        <v>32357</v>
      </c>
      <c r="ER407" s="847">
        <v>33004</v>
      </c>
      <c r="ES407" s="847">
        <v>33664</v>
      </c>
      <c r="ET407" s="847">
        <v>34337</v>
      </c>
      <c r="EU407" s="847">
        <v>35024</v>
      </c>
      <c r="EV407" s="847">
        <v>35724</v>
      </c>
      <c r="EW407" s="847">
        <v>36439</v>
      </c>
      <c r="EX407" s="847">
        <v>37168</v>
      </c>
      <c r="EY407" s="847">
        <v>37911</v>
      </c>
      <c r="EZ407" s="847">
        <v>38669</v>
      </c>
      <c r="FA407" s="847">
        <v>39442</v>
      </c>
      <c r="FB407" s="847">
        <v>40231</v>
      </c>
      <c r="FC407" s="847">
        <v>41036</v>
      </c>
      <c r="FD407" s="847">
        <v>41857</v>
      </c>
      <c r="FE407" s="847">
        <v>42694</v>
      </c>
      <c r="FF407" s="847">
        <v>43548</v>
      </c>
      <c r="FG407" s="847">
        <v>44419</v>
      </c>
      <c r="FH407" s="847">
        <v>45307</v>
      </c>
      <c r="FI407" s="847">
        <v>46213</v>
      </c>
      <c r="FJ407" s="847">
        <v>47137</v>
      </c>
      <c r="FK407" s="847">
        <v>48080</v>
      </c>
      <c r="FL407" s="847">
        <v>49040</v>
      </c>
      <c r="FM407" s="847">
        <v>50019</v>
      </c>
      <c r="FN407" s="847">
        <v>51016</v>
      </c>
      <c r="FO407" s="847">
        <v>52032</v>
      </c>
      <c r="FP407" s="847">
        <v>53066</v>
      </c>
      <c r="FQ407" s="847">
        <v>54120</v>
      </c>
      <c r="FR407" s="847">
        <v>55194</v>
      </c>
      <c r="FS407" s="847">
        <v>56287</v>
      </c>
      <c r="FT407" s="847">
        <v>57400</v>
      </c>
      <c r="FU407" s="847">
        <v>58532</v>
      </c>
      <c r="FV407" s="847">
        <v>59684</v>
      </c>
      <c r="FW407" s="847">
        <v>60856</v>
      </c>
      <c r="FX407" s="847">
        <v>62048</v>
      </c>
      <c r="FY407" s="847">
        <v>63260</v>
      </c>
      <c r="FZ407" s="847">
        <v>64492</v>
      </c>
      <c r="GA407" s="847">
        <v>65745</v>
      </c>
      <c r="GB407" s="847">
        <v>67018</v>
      </c>
      <c r="GC407" s="847">
        <v>68310</v>
      </c>
      <c r="GD407" s="847">
        <v>69621</v>
      </c>
      <c r="GE407" s="847">
        <v>70951</v>
      </c>
      <c r="GF407" s="847">
        <v>72299</v>
      </c>
      <c r="GG407" s="847">
        <v>73664</v>
      </c>
      <c r="GH407" s="847">
        <v>75047</v>
      </c>
      <c r="GI407" s="847">
        <v>76447</v>
      </c>
      <c r="GJ407" s="847">
        <v>77863</v>
      </c>
      <c r="GK407" s="847">
        <v>79296</v>
      </c>
      <c r="GL407" s="847">
        <v>80743</v>
      </c>
      <c r="GM407" s="847">
        <v>82205</v>
      </c>
      <c r="GN407" s="847">
        <v>83679</v>
      </c>
      <c r="GO407" s="847">
        <v>85167</v>
      </c>
      <c r="GP407" s="847">
        <v>86666</v>
      </c>
      <c r="GQ407" s="847">
        <v>88177</v>
      </c>
      <c r="GR407" s="847">
        <v>89699</v>
      </c>
      <c r="GS407" s="847">
        <v>91231</v>
      </c>
      <c r="GT407" s="847">
        <v>92772</v>
      </c>
      <c r="GU407" s="847">
        <v>94322</v>
      </c>
      <c r="GV407" s="847">
        <v>95880</v>
      </c>
      <c r="GW407" s="847">
        <v>97446</v>
      </c>
      <c r="GX407" s="847">
        <v>99019</v>
      </c>
      <c r="GY407" s="847">
        <v>100598</v>
      </c>
      <c r="GZ407" s="847">
        <v>102183</v>
      </c>
      <c r="HA407" s="847">
        <v>103773</v>
      </c>
      <c r="HB407" s="847">
        <v>105362</v>
      </c>
      <c r="HC407" s="847">
        <v>106945</v>
      </c>
      <c r="HD407" s="847">
        <v>108526</v>
      </c>
      <c r="HE407" s="847">
        <v>110107</v>
      </c>
      <c r="HF407" s="847">
        <v>111685</v>
      </c>
      <c r="HG407" s="847">
        <v>113260</v>
      </c>
      <c r="HH407" s="847">
        <v>114833</v>
      </c>
      <c r="HI407" s="847">
        <v>116401</v>
      </c>
      <c r="HJ407" s="847">
        <v>117965</v>
      </c>
      <c r="HK407" s="847">
        <v>119525</v>
      </c>
      <c r="HL407" s="847">
        <v>121079</v>
      </c>
      <c r="HM407" s="847">
        <v>122628</v>
      </c>
      <c r="HN407" s="847">
        <v>124172</v>
      </c>
      <c r="HO407" s="847">
        <v>125710</v>
      </c>
      <c r="HP407" s="847">
        <v>127242</v>
      </c>
      <c r="HQ407" s="847">
        <v>128768</v>
      </c>
      <c r="HR407" s="847">
        <v>130288</v>
      </c>
      <c r="HS407" s="847">
        <v>131801</v>
      </c>
      <c r="HT407" s="847">
        <v>133274</v>
      </c>
      <c r="HU407" s="847">
        <v>134600</v>
      </c>
      <c r="HV407" s="847">
        <v>0</v>
      </c>
      <c r="HW407" s="847">
        <v>0</v>
      </c>
      <c r="HX407" s="847">
        <v>0</v>
      </c>
      <c r="HY407" s="847">
        <v>0</v>
      </c>
      <c r="HZ407" s="847">
        <v>0</v>
      </c>
      <c r="IA407" s="847">
        <v>0</v>
      </c>
      <c r="IB407" s="847">
        <v>0</v>
      </c>
      <c r="IC407" s="847">
        <v>0</v>
      </c>
      <c r="ID407" s="847">
        <v>0</v>
      </c>
      <c r="IE407" s="847">
        <v>0</v>
      </c>
      <c r="IF407" s="847">
        <v>0</v>
      </c>
      <c r="IG407" s="847">
        <v>0</v>
      </c>
      <c r="IH407" s="847">
        <v>0</v>
      </c>
      <c r="II407" s="847">
        <v>0</v>
      </c>
      <c r="IJ407" s="847">
        <v>0</v>
      </c>
      <c r="IK407" s="847">
        <v>0</v>
      </c>
    </row>
    <row r="408" spans="12:245" hidden="1">
      <c r="L408" s="843" t="s">
        <v>1060</v>
      </c>
      <c r="M408" s="843" t="s">
        <v>1382</v>
      </c>
      <c r="N408" s="843" t="s">
        <v>97</v>
      </c>
      <c r="O408" s="844">
        <v>17</v>
      </c>
      <c r="P408" s="780" t="str">
        <f t="shared" si="14"/>
        <v>IWT060217</v>
      </c>
      <c r="Q408" s="844">
        <v>2211</v>
      </c>
      <c r="R408" s="844">
        <v>6257</v>
      </c>
      <c r="S408" s="844">
        <v>10872</v>
      </c>
      <c r="T408" s="844">
        <v>16075</v>
      </c>
      <c r="U408" s="844">
        <v>21880</v>
      </c>
      <c r="V408" s="844">
        <v>28024</v>
      </c>
      <c r="W408" s="844">
        <v>28872</v>
      </c>
      <c r="X408" s="844">
        <v>29450</v>
      </c>
      <c r="Y408" s="844">
        <v>30038</v>
      </c>
      <c r="Z408" s="844">
        <v>30639</v>
      </c>
      <c r="AA408" s="844">
        <v>31252</v>
      </c>
      <c r="AB408" s="844">
        <v>31877</v>
      </c>
      <c r="AC408" s="844">
        <v>32515</v>
      </c>
      <c r="AD408" s="844">
        <v>33165</v>
      </c>
      <c r="AE408" s="844">
        <v>33828</v>
      </c>
      <c r="AF408" s="844">
        <v>34505</v>
      </c>
      <c r="AG408" s="844">
        <v>35195</v>
      </c>
      <c r="AH408" s="844">
        <v>35899</v>
      </c>
      <c r="AI408" s="844">
        <v>36617</v>
      </c>
      <c r="AJ408" s="844">
        <v>37349</v>
      </c>
      <c r="AK408" s="844">
        <v>38096</v>
      </c>
      <c r="AL408" s="844">
        <v>38858</v>
      </c>
      <c r="AM408" s="844">
        <v>39635</v>
      </c>
      <c r="AN408" s="844">
        <v>40428</v>
      </c>
      <c r="AO408" s="844">
        <v>41236</v>
      </c>
      <c r="AP408" s="844">
        <v>42061</v>
      </c>
      <c r="AQ408" s="844">
        <v>42902</v>
      </c>
      <c r="AR408" s="844">
        <v>43760</v>
      </c>
      <c r="AS408" s="844">
        <v>44635</v>
      </c>
      <c r="AT408" s="844">
        <v>45528</v>
      </c>
      <c r="AU408" s="844">
        <v>46439</v>
      </c>
      <c r="AV408" s="844">
        <v>47368</v>
      </c>
      <c r="AW408" s="844">
        <v>48315</v>
      </c>
      <c r="AX408" s="844">
        <v>49280</v>
      </c>
      <c r="AY408" s="844">
        <v>50264</v>
      </c>
      <c r="AZ408" s="844">
        <v>51266</v>
      </c>
      <c r="BA408" s="844">
        <v>52287</v>
      </c>
      <c r="BB408" s="844">
        <v>53327</v>
      </c>
      <c r="BC408" s="844">
        <v>54387</v>
      </c>
      <c r="BD408" s="844">
        <v>55466</v>
      </c>
      <c r="BE408" s="844">
        <v>56564</v>
      </c>
      <c r="BF408" s="844">
        <v>57682</v>
      </c>
      <c r="BG408" s="844">
        <v>58820</v>
      </c>
      <c r="BH408" s="844">
        <v>59977</v>
      </c>
      <c r="BI408" s="844">
        <v>61154</v>
      </c>
      <c r="BJ408" s="844">
        <v>62351</v>
      </c>
      <c r="BK408" s="844">
        <v>63569</v>
      </c>
      <c r="BL408" s="844">
        <v>64806</v>
      </c>
      <c r="BM408" s="844">
        <v>66064</v>
      </c>
      <c r="BN408" s="844">
        <v>67341</v>
      </c>
      <c r="BO408" s="844">
        <v>68637</v>
      </c>
      <c r="BP408" s="844">
        <v>69952</v>
      </c>
      <c r="BQ408" s="844">
        <v>71285</v>
      </c>
      <c r="BR408" s="844">
        <v>72636</v>
      </c>
      <c r="BS408" s="844">
        <v>74004</v>
      </c>
      <c r="BT408" s="844">
        <v>75389</v>
      </c>
      <c r="BU408" s="844">
        <v>76791</v>
      </c>
      <c r="BV408" s="844">
        <v>78209</v>
      </c>
      <c r="BW408" s="844">
        <v>79642</v>
      </c>
      <c r="BX408" s="844">
        <v>81090</v>
      </c>
      <c r="BY408" s="844">
        <v>82551</v>
      </c>
      <c r="BZ408" s="844">
        <v>84025</v>
      </c>
      <c r="CA408" s="844">
        <v>85511</v>
      </c>
      <c r="CB408" s="844">
        <v>87009</v>
      </c>
      <c r="CC408" s="844">
        <v>88518</v>
      </c>
      <c r="CD408" s="844">
        <v>90038</v>
      </c>
      <c r="CE408" s="844">
        <v>91567</v>
      </c>
      <c r="CF408" s="844">
        <v>93105</v>
      </c>
      <c r="CG408" s="844">
        <v>94652</v>
      </c>
      <c r="CH408" s="844">
        <v>96207</v>
      </c>
      <c r="CI408" s="844">
        <v>97769</v>
      </c>
      <c r="CJ408" s="844">
        <v>99337</v>
      </c>
      <c r="CK408" s="844">
        <v>100912</v>
      </c>
      <c r="CL408" s="844">
        <v>102492</v>
      </c>
      <c r="CM408" s="844">
        <v>104073</v>
      </c>
      <c r="CN408" s="844">
        <v>105646</v>
      </c>
      <c r="CO408" s="844">
        <v>107220</v>
      </c>
      <c r="CP408" s="844">
        <v>108792</v>
      </c>
      <c r="CQ408" s="844">
        <v>110363</v>
      </c>
      <c r="CR408" s="844">
        <v>111932</v>
      </c>
      <c r="CS408" s="844">
        <v>113497</v>
      </c>
      <c r="CT408" s="844">
        <v>115060</v>
      </c>
      <c r="CU408" s="844">
        <v>116618</v>
      </c>
      <c r="CV408" s="844">
        <v>118172</v>
      </c>
      <c r="CW408" s="844">
        <v>119721</v>
      </c>
      <c r="CX408" s="844">
        <v>121266</v>
      </c>
      <c r="CY408" s="844">
        <v>122805</v>
      </c>
      <c r="CZ408" s="844">
        <v>124339</v>
      </c>
      <c r="DA408" s="844">
        <v>125867</v>
      </c>
      <c r="DB408" s="844">
        <v>127390</v>
      </c>
      <c r="DC408" s="844">
        <v>128907</v>
      </c>
      <c r="DD408" s="844">
        <v>130417</v>
      </c>
      <c r="DE408" s="844">
        <v>131888</v>
      </c>
      <c r="DF408" s="844">
        <v>133200</v>
      </c>
      <c r="DG408" s="844">
        <v>0</v>
      </c>
      <c r="DH408" s="844">
        <v>0</v>
      </c>
      <c r="DI408" s="844">
        <v>0</v>
      </c>
      <c r="DJ408" s="844">
        <v>0</v>
      </c>
      <c r="DK408" s="844">
        <v>0</v>
      </c>
      <c r="DL408" s="844">
        <v>0</v>
      </c>
      <c r="DM408" s="844">
        <v>0</v>
      </c>
      <c r="DN408" s="844">
        <v>0</v>
      </c>
      <c r="DO408" s="844">
        <v>0</v>
      </c>
      <c r="DP408" s="844">
        <v>0</v>
      </c>
      <c r="DQ408" s="844">
        <v>0</v>
      </c>
      <c r="DR408" s="844">
        <v>0</v>
      </c>
      <c r="DS408" s="844">
        <v>0</v>
      </c>
      <c r="DT408" s="844">
        <v>0</v>
      </c>
      <c r="DU408" s="844">
        <v>0</v>
      </c>
      <c r="DV408" s="844">
        <v>0</v>
      </c>
      <c r="DW408" s="844">
        <v>0</v>
      </c>
      <c r="DY408" s="846" t="s">
        <v>1060</v>
      </c>
      <c r="DZ408" s="846" t="s">
        <v>1382</v>
      </c>
      <c r="EA408" s="846" t="s">
        <v>97</v>
      </c>
      <c r="EB408" s="847">
        <v>17</v>
      </c>
      <c r="EC408" s="780" t="str">
        <f t="shared" si="15"/>
        <v>IWT060217</v>
      </c>
      <c r="ED408" s="847">
        <v>0</v>
      </c>
      <c r="EE408" s="847">
        <v>2948</v>
      </c>
      <c r="EF408" s="847">
        <v>7821</v>
      </c>
      <c r="EG408" s="847">
        <v>12791</v>
      </c>
      <c r="EH408" s="847">
        <v>17861</v>
      </c>
      <c r="EI408" s="847">
        <v>23032</v>
      </c>
      <c r="EJ408" s="847">
        <v>28307</v>
      </c>
      <c r="EK408" s="847">
        <v>28872</v>
      </c>
      <c r="EL408" s="847">
        <v>29450</v>
      </c>
      <c r="EM408" s="847">
        <v>30038</v>
      </c>
      <c r="EN408" s="847">
        <v>30639</v>
      </c>
      <c r="EO408" s="847">
        <v>31252</v>
      </c>
      <c r="EP408" s="847">
        <v>31877</v>
      </c>
      <c r="EQ408" s="847">
        <v>32515</v>
      </c>
      <c r="ER408" s="847">
        <v>33165</v>
      </c>
      <c r="ES408" s="847">
        <v>33828</v>
      </c>
      <c r="ET408" s="847">
        <v>34505</v>
      </c>
      <c r="EU408" s="847">
        <v>35195</v>
      </c>
      <c r="EV408" s="847">
        <v>35899</v>
      </c>
      <c r="EW408" s="847">
        <v>36617</v>
      </c>
      <c r="EX408" s="847">
        <v>37349</v>
      </c>
      <c r="EY408" s="847">
        <v>38096</v>
      </c>
      <c r="EZ408" s="847">
        <v>38858</v>
      </c>
      <c r="FA408" s="847">
        <v>39635</v>
      </c>
      <c r="FB408" s="847">
        <v>40428</v>
      </c>
      <c r="FC408" s="847">
        <v>41236</v>
      </c>
      <c r="FD408" s="847">
        <v>42061</v>
      </c>
      <c r="FE408" s="847">
        <v>42902</v>
      </c>
      <c r="FF408" s="847">
        <v>43760</v>
      </c>
      <c r="FG408" s="847">
        <v>44635</v>
      </c>
      <c r="FH408" s="847">
        <v>45528</v>
      </c>
      <c r="FI408" s="847">
        <v>46439</v>
      </c>
      <c r="FJ408" s="847">
        <v>47368</v>
      </c>
      <c r="FK408" s="847">
        <v>48315</v>
      </c>
      <c r="FL408" s="847">
        <v>49280</v>
      </c>
      <c r="FM408" s="847">
        <v>50264</v>
      </c>
      <c r="FN408" s="847">
        <v>51266</v>
      </c>
      <c r="FO408" s="847">
        <v>52287</v>
      </c>
      <c r="FP408" s="847">
        <v>53327</v>
      </c>
      <c r="FQ408" s="847">
        <v>54387</v>
      </c>
      <c r="FR408" s="847">
        <v>55466</v>
      </c>
      <c r="FS408" s="847">
        <v>56564</v>
      </c>
      <c r="FT408" s="847">
        <v>57682</v>
      </c>
      <c r="FU408" s="847">
        <v>58820</v>
      </c>
      <c r="FV408" s="847">
        <v>59977</v>
      </c>
      <c r="FW408" s="847">
        <v>61154</v>
      </c>
      <c r="FX408" s="847">
        <v>62351</v>
      </c>
      <c r="FY408" s="847">
        <v>63569</v>
      </c>
      <c r="FZ408" s="847">
        <v>64806</v>
      </c>
      <c r="GA408" s="847">
        <v>66064</v>
      </c>
      <c r="GB408" s="847">
        <v>67341</v>
      </c>
      <c r="GC408" s="847">
        <v>68637</v>
      </c>
      <c r="GD408" s="847">
        <v>69952</v>
      </c>
      <c r="GE408" s="847">
        <v>71285</v>
      </c>
      <c r="GF408" s="847">
        <v>72636</v>
      </c>
      <c r="GG408" s="847">
        <v>74004</v>
      </c>
      <c r="GH408" s="847">
        <v>75389</v>
      </c>
      <c r="GI408" s="847">
        <v>76791</v>
      </c>
      <c r="GJ408" s="847">
        <v>78209</v>
      </c>
      <c r="GK408" s="847">
        <v>79642</v>
      </c>
      <c r="GL408" s="847">
        <v>81090</v>
      </c>
      <c r="GM408" s="847">
        <v>82551</v>
      </c>
      <c r="GN408" s="847">
        <v>84025</v>
      </c>
      <c r="GO408" s="847">
        <v>85511</v>
      </c>
      <c r="GP408" s="847">
        <v>87009</v>
      </c>
      <c r="GQ408" s="847">
        <v>88518</v>
      </c>
      <c r="GR408" s="847">
        <v>90038</v>
      </c>
      <c r="GS408" s="847">
        <v>91567</v>
      </c>
      <c r="GT408" s="847">
        <v>93105</v>
      </c>
      <c r="GU408" s="847">
        <v>94652</v>
      </c>
      <c r="GV408" s="847">
        <v>96207</v>
      </c>
      <c r="GW408" s="847">
        <v>97769</v>
      </c>
      <c r="GX408" s="847">
        <v>99337</v>
      </c>
      <c r="GY408" s="847">
        <v>100912</v>
      </c>
      <c r="GZ408" s="847">
        <v>102492</v>
      </c>
      <c r="HA408" s="847">
        <v>104073</v>
      </c>
      <c r="HB408" s="847">
        <v>105646</v>
      </c>
      <c r="HC408" s="847">
        <v>107220</v>
      </c>
      <c r="HD408" s="847">
        <v>108792</v>
      </c>
      <c r="HE408" s="847">
        <v>110363</v>
      </c>
      <c r="HF408" s="847">
        <v>111932</v>
      </c>
      <c r="HG408" s="847">
        <v>113497</v>
      </c>
      <c r="HH408" s="847">
        <v>115060</v>
      </c>
      <c r="HI408" s="847">
        <v>116618</v>
      </c>
      <c r="HJ408" s="847">
        <v>118172</v>
      </c>
      <c r="HK408" s="847">
        <v>119721</v>
      </c>
      <c r="HL408" s="847">
        <v>121266</v>
      </c>
      <c r="HM408" s="847">
        <v>122805</v>
      </c>
      <c r="HN408" s="847">
        <v>124339</v>
      </c>
      <c r="HO408" s="847">
        <v>125867</v>
      </c>
      <c r="HP408" s="847">
        <v>127390</v>
      </c>
      <c r="HQ408" s="847">
        <v>128907</v>
      </c>
      <c r="HR408" s="847">
        <v>130417</v>
      </c>
      <c r="HS408" s="847">
        <v>131888</v>
      </c>
      <c r="HT408" s="847">
        <v>133200</v>
      </c>
      <c r="HU408" s="847">
        <v>0</v>
      </c>
      <c r="HV408" s="847">
        <v>0</v>
      </c>
      <c r="HW408" s="847">
        <v>0</v>
      </c>
      <c r="HX408" s="847">
        <v>0</v>
      </c>
      <c r="HY408" s="847">
        <v>0</v>
      </c>
      <c r="HZ408" s="847">
        <v>0</v>
      </c>
      <c r="IA408" s="847">
        <v>0</v>
      </c>
      <c r="IB408" s="847">
        <v>0</v>
      </c>
      <c r="IC408" s="847">
        <v>0</v>
      </c>
      <c r="ID408" s="847">
        <v>0</v>
      </c>
      <c r="IE408" s="847">
        <v>0</v>
      </c>
      <c r="IF408" s="847">
        <v>0</v>
      </c>
      <c r="IG408" s="847">
        <v>0</v>
      </c>
      <c r="IH408" s="847">
        <v>0</v>
      </c>
      <c r="II408" s="847">
        <v>0</v>
      </c>
      <c r="IJ408" s="847">
        <v>0</v>
      </c>
      <c r="IK408" s="847">
        <v>0</v>
      </c>
    </row>
    <row r="409" spans="12:245" hidden="1">
      <c r="L409" s="843" t="s">
        <v>1060</v>
      </c>
      <c r="M409" s="843" t="s">
        <v>1382</v>
      </c>
      <c r="N409" s="843" t="s">
        <v>97</v>
      </c>
      <c r="O409" s="844">
        <v>18</v>
      </c>
      <c r="P409" s="780" t="str">
        <f t="shared" si="14"/>
        <v>IWT060218</v>
      </c>
      <c r="Q409" s="844">
        <v>2222</v>
      </c>
      <c r="R409" s="844">
        <v>6286</v>
      </c>
      <c r="S409" s="844">
        <v>10923</v>
      </c>
      <c r="T409" s="844">
        <v>16151</v>
      </c>
      <c r="U409" s="844">
        <v>21983</v>
      </c>
      <c r="V409" s="844">
        <v>28156</v>
      </c>
      <c r="W409" s="844">
        <v>29008</v>
      </c>
      <c r="X409" s="844">
        <v>29588</v>
      </c>
      <c r="Y409" s="844">
        <v>30180</v>
      </c>
      <c r="Z409" s="844">
        <v>30783</v>
      </c>
      <c r="AA409" s="844">
        <v>31399</v>
      </c>
      <c r="AB409" s="844">
        <v>32027</v>
      </c>
      <c r="AC409" s="844">
        <v>32667</v>
      </c>
      <c r="AD409" s="844">
        <v>33321</v>
      </c>
      <c r="AE409" s="844">
        <v>33987</v>
      </c>
      <c r="AF409" s="844">
        <v>34667</v>
      </c>
      <c r="AG409" s="844">
        <v>35360</v>
      </c>
      <c r="AH409" s="844">
        <v>36067</v>
      </c>
      <c r="AI409" s="844">
        <v>36789</v>
      </c>
      <c r="AJ409" s="844">
        <v>37524</v>
      </c>
      <c r="AK409" s="844">
        <v>38275</v>
      </c>
      <c r="AL409" s="844">
        <v>39040</v>
      </c>
      <c r="AM409" s="844">
        <v>39821</v>
      </c>
      <c r="AN409" s="844">
        <v>40618</v>
      </c>
      <c r="AO409" s="844">
        <v>41430</v>
      </c>
      <c r="AP409" s="844">
        <v>42259</v>
      </c>
      <c r="AQ409" s="844">
        <v>43104</v>
      </c>
      <c r="AR409" s="844">
        <v>43966</v>
      </c>
      <c r="AS409" s="844">
        <v>44845</v>
      </c>
      <c r="AT409" s="844">
        <v>45742</v>
      </c>
      <c r="AU409" s="844">
        <v>46657</v>
      </c>
      <c r="AV409" s="844">
        <v>47590</v>
      </c>
      <c r="AW409" s="844">
        <v>48542</v>
      </c>
      <c r="AX409" s="844">
        <v>49512</v>
      </c>
      <c r="AY409" s="844">
        <v>50501</v>
      </c>
      <c r="AZ409" s="844">
        <v>51508</v>
      </c>
      <c r="BA409" s="844">
        <v>52535</v>
      </c>
      <c r="BB409" s="844">
        <v>53580</v>
      </c>
      <c r="BC409" s="844">
        <v>54645</v>
      </c>
      <c r="BD409" s="844">
        <v>55729</v>
      </c>
      <c r="BE409" s="844">
        <v>56832</v>
      </c>
      <c r="BF409" s="844">
        <v>57955</v>
      </c>
      <c r="BG409" s="844">
        <v>59098</v>
      </c>
      <c r="BH409" s="844">
        <v>60260</v>
      </c>
      <c r="BI409" s="844">
        <v>61443</v>
      </c>
      <c r="BJ409" s="844">
        <v>62645</v>
      </c>
      <c r="BK409" s="844">
        <v>63868</v>
      </c>
      <c r="BL409" s="844">
        <v>65110</v>
      </c>
      <c r="BM409" s="844">
        <v>66372</v>
      </c>
      <c r="BN409" s="844">
        <v>67653</v>
      </c>
      <c r="BO409" s="844">
        <v>68953</v>
      </c>
      <c r="BP409" s="844">
        <v>70271</v>
      </c>
      <c r="BQ409" s="844">
        <v>71607</v>
      </c>
      <c r="BR409" s="844">
        <v>72960</v>
      </c>
      <c r="BS409" s="844">
        <v>74331</v>
      </c>
      <c r="BT409" s="844">
        <v>75718</v>
      </c>
      <c r="BU409" s="844">
        <v>77122</v>
      </c>
      <c r="BV409" s="844">
        <v>78541</v>
      </c>
      <c r="BW409" s="844">
        <v>79975</v>
      </c>
      <c r="BX409" s="844">
        <v>81422</v>
      </c>
      <c r="BY409" s="844">
        <v>82883</v>
      </c>
      <c r="BZ409" s="844">
        <v>84356</v>
      </c>
      <c r="CA409" s="844">
        <v>85841</v>
      </c>
      <c r="CB409" s="844">
        <v>87338</v>
      </c>
      <c r="CC409" s="844">
        <v>88845</v>
      </c>
      <c r="CD409" s="844">
        <v>90362</v>
      </c>
      <c r="CE409" s="844">
        <v>91888</v>
      </c>
      <c r="CF409" s="844">
        <v>93424</v>
      </c>
      <c r="CG409" s="844">
        <v>94968</v>
      </c>
      <c r="CH409" s="844">
        <v>96519</v>
      </c>
      <c r="CI409" s="844">
        <v>98077</v>
      </c>
      <c r="CJ409" s="844">
        <v>99642</v>
      </c>
      <c r="CK409" s="844">
        <v>101212</v>
      </c>
      <c r="CL409" s="844">
        <v>102783</v>
      </c>
      <c r="CM409" s="844">
        <v>104348</v>
      </c>
      <c r="CN409" s="844">
        <v>105913</v>
      </c>
      <c r="CO409" s="844">
        <v>107478</v>
      </c>
      <c r="CP409" s="844">
        <v>109041</v>
      </c>
      <c r="CQ409" s="844">
        <v>110603</v>
      </c>
      <c r="CR409" s="844">
        <v>112162</v>
      </c>
      <c r="CS409" s="844">
        <v>113718</v>
      </c>
      <c r="CT409" s="844">
        <v>115271</v>
      </c>
      <c r="CU409" s="844">
        <v>116819</v>
      </c>
      <c r="CV409" s="844">
        <v>118363</v>
      </c>
      <c r="CW409" s="844">
        <v>119903</v>
      </c>
      <c r="CX409" s="844">
        <v>121438</v>
      </c>
      <c r="CY409" s="844">
        <v>122968</v>
      </c>
      <c r="CZ409" s="844">
        <v>124492</v>
      </c>
      <c r="DA409" s="844">
        <v>126012</v>
      </c>
      <c r="DB409" s="844">
        <v>127525</v>
      </c>
      <c r="DC409" s="844">
        <v>129032</v>
      </c>
      <c r="DD409" s="844">
        <v>130501</v>
      </c>
      <c r="DE409" s="844">
        <v>131800</v>
      </c>
      <c r="DF409" s="844">
        <v>0</v>
      </c>
      <c r="DG409" s="844">
        <v>0</v>
      </c>
      <c r="DH409" s="844">
        <v>0</v>
      </c>
      <c r="DI409" s="844">
        <v>0</v>
      </c>
      <c r="DJ409" s="844">
        <v>0</v>
      </c>
      <c r="DK409" s="844">
        <v>0</v>
      </c>
      <c r="DL409" s="844">
        <v>0</v>
      </c>
      <c r="DM409" s="844">
        <v>0</v>
      </c>
      <c r="DN409" s="844">
        <v>0</v>
      </c>
      <c r="DO409" s="844">
        <v>0</v>
      </c>
      <c r="DP409" s="844">
        <v>0</v>
      </c>
      <c r="DQ409" s="844">
        <v>0</v>
      </c>
      <c r="DR409" s="844">
        <v>0</v>
      </c>
      <c r="DS409" s="844">
        <v>0</v>
      </c>
      <c r="DT409" s="844">
        <v>0</v>
      </c>
      <c r="DU409" s="844">
        <v>0</v>
      </c>
      <c r="DV409" s="844">
        <v>0</v>
      </c>
      <c r="DW409" s="844">
        <v>0</v>
      </c>
      <c r="DY409" s="846" t="s">
        <v>1060</v>
      </c>
      <c r="DZ409" s="846" t="s">
        <v>1382</v>
      </c>
      <c r="EA409" s="846" t="s">
        <v>97</v>
      </c>
      <c r="EB409" s="847">
        <v>18</v>
      </c>
      <c r="EC409" s="780" t="str">
        <f t="shared" si="15"/>
        <v>IWT060218</v>
      </c>
      <c r="ED409" s="847">
        <v>0</v>
      </c>
      <c r="EE409" s="847">
        <v>2962</v>
      </c>
      <c r="EF409" s="847">
        <v>7857</v>
      </c>
      <c r="EG409" s="847">
        <v>12851</v>
      </c>
      <c r="EH409" s="847">
        <v>17945</v>
      </c>
      <c r="EI409" s="847">
        <v>23140</v>
      </c>
      <c r="EJ409" s="847">
        <v>28440</v>
      </c>
      <c r="EK409" s="847">
        <v>29008</v>
      </c>
      <c r="EL409" s="847">
        <v>29588</v>
      </c>
      <c r="EM409" s="847">
        <v>30180</v>
      </c>
      <c r="EN409" s="847">
        <v>30783</v>
      </c>
      <c r="EO409" s="847">
        <v>31399</v>
      </c>
      <c r="EP409" s="847">
        <v>32027</v>
      </c>
      <c r="EQ409" s="847">
        <v>32667</v>
      </c>
      <c r="ER409" s="847">
        <v>33321</v>
      </c>
      <c r="ES409" s="847">
        <v>33987</v>
      </c>
      <c r="ET409" s="847">
        <v>34667</v>
      </c>
      <c r="EU409" s="847">
        <v>35360</v>
      </c>
      <c r="EV409" s="847">
        <v>36067</v>
      </c>
      <c r="EW409" s="847">
        <v>36789</v>
      </c>
      <c r="EX409" s="847">
        <v>37524</v>
      </c>
      <c r="EY409" s="847">
        <v>38275</v>
      </c>
      <c r="EZ409" s="847">
        <v>39040</v>
      </c>
      <c r="FA409" s="847">
        <v>39821</v>
      </c>
      <c r="FB409" s="847">
        <v>40618</v>
      </c>
      <c r="FC409" s="847">
        <v>41430</v>
      </c>
      <c r="FD409" s="847">
        <v>42259</v>
      </c>
      <c r="FE409" s="847">
        <v>43104</v>
      </c>
      <c r="FF409" s="847">
        <v>43966</v>
      </c>
      <c r="FG409" s="847">
        <v>44845</v>
      </c>
      <c r="FH409" s="847">
        <v>45742</v>
      </c>
      <c r="FI409" s="847">
        <v>46657</v>
      </c>
      <c r="FJ409" s="847">
        <v>47590</v>
      </c>
      <c r="FK409" s="847">
        <v>48542</v>
      </c>
      <c r="FL409" s="847">
        <v>49512</v>
      </c>
      <c r="FM409" s="847">
        <v>50501</v>
      </c>
      <c r="FN409" s="847">
        <v>51508</v>
      </c>
      <c r="FO409" s="847">
        <v>52535</v>
      </c>
      <c r="FP409" s="847">
        <v>53580</v>
      </c>
      <c r="FQ409" s="847">
        <v>54645</v>
      </c>
      <c r="FR409" s="847">
        <v>55729</v>
      </c>
      <c r="FS409" s="847">
        <v>56832</v>
      </c>
      <c r="FT409" s="847">
        <v>57955</v>
      </c>
      <c r="FU409" s="847">
        <v>59098</v>
      </c>
      <c r="FV409" s="847">
        <v>60260</v>
      </c>
      <c r="FW409" s="847">
        <v>61443</v>
      </c>
      <c r="FX409" s="847">
        <v>62645</v>
      </c>
      <c r="FY409" s="847">
        <v>63868</v>
      </c>
      <c r="FZ409" s="847">
        <v>65110</v>
      </c>
      <c r="GA409" s="847">
        <v>66372</v>
      </c>
      <c r="GB409" s="847">
        <v>67653</v>
      </c>
      <c r="GC409" s="847">
        <v>68953</v>
      </c>
      <c r="GD409" s="847">
        <v>70271</v>
      </c>
      <c r="GE409" s="847">
        <v>71607</v>
      </c>
      <c r="GF409" s="847">
        <v>72960</v>
      </c>
      <c r="GG409" s="847">
        <v>74331</v>
      </c>
      <c r="GH409" s="847">
        <v>75718</v>
      </c>
      <c r="GI409" s="847">
        <v>77122</v>
      </c>
      <c r="GJ409" s="847">
        <v>78541</v>
      </c>
      <c r="GK409" s="847">
        <v>79975</v>
      </c>
      <c r="GL409" s="847">
        <v>81422</v>
      </c>
      <c r="GM409" s="847">
        <v>82883</v>
      </c>
      <c r="GN409" s="847">
        <v>84356</v>
      </c>
      <c r="GO409" s="847">
        <v>85841</v>
      </c>
      <c r="GP409" s="847">
        <v>87338</v>
      </c>
      <c r="GQ409" s="847">
        <v>88845</v>
      </c>
      <c r="GR409" s="847">
        <v>90362</v>
      </c>
      <c r="GS409" s="847">
        <v>91888</v>
      </c>
      <c r="GT409" s="847">
        <v>93424</v>
      </c>
      <c r="GU409" s="847">
        <v>94968</v>
      </c>
      <c r="GV409" s="847">
        <v>96519</v>
      </c>
      <c r="GW409" s="847">
        <v>98077</v>
      </c>
      <c r="GX409" s="847">
        <v>99642</v>
      </c>
      <c r="GY409" s="847">
        <v>101212</v>
      </c>
      <c r="GZ409" s="847">
        <v>102783</v>
      </c>
      <c r="HA409" s="847">
        <v>104348</v>
      </c>
      <c r="HB409" s="847">
        <v>105913</v>
      </c>
      <c r="HC409" s="847">
        <v>107478</v>
      </c>
      <c r="HD409" s="847">
        <v>109041</v>
      </c>
      <c r="HE409" s="847">
        <v>110603</v>
      </c>
      <c r="HF409" s="847">
        <v>112162</v>
      </c>
      <c r="HG409" s="847">
        <v>113718</v>
      </c>
      <c r="HH409" s="847">
        <v>115271</v>
      </c>
      <c r="HI409" s="847">
        <v>116819</v>
      </c>
      <c r="HJ409" s="847">
        <v>118363</v>
      </c>
      <c r="HK409" s="847">
        <v>119903</v>
      </c>
      <c r="HL409" s="847">
        <v>121438</v>
      </c>
      <c r="HM409" s="847">
        <v>122968</v>
      </c>
      <c r="HN409" s="847">
        <v>124492</v>
      </c>
      <c r="HO409" s="847">
        <v>126012</v>
      </c>
      <c r="HP409" s="847">
        <v>127525</v>
      </c>
      <c r="HQ409" s="847">
        <v>129032</v>
      </c>
      <c r="HR409" s="847">
        <v>130501</v>
      </c>
      <c r="HS409" s="847">
        <v>131800</v>
      </c>
      <c r="HT409" s="847">
        <v>0</v>
      </c>
      <c r="HU409" s="847">
        <v>0</v>
      </c>
      <c r="HV409" s="847">
        <v>0</v>
      </c>
      <c r="HW409" s="847">
        <v>0</v>
      </c>
      <c r="HX409" s="847">
        <v>0</v>
      </c>
      <c r="HY409" s="847">
        <v>0</v>
      </c>
      <c r="HZ409" s="847">
        <v>0</v>
      </c>
      <c r="IA409" s="847">
        <v>0</v>
      </c>
      <c r="IB409" s="847">
        <v>0</v>
      </c>
      <c r="IC409" s="847">
        <v>0</v>
      </c>
      <c r="ID409" s="847">
        <v>0</v>
      </c>
      <c r="IE409" s="847">
        <v>0</v>
      </c>
      <c r="IF409" s="847">
        <v>0</v>
      </c>
      <c r="IG409" s="847">
        <v>0</v>
      </c>
      <c r="IH409" s="847">
        <v>0</v>
      </c>
      <c r="II409" s="847">
        <v>0</v>
      </c>
      <c r="IJ409" s="847">
        <v>0</v>
      </c>
      <c r="IK409" s="847">
        <v>0</v>
      </c>
    </row>
    <row r="410" spans="12:245" hidden="1">
      <c r="L410" s="843" t="s">
        <v>1060</v>
      </c>
      <c r="M410" s="843" t="s">
        <v>1382</v>
      </c>
      <c r="N410" s="843" t="s">
        <v>97</v>
      </c>
      <c r="O410" s="844">
        <v>19</v>
      </c>
      <c r="P410" s="780" t="str">
        <f t="shared" si="14"/>
        <v>IWT060219</v>
      </c>
      <c r="Q410" s="844">
        <v>2231</v>
      </c>
      <c r="R410" s="844">
        <v>6314</v>
      </c>
      <c r="S410" s="844">
        <v>10973</v>
      </c>
      <c r="T410" s="844">
        <v>16223</v>
      </c>
      <c r="U410" s="844">
        <v>22083</v>
      </c>
      <c r="V410" s="844">
        <v>28282</v>
      </c>
      <c r="W410" s="844">
        <v>29139</v>
      </c>
      <c r="X410" s="844">
        <v>29721</v>
      </c>
      <c r="Y410" s="844">
        <v>30315</v>
      </c>
      <c r="Z410" s="844">
        <v>30922</v>
      </c>
      <c r="AA410" s="844">
        <v>31540</v>
      </c>
      <c r="AB410" s="844">
        <v>32171</v>
      </c>
      <c r="AC410" s="844">
        <v>32814</v>
      </c>
      <c r="AD410" s="844">
        <v>33471</v>
      </c>
      <c r="AE410" s="844">
        <v>34140</v>
      </c>
      <c r="AF410" s="844">
        <v>34823</v>
      </c>
      <c r="AG410" s="844">
        <v>35519</v>
      </c>
      <c r="AH410" s="844">
        <v>36230</v>
      </c>
      <c r="AI410" s="844">
        <v>36954</v>
      </c>
      <c r="AJ410" s="844">
        <v>37693</v>
      </c>
      <c r="AK410" s="844">
        <v>38447</v>
      </c>
      <c r="AL410" s="844">
        <v>39216</v>
      </c>
      <c r="AM410" s="844">
        <v>40001</v>
      </c>
      <c r="AN410" s="844">
        <v>40801</v>
      </c>
      <c r="AO410" s="844">
        <v>41617</v>
      </c>
      <c r="AP410" s="844">
        <v>42449</v>
      </c>
      <c r="AQ410" s="844">
        <v>43298</v>
      </c>
      <c r="AR410" s="844">
        <v>44164</v>
      </c>
      <c r="AS410" s="844">
        <v>45047</v>
      </c>
      <c r="AT410" s="844">
        <v>45948</v>
      </c>
      <c r="AU410" s="844">
        <v>46867</v>
      </c>
      <c r="AV410" s="844">
        <v>47804</v>
      </c>
      <c r="AW410" s="844">
        <v>48760</v>
      </c>
      <c r="AX410" s="844">
        <v>49736</v>
      </c>
      <c r="AY410" s="844">
        <v>50729</v>
      </c>
      <c r="AZ410" s="844">
        <v>51742</v>
      </c>
      <c r="BA410" s="844">
        <v>52773</v>
      </c>
      <c r="BB410" s="844">
        <v>53824</v>
      </c>
      <c r="BC410" s="844">
        <v>54893</v>
      </c>
      <c r="BD410" s="844">
        <v>55982</v>
      </c>
      <c r="BE410" s="844">
        <v>57091</v>
      </c>
      <c r="BF410" s="844">
        <v>58219</v>
      </c>
      <c r="BG410" s="844">
        <v>59367</v>
      </c>
      <c r="BH410" s="844">
        <v>60534</v>
      </c>
      <c r="BI410" s="844">
        <v>61722</v>
      </c>
      <c r="BJ410" s="844">
        <v>62929</v>
      </c>
      <c r="BK410" s="844">
        <v>64157</v>
      </c>
      <c r="BL410" s="844">
        <v>65403</v>
      </c>
      <c r="BM410" s="844">
        <v>66669</v>
      </c>
      <c r="BN410" s="844">
        <v>67954</v>
      </c>
      <c r="BO410" s="844">
        <v>69257</v>
      </c>
      <c r="BP410" s="844">
        <v>70578</v>
      </c>
      <c r="BQ410" s="844">
        <v>71917</v>
      </c>
      <c r="BR410" s="844">
        <v>73273</v>
      </c>
      <c r="BS410" s="844">
        <v>74646</v>
      </c>
      <c r="BT410" s="844">
        <v>76035</v>
      </c>
      <c r="BU410" s="844">
        <v>77440</v>
      </c>
      <c r="BV410" s="844">
        <v>78860</v>
      </c>
      <c r="BW410" s="844">
        <v>80293</v>
      </c>
      <c r="BX410" s="844">
        <v>81741</v>
      </c>
      <c r="BY410" s="844">
        <v>83201</v>
      </c>
      <c r="BZ410" s="844">
        <v>84673</v>
      </c>
      <c r="CA410" s="844">
        <v>86157</v>
      </c>
      <c r="CB410" s="844">
        <v>87652</v>
      </c>
      <c r="CC410" s="844">
        <v>89157</v>
      </c>
      <c r="CD410" s="844">
        <v>90672</v>
      </c>
      <c r="CE410" s="844">
        <v>92196</v>
      </c>
      <c r="CF410" s="844">
        <v>93728</v>
      </c>
      <c r="CG410" s="844">
        <v>95269</v>
      </c>
      <c r="CH410" s="844">
        <v>96817</v>
      </c>
      <c r="CI410" s="844">
        <v>98371</v>
      </c>
      <c r="CJ410" s="844">
        <v>99932</v>
      </c>
      <c r="CK410" s="844">
        <v>101494</v>
      </c>
      <c r="CL410" s="844">
        <v>103050</v>
      </c>
      <c r="CM410" s="844">
        <v>104607</v>
      </c>
      <c r="CN410" s="844">
        <v>106164</v>
      </c>
      <c r="CO410" s="844">
        <v>107720</v>
      </c>
      <c r="CP410" s="844">
        <v>109274</v>
      </c>
      <c r="CQ410" s="844">
        <v>110827</v>
      </c>
      <c r="CR410" s="844">
        <v>112377</v>
      </c>
      <c r="CS410" s="844">
        <v>113923</v>
      </c>
      <c r="CT410" s="844">
        <v>115466</v>
      </c>
      <c r="CU410" s="844">
        <v>117006</v>
      </c>
      <c r="CV410" s="844">
        <v>118541</v>
      </c>
      <c r="CW410" s="844">
        <v>120071</v>
      </c>
      <c r="CX410" s="844">
        <v>121597</v>
      </c>
      <c r="CY410" s="844">
        <v>123118</v>
      </c>
      <c r="CZ410" s="844">
        <v>124633</v>
      </c>
      <c r="DA410" s="844">
        <v>126144</v>
      </c>
      <c r="DB410" s="844">
        <v>127648</v>
      </c>
      <c r="DC410" s="844">
        <v>129115</v>
      </c>
      <c r="DD410" s="844">
        <v>130400</v>
      </c>
      <c r="DE410" s="844">
        <v>0</v>
      </c>
      <c r="DF410" s="844">
        <v>0</v>
      </c>
      <c r="DG410" s="844">
        <v>0</v>
      </c>
      <c r="DH410" s="844">
        <v>0</v>
      </c>
      <c r="DI410" s="844">
        <v>0</v>
      </c>
      <c r="DJ410" s="844">
        <v>0</v>
      </c>
      <c r="DK410" s="844">
        <v>0</v>
      </c>
      <c r="DL410" s="844">
        <v>0</v>
      </c>
      <c r="DM410" s="844">
        <v>0</v>
      </c>
      <c r="DN410" s="844">
        <v>0</v>
      </c>
      <c r="DO410" s="844">
        <v>0</v>
      </c>
      <c r="DP410" s="844">
        <v>0</v>
      </c>
      <c r="DQ410" s="844">
        <v>0</v>
      </c>
      <c r="DR410" s="844">
        <v>0</v>
      </c>
      <c r="DS410" s="844">
        <v>0</v>
      </c>
      <c r="DT410" s="844">
        <v>0</v>
      </c>
      <c r="DU410" s="844">
        <v>0</v>
      </c>
      <c r="DV410" s="844">
        <v>0</v>
      </c>
      <c r="DW410" s="844">
        <v>0</v>
      </c>
      <c r="DY410" s="846" t="s">
        <v>1060</v>
      </c>
      <c r="DZ410" s="846" t="s">
        <v>1382</v>
      </c>
      <c r="EA410" s="846" t="s">
        <v>97</v>
      </c>
      <c r="EB410" s="847">
        <v>19</v>
      </c>
      <c r="EC410" s="780" t="str">
        <f t="shared" si="15"/>
        <v>IWT060219</v>
      </c>
      <c r="ED410" s="847">
        <v>0</v>
      </c>
      <c r="EE410" s="847">
        <v>2975</v>
      </c>
      <c r="EF410" s="847">
        <v>7893</v>
      </c>
      <c r="EG410" s="847">
        <v>12909</v>
      </c>
      <c r="EH410" s="847">
        <v>18026</v>
      </c>
      <c r="EI410" s="847">
        <v>23245</v>
      </c>
      <c r="EJ410" s="847">
        <v>28568</v>
      </c>
      <c r="EK410" s="847">
        <v>29139</v>
      </c>
      <c r="EL410" s="847">
        <v>29721</v>
      </c>
      <c r="EM410" s="847">
        <v>30315</v>
      </c>
      <c r="EN410" s="847">
        <v>30922</v>
      </c>
      <c r="EO410" s="847">
        <v>31540</v>
      </c>
      <c r="EP410" s="847">
        <v>32171</v>
      </c>
      <c r="EQ410" s="847">
        <v>32814</v>
      </c>
      <c r="ER410" s="847">
        <v>33471</v>
      </c>
      <c r="ES410" s="847">
        <v>34140</v>
      </c>
      <c r="ET410" s="847">
        <v>34823</v>
      </c>
      <c r="EU410" s="847">
        <v>35519</v>
      </c>
      <c r="EV410" s="847">
        <v>36230</v>
      </c>
      <c r="EW410" s="847">
        <v>36954</v>
      </c>
      <c r="EX410" s="847">
        <v>37693</v>
      </c>
      <c r="EY410" s="847">
        <v>38447</v>
      </c>
      <c r="EZ410" s="847">
        <v>39216</v>
      </c>
      <c r="FA410" s="847">
        <v>40001</v>
      </c>
      <c r="FB410" s="847">
        <v>40801</v>
      </c>
      <c r="FC410" s="847">
        <v>41617</v>
      </c>
      <c r="FD410" s="847">
        <v>42449</v>
      </c>
      <c r="FE410" s="847">
        <v>43298</v>
      </c>
      <c r="FF410" s="847">
        <v>44164</v>
      </c>
      <c r="FG410" s="847">
        <v>45047</v>
      </c>
      <c r="FH410" s="847">
        <v>45948</v>
      </c>
      <c r="FI410" s="847">
        <v>46867</v>
      </c>
      <c r="FJ410" s="847">
        <v>47804</v>
      </c>
      <c r="FK410" s="847">
        <v>48760</v>
      </c>
      <c r="FL410" s="847">
        <v>49736</v>
      </c>
      <c r="FM410" s="847">
        <v>50729</v>
      </c>
      <c r="FN410" s="847">
        <v>51742</v>
      </c>
      <c r="FO410" s="847">
        <v>52773</v>
      </c>
      <c r="FP410" s="847">
        <v>53824</v>
      </c>
      <c r="FQ410" s="847">
        <v>54893</v>
      </c>
      <c r="FR410" s="847">
        <v>55982</v>
      </c>
      <c r="FS410" s="847">
        <v>57091</v>
      </c>
      <c r="FT410" s="847">
        <v>58219</v>
      </c>
      <c r="FU410" s="847">
        <v>59367</v>
      </c>
      <c r="FV410" s="847">
        <v>60534</v>
      </c>
      <c r="FW410" s="847">
        <v>61722</v>
      </c>
      <c r="FX410" s="847">
        <v>62929</v>
      </c>
      <c r="FY410" s="847">
        <v>64157</v>
      </c>
      <c r="FZ410" s="847">
        <v>65403</v>
      </c>
      <c r="GA410" s="847">
        <v>66669</v>
      </c>
      <c r="GB410" s="847">
        <v>67954</v>
      </c>
      <c r="GC410" s="847">
        <v>69257</v>
      </c>
      <c r="GD410" s="847">
        <v>70578</v>
      </c>
      <c r="GE410" s="847">
        <v>71917</v>
      </c>
      <c r="GF410" s="847">
        <v>73273</v>
      </c>
      <c r="GG410" s="847">
        <v>74646</v>
      </c>
      <c r="GH410" s="847">
        <v>76035</v>
      </c>
      <c r="GI410" s="847">
        <v>77440</v>
      </c>
      <c r="GJ410" s="847">
        <v>78860</v>
      </c>
      <c r="GK410" s="847">
        <v>80293</v>
      </c>
      <c r="GL410" s="847">
        <v>81741</v>
      </c>
      <c r="GM410" s="847">
        <v>83201</v>
      </c>
      <c r="GN410" s="847">
        <v>84673</v>
      </c>
      <c r="GO410" s="847">
        <v>86157</v>
      </c>
      <c r="GP410" s="847">
        <v>87652</v>
      </c>
      <c r="GQ410" s="847">
        <v>89157</v>
      </c>
      <c r="GR410" s="847">
        <v>90672</v>
      </c>
      <c r="GS410" s="847">
        <v>92196</v>
      </c>
      <c r="GT410" s="847">
        <v>93728</v>
      </c>
      <c r="GU410" s="847">
        <v>95269</v>
      </c>
      <c r="GV410" s="847">
        <v>96817</v>
      </c>
      <c r="GW410" s="847">
        <v>98371</v>
      </c>
      <c r="GX410" s="847">
        <v>99932</v>
      </c>
      <c r="GY410" s="847">
        <v>101494</v>
      </c>
      <c r="GZ410" s="847">
        <v>103050</v>
      </c>
      <c r="HA410" s="847">
        <v>104607</v>
      </c>
      <c r="HB410" s="847">
        <v>106164</v>
      </c>
      <c r="HC410" s="847">
        <v>107720</v>
      </c>
      <c r="HD410" s="847">
        <v>109274</v>
      </c>
      <c r="HE410" s="847">
        <v>110827</v>
      </c>
      <c r="HF410" s="847">
        <v>112377</v>
      </c>
      <c r="HG410" s="847">
        <v>113923</v>
      </c>
      <c r="HH410" s="847">
        <v>115466</v>
      </c>
      <c r="HI410" s="847">
        <v>117006</v>
      </c>
      <c r="HJ410" s="847">
        <v>118541</v>
      </c>
      <c r="HK410" s="847">
        <v>120071</v>
      </c>
      <c r="HL410" s="847">
        <v>121597</v>
      </c>
      <c r="HM410" s="847">
        <v>123118</v>
      </c>
      <c r="HN410" s="847">
        <v>124633</v>
      </c>
      <c r="HO410" s="847">
        <v>126144</v>
      </c>
      <c r="HP410" s="847">
        <v>127648</v>
      </c>
      <c r="HQ410" s="847">
        <v>129115</v>
      </c>
      <c r="HR410" s="847">
        <v>130400</v>
      </c>
      <c r="HS410" s="847">
        <v>0</v>
      </c>
      <c r="HT410" s="847">
        <v>0</v>
      </c>
      <c r="HU410" s="847">
        <v>0</v>
      </c>
      <c r="HV410" s="847">
        <v>0</v>
      </c>
      <c r="HW410" s="847">
        <v>0</v>
      </c>
      <c r="HX410" s="847">
        <v>0</v>
      </c>
      <c r="HY410" s="847">
        <v>0</v>
      </c>
      <c r="HZ410" s="847">
        <v>0</v>
      </c>
      <c r="IA410" s="847">
        <v>0</v>
      </c>
      <c r="IB410" s="847">
        <v>0</v>
      </c>
      <c r="IC410" s="847">
        <v>0</v>
      </c>
      <c r="ID410" s="847">
        <v>0</v>
      </c>
      <c r="IE410" s="847">
        <v>0</v>
      </c>
      <c r="IF410" s="847">
        <v>0</v>
      </c>
      <c r="IG410" s="847">
        <v>0</v>
      </c>
      <c r="IH410" s="847">
        <v>0</v>
      </c>
      <c r="II410" s="847">
        <v>0</v>
      </c>
      <c r="IJ410" s="847">
        <v>0</v>
      </c>
      <c r="IK410" s="847">
        <v>0</v>
      </c>
    </row>
    <row r="411" spans="12:245" hidden="1">
      <c r="L411" s="843" t="s">
        <v>1060</v>
      </c>
      <c r="M411" s="843" t="s">
        <v>1382</v>
      </c>
      <c r="N411" s="843" t="s">
        <v>97</v>
      </c>
      <c r="O411" s="844">
        <v>20</v>
      </c>
      <c r="P411" s="780" t="str">
        <f t="shared" si="14"/>
        <v>IWT060220</v>
      </c>
      <c r="Q411" s="844">
        <v>2240</v>
      </c>
      <c r="R411" s="844">
        <v>6342</v>
      </c>
      <c r="S411" s="844">
        <v>11020</v>
      </c>
      <c r="T411" s="844">
        <v>16294</v>
      </c>
      <c r="U411" s="844">
        <v>22178</v>
      </c>
      <c r="V411" s="844">
        <v>28404</v>
      </c>
      <c r="W411" s="844">
        <v>29265</v>
      </c>
      <c r="X411" s="844">
        <v>29850</v>
      </c>
      <c r="Y411" s="844">
        <v>30446</v>
      </c>
      <c r="Z411" s="844">
        <v>31055</v>
      </c>
      <c r="AA411" s="844">
        <v>31676</v>
      </c>
      <c r="AB411" s="844">
        <v>32310</v>
      </c>
      <c r="AC411" s="844">
        <v>32956</v>
      </c>
      <c r="AD411" s="844">
        <v>33615</v>
      </c>
      <c r="AE411" s="844">
        <v>34288</v>
      </c>
      <c r="AF411" s="844">
        <v>34973</v>
      </c>
      <c r="AG411" s="844">
        <v>35673</v>
      </c>
      <c r="AH411" s="844">
        <v>36386</v>
      </c>
      <c r="AI411" s="844">
        <v>37114</v>
      </c>
      <c r="AJ411" s="844">
        <v>37856</v>
      </c>
      <c r="AK411" s="844">
        <v>38613</v>
      </c>
      <c r="AL411" s="844">
        <v>39386</v>
      </c>
      <c r="AM411" s="844">
        <v>40173</v>
      </c>
      <c r="AN411" s="844">
        <v>40977</v>
      </c>
      <c r="AO411" s="844">
        <v>41796</v>
      </c>
      <c r="AP411" s="844">
        <v>42632</v>
      </c>
      <c r="AQ411" s="844">
        <v>43485</v>
      </c>
      <c r="AR411" s="844">
        <v>44355</v>
      </c>
      <c r="AS411" s="844">
        <v>45242</v>
      </c>
      <c r="AT411" s="844">
        <v>46146</v>
      </c>
      <c r="AU411" s="844">
        <v>47069</v>
      </c>
      <c r="AV411" s="844">
        <v>48011</v>
      </c>
      <c r="AW411" s="844">
        <v>48971</v>
      </c>
      <c r="AX411" s="844">
        <v>49950</v>
      </c>
      <c r="AY411" s="844">
        <v>50949</v>
      </c>
      <c r="AZ411" s="844">
        <v>51966</v>
      </c>
      <c r="BA411" s="844">
        <v>53003</v>
      </c>
      <c r="BB411" s="844">
        <v>54058</v>
      </c>
      <c r="BC411" s="844">
        <v>55133</v>
      </c>
      <c r="BD411" s="844">
        <v>56227</v>
      </c>
      <c r="BE411" s="844">
        <v>57340</v>
      </c>
      <c r="BF411" s="844">
        <v>58473</v>
      </c>
      <c r="BG411" s="844">
        <v>59626</v>
      </c>
      <c r="BH411" s="844">
        <v>60798</v>
      </c>
      <c r="BI411" s="844">
        <v>61991</v>
      </c>
      <c r="BJ411" s="844">
        <v>63203</v>
      </c>
      <c r="BK411" s="844">
        <v>64435</v>
      </c>
      <c r="BL411" s="844">
        <v>65686</v>
      </c>
      <c r="BM411" s="844">
        <v>66955</v>
      </c>
      <c r="BN411" s="844">
        <v>68243</v>
      </c>
      <c r="BO411" s="844">
        <v>69549</v>
      </c>
      <c r="BP411" s="844">
        <v>70873</v>
      </c>
      <c r="BQ411" s="844">
        <v>72215</v>
      </c>
      <c r="BR411" s="844">
        <v>73573</v>
      </c>
      <c r="BS411" s="844">
        <v>74948</v>
      </c>
      <c r="BT411" s="844">
        <v>76339</v>
      </c>
      <c r="BU411" s="844">
        <v>77745</v>
      </c>
      <c r="BV411" s="844">
        <v>79165</v>
      </c>
      <c r="BW411" s="844">
        <v>80599</v>
      </c>
      <c r="BX411" s="844">
        <v>82046</v>
      </c>
      <c r="BY411" s="844">
        <v>83505</v>
      </c>
      <c r="BZ411" s="844">
        <v>84976</v>
      </c>
      <c r="CA411" s="844">
        <v>86459</v>
      </c>
      <c r="CB411" s="844">
        <v>87952</v>
      </c>
      <c r="CC411" s="844">
        <v>89455</v>
      </c>
      <c r="CD411" s="844">
        <v>90968</v>
      </c>
      <c r="CE411" s="844">
        <v>92489</v>
      </c>
      <c r="CF411" s="844">
        <v>94019</v>
      </c>
      <c r="CG411" s="844">
        <v>95556</v>
      </c>
      <c r="CH411" s="844">
        <v>97101</v>
      </c>
      <c r="CI411" s="844">
        <v>98651</v>
      </c>
      <c r="CJ411" s="844">
        <v>100204</v>
      </c>
      <c r="CK411" s="844">
        <v>101752</v>
      </c>
      <c r="CL411" s="844">
        <v>103300</v>
      </c>
      <c r="CM411" s="844">
        <v>104849</v>
      </c>
      <c r="CN411" s="844">
        <v>106398</v>
      </c>
      <c r="CO411" s="844">
        <v>107946</v>
      </c>
      <c r="CP411" s="844">
        <v>109491</v>
      </c>
      <c r="CQ411" s="844">
        <v>111035</v>
      </c>
      <c r="CR411" s="844">
        <v>112576</v>
      </c>
      <c r="CS411" s="844">
        <v>114114</v>
      </c>
      <c r="CT411" s="844">
        <v>115648</v>
      </c>
      <c r="CU411" s="844">
        <v>117178</v>
      </c>
      <c r="CV411" s="844">
        <v>118704</v>
      </c>
      <c r="CW411" s="844">
        <v>120226</v>
      </c>
      <c r="CX411" s="844">
        <v>121743</v>
      </c>
      <c r="CY411" s="844">
        <v>123255</v>
      </c>
      <c r="CZ411" s="844">
        <v>124763</v>
      </c>
      <c r="DA411" s="844">
        <v>126264</v>
      </c>
      <c r="DB411" s="844">
        <v>127729</v>
      </c>
      <c r="DC411" s="844">
        <v>129000</v>
      </c>
      <c r="DD411" s="844">
        <v>0</v>
      </c>
      <c r="DE411" s="844">
        <v>0</v>
      </c>
      <c r="DF411" s="844">
        <v>0</v>
      </c>
      <c r="DG411" s="844">
        <v>0</v>
      </c>
      <c r="DH411" s="844">
        <v>0</v>
      </c>
      <c r="DI411" s="844">
        <v>0</v>
      </c>
      <c r="DJ411" s="844">
        <v>0</v>
      </c>
      <c r="DK411" s="844">
        <v>0</v>
      </c>
      <c r="DL411" s="844">
        <v>0</v>
      </c>
      <c r="DM411" s="844">
        <v>0</v>
      </c>
      <c r="DN411" s="844">
        <v>0</v>
      </c>
      <c r="DO411" s="844">
        <v>0</v>
      </c>
      <c r="DP411" s="844">
        <v>0</v>
      </c>
      <c r="DQ411" s="844">
        <v>0</v>
      </c>
      <c r="DR411" s="844">
        <v>0</v>
      </c>
      <c r="DS411" s="844">
        <v>0</v>
      </c>
      <c r="DT411" s="844">
        <v>0</v>
      </c>
      <c r="DU411" s="844">
        <v>0</v>
      </c>
      <c r="DV411" s="844">
        <v>0</v>
      </c>
      <c r="DW411" s="844">
        <v>0</v>
      </c>
      <c r="DY411" s="846" t="s">
        <v>1060</v>
      </c>
      <c r="DZ411" s="846" t="s">
        <v>1382</v>
      </c>
      <c r="EA411" s="846" t="s">
        <v>97</v>
      </c>
      <c r="EB411" s="847">
        <v>20</v>
      </c>
      <c r="EC411" s="780" t="str">
        <f t="shared" si="15"/>
        <v>IWT060220</v>
      </c>
      <c r="ED411" s="847">
        <v>0</v>
      </c>
      <c r="EE411" s="847">
        <v>2987</v>
      </c>
      <c r="EF411" s="847">
        <v>7927</v>
      </c>
      <c r="EG411" s="847">
        <v>12965</v>
      </c>
      <c r="EH411" s="847">
        <v>18104</v>
      </c>
      <c r="EI411" s="847">
        <v>23345</v>
      </c>
      <c r="EJ411" s="847">
        <v>28691</v>
      </c>
      <c r="EK411" s="847">
        <v>29265</v>
      </c>
      <c r="EL411" s="847">
        <v>29850</v>
      </c>
      <c r="EM411" s="847">
        <v>30446</v>
      </c>
      <c r="EN411" s="847">
        <v>31055</v>
      </c>
      <c r="EO411" s="847">
        <v>31676</v>
      </c>
      <c r="EP411" s="847">
        <v>32310</v>
      </c>
      <c r="EQ411" s="847">
        <v>32956</v>
      </c>
      <c r="ER411" s="847">
        <v>33615</v>
      </c>
      <c r="ES411" s="847">
        <v>34288</v>
      </c>
      <c r="ET411" s="847">
        <v>34973</v>
      </c>
      <c r="EU411" s="847">
        <v>35673</v>
      </c>
      <c r="EV411" s="847">
        <v>36386</v>
      </c>
      <c r="EW411" s="847">
        <v>37114</v>
      </c>
      <c r="EX411" s="847">
        <v>37856</v>
      </c>
      <c r="EY411" s="847">
        <v>38613</v>
      </c>
      <c r="EZ411" s="847">
        <v>39386</v>
      </c>
      <c r="FA411" s="847">
        <v>40173</v>
      </c>
      <c r="FB411" s="847">
        <v>40977</v>
      </c>
      <c r="FC411" s="847">
        <v>41796</v>
      </c>
      <c r="FD411" s="847">
        <v>42632</v>
      </c>
      <c r="FE411" s="847">
        <v>43485</v>
      </c>
      <c r="FF411" s="847">
        <v>44355</v>
      </c>
      <c r="FG411" s="847">
        <v>45242</v>
      </c>
      <c r="FH411" s="847">
        <v>46146</v>
      </c>
      <c r="FI411" s="847">
        <v>47069</v>
      </c>
      <c r="FJ411" s="847">
        <v>48011</v>
      </c>
      <c r="FK411" s="847">
        <v>48971</v>
      </c>
      <c r="FL411" s="847">
        <v>49950</v>
      </c>
      <c r="FM411" s="847">
        <v>50949</v>
      </c>
      <c r="FN411" s="847">
        <v>51966</v>
      </c>
      <c r="FO411" s="847">
        <v>53003</v>
      </c>
      <c r="FP411" s="847">
        <v>54058</v>
      </c>
      <c r="FQ411" s="847">
        <v>55133</v>
      </c>
      <c r="FR411" s="847">
        <v>56227</v>
      </c>
      <c r="FS411" s="847">
        <v>57340</v>
      </c>
      <c r="FT411" s="847">
        <v>58473</v>
      </c>
      <c r="FU411" s="847">
        <v>59626</v>
      </c>
      <c r="FV411" s="847">
        <v>60798</v>
      </c>
      <c r="FW411" s="847">
        <v>61991</v>
      </c>
      <c r="FX411" s="847">
        <v>63203</v>
      </c>
      <c r="FY411" s="847">
        <v>64435</v>
      </c>
      <c r="FZ411" s="847">
        <v>65686</v>
      </c>
      <c r="GA411" s="847">
        <v>66955</v>
      </c>
      <c r="GB411" s="847">
        <v>68243</v>
      </c>
      <c r="GC411" s="847">
        <v>69549</v>
      </c>
      <c r="GD411" s="847">
        <v>70873</v>
      </c>
      <c r="GE411" s="847">
        <v>72215</v>
      </c>
      <c r="GF411" s="847">
        <v>73573</v>
      </c>
      <c r="GG411" s="847">
        <v>74948</v>
      </c>
      <c r="GH411" s="847">
        <v>76339</v>
      </c>
      <c r="GI411" s="847">
        <v>77745</v>
      </c>
      <c r="GJ411" s="847">
        <v>79165</v>
      </c>
      <c r="GK411" s="847">
        <v>80599</v>
      </c>
      <c r="GL411" s="847">
        <v>82046</v>
      </c>
      <c r="GM411" s="847">
        <v>83505</v>
      </c>
      <c r="GN411" s="847">
        <v>84976</v>
      </c>
      <c r="GO411" s="847">
        <v>86459</v>
      </c>
      <c r="GP411" s="847">
        <v>87952</v>
      </c>
      <c r="GQ411" s="847">
        <v>89455</v>
      </c>
      <c r="GR411" s="847">
        <v>90968</v>
      </c>
      <c r="GS411" s="847">
        <v>92489</v>
      </c>
      <c r="GT411" s="847">
        <v>94019</v>
      </c>
      <c r="GU411" s="847">
        <v>95556</v>
      </c>
      <c r="GV411" s="847">
        <v>97101</v>
      </c>
      <c r="GW411" s="847">
        <v>98651</v>
      </c>
      <c r="GX411" s="847">
        <v>100204</v>
      </c>
      <c r="GY411" s="847">
        <v>101752</v>
      </c>
      <c r="GZ411" s="847">
        <v>103300</v>
      </c>
      <c r="HA411" s="847">
        <v>104849</v>
      </c>
      <c r="HB411" s="847">
        <v>106398</v>
      </c>
      <c r="HC411" s="847">
        <v>107946</v>
      </c>
      <c r="HD411" s="847">
        <v>109491</v>
      </c>
      <c r="HE411" s="847">
        <v>111035</v>
      </c>
      <c r="HF411" s="847">
        <v>112576</v>
      </c>
      <c r="HG411" s="847">
        <v>114114</v>
      </c>
      <c r="HH411" s="847">
        <v>115648</v>
      </c>
      <c r="HI411" s="847">
        <v>117178</v>
      </c>
      <c r="HJ411" s="847">
        <v>118704</v>
      </c>
      <c r="HK411" s="847">
        <v>120226</v>
      </c>
      <c r="HL411" s="847">
        <v>121743</v>
      </c>
      <c r="HM411" s="847">
        <v>123255</v>
      </c>
      <c r="HN411" s="847">
        <v>124763</v>
      </c>
      <c r="HO411" s="847">
        <v>126264</v>
      </c>
      <c r="HP411" s="847">
        <v>127729</v>
      </c>
      <c r="HQ411" s="847">
        <v>129000</v>
      </c>
      <c r="HR411" s="847">
        <v>0</v>
      </c>
      <c r="HS411" s="847">
        <v>0</v>
      </c>
      <c r="HT411" s="847">
        <v>0</v>
      </c>
      <c r="HU411" s="847">
        <v>0</v>
      </c>
      <c r="HV411" s="847">
        <v>0</v>
      </c>
      <c r="HW411" s="847">
        <v>0</v>
      </c>
      <c r="HX411" s="847">
        <v>0</v>
      </c>
      <c r="HY411" s="847">
        <v>0</v>
      </c>
      <c r="HZ411" s="847">
        <v>0</v>
      </c>
      <c r="IA411" s="847">
        <v>0</v>
      </c>
      <c r="IB411" s="847">
        <v>0</v>
      </c>
      <c r="IC411" s="847">
        <v>0</v>
      </c>
      <c r="ID411" s="847">
        <v>0</v>
      </c>
      <c r="IE411" s="847">
        <v>0</v>
      </c>
      <c r="IF411" s="847">
        <v>0</v>
      </c>
      <c r="IG411" s="847">
        <v>0</v>
      </c>
      <c r="IH411" s="847">
        <v>0</v>
      </c>
      <c r="II411" s="847">
        <v>0</v>
      </c>
      <c r="IJ411" s="847">
        <v>0</v>
      </c>
      <c r="IK411" s="847">
        <v>0</v>
      </c>
    </row>
    <row r="412" spans="12:245" hidden="1">
      <c r="L412" s="843" t="s">
        <v>1060</v>
      </c>
      <c r="M412" s="843" t="s">
        <v>1382</v>
      </c>
      <c r="N412" s="843" t="s">
        <v>97</v>
      </c>
      <c r="O412" s="844">
        <v>21</v>
      </c>
      <c r="P412" s="780" t="str">
        <f t="shared" si="14"/>
        <v>IWT060221</v>
      </c>
      <c r="Q412" s="844">
        <v>2250</v>
      </c>
      <c r="R412" s="844">
        <v>6367</v>
      </c>
      <c r="S412" s="844">
        <v>11065</v>
      </c>
      <c r="T412" s="844">
        <v>16360</v>
      </c>
      <c r="U412" s="844">
        <v>22269</v>
      </c>
      <c r="V412" s="844">
        <v>28522</v>
      </c>
      <c r="W412" s="844">
        <v>29385</v>
      </c>
      <c r="X412" s="844">
        <v>29973</v>
      </c>
      <c r="Y412" s="844">
        <v>30572</v>
      </c>
      <c r="Z412" s="844">
        <v>31183</v>
      </c>
      <c r="AA412" s="844">
        <v>31807</v>
      </c>
      <c r="AB412" s="844">
        <v>32443</v>
      </c>
      <c r="AC412" s="844">
        <v>33092</v>
      </c>
      <c r="AD412" s="844">
        <v>33754</v>
      </c>
      <c r="AE412" s="844">
        <v>34429</v>
      </c>
      <c r="AF412" s="844">
        <v>35117</v>
      </c>
      <c r="AG412" s="844">
        <v>35820</v>
      </c>
      <c r="AH412" s="844">
        <v>36536</v>
      </c>
      <c r="AI412" s="844">
        <v>37267</v>
      </c>
      <c r="AJ412" s="844">
        <v>38012</v>
      </c>
      <c r="AK412" s="844">
        <v>38773</v>
      </c>
      <c r="AL412" s="844">
        <v>39548</v>
      </c>
      <c r="AM412" s="844">
        <v>40339</v>
      </c>
      <c r="AN412" s="844">
        <v>41146</v>
      </c>
      <c r="AO412" s="844">
        <v>41969</v>
      </c>
      <c r="AP412" s="844">
        <v>42808</v>
      </c>
      <c r="AQ412" s="844">
        <v>43664</v>
      </c>
      <c r="AR412" s="844">
        <v>44537</v>
      </c>
      <c r="AS412" s="844">
        <v>45428</v>
      </c>
      <c r="AT412" s="844">
        <v>46337</v>
      </c>
      <c r="AU412" s="844">
        <v>47263</v>
      </c>
      <c r="AV412" s="844">
        <v>48209</v>
      </c>
      <c r="AW412" s="844">
        <v>49173</v>
      </c>
      <c r="AX412" s="844">
        <v>50156</v>
      </c>
      <c r="AY412" s="844">
        <v>51159</v>
      </c>
      <c r="AZ412" s="844">
        <v>52182</v>
      </c>
      <c r="BA412" s="844">
        <v>53223</v>
      </c>
      <c r="BB412" s="844">
        <v>54283</v>
      </c>
      <c r="BC412" s="844">
        <v>55362</v>
      </c>
      <c r="BD412" s="844">
        <v>56461</v>
      </c>
      <c r="BE412" s="844">
        <v>57579</v>
      </c>
      <c r="BF412" s="844">
        <v>58717</v>
      </c>
      <c r="BG412" s="844">
        <v>59875</v>
      </c>
      <c r="BH412" s="844">
        <v>61052</v>
      </c>
      <c r="BI412" s="844">
        <v>62249</v>
      </c>
      <c r="BJ412" s="844">
        <v>63466</v>
      </c>
      <c r="BK412" s="844">
        <v>64702</v>
      </c>
      <c r="BL412" s="844">
        <v>65956</v>
      </c>
      <c r="BM412" s="844">
        <v>67230</v>
      </c>
      <c r="BN412" s="844">
        <v>68521</v>
      </c>
      <c r="BO412" s="844">
        <v>69830</v>
      </c>
      <c r="BP412" s="844">
        <v>71156</v>
      </c>
      <c r="BQ412" s="844">
        <v>72500</v>
      </c>
      <c r="BR412" s="844">
        <v>73861</v>
      </c>
      <c r="BS412" s="844">
        <v>75238</v>
      </c>
      <c r="BT412" s="844">
        <v>76630</v>
      </c>
      <c r="BU412" s="844">
        <v>78036</v>
      </c>
      <c r="BV412" s="844">
        <v>79457</v>
      </c>
      <c r="BW412" s="844">
        <v>80890</v>
      </c>
      <c r="BX412" s="844">
        <v>82337</v>
      </c>
      <c r="BY412" s="844">
        <v>83795</v>
      </c>
      <c r="BZ412" s="844">
        <v>85266</v>
      </c>
      <c r="CA412" s="844">
        <v>86747</v>
      </c>
      <c r="CB412" s="844">
        <v>88238</v>
      </c>
      <c r="CC412" s="844">
        <v>89740</v>
      </c>
      <c r="CD412" s="844">
        <v>91250</v>
      </c>
      <c r="CE412" s="844">
        <v>92769</v>
      </c>
      <c r="CF412" s="844">
        <v>94296</v>
      </c>
      <c r="CG412" s="844">
        <v>95830</v>
      </c>
      <c r="CH412" s="844">
        <v>97371</v>
      </c>
      <c r="CI412" s="844">
        <v>98914</v>
      </c>
      <c r="CJ412" s="844">
        <v>100453</v>
      </c>
      <c r="CK412" s="844">
        <v>101994</v>
      </c>
      <c r="CL412" s="844">
        <v>103535</v>
      </c>
      <c r="CM412" s="844">
        <v>105076</v>
      </c>
      <c r="CN412" s="844">
        <v>106617</v>
      </c>
      <c r="CO412" s="844">
        <v>108156</v>
      </c>
      <c r="CP412" s="844">
        <v>109694</v>
      </c>
      <c r="CQ412" s="844">
        <v>111229</v>
      </c>
      <c r="CR412" s="844">
        <v>112761</v>
      </c>
      <c r="CS412" s="844">
        <v>114290</v>
      </c>
      <c r="CT412" s="844">
        <v>115816</v>
      </c>
      <c r="CU412" s="844">
        <v>117337</v>
      </c>
      <c r="CV412" s="844">
        <v>118855</v>
      </c>
      <c r="CW412" s="844">
        <v>120368</v>
      </c>
      <c r="CX412" s="844">
        <v>121877</v>
      </c>
      <c r="CY412" s="844">
        <v>123381</v>
      </c>
      <c r="CZ412" s="844">
        <v>124879</v>
      </c>
      <c r="DA412" s="844">
        <v>126343</v>
      </c>
      <c r="DB412" s="844">
        <v>127600</v>
      </c>
      <c r="DC412" s="844">
        <v>0</v>
      </c>
      <c r="DD412" s="844">
        <v>0</v>
      </c>
      <c r="DE412" s="844">
        <v>0</v>
      </c>
      <c r="DF412" s="844">
        <v>0</v>
      </c>
      <c r="DG412" s="844">
        <v>0</v>
      </c>
      <c r="DH412" s="844">
        <v>0</v>
      </c>
      <c r="DI412" s="844">
        <v>0</v>
      </c>
      <c r="DJ412" s="844">
        <v>0</v>
      </c>
      <c r="DK412" s="844">
        <v>0</v>
      </c>
      <c r="DL412" s="844">
        <v>0</v>
      </c>
      <c r="DM412" s="844">
        <v>0</v>
      </c>
      <c r="DN412" s="844">
        <v>0</v>
      </c>
      <c r="DO412" s="844">
        <v>0</v>
      </c>
      <c r="DP412" s="844">
        <v>0</v>
      </c>
      <c r="DQ412" s="844">
        <v>0</v>
      </c>
      <c r="DR412" s="844">
        <v>0</v>
      </c>
      <c r="DS412" s="844">
        <v>0</v>
      </c>
      <c r="DT412" s="844">
        <v>0</v>
      </c>
      <c r="DU412" s="844">
        <v>0</v>
      </c>
      <c r="DV412" s="844">
        <v>0</v>
      </c>
      <c r="DW412" s="844">
        <v>0</v>
      </c>
      <c r="DY412" s="846" t="s">
        <v>1060</v>
      </c>
      <c r="DZ412" s="846" t="s">
        <v>1382</v>
      </c>
      <c r="EA412" s="846" t="s">
        <v>97</v>
      </c>
      <c r="EB412" s="847">
        <v>21</v>
      </c>
      <c r="EC412" s="780" t="str">
        <f t="shared" si="15"/>
        <v>IWT060221</v>
      </c>
      <c r="ED412" s="847">
        <v>0</v>
      </c>
      <c r="EE412" s="847">
        <v>3000</v>
      </c>
      <c r="EF412" s="847">
        <v>7959</v>
      </c>
      <c r="EG412" s="847">
        <v>13018</v>
      </c>
      <c r="EH412" s="847">
        <v>18178</v>
      </c>
      <c r="EI412" s="847">
        <v>23441</v>
      </c>
      <c r="EJ412" s="847">
        <v>28810</v>
      </c>
      <c r="EK412" s="847">
        <v>29385</v>
      </c>
      <c r="EL412" s="847">
        <v>29973</v>
      </c>
      <c r="EM412" s="847">
        <v>30572</v>
      </c>
      <c r="EN412" s="847">
        <v>31183</v>
      </c>
      <c r="EO412" s="847">
        <v>31807</v>
      </c>
      <c r="EP412" s="847">
        <v>32443</v>
      </c>
      <c r="EQ412" s="847">
        <v>33092</v>
      </c>
      <c r="ER412" s="847">
        <v>33754</v>
      </c>
      <c r="ES412" s="847">
        <v>34429</v>
      </c>
      <c r="ET412" s="847">
        <v>35117</v>
      </c>
      <c r="EU412" s="847">
        <v>35820</v>
      </c>
      <c r="EV412" s="847">
        <v>36536</v>
      </c>
      <c r="EW412" s="847">
        <v>37267</v>
      </c>
      <c r="EX412" s="847">
        <v>38012</v>
      </c>
      <c r="EY412" s="847">
        <v>38773</v>
      </c>
      <c r="EZ412" s="847">
        <v>39548</v>
      </c>
      <c r="FA412" s="847">
        <v>40339</v>
      </c>
      <c r="FB412" s="847">
        <v>41146</v>
      </c>
      <c r="FC412" s="847">
        <v>41969</v>
      </c>
      <c r="FD412" s="847">
        <v>42808</v>
      </c>
      <c r="FE412" s="847">
        <v>43664</v>
      </c>
      <c r="FF412" s="847">
        <v>44537</v>
      </c>
      <c r="FG412" s="847">
        <v>45428</v>
      </c>
      <c r="FH412" s="847">
        <v>46337</v>
      </c>
      <c r="FI412" s="847">
        <v>47263</v>
      </c>
      <c r="FJ412" s="847">
        <v>48209</v>
      </c>
      <c r="FK412" s="847">
        <v>49173</v>
      </c>
      <c r="FL412" s="847">
        <v>50156</v>
      </c>
      <c r="FM412" s="847">
        <v>51159</v>
      </c>
      <c r="FN412" s="847">
        <v>52182</v>
      </c>
      <c r="FO412" s="847">
        <v>53223</v>
      </c>
      <c r="FP412" s="847">
        <v>54283</v>
      </c>
      <c r="FQ412" s="847">
        <v>55362</v>
      </c>
      <c r="FR412" s="847">
        <v>56461</v>
      </c>
      <c r="FS412" s="847">
        <v>57579</v>
      </c>
      <c r="FT412" s="847">
        <v>58717</v>
      </c>
      <c r="FU412" s="847">
        <v>59875</v>
      </c>
      <c r="FV412" s="847">
        <v>61052</v>
      </c>
      <c r="FW412" s="847">
        <v>62249</v>
      </c>
      <c r="FX412" s="847">
        <v>63466</v>
      </c>
      <c r="FY412" s="847">
        <v>64702</v>
      </c>
      <c r="FZ412" s="847">
        <v>65956</v>
      </c>
      <c r="GA412" s="847">
        <v>67230</v>
      </c>
      <c r="GB412" s="847">
        <v>68521</v>
      </c>
      <c r="GC412" s="847">
        <v>69830</v>
      </c>
      <c r="GD412" s="847">
        <v>71156</v>
      </c>
      <c r="GE412" s="847">
        <v>72500</v>
      </c>
      <c r="GF412" s="847">
        <v>73861</v>
      </c>
      <c r="GG412" s="847">
        <v>75238</v>
      </c>
      <c r="GH412" s="847">
        <v>76630</v>
      </c>
      <c r="GI412" s="847">
        <v>78036</v>
      </c>
      <c r="GJ412" s="847">
        <v>79457</v>
      </c>
      <c r="GK412" s="847">
        <v>80890</v>
      </c>
      <c r="GL412" s="847">
        <v>82337</v>
      </c>
      <c r="GM412" s="847">
        <v>83795</v>
      </c>
      <c r="GN412" s="847">
        <v>85266</v>
      </c>
      <c r="GO412" s="847">
        <v>86747</v>
      </c>
      <c r="GP412" s="847">
        <v>88238</v>
      </c>
      <c r="GQ412" s="847">
        <v>89740</v>
      </c>
      <c r="GR412" s="847">
        <v>91250</v>
      </c>
      <c r="GS412" s="847">
        <v>92769</v>
      </c>
      <c r="GT412" s="847">
        <v>94296</v>
      </c>
      <c r="GU412" s="847">
        <v>95830</v>
      </c>
      <c r="GV412" s="847">
        <v>97371</v>
      </c>
      <c r="GW412" s="847">
        <v>98914</v>
      </c>
      <c r="GX412" s="847">
        <v>100453</v>
      </c>
      <c r="GY412" s="847">
        <v>101994</v>
      </c>
      <c r="GZ412" s="847">
        <v>103535</v>
      </c>
      <c r="HA412" s="847">
        <v>105076</v>
      </c>
      <c r="HB412" s="847">
        <v>106617</v>
      </c>
      <c r="HC412" s="847">
        <v>108156</v>
      </c>
      <c r="HD412" s="847">
        <v>109694</v>
      </c>
      <c r="HE412" s="847">
        <v>111229</v>
      </c>
      <c r="HF412" s="847">
        <v>112761</v>
      </c>
      <c r="HG412" s="847">
        <v>114290</v>
      </c>
      <c r="HH412" s="847">
        <v>115816</v>
      </c>
      <c r="HI412" s="847">
        <v>117337</v>
      </c>
      <c r="HJ412" s="847">
        <v>118855</v>
      </c>
      <c r="HK412" s="847">
        <v>120368</v>
      </c>
      <c r="HL412" s="847">
        <v>121877</v>
      </c>
      <c r="HM412" s="847">
        <v>123381</v>
      </c>
      <c r="HN412" s="847">
        <v>124879</v>
      </c>
      <c r="HO412" s="847">
        <v>126343</v>
      </c>
      <c r="HP412" s="847">
        <v>127600</v>
      </c>
      <c r="HQ412" s="847">
        <v>0</v>
      </c>
      <c r="HR412" s="847">
        <v>0</v>
      </c>
      <c r="HS412" s="847">
        <v>0</v>
      </c>
      <c r="HT412" s="847">
        <v>0</v>
      </c>
      <c r="HU412" s="847">
        <v>0</v>
      </c>
      <c r="HV412" s="847">
        <v>0</v>
      </c>
      <c r="HW412" s="847">
        <v>0</v>
      </c>
      <c r="HX412" s="847">
        <v>0</v>
      </c>
      <c r="HY412" s="847">
        <v>0</v>
      </c>
      <c r="HZ412" s="847">
        <v>0</v>
      </c>
      <c r="IA412" s="847">
        <v>0</v>
      </c>
      <c r="IB412" s="847">
        <v>0</v>
      </c>
      <c r="IC412" s="847">
        <v>0</v>
      </c>
      <c r="ID412" s="847">
        <v>0</v>
      </c>
      <c r="IE412" s="847">
        <v>0</v>
      </c>
      <c r="IF412" s="847">
        <v>0</v>
      </c>
      <c r="IG412" s="847">
        <v>0</v>
      </c>
      <c r="IH412" s="847">
        <v>0</v>
      </c>
      <c r="II412" s="847">
        <v>0</v>
      </c>
      <c r="IJ412" s="847">
        <v>0</v>
      </c>
      <c r="IK412" s="847">
        <v>0</v>
      </c>
    </row>
    <row r="413" spans="12:245" hidden="1">
      <c r="L413" s="843" t="s">
        <v>1060</v>
      </c>
      <c r="M413" s="843" t="s">
        <v>1382</v>
      </c>
      <c r="N413" s="843" t="s">
        <v>97</v>
      </c>
      <c r="O413" s="844">
        <v>22</v>
      </c>
      <c r="P413" s="780" t="str">
        <f t="shared" si="14"/>
        <v>IWT060222</v>
      </c>
      <c r="Q413" s="844">
        <v>2258</v>
      </c>
      <c r="R413" s="844">
        <v>6392</v>
      </c>
      <c r="S413" s="844">
        <v>11109</v>
      </c>
      <c r="T413" s="844">
        <v>16424</v>
      </c>
      <c r="U413" s="844">
        <v>22356</v>
      </c>
      <c r="V413" s="844">
        <v>28634</v>
      </c>
      <c r="W413" s="844">
        <v>29501</v>
      </c>
      <c r="X413" s="844">
        <v>30090</v>
      </c>
      <c r="Y413" s="844">
        <v>30692</v>
      </c>
      <c r="Z413" s="844">
        <v>31306</v>
      </c>
      <c r="AA413" s="844">
        <v>31932</v>
      </c>
      <c r="AB413" s="844">
        <v>32571</v>
      </c>
      <c r="AC413" s="844">
        <v>33222</v>
      </c>
      <c r="AD413" s="844">
        <v>33886</v>
      </c>
      <c r="AE413" s="844">
        <v>34564</v>
      </c>
      <c r="AF413" s="844">
        <v>35256</v>
      </c>
      <c r="AG413" s="844">
        <v>35961</v>
      </c>
      <c r="AH413" s="844">
        <v>36680</v>
      </c>
      <c r="AI413" s="844">
        <v>37413</v>
      </c>
      <c r="AJ413" s="844">
        <v>38162</v>
      </c>
      <c r="AK413" s="844">
        <v>38925</v>
      </c>
      <c r="AL413" s="844">
        <v>39703</v>
      </c>
      <c r="AM413" s="844">
        <v>40497</v>
      </c>
      <c r="AN413" s="844">
        <v>41307</v>
      </c>
      <c r="AO413" s="844">
        <v>42134</v>
      </c>
      <c r="AP413" s="844">
        <v>42976</v>
      </c>
      <c r="AQ413" s="844">
        <v>43836</v>
      </c>
      <c r="AR413" s="844">
        <v>44712</v>
      </c>
      <c r="AS413" s="844">
        <v>45607</v>
      </c>
      <c r="AT413" s="844">
        <v>46519</v>
      </c>
      <c r="AU413" s="844">
        <v>47449</v>
      </c>
      <c r="AV413" s="844">
        <v>48398</v>
      </c>
      <c r="AW413" s="844">
        <v>49366</v>
      </c>
      <c r="AX413" s="844">
        <v>50353</v>
      </c>
      <c r="AY413" s="844">
        <v>51361</v>
      </c>
      <c r="AZ413" s="844">
        <v>52387</v>
      </c>
      <c r="BA413" s="844">
        <v>53433</v>
      </c>
      <c r="BB413" s="844">
        <v>54498</v>
      </c>
      <c r="BC413" s="844">
        <v>55582</v>
      </c>
      <c r="BD413" s="844">
        <v>56685</v>
      </c>
      <c r="BE413" s="844">
        <v>57809</v>
      </c>
      <c r="BF413" s="844">
        <v>58951</v>
      </c>
      <c r="BG413" s="844">
        <v>60114</v>
      </c>
      <c r="BH413" s="844">
        <v>61296</v>
      </c>
      <c r="BI413" s="844">
        <v>62497</v>
      </c>
      <c r="BJ413" s="844">
        <v>63718</v>
      </c>
      <c r="BK413" s="844">
        <v>64958</v>
      </c>
      <c r="BL413" s="844">
        <v>66216</v>
      </c>
      <c r="BM413" s="844">
        <v>67492</v>
      </c>
      <c r="BN413" s="844">
        <v>68786</v>
      </c>
      <c r="BO413" s="844">
        <v>70098</v>
      </c>
      <c r="BP413" s="844">
        <v>71428</v>
      </c>
      <c r="BQ413" s="844">
        <v>72774</v>
      </c>
      <c r="BR413" s="844">
        <v>74137</v>
      </c>
      <c r="BS413" s="844">
        <v>75515</v>
      </c>
      <c r="BT413" s="844">
        <v>76907</v>
      </c>
      <c r="BU413" s="844">
        <v>78314</v>
      </c>
      <c r="BV413" s="844">
        <v>79735</v>
      </c>
      <c r="BW413" s="844">
        <v>81169</v>
      </c>
      <c r="BX413" s="844">
        <v>82615</v>
      </c>
      <c r="BY413" s="844">
        <v>84073</v>
      </c>
      <c r="BZ413" s="844">
        <v>85542</v>
      </c>
      <c r="CA413" s="844">
        <v>87022</v>
      </c>
      <c r="CB413" s="844">
        <v>88512</v>
      </c>
      <c r="CC413" s="844">
        <v>90011</v>
      </c>
      <c r="CD413" s="844">
        <v>91519</v>
      </c>
      <c r="CE413" s="844">
        <v>93036</v>
      </c>
      <c r="CF413" s="844">
        <v>94560</v>
      </c>
      <c r="CG413" s="844">
        <v>96091</v>
      </c>
      <c r="CH413" s="844">
        <v>97625</v>
      </c>
      <c r="CI413" s="844">
        <v>99155</v>
      </c>
      <c r="CJ413" s="844">
        <v>100687</v>
      </c>
      <c r="CK413" s="844">
        <v>102221</v>
      </c>
      <c r="CL413" s="844">
        <v>103754</v>
      </c>
      <c r="CM413" s="844">
        <v>105288</v>
      </c>
      <c r="CN413" s="844">
        <v>106821</v>
      </c>
      <c r="CO413" s="844">
        <v>108352</v>
      </c>
      <c r="CP413" s="844">
        <v>109881</v>
      </c>
      <c r="CQ413" s="844">
        <v>111408</v>
      </c>
      <c r="CR413" s="844">
        <v>112932</v>
      </c>
      <c r="CS413" s="844">
        <v>114453</v>
      </c>
      <c r="CT413" s="844">
        <v>115970</v>
      </c>
      <c r="CU413" s="844">
        <v>117484</v>
      </c>
      <c r="CV413" s="844">
        <v>118993</v>
      </c>
      <c r="CW413" s="844">
        <v>120499</v>
      </c>
      <c r="CX413" s="844">
        <v>122000</v>
      </c>
      <c r="CY413" s="844">
        <v>123495</v>
      </c>
      <c r="CZ413" s="844">
        <v>124957</v>
      </c>
      <c r="DA413" s="844">
        <v>126200</v>
      </c>
      <c r="DB413" s="844">
        <v>0</v>
      </c>
      <c r="DC413" s="844">
        <v>0</v>
      </c>
      <c r="DD413" s="844">
        <v>0</v>
      </c>
      <c r="DE413" s="844">
        <v>0</v>
      </c>
      <c r="DF413" s="844">
        <v>0</v>
      </c>
      <c r="DG413" s="844">
        <v>0</v>
      </c>
      <c r="DH413" s="844">
        <v>0</v>
      </c>
      <c r="DI413" s="844">
        <v>0</v>
      </c>
      <c r="DJ413" s="844">
        <v>0</v>
      </c>
      <c r="DK413" s="844">
        <v>0</v>
      </c>
      <c r="DL413" s="844">
        <v>0</v>
      </c>
      <c r="DM413" s="844">
        <v>0</v>
      </c>
      <c r="DN413" s="844">
        <v>0</v>
      </c>
      <c r="DO413" s="844">
        <v>0</v>
      </c>
      <c r="DP413" s="844">
        <v>0</v>
      </c>
      <c r="DQ413" s="844">
        <v>0</v>
      </c>
      <c r="DR413" s="844">
        <v>0</v>
      </c>
      <c r="DS413" s="844">
        <v>0</v>
      </c>
      <c r="DT413" s="844">
        <v>0</v>
      </c>
      <c r="DU413" s="844">
        <v>0</v>
      </c>
      <c r="DV413" s="844">
        <v>0</v>
      </c>
      <c r="DW413" s="844">
        <v>0</v>
      </c>
      <c r="DY413" s="846" t="s">
        <v>1060</v>
      </c>
      <c r="DZ413" s="846" t="s">
        <v>1382</v>
      </c>
      <c r="EA413" s="846" t="s">
        <v>97</v>
      </c>
      <c r="EB413" s="847">
        <v>22</v>
      </c>
      <c r="EC413" s="780" t="str">
        <f t="shared" si="15"/>
        <v>IWT060222</v>
      </c>
      <c r="ED413" s="847">
        <v>0</v>
      </c>
      <c r="EE413" s="847">
        <v>3011</v>
      </c>
      <c r="EF413" s="847">
        <v>7990</v>
      </c>
      <c r="EG413" s="847">
        <v>13069</v>
      </c>
      <c r="EH413" s="847">
        <v>18249</v>
      </c>
      <c r="EI413" s="847">
        <v>23533</v>
      </c>
      <c r="EJ413" s="847">
        <v>28923</v>
      </c>
      <c r="EK413" s="847">
        <v>29501</v>
      </c>
      <c r="EL413" s="847">
        <v>30090</v>
      </c>
      <c r="EM413" s="847">
        <v>30692</v>
      </c>
      <c r="EN413" s="847">
        <v>31306</v>
      </c>
      <c r="EO413" s="847">
        <v>31932</v>
      </c>
      <c r="EP413" s="847">
        <v>32571</v>
      </c>
      <c r="EQ413" s="847">
        <v>33222</v>
      </c>
      <c r="ER413" s="847">
        <v>33886</v>
      </c>
      <c r="ES413" s="847">
        <v>34564</v>
      </c>
      <c r="ET413" s="847">
        <v>35256</v>
      </c>
      <c r="EU413" s="847">
        <v>35961</v>
      </c>
      <c r="EV413" s="847">
        <v>36680</v>
      </c>
      <c r="EW413" s="847">
        <v>37413</v>
      </c>
      <c r="EX413" s="847">
        <v>38162</v>
      </c>
      <c r="EY413" s="847">
        <v>38925</v>
      </c>
      <c r="EZ413" s="847">
        <v>39703</v>
      </c>
      <c r="FA413" s="847">
        <v>40497</v>
      </c>
      <c r="FB413" s="847">
        <v>41307</v>
      </c>
      <c r="FC413" s="847">
        <v>42134</v>
      </c>
      <c r="FD413" s="847">
        <v>42976</v>
      </c>
      <c r="FE413" s="847">
        <v>43836</v>
      </c>
      <c r="FF413" s="847">
        <v>44712</v>
      </c>
      <c r="FG413" s="847">
        <v>45607</v>
      </c>
      <c r="FH413" s="847">
        <v>46519</v>
      </c>
      <c r="FI413" s="847">
        <v>47449</v>
      </c>
      <c r="FJ413" s="847">
        <v>48398</v>
      </c>
      <c r="FK413" s="847">
        <v>49366</v>
      </c>
      <c r="FL413" s="847">
        <v>50353</v>
      </c>
      <c r="FM413" s="847">
        <v>51361</v>
      </c>
      <c r="FN413" s="847">
        <v>52387</v>
      </c>
      <c r="FO413" s="847">
        <v>53433</v>
      </c>
      <c r="FP413" s="847">
        <v>54498</v>
      </c>
      <c r="FQ413" s="847">
        <v>55582</v>
      </c>
      <c r="FR413" s="847">
        <v>56685</v>
      </c>
      <c r="FS413" s="847">
        <v>57809</v>
      </c>
      <c r="FT413" s="847">
        <v>58951</v>
      </c>
      <c r="FU413" s="847">
        <v>60114</v>
      </c>
      <c r="FV413" s="847">
        <v>61296</v>
      </c>
      <c r="FW413" s="847">
        <v>62497</v>
      </c>
      <c r="FX413" s="847">
        <v>63718</v>
      </c>
      <c r="FY413" s="847">
        <v>64958</v>
      </c>
      <c r="FZ413" s="847">
        <v>66216</v>
      </c>
      <c r="GA413" s="847">
        <v>67492</v>
      </c>
      <c r="GB413" s="847">
        <v>68786</v>
      </c>
      <c r="GC413" s="847">
        <v>70098</v>
      </c>
      <c r="GD413" s="847">
        <v>71428</v>
      </c>
      <c r="GE413" s="847">
        <v>72774</v>
      </c>
      <c r="GF413" s="847">
        <v>74137</v>
      </c>
      <c r="GG413" s="847">
        <v>75515</v>
      </c>
      <c r="GH413" s="847">
        <v>76907</v>
      </c>
      <c r="GI413" s="847">
        <v>78314</v>
      </c>
      <c r="GJ413" s="847">
        <v>79735</v>
      </c>
      <c r="GK413" s="847">
        <v>81169</v>
      </c>
      <c r="GL413" s="847">
        <v>82615</v>
      </c>
      <c r="GM413" s="847">
        <v>84073</v>
      </c>
      <c r="GN413" s="847">
        <v>85542</v>
      </c>
      <c r="GO413" s="847">
        <v>87022</v>
      </c>
      <c r="GP413" s="847">
        <v>88512</v>
      </c>
      <c r="GQ413" s="847">
        <v>90011</v>
      </c>
      <c r="GR413" s="847">
        <v>91519</v>
      </c>
      <c r="GS413" s="847">
        <v>93036</v>
      </c>
      <c r="GT413" s="847">
        <v>94560</v>
      </c>
      <c r="GU413" s="847">
        <v>96091</v>
      </c>
      <c r="GV413" s="847">
        <v>97625</v>
      </c>
      <c r="GW413" s="847">
        <v>99155</v>
      </c>
      <c r="GX413" s="847">
        <v>100687</v>
      </c>
      <c r="GY413" s="847">
        <v>102221</v>
      </c>
      <c r="GZ413" s="847">
        <v>103754</v>
      </c>
      <c r="HA413" s="847">
        <v>105288</v>
      </c>
      <c r="HB413" s="847">
        <v>106821</v>
      </c>
      <c r="HC413" s="847">
        <v>108352</v>
      </c>
      <c r="HD413" s="847">
        <v>109881</v>
      </c>
      <c r="HE413" s="847">
        <v>111408</v>
      </c>
      <c r="HF413" s="847">
        <v>112932</v>
      </c>
      <c r="HG413" s="847">
        <v>114453</v>
      </c>
      <c r="HH413" s="847">
        <v>115970</v>
      </c>
      <c r="HI413" s="847">
        <v>117484</v>
      </c>
      <c r="HJ413" s="847">
        <v>118993</v>
      </c>
      <c r="HK413" s="847">
        <v>120499</v>
      </c>
      <c r="HL413" s="847">
        <v>122000</v>
      </c>
      <c r="HM413" s="847">
        <v>123495</v>
      </c>
      <c r="HN413" s="847">
        <v>124957</v>
      </c>
      <c r="HO413" s="847">
        <v>126200</v>
      </c>
      <c r="HP413" s="847">
        <v>0</v>
      </c>
      <c r="HQ413" s="847">
        <v>0</v>
      </c>
      <c r="HR413" s="847">
        <v>0</v>
      </c>
      <c r="HS413" s="847">
        <v>0</v>
      </c>
      <c r="HT413" s="847">
        <v>0</v>
      </c>
      <c r="HU413" s="847">
        <v>0</v>
      </c>
      <c r="HV413" s="847">
        <v>0</v>
      </c>
      <c r="HW413" s="847">
        <v>0</v>
      </c>
      <c r="HX413" s="847">
        <v>0</v>
      </c>
      <c r="HY413" s="847">
        <v>0</v>
      </c>
      <c r="HZ413" s="847">
        <v>0</v>
      </c>
      <c r="IA413" s="847">
        <v>0</v>
      </c>
      <c r="IB413" s="847">
        <v>0</v>
      </c>
      <c r="IC413" s="847">
        <v>0</v>
      </c>
      <c r="ID413" s="847">
        <v>0</v>
      </c>
      <c r="IE413" s="847">
        <v>0</v>
      </c>
      <c r="IF413" s="847">
        <v>0</v>
      </c>
      <c r="IG413" s="847">
        <v>0</v>
      </c>
      <c r="IH413" s="847">
        <v>0</v>
      </c>
      <c r="II413" s="847">
        <v>0</v>
      </c>
      <c r="IJ413" s="847">
        <v>0</v>
      </c>
      <c r="IK413" s="847">
        <v>0</v>
      </c>
    </row>
    <row r="414" spans="12:245" hidden="1">
      <c r="L414" s="843" t="s">
        <v>1060</v>
      </c>
      <c r="M414" s="843" t="s">
        <v>1382</v>
      </c>
      <c r="N414" s="843" t="s">
        <v>97</v>
      </c>
      <c r="O414" s="844">
        <v>23</v>
      </c>
      <c r="P414" s="780" t="str">
        <f t="shared" si="14"/>
        <v>IWT060223</v>
      </c>
      <c r="Q414" s="844">
        <v>2267</v>
      </c>
      <c r="R414" s="844">
        <v>6416</v>
      </c>
      <c r="S414" s="844">
        <v>11150</v>
      </c>
      <c r="T414" s="844">
        <v>16485</v>
      </c>
      <c r="U414" s="844">
        <v>22440</v>
      </c>
      <c r="V414" s="844">
        <v>28741</v>
      </c>
      <c r="W414" s="844">
        <v>29611</v>
      </c>
      <c r="X414" s="844">
        <v>30203</v>
      </c>
      <c r="Y414" s="844">
        <v>30807</v>
      </c>
      <c r="Z414" s="844">
        <v>31423</v>
      </c>
      <c r="AA414" s="844">
        <v>32051</v>
      </c>
      <c r="AB414" s="844">
        <v>32692</v>
      </c>
      <c r="AC414" s="844">
        <v>33346</v>
      </c>
      <c r="AD414" s="844">
        <v>34013</v>
      </c>
      <c r="AE414" s="844">
        <v>34693</v>
      </c>
      <c r="AF414" s="844">
        <v>35387</v>
      </c>
      <c r="AG414" s="844">
        <v>36095</v>
      </c>
      <c r="AH414" s="844">
        <v>36817</v>
      </c>
      <c r="AI414" s="844">
        <v>37553</v>
      </c>
      <c r="AJ414" s="844">
        <v>38304</v>
      </c>
      <c r="AK414" s="844">
        <v>39070</v>
      </c>
      <c r="AL414" s="844">
        <v>39852</v>
      </c>
      <c r="AM414" s="844">
        <v>40649</v>
      </c>
      <c r="AN414" s="844">
        <v>41462</v>
      </c>
      <c r="AO414" s="844">
        <v>42291</v>
      </c>
      <c r="AP414" s="844">
        <v>43137</v>
      </c>
      <c r="AQ414" s="844">
        <v>43999</v>
      </c>
      <c r="AR414" s="844">
        <v>44879</v>
      </c>
      <c r="AS414" s="844">
        <v>45777</v>
      </c>
      <c r="AT414" s="844">
        <v>46692</v>
      </c>
      <c r="AU414" s="844">
        <v>47626</v>
      </c>
      <c r="AV414" s="844">
        <v>48579</v>
      </c>
      <c r="AW414" s="844">
        <v>49550</v>
      </c>
      <c r="AX414" s="844">
        <v>50541</v>
      </c>
      <c r="AY414" s="844">
        <v>51552</v>
      </c>
      <c r="AZ414" s="844">
        <v>52583</v>
      </c>
      <c r="BA414" s="844">
        <v>53634</v>
      </c>
      <c r="BB414" s="844">
        <v>54703</v>
      </c>
      <c r="BC414" s="844">
        <v>55792</v>
      </c>
      <c r="BD414" s="844">
        <v>56900</v>
      </c>
      <c r="BE414" s="844">
        <v>58028</v>
      </c>
      <c r="BF414" s="844">
        <v>59175</v>
      </c>
      <c r="BG414" s="844">
        <v>60342</v>
      </c>
      <c r="BH414" s="844">
        <v>61528</v>
      </c>
      <c r="BI414" s="844">
        <v>62734</v>
      </c>
      <c r="BJ414" s="844">
        <v>63959</v>
      </c>
      <c r="BK414" s="844">
        <v>65202</v>
      </c>
      <c r="BL414" s="844">
        <v>66463</v>
      </c>
      <c r="BM414" s="844">
        <v>67743</v>
      </c>
      <c r="BN414" s="844">
        <v>69040</v>
      </c>
      <c r="BO414" s="844">
        <v>70355</v>
      </c>
      <c r="BP414" s="844">
        <v>71687</v>
      </c>
      <c r="BQ414" s="844">
        <v>73036</v>
      </c>
      <c r="BR414" s="844">
        <v>74400</v>
      </c>
      <c r="BS414" s="844">
        <v>75779</v>
      </c>
      <c r="BT414" s="844">
        <v>77172</v>
      </c>
      <c r="BU414" s="844">
        <v>78580</v>
      </c>
      <c r="BV414" s="844">
        <v>80001</v>
      </c>
      <c r="BW414" s="844">
        <v>81434</v>
      </c>
      <c r="BX414" s="844">
        <v>82880</v>
      </c>
      <c r="BY414" s="844">
        <v>84337</v>
      </c>
      <c r="BZ414" s="844">
        <v>85805</v>
      </c>
      <c r="CA414" s="844">
        <v>87284</v>
      </c>
      <c r="CB414" s="844">
        <v>88772</v>
      </c>
      <c r="CC414" s="844">
        <v>90269</v>
      </c>
      <c r="CD414" s="844">
        <v>91775</v>
      </c>
      <c r="CE414" s="844">
        <v>93290</v>
      </c>
      <c r="CF414" s="844">
        <v>94811</v>
      </c>
      <c r="CG414" s="844">
        <v>96335</v>
      </c>
      <c r="CH414" s="844">
        <v>97857</v>
      </c>
      <c r="CI414" s="844">
        <v>99381</v>
      </c>
      <c r="CJ414" s="844">
        <v>100906</v>
      </c>
      <c r="CK414" s="844">
        <v>102433</v>
      </c>
      <c r="CL414" s="844">
        <v>103959</v>
      </c>
      <c r="CM414" s="844">
        <v>105486</v>
      </c>
      <c r="CN414" s="844">
        <v>107011</v>
      </c>
      <c r="CO414" s="844">
        <v>108534</v>
      </c>
      <c r="CP414" s="844">
        <v>110056</v>
      </c>
      <c r="CQ414" s="844">
        <v>111575</v>
      </c>
      <c r="CR414" s="844">
        <v>113091</v>
      </c>
      <c r="CS414" s="844">
        <v>114603</v>
      </c>
      <c r="CT414" s="844">
        <v>116113</v>
      </c>
      <c r="CU414" s="844">
        <v>117619</v>
      </c>
      <c r="CV414" s="844">
        <v>119121</v>
      </c>
      <c r="CW414" s="844">
        <v>120619</v>
      </c>
      <c r="CX414" s="844">
        <v>122111</v>
      </c>
      <c r="CY414" s="844">
        <v>123570</v>
      </c>
      <c r="CZ414" s="844">
        <v>124800</v>
      </c>
      <c r="DA414" s="844">
        <v>0</v>
      </c>
      <c r="DB414" s="844">
        <v>0</v>
      </c>
      <c r="DC414" s="844">
        <v>0</v>
      </c>
      <c r="DD414" s="844">
        <v>0</v>
      </c>
      <c r="DE414" s="844">
        <v>0</v>
      </c>
      <c r="DF414" s="844">
        <v>0</v>
      </c>
      <c r="DG414" s="844">
        <v>0</v>
      </c>
      <c r="DH414" s="844">
        <v>0</v>
      </c>
      <c r="DI414" s="844">
        <v>0</v>
      </c>
      <c r="DJ414" s="844">
        <v>0</v>
      </c>
      <c r="DK414" s="844">
        <v>0</v>
      </c>
      <c r="DL414" s="844">
        <v>0</v>
      </c>
      <c r="DM414" s="844">
        <v>0</v>
      </c>
      <c r="DN414" s="844">
        <v>0</v>
      </c>
      <c r="DO414" s="844">
        <v>0</v>
      </c>
      <c r="DP414" s="844">
        <v>0</v>
      </c>
      <c r="DQ414" s="844">
        <v>0</v>
      </c>
      <c r="DR414" s="844">
        <v>0</v>
      </c>
      <c r="DS414" s="844">
        <v>0</v>
      </c>
      <c r="DT414" s="844">
        <v>0</v>
      </c>
      <c r="DU414" s="844">
        <v>0</v>
      </c>
      <c r="DV414" s="844">
        <v>0</v>
      </c>
      <c r="DW414" s="844">
        <v>0</v>
      </c>
      <c r="DY414" s="846" t="s">
        <v>1060</v>
      </c>
      <c r="DZ414" s="846" t="s">
        <v>1382</v>
      </c>
      <c r="EA414" s="846" t="s">
        <v>97</v>
      </c>
      <c r="EB414" s="847">
        <v>23</v>
      </c>
      <c r="EC414" s="780" t="str">
        <f t="shared" si="15"/>
        <v>IWT060223</v>
      </c>
      <c r="ED414" s="847">
        <v>0</v>
      </c>
      <c r="EE414" s="847">
        <v>3022</v>
      </c>
      <c r="EF414" s="847">
        <v>8020</v>
      </c>
      <c r="EG414" s="847">
        <v>13118</v>
      </c>
      <c r="EH414" s="847">
        <v>18317</v>
      </c>
      <c r="EI414" s="847">
        <v>23621</v>
      </c>
      <c r="EJ414" s="847">
        <v>29031</v>
      </c>
      <c r="EK414" s="847">
        <v>29611</v>
      </c>
      <c r="EL414" s="847">
        <v>30203</v>
      </c>
      <c r="EM414" s="847">
        <v>30807</v>
      </c>
      <c r="EN414" s="847">
        <v>31423</v>
      </c>
      <c r="EO414" s="847">
        <v>32051</v>
      </c>
      <c r="EP414" s="847">
        <v>32692</v>
      </c>
      <c r="EQ414" s="847">
        <v>33346</v>
      </c>
      <c r="ER414" s="847">
        <v>34013</v>
      </c>
      <c r="ES414" s="847">
        <v>34693</v>
      </c>
      <c r="ET414" s="847">
        <v>35387</v>
      </c>
      <c r="EU414" s="847">
        <v>36095</v>
      </c>
      <c r="EV414" s="847">
        <v>36817</v>
      </c>
      <c r="EW414" s="847">
        <v>37553</v>
      </c>
      <c r="EX414" s="847">
        <v>38304</v>
      </c>
      <c r="EY414" s="847">
        <v>39070</v>
      </c>
      <c r="EZ414" s="847">
        <v>39852</v>
      </c>
      <c r="FA414" s="847">
        <v>40649</v>
      </c>
      <c r="FB414" s="847">
        <v>41462</v>
      </c>
      <c r="FC414" s="847">
        <v>42291</v>
      </c>
      <c r="FD414" s="847">
        <v>43137</v>
      </c>
      <c r="FE414" s="847">
        <v>43999</v>
      </c>
      <c r="FF414" s="847">
        <v>44879</v>
      </c>
      <c r="FG414" s="847">
        <v>45777</v>
      </c>
      <c r="FH414" s="847">
        <v>46692</v>
      </c>
      <c r="FI414" s="847">
        <v>47626</v>
      </c>
      <c r="FJ414" s="847">
        <v>48579</v>
      </c>
      <c r="FK414" s="847">
        <v>49550</v>
      </c>
      <c r="FL414" s="847">
        <v>50541</v>
      </c>
      <c r="FM414" s="847">
        <v>51552</v>
      </c>
      <c r="FN414" s="847">
        <v>52583</v>
      </c>
      <c r="FO414" s="847">
        <v>53634</v>
      </c>
      <c r="FP414" s="847">
        <v>54703</v>
      </c>
      <c r="FQ414" s="847">
        <v>55792</v>
      </c>
      <c r="FR414" s="847">
        <v>56900</v>
      </c>
      <c r="FS414" s="847">
        <v>58028</v>
      </c>
      <c r="FT414" s="847">
        <v>59175</v>
      </c>
      <c r="FU414" s="847">
        <v>60342</v>
      </c>
      <c r="FV414" s="847">
        <v>61528</v>
      </c>
      <c r="FW414" s="847">
        <v>62734</v>
      </c>
      <c r="FX414" s="847">
        <v>63959</v>
      </c>
      <c r="FY414" s="847">
        <v>65202</v>
      </c>
      <c r="FZ414" s="847">
        <v>66463</v>
      </c>
      <c r="GA414" s="847">
        <v>67743</v>
      </c>
      <c r="GB414" s="847">
        <v>69040</v>
      </c>
      <c r="GC414" s="847">
        <v>70355</v>
      </c>
      <c r="GD414" s="847">
        <v>71687</v>
      </c>
      <c r="GE414" s="847">
        <v>73036</v>
      </c>
      <c r="GF414" s="847">
        <v>74400</v>
      </c>
      <c r="GG414" s="847">
        <v>75779</v>
      </c>
      <c r="GH414" s="847">
        <v>77172</v>
      </c>
      <c r="GI414" s="847">
        <v>78580</v>
      </c>
      <c r="GJ414" s="847">
        <v>80001</v>
      </c>
      <c r="GK414" s="847">
        <v>81434</v>
      </c>
      <c r="GL414" s="847">
        <v>82880</v>
      </c>
      <c r="GM414" s="847">
        <v>84337</v>
      </c>
      <c r="GN414" s="847">
        <v>85805</v>
      </c>
      <c r="GO414" s="847">
        <v>87284</v>
      </c>
      <c r="GP414" s="847">
        <v>88772</v>
      </c>
      <c r="GQ414" s="847">
        <v>90269</v>
      </c>
      <c r="GR414" s="847">
        <v>91775</v>
      </c>
      <c r="GS414" s="847">
        <v>93290</v>
      </c>
      <c r="GT414" s="847">
        <v>94811</v>
      </c>
      <c r="GU414" s="847">
        <v>96335</v>
      </c>
      <c r="GV414" s="847">
        <v>97857</v>
      </c>
      <c r="GW414" s="847">
        <v>99381</v>
      </c>
      <c r="GX414" s="847">
        <v>100906</v>
      </c>
      <c r="GY414" s="847">
        <v>102433</v>
      </c>
      <c r="GZ414" s="847">
        <v>103959</v>
      </c>
      <c r="HA414" s="847">
        <v>105486</v>
      </c>
      <c r="HB414" s="847">
        <v>107011</v>
      </c>
      <c r="HC414" s="847">
        <v>108534</v>
      </c>
      <c r="HD414" s="847">
        <v>110056</v>
      </c>
      <c r="HE414" s="847">
        <v>111575</v>
      </c>
      <c r="HF414" s="847">
        <v>113091</v>
      </c>
      <c r="HG414" s="847">
        <v>114603</v>
      </c>
      <c r="HH414" s="847">
        <v>116113</v>
      </c>
      <c r="HI414" s="847">
        <v>117619</v>
      </c>
      <c r="HJ414" s="847">
        <v>119121</v>
      </c>
      <c r="HK414" s="847">
        <v>120619</v>
      </c>
      <c r="HL414" s="847">
        <v>122111</v>
      </c>
      <c r="HM414" s="847">
        <v>123570</v>
      </c>
      <c r="HN414" s="847">
        <v>124800</v>
      </c>
      <c r="HO414" s="847">
        <v>0</v>
      </c>
      <c r="HP414" s="847">
        <v>0</v>
      </c>
      <c r="HQ414" s="847">
        <v>0</v>
      </c>
      <c r="HR414" s="847">
        <v>0</v>
      </c>
      <c r="HS414" s="847">
        <v>0</v>
      </c>
      <c r="HT414" s="847">
        <v>0</v>
      </c>
      <c r="HU414" s="847">
        <v>0</v>
      </c>
      <c r="HV414" s="847">
        <v>0</v>
      </c>
      <c r="HW414" s="847">
        <v>0</v>
      </c>
      <c r="HX414" s="847">
        <v>0</v>
      </c>
      <c r="HY414" s="847">
        <v>0</v>
      </c>
      <c r="HZ414" s="847">
        <v>0</v>
      </c>
      <c r="IA414" s="847">
        <v>0</v>
      </c>
      <c r="IB414" s="847">
        <v>0</v>
      </c>
      <c r="IC414" s="847">
        <v>0</v>
      </c>
      <c r="ID414" s="847">
        <v>0</v>
      </c>
      <c r="IE414" s="847">
        <v>0</v>
      </c>
      <c r="IF414" s="847">
        <v>0</v>
      </c>
      <c r="IG414" s="847">
        <v>0</v>
      </c>
      <c r="IH414" s="847">
        <v>0</v>
      </c>
      <c r="II414" s="847">
        <v>0</v>
      </c>
      <c r="IJ414" s="847">
        <v>0</v>
      </c>
      <c r="IK414" s="847">
        <v>0</v>
      </c>
    </row>
    <row r="415" spans="12:245" hidden="1">
      <c r="L415" s="843" t="s">
        <v>1060</v>
      </c>
      <c r="M415" s="843" t="s">
        <v>1382</v>
      </c>
      <c r="N415" s="843" t="s">
        <v>97</v>
      </c>
      <c r="O415" s="844">
        <v>24</v>
      </c>
      <c r="P415" s="780" t="str">
        <f t="shared" si="14"/>
        <v>IWT060224</v>
      </c>
      <c r="Q415" s="844">
        <v>2275</v>
      </c>
      <c r="R415" s="844">
        <v>6438</v>
      </c>
      <c r="S415" s="844">
        <v>11189</v>
      </c>
      <c r="T415" s="844">
        <v>16544</v>
      </c>
      <c r="U415" s="844">
        <v>22520</v>
      </c>
      <c r="V415" s="844">
        <v>28843</v>
      </c>
      <c r="W415" s="844">
        <v>29716</v>
      </c>
      <c r="X415" s="844">
        <v>30310</v>
      </c>
      <c r="Y415" s="844">
        <v>30916</v>
      </c>
      <c r="Z415" s="844">
        <v>31534</v>
      </c>
      <c r="AA415" s="844">
        <v>32165</v>
      </c>
      <c r="AB415" s="844">
        <v>32808</v>
      </c>
      <c r="AC415" s="844">
        <v>33464</v>
      </c>
      <c r="AD415" s="844">
        <v>34133</v>
      </c>
      <c r="AE415" s="844">
        <v>34816</v>
      </c>
      <c r="AF415" s="844">
        <v>35512</v>
      </c>
      <c r="AG415" s="844">
        <v>36222</v>
      </c>
      <c r="AH415" s="844">
        <v>36947</v>
      </c>
      <c r="AI415" s="844">
        <v>37686</v>
      </c>
      <c r="AJ415" s="844">
        <v>38440</v>
      </c>
      <c r="AK415" s="844">
        <v>39208</v>
      </c>
      <c r="AL415" s="844">
        <v>39993</v>
      </c>
      <c r="AM415" s="844">
        <v>40792</v>
      </c>
      <c r="AN415" s="844">
        <v>41608</v>
      </c>
      <c r="AO415" s="844">
        <v>42440</v>
      </c>
      <c r="AP415" s="844">
        <v>43289</v>
      </c>
      <c r="AQ415" s="844">
        <v>44155</v>
      </c>
      <c r="AR415" s="844">
        <v>45038</v>
      </c>
      <c r="AS415" s="844">
        <v>45939</v>
      </c>
      <c r="AT415" s="844">
        <v>46858</v>
      </c>
      <c r="AU415" s="844">
        <v>47795</v>
      </c>
      <c r="AV415" s="844">
        <v>48751</v>
      </c>
      <c r="AW415" s="844">
        <v>49726</v>
      </c>
      <c r="AX415" s="844">
        <v>50720</v>
      </c>
      <c r="AY415" s="844">
        <v>51734</v>
      </c>
      <c r="AZ415" s="844">
        <v>52769</v>
      </c>
      <c r="BA415" s="844">
        <v>53824</v>
      </c>
      <c r="BB415" s="844">
        <v>54898</v>
      </c>
      <c r="BC415" s="844">
        <v>55991</v>
      </c>
      <c r="BD415" s="844">
        <v>57104</v>
      </c>
      <c r="BE415" s="844">
        <v>58237</v>
      </c>
      <c r="BF415" s="844">
        <v>59388</v>
      </c>
      <c r="BG415" s="844">
        <v>60560</v>
      </c>
      <c r="BH415" s="844">
        <v>61750</v>
      </c>
      <c r="BI415" s="844">
        <v>62960</v>
      </c>
      <c r="BJ415" s="844">
        <v>64188</v>
      </c>
      <c r="BK415" s="844">
        <v>65435</v>
      </c>
      <c r="BL415" s="844">
        <v>66699</v>
      </c>
      <c r="BM415" s="844">
        <v>67982</v>
      </c>
      <c r="BN415" s="844">
        <v>69283</v>
      </c>
      <c r="BO415" s="844">
        <v>70600</v>
      </c>
      <c r="BP415" s="844">
        <v>71935</v>
      </c>
      <c r="BQ415" s="844">
        <v>73285</v>
      </c>
      <c r="BR415" s="844">
        <v>74650</v>
      </c>
      <c r="BS415" s="844">
        <v>76030</v>
      </c>
      <c r="BT415" s="844">
        <v>77425</v>
      </c>
      <c r="BU415" s="844">
        <v>78832</v>
      </c>
      <c r="BV415" s="844">
        <v>80253</v>
      </c>
      <c r="BW415" s="844">
        <v>81687</v>
      </c>
      <c r="BX415" s="844">
        <v>83132</v>
      </c>
      <c r="BY415" s="844">
        <v>84588</v>
      </c>
      <c r="BZ415" s="844">
        <v>86056</v>
      </c>
      <c r="CA415" s="844">
        <v>87533</v>
      </c>
      <c r="CB415" s="844">
        <v>89020</v>
      </c>
      <c r="CC415" s="844">
        <v>90515</v>
      </c>
      <c r="CD415" s="844">
        <v>92019</v>
      </c>
      <c r="CE415" s="844">
        <v>93530</v>
      </c>
      <c r="CF415" s="844">
        <v>95045</v>
      </c>
      <c r="CG415" s="844">
        <v>96558</v>
      </c>
      <c r="CH415" s="844">
        <v>98074</v>
      </c>
      <c r="CI415" s="844">
        <v>99592</v>
      </c>
      <c r="CJ415" s="844">
        <v>101111</v>
      </c>
      <c r="CK415" s="844">
        <v>102631</v>
      </c>
      <c r="CL415" s="844">
        <v>104150</v>
      </c>
      <c r="CM415" s="844">
        <v>105669</v>
      </c>
      <c r="CN415" s="844">
        <v>107187</v>
      </c>
      <c r="CO415" s="844">
        <v>108703</v>
      </c>
      <c r="CP415" s="844">
        <v>110217</v>
      </c>
      <c r="CQ415" s="844">
        <v>111728</v>
      </c>
      <c r="CR415" s="844">
        <v>113237</v>
      </c>
      <c r="CS415" s="844">
        <v>114742</v>
      </c>
      <c r="CT415" s="844">
        <v>116244</v>
      </c>
      <c r="CU415" s="844">
        <v>117743</v>
      </c>
      <c r="CV415" s="844">
        <v>119237</v>
      </c>
      <c r="CW415" s="844">
        <v>120727</v>
      </c>
      <c r="CX415" s="844">
        <v>122184</v>
      </c>
      <c r="CY415" s="844">
        <v>123400</v>
      </c>
      <c r="CZ415" s="844">
        <v>0</v>
      </c>
      <c r="DA415" s="844">
        <v>0</v>
      </c>
      <c r="DB415" s="844">
        <v>0</v>
      </c>
      <c r="DC415" s="844">
        <v>0</v>
      </c>
      <c r="DD415" s="844">
        <v>0</v>
      </c>
      <c r="DE415" s="844">
        <v>0</v>
      </c>
      <c r="DF415" s="844">
        <v>0</v>
      </c>
      <c r="DG415" s="844">
        <v>0</v>
      </c>
      <c r="DH415" s="844">
        <v>0</v>
      </c>
      <c r="DI415" s="844">
        <v>0</v>
      </c>
      <c r="DJ415" s="844">
        <v>0</v>
      </c>
      <c r="DK415" s="844">
        <v>0</v>
      </c>
      <c r="DL415" s="844">
        <v>0</v>
      </c>
      <c r="DM415" s="844">
        <v>0</v>
      </c>
      <c r="DN415" s="844">
        <v>0</v>
      </c>
      <c r="DO415" s="844">
        <v>0</v>
      </c>
      <c r="DP415" s="844">
        <v>0</v>
      </c>
      <c r="DQ415" s="844">
        <v>0</v>
      </c>
      <c r="DR415" s="844">
        <v>0</v>
      </c>
      <c r="DS415" s="844">
        <v>0</v>
      </c>
      <c r="DT415" s="844">
        <v>0</v>
      </c>
      <c r="DU415" s="844">
        <v>0</v>
      </c>
      <c r="DV415" s="844">
        <v>0</v>
      </c>
      <c r="DW415" s="844">
        <v>0</v>
      </c>
      <c r="DY415" s="846" t="s">
        <v>1060</v>
      </c>
      <c r="DZ415" s="846" t="s">
        <v>1382</v>
      </c>
      <c r="EA415" s="846" t="s">
        <v>97</v>
      </c>
      <c r="EB415" s="847">
        <v>24</v>
      </c>
      <c r="EC415" s="780" t="str">
        <f t="shared" si="15"/>
        <v>IWT060224</v>
      </c>
      <c r="ED415" s="847">
        <v>0</v>
      </c>
      <c r="EE415" s="847">
        <v>3033</v>
      </c>
      <c r="EF415" s="847">
        <v>8048</v>
      </c>
      <c r="EG415" s="847">
        <v>13164</v>
      </c>
      <c r="EH415" s="847">
        <v>18382</v>
      </c>
      <c r="EI415" s="847">
        <v>23705</v>
      </c>
      <c r="EJ415" s="847">
        <v>29134</v>
      </c>
      <c r="EK415" s="847">
        <v>29716</v>
      </c>
      <c r="EL415" s="847">
        <v>30310</v>
      </c>
      <c r="EM415" s="847">
        <v>30916</v>
      </c>
      <c r="EN415" s="847">
        <v>31534</v>
      </c>
      <c r="EO415" s="847">
        <v>32165</v>
      </c>
      <c r="EP415" s="847">
        <v>32808</v>
      </c>
      <c r="EQ415" s="847">
        <v>33464</v>
      </c>
      <c r="ER415" s="847">
        <v>34133</v>
      </c>
      <c r="ES415" s="847">
        <v>34816</v>
      </c>
      <c r="ET415" s="847">
        <v>35512</v>
      </c>
      <c r="EU415" s="847">
        <v>36222</v>
      </c>
      <c r="EV415" s="847">
        <v>36947</v>
      </c>
      <c r="EW415" s="847">
        <v>37686</v>
      </c>
      <c r="EX415" s="847">
        <v>38440</v>
      </c>
      <c r="EY415" s="847">
        <v>39208</v>
      </c>
      <c r="EZ415" s="847">
        <v>39993</v>
      </c>
      <c r="FA415" s="847">
        <v>40792</v>
      </c>
      <c r="FB415" s="847">
        <v>41608</v>
      </c>
      <c r="FC415" s="847">
        <v>42440</v>
      </c>
      <c r="FD415" s="847">
        <v>43289</v>
      </c>
      <c r="FE415" s="847">
        <v>44155</v>
      </c>
      <c r="FF415" s="847">
        <v>45038</v>
      </c>
      <c r="FG415" s="847">
        <v>45939</v>
      </c>
      <c r="FH415" s="847">
        <v>46858</v>
      </c>
      <c r="FI415" s="847">
        <v>47795</v>
      </c>
      <c r="FJ415" s="847">
        <v>48751</v>
      </c>
      <c r="FK415" s="847">
        <v>49726</v>
      </c>
      <c r="FL415" s="847">
        <v>50720</v>
      </c>
      <c r="FM415" s="847">
        <v>51734</v>
      </c>
      <c r="FN415" s="847">
        <v>52769</v>
      </c>
      <c r="FO415" s="847">
        <v>53824</v>
      </c>
      <c r="FP415" s="847">
        <v>54898</v>
      </c>
      <c r="FQ415" s="847">
        <v>55991</v>
      </c>
      <c r="FR415" s="847">
        <v>57104</v>
      </c>
      <c r="FS415" s="847">
        <v>58237</v>
      </c>
      <c r="FT415" s="847">
        <v>59388</v>
      </c>
      <c r="FU415" s="847">
        <v>60560</v>
      </c>
      <c r="FV415" s="847">
        <v>61750</v>
      </c>
      <c r="FW415" s="847">
        <v>62960</v>
      </c>
      <c r="FX415" s="847">
        <v>64188</v>
      </c>
      <c r="FY415" s="847">
        <v>65435</v>
      </c>
      <c r="FZ415" s="847">
        <v>66699</v>
      </c>
      <c r="GA415" s="847">
        <v>67982</v>
      </c>
      <c r="GB415" s="847">
        <v>69283</v>
      </c>
      <c r="GC415" s="847">
        <v>70600</v>
      </c>
      <c r="GD415" s="847">
        <v>71935</v>
      </c>
      <c r="GE415" s="847">
        <v>73285</v>
      </c>
      <c r="GF415" s="847">
        <v>74650</v>
      </c>
      <c r="GG415" s="847">
        <v>76030</v>
      </c>
      <c r="GH415" s="847">
        <v>77425</v>
      </c>
      <c r="GI415" s="847">
        <v>78832</v>
      </c>
      <c r="GJ415" s="847">
        <v>80253</v>
      </c>
      <c r="GK415" s="847">
        <v>81687</v>
      </c>
      <c r="GL415" s="847">
        <v>83132</v>
      </c>
      <c r="GM415" s="847">
        <v>84588</v>
      </c>
      <c r="GN415" s="847">
        <v>86056</v>
      </c>
      <c r="GO415" s="847">
        <v>87533</v>
      </c>
      <c r="GP415" s="847">
        <v>89020</v>
      </c>
      <c r="GQ415" s="847">
        <v>90515</v>
      </c>
      <c r="GR415" s="847">
        <v>92019</v>
      </c>
      <c r="GS415" s="847">
        <v>93530</v>
      </c>
      <c r="GT415" s="847">
        <v>95045</v>
      </c>
      <c r="GU415" s="847">
        <v>96558</v>
      </c>
      <c r="GV415" s="847">
        <v>98074</v>
      </c>
      <c r="GW415" s="847">
        <v>99592</v>
      </c>
      <c r="GX415" s="847">
        <v>101111</v>
      </c>
      <c r="GY415" s="847">
        <v>102631</v>
      </c>
      <c r="GZ415" s="847">
        <v>104150</v>
      </c>
      <c r="HA415" s="847">
        <v>105669</v>
      </c>
      <c r="HB415" s="847">
        <v>107187</v>
      </c>
      <c r="HC415" s="847">
        <v>108703</v>
      </c>
      <c r="HD415" s="847">
        <v>110217</v>
      </c>
      <c r="HE415" s="847">
        <v>111728</v>
      </c>
      <c r="HF415" s="847">
        <v>113237</v>
      </c>
      <c r="HG415" s="847">
        <v>114742</v>
      </c>
      <c r="HH415" s="847">
        <v>116244</v>
      </c>
      <c r="HI415" s="847">
        <v>117743</v>
      </c>
      <c r="HJ415" s="847">
        <v>119237</v>
      </c>
      <c r="HK415" s="847">
        <v>120727</v>
      </c>
      <c r="HL415" s="847">
        <v>122184</v>
      </c>
      <c r="HM415" s="847">
        <v>123400</v>
      </c>
      <c r="HN415" s="847">
        <v>0</v>
      </c>
      <c r="HO415" s="847">
        <v>0</v>
      </c>
      <c r="HP415" s="847">
        <v>0</v>
      </c>
      <c r="HQ415" s="847">
        <v>0</v>
      </c>
      <c r="HR415" s="847">
        <v>0</v>
      </c>
      <c r="HS415" s="847">
        <v>0</v>
      </c>
      <c r="HT415" s="847">
        <v>0</v>
      </c>
      <c r="HU415" s="847">
        <v>0</v>
      </c>
      <c r="HV415" s="847">
        <v>0</v>
      </c>
      <c r="HW415" s="847">
        <v>0</v>
      </c>
      <c r="HX415" s="847">
        <v>0</v>
      </c>
      <c r="HY415" s="847">
        <v>0</v>
      </c>
      <c r="HZ415" s="847">
        <v>0</v>
      </c>
      <c r="IA415" s="847">
        <v>0</v>
      </c>
      <c r="IB415" s="847">
        <v>0</v>
      </c>
      <c r="IC415" s="847">
        <v>0</v>
      </c>
      <c r="ID415" s="847">
        <v>0</v>
      </c>
      <c r="IE415" s="847">
        <v>0</v>
      </c>
      <c r="IF415" s="847">
        <v>0</v>
      </c>
      <c r="IG415" s="847">
        <v>0</v>
      </c>
      <c r="IH415" s="847">
        <v>0</v>
      </c>
      <c r="II415" s="847">
        <v>0</v>
      </c>
      <c r="IJ415" s="847">
        <v>0</v>
      </c>
      <c r="IK415" s="847">
        <v>0</v>
      </c>
    </row>
    <row r="416" spans="12:245" hidden="1">
      <c r="L416" s="843" t="s">
        <v>1060</v>
      </c>
      <c r="M416" s="843" t="s">
        <v>1382</v>
      </c>
      <c r="N416" s="843" t="s">
        <v>97</v>
      </c>
      <c r="O416" s="844">
        <v>25</v>
      </c>
      <c r="P416" s="780" t="str">
        <f t="shared" si="14"/>
        <v>IWT060225</v>
      </c>
      <c r="Q416" s="844">
        <v>2282</v>
      </c>
      <c r="R416" s="844">
        <v>6460</v>
      </c>
      <c r="S416" s="844">
        <v>11227</v>
      </c>
      <c r="T416" s="844">
        <v>16600</v>
      </c>
      <c r="U416" s="844">
        <v>22595</v>
      </c>
      <c r="V416" s="844">
        <v>28939</v>
      </c>
      <c r="W416" s="844">
        <v>29815</v>
      </c>
      <c r="X416" s="844">
        <v>30411</v>
      </c>
      <c r="Y416" s="844">
        <v>31019</v>
      </c>
      <c r="Z416" s="844">
        <v>31639</v>
      </c>
      <c r="AA416" s="844">
        <v>32272</v>
      </c>
      <c r="AB416" s="844">
        <v>32917</v>
      </c>
      <c r="AC416" s="844">
        <v>33576</v>
      </c>
      <c r="AD416" s="844">
        <v>34247</v>
      </c>
      <c r="AE416" s="844">
        <v>34932</v>
      </c>
      <c r="AF416" s="844">
        <v>35631</v>
      </c>
      <c r="AG416" s="844">
        <v>36343</v>
      </c>
      <c r="AH416" s="844">
        <v>37070</v>
      </c>
      <c r="AI416" s="844">
        <v>37812</v>
      </c>
      <c r="AJ416" s="844">
        <v>38568</v>
      </c>
      <c r="AK416" s="844">
        <v>39339</v>
      </c>
      <c r="AL416" s="844">
        <v>40126</v>
      </c>
      <c r="AM416" s="844">
        <v>40929</v>
      </c>
      <c r="AN416" s="844">
        <v>41747</v>
      </c>
      <c r="AO416" s="844">
        <v>42582</v>
      </c>
      <c r="AP416" s="844">
        <v>43434</v>
      </c>
      <c r="AQ416" s="844">
        <v>44302</v>
      </c>
      <c r="AR416" s="844">
        <v>45188</v>
      </c>
      <c r="AS416" s="844">
        <v>46092</v>
      </c>
      <c r="AT416" s="844">
        <v>47014</v>
      </c>
      <c r="AU416" s="844">
        <v>47954</v>
      </c>
      <c r="AV416" s="844">
        <v>48913</v>
      </c>
      <c r="AW416" s="844">
        <v>49892</v>
      </c>
      <c r="AX416" s="844">
        <v>50890</v>
      </c>
      <c r="AY416" s="844">
        <v>51907</v>
      </c>
      <c r="AZ416" s="844">
        <v>52945</v>
      </c>
      <c r="BA416" s="844">
        <v>54004</v>
      </c>
      <c r="BB416" s="844">
        <v>55083</v>
      </c>
      <c r="BC416" s="844">
        <v>56181</v>
      </c>
      <c r="BD416" s="844">
        <v>57298</v>
      </c>
      <c r="BE416" s="844">
        <v>58435</v>
      </c>
      <c r="BF416" s="844">
        <v>59591</v>
      </c>
      <c r="BG416" s="844">
        <v>60766</v>
      </c>
      <c r="BH416" s="844">
        <v>61961</v>
      </c>
      <c r="BI416" s="844">
        <v>63174</v>
      </c>
      <c r="BJ416" s="844">
        <v>64406</v>
      </c>
      <c r="BK416" s="844">
        <v>65656</v>
      </c>
      <c r="BL416" s="844">
        <v>66924</v>
      </c>
      <c r="BM416" s="844">
        <v>68210</v>
      </c>
      <c r="BN416" s="844">
        <v>69513</v>
      </c>
      <c r="BO416" s="844">
        <v>70833</v>
      </c>
      <c r="BP416" s="844">
        <v>72170</v>
      </c>
      <c r="BQ416" s="844">
        <v>73521</v>
      </c>
      <c r="BR416" s="844">
        <v>74888</v>
      </c>
      <c r="BS416" s="844">
        <v>76269</v>
      </c>
      <c r="BT416" s="844">
        <v>77664</v>
      </c>
      <c r="BU416" s="844">
        <v>79073</v>
      </c>
      <c r="BV416" s="844">
        <v>80494</v>
      </c>
      <c r="BW416" s="844">
        <v>81927</v>
      </c>
      <c r="BX416" s="844">
        <v>83372</v>
      </c>
      <c r="BY416" s="844">
        <v>84828</v>
      </c>
      <c r="BZ416" s="844">
        <v>86294</v>
      </c>
      <c r="CA416" s="844">
        <v>87770</v>
      </c>
      <c r="CB416" s="844">
        <v>89255</v>
      </c>
      <c r="CC416" s="844">
        <v>90749</v>
      </c>
      <c r="CD416" s="844">
        <v>92250</v>
      </c>
      <c r="CE416" s="844">
        <v>93756</v>
      </c>
      <c r="CF416" s="844">
        <v>95260</v>
      </c>
      <c r="CG416" s="844">
        <v>96768</v>
      </c>
      <c r="CH416" s="844">
        <v>98278</v>
      </c>
      <c r="CI416" s="844">
        <v>99789</v>
      </c>
      <c r="CJ416" s="844">
        <v>101302</v>
      </c>
      <c r="CK416" s="844">
        <v>102815</v>
      </c>
      <c r="CL416" s="844">
        <v>104328</v>
      </c>
      <c r="CM416" s="844">
        <v>105840</v>
      </c>
      <c r="CN416" s="844">
        <v>107350</v>
      </c>
      <c r="CO416" s="844">
        <v>108859</v>
      </c>
      <c r="CP416" s="844">
        <v>110366</v>
      </c>
      <c r="CQ416" s="844">
        <v>111870</v>
      </c>
      <c r="CR416" s="844">
        <v>113371</v>
      </c>
      <c r="CS416" s="844">
        <v>114869</v>
      </c>
      <c r="CT416" s="844">
        <v>116364</v>
      </c>
      <c r="CU416" s="844">
        <v>117856</v>
      </c>
      <c r="CV416" s="844">
        <v>119342</v>
      </c>
      <c r="CW416" s="844">
        <v>120798</v>
      </c>
      <c r="CX416" s="844">
        <v>122000</v>
      </c>
      <c r="CY416" s="844">
        <v>0</v>
      </c>
      <c r="CZ416" s="844">
        <v>0</v>
      </c>
      <c r="DA416" s="844">
        <v>0</v>
      </c>
      <c r="DB416" s="844">
        <v>0</v>
      </c>
      <c r="DC416" s="844">
        <v>0</v>
      </c>
      <c r="DD416" s="844">
        <v>0</v>
      </c>
      <c r="DE416" s="844">
        <v>0</v>
      </c>
      <c r="DF416" s="844">
        <v>0</v>
      </c>
      <c r="DG416" s="844">
        <v>0</v>
      </c>
      <c r="DH416" s="844">
        <v>0</v>
      </c>
      <c r="DI416" s="844">
        <v>0</v>
      </c>
      <c r="DJ416" s="844">
        <v>0</v>
      </c>
      <c r="DK416" s="844">
        <v>0</v>
      </c>
      <c r="DL416" s="844">
        <v>0</v>
      </c>
      <c r="DM416" s="844">
        <v>0</v>
      </c>
      <c r="DN416" s="844">
        <v>0</v>
      </c>
      <c r="DO416" s="844">
        <v>0</v>
      </c>
      <c r="DP416" s="844">
        <v>0</v>
      </c>
      <c r="DQ416" s="844">
        <v>0</v>
      </c>
      <c r="DR416" s="844">
        <v>0</v>
      </c>
      <c r="DS416" s="844">
        <v>0</v>
      </c>
      <c r="DT416" s="844">
        <v>0</v>
      </c>
      <c r="DU416" s="844">
        <v>0</v>
      </c>
      <c r="DV416" s="844">
        <v>0</v>
      </c>
      <c r="DW416" s="844">
        <v>0</v>
      </c>
      <c r="DY416" s="846" t="s">
        <v>1060</v>
      </c>
      <c r="DZ416" s="846" t="s">
        <v>1382</v>
      </c>
      <c r="EA416" s="846" t="s">
        <v>97</v>
      </c>
      <c r="EB416" s="847">
        <v>25</v>
      </c>
      <c r="EC416" s="780" t="str">
        <f t="shared" si="15"/>
        <v>IWT060225</v>
      </c>
      <c r="ED416" s="847">
        <v>0</v>
      </c>
      <c r="EE416" s="847">
        <v>3043</v>
      </c>
      <c r="EF416" s="847">
        <v>8075</v>
      </c>
      <c r="EG416" s="847">
        <v>13208</v>
      </c>
      <c r="EH416" s="847">
        <v>18444</v>
      </c>
      <c r="EI416" s="847">
        <v>23784</v>
      </c>
      <c r="EJ416" s="847">
        <v>29231</v>
      </c>
      <c r="EK416" s="847">
        <v>29815</v>
      </c>
      <c r="EL416" s="847">
        <v>30411</v>
      </c>
      <c r="EM416" s="847">
        <v>31019</v>
      </c>
      <c r="EN416" s="847">
        <v>31639</v>
      </c>
      <c r="EO416" s="847">
        <v>32272</v>
      </c>
      <c r="EP416" s="847">
        <v>32917</v>
      </c>
      <c r="EQ416" s="847">
        <v>33576</v>
      </c>
      <c r="ER416" s="847">
        <v>34247</v>
      </c>
      <c r="ES416" s="847">
        <v>34932</v>
      </c>
      <c r="ET416" s="847">
        <v>35631</v>
      </c>
      <c r="EU416" s="847">
        <v>36343</v>
      </c>
      <c r="EV416" s="847">
        <v>37070</v>
      </c>
      <c r="EW416" s="847">
        <v>37812</v>
      </c>
      <c r="EX416" s="847">
        <v>38568</v>
      </c>
      <c r="EY416" s="847">
        <v>39339</v>
      </c>
      <c r="EZ416" s="847">
        <v>40126</v>
      </c>
      <c r="FA416" s="847">
        <v>40929</v>
      </c>
      <c r="FB416" s="847">
        <v>41747</v>
      </c>
      <c r="FC416" s="847">
        <v>42582</v>
      </c>
      <c r="FD416" s="847">
        <v>43434</v>
      </c>
      <c r="FE416" s="847">
        <v>44302</v>
      </c>
      <c r="FF416" s="847">
        <v>45188</v>
      </c>
      <c r="FG416" s="847">
        <v>46092</v>
      </c>
      <c r="FH416" s="847">
        <v>47014</v>
      </c>
      <c r="FI416" s="847">
        <v>47954</v>
      </c>
      <c r="FJ416" s="847">
        <v>48913</v>
      </c>
      <c r="FK416" s="847">
        <v>49892</v>
      </c>
      <c r="FL416" s="847">
        <v>50890</v>
      </c>
      <c r="FM416" s="847">
        <v>51907</v>
      </c>
      <c r="FN416" s="847">
        <v>52945</v>
      </c>
      <c r="FO416" s="847">
        <v>54004</v>
      </c>
      <c r="FP416" s="847">
        <v>55083</v>
      </c>
      <c r="FQ416" s="847">
        <v>56181</v>
      </c>
      <c r="FR416" s="847">
        <v>57298</v>
      </c>
      <c r="FS416" s="847">
        <v>58435</v>
      </c>
      <c r="FT416" s="847">
        <v>59591</v>
      </c>
      <c r="FU416" s="847">
        <v>60766</v>
      </c>
      <c r="FV416" s="847">
        <v>61961</v>
      </c>
      <c r="FW416" s="847">
        <v>63174</v>
      </c>
      <c r="FX416" s="847">
        <v>64406</v>
      </c>
      <c r="FY416" s="847">
        <v>65656</v>
      </c>
      <c r="FZ416" s="847">
        <v>66924</v>
      </c>
      <c r="GA416" s="847">
        <v>68210</v>
      </c>
      <c r="GB416" s="847">
        <v>69513</v>
      </c>
      <c r="GC416" s="847">
        <v>70833</v>
      </c>
      <c r="GD416" s="847">
        <v>72170</v>
      </c>
      <c r="GE416" s="847">
        <v>73521</v>
      </c>
      <c r="GF416" s="847">
        <v>74888</v>
      </c>
      <c r="GG416" s="847">
        <v>76269</v>
      </c>
      <c r="GH416" s="847">
        <v>77664</v>
      </c>
      <c r="GI416" s="847">
        <v>79073</v>
      </c>
      <c r="GJ416" s="847">
        <v>80494</v>
      </c>
      <c r="GK416" s="847">
        <v>81927</v>
      </c>
      <c r="GL416" s="847">
        <v>83372</v>
      </c>
      <c r="GM416" s="847">
        <v>84828</v>
      </c>
      <c r="GN416" s="847">
        <v>86294</v>
      </c>
      <c r="GO416" s="847">
        <v>87770</v>
      </c>
      <c r="GP416" s="847">
        <v>89255</v>
      </c>
      <c r="GQ416" s="847">
        <v>90749</v>
      </c>
      <c r="GR416" s="847">
        <v>92250</v>
      </c>
      <c r="GS416" s="847">
        <v>93756</v>
      </c>
      <c r="GT416" s="847">
        <v>95260</v>
      </c>
      <c r="GU416" s="847">
        <v>96768</v>
      </c>
      <c r="GV416" s="847">
        <v>98278</v>
      </c>
      <c r="GW416" s="847">
        <v>99789</v>
      </c>
      <c r="GX416" s="847">
        <v>101302</v>
      </c>
      <c r="GY416" s="847">
        <v>102815</v>
      </c>
      <c r="GZ416" s="847">
        <v>104328</v>
      </c>
      <c r="HA416" s="847">
        <v>105840</v>
      </c>
      <c r="HB416" s="847">
        <v>107350</v>
      </c>
      <c r="HC416" s="847">
        <v>108859</v>
      </c>
      <c r="HD416" s="847">
        <v>110366</v>
      </c>
      <c r="HE416" s="847">
        <v>111870</v>
      </c>
      <c r="HF416" s="847">
        <v>113371</v>
      </c>
      <c r="HG416" s="847">
        <v>114869</v>
      </c>
      <c r="HH416" s="847">
        <v>116364</v>
      </c>
      <c r="HI416" s="847">
        <v>117856</v>
      </c>
      <c r="HJ416" s="847">
        <v>119342</v>
      </c>
      <c r="HK416" s="847">
        <v>120798</v>
      </c>
      <c r="HL416" s="847">
        <v>122000</v>
      </c>
      <c r="HM416" s="847">
        <v>0</v>
      </c>
      <c r="HN416" s="847">
        <v>0</v>
      </c>
      <c r="HO416" s="847">
        <v>0</v>
      </c>
      <c r="HP416" s="847">
        <v>0</v>
      </c>
      <c r="HQ416" s="847">
        <v>0</v>
      </c>
      <c r="HR416" s="847">
        <v>0</v>
      </c>
      <c r="HS416" s="847">
        <v>0</v>
      </c>
      <c r="HT416" s="847">
        <v>0</v>
      </c>
      <c r="HU416" s="847">
        <v>0</v>
      </c>
      <c r="HV416" s="847">
        <v>0</v>
      </c>
      <c r="HW416" s="847">
        <v>0</v>
      </c>
      <c r="HX416" s="847">
        <v>0</v>
      </c>
      <c r="HY416" s="847">
        <v>0</v>
      </c>
      <c r="HZ416" s="847">
        <v>0</v>
      </c>
      <c r="IA416" s="847">
        <v>0</v>
      </c>
      <c r="IB416" s="847">
        <v>0</v>
      </c>
      <c r="IC416" s="847">
        <v>0</v>
      </c>
      <c r="ID416" s="847">
        <v>0</v>
      </c>
      <c r="IE416" s="847">
        <v>0</v>
      </c>
      <c r="IF416" s="847">
        <v>0</v>
      </c>
      <c r="IG416" s="847">
        <v>0</v>
      </c>
      <c r="IH416" s="847">
        <v>0</v>
      </c>
      <c r="II416" s="847">
        <v>0</v>
      </c>
      <c r="IJ416" s="847">
        <v>0</v>
      </c>
      <c r="IK416" s="847">
        <v>0</v>
      </c>
    </row>
    <row r="417" spans="12:245" hidden="1">
      <c r="L417" s="843" t="s">
        <v>1060</v>
      </c>
      <c r="M417" s="843" t="s">
        <v>1382</v>
      </c>
      <c r="N417" s="843" t="s">
        <v>97</v>
      </c>
      <c r="O417" s="844">
        <v>26</v>
      </c>
      <c r="P417" s="780" t="str">
        <f t="shared" si="14"/>
        <v>IWT060226</v>
      </c>
      <c r="Q417" s="844">
        <v>2289</v>
      </c>
      <c r="R417" s="844">
        <v>6480</v>
      </c>
      <c r="S417" s="844">
        <v>11262</v>
      </c>
      <c r="T417" s="844">
        <v>16652</v>
      </c>
      <c r="U417" s="844">
        <v>22666</v>
      </c>
      <c r="V417" s="844">
        <v>29030</v>
      </c>
      <c r="W417" s="844">
        <v>29909</v>
      </c>
      <c r="X417" s="844">
        <v>30506</v>
      </c>
      <c r="Y417" s="844">
        <v>31116</v>
      </c>
      <c r="Z417" s="844">
        <v>31739</v>
      </c>
      <c r="AA417" s="844">
        <v>32374</v>
      </c>
      <c r="AB417" s="844">
        <v>33021</v>
      </c>
      <c r="AC417" s="844">
        <v>33681</v>
      </c>
      <c r="AD417" s="844">
        <v>34355</v>
      </c>
      <c r="AE417" s="844">
        <v>35042</v>
      </c>
      <c r="AF417" s="844">
        <v>35743</v>
      </c>
      <c r="AG417" s="844">
        <v>36458</v>
      </c>
      <c r="AH417" s="844">
        <v>37187</v>
      </c>
      <c r="AI417" s="844">
        <v>37931</v>
      </c>
      <c r="AJ417" s="844">
        <v>38689</v>
      </c>
      <c r="AK417" s="844">
        <v>39463</v>
      </c>
      <c r="AL417" s="844">
        <v>40252</v>
      </c>
      <c r="AM417" s="844">
        <v>41057</v>
      </c>
      <c r="AN417" s="844">
        <v>41879</v>
      </c>
      <c r="AO417" s="844">
        <v>42716</v>
      </c>
      <c r="AP417" s="844">
        <v>43570</v>
      </c>
      <c r="AQ417" s="844">
        <v>44442</v>
      </c>
      <c r="AR417" s="844">
        <v>45331</v>
      </c>
      <c r="AS417" s="844">
        <v>46237</v>
      </c>
      <c r="AT417" s="844">
        <v>47162</v>
      </c>
      <c r="AU417" s="844">
        <v>48105</v>
      </c>
      <c r="AV417" s="844">
        <v>49067</v>
      </c>
      <c r="AW417" s="844">
        <v>50049</v>
      </c>
      <c r="AX417" s="844">
        <v>51050</v>
      </c>
      <c r="AY417" s="844">
        <v>52071</v>
      </c>
      <c r="AZ417" s="844">
        <v>53112</v>
      </c>
      <c r="BA417" s="844">
        <v>54174</v>
      </c>
      <c r="BB417" s="844">
        <v>55257</v>
      </c>
      <c r="BC417" s="844">
        <v>56359</v>
      </c>
      <c r="BD417" s="844">
        <v>57481</v>
      </c>
      <c r="BE417" s="844">
        <v>58622</v>
      </c>
      <c r="BF417" s="844">
        <v>59782</v>
      </c>
      <c r="BG417" s="844">
        <v>60962</v>
      </c>
      <c r="BH417" s="844">
        <v>62160</v>
      </c>
      <c r="BI417" s="844">
        <v>63377</v>
      </c>
      <c r="BJ417" s="844">
        <v>64612</v>
      </c>
      <c r="BK417" s="844">
        <v>65866</v>
      </c>
      <c r="BL417" s="844">
        <v>67138</v>
      </c>
      <c r="BM417" s="844">
        <v>68427</v>
      </c>
      <c r="BN417" s="844">
        <v>69732</v>
      </c>
      <c r="BO417" s="844">
        <v>71055</v>
      </c>
      <c r="BP417" s="844">
        <v>72393</v>
      </c>
      <c r="BQ417" s="844">
        <v>73746</v>
      </c>
      <c r="BR417" s="844">
        <v>75114</v>
      </c>
      <c r="BS417" s="844">
        <v>76496</v>
      </c>
      <c r="BT417" s="844">
        <v>77892</v>
      </c>
      <c r="BU417" s="844">
        <v>79301</v>
      </c>
      <c r="BV417" s="844">
        <v>80722</v>
      </c>
      <c r="BW417" s="844">
        <v>82155</v>
      </c>
      <c r="BX417" s="844">
        <v>83600</v>
      </c>
      <c r="BY417" s="844">
        <v>85055</v>
      </c>
      <c r="BZ417" s="844">
        <v>86520</v>
      </c>
      <c r="CA417" s="844">
        <v>87994</v>
      </c>
      <c r="CB417" s="844">
        <v>89478</v>
      </c>
      <c r="CC417" s="844">
        <v>90970</v>
      </c>
      <c r="CD417" s="844">
        <v>92466</v>
      </c>
      <c r="CE417" s="844">
        <v>93962</v>
      </c>
      <c r="CF417" s="844">
        <v>95461</v>
      </c>
      <c r="CG417" s="844">
        <v>96963</v>
      </c>
      <c r="CH417" s="844">
        <v>98468</v>
      </c>
      <c r="CI417" s="844">
        <v>99973</v>
      </c>
      <c r="CJ417" s="844">
        <v>101480</v>
      </c>
      <c r="CK417" s="844">
        <v>102986</v>
      </c>
      <c r="CL417" s="844">
        <v>104492</v>
      </c>
      <c r="CM417" s="844">
        <v>105997</v>
      </c>
      <c r="CN417" s="844">
        <v>107501</v>
      </c>
      <c r="CO417" s="844">
        <v>109003</v>
      </c>
      <c r="CP417" s="844">
        <v>110503</v>
      </c>
      <c r="CQ417" s="844">
        <v>112000</v>
      </c>
      <c r="CR417" s="844">
        <v>113495</v>
      </c>
      <c r="CS417" s="844">
        <v>114986</v>
      </c>
      <c r="CT417" s="844">
        <v>116474</v>
      </c>
      <c r="CU417" s="844">
        <v>117958</v>
      </c>
      <c r="CV417" s="844">
        <v>119412</v>
      </c>
      <c r="CW417" s="844">
        <v>120600</v>
      </c>
      <c r="CX417" s="844">
        <v>0</v>
      </c>
      <c r="CY417" s="844">
        <v>0</v>
      </c>
      <c r="CZ417" s="844">
        <v>0</v>
      </c>
      <c r="DA417" s="844">
        <v>0</v>
      </c>
      <c r="DB417" s="844">
        <v>0</v>
      </c>
      <c r="DC417" s="844">
        <v>0</v>
      </c>
      <c r="DD417" s="844">
        <v>0</v>
      </c>
      <c r="DE417" s="844">
        <v>0</v>
      </c>
      <c r="DF417" s="844">
        <v>0</v>
      </c>
      <c r="DG417" s="844">
        <v>0</v>
      </c>
      <c r="DH417" s="844">
        <v>0</v>
      </c>
      <c r="DI417" s="844">
        <v>0</v>
      </c>
      <c r="DJ417" s="844">
        <v>0</v>
      </c>
      <c r="DK417" s="844">
        <v>0</v>
      </c>
      <c r="DL417" s="844">
        <v>0</v>
      </c>
      <c r="DM417" s="844">
        <v>0</v>
      </c>
      <c r="DN417" s="844">
        <v>0</v>
      </c>
      <c r="DO417" s="844">
        <v>0</v>
      </c>
      <c r="DP417" s="844">
        <v>0</v>
      </c>
      <c r="DQ417" s="844">
        <v>0</v>
      </c>
      <c r="DR417" s="844">
        <v>0</v>
      </c>
      <c r="DS417" s="844">
        <v>0</v>
      </c>
      <c r="DT417" s="844">
        <v>0</v>
      </c>
      <c r="DU417" s="844">
        <v>0</v>
      </c>
      <c r="DV417" s="844">
        <v>0</v>
      </c>
      <c r="DW417" s="844">
        <v>0</v>
      </c>
      <c r="DY417" s="846" t="s">
        <v>1060</v>
      </c>
      <c r="DZ417" s="846" t="s">
        <v>1382</v>
      </c>
      <c r="EA417" s="846" t="s">
        <v>97</v>
      </c>
      <c r="EB417" s="847">
        <v>26</v>
      </c>
      <c r="EC417" s="780" t="str">
        <f t="shared" si="15"/>
        <v>IWT060226</v>
      </c>
      <c r="ED417" s="847">
        <v>0</v>
      </c>
      <c r="EE417" s="847">
        <v>3052</v>
      </c>
      <c r="EF417" s="847">
        <v>8100</v>
      </c>
      <c r="EG417" s="847">
        <v>13249</v>
      </c>
      <c r="EH417" s="847">
        <v>18502</v>
      </c>
      <c r="EI417" s="847">
        <v>23859</v>
      </c>
      <c r="EJ417" s="847">
        <v>29323</v>
      </c>
      <c r="EK417" s="847">
        <v>29909</v>
      </c>
      <c r="EL417" s="847">
        <v>30506</v>
      </c>
      <c r="EM417" s="847">
        <v>31116</v>
      </c>
      <c r="EN417" s="847">
        <v>31739</v>
      </c>
      <c r="EO417" s="847">
        <v>32374</v>
      </c>
      <c r="EP417" s="847">
        <v>33021</v>
      </c>
      <c r="EQ417" s="847">
        <v>33681</v>
      </c>
      <c r="ER417" s="847">
        <v>34355</v>
      </c>
      <c r="ES417" s="847">
        <v>35042</v>
      </c>
      <c r="ET417" s="847">
        <v>35743</v>
      </c>
      <c r="EU417" s="847">
        <v>36458</v>
      </c>
      <c r="EV417" s="847">
        <v>37187</v>
      </c>
      <c r="EW417" s="847">
        <v>37931</v>
      </c>
      <c r="EX417" s="847">
        <v>38689</v>
      </c>
      <c r="EY417" s="847">
        <v>39463</v>
      </c>
      <c r="EZ417" s="847">
        <v>40252</v>
      </c>
      <c r="FA417" s="847">
        <v>41057</v>
      </c>
      <c r="FB417" s="847">
        <v>41879</v>
      </c>
      <c r="FC417" s="847">
        <v>42716</v>
      </c>
      <c r="FD417" s="847">
        <v>43570</v>
      </c>
      <c r="FE417" s="847">
        <v>44442</v>
      </c>
      <c r="FF417" s="847">
        <v>45331</v>
      </c>
      <c r="FG417" s="847">
        <v>46237</v>
      </c>
      <c r="FH417" s="847">
        <v>47162</v>
      </c>
      <c r="FI417" s="847">
        <v>48105</v>
      </c>
      <c r="FJ417" s="847">
        <v>49067</v>
      </c>
      <c r="FK417" s="847">
        <v>50049</v>
      </c>
      <c r="FL417" s="847">
        <v>51050</v>
      </c>
      <c r="FM417" s="847">
        <v>52071</v>
      </c>
      <c r="FN417" s="847">
        <v>53112</v>
      </c>
      <c r="FO417" s="847">
        <v>54174</v>
      </c>
      <c r="FP417" s="847">
        <v>55257</v>
      </c>
      <c r="FQ417" s="847">
        <v>56359</v>
      </c>
      <c r="FR417" s="847">
        <v>57481</v>
      </c>
      <c r="FS417" s="847">
        <v>58622</v>
      </c>
      <c r="FT417" s="847">
        <v>59782</v>
      </c>
      <c r="FU417" s="847">
        <v>60962</v>
      </c>
      <c r="FV417" s="847">
        <v>62160</v>
      </c>
      <c r="FW417" s="847">
        <v>63377</v>
      </c>
      <c r="FX417" s="847">
        <v>64612</v>
      </c>
      <c r="FY417" s="847">
        <v>65866</v>
      </c>
      <c r="FZ417" s="847">
        <v>67138</v>
      </c>
      <c r="GA417" s="847">
        <v>68427</v>
      </c>
      <c r="GB417" s="847">
        <v>69732</v>
      </c>
      <c r="GC417" s="847">
        <v>71055</v>
      </c>
      <c r="GD417" s="847">
        <v>72393</v>
      </c>
      <c r="GE417" s="847">
        <v>73746</v>
      </c>
      <c r="GF417" s="847">
        <v>75114</v>
      </c>
      <c r="GG417" s="847">
        <v>76496</v>
      </c>
      <c r="GH417" s="847">
        <v>77892</v>
      </c>
      <c r="GI417" s="847">
        <v>79301</v>
      </c>
      <c r="GJ417" s="847">
        <v>80722</v>
      </c>
      <c r="GK417" s="847">
        <v>82155</v>
      </c>
      <c r="GL417" s="847">
        <v>83600</v>
      </c>
      <c r="GM417" s="847">
        <v>85055</v>
      </c>
      <c r="GN417" s="847">
        <v>86520</v>
      </c>
      <c r="GO417" s="847">
        <v>87994</v>
      </c>
      <c r="GP417" s="847">
        <v>89478</v>
      </c>
      <c r="GQ417" s="847">
        <v>90970</v>
      </c>
      <c r="GR417" s="847">
        <v>92466</v>
      </c>
      <c r="GS417" s="847">
        <v>93962</v>
      </c>
      <c r="GT417" s="847">
        <v>95461</v>
      </c>
      <c r="GU417" s="847">
        <v>96963</v>
      </c>
      <c r="GV417" s="847">
        <v>98468</v>
      </c>
      <c r="GW417" s="847">
        <v>99973</v>
      </c>
      <c r="GX417" s="847">
        <v>101480</v>
      </c>
      <c r="GY417" s="847">
        <v>102986</v>
      </c>
      <c r="GZ417" s="847">
        <v>104492</v>
      </c>
      <c r="HA417" s="847">
        <v>105997</v>
      </c>
      <c r="HB417" s="847">
        <v>107501</v>
      </c>
      <c r="HC417" s="847">
        <v>109003</v>
      </c>
      <c r="HD417" s="847">
        <v>110503</v>
      </c>
      <c r="HE417" s="847">
        <v>112000</v>
      </c>
      <c r="HF417" s="847">
        <v>113495</v>
      </c>
      <c r="HG417" s="847">
        <v>114986</v>
      </c>
      <c r="HH417" s="847">
        <v>116474</v>
      </c>
      <c r="HI417" s="847">
        <v>117958</v>
      </c>
      <c r="HJ417" s="847">
        <v>119412</v>
      </c>
      <c r="HK417" s="847">
        <v>120600</v>
      </c>
      <c r="HL417" s="847">
        <v>0</v>
      </c>
      <c r="HM417" s="847">
        <v>0</v>
      </c>
      <c r="HN417" s="847">
        <v>0</v>
      </c>
      <c r="HO417" s="847">
        <v>0</v>
      </c>
      <c r="HP417" s="847">
        <v>0</v>
      </c>
      <c r="HQ417" s="847">
        <v>0</v>
      </c>
      <c r="HR417" s="847">
        <v>0</v>
      </c>
      <c r="HS417" s="847">
        <v>0</v>
      </c>
      <c r="HT417" s="847">
        <v>0</v>
      </c>
      <c r="HU417" s="847">
        <v>0</v>
      </c>
      <c r="HV417" s="847">
        <v>0</v>
      </c>
      <c r="HW417" s="847">
        <v>0</v>
      </c>
      <c r="HX417" s="847">
        <v>0</v>
      </c>
      <c r="HY417" s="847">
        <v>0</v>
      </c>
      <c r="HZ417" s="847">
        <v>0</v>
      </c>
      <c r="IA417" s="847">
        <v>0</v>
      </c>
      <c r="IB417" s="847">
        <v>0</v>
      </c>
      <c r="IC417" s="847">
        <v>0</v>
      </c>
      <c r="ID417" s="847">
        <v>0</v>
      </c>
      <c r="IE417" s="847">
        <v>0</v>
      </c>
      <c r="IF417" s="847">
        <v>0</v>
      </c>
      <c r="IG417" s="847">
        <v>0</v>
      </c>
      <c r="IH417" s="847">
        <v>0</v>
      </c>
      <c r="II417" s="847">
        <v>0</v>
      </c>
      <c r="IJ417" s="847">
        <v>0</v>
      </c>
      <c r="IK417" s="847">
        <v>0</v>
      </c>
    </row>
    <row r="418" spans="12:245" hidden="1">
      <c r="L418" s="843" t="s">
        <v>1060</v>
      </c>
      <c r="M418" s="843" t="s">
        <v>1382</v>
      </c>
      <c r="N418" s="843" t="s">
        <v>97</v>
      </c>
      <c r="O418" s="844">
        <v>27</v>
      </c>
      <c r="P418" s="780" t="str">
        <f t="shared" si="14"/>
        <v>IWT060227</v>
      </c>
      <c r="Q418" s="844">
        <v>2296</v>
      </c>
      <c r="R418" s="844">
        <v>6499</v>
      </c>
      <c r="S418" s="844">
        <v>11295</v>
      </c>
      <c r="T418" s="844">
        <v>16700</v>
      </c>
      <c r="U418" s="844">
        <v>22733</v>
      </c>
      <c r="V418" s="844">
        <v>29116</v>
      </c>
      <c r="W418" s="844">
        <v>29997</v>
      </c>
      <c r="X418" s="844">
        <v>30597</v>
      </c>
      <c r="Y418" s="844">
        <v>31208</v>
      </c>
      <c r="Z418" s="844">
        <v>31832</v>
      </c>
      <c r="AA418" s="844">
        <v>32469</v>
      </c>
      <c r="AB418" s="844">
        <v>33118</v>
      </c>
      <c r="AC418" s="844">
        <v>33781</v>
      </c>
      <c r="AD418" s="844">
        <v>34456</v>
      </c>
      <c r="AE418" s="844">
        <v>35146</v>
      </c>
      <c r="AF418" s="844">
        <v>35849</v>
      </c>
      <c r="AG418" s="844">
        <v>36565</v>
      </c>
      <c r="AH418" s="844">
        <v>37297</v>
      </c>
      <c r="AI418" s="844">
        <v>38043</v>
      </c>
      <c r="AJ418" s="844">
        <v>38804</v>
      </c>
      <c r="AK418" s="844">
        <v>39580</v>
      </c>
      <c r="AL418" s="844">
        <v>40371</v>
      </c>
      <c r="AM418" s="844">
        <v>41179</v>
      </c>
      <c r="AN418" s="844">
        <v>42002</v>
      </c>
      <c r="AO418" s="844">
        <v>42842</v>
      </c>
      <c r="AP418" s="844">
        <v>43699</v>
      </c>
      <c r="AQ418" s="844">
        <v>44573</v>
      </c>
      <c r="AR418" s="844">
        <v>45465</v>
      </c>
      <c r="AS418" s="844">
        <v>46374</v>
      </c>
      <c r="AT418" s="844">
        <v>47301</v>
      </c>
      <c r="AU418" s="844">
        <v>48247</v>
      </c>
      <c r="AV418" s="844">
        <v>49212</v>
      </c>
      <c r="AW418" s="844">
        <v>50196</v>
      </c>
      <c r="AX418" s="844">
        <v>51200</v>
      </c>
      <c r="AY418" s="844">
        <v>52224</v>
      </c>
      <c r="AZ418" s="844">
        <v>53269</v>
      </c>
      <c r="BA418" s="844">
        <v>54334</v>
      </c>
      <c r="BB418" s="844">
        <v>55421</v>
      </c>
      <c r="BC418" s="844">
        <v>56527</v>
      </c>
      <c r="BD418" s="844">
        <v>57653</v>
      </c>
      <c r="BE418" s="844">
        <v>58799</v>
      </c>
      <c r="BF418" s="844">
        <v>59963</v>
      </c>
      <c r="BG418" s="844">
        <v>61146</v>
      </c>
      <c r="BH418" s="844">
        <v>62348</v>
      </c>
      <c r="BI418" s="844">
        <v>63569</v>
      </c>
      <c r="BJ418" s="844">
        <v>64808</v>
      </c>
      <c r="BK418" s="844">
        <v>66065</v>
      </c>
      <c r="BL418" s="844">
        <v>67340</v>
      </c>
      <c r="BM418" s="844">
        <v>68631</v>
      </c>
      <c r="BN418" s="844">
        <v>69940</v>
      </c>
      <c r="BO418" s="844">
        <v>71264</v>
      </c>
      <c r="BP418" s="844">
        <v>72604</v>
      </c>
      <c r="BQ418" s="844">
        <v>73959</v>
      </c>
      <c r="BR418" s="844">
        <v>75328</v>
      </c>
      <c r="BS418" s="844">
        <v>76711</v>
      </c>
      <c r="BT418" s="844">
        <v>78108</v>
      </c>
      <c r="BU418" s="844">
        <v>79517</v>
      </c>
      <c r="BV418" s="844">
        <v>80938</v>
      </c>
      <c r="BW418" s="844">
        <v>82372</v>
      </c>
      <c r="BX418" s="844">
        <v>83815</v>
      </c>
      <c r="BY418" s="844">
        <v>85270</v>
      </c>
      <c r="BZ418" s="844">
        <v>86734</v>
      </c>
      <c r="CA418" s="844">
        <v>88208</v>
      </c>
      <c r="CB418" s="844">
        <v>89690</v>
      </c>
      <c r="CC418" s="844">
        <v>91177</v>
      </c>
      <c r="CD418" s="844">
        <v>92664</v>
      </c>
      <c r="CE418" s="844">
        <v>94155</v>
      </c>
      <c r="CF418" s="844">
        <v>95649</v>
      </c>
      <c r="CG418" s="844">
        <v>97146</v>
      </c>
      <c r="CH418" s="844">
        <v>98644</v>
      </c>
      <c r="CI418" s="844">
        <v>100144</v>
      </c>
      <c r="CJ418" s="844">
        <v>101645</v>
      </c>
      <c r="CK418" s="844">
        <v>103145</v>
      </c>
      <c r="CL418" s="844">
        <v>104645</v>
      </c>
      <c r="CM418" s="844">
        <v>106143</v>
      </c>
      <c r="CN418" s="844">
        <v>107641</v>
      </c>
      <c r="CO418" s="844">
        <v>109136</v>
      </c>
      <c r="CP418" s="844">
        <v>110629</v>
      </c>
      <c r="CQ418" s="844">
        <v>112120</v>
      </c>
      <c r="CR418" s="844">
        <v>113608</v>
      </c>
      <c r="CS418" s="844">
        <v>115093</v>
      </c>
      <c r="CT418" s="844">
        <v>116574</v>
      </c>
      <c r="CU418" s="844">
        <v>118026</v>
      </c>
      <c r="CV418" s="844">
        <v>119200</v>
      </c>
      <c r="CW418" s="844">
        <v>0</v>
      </c>
      <c r="CX418" s="844">
        <v>0</v>
      </c>
      <c r="CY418" s="844">
        <v>0</v>
      </c>
      <c r="CZ418" s="844">
        <v>0</v>
      </c>
      <c r="DA418" s="844">
        <v>0</v>
      </c>
      <c r="DB418" s="844">
        <v>0</v>
      </c>
      <c r="DC418" s="844">
        <v>0</v>
      </c>
      <c r="DD418" s="844">
        <v>0</v>
      </c>
      <c r="DE418" s="844">
        <v>0</v>
      </c>
      <c r="DF418" s="844">
        <v>0</v>
      </c>
      <c r="DG418" s="844">
        <v>0</v>
      </c>
      <c r="DH418" s="844">
        <v>0</v>
      </c>
      <c r="DI418" s="844">
        <v>0</v>
      </c>
      <c r="DJ418" s="844">
        <v>0</v>
      </c>
      <c r="DK418" s="844">
        <v>0</v>
      </c>
      <c r="DL418" s="844">
        <v>0</v>
      </c>
      <c r="DM418" s="844">
        <v>0</v>
      </c>
      <c r="DN418" s="844">
        <v>0</v>
      </c>
      <c r="DO418" s="844">
        <v>0</v>
      </c>
      <c r="DP418" s="844">
        <v>0</v>
      </c>
      <c r="DQ418" s="844">
        <v>0</v>
      </c>
      <c r="DR418" s="844">
        <v>0</v>
      </c>
      <c r="DS418" s="844">
        <v>0</v>
      </c>
      <c r="DT418" s="844">
        <v>0</v>
      </c>
      <c r="DU418" s="844">
        <v>0</v>
      </c>
      <c r="DV418" s="844">
        <v>0</v>
      </c>
      <c r="DW418" s="844">
        <v>0</v>
      </c>
      <c r="DY418" s="846" t="s">
        <v>1060</v>
      </c>
      <c r="DZ418" s="846" t="s">
        <v>1382</v>
      </c>
      <c r="EA418" s="846" t="s">
        <v>97</v>
      </c>
      <c r="EB418" s="847">
        <v>27</v>
      </c>
      <c r="EC418" s="780" t="str">
        <f t="shared" si="15"/>
        <v>IWT060227</v>
      </c>
      <c r="ED418" s="847">
        <v>0</v>
      </c>
      <c r="EE418" s="847">
        <v>3061</v>
      </c>
      <c r="EF418" s="847">
        <v>8124</v>
      </c>
      <c r="EG418" s="847">
        <v>13288</v>
      </c>
      <c r="EH418" s="847">
        <v>18556</v>
      </c>
      <c r="EI418" s="847">
        <v>23929</v>
      </c>
      <c r="EJ418" s="847">
        <v>29410</v>
      </c>
      <c r="EK418" s="847">
        <v>29997</v>
      </c>
      <c r="EL418" s="847">
        <v>30597</v>
      </c>
      <c r="EM418" s="847">
        <v>31208</v>
      </c>
      <c r="EN418" s="847">
        <v>31832</v>
      </c>
      <c r="EO418" s="847">
        <v>32469</v>
      </c>
      <c r="EP418" s="847">
        <v>33118</v>
      </c>
      <c r="EQ418" s="847">
        <v>33781</v>
      </c>
      <c r="ER418" s="847">
        <v>34456</v>
      </c>
      <c r="ES418" s="847">
        <v>35146</v>
      </c>
      <c r="ET418" s="847">
        <v>35849</v>
      </c>
      <c r="EU418" s="847">
        <v>36565</v>
      </c>
      <c r="EV418" s="847">
        <v>37297</v>
      </c>
      <c r="EW418" s="847">
        <v>38043</v>
      </c>
      <c r="EX418" s="847">
        <v>38804</v>
      </c>
      <c r="EY418" s="847">
        <v>39580</v>
      </c>
      <c r="EZ418" s="847">
        <v>40371</v>
      </c>
      <c r="FA418" s="847">
        <v>41179</v>
      </c>
      <c r="FB418" s="847">
        <v>42002</v>
      </c>
      <c r="FC418" s="847">
        <v>42842</v>
      </c>
      <c r="FD418" s="847">
        <v>43699</v>
      </c>
      <c r="FE418" s="847">
        <v>44573</v>
      </c>
      <c r="FF418" s="847">
        <v>45465</v>
      </c>
      <c r="FG418" s="847">
        <v>46374</v>
      </c>
      <c r="FH418" s="847">
        <v>47301</v>
      </c>
      <c r="FI418" s="847">
        <v>48247</v>
      </c>
      <c r="FJ418" s="847">
        <v>49212</v>
      </c>
      <c r="FK418" s="847">
        <v>50196</v>
      </c>
      <c r="FL418" s="847">
        <v>51200</v>
      </c>
      <c r="FM418" s="847">
        <v>52224</v>
      </c>
      <c r="FN418" s="847">
        <v>53269</v>
      </c>
      <c r="FO418" s="847">
        <v>54334</v>
      </c>
      <c r="FP418" s="847">
        <v>55421</v>
      </c>
      <c r="FQ418" s="847">
        <v>56527</v>
      </c>
      <c r="FR418" s="847">
        <v>57653</v>
      </c>
      <c r="FS418" s="847">
        <v>58799</v>
      </c>
      <c r="FT418" s="847">
        <v>59963</v>
      </c>
      <c r="FU418" s="847">
        <v>61146</v>
      </c>
      <c r="FV418" s="847">
        <v>62348</v>
      </c>
      <c r="FW418" s="847">
        <v>63569</v>
      </c>
      <c r="FX418" s="847">
        <v>64808</v>
      </c>
      <c r="FY418" s="847">
        <v>66065</v>
      </c>
      <c r="FZ418" s="847">
        <v>67340</v>
      </c>
      <c r="GA418" s="847">
        <v>68631</v>
      </c>
      <c r="GB418" s="847">
        <v>69940</v>
      </c>
      <c r="GC418" s="847">
        <v>71264</v>
      </c>
      <c r="GD418" s="847">
        <v>72604</v>
      </c>
      <c r="GE418" s="847">
        <v>73959</v>
      </c>
      <c r="GF418" s="847">
        <v>75328</v>
      </c>
      <c r="GG418" s="847">
        <v>76711</v>
      </c>
      <c r="GH418" s="847">
        <v>78108</v>
      </c>
      <c r="GI418" s="847">
        <v>79517</v>
      </c>
      <c r="GJ418" s="847">
        <v>80938</v>
      </c>
      <c r="GK418" s="847">
        <v>82372</v>
      </c>
      <c r="GL418" s="847">
        <v>83815</v>
      </c>
      <c r="GM418" s="847">
        <v>85270</v>
      </c>
      <c r="GN418" s="847">
        <v>86734</v>
      </c>
      <c r="GO418" s="847">
        <v>88208</v>
      </c>
      <c r="GP418" s="847">
        <v>89690</v>
      </c>
      <c r="GQ418" s="847">
        <v>91177</v>
      </c>
      <c r="GR418" s="847">
        <v>92664</v>
      </c>
      <c r="GS418" s="847">
        <v>94155</v>
      </c>
      <c r="GT418" s="847">
        <v>95649</v>
      </c>
      <c r="GU418" s="847">
        <v>97146</v>
      </c>
      <c r="GV418" s="847">
        <v>98644</v>
      </c>
      <c r="GW418" s="847">
        <v>100144</v>
      </c>
      <c r="GX418" s="847">
        <v>101645</v>
      </c>
      <c r="GY418" s="847">
        <v>103145</v>
      </c>
      <c r="GZ418" s="847">
        <v>104645</v>
      </c>
      <c r="HA418" s="847">
        <v>106143</v>
      </c>
      <c r="HB418" s="847">
        <v>107641</v>
      </c>
      <c r="HC418" s="847">
        <v>109136</v>
      </c>
      <c r="HD418" s="847">
        <v>110629</v>
      </c>
      <c r="HE418" s="847">
        <v>112120</v>
      </c>
      <c r="HF418" s="847">
        <v>113608</v>
      </c>
      <c r="HG418" s="847">
        <v>115093</v>
      </c>
      <c r="HH418" s="847">
        <v>116574</v>
      </c>
      <c r="HI418" s="847">
        <v>118026</v>
      </c>
      <c r="HJ418" s="847">
        <v>119200</v>
      </c>
      <c r="HK418" s="847">
        <v>0</v>
      </c>
      <c r="HL418" s="847">
        <v>0</v>
      </c>
      <c r="HM418" s="847">
        <v>0</v>
      </c>
      <c r="HN418" s="847">
        <v>0</v>
      </c>
      <c r="HO418" s="847">
        <v>0</v>
      </c>
      <c r="HP418" s="847">
        <v>0</v>
      </c>
      <c r="HQ418" s="847">
        <v>0</v>
      </c>
      <c r="HR418" s="847">
        <v>0</v>
      </c>
      <c r="HS418" s="847">
        <v>0</v>
      </c>
      <c r="HT418" s="847">
        <v>0</v>
      </c>
      <c r="HU418" s="847">
        <v>0</v>
      </c>
      <c r="HV418" s="847">
        <v>0</v>
      </c>
      <c r="HW418" s="847">
        <v>0</v>
      </c>
      <c r="HX418" s="847">
        <v>0</v>
      </c>
      <c r="HY418" s="847">
        <v>0</v>
      </c>
      <c r="HZ418" s="847">
        <v>0</v>
      </c>
      <c r="IA418" s="847">
        <v>0</v>
      </c>
      <c r="IB418" s="847">
        <v>0</v>
      </c>
      <c r="IC418" s="847">
        <v>0</v>
      </c>
      <c r="ID418" s="847">
        <v>0</v>
      </c>
      <c r="IE418" s="847">
        <v>0</v>
      </c>
      <c r="IF418" s="847">
        <v>0</v>
      </c>
      <c r="IG418" s="847">
        <v>0</v>
      </c>
      <c r="IH418" s="847">
        <v>0</v>
      </c>
      <c r="II418" s="847">
        <v>0</v>
      </c>
      <c r="IJ418" s="847">
        <v>0</v>
      </c>
      <c r="IK418" s="847">
        <v>0</v>
      </c>
    </row>
    <row r="419" spans="12:245" hidden="1">
      <c r="L419" s="843" t="s">
        <v>1060</v>
      </c>
      <c r="M419" s="843" t="s">
        <v>1382</v>
      </c>
      <c r="N419" s="843" t="s">
        <v>97</v>
      </c>
      <c r="O419" s="844">
        <v>28</v>
      </c>
      <c r="P419" s="780" t="str">
        <f t="shared" si="14"/>
        <v>IWT060228</v>
      </c>
      <c r="Q419" s="844">
        <v>2302</v>
      </c>
      <c r="R419" s="844">
        <v>6517</v>
      </c>
      <c r="S419" s="844">
        <v>11326</v>
      </c>
      <c r="T419" s="844">
        <v>16746</v>
      </c>
      <c r="U419" s="844">
        <v>22795</v>
      </c>
      <c r="V419" s="844">
        <v>29196</v>
      </c>
      <c r="W419" s="844">
        <v>30080</v>
      </c>
      <c r="X419" s="844">
        <v>30681</v>
      </c>
      <c r="Y419" s="844">
        <v>31294</v>
      </c>
      <c r="Z419" s="844">
        <v>31920</v>
      </c>
      <c r="AA419" s="844">
        <v>32559</v>
      </c>
      <c r="AB419" s="844">
        <v>33210</v>
      </c>
      <c r="AC419" s="844">
        <v>33874</v>
      </c>
      <c r="AD419" s="844">
        <v>34552</v>
      </c>
      <c r="AE419" s="844">
        <v>35243</v>
      </c>
      <c r="AF419" s="844">
        <v>35947</v>
      </c>
      <c r="AG419" s="844">
        <v>36666</v>
      </c>
      <c r="AH419" s="844">
        <v>37400</v>
      </c>
      <c r="AI419" s="844">
        <v>38148</v>
      </c>
      <c r="AJ419" s="844">
        <v>38911</v>
      </c>
      <c r="AK419" s="844">
        <v>39689</v>
      </c>
      <c r="AL419" s="844">
        <v>40483</v>
      </c>
      <c r="AM419" s="844">
        <v>41292</v>
      </c>
      <c r="AN419" s="844">
        <v>42118</v>
      </c>
      <c r="AO419" s="844">
        <v>42961</v>
      </c>
      <c r="AP419" s="844">
        <v>43820</v>
      </c>
      <c r="AQ419" s="844">
        <v>44696</v>
      </c>
      <c r="AR419" s="844">
        <v>45590</v>
      </c>
      <c r="AS419" s="844">
        <v>46502</v>
      </c>
      <c r="AT419" s="844">
        <v>47432</v>
      </c>
      <c r="AU419" s="844">
        <v>48380</v>
      </c>
      <c r="AV419" s="844">
        <v>49348</v>
      </c>
      <c r="AW419" s="844">
        <v>50335</v>
      </c>
      <c r="AX419" s="844">
        <v>51342</v>
      </c>
      <c r="AY419" s="844">
        <v>52369</v>
      </c>
      <c r="AZ419" s="844">
        <v>53416</v>
      </c>
      <c r="BA419" s="844">
        <v>54484</v>
      </c>
      <c r="BB419" s="844">
        <v>55574</v>
      </c>
      <c r="BC419" s="844">
        <v>56685</v>
      </c>
      <c r="BD419" s="844">
        <v>57815</v>
      </c>
      <c r="BE419" s="844">
        <v>58964</v>
      </c>
      <c r="BF419" s="844">
        <v>60132</v>
      </c>
      <c r="BG419" s="844">
        <v>61320</v>
      </c>
      <c r="BH419" s="844">
        <v>62526</v>
      </c>
      <c r="BI419" s="844">
        <v>63750</v>
      </c>
      <c r="BJ419" s="844">
        <v>64992</v>
      </c>
      <c r="BK419" s="844">
        <v>66253</v>
      </c>
      <c r="BL419" s="844">
        <v>67530</v>
      </c>
      <c r="BM419" s="844">
        <v>68825</v>
      </c>
      <c r="BN419" s="844">
        <v>70135</v>
      </c>
      <c r="BO419" s="844">
        <v>71462</v>
      </c>
      <c r="BP419" s="844">
        <v>72804</v>
      </c>
      <c r="BQ419" s="844">
        <v>74160</v>
      </c>
      <c r="BR419" s="844">
        <v>75531</v>
      </c>
      <c r="BS419" s="844">
        <v>76915</v>
      </c>
      <c r="BT419" s="844">
        <v>78312</v>
      </c>
      <c r="BU419" s="844">
        <v>79722</v>
      </c>
      <c r="BV419" s="844">
        <v>81144</v>
      </c>
      <c r="BW419" s="844">
        <v>82576</v>
      </c>
      <c r="BX419" s="844">
        <v>84020</v>
      </c>
      <c r="BY419" s="844">
        <v>85474</v>
      </c>
      <c r="BZ419" s="844">
        <v>86937</v>
      </c>
      <c r="CA419" s="844">
        <v>88409</v>
      </c>
      <c r="CB419" s="844">
        <v>89887</v>
      </c>
      <c r="CC419" s="844">
        <v>91365</v>
      </c>
      <c r="CD419" s="844">
        <v>92848</v>
      </c>
      <c r="CE419" s="844">
        <v>94335</v>
      </c>
      <c r="CF419" s="844">
        <v>95824</v>
      </c>
      <c r="CG419" s="844">
        <v>97316</v>
      </c>
      <c r="CH419" s="844">
        <v>98809</v>
      </c>
      <c r="CI419" s="844">
        <v>100303</v>
      </c>
      <c r="CJ419" s="844">
        <v>101798</v>
      </c>
      <c r="CK419" s="844">
        <v>103292</v>
      </c>
      <c r="CL419" s="844">
        <v>104786</v>
      </c>
      <c r="CM419" s="844">
        <v>106278</v>
      </c>
      <c r="CN419" s="844">
        <v>107769</v>
      </c>
      <c r="CO419" s="844">
        <v>109258</v>
      </c>
      <c r="CP419" s="844">
        <v>110745</v>
      </c>
      <c r="CQ419" s="844">
        <v>112230</v>
      </c>
      <c r="CR419" s="844">
        <v>113712</v>
      </c>
      <c r="CS419" s="844">
        <v>115189</v>
      </c>
      <c r="CT419" s="844">
        <v>116639</v>
      </c>
      <c r="CU419" s="844">
        <v>117800</v>
      </c>
      <c r="CV419" s="844">
        <v>0</v>
      </c>
      <c r="CW419" s="844">
        <v>0</v>
      </c>
      <c r="CX419" s="844">
        <v>0</v>
      </c>
      <c r="CY419" s="844">
        <v>0</v>
      </c>
      <c r="CZ419" s="844">
        <v>0</v>
      </c>
      <c r="DA419" s="844">
        <v>0</v>
      </c>
      <c r="DB419" s="844">
        <v>0</v>
      </c>
      <c r="DC419" s="844">
        <v>0</v>
      </c>
      <c r="DD419" s="844">
        <v>0</v>
      </c>
      <c r="DE419" s="844">
        <v>0</v>
      </c>
      <c r="DF419" s="844">
        <v>0</v>
      </c>
      <c r="DG419" s="844">
        <v>0</v>
      </c>
      <c r="DH419" s="844">
        <v>0</v>
      </c>
      <c r="DI419" s="844">
        <v>0</v>
      </c>
      <c r="DJ419" s="844">
        <v>0</v>
      </c>
      <c r="DK419" s="844">
        <v>0</v>
      </c>
      <c r="DL419" s="844">
        <v>0</v>
      </c>
      <c r="DM419" s="844">
        <v>0</v>
      </c>
      <c r="DN419" s="844">
        <v>0</v>
      </c>
      <c r="DO419" s="844">
        <v>0</v>
      </c>
      <c r="DP419" s="844">
        <v>0</v>
      </c>
      <c r="DQ419" s="844">
        <v>0</v>
      </c>
      <c r="DR419" s="844">
        <v>0</v>
      </c>
      <c r="DS419" s="844">
        <v>0</v>
      </c>
      <c r="DT419" s="844">
        <v>0</v>
      </c>
      <c r="DU419" s="844">
        <v>0</v>
      </c>
      <c r="DV419" s="844">
        <v>0</v>
      </c>
      <c r="DW419" s="844">
        <v>0</v>
      </c>
      <c r="DY419" s="846" t="s">
        <v>1060</v>
      </c>
      <c r="DZ419" s="846" t="s">
        <v>1382</v>
      </c>
      <c r="EA419" s="846" t="s">
        <v>97</v>
      </c>
      <c r="EB419" s="847">
        <v>28</v>
      </c>
      <c r="EC419" s="780" t="str">
        <f t="shared" si="15"/>
        <v>IWT060228</v>
      </c>
      <c r="ED419" s="847">
        <v>0</v>
      </c>
      <c r="EE419" s="847">
        <v>3069</v>
      </c>
      <c r="EF419" s="847">
        <v>8146</v>
      </c>
      <c r="EG419" s="847">
        <v>13325</v>
      </c>
      <c r="EH419" s="847">
        <v>18607</v>
      </c>
      <c r="EI419" s="847">
        <v>23995</v>
      </c>
      <c r="EJ419" s="847">
        <v>29491</v>
      </c>
      <c r="EK419" s="847">
        <v>30080</v>
      </c>
      <c r="EL419" s="847">
        <v>30681</v>
      </c>
      <c r="EM419" s="847">
        <v>31294</v>
      </c>
      <c r="EN419" s="847">
        <v>31920</v>
      </c>
      <c r="EO419" s="847">
        <v>32559</v>
      </c>
      <c r="EP419" s="847">
        <v>33210</v>
      </c>
      <c r="EQ419" s="847">
        <v>33874</v>
      </c>
      <c r="ER419" s="847">
        <v>34552</v>
      </c>
      <c r="ES419" s="847">
        <v>35243</v>
      </c>
      <c r="ET419" s="847">
        <v>35947</v>
      </c>
      <c r="EU419" s="847">
        <v>36666</v>
      </c>
      <c r="EV419" s="847">
        <v>37400</v>
      </c>
      <c r="EW419" s="847">
        <v>38148</v>
      </c>
      <c r="EX419" s="847">
        <v>38911</v>
      </c>
      <c r="EY419" s="847">
        <v>39689</v>
      </c>
      <c r="EZ419" s="847">
        <v>40483</v>
      </c>
      <c r="FA419" s="847">
        <v>41292</v>
      </c>
      <c r="FB419" s="847">
        <v>42118</v>
      </c>
      <c r="FC419" s="847">
        <v>42961</v>
      </c>
      <c r="FD419" s="847">
        <v>43820</v>
      </c>
      <c r="FE419" s="847">
        <v>44696</v>
      </c>
      <c r="FF419" s="847">
        <v>45590</v>
      </c>
      <c r="FG419" s="847">
        <v>46502</v>
      </c>
      <c r="FH419" s="847">
        <v>47432</v>
      </c>
      <c r="FI419" s="847">
        <v>48380</v>
      </c>
      <c r="FJ419" s="847">
        <v>49348</v>
      </c>
      <c r="FK419" s="847">
        <v>50335</v>
      </c>
      <c r="FL419" s="847">
        <v>51342</v>
      </c>
      <c r="FM419" s="847">
        <v>52369</v>
      </c>
      <c r="FN419" s="847">
        <v>53416</v>
      </c>
      <c r="FO419" s="847">
        <v>54484</v>
      </c>
      <c r="FP419" s="847">
        <v>55574</v>
      </c>
      <c r="FQ419" s="847">
        <v>56685</v>
      </c>
      <c r="FR419" s="847">
        <v>57815</v>
      </c>
      <c r="FS419" s="847">
        <v>58964</v>
      </c>
      <c r="FT419" s="847">
        <v>60132</v>
      </c>
      <c r="FU419" s="847">
        <v>61320</v>
      </c>
      <c r="FV419" s="847">
        <v>62526</v>
      </c>
      <c r="FW419" s="847">
        <v>63750</v>
      </c>
      <c r="FX419" s="847">
        <v>64992</v>
      </c>
      <c r="FY419" s="847">
        <v>66253</v>
      </c>
      <c r="FZ419" s="847">
        <v>67530</v>
      </c>
      <c r="GA419" s="847">
        <v>68825</v>
      </c>
      <c r="GB419" s="847">
        <v>70135</v>
      </c>
      <c r="GC419" s="847">
        <v>71462</v>
      </c>
      <c r="GD419" s="847">
        <v>72804</v>
      </c>
      <c r="GE419" s="847">
        <v>74160</v>
      </c>
      <c r="GF419" s="847">
        <v>75531</v>
      </c>
      <c r="GG419" s="847">
        <v>76915</v>
      </c>
      <c r="GH419" s="847">
        <v>78312</v>
      </c>
      <c r="GI419" s="847">
        <v>79722</v>
      </c>
      <c r="GJ419" s="847">
        <v>81144</v>
      </c>
      <c r="GK419" s="847">
        <v>82576</v>
      </c>
      <c r="GL419" s="847">
        <v>84020</v>
      </c>
      <c r="GM419" s="847">
        <v>85474</v>
      </c>
      <c r="GN419" s="847">
        <v>86937</v>
      </c>
      <c r="GO419" s="847">
        <v>88409</v>
      </c>
      <c r="GP419" s="847">
        <v>89887</v>
      </c>
      <c r="GQ419" s="847">
        <v>91365</v>
      </c>
      <c r="GR419" s="847">
        <v>92848</v>
      </c>
      <c r="GS419" s="847">
        <v>94335</v>
      </c>
      <c r="GT419" s="847">
        <v>95824</v>
      </c>
      <c r="GU419" s="847">
        <v>97316</v>
      </c>
      <c r="GV419" s="847">
        <v>98809</v>
      </c>
      <c r="GW419" s="847">
        <v>100303</v>
      </c>
      <c r="GX419" s="847">
        <v>101798</v>
      </c>
      <c r="GY419" s="847">
        <v>103292</v>
      </c>
      <c r="GZ419" s="847">
        <v>104786</v>
      </c>
      <c r="HA419" s="847">
        <v>106278</v>
      </c>
      <c r="HB419" s="847">
        <v>107769</v>
      </c>
      <c r="HC419" s="847">
        <v>109258</v>
      </c>
      <c r="HD419" s="847">
        <v>110745</v>
      </c>
      <c r="HE419" s="847">
        <v>112230</v>
      </c>
      <c r="HF419" s="847">
        <v>113712</v>
      </c>
      <c r="HG419" s="847">
        <v>115189</v>
      </c>
      <c r="HH419" s="847">
        <v>116639</v>
      </c>
      <c r="HI419" s="847">
        <v>117800</v>
      </c>
      <c r="HJ419" s="847">
        <v>0</v>
      </c>
      <c r="HK419" s="847">
        <v>0</v>
      </c>
      <c r="HL419" s="847">
        <v>0</v>
      </c>
      <c r="HM419" s="847">
        <v>0</v>
      </c>
      <c r="HN419" s="847">
        <v>0</v>
      </c>
      <c r="HO419" s="847">
        <v>0</v>
      </c>
      <c r="HP419" s="847">
        <v>0</v>
      </c>
      <c r="HQ419" s="847">
        <v>0</v>
      </c>
      <c r="HR419" s="847">
        <v>0</v>
      </c>
      <c r="HS419" s="847">
        <v>0</v>
      </c>
      <c r="HT419" s="847">
        <v>0</v>
      </c>
      <c r="HU419" s="847">
        <v>0</v>
      </c>
      <c r="HV419" s="847">
        <v>0</v>
      </c>
      <c r="HW419" s="847">
        <v>0</v>
      </c>
      <c r="HX419" s="847">
        <v>0</v>
      </c>
      <c r="HY419" s="847">
        <v>0</v>
      </c>
      <c r="HZ419" s="847">
        <v>0</v>
      </c>
      <c r="IA419" s="847">
        <v>0</v>
      </c>
      <c r="IB419" s="847">
        <v>0</v>
      </c>
      <c r="IC419" s="847">
        <v>0</v>
      </c>
      <c r="ID419" s="847">
        <v>0</v>
      </c>
      <c r="IE419" s="847">
        <v>0</v>
      </c>
      <c r="IF419" s="847">
        <v>0</v>
      </c>
      <c r="IG419" s="847">
        <v>0</v>
      </c>
      <c r="IH419" s="847">
        <v>0</v>
      </c>
      <c r="II419" s="847">
        <v>0</v>
      </c>
      <c r="IJ419" s="847">
        <v>0</v>
      </c>
      <c r="IK419" s="847">
        <v>0</v>
      </c>
    </row>
    <row r="420" spans="12:245" hidden="1">
      <c r="L420" s="843" t="s">
        <v>1060</v>
      </c>
      <c r="M420" s="843" t="s">
        <v>1382</v>
      </c>
      <c r="N420" s="843" t="s">
        <v>97</v>
      </c>
      <c r="O420" s="844">
        <v>29</v>
      </c>
      <c r="P420" s="780" t="str">
        <f t="shared" si="14"/>
        <v>IWT060229</v>
      </c>
      <c r="Q420" s="844">
        <v>2307</v>
      </c>
      <c r="R420" s="844">
        <v>6534</v>
      </c>
      <c r="S420" s="844">
        <v>11355</v>
      </c>
      <c r="T420" s="844">
        <v>16790</v>
      </c>
      <c r="U420" s="844">
        <v>22854</v>
      </c>
      <c r="V420" s="844">
        <v>29271</v>
      </c>
      <c r="W420" s="844">
        <v>30157</v>
      </c>
      <c r="X420" s="844">
        <v>30760</v>
      </c>
      <c r="Y420" s="844">
        <v>31375</v>
      </c>
      <c r="Z420" s="844">
        <v>32002</v>
      </c>
      <c r="AA420" s="844">
        <v>32642</v>
      </c>
      <c r="AB420" s="844">
        <v>33295</v>
      </c>
      <c r="AC420" s="844">
        <v>33961</v>
      </c>
      <c r="AD420" s="844">
        <v>34640</v>
      </c>
      <c r="AE420" s="844">
        <v>35333</v>
      </c>
      <c r="AF420" s="844">
        <v>36040</v>
      </c>
      <c r="AG420" s="844">
        <v>36761</v>
      </c>
      <c r="AH420" s="844">
        <v>37496</v>
      </c>
      <c r="AI420" s="844">
        <v>38246</v>
      </c>
      <c r="AJ420" s="844">
        <v>39011</v>
      </c>
      <c r="AK420" s="844">
        <v>39791</v>
      </c>
      <c r="AL420" s="844">
        <v>40587</v>
      </c>
      <c r="AM420" s="844">
        <v>41398</v>
      </c>
      <c r="AN420" s="844">
        <v>42226</v>
      </c>
      <c r="AO420" s="844">
        <v>43071</v>
      </c>
      <c r="AP420" s="844">
        <v>43932</v>
      </c>
      <c r="AQ420" s="844">
        <v>44811</v>
      </c>
      <c r="AR420" s="844">
        <v>45707</v>
      </c>
      <c r="AS420" s="844">
        <v>46621</v>
      </c>
      <c r="AT420" s="844">
        <v>47554</v>
      </c>
      <c r="AU420" s="844">
        <v>48505</v>
      </c>
      <c r="AV420" s="844">
        <v>49475</v>
      </c>
      <c r="AW420" s="844">
        <v>50464</v>
      </c>
      <c r="AX420" s="844">
        <v>51474</v>
      </c>
      <c r="AY420" s="844">
        <v>52503</v>
      </c>
      <c r="AZ420" s="844">
        <v>53553</v>
      </c>
      <c r="BA420" s="844">
        <v>54624</v>
      </c>
      <c r="BB420" s="844">
        <v>55717</v>
      </c>
      <c r="BC420" s="844">
        <v>56831</v>
      </c>
      <c r="BD420" s="844">
        <v>57965</v>
      </c>
      <c r="BE420" s="844">
        <v>59119</v>
      </c>
      <c r="BF420" s="844">
        <v>60291</v>
      </c>
      <c r="BG420" s="844">
        <v>61482</v>
      </c>
      <c r="BH420" s="844">
        <v>62692</v>
      </c>
      <c r="BI420" s="844">
        <v>63920</v>
      </c>
      <c r="BJ420" s="844">
        <v>65166</v>
      </c>
      <c r="BK420" s="844">
        <v>66429</v>
      </c>
      <c r="BL420" s="844">
        <v>67710</v>
      </c>
      <c r="BM420" s="844">
        <v>69007</v>
      </c>
      <c r="BN420" s="844">
        <v>70320</v>
      </c>
      <c r="BO420" s="844">
        <v>71648</v>
      </c>
      <c r="BP420" s="844">
        <v>72992</v>
      </c>
      <c r="BQ420" s="844">
        <v>74350</v>
      </c>
      <c r="BR420" s="844">
        <v>75722</v>
      </c>
      <c r="BS420" s="844">
        <v>77107</v>
      </c>
      <c r="BT420" s="844">
        <v>78505</v>
      </c>
      <c r="BU420" s="844">
        <v>79915</v>
      </c>
      <c r="BV420" s="844">
        <v>81337</v>
      </c>
      <c r="BW420" s="844">
        <v>82770</v>
      </c>
      <c r="BX420" s="844">
        <v>84213</v>
      </c>
      <c r="BY420" s="844">
        <v>85667</v>
      </c>
      <c r="BZ420" s="844">
        <v>87129</v>
      </c>
      <c r="CA420" s="844">
        <v>88597</v>
      </c>
      <c r="CB420" s="844">
        <v>90067</v>
      </c>
      <c r="CC420" s="844">
        <v>91542</v>
      </c>
      <c r="CD420" s="844">
        <v>93020</v>
      </c>
      <c r="CE420" s="844">
        <v>94502</v>
      </c>
      <c r="CF420" s="844">
        <v>95987</v>
      </c>
      <c r="CG420" s="844">
        <v>97474</v>
      </c>
      <c r="CH420" s="844">
        <v>98962</v>
      </c>
      <c r="CI420" s="844">
        <v>100450</v>
      </c>
      <c r="CJ420" s="844">
        <v>101939</v>
      </c>
      <c r="CK420" s="844">
        <v>103428</v>
      </c>
      <c r="CL420" s="844">
        <v>104916</v>
      </c>
      <c r="CM420" s="844">
        <v>106402</v>
      </c>
      <c r="CN420" s="844">
        <v>107887</v>
      </c>
      <c r="CO420" s="844">
        <v>109370</v>
      </c>
      <c r="CP420" s="844">
        <v>110852</v>
      </c>
      <c r="CQ420" s="844">
        <v>112330</v>
      </c>
      <c r="CR420" s="844">
        <v>113805</v>
      </c>
      <c r="CS420" s="844">
        <v>115253</v>
      </c>
      <c r="CT420" s="844">
        <v>116400</v>
      </c>
      <c r="CU420" s="844">
        <v>0</v>
      </c>
      <c r="CV420" s="844">
        <v>0</v>
      </c>
      <c r="CW420" s="844">
        <v>0</v>
      </c>
      <c r="CX420" s="844">
        <v>0</v>
      </c>
      <c r="CY420" s="844">
        <v>0</v>
      </c>
      <c r="CZ420" s="844">
        <v>0</v>
      </c>
      <c r="DA420" s="844">
        <v>0</v>
      </c>
      <c r="DB420" s="844">
        <v>0</v>
      </c>
      <c r="DC420" s="844">
        <v>0</v>
      </c>
      <c r="DD420" s="844">
        <v>0</v>
      </c>
      <c r="DE420" s="844">
        <v>0</v>
      </c>
      <c r="DF420" s="844">
        <v>0</v>
      </c>
      <c r="DG420" s="844">
        <v>0</v>
      </c>
      <c r="DH420" s="844">
        <v>0</v>
      </c>
      <c r="DI420" s="844">
        <v>0</v>
      </c>
      <c r="DJ420" s="844">
        <v>0</v>
      </c>
      <c r="DK420" s="844">
        <v>0</v>
      </c>
      <c r="DL420" s="844">
        <v>0</v>
      </c>
      <c r="DM420" s="844">
        <v>0</v>
      </c>
      <c r="DN420" s="844">
        <v>0</v>
      </c>
      <c r="DO420" s="844">
        <v>0</v>
      </c>
      <c r="DP420" s="844">
        <v>0</v>
      </c>
      <c r="DQ420" s="844">
        <v>0</v>
      </c>
      <c r="DR420" s="844">
        <v>0</v>
      </c>
      <c r="DS420" s="844">
        <v>0</v>
      </c>
      <c r="DT420" s="844">
        <v>0</v>
      </c>
      <c r="DU420" s="844">
        <v>0</v>
      </c>
      <c r="DV420" s="844">
        <v>0</v>
      </c>
      <c r="DW420" s="844">
        <v>0</v>
      </c>
      <c r="DY420" s="846" t="s">
        <v>1060</v>
      </c>
      <c r="DZ420" s="846" t="s">
        <v>1382</v>
      </c>
      <c r="EA420" s="846" t="s">
        <v>97</v>
      </c>
      <c r="EB420" s="847">
        <v>29</v>
      </c>
      <c r="EC420" s="780" t="str">
        <f t="shared" si="15"/>
        <v>IWT060229</v>
      </c>
      <c r="ED420" s="847">
        <v>0</v>
      </c>
      <c r="EE420" s="847">
        <v>3076</v>
      </c>
      <c r="EF420" s="847">
        <v>8167</v>
      </c>
      <c r="EG420" s="847">
        <v>13359</v>
      </c>
      <c r="EH420" s="847">
        <v>18655</v>
      </c>
      <c r="EI420" s="847">
        <v>24057</v>
      </c>
      <c r="EJ420" s="847">
        <v>29567</v>
      </c>
      <c r="EK420" s="847">
        <v>30157</v>
      </c>
      <c r="EL420" s="847">
        <v>30760</v>
      </c>
      <c r="EM420" s="847">
        <v>31375</v>
      </c>
      <c r="EN420" s="847">
        <v>32002</v>
      </c>
      <c r="EO420" s="847">
        <v>32642</v>
      </c>
      <c r="EP420" s="847">
        <v>33295</v>
      </c>
      <c r="EQ420" s="847">
        <v>33961</v>
      </c>
      <c r="ER420" s="847">
        <v>34640</v>
      </c>
      <c r="ES420" s="847">
        <v>35333</v>
      </c>
      <c r="ET420" s="847">
        <v>36040</v>
      </c>
      <c r="EU420" s="847">
        <v>36761</v>
      </c>
      <c r="EV420" s="847">
        <v>37496</v>
      </c>
      <c r="EW420" s="847">
        <v>38246</v>
      </c>
      <c r="EX420" s="847">
        <v>39011</v>
      </c>
      <c r="EY420" s="847">
        <v>39791</v>
      </c>
      <c r="EZ420" s="847">
        <v>40587</v>
      </c>
      <c r="FA420" s="847">
        <v>41398</v>
      </c>
      <c r="FB420" s="847">
        <v>42226</v>
      </c>
      <c r="FC420" s="847">
        <v>43071</v>
      </c>
      <c r="FD420" s="847">
        <v>43932</v>
      </c>
      <c r="FE420" s="847">
        <v>44811</v>
      </c>
      <c r="FF420" s="847">
        <v>45707</v>
      </c>
      <c r="FG420" s="847">
        <v>46621</v>
      </c>
      <c r="FH420" s="847">
        <v>47554</v>
      </c>
      <c r="FI420" s="847">
        <v>48505</v>
      </c>
      <c r="FJ420" s="847">
        <v>49475</v>
      </c>
      <c r="FK420" s="847">
        <v>50464</v>
      </c>
      <c r="FL420" s="847">
        <v>51474</v>
      </c>
      <c r="FM420" s="847">
        <v>52503</v>
      </c>
      <c r="FN420" s="847">
        <v>53553</v>
      </c>
      <c r="FO420" s="847">
        <v>54624</v>
      </c>
      <c r="FP420" s="847">
        <v>55717</v>
      </c>
      <c r="FQ420" s="847">
        <v>56831</v>
      </c>
      <c r="FR420" s="847">
        <v>57965</v>
      </c>
      <c r="FS420" s="847">
        <v>59119</v>
      </c>
      <c r="FT420" s="847">
        <v>60291</v>
      </c>
      <c r="FU420" s="847">
        <v>61482</v>
      </c>
      <c r="FV420" s="847">
        <v>62692</v>
      </c>
      <c r="FW420" s="847">
        <v>63920</v>
      </c>
      <c r="FX420" s="847">
        <v>65166</v>
      </c>
      <c r="FY420" s="847">
        <v>66429</v>
      </c>
      <c r="FZ420" s="847">
        <v>67710</v>
      </c>
      <c r="GA420" s="847">
        <v>69007</v>
      </c>
      <c r="GB420" s="847">
        <v>70320</v>
      </c>
      <c r="GC420" s="847">
        <v>71648</v>
      </c>
      <c r="GD420" s="847">
        <v>72992</v>
      </c>
      <c r="GE420" s="847">
        <v>74350</v>
      </c>
      <c r="GF420" s="847">
        <v>75722</v>
      </c>
      <c r="GG420" s="847">
        <v>77107</v>
      </c>
      <c r="GH420" s="847">
        <v>78505</v>
      </c>
      <c r="GI420" s="847">
        <v>79915</v>
      </c>
      <c r="GJ420" s="847">
        <v>81337</v>
      </c>
      <c r="GK420" s="847">
        <v>82770</v>
      </c>
      <c r="GL420" s="847">
        <v>84213</v>
      </c>
      <c r="GM420" s="847">
        <v>85667</v>
      </c>
      <c r="GN420" s="847">
        <v>87129</v>
      </c>
      <c r="GO420" s="847">
        <v>88597</v>
      </c>
      <c r="GP420" s="847">
        <v>90067</v>
      </c>
      <c r="GQ420" s="847">
        <v>91542</v>
      </c>
      <c r="GR420" s="847">
        <v>93020</v>
      </c>
      <c r="GS420" s="847">
        <v>94502</v>
      </c>
      <c r="GT420" s="847">
        <v>95987</v>
      </c>
      <c r="GU420" s="847">
        <v>97474</v>
      </c>
      <c r="GV420" s="847">
        <v>98962</v>
      </c>
      <c r="GW420" s="847">
        <v>100450</v>
      </c>
      <c r="GX420" s="847">
        <v>101939</v>
      </c>
      <c r="GY420" s="847">
        <v>103428</v>
      </c>
      <c r="GZ420" s="847">
        <v>104916</v>
      </c>
      <c r="HA420" s="847">
        <v>106402</v>
      </c>
      <c r="HB420" s="847">
        <v>107887</v>
      </c>
      <c r="HC420" s="847">
        <v>109370</v>
      </c>
      <c r="HD420" s="847">
        <v>110852</v>
      </c>
      <c r="HE420" s="847">
        <v>112330</v>
      </c>
      <c r="HF420" s="847">
        <v>113805</v>
      </c>
      <c r="HG420" s="847">
        <v>115253</v>
      </c>
      <c r="HH420" s="847">
        <v>116400</v>
      </c>
      <c r="HI420" s="847">
        <v>0</v>
      </c>
      <c r="HJ420" s="847">
        <v>0</v>
      </c>
      <c r="HK420" s="847">
        <v>0</v>
      </c>
      <c r="HL420" s="847">
        <v>0</v>
      </c>
      <c r="HM420" s="847">
        <v>0</v>
      </c>
      <c r="HN420" s="847">
        <v>0</v>
      </c>
      <c r="HO420" s="847">
        <v>0</v>
      </c>
      <c r="HP420" s="847">
        <v>0</v>
      </c>
      <c r="HQ420" s="847">
        <v>0</v>
      </c>
      <c r="HR420" s="847">
        <v>0</v>
      </c>
      <c r="HS420" s="847">
        <v>0</v>
      </c>
      <c r="HT420" s="847">
        <v>0</v>
      </c>
      <c r="HU420" s="847">
        <v>0</v>
      </c>
      <c r="HV420" s="847">
        <v>0</v>
      </c>
      <c r="HW420" s="847">
        <v>0</v>
      </c>
      <c r="HX420" s="847">
        <v>0</v>
      </c>
      <c r="HY420" s="847">
        <v>0</v>
      </c>
      <c r="HZ420" s="847">
        <v>0</v>
      </c>
      <c r="IA420" s="847">
        <v>0</v>
      </c>
      <c r="IB420" s="847">
        <v>0</v>
      </c>
      <c r="IC420" s="847">
        <v>0</v>
      </c>
      <c r="ID420" s="847">
        <v>0</v>
      </c>
      <c r="IE420" s="847">
        <v>0</v>
      </c>
      <c r="IF420" s="847">
        <v>0</v>
      </c>
      <c r="IG420" s="847">
        <v>0</v>
      </c>
      <c r="IH420" s="847">
        <v>0</v>
      </c>
      <c r="II420" s="847">
        <v>0</v>
      </c>
      <c r="IJ420" s="847">
        <v>0</v>
      </c>
      <c r="IK420" s="847">
        <v>0</v>
      </c>
    </row>
    <row r="421" spans="12:245" hidden="1">
      <c r="L421" s="843" t="s">
        <v>1060</v>
      </c>
      <c r="M421" s="843" t="s">
        <v>1382</v>
      </c>
      <c r="N421" s="843" t="s">
        <v>97</v>
      </c>
      <c r="O421" s="844">
        <v>30</v>
      </c>
      <c r="P421" s="780" t="str">
        <f t="shared" si="14"/>
        <v>IWT060230</v>
      </c>
      <c r="Q421" s="844">
        <v>2312</v>
      </c>
      <c r="R421" s="844">
        <v>6549</v>
      </c>
      <c r="S421" s="844">
        <v>11382</v>
      </c>
      <c r="T421" s="844">
        <v>16829</v>
      </c>
      <c r="U421" s="844">
        <v>22908</v>
      </c>
      <c r="V421" s="844">
        <v>29341</v>
      </c>
      <c r="W421" s="844">
        <v>30229</v>
      </c>
      <c r="X421" s="844">
        <v>30833</v>
      </c>
      <c r="Y421" s="844">
        <v>31450</v>
      </c>
      <c r="Z421" s="844">
        <v>32079</v>
      </c>
      <c r="AA421" s="844">
        <v>32720</v>
      </c>
      <c r="AB421" s="844">
        <v>33375</v>
      </c>
      <c r="AC421" s="844">
        <v>34042</v>
      </c>
      <c r="AD421" s="844">
        <v>34723</v>
      </c>
      <c r="AE421" s="844">
        <v>35417</v>
      </c>
      <c r="AF421" s="844">
        <v>36126</v>
      </c>
      <c r="AG421" s="844">
        <v>36848</v>
      </c>
      <c r="AH421" s="844">
        <v>37585</v>
      </c>
      <c r="AI421" s="844">
        <v>38337</v>
      </c>
      <c r="AJ421" s="844">
        <v>39104</v>
      </c>
      <c r="AK421" s="844">
        <v>39886</v>
      </c>
      <c r="AL421" s="844">
        <v>40683</v>
      </c>
      <c r="AM421" s="844">
        <v>41497</v>
      </c>
      <c r="AN421" s="844">
        <v>42327</v>
      </c>
      <c r="AO421" s="844">
        <v>43174</v>
      </c>
      <c r="AP421" s="844">
        <v>44037</v>
      </c>
      <c r="AQ421" s="844">
        <v>44918</v>
      </c>
      <c r="AR421" s="844">
        <v>45816</v>
      </c>
      <c r="AS421" s="844">
        <v>46732</v>
      </c>
      <c r="AT421" s="844">
        <v>47667</v>
      </c>
      <c r="AU421" s="844">
        <v>48620</v>
      </c>
      <c r="AV421" s="844">
        <v>49593</v>
      </c>
      <c r="AW421" s="844">
        <v>50585</v>
      </c>
      <c r="AX421" s="844">
        <v>51596</v>
      </c>
      <c r="AY421" s="844">
        <v>52628</v>
      </c>
      <c r="AZ421" s="844">
        <v>53681</v>
      </c>
      <c r="BA421" s="844">
        <v>54754</v>
      </c>
      <c r="BB421" s="844">
        <v>55849</v>
      </c>
      <c r="BC421" s="844">
        <v>56966</v>
      </c>
      <c r="BD421" s="844">
        <v>58105</v>
      </c>
      <c r="BE421" s="844">
        <v>59262</v>
      </c>
      <c r="BF421" s="844">
        <v>60439</v>
      </c>
      <c r="BG421" s="844">
        <v>61634</v>
      </c>
      <c r="BH421" s="844">
        <v>62847</v>
      </c>
      <c r="BI421" s="844">
        <v>64079</v>
      </c>
      <c r="BJ421" s="844">
        <v>65328</v>
      </c>
      <c r="BK421" s="844">
        <v>66595</v>
      </c>
      <c r="BL421" s="844">
        <v>67878</v>
      </c>
      <c r="BM421" s="844">
        <v>69178</v>
      </c>
      <c r="BN421" s="844">
        <v>70493</v>
      </c>
      <c r="BO421" s="844">
        <v>71824</v>
      </c>
      <c r="BP421" s="844">
        <v>73169</v>
      </c>
      <c r="BQ421" s="844">
        <v>74529</v>
      </c>
      <c r="BR421" s="844">
        <v>75902</v>
      </c>
      <c r="BS421" s="844">
        <v>77288</v>
      </c>
      <c r="BT421" s="844">
        <v>78687</v>
      </c>
      <c r="BU421" s="844">
        <v>80098</v>
      </c>
      <c r="BV421" s="844">
        <v>81520</v>
      </c>
      <c r="BW421" s="844">
        <v>82953</v>
      </c>
      <c r="BX421" s="844">
        <v>84396</v>
      </c>
      <c r="BY421" s="844">
        <v>85849</v>
      </c>
      <c r="BZ421" s="844">
        <v>87308</v>
      </c>
      <c r="CA421" s="844">
        <v>88769</v>
      </c>
      <c r="CB421" s="844">
        <v>90235</v>
      </c>
      <c r="CC421" s="844">
        <v>91706</v>
      </c>
      <c r="CD421" s="844">
        <v>93181</v>
      </c>
      <c r="CE421" s="844">
        <v>94658</v>
      </c>
      <c r="CF421" s="844">
        <v>96138</v>
      </c>
      <c r="CG421" s="844">
        <v>97620</v>
      </c>
      <c r="CH421" s="844">
        <v>99103</v>
      </c>
      <c r="CI421" s="844">
        <v>100587</v>
      </c>
      <c r="CJ421" s="844">
        <v>102070</v>
      </c>
      <c r="CK421" s="844">
        <v>103553</v>
      </c>
      <c r="CL421" s="844">
        <v>105035</v>
      </c>
      <c r="CM421" s="844">
        <v>106516</v>
      </c>
      <c r="CN421" s="844">
        <v>107996</v>
      </c>
      <c r="CO421" s="844">
        <v>109473</v>
      </c>
      <c r="CP421" s="844">
        <v>110949</v>
      </c>
      <c r="CQ421" s="844">
        <v>112421</v>
      </c>
      <c r="CR421" s="844">
        <v>113867</v>
      </c>
      <c r="CS421" s="844">
        <v>115000</v>
      </c>
      <c r="CT421" s="844">
        <v>0</v>
      </c>
      <c r="CU421" s="844">
        <v>0</v>
      </c>
      <c r="CV421" s="844">
        <v>0</v>
      </c>
      <c r="CW421" s="844">
        <v>0</v>
      </c>
      <c r="CX421" s="844">
        <v>0</v>
      </c>
      <c r="CY421" s="844">
        <v>0</v>
      </c>
      <c r="CZ421" s="844">
        <v>0</v>
      </c>
      <c r="DA421" s="844">
        <v>0</v>
      </c>
      <c r="DB421" s="844">
        <v>0</v>
      </c>
      <c r="DC421" s="844">
        <v>0</v>
      </c>
      <c r="DD421" s="844">
        <v>0</v>
      </c>
      <c r="DE421" s="844">
        <v>0</v>
      </c>
      <c r="DF421" s="844">
        <v>0</v>
      </c>
      <c r="DG421" s="844">
        <v>0</v>
      </c>
      <c r="DH421" s="844">
        <v>0</v>
      </c>
      <c r="DI421" s="844">
        <v>0</v>
      </c>
      <c r="DJ421" s="844">
        <v>0</v>
      </c>
      <c r="DK421" s="844">
        <v>0</v>
      </c>
      <c r="DL421" s="844">
        <v>0</v>
      </c>
      <c r="DM421" s="844">
        <v>0</v>
      </c>
      <c r="DN421" s="844">
        <v>0</v>
      </c>
      <c r="DO421" s="844">
        <v>0</v>
      </c>
      <c r="DP421" s="844">
        <v>0</v>
      </c>
      <c r="DQ421" s="844">
        <v>0</v>
      </c>
      <c r="DR421" s="844">
        <v>0</v>
      </c>
      <c r="DS421" s="844">
        <v>0</v>
      </c>
      <c r="DT421" s="844">
        <v>0</v>
      </c>
      <c r="DU421" s="844">
        <v>0</v>
      </c>
      <c r="DV421" s="844">
        <v>0</v>
      </c>
      <c r="DW421" s="844">
        <v>0</v>
      </c>
      <c r="DY421" s="846" t="s">
        <v>1060</v>
      </c>
      <c r="DZ421" s="846" t="s">
        <v>1382</v>
      </c>
      <c r="EA421" s="846" t="s">
        <v>97</v>
      </c>
      <c r="EB421" s="847">
        <v>30</v>
      </c>
      <c r="EC421" s="780" t="str">
        <f t="shared" si="15"/>
        <v>IWT060230</v>
      </c>
      <c r="ED421" s="847">
        <v>0</v>
      </c>
      <c r="EE421" s="847">
        <v>3083</v>
      </c>
      <c r="EF421" s="847">
        <v>8186</v>
      </c>
      <c r="EG421" s="847">
        <v>13391</v>
      </c>
      <c r="EH421" s="847">
        <v>18699</v>
      </c>
      <c r="EI421" s="847">
        <v>24114</v>
      </c>
      <c r="EJ421" s="847">
        <v>29637</v>
      </c>
      <c r="EK421" s="847">
        <v>30229</v>
      </c>
      <c r="EL421" s="847">
        <v>30833</v>
      </c>
      <c r="EM421" s="847">
        <v>31450</v>
      </c>
      <c r="EN421" s="847">
        <v>32079</v>
      </c>
      <c r="EO421" s="847">
        <v>32720</v>
      </c>
      <c r="EP421" s="847">
        <v>33375</v>
      </c>
      <c r="EQ421" s="847">
        <v>34042</v>
      </c>
      <c r="ER421" s="847">
        <v>34723</v>
      </c>
      <c r="ES421" s="847">
        <v>35417</v>
      </c>
      <c r="ET421" s="847">
        <v>36126</v>
      </c>
      <c r="EU421" s="847">
        <v>36848</v>
      </c>
      <c r="EV421" s="847">
        <v>37585</v>
      </c>
      <c r="EW421" s="847">
        <v>38337</v>
      </c>
      <c r="EX421" s="847">
        <v>39104</v>
      </c>
      <c r="EY421" s="847">
        <v>39886</v>
      </c>
      <c r="EZ421" s="847">
        <v>40683</v>
      </c>
      <c r="FA421" s="847">
        <v>41497</v>
      </c>
      <c r="FB421" s="847">
        <v>42327</v>
      </c>
      <c r="FC421" s="847">
        <v>43174</v>
      </c>
      <c r="FD421" s="847">
        <v>44037</v>
      </c>
      <c r="FE421" s="847">
        <v>44918</v>
      </c>
      <c r="FF421" s="847">
        <v>45816</v>
      </c>
      <c r="FG421" s="847">
        <v>46732</v>
      </c>
      <c r="FH421" s="847">
        <v>47667</v>
      </c>
      <c r="FI421" s="847">
        <v>48620</v>
      </c>
      <c r="FJ421" s="847">
        <v>49593</v>
      </c>
      <c r="FK421" s="847">
        <v>50585</v>
      </c>
      <c r="FL421" s="847">
        <v>51596</v>
      </c>
      <c r="FM421" s="847">
        <v>52628</v>
      </c>
      <c r="FN421" s="847">
        <v>53681</v>
      </c>
      <c r="FO421" s="847">
        <v>54754</v>
      </c>
      <c r="FP421" s="847">
        <v>55849</v>
      </c>
      <c r="FQ421" s="847">
        <v>56966</v>
      </c>
      <c r="FR421" s="847">
        <v>58105</v>
      </c>
      <c r="FS421" s="847">
        <v>59262</v>
      </c>
      <c r="FT421" s="847">
        <v>60439</v>
      </c>
      <c r="FU421" s="847">
        <v>61634</v>
      </c>
      <c r="FV421" s="847">
        <v>62847</v>
      </c>
      <c r="FW421" s="847">
        <v>64079</v>
      </c>
      <c r="FX421" s="847">
        <v>65328</v>
      </c>
      <c r="FY421" s="847">
        <v>66595</v>
      </c>
      <c r="FZ421" s="847">
        <v>67878</v>
      </c>
      <c r="GA421" s="847">
        <v>69178</v>
      </c>
      <c r="GB421" s="847">
        <v>70493</v>
      </c>
      <c r="GC421" s="847">
        <v>71824</v>
      </c>
      <c r="GD421" s="847">
        <v>73169</v>
      </c>
      <c r="GE421" s="847">
        <v>74529</v>
      </c>
      <c r="GF421" s="847">
        <v>75902</v>
      </c>
      <c r="GG421" s="847">
        <v>77288</v>
      </c>
      <c r="GH421" s="847">
        <v>78687</v>
      </c>
      <c r="GI421" s="847">
        <v>80098</v>
      </c>
      <c r="GJ421" s="847">
        <v>81520</v>
      </c>
      <c r="GK421" s="847">
        <v>82953</v>
      </c>
      <c r="GL421" s="847">
        <v>84396</v>
      </c>
      <c r="GM421" s="847">
        <v>85849</v>
      </c>
      <c r="GN421" s="847">
        <v>87308</v>
      </c>
      <c r="GO421" s="847">
        <v>88769</v>
      </c>
      <c r="GP421" s="847">
        <v>90235</v>
      </c>
      <c r="GQ421" s="847">
        <v>91706</v>
      </c>
      <c r="GR421" s="847">
        <v>93181</v>
      </c>
      <c r="GS421" s="847">
        <v>94658</v>
      </c>
      <c r="GT421" s="847">
        <v>96138</v>
      </c>
      <c r="GU421" s="847">
        <v>97620</v>
      </c>
      <c r="GV421" s="847">
        <v>99103</v>
      </c>
      <c r="GW421" s="847">
        <v>100587</v>
      </c>
      <c r="GX421" s="847">
        <v>102070</v>
      </c>
      <c r="GY421" s="847">
        <v>103553</v>
      </c>
      <c r="GZ421" s="847">
        <v>105035</v>
      </c>
      <c r="HA421" s="847">
        <v>106516</v>
      </c>
      <c r="HB421" s="847">
        <v>107996</v>
      </c>
      <c r="HC421" s="847">
        <v>109473</v>
      </c>
      <c r="HD421" s="847">
        <v>110949</v>
      </c>
      <c r="HE421" s="847">
        <v>112421</v>
      </c>
      <c r="HF421" s="847">
        <v>113867</v>
      </c>
      <c r="HG421" s="847">
        <v>115000</v>
      </c>
      <c r="HH421" s="847">
        <v>0</v>
      </c>
      <c r="HI421" s="847">
        <v>0</v>
      </c>
      <c r="HJ421" s="847">
        <v>0</v>
      </c>
      <c r="HK421" s="847">
        <v>0</v>
      </c>
      <c r="HL421" s="847">
        <v>0</v>
      </c>
      <c r="HM421" s="847">
        <v>0</v>
      </c>
      <c r="HN421" s="847">
        <v>0</v>
      </c>
      <c r="HO421" s="847">
        <v>0</v>
      </c>
      <c r="HP421" s="847">
        <v>0</v>
      </c>
      <c r="HQ421" s="847">
        <v>0</v>
      </c>
      <c r="HR421" s="847">
        <v>0</v>
      </c>
      <c r="HS421" s="847">
        <v>0</v>
      </c>
      <c r="HT421" s="847">
        <v>0</v>
      </c>
      <c r="HU421" s="847">
        <v>0</v>
      </c>
      <c r="HV421" s="847">
        <v>0</v>
      </c>
      <c r="HW421" s="847">
        <v>0</v>
      </c>
      <c r="HX421" s="847">
        <v>0</v>
      </c>
      <c r="HY421" s="847">
        <v>0</v>
      </c>
      <c r="HZ421" s="847">
        <v>0</v>
      </c>
      <c r="IA421" s="847">
        <v>0</v>
      </c>
      <c r="IB421" s="847">
        <v>0</v>
      </c>
      <c r="IC421" s="847">
        <v>0</v>
      </c>
      <c r="ID421" s="847">
        <v>0</v>
      </c>
      <c r="IE421" s="847">
        <v>0</v>
      </c>
      <c r="IF421" s="847">
        <v>0</v>
      </c>
      <c r="IG421" s="847">
        <v>0</v>
      </c>
      <c r="IH421" s="847">
        <v>0</v>
      </c>
      <c r="II421" s="847">
        <v>0</v>
      </c>
      <c r="IJ421" s="847">
        <v>0</v>
      </c>
      <c r="IK421" s="847">
        <v>0</v>
      </c>
    </row>
    <row r="422" spans="12:245" hidden="1">
      <c r="L422" s="843" t="s">
        <v>1060</v>
      </c>
      <c r="M422" s="843" t="s">
        <v>1382</v>
      </c>
      <c r="N422" s="843" t="s">
        <v>97</v>
      </c>
      <c r="O422" s="844">
        <v>31</v>
      </c>
      <c r="P422" s="780" t="str">
        <f t="shared" si="14"/>
        <v>IWT060231</v>
      </c>
      <c r="Q422" s="844">
        <v>2317</v>
      </c>
      <c r="R422" s="844">
        <v>6563</v>
      </c>
      <c r="S422" s="844">
        <v>11407</v>
      </c>
      <c r="T422" s="844">
        <v>16867</v>
      </c>
      <c r="U422" s="844">
        <v>22959</v>
      </c>
      <c r="V422" s="844">
        <v>29406</v>
      </c>
      <c r="W422" s="844">
        <v>30296</v>
      </c>
      <c r="X422" s="844">
        <v>30901</v>
      </c>
      <c r="Y422" s="844">
        <v>31519</v>
      </c>
      <c r="Z422" s="844">
        <v>32149</v>
      </c>
      <c r="AA422" s="844">
        <v>32792</v>
      </c>
      <c r="AB422" s="844">
        <v>33448</v>
      </c>
      <c r="AC422" s="844">
        <v>34117</v>
      </c>
      <c r="AD422" s="844">
        <v>34799</v>
      </c>
      <c r="AE422" s="844">
        <v>35495</v>
      </c>
      <c r="AF422" s="844">
        <v>36205</v>
      </c>
      <c r="AG422" s="844">
        <v>36929</v>
      </c>
      <c r="AH422" s="844">
        <v>37668</v>
      </c>
      <c r="AI422" s="844">
        <v>38421</v>
      </c>
      <c r="AJ422" s="844">
        <v>39190</v>
      </c>
      <c r="AK422" s="844">
        <v>39974</v>
      </c>
      <c r="AL422" s="844">
        <v>40773</v>
      </c>
      <c r="AM422" s="844">
        <v>41588</v>
      </c>
      <c r="AN422" s="844">
        <v>42420</v>
      </c>
      <c r="AO422" s="844">
        <v>43269</v>
      </c>
      <c r="AP422" s="844">
        <v>44134</v>
      </c>
      <c r="AQ422" s="844">
        <v>45017</v>
      </c>
      <c r="AR422" s="844">
        <v>45917</v>
      </c>
      <c r="AS422" s="844">
        <v>46835</v>
      </c>
      <c r="AT422" s="844">
        <v>47772</v>
      </c>
      <c r="AU422" s="844">
        <v>48727</v>
      </c>
      <c r="AV422" s="844">
        <v>49702</v>
      </c>
      <c r="AW422" s="844">
        <v>50696</v>
      </c>
      <c r="AX422" s="844">
        <v>51710</v>
      </c>
      <c r="AY422" s="844">
        <v>52744</v>
      </c>
      <c r="AZ422" s="844">
        <v>53799</v>
      </c>
      <c r="BA422" s="844">
        <v>54875</v>
      </c>
      <c r="BB422" s="844">
        <v>55972</v>
      </c>
      <c r="BC422" s="844">
        <v>57092</v>
      </c>
      <c r="BD422" s="844">
        <v>58234</v>
      </c>
      <c r="BE422" s="844">
        <v>59395</v>
      </c>
      <c r="BF422" s="844">
        <v>60576</v>
      </c>
      <c r="BG422" s="844">
        <v>61775</v>
      </c>
      <c r="BH422" s="844">
        <v>62992</v>
      </c>
      <c r="BI422" s="844">
        <v>64227</v>
      </c>
      <c r="BJ422" s="844">
        <v>65480</v>
      </c>
      <c r="BK422" s="844">
        <v>66749</v>
      </c>
      <c r="BL422" s="844">
        <v>68036</v>
      </c>
      <c r="BM422" s="844">
        <v>69338</v>
      </c>
      <c r="BN422" s="844">
        <v>70656</v>
      </c>
      <c r="BO422" s="844">
        <v>71989</v>
      </c>
      <c r="BP422" s="844">
        <v>73336</v>
      </c>
      <c r="BQ422" s="844">
        <v>74697</v>
      </c>
      <c r="BR422" s="844">
        <v>76072</v>
      </c>
      <c r="BS422" s="844">
        <v>77459</v>
      </c>
      <c r="BT422" s="844">
        <v>78859</v>
      </c>
      <c r="BU422" s="844">
        <v>80270</v>
      </c>
      <c r="BV422" s="844">
        <v>81693</v>
      </c>
      <c r="BW422" s="844">
        <v>83126</v>
      </c>
      <c r="BX422" s="844">
        <v>84568</v>
      </c>
      <c r="BY422" s="844">
        <v>86018</v>
      </c>
      <c r="BZ422" s="844">
        <v>87470</v>
      </c>
      <c r="CA422" s="844">
        <v>88929</v>
      </c>
      <c r="CB422" s="844">
        <v>90392</v>
      </c>
      <c r="CC422" s="844">
        <v>91859</v>
      </c>
      <c r="CD422" s="844">
        <v>93330</v>
      </c>
      <c r="CE422" s="844">
        <v>94803</v>
      </c>
      <c r="CF422" s="844">
        <v>96279</v>
      </c>
      <c r="CG422" s="844">
        <v>97756</v>
      </c>
      <c r="CH422" s="844">
        <v>99234</v>
      </c>
      <c r="CI422" s="844">
        <v>100712</v>
      </c>
      <c r="CJ422" s="844">
        <v>102191</v>
      </c>
      <c r="CK422" s="844">
        <v>103668</v>
      </c>
      <c r="CL422" s="844">
        <v>105145</v>
      </c>
      <c r="CM422" s="844">
        <v>106621</v>
      </c>
      <c r="CN422" s="844">
        <v>108095</v>
      </c>
      <c r="CO422" s="844">
        <v>109567</v>
      </c>
      <c r="CP422" s="844">
        <v>111037</v>
      </c>
      <c r="CQ422" s="844">
        <v>112481</v>
      </c>
      <c r="CR422" s="844">
        <v>113600</v>
      </c>
      <c r="CS422" s="844">
        <v>0</v>
      </c>
      <c r="CT422" s="844">
        <v>0</v>
      </c>
      <c r="CU422" s="844">
        <v>0</v>
      </c>
      <c r="CV422" s="844">
        <v>0</v>
      </c>
      <c r="CW422" s="844">
        <v>0</v>
      </c>
      <c r="CX422" s="844">
        <v>0</v>
      </c>
      <c r="CY422" s="844">
        <v>0</v>
      </c>
      <c r="CZ422" s="844">
        <v>0</v>
      </c>
      <c r="DA422" s="844">
        <v>0</v>
      </c>
      <c r="DB422" s="844">
        <v>0</v>
      </c>
      <c r="DC422" s="844">
        <v>0</v>
      </c>
      <c r="DD422" s="844">
        <v>0</v>
      </c>
      <c r="DE422" s="844">
        <v>0</v>
      </c>
      <c r="DF422" s="844">
        <v>0</v>
      </c>
      <c r="DG422" s="844">
        <v>0</v>
      </c>
      <c r="DH422" s="844">
        <v>0</v>
      </c>
      <c r="DI422" s="844">
        <v>0</v>
      </c>
      <c r="DJ422" s="844">
        <v>0</v>
      </c>
      <c r="DK422" s="844">
        <v>0</v>
      </c>
      <c r="DL422" s="844">
        <v>0</v>
      </c>
      <c r="DM422" s="844">
        <v>0</v>
      </c>
      <c r="DN422" s="844">
        <v>0</v>
      </c>
      <c r="DO422" s="844">
        <v>0</v>
      </c>
      <c r="DP422" s="844">
        <v>0</v>
      </c>
      <c r="DQ422" s="844">
        <v>0</v>
      </c>
      <c r="DR422" s="844">
        <v>0</v>
      </c>
      <c r="DS422" s="844">
        <v>0</v>
      </c>
      <c r="DT422" s="844">
        <v>0</v>
      </c>
      <c r="DU422" s="844">
        <v>0</v>
      </c>
      <c r="DV422" s="844">
        <v>0</v>
      </c>
      <c r="DW422" s="844">
        <v>0</v>
      </c>
      <c r="DY422" s="846" t="s">
        <v>1060</v>
      </c>
      <c r="DZ422" s="846" t="s">
        <v>1382</v>
      </c>
      <c r="EA422" s="846" t="s">
        <v>97</v>
      </c>
      <c r="EB422" s="847">
        <v>31</v>
      </c>
      <c r="EC422" s="780" t="str">
        <f t="shared" si="15"/>
        <v>IWT060231</v>
      </c>
      <c r="ED422" s="847">
        <v>0</v>
      </c>
      <c r="EE422" s="847">
        <v>3089</v>
      </c>
      <c r="EF422" s="847">
        <v>8204</v>
      </c>
      <c r="EG422" s="847">
        <v>13420</v>
      </c>
      <c r="EH422" s="847">
        <v>18741</v>
      </c>
      <c r="EI422" s="847">
        <v>24167</v>
      </c>
      <c r="EJ422" s="847">
        <v>29703</v>
      </c>
      <c r="EK422" s="847">
        <v>30296</v>
      </c>
      <c r="EL422" s="847">
        <v>30901</v>
      </c>
      <c r="EM422" s="847">
        <v>31519</v>
      </c>
      <c r="EN422" s="847">
        <v>32149</v>
      </c>
      <c r="EO422" s="847">
        <v>32792</v>
      </c>
      <c r="EP422" s="847">
        <v>33448</v>
      </c>
      <c r="EQ422" s="847">
        <v>34117</v>
      </c>
      <c r="ER422" s="847">
        <v>34799</v>
      </c>
      <c r="ES422" s="847">
        <v>35495</v>
      </c>
      <c r="ET422" s="847">
        <v>36205</v>
      </c>
      <c r="EU422" s="847">
        <v>36929</v>
      </c>
      <c r="EV422" s="847">
        <v>37668</v>
      </c>
      <c r="EW422" s="847">
        <v>38421</v>
      </c>
      <c r="EX422" s="847">
        <v>39190</v>
      </c>
      <c r="EY422" s="847">
        <v>39974</v>
      </c>
      <c r="EZ422" s="847">
        <v>40773</v>
      </c>
      <c r="FA422" s="847">
        <v>41588</v>
      </c>
      <c r="FB422" s="847">
        <v>42420</v>
      </c>
      <c r="FC422" s="847">
        <v>43269</v>
      </c>
      <c r="FD422" s="847">
        <v>44134</v>
      </c>
      <c r="FE422" s="847">
        <v>45017</v>
      </c>
      <c r="FF422" s="847">
        <v>45917</v>
      </c>
      <c r="FG422" s="847">
        <v>46835</v>
      </c>
      <c r="FH422" s="847">
        <v>47772</v>
      </c>
      <c r="FI422" s="847">
        <v>48727</v>
      </c>
      <c r="FJ422" s="847">
        <v>49702</v>
      </c>
      <c r="FK422" s="847">
        <v>50696</v>
      </c>
      <c r="FL422" s="847">
        <v>51710</v>
      </c>
      <c r="FM422" s="847">
        <v>52744</v>
      </c>
      <c r="FN422" s="847">
        <v>53799</v>
      </c>
      <c r="FO422" s="847">
        <v>54875</v>
      </c>
      <c r="FP422" s="847">
        <v>55972</v>
      </c>
      <c r="FQ422" s="847">
        <v>57092</v>
      </c>
      <c r="FR422" s="847">
        <v>58234</v>
      </c>
      <c r="FS422" s="847">
        <v>59395</v>
      </c>
      <c r="FT422" s="847">
        <v>60576</v>
      </c>
      <c r="FU422" s="847">
        <v>61775</v>
      </c>
      <c r="FV422" s="847">
        <v>62992</v>
      </c>
      <c r="FW422" s="847">
        <v>64227</v>
      </c>
      <c r="FX422" s="847">
        <v>65480</v>
      </c>
      <c r="FY422" s="847">
        <v>66749</v>
      </c>
      <c r="FZ422" s="847">
        <v>68036</v>
      </c>
      <c r="GA422" s="847">
        <v>69338</v>
      </c>
      <c r="GB422" s="847">
        <v>70656</v>
      </c>
      <c r="GC422" s="847">
        <v>71989</v>
      </c>
      <c r="GD422" s="847">
        <v>73336</v>
      </c>
      <c r="GE422" s="847">
        <v>74697</v>
      </c>
      <c r="GF422" s="847">
        <v>76072</v>
      </c>
      <c r="GG422" s="847">
        <v>77459</v>
      </c>
      <c r="GH422" s="847">
        <v>78859</v>
      </c>
      <c r="GI422" s="847">
        <v>80270</v>
      </c>
      <c r="GJ422" s="847">
        <v>81693</v>
      </c>
      <c r="GK422" s="847">
        <v>83126</v>
      </c>
      <c r="GL422" s="847">
        <v>84568</v>
      </c>
      <c r="GM422" s="847">
        <v>86018</v>
      </c>
      <c r="GN422" s="847">
        <v>87470</v>
      </c>
      <c r="GO422" s="847">
        <v>88929</v>
      </c>
      <c r="GP422" s="847">
        <v>90392</v>
      </c>
      <c r="GQ422" s="847">
        <v>91859</v>
      </c>
      <c r="GR422" s="847">
        <v>93330</v>
      </c>
      <c r="GS422" s="847">
        <v>94803</v>
      </c>
      <c r="GT422" s="847">
        <v>96279</v>
      </c>
      <c r="GU422" s="847">
        <v>97756</v>
      </c>
      <c r="GV422" s="847">
        <v>99234</v>
      </c>
      <c r="GW422" s="847">
        <v>100712</v>
      </c>
      <c r="GX422" s="847">
        <v>102191</v>
      </c>
      <c r="GY422" s="847">
        <v>103668</v>
      </c>
      <c r="GZ422" s="847">
        <v>105145</v>
      </c>
      <c r="HA422" s="847">
        <v>106621</v>
      </c>
      <c r="HB422" s="847">
        <v>108095</v>
      </c>
      <c r="HC422" s="847">
        <v>109567</v>
      </c>
      <c r="HD422" s="847">
        <v>111037</v>
      </c>
      <c r="HE422" s="847">
        <v>112481</v>
      </c>
      <c r="HF422" s="847">
        <v>113600</v>
      </c>
      <c r="HG422" s="847">
        <v>0</v>
      </c>
      <c r="HH422" s="847">
        <v>0</v>
      </c>
      <c r="HI422" s="847">
        <v>0</v>
      </c>
      <c r="HJ422" s="847">
        <v>0</v>
      </c>
      <c r="HK422" s="847">
        <v>0</v>
      </c>
      <c r="HL422" s="847">
        <v>0</v>
      </c>
      <c r="HM422" s="847">
        <v>0</v>
      </c>
      <c r="HN422" s="847">
        <v>0</v>
      </c>
      <c r="HO422" s="847">
        <v>0</v>
      </c>
      <c r="HP422" s="847">
        <v>0</v>
      </c>
      <c r="HQ422" s="847">
        <v>0</v>
      </c>
      <c r="HR422" s="847">
        <v>0</v>
      </c>
      <c r="HS422" s="847">
        <v>0</v>
      </c>
      <c r="HT422" s="847">
        <v>0</v>
      </c>
      <c r="HU422" s="847">
        <v>0</v>
      </c>
      <c r="HV422" s="847">
        <v>0</v>
      </c>
      <c r="HW422" s="847">
        <v>0</v>
      </c>
      <c r="HX422" s="847">
        <v>0</v>
      </c>
      <c r="HY422" s="847">
        <v>0</v>
      </c>
      <c r="HZ422" s="847">
        <v>0</v>
      </c>
      <c r="IA422" s="847">
        <v>0</v>
      </c>
      <c r="IB422" s="847">
        <v>0</v>
      </c>
      <c r="IC422" s="847">
        <v>0</v>
      </c>
      <c r="ID422" s="847">
        <v>0</v>
      </c>
      <c r="IE422" s="847">
        <v>0</v>
      </c>
      <c r="IF422" s="847">
        <v>0</v>
      </c>
      <c r="IG422" s="847">
        <v>0</v>
      </c>
      <c r="IH422" s="847">
        <v>0</v>
      </c>
      <c r="II422" s="847">
        <v>0</v>
      </c>
      <c r="IJ422" s="847">
        <v>0</v>
      </c>
      <c r="IK422" s="847">
        <v>0</v>
      </c>
    </row>
    <row r="423" spans="12:245" hidden="1">
      <c r="L423" s="843" t="s">
        <v>1060</v>
      </c>
      <c r="M423" s="843" t="s">
        <v>1382</v>
      </c>
      <c r="N423" s="843" t="s">
        <v>97</v>
      </c>
      <c r="O423" s="844">
        <v>32</v>
      </c>
      <c r="P423" s="780" t="str">
        <f t="shared" si="14"/>
        <v>IWT060232</v>
      </c>
      <c r="Q423" s="844">
        <v>2321</v>
      </c>
      <c r="R423" s="844">
        <v>6576</v>
      </c>
      <c r="S423" s="844">
        <v>11430</v>
      </c>
      <c r="T423" s="844">
        <v>16900</v>
      </c>
      <c r="U423" s="844">
        <v>23006</v>
      </c>
      <c r="V423" s="844">
        <v>29465</v>
      </c>
      <c r="W423" s="844">
        <v>30358</v>
      </c>
      <c r="X423" s="844">
        <v>30964</v>
      </c>
      <c r="Y423" s="844">
        <v>31583</v>
      </c>
      <c r="Z423" s="844">
        <v>32215</v>
      </c>
      <c r="AA423" s="844">
        <v>32859</v>
      </c>
      <c r="AB423" s="844">
        <v>33516</v>
      </c>
      <c r="AC423" s="844">
        <v>34186</v>
      </c>
      <c r="AD423" s="844">
        <v>34870</v>
      </c>
      <c r="AE423" s="844">
        <v>35567</v>
      </c>
      <c r="AF423" s="844">
        <v>36279</v>
      </c>
      <c r="AG423" s="844">
        <v>37004</v>
      </c>
      <c r="AH423" s="844">
        <v>37744</v>
      </c>
      <c r="AI423" s="844">
        <v>38499</v>
      </c>
      <c r="AJ423" s="844">
        <v>39269</v>
      </c>
      <c r="AK423" s="844">
        <v>40055</v>
      </c>
      <c r="AL423" s="844">
        <v>40856</v>
      </c>
      <c r="AM423" s="844">
        <v>41673</v>
      </c>
      <c r="AN423" s="844">
        <v>42506</v>
      </c>
      <c r="AO423" s="844">
        <v>43356</v>
      </c>
      <c r="AP423" s="844">
        <v>44224</v>
      </c>
      <c r="AQ423" s="844">
        <v>45108</v>
      </c>
      <c r="AR423" s="844">
        <v>46010</v>
      </c>
      <c r="AS423" s="844">
        <v>46930</v>
      </c>
      <c r="AT423" s="844">
        <v>47869</v>
      </c>
      <c r="AU423" s="844">
        <v>48826</v>
      </c>
      <c r="AV423" s="844">
        <v>49803</v>
      </c>
      <c r="AW423" s="844">
        <v>50799</v>
      </c>
      <c r="AX423" s="844">
        <v>51815</v>
      </c>
      <c r="AY423" s="844">
        <v>52851</v>
      </c>
      <c r="AZ423" s="844">
        <v>53908</v>
      </c>
      <c r="BA423" s="844">
        <v>54986</v>
      </c>
      <c r="BB423" s="844">
        <v>56086</v>
      </c>
      <c r="BC423" s="844">
        <v>57208</v>
      </c>
      <c r="BD423" s="844">
        <v>58352</v>
      </c>
      <c r="BE423" s="844">
        <v>59518</v>
      </c>
      <c r="BF423" s="844">
        <v>60702</v>
      </c>
      <c r="BG423" s="844">
        <v>61905</v>
      </c>
      <c r="BH423" s="844">
        <v>63126</v>
      </c>
      <c r="BI423" s="844">
        <v>64365</v>
      </c>
      <c r="BJ423" s="844">
        <v>65621</v>
      </c>
      <c r="BK423" s="844">
        <v>66894</v>
      </c>
      <c r="BL423" s="844">
        <v>68183</v>
      </c>
      <c r="BM423" s="844">
        <v>69488</v>
      </c>
      <c r="BN423" s="844">
        <v>70808</v>
      </c>
      <c r="BO423" s="844">
        <v>72143</v>
      </c>
      <c r="BP423" s="844">
        <v>73492</v>
      </c>
      <c r="BQ423" s="844">
        <v>74855</v>
      </c>
      <c r="BR423" s="844">
        <v>76231</v>
      </c>
      <c r="BS423" s="844">
        <v>77620</v>
      </c>
      <c r="BT423" s="844">
        <v>79020</v>
      </c>
      <c r="BU423" s="844">
        <v>80432</v>
      </c>
      <c r="BV423" s="844">
        <v>81855</v>
      </c>
      <c r="BW423" s="844">
        <v>83288</v>
      </c>
      <c r="BX423" s="844">
        <v>84729</v>
      </c>
      <c r="BY423" s="844">
        <v>86172</v>
      </c>
      <c r="BZ423" s="844">
        <v>87622</v>
      </c>
      <c r="CA423" s="844">
        <v>89077</v>
      </c>
      <c r="CB423" s="844">
        <v>90537</v>
      </c>
      <c r="CC423" s="844">
        <v>92001</v>
      </c>
      <c r="CD423" s="844">
        <v>93468</v>
      </c>
      <c r="CE423" s="844">
        <v>94937</v>
      </c>
      <c r="CF423" s="844">
        <v>96409</v>
      </c>
      <c r="CG423" s="844">
        <v>97881</v>
      </c>
      <c r="CH423" s="844">
        <v>99354</v>
      </c>
      <c r="CI423" s="844">
        <v>100828</v>
      </c>
      <c r="CJ423" s="844">
        <v>102301</v>
      </c>
      <c r="CK423" s="844">
        <v>103774</v>
      </c>
      <c r="CL423" s="844">
        <v>105246</v>
      </c>
      <c r="CM423" s="844">
        <v>106717</v>
      </c>
      <c r="CN423" s="844">
        <v>108186</v>
      </c>
      <c r="CO423" s="844">
        <v>109652</v>
      </c>
      <c r="CP423" s="844">
        <v>111095</v>
      </c>
      <c r="CQ423" s="844">
        <v>112200</v>
      </c>
      <c r="CR423" s="844">
        <v>0</v>
      </c>
      <c r="CS423" s="844">
        <v>0</v>
      </c>
      <c r="CT423" s="844">
        <v>0</v>
      </c>
      <c r="CU423" s="844">
        <v>0</v>
      </c>
      <c r="CV423" s="844">
        <v>0</v>
      </c>
      <c r="CW423" s="844">
        <v>0</v>
      </c>
      <c r="CX423" s="844">
        <v>0</v>
      </c>
      <c r="CY423" s="844">
        <v>0</v>
      </c>
      <c r="CZ423" s="844">
        <v>0</v>
      </c>
      <c r="DA423" s="844">
        <v>0</v>
      </c>
      <c r="DB423" s="844">
        <v>0</v>
      </c>
      <c r="DC423" s="844">
        <v>0</v>
      </c>
      <c r="DD423" s="844">
        <v>0</v>
      </c>
      <c r="DE423" s="844">
        <v>0</v>
      </c>
      <c r="DF423" s="844">
        <v>0</v>
      </c>
      <c r="DG423" s="844">
        <v>0</v>
      </c>
      <c r="DH423" s="844">
        <v>0</v>
      </c>
      <c r="DI423" s="844">
        <v>0</v>
      </c>
      <c r="DJ423" s="844">
        <v>0</v>
      </c>
      <c r="DK423" s="844">
        <v>0</v>
      </c>
      <c r="DL423" s="844">
        <v>0</v>
      </c>
      <c r="DM423" s="844">
        <v>0</v>
      </c>
      <c r="DN423" s="844">
        <v>0</v>
      </c>
      <c r="DO423" s="844">
        <v>0</v>
      </c>
      <c r="DP423" s="844">
        <v>0</v>
      </c>
      <c r="DQ423" s="844">
        <v>0</v>
      </c>
      <c r="DR423" s="844">
        <v>0</v>
      </c>
      <c r="DS423" s="844">
        <v>0</v>
      </c>
      <c r="DT423" s="844">
        <v>0</v>
      </c>
      <c r="DU423" s="844">
        <v>0</v>
      </c>
      <c r="DV423" s="844">
        <v>0</v>
      </c>
      <c r="DW423" s="844">
        <v>0</v>
      </c>
      <c r="DY423" s="846" t="s">
        <v>1060</v>
      </c>
      <c r="DZ423" s="846" t="s">
        <v>1382</v>
      </c>
      <c r="EA423" s="846" t="s">
        <v>97</v>
      </c>
      <c r="EB423" s="847">
        <v>32</v>
      </c>
      <c r="EC423" s="780" t="str">
        <f t="shared" si="15"/>
        <v>IWT060232</v>
      </c>
      <c r="ED423" s="847">
        <v>0</v>
      </c>
      <c r="EE423" s="847">
        <v>3095</v>
      </c>
      <c r="EF423" s="847">
        <v>8220</v>
      </c>
      <c r="EG423" s="847">
        <v>13447</v>
      </c>
      <c r="EH423" s="847">
        <v>18778</v>
      </c>
      <c r="EI423" s="847">
        <v>24217</v>
      </c>
      <c r="EJ423" s="847">
        <v>29763</v>
      </c>
      <c r="EK423" s="847">
        <v>30358</v>
      </c>
      <c r="EL423" s="847">
        <v>30964</v>
      </c>
      <c r="EM423" s="847">
        <v>31583</v>
      </c>
      <c r="EN423" s="847">
        <v>32215</v>
      </c>
      <c r="EO423" s="847">
        <v>32859</v>
      </c>
      <c r="EP423" s="847">
        <v>33516</v>
      </c>
      <c r="EQ423" s="847">
        <v>34186</v>
      </c>
      <c r="ER423" s="847">
        <v>34870</v>
      </c>
      <c r="ES423" s="847">
        <v>35567</v>
      </c>
      <c r="ET423" s="847">
        <v>36279</v>
      </c>
      <c r="EU423" s="847">
        <v>37004</v>
      </c>
      <c r="EV423" s="847">
        <v>37744</v>
      </c>
      <c r="EW423" s="847">
        <v>38499</v>
      </c>
      <c r="EX423" s="847">
        <v>39269</v>
      </c>
      <c r="EY423" s="847">
        <v>40055</v>
      </c>
      <c r="EZ423" s="847">
        <v>40856</v>
      </c>
      <c r="FA423" s="847">
        <v>41673</v>
      </c>
      <c r="FB423" s="847">
        <v>42506</v>
      </c>
      <c r="FC423" s="847">
        <v>43356</v>
      </c>
      <c r="FD423" s="847">
        <v>44224</v>
      </c>
      <c r="FE423" s="847">
        <v>45108</v>
      </c>
      <c r="FF423" s="847">
        <v>46010</v>
      </c>
      <c r="FG423" s="847">
        <v>46930</v>
      </c>
      <c r="FH423" s="847">
        <v>47869</v>
      </c>
      <c r="FI423" s="847">
        <v>48826</v>
      </c>
      <c r="FJ423" s="847">
        <v>49803</v>
      </c>
      <c r="FK423" s="847">
        <v>50799</v>
      </c>
      <c r="FL423" s="847">
        <v>51815</v>
      </c>
      <c r="FM423" s="847">
        <v>52851</v>
      </c>
      <c r="FN423" s="847">
        <v>53908</v>
      </c>
      <c r="FO423" s="847">
        <v>54986</v>
      </c>
      <c r="FP423" s="847">
        <v>56086</v>
      </c>
      <c r="FQ423" s="847">
        <v>57208</v>
      </c>
      <c r="FR423" s="847">
        <v>58352</v>
      </c>
      <c r="FS423" s="847">
        <v>59518</v>
      </c>
      <c r="FT423" s="847">
        <v>60702</v>
      </c>
      <c r="FU423" s="847">
        <v>61905</v>
      </c>
      <c r="FV423" s="847">
        <v>63126</v>
      </c>
      <c r="FW423" s="847">
        <v>64365</v>
      </c>
      <c r="FX423" s="847">
        <v>65621</v>
      </c>
      <c r="FY423" s="847">
        <v>66894</v>
      </c>
      <c r="FZ423" s="847">
        <v>68183</v>
      </c>
      <c r="GA423" s="847">
        <v>69488</v>
      </c>
      <c r="GB423" s="847">
        <v>70808</v>
      </c>
      <c r="GC423" s="847">
        <v>72143</v>
      </c>
      <c r="GD423" s="847">
        <v>73492</v>
      </c>
      <c r="GE423" s="847">
        <v>74855</v>
      </c>
      <c r="GF423" s="847">
        <v>76231</v>
      </c>
      <c r="GG423" s="847">
        <v>77620</v>
      </c>
      <c r="GH423" s="847">
        <v>79020</v>
      </c>
      <c r="GI423" s="847">
        <v>80432</v>
      </c>
      <c r="GJ423" s="847">
        <v>81855</v>
      </c>
      <c r="GK423" s="847">
        <v>83288</v>
      </c>
      <c r="GL423" s="847">
        <v>84729</v>
      </c>
      <c r="GM423" s="847">
        <v>86172</v>
      </c>
      <c r="GN423" s="847">
        <v>87622</v>
      </c>
      <c r="GO423" s="847">
        <v>89077</v>
      </c>
      <c r="GP423" s="847">
        <v>90537</v>
      </c>
      <c r="GQ423" s="847">
        <v>92001</v>
      </c>
      <c r="GR423" s="847">
        <v>93468</v>
      </c>
      <c r="GS423" s="847">
        <v>94937</v>
      </c>
      <c r="GT423" s="847">
        <v>96409</v>
      </c>
      <c r="GU423" s="847">
        <v>97881</v>
      </c>
      <c r="GV423" s="847">
        <v>99354</v>
      </c>
      <c r="GW423" s="847">
        <v>100828</v>
      </c>
      <c r="GX423" s="847">
        <v>102301</v>
      </c>
      <c r="GY423" s="847">
        <v>103774</v>
      </c>
      <c r="GZ423" s="847">
        <v>105246</v>
      </c>
      <c r="HA423" s="847">
        <v>106717</v>
      </c>
      <c r="HB423" s="847">
        <v>108186</v>
      </c>
      <c r="HC423" s="847">
        <v>109652</v>
      </c>
      <c r="HD423" s="847">
        <v>111095</v>
      </c>
      <c r="HE423" s="847">
        <v>112200</v>
      </c>
      <c r="HF423" s="847">
        <v>0</v>
      </c>
      <c r="HG423" s="847">
        <v>0</v>
      </c>
      <c r="HH423" s="847">
        <v>0</v>
      </c>
      <c r="HI423" s="847">
        <v>0</v>
      </c>
      <c r="HJ423" s="847">
        <v>0</v>
      </c>
      <c r="HK423" s="847">
        <v>0</v>
      </c>
      <c r="HL423" s="847">
        <v>0</v>
      </c>
      <c r="HM423" s="847">
        <v>0</v>
      </c>
      <c r="HN423" s="847">
        <v>0</v>
      </c>
      <c r="HO423" s="847">
        <v>0</v>
      </c>
      <c r="HP423" s="847">
        <v>0</v>
      </c>
      <c r="HQ423" s="847">
        <v>0</v>
      </c>
      <c r="HR423" s="847">
        <v>0</v>
      </c>
      <c r="HS423" s="847">
        <v>0</v>
      </c>
      <c r="HT423" s="847">
        <v>0</v>
      </c>
      <c r="HU423" s="847">
        <v>0</v>
      </c>
      <c r="HV423" s="847">
        <v>0</v>
      </c>
      <c r="HW423" s="847">
        <v>0</v>
      </c>
      <c r="HX423" s="847">
        <v>0</v>
      </c>
      <c r="HY423" s="847">
        <v>0</v>
      </c>
      <c r="HZ423" s="847">
        <v>0</v>
      </c>
      <c r="IA423" s="847">
        <v>0</v>
      </c>
      <c r="IB423" s="847">
        <v>0</v>
      </c>
      <c r="IC423" s="847">
        <v>0</v>
      </c>
      <c r="ID423" s="847">
        <v>0</v>
      </c>
      <c r="IE423" s="847">
        <v>0</v>
      </c>
      <c r="IF423" s="847">
        <v>0</v>
      </c>
      <c r="IG423" s="847">
        <v>0</v>
      </c>
      <c r="IH423" s="847">
        <v>0</v>
      </c>
      <c r="II423" s="847">
        <v>0</v>
      </c>
      <c r="IJ423" s="847">
        <v>0</v>
      </c>
      <c r="IK423" s="847">
        <v>0</v>
      </c>
    </row>
    <row r="424" spans="12:245" hidden="1">
      <c r="L424" s="843" t="s">
        <v>1060</v>
      </c>
      <c r="M424" s="843" t="s">
        <v>1382</v>
      </c>
      <c r="N424" s="843" t="s">
        <v>97</v>
      </c>
      <c r="O424" s="844">
        <v>33</v>
      </c>
      <c r="P424" s="780" t="str">
        <f t="shared" si="14"/>
        <v>IWT060233</v>
      </c>
      <c r="Q424" s="844">
        <v>2325</v>
      </c>
      <c r="R424" s="844">
        <v>6588</v>
      </c>
      <c r="S424" s="844">
        <v>11451</v>
      </c>
      <c r="T424" s="844">
        <v>16932</v>
      </c>
      <c r="U424" s="844">
        <v>23049</v>
      </c>
      <c r="V424" s="844">
        <v>29521</v>
      </c>
      <c r="W424" s="844">
        <v>30414</v>
      </c>
      <c r="X424" s="844">
        <v>31022</v>
      </c>
      <c r="Y424" s="844">
        <v>31642</v>
      </c>
      <c r="Z424" s="844">
        <v>32275</v>
      </c>
      <c r="AA424" s="844">
        <v>32920</v>
      </c>
      <c r="AB424" s="844">
        <v>33578</v>
      </c>
      <c r="AC424" s="844">
        <v>34250</v>
      </c>
      <c r="AD424" s="844">
        <v>34935</v>
      </c>
      <c r="AE424" s="844">
        <v>35634</v>
      </c>
      <c r="AF424" s="844">
        <v>36346</v>
      </c>
      <c r="AG424" s="844">
        <v>37073</v>
      </c>
      <c r="AH424" s="844">
        <v>37815</v>
      </c>
      <c r="AI424" s="844">
        <v>38571</v>
      </c>
      <c r="AJ424" s="844">
        <v>39342</v>
      </c>
      <c r="AK424" s="844">
        <v>40129</v>
      </c>
      <c r="AL424" s="844">
        <v>40932</v>
      </c>
      <c r="AM424" s="844">
        <v>41750</v>
      </c>
      <c r="AN424" s="844">
        <v>42585</v>
      </c>
      <c r="AO424" s="844">
        <v>43437</v>
      </c>
      <c r="AP424" s="844">
        <v>44306</v>
      </c>
      <c r="AQ424" s="844">
        <v>45192</v>
      </c>
      <c r="AR424" s="844">
        <v>46096</v>
      </c>
      <c r="AS424" s="844">
        <v>47018</v>
      </c>
      <c r="AT424" s="844">
        <v>47958</v>
      </c>
      <c r="AU424" s="844">
        <v>48917</v>
      </c>
      <c r="AV424" s="844">
        <v>49896</v>
      </c>
      <c r="AW424" s="844">
        <v>50893</v>
      </c>
      <c r="AX424" s="844">
        <v>51911</v>
      </c>
      <c r="AY424" s="844">
        <v>52950</v>
      </c>
      <c r="AZ424" s="844">
        <v>54008</v>
      </c>
      <c r="BA424" s="844">
        <v>55089</v>
      </c>
      <c r="BB424" s="844">
        <v>56190</v>
      </c>
      <c r="BC424" s="844">
        <v>57314</v>
      </c>
      <c r="BD424" s="844">
        <v>58460</v>
      </c>
      <c r="BE424" s="844">
        <v>59630</v>
      </c>
      <c r="BF424" s="844">
        <v>60818</v>
      </c>
      <c r="BG424" s="844">
        <v>62025</v>
      </c>
      <c r="BH424" s="844">
        <v>63250</v>
      </c>
      <c r="BI424" s="844">
        <v>64492</v>
      </c>
      <c r="BJ424" s="844">
        <v>65752</v>
      </c>
      <c r="BK424" s="844">
        <v>67027</v>
      </c>
      <c r="BL424" s="844">
        <v>68320</v>
      </c>
      <c r="BM424" s="844">
        <v>69627</v>
      </c>
      <c r="BN424" s="844">
        <v>70950</v>
      </c>
      <c r="BO424" s="844">
        <v>72287</v>
      </c>
      <c r="BP424" s="844">
        <v>73638</v>
      </c>
      <c r="BQ424" s="844">
        <v>75003</v>
      </c>
      <c r="BR424" s="844">
        <v>76381</v>
      </c>
      <c r="BS424" s="844">
        <v>77771</v>
      </c>
      <c r="BT424" s="844">
        <v>79172</v>
      </c>
      <c r="BU424" s="844">
        <v>80585</v>
      </c>
      <c r="BV424" s="844">
        <v>82008</v>
      </c>
      <c r="BW424" s="844">
        <v>83439</v>
      </c>
      <c r="BX424" s="844">
        <v>84874</v>
      </c>
      <c r="BY424" s="844">
        <v>86316</v>
      </c>
      <c r="BZ424" s="844">
        <v>87763</v>
      </c>
      <c r="CA424" s="844">
        <v>89215</v>
      </c>
      <c r="CB424" s="844">
        <v>90672</v>
      </c>
      <c r="CC424" s="844">
        <v>92133</v>
      </c>
      <c r="CD424" s="844">
        <v>93596</v>
      </c>
      <c r="CE424" s="844">
        <v>95061</v>
      </c>
      <c r="CF424" s="844">
        <v>96528</v>
      </c>
      <c r="CG424" s="844">
        <v>97997</v>
      </c>
      <c r="CH424" s="844">
        <v>99466</v>
      </c>
      <c r="CI424" s="844">
        <v>100935</v>
      </c>
      <c r="CJ424" s="844">
        <v>102403</v>
      </c>
      <c r="CK424" s="844">
        <v>103872</v>
      </c>
      <c r="CL424" s="844">
        <v>105339</v>
      </c>
      <c r="CM424" s="844">
        <v>106805</v>
      </c>
      <c r="CN424" s="844">
        <v>108268</v>
      </c>
      <c r="CO424" s="844">
        <v>109708</v>
      </c>
      <c r="CP424" s="844">
        <v>110800</v>
      </c>
      <c r="CQ424" s="844">
        <v>0</v>
      </c>
      <c r="CR424" s="844">
        <v>0</v>
      </c>
      <c r="CS424" s="844">
        <v>0</v>
      </c>
      <c r="CT424" s="844">
        <v>0</v>
      </c>
      <c r="CU424" s="844">
        <v>0</v>
      </c>
      <c r="CV424" s="844">
        <v>0</v>
      </c>
      <c r="CW424" s="844">
        <v>0</v>
      </c>
      <c r="CX424" s="844">
        <v>0</v>
      </c>
      <c r="CY424" s="844">
        <v>0</v>
      </c>
      <c r="CZ424" s="844">
        <v>0</v>
      </c>
      <c r="DA424" s="844">
        <v>0</v>
      </c>
      <c r="DB424" s="844">
        <v>0</v>
      </c>
      <c r="DC424" s="844">
        <v>0</v>
      </c>
      <c r="DD424" s="844">
        <v>0</v>
      </c>
      <c r="DE424" s="844">
        <v>0</v>
      </c>
      <c r="DF424" s="844">
        <v>0</v>
      </c>
      <c r="DG424" s="844">
        <v>0</v>
      </c>
      <c r="DH424" s="844">
        <v>0</v>
      </c>
      <c r="DI424" s="844">
        <v>0</v>
      </c>
      <c r="DJ424" s="844">
        <v>0</v>
      </c>
      <c r="DK424" s="844">
        <v>0</v>
      </c>
      <c r="DL424" s="844">
        <v>0</v>
      </c>
      <c r="DM424" s="844">
        <v>0</v>
      </c>
      <c r="DN424" s="844">
        <v>0</v>
      </c>
      <c r="DO424" s="844">
        <v>0</v>
      </c>
      <c r="DP424" s="844">
        <v>0</v>
      </c>
      <c r="DQ424" s="844">
        <v>0</v>
      </c>
      <c r="DR424" s="844">
        <v>0</v>
      </c>
      <c r="DS424" s="844">
        <v>0</v>
      </c>
      <c r="DT424" s="844">
        <v>0</v>
      </c>
      <c r="DU424" s="844">
        <v>0</v>
      </c>
      <c r="DV424" s="844">
        <v>0</v>
      </c>
      <c r="DW424" s="844">
        <v>0</v>
      </c>
      <c r="DY424" s="846" t="s">
        <v>1060</v>
      </c>
      <c r="DZ424" s="846" t="s">
        <v>1382</v>
      </c>
      <c r="EA424" s="846" t="s">
        <v>97</v>
      </c>
      <c r="EB424" s="847">
        <v>33</v>
      </c>
      <c r="EC424" s="780" t="str">
        <f t="shared" si="15"/>
        <v>IWT060233</v>
      </c>
      <c r="ED424" s="847">
        <v>0</v>
      </c>
      <c r="EE424" s="847">
        <v>3100</v>
      </c>
      <c r="EF424" s="847">
        <v>8235</v>
      </c>
      <c r="EG424" s="847">
        <v>13472</v>
      </c>
      <c r="EH424" s="847">
        <v>18813</v>
      </c>
      <c r="EI424" s="847">
        <v>24262</v>
      </c>
      <c r="EJ424" s="847">
        <v>29819</v>
      </c>
      <c r="EK424" s="847">
        <v>30414</v>
      </c>
      <c r="EL424" s="847">
        <v>31022</v>
      </c>
      <c r="EM424" s="847">
        <v>31642</v>
      </c>
      <c r="EN424" s="847">
        <v>32275</v>
      </c>
      <c r="EO424" s="847">
        <v>32920</v>
      </c>
      <c r="EP424" s="847">
        <v>33578</v>
      </c>
      <c r="EQ424" s="847">
        <v>34250</v>
      </c>
      <c r="ER424" s="847">
        <v>34935</v>
      </c>
      <c r="ES424" s="847">
        <v>35634</v>
      </c>
      <c r="ET424" s="847">
        <v>36346</v>
      </c>
      <c r="EU424" s="847">
        <v>37073</v>
      </c>
      <c r="EV424" s="847">
        <v>37815</v>
      </c>
      <c r="EW424" s="847">
        <v>38571</v>
      </c>
      <c r="EX424" s="847">
        <v>39342</v>
      </c>
      <c r="EY424" s="847">
        <v>40129</v>
      </c>
      <c r="EZ424" s="847">
        <v>40932</v>
      </c>
      <c r="FA424" s="847">
        <v>41750</v>
      </c>
      <c r="FB424" s="847">
        <v>42585</v>
      </c>
      <c r="FC424" s="847">
        <v>43437</v>
      </c>
      <c r="FD424" s="847">
        <v>44306</v>
      </c>
      <c r="FE424" s="847">
        <v>45192</v>
      </c>
      <c r="FF424" s="847">
        <v>46096</v>
      </c>
      <c r="FG424" s="847">
        <v>47018</v>
      </c>
      <c r="FH424" s="847">
        <v>47958</v>
      </c>
      <c r="FI424" s="847">
        <v>48917</v>
      </c>
      <c r="FJ424" s="847">
        <v>49896</v>
      </c>
      <c r="FK424" s="847">
        <v>50893</v>
      </c>
      <c r="FL424" s="847">
        <v>51911</v>
      </c>
      <c r="FM424" s="847">
        <v>52950</v>
      </c>
      <c r="FN424" s="847">
        <v>54008</v>
      </c>
      <c r="FO424" s="847">
        <v>55089</v>
      </c>
      <c r="FP424" s="847">
        <v>56190</v>
      </c>
      <c r="FQ424" s="847">
        <v>57314</v>
      </c>
      <c r="FR424" s="847">
        <v>58460</v>
      </c>
      <c r="FS424" s="847">
        <v>59630</v>
      </c>
      <c r="FT424" s="847">
        <v>60818</v>
      </c>
      <c r="FU424" s="847">
        <v>62025</v>
      </c>
      <c r="FV424" s="847">
        <v>63250</v>
      </c>
      <c r="FW424" s="847">
        <v>64492</v>
      </c>
      <c r="FX424" s="847">
        <v>65752</v>
      </c>
      <c r="FY424" s="847">
        <v>67027</v>
      </c>
      <c r="FZ424" s="847">
        <v>68320</v>
      </c>
      <c r="GA424" s="847">
        <v>69627</v>
      </c>
      <c r="GB424" s="847">
        <v>70950</v>
      </c>
      <c r="GC424" s="847">
        <v>72287</v>
      </c>
      <c r="GD424" s="847">
        <v>73638</v>
      </c>
      <c r="GE424" s="847">
        <v>75003</v>
      </c>
      <c r="GF424" s="847">
        <v>76381</v>
      </c>
      <c r="GG424" s="847">
        <v>77771</v>
      </c>
      <c r="GH424" s="847">
        <v>79172</v>
      </c>
      <c r="GI424" s="847">
        <v>80585</v>
      </c>
      <c r="GJ424" s="847">
        <v>82008</v>
      </c>
      <c r="GK424" s="847">
        <v>83439</v>
      </c>
      <c r="GL424" s="847">
        <v>84874</v>
      </c>
      <c r="GM424" s="847">
        <v>86316</v>
      </c>
      <c r="GN424" s="847">
        <v>87763</v>
      </c>
      <c r="GO424" s="847">
        <v>89215</v>
      </c>
      <c r="GP424" s="847">
        <v>90672</v>
      </c>
      <c r="GQ424" s="847">
        <v>92133</v>
      </c>
      <c r="GR424" s="847">
        <v>93596</v>
      </c>
      <c r="GS424" s="847">
        <v>95061</v>
      </c>
      <c r="GT424" s="847">
        <v>96528</v>
      </c>
      <c r="GU424" s="847">
        <v>97997</v>
      </c>
      <c r="GV424" s="847">
        <v>99466</v>
      </c>
      <c r="GW424" s="847">
        <v>100935</v>
      </c>
      <c r="GX424" s="847">
        <v>102403</v>
      </c>
      <c r="GY424" s="847">
        <v>103872</v>
      </c>
      <c r="GZ424" s="847">
        <v>105339</v>
      </c>
      <c r="HA424" s="847">
        <v>106805</v>
      </c>
      <c r="HB424" s="847">
        <v>108268</v>
      </c>
      <c r="HC424" s="847">
        <v>109708</v>
      </c>
      <c r="HD424" s="847">
        <v>110800</v>
      </c>
      <c r="HE424" s="847">
        <v>0</v>
      </c>
      <c r="HF424" s="847">
        <v>0</v>
      </c>
      <c r="HG424" s="847">
        <v>0</v>
      </c>
      <c r="HH424" s="847">
        <v>0</v>
      </c>
      <c r="HI424" s="847">
        <v>0</v>
      </c>
      <c r="HJ424" s="847">
        <v>0</v>
      </c>
      <c r="HK424" s="847">
        <v>0</v>
      </c>
      <c r="HL424" s="847">
        <v>0</v>
      </c>
      <c r="HM424" s="847">
        <v>0</v>
      </c>
      <c r="HN424" s="847">
        <v>0</v>
      </c>
      <c r="HO424" s="847">
        <v>0</v>
      </c>
      <c r="HP424" s="847">
        <v>0</v>
      </c>
      <c r="HQ424" s="847">
        <v>0</v>
      </c>
      <c r="HR424" s="847">
        <v>0</v>
      </c>
      <c r="HS424" s="847">
        <v>0</v>
      </c>
      <c r="HT424" s="847">
        <v>0</v>
      </c>
      <c r="HU424" s="847">
        <v>0</v>
      </c>
      <c r="HV424" s="847">
        <v>0</v>
      </c>
      <c r="HW424" s="847">
        <v>0</v>
      </c>
      <c r="HX424" s="847">
        <v>0</v>
      </c>
      <c r="HY424" s="847">
        <v>0</v>
      </c>
      <c r="HZ424" s="847">
        <v>0</v>
      </c>
      <c r="IA424" s="847">
        <v>0</v>
      </c>
      <c r="IB424" s="847">
        <v>0</v>
      </c>
      <c r="IC424" s="847">
        <v>0</v>
      </c>
      <c r="ID424" s="847">
        <v>0</v>
      </c>
      <c r="IE424" s="847">
        <v>0</v>
      </c>
      <c r="IF424" s="847">
        <v>0</v>
      </c>
      <c r="IG424" s="847">
        <v>0</v>
      </c>
      <c r="IH424" s="847">
        <v>0</v>
      </c>
      <c r="II424" s="847">
        <v>0</v>
      </c>
      <c r="IJ424" s="847">
        <v>0</v>
      </c>
      <c r="IK424" s="847">
        <v>0</v>
      </c>
    </row>
    <row r="425" spans="12:245" hidden="1">
      <c r="L425" s="843" t="s">
        <v>1060</v>
      </c>
      <c r="M425" s="843" t="s">
        <v>1382</v>
      </c>
      <c r="N425" s="843" t="s">
        <v>97</v>
      </c>
      <c r="O425" s="844">
        <v>34</v>
      </c>
      <c r="P425" s="780" t="str">
        <f t="shared" si="14"/>
        <v>IWT060234</v>
      </c>
      <c r="Q425" s="844">
        <v>2329</v>
      </c>
      <c r="R425" s="844">
        <v>6598</v>
      </c>
      <c r="S425" s="844">
        <v>11470</v>
      </c>
      <c r="T425" s="844">
        <v>16961</v>
      </c>
      <c r="U425" s="844">
        <v>23088</v>
      </c>
      <c r="V425" s="844">
        <v>29571</v>
      </c>
      <c r="W425" s="844">
        <v>30466</v>
      </c>
      <c r="X425" s="844">
        <v>31075</v>
      </c>
      <c r="Y425" s="844">
        <v>31696</v>
      </c>
      <c r="Z425" s="844">
        <v>32330</v>
      </c>
      <c r="AA425" s="844">
        <v>32976</v>
      </c>
      <c r="AB425" s="844">
        <v>33636</v>
      </c>
      <c r="AC425" s="844">
        <v>34308</v>
      </c>
      <c r="AD425" s="844">
        <v>34995</v>
      </c>
      <c r="AE425" s="844">
        <v>35694</v>
      </c>
      <c r="AF425" s="844">
        <v>36408</v>
      </c>
      <c r="AG425" s="844">
        <v>37137</v>
      </c>
      <c r="AH425" s="844">
        <v>37879</v>
      </c>
      <c r="AI425" s="844">
        <v>38637</v>
      </c>
      <c r="AJ425" s="844">
        <v>39410</v>
      </c>
      <c r="AK425" s="844">
        <v>40198</v>
      </c>
      <c r="AL425" s="844">
        <v>41002</v>
      </c>
      <c r="AM425" s="844">
        <v>41822</v>
      </c>
      <c r="AN425" s="844">
        <v>42658</v>
      </c>
      <c r="AO425" s="844">
        <v>43511</v>
      </c>
      <c r="AP425" s="844">
        <v>44382</v>
      </c>
      <c r="AQ425" s="844">
        <v>45269</v>
      </c>
      <c r="AR425" s="844">
        <v>46175</v>
      </c>
      <c r="AS425" s="844">
        <v>47098</v>
      </c>
      <c r="AT425" s="844">
        <v>48040</v>
      </c>
      <c r="AU425" s="844">
        <v>49001</v>
      </c>
      <c r="AV425" s="844">
        <v>49981</v>
      </c>
      <c r="AW425" s="844">
        <v>50980</v>
      </c>
      <c r="AX425" s="844">
        <v>52000</v>
      </c>
      <c r="AY425" s="844">
        <v>53040</v>
      </c>
      <c r="AZ425" s="844">
        <v>54101</v>
      </c>
      <c r="BA425" s="844">
        <v>55183</v>
      </c>
      <c r="BB425" s="844">
        <v>56286</v>
      </c>
      <c r="BC425" s="844">
        <v>57412</v>
      </c>
      <c r="BD425" s="844">
        <v>58560</v>
      </c>
      <c r="BE425" s="844">
        <v>59731</v>
      </c>
      <c r="BF425" s="844">
        <v>60924</v>
      </c>
      <c r="BG425" s="844">
        <v>62135</v>
      </c>
      <c r="BH425" s="844">
        <v>63363</v>
      </c>
      <c r="BI425" s="844">
        <v>64609</v>
      </c>
      <c r="BJ425" s="844">
        <v>65872</v>
      </c>
      <c r="BK425" s="844">
        <v>67151</v>
      </c>
      <c r="BL425" s="844">
        <v>68446</v>
      </c>
      <c r="BM425" s="844">
        <v>69757</v>
      </c>
      <c r="BN425" s="844">
        <v>71082</v>
      </c>
      <c r="BO425" s="844">
        <v>72422</v>
      </c>
      <c r="BP425" s="844">
        <v>73775</v>
      </c>
      <c r="BQ425" s="844">
        <v>75142</v>
      </c>
      <c r="BR425" s="844">
        <v>76521</v>
      </c>
      <c r="BS425" s="844">
        <v>77912</v>
      </c>
      <c r="BT425" s="844">
        <v>79314</v>
      </c>
      <c r="BU425" s="844">
        <v>80728</v>
      </c>
      <c r="BV425" s="844">
        <v>82149</v>
      </c>
      <c r="BW425" s="844">
        <v>83576</v>
      </c>
      <c r="BX425" s="844">
        <v>85009</v>
      </c>
      <c r="BY425" s="844">
        <v>86449</v>
      </c>
      <c r="BZ425" s="844">
        <v>87894</v>
      </c>
      <c r="CA425" s="844">
        <v>89343</v>
      </c>
      <c r="CB425" s="844">
        <v>90797</v>
      </c>
      <c r="CC425" s="844">
        <v>92254</v>
      </c>
      <c r="CD425" s="844">
        <v>93714</v>
      </c>
      <c r="CE425" s="844">
        <v>95176</v>
      </c>
      <c r="CF425" s="844">
        <v>96639</v>
      </c>
      <c r="CG425" s="844">
        <v>98103</v>
      </c>
      <c r="CH425" s="844">
        <v>99568</v>
      </c>
      <c r="CI425" s="844">
        <v>101032</v>
      </c>
      <c r="CJ425" s="844">
        <v>102497</v>
      </c>
      <c r="CK425" s="844">
        <v>103961</v>
      </c>
      <c r="CL425" s="844">
        <v>105423</v>
      </c>
      <c r="CM425" s="844">
        <v>106884</v>
      </c>
      <c r="CN425" s="844">
        <v>108322</v>
      </c>
      <c r="CO425" s="844">
        <v>109400</v>
      </c>
      <c r="CP425" s="844">
        <v>0</v>
      </c>
      <c r="CQ425" s="844">
        <v>0</v>
      </c>
      <c r="CR425" s="844">
        <v>0</v>
      </c>
      <c r="CS425" s="844">
        <v>0</v>
      </c>
      <c r="CT425" s="844">
        <v>0</v>
      </c>
      <c r="CU425" s="844">
        <v>0</v>
      </c>
      <c r="CV425" s="844">
        <v>0</v>
      </c>
      <c r="CW425" s="844">
        <v>0</v>
      </c>
      <c r="CX425" s="844">
        <v>0</v>
      </c>
      <c r="CY425" s="844">
        <v>0</v>
      </c>
      <c r="CZ425" s="844">
        <v>0</v>
      </c>
      <c r="DA425" s="844">
        <v>0</v>
      </c>
      <c r="DB425" s="844">
        <v>0</v>
      </c>
      <c r="DC425" s="844">
        <v>0</v>
      </c>
      <c r="DD425" s="844">
        <v>0</v>
      </c>
      <c r="DE425" s="844">
        <v>0</v>
      </c>
      <c r="DF425" s="844">
        <v>0</v>
      </c>
      <c r="DG425" s="844">
        <v>0</v>
      </c>
      <c r="DH425" s="844">
        <v>0</v>
      </c>
      <c r="DI425" s="844">
        <v>0</v>
      </c>
      <c r="DJ425" s="844">
        <v>0</v>
      </c>
      <c r="DK425" s="844">
        <v>0</v>
      </c>
      <c r="DL425" s="844">
        <v>0</v>
      </c>
      <c r="DM425" s="844">
        <v>0</v>
      </c>
      <c r="DN425" s="844">
        <v>0</v>
      </c>
      <c r="DO425" s="844">
        <v>0</v>
      </c>
      <c r="DP425" s="844">
        <v>0</v>
      </c>
      <c r="DQ425" s="844">
        <v>0</v>
      </c>
      <c r="DR425" s="844">
        <v>0</v>
      </c>
      <c r="DS425" s="844">
        <v>0</v>
      </c>
      <c r="DT425" s="844">
        <v>0</v>
      </c>
      <c r="DU425" s="844">
        <v>0</v>
      </c>
      <c r="DV425" s="844">
        <v>0</v>
      </c>
      <c r="DW425" s="844">
        <v>0</v>
      </c>
      <c r="DY425" s="846" t="s">
        <v>1060</v>
      </c>
      <c r="DZ425" s="846" t="s">
        <v>1382</v>
      </c>
      <c r="EA425" s="846" t="s">
        <v>97</v>
      </c>
      <c r="EB425" s="847">
        <v>34</v>
      </c>
      <c r="EC425" s="780" t="str">
        <f t="shared" si="15"/>
        <v>IWT060234</v>
      </c>
      <c r="ED425" s="847">
        <v>0</v>
      </c>
      <c r="EE425" s="847">
        <v>3105</v>
      </c>
      <c r="EF425" s="847">
        <v>8248</v>
      </c>
      <c r="EG425" s="847">
        <v>13494</v>
      </c>
      <c r="EH425" s="847">
        <v>18845</v>
      </c>
      <c r="EI425" s="847">
        <v>24303</v>
      </c>
      <c r="EJ425" s="847">
        <v>29870</v>
      </c>
      <c r="EK425" s="847">
        <v>30466</v>
      </c>
      <c r="EL425" s="847">
        <v>31075</v>
      </c>
      <c r="EM425" s="847">
        <v>31696</v>
      </c>
      <c r="EN425" s="847">
        <v>32330</v>
      </c>
      <c r="EO425" s="847">
        <v>32976</v>
      </c>
      <c r="EP425" s="847">
        <v>33636</v>
      </c>
      <c r="EQ425" s="847">
        <v>34308</v>
      </c>
      <c r="ER425" s="847">
        <v>34995</v>
      </c>
      <c r="ES425" s="847">
        <v>35694</v>
      </c>
      <c r="ET425" s="847">
        <v>36408</v>
      </c>
      <c r="EU425" s="847">
        <v>37137</v>
      </c>
      <c r="EV425" s="847">
        <v>37879</v>
      </c>
      <c r="EW425" s="847">
        <v>38637</v>
      </c>
      <c r="EX425" s="847">
        <v>39410</v>
      </c>
      <c r="EY425" s="847">
        <v>40198</v>
      </c>
      <c r="EZ425" s="847">
        <v>41002</v>
      </c>
      <c r="FA425" s="847">
        <v>41822</v>
      </c>
      <c r="FB425" s="847">
        <v>42658</v>
      </c>
      <c r="FC425" s="847">
        <v>43511</v>
      </c>
      <c r="FD425" s="847">
        <v>44382</v>
      </c>
      <c r="FE425" s="847">
        <v>45269</v>
      </c>
      <c r="FF425" s="847">
        <v>46175</v>
      </c>
      <c r="FG425" s="847">
        <v>47098</v>
      </c>
      <c r="FH425" s="847">
        <v>48040</v>
      </c>
      <c r="FI425" s="847">
        <v>49001</v>
      </c>
      <c r="FJ425" s="847">
        <v>49981</v>
      </c>
      <c r="FK425" s="847">
        <v>50980</v>
      </c>
      <c r="FL425" s="847">
        <v>52000</v>
      </c>
      <c r="FM425" s="847">
        <v>53040</v>
      </c>
      <c r="FN425" s="847">
        <v>54101</v>
      </c>
      <c r="FO425" s="847">
        <v>55183</v>
      </c>
      <c r="FP425" s="847">
        <v>56286</v>
      </c>
      <c r="FQ425" s="847">
        <v>57412</v>
      </c>
      <c r="FR425" s="847">
        <v>58560</v>
      </c>
      <c r="FS425" s="847">
        <v>59731</v>
      </c>
      <c r="FT425" s="847">
        <v>60924</v>
      </c>
      <c r="FU425" s="847">
        <v>62135</v>
      </c>
      <c r="FV425" s="847">
        <v>63363</v>
      </c>
      <c r="FW425" s="847">
        <v>64609</v>
      </c>
      <c r="FX425" s="847">
        <v>65872</v>
      </c>
      <c r="FY425" s="847">
        <v>67151</v>
      </c>
      <c r="FZ425" s="847">
        <v>68446</v>
      </c>
      <c r="GA425" s="847">
        <v>69757</v>
      </c>
      <c r="GB425" s="847">
        <v>71082</v>
      </c>
      <c r="GC425" s="847">
        <v>72422</v>
      </c>
      <c r="GD425" s="847">
        <v>73775</v>
      </c>
      <c r="GE425" s="847">
        <v>75142</v>
      </c>
      <c r="GF425" s="847">
        <v>76521</v>
      </c>
      <c r="GG425" s="847">
        <v>77912</v>
      </c>
      <c r="GH425" s="847">
        <v>79314</v>
      </c>
      <c r="GI425" s="847">
        <v>80728</v>
      </c>
      <c r="GJ425" s="847">
        <v>82149</v>
      </c>
      <c r="GK425" s="847">
        <v>83576</v>
      </c>
      <c r="GL425" s="847">
        <v>85009</v>
      </c>
      <c r="GM425" s="847">
        <v>86449</v>
      </c>
      <c r="GN425" s="847">
        <v>87894</v>
      </c>
      <c r="GO425" s="847">
        <v>89343</v>
      </c>
      <c r="GP425" s="847">
        <v>90797</v>
      </c>
      <c r="GQ425" s="847">
        <v>92254</v>
      </c>
      <c r="GR425" s="847">
        <v>93714</v>
      </c>
      <c r="GS425" s="847">
        <v>95176</v>
      </c>
      <c r="GT425" s="847">
        <v>96639</v>
      </c>
      <c r="GU425" s="847">
        <v>98103</v>
      </c>
      <c r="GV425" s="847">
        <v>99568</v>
      </c>
      <c r="GW425" s="847">
        <v>101032</v>
      </c>
      <c r="GX425" s="847">
        <v>102497</v>
      </c>
      <c r="GY425" s="847">
        <v>103961</v>
      </c>
      <c r="GZ425" s="847">
        <v>105423</v>
      </c>
      <c r="HA425" s="847">
        <v>106884</v>
      </c>
      <c r="HB425" s="847">
        <v>108322</v>
      </c>
      <c r="HC425" s="847">
        <v>109400</v>
      </c>
      <c r="HD425" s="847">
        <v>0</v>
      </c>
      <c r="HE425" s="847">
        <v>0</v>
      </c>
      <c r="HF425" s="847">
        <v>0</v>
      </c>
      <c r="HG425" s="847">
        <v>0</v>
      </c>
      <c r="HH425" s="847">
        <v>0</v>
      </c>
      <c r="HI425" s="847">
        <v>0</v>
      </c>
      <c r="HJ425" s="847">
        <v>0</v>
      </c>
      <c r="HK425" s="847">
        <v>0</v>
      </c>
      <c r="HL425" s="847">
        <v>0</v>
      </c>
      <c r="HM425" s="847">
        <v>0</v>
      </c>
      <c r="HN425" s="847">
        <v>0</v>
      </c>
      <c r="HO425" s="847">
        <v>0</v>
      </c>
      <c r="HP425" s="847">
        <v>0</v>
      </c>
      <c r="HQ425" s="847">
        <v>0</v>
      </c>
      <c r="HR425" s="847">
        <v>0</v>
      </c>
      <c r="HS425" s="847">
        <v>0</v>
      </c>
      <c r="HT425" s="847">
        <v>0</v>
      </c>
      <c r="HU425" s="847">
        <v>0</v>
      </c>
      <c r="HV425" s="847">
        <v>0</v>
      </c>
      <c r="HW425" s="847">
        <v>0</v>
      </c>
      <c r="HX425" s="847">
        <v>0</v>
      </c>
      <c r="HY425" s="847">
        <v>0</v>
      </c>
      <c r="HZ425" s="847">
        <v>0</v>
      </c>
      <c r="IA425" s="847">
        <v>0</v>
      </c>
      <c r="IB425" s="847">
        <v>0</v>
      </c>
      <c r="IC425" s="847">
        <v>0</v>
      </c>
      <c r="ID425" s="847">
        <v>0</v>
      </c>
      <c r="IE425" s="847">
        <v>0</v>
      </c>
      <c r="IF425" s="847">
        <v>0</v>
      </c>
      <c r="IG425" s="847">
        <v>0</v>
      </c>
      <c r="IH425" s="847">
        <v>0</v>
      </c>
      <c r="II425" s="847">
        <v>0</v>
      </c>
      <c r="IJ425" s="847">
        <v>0</v>
      </c>
      <c r="IK425" s="847">
        <v>0</v>
      </c>
    </row>
    <row r="426" spans="12:245" hidden="1">
      <c r="L426" s="843" t="s">
        <v>1060</v>
      </c>
      <c r="M426" s="843" t="s">
        <v>1382</v>
      </c>
      <c r="N426" s="843" t="s">
        <v>97</v>
      </c>
      <c r="O426" s="844">
        <v>35</v>
      </c>
      <c r="P426" s="780" t="str">
        <f t="shared" si="14"/>
        <v>IWT060235</v>
      </c>
      <c r="Q426" s="844">
        <v>2332</v>
      </c>
      <c r="R426" s="844">
        <v>6609</v>
      </c>
      <c r="S426" s="844">
        <v>11488</v>
      </c>
      <c r="T426" s="844">
        <v>16987</v>
      </c>
      <c r="U426" s="844">
        <v>23124</v>
      </c>
      <c r="V426" s="844">
        <v>29617</v>
      </c>
      <c r="W426" s="844">
        <v>30513</v>
      </c>
      <c r="X426" s="844">
        <v>31123</v>
      </c>
      <c r="Y426" s="844">
        <v>31745</v>
      </c>
      <c r="Z426" s="844">
        <v>32380</v>
      </c>
      <c r="AA426" s="844">
        <v>33027</v>
      </c>
      <c r="AB426" s="844">
        <v>33688</v>
      </c>
      <c r="AC426" s="844">
        <v>34361</v>
      </c>
      <c r="AD426" s="844">
        <v>35049</v>
      </c>
      <c r="AE426" s="844">
        <v>35750</v>
      </c>
      <c r="AF426" s="844">
        <v>36465</v>
      </c>
      <c r="AG426" s="844">
        <v>37194</v>
      </c>
      <c r="AH426" s="844">
        <v>37938</v>
      </c>
      <c r="AI426" s="844">
        <v>38697</v>
      </c>
      <c r="AJ426" s="844">
        <v>39470</v>
      </c>
      <c r="AK426" s="844">
        <v>40260</v>
      </c>
      <c r="AL426" s="844">
        <v>41065</v>
      </c>
      <c r="AM426" s="844">
        <v>41886</v>
      </c>
      <c r="AN426" s="844">
        <v>42724</v>
      </c>
      <c r="AO426" s="844">
        <v>43579</v>
      </c>
      <c r="AP426" s="844">
        <v>44450</v>
      </c>
      <c r="AQ426" s="844">
        <v>45339</v>
      </c>
      <c r="AR426" s="844">
        <v>46246</v>
      </c>
      <c r="AS426" s="844">
        <v>47171</v>
      </c>
      <c r="AT426" s="844">
        <v>48114</v>
      </c>
      <c r="AU426" s="844">
        <v>49076</v>
      </c>
      <c r="AV426" s="844">
        <v>50058</v>
      </c>
      <c r="AW426" s="844">
        <v>51059</v>
      </c>
      <c r="AX426" s="844">
        <v>52080</v>
      </c>
      <c r="AY426" s="844">
        <v>53122</v>
      </c>
      <c r="AZ426" s="844">
        <v>54184</v>
      </c>
      <c r="BA426" s="844">
        <v>55268</v>
      </c>
      <c r="BB426" s="844">
        <v>56373</v>
      </c>
      <c r="BC426" s="844">
        <v>57501</v>
      </c>
      <c r="BD426" s="844">
        <v>58651</v>
      </c>
      <c r="BE426" s="844">
        <v>59823</v>
      </c>
      <c r="BF426" s="844">
        <v>61020</v>
      </c>
      <c r="BG426" s="844">
        <v>62235</v>
      </c>
      <c r="BH426" s="844">
        <v>63467</v>
      </c>
      <c r="BI426" s="844">
        <v>64717</v>
      </c>
      <c r="BJ426" s="844">
        <v>65983</v>
      </c>
      <c r="BK426" s="844">
        <v>67266</v>
      </c>
      <c r="BL426" s="844">
        <v>68564</v>
      </c>
      <c r="BM426" s="844">
        <v>69877</v>
      </c>
      <c r="BN426" s="844">
        <v>71205</v>
      </c>
      <c r="BO426" s="844">
        <v>72547</v>
      </c>
      <c r="BP426" s="844">
        <v>73902</v>
      </c>
      <c r="BQ426" s="844">
        <v>75271</v>
      </c>
      <c r="BR426" s="844">
        <v>76651</v>
      </c>
      <c r="BS426" s="844">
        <v>78044</v>
      </c>
      <c r="BT426" s="844">
        <v>79447</v>
      </c>
      <c r="BU426" s="844">
        <v>80860</v>
      </c>
      <c r="BV426" s="844">
        <v>82277</v>
      </c>
      <c r="BW426" s="844">
        <v>83703</v>
      </c>
      <c r="BX426" s="844">
        <v>85134</v>
      </c>
      <c r="BY426" s="844">
        <v>86572</v>
      </c>
      <c r="BZ426" s="844">
        <v>88015</v>
      </c>
      <c r="CA426" s="844">
        <v>89462</v>
      </c>
      <c r="CB426" s="844">
        <v>90913</v>
      </c>
      <c r="CC426" s="844">
        <v>92367</v>
      </c>
      <c r="CD426" s="844">
        <v>93823</v>
      </c>
      <c r="CE426" s="844">
        <v>95281</v>
      </c>
      <c r="CF426" s="844">
        <v>96741</v>
      </c>
      <c r="CG426" s="844">
        <v>98201</v>
      </c>
      <c r="CH426" s="844">
        <v>99661</v>
      </c>
      <c r="CI426" s="844">
        <v>101122</v>
      </c>
      <c r="CJ426" s="844">
        <v>102582</v>
      </c>
      <c r="CK426" s="844">
        <v>104042</v>
      </c>
      <c r="CL426" s="844">
        <v>105499</v>
      </c>
      <c r="CM426" s="844">
        <v>106936</v>
      </c>
      <c r="CN426" s="844">
        <v>108000</v>
      </c>
      <c r="CO426" s="844">
        <v>0</v>
      </c>
      <c r="CP426" s="844">
        <v>0</v>
      </c>
      <c r="CQ426" s="844">
        <v>0</v>
      </c>
      <c r="CR426" s="844">
        <v>0</v>
      </c>
      <c r="CS426" s="844">
        <v>0</v>
      </c>
      <c r="CT426" s="844">
        <v>0</v>
      </c>
      <c r="CU426" s="844">
        <v>0</v>
      </c>
      <c r="CV426" s="844">
        <v>0</v>
      </c>
      <c r="CW426" s="844">
        <v>0</v>
      </c>
      <c r="CX426" s="844">
        <v>0</v>
      </c>
      <c r="CY426" s="844">
        <v>0</v>
      </c>
      <c r="CZ426" s="844">
        <v>0</v>
      </c>
      <c r="DA426" s="844">
        <v>0</v>
      </c>
      <c r="DB426" s="844">
        <v>0</v>
      </c>
      <c r="DC426" s="844">
        <v>0</v>
      </c>
      <c r="DD426" s="844">
        <v>0</v>
      </c>
      <c r="DE426" s="844">
        <v>0</v>
      </c>
      <c r="DF426" s="844">
        <v>0</v>
      </c>
      <c r="DG426" s="844">
        <v>0</v>
      </c>
      <c r="DH426" s="844">
        <v>0</v>
      </c>
      <c r="DI426" s="844">
        <v>0</v>
      </c>
      <c r="DJ426" s="844">
        <v>0</v>
      </c>
      <c r="DK426" s="844">
        <v>0</v>
      </c>
      <c r="DL426" s="844">
        <v>0</v>
      </c>
      <c r="DM426" s="844">
        <v>0</v>
      </c>
      <c r="DN426" s="844">
        <v>0</v>
      </c>
      <c r="DO426" s="844">
        <v>0</v>
      </c>
      <c r="DP426" s="844">
        <v>0</v>
      </c>
      <c r="DQ426" s="844">
        <v>0</v>
      </c>
      <c r="DR426" s="844">
        <v>0</v>
      </c>
      <c r="DS426" s="844">
        <v>0</v>
      </c>
      <c r="DT426" s="844">
        <v>0</v>
      </c>
      <c r="DU426" s="844">
        <v>0</v>
      </c>
      <c r="DV426" s="844">
        <v>0</v>
      </c>
      <c r="DW426" s="844">
        <v>0</v>
      </c>
      <c r="DY426" s="846" t="s">
        <v>1060</v>
      </c>
      <c r="DZ426" s="846" t="s">
        <v>1382</v>
      </c>
      <c r="EA426" s="846" t="s">
        <v>97</v>
      </c>
      <c r="EB426" s="847">
        <v>35</v>
      </c>
      <c r="EC426" s="780" t="str">
        <f t="shared" si="15"/>
        <v>IWT060235</v>
      </c>
      <c r="ED426" s="847">
        <v>0</v>
      </c>
      <c r="EE426" s="847">
        <v>3109</v>
      </c>
      <c r="EF426" s="847">
        <v>8261</v>
      </c>
      <c r="EG426" s="847">
        <v>13515</v>
      </c>
      <c r="EH426" s="847">
        <v>18874</v>
      </c>
      <c r="EI426" s="847">
        <v>24341</v>
      </c>
      <c r="EJ426" s="847">
        <v>29916</v>
      </c>
      <c r="EK426" s="847">
        <v>30513</v>
      </c>
      <c r="EL426" s="847">
        <v>31123</v>
      </c>
      <c r="EM426" s="847">
        <v>31745</v>
      </c>
      <c r="EN426" s="847">
        <v>32380</v>
      </c>
      <c r="EO426" s="847">
        <v>33027</v>
      </c>
      <c r="EP426" s="847">
        <v>33688</v>
      </c>
      <c r="EQ426" s="847">
        <v>34361</v>
      </c>
      <c r="ER426" s="847">
        <v>35049</v>
      </c>
      <c r="ES426" s="847">
        <v>35750</v>
      </c>
      <c r="ET426" s="847">
        <v>36465</v>
      </c>
      <c r="EU426" s="847">
        <v>37194</v>
      </c>
      <c r="EV426" s="847">
        <v>37938</v>
      </c>
      <c r="EW426" s="847">
        <v>38697</v>
      </c>
      <c r="EX426" s="847">
        <v>39470</v>
      </c>
      <c r="EY426" s="847">
        <v>40260</v>
      </c>
      <c r="EZ426" s="847">
        <v>41065</v>
      </c>
      <c r="FA426" s="847">
        <v>41886</v>
      </c>
      <c r="FB426" s="847">
        <v>42724</v>
      </c>
      <c r="FC426" s="847">
        <v>43579</v>
      </c>
      <c r="FD426" s="847">
        <v>44450</v>
      </c>
      <c r="FE426" s="847">
        <v>45339</v>
      </c>
      <c r="FF426" s="847">
        <v>46246</v>
      </c>
      <c r="FG426" s="847">
        <v>47171</v>
      </c>
      <c r="FH426" s="847">
        <v>48114</v>
      </c>
      <c r="FI426" s="847">
        <v>49076</v>
      </c>
      <c r="FJ426" s="847">
        <v>50058</v>
      </c>
      <c r="FK426" s="847">
        <v>51059</v>
      </c>
      <c r="FL426" s="847">
        <v>52080</v>
      </c>
      <c r="FM426" s="847">
        <v>53122</v>
      </c>
      <c r="FN426" s="847">
        <v>54184</v>
      </c>
      <c r="FO426" s="847">
        <v>55268</v>
      </c>
      <c r="FP426" s="847">
        <v>56373</v>
      </c>
      <c r="FQ426" s="847">
        <v>57501</v>
      </c>
      <c r="FR426" s="847">
        <v>58651</v>
      </c>
      <c r="FS426" s="847">
        <v>59823</v>
      </c>
      <c r="FT426" s="847">
        <v>61020</v>
      </c>
      <c r="FU426" s="847">
        <v>62235</v>
      </c>
      <c r="FV426" s="847">
        <v>63467</v>
      </c>
      <c r="FW426" s="847">
        <v>64717</v>
      </c>
      <c r="FX426" s="847">
        <v>65983</v>
      </c>
      <c r="FY426" s="847">
        <v>67266</v>
      </c>
      <c r="FZ426" s="847">
        <v>68564</v>
      </c>
      <c r="GA426" s="847">
        <v>69877</v>
      </c>
      <c r="GB426" s="847">
        <v>71205</v>
      </c>
      <c r="GC426" s="847">
        <v>72547</v>
      </c>
      <c r="GD426" s="847">
        <v>73902</v>
      </c>
      <c r="GE426" s="847">
        <v>75271</v>
      </c>
      <c r="GF426" s="847">
        <v>76651</v>
      </c>
      <c r="GG426" s="847">
        <v>78044</v>
      </c>
      <c r="GH426" s="847">
        <v>79447</v>
      </c>
      <c r="GI426" s="847">
        <v>80860</v>
      </c>
      <c r="GJ426" s="847">
        <v>82277</v>
      </c>
      <c r="GK426" s="847">
        <v>83703</v>
      </c>
      <c r="GL426" s="847">
        <v>85134</v>
      </c>
      <c r="GM426" s="847">
        <v>86572</v>
      </c>
      <c r="GN426" s="847">
        <v>88015</v>
      </c>
      <c r="GO426" s="847">
        <v>89462</v>
      </c>
      <c r="GP426" s="847">
        <v>90913</v>
      </c>
      <c r="GQ426" s="847">
        <v>92367</v>
      </c>
      <c r="GR426" s="847">
        <v>93823</v>
      </c>
      <c r="GS426" s="847">
        <v>95281</v>
      </c>
      <c r="GT426" s="847">
        <v>96741</v>
      </c>
      <c r="GU426" s="847">
        <v>98201</v>
      </c>
      <c r="GV426" s="847">
        <v>99661</v>
      </c>
      <c r="GW426" s="847">
        <v>101122</v>
      </c>
      <c r="GX426" s="847">
        <v>102582</v>
      </c>
      <c r="GY426" s="847">
        <v>104042</v>
      </c>
      <c r="GZ426" s="847">
        <v>105499</v>
      </c>
      <c r="HA426" s="847">
        <v>106936</v>
      </c>
      <c r="HB426" s="847">
        <v>108000</v>
      </c>
      <c r="HC426" s="847">
        <v>0</v>
      </c>
      <c r="HD426" s="847">
        <v>0</v>
      </c>
      <c r="HE426" s="847">
        <v>0</v>
      </c>
      <c r="HF426" s="847">
        <v>0</v>
      </c>
      <c r="HG426" s="847">
        <v>0</v>
      </c>
      <c r="HH426" s="847">
        <v>0</v>
      </c>
      <c r="HI426" s="847">
        <v>0</v>
      </c>
      <c r="HJ426" s="847">
        <v>0</v>
      </c>
      <c r="HK426" s="847">
        <v>0</v>
      </c>
      <c r="HL426" s="847">
        <v>0</v>
      </c>
      <c r="HM426" s="847">
        <v>0</v>
      </c>
      <c r="HN426" s="847">
        <v>0</v>
      </c>
      <c r="HO426" s="847">
        <v>0</v>
      </c>
      <c r="HP426" s="847">
        <v>0</v>
      </c>
      <c r="HQ426" s="847">
        <v>0</v>
      </c>
      <c r="HR426" s="847">
        <v>0</v>
      </c>
      <c r="HS426" s="847">
        <v>0</v>
      </c>
      <c r="HT426" s="847">
        <v>0</v>
      </c>
      <c r="HU426" s="847">
        <v>0</v>
      </c>
      <c r="HV426" s="847">
        <v>0</v>
      </c>
      <c r="HW426" s="847">
        <v>0</v>
      </c>
      <c r="HX426" s="847">
        <v>0</v>
      </c>
      <c r="HY426" s="847">
        <v>0</v>
      </c>
      <c r="HZ426" s="847">
        <v>0</v>
      </c>
      <c r="IA426" s="847">
        <v>0</v>
      </c>
      <c r="IB426" s="847">
        <v>0</v>
      </c>
      <c r="IC426" s="847">
        <v>0</v>
      </c>
      <c r="ID426" s="847">
        <v>0</v>
      </c>
      <c r="IE426" s="847">
        <v>0</v>
      </c>
      <c r="IF426" s="847">
        <v>0</v>
      </c>
      <c r="IG426" s="847">
        <v>0</v>
      </c>
      <c r="IH426" s="847">
        <v>0</v>
      </c>
      <c r="II426" s="847">
        <v>0</v>
      </c>
      <c r="IJ426" s="847">
        <v>0</v>
      </c>
      <c r="IK426" s="847">
        <v>0</v>
      </c>
    </row>
    <row r="427" spans="12:245" hidden="1">
      <c r="L427" s="843" t="s">
        <v>1060</v>
      </c>
      <c r="M427" s="843" t="s">
        <v>1382</v>
      </c>
      <c r="N427" s="843" t="s">
        <v>97</v>
      </c>
      <c r="O427" s="844">
        <v>36</v>
      </c>
      <c r="P427" s="780" t="str">
        <f t="shared" si="14"/>
        <v>IWT060236</v>
      </c>
      <c r="Q427" s="844">
        <v>2335</v>
      </c>
      <c r="R427" s="844">
        <v>6618</v>
      </c>
      <c r="S427" s="844">
        <v>11504</v>
      </c>
      <c r="T427" s="844">
        <v>17011</v>
      </c>
      <c r="U427" s="844">
        <v>23156</v>
      </c>
      <c r="V427" s="844">
        <v>29659</v>
      </c>
      <c r="W427" s="844">
        <v>30557</v>
      </c>
      <c r="X427" s="844">
        <v>31167</v>
      </c>
      <c r="Y427" s="844">
        <v>31790</v>
      </c>
      <c r="Z427" s="844">
        <v>32425</v>
      </c>
      <c r="AA427" s="844">
        <v>33074</v>
      </c>
      <c r="AB427" s="844">
        <v>33735</v>
      </c>
      <c r="AC427" s="844">
        <v>34410</v>
      </c>
      <c r="AD427" s="844">
        <v>35098</v>
      </c>
      <c r="AE427" s="844">
        <v>35800</v>
      </c>
      <c r="AF427" s="844">
        <v>36516</v>
      </c>
      <c r="AG427" s="844">
        <v>37247</v>
      </c>
      <c r="AH427" s="844">
        <v>37992</v>
      </c>
      <c r="AI427" s="844">
        <v>38751</v>
      </c>
      <c r="AJ427" s="844">
        <v>39526</v>
      </c>
      <c r="AK427" s="844">
        <v>40317</v>
      </c>
      <c r="AL427" s="844">
        <v>41123</v>
      </c>
      <c r="AM427" s="844">
        <v>41946</v>
      </c>
      <c r="AN427" s="844">
        <v>42785</v>
      </c>
      <c r="AO427" s="844">
        <v>43640</v>
      </c>
      <c r="AP427" s="844">
        <v>44513</v>
      </c>
      <c r="AQ427" s="844">
        <v>45403</v>
      </c>
      <c r="AR427" s="844">
        <v>46311</v>
      </c>
      <c r="AS427" s="844">
        <v>47238</v>
      </c>
      <c r="AT427" s="844">
        <v>48182</v>
      </c>
      <c r="AU427" s="844">
        <v>49146</v>
      </c>
      <c r="AV427" s="844">
        <v>50129</v>
      </c>
      <c r="AW427" s="844">
        <v>51131</v>
      </c>
      <c r="AX427" s="844">
        <v>52154</v>
      </c>
      <c r="AY427" s="844">
        <v>53197</v>
      </c>
      <c r="AZ427" s="844">
        <v>54261</v>
      </c>
      <c r="BA427" s="844">
        <v>55346</v>
      </c>
      <c r="BB427" s="844">
        <v>56453</v>
      </c>
      <c r="BC427" s="844">
        <v>57582</v>
      </c>
      <c r="BD427" s="844">
        <v>58733</v>
      </c>
      <c r="BE427" s="844">
        <v>59908</v>
      </c>
      <c r="BF427" s="844">
        <v>61106</v>
      </c>
      <c r="BG427" s="844">
        <v>62325</v>
      </c>
      <c r="BH427" s="844">
        <v>63562</v>
      </c>
      <c r="BI427" s="844">
        <v>64815</v>
      </c>
      <c r="BJ427" s="844">
        <v>66085</v>
      </c>
      <c r="BK427" s="844">
        <v>67371</v>
      </c>
      <c r="BL427" s="844">
        <v>68672</v>
      </c>
      <c r="BM427" s="844">
        <v>69988</v>
      </c>
      <c r="BN427" s="844">
        <v>71319</v>
      </c>
      <c r="BO427" s="844">
        <v>72663</v>
      </c>
      <c r="BP427" s="844">
        <v>74021</v>
      </c>
      <c r="BQ427" s="844">
        <v>75391</v>
      </c>
      <c r="BR427" s="844">
        <v>76773</v>
      </c>
      <c r="BS427" s="844">
        <v>78167</v>
      </c>
      <c r="BT427" s="844">
        <v>79570</v>
      </c>
      <c r="BU427" s="844">
        <v>80979</v>
      </c>
      <c r="BV427" s="844">
        <v>82396</v>
      </c>
      <c r="BW427" s="844">
        <v>83820</v>
      </c>
      <c r="BX427" s="844">
        <v>85250</v>
      </c>
      <c r="BY427" s="844">
        <v>86686</v>
      </c>
      <c r="BZ427" s="844">
        <v>88127</v>
      </c>
      <c r="CA427" s="844">
        <v>89571</v>
      </c>
      <c r="CB427" s="844">
        <v>91019</v>
      </c>
      <c r="CC427" s="844">
        <v>92470</v>
      </c>
      <c r="CD427" s="844">
        <v>93923</v>
      </c>
      <c r="CE427" s="844">
        <v>95378</v>
      </c>
      <c r="CF427" s="844">
        <v>96834</v>
      </c>
      <c r="CG427" s="844">
        <v>98291</v>
      </c>
      <c r="CH427" s="844">
        <v>99747</v>
      </c>
      <c r="CI427" s="844">
        <v>101204</v>
      </c>
      <c r="CJ427" s="844">
        <v>102661</v>
      </c>
      <c r="CK427" s="844">
        <v>104115</v>
      </c>
      <c r="CL427" s="844">
        <v>105550</v>
      </c>
      <c r="CM427" s="844">
        <v>106600</v>
      </c>
      <c r="CN427" s="844">
        <v>0</v>
      </c>
      <c r="CO427" s="844">
        <v>0</v>
      </c>
      <c r="CP427" s="844">
        <v>0</v>
      </c>
      <c r="CQ427" s="844">
        <v>0</v>
      </c>
      <c r="CR427" s="844">
        <v>0</v>
      </c>
      <c r="CS427" s="844">
        <v>0</v>
      </c>
      <c r="CT427" s="844">
        <v>0</v>
      </c>
      <c r="CU427" s="844">
        <v>0</v>
      </c>
      <c r="CV427" s="844">
        <v>0</v>
      </c>
      <c r="CW427" s="844">
        <v>0</v>
      </c>
      <c r="CX427" s="844">
        <v>0</v>
      </c>
      <c r="CY427" s="844">
        <v>0</v>
      </c>
      <c r="CZ427" s="844">
        <v>0</v>
      </c>
      <c r="DA427" s="844">
        <v>0</v>
      </c>
      <c r="DB427" s="844">
        <v>0</v>
      </c>
      <c r="DC427" s="844">
        <v>0</v>
      </c>
      <c r="DD427" s="844">
        <v>0</v>
      </c>
      <c r="DE427" s="844">
        <v>0</v>
      </c>
      <c r="DF427" s="844">
        <v>0</v>
      </c>
      <c r="DG427" s="844">
        <v>0</v>
      </c>
      <c r="DH427" s="844">
        <v>0</v>
      </c>
      <c r="DI427" s="844">
        <v>0</v>
      </c>
      <c r="DJ427" s="844">
        <v>0</v>
      </c>
      <c r="DK427" s="844">
        <v>0</v>
      </c>
      <c r="DL427" s="844">
        <v>0</v>
      </c>
      <c r="DM427" s="844">
        <v>0</v>
      </c>
      <c r="DN427" s="844">
        <v>0</v>
      </c>
      <c r="DO427" s="844">
        <v>0</v>
      </c>
      <c r="DP427" s="844">
        <v>0</v>
      </c>
      <c r="DQ427" s="844">
        <v>0</v>
      </c>
      <c r="DR427" s="844">
        <v>0</v>
      </c>
      <c r="DS427" s="844">
        <v>0</v>
      </c>
      <c r="DT427" s="844">
        <v>0</v>
      </c>
      <c r="DU427" s="844">
        <v>0</v>
      </c>
      <c r="DV427" s="844">
        <v>0</v>
      </c>
      <c r="DW427" s="844">
        <v>0</v>
      </c>
      <c r="DY427" s="846" t="s">
        <v>1060</v>
      </c>
      <c r="DZ427" s="846" t="s">
        <v>1382</v>
      </c>
      <c r="EA427" s="846" t="s">
        <v>97</v>
      </c>
      <c r="EB427" s="847">
        <v>36</v>
      </c>
      <c r="EC427" s="780" t="str">
        <f t="shared" si="15"/>
        <v>IWT060236</v>
      </c>
      <c r="ED427" s="847">
        <v>0</v>
      </c>
      <c r="EE427" s="847">
        <v>3113</v>
      </c>
      <c r="EF427" s="847">
        <v>8272</v>
      </c>
      <c r="EG427" s="847">
        <v>13534</v>
      </c>
      <c r="EH427" s="847">
        <v>18901</v>
      </c>
      <c r="EI427" s="847">
        <v>24375</v>
      </c>
      <c r="EJ427" s="847">
        <v>29959</v>
      </c>
      <c r="EK427" s="847">
        <v>30557</v>
      </c>
      <c r="EL427" s="847">
        <v>31167</v>
      </c>
      <c r="EM427" s="847">
        <v>31790</v>
      </c>
      <c r="EN427" s="847">
        <v>32425</v>
      </c>
      <c r="EO427" s="847">
        <v>33074</v>
      </c>
      <c r="EP427" s="847">
        <v>33735</v>
      </c>
      <c r="EQ427" s="847">
        <v>34410</v>
      </c>
      <c r="ER427" s="847">
        <v>35098</v>
      </c>
      <c r="ES427" s="847">
        <v>35800</v>
      </c>
      <c r="ET427" s="847">
        <v>36516</v>
      </c>
      <c r="EU427" s="847">
        <v>37247</v>
      </c>
      <c r="EV427" s="847">
        <v>37992</v>
      </c>
      <c r="EW427" s="847">
        <v>38751</v>
      </c>
      <c r="EX427" s="847">
        <v>39526</v>
      </c>
      <c r="EY427" s="847">
        <v>40317</v>
      </c>
      <c r="EZ427" s="847">
        <v>41123</v>
      </c>
      <c r="FA427" s="847">
        <v>41946</v>
      </c>
      <c r="FB427" s="847">
        <v>42785</v>
      </c>
      <c r="FC427" s="847">
        <v>43640</v>
      </c>
      <c r="FD427" s="847">
        <v>44513</v>
      </c>
      <c r="FE427" s="847">
        <v>45403</v>
      </c>
      <c r="FF427" s="847">
        <v>46311</v>
      </c>
      <c r="FG427" s="847">
        <v>47238</v>
      </c>
      <c r="FH427" s="847">
        <v>48182</v>
      </c>
      <c r="FI427" s="847">
        <v>49146</v>
      </c>
      <c r="FJ427" s="847">
        <v>50129</v>
      </c>
      <c r="FK427" s="847">
        <v>51131</v>
      </c>
      <c r="FL427" s="847">
        <v>52154</v>
      </c>
      <c r="FM427" s="847">
        <v>53197</v>
      </c>
      <c r="FN427" s="847">
        <v>54261</v>
      </c>
      <c r="FO427" s="847">
        <v>55346</v>
      </c>
      <c r="FP427" s="847">
        <v>56453</v>
      </c>
      <c r="FQ427" s="847">
        <v>57582</v>
      </c>
      <c r="FR427" s="847">
        <v>58733</v>
      </c>
      <c r="FS427" s="847">
        <v>59908</v>
      </c>
      <c r="FT427" s="847">
        <v>61106</v>
      </c>
      <c r="FU427" s="847">
        <v>62325</v>
      </c>
      <c r="FV427" s="847">
        <v>63562</v>
      </c>
      <c r="FW427" s="847">
        <v>64815</v>
      </c>
      <c r="FX427" s="847">
        <v>66085</v>
      </c>
      <c r="FY427" s="847">
        <v>67371</v>
      </c>
      <c r="FZ427" s="847">
        <v>68672</v>
      </c>
      <c r="GA427" s="847">
        <v>69988</v>
      </c>
      <c r="GB427" s="847">
        <v>71319</v>
      </c>
      <c r="GC427" s="847">
        <v>72663</v>
      </c>
      <c r="GD427" s="847">
        <v>74021</v>
      </c>
      <c r="GE427" s="847">
        <v>75391</v>
      </c>
      <c r="GF427" s="847">
        <v>76773</v>
      </c>
      <c r="GG427" s="847">
        <v>78167</v>
      </c>
      <c r="GH427" s="847">
        <v>79570</v>
      </c>
      <c r="GI427" s="847">
        <v>80979</v>
      </c>
      <c r="GJ427" s="847">
        <v>82396</v>
      </c>
      <c r="GK427" s="847">
        <v>83820</v>
      </c>
      <c r="GL427" s="847">
        <v>85250</v>
      </c>
      <c r="GM427" s="847">
        <v>86686</v>
      </c>
      <c r="GN427" s="847">
        <v>88127</v>
      </c>
      <c r="GO427" s="847">
        <v>89571</v>
      </c>
      <c r="GP427" s="847">
        <v>91019</v>
      </c>
      <c r="GQ427" s="847">
        <v>92470</v>
      </c>
      <c r="GR427" s="847">
        <v>93923</v>
      </c>
      <c r="GS427" s="847">
        <v>95378</v>
      </c>
      <c r="GT427" s="847">
        <v>96834</v>
      </c>
      <c r="GU427" s="847">
        <v>98291</v>
      </c>
      <c r="GV427" s="847">
        <v>99747</v>
      </c>
      <c r="GW427" s="847">
        <v>101204</v>
      </c>
      <c r="GX427" s="847">
        <v>102661</v>
      </c>
      <c r="GY427" s="847">
        <v>104115</v>
      </c>
      <c r="GZ427" s="847">
        <v>105550</v>
      </c>
      <c r="HA427" s="847">
        <v>106600</v>
      </c>
      <c r="HB427" s="847">
        <v>0</v>
      </c>
      <c r="HC427" s="847">
        <v>0</v>
      </c>
      <c r="HD427" s="847">
        <v>0</v>
      </c>
      <c r="HE427" s="847">
        <v>0</v>
      </c>
      <c r="HF427" s="847">
        <v>0</v>
      </c>
      <c r="HG427" s="847">
        <v>0</v>
      </c>
      <c r="HH427" s="847">
        <v>0</v>
      </c>
      <c r="HI427" s="847">
        <v>0</v>
      </c>
      <c r="HJ427" s="847">
        <v>0</v>
      </c>
      <c r="HK427" s="847">
        <v>0</v>
      </c>
      <c r="HL427" s="847">
        <v>0</v>
      </c>
      <c r="HM427" s="847">
        <v>0</v>
      </c>
      <c r="HN427" s="847">
        <v>0</v>
      </c>
      <c r="HO427" s="847">
        <v>0</v>
      </c>
      <c r="HP427" s="847">
        <v>0</v>
      </c>
      <c r="HQ427" s="847">
        <v>0</v>
      </c>
      <c r="HR427" s="847">
        <v>0</v>
      </c>
      <c r="HS427" s="847">
        <v>0</v>
      </c>
      <c r="HT427" s="847">
        <v>0</v>
      </c>
      <c r="HU427" s="847">
        <v>0</v>
      </c>
      <c r="HV427" s="847">
        <v>0</v>
      </c>
      <c r="HW427" s="847">
        <v>0</v>
      </c>
      <c r="HX427" s="847">
        <v>0</v>
      </c>
      <c r="HY427" s="847">
        <v>0</v>
      </c>
      <c r="HZ427" s="847">
        <v>0</v>
      </c>
      <c r="IA427" s="847">
        <v>0</v>
      </c>
      <c r="IB427" s="847">
        <v>0</v>
      </c>
      <c r="IC427" s="847">
        <v>0</v>
      </c>
      <c r="ID427" s="847">
        <v>0</v>
      </c>
      <c r="IE427" s="847">
        <v>0</v>
      </c>
      <c r="IF427" s="847">
        <v>0</v>
      </c>
      <c r="IG427" s="847">
        <v>0</v>
      </c>
      <c r="IH427" s="847">
        <v>0</v>
      </c>
      <c r="II427" s="847">
        <v>0</v>
      </c>
      <c r="IJ427" s="847">
        <v>0</v>
      </c>
      <c r="IK427" s="847">
        <v>0</v>
      </c>
    </row>
    <row r="428" spans="12:245" hidden="1">
      <c r="L428" s="843" t="s">
        <v>1060</v>
      </c>
      <c r="M428" s="843" t="s">
        <v>1382</v>
      </c>
      <c r="N428" s="843" t="s">
        <v>97</v>
      </c>
      <c r="O428" s="844">
        <v>37</v>
      </c>
      <c r="P428" s="780" t="str">
        <f t="shared" si="14"/>
        <v>IWT060237</v>
      </c>
      <c r="Q428" s="844">
        <v>2337</v>
      </c>
      <c r="R428" s="844">
        <v>6625</v>
      </c>
      <c r="S428" s="844">
        <v>11518</v>
      </c>
      <c r="T428" s="844">
        <v>17032</v>
      </c>
      <c r="U428" s="844">
        <v>23186</v>
      </c>
      <c r="V428" s="844">
        <v>29697</v>
      </c>
      <c r="W428" s="844">
        <v>30595</v>
      </c>
      <c r="X428" s="844">
        <v>31206</v>
      </c>
      <c r="Y428" s="844">
        <v>31830</v>
      </c>
      <c r="Z428" s="844">
        <v>32466</v>
      </c>
      <c r="AA428" s="844">
        <v>33116</v>
      </c>
      <c r="AB428" s="844">
        <v>33778</v>
      </c>
      <c r="AC428" s="844">
        <v>34454</v>
      </c>
      <c r="AD428" s="844">
        <v>35143</v>
      </c>
      <c r="AE428" s="844">
        <v>35845</v>
      </c>
      <c r="AF428" s="844">
        <v>36562</v>
      </c>
      <c r="AG428" s="844">
        <v>37294</v>
      </c>
      <c r="AH428" s="844">
        <v>38039</v>
      </c>
      <c r="AI428" s="844">
        <v>38800</v>
      </c>
      <c r="AJ428" s="844">
        <v>39576</v>
      </c>
      <c r="AK428" s="844">
        <v>40368</v>
      </c>
      <c r="AL428" s="844">
        <v>41175</v>
      </c>
      <c r="AM428" s="844">
        <v>41999</v>
      </c>
      <c r="AN428" s="844">
        <v>42839</v>
      </c>
      <c r="AO428" s="844">
        <v>43695</v>
      </c>
      <c r="AP428" s="844">
        <v>44569</v>
      </c>
      <c r="AQ428" s="844">
        <v>45461</v>
      </c>
      <c r="AR428" s="844">
        <v>46370</v>
      </c>
      <c r="AS428" s="844">
        <v>47297</v>
      </c>
      <c r="AT428" s="844">
        <v>48243</v>
      </c>
      <c r="AU428" s="844">
        <v>49208</v>
      </c>
      <c r="AV428" s="844">
        <v>50192</v>
      </c>
      <c r="AW428" s="844">
        <v>51196</v>
      </c>
      <c r="AX428" s="844">
        <v>52220</v>
      </c>
      <c r="AY428" s="844">
        <v>53264</v>
      </c>
      <c r="AZ428" s="844">
        <v>54329</v>
      </c>
      <c r="BA428" s="844">
        <v>55416</v>
      </c>
      <c r="BB428" s="844">
        <v>56524</v>
      </c>
      <c r="BC428" s="844">
        <v>57655</v>
      </c>
      <c r="BD428" s="844">
        <v>58808</v>
      </c>
      <c r="BE428" s="844">
        <v>59984</v>
      </c>
      <c r="BF428" s="844">
        <v>61183</v>
      </c>
      <c r="BG428" s="844">
        <v>62407</v>
      </c>
      <c r="BH428" s="844">
        <v>63647</v>
      </c>
      <c r="BI428" s="844">
        <v>64904</v>
      </c>
      <c r="BJ428" s="844">
        <v>66178</v>
      </c>
      <c r="BK428" s="844">
        <v>67467</v>
      </c>
      <c r="BL428" s="844">
        <v>68772</v>
      </c>
      <c r="BM428" s="844">
        <v>70091</v>
      </c>
      <c r="BN428" s="844">
        <v>71424</v>
      </c>
      <c r="BO428" s="844">
        <v>72771</v>
      </c>
      <c r="BP428" s="844">
        <v>74131</v>
      </c>
      <c r="BQ428" s="844">
        <v>75503</v>
      </c>
      <c r="BR428" s="844">
        <v>76887</v>
      </c>
      <c r="BS428" s="844">
        <v>78280</v>
      </c>
      <c r="BT428" s="844">
        <v>79681</v>
      </c>
      <c r="BU428" s="844">
        <v>81089</v>
      </c>
      <c r="BV428" s="844">
        <v>82506</v>
      </c>
      <c r="BW428" s="844">
        <v>83929</v>
      </c>
      <c r="BX428" s="844">
        <v>85357</v>
      </c>
      <c r="BY428" s="844">
        <v>86791</v>
      </c>
      <c r="BZ428" s="844">
        <v>88230</v>
      </c>
      <c r="CA428" s="844">
        <v>89672</v>
      </c>
      <c r="CB428" s="844">
        <v>91118</v>
      </c>
      <c r="CC428" s="844">
        <v>92566</v>
      </c>
      <c r="CD428" s="844">
        <v>94016</v>
      </c>
      <c r="CE428" s="844">
        <v>95467</v>
      </c>
      <c r="CF428" s="844">
        <v>96920</v>
      </c>
      <c r="CG428" s="844">
        <v>98373</v>
      </c>
      <c r="CH428" s="844">
        <v>99826</v>
      </c>
      <c r="CI428" s="844">
        <v>101279</v>
      </c>
      <c r="CJ428" s="844">
        <v>102731</v>
      </c>
      <c r="CK428" s="844">
        <v>104164</v>
      </c>
      <c r="CL428" s="844">
        <v>105200</v>
      </c>
      <c r="CM428" s="844">
        <v>0</v>
      </c>
      <c r="CN428" s="844">
        <v>0</v>
      </c>
      <c r="CO428" s="844">
        <v>0</v>
      </c>
      <c r="CP428" s="844">
        <v>0</v>
      </c>
      <c r="CQ428" s="844">
        <v>0</v>
      </c>
      <c r="CR428" s="844">
        <v>0</v>
      </c>
      <c r="CS428" s="844">
        <v>0</v>
      </c>
      <c r="CT428" s="844">
        <v>0</v>
      </c>
      <c r="CU428" s="844">
        <v>0</v>
      </c>
      <c r="CV428" s="844">
        <v>0</v>
      </c>
      <c r="CW428" s="844">
        <v>0</v>
      </c>
      <c r="CX428" s="844">
        <v>0</v>
      </c>
      <c r="CY428" s="844">
        <v>0</v>
      </c>
      <c r="CZ428" s="844">
        <v>0</v>
      </c>
      <c r="DA428" s="844">
        <v>0</v>
      </c>
      <c r="DB428" s="844">
        <v>0</v>
      </c>
      <c r="DC428" s="844">
        <v>0</v>
      </c>
      <c r="DD428" s="844">
        <v>0</v>
      </c>
      <c r="DE428" s="844">
        <v>0</v>
      </c>
      <c r="DF428" s="844">
        <v>0</v>
      </c>
      <c r="DG428" s="844">
        <v>0</v>
      </c>
      <c r="DH428" s="844">
        <v>0</v>
      </c>
      <c r="DI428" s="844">
        <v>0</v>
      </c>
      <c r="DJ428" s="844">
        <v>0</v>
      </c>
      <c r="DK428" s="844">
        <v>0</v>
      </c>
      <c r="DL428" s="844">
        <v>0</v>
      </c>
      <c r="DM428" s="844">
        <v>0</v>
      </c>
      <c r="DN428" s="844">
        <v>0</v>
      </c>
      <c r="DO428" s="844">
        <v>0</v>
      </c>
      <c r="DP428" s="844">
        <v>0</v>
      </c>
      <c r="DQ428" s="844">
        <v>0</v>
      </c>
      <c r="DR428" s="844">
        <v>0</v>
      </c>
      <c r="DS428" s="844">
        <v>0</v>
      </c>
      <c r="DT428" s="844">
        <v>0</v>
      </c>
      <c r="DU428" s="844">
        <v>0</v>
      </c>
      <c r="DV428" s="844">
        <v>0</v>
      </c>
      <c r="DW428" s="844">
        <v>0</v>
      </c>
      <c r="DY428" s="846" t="s">
        <v>1060</v>
      </c>
      <c r="DZ428" s="846" t="s">
        <v>1382</v>
      </c>
      <c r="EA428" s="846" t="s">
        <v>97</v>
      </c>
      <c r="EB428" s="847">
        <v>37</v>
      </c>
      <c r="EC428" s="780" t="str">
        <f t="shared" si="15"/>
        <v>IWT060237</v>
      </c>
      <c r="ED428" s="847">
        <v>0</v>
      </c>
      <c r="EE428" s="847">
        <v>3116</v>
      </c>
      <c r="EF428" s="847">
        <v>8281</v>
      </c>
      <c r="EG428" s="847">
        <v>13550</v>
      </c>
      <c r="EH428" s="847">
        <v>18924</v>
      </c>
      <c r="EI428" s="847">
        <v>24406</v>
      </c>
      <c r="EJ428" s="847">
        <v>29997</v>
      </c>
      <c r="EK428" s="847">
        <v>30595</v>
      </c>
      <c r="EL428" s="847">
        <v>31206</v>
      </c>
      <c r="EM428" s="847">
        <v>31830</v>
      </c>
      <c r="EN428" s="847">
        <v>32466</v>
      </c>
      <c r="EO428" s="847">
        <v>33116</v>
      </c>
      <c r="EP428" s="847">
        <v>33778</v>
      </c>
      <c r="EQ428" s="847">
        <v>34454</v>
      </c>
      <c r="ER428" s="847">
        <v>35143</v>
      </c>
      <c r="ES428" s="847">
        <v>35845</v>
      </c>
      <c r="ET428" s="847">
        <v>36562</v>
      </c>
      <c r="EU428" s="847">
        <v>37294</v>
      </c>
      <c r="EV428" s="847">
        <v>38039</v>
      </c>
      <c r="EW428" s="847">
        <v>38800</v>
      </c>
      <c r="EX428" s="847">
        <v>39576</v>
      </c>
      <c r="EY428" s="847">
        <v>40368</v>
      </c>
      <c r="EZ428" s="847">
        <v>41175</v>
      </c>
      <c r="FA428" s="847">
        <v>41999</v>
      </c>
      <c r="FB428" s="847">
        <v>42839</v>
      </c>
      <c r="FC428" s="847">
        <v>43695</v>
      </c>
      <c r="FD428" s="847">
        <v>44569</v>
      </c>
      <c r="FE428" s="847">
        <v>45461</v>
      </c>
      <c r="FF428" s="847">
        <v>46370</v>
      </c>
      <c r="FG428" s="847">
        <v>47297</v>
      </c>
      <c r="FH428" s="847">
        <v>48243</v>
      </c>
      <c r="FI428" s="847">
        <v>49208</v>
      </c>
      <c r="FJ428" s="847">
        <v>50192</v>
      </c>
      <c r="FK428" s="847">
        <v>51196</v>
      </c>
      <c r="FL428" s="847">
        <v>52220</v>
      </c>
      <c r="FM428" s="847">
        <v>53264</v>
      </c>
      <c r="FN428" s="847">
        <v>54329</v>
      </c>
      <c r="FO428" s="847">
        <v>55416</v>
      </c>
      <c r="FP428" s="847">
        <v>56524</v>
      </c>
      <c r="FQ428" s="847">
        <v>57655</v>
      </c>
      <c r="FR428" s="847">
        <v>58808</v>
      </c>
      <c r="FS428" s="847">
        <v>59984</v>
      </c>
      <c r="FT428" s="847">
        <v>61183</v>
      </c>
      <c r="FU428" s="847">
        <v>62407</v>
      </c>
      <c r="FV428" s="847">
        <v>63647</v>
      </c>
      <c r="FW428" s="847">
        <v>64904</v>
      </c>
      <c r="FX428" s="847">
        <v>66178</v>
      </c>
      <c r="FY428" s="847">
        <v>67467</v>
      </c>
      <c r="FZ428" s="847">
        <v>68772</v>
      </c>
      <c r="GA428" s="847">
        <v>70091</v>
      </c>
      <c r="GB428" s="847">
        <v>71424</v>
      </c>
      <c r="GC428" s="847">
        <v>72771</v>
      </c>
      <c r="GD428" s="847">
        <v>74131</v>
      </c>
      <c r="GE428" s="847">
        <v>75503</v>
      </c>
      <c r="GF428" s="847">
        <v>76887</v>
      </c>
      <c r="GG428" s="847">
        <v>78280</v>
      </c>
      <c r="GH428" s="847">
        <v>79681</v>
      </c>
      <c r="GI428" s="847">
        <v>81089</v>
      </c>
      <c r="GJ428" s="847">
        <v>82506</v>
      </c>
      <c r="GK428" s="847">
        <v>83929</v>
      </c>
      <c r="GL428" s="847">
        <v>85357</v>
      </c>
      <c r="GM428" s="847">
        <v>86791</v>
      </c>
      <c r="GN428" s="847">
        <v>88230</v>
      </c>
      <c r="GO428" s="847">
        <v>89672</v>
      </c>
      <c r="GP428" s="847">
        <v>91118</v>
      </c>
      <c r="GQ428" s="847">
        <v>92566</v>
      </c>
      <c r="GR428" s="847">
        <v>94016</v>
      </c>
      <c r="GS428" s="847">
        <v>95467</v>
      </c>
      <c r="GT428" s="847">
        <v>96920</v>
      </c>
      <c r="GU428" s="847">
        <v>98373</v>
      </c>
      <c r="GV428" s="847">
        <v>99826</v>
      </c>
      <c r="GW428" s="847">
        <v>101279</v>
      </c>
      <c r="GX428" s="847">
        <v>102731</v>
      </c>
      <c r="GY428" s="847">
        <v>104164</v>
      </c>
      <c r="GZ428" s="847">
        <v>105200</v>
      </c>
      <c r="HA428" s="847">
        <v>0</v>
      </c>
      <c r="HB428" s="847">
        <v>0</v>
      </c>
      <c r="HC428" s="847">
        <v>0</v>
      </c>
      <c r="HD428" s="847">
        <v>0</v>
      </c>
      <c r="HE428" s="847">
        <v>0</v>
      </c>
      <c r="HF428" s="847">
        <v>0</v>
      </c>
      <c r="HG428" s="847">
        <v>0</v>
      </c>
      <c r="HH428" s="847">
        <v>0</v>
      </c>
      <c r="HI428" s="847">
        <v>0</v>
      </c>
      <c r="HJ428" s="847">
        <v>0</v>
      </c>
      <c r="HK428" s="847">
        <v>0</v>
      </c>
      <c r="HL428" s="847">
        <v>0</v>
      </c>
      <c r="HM428" s="847">
        <v>0</v>
      </c>
      <c r="HN428" s="847">
        <v>0</v>
      </c>
      <c r="HO428" s="847">
        <v>0</v>
      </c>
      <c r="HP428" s="847">
        <v>0</v>
      </c>
      <c r="HQ428" s="847">
        <v>0</v>
      </c>
      <c r="HR428" s="847">
        <v>0</v>
      </c>
      <c r="HS428" s="847">
        <v>0</v>
      </c>
      <c r="HT428" s="847">
        <v>0</v>
      </c>
      <c r="HU428" s="847">
        <v>0</v>
      </c>
      <c r="HV428" s="847">
        <v>0</v>
      </c>
      <c r="HW428" s="847">
        <v>0</v>
      </c>
      <c r="HX428" s="847">
        <v>0</v>
      </c>
      <c r="HY428" s="847">
        <v>0</v>
      </c>
      <c r="HZ428" s="847">
        <v>0</v>
      </c>
      <c r="IA428" s="847">
        <v>0</v>
      </c>
      <c r="IB428" s="847">
        <v>0</v>
      </c>
      <c r="IC428" s="847">
        <v>0</v>
      </c>
      <c r="ID428" s="847">
        <v>0</v>
      </c>
      <c r="IE428" s="847">
        <v>0</v>
      </c>
      <c r="IF428" s="847">
        <v>0</v>
      </c>
      <c r="IG428" s="847">
        <v>0</v>
      </c>
      <c r="IH428" s="847">
        <v>0</v>
      </c>
      <c r="II428" s="847">
        <v>0</v>
      </c>
      <c r="IJ428" s="847">
        <v>0</v>
      </c>
      <c r="IK428" s="847">
        <v>0</v>
      </c>
    </row>
    <row r="429" spans="12:245" hidden="1">
      <c r="L429" s="843" t="s">
        <v>1060</v>
      </c>
      <c r="M429" s="843" t="s">
        <v>1382</v>
      </c>
      <c r="N429" s="843" t="s">
        <v>97</v>
      </c>
      <c r="O429" s="844">
        <v>38</v>
      </c>
      <c r="P429" s="780" t="str">
        <f t="shared" si="14"/>
        <v>IWT060238</v>
      </c>
      <c r="Q429" s="844">
        <v>2339</v>
      </c>
      <c r="R429" s="844">
        <v>6632</v>
      </c>
      <c r="S429" s="844">
        <v>11531</v>
      </c>
      <c r="T429" s="844">
        <v>17051</v>
      </c>
      <c r="U429" s="844">
        <v>23212</v>
      </c>
      <c r="V429" s="844">
        <v>29732</v>
      </c>
      <c r="W429" s="844">
        <v>30631</v>
      </c>
      <c r="X429" s="844">
        <v>31242</v>
      </c>
      <c r="Y429" s="844">
        <v>31867</v>
      </c>
      <c r="Z429" s="844">
        <v>32504</v>
      </c>
      <c r="AA429" s="844">
        <v>33154</v>
      </c>
      <c r="AB429" s="844">
        <v>33817</v>
      </c>
      <c r="AC429" s="844">
        <v>34493</v>
      </c>
      <c r="AD429" s="844">
        <v>35183</v>
      </c>
      <c r="AE429" s="844">
        <v>35887</v>
      </c>
      <c r="AF429" s="844">
        <v>36605</v>
      </c>
      <c r="AG429" s="844">
        <v>37337</v>
      </c>
      <c r="AH429" s="844">
        <v>38084</v>
      </c>
      <c r="AI429" s="844">
        <v>38845</v>
      </c>
      <c r="AJ429" s="844">
        <v>39622</v>
      </c>
      <c r="AK429" s="844">
        <v>40415</v>
      </c>
      <c r="AL429" s="844">
        <v>41223</v>
      </c>
      <c r="AM429" s="844">
        <v>42047</v>
      </c>
      <c r="AN429" s="844">
        <v>42888</v>
      </c>
      <c r="AO429" s="844">
        <v>43746</v>
      </c>
      <c r="AP429" s="844">
        <v>44621</v>
      </c>
      <c r="AQ429" s="844">
        <v>45513</v>
      </c>
      <c r="AR429" s="844">
        <v>46424</v>
      </c>
      <c r="AS429" s="844">
        <v>47352</v>
      </c>
      <c r="AT429" s="844">
        <v>48299</v>
      </c>
      <c r="AU429" s="844">
        <v>49265</v>
      </c>
      <c r="AV429" s="844">
        <v>50250</v>
      </c>
      <c r="AW429" s="844">
        <v>51255</v>
      </c>
      <c r="AX429" s="844">
        <v>52280</v>
      </c>
      <c r="AY429" s="844">
        <v>53326</v>
      </c>
      <c r="AZ429" s="844">
        <v>54392</v>
      </c>
      <c r="BA429" s="844">
        <v>55480</v>
      </c>
      <c r="BB429" s="844">
        <v>56590</v>
      </c>
      <c r="BC429" s="844">
        <v>57721</v>
      </c>
      <c r="BD429" s="844">
        <v>58876</v>
      </c>
      <c r="BE429" s="844">
        <v>60053</v>
      </c>
      <c r="BF429" s="844">
        <v>61254</v>
      </c>
      <c r="BG429" s="844">
        <v>62479</v>
      </c>
      <c r="BH429" s="844">
        <v>63724</v>
      </c>
      <c r="BI429" s="844">
        <v>64985</v>
      </c>
      <c r="BJ429" s="844">
        <v>66262</v>
      </c>
      <c r="BK429" s="844">
        <v>67555</v>
      </c>
      <c r="BL429" s="844">
        <v>68863</v>
      </c>
      <c r="BM429" s="844">
        <v>70185</v>
      </c>
      <c r="BN429" s="844">
        <v>71521</v>
      </c>
      <c r="BO429" s="844">
        <v>72870</v>
      </c>
      <c r="BP429" s="844">
        <v>74233</v>
      </c>
      <c r="BQ429" s="844">
        <v>75607</v>
      </c>
      <c r="BR429" s="844">
        <v>76991</v>
      </c>
      <c r="BS429" s="844">
        <v>78383</v>
      </c>
      <c r="BT429" s="844">
        <v>79783</v>
      </c>
      <c r="BU429" s="844">
        <v>81191</v>
      </c>
      <c r="BV429" s="844">
        <v>82607</v>
      </c>
      <c r="BW429" s="844">
        <v>84029</v>
      </c>
      <c r="BX429" s="844">
        <v>85456</v>
      </c>
      <c r="BY429" s="844">
        <v>86888</v>
      </c>
      <c r="BZ429" s="844">
        <v>88325</v>
      </c>
      <c r="CA429" s="844">
        <v>89765</v>
      </c>
      <c r="CB429" s="844">
        <v>91208</v>
      </c>
      <c r="CC429" s="844">
        <v>92653</v>
      </c>
      <c r="CD429" s="844">
        <v>94100</v>
      </c>
      <c r="CE429" s="844">
        <v>95549</v>
      </c>
      <c r="CF429" s="844">
        <v>96998</v>
      </c>
      <c r="CG429" s="844">
        <v>98448</v>
      </c>
      <c r="CH429" s="844">
        <v>99898</v>
      </c>
      <c r="CI429" s="844">
        <v>101347</v>
      </c>
      <c r="CJ429" s="844">
        <v>102777</v>
      </c>
      <c r="CK429" s="844">
        <v>103800</v>
      </c>
      <c r="CL429" s="844">
        <v>0</v>
      </c>
      <c r="CM429" s="844">
        <v>0</v>
      </c>
      <c r="CN429" s="844">
        <v>0</v>
      </c>
      <c r="CO429" s="844">
        <v>0</v>
      </c>
      <c r="CP429" s="844">
        <v>0</v>
      </c>
      <c r="CQ429" s="844">
        <v>0</v>
      </c>
      <c r="CR429" s="844">
        <v>0</v>
      </c>
      <c r="CS429" s="844">
        <v>0</v>
      </c>
      <c r="CT429" s="844">
        <v>0</v>
      </c>
      <c r="CU429" s="844">
        <v>0</v>
      </c>
      <c r="CV429" s="844">
        <v>0</v>
      </c>
      <c r="CW429" s="844">
        <v>0</v>
      </c>
      <c r="CX429" s="844">
        <v>0</v>
      </c>
      <c r="CY429" s="844">
        <v>0</v>
      </c>
      <c r="CZ429" s="844">
        <v>0</v>
      </c>
      <c r="DA429" s="844">
        <v>0</v>
      </c>
      <c r="DB429" s="844">
        <v>0</v>
      </c>
      <c r="DC429" s="844">
        <v>0</v>
      </c>
      <c r="DD429" s="844">
        <v>0</v>
      </c>
      <c r="DE429" s="844">
        <v>0</v>
      </c>
      <c r="DF429" s="844">
        <v>0</v>
      </c>
      <c r="DG429" s="844">
        <v>0</v>
      </c>
      <c r="DH429" s="844">
        <v>0</v>
      </c>
      <c r="DI429" s="844">
        <v>0</v>
      </c>
      <c r="DJ429" s="844">
        <v>0</v>
      </c>
      <c r="DK429" s="844">
        <v>0</v>
      </c>
      <c r="DL429" s="844">
        <v>0</v>
      </c>
      <c r="DM429" s="844">
        <v>0</v>
      </c>
      <c r="DN429" s="844">
        <v>0</v>
      </c>
      <c r="DO429" s="844">
        <v>0</v>
      </c>
      <c r="DP429" s="844">
        <v>0</v>
      </c>
      <c r="DQ429" s="844">
        <v>0</v>
      </c>
      <c r="DR429" s="844">
        <v>0</v>
      </c>
      <c r="DS429" s="844">
        <v>0</v>
      </c>
      <c r="DT429" s="844">
        <v>0</v>
      </c>
      <c r="DU429" s="844">
        <v>0</v>
      </c>
      <c r="DV429" s="844">
        <v>0</v>
      </c>
      <c r="DW429" s="844">
        <v>0</v>
      </c>
      <c r="DY429" s="846" t="s">
        <v>1060</v>
      </c>
      <c r="DZ429" s="846" t="s">
        <v>1382</v>
      </c>
      <c r="EA429" s="846" t="s">
        <v>97</v>
      </c>
      <c r="EB429" s="847">
        <v>38</v>
      </c>
      <c r="EC429" s="780" t="str">
        <f t="shared" si="15"/>
        <v>IWT060238</v>
      </c>
      <c r="ED429" s="847">
        <v>0</v>
      </c>
      <c r="EE429" s="847">
        <v>3118</v>
      </c>
      <c r="EF429" s="847">
        <v>8290</v>
      </c>
      <c r="EG429" s="847">
        <v>13566</v>
      </c>
      <c r="EH429" s="847">
        <v>18946</v>
      </c>
      <c r="EI429" s="847">
        <v>24434</v>
      </c>
      <c r="EJ429" s="847">
        <v>30032</v>
      </c>
      <c r="EK429" s="847">
        <v>30631</v>
      </c>
      <c r="EL429" s="847">
        <v>31242</v>
      </c>
      <c r="EM429" s="847">
        <v>31867</v>
      </c>
      <c r="EN429" s="847">
        <v>32504</v>
      </c>
      <c r="EO429" s="847">
        <v>33154</v>
      </c>
      <c r="EP429" s="847">
        <v>33817</v>
      </c>
      <c r="EQ429" s="847">
        <v>34493</v>
      </c>
      <c r="ER429" s="847">
        <v>35183</v>
      </c>
      <c r="ES429" s="847">
        <v>35887</v>
      </c>
      <c r="ET429" s="847">
        <v>36605</v>
      </c>
      <c r="EU429" s="847">
        <v>37337</v>
      </c>
      <c r="EV429" s="847">
        <v>38084</v>
      </c>
      <c r="EW429" s="847">
        <v>38845</v>
      </c>
      <c r="EX429" s="847">
        <v>39622</v>
      </c>
      <c r="EY429" s="847">
        <v>40415</v>
      </c>
      <c r="EZ429" s="847">
        <v>41223</v>
      </c>
      <c r="FA429" s="847">
        <v>42047</v>
      </c>
      <c r="FB429" s="847">
        <v>42888</v>
      </c>
      <c r="FC429" s="847">
        <v>43746</v>
      </c>
      <c r="FD429" s="847">
        <v>44621</v>
      </c>
      <c r="FE429" s="847">
        <v>45513</v>
      </c>
      <c r="FF429" s="847">
        <v>46424</v>
      </c>
      <c r="FG429" s="847">
        <v>47352</v>
      </c>
      <c r="FH429" s="847">
        <v>48299</v>
      </c>
      <c r="FI429" s="847">
        <v>49265</v>
      </c>
      <c r="FJ429" s="847">
        <v>50250</v>
      </c>
      <c r="FK429" s="847">
        <v>51255</v>
      </c>
      <c r="FL429" s="847">
        <v>52280</v>
      </c>
      <c r="FM429" s="847">
        <v>53326</v>
      </c>
      <c r="FN429" s="847">
        <v>54392</v>
      </c>
      <c r="FO429" s="847">
        <v>55480</v>
      </c>
      <c r="FP429" s="847">
        <v>56590</v>
      </c>
      <c r="FQ429" s="847">
        <v>57721</v>
      </c>
      <c r="FR429" s="847">
        <v>58876</v>
      </c>
      <c r="FS429" s="847">
        <v>60053</v>
      </c>
      <c r="FT429" s="847">
        <v>61254</v>
      </c>
      <c r="FU429" s="847">
        <v>62479</v>
      </c>
      <c r="FV429" s="847">
        <v>63724</v>
      </c>
      <c r="FW429" s="847">
        <v>64985</v>
      </c>
      <c r="FX429" s="847">
        <v>66262</v>
      </c>
      <c r="FY429" s="847">
        <v>67555</v>
      </c>
      <c r="FZ429" s="847">
        <v>68863</v>
      </c>
      <c r="GA429" s="847">
        <v>70185</v>
      </c>
      <c r="GB429" s="847">
        <v>71521</v>
      </c>
      <c r="GC429" s="847">
        <v>72870</v>
      </c>
      <c r="GD429" s="847">
        <v>74233</v>
      </c>
      <c r="GE429" s="847">
        <v>75607</v>
      </c>
      <c r="GF429" s="847">
        <v>76991</v>
      </c>
      <c r="GG429" s="847">
        <v>78383</v>
      </c>
      <c r="GH429" s="847">
        <v>79783</v>
      </c>
      <c r="GI429" s="847">
        <v>81191</v>
      </c>
      <c r="GJ429" s="847">
        <v>82607</v>
      </c>
      <c r="GK429" s="847">
        <v>84029</v>
      </c>
      <c r="GL429" s="847">
        <v>85456</v>
      </c>
      <c r="GM429" s="847">
        <v>86888</v>
      </c>
      <c r="GN429" s="847">
        <v>88325</v>
      </c>
      <c r="GO429" s="847">
        <v>89765</v>
      </c>
      <c r="GP429" s="847">
        <v>91208</v>
      </c>
      <c r="GQ429" s="847">
        <v>92653</v>
      </c>
      <c r="GR429" s="847">
        <v>94100</v>
      </c>
      <c r="GS429" s="847">
        <v>95549</v>
      </c>
      <c r="GT429" s="847">
        <v>96998</v>
      </c>
      <c r="GU429" s="847">
        <v>98448</v>
      </c>
      <c r="GV429" s="847">
        <v>99898</v>
      </c>
      <c r="GW429" s="847">
        <v>101347</v>
      </c>
      <c r="GX429" s="847">
        <v>102777</v>
      </c>
      <c r="GY429" s="847">
        <v>103800</v>
      </c>
      <c r="GZ429" s="847">
        <v>0</v>
      </c>
      <c r="HA429" s="847">
        <v>0</v>
      </c>
      <c r="HB429" s="847">
        <v>0</v>
      </c>
      <c r="HC429" s="847">
        <v>0</v>
      </c>
      <c r="HD429" s="847">
        <v>0</v>
      </c>
      <c r="HE429" s="847">
        <v>0</v>
      </c>
      <c r="HF429" s="847">
        <v>0</v>
      </c>
      <c r="HG429" s="847">
        <v>0</v>
      </c>
      <c r="HH429" s="847">
        <v>0</v>
      </c>
      <c r="HI429" s="847">
        <v>0</v>
      </c>
      <c r="HJ429" s="847">
        <v>0</v>
      </c>
      <c r="HK429" s="847">
        <v>0</v>
      </c>
      <c r="HL429" s="847">
        <v>0</v>
      </c>
      <c r="HM429" s="847">
        <v>0</v>
      </c>
      <c r="HN429" s="847">
        <v>0</v>
      </c>
      <c r="HO429" s="847">
        <v>0</v>
      </c>
      <c r="HP429" s="847">
        <v>0</v>
      </c>
      <c r="HQ429" s="847">
        <v>0</v>
      </c>
      <c r="HR429" s="847">
        <v>0</v>
      </c>
      <c r="HS429" s="847">
        <v>0</v>
      </c>
      <c r="HT429" s="847">
        <v>0</v>
      </c>
      <c r="HU429" s="847">
        <v>0</v>
      </c>
      <c r="HV429" s="847">
        <v>0</v>
      </c>
      <c r="HW429" s="847">
        <v>0</v>
      </c>
      <c r="HX429" s="847">
        <v>0</v>
      </c>
      <c r="HY429" s="847">
        <v>0</v>
      </c>
      <c r="HZ429" s="847">
        <v>0</v>
      </c>
      <c r="IA429" s="847">
        <v>0</v>
      </c>
      <c r="IB429" s="847">
        <v>0</v>
      </c>
      <c r="IC429" s="847">
        <v>0</v>
      </c>
      <c r="ID429" s="847">
        <v>0</v>
      </c>
      <c r="IE429" s="847">
        <v>0</v>
      </c>
      <c r="IF429" s="847">
        <v>0</v>
      </c>
      <c r="IG429" s="847">
        <v>0</v>
      </c>
      <c r="IH429" s="847">
        <v>0</v>
      </c>
      <c r="II429" s="847">
        <v>0</v>
      </c>
      <c r="IJ429" s="847">
        <v>0</v>
      </c>
      <c r="IK429" s="847">
        <v>0</v>
      </c>
    </row>
    <row r="430" spans="12:245" hidden="1">
      <c r="L430" s="843" t="s">
        <v>1060</v>
      </c>
      <c r="M430" s="843" t="s">
        <v>1382</v>
      </c>
      <c r="N430" s="843" t="s">
        <v>97</v>
      </c>
      <c r="O430" s="844">
        <v>39</v>
      </c>
      <c r="P430" s="780" t="str">
        <f t="shared" si="14"/>
        <v>IWT060239</v>
      </c>
      <c r="Q430" s="844">
        <v>2340</v>
      </c>
      <c r="R430" s="844">
        <v>6638</v>
      </c>
      <c r="S430" s="844">
        <v>11542</v>
      </c>
      <c r="T430" s="844">
        <v>17069</v>
      </c>
      <c r="U430" s="844">
        <v>23236</v>
      </c>
      <c r="V430" s="844">
        <v>29762</v>
      </c>
      <c r="W430" s="844">
        <v>30663</v>
      </c>
      <c r="X430" s="844">
        <v>31275</v>
      </c>
      <c r="Y430" s="844">
        <v>31899</v>
      </c>
      <c r="Z430" s="844">
        <v>32537</v>
      </c>
      <c r="AA430" s="844">
        <v>33188</v>
      </c>
      <c r="AB430" s="844">
        <v>33852</v>
      </c>
      <c r="AC430" s="844">
        <v>34529</v>
      </c>
      <c r="AD430" s="844">
        <v>35220</v>
      </c>
      <c r="AE430" s="844">
        <v>35924</v>
      </c>
      <c r="AF430" s="844">
        <v>36642</v>
      </c>
      <c r="AG430" s="844">
        <v>37375</v>
      </c>
      <c r="AH430" s="844">
        <v>38123</v>
      </c>
      <c r="AI430" s="844">
        <v>38885</v>
      </c>
      <c r="AJ430" s="844">
        <v>39663</v>
      </c>
      <c r="AK430" s="844">
        <v>40456</v>
      </c>
      <c r="AL430" s="844">
        <v>41265</v>
      </c>
      <c r="AM430" s="844">
        <v>42091</v>
      </c>
      <c r="AN430" s="844">
        <v>42932</v>
      </c>
      <c r="AO430" s="844">
        <v>43791</v>
      </c>
      <c r="AP430" s="844">
        <v>44667</v>
      </c>
      <c r="AQ430" s="844">
        <v>45560</v>
      </c>
      <c r="AR430" s="844">
        <v>46471</v>
      </c>
      <c r="AS430" s="844">
        <v>47401</v>
      </c>
      <c r="AT430" s="844">
        <v>48349</v>
      </c>
      <c r="AU430" s="844">
        <v>49316</v>
      </c>
      <c r="AV430" s="844">
        <v>50302</v>
      </c>
      <c r="AW430" s="844">
        <v>51308</v>
      </c>
      <c r="AX430" s="844">
        <v>52334</v>
      </c>
      <c r="AY430" s="844">
        <v>53381</v>
      </c>
      <c r="AZ430" s="844">
        <v>54448</v>
      </c>
      <c r="BA430" s="844">
        <v>55537</v>
      </c>
      <c r="BB430" s="844">
        <v>56648</v>
      </c>
      <c r="BC430" s="844">
        <v>57781</v>
      </c>
      <c r="BD430" s="844">
        <v>58936</v>
      </c>
      <c r="BE430" s="844">
        <v>60115</v>
      </c>
      <c r="BF430" s="844">
        <v>61317</v>
      </c>
      <c r="BG430" s="844">
        <v>62543</v>
      </c>
      <c r="BH430" s="844">
        <v>63792</v>
      </c>
      <c r="BI430" s="844">
        <v>65057</v>
      </c>
      <c r="BJ430" s="844">
        <v>66338</v>
      </c>
      <c r="BK430" s="844">
        <v>67635</v>
      </c>
      <c r="BL430" s="844">
        <v>68946</v>
      </c>
      <c r="BM430" s="844">
        <v>70271</v>
      </c>
      <c r="BN430" s="844">
        <v>71610</v>
      </c>
      <c r="BO430" s="844">
        <v>72962</v>
      </c>
      <c r="BP430" s="844">
        <v>74326</v>
      </c>
      <c r="BQ430" s="844">
        <v>75701</v>
      </c>
      <c r="BR430" s="844">
        <v>77084</v>
      </c>
      <c r="BS430" s="844">
        <v>78476</v>
      </c>
      <c r="BT430" s="844">
        <v>79877</v>
      </c>
      <c r="BU430" s="844">
        <v>81285</v>
      </c>
      <c r="BV430" s="844">
        <v>82700</v>
      </c>
      <c r="BW430" s="844">
        <v>84121</v>
      </c>
      <c r="BX430" s="844">
        <v>85547</v>
      </c>
      <c r="BY430" s="844">
        <v>86978</v>
      </c>
      <c r="BZ430" s="844">
        <v>88412</v>
      </c>
      <c r="CA430" s="844">
        <v>89850</v>
      </c>
      <c r="CB430" s="844">
        <v>91291</v>
      </c>
      <c r="CC430" s="844">
        <v>92733</v>
      </c>
      <c r="CD430" s="844">
        <v>94178</v>
      </c>
      <c r="CE430" s="844">
        <v>95623</v>
      </c>
      <c r="CF430" s="844">
        <v>97070</v>
      </c>
      <c r="CG430" s="844">
        <v>98516</v>
      </c>
      <c r="CH430" s="844">
        <v>99962</v>
      </c>
      <c r="CI430" s="844">
        <v>101391</v>
      </c>
      <c r="CJ430" s="844">
        <v>102400</v>
      </c>
      <c r="CK430" s="844">
        <v>0</v>
      </c>
      <c r="CL430" s="844">
        <v>0</v>
      </c>
      <c r="CM430" s="844">
        <v>0</v>
      </c>
      <c r="CN430" s="844">
        <v>0</v>
      </c>
      <c r="CO430" s="844">
        <v>0</v>
      </c>
      <c r="CP430" s="844">
        <v>0</v>
      </c>
      <c r="CQ430" s="844">
        <v>0</v>
      </c>
      <c r="CR430" s="844">
        <v>0</v>
      </c>
      <c r="CS430" s="844">
        <v>0</v>
      </c>
      <c r="CT430" s="844">
        <v>0</v>
      </c>
      <c r="CU430" s="844">
        <v>0</v>
      </c>
      <c r="CV430" s="844">
        <v>0</v>
      </c>
      <c r="CW430" s="844">
        <v>0</v>
      </c>
      <c r="CX430" s="844">
        <v>0</v>
      </c>
      <c r="CY430" s="844">
        <v>0</v>
      </c>
      <c r="CZ430" s="844">
        <v>0</v>
      </c>
      <c r="DA430" s="844">
        <v>0</v>
      </c>
      <c r="DB430" s="844">
        <v>0</v>
      </c>
      <c r="DC430" s="844">
        <v>0</v>
      </c>
      <c r="DD430" s="844">
        <v>0</v>
      </c>
      <c r="DE430" s="844">
        <v>0</v>
      </c>
      <c r="DF430" s="844">
        <v>0</v>
      </c>
      <c r="DG430" s="844">
        <v>0</v>
      </c>
      <c r="DH430" s="844">
        <v>0</v>
      </c>
      <c r="DI430" s="844">
        <v>0</v>
      </c>
      <c r="DJ430" s="844">
        <v>0</v>
      </c>
      <c r="DK430" s="844">
        <v>0</v>
      </c>
      <c r="DL430" s="844">
        <v>0</v>
      </c>
      <c r="DM430" s="844">
        <v>0</v>
      </c>
      <c r="DN430" s="844">
        <v>0</v>
      </c>
      <c r="DO430" s="844">
        <v>0</v>
      </c>
      <c r="DP430" s="844">
        <v>0</v>
      </c>
      <c r="DQ430" s="844">
        <v>0</v>
      </c>
      <c r="DR430" s="844">
        <v>0</v>
      </c>
      <c r="DS430" s="844">
        <v>0</v>
      </c>
      <c r="DT430" s="844">
        <v>0</v>
      </c>
      <c r="DU430" s="844">
        <v>0</v>
      </c>
      <c r="DV430" s="844">
        <v>0</v>
      </c>
      <c r="DW430" s="844">
        <v>0</v>
      </c>
      <c r="DY430" s="846" t="s">
        <v>1060</v>
      </c>
      <c r="DZ430" s="846" t="s">
        <v>1382</v>
      </c>
      <c r="EA430" s="846" t="s">
        <v>97</v>
      </c>
      <c r="EB430" s="847">
        <v>39</v>
      </c>
      <c r="EC430" s="780" t="str">
        <f t="shared" si="15"/>
        <v>IWT060239</v>
      </c>
      <c r="ED430" s="847">
        <v>0</v>
      </c>
      <c r="EE430" s="847">
        <v>3120</v>
      </c>
      <c r="EF430" s="847">
        <v>8298</v>
      </c>
      <c r="EG430" s="847">
        <v>13579</v>
      </c>
      <c r="EH430" s="847">
        <v>18965</v>
      </c>
      <c r="EI430" s="847">
        <v>24459</v>
      </c>
      <c r="EJ430" s="847">
        <v>30063</v>
      </c>
      <c r="EK430" s="847">
        <v>30663</v>
      </c>
      <c r="EL430" s="847">
        <v>31275</v>
      </c>
      <c r="EM430" s="847">
        <v>31899</v>
      </c>
      <c r="EN430" s="847">
        <v>32537</v>
      </c>
      <c r="EO430" s="847">
        <v>33188</v>
      </c>
      <c r="EP430" s="847">
        <v>33852</v>
      </c>
      <c r="EQ430" s="847">
        <v>34529</v>
      </c>
      <c r="ER430" s="847">
        <v>35220</v>
      </c>
      <c r="ES430" s="847">
        <v>35924</v>
      </c>
      <c r="ET430" s="847">
        <v>36642</v>
      </c>
      <c r="EU430" s="847">
        <v>37375</v>
      </c>
      <c r="EV430" s="847">
        <v>38123</v>
      </c>
      <c r="EW430" s="847">
        <v>38885</v>
      </c>
      <c r="EX430" s="847">
        <v>39663</v>
      </c>
      <c r="EY430" s="847">
        <v>40456</v>
      </c>
      <c r="EZ430" s="847">
        <v>41265</v>
      </c>
      <c r="FA430" s="847">
        <v>42091</v>
      </c>
      <c r="FB430" s="847">
        <v>42932</v>
      </c>
      <c r="FC430" s="847">
        <v>43791</v>
      </c>
      <c r="FD430" s="847">
        <v>44667</v>
      </c>
      <c r="FE430" s="847">
        <v>45560</v>
      </c>
      <c r="FF430" s="847">
        <v>46471</v>
      </c>
      <c r="FG430" s="847">
        <v>47401</v>
      </c>
      <c r="FH430" s="847">
        <v>48349</v>
      </c>
      <c r="FI430" s="847">
        <v>49316</v>
      </c>
      <c r="FJ430" s="847">
        <v>50302</v>
      </c>
      <c r="FK430" s="847">
        <v>51308</v>
      </c>
      <c r="FL430" s="847">
        <v>52334</v>
      </c>
      <c r="FM430" s="847">
        <v>53381</v>
      </c>
      <c r="FN430" s="847">
        <v>54448</v>
      </c>
      <c r="FO430" s="847">
        <v>55537</v>
      </c>
      <c r="FP430" s="847">
        <v>56648</v>
      </c>
      <c r="FQ430" s="847">
        <v>57781</v>
      </c>
      <c r="FR430" s="847">
        <v>58936</v>
      </c>
      <c r="FS430" s="847">
        <v>60115</v>
      </c>
      <c r="FT430" s="847">
        <v>61317</v>
      </c>
      <c r="FU430" s="847">
        <v>62543</v>
      </c>
      <c r="FV430" s="847">
        <v>63792</v>
      </c>
      <c r="FW430" s="847">
        <v>65057</v>
      </c>
      <c r="FX430" s="847">
        <v>66338</v>
      </c>
      <c r="FY430" s="847">
        <v>67635</v>
      </c>
      <c r="FZ430" s="847">
        <v>68946</v>
      </c>
      <c r="GA430" s="847">
        <v>70271</v>
      </c>
      <c r="GB430" s="847">
        <v>71610</v>
      </c>
      <c r="GC430" s="847">
        <v>72962</v>
      </c>
      <c r="GD430" s="847">
        <v>74326</v>
      </c>
      <c r="GE430" s="847">
        <v>75701</v>
      </c>
      <c r="GF430" s="847">
        <v>77084</v>
      </c>
      <c r="GG430" s="847">
        <v>78476</v>
      </c>
      <c r="GH430" s="847">
        <v>79877</v>
      </c>
      <c r="GI430" s="847">
        <v>81285</v>
      </c>
      <c r="GJ430" s="847">
        <v>82700</v>
      </c>
      <c r="GK430" s="847">
        <v>84121</v>
      </c>
      <c r="GL430" s="847">
        <v>85547</v>
      </c>
      <c r="GM430" s="847">
        <v>86978</v>
      </c>
      <c r="GN430" s="847">
        <v>88412</v>
      </c>
      <c r="GO430" s="847">
        <v>89850</v>
      </c>
      <c r="GP430" s="847">
        <v>91291</v>
      </c>
      <c r="GQ430" s="847">
        <v>92733</v>
      </c>
      <c r="GR430" s="847">
        <v>94178</v>
      </c>
      <c r="GS430" s="847">
        <v>95623</v>
      </c>
      <c r="GT430" s="847">
        <v>97070</v>
      </c>
      <c r="GU430" s="847">
        <v>98516</v>
      </c>
      <c r="GV430" s="847">
        <v>99962</v>
      </c>
      <c r="GW430" s="847">
        <v>101391</v>
      </c>
      <c r="GX430" s="847">
        <v>102400</v>
      </c>
      <c r="GY430" s="847">
        <v>0</v>
      </c>
      <c r="GZ430" s="847">
        <v>0</v>
      </c>
      <c r="HA430" s="847">
        <v>0</v>
      </c>
      <c r="HB430" s="847">
        <v>0</v>
      </c>
      <c r="HC430" s="847">
        <v>0</v>
      </c>
      <c r="HD430" s="847">
        <v>0</v>
      </c>
      <c r="HE430" s="847">
        <v>0</v>
      </c>
      <c r="HF430" s="847">
        <v>0</v>
      </c>
      <c r="HG430" s="847">
        <v>0</v>
      </c>
      <c r="HH430" s="847">
        <v>0</v>
      </c>
      <c r="HI430" s="847">
        <v>0</v>
      </c>
      <c r="HJ430" s="847">
        <v>0</v>
      </c>
      <c r="HK430" s="847">
        <v>0</v>
      </c>
      <c r="HL430" s="847">
        <v>0</v>
      </c>
      <c r="HM430" s="847">
        <v>0</v>
      </c>
      <c r="HN430" s="847">
        <v>0</v>
      </c>
      <c r="HO430" s="847">
        <v>0</v>
      </c>
      <c r="HP430" s="847">
        <v>0</v>
      </c>
      <c r="HQ430" s="847">
        <v>0</v>
      </c>
      <c r="HR430" s="847">
        <v>0</v>
      </c>
      <c r="HS430" s="847">
        <v>0</v>
      </c>
      <c r="HT430" s="847">
        <v>0</v>
      </c>
      <c r="HU430" s="847">
        <v>0</v>
      </c>
      <c r="HV430" s="847">
        <v>0</v>
      </c>
      <c r="HW430" s="847">
        <v>0</v>
      </c>
      <c r="HX430" s="847">
        <v>0</v>
      </c>
      <c r="HY430" s="847">
        <v>0</v>
      </c>
      <c r="HZ430" s="847">
        <v>0</v>
      </c>
      <c r="IA430" s="847">
        <v>0</v>
      </c>
      <c r="IB430" s="847">
        <v>0</v>
      </c>
      <c r="IC430" s="847">
        <v>0</v>
      </c>
      <c r="ID430" s="847">
        <v>0</v>
      </c>
      <c r="IE430" s="847">
        <v>0</v>
      </c>
      <c r="IF430" s="847">
        <v>0</v>
      </c>
      <c r="IG430" s="847">
        <v>0</v>
      </c>
      <c r="IH430" s="847">
        <v>0</v>
      </c>
      <c r="II430" s="847">
        <v>0</v>
      </c>
      <c r="IJ430" s="847">
        <v>0</v>
      </c>
      <c r="IK430" s="847">
        <v>0</v>
      </c>
    </row>
    <row r="431" spans="12:245" hidden="1">
      <c r="L431" s="843" t="s">
        <v>1060</v>
      </c>
      <c r="M431" s="843" t="s">
        <v>1382</v>
      </c>
      <c r="N431" s="843" t="s">
        <v>97</v>
      </c>
      <c r="O431" s="844">
        <v>40</v>
      </c>
      <c r="P431" s="780" t="str">
        <f t="shared" si="14"/>
        <v>IWT060240</v>
      </c>
      <c r="Q431" s="844">
        <v>2342</v>
      </c>
      <c r="R431" s="844">
        <v>6644</v>
      </c>
      <c r="S431" s="844">
        <v>11552</v>
      </c>
      <c r="T431" s="844">
        <v>17085</v>
      </c>
      <c r="U431" s="844">
        <v>23258</v>
      </c>
      <c r="V431" s="844">
        <v>29790</v>
      </c>
      <c r="W431" s="844">
        <v>30691</v>
      </c>
      <c r="X431" s="844">
        <v>31303</v>
      </c>
      <c r="Y431" s="844">
        <v>31929</v>
      </c>
      <c r="Z431" s="844">
        <v>32567</v>
      </c>
      <c r="AA431" s="844">
        <v>33219</v>
      </c>
      <c r="AB431" s="844">
        <v>33883</v>
      </c>
      <c r="AC431" s="844">
        <v>34561</v>
      </c>
      <c r="AD431" s="844">
        <v>35252</v>
      </c>
      <c r="AE431" s="844">
        <v>35957</v>
      </c>
      <c r="AF431" s="844">
        <v>36676</v>
      </c>
      <c r="AG431" s="844">
        <v>37410</v>
      </c>
      <c r="AH431" s="844">
        <v>38158</v>
      </c>
      <c r="AI431" s="844">
        <v>38921</v>
      </c>
      <c r="AJ431" s="844">
        <v>39699</v>
      </c>
      <c r="AK431" s="844">
        <v>40493</v>
      </c>
      <c r="AL431" s="844">
        <v>41303</v>
      </c>
      <c r="AM431" s="844">
        <v>42129</v>
      </c>
      <c r="AN431" s="844">
        <v>42972</v>
      </c>
      <c r="AO431" s="844">
        <v>43831</v>
      </c>
      <c r="AP431" s="844">
        <v>44708</v>
      </c>
      <c r="AQ431" s="844">
        <v>45602</v>
      </c>
      <c r="AR431" s="844">
        <v>46514</v>
      </c>
      <c r="AS431" s="844">
        <v>47444</v>
      </c>
      <c r="AT431" s="844">
        <v>48393</v>
      </c>
      <c r="AU431" s="844">
        <v>49361</v>
      </c>
      <c r="AV431" s="844">
        <v>50348</v>
      </c>
      <c r="AW431" s="844">
        <v>51355</v>
      </c>
      <c r="AX431" s="844">
        <v>52382</v>
      </c>
      <c r="AY431" s="844">
        <v>53430</v>
      </c>
      <c r="AZ431" s="844">
        <v>54498</v>
      </c>
      <c r="BA431" s="844">
        <v>55588</v>
      </c>
      <c r="BB431" s="844">
        <v>56700</v>
      </c>
      <c r="BC431" s="844">
        <v>57834</v>
      </c>
      <c r="BD431" s="844">
        <v>58990</v>
      </c>
      <c r="BE431" s="844">
        <v>60170</v>
      </c>
      <c r="BF431" s="844">
        <v>61373</v>
      </c>
      <c r="BG431" s="844">
        <v>62600</v>
      </c>
      <c r="BH431" s="844">
        <v>63852</v>
      </c>
      <c r="BI431" s="844">
        <v>65122</v>
      </c>
      <c r="BJ431" s="844">
        <v>66407</v>
      </c>
      <c r="BK431" s="844">
        <v>67707</v>
      </c>
      <c r="BL431" s="844">
        <v>69021</v>
      </c>
      <c r="BM431" s="844">
        <v>70350</v>
      </c>
      <c r="BN431" s="844">
        <v>71692</v>
      </c>
      <c r="BO431" s="844">
        <v>73046</v>
      </c>
      <c r="BP431" s="844">
        <v>74412</v>
      </c>
      <c r="BQ431" s="844">
        <v>75786</v>
      </c>
      <c r="BR431" s="844">
        <v>77170</v>
      </c>
      <c r="BS431" s="844">
        <v>78563</v>
      </c>
      <c r="BT431" s="844">
        <v>79963</v>
      </c>
      <c r="BU431" s="844">
        <v>81371</v>
      </c>
      <c r="BV431" s="844">
        <v>82785</v>
      </c>
      <c r="BW431" s="844">
        <v>84205</v>
      </c>
      <c r="BX431" s="844">
        <v>85630</v>
      </c>
      <c r="BY431" s="844">
        <v>87059</v>
      </c>
      <c r="BZ431" s="844">
        <v>88492</v>
      </c>
      <c r="CA431" s="844">
        <v>89928</v>
      </c>
      <c r="CB431" s="844">
        <v>91366</v>
      </c>
      <c r="CC431" s="844">
        <v>92807</v>
      </c>
      <c r="CD431" s="844">
        <v>94249</v>
      </c>
      <c r="CE431" s="844">
        <v>95692</v>
      </c>
      <c r="CF431" s="844">
        <v>97135</v>
      </c>
      <c r="CG431" s="844">
        <v>98578</v>
      </c>
      <c r="CH431" s="844">
        <v>100005</v>
      </c>
      <c r="CI431" s="844">
        <v>101000</v>
      </c>
      <c r="CJ431" s="844">
        <v>0</v>
      </c>
      <c r="CK431" s="844">
        <v>0</v>
      </c>
      <c r="CL431" s="844">
        <v>0</v>
      </c>
      <c r="CM431" s="844">
        <v>0</v>
      </c>
      <c r="CN431" s="844">
        <v>0</v>
      </c>
      <c r="CO431" s="844">
        <v>0</v>
      </c>
      <c r="CP431" s="844">
        <v>0</v>
      </c>
      <c r="CQ431" s="844">
        <v>0</v>
      </c>
      <c r="CR431" s="844">
        <v>0</v>
      </c>
      <c r="CS431" s="844">
        <v>0</v>
      </c>
      <c r="CT431" s="844">
        <v>0</v>
      </c>
      <c r="CU431" s="844">
        <v>0</v>
      </c>
      <c r="CV431" s="844">
        <v>0</v>
      </c>
      <c r="CW431" s="844">
        <v>0</v>
      </c>
      <c r="CX431" s="844">
        <v>0</v>
      </c>
      <c r="CY431" s="844">
        <v>0</v>
      </c>
      <c r="CZ431" s="844">
        <v>0</v>
      </c>
      <c r="DA431" s="844">
        <v>0</v>
      </c>
      <c r="DB431" s="844">
        <v>0</v>
      </c>
      <c r="DC431" s="844">
        <v>0</v>
      </c>
      <c r="DD431" s="844">
        <v>0</v>
      </c>
      <c r="DE431" s="844">
        <v>0</v>
      </c>
      <c r="DF431" s="844">
        <v>0</v>
      </c>
      <c r="DG431" s="844">
        <v>0</v>
      </c>
      <c r="DH431" s="844">
        <v>0</v>
      </c>
      <c r="DI431" s="844">
        <v>0</v>
      </c>
      <c r="DJ431" s="844">
        <v>0</v>
      </c>
      <c r="DK431" s="844">
        <v>0</v>
      </c>
      <c r="DL431" s="844">
        <v>0</v>
      </c>
      <c r="DM431" s="844">
        <v>0</v>
      </c>
      <c r="DN431" s="844">
        <v>0</v>
      </c>
      <c r="DO431" s="844">
        <v>0</v>
      </c>
      <c r="DP431" s="844">
        <v>0</v>
      </c>
      <c r="DQ431" s="844">
        <v>0</v>
      </c>
      <c r="DR431" s="844">
        <v>0</v>
      </c>
      <c r="DS431" s="844">
        <v>0</v>
      </c>
      <c r="DT431" s="844">
        <v>0</v>
      </c>
      <c r="DU431" s="844">
        <v>0</v>
      </c>
      <c r="DV431" s="844">
        <v>0</v>
      </c>
      <c r="DW431" s="844">
        <v>0</v>
      </c>
      <c r="DY431" s="846" t="s">
        <v>1060</v>
      </c>
      <c r="DZ431" s="846" t="s">
        <v>1382</v>
      </c>
      <c r="EA431" s="846" t="s">
        <v>97</v>
      </c>
      <c r="EB431" s="847">
        <v>40</v>
      </c>
      <c r="EC431" s="780" t="str">
        <f t="shared" si="15"/>
        <v>IWT060240</v>
      </c>
      <c r="ED431" s="847">
        <v>0</v>
      </c>
      <c r="EE431" s="847">
        <v>3122</v>
      </c>
      <c r="EF431" s="847">
        <v>8305</v>
      </c>
      <c r="EG431" s="847">
        <v>13591</v>
      </c>
      <c r="EH431" s="847">
        <v>18983</v>
      </c>
      <c r="EI431" s="847">
        <v>24482</v>
      </c>
      <c r="EJ431" s="847">
        <v>30091</v>
      </c>
      <c r="EK431" s="847">
        <v>30691</v>
      </c>
      <c r="EL431" s="847">
        <v>31303</v>
      </c>
      <c r="EM431" s="847">
        <v>31929</v>
      </c>
      <c r="EN431" s="847">
        <v>32567</v>
      </c>
      <c r="EO431" s="847">
        <v>33219</v>
      </c>
      <c r="EP431" s="847">
        <v>33883</v>
      </c>
      <c r="EQ431" s="847">
        <v>34561</v>
      </c>
      <c r="ER431" s="847">
        <v>35252</v>
      </c>
      <c r="ES431" s="847">
        <v>35957</v>
      </c>
      <c r="ET431" s="847">
        <v>36676</v>
      </c>
      <c r="EU431" s="847">
        <v>37410</v>
      </c>
      <c r="EV431" s="847">
        <v>38158</v>
      </c>
      <c r="EW431" s="847">
        <v>38921</v>
      </c>
      <c r="EX431" s="847">
        <v>39699</v>
      </c>
      <c r="EY431" s="847">
        <v>40493</v>
      </c>
      <c r="EZ431" s="847">
        <v>41303</v>
      </c>
      <c r="FA431" s="847">
        <v>42129</v>
      </c>
      <c r="FB431" s="847">
        <v>42972</v>
      </c>
      <c r="FC431" s="847">
        <v>43831</v>
      </c>
      <c r="FD431" s="847">
        <v>44708</v>
      </c>
      <c r="FE431" s="847">
        <v>45602</v>
      </c>
      <c r="FF431" s="847">
        <v>46514</v>
      </c>
      <c r="FG431" s="847">
        <v>47444</v>
      </c>
      <c r="FH431" s="847">
        <v>48393</v>
      </c>
      <c r="FI431" s="847">
        <v>49361</v>
      </c>
      <c r="FJ431" s="847">
        <v>50348</v>
      </c>
      <c r="FK431" s="847">
        <v>51355</v>
      </c>
      <c r="FL431" s="847">
        <v>52382</v>
      </c>
      <c r="FM431" s="847">
        <v>53430</v>
      </c>
      <c r="FN431" s="847">
        <v>54498</v>
      </c>
      <c r="FO431" s="847">
        <v>55588</v>
      </c>
      <c r="FP431" s="847">
        <v>56700</v>
      </c>
      <c r="FQ431" s="847">
        <v>57834</v>
      </c>
      <c r="FR431" s="847">
        <v>58990</v>
      </c>
      <c r="FS431" s="847">
        <v>60170</v>
      </c>
      <c r="FT431" s="847">
        <v>61373</v>
      </c>
      <c r="FU431" s="847">
        <v>62600</v>
      </c>
      <c r="FV431" s="847">
        <v>63852</v>
      </c>
      <c r="FW431" s="847">
        <v>65122</v>
      </c>
      <c r="FX431" s="847">
        <v>66407</v>
      </c>
      <c r="FY431" s="847">
        <v>67707</v>
      </c>
      <c r="FZ431" s="847">
        <v>69021</v>
      </c>
      <c r="GA431" s="847">
        <v>70350</v>
      </c>
      <c r="GB431" s="847">
        <v>71692</v>
      </c>
      <c r="GC431" s="847">
        <v>73046</v>
      </c>
      <c r="GD431" s="847">
        <v>74412</v>
      </c>
      <c r="GE431" s="847">
        <v>75786</v>
      </c>
      <c r="GF431" s="847">
        <v>77170</v>
      </c>
      <c r="GG431" s="847">
        <v>78563</v>
      </c>
      <c r="GH431" s="847">
        <v>79963</v>
      </c>
      <c r="GI431" s="847">
        <v>81371</v>
      </c>
      <c r="GJ431" s="847">
        <v>82785</v>
      </c>
      <c r="GK431" s="847">
        <v>84205</v>
      </c>
      <c r="GL431" s="847">
        <v>85630</v>
      </c>
      <c r="GM431" s="847">
        <v>87059</v>
      </c>
      <c r="GN431" s="847">
        <v>88492</v>
      </c>
      <c r="GO431" s="847">
        <v>89928</v>
      </c>
      <c r="GP431" s="847">
        <v>91366</v>
      </c>
      <c r="GQ431" s="847">
        <v>92807</v>
      </c>
      <c r="GR431" s="847">
        <v>94249</v>
      </c>
      <c r="GS431" s="847">
        <v>95692</v>
      </c>
      <c r="GT431" s="847">
        <v>97135</v>
      </c>
      <c r="GU431" s="847">
        <v>98578</v>
      </c>
      <c r="GV431" s="847">
        <v>100005</v>
      </c>
      <c r="GW431" s="847">
        <v>101000</v>
      </c>
      <c r="GX431" s="847">
        <v>0</v>
      </c>
      <c r="GY431" s="847">
        <v>0</v>
      </c>
      <c r="GZ431" s="847">
        <v>0</v>
      </c>
      <c r="HA431" s="847">
        <v>0</v>
      </c>
      <c r="HB431" s="847">
        <v>0</v>
      </c>
      <c r="HC431" s="847">
        <v>0</v>
      </c>
      <c r="HD431" s="847">
        <v>0</v>
      </c>
      <c r="HE431" s="847">
        <v>0</v>
      </c>
      <c r="HF431" s="847">
        <v>0</v>
      </c>
      <c r="HG431" s="847">
        <v>0</v>
      </c>
      <c r="HH431" s="847">
        <v>0</v>
      </c>
      <c r="HI431" s="847">
        <v>0</v>
      </c>
      <c r="HJ431" s="847">
        <v>0</v>
      </c>
      <c r="HK431" s="847">
        <v>0</v>
      </c>
      <c r="HL431" s="847">
        <v>0</v>
      </c>
      <c r="HM431" s="847">
        <v>0</v>
      </c>
      <c r="HN431" s="847">
        <v>0</v>
      </c>
      <c r="HO431" s="847">
        <v>0</v>
      </c>
      <c r="HP431" s="847">
        <v>0</v>
      </c>
      <c r="HQ431" s="847">
        <v>0</v>
      </c>
      <c r="HR431" s="847">
        <v>0</v>
      </c>
      <c r="HS431" s="847">
        <v>0</v>
      </c>
      <c r="HT431" s="847">
        <v>0</v>
      </c>
      <c r="HU431" s="847">
        <v>0</v>
      </c>
      <c r="HV431" s="847">
        <v>0</v>
      </c>
      <c r="HW431" s="847">
        <v>0</v>
      </c>
      <c r="HX431" s="847">
        <v>0</v>
      </c>
      <c r="HY431" s="847">
        <v>0</v>
      </c>
      <c r="HZ431" s="847">
        <v>0</v>
      </c>
      <c r="IA431" s="847">
        <v>0</v>
      </c>
      <c r="IB431" s="847">
        <v>0</v>
      </c>
      <c r="IC431" s="847">
        <v>0</v>
      </c>
      <c r="ID431" s="847">
        <v>0</v>
      </c>
      <c r="IE431" s="847">
        <v>0</v>
      </c>
      <c r="IF431" s="847">
        <v>0</v>
      </c>
      <c r="IG431" s="847">
        <v>0</v>
      </c>
      <c r="IH431" s="847">
        <v>0</v>
      </c>
      <c r="II431" s="847">
        <v>0</v>
      </c>
      <c r="IJ431" s="847">
        <v>0</v>
      </c>
      <c r="IK431" s="847">
        <v>0</v>
      </c>
    </row>
    <row r="432" spans="12:245" hidden="1">
      <c r="L432" s="843" t="s">
        <v>1060</v>
      </c>
      <c r="M432" s="843" t="s">
        <v>1382</v>
      </c>
      <c r="N432" s="843" t="s">
        <v>97</v>
      </c>
      <c r="O432" s="844">
        <v>41</v>
      </c>
      <c r="P432" s="780" t="str">
        <f t="shared" si="14"/>
        <v>IWT060241</v>
      </c>
      <c r="Q432" s="844">
        <v>2342</v>
      </c>
      <c r="R432" s="844">
        <v>6649</v>
      </c>
      <c r="S432" s="844">
        <v>11562</v>
      </c>
      <c r="T432" s="844">
        <v>17098</v>
      </c>
      <c r="U432" s="844">
        <v>23278</v>
      </c>
      <c r="V432" s="844">
        <v>29816</v>
      </c>
      <c r="W432" s="844">
        <v>30717</v>
      </c>
      <c r="X432" s="844">
        <v>31329</v>
      </c>
      <c r="Y432" s="844">
        <v>31955</v>
      </c>
      <c r="Z432" s="844">
        <v>32594</v>
      </c>
      <c r="AA432" s="844">
        <v>33246</v>
      </c>
      <c r="AB432" s="844">
        <v>33911</v>
      </c>
      <c r="AC432" s="844">
        <v>34589</v>
      </c>
      <c r="AD432" s="844">
        <v>35281</v>
      </c>
      <c r="AE432" s="844">
        <v>35987</v>
      </c>
      <c r="AF432" s="844">
        <v>36707</v>
      </c>
      <c r="AG432" s="844">
        <v>37441</v>
      </c>
      <c r="AH432" s="844">
        <v>38189</v>
      </c>
      <c r="AI432" s="844">
        <v>38953</v>
      </c>
      <c r="AJ432" s="844">
        <v>39732</v>
      </c>
      <c r="AK432" s="844">
        <v>40527</v>
      </c>
      <c r="AL432" s="844">
        <v>41337</v>
      </c>
      <c r="AM432" s="844">
        <v>42164</v>
      </c>
      <c r="AN432" s="844">
        <v>43008</v>
      </c>
      <c r="AO432" s="844">
        <v>43868</v>
      </c>
      <c r="AP432" s="844">
        <v>44745</v>
      </c>
      <c r="AQ432" s="844">
        <v>45640</v>
      </c>
      <c r="AR432" s="844">
        <v>46553</v>
      </c>
      <c r="AS432" s="844">
        <v>47484</v>
      </c>
      <c r="AT432" s="844">
        <v>48433</v>
      </c>
      <c r="AU432" s="844">
        <v>49402</v>
      </c>
      <c r="AV432" s="844">
        <v>50390</v>
      </c>
      <c r="AW432" s="844">
        <v>51398</v>
      </c>
      <c r="AX432" s="844">
        <v>52426</v>
      </c>
      <c r="AY432" s="844">
        <v>53474</v>
      </c>
      <c r="AZ432" s="844">
        <v>54543</v>
      </c>
      <c r="BA432" s="844">
        <v>55634</v>
      </c>
      <c r="BB432" s="844">
        <v>56747</v>
      </c>
      <c r="BC432" s="844">
        <v>57882</v>
      </c>
      <c r="BD432" s="844">
        <v>59039</v>
      </c>
      <c r="BE432" s="844">
        <v>60220</v>
      </c>
      <c r="BF432" s="844">
        <v>61424</v>
      </c>
      <c r="BG432" s="844">
        <v>62652</v>
      </c>
      <c r="BH432" s="844">
        <v>63905</v>
      </c>
      <c r="BI432" s="844">
        <v>65179</v>
      </c>
      <c r="BJ432" s="844">
        <v>66468</v>
      </c>
      <c r="BK432" s="844">
        <v>67771</v>
      </c>
      <c r="BL432" s="844">
        <v>69089</v>
      </c>
      <c r="BM432" s="844">
        <v>70421</v>
      </c>
      <c r="BN432" s="844">
        <v>71766</v>
      </c>
      <c r="BO432" s="844">
        <v>73122</v>
      </c>
      <c r="BP432" s="844">
        <v>74488</v>
      </c>
      <c r="BQ432" s="844">
        <v>75863</v>
      </c>
      <c r="BR432" s="844">
        <v>77248</v>
      </c>
      <c r="BS432" s="844">
        <v>78642</v>
      </c>
      <c r="BT432" s="844">
        <v>80042</v>
      </c>
      <c r="BU432" s="844">
        <v>81450</v>
      </c>
      <c r="BV432" s="844">
        <v>82864</v>
      </c>
      <c r="BW432" s="844">
        <v>84283</v>
      </c>
      <c r="BX432" s="844">
        <v>85707</v>
      </c>
      <c r="BY432" s="844">
        <v>87134</v>
      </c>
      <c r="BZ432" s="844">
        <v>88566</v>
      </c>
      <c r="CA432" s="844">
        <v>90000</v>
      </c>
      <c r="CB432" s="844">
        <v>91436</v>
      </c>
      <c r="CC432" s="844">
        <v>92874</v>
      </c>
      <c r="CD432" s="844">
        <v>94313</v>
      </c>
      <c r="CE432" s="844">
        <v>95754</v>
      </c>
      <c r="CF432" s="844">
        <v>97194</v>
      </c>
      <c r="CG432" s="844">
        <v>98619</v>
      </c>
      <c r="CH432" s="844">
        <v>99600</v>
      </c>
      <c r="CI432" s="844">
        <v>0</v>
      </c>
      <c r="CJ432" s="844">
        <v>0</v>
      </c>
      <c r="CK432" s="844">
        <v>0</v>
      </c>
      <c r="CL432" s="844">
        <v>0</v>
      </c>
      <c r="CM432" s="844">
        <v>0</v>
      </c>
      <c r="CN432" s="844">
        <v>0</v>
      </c>
      <c r="CO432" s="844">
        <v>0</v>
      </c>
      <c r="CP432" s="844">
        <v>0</v>
      </c>
      <c r="CQ432" s="844">
        <v>0</v>
      </c>
      <c r="CR432" s="844">
        <v>0</v>
      </c>
      <c r="CS432" s="844">
        <v>0</v>
      </c>
      <c r="CT432" s="844">
        <v>0</v>
      </c>
      <c r="CU432" s="844">
        <v>0</v>
      </c>
      <c r="CV432" s="844">
        <v>0</v>
      </c>
      <c r="CW432" s="844">
        <v>0</v>
      </c>
      <c r="CX432" s="844">
        <v>0</v>
      </c>
      <c r="CY432" s="844">
        <v>0</v>
      </c>
      <c r="CZ432" s="844">
        <v>0</v>
      </c>
      <c r="DA432" s="844">
        <v>0</v>
      </c>
      <c r="DB432" s="844">
        <v>0</v>
      </c>
      <c r="DC432" s="844">
        <v>0</v>
      </c>
      <c r="DD432" s="844">
        <v>0</v>
      </c>
      <c r="DE432" s="844">
        <v>0</v>
      </c>
      <c r="DF432" s="844">
        <v>0</v>
      </c>
      <c r="DG432" s="844">
        <v>0</v>
      </c>
      <c r="DH432" s="844">
        <v>0</v>
      </c>
      <c r="DI432" s="844">
        <v>0</v>
      </c>
      <c r="DJ432" s="844">
        <v>0</v>
      </c>
      <c r="DK432" s="844">
        <v>0</v>
      </c>
      <c r="DL432" s="844">
        <v>0</v>
      </c>
      <c r="DM432" s="844">
        <v>0</v>
      </c>
      <c r="DN432" s="844">
        <v>0</v>
      </c>
      <c r="DO432" s="844">
        <v>0</v>
      </c>
      <c r="DP432" s="844">
        <v>0</v>
      </c>
      <c r="DQ432" s="844">
        <v>0</v>
      </c>
      <c r="DR432" s="844">
        <v>0</v>
      </c>
      <c r="DS432" s="844">
        <v>0</v>
      </c>
      <c r="DT432" s="844">
        <v>0</v>
      </c>
      <c r="DU432" s="844">
        <v>0</v>
      </c>
      <c r="DV432" s="844">
        <v>0</v>
      </c>
      <c r="DW432" s="844">
        <v>0</v>
      </c>
      <c r="DY432" s="846" t="s">
        <v>1060</v>
      </c>
      <c r="DZ432" s="846" t="s">
        <v>1382</v>
      </c>
      <c r="EA432" s="846" t="s">
        <v>97</v>
      </c>
      <c r="EB432" s="847">
        <v>41</v>
      </c>
      <c r="EC432" s="780" t="str">
        <f t="shared" si="15"/>
        <v>IWT060241</v>
      </c>
      <c r="ED432" s="847">
        <v>0</v>
      </c>
      <c r="EE432" s="847">
        <v>3123</v>
      </c>
      <c r="EF432" s="847">
        <v>8311</v>
      </c>
      <c r="EG432" s="847">
        <v>13602</v>
      </c>
      <c r="EH432" s="847">
        <v>18998</v>
      </c>
      <c r="EI432" s="847">
        <v>24503</v>
      </c>
      <c r="EJ432" s="847">
        <v>30117</v>
      </c>
      <c r="EK432" s="847">
        <v>30717</v>
      </c>
      <c r="EL432" s="847">
        <v>31329</v>
      </c>
      <c r="EM432" s="847">
        <v>31955</v>
      </c>
      <c r="EN432" s="847">
        <v>32594</v>
      </c>
      <c r="EO432" s="847">
        <v>33246</v>
      </c>
      <c r="EP432" s="847">
        <v>33911</v>
      </c>
      <c r="EQ432" s="847">
        <v>34589</v>
      </c>
      <c r="ER432" s="847">
        <v>35281</v>
      </c>
      <c r="ES432" s="847">
        <v>35987</v>
      </c>
      <c r="ET432" s="847">
        <v>36707</v>
      </c>
      <c r="EU432" s="847">
        <v>37441</v>
      </c>
      <c r="EV432" s="847">
        <v>38189</v>
      </c>
      <c r="EW432" s="847">
        <v>38953</v>
      </c>
      <c r="EX432" s="847">
        <v>39732</v>
      </c>
      <c r="EY432" s="847">
        <v>40527</v>
      </c>
      <c r="EZ432" s="847">
        <v>41337</v>
      </c>
      <c r="FA432" s="847">
        <v>42164</v>
      </c>
      <c r="FB432" s="847">
        <v>43008</v>
      </c>
      <c r="FC432" s="847">
        <v>43868</v>
      </c>
      <c r="FD432" s="847">
        <v>44745</v>
      </c>
      <c r="FE432" s="847">
        <v>45640</v>
      </c>
      <c r="FF432" s="847">
        <v>46553</v>
      </c>
      <c r="FG432" s="847">
        <v>47484</v>
      </c>
      <c r="FH432" s="847">
        <v>48433</v>
      </c>
      <c r="FI432" s="847">
        <v>49402</v>
      </c>
      <c r="FJ432" s="847">
        <v>50390</v>
      </c>
      <c r="FK432" s="847">
        <v>51398</v>
      </c>
      <c r="FL432" s="847">
        <v>52426</v>
      </c>
      <c r="FM432" s="847">
        <v>53474</v>
      </c>
      <c r="FN432" s="847">
        <v>54543</v>
      </c>
      <c r="FO432" s="847">
        <v>55634</v>
      </c>
      <c r="FP432" s="847">
        <v>56747</v>
      </c>
      <c r="FQ432" s="847">
        <v>57882</v>
      </c>
      <c r="FR432" s="847">
        <v>59039</v>
      </c>
      <c r="FS432" s="847">
        <v>60220</v>
      </c>
      <c r="FT432" s="847">
        <v>61424</v>
      </c>
      <c r="FU432" s="847">
        <v>62652</v>
      </c>
      <c r="FV432" s="847">
        <v>63905</v>
      </c>
      <c r="FW432" s="847">
        <v>65179</v>
      </c>
      <c r="FX432" s="847">
        <v>66468</v>
      </c>
      <c r="FY432" s="847">
        <v>67771</v>
      </c>
      <c r="FZ432" s="847">
        <v>69089</v>
      </c>
      <c r="GA432" s="847">
        <v>70421</v>
      </c>
      <c r="GB432" s="847">
        <v>71766</v>
      </c>
      <c r="GC432" s="847">
        <v>73122</v>
      </c>
      <c r="GD432" s="847">
        <v>74488</v>
      </c>
      <c r="GE432" s="847">
        <v>75863</v>
      </c>
      <c r="GF432" s="847">
        <v>77248</v>
      </c>
      <c r="GG432" s="847">
        <v>78642</v>
      </c>
      <c r="GH432" s="847">
        <v>80042</v>
      </c>
      <c r="GI432" s="847">
        <v>81450</v>
      </c>
      <c r="GJ432" s="847">
        <v>82864</v>
      </c>
      <c r="GK432" s="847">
        <v>84283</v>
      </c>
      <c r="GL432" s="847">
        <v>85707</v>
      </c>
      <c r="GM432" s="847">
        <v>87134</v>
      </c>
      <c r="GN432" s="847">
        <v>88566</v>
      </c>
      <c r="GO432" s="847">
        <v>90000</v>
      </c>
      <c r="GP432" s="847">
        <v>91436</v>
      </c>
      <c r="GQ432" s="847">
        <v>92874</v>
      </c>
      <c r="GR432" s="847">
        <v>94313</v>
      </c>
      <c r="GS432" s="847">
        <v>95754</v>
      </c>
      <c r="GT432" s="847">
        <v>97194</v>
      </c>
      <c r="GU432" s="847">
        <v>98619</v>
      </c>
      <c r="GV432" s="847">
        <v>99600</v>
      </c>
      <c r="GW432" s="847">
        <v>0</v>
      </c>
      <c r="GX432" s="847">
        <v>0</v>
      </c>
      <c r="GY432" s="847">
        <v>0</v>
      </c>
      <c r="GZ432" s="847">
        <v>0</v>
      </c>
      <c r="HA432" s="847">
        <v>0</v>
      </c>
      <c r="HB432" s="847">
        <v>0</v>
      </c>
      <c r="HC432" s="847">
        <v>0</v>
      </c>
      <c r="HD432" s="847">
        <v>0</v>
      </c>
      <c r="HE432" s="847">
        <v>0</v>
      </c>
      <c r="HF432" s="847">
        <v>0</v>
      </c>
      <c r="HG432" s="847">
        <v>0</v>
      </c>
      <c r="HH432" s="847">
        <v>0</v>
      </c>
      <c r="HI432" s="847">
        <v>0</v>
      </c>
      <c r="HJ432" s="847">
        <v>0</v>
      </c>
      <c r="HK432" s="847">
        <v>0</v>
      </c>
      <c r="HL432" s="847">
        <v>0</v>
      </c>
      <c r="HM432" s="847">
        <v>0</v>
      </c>
      <c r="HN432" s="847">
        <v>0</v>
      </c>
      <c r="HO432" s="847">
        <v>0</v>
      </c>
      <c r="HP432" s="847">
        <v>0</v>
      </c>
      <c r="HQ432" s="847">
        <v>0</v>
      </c>
      <c r="HR432" s="847">
        <v>0</v>
      </c>
      <c r="HS432" s="847">
        <v>0</v>
      </c>
      <c r="HT432" s="847">
        <v>0</v>
      </c>
      <c r="HU432" s="847">
        <v>0</v>
      </c>
      <c r="HV432" s="847">
        <v>0</v>
      </c>
      <c r="HW432" s="847">
        <v>0</v>
      </c>
      <c r="HX432" s="847">
        <v>0</v>
      </c>
      <c r="HY432" s="847">
        <v>0</v>
      </c>
      <c r="HZ432" s="847">
        <v>0</v>
      </c>
      <c r="IA432" s="847">
        <v>0</v>
      </c>
      <c r="IB432" s="847">
        <v>0</v>
      </c>
      <c r="IC432" s="847">
        <v>0</v>
      </c>
      <c r="ID432" s="847">
        <v>0</v>
      </c>
      <c r="IE432" s="847">
        <v>0</v>
      </c>
      <c r="IF432" s="847">
        <v>0</v>
      </c>
      <c r="IG432" s="847">
        <v>0</v>
      </c>
      <c r="IH432" s="847">
        <v>0</v>
      </c>
      <c r="II432" s="847">
        <v>0</v>
      </c>
      <c r="IJ432" s="847">
        <v>0</v>
      </c>
      <c r="IK432" s="847">
        <v>0</v>
      </c>
    </row>
    <row r="433" spans="12:245" hidden="1">
      <c r="L433" s="843" t="s">
        <v>1060</v>
      </c>
      <c r="M433" s="843" t="s">
        <v>1382</v>
      </c>
      <c r="N433" s="843" t="s">
        <v>97</v>
      </c>
      <c r="O433" s="844">
        <v>42</v>
      </c>
      <c r="P433" s="780" t="str">
        <f t="shared" si="14"/>
        <v>IWT060242</v>
      </c>
      <c r="Q433" s="844">
        <v>2343</v>
      </c>
      <c r="R433" s="844">
        <v>6653</v>
      </c>
      <c r="S433" s="844">
        <v>11569</v>
      </c>
      <c r="T433" s="844">
        <v>17111</v>
      </c>
      <c r="U433" s="844">
        <v>23294</v>
      </c>
      <c r="V433" s="844">
        <v>29838</v>
      </c>
      <c r="W433" s="844">
        <v>30739</v>
      </c>
      <c r="X433" s="844">
        <v>31352</v>
      </c>
      <c r="Y433" s="844">
        <v>31978</v>
      </c>
      <c r="Z433" s="844">
        <v>32618</v>
      </c>
      <c r="AA433" s="844">
        <v>33270</v>
      </c>
      <c r="AB433" s="844">
        <v>33935</v>
      </c>
      <c r="AC433" s="844">
        <v>34614</v>
      </c>
      <c r="AD433" s="844">
        <v>35306</v>
      </c>
      <c r="AE433" s="844">
        <v>36013</v>
      </c>
      <c r="AF433" s="844">
        <v>36733</v>
      </c>
      <c r="AG433" s="844">
        <v>37467</v>
      </c>
      <c r="AH433" s="844">
        <v>38217</v>
      </c>
      <c r="AI433" s="844">
        <v>38981</v>
      </c>
      <c r="AJ433" s="844">
        <v>39761</v>
      </c>
      <c r="AK433" s="844">
        <v>40556</v>
      </c>
      <c r="AL433" s="844">
        <v>41367</v>
      </c>
      <c r="AM433" s="844">
        <v>42194</v>
      </c>
      <c r="AN433" s="844">
        <v>43038</v>
      </c>
      <c r="AO433" s="844">
        <v>43899</v>
      </c>
      <c r="AP433" s="844">
        <v>44777</v>
      </c>
      <c r="AQ433" s="844">
        <v>45672</v>
      </c>
      <c r="AR433" s="844">
        <v>46586</v>
      </c>
      <c r="AS433" s="844">
        <v>47518</v>
      </c>
      <c r="AT433" s="844">
        <v>48468</v>
      </c>
      <c r="AU433" s="844">
        <v>49437</v>
      </c>
      <c r="AV433" s="844">
        <v>50426</v>
      </c>
      <c r="AW433" s="844">
        <v>51434</v>
      </c>
      <c r="AX433" s="844">
        <v>52463</v>
      </c>
      <c r="AY433" s="844">
        <v>53512</v>
      </c>
      <c r="AZ433" s="844">
        <v>54582</v>
      </c>
      <c r="BA433" s="844">
        <v>55674</v>
      </c>
      <c r="BB433" s="844">
        <v>56787</v>
      </c>
      <c r="BC433" s="844">
        <v>57923</v>
      </c>
      <c r="BD433" s="844">
        <v>59081</v>
      </c>
      <c r="BE433" s="844">
        <v>60263</v>
      </c>
      <c r="BF433" s="844">
        <v>61468</v>
      </c>
      <c r="BG433" s="844">
        <v>62697</v>
      </c>
      <c r="BH433" s="844">
        <v>63951</v>
      </c>
      <c r="BI433" s="844">
        <v>65229</v>
      </c>
      <c r="BJ433" s="844">
        <v>66522</v>
      </c>
      <c r="BK433" s="844">
        <v>67829</v>
      </c>
      <c r="BL433" s="844">
        <v>69151</v>
      </c>
      <c r="BM433" s="844">
        <v>70485</v>
      </c>
      <c r="BN433" s="844">
        <v>71832</v>
      </c>
      <c r="BO433" s="844">
        <v>73189</v>
      </c>
      <c r="BP433" s="844">
        <v>74557</v>
      </c>
      <c r="BQ433" s="844">
        <v>75934</v>
      </c>
      <c r="BR433" s="844">
        <v>77320</v>
      </c>
      <c r="BS433" s="844">
        <v>78714</v>
      </c>
      <c r="BT433" s="844">
        <v>80115</v>
      </c>
      <c r="BU433" s="844">
        <v>81522</v>
      </c>
      <c r="BV433" s="844">
        <v>82936</v>
      </c>
      <c r="BW433" s="844">
        <v>84354</v>
      </c>
      <c r="BX433" s="844">
        <v>85777</v>
      </c>
      <c r="BY433" s="844">
        <v>87203</v>
      </c>
      <c r="BZ433" s="844">
        <v>88633</v>
      </c>
      <c r="CA433" s="844">
        <v>90065</v>
      </c>
      <c r="CB433" s="844">
        <v>91499</v>
      </c>
      <c r="CC433" s="844">
        <v>92935</v>
      </c>
      <c r="CD433" s="844">
        <v>94372</v>
      </c>
      <c r="CE433" s="844">
        <v>95809</v>
      </c>
      <c r="CF433" s="844">
        <v>97232</v>
      </c>
      <c r="CG433" s="844">
        <v>98200</v>
      </c>
      <c r="CH433" s="844">
        <v>0</v>
      </c>
      <c r="CI433" s="844">
        <v>0</v>
      </c>
      <c r="CJ433" s="844">
        <v>0</v>
      </c>
      <c r="CK433" s="844">
        <v>0</v>
      </c>
      <c r="CL433" s="844">
        <v>0</v>
      </c>
      <c r="CM433" s="844">
        <v>0</v>
      </c>
      <c r="CN433" s="844">
        <v>0</v>
      </c>
      <c r="CO433" s="844">
        <v>0</v>
      </c>
      <c r="CP433" s="844">
        <v>0</v>
      </c>
      <c r="CQ433" s="844">
        <v>0</v>
      </c>
      <c r="CR433" s="844">
        <v>0</v>
      </c>
      <c r="CS433" s="844">
        <v>0</v>
      </c>
      <c r="CT433" s="844">
        <v>0</v>
      </c>
      <c r="CU433" s="844">
        <v>0</v>
      </c>
      <c r="CV433" s="844">
        <v>0</v>
      </c>
      <c r="CW433" s="844">
        <v>0</v>
      </c>
      <c r="CX433" s="844">
        <v>0</v>
      </c>
      <c r="CY433" s="844">
        <v>0</v>
      </c>
      <c r="CZ433" s="844">
        <v>0</v>
      </c>
      <c r="DA433" s="844">
        <v>0</v>
      </c>
      <c r="DB433" s="844">
        <v>0</v>
      </c>
      <c r="DC433" s="844">
        <v>0</v>
      </c>
      <c r="DD433" s="844">
        <v>0</v>
      </c>
      <c r="DE433" s="844">
        <v>0</v>
      </c>
      <c r="DF433" s="844">
        <v>0</v>
      </c>
      <c r="DG433" s="844">
        <v>0</v>
      </c>
      <c r="DH433" s="844">
        <v>0</v>
      </c>
      <c r="DI433" s="844">
        <v>0</v>
      </c>
      <c r="DJ433" s="844">
        <v>0</v>
      </c>
      <c r="DK433" s="844">
        <v>0</v>
      </c>
      <c r="DL433" s="844">
        <v>0</v>
      </c>
      <c r="DM433" s="844">
        <v>0</v>
      </c>
      <c r="DN433" s="844">
        <v>0</v>
      </c>
      <c r="DO433" s="844">
        <v>0</v>
      </c>
      <c r="DP433" s="844">
        <v>0</v>
      </c>
      <c r="DQ433" s="844">
        <v>0</v>
      </c>
      <c r="DR433" s="844">
        <v>0</v>
      </c>
      <c r="DS433" s="844">
        <v>0</v>
      </c>
      <c r="DT433" s="844">
        <v>0</v>
      </c>
      <c r="DU433" s="844">
        <v>0</v>
      </c>
      <c r="DV433" s="844">
        <v>0</v>
      </c>
      <c r="DW433" s="844">
        <v>0</v>
      </c>
      <c r="DY433" s="846" t="s">
        <v>1060</v>
      </c>
      <c r="DZ433" s="846" t="s">
        <v>1382</v>
      </c>
      <c r="EA433" s="846" t="s">
        <v>97</v>
      </c>
      <c r="EB433" s="847">
        <v>42</v>
      </c>
      <c r="EC433" s="780" t="str">
        <f t="shared" si="15"/>
        <v>IWT060242</v>
      </c>
      <c r="ED433" s="847">
        <v>0</v>
      </c>
      <c r="EE433" s="847">
        <v>3124</v>
      </c>
      <c r="EF433" s="847">
        <v>8316</v>
      </c>
      <c r="EG433" s="847">
        <v>13611</v>
      </c>
      <c r="EH433" s="847">
        <v>19012</v>
      </c>
      <c r="EI433" s="847">
        <v>24520</v>
      </c>
      <c r="EJ433" s="847">
        <v>30139</v>
      </c>
      <c r="EK433" s="847">
        <v>30739</v>
      </c>
      <c r="EL433" s="847">
        <v>31352</v>
      </c>
      <c r="EM433" s="847">
        <v>31978</v>
      </c>
      <c r="EN433" s="847">
        <v>32618</v>
      </c>
      <c r="EO433" s="847">
        <v>33270</v>
      </c>
      <c r="EP433" s="847">
        <v>33935</v>
      </c>
      <c r="EQ433" s="847">
        <v>34614</v>
      </c>
      <c r="ER433" s="847">
        <v>35306</v>
      </c>
      <c r="ES433" s="847">
        <v>36013</v>
      </c>
      <c r="ET433" s="847">
        <v>36733</v>
      </c>
      <c r="EU433" s="847">
        <v>37467</v>
      </c>
      <c r="EV433" s="847">
        <v>38217</v>
      </c>
      <c r="EW433" s="847">
        <v>38981</v>
      </c>
      <c r="EX433" s="847">
        <v>39761</v>
      </c>
      <c r="EY433" s="847">
        <v>40556</v>
      </c>
      <c r="EZ433" s="847">
        <v>41367</v>
      </c>
      <c r="FA433" s="847">
        <v>42194</v>
      </c>
      <c r="FB433" s="847">
        <v>43038</v>
      </c>
      <c r="FC433" s="847">
        <v>43899</v>
      </c>
      <c r="FD433" s="847">
        <v>44777</v>
      </c>
      <c r="FE433" s="847">
        <v>45672</v>
      </c>
      <c r="FF433" s="847">
        <v>46586</v>
      </c>
      <c r="FG433" s="847">
        <v>47518</v>
      </c>
      <c r="FH433" s="847">
        <v>48468</v>
      </c>
      <c r="FI433" s="847">
        <v>49437</v>
      </c>
      <c r="FJ433" s="847">
        <v>50426</v>
      </c>
      <c r="FK433" s="847">
        <v>51434</v>
      </c>
      <c r="FL433" s="847">
        <v>52463</v>
      </c>
      <c r="FM433" s="847">
        <v>53512</v>
      </c>
      <c r="FN433" s="847">
        <v>54582</v>
      </c>
      <c r="FO433" s="847">
        <v>55674</v>
      </c>
      <c r="FP433" s="847">
        <v>56787</v>
      </c>
      <c r="FQ433" s="847">
        <v>57923</v>
      </c>
      <c r="FR433" s="847">
        <v>59081</v>
      </c>
      <c r="FS433" s="847">
        <v>60263</v>
      </c>
      <c r="FT433" s="847">
        <v>61468</v>
      </c>
      <c r="FU433" s="847">
        <v>62697</v>
      </c>
      <c r="FV433" s="847">
        <v>63951</v>
      </c>
      <c r="FW433" s="847">
        <v>65229</v>
      </c>
      <c r="FX433" s="847">
        <v>66522</v>
      </c>
      <c r="FY433" s="847">
        <v>67829</v>
      </c>
      <c r="FZ433" s="847">
        <v>69151</v>
      </c>
      <c r="GA433" s="847">
        <v>70485</v>
      </c>
      <c r="GB433" s="847">
        <v>71832</v>
      </c>
      <c r="GC433" s="847">
        <v>73189</v>
      </c>
      <c r="GD433" s="847">
        <v>74557</v>
      </c>
      <c r="GE433" s="847">
        <v>75934</v>
      </c>
      <c r="GF433" s="847">
        <v>77320</v>
      </c>
      <c r="GG433" s="847">
        <v>78714</v>
      </c>
      <c r="GH433" s="847">
        <v>80115</v>
      </c>
      <c r="GI433" s="847">
        <v>81522</v>
      </c>
      <c r="GJ433" s="847">
        <v>82936</v>
      </c>
      <c r="GK433" s="847">
        <v>84354</v>
      </c>
      <c r="GL433" s="847">
        <v>85777</v>
      </c>
      <c r="GM433" s="847">
        <v>87203</v>
      </c>
      <c r="GN433" s="847">
        <v>88633</v>
      </c>
      <c r="GO433" s="847">
        <v>90065</v>
      </c>
      <c r="GP433" s="847">
        <v>91499</v>
      </c>
      <c r="GQ433" s="847">
        <v>92935</v>
      </c>
      <c r="GR433" s="847">
        <v>94372</v>
      </c>
      <c r="GS433" s="847">
        <v>95809</v>
      </c>
      <c r="GT433" s="847">
        <v>97232</v>
      </c>
      <c r="GU433" s="847">
        <v>98200</v>
      </c>
      <c r="GV433" s="847">
        <v>0</v>
      </c>
      <c r="GW433" s="847">
        <v>0</v>
      </c>
      <c r="GX433" s="847">
        <v>0</v>
      </c>
      <c r="GY433" s="847">
        <v>0</v>
      </c>
      <c r="GZ433" s="847">
        <v>0</v>
      </c>
      <c r="HA433" s="847">
        <v>0</v>
      </c>
      <c r="HB433" s="847">
        <v>0</v>
      </c>
      <c r="HC433" s="847">
        <v>0</v>
      </c>
      <c r="HD433" s="847">
        <v>0</v>
      </c>
      <c r="HE433" s="847">
        <v>0</v>
      </c>
      <c r="HF433" s="847">
        <v>0</v>
      </c>
      <c r="HG433" s="847">
        <v>0</v>
      </c>
      <c r="HH433" s="847">
        <v>0</v>
      </c>
      <c r="HI433" s="847">
        <v>0</v>
      </c>
      <c r="HJ433" s="847">
        <v>0</v>
      </c>
      <c r="HK433" s="847">
        <v>0</v>
      </c>
      <c r="HL433" s="847">
        <v>0</v>
      </c>
      <c r="HM433" s="847">
        <v>0</v>
      </c>
      <c r="HN433" s="847">
        <v>0</v>
      </c>
      <c r="HO433" s="847">
        <v>0</v>
      </c>
      <c r="HP433" s="847">
        <v>0</v>
      </c>
      <c r="HQ433" s="847">
        <v>0</v>
      </c>
      <c r="HR433" s="847">
        <v>0</v>
      </c>
      <c r="HS433" s="847">
        <v>0</v>
      </c>
      <c r="HT433" s="847">
        <v>0</v>
      </c>
      <c r="HU433" s="847">
        <v>0</v>
      </c>
      <c r="HV433" s="847">
        <v>0</v>
      </c>
      <c r="HW433" s="847">
        <v>0</v>
      </c>
      <c r="HX433" s="847">
        <v>0</v>
      </c>
      <c r="HY433" s="847">
        <v>0</v>
      </c>
      <c r="HZ433" s="847">
        <v>0</v>
      </c>
      <c r="IA433" s="847">
        <v>0</v>
      </c>
      <c r="IB433" s="847">
        <v>0</v>
      </c>
      <c r="IC433" s="847">
        <v>0</v>
      </c>
      <c r="ID433" s="847">
        <v>0</v>
      </c>
      <c r="IE433" s="847">
        <v>0</v>
      </c>
      <c r="IF433" s="847">
        <v>0</v>
      </c>
      <c r="IG433" s="847">
        <v>0</v>
      </c>
      <c r="IH433" s="847">
        <v>0</v>
      </c>
      <c r="II433" s="847">
        <v>0</v>
      </c>
      <c r="IJ433" s="847">
        <v>0</v>
      </c>
      <c r="IK433" s="847">
        <v>0</v>
      </c>
    </row>
    <row r="434" spans="12:245" hidden="1">
      <c r="L434" s="843" t="s">
        <v>1060</v>
      </c>
      <c r="M434" s="843" t="s">
        <v>1382</v>
      </c>
      <c r="N434" s="843" t="s">
        <v>97</v>
      </c>
      <c r="O434" s="844">
        <v>43</v>
      </c>
      <c r="P434" s="780" t="str">
        <f t="shared" si="14"/>
        <v>IWT060243</v>
      </c>
      <c r="Q434" s="844">
        <v>2344</v>
      </c>
      <c r="R434" s="844">
        <v>6656</v>
      </c>
      <c r="S434" s="844">
        <v>11576</v>
      </c>
      <c r="T434" s="844">
        <v>17122</v>
      </c>
      <c r="U434" s="844">
        <v>23309</v>
      </c>
      <c r="V434" s="844">
        <v>29857</v>
      </c>
      <c r="W434" s="844">
        <v>30759</v>
      </c>
      <c r="X434" s="844">
        <v>31373</v>
      </c>
      <c r="Y434" s="844">
        <v>31999</v>
      </c>
      <c r="Z434" s="844">
        <v>32639</v>
      </c>
      <c r="AA434" s="844">
        <v>33292</v>
      </c>
      <c r="AB434" s="844">
        <v>33958</v>
      </c>
      <c r="AC434" s="844">
        <v>34637</v>
      </c>
      <c r="AD434" s="844">
        <v>35330</v>
      </c>
      <c r="AE434" s="844">
        <v>36036</v>
      </c>
      <c r="AF434" s="844">
        <v>36757</v>
      </c>
      <c r="AG434" s="844">
        <v>37492</v>
      </c>
      <c r="AH434" s="844">
        <v>38242</v>
      </c>
      <c r="AI434" s="844">
        <v>39007</v>
      </c>
      <c r="AJ434" s="844">
        <v>39787</v>
      </c>
      <c r="AK434" s="844">
        <v>40582</v>
      </c>
      <c r="AL434" s="844">
        <v>41394</v>
      </c>
      <c r="AM434" s="844">
        <v>42222</v>
      </c>
      <c r="AN434" s="844">
        <v>43066</v>
      </c>
      <c r="AO434" s="844">
        <v>43928</v>
      </c>
      <c r="AP434" s="844">
        <v>44806</v>
      </c>
      <c r="AQ434" s="844">
        <v>45702</v>
      </c>
      <c r="AR434" s="844">
        <v>46616</v>
      </c>
      <c r="AS434" s="844">
        <v>47549</v>
      </c>
      <c r="AT434" s="844">
        <v>48500</v>
      </c>
      <c r="AU434" s="844">
        <v>49469</v>
      </c>
      <c r="AV434" s="844">
        <v>50459</v>
      </c>
      <c r="AW434" s="844">
        <v>51468</v>
      </c>
      <c r="AX434" s="844">
        <v>52497</v>
      </c>
      <c r="AY434" s="844">
        <v>53547</v>
      </c>
      <c r="AZ434" s="844">
        <v>54618</v>
      </c>
      <c r="BA434" s="844">
        <v>55710</v>
      </c>
      <c r="BB434" s="844">
        <v>56824</v>
      </c>
      <c r="BC434" s="844">
        <v>57961</v>
      </c>
      <c r="BD434" s="844">
        <v>59120</v>
      </c>
      <c r="BE434" s="844">
        <v>60302</v>
      </c>
      <c r="BF434" s="844">
        <v>61508</v>
      </c>
      <c r="BG434" s="844">
        <v>62738</v>
      </c>
      <c r="BH434" s="844">
        <v>63992</v>
      </c>
      <c r="BI434" s="844">
        <v>65272</v>
      </c>
      <c r="BJ434" s="844">
        <v>66569</v>
      </c>
      <c r="BK434" s="844">
        <v>67880</v>
      </c>
      <c r="BL434" s="844">
        <v>69205</v>
      </c>
      <c r="BM434" s="844">
        <v>70543</v>
      </c>
      <c r="BN434" s="844">
        <v>71891</v>
      </c>
      <c r="BO434" s="844">
        <v>73250</v>
      </c>
      <c r="BP434" s="844">
        <v>74620</v>
      </c>
      <c r="BQ434" s="844">
        <v>75998</v>
      </c>
      <c r="BR434" s="844">
        <v>77385</v>
      </c>
      <c r="BS434" s="844">
        <v>78780</v>
      </c>
      <c r="BT434" s="844">
        <v>80181</v>
      </c>
      <c r="BU434" s="844">
        <v>81588</v>
      </c>
      <c r="BV434" s="844">
        <v>83001</v>
      </c>
      <c r="BW434" s="844">
        <v>84419</v>
      </c>
      <c r="BX434" s="844">
        <v>85841</v>
      </c>
      <c r="BY434" s="844">
        <v>87266</v>
      </c>
      <c r="BZ434" s="844">
        <v>88694</v>
      </c>
      <c r="CA434" s="844">
        <v>90124</v>
      </c>
      <c r="CB434" s="844">
        <v>91557</v>
      </c>
      <c r="CC434" s="844">
        <v>92991</v>
      </c>
      <c r="CD434" s="844">
        <v>94425</v>
      </c>
      <c r="CE434" s="844">
        <v>95846</v>
      </c>
      <c r="CF434" s="844">
        <v>96800</v>
      </c>
      <c r="CG434" s="844">
        <v>0</v>
      </c>
      <c r="CH434" s="844">
        <v>0</v>
      </c>
      <c r="CI434" s="844">
        <v>0</v>
      </c>
      <c r="CJ434" s="844">
        <v>0</v>
      </c>
      <c r="CK434" s="844">
        <v>0</v>
      </c>
      <c r="CL434" s="844">
        <v>0</v>
      </c>
      <c r="CM434" s="844">
        <v>0</v>
      </c>
      <c r="CN434" s="844">
        <v>0</v>
      </c>
      <c r="CO434" s="844">
        <v>0</v>
      </c>
      <c r="CP434" s="844">
        <v>0</v>
      </c>
      <c r="CQ434" s="844">
        <v>0</v>
      </c>
      <c r="CR434" s="844">
        <v>0</v>
      </c>
      <c r="CS434" s="844">
        <v>0</v>
      </c>
      <c r="CT434" s="844">
        <v>0</v>
      </c>
      <c r="CU434" s="844">
        <v>0</v>
      </c>
      <c r="CV434" s="844">
        <v>0</v>
      </c>
      <c r="CW434" s="844">
        <v>0</v>
      </c>
      <c r="CX434" s="844">
        <v>0</v>
      </c>
      <c r="CY434" s="844">
        <v>0</v>
      </c>
      <c r="CZ434" s="844">
        <v>0</v>
      </c>
      <c r="DA434" s="844">
        <v>0</v>
      </c>
      <c r="DB434" s="844">
        <v>0</v>
      </c>
      <c r="DC434" s="844">
        <v>0</v>
      </c>
      <c r="DD434" s="844">
        <v>0</v>
      </c>
      <c r="DE434" s="844">
        <v>0</v>
      </c>
      <c r="DF434" s="844">
        <v>0</v>
      </c>
      <c r="DG434" s="844">
        <v>0</v>
      </c>
      <c r="DH434" s="844">
        <v>0</v>
      </c>
      <c r="DI434" s="844">
        <v>0</v>
      </c>
      <c r="DJ434" s="844">
        <v>0</v>
      </c>
      <c r="DK434" s="844">
        <v>0</v>
      </c>
      <c r="DL434" s="844">
        <v>0</v>
      </c>
      <c r="DM434" s="844">
        <v>0</v>
      </c>
      <c r="DN434" s="844">
        <v>0</v>
      </c>
      <c r="DO434" s="844">
        <v>0</v>
      </c>
      <c r="DP434" s="844">
        <v>0</v>
      </c>
      <c r="DQ434" s="844">
        <v>0</v>
      </c>
      <c r="DR434" s="844">
        <v>0</v>
      </c>
      <c r="DS434" s="844">
        <v>0</v>
      </c>
      <c r="DT434" s="844">
        <v>0</v>
      </c>
      <c r="DU434" s="844">
        <v>0</v>
      </c>
      <c r="DV434" s="844">
        <v>0</v>
      </c>
      <c r="DW434" s="844">
        <v>0</v>
      </c>
      <c r="DY434" s="846" t="s">
        <v>1060</v>
      </c>
      <c r="DZ434" s="846" t="s">
        <v>1382</v>
      </c>
      <c r="EA434" s="846" t="s">
        <v>97</v>
      </c>
      <c r="EB434" s="847">
        <v>43</v>
      </c>
      <c r="EC434" s="780" t="str">
        <f t="shared" si="15"/>
        <v>IWT060243</v>
      </c>
      <c r="ED434" s="847">
        <v>0</v>
      </c>
      <c r="EE434" s="847">
        <v>3125</v>
      </c>
      <c r="EF434" s="847">
        <v>8320</v>
      </c>
      <c r="EG434" s="847">
        <v>13619</v>
      </c>
      <c r="EH434" s="847">
        <v>19024</v>
      </c>
      <c r="EI434" s="847">
        <v>24536</v>
      </c>
      <c r="EJ434" s="847">
        <v>30159</v>
      </c>
      <c r="EK434" s="847">
        <v>30759</v>
      </c>
      <c r="EL434" s="847">
        <v>31373</v>
      </c>
      <c r="EM434" s="847">
        <v>31999</v>
      </c>
      <c r="EN434" s="847">
        <v>32639</v>
      </c>
      <c r="EO434" s="847">
        <v>33292</v>
      </c>
      <c r="EP434" s="847">
        <v>33958</v>
      </c>
      <c r="EQ434" s="847">
        <v>34637</v>
      </c>
      <c r="ER434" s="847">
        <v>35330</v>
      </c>
      <c r="ES434" s="847">
        <v>36036</v>
      </c>
      <c r="ET434" s="847">
        <v>36757</v>
      </c>
      <c r="EU434" s="847">
        <v>37492</v>
      </c>
      <c r="EV434" s="847">
        <v>38242</v>
      </c>
      <c r="EW434" s="847">
        <v>39007</v>
      </c>
      <c r="EX434" s="847">
        <v>39787</v>
      </c>
      <c r="EY434" s="847">
        <v>40582</v>
      </c>
      <c r="EZ434" s="847">
        <v>41394</v>
      </c>
      <c r="FA434" s="847">
        <v>42222</v>
      </c>
      <c r="FB434" s="847">
        <v>43066</v>
      </c>
      <c r="FC434" s="847">
        <v>43928</v>
      </c>
      <c r="FD434" s="847">
        <v>44806</v>
      </c>
      <c r="FE434" s="847">
        <v>45702</v>
      </c>
      <c r="FF434" s="847">
        <v>46616</v>
      </c>
      <c r="FG434" s="847">
        <v>47549</v>
      </c>
      <c r="FH434" s="847">
        <v>48500</v>
      </c>
      <c r="FI434" s="847">
        <v>49469</v>
      </c>
      <c r="FJ434" s="847">
        <v>50459</v>
      </c>
      <c r="FK434" s="847">
        <v>51468</v>
      </c>
      <c r="FL434" s="847">
        <v>52497</v>
      </c>
      <c r="FM434" s="847">
        <v>53547</v>
      </c>
      <c r="FN434" s="847">
        <v>54618</v>
      </c>
      <c r="FO434" s="847">
        <v>55710</v>
      </c>
      <c r="FP434" s="847">
        <v>56824</v>
      </c>
      <c r="FQ434" s="847">
        <v>57961</v>
      </c>
      <c r="FR434" s="847">
        <v>59120</v>
      </c>
      <c r="FS434" s="847">
        <v>60302</v>
      </c>
      <c r="FT434" s="847">
        <v>61508</v>
      </c>
      <c r="FU434" s="847">
        <v>62738</v>
      </c>
      <c r="FV434" s="847">
        <v>63992</v>
      </c>
      <c r="FW434" s="847">
        <v>65272</v>
      </c>
      <c r="FX434" s="847">
        <v>66569</v>
      </c>
      <c r="FY434" s="847">
        <v>67880</v>
      </c>
      <c r="FZ434" s="847">
        <v>69205</v>
      </c>
      <c r="GA434" s="847">
        <v>70543</v>
      </c>
      <c r="GB434" s="847">
        <v>71891</v>
      </c>
      <c r="GC434" s="847">
        <v>73250</v>
      </c>
      <c r="GD434" s="847">
        <v>74620</v>
      </c>
      <c r="GE434" s="847">
        <v>75998</v>
      </c>
      <c r="GF434" s="847">
        <v>77385</v>
      </c>
      <c r="GG434" s="847">
        <v>78780</v>
      </c>
      <c r="GH434" s="847">
        <v>80181</v>
      </c>
      <c r="GI434" s="847">
        <v>81588</v>
      </c>
      <c r="GJ434" s="847">
        <v>83001</v>
      </c>
      <c r="GK434" s="847">
        <v>84419</v>
      </c>
      <c r="GL434" s="847">
        <v>85841</v>
      </c>
      <c r="GM434" s="847">
        <v>87266</v>
      </c>
      <c r="GN434" s="847">
        <v>88694</v>
      </c>
      <c r="GO434" s="847">
        <v>90124</v>
      </c>
      <c r="GP434" s="847">
        <v>91557</v>
      </c>
      <c r="GQ434" s="847">
        <v>92991</v>
      </c>
      <c r="GR434" s="847">
        <v>94425</v>
      </c>
      <c r="GS434" s="847">
        <v>95846</v>
      </c>
      <c r="GT434" s="847">
        <v>96800</v>
      </c>
      <c r="GU434" s="847">
        <v>0</v>
      </c>
      <c r="GV434" s="847">
        <v>0</v>
      </c>
      <c r="GW434" s="847">
        <v>0</v>
      </c>
      <c r="GX434" s="847">
        <v>0</v>
      </c>
      <c r="GY434" s="847">
        <v>0</v>
      </c>
      <c r="GZ434" s="847">
        <v>0</v>
      </c>
      <c r="HA434" s="847">
        <v>0</v>
      </c>
      <c r="HB434" s="847">
        <v>0</v>
      </c>
      <c r="HC434" s="847">
        <v>0</v>
      </c>
      <c r="HD434" s="847">
        <v>0</v>
      </c>
      <c r="HE434" s="847">
        <v>0</v>
      </c>
      <c r="HF434" s="847">
        <v>0</v>
      </c>
      <c r="HG434" s="847">
        <v>0</v>
      </c>
      <c r="HH434" s="847">
        <v>0</v>
      </c>
      <c r="HI434" s="847">
        <v>0</v>
      </c>
      <c r="HJ434" s="847">
        <v>0</v>
      </c>
      <c r="HK434" s="847">
        <v>0</v>
      </c>
      <c r="HL434" s="847">
        <v>0</v>
      </c>
      <c r="HM434" s="847">
        <v>0</v>
      </c>
      <c r="HN434" s="847">
        <v>0</v>
      </c>
      <c r="HO434" s="847">
        <v>0</v>
      </c>
      <c r="HP434" s="847">
        <v>0</v>
      </c>
      <c r="HQ434" s="847">
        <v>0</v>
      </c>
      <c r="HR434" s="847">
        <v>0</v>
      </c>
      <c r="HS434" s="847">
        <v>0</v>
      </c>
      <c r="HT434" s="847">
        <v>0</v>
      </c>
      <c r="HU434" s="847">
        <v>0</v>
      </c>
      <c r="HV434" s="847">
        <v>0</v>
      </c>
      <c r="HW434" s="847">
        <v>0</v>
      </c>
      <c r="HX434" s="847">
        <v>0</v>
      </c>
      <c r="HY434" s="847">
        <v>0</v>
      </c>
      <c r="HZ434" s="847">
        <v>0</v>
      </c>
      <c r="IA434" s="847">
        <v>0</v>
      </c>
      <c r="IB434" s="847">
        <v>0</v>
      </c>
      <c r="IC434" s="847">
        <v>0</v>
      </c>
      <c r="ID434" s="847">
        <v>0</v>
      </c>
      <c r="IE434" s="847">
        <v>0</v>
      </c>
      <c r="IF434" s="847">
        <v>0</v>
      </c>
      <c r="IG434" s="847">
        <v>0</v>
      </c>
      <c r="IH434" s="847">
        <v>0</v>
      </c>
      <c r="II434" s="847">
        <v>0</v>
      </c>
      <c r="IJ434" s="847">
        <v>0</v>
      </c>
      <c r="IK434" s="847">
        <v>0</v>
      </c>
    </row>
    <row r="435" spans="12:245" hidden="1">
      <c r="L435" s="843" t="s">
        <v>1060</v>
      </c>
      <c r="M435" s="843" t="s">
        <v>1382</v>
      </c>
      <c r="N435" s="843" t="s">
        <v>97</v>
      </c>
      <c r="O435" s="844">
        <v>44</v>
      </c>
      <c r="P435" s="780" t="str">
        <f t="shared" si="14"/>
        <v>IWT060244</v>
      </c>
      <c r="Q435" s="844">
        <v>2344</v>
      </c>
      <c r="R435" s="844">
        <v>6659</v>
      </c>
      <c r="S435" s="844">
        <v>11582</v>
      </c>
      <c r="T435" s="844">
        <v>17131</v>
      </c>
      <c r="U435" s="844">
        <v>23323</v>
      </c>
      <c r="V435" s="844">
        <v>29875</v>
      </c>
      <c r="W435" s="844">
        <v>30777</v>
      </c>
      <c r="X435" s="844">
        <v>31390</v>
      </c>
      <c r="Y435" s="844">
        <v>32017</v>
      </c>
      <c r="Z435" s="844">
        <v>32658</v>
      </c>
      <c r="AA435" s="844">
        <v>33311</v>
      </c>
      <c r="AB435" s="844">
        <v>33977</v>
      </c>
      <c r="AC435" s="844">
        <v>34656</v>
      </c>
      <c r="AD435" s="844">
        <v>35350</v>
      </c>
      <c r="AE435" s="844">
        <v>36057</v>
      </c>
      <c r="AF435" s="844">
        <v>36778</v>
      </c>
      <c r="AG435" s="844">
        <v>37513</v>
      </c>
      <c r="AH435" s="844">
        <v>38263</v>
      </c>
      <c r="AI435" s="844">
        <v>39029</v>
      </c>
      <c r="AJ435" s="844">
        <v>39809</v>
      </c>
      <c r="AK435" s="844">
        <v>40605</v>
      </c>
      <c r="AL435" s="844">
        <v>41418</v>
      </c>
      <c r="AM435" s="844">
        <v>42246</v>
      </c>
      <c r="AN435" s="844">
        <v>43091</v>
      </c>
      <c r="AO435" s="844">
        <v>43953</v>
      </c>
      <c r="AP435" s="844">
        <v>44832</v>
      </c>
      <c r="AQ435" s="844">
        <v>45728</v>
      </c>
      <c r="AR435" s="844">
        <v>46643</v>
      </c>
      <c r="AS435" s="844">
        <v>47575</v>
      </c>
      <c r="AT435" s="844">
        <v>48527</v>
      </c>
      <c r="AU435" s="844">
        <v>49497</v>
      </c>
      <c r="AV435" s="844">
        <v>50487</v>
      </c>
      <c r="AW435" s="844">
        <v>51497</v>
      </c>
      <c r="AX435" s="844">
        <v>52527</v>
      </c>
      <c r="AY435" s="844">
        <v>53577</v>
      </c>
      <c r="AZ435" s="844">
        <v>54649</v>
      </c>
      <c r="BA435" s="844">
        <v>55742</v>
      </c>
      <c r="BB435" s="844">
        <v>56856</v>
      </c>
      <c r="BC435" s="844">
        <v>57993</v>
      </c>
      <c r="BD435" s="844">
        <v>59153</v>
      </c>
      <c r="BE435" s="844">
        <v>60336</v>
      </c>
      <c r="BF435" s="844">
        <v>61542</v>
      </c>
      <c r="BG435" s="844">
        <v>62773</v>
      </c>
      <c r="BH435" s="844">
        <v>64028</v>
      </c>
      <c r="BI435" s="844">
        <v>65308</v>
      </c>
      <c r="BJ435" s="844">
        <v>66610</v>
      </c>
      <c r="BK435" s="844">
        <v>67925</v>
      </c>
      <c r="BL435" s="844">
        <v>69253</v>
      </c>
      <c r="BM435" s="844">
        <v>70593</v>
      </c>
      <c r="BN435" s="844">
        <v>71944</v>
      </c>
      <c r="BO435" s="844">
        <v>73305</v>
      </c>
      <c r="BP435" s="844">
        <v>74676</v>
      </c>
      <c r="BQ435" s="844">
        <v>76056</v>
      </c>
      <c r="BR435" s="844">
        <v>77444</v>
      </c>
      <c r="BS435" s="844">
        <v>78839</v>
      </c>
      <c r="BT435" s="844">
        <v>80241</v>
      </c>
      <c r="BU435" s="844">
        <v>81649</v>
      </c>
      <c r="BV435" s="844">
        <v>83061</v>
      </c>
      <c r="BW435" s="844">
        <v>84478</v>
      </c>
      <c r="BX435" s="844">
        <v>85899</v>
      </c>
      <c r="BY435" s="844">
        <v>87323</v>
      </c>
      <c r="BZ435" s="844">
        <v>88750</v>
      </c>
      <c r="CA435" s="844">
        <v>90179</v>
      </c>
      <c r="CB435" s="844">
        <v>91609</v>
      </c>
      <c r="CC435" s="844">
        <v>93041</v>
      </c>
      <c r="CD435" s="844">
        <v>94460</v>
      </c>
      <c r="CE435" s="844">
        <v>95400</v>
      </c>
      <c r="CF435" s="844">
        <v>0</v>
      </c>
      <c r="CG435" s="844">
        <v>0</v>
      </c>
      <c r="CH435" s="844">
        <v>0</v>
      </c>
      <c r="CI435" s="844">
        <v>0</v>
      </c>
      <c r="CJ435" s="844">
        <v>0</v>
      </c>
      <c r="CK435" s="844">
        <v>0</v>
      </c>
      <c r="CL435" s="844">
        <v>0</v>
      </c>
      <c r="CM435" s="844">
        <v>0</v>
      </c>
      <c r="CN435" s="844">
        <v>0</v>
      </c>
      <c r="CO435" s="844">
        <v>0</v>
      </c>
      <c r="CP435" s="844">
        <v>0</v>
      </c>
      <c r="CQ435" s="844">
        <v>0</v>
      </c>
      <c r="CR435" s="844">
        <v>0</v>
      </c>
      <c r="CS435" s="844">
        <v>0</v>
      </c>
      <c r="CT435" s="844">
        <v>0</v>
      </c>
      <c r="CU435" s="844">
        <v>0</v>
      </c>
      <c r="CV435" s="844">
        <v>0</v>
      </c>
      <c r="CW435" s="844">
        <v>0</v>
      </c>
      <c r="CX435" s="844">
        <v>0</v>
      </c>
      <c r="CY435" s="844">
        <v>0</v>
      </c>
      <c r="CZ435" s="844">
        <v>0</v>
      </c>
      <c r="DA435" s="844">
        <v>0</v>
      </c>
      <c r="DB435" s="844">
        <v>0</v>
      </c>
      <c r="DC435" s="844">
        <v>0</v>
      </c>
      <c r="DD435" s="844">
        <v>0</v>
      </c>
      <c r="DE435" s="844">
        <v>0</v>
      </c>
      <c r="DF435" s="844">
        <v>0</v>
      </c>
      <c r="DG435" s="844">
        <v>0</v>
      </c>
      <c r="DH435" s="844">
        <v>0</v>
      </c>
      <c r="DI435" s="844">
        <v>0</v>
      </c>
      <c r="DJ435" s="844">
        <v>0</v>
      </c>
      <c r="DK435" s="844">
        <v>0</v>
      </c>
      <c r="DL435" s="844">
        <v>0</v>
      </c>
      <c r="DM435" s="844">
        <v>0</v>
      </c>
      <c r="DN435" s="844">
        <v>0</v>
      </c>
      <c r="DO435" s="844">
        <v>0</v>
      </c>
      <c r="DP435" s="844">
        <v>0</v>
      </c>
      <c r="DQ435" s="844">
        <v>0</v>
      </c>
      <c r="DR435" s="844">
        <v>0</v>
      </c>
      <c r="DS435" s="844">
        <v>0</v>
      </c>
      <c r="DT435" s="844">
        <v>0</v>
      </c>
      <c r="DU435" s="844">
        <v>0</v>
      </c>
      <c r="DV435" s="844">
        <v>0</v>
      </c>
      <c r="DW435" s="844">
        <v>0</v>
      </c>
      <c r="DY435" s="846" t="s">
        <v>1060</v>
      </c>
      <c r="DZ435" s="846" t="s">
        <v>1382</v>
      </c>
      <c r="EA435" s="846" t="s">
        <v>97</v>
      </c>
      <c r="EB435" s="847">
        <v>44</v>
      </c>
      <c r="EC435" s="780" t="str">
        <f t="shared" si="15"/>
        <v>IWT060244</v>
      </c>
      <c r="ED435" s="847">
        <v>0</v>
      </c>
      <c r="EE435" s="847">
        <v>3125</v>
      </c>
      <c r="EF435" s="847">
        <v>8324</v>
      </c>
      <c r="EG435" s="847">
        <v>13626</v>
      </c>
      <c r="EH435" s="847">
        <v>19034</v>
      </c>
      <c r="EI435" s="847">
        <v>24550</v>
      </c>
      <c r="EJ435" s="847">
        <v>30177</v>
      </c>
      <c r="EK435" s="847">
        <v>30777</v>
      </c>
      <c r="EL435" s="847">
        <v>31390</v>
      </c>
      <c r="EM435" s="847">
        <v>32017</v>
      </c>
      <c r="EN435" s="847">
        <v>32658</v>
      </c>
      <c r="EO435" s="847">
        <v>33311</v>
      </c>
      <c r="EP435" s="847">
        <v>33977</v>
      </c>
      <c r="EQ435" s="847">
        <v>34656</v>
      </c>
      <c r="ER435" s="847">
        <v>35350</v>
      </c>
      <c r="ES435" s="847">
        <v>36057</v>
      </c>
      <c r="ET435" s="847">
        <v>36778</v>
      </c>
      <c r="EU435" s="847">
        <v>37513</v>
      </c>
      <c r="EV435" s="847">
        <v>38263</v>
      </c>
      <c r="EW435" s="847">
        <v>39029</v>
      </c>
      <c r="EX435" s="847">
        <v>39809</v>
      </c>
      <c r="EY435" s="847">
        <v>40605</v>
      </c>
      <c r="EZ435" s="847">
        <v>41418</v>
      </c>
      <c r="FA435" s="847">
        <v>42246</v>
      </c>
      <c r="FB435" s="847">
        <v>43091</v>
      </c>
      <c r="FC435" s="847">
        <v>43953</v>
      </c>
      <c r="FD435" s="847">
        <v>44832</v>
      </c>
      <c r="FE435" s="847">
        <v>45728</v>
      </c>
      <c r="FF435" s="847">
        <v>46643</v>
      </c>
      <c r="FG435" s="847">
        <v>47575</v>
      </c>
      <c r="FH435" s="847">
        <v>48527</v>
      </c>
      <c r="FI435" s="847">
        <v>49497</v>
      </c>
      <c r="FJ435" s="847">
        <v>50487</v>
      </c>
      <c r="FK435" s="847">
        <v>51497</v>
      </c>
      <c r="FL435" s="847">
        <v>52527</v>
      </c>
      <c r="FM435" s="847">
        <v>53577</v>
      </c>
      <c r="FN435" s="847">
        <v>54649</v>
      </c>
      <c r="FO435" s="847">
        <v>55742</v>
      </c>
      <c r="FP435" s="847">
        <v>56856</v>
      </c>
      <c r="FQ435" s="847">
        <v>57993</v>
      </c>
      <c r="FR435" s="847">
        <v>59153</v>
      </c>
      <c r="FS435" s="847">
        <v>60336</v>
      </c>
      <c r="FT435" s="847">
        <v>61542</v>
      </c>
      <c r="FU435" s="847">
        <v>62773</v>
      </c>
      <c r="FV435" s="847">
        <v>64028</v>
      </c>
      <c r="FW435" s="847">
        <v>65308</v>
      </c>
      <c r="FX435" s="847">
        <v>66610</v>
      </c>
      <c r="FY435" s="847">
        <v>67925</v>
      </c>
      <c r="FZ435" s="847">
        <v>69253</v>
      </c>
      <c r="GA435" s="847">
        <v>70593</v>
      </c>
      <c r="GB435" s="847">
        <v>71944</v>
      </c>
      <c r="GC435" s="847">
        <v>73305</v>
      </c>
      <c r="GD435" s="847">
        <v>74676</v>
      </c>
      <c r="GE435" s="847">
        <v>76056</v>
      </c>
      <c r="GF435" s="847">
        <v>77444</v>
      </c>
      <c r="GG435" s="847">
        <v>78839</v>
      </c>
      <c r="GH435" s="847">
        <v>80241</v>
      </c>
      <c r="GI435" s="847">
        <v>81649</v>
      </c>
      <c r="GJ435" s="847">
        <v>83061</v>
      </c>
      <c r="GK435" s="847">
        <v>84478</v>
      </c>
      <c r="GL435" s="847">
        <v>85899</v>
      </c>
      <c r="GM435" s="847">
        <v>87323</v>
      </c>
      <c r="GN435" s="847">
        <v>88750</v>
      </c>
      <c r="GO435" s="847">
        <v>90179</v>
      </c>
      <c r="GP435" s="847">
        <v>91609</v>
      </c>
      <c r="GQ435" s="847">
        <v>93041</v>
      </c>
      <c r="GR435" s="847">
        <v>94460</v>
      </c>
      <c r="GS435" s="847">
        <v>95400</v>
      </c>
      <c r="GT435" s="847">
        <v>0</v>
      </c>
      <c r="GU435" s="847">
        <v>0</v>
      </c>
      <c r="GV435" s="847">
        <v>0</v>
      </c>
      <c r="GW435" s="847">
        <v>0</v>
      </c>
      <c r="GX435" s="847">
        <v>0</v>
      </c>
      <c r="GY435" s="847">
        <v>0</v>
      </c>
      <c r="GZ435" s="847">
        <v>0</v>
      </c>
      <c r="HA435" s="847">
        <v>0</v>
      </c>
      <c r="HB435" s="847">
        <v>0</v>
      </c>
      <c r="HC435" s="847">
        <v>0</v>
      </c>
      <c r="HD435" s="847">
        <v>0</v>
      </c>
      <c r="HE435" s="847">
        <v>0</v>
      </c>
      <c r="HF435" s="847">
        <v>0</v>
      </c>
      <c r="HG435" s="847">
        <v>0</v>
      </c>
      <c r="HH435" s="847">
        <v>0</v>
      </c>
      <c r="HI435" s="847">
        <v>0</v>
      </c>
      <c r="HJ435" s="847">
        <v>0</v>
      </c>
      <c r="HK435" s="847">
        <v>0</v>
      </c>
      <c r="HL435" s="847">
        <v>0</v>
      </c>
      <c r="HM435" s="847">
        <v>0</v>
      </c>
      <c r="HN435" s="847">
        <v>0</v>
      </c>
      <c r="HO435" s="847">
        <v>0</v>
      </c>
      <c r="HP435" s="847">
        <v>0</v>
      </c>
      <c r="HQ435" s="847">
        <v>0</v>
      </c>
      <c r="HR435" s="847">
        <v>0</v>
      </c>
      <c r="HS435" s="847">
        <v>0</v>
      </c>
      <c r="HT435" s="847">
        <v>0</v>
      </c>
      <c r="HU435" s="847">
        <v>0</v>
      </c>
      <c r="HV435" s="847">
        <v>0</v>
      </c>
      <c r="HW435" s="847">
        <v>0</v>
      </c>
      <c r="HX435" s="847">
        <v>0</v>
      </c>
      <c r="HY435" s="847">
        <v>0</v>
      </c>
      <c r="HZ435" s="847">
        <v>0</v>
      </c>
      <c r="IA435" s="847">
        <v>0</v>
      </c>
      <c r="IB435" s="847">
        <v>0</v>
      </c>
      <c r="IC435" s="847">
        <v>0</v>
      </c>
      <c r="ID435" s="847">
        <v>0</v>
      </c>
      <c r="IE435" s="847">
        <v>0</v>
      </c>
      <c r="IF435" s="847">
        <v>0</v>
      </c>
      <c r="IG435" s="847">
        <v>0</v>
      </c>
      <c r="IH435" s="847">
        <v>0</v>
      </c>
      <c r="II435" s="847">
        <v>0</v>
      </c>
      <c r="IJ435" s="847">
        <v>0</v>
      </c>
      <c r="IK435" s="847">
        <v>0</v>
      </c>
    </row>
    <row r="436" spans="12:245" hidden="1">
      <c r="L436" s="843" t="s">
        <v>1060</v>
      </c>
      <c r="M436" s="843" t="s">
        <v>1382</v>
      </c>
      <c r="N436" s="843" t="s">
        <v>97</v>
      </c>
      <c r="O436" s="844">
        <v>45</v>
      </c>
      <c r="P436" s="780" t="str">
        <f t="shared" si="14"/>
        <v>IWT060245</v>
      </c>
      <c r="Q436" s="844">
        <v>2343</v>
      </c>
      <c r="R436" s="844">
        <v>6661</v>
      </c>
      <c r="S436" s="844">
        <v>11587</v>
      </c>
      <c r="T436" s="844">
        <v>17139</v>
      </c>
      <c r="U436" s="844">
        <v>23334</v>
      </c>
      <c r="V436" s="844">
        <v>29890</v>
      </c>
      <c r="W436" s="844">
        <v>30792</v>
      </c>
      <c r="X436" s="844">
        <v>31405</v>
      </c>
      <c r="Y436" s="844">
        <v>32032</v>
      </c>
      <c r="Z436" s="844">
        <v>32673</v>
      </c>
      <c r="AA436" s="844">
        <v>33327</v>
      </c>
      <c r="AB436" s="844">
        <v>33993</v>
      </c>
      <c r="AC436" s="844">
        <v>34673</v>
      </c>
      <c r="AD436" s="844">
        <v>35366</v>
      </c>
      <c r="AE436" s="844">
        <v>36074</v>
      </c>
      <c r="AF436" s="844">
        <v>36795</v>
      </c>
      <c r="AG436" s="844">
        <v>37531</v>
      </c>
      <c r="AH436" s="844">
        <v>38282</v>
      </c>
      <c r="AI436" s="844">
        <v>39047</v>
      </c>
      <c r="AJ436" s="844">
        <v>39828</v>
      </c>
      <c r="AK436" s="844">
        <v>40625</v>
      </c>
      <c r="AL436" s="844">
        <v>41437</v>
      </c>
      <c r="AM436" s="844">
        <v>42266</v>
      </c>
      <c r="AN436" s="844">
        <v>43111</v>
      </c>
      <c r="AO436" s="844">
        <v>43973</v>
      </c>
      <c r="AP436" s="844">
        <v>44853</v>
      </c>
      <c r="AQ436" s="844">
        <v>45750</v>
      </c>
      <c r="AR436" s="844">
        <v>46665</v>
      </c>
      <c r="AS436" s="844">
        <v>47598</v>
      </c>
      <c r="AT436" s="844">
        <v>48550</v>
      </c>
      <c r="AU436" s="844">
        <v>49521</v>
      </c>
      <c r="AV436" s="844">
        <v>50511</v>
      </c>
      <c r="AW436" s="844">
        <v>51521</v>
      </c>
      <c r="AX436" s="844">
        <v>52552</v>
      </c>
      <c r="AY436" s="844">
        <v>53603</v>
      </c>
      <c r="AZ436" s="844">
        <v>54675</v>
      </c>
      <c r="BA436" s="844">
        <v>55768</v>
      </c>
      <c r="BB436" s="844">
        <v>56883</v>
      </c>
      <c r="BC436" s="844">
        <v>58021</v>
      </c>
      <c r="BD436" s="844">
        <v>59181</v>
      </c>
      <c r="BE436" s="844">
        <v>60364</v>
      </c>
      <c r="BF436" s="844">
        <v>61571</v>
      </c>
      <c r="BG436" s="844">
        <v>62803</v>
      </c>
      <c r="BH436" s="844">
        <v>64058</v>
      </c>
      <c r="BI436" s="844">
        <v>65339</v>
      </c>
      <c r="BJ436" s="844">
        <v>66645</v>
      </c>
      <c r="BK436" s="844">
        <v>67963</v>
      </c>
      <c r="BL436" s="844">
        <v>69295</v>
      </c>
      <c r="BM436" s="844">
        <v>70637</v>
      </c>
      <c r="BN436" s="844">
        <v>71991</v>
      </c>
      <c r="BO436" s="844">
        <v>73355</v>
      </c>
      <c r="BP436" s="844">
        <v>74728</v>
      </c>
      <c r="BQ436" s="844">
        <v>76109</v>
      </c>
      <c r="BR436" s="844">
        <v>77498</v>
      </c>
      <c r="BS436" s="844">
        <v>78894</v>
      </c>
      <c r="BT436" s="844">
        <v>80296</v>
      </c>
      <c r="BU436" s="844">
        <v>81703</v>
      </c>
      <c r="BV436" s="844">
        <v>83116</v>
      </c>
      <c r="BW436" s="844">
        <v>84532</v>
      </c>
      <c r="BX436" s="844">
        <v>85952</v>
      </c>
      <c r="BY436" s="844">
        <v>87375</v>
      </c>
      <c r="BZ436" s="844">
        <v>88801</v>
      </c>
      <c r="CA436" s="844">
        <v>90228</v>
      </c>
      <c r="CB436" s="844">
        <v>91657</v>
      </c>
      <c r="CC436" s="844">
        <v>93074</v>
      </c>
      <c r="CD436" s="844">
        <v>94000</v>
      </c>
      <c r="CE436" s="844">
        <v>0</v>
      </c>
      <c r="CF436" s="844">
        <v>0</v>
      </c>
      <c r="CG436" s="844">
        <v>0</v>
      </c>
      <c r="CH436" s="844">
        <v>0</v>
      </c>
      <c r="CI436" s="844">
        <v>0</v>
      </c>
      <c r="CJ436" s="844">
        <v>0</v>
      </c>
      <c r="CK436" s="844">
        <v>0</v>
      </c>
      <c r="CL436" s="844">
        <v>0</v>
      </c>
      <c r="CM436" s="844">
        <v>0</v>
      </c>
      <c r="CN436" s="844">
        <v>0</v>
      </c>
      <c r="CO436" s="844">
        <v>0</v>
      </c>
      <c r="CP436" s="844">
        <v>0</v>
      </c>
      <c r="CQ436" s="844">
        <v>0</v>
      </c>
      <c r="CR436" s="844">
        <v>0</v>
      </c>
      <c r="CS436" s="844">
        <v>0</v>
      </c>
      <c r="CT436" s="844">
        <v>0</v>
      </c>
      <c r="CU436" s="844">
        <v>0</v>
      </c>
      <c r="CV436" s="844">
        <v>0</v>
      </c>
      <c r="CW436" s="844">
        <v>0</v>
      </c>
      <c r="CX436" s="844">
        <v>0</v>
      </c>
      <c r="CY436" s="844">
        <v>0</v>
      </c>
      <c r="CZ436" s="844">
        <v>0</v>
      </c>
      <c r="DA436" s="844">
        <v>0</v>
      </c>
      <c r="DB436" s="844">
        <v>0</v>
      </c>
      <c r="DC436" s="844">
        <v>0</v>
      </c>
      <c r="DD436" s="844">
        <v>0</v>
      </c>
      <c r="DE436" s="844">
        <v>0</v>
      </c>
      <c r="DF436" s="844">
        <v>0</v>
      </c>
      <c r="DG436" s="844">
        <v>0</v>
      </c>
      <c r="DH436" s="844">
        <v>0</v>
      </c>
      <c r="DI436" s="844">
        <v>0</v>
      </c>
      <c r="DJ436" s="844">
        <v>0</v>
      </c>
      <c r="DK436" s="844">
        <v>0</v>
      </c>
      <c r="DL436" s="844">
        <v>0</v>
      </c>
      <c r="DM436" s="844">
        <v>0</v>
      </c>
      <c r="DN436" s="844">
        <v>0</v>
      </c>
      <c r="DO436" s="844">
        <v>0</v>
      </c>
      <c r="DP436" s="844">
        <v>0</v>
      </c>
      <c r="DQ436" s="844">
        <v>0</v>
      </c>
      <c r="DR436" s="844">
        <v>0</v>
      </c>
      <c r="DS436" s="844">
        <v>0</v>
      </c>
      <c r="DT436" s="844">
        <v>0</v>
      </c>
      <c r="DU436" s="844">
        <v>0</v>
      </c>
      <c r="DV436" s="844">
        <v>0</v>
      </c>
      <c r="DW436" s="844">
        <v>0</v>
      </c>
      <c r="DY436" s="846" t="s">
        <v>1060</v>
      </c>
      <c r="DZ436" s="846" t="s">
        <v>1382</v>
      </c>
      <c r="EA436" s="846" t="s">
        <v>97</v>
      </c>
      <c r="EB436" s="847">
        <v>45</v>
      </c>
      <c r="EC436" s="780" t="str">
        <f t="shared" si="15"/>
        <v>IWT060245</v>
      </c>
      <c r="ED436" s="847">
        <v>0</v>
      </c>
      <c r="EE436" s="847">
        <v>3124</v>
      </c>
      <c r="EF436" s="847">
        <v>8326</v>
      </c>
      <c r="EG436" s="847">
        <v>13632</v>
      </c>
      <c r="EH436" s="847">
        <v>19043</v>
      </c>
      <c r="EI436" s="847">
        <v>24562</v>
      </c>
      <c r="EJ436" s="847">
        <v>30192</v>
      </c>
      <c r="EK436" s="847">
        <v>30792</v>
      </c>
      <c r="EL436" s="847">
        <v>31405</v>
      </c>
      <c r="EM436" s="847">
        <v>32032</v>
      </c>
      <c r="EN436" s="847">
        <v>32673</v>
      </c>
      <c r="EO436" s="847">
        <v>33327</v>
      </c>
      <c r="EP436" s="847">
        <v>33993</v>
      </c>
      <c r="EQ436" s="847">
        <v>34673</v>
      </c>
      <c r="ER436" s="847">
        <v>35366</v>
      </c>
      <c r="ES436" s="847">
        <v>36074</v>
      </c>
      <c r="ET436" s="847">
        <v>36795</v>
      </c>
      <c r="EU436" s="847">
        <v>37531</v>
      </c>
      <c r="EV436" s="847">
        <v>38282</v>
      </c>
      <c r="EW436" s="847">
        <v>39047</v>
      </c>
      <c r="EX436" s="847">
        <v>39828</v>
      </c>
      <c r="EY436" s="847">
        <v>40625</v>
      </c>
      <c r="EZ436" s="847">
        <v>41437</v>
      </c>
      <c r="FA436" s="847">
        <v>42266</v>
      </c>
      <c r="FB436" s="847">
        <v>43111</v>
      </c>
      <c r="FC436" s="847">
        <v>43973</v>
      </c>
      <c r="FD436" s="847">
        <v>44853</v>
      </c>
      <c r="FE436" s="847">
        <v>45750</v>
      </c>
      <c r="FF436" s="847">
        <v>46665</v>
      </c>
      <c r="FG436" s="847">
        <v>47598</v>
      </c>
      <c r="FH436" s="847">
        <v>48550</v>
      </c>
      <c r="FI436" s="847">
        <v>49521</v>
      </c>
      <c r="FJ436" s="847">
        <v>50511</v>
      </c>
      <c r="FK436" s="847">
        <v>51521</v>
      </c>
      <c r="FL436" s="847">
        <v>52552</v>
      </c>
      <c r="FM436" s="847">
        <v>53603</v>
      </c>
      <c r="FN436" s="847">
        <v>54675</v>
      </c>
      <c r="FO436" s="847">
        <v>55768</v>
      </c>
      <c r="FP436" s="847">
        <v>56883</v>
      </c>
      <c r="FQ436" s="847">
        <v>58021</v>
      </c>
      <c r="FR436" s="847">
        <v>59181</v>
      </c>
      <c r="FS436" s="847">
        <v>60364</v>
      </c>
      <c r="FT436" s="847">
        <v>61571</v>
      </c>
      <c r="FU436" s="847">
        <v>62803</v>
      </c>
      <c r="FV436" s="847">
        <v>64058</v>
      </c>
      <c r="FW436" s="847">
        <v>65339</v>
      </c>
      <c r="FX436" s="847">
        <v>66645</v>
      </c>
      <c r="FY436" s="847">
        <v>67963</v>
      </c>
      <c r="FZ436" s="847">
        <v>69295</v>
      </c>
      <c r="GA436" s="847">
        <v>70637</v>
      </c>
      <c r="GB436" s="847">
        <v>71991</v>
      </c>
      <c r="GC436" s="847">
        <v>73355</v>
      </c>
      <c r="GD436" s="847">
        <v>74728</v>
      </c>
      <c r="GE436" s="847">
        <v>76109</v>
      </c>
      <c r="GF436" s="847">
        <v>77498</v>
      </c>
      <c r="GG436" s="847">
        <v>78894</v>
      </c>
      <c r="GH436" s="847">
        <v>80296</v>
      </c>
      <c r="GI436" s="847">
        <v>81703</v>
      </c>
      <c r="GJ436" s="847">
        <v>83116</v>
      </c>
      <c r="GK436" s="847">
        <v>84532</v>
      </c>
      <c r="GL436" s="847">
        <v>85952</v>
      </c>
      <c r="GM436" s="847">
        <v>87375</v>
      </c>
      <c r="GN436" s="847">
        <v>88801</v>
      </c>
      <c r="GO436" s="847">
        <v>90228</v>
      </c>
      <c r="GP436" s="847">
        <v>91657</v>
      </c>
      <c r="GQ436" s="847">
        <v>93074</v>
      </c>
      <c r="GR436" s="847">
        <v>94000</v>
      </c>
      <c r="GS436" s="847">
        <v>0</v>
      </c>
      <c r="GT436" s="847">
        <v>0</v>
      </c>
      <c r="GU436" s="847">
        <v>0</v>
      </c>
      <c r="GV436" s="847">
        <v>0</v>
      </c>
      <c r="GW436" s="847">
        <v>0</v>
      </c>
      <c r="GX436" s="847">
        <v>0</v>
      </c>
      <c r="GY436" s="847">
        <v>0</v>
      </c>
      <c r="GZ436" s="847">
        <v>0</v>
      </c>
      <c r="HA436" s="847">
        <v>0</v>
      </c>
      <c r="HB436" s="847">
        <v>0</v>
      </c>
      <c r="HC436" s="847">
        <v>0</v>
      </c>
      <c r="HD436" s="847">
        <v>0</v>
      </c>
      <c r="HE436" s="847">
        <v>0</v>
      </c>
      <c r="HF436" s="847">
        <v>0</v>
      </c>
      <c r="HG436" s="847">
        <v>0</v>
      </c>
      <c r="HH436" s="847">
        <v>0</v>
      </c>
      <c r="HI436" s="847">
        <v>0</v>
      </c>
      <c r="HJ436" s="847">
        <v>0</v>
      </c>
      <c r="HK436" s="847">
        <v>0</v>
      </c>
      <c r="HL436" s="847">
        <v>0</v>
      </c>
      <c r="HM436" s="847">
        <v>0</v>
      </c>
      <c r="HN436" s="847">
        <v>0</v>
      </c>
      <c r="HO436" s="847">
        <v>0</v>
      </c>
      <c r="HP436" s="847">
        <v>0</v>
      </c>
      <c r="HQ436" s="847">
        <v>0</v>
      </c>
      <c r="HR436" s="847">
        <v>0</v>
      </c>
      <c r="HS436" s="847">
        <v>0</v>
      </c>
      <c r="HT436" s="847">
        <v>0</v>
      </c>
      <c r="HU436" s="847">
        <v>0</v>
      </c>
      <c r="HV436" s="847">
        <v>0</v>
      </c>
      <c r="HW436" s="847">
        <v>0</v>
      </c>
      <c r="HX436" s="847">
        <v>0</v>
      </c>
      <c r="HY436" s="847">
        <v>0</v>
      </c>
      <c r="HZ436" s="847">
        <v>0</v>
      </c>
      <c r="IA436" s="847">
        <v>0</v>
      </c>
      <c r="IB436" s="847">
        <v>0</v>
      </c>
      <c r="IC436" s="847">
        <v>0</v>
      </c>
      <c r="ID436" s="847">
        <v>0</v>
      </c>
      <c r="IE436" s="847">
        <v>0</v>
      </c>
      <c r="IF436" s="847">
        <v>0</v>
      </c>
      <c r="IG436" s="847">
        <v>0</v>
      </c>
      <c r="IH436" s="847">
        <v>0</v>
      </c>
      <c r="II436" s="847">
        <v>0</v>
      </c>
      <c r="IJ436" s="847">
        <v>0</v>
      </c>
      <c r="IK436" s="847">
        <v>0</v>
      </c>
    </row>
    <row r="437" spans="12:245" hidden="1">
      <c r="L437" s="843" t="s">
        <v>1060</v>
      </c>
      <c r="M437" s="843" t="s">
        <v>1382</v>
      </c>
      <c r="N437" s="843" t="s">
        <v>97</v>
      </c>
      <c r="O437" s="844">
        <v>46</v>
      </c>
      <c r="P437" s="780" t="str">
        <f t="shared" si="14"/>
        <v>IWT060246</v>
      </c>
      <c r="Q437" s="844">
        <v>2343</v>
      </c>
      <c r="R437" s="844">
        <v>6662</v>
      </c>
      <c r="S437" s="844">
        <v>11591</v>
      </c>
      <c r="T437" s="844">
        <v>17146</v>
      </c>
      <c r="U437" s="844">
        <v>23344</v>
      </c>
      <c r="V437" s="844">
        <v>29904</v>
      </c>
      <c r="W437" s="844">
        <v>30806</v>
      </c>
      <c r="X437" s="844">
        <v>31419</v>
      </c>
      <c r="Y437" s="844">
        <v>32046</v>
      </c>
      <c r="Z437" s="844">
        <v>32687</v>
      </c>
      <c r="AA437" s="844">
        <v>33341</v>
      </c>
      <c r="AB437" s="844">
        <v>34008</v>
      </c>
      <c r="AC437" s="844">
        <v>34688</v>
      </c>
      <c r="AD437" s="844">
        <v>35382</v>
      </c>
      <c r="AE437" s="844">
        <v>36089</v>
      </c>
      <c r="AF437" s="844">
        <v>36811</v>
      </c>
      <c r="AG437" s="844">
        <v>37547</v>
      </c>
      <c r="AH437" s="844">
        <v>38298</v>
      </c>
      <c r="AI437" s="844">
        <v>39064</v>
      </c>
      <c r="AJ437" s="844">
        <v>39845</v>
      </c>
      <c r="AK437" s="844">
        <v>40642</v>
      </c>
      <c r="AL437" s="844">
        <v>41455</v>
      </c>
      <c r="AM437" s="844">
        <v>42284</v>
      </c>
      <c r="AN437" s="844">
        <v>43130</v>
      </c>
      <c r="AO437" s="844">
        <v>43992</v>
      </c>
      <c r="AP437" s="844">
        <v>44872</v>
      </c>
      <c r="AQ437" s="844">
        <v>45770</v>
      </c>
      <c r="AR437" s="844">
        <v>46685</v>
      </c>
      <c r="AS437" s="844">
        <v>47619</v>
      </c>
      <c r="AT437" s="844">
        <v>48571</v>
      </c>
      <c r="AU437" s="844">
        <v>49542</v>
      </c>
      <c r="AV437" s="844">
        <v>50533</v>
      </c>
      <c r="AW437" s="844">
        <v>51544</v>
      </c>
      <c r="AX437" s="844">
        <v>52574</v>
      </c>
      <c r="AY437" s="844">
        <v>53626</v>
      </c>
      <c r="AZ437" s="844">
        <v>54698</v>
      </c>
      <c r="BA437" s="844">
        <v>55792</v>
      </c>
      <c r="BB437" s="844">
        <v>56908</v>
      </c>
      <c r="BC437" s="844">
        <v>58046</v>
      </c>
      <c r="BD437" s="844">
        <v>59206</v>
      </c>
      <c r="BE437" s="844">
        <v>60390</v>
      </c>
      <c r="BF437" s="844">
        <v>61598</v>
      </c>
      <c r="BG437" s="844">
        <v>62829</v>
      </c>
      <c r="BH437" s="844">
        <v>64086</v>
      </c>
      <c r="BI437" s="844">
        <v>65367</v>
      </c>
      <c r="BJ437" s="844">
        <v>66674</v>
      </c>
      <c r="BK437" s="844">
        <v>67996</v>
      </c>
      <c r="BL437" s="844">
        <v>69331</v>
      </c>
      <c r="BM437" s="844">
        <v>70677</v>
      </c>
      <c r="BN437" s="844">
        <v>72033</v>
      </c>
      <c r="BO437" s="844">
        <v>73399</v>
      </c>
      <c r="BP437" s="844">
        <v>74774</v>
      </c>
      <c r="BQ437" s="844">
        <v>76156</v>
      </c>
      <c r="BR437" s="844">
        <v>77546</v>
      </c>
      <c r="BS437" s="844">
        <v>78943</v>
      </c>
      <c r="BT437" s="844">
        <v>80345</v>
      </c>
      <c r="BU437" s="844">
        <v>81753</v>
      </c>
      <c r="BV437" s="844">
        <v>83165</v>
      </c>
      <c r="BW437" s="844">
        <v>84581</v>
      </c>
      <c r="BX437" s="844">
        <v>86000</v>
      </c>
      <c r="BY437" s="844">
        <v>87422</v>
      </c>
      <c r="BZ437" s="844">
        <v>88847</v>
      </c>
      <c r="CA437" s="844">
        <v>90272</v>
      </c>
      <c r="CB437" s="844">
        <v>91688</v>
      </c>
      <c r="CC437" s="844">
        <v>92600</v>
      </c>
      <c r="CD437" s="844">
        <v>0</v>
      </c>
      <c r="CE437" s="844">
        <v>0</v>
      </c>
      <c r="CF437" s="844">
        <v>0</v>
      </c>
      <c r="CG437" s="844">
        <v>0</v>
      </c>
      <c r="CH437" s="844">
        <v>0</v>
      </c>
      <c r="CI437" s="844">
        <v>0</v>
      </c>
      <c r="CJ437" s="844">
        <v>0</v>
      </c>
      <c r="CK437" s="844">
        <v>0</v>
      </c>
      <c r="CL437" s="844">
        <v>0</v>
      </c>
      <c r="CM437" s="844">
        <v>0</v>
      </c>
      <c r="CN437" s="844">
        <v>0</v>
      </c>
      <c r="CO437" s="844">
        <v>0</v>
      </c>
      <c r="CP437" s="844">
        <v>0</v>
      </c>
      <c r="CQ437" s="844">
        <v>0</v>
      </c>
      <c r="CR437" s="844">
        <v>0</v>
      </c>
      <c r="CS437" s="844">
        <v>0</v>
      </c>
      <c r="CT437" s="844">
        <v>0</v>
      </c>
      <c r="CU437" s="844">
        <v>0</v>
      </c>
      <c r="CV437" s="844">
        <v>0</v>
      </c>
      <c r="CW437" s="844">
        <v>0</v>
      </c>
      <c r="CX437" s="844">
        <v>0</v>
      </c>
      <c r="CY437" s="844">
        <v>0</v>
      </c>
      <c r="CZ437" s="844">
        <v>0</v>
      </c>
      <c r="DA437" s="844">
        <v>0</v>
      </c>
      <c r="DB437" s="844">
        <v>0</v>
      </c>
      <c r="DC437" s="844">
        <v>0</v>
      </c>
      <c r="DD437" s="844">
        <v>0</v>
      </c>
      <c r="DE437" s="844">
        <v>0</v>
      </c>
      <c r="DF437" s="844">
        <v>0</v>
      </c>
      <c r="DG437" s="844">
        <v>0</v>
      </c>
      <c r="DH437" s="844">
        <v>0</v>
      </c>
      <c r="DI437" s="844">
        <v>0</v>
      </c>
      <c r="DJ437" s="844">
        <v>0</v>
      </c>
      <c r="DK437" s="844">
        <v>0</v>
      </c>
      <c r="DL437" s="844">
        <v>0</v>
      </c>
      <c r="DM437" s="844">
        <v>0</v>
      </c>
      <c r="DN437" s="844">
        <v>0</v>
      </c>
      <c r="DO437" s="844">
        <v>0</v>
      </c>
      <c r="DP437" s="844">
        <v>0</v>
      </c>
      <c r="DQ437" s="844">
        <v>0</v>
      </c>
      <c r="DR437" s="844">
        <v>0</v>
      </c>
      <c r="DS437" s="844">
        <v>0</v>
      </c>
      <c r="DT437" s="844">
        <v>0</v>
      </c>
      <c r="DU437" s="844">
        <v>0</v>
      </c>
      <c r="DV437" s="844">
        <v>0</v>
      </c>
      <c r="DW437" s="844">
        <v>0</v>
      </c>
      <c r="DY437" s="846" t="s">
        <v>1060</v>
      </c>
      <c r="DZ437" s="846" t="s">
        <v>1382</v>
      </c>
      <c r="EA437" s="846" t="s">
        <v>97</v>
      </c>
      <c r="EB437" s="847">
        <v>46</v>
      </c>
      <c r="EC437" s="780" t="str">
        <f t="shared" si="15"/>
        <v>IWT060246</v>
      </c>
      <c r="ED437" s="847">
        <v>0</v>
      </c>
      <c r="EE437" s="847">
        <v>3124</v>
      </c>
      <c r="EF437" s="847">
        <v>8328</v>
      </c>
      <c r="EG437" s="847">
        <v>13637</v>
      </c>
      <c r="EH437" s="847">
        <v>19051</v>
      </c>
      <c r="EI437" s="847">
        <v>24573</v>
      </c>
      <c r="EJ437" s="847">
        <v>30206</v>
      </c>
      <c r="EK437" s="847">
        <v>30806</v>
      </c>
      <c r="EL437" s="847">
        <v>31419</v>
      </c>
      <c r="EM437" s="847">
        <v>32046</v>
      </c>
      <c r="EN437" s="847">
        <v>32687</v>
      </c>
      <c r="EO437" s="847">
        <v>33341</v>
      </c>
      <c r="EP437" s="847">
        <v>34008</v>
      </c>
      <c r="EQ437" s="847">
        <v>34688</v>
      </c>
      <c r="ER437" s="847">
        <v>35382</v>
      </c>
      <c r="ES437" s="847">
        <v>36089</v>
      </c>
      <c r="ET437" s="847">
        <v>36811</v>
      </c>
      <c r="EU437" s="847">
        <v>37547</v>
      </c>
      <c r="EV437" s="847">
        <v>38298</v>
      </c>
      <c r="EW437" s="847">
        <v>39064</v>
      </c>
      <c r="EX437" s="847">
        <v>39845</v>
      </c>
      <c r="EY437" s="847">
        <v>40642</v>
      </c>
      <c r="EZ437" s="847">
        <v>41455</v>
      </c>
      <c r="FA437" s="847">
        <v>42284</v>
      </c>
      <c r="FB437" s="847">
        <v>43130</v>
      </c>
      <c r="FC437" s="847">
        <v>43992</v>
      </c>
      <c r="FD437" s="847">
        <v>44872</v>
      </c>
      <c r="FE437" s="847">
        <v>45770</v>
      </c>
      <c r="FF437" s="847">
        <v>46685</v>
      </c>
      <c r="FG437" s="847">
        <v>47619</v>
      </c>
      <c r="FH437" s="847">
        <v>48571</v>
      </c>
      <c r="FI437" s="847">
        <v>49542</v>
      </c>
      <c r="FJ437" s="847">
        <v>50533</v>
      </c>
      <c r="FK437" s="847">
        <v>51544</v>
      </c>
      <c r="FL437" s="847">
        <v>52574</v>
      </c>
      <c r="FM437" s="847">
        <v>53626</v>
      </c>
      <c r="FN437" s="847">
        <v>54698</v>
      </c>
      <c r="FO437" s="847">
        <v>55792</v>
      </c>
      <c r="FP437" s="847">
        <v>56908</v>
      </c>
      <c r="FQ437" s="847">
        <v>58046</v>
      </c>
      <c r="FR437" s="847">
        <v>59206</v>
      </c>
      <c r="FS437" s="847">
        <v>60390</v>
      </c>
      <c r="FT437" s="847">
        <v>61598</v>
      </c>
      <c r="FU437" s="847">
        <v>62829</v>
      </c>
      <c r="FV437" s="847">
        <v>64086</v>
      </c>
      <c r="FW437" s="847">
        <v>65367</v>
      </c>
      <c r="FX437" s="847">
        <v>66674</v>
      </c>
      <c r="FY437" s="847">
        <v>67996</v>
      </c>
      <c r="FZ437" s="847">
        <v>69331</v>
      </c>
      <c r="GA437" s="847">
        <v>70677</v>
      </c>
      <c r="GB437" s="847">
        <v>72033</v>
      </c>
      <c r="GC437" s="847">
        <v>73399</v>
      </c>
      <c r="GD437" s="847">
        <v>74774</v>
      </c>
      <c r="GE437" s="847">
        <v>76156</v>
      </c>
      <c r="GF437" s="847">
        <v>77546</v>
      </c>
      <c r="GG437" s="847">
        <v>78943</v>
      </c>
      <c r="GH437" s="847">
        <v>80345</v>
      </c>
      <c r="GI437" s="847">
        <v>81753</v>
      </c>
      <c r="GJ437" s="847">
        <v>83165</v>
      </c>
      <c r="GK437" s="847">
        <v>84581</v>
      </c>
      <c r="GL437" s="847">
        <v>86000</v>
      </c>
      <c r="GM437" s="847">
        <v>87422</v>
      </c>
      <c r="GN437" s="847">
        <v>88847</v>
      </c>
      <c r="GO437" s="847">
        <v>90272</v>
      </c>
      <c r="GP437" s="847">
        <v>91688</v>
      </c>
      <c r="GQ437" s="847">
        <v>92600</v>
      </c>
      <c r="GR437" s="847">
        <v>0</v>
      </c>
      <c r="GS437" s="847">
        <v>0</v>
      </c>
      <c r="GT437" s="847">
        <v>0</v>
      </c>
      <c r="GU437" s="847">
        <v>0</v>
      </c>
      <c r="GV437" s="847">
        <v>0</v>
      </c>
      <c r="GW437" s="847">
        <v>0</v>
      </c>
      <c r="GX437" s="847">
        <v>0</v>
      </c>
      <c r="GY437" s="847">
        <v>0</v>
      </c>
      <c r="GZ437" s="847">
        <v>0</v>
      </c>
      <c r="HA437" s="847">
        <v>0</v>
      </c>
      <c r="HB437" s="847">
        <v>0</v>
      </c>
      <c r="HC437" s="847">
        <v>0</v>
      </c>
      <c r="HD437" s="847">
        <v>0</v>
      </c>
      <c r="HE437" s="847">
        <v>0</v>
      </c>
      <c r="HF437" s="847">
        <v>0</v>
      </c>
      <c r="HG437" s="847">
        <v>0</v>
      </c>
      <c r="HH437" s="847">
        <v>0</v>
      </c>
      <c r="HI437" s="847">
        <v>0</v>
      </c>
      <c r="HJ437" s="847">
        <v>0</v>
      </c>
      <c r="HK437" s="847">
        <v>0</v>
      </c>
      <c r="HL437" s="847">
        <v>0</v>
      </c>
      <c r="HM437" s="847">
        <v>0</v>
      </c>
      <c r="HN437" s="847">
        <v>0</v>
      </c>
      <c r="HO437" s="847">
        <v>0</v>
      </c>
      <c r="HP437" s="847">
        <v>0</v>
      </c>
      <c r="HQ437" s="847">
        <v>0</v>
      </c>
      <c r="HR437" s="847">
        <v>0</v>
      </c>
      <c r="HS437" s="847">
        <v>0</v>
      </c>
      <c r="HT437" s="847">
        <v>0</v>
      </c>
      <c r="HU437" s="847">
        <v>0</v>
      </c>
      <c r="HV437" s="847">
        <v>0</v>
      </c>
      <c r="HW437" s="847">
        <v>0</v>
      </c>
      <c r="HX437" s="847">
        <v>0</v>
      </c>
      <c r="HY437" s="847">
        <v>0</v>
      </c>
      <c r="HZ437" s="847">
        <v>0</v>
      </c>
      <c r="IA437" s="847">
        <v>0</v>
      </c>
      <c r="IB437" s="847">
        <v>0</v>
      </c>
      <c r="IC437" s="847">
        <v>0</v>
      </c>
      <c r="ID437" s="847">
        <v>0</v>
      </c>
      <c r="IE437" s="847">
        <v>0</v>
      </c>
      <c r="IF437" s="847">
        <v>0</v>
      </c>
      <c r="IG437" s="847">
        <v>0</v>
      </c>
      <c r="IH437" s="847">
        <v>0</v>
      </c>
      <c r="II437" s="847">
        <v>0</v>
      </c>
      <c r="IJ437" s="847">
        <v>0</v>
      </c>
      <c r="IK437" s="847">
        <v>0</v>
      </c>
    </row>
    <row r="438" spans="12:245" hidden="1">
      <c r="L438" s="843" t="s">
        <v>1060</v>
      </c>
      <c r="M438" s="843" t="s">
        <v>1382</v>
      </c>
      <c r="N438" s="843" t="s">
        <v>97</v>
      </c>
      <c r="O438" s="844">
        <v>47</v>
      </c>
      <c r="P438" s="780" t="str">
        <f t="shared" si="14"/>
        <v>IWT060247</v>
      </c>
      <c r="Q438" s="844">
        <v>2342</v>
      </c>
      <c r="R438" s="844">
        <v>6664</v>
      </c>
      <c r="S438" s="844">
        <v>11595</v>
      </c>
      <c r="T438" s="844">
        <v>17151</v>
      </c>
      <c r="U438" s="844">
        <v>23353</v>
      </c>
      <c r="V438" s="844">
        <v>29915</v>
      </c>
      <c r="W438" s="844">
        <v>30817</v>
      </c>
      <c r="X438" s="844">
        <v>31431</v>
      </c>
      <c r="Y438" s="844">
        <v>32058</v>
      </c>
      <c r="Z438" s="844">
        <v>32699</v>
      </c>
      <c r="AA438" s="844">
        <v>33353</v>
      </c>
      <c r="AB438" s="844">
        <v>34020</v>
      </c>
      <c r="AC438" s="844">
        <v>34701</v>
      </c>
      <c r="AD438" s="844">
        <v>35395</v>
      </c>
      <c r="AE438" s="844">
        <v>36103</v>
      </c>
      <c r="AF438" s="844">
        <v>36825</v>
      </c>
      <c r="AG438" s="844">
        <v>37561</v>
      </c>
      <c r="AH438" s="844">
        <v>38312</v>
      </c>
      <c r="AI438" s="844">
        <v>39079</v>
      </c>
      <c r="AJ438" s="844">
        <v>39860</v>
      </c>
      <c r="AK438" s="844">
        <v>40657</v>
      </c>
      <c r="AL438" s="844">
        <v>41470</v>
      </c>
      <c r="AM438" s="844">
        <v>42300</v>
      </c>
      <c r="AN438" s="844">
        <v>43146</v>
      </c>
      <c r="AO438" s="844">
        <v>44009</v>
      </c>
      <c r="AP438" s="844">
        <v>44889</v>
      </c>
      <c r="AQ438" s="844">
        <v>45786</v>
      </c>
      <c r="AR438" s="844">
        <v>46702</v>
      </c>
      <c r="AS438" s="844">
        <v>47636</v>
      </c>
      <c r="AT438" s="844">
        <v>48589</v>
      </c>
      <c r="AU438" s="844">
        <v>49560</v>
      </c>
      <c r="AV438" s="844">
        <v>50552</v>
      </c>
      <c r="AW438" s="844">
        <v>51563</v>
      </c>
      <c r="AX438" s="844">
        <v>52594</v>
      </c>
      <c r="AY438" s="844">
        <v>53645</v>
      </c>
      <c r="AZ438" s="844">
        <v>54718</v>
      </c>
      <c r="BA438" s="844">
        <v>55812</v>
      </c>
      <c r="BB438" s="844">
        <v>56928</v>
      </c>
      <c r="BC438" s="844">
        <v>58067</v>
      </c>
      <c r="BD438" s="844">
        <v>59228</v>
      </c>
      <c r="BE438" s="844">
        <v>60412</v>
      </c>
      <c r="BF438" s="844">
        <v>61620</v>
      </c>
      <c r="BG438" s="844">
        <v>62852</v>
      </c>
      <c r="BH438" s="844">
        <v>64109</v>
      </c>
      <c r="BI438" s="844">
        <v>65391</v>
      </c>
      <c r="BJ438" s="844">
        <v>66698</v>
      </c>
      <c r="BK438" s="844">
        <v>68024</v>
      </c>
      <c r="BL438" s="844">
        <v>69362</v>
      </c>
      <c r="BM438" s="844">
        <v>70711</v>
      </c>
      <c r="BN438" s="844">
        <v>72070</v>
      </c>
      <c r="BO438" s="844">
        <v>73438</v>
      </c>
      <c r="BP438" s="844">
        <v>74815</v>
      </c>
      <c r="BQ438" s="844">
        <v>76199</v>
      </c>
      <c r="BR438" s="844">
        <v>77590</v>
      </c>
      <c r="BS438" s="844">
        <v>78988</v>
      </c>
      <c r="BT438" s="844">
        <v>80391</v>
      </c>
      <c r="BU438" s="844">
        <v>81798</v>
      </c>
      <c r="BV438" s="844">
        <v>83210</v>
      </c>
      <c r="BW438" s="844">
        <v>84626</v>
      </c>
      <c r="BX438" s="844">
        <v>86044</v>
      </c>
      <c r="BY438" s="844">
        <v>87465</v>
      </c>
      <c r="BZ438" s="844">
        <v>88888</v>
      </c>
      <c r="CA438" s="844">
        <v>90301</v>
      </c>
      <c r="CB438" s="844">
        <v>91200</v>
      </c>
      <c r="CC438" s="844">
        <v>0</v>
      </c>
      <c r="CD438" s="844">
        <v>0</v>
      </c>
      <c r="CE438" s="844">
        <v>0</v>
      </c>
      <c r="CF438" s="844">
        <v>0</v>
      </c>
      <c r="CG438" s="844">
        <v>0</v>
      </c>
      <c r="CH438" s="844">
        <v>0</v>
      </c>
      <c r="CI438" s="844">
        <v>0</v>
      </c>
      <c r="CJ438" s="844">
        <v>0</v>
      </c>
      <c r="CK438" s="844">
        <v>0</v>
      </c>
      <c r="CL438" s="844">
        <v>0</v>
      </c>
      <c r="CM438" s="844">
        <v>0</v>
      </c>
      <c r="CN438" s="844">
        <v>0</v>
      </c>
      <c r="CO438" s="844">
        <v>0</v>
      </c>
      <c r="CP438" s="844">
        <v>0</v>
      </c>
      <c r="CQ438" s="844">
        <v>0</v>
      </c>
      <c r="CR438" s="844">
        <v>0</v>
      </c>
      <c r="CS438" s="844">
        <v>0</v>
      </c>
      <c r="CT438" s="844">
        <v>0</v>
      </c>
      <c r="CU438" s="844">
        <v>0</v>
      </c>
      <c r="CV438" s="844">
        <v>0</v>
      </c>
      <c r="CW438" s="844">
        <v>0</v>
      </c>
      <c r="CX438" s="844">
        <v>0</v>
      </c>
      <c r="CY438" s="844">
        <v>0</v>
      </c>
      <c r="CZ438" s="844">
        <v>0</v>
      </c>
      <c r="DA438" s="844">
        <v>0</v>
      </c>
      <c r="DB438" s="844">
        <v>0</v>
      </c>
      <c r="DC438" s="844">
        <v>0</v>
      </c>
      <c r="DD438" s="844">
        <v>0</v>
      </c>
      <c r="DE438" s="844">
        <v>0</v>
      </c>
      <c r="DF438" s="844">
        <v>0</v>
      </c>
      <c r="DG438" s="844">
        <v>0</v>
      </c>
      <c r="DH438" s="844">
        <v>0</v>
      </c>
      <c r="DI438" s="844">
        <v>0</v>
      </c>
      <c r="DJ438" s="844">
        <v>0</v>
      </c>
      <c r="DK438" s="844">
        <v>0</v>
      </c>
      <c r="DL438" s="844">
        <v>0</v>
      </c>
      <c r="DM438" s="844">
        <v>0</v>
      </c>
      <c r="DN438" s="844">
        <v>0</v>
      </c>
      <c r="DO438" s="844">
        <v>0</v>
      </c>
      <c r="DP438" s="844">
        <v>0</v>
      </c>
      <c r="DQ438" s="844">
        <v>0</v>
      </c>
      <c r="DR438" s="844">
        <v>0</v>
      </c>
      <c r="DS438" s="844">
        <v>0</v>
      </c>
      <c r="DT438" s="844">
        <v>0</v>
      </c>
      <c r="DU438" s="844">
        <v>0</v>
      </c>
      <c r="DV438" s="844">
        <v>0</v>
      </c>
      <c r="DW438" s="844">
        <v>0</v>
      </c>
      <c r="DY438" s="846" t="s">
        <v>1060</v>
      </c>
      <c r="DZ438" s="846" t="s">
        <v>1382</v>
      </c>
      <c r="EA438" s="846" t="s">
        <v>97</v>
      </c>
      <c r="EB438" s="847">
        <v>47</v>
      </c>
      <c r="EC438" s="780" t="str">
        <f t="shared" si="15"/>
        <v>IWT060247</v>
      </c>
      <c r="ED438" s="847">
        <v>0</v>
      </c>
      <c r="EE438" s="847">
        <v>3122</v>
      </c>
      <c r="EF438" s="847">
        <v>8330</v>
      </c>
      <c r="EG438" s="847">
        <v>13641</v>
      </c>
      <c r="EH438" s="847">
        <v>19057</v>
      </c>
      <c r="EI438" s="847">
        <v>24582</v>
      </c>
      <c r="EJ438" s="847">
        <v>30217</v>
      </c>
      <c r="EK438" s="847">
        <v>30817</v>
      </c>
      <c r="EL438" s="847">
        <v>31431</v>
      </c>
      <c r="EM438" s="847">
        <v>32058</v>
      </c>
      <c r="EN438" s="847">
        <v>32699</v>
      </c>
      <c r="EO438" s="847">
        <v>33353</v>
      </c>
      <c r="EP438" s="847">
        <v>34020</v>
      </c>
      <c r="EQ438" s="847">
        <v>34701</v>
      </c>
      <c r="ER438" s="847">
        <v>35395</v>
      </c>
      <c r="ES438" s="847">
        <v>36103</v>
      </c>
      <c r="ET438" s="847">
        <v>36825</v>
      </c>
      <c r="EU438" s="847">
        <v>37561</v>
      </c>
      <c r="EV438" s="847">
        <v>38312</v>
      </c>
      <c r="EW438" s="847">
        <v>39079</v>
      </c>
      <c r="EX438" s="847">
        <v>39860</v>
      </c>
      <c r="EY438" s="847">
        <v>40657</v>
      </c>
      <c r="EZ438" s="847">
        <v>41470</v>
      </c>
      <c r="FA438" s="847">
        <v>42300</v>
      </c>
      <c r="FB438" s="847">
        <v>43146</v>
      </c>
      <c r="FC438" s="847">
        <v>44009</v>
      </c>
      <c r="FD438" s="847">
        <v>44889</v>
      </c>
      <c r="FE438" s="847">
        <v>45786</v>
      </c>
      <c r="FF438" s="847">
        <v>46702</v>
      </c>
      <c r="FG438" s="847">
        <v>47636</v>
      </c>
      <c r="FH438" s="847">
        <v>48589</v>
      </c>
      <c r="FI438" s="847">
        <v>49560</v>
      </c>
      <c r="FJ438" s="847">
        <v>50552</v>
      </c>
      <c r="FK438" s="847">
        <v>51563</v>
      </c>
      <c r="FL438" s="847">
        <v>52594</v>
      </c>
      <c r="FM438" s="847">
        <v>53645</v>
      </c>
      <c r="FN438" s="847">
        <v>54718</v>
      </c>
      <c r="FO438" s="847">
        <v>55812</v>
      </c>
      <c r="FP438" s="847">
        <v>56928</v>
      </c>
      <c r="FQ438" s="847">
        <v>58067</v>
      </c>
      <c r="FR438" s="847">
        <v>59228</v>
      </c>
      <c r="FS438" s="847">
        <v>60412</v>
      </c>
      <c r="FT438" s="847">
        <v>61620</v>
      </c>
      <c r="FU438" s="847">
        <v>62852</v>
      </c>
      <c r="FV438" s="847">
        <v>64109</v>
      </c>
      <c r="FW438" s="847">
        <v>65391</v>
      </c>
      <c r="FX438" s="847">
        <v>66698</v>
      </c>
      <c r="FY438" s="847">
        <v>68024</v>
      </c>
      <c r="FZ438" s="847">
        <v>69362</v>
      </c>
      <c r="GA438" s="847">
        <v>70711</v>
      </c>
      <c r="GB438" s="847">
        <v>72070</v>
      </c>
      <c r="GC438" s="847">
        <v>73438</v>
      </c>
      <c r="GD438" s="847">
        <v>74815</v>
      </c>
      <c r="GE438" s="847">
        <v>76199</v>
      </c>
      <c r="GF438" s="847">
        <v>77590</v>
      </c>
      <c r="GG438" s="847">
        <v>78988</v>
      </c>
      <c r="GH438" s="847">
        <v>80391</v>
      </c>
      <c r="GI438" s="847">
        <v>81798</v>
      </c>
      <c r="GJ438" s="847">
        <v>83210</v>
      </c>
      <c r="GK438" s="847">
        <v>84626</v>
      </c>
      <c r="GL438" s="847">
        <v>86044</v>
      </c>
      <c r="GM438" s="847">
        <v>87465</v>
      </c>
      <c r="GN438" s="847">
        <v>88888</v>
      </c>
      <c r="GO438" s="847">
        <v>90301</v>
      </c>
      <c r="GP438" s="847">
        <v>91200</v>
      </c>
      <c r="GQ438" s="847">
        <v>0</v>
      </c>
      <c r="GR438" s="847">
        <v>0</v>
      </c>
      <c r="GS438" s="847">
        <v>0</v>
      </c>
      <c r="GT438" s="847">
        <v>0</v>
      </c>
      <c r="GU438" s="847">
        <v>0</v>
      </c>
      <c r="GV438" s="847">
        <v>0</v>
      </c>
      <c r="GW438" s="847">
        <v>0</v>
      </c>
      <c r="GX438" s="847">
        <v>0</v>
      </c>
      <c r="GY438" s="847">
        <v>0</v>
      </c>
      <c r="GZ438" s="847">
        <v>0</v>
      </c>
      <c r="HA438" s="847">
        <v>0</v>
      </c>
      <c r="HB438" s="847">
        <v>0</v>
      </c>
      <c r="HC438" s="847">
        <v>0</v>
      </c>
      <c r="HD438" s="847">
        <v>0</v>
      </c>
      <c r="HE438" s="847">
        <v>0</v>
      </c>
      <c r="HF438" s="847">
        <v>0</v>
      </c>
      <c r="HG438" s="847">
        <v>0</v>
      </c>
      <c r="HH438" s="847">
        <v>0</v>
      </c>
      <c r="HI438" s="847">
        <v>0</v>
      </c>
      <c r="HJ438" s="847">
        <v>0</v>
      </c>
      <c r="HK438" s="847">
        <v>0</v>
      </c>
      <c r="HL438" s="847">
        <v>0</v>
      </c>
      <c r="HM438" s="847">
        <v>0</v>
      </c>
      <c r="HN438" s="847">
        <v>0</v>
      </c>
      <c r="HO438" s="847">
        <v>0</v>
      </c>
      <c r="HP438" s="847">
        <v>0</v>
      </c>
      <c r="HQ438" s="847">
        <v>0</v>
      </c>
      <c r="HR438" s="847">
        <v>0</v>
      </c>
      <c r="HS438" s="847">
        <v>0</v>
      </c>
      <c r="HT438" s="847">
        <v>0</v>
      </c>
      <c r="HU438" s="847">
        <v>0</v>
      </c>
      <c r="HV438" s="847">
        <v>0</v>
      </c>
      <c r="HW438" s="847">
        <v>0</v>
      </c>
      <c r="HX438" s="847">
        <v>0</v>
      </c>
      <c r="HY438" s="847">
        <v>0</v>
      </c>
      <c r="HZ438" s="847">
        <v>0</v>
      </c>
      <c r="IA438" s="847">
        <v>0</v>
      </c>
      <c r="IB438" s="847">
        <v>0</v>
      </c>
      <c r="IC438" s="847">
        <v>0</v>
      </c>
      <c r="ID438" s="847">
        <v>0</v>
      </c>
      <c r="IE438" s="847">
        <v>0</v>
      </c>
      <c r="IF438" s="847">
        <v>0</v>
      </c>
      <c r="IG438" s="847">
        <v>0</v>
      </c>
      <c r="IH438" s="847">
        <v>0</v>
      </c>
      <c r="II438" s="847">
        <v>0</v>
      </c>
      <c r="IJ438" s="847">
        <v>0</v>
      </c>
      <c r="IK438" s="847">
        <v>0</v>
      </c>
    </row>
    <row r="439" spans="12:245" hidden="1">
      <c r="L439" s="843" t="s">
        <v>1060</v>
      </c>
      <c r="M439" s="843" t="s">
        <v>1382</v>
      </c>
      <c r="N439" s="843" t="s">
        <v>97</v>
      </c>
      <c r="O439" s="844">
        <v>48</v>
      </c>
      <c r="P439" s="780" t="str">
        <f t="shared" si="14"/>
        <v>IWT060248</v>
      </c>
      <c r="Q439" s="844">
        <v>2341</v>
      </c>
      <c r="R439" s="844">
        <v>6665</v>
      </c>
      <c r="S439" s="844">
        <v>11597</v>
      </c>
      <c r="T439" s="844">
        <v>17157</v>
      </c>
      <c r="U439" s="844">
        <v>23361</v>
      </c>
      <c r="V439" s="844">
        <v>29925</v>
      </c>
      <c r="W439" s="844">
        <v>30827</v>
      </c>
      <c r="X439" s="844">
        <v>31440</v>
      </c>
      <c r="Y439" s="844">
        <v>32068</v>
      </c>
      <c r="Z439" s="844">
        <v>32709</v>
      </c>
      <c r="AA439" s="844">
        <v>33363</v>
      </c>
      <c r="AB439" s="844">
        <v>34031</v>
      </c>
      <c r="AC439" s="844">
        <v>34711</v>
      </c>
      <c r="AD439" s="844">
        <v>35406</v>
      </c>
      <c r="AE439" s="844">
        <v>36114</v>
      </c>
      <c r="AF439" s="844">
        <v>36836</v>
      </c>
      <c r="AG439" s="844">
        <v>37573</v>
      </c>
      <c r="AH439" s="844">
        <v>38324</v>
      </c>
      <c r="AI439" s="844">
        <v>39090</v>
      </c>
      <c r="AJ439" s="844">
        <v>39872</v>
      </c>
      <c r="AK439" s="844">
        <v>40670</v>
      </c>
      <c r="AL439" s="844">
        <v>41483</v>
      </c>
      <c r="AM439" s="844">
        <v>42313</v>
      </c>
      <c r="AN439" s="844">
        <v>43159</v>
      </c>
      <c r="AO439" s="844">
        <v>44022</v>
      </c>
      <c r="AP439" s="844">
        <v>44902</v>
      </c>
      <c r="AQ439" s="844">
        <v>45800</v>
      </c>
      <c r="AR439" s="844">
        <v>46716</v>
      </c>
      <c r="AS439" s="844">
        <v>47651</v>
      </c>
      <c r="AT439" s="844">
        <v>48604</v>
      </c>
      <c r="AU439" s="844">
        <v>49576</v>
      </c>
      <c r="AV439" s="844">
        <v>50567</v>
      </c>
      <c r="AW439" s="844">
        <v>51578</v>
      </c>
      <c r="AX439" s="844">
        <v>52610</v>
      </c>
      <c r="AY439" s="844">
        <v>53662</v>
      </c>
      <c r="AZ439" s="844">
        <v>54735</v>
      </c>
      <c r="BA439" s="844">
        <v>55829</v>
      </c>
      <c r="BB439" s="844">
        <v>56946</v>
      </c>
      <c r="BC439" s="844">
        <v>58084</v>
      </c>
      <c r="BD439" s="844">
        <v>59246</v>
      </c>
      <c r="BE439" s="844">
        <v>60430</v>
      </c>
      <c r="BF439" s="844">
        <v>61639</v>
      </c>
      <c r="BG439" s="844">
        <v>62871</v>
      </c>
      <c r="BH439" s="844">
        <v>64128</v>
      </c>
      <c r="BI439" s="844">
        <v>65410</v>
      </c>
      <c r="BJ439" s="844">
        <v>66718</v>
      </c>
      <c r="BK439" s="844">
        <v>68048</v>
      </c>
      <c r="BL439" s="844">
        <v>69389</v>
      </c>
      <c r="BM439" s="844">
        <v>70741</v>
      </c>
      <c r="BN439" s="844">
        <v>72103</v>
      </c>
      <c r="BO439" s="844">
        <v>73473</v>
      </c>
      <c r="BP439" s="844">
        <v>74852</v>
      </c>
      <c r="BQ439" s="844">
        <v>76238</v>
      </c>
      <c r="BR439" s="844">
        <v>77630</v>
      </c>
      <c r="BS439" s="844">
        <v>79028</v>
      </c>
      <c r="BT439" s="844">
        <v>80431</v>
      </c>
      <c r="BU439" s="844">
        <v>81839</v>
      </c>
      <c r="BV439" s="844">
        <v>83251</v>
      </c>
      <c r="BW439" s="844">
        <v>84666</v>
      </c>
      <c r="BX439" s="844">
        <v>86084</v>
      </c>
      <c r="BY439" s="844">
        <v>87504</v>
      </c>
      <c r="BZ439" s="844">
        <v>88915</v>
      </c>
      <c r="CA439" s="844">
        <v>89800</v>
      </c>
      <c r="CB439" s="844">
        <v>0</v>
      </c>
      <c r="CC439" s="844">
        <v>0</v>
      </c>
      <c r="CD439" s="844">
        <v>0</v>
      </c>
      <c r="CE439" s="844">
        <v>0</v>
      </c>
      <c r="CF439" s="844">
        <v>0</v>
      </c>
      <c r="CG439" s="844">
        <v>0</v>
      </c>
      <c r="CH439" s="844">
        <v>0</v>
      </c>
      <c r="CI439" s="844">
        <v>0</v>
      </c>
      <c r="CJ439" s="844">
        <v>0</v>
      </c>
      <c r="CK439" s="844">
        <v>0</v>
      </c>
      <c r="CL439" s="844">
        <v>0</v>
      </c>
      <c r="CM439" s="844">
        <v>0</v>
      </c>
      <c r="CN439" s="844">
        <v>0</v>
      </c>
      <c r="CO439" s="844">
        <v>0</v>
      </c>
      <c r="CP439" s="844">
        <v>0</v>
      </c>
      <c r="CQ439" s="844">
        <v>0</v>
      </c>
      <c r="CR439" s="844">
        <v>0</v>
      </c>
      <c r="CS439" s="844">
        <v>0</v>
      </c>
      <c r="CT439" s="844">
        <v>0</v>
      </c>
      <c r="CU439" s="844">
        <v>0</v>
      </c>
      <c r="CV439" s="844">
        <v>0</v>
      </c>
      <c r="CW439" s="844">
        <v>0</v>
      </c>
      <c r="CX439" s="844">
        <v>0</v>
      </c>
      <c r="CY439" s="844">
        <v>0</v>
      </c>
      <c r="CZ439" s="844">
        <v>0</v>
      </c>
      <c r="DA439" s="844">
        <v>0</v>
      </c>
      <c r="DB439" s="844">
        <v>0</v>
      </c>
      <c r="DC439" s="844">
        <v>0</v>
      </c>
      <c r="DD439" s="844">
        <v>0</v>
      </c>
      <c r="DE439" s="844">
        <v>0</v>
      </c>
      <c r="DF439" s="844">
        <v>0</v>
      </c>
      <c r="DG439" s="844">
        <v>0</v>
      </c>
      <c r="DH439" s="844">
        <v>0</v>
      </c>
      <c r="DI439" s="844">
        <v>0</v>
      </c>
      <c r="DJ439" s="844">
        <v>0</v>
      </c>
      <c r="DK439" s="844">
        <v>0</v>
      </c>
      <c r="DL439" s="844">
        <v>0</v>
      </c>
      <c r="DM439" s="844">
        <v>0</v>
      </c>
      <c r="DN439" s="844">
        <v>0</v>
      </c>
      <c r="DO439" s="844">
        <v>0</v>
      </c>
      <c r="DP439" s="844">
        <v>0</v>
      </c>
      <c r="DQ439" s="844">
        <v>0</v>
      </c>
      <c r="DR439" s="844">
        <v>0</v>
      </c>
      <c r="DS439" s="844">
        <v>0</v>
      </c>
      <c r="DT439" s="844">
        <v>0</v>
      </c>
      <c r="DU439" s="844">
        <v>0</v>
      </c>
      <c r="DV439" s="844">
        <v>0</v>
      </c>
      <c r="DW439" s="844">
        <v>0</v>
      </c>
      <c r="DY439" s="846" t="s">
        <v>1060</v>
      </c>
      <c r="DZ439" s="846" t="s">
        <v>1382</v>
      </c>
      <c r="EA439" s="846" t="s">
        <v>97</v>
      </c>
      <c r="EB439" s="847">
        <v>48</v>
      </c>
      <c r="EC439" s="780" t="str">
        <f t="shared" si="15"/>
        <v>IWT060248</v>
      </c>
      <c r="ED439" s="847">
        <v>0</v>
      </c>
      <c r="EE439" s="847">
        <v>3121</v>
      </c>
      <c r="EF439" s="847">
        <v>8331</v>
      </c>
      <c r="EG439" s="847">
        <v>13644</v>
      </c>
      <c r="EH439" s="847">
        <v>19063</v>
      </c>
      <c r="EI439" s="847">
        <v>24590</v>
      </c>
      <c r="EJ439" s="847">
        <v>30227</v>
      </c>
      <c r="EK439" s="847">
        <v>30827</v>
      </c>
      <c r="EL439" s="847">
        <v>31440</v>
      </c>
      <c r="EM439" s="847">
        <v>32068</v>
      </c>
      <c r="EN439" s="847">
        <v>32709</v>
      </c>
      <c r="EO439" s="847">
        <v>33363</v>
      </c>
      <c r="EP439" s="847">
        <v>34031</v>
      </c>
      <c r="EQ439" s="847">
        <v>34711</v>
      </c>
      <c r="ER439" s="847">
        <v>35406</v>
      </c>
      <c r="ES439" s="847">
        <v>36114</v>
      </c>
      <c r="ET439" s="847">
        <v>36836</v>
      </c>
      <c r="EU439" s="847">
        <v>37573</v>
      </c>
      <c r="EV439" s="847">
        <v>38324</v>
      </c>
      <c r="EW439" s="847">
        <v>39090</v>
      </c>
      <c r="EX439" s="847">
        <v>39872</v>
      </c>
      <c r="EY439" s="847">
        <v>40670</v>
      </c>
      <c r="EZ439" s="847">
        <v>41483</v>
      </c>
      <c r="FA439" s="847">
        <v>42313</v>
      </c>
      <c r="FB439" s="847">
        <v>43159</v>
      </c>
      <c r="FC439" s="847">
        <v>44022</v>
      </c>
      <c r="FD439" s="847">
        <v>44902</v>
      </c>
      <c r="FE439" s="847">
        <v>45800</v>
      </c>
      <c r="FF439" s="847">
        <v>46716</v>
      </c>
      <c r="FG439" s="847">
        <v>47651</v>
      </c>
      <c r="FH439" s="847">
        <v>48604</v>
      </c>
      <c r="FI439" s="847">
        <v>49576</v>
      </c>
      <c r="FJ439" s="847">
        <v>50567</v>
      </c>
      <c r="FK439" s="847">
        <v>51578</v>
      </c>
      <c r="FL439" s="847">
        <v>52610</v>
      </c>
      <c r="FM439" s="847">
        <v>53662</v>
      </c>
      <c r="FN439" s="847">
        <v>54735</v>
      </c>
      <c r="FO439" s="847">
        <v>55829</v>
      </c>
      <c r="FP439" s="847">
        <v>56946</v>
      </c>
      <c r="FQ439" s="847">
        <v>58084</v>
      </c>
      <c r="FR439" s="847">
        <v>59246</v>
      </c>
      <c r="FS439" s="847">
        <v>60430</v>
      </c>
      <c r="FT439" s="847">
        <v>61639</v>
      </c>
      <c r="FU439" s="847">
        <v>62871</v>
      </c>
      <c r="FV439" s="847">
        <v>64128</v>
      </c>
      <c r="FW439" s="847">
        <v>65410</v>
      </c>
      <c r="FX439" s="847">
        <v>66718</v>
      </c>
      <c r="FY439" s="847">
        <v>68048</v>
      </c>
      <c r="FZ439" s="847">
        <v>69389</v>
      </c>
      <c r="GA439" s="847">
        <v>70741</v>
      </c>
      <c r="GB439" s="847">
        <v>72103</v>
      </c>
      <c r="GC439" s="847">
        <v>73473</v>
      </c>
      <c r="GD439" s="847">
        <v>74852</v>
      </c>
      <c r="GE439" s="847">
        <v>76238</v>
      </c>
      <c r="GF439" s="847">
        <v>77630</v>
      </c>
      <c r="GG439" s="847">
        <v>79028</v>
      </c>
      <c r="GH439" s="847">
        <v>80431</v>
      </c>
      <c r="GI439" s="847">
        <v>81839</v>
      </c>
      <c r="GJ439" s="847">
        <v>83251</v>
      </c>
      <c r="GK439" s="847">
        <v>84666</v>
      </c>
      <c r="GL439" s="847">
        <v>86084</v>
      </c>
      <c r="GM439" s="847">
        <v>87504</v>
      </c>
      <c r="GN439" s="847">
        <v>88915</v>
      </c>
      <c r="GO439" s="847">
        <v>89800</v>
      </c>
      <c r="GP439" s="847">
        <v>0</v>
      </c>
      <c r="GQ439" s="847">
        <v>0</v>
      </c>
      <c r="GR439" s="847">
        <v>0</v>
      </c>
      <c r="GS439" s="847">
        <v>0</v>
      </c>
      <c r="GT439" s="847">
        <v>0</v>
      </c>
      <c r="GU439" s="847">
        <v>0</v>
      </c>
      <c r="GV439" s="847">
        <v>0</v>
      </c>
      <c r="GW439" s="847">
        <v>0</v>
      </c>
      <c r="GX439" s="847">
        <v>0</v>
      </c>
      <c r="GY439" s="847">
        <v>0</v>
      </c>
      <c r="GZ439" s="847">
        <v>0</v>
      </c>
      <c r="HA439" s="847">
        <v>0</v>
      </c>
      <c r="HB439" s="847">
        <v>0</v>
      </c>
      <c r="HC439" s="847">
        <v>0</v>
      </c>
      <c r="HD439" s="847">
        <v>0</v>
      </c>
      <c r="HE439" s="847">
        <v>0</v>
      </c>
      <c r="HF439" s="847">
        <v>0</v>
      </c>
      <c r="HG439" s="847">
        <v>0</v>
      </c>
      <c r="HH439" s="847">
        <v>0</v>
      </c>
      <c r="HI439" s="847">
        <v>0</v>
      </c>
      <c r="HJ439" s="847">
        <v>0</v>
      </c>
      <c r="HK439" s="847">
        <v>0</v>
      </c>
      <c r="HL439" s="847">
        <v>0</v>
      </c>
      <c r="HM439" s="847">
        <v>0</v>
      </c>
      <c r="HN439" s="847">
        <v>0</v>
      </c>
      <c r="HO439" s="847">
        <v>0</v>
      </c>
      <c r="HP439" s="847">
        <v>0</v>
      </c>
      <c r="HQ439" s="847">
        <v>0</v>
      </c>
      <c r="HR439" s="847">
        <v>0</v>
      </c>
      <c r="HS439" s="847">
        <v>0</v>
      </c>
      <c r="HT439" s="847">
        <v>0</v>
      </c>
      <c r="HU439" s="847">
        <v>0</v>
      </c>
      <c r="HV439" s="847">
        <v>0</v>
      </c>
      <c r="HW439" s="847">
        <v>0</v>
      </c>
      <c r="HX439" s="847">
        <v>0</v>
      </c>
      <c r="HY439" s="847">
        <v>0</v>
      </c>
      <c r="HZ439" s="847">
        <v>0</v>
      </c>
      <c r="IA439" s="847">
        <v>0</v>
      </c>
      <c r="IB439" s="847">
        <v>0</v>
      </c>
      <c r="IC439" s="847">
        <v>0</v>
      </c>
      <c r="ID439" s="847">
        <v>0</v>
      </c>
      <c r="IE439" s="847">
        <v>0</v>
      </c>
      <c r="IF439" s="847">
        <v>0</v>
      </c>
      <c r="IG439" s="847">
        <v>0</v>
      </c>
      <c r="IH439" s="847">
        <v>0</v>
      </c>
      <c r="II439" s="847">
        <v>0</v>
      </c>
      <c r="IJ439" s="847">
        <v>0</v>
      </c>
      <c r="IK439" s="847">
        <v>0</v>
      </c>
    </row>
    <row r="440" spans="12:245" hidden="1">
      <c r="L440" s="843" t="s">
        <v>1060</v>
      </c>
      <c r="M440" s="843" t="s">
        <v>1382</v>
      </c>
      <c r="N440" s="843" t="s">
        <v>97</v>
      </c>
      <c r="O440" s="844">
        <v>49</v>
      </c>
      <c r="P440" s="780" t="str">
        <f t="shared" si="14"/>
        <v>IWT060249</v>
      </c>
      <c r="Q440" s="844">
        <v>2339</v>
      </c>
      <c r="R440" s="844">
        <v>6665</v>
      </c>
      <c r="S440" s="844">
        <v>11599</v>
      </c>
      <c r="T440" s="844">
        <v>17160</v>
      </c>
      <c r="U440" s="844">
        <v>23366</v>
      </c>
      <c r="V440" s="844">
        <v>29934</v>
      </c>
      <c r="W440" s="844">
        <v>30835</v>
      </c>
      <c r="X440" s="844">
        <v>31449</v>
      </c>
      <c r="Y440" s="844">
        <v>32076</v>
      </c>
      <c r="Z440" s="844">
        <v>32717</v>
      </c>
      <c r="AA440" s="844">
        <v>33372</v>
      </c>
      <c r="AB440" s="844">
        <v>34039</v>
      </c>
      <c r="AC440" s="844">
        <v>34720</v>
      </c>
      <c r="AD440" s="844">
        <v>35414</v>
      </c>
      <c r="AE440" s="844">
        <v>36123</v>
      </c>
      <c r="AF440" s="844">
        <v>36845</v>
      </c>
      <c r="AG440" s="844">
        <v>37582</v>
      </c>
      <c r="AH440" s="844">
        <v>38334</v>
      </c>
      <c r="AI440" s="844">
        <v>39100</v>
      </c>
      <c r="AJ440" s="844">
        <v>39882</v>
      </c>
      <c r="AK440" s="844">
        <v>40680</v>
      </c>
      <c r="AL440" s="844">
        <v>41493</v>
      </c>
      <c r="AM440" s="844">
        <v>42323</v>
      </c>
      <c r="AN440" s="844">
        <v>43170</v>
      </c>
      <c r="AO440" s="844">
        <v>44033</v>
      </c>
      <c r="AP440" s="844">
        <v>44914</v>
      </c>
      <c r="AQ440" s="844">
        <v>45812</v>
      </c>
      <c r="AR440" s="844">
        <v>46728</v>
      </c>
      <c r="AS440" s="844">
        <v>47663</v>
      </c>
      <c r="AT440" s="844">
        <v>48616</v>
      </c>
      <c r="AU440" s="844">
        <v>49588</v>
      </c>
      <c r="AV440" s="844">
        <v>50580</v>
      </c>
      <c r="AW440" s="844">
        <v>51591</v>
      </c>
      <c r="AX440" s="844">
        <v>52623</v>
      </c>
      <c r="AY440" s="844">
        <v>53675</v>
      </c>
      <c r="AZ440" s="844">
        <v>54748</v>
      </c>
      <c r="BA440" s="844">
        <v>55843</v>
      </c>
      <c r="BB440" s="844">
        <v>56960</v>
      </c>
      <c r="BC440" s="844">
        <v>58099</v>
      </c>
      <c r="BD440" s="844">
        <v>59260</v>
      </c>
      <c r="BE440" s="844">
        <v>60445</v>
      </c>
      <c r="BF440" s="844">
        <v>61654</v>
      </c>
      <c r="BG440" s="844">
        <v>62887</v>
      </c>
      <c r="BH440" s="844">
        <v>64144</v>
      </c>
      <c r="BI440" s="844">
        <v>65426</v>
      </c>
      <c r="BJ440" s="844">
        <v>66734</v>
      </c>
      <c r="BK440" s="844">
        <v>68068</v>
      </c>
      <c r="BL440" s="844">
        <v>69413</v>
      </c>
      <c r="BM440" s="844">
        <v>70768</v>
      </c>
      <c r="BN440" s="844">
        <v>72132</v>
      </c>
      <c r="BO440" s="844">
        <v>73505</v>
      </c>
      <c r="BP440" s="844">
        <v>74885</v>
      </c>
      <c r="BQ440" s="844">
        <v>76272</v>
      </c>
      <c r="BR440" s="844">
        <v>77666</v>
      </c>
      <c r="BS440" s="844">
        <v>79064</v>
      </c>
      <c r="BT440" s="844">
        <v>80468</v>
      </c>
      <c r="BU440" s="844">
        <v>81876</v>
      </c>
      <c r="BV440" s="844">
        <v>83288</v>
      </c>
      <c r="BW440" s="844">
        <v>84703</v>
      </c>
      <c r="BX440" s="844">
        <v>86119</v>
      </c>
      <c r="BY440" s="844">
        <v>87529</v>
      </c>
      <c r="BZ440" s="844">
        <v>88400</v>
      </c>
      <c r="CA440" s="844">
        <v>0</v>
      </c>
      <c r="CB440" s="844">
        <v>0</v>
      </c>
      <c r="CC440" s="844">
        <v>0</v>
      </c>
      <c r="CD440" s="844">
        <v>0</v>
      </c>
      <c r="CE440" s="844">
        <v>0</v>
      </c>
      <c r="CF440" s="844">
        <v>0</v>
      </c>
      <c r="CG440" s="844">
        <v>0</v>
      </c>
      <c r="CH440" s="844">
        <v>0</v>
      </c>
      <c r="CI440" s="844">
        <v>0</v>
      </c>
      <c r="CJ440" s="844">
        <v>0</v>
      </c>
      <c r="CK440" s="844">
        <v>0</v>
      </c>
      <c r="CL440" s="844">
        <v>0</v>
      </c>
      <c r="CM440" s="844">
        <v>0</v>
      </c>
      <c r="CN440" s="844">
        <v>0</v>
      </c>
      <c r="CO440" s="844">
        <v>0</v>
      </c>
      <c r="CP440" s="844">
        <v>0</v>
      </c>
      <c r="CQ440" s="844">
        <v>0</v>
      </c>
      <c r="CR440" s="844">
        <v>0</v>
      </c>
      <c r="CS440" s="844">
        <v>0</v>
      </c>
      <c r="CT440" s="844">
        <v>0</v>
      </c>
      <c r="CU440" s="844">
        <v>0</v>
      </c>
      <c r="CV440" s="844">
        <v>0</v>
      </c>
      <c r="CW440" s="844">
        <v>0</v>
      </c>
      <c r="CX440" s="844">
        <v>0</v>
      </c>
      <c r="CY440" s="844">
        <v>0</v>
      </c>
      <c r="CZ440" s="844">
        <v>0</v>
      </c>
      <c r="DA440" s="844">
        <v>0</v>
      </c>
      <c r="DB440" s="844">
        <v>0</v>
      </c>
      <c r="DC440" s="844">
        <v>0</v>
      </c>
      <c r="DD440" s="844">
        <v>0</v>
      </c>
      <c r="DE440" s="844">
        <v>0</v>
      </c>
      <c r="DF440" s="844">
        <v>0</v>
      </c>
      <c r="DG440" s="844">
        <v>0</v>
      </c>
      <c r="DH440" s="844">
        <v>0</v>
      </c>
      <c r="DI440" s="844">
        <v>0</v>
      </c>
      <c r="DJ440" s="844">
        <v>0</v>
      </c>
      <c r="DK440" s="844">
        <v>0</v>
      </c>
      <c r="DL440" s="844">
        <v>0</v>
      </c>
      <c r="DM440" s="844">
        <v>0</v>
      </c>
      <c r="DN440" s="844">
        <v>0</v>
      </c>
      <c r="DO440" s="844">
        <v>0</v>
      </c>
      <c r="DP440" s="844">
        <v>0</v>
      </c>
      <c r="DQ440" s="844">
        <v>0</v>
      </c>
      <c r="DR440" s="844">
        <v>0</v>
      </c>
      <c r="DS440" s="844">
        <v>0</v>
      </c>
      <c r="DT440" s="844">
        <v>0</v>
      </c>
      <c r="DU440" s="844">
        <v>0</v>
      </c>
      <c r="DV440" s="844">
        <v>0</v>
      </c>
      <c r="DW440" s="844">
        <v>0</v>
      </c>
      <c r="DY440" s="846" t="s">
        <v>1060</v>
      </c>
      <c r="DZ440" s="846" t="s">
        <v>1382</v>
      </c>
      <c r="EA440" s="846" t="s">
        <v>97</v>
      </c>
      <c r="EB440" s="847">
        <v>49</v>
      </c>
      <c r="EC440" s="780" t="str">
        <f t="shared" si="15"/>
        <v>IWT060249</v>
      </c>
      <c r="ED440" s="847">
        <v>0</v>
      </c>
      <c r="EE440" s="847">
        <v>3119</v>
      </c>
      <c r="EF440" s="847">
        <v>8331</v>
      </c>
      <c r="EG440" s="847">
        <v>13646</v>
      </c>
      <c r="EH440" s="847">
        <v>19067</v>
      </c>
      <c r="EI440" s="847">
        <v>24596</v>
      </c>
      <c r="EJ440" s="847">
        <v>30236</v>
      </c>
      <c r="EK440" s="847">
        <v>30835</v>
      </c>
      <c r="EL440" s="847">
        <v>31449</v>
      </c>
      <c r="EM440" s="847">
        <v>32076</v>
      </c>
      <c r="EN440" s="847">
        <v>32717</v>
      </c>
      <c r="EO440" s="847">
        <v>33372</v>
      </c>
      <c r="EP440" s="847">
        <v>34039</v>
      </c>
      <c r="EQ440" s="847">
        <v>34720</v>
      </c>
      <c r="ER440" s="847">
        <v>35414</v>
      </c>
      <c r="ES440" s="847">
        <v>36123</v>
      </c>
      <c r="ET440" s="847">
        <v>36845</v>
      </c>
      <c r="EU440" s="847">
        <v>37582</v>
      </c>
      <c r="EV440" s="847">
        <v>38334</v>
      </c>
      <c r="EW440" s="847">
        <v>39100</v>
      </c>
      <c r="EX440" s="847">
        <v>39882</v>
      </c>
      <c r="EY440" s="847">
        <v>40680</v>
      </c>
      <c r="EZ440" s="847">
        <v>41493</v>
      </c>
      <c r="FA440" s="847">
        <v>42323</v>
      </c>
      <c r="FB440" s="847">
        <v>43170</v>
      </c>
      <c r="FC440" s="847">
        <v>44033</v>
      </c>
      <c r="FD440" s="847">
        <v>44914</v>
      </c>
      <c r="FE440" s="847">
        <v>45812</v>
      </c>
      <c r="FF440" s="847">
        <v>46728</v>
      </c>
      <c r="FG440" s="847">
        <v>47663</v>
      </c>
      <c r="FH440" s="847">
        <v>48616</v>
      </c>
      <c r="FI440" s="847">
        <v>49588</v>
      </c>
      <c r="FJ440" s="847">
        <v>50580</v>
      </c>
      <c r="FK440" s="847">
        <v>51591</v>
      </c>
      <c r="FL440" s="847">
        <v>52623</v>
      </c>
      <c r="FM440" s="847">
        <v>53675</v>
      </c>
      <c r="FN440" s="847">
        <v>54748</v>
      </c>
      <c r="FO440" s="847">
        <v>55843</v>
      </c>
      <c r="FP440" s="847">
        <v>56960</v>
      </c>
      <c r="FQ440" s="847">
        <v>58099</v>
      </c>
      <c r="FR440" s="847">
        <v>59260</v>
      </c>
      <c r="FS440" s="847">
        <v>60445</v>
      </c>
      <c r="FT440" s="847">
        <v>61654</v>
      </c>
      <c r="FU440" s="847">
        <v>62887</v>
      </c>
      <c r="FV440" s="847">
        <v>64144</v>
      </c>
      <c r="FW440" s="847">
        <v>65426</v>
      </c>
      <c r="FX440" s="847">
        <v>66734</v>
      </c>
      <c r="FY440" s="847">
        <v>68068</v>
      </c>
      <c r="FZ440" s="847">
        <v>69413</v>
      </c>
      <c r="GA440" s="847">
        <v>70768</v>
      </c>
      <c r="GB440" s="847">
        <v>72132</v>
      </c>
      <c r="GC440" s="847">
        <v>73505</v>
      </c>
      <c r="GD440" s="847">
        <v>74885</v>
      </c>
      <c r="GE440" s="847">
        <v>76272</v>
      </c>
      <c r="GF440" s="847">
        <v>77666</v>
      </c>
      <c r="GG440" s="847">
        <v>79064</v>
      </c>
      <c r="GH440" s="847">
        <v>80468</v>
      </c>
      <c r="GI440" s="847">
        <v>81876</v>
      </c>
      <c r="GJ440" s="847">
        <v>83288</v>
      </c>
      <c r="GK440" s="847">
        <v>84703</v>
      </c>
      <c r="GL440" s="847">
        <v>86119</v>
      </c>
      <c r="GM440" s="847">
        <v>87529</v>
      </c>
      <c r="GN440" s="847">
        <v>88400</v>
      </c>
      <c r="GO440" s="847">
        <v>0</v>
      </c>
      <c r="GP440" s="847">
        <v>0</v>
      </c>
      <c r="GQ440" s="847">
        <v>0</v>
      </c>
      <c r="GR440" s="847">
        <v>0</v>
      </c>
      <c r="GS440" s="847">
        <v>0</v>
      </c>
      <c r="GT440" s="847">
        <v>0</v>
      </c>
      <c r="GU440" s="847">
        <v>0</v>
      </c>
      <c r="GV440" s="847">
        <v>0</v>
      </c>
      <c r="GW440" s="847">
        <v>0</v>
      </c>
      <c r="GX440" s="847">
        <v>0</v>
      </c>
      <c r="GY440" s="847">
        <v>0</v>
      </c>
      <c r="GZ440" s="847">
        <v>0</v>
      </c>
      <c r="HA440" s="847">
        <v>0</v>
      </c>
      <c r="HB440" s="847">
        <v>0</v>
      </c>
      <c r="HC440" s="847">
        <v>0</v>
      </c>
      <c r="HD440" s="847">
        <v>0</v>
      </c>
      <c r="HE440" s="847">
        <v>0</v>
      </c>
      <c r="HF440" s="847">
        <v>0</v>
      </c>
      <c r="HG440" s="847">
        <v>0</v>
      </c>
      <c r="HH440" s="847">
        <v>0</v>
      </c>
      <c r="HI440" s="847">
        <v>0</v>
      </c>
      <c r="HJ440" s="847">
        <v>0</v>
      </c>
      <c r="HK440" s="847">
        <v>0</v>
      </c>
      <c r="HL440" s="847">
        <v>0</v>
      </c>
      <c r="HM440" s="847">
        <v>0</v>
      </c>
      <c r="HN440" s="847">
        <v>0</v>
      </c>
      <c r="HO440" s="847">
        <v>0</v>
      </c>
      <c r="HP440" s="847">
        <v>0</v>
      </c>
      <c r="HQ440" s="847">
        <v>0</v>
      </c>
      <c r="HR440" s="847">
        <v>0</v>
      </c>
      <c r="HS440" s="847">
        <v>0</v>
      </c>
      <c r="HT440" s="847">
        <v>0</v>
      </c>
      <c r="HU440" s="847">
        <v>0</v>
      </c>
      <c r="HV440" s="847">
        <v>0</v>
      </c>
      <c r="HW440" s="847">
        <v>0</v>
      </c>
      <c r="HX440" s="847">
        <v>0</v>
      </c>
      <c r="HY440" s="847">
        <v>0</v>
      </c>
      <c r="HZ440" s="847">
        <v>0</v>
      </c>
      <c r="IA440" s="847">
        <v>0</v>
      </c>
      <c r="IB440" s="847">
        <v>0</v>
      </c>
      <c r="IC440" s="847">
        <v>0</v>
      </c>
      <c r="ID440" s="847">
        <v>0</v>
      </c>
      <c r="IE440" s="847">
        <v>0</v>
      </c>
      <c r="IF440" s="847">
        <v>0</v>
      </c>
      <c r="IG440" s="847">
        <v>0</v>
      </c>
      <c r="IH440" s="847">
        <v>0</v>
      </c>
      <c r="II440" s="847">
        <v>0</v>
      </c>
      <c r="IJ440" s="847">
        <v>0</v>
      </c>
      <c r="IK440" s="847">
        <v>0</v>
      </c>
    </row>
    <row r="441" spans="12:245" hidden="1">
      <c r="L441" s="843" t="s">
        <v>1060</v>
      </c>
      <c r="M441" s="843" t="s">
        <v>1382</v>
      </c>
      <c r="N441" s="843" t="s">
        <v>97</v>
      </c>
      <c r="O441" s="844">
        <v>50</v>
      </c>
      <c r="P441" s="780" t="str">
        <f t="shared" ref="P441:P466" si="16">M441&amp;TEXT(N441,"00")&amp;TEXT(O441,"00")</f>
        <v>IWT060250</v>
      </c>
      <c r="Q441" s="844">
        <v>2338</v>
      </c>
      <c r="R441" s="844">
        <v>6664</v>
      </c>
      <c r="S441" s="844">
        <v>11601</v>
      </c>
      <c r="T441" s="844">
        <v>17164</v>
      </c>
      <c r="U441" s="844">
        <v>23372</v>
      </c>
      <c r="V441" s="844">
        <v>29942</v>
      </c>
      <c r="W441" s="844">
        <v>30844</v>
      </c>
      <c r="X441" s="844">
        <v>31457</v>
      </c>
      <c r="Y441" s="844">
        <v>32084</v>
      </c>
      <c r="Z441" s="844">
        <v>32726</v>
      </c>
      <c r="AA441" s="844">
        <v>33380</v>
      </c>
      <c r="AB441" s="844">
        <v>34048</v>
      </c>
      <c r="AC441" s="844">
        <v>34729</v>
      </c>
      <c r="AD441" s="844">
        <v>35423</v>
      </c>
      <c r="AE441" s="844">
        <v>36132</v>
      </c>
      <c r="AF441" s="844">
        <v>36854</v>
      </c>
      <c r="AG441" s="844">
        <v>37591</v>
      </c>
      <c r="AH441" s="844">
        <v>38343</v>
      </c>
      <c r="AI441" s="844">
        <v>39110</v>
      </c>
      <c r="AJ441" s="844">
        <v>39892</v>
      </c>
      <c r="AK441" s="844">
        <v>40690</v>
      </c>
      <c r="AL441" s="844">
        <v>41504</v>
      </c>
      <c r="AM441" s="844">
        <v>42334</v>
      </c>
      <c r="AN441" s="844">
        <v>43180</v>
      </c>
      <c r="AO441" s="844">
        <v>44044</v>
      </c>
      <c r="AP441" s="844">
        <v>44925</v>
      </c>
      <c r="AQ441" s="844">
        <v>45823</v>
      </c>
      <c r="AR441" s="844">
        <v>46740</v>
      </c>
      <c r="AS441" s="844">
        <v>47674</v>
      </c>
      <c r="AT441" s="844">
        <v>48628</v>
      </c>
      <c r="AU441" s="844">
        <v>49600</v>
      </c>
      <c r="AV441" s="844">
        <v>50592</v>
      </c>
      <c r="AW441" s="844">
        <v>51604</v>
      </c>
      <c r="AX441" s="844">
        <v>52636</v>
      </c>
      <c r="AY441" s="844">
        <v>53688</v>
      </c>
      <c r="AZ441" s="844">
        <v>54762</v>
      </c>
      <c r="BA441" s="844">
        <v>55857</v>
      </c>
      <c r="BB441" s="844">
        <v>56974</v>
      </c>
      <c r="BC441" s="844">
        <v>58113</v>
      </c>
      <c r="BD441" s="844">
        <v>59275</v>
      </c>
      <c r="BE441" s="844">
        <v>60460</v>
      </c>
      <c r="BF441" s="844">
        <v>61669</v>
      </c>
      <c r="BG441" s="844">
        <v>62902</v>
      </c>
      <c r="BH441" s="844">
        <v>64159</v>
      </c>
      <c r="BI441" s="844">
        <v>65442</v>
      </c>
      <c r="BJ441" s="844">
        <v>66750</v>
      </c>
      <c r="BK441" s="844">
        <v>68084</v>
      </c>
      <c r="BL441" s="844">
        <v>69432</v>
      </c>
      <c r="BM441" s="844">
        <v>70790</v>
      </c>
      <c r="BN441" s="844">
        <v>72157</v>
      </c>
      <c r="BO441" s="844">
        <v>73532</v>
      </c>
      <c r="BP441" s="844">
        <v>74914</v>
      </c>
      <c r="BQ441" s="844">
        <v>76303</v>
      </c>
      <c r="BR441" s="844">
        <v>77698</v>
      </c>
      <c r="BS441" s="844">
        <v>79097</v>
      </c>
      <c r="BT441" s="844">
        <v>80501</v>
      </c>
      <c r="BU441" s="844">
        <v>81910</v>
      </c>
      <c r="BV441" s="844">
        <v>83321</v>
      </c>
      <c r="BW441" s="844">
        <v>84735</v>
      </c>
      <c r="BX441" s="844">
        <v>86143</v>
      </c>
      <c r="BY441" s="844">
        <v>87000</v>
      </c>
      <c r="BZ441" s="844">
        <v>0</v>
      </c>
      <c r="CA441" s="844">
        <v>0</v>
      </c>
      <c r="CB441" s="844">
        <v>0</v>
      </c>
      <c r="CC441" s="844">
        <v>0</v>
      </c>
      <c r="CD441" s="844">
        <v>0</v>
      </c>
      <c r="CE441" s="844">
        <v>0</v>
      </c>
      <c r="CF441" s="844">
        <v>0</v>
      </c>
      <c r="CG441" s="844">
        <v>0</v>
      </c>
      <c r="CH441" s="844">
        <v>0</v>
      </c>
      <c r="CI441" s="844">
        <v>0</v>
      </c>
      <c r="CJ441" s="844">
        <v>0</v>
      </c>
      <c r="CK441" s="844">
        <v>0</v>
      </c>
      <c r="CL441" s="844">
        <v>0</v>
      </c>
      <c r="CM441" s="844">
        <v>0</v>
      </c>
      <c r="CN441" s="844">
        <v>0</v>
      </c>
      <c r="CO441" s="844">
        <v>0</v>
      </c>
      <c r="CP441" s="844">
        <v>0</v>
      </c>
      <c r="CQ441" s="844">
        <v>0</v>
      </c>
      <c r="CR441" s="844">
        <v>0</v>
      </c>
      <c r="CS441" s="844">
        <v>0</v>
      </c>
      <c r="CT441" s="844">
        <v>0</v>
      </c>
      <c r="CU441" s="844">
        <v>0</v>
      </c>
      <c r="CV441" s="844">
        <v>0</v>
      </c>
      <c r="CW441" s="844">
        <v>0</v>
      </c>
      <c r="CX441" s="844">
        <v>0</v>
      </c>
      <c r="CY441" s="844">
        <v>0</v>
      </c>
      <c r="CZ441" s="844">
        <v>0</v>
      </c>
      <c r="DA441" s="844">
        <v>0</v>
      </c>
      <c r="DB441" s="844">
        <v>0</v>
      </c>
      <c r="DC441" s="844">
        <v>0</v>
      </c>
      <c r="DD441" s="844">
        <v>0</v>
      </c>
      <c r="DE441" s="844">
        <v>0</v>
      </c>
      <c r="DF441" s="844">
        <v>0</v>
      </c>
      <c r="DG441" s="844">
        <v>0</v>
      </c>
      <c r="DH441" s="844">
        <v>0</v>
      </c>
      <c r="DI441" s="844">
        <v>0</v>
      </c>
      <c r="DJ441" s="844">
        <v>0</v>
      </c>
      <c r="DK441" s="844">
        <v>0</v>
      </c>
      <c r="DL441" s="844">
        <v>0</v>
      </c>
      <c r="DM441" s="844">
        <v>0</v>
      </c>
      <c r="DN441" s="844">
        <v>0</v>
      </c>
      <c r="DO441" s="844">
        <v>0</v>
      </c>
      <c r="DP441" s="844">
        <v>0</v>
      </c>
      <c r="DQ441" s="844">
        <v>0</v>
      </c>
      <c r="DR441" s="844">
        <v>0</v>
      </c>
      <c r="DS441" s="844">
        <v>0</v>
      </c>
      <c r="DT441" s="844">
        <v>0</v>
      </c>
      <c r="DU441" s="844">
        <v>0</v>
      </c>
      <c r="DV441" s="844">
        <v>0</v>
      </c>
      <c r="DW441" s="844">
        <v>0</v>
      </c>
      <c r="DY441" s="846" t="s">
        <v>1060</v>
      </c>
      <c r="DZ441" s="846" t="s">
        <v>1382</v>
      </c>
      <c r="EA441" s="846" t="s">
        <v>97</v>
      </c>
      <c r="EB441" s="847">
        <v>50</v>
      </c>
      <c r="EC441" s="780" t="str">
        <f t="shared" ref="EC441:EC466" si="17">DZ441&amp;TEXT(EA441,"00")&amp;TEXT(EB441,"00")</f>
        <v>IWT060250</v>
      </c>
      <c r="ED441" s="847">
        <v>0</v>
      </c>
      <c r="EE441" s="847">
        <v>3117</v>
      </c>
      <c r="EF441" s="847">
        <v>8330</v>
      </c>
      <c r="EG441" s="847">
        <v>13648</v>
      </c>
      <c r="EH441" s="847">
        <v>19071</v>
      </c>
      <c r="EI441" s="847">
        <v>24602</v>
      </c>
      <c r="EJ441" s="847">
        <v>30244</v>
      </c>
      <c r="EK441" s="847">
        <v>30844</v>
      </c>
      <c r="EL441" s="847">
        <v>31457</v>
      </c>
      <c r="EM441" s="847">
        <v>32084</v>
      </c>
      <c r="EN441" s="847">
        <v>32726</v>
      </c>
      <c r="EO441" s="847">
        <v>33380</v>
      </c>
      <c r="EP441" s="847">
        <v>34048</v>
      </c>
      <c r="EQ441" s="847">
        <v>34729</v>
      </c>
      <c r="ER441" s="847">
        <v>35423</v>
      </c>
      <c r="ES441" s="847">
        <v>36132</v>
      </c>
      <c r="ET441" s="847">
        <v>36854</v>
      </c>
      <c r="EU441" s="847">
        <v>37591</v>
      </c>
      <c r="EV441" s="847">
        <v>38343</v>
      </c>
      <c r="EW441" s="847">
        <v>39110</v>
      </c>
      <c r="EX441" s="847">
        <v>39892</v>
      </c>
      <c r="EY441" s="847">
        <v>40690</v>
      </c>
      <c r="EZ441" s="847">
        <v>41504</v>
      </c>
      <c r="FA441" s="847">
        <v>42334</v>
      </c>
      <c r="FB441" s="847">
        <v>43180</v>
      </c>
      <c r="FC441" s="847">
        <v>44044</v>
      </c>
      <c r="FD441" s="847">
        <v>44925</v>
      </c>
      <c r="FE441" s="847">
        <v>45823</v>
      </c>
      <c r="FF441" s="847">
        <v>46740</v>
      </c>
      <c r="FG441" s="847">
        <v>47674</v>
      </c>
      <c r="FH441" s="847">
        <v>48628</v>
      </c>
      <c r="FI441" s="847">
        <v>49600</v>
      </c>
      <c r="FJ441" s="847">
        <v>50592</v>
      </c>
      <c r="FK441" s="847">
        <v>51604</v>
      </c>
      <c r="FL441" s="847">
        <v>52636</v>
      </c>
      <c r="FM441" s="847">
        <v>53688</v>
      </c>
      <c r="FN441" s="847">
        <v>54762</v>
      </c>
      <c r="FO441" s="847">
        <v>55857</v>
      </c>
      <c r="FP441" s="847">
        <v>56974</v>
      </c>
      <c r="FQ441" s="847">
        <v>58113</v>
      </c>
      <c r="FR441" s="847">
        <v>59275</v>
      </c>
      <c r="FS441" s="847">
        <v>60460</v>
      </c>
      <c r="FT441" s="847">
        <v>61669</v>
      </c>
      <c r="FU441" s="847">
        <v>62902</v>
      </c>
      <c r="FV441" s="847">
        <v>64159</v>
      </c>
      <c r="FW441" s="847">
        <v>65442</v>
      </c>
      <c r="FX441" s="847">
        <v>66750</v>
      </c>
      <c r="FY441" s="847">
        <v>68084</v>
      </c>
      <c r="FZ441" s="847">
        <v>69432</v>
      </c>
      <c r="GA441" s="847">
        <v>70790</v>
      </c>
      <c r="GB441" s="847">
        <v>72157</v>
      </c>
      <c r="GC441" s="847">
        <v>73532</v>
      </c>
      <c r="GD441" s="847">
        <v>74914</v>
      </c>
      <c r="GE441" s="847">
        <v>76303</v>
      </c>
      <c r="GF441" s="847">
        <v>77698</v>
      </c>
      <c r="GG441" s="847">
        <v>79097</v>
      </c>
      <c r="GH441" s="847">
        <v>80501</v>
      </c>
      <c r="GI441" s="847">
        <v>81910</v>
      </c>
      <c r="GJ441" s="847">
        <v>83321</v>
      </c>
      <c r="GK441" s="847">
        <v>84735</v>
      </c>
      <c r="GL441" s="847">
        <v>86143</v>
      </c>
      <c r="GM441" s="847">
        <v>87000</v>
      </c>
      <c r="GN441" s="847">
        <v>0</v>
      </c>
      <c r="GO441" s="847">
        <v>0</v>
      </c>
      <c r="GP441" s="847">
        <v>0</v>
      </c>
      <c r="GQ441" s="847">
        <v>0</v>
      </c>
      <c r="GR441" s="847">
        <v>0</v>
      </c>
      <c r="GS441" s="847">
        <v>0</v>
      </c>
      <c r="GT441" s="847">
        <v>0</v>
      </c>
      <c r="GU441" s="847">
        <v>0</v>
      </c>
      <c r="GV441" s="847">
        <v>0</v>
      </c>
      <c r="GW441" s="847">
        <v>0</v>
      </c>
      <c r="GX441" s="847">
        <v>0</v>
      </c>
      <c r="GY441" s="847">
        <v>0</v>
      </c>
      <c r="GZ441" s="847">
        <v>0</v>
      </c>
      <c r="HA441" s="847">
        <v>0</v>
      </c>
      <c r="HB441" s="847">
        <v>0</v>
      </c>
      <c r="HC441" s="847">
        <v>0</v>
      </c>
      <c r="HD441" s="847">
        <v>0</v>
      </c>
      <c r="HE441" s="847">
        <v>0</v>
      </c>
      <c r="HF441" s="847">
        <v>0</v>
      </c>
      <c r="HG441" s="847">
        <v>0</v>
      </c>
      <c r="HH441" s="847">
        <v>0</v>
      </c>
      <c r="HI441" s="847">
        <v>0</v>
      </c>
      <c r="HJ441" s="847">
        <v>0</v>
      </c>
      <c r="HK441" s="847">
        <v>0</v>
      </c>
      <c r="HL441" s="847">
        <v>0</v>
      </c>
      <c r="HM441" s="847">
        <v>0</v>
      </c>
      <c r="HN441" s="847">
        <v>0</v>
      </c>
      <c r="HO441" s="847">
        <v>0</v>
      </c>
      <c r="HP441" s="847">
        <v>0</v>
      </c>
      <c r="HQ441" s="847">
        <v>0</v>
      </c>
      <c r="HR441" s="847">
        <v>0</v>
      </c>
      <c r="HS441" s="847">
        <v>0</v>
      </c>
      <c r="HT441" s="847">
        <v>0</v>
      </c>
      <c r="HU441" s="847">
        <v>0</v>
      </c>
      <c r="HV441" s="847">
        <v>0</v>
      </c>
      <c r="HW441" s="847">
        <v>0</v>
      </c>
      <c r="HX441" s="847">
        <v>0</v>
      </c>
      <c r="HY441" s="847">
        <v>0</v>
      </c>
      <c r="HZ441" s="847">
        <v>0</v>
      </c>
      <c r="IA441" s="847">
        <v>0</v>
      </c>
      <c r="IB441" s="847">
        <v>0</v>
      </c>
      <c r="IC441" s="847">
        <v>0</v>
      </c>
      <c r="ID441" s="847">
        <v>0</v>
      </c>
      <c r="IE441" s="847">
        <v>0</v>
      </c>
      <c r="IF441" s="847">
        <v>0</v>
      </c>
      <c r="IG441" s="847">
        <v>0</v>
      </c>
      <c r="IH441" s="847">
        <v>0</v>
      </c>
      <c r="II441" s="847">
        <v>0</v>
      </c>
      <c r="IJ441" s="847">
        <v>0</v>
      </c>
      <c r="IK441" s="847">
        <v>0</v>
      </c>
    </row>
    <row r="442" spans="12:245" hidden="1">
      <c r="L442" s="843" t="s">
        <v>1060</v>
      </c>
      <c r="M442" s="843" t="s">
        <v>1382</v>
      </c>
      <c r="N442" s="843" t="s">
        <v>97</v>
      </c>
      <c r="O442" s="844">
        <v>51</v>
      </c>
      <c r="P442" s="780" t="str">
        <f t="shared" si="16"/>
        <v>IWT060251</v>
      </c>
      <c r="Q442" s="844">
        <v>2336</v>
      </c>
      <c r="R442" s="844">
        <v>6663</v>
      </c>
      <c r="S442" s="844">
        <v>11602</v>
      </c>
      <c r="T442" s="844">
        <v>17167</v>
      </c>
      <c r="U442" s="844">
        <v>23377</v>
      </c>
      <c r="V442" s="844">
        <v>29948</v>
      </c>
      <c r="W442" s="844">
        <v>30850</v>
      </c>
      <c r="X442" s="844">
        <v>31463</v>
      </c>
      <c r="Y442" s="844">
        <v>32091</v>
      </c>
      <c r="Z442" s="844">
        <v>32732</v>
      </c>
      <c r="AA442" s="844">
        <v>33387</v>
      </c>
      <c r="AB442" s="844">
        <v>34055</v>
      </c>
      <c r="AC442" s="844">
        <v>34736</v>
      </c>
      <c r="AD442" s="844">
        <v>35430</v>
      </c>
      <c r="AE442" s="844">
        <v>36139</v>
      </c>
      <c r="AF442" s="844">
        <v>36862</v>
      </c>
      <c r="AG442" s="844">
        <v>37599</v>
      </c>
      <c r="AH442" s="844">
        <v>38351</v>
      </c>
      <c r="AI442" s="844">
        <v>39118</v>
      </c>
      <c r="AJ442" s="844">
        <v>39900</v>
      </c>
      <c r="AK442" s="844">
        <v>40698</v>
      </c>
      <c r="AL442" s="844">
        <v>41512</v>
      </c>
      <c r="AM442" s="844">
        <v>42342</v>
      </c>
      <c r="AN442" s="844">
        <v>43189</v>
      </c>
      <c r="AO442" s="844">
        <v>44053</v>
      </c>
      <c r="AP442" s="844">
        <v>44934</v>
      </c>
      <c r="AQ442" s="844">
        <v>45833</v>
      </c>
      <c r="AR442" s="844">
        <v>46749</v>
      </c>
      <c r="AS442" s="844">
        <v>47684</v>
      </c>
      <c r="AT442" s="844">
        <v>48638</v>
      </c>
      <c r="AU442" s="844">
        <v>49610</v>
      </c>
      <c r="AV442" s="844">
        <v>50602</v>
      </c>
      <c r="AW442" s="844">
        <v>51614</v>
      </c>
      <c r="AX442" s="844">
        <v>52646</v>
      </c>
      <c r="AY442" s="844">
        <v>53699</v>
      </c>
      <c r="AZ442" s="844">
        <v>54773</v>
      </c>
      <c r="BA442" s="844">
        <v>55868</v>
      </c>
      <c r="BB442" s="844">
        <v>56985</v>
      </c>
      <c r="BC442" s="844">
        <v>58125</v>
      </c>
      <c r="BD442" s="844">
        <v>59287</v>
      </c>
      <c r="BE442" s="844">
        <v>60472</v>
      </c>
      <c r="BF442" s="844">
        <v>61681</v>
      </c>
      <c r="BG442" s="844">
        <v>62914</v>
      </c>
      <c r="BH442" s="844">
        <v>64172</v>
      </c>
      <c r="BI442" s="844">
        <v>65455</v>
      </c>
      <c r="BJ442" s="844">
        <v>66763</v>
      </c>
      <c r="BK442" s="844">
        <v>68097</v>
      </c>
      <c r="BL442" s="844">
        <v>69449</v>
      </c>
      <c r="BM442" s="844">
        <v>70810</v>
      </c>
      <c r="BN442" s="844">
        <v>72179</v>
      </c>
      <c r="BO442" s="844">
        <v>73557</v>
      </c>
      <c r="BP442" s="844">
        <v>74941</v>
      </c>
      <c r="BQ442" s="844">
        <v>76331</v>
      </c>
      <c r="BR442" s="844">
        <v>77726</v>
      </c>
      <c r="BS442" s="844">
        <v>79127</v>
      </c>
      <c r="BT442" s="844">
        <v>80531</v>
      </c>
      <c r="BU442" s="844">
        <v>81940</v>
      </c>
      <c r="BV442" s="844">
        <v>83351</v>
      </c>
      <c r="BW442" s="844">
        <v>84757</v>
      </c>
      <c r="BX442" s="844">
        <v>85600</v>
      </c>
      <c r="BY442" s="844">
        <v>0</v>
      </c>
      <c r="BZ442" s="844">
        <v>0</v>
      </c>
      <c r="CA442" s="844">
        <v>0</v>
      </c>
      <c r="CB442" s="844">
        <v>0</v>
      </c>
      <c r="CC442" s="844">
        <v>0</v>
      </c>
      <c r="CD442" s="844">
        <v>0</v>
      </c>
      <c r="CE442" s="844">
        <v>0</v>
      </c>
      <c r="CF442" s="844">
        <v>0</v>
      </c>
      <c r="CG442" s="844">
        <v>0</v>
      </c>
      <c r="CH442" s="844">
        <v>0</v>
      </c>
      <c r="CI442" s="844">
        <v>0</v>
      </c>
      <c r="CJ442" s="844">
        <v>0</v>
      </c>
      <c r="CK442" s="844">
        <v>0</v>
      </c>
      <c r="CL442" s="844">
        <v>0</v>
      </c>
      <c r="CM442" s="844">
        <v>0</v>
      </c>
      <c r="CN442" s="844">
        <v>0</v>
      </c>
      <c r="CO442" s="844">
        <v>0</v>
      </c>
      <c r="CP442" s="844">
        <v>0</v>
      </c>
      <c r="CQ442" s="844">
        <v>0</v>
      </c>
      <c r="CR442" s="844">
        <v>0</v>
      </c>
      <c r="CS442" s="844">
        <v>0</v>
      </c>
      <c r="CT442" s="844">
        <v>0</v>
      </c>
      <c r="CU442" s="844">
        <v>0</v>
      </c>
      <c r="CV442" s="844">
        <v>0</v>
      </c>
      <c r="CW442" s="844">
        <v>0</v>
      </c>
      <c r="CX442" s="844">
        <v>0</v>
      </c>
      <c r="CY442" s="844">
        <v>0</v>
      </c>
      <c r="CZ442" s="844">
        <v>0</v>
      </c>
      <c r="DA442" s="844">
        <v>0</v>
      </c>
      <c r="DB442" s="844">
        <v>0</v>
      </c>
      <c r="DC442" s="844">
        <v>0</v>
      </c>
      <c r="DD442" s="844">
        <v>0</v>
      </c>
      <c r="DE442" s="844">
        <v>0</v>
      </c>
      <c r="DF442" s="844">
        <v>0</v>
      </c>
      <c r="DG442" s="844">
        <v>0</v>
      </c>
      <c r="DH442" s="844">
        <v>0</v>
      </c>
      <c r="DI442" s="844">
        <v>0</v>
      </c>
      <c r="DJ442" s="844">
        <v>0</v>
      </c>
      <c r="DK442" s="844">
        <v>0</v>
      </c>
      <c r="DL442" s="844">
        <v>0</v>
      </c>
      <c r="DM442" s="844">
        <v>0</v>
      </c>
      <c r="DN442" s="844">
        <v>0</v>
      </c>
      <c r="DO442" s="844">
        <v>0</v>
      </c>
      <c r="DP442" s="844">
        <v>0</v>
      </c>
      <c r="DQ442" s="844">
        <v>0</v>
      </c>
      <c r="DR442" s="844">
        <v>0</v>
      </c>
      <c r="DS442" s="844">
        <v>0</v>
      </c>
      <c r="DT442" s="844">
        <v>0</v>
      </c>
      <c r="DU442" s="844">
        <v>0</v>
      </c>
      <c r="DV442" s="844">
        <v>0</v>
      </c>
      <c r="DW442" s="844">
        <v>0</v>
      </c>
      <c r="DY442" s="846" t="s">
        <v>1060</v>
      </c>
      <c r="DZ442" s="846" t="s">
        <v>1382</v>
      </c>
      <c r="EA442" s="846" t="s">
        <v>97</v>
      </c>
      <c r="EB442" s="847">
        <v>51</v>
      </c>
      <c r="EC442" s="780" t="str">
        <f t="shared" si="17"/>
        <v>IWT060251</v>
      </c>
      <c r="ED442" s="847">
        <v>0</v>
      </c>
      <c r="EE442" s="847">
        <v>3114</v>
      </c>
      <c r="EF442" s="847">
        <v>8329</v>
      </c>
      <c r="EG442" s="847">
        <v>13649</v>
      </c>
      <c r="EH442" s="847">
        <v>19074</v>
      </c>
      <c r="EI442" s="847">
        <v>24607</v>
      </c>
      <c r="EJ442" s="847">
        <v>30251</v>
      </c>
      <c r="EK442" s="847">
        <v>30850</v>
      </c>
      <c r="EL442" s="847">
        <v>31463</v>
      </c>
      <c r="EM442" s="847">
        <v>32091</v>
      </c>
      <c r="EN442" s="847">
        <v>32732</v>
      </c>
      <c r="EO442" s="847">
        <v>33387</v>
      </c>
      <c r="EP442" s="847">
        <v>34055</v>
      </c>
      <c r="EQ442" s="847">
        <v>34736</v>
      </c>
      <c r="ER442" s="847">
        <v>35430</v>
      </c>
      <c r="ES442" s="847">
        <v>36139</v>
      </c>
      <c r="ET442" s="847">
        <v>36862</v>
      </c>
      <c r="EU442" s="847">
        <v>37599</v>
      </c>
      <c r="EV442" s="847">
        <v>38351</v>
      </c>
      <c r="EW442" s="847">
        <v>39118</v>
      </c>
      <c r="EX442" s="847">
        <v>39900</v>
      </c>
      <c r="EY442" s="847">
        <v>40698</v>
      </c>
      <c r="EZ442" s="847">
        <v>41512</v>
      </c>
      <c r="FA442" s="847">
        <v>42342</v>
      </c>
      <c r="FB442" s="847">
        <v>43189</v>
      </c>
      <c r="FC442" s="847">
        <v>44053</v>
      </c>
      <c r="FD442" s="847">
        <v>44934</v>
      </c>
      <c r="FE442" s="847">
        <v>45833</v>
      </c>
      <c r="FF442" s="847">
        <v>46749</v>
      </c>
      <c r="FG442" s="847">
        <v>47684</v>
      </c>
      <c r="FH442" s="847">
        <v>48638</v>
      </c>
      <c r="FI442" s="847">
        <v>49610</v>
      </c>
      <c r="FJ442" s="847">
        <v>50602</v>
      </c>
      <c r="FK442" s="847">
        <v>51614</v>
      </c>
      <c r="FL442" s="847">
        <v>52646</v>
      </c>
      <c r="FM442" s="847">
        <v>53699</v>
      </c>
      <c r="FN442" s="847">
        <v>54773</v>
      </c>
      <c r="FO442" s="847">
        <v>55868</v>
      </c>
      <c r="FP442" s="847">
        <v>56985</v>
      </c>
      <c r="FQ442" s="847">
        <v>58125</v>
      </c>
      <c r="FR442" s="847">
        <v>59287</v>
      </c>
      <c r="FS442" s="847">
        <v>60472</v>
      </c>
      <c r="FT442" s="847">
        <v>61681</v>
      </c>
      <c r="FU442" s="847">
        <v>62914</v>
      </c>
      <c r="FV442" s="847">
        <v>64172</v>
      </c>
      <c r="FW442" s="847">
        <v>65455</v>
      </c>
      <c r="FX442" s="847">
        <v>66763</v>
      </c>
      <c r="FY442" s="847">
        <v>68097</v>
      </c>
      <c r="FZ442" s="847">
        <v>69449</v>
      </c>
      <c r="GA442" s="847">
        <v>70810</v>
      </c>
      <c r="GB442" s="847">
        <v>72179</v>
      </c>
      <c r="GC442" s="847">
        <v>73557</v>
      </c>
      <c r="GD442" s="847">
        <v>74941</v>
      </c>
      <c r="GE442" s="847">
        <v>76331</v>
      </c>
      <c r="GF442" s="847">
        <v>77726</v>
      </c>
      <c r="GG442" s="847">
        <v>79127</v>
      </c>
      <c r="GH442" s="847">
        <v>80531</v>
      </c>
      <c r="GI442" s="847">
        <v>81940</v>
      </c>
      <c r="GJ442" s="847">
        <v>83351</v>
      </c>
      <c r="GK442" s="847">
        <v>84757</v>
      </c>
      <c r="GL442" s="847">
        <v>85600</v>
      </c>
      <c r="GM442" s="847">
        <v>0</v>
      </c>
      <c r="GN442" s="847">
        <v>0</v>
      </c>
      <c r="GO442" s="847">
        <v>0</v>
      </c>
      <c r="GP442" s="847">
        <v>0</v>
      </c>
      <c r="GQ442" s="847">
        <v>0</v>
      </c>
      <c r="GR442" s="847">
        <v>0</v>
      </c>
      <c r="GS442" s="847">
        <v>0</v>
      </c>
      <c r="GT442" s="847">
        <v>0</v>
      </c>
      <c r="GU442" s="847">
        <v>0</v>
      </c>
      <c r="GV442" s="847">
        <v>0</v>
      </c>
      <c r="GW442" s="847">
        <v>0</v>
      </c>
      <c r="GX442" s="847">
        <v>0</v>
      </c>
      <c r="GY442" s="847">
        <v>0</v>
      </c>
      <c r="GZ442" s="847">
        <v>0</v>
      </c>
      <c r="HA442" s="847">
        <v>0</v>
      </c>
      <c r="HB442" s="847">
        <v>0</v>
      </c>
      <c r="HC442" s="847">
        <v>0</v>
      </c>
      <c r="HD442" s="847">
        <v>0</v>
      </c>
      <c r="HE442" s="847">
        <v>0</v>
      </c>
      <c r="HF442" s="847">
        <v>0</v>
      </c>
      <c r="HG442" s="847">
        <v>0</v>
      </c>
      <c r="HH442" s="847">
        <v>0</v>
      </c>
      <c r="HI442" s="847">
        <v>0</v>
      </c>
      <c r="HJ442" s="847">
        <v>0</v>
      </c>
      <c r="HK442" s="847">
        <v>0</v>
      </c>
      <c r="HL442" s="847">
        <v>0</v>
      </c>
      <c r="HM442" s="847">
        <v>0</v>
      </c>
      <c r="HN442" s="847">
        <v>0</v>
      </c>
      <c r="HO442" s="847">
        <v>0</v>
      </c>
      <c r="HP442" s="847">
        <v>0</v>
      </c>
      <c r="HQ442" s="847">
        <v>0</v>
      </c>
      <c r="HR442" s="847">
        <v>0</v>
      </c>
      <c r="HS442" s="847">
        <v>0</v>
      </c>
      <c r="HT442" s="847">
        <v>0</v>
      </c>
      <c r="HU442" s="847">
        <v>0</v>
      </c>
      <c r="HV442" s="847">
        <v>0</v>
      </c>
      <c r="HW442" s="847">
        <v>0</v>
      </c>
      <c r="HX442" s="847">
        <v>0</v>
      </c>
      <c r="HY442" s="847">
        <v>0</v>
      </c>
      <c r="HZ442" s="847">
        <v>0</v>
      </c>
      <c r="IA442" s="847">
        <v>0</v>
      </c>
      <c r="IB442" s="847">
        <v>0</v>
      </c>
      <c r="IC442" s="847">
        <v>0</v>
      </c>
      <c r="ID442" s="847">
        <v>0</v>
      </c>
      <c r="IE442" s="847">
        <v>0</v>
      </c>
      <c r="IF442" s="847">
        <v>0</v>
      </c>
      <c r="IG442" s="847">
        <v>0</v>
      </c>
      <c r="IH442" s="847">
        <v>0</v>
      </c>
      <c r="II442" s="847">
        <v>0</v>
      </c>
      <c r="IJ442" s="847">
        <v>0</v>
      </c>
      <c r="IK442" s="847">
        <v>0</v>
      </c>
    </row>
    <row r="443" spans="12:245" hidden="1">
      <c r="L443" s="843" t="s">
        <v>1060</v>
      </c>
      <c r="M443" s="843" t="s">
        <v>1382</v>
      </c>
      <c r="N443" s="843" t="s">
        <v>97</v>
      </c>
      <c r="O443" s="844">
        <v>52</v>
      </c>
      <c r="P443" s="780" t="str">
        <f t="shared" si="16"/>
        <v>IWT060252</v>
      </c>
      <c r="Q443" s="844">
        <v>2333</v>
      </c>
      <c r="R443" s="844">
        <v>6662</v>
      </c>
      <c r="S443" s="844">
        <v>11602</v>
      </c>
      <c r="T443" s="844">
        <v>17168</v>
      </c>
      <c r="U443" s="844">
        <v>23381</v>
      </c>
      <c r="V443" s="844">
        <v>29955</v>
      </c>
      <c r="W443" s="844">
        <v>30856</v>
      </c>
      <c r="X443" s="844">
        <v>31469</v>
      </c>
      <c r="Y443" s="844">
        <v>32096</v>
      </c>
      <c r="Z443" s="844">
        <v>32738</v>
      </c>
      <c r="AA443" s="844">
        <v>33393</v>
      </c>
      <c r="AB443" s="844">
        <v>34060</v>
      </c>
      <c r="AC443" s="844">
        <v>34742</v>
      </c>
      <c r="AD443" s="844">
        <v>35437</v>
      </c>
      <c r="AE443" s="844">
        <v>36145</v>
      </c>
      <c r="AF443" s="844">
        <v>36868</v>
      </c>
      <c r="AG443" s="844">
        <v>37605</v>
      </c>
      <c r="AH443" s="844">
        <v>38358</v>
      </c>
      <c r="AI443" s="844">
        <v>39125</v>
      </c>
      <c r="AJ443" s="844">
        <v>39907</v>
      </c>
      <c r="AK443" s="844">
        <v>40705</v>
      </c>
      <c r="AL443" s="844">
        <v>41519</v>
      </c>
      <c r="AM443" s="844">
        <v>42350</v>
      </c>
      <c r="AN443" s="844">
        <v>43197</v>
      </c>
      <c r="AO443" s="844">
        <v>44060</v>
      </c>
      <c r="AP443" s="844">
        <v>44942</v>
      </c>
      <c r="AQ443" s="844">
        <v>45840</v>
      </c>
      <c r="AR443" s="844">
        <v>46757</v>
      </c>
      <c r="AS443" s="844">
        <v>47692</v>
      </c>
      <c r="AT443" s="844">
        <v>48646</v>
      </c>
      <c r="AU443" s="844">
        <v>49619</v>
      </c>
      <c r="AV443" s="844">
        <v>50611</v>
      </c>
      <c r="AW443" s="844">
        <v>51623</v>
      </c>
      <c r="AX443" s="844">
        <v>52655</v>
      </c>
      <c r="AY443" s="844">
        <v>53708</v>
      </c>
      <c r="AZ443" s="844">
        <v>54782</v>
      </c>
      <c r="BA443" s="844">
        <v>55877</v>
      </c>
      <c r="BB443" s="844">
        <v>56995</v>
      </c>
      <c r="BC443" s="844">
        <v>58134</v>
      </c>
      <c r="BD443" s="844">
        <v>59296</v>
      </c>
      <c r="BE443" s="844">
        <v>60482</v>
      </c>
      <c r="BF443" s="844">
        <v>61691</v>
      </c>
      <c r="BG443" s="844">
        <v>62924</v>
      </c>
      <c r="BH443" s="844">
        <v>64182</v>
      </c>
      <c r="BI443" s="844">
        <v>65465</v>
      </c>
      <c r="BJ443" s="844">
        <v>66773</v>
      </c>
      <c r="BK443" s="844">
        <v>68107</v>
      </c>
      <c r="BL443" s="844">
        <v>69463</v>
      </c>
      <c r="BM443" s="844">
        <v>70827</v>
      </c>
      <c r="BN443" s="844">
        <v>72199</v>
      </c>
      <c r="BO443" s="844">
        <v>73578</v>
      </c>
      <c r="BP443" s="844">
        <v>74964</v>
      </c>
      <c r="BQ443" s="844">
        <v>76355</v>
      </c>
      <c r="BR443" s="844">
        <v>77752</v>
      </c>
      <c r="BS443" s="844">
        <v>79153</v>
      </c>
      <c r="BT443" s="844">
        <v>80558</v>
      </c>
      <c r="BU443" s="844">
        <v>81967</v>
      </c>
      <c r="BV443" s="844">
        <v>83370</v>
      </c>
      <c r="BW443" s="844">
        <v>84200</v>
      </c>
      <c r="BX443" s="844">
        <v>0</v>
      </c>
      <c r="BY443" s="844">
        <v>0</v>
      </c>
      <c r="BZ443" s="844">
        <v>0</v>
      </c>
      <c r="CA443" s="844">
        <v>0</v>
      </c>
      <c r="CB443" s="844">
        <v>0</v>
      </c>
      <c r="CC443" s="844">
        <v>0</v>
      </c>
      <c r="CD443" s="844">
        <v>0</v>
      </c>
      <c r="CE443" s="844">
        <v>0</v>
      </c>
      <c r="CF443" s="844">
        <v>0</v>
      </c>
      <c r="CG443" s="844">
        <v>0</v>
      </c>
      <c r="CH443" s="844">
        <v>0</v>
      </c>
      <c r="CI443" s="844">
        <v>0</v>
      </c>
      <c r="CJ443" s="844">
        <v>0</v>
      </c>
      <c r="CK443" s="844">
        <v>0</v>
      </c>
      <c r="CL443" s="844">
        <v>0</v>
      </c>
      <c r="CM443" s="844">
        <v>0</v>
      </c>
      <c r="CN443" s="844">
        <v>0</v>
      </c>
      <c r="CO443" s="844">
        <v>0</v>
      </c>
      <c r="CP443" s="844">
        <v>0</v>
      </c>
      <c r="CQ443" s="844">
        <v>0</v>
      </c>
      <c r="CR443" s="844">
        <v>0</v>
      </c>
      <c r="CS443" s="844">
        <v>0</v>
      </c>
      <c r="CT443" s="844">
        <v>0</v>
      </c>
      <c r="CU443" s="844">
        <v>0</v>
      </c>
      <c r="CV443" s="844">
        <v>0</v>
      </c>
      <c r="CW443" s="844">
        <v>0</v>
      </c>
      <c r="CX443" s="844">
        <v>0</v>
      </c>
      <c r="CY443" s="844">
        <v>0</v>
      </c>
      <c r="CZ443" s="844">
        <v>0</v>
      </c>
      <c r="DA443" s="844">
        <v>0</v>
      </c>
      <c r="DB443" s="844">
        <v>0</v>
      </c>
      <c r="DC443" s="844">
        <v>0</v>
      </c>
      <c r="DD443" s="844">
        <v>0</v>
      </c>
      <c r="DE443" s="844">
        <v>0</v>
      </c>
      <c r="DF443" s="844">
        <v>0</v>
      </c>
      <c r="DG443" s="844">
        <v>0</v>
      </c>
      <c r="DH443" s="844">
        <v>0</v>
      </c>
      <c r="DI443" s="844">
        <v>0</v>
      </c>
      <c r="DJ443" s="844">
        <v>0</v>
      </c>
      <c r="DK443" s="844">
        <v>0</v>
      </c>
      <c r="DL443" s="844">
        <v>0</v>
      </c>
      <c r="DM443" s="844">
        <v>0</v>
      </c>
      <c r="DN443" s="844">
        <v>0</v>
      </c>
      <c r="DO443" s="844">
        <v>0</v>
      </c>
      <c r="DP443" s="844">
        <v>0</v>
      </c>
      <c r="DQ443" s="844">
        <v>0</v>
      </c>
      <c r="DR443" s="844">
        <v>0</v>
      </c>
      <c r="DS443" s="844">
        <v>0</v>
      </c>
      <c r="DT443" s="844">
        <v>0</v>
      </c>
      <c r="DU443" s="844">
        <v>0</v>
      </c>
      <c r="DV443" s="844">
        <v>0</v>
      </c>
      <c r="DW443" s="844">
        <v>0</v>
      </c>
      <c r="DY443" s="846" t="s">
        <v>1060</v>
      </c>
      <c r="DZ443" s="846" t="s">
        <v>1382</v>
      </c>
      <c r="EA443" s="846" t="s">
        <v>97</v>
      </c>
      <c r="EB443" s="847">
        <v>52</v>
      </c>
      <c r="EC443" s="780" t="str">
        <f t="shared" si="17"/>
        <v>IWT060252</v>
      </c>
      <c r="ED443" s="847">
        <v>0</v>
      </c>
      <c r="EE443" s="847">
        <v>3110</v>
      </c>
      <c r="EF443" s="847">
        <v>8328</v>
      </c>
      <c r="EG443" s="847">
        <v>13649</v>
      </c>
      <c r="EH443" s="847">
        <v>19076</v>
      </c>
      <c r="EI443" s="847">
        <v>24612</v>
      </c>
      <c r="EJ443" s="847">
        <v>30258</v>
      </c>
      <c r="EK443" s="847">
        <v>30856</v>
      </c>
      <c r="EL443" s="847">
        <v>31469</v>
      </c>
      <c r="EM443" s="847">
        <v>32096</v>
      </c>
      <c r="EN443" s="847">
        <v>32738</v>
      </c>
      <c r="EO443" s="847">
        <v>33393</v>
      </c>
      <c r="EP443" s="847">
        <v>34060</v>
      </c>
      <c r="EQ443" s="847">
        <v>34742</v>
      </c>
      <c r="ER443" s="847">
        <v>35437</v>
      </c>
      <c r="ES443" s="847">
        <v>36145</v>
      </c>
      <c r="ET443" s="847">
        <v>36868</v>
      </c>
      <c r="EU443" s="847">
        <v>37605</v>
      </c>
      <c r="EV443" s="847">
        <v>38358</v>
      </c>
      <c r="EW443" s="847">
        <v>39125</v>
      </c>
      <c r="EX443" s="847">
        <v>39907</v>
      </c>
      <c r="EY443" s="847">
        <v>40705</v>
      </c>
      <c r="EZ443" s="847">
        <v>41519</v>
      </c>
      <c r="FA443" s="847">
        <v>42350</v>
      </c>
      <c r="FB443" s="847">
        <v>43197</v>
      </c>
      <c r="FC443" s="847">
        <v>44060</v>
      </c>
      <c r="FD443" s="847">
        <v>44942</v>
      </c>
      <c r="FE443" s="847">
        <v>45840</v>
      </c>
      <c r="FF443" s="847">
        <v>46757</v>
      </c>
      <c r="FG443" s="847">
        <v>47692</v>
      </c>
      <c r="FH443" s="847">
        <v>48646</v>
      </c>
      <c r="FI443" s="847">
        <v>49619</v>
      </c>
      <c r="FJ443" s="847">
        <v>50611</v>
      </c>
      <c r="FK443" s="847">
        <v>51623</v>
      </c>
      <c r="FL443" s="847">
        <v>52655</v>
      </c>
      <c r="FM443" s="847">
        <v>53708</v>
      </c>
      <c r="FN443" s="847">
        <v>54782</v>
      </c>
      <c r="FO443" s="847">
        <v>55877</v>
      </c>
      <c r="FP443" s="847">
        <v>56995</v>
      </c>
      <c r="FQ443" s="847">
        <v>58134</v>
      </c>
      <c r="FR443" s="847">
        <v>59296</v>
      </c>
      <c r="FS443" s="847">
        <v>60482</v>
      </c>
      <c r="FT443" s="847">
        <v>61691</v>
      </c>
      <c r="FU443" s="847">
        <v>62924</v>
      </c>
      <c r="FV443" s="847">
        <v>64182</v>
      </c>
      <c r="FW443" s="847">
        <v>65465</v>
      </c>
      <c r="FX443" s="847">
        <v>66773</v>
      </c>
      <c r="FY443" s="847">
        <v>68107</v>
      </c>
      <c r="FZ443" s="847">
        <v>69463</v>
      </c>
      <c r="GA443" s="847">
        <v>70827</v>
      </c>
      <c r="GB443" s="847">
        <v>72199</v>
      </c>
      <c r="GC443" s="847">
        <v>73578</v>
      </c>
      <c r="GD443" s="847">
        <v>74964</v>
      </c>
      <c r="GE443" s="847">
        <v>76355</v>
      </c>
      <c r="GF443" s="847">
        <v>77752</v>
      </c>
      <c r="GG443" s="847">
        <v>79153</v>
      </c>
      <c r="GH443" s="847">
        <v>80558</v>
      </c>
      <c r="GI443" s="847">
        <v>81967</v>
      </c>
      <c r="GJ443" s="847">
        <v>83370</v>
      </c>
      <c r="GK443" s="847">
        <v>84200</v>
      </c>
      <c r="GL443" s="847">
        <v>0</v>
      </c>
      <c r="GM443" s="847">
        <v>0</v>
      </c>
      <c r="GN443" s="847">
        <v>0</v>
      </c>
      <c r="GO443" s="847">
        <v>0</v>
      </c>
      <c r="GP443" s="847">
        <v>0</v>
      </c>
      <c r="GQ443" s="847">
        <v>0</v>
      </c>
      <c r="GR443" s="847">
        <v>0</v>
      </c>
      <c r="GS443" s="847">
        <v>0</v>
      </c>
      <c r="GT443" s="847">
        <v>0</v>
      </c>
      <c r="GU443" s="847">
        <v>0</v>
      </c>
      <c r="GV443" s="847">
        <v>0</v>
      </c>
      <c r="GW443" s="847">
        <v>0</v>
      </c>
      <c r="GX443" s="847">
        <v>0</v>
      </c>
      <c r="GY443" s="847">
        <v>0</v>
      </c>
      <c r="GZ443" s="847">
        <v>0</v>
      </c>
      <c r="HA443" s="847">
        <v>0</v>
      </c>
      <c r="HB443" s="847">
        <v>0</v>
      </c>
      <c r="HC443" s="847">
        <v>0</v>
      </c>
      <c r="HD443" s="847">
        <v>0</v>
      </c>
      <c r="HE443" s="847">
        <v>0</v>
      </c>
      <c r="HF443" s="847">
        <v>0</v>
      </c>
      <c r="HG443" s="847">
        <v>0</v>
      </c>
      <c r="HH443" s="847">
        <v>0</v>
      </c>
      <c r="HI443" s="847">
        <v>0</v>
      </c>
      <c r="HJ443" s="847">
        <v>0</v>
      </c>
      <c r="HK443" s="847">
        <v>0</v>
      </c>
      <c r="HL443" s="847">
        <v>0</v>
      </c>
      <c r="HM443" s="847">
        <v>0</v>
      </c>
      <c r="HN443" s="847">
        <v>0</v>
      </c>
      <c r="HO443" s="847">
        <v>0</v>
      </c>
      <c r="HP443" s="847">
        <v>0</v>
      </c>
      <c r="HQ443" s="847">
        <v>0</v>
      </c>
      <c r="HR443" s="847">
        <v>0</v>
      </c>
      <c r="HS443" s="847">
        <v>0</v>
      </c>
      <c r="HT443" s="847">
        <v>0</v>
      </c>
      <c r="HU443" s="847">
        <v>0</v>
      </c>
      <c r="HV443" s="847">
        <v>0</v>
      </c>
      <c r="HW443" s="847">
        <v>0</v>
      </c>
      <c r="HX443" s="847">
        <v>0</v>
      </c>
      <c r="HY443" s="847">
        <v>0</v>
      </c>
      <c r="HZ443" s="847">
        <v>0</v>
      </c>
      <c r="IA443" s="847">
        <v>0</v>
      </c>
      <c r="IB443" s="847">
        <v>0</v>
      </c>
      <c r="IC443" s="847">
        <v>0</v>
      </c>
      <c r="ID443" s="847">
        <v>0</v>
      </c>
      <c r="IE443" s="847">
        <v>0</v>
      </c>
      <c r="IF443" s="847">
        <v>0</v>
      </c>
      <c r="IG443" s="847">
        <v>0</v>
      </c>
      <c r="IH443" s="847">
        <v>0</v>
      </c>
      <c r="II443" s="847">
        <v>0</v>
      </c>
      <c r="IJ443" s="847">
        <v>0</v>
      </c>
      <c r="IK443" s="847">
        <v>0</v>
      </c>
    </row>
    <row r="444" spans="12:245" hidden="1">
      <c r="L444" s="843" t="s">
        <v>1060</v>
      </c>
      <c r="M444" s="843" t="s">
        <v>1382</v>
      </c>
      <c r="N444" s="843" t="s">
        <v>97</v>
      </c>
      <c r="O444" s="844">
        <v>53</v>
      </c>
      <c r="P444" s="780" t="str">
        <f t="shared" si="16"/>
        <v>IWT060253</v>
      </c>
      <c r="Q444" s="844">
        <v>2330</v>
      </c>
      <c r="R444" s="844">
        <v>6661</v>
      </c>
      <c r="S444" s="844">
        <v>11602</v>
      </c>
      <c r="T444" s="844">
        <v>17170</v>
      </c>
      <c r="U444" s="844">
        <v>23385</v>
      </c>
      <c r="V444" s="844">
        <v>29961</v>
      </c>
      <c r="W444" s="844">
        <v>30861</v>
      </c>
      <c r="X444" s="844">
        <v>31473</v>
      </c>
      <c r="Y444" s="844">
        <v>32100</v>
      </c>
      <c r="Z444" s="844">
        <v>32742</v>
      </c>
      <c r="AA444" s="844">
        <v>33397</v>
      </c>
      <c r="AB444" s="844">
        <v>34065</v>
      </c>
      <c r="AC444" s="844">
        <v>34746</v>
      </c>
      <c r="AD444" s="844">
        <v>35441</v>
      </c>
      <c r="AE444" s="844">
        <v>36150</v>
      </c>
      <c r="AF444" s="844">
        <v>36873</v>
      </c>
      <c r="AG444" s="844">
        <v>37611</v>
      </c>
      <c r="AH444" s="844">
        <v>38363</v>
      </c>
      <c r="AI444" s="844">
        <v>39130</v>
      </c>
      <c r="AJ444" s="844">
        <v>39913</v>
      </c>
      <c r="AK444" s="844">
        <v>40711</v>
      </c>
      <c r="AL444" s="844">
        <v>41525</v>
      </c>
      <c r="AM444" s="844">
        <v>42355</v>
      </c>
      <c r="AN444" s="844">
        <v>43202</v>
      </c>
      <c r="AO444" s="844">
        <v>44066</v>
      </c>
      <c r="AP444" s="844">
        <v>44948</v>
      </c>
      <c r="AQ444" s="844">
        <v>45847</v>
      </c>
      <c r="AR444" s="844">
        <v>46763</v>
      </c>
      <c r="AS444" s="844">
        <v>47699</v>
      </c>
      <c r="AT444" s="844">
        <v>48652</v>
      </c>
      <c r="AU444" s="844">
        <v>49625</v>
      </c>
      <c r="AV444" s="844">
        <v>50618</v>
      </c>
      <c r="AW444" s="844">
        <v>51630</v>
      </c>
      <c r="AX444" s="844">
        <v>52662</v>
      </c>
      <c r="AY444" s="844">
        <v>53715</v>
      </c>
      <c r="AZ444" s="844">
        <v>54789</v>
      </c>
      <c r="BA444" s="844">
        <v>55885</v>
      </c>
      <c r="BB444" s="844">
        <v>57002</v>
      </c>
      <c r="BC444" s="844">
        <v>58142</v>
      </c>
      <c r="BD444" s="844">
        <v>59304</v>
      </c>
      <c r="BE444" s="844">
        <v>60490</v>
      </c>
      <c r="BF444" s="844">
        <v>61699</v>
      </c>
      <c r="BG444" s="844">
        <v>62932</v>
      </c>
      <c r="BH444" s="844">
        <v>64190</v>
      </c>
      <c r="BI444" s="844">
        <v>65473</v>
      </c>
      <c r="BJ444" s="844">
        <v>66781</v>
      </c>
      <c r="BK444" s="844">
        <v>68115</v>
      </c>
      <c r="BL444" s="844">
        <v>69474</v>
      </c>
      <c r="BM444" s="844">
        <v>70841</v>
      </c>
      <c r="BN444" s="844">
        <v>72216</v>
      </c>
      <c r="BO444" s="844">
        <v>73597</v>
      </c>
      <c r="BP444" s="844">
        <v>74984</v>
      </c>
      <c r="BQ444" s="844">
        <v>76377</v>
      </c>
      <c r="BR444" s="844">
        <v>77775</v>
      </c>
      <c r="BS444" s="844">
        <v>79177</v>
      </c>
      <c r="BT444" s="844">
        <v>80582</v>
      </c>
      <c r="BU444" s="844">
        <v>81984</v>
      </c>
      <c r="BV444" s="844">
        <v>82800</v>
      </c>
      <c r="BW444" s="844">
        <v>0</v>
      </c>
      <c r="BX444" s="844">
        <v>0</v>
      </c>
      <c r="BY444" s="844">
        <v>0</v>
      </c>
      <c r="BZ444" s="844">
        <v>0</v>
      </c>
      <c r="CA444" s="844">
        <v>0</v>
      </c>
      <c r="CB444" s="844">
        <v>0</v>
      </c>
      <c r="CC444" s="844">
        <v>0</v>
      </c>
      <c r="CD444" s="844">
        <v>0</v>
      </c>
      <c r="CE444" s="844">
        <v>0</v>
      </c>
      <c r="CF444" s="844">
        <v>0</v>
      </c>
      <c r="CG444" s="844">
        <v>0</v>
      </c>
      <c r="CH444" s="844">
        <v>0</v>
      </c>
      <c r="CI444" s="844">
        <v>0</v>
      </c>
      <c r="CJ444" s="844">
        <v>0</v>
      </c>
      <c r="CK444" s="844">
        <v>0</v>
      </c>
      <c r="CL444" s="844">
        <v>0</v>
      </c>
      <c r="CM444" s="844">
        <v>0</v>
      </c>
      <c r="CN444" s="844">
        <v>0</v>
      </c>
      <c r="CO444" s="844">
        <v>0</v>
      </c>
      <c r="CP444" s="844">
        <v>0</v>
      </c>
      <c r="CQ444" s="844">
        <v>0</v>
      </c>
      <c r="CR444" s="844">
        <v>0</v>
      </c>
      <c r="CS444" s="844">
        <v>0</v>
      </c>
      <c r="CT444" s="844">
        <v>0</v>
      </c>
      <c r="CU444" s="844">
        <v>0</v>
      </c>
      <c r="CV444" s="844">
        <v>0</v>
      </c>
      <c r="CW444" s="844">
        <v>0</v>
      </c>
      <c r="CX444" s="844">
        <v>0</v>
      </c>
      <c r="CY444" s="844">
        <v>0</v>
      </c>
      <c r="CZ444" s="844">
        <v>0</v>
      </c>
      <c r="DA444" s="844">
        <v>0</v>
      </c>
      <c r="DB444" s="844">
        <v>0</v>
      </c>
      <c r="DC444" s="844">
        <v>0</v>
      </c>
      <c r="DD444" s="844">
        <v>0</v>
      </c>
      <c r="DE444" s="844">
        <v>0</v>
      </c>
      <c r="DF444" s="844">
        <v>0</v>
      </c>
      <c r="DG444" s="844">
        <v>0</v>
      </c>
      <c r="DH444" s="844">
        <v>0</v>
      </c>
      <c r="DI444" s="844">
        <v>0</v>
      </c>
      <c r="DJ444" s="844">
        <v>0</v>
      </c>
      <c r="DK444" s="844">
        <v>0</v>
      </c>
      <c r="DL444" s="844">
        <v>0</v>
      </c>
      <c r="DM444" s="844">
        <v>0</v>
      </c>
      <c r="DN444" s="844">
        <v>0</v>
      </c>
      <c r="DO444" s="844">
        <v>0</v>
      </c>
      <c r="DP444" s="844">
        <v>0</v>
      </c>
      <c r="DQ444" s="844">
        <v>0</v>
      </c>
      <c r="DR444" s="844">
        <v>0</v>
      </c>
      <c r="DS444" s="844">
        <v>0</v>
      </c>
      <c r="DT444" s="844">
        <v>0</v>
      </c>
      <c r="DU444" s="844">
        <v>0</v>
      </c>
      <c r="DV444" s="844">
        <v>0</v>
      </c>
      <c r="DW444" s="844">
        <v>0</v>
      </c>
      <c r="DY444" s="846" t="s">
        <v>1060</v>
      </c>
      <c r="DZ444" s="846" t="s">
        <v>1382</v>
      </c>
      <c r="EA444" s="846" t="s">
        <v>97</v>
      </c>
      <c r="EB444" s="847">
        <v>53</v>
      </c>
      <c r="EC444" s="780" t="str">
        <f t="shared" si="17"/>
        <v>IWT060253</v>
      </c>
      <c r="ED444" s="847">
        <v>0</v>
      </c>
      <c r="EE444" s="847">
        <v>3106</v>
      </c>
      <c r="EF444" s="847">
        <v>8326</v>
      </c>
      <c r="EG444" s="847">
        <v>13649</v>
      </c>
      <c r="EH444" s="847">
        <v>19078</v>
      </c>
      <c r="EI444" s="847">
        <v>24616</v>
      </c>
      <c r="EJ444" s="847">
        <v>30264</v>
      </c>
      <c r="EK444" s="847">
        <v>30861</v>
      </c>
      <c r="EL444" s="847">
        <v>31473</v>
      </c>
      <c r="EM444" s="847">
        <v>32100</v>
      </c>
      <c r="EN444" s="847">
        <v>32742</v>
      </c>
      <c r="EO444" s="847">
        <v>33397</v>
      </c>
      <c r="EP444" s="847">
        <v>34065</v>
      </c>
      <c r="EQ444" s="847">
        <v>34746</v>
      </c>
      <c r="ER444" s="847">
        <v>35441</v>
      </c>
      <c r="ES444" s="847">
        <v>36150</v>
      </c>
      <c r="ET444" s="847">
        <v>36873</v>
      </c>
      <c r="EU444" s="847">
        <v>37611</v>
      </c>
      <c r="EV444" s="847">
        <v>38363</v>
      </c>
      <c r="EW444" s="847">
        <v>39130</v>
      </c>
      <c r="EX444" s="847">
        <v>39913</v>
      </c>
      <c r="EY444" s="847">
        <v>40711</v>
      </c>
      <c r="EZ444" s="847">
        <v>41525</v>
      </c>
      <c r="FA444" s="847">
        <v>42355</v>
      </c>
      <c r="FB444" s="847">
        <v>43202</v>
      </c>
      <c r="FC444" s="847">
        <v>44066</v>
      </c>
      <c r="FD444" s="847">
        <v>44948</v>
      </c>
      <c r="FE444" s="847">
        <v>45847</v>
      </c>
      <c r="FF444" s="847">
        <v>46763</v>
      </c>
      <c r="FG444" s="847">
        <v>47699</v>
      </c>
      <c r="FH444" s="847">
        <v>48652</v>
      </c>
      <c r="FI444" s="847">
        <v>49625</v>
      </c>
      <c r="FJ444" s="847">
        <v>50618</v>
      </c>
      <c r="FK444" s="847">
        <v>51630</v>
      </c>
      <c r="FL444" s="847">
        <v>52662</v>
      </c>
      <c r="FM444" s="847">
        <v>53715</v>
      </c>
      <c r="FN444" s="847">
        <v>54789</v>
      </c>
      <c r="FO444" s="847">
        <v>55885</v>
      </c>
      <c r="FP444" s="847">
        <v>57002</v>
      </c>
      <c r="FQ444" s="847">
        <v>58142</v>
      </c>
      <c r="FR444" s="847">
        <v>59304</v>
      </c>
      <c r="FS444" s="847">
        <v>60490</v>
      </c>
      <c r="FT444" s="847">
        <v>61699</v>
      </c>
      <c r="FU444" s="847">
        <v>62932</v>
      </c>
      <c r="FV444" s="847">
        <v>64190</v>
      </c>
      <c r="FW444" s="847">
        <v>65473</v>
      </c>
      <c r="FX444" s="847">
        <v>66781</v>
      </c>
      <c r="FY444" s="847">
        <v>68115</v>
      </c>
      <c r="FZ444" s="847">
        <v>69474</v>
      </c>
      <c r="GA444" s="847">
        <v>70841</v>
      </c>
      <c r="GB444" s="847">
        <v>72216</v>
      </c>
      <c r="GC444" s="847">
        <v>73597</v>
      </c>
      <c r="GD444" s="847">
        <v>74984</v>
      </c>
      <c r="GE444" s="847">
        <v>76377</v>
      </c>
      <c r="GF444" s="847">
        <v>77775</v>
      </c>
      <c r="GG444" s="847">
        <v>79177</v>
      </c>
      <c r="GH444" s="847">
        <v>80582</v>
      </c>
      <c r="GI444" s="847">
        <v>81984</v>
      </c>
      <c r="GJ444" s="847">
        <v>82800</v>
      </c>
      <c r="GK444" s="847">
        <v>0</v>
      </c>
      <c r="GL444" s="847">
        <v>0</v>
      </c>
      <c r="GM444" s="847">
        <v>0</v>
      </c>
      <c r="GN444" s="847">
        <v>0</v>
      </c>
      <c r="GO444" s="847">
        <v>0</v>
      </c>
      <c r="GP444" s="847">
        <v>0</v>
      </c>
      <c r="GQ444" s="847">
        <v>0</v>
      </c>
      <c r="GR444" s="847">
        <v>0</v>
      </c>
      <c r="GS444" s="847">
        <v>0</v>
      </c>
      <c r="GT444" s="847">
        <v>0</v>
      </c>
      <c r="GU444" s="847">
        <v>0</v>
      </c>
      <c r="GV444" s="847">
        <v>0</v>
      </c>
      <c r="GW444" s="847">
        <v>0</v>
      </c>
      <c r="GX444" s="847">
        <v>0</v>
      </c>
      <c r="GY444" s="847">
        <v>0</v>
      </c>
      <c r="GZ444" s="847">
        <v>0</v>
      </c>
      <c r="HA444" s="847">
        <v>0</v>
      </c>
      <c r="HB444" s="847">
        <v>0</v>
      </c>
      <c r="HC444" s="847">
        <v>0</v>
      </c>
      <c r="HD444" s="847">
        <v>0</v>
      </c>
      <c r="HE444" s="847">
        <v>0</v>
      </c>
      <c r="HF444" s="847">
        <v>0</v>
      </c>
      <c r="HG444" s="847">
        <v>0</v>
      </c>
      <c r="HH444" s="847">
        <v>0</v>
      </c>
      <c r="HI444" s="847">
        <v>0</v>
      </c>
      <c r="HJ444" s="847">
        <v>0</v>
      </c>
      <c r="HK444" s="847">
        <v>0</v>
      </c>
      <c r="HL444" s="847">
        <v>0</v>
      </c>
      <c r="HM444" s="847">
        <v>0</v>
      </c>
      <c r="HN444" s="847">
        <v>0</v>
      </c>
      <c r="HO444" s="847">
        <v>0</v>
      </c>
      <c r="HP444" s="847">
        <v>0</v>
      </c>
      <c r="HQ444" s="847">
        <v>0</v>
      </c>
      <c r="HR444" s="847">
        <v>0</v>
      </c>
      <c r="HS444" s="847">
        <v>0</v>
      </c>
      <c r="HT444" s="847">
        <v>0</v>
      </c>
      <c r="HU444" s="847">
        <v>0</v>
      </c>
      <c r="HV444" s="847">
        <v>0</v>
      </c>
      <c r="HW444" s="847">
        <v>0</v>
      </c>
      <c r="HX444" s="847">
        <v>0</v>
      </c>
      <c r="HY444" s="847">
        <v>0</v>
      </c>
      <c r="HZ444" s="847">
        <v>0</v>
      </c>
      <c r="IA444" s="847">
        <v>0</v>
      </c>
      <c r="IB444" s="847">
        <v>0</v>
      </c>
      <c r="IC444" s="847">
        <v>0</v>
      </c>
      <c r="ID444" s="847">
        <v>0</v>
      </c>
      <c r="IE444" s="847">
        <v>0</v>
      </c>
      <c r="IF444" s="847">
        <v>0</v>
      </c>
      <c r="IG444" s="847">
        <v>0</v>
      </c>
      <c r="IH444" s="847">
        <v>0</v>
      </c>
      <c r="II444" s="847">
        <v>0</v>
      </c>
      <c r="IJ444" s="847">
        <v>0</v>
      </c>
      <c r="IK444" s="847">
        <v>0</v>
      </c>
    </row>
    <row r="445" spans="12:245" hidden="1">
      <c r="L445" s="843" t="s">
        <v>1060</v>
      </c>
      <c r="M445" s="843" t="s">
        <v>1382</v>
      </c>
      <c r="N445" s="843" t="s">
        <v>97</v>
      </c>
      <c r="O445" s="844">
        <v>54</v>
      </c>
      <c r="P445" s="780" t="str">
        <f t="shared" si="16"/>
        <v>IWT060254</v>
      </c>
      <c r="Q445" s="844">
        <v>2326</v>
      </c>
      <c r="R445" s="844">
        <v>6658</v>
      </c>
      <c r="S445" s="844">
        <v>11602</v>
      </c>
      <c r="T445" s="844">
        <v>17172</v>
      </c>
      <c r="U445" s="844">
        <v>23388</v>
      </c>
      <c r="V445" s="844">
        <v>29966</v>
      </c>
      <c r="W445" s="844">
        <v>30866</v>
      </c>
      <c r="X445" s="844">
        <v>31477</v>
      </c>
      <c r="Y445" s="844">
        <v>32104</v>
      </c>
      <c r="Z445" s="844">
        <v>32746</v>
      </c>
      <c r="AA445" s="844">
        <v>33401</v>
      </c>
      <c r="AB445" s="844">
        <v>34069</v>
      </c>
      <c r="AC445" s="844">
        <v>34750</v>
      </c>
      <c r="AD445" s="844">
        <v>35445</v>
      </c>
      <c r="AE445" s="844">
        <v>36154</v>
      </c>
      <c r="AF445" s="844">
        <v>36877</v>
      </c>
      <c r="AG445" s="844">
        <v>37615</v>
      </c>
      <c r="AH445" s="844">
        <v>38367</v>
      </c>
      <c r="AI445" s="844">
        <v>39134</v>
      </c>
      <c r="AJ445" s="844">
        <v>39917</v>
      </c>
      <c r="AK445" s="844">
        <v>40715</v>
      </c>
      <c r="AL445" s="844">
        <v>41530</v>
      </c>
      <c r="AM445" s="844">
        <v>42360</v>
      </c>
      <c r="AN445" s="844">
        <v>43207</v>
      </c>
      <c r="AO445" s="844">
        <v>44071</v>
      </c>
      <c r="AP445" s="844">
        <v>44953</v>
      </c>
      <c r="AQ445" s="844">
        <v>45852</v>
      </c>
      <c r="AR445" s="844">
        <v>46769</v>
      </c>
      <c r="AS445" s="844">
        <v>47704</v>
      </c>
      <c r="AT445" s="844">
        <v>48658</v>
      </c>
      <c r="AU445" s="844">
        <v>49631</v>
      </c>
      <c r="AV445" s="844">
        <v>50623</v>
      </c>
      <c r="AW445" s="844">
        <v>51635</v>
      </c>
      <c r="AX445" s="844">
        <v>52668</v>
      </c>
      <c r="AY445" s="844">
        <v>53721</v>
      </c>
      <c r="AZ445" s="844">
        <v>54795</v>
      </c>
      <c r="BA445" s="844">
        <v>55891</v>
      </c>
      <c r="BB445" s="844">
        <v>57008</v>
      </c>
      <c r="BC445" s="844">
        <v>58148</v>
      </c>
      <c r="BD445" s="844">
        <v>59310</v>
      </c>
      <c r="BE445" s="844">
        <v>60496</v>
      </c>
      <c r="BF445" s="844">
        <v>61705</v>
      </c>
      <c r="BG445" s="844">
        <v>62938</v>
      </c>
      <c r="BH445" s="844">
        <v>64196</v>
      </c>
      <c r="BI445" s="844">
        <v>65479</v>
      </c>
      <c r="BJ445" s="844">
        <v>66788</v>
      </c>
      <c r="BK445" s="844">
        <v>68122</v>
      </c>
      <c r="BL445" s="844">
        <v>69483</v>
      </c>
      <c r="BM445" s="844">
        <v>70853</v>
      </c>
      <c r="BN445" s="844">
        <v>72230</v>
      </c>
      <c r="BO445" s="844">
        <v>73613</v>
      </c>
      <c r="BP445" s="844">
        <v>75003</v>
      </c>
      <c r="BQ445" s="844">
        <v>76397</v>
      </c>
      <c r="BR445" s="844">
        <v>77796</v>
      </c>
      <c r="BS445" s="844">
        <v>79198</v>
      </c>
      <c r="BT445" s="844">
        <v>80598</v>
      </c>
      <c r="BU445" s="844">
        <v>81400</v>
      </c>
      <c r="BV445" s="844">
        <v>0</v>
      </c>
      <c r="BW445" s="844">
        <v>0</v>
      </c>
      <c r="BX445" s="844">
        <v>0</v>
      </c>
      <c r="BY445" s="844">
        <v>0</v>
      </c>
      <c r="BZ445" s="844">
        <v>0</v>
      </c>
      <c r="CA445" s="844">
        <v>0</v>
      </c>
      <c r="CB445" s="844">
        <v>0</v>
      </c>
      <c r="CC445" s="844">
        <v>0</v>
      </c>
      <c r="CD445" s="844">
        <v>0</v>
      </c>
      <c r="CE445" s="844">
        <v>0</v>
      </c>
      <c r="CF445" s="844">
        <v>0</v>
      </c>
      <c r="CG445" s="844">
        <v>0</v>
      </c>
      <c r="CH445" s="844">
        <v>0</v>
      </c>
      <c r="CI445" s="844">
        <v>0</v>
      </c>
      <c r="CJ445" s="844">
        <v>0</v>
      </c>
      <c r="CK445" s="844">
        <v>0</v>
      </c>
      <c r="CL445" s="844">
        <v>0</v>
      </c>
      <c r="CM445" s="844">
        <v>0</v>
      </c>
      <c r="CN445" s="844">
        <v>0</v>
      </c>
      <c r="CO445" s="844">
        <v>0</v>
      </c>
      <c r="CP445" s="844">
        <v>0</v>
      </c>
      <c r="CQ445" s="844">
        <v>0</v>
      </c>
      <c r="CR445" s="844">
        <v>0</v>
      </c>
      <c r="CS445" s="844">
        <v>0</v>
      </c>
      <c r="CT445" s="844">
        <v>0</v>
      </c>
      <c r="CU445" s="844">
        <v>0</v>
      </c>
      <c r="CV445" s="844">
        <v>0</v>
      </c>
      <c r="CW445" s="844">
        <v>0</v>
      </c>
      <c r="CX445" s="844">
        <v>0</v>
      </c>
      <c r="CY445" s="844">
        <v>0</v>
      </c>
      <c r="CZ445" s="844">
        <v>0</v>
      </c>
      <c r="DA445" s="844">
        <v>0</v>
      </c>
      <c r="DB445" s="844">
        <v>0</v>
      </c>
      <c r="DC445" s="844">
        <v>0</v>
      </c>
      <c r="DD445" s="844">
        <v>0</v>
      </c>
      <c r="DE445" s="844">
        <v>0</v>
      </c>
      <c r="DF445" s="844">
        <v>0</v>
      </c>
      <c r="DG445" s="844">
        <v>0</v>
      </c>
      <c r="DH445" s="844">
        <v>0</v>
      </c>
      <c r="DI445" s="844">
        <v>0</v>
      </c>
      <c r="DJ445" s="844">
        <v>0</v>
      </c>
      <c r="DK445" s="844">
        <v>0</v>
      </c>
      <c r="DL445" s="844">
        <v>0</v>
      </c>
      <c r="DM445" s="844">
        <v>0</v>
      </c>
      <c r="DN445" s="844">
        <v>0</v>
      </c>
      <c r="DO445" s="844">
        <v>0</v>
      </c>
      <c r="DP445" s="844">
        <v>0</v>
      </c>
      <c r="DQ445" s="844">
        <v>0</v>
      </c>
      <c r="DR445" s="844">
        <v>0</v>
      </c>
      <c r="DS445" s="844">
        <v>0</v>
      </c>
      <c r="DT445" s="844">
        <v>0</v>
      </c>
      <c r="DU445" s="844">
        <v>0</v>
      </c>
      <c r="DV445" s="844">
        <v>0</v>
      </c>
      <c r="DW445" s="844">
        <v>0</v>
      </c>
      <c r="DY445" s="846" t="s">
        <v>1060</v>
      </c>
      <c r="DZ445" s="846" t="s">
        <v>1382</v>
      </c>
      <c r="EA445" s="846" t="s">
        <v>97</v>
      </c>
      <c r="EB445" s="847">
        <v>54</v>
      </c>
      <c r="EC445" s="780" t="str">
        <f t="shared" si="17"/>
        <v>IWT060254</v>
      </c>
      <c r="ED445" s="847">
        <v>0</v>
      </c>
      <c r="EE445" s="847">
        <v>3101</v>
      </c>
      <c r="EF445" s="847">
        <v>8323</v>
      </c>
      <c r="EG445" s="847">
        <v>13649</v>
      </c>
      <c r="EH445" s="847">
        <v>19080</v>
      </c>
      <c r="EI445" s="847">
        <v>24619</v>
      </c>
      <c r="EJ445" s="847">
        <v>30269</v>
      </c>
      <c r="EK445" s="847">
        <v>30866</v>
      </c>
      <c r="EL445" s="847">
        <v>31477</v>
      </c>
      <c r="EM445" s="847">
        <v>32104</v>
      </c>
      <c r="EN445" s="847">
        <v>32746</v>
      </c>
      <c r="EO445" s="847">
        <v>33401</v>
      </c>
      <c r="EP445" s="847">
        <v>34069</v>
      </c>
      <c r="EQ445" s="847">
        <v>34750</v>
      </c>
      <c r="ER445" s="847">
        <v>35445</v>
      </c>
      <c r="ES445" s="847">
        <v>36154</v>
      </c>
      <c r="ET445" s="847">
        <v>36877</v>
      </c>
      <c r="EU445" s="847">
        <v>37615</v>
      </c>
      <c r="EV445" s="847">
        <v>38367</v>
      </c>
      <c r="EW445" s="847">
        <v>39134</v>
      </c>
      <c r="EX445" s="847">
        <v>39917</v>
      </c>
      <c r="EY445" s="847">
        <v>40715</v>
      </c>
      <c r="EZ445" s="847">
        <v>41530</v>
      </c>
      <c r="FA445" s="847">
        <v>42360</v>
      </c>
      <c r="FB445" s="847">
        <v>43207</v>
      </c>
      <c r="FC445" s="847">
        <v>44071</v>
      </c>
      <c r="FD445" s="847">
        <v>44953</v>
      </c>
      <c r="FE445" s="847">
        <v>45852</v>
      </c>
      <c r="FF445" s="847">
        <v>46769</v>
      </c>
      <c r="FG445" s="847">
        <v>47704</v>
      </c>
      <c r="FH445" s="847">
        <v>48658</v>
      </c>
      <c r="FI445" s="847">
        <v>49631</v>
      </c>
      <c r="FJ445" s="847">
        <v>50623</v>
      </c>
      <c r="FK445" s="847">
        <v>51635</v>
      </c>
      <c r="FL445" s="847">
        <v>52668</v>
      </c>
      <c r="FM445" s="847">
        <v>53721</v>
      </c>
      <c r="FN445" s="847">
        <v>54795</v>
      </c>
      <c r="FO445" s="847">
        <v>55891</v>
      </c>
      <c r="FP445" s="847">
        <v>57008</v>
      </c>
      <c r="FQ445" s="847">
        <v>58148</v>
      </c>
      <c r="FR445" s="847">
        <v>59310</v>
      </c>
      <c r="FS445" s="847">
        <v>60496</v>
      </c>
      <c r="FT445" s="847">
        <v>61705</v>
      </c>
      <c r="FU445" s="847">
        <v>62938</v>
      </c>
      <c r="FV445" s="847">
        <v>64196</v>
      </c>
      <c r="FW445" s="847">
        <v>65479</v>
      </c>
      <c r="FX445" s="847">
        <v>66788</v>
      </c>
      <c r="FY445" s="847">
        <v>68122</v>
      </c>
      <c r="FZ445" s="847">
        <v>69483</v>
      </c>
      <c r="GA445" s="847">
        <v>70853</v>
      </c>
      <c r="GB445" s="847">
        <v>72230</v>
      </c>
      <c r="GC445" s="847">
        <v>73613</v>
      </c>
      <c r="GD445" s="847">
        <v>75003</v>
      </c>
      <c r="GE445" s="847">
        <v>76397</v>
      </c>
      <c r="GF445" s="847">
        <v>77796</v>
      </c>
      <c r="GG445" s="847">
        <v>79198</v>
      </c>
      <c r="GH445" s="847">
        <v>80598</v>
      </c>
      <c r="GI445" s="847">
        <v>81400</v>
      </c>
      <c r="GJ445" s="847">
        <v>0</v>
      </c>
      <c r="GK445" s="847">
        <v>0</v>
      </c>
      <c r="GL445" s="847">
        <v>0</v>
      </c>
      <c r="GM445" s="847">
        <v>0</v>
      </c>
      <c r="GN445" s="847">
        <v>0</v>
      </c>
      <c r="GO445" s="847">
        <v>0</v>
      </c>
      <c r="GP445" s="847">
        <v>0</v>
      </c>
      <c r="GQ445" s="847">
        <v>0</v>
      </c>
      <c r="GR445" s="847">
        <v>0</v>
      </c>
      <c r="GS445" s="847">
        <v>0</v>
      </c>
      <c r="GT445" s="847">
        <v>0</v>
      </c>
      <c r="GU445" s="847">
        <v>0</v>
      </c>
      <c r="GV445" s="847">
        <v>0</v>
      </c>
      <c r="GW445" s="847">
        <v>0</v>
      </c>
      <c r="GX445" s="847">
        <v>0</v>
      </c>
      <c r="GY445" s="847">
        <v>0</v>
      </c>
      <c r="GZ445" s="847">
        <v>0</v>
      </c>
      <c r="HA445" s="847">
        <v>0</v>
      </c>
      <c r="HB445" s="847">
        <v>0</v>
      </c>
      <c r="HC445" s="847">
        <v>0</v>
      </c>
      <c r="HD445" s="847">
        <v>0</v>
      </c>
      <c r="HE445" s="847">
        <v>0</v>
      </c>
      <c r="HF445" s="847">
        <v>0</v>
      </c>
      <c r="HG445" s="847">
        <v>0</v>
      </c>
      <c r="HH445" s="847">
        <v>0</v>
      </c>
      <c r="HI445" s="847">
        <v>0</v>
      </c>
      <c r="HJ445" s="847">
        <v>0</v>
      </c>
      <c r="HK445" s="847">
        <v>0</v>
      </c>
      <c r="HL445" s="847">
        <v>0</v>
      </c>
      <c r="HM445" s="847">
        <v>0</v>
      </c>
      <c r="HN445" s="847">
        <v>0</v>
      </c>
      <c r="HO445" s="847">
        <v>0</v>
      </c>
      <c r="HP445" s="847">
        <v>0</v>
      </c>
      <c r="HQ445" s="847">
        <v>0</v>
      </c>
      <c r="HR445" s="847">
        <v>0</v>
      </c>
      <c r="HS445" s="847">
        <v>0</v>
      </c>
      <c r="HT445" s="847">
        <v>0</v>
      </c>
      <c r="HU445" s="847">
        <v>0</v>
      </c>
      <c r="HV445" s="847">
        <v>0</v>
      </c>
      <c r="HW445" s="847">
        <v>0</v>
      </c>
      <c r="HX445" s="847">
        <v>0</v>
      </c>
      <c r="HY445" s="847">
        <v>0</v>
      </c>
      <c r="HZ445" s="847">
        <v>0</v>
      </c>
      <c r="IA445" s="847">
        <v>0</v>
      </c>
      <c r="IB445" s="847">
        <v>0</v>
      </c>
      <c r="IC445" s="847">
        <v>0</v>
      </c>
      <c r="ID445" s="847">
        <v>0</v>
      </c>
      <c r="IE445" s="847">
        <v>0</v>
      </c>
      <c r="IF445" s="847">
        <v>0</v>
      </c>
      <c r="IG445" s="847">
        <v>0</v>
      </c>
      <c r="IH445" s="847">
        <v>0</v>
      </c>
      <c r="II445" s="847">
        <v>0</v>
      </c>
      <c r="IJ445" s="847">
        <v>0</v>
      </c>
      <c r="IK445" s="847">
        <v>0</v>
      </c>
    </row>
    <row r="446" spans="12:245" hidden="1">
      <c r="L446" s="843" t="s">
        <v>1060</v>
      </c>
      <c r="M446" s="843" t="s">
        <v>1382</v>
      </c>
      <c r="N446" s="843" t="s">
        <v>97</v>
      </c>
      <c r="O446" s="844">
        <v>55</v>
      </c>
      <c r="P446" s="780" t="str">
        <f t="shared" si="16"/>
        <v>IWT060255</v>
      </c>
      <c r="Q446" s="844">
        <v>2321</v>
      </c>
      <c r="R446" s="844">
        <v>6656</v>
      </c>
      <c r="S446" s="844">
        <v>11601</v>
      </c>
      <c r="T446" s="844">
        <v>17173</v>
      </c>
      <c r="U446" s="844">
        <v>23392</v>
      </c>
      <c r="V446" s="844">
        <v>29972</v>
      </c>
      <c r="W446" s="844">
        <v>30871</v>
      </c>
      <c r="X446" s="844">
        <v>31482</v>
      </c>
      <c r="Y446" s="844">
        <v>32108</v>
      </c>
      <c r="Z446" s="844">
        <v>32751</v>
      </c>
      <c r="AA446" s="844">
        <v>33406</v>
      </c>
      <c r="AB446" s="844">
        <v>34074</v>
      </c>
      <c r="AC446" s="844">
        <v>34755</v>
      </c>
      <c r="AD446" s="844">
        <v>35450</v>
      </c>
      <c r="AE446" s="844">
        <v>36159</v>
      </c>
      <c r="AF446" s="844">
        <v>36882</v>
      </c>
      <c r="AG446" s="844">
        <v>37620</v>
      </c>
      <c r="AH446" s="844">
        <v>38372</v>
      </c>
      <c r="AI446" s="844">
        <v>39140</v>
      </c>
      <c r="AJ446" s="844">
        <v>39922</v>
      </c>
      <c r="AK446" s="844">
        <v>40721</v>
      </c>
      <c r="AL446" s="844">
        <v>41535</v>
      </c>
      <c r="AM446" s="844">
        <v>42366</v>
      </c>
      <c r="AN446" s="844">
        <v>43213</v>
      </c>
      <c r="AO446" s="844">
        <v>44077</v>
      </c>
      <c r="AP446" s="844">
        <v>44959</v>
      </c>
      <c r="AQ446" s="844">
        <v>45858</v>
      </c>
      <c r="AR446" s="844">
        <v>46775</v>
      </c>
      <c r="AS446" s="844">
        <v>47710</v>
      </c>
      <c r="AT446" s="844">
        <v>48664</v>
      </c>
      <c r="AU446" s="844">
        <v>49637</v>
      </c>
      <c r="AV446" s="844">
        <v>50630</v>
      </c>
      <c r="AW446" s="844">
        <v>51642</v>
      </c>
      <c r="AX446" s="844">
        <v>52675</v>
      </c>
      <c r="AY446" s="844">
        <v>53728</v>
      </c>
      <c r="AZ446" s="844">
        <v>54802</v>
      </c>
      <c r="BA446" s="844">
        <v>55898</v>
      </c>
      <c r="BB446" s="844">
        <v>57016</v>
      </c>
      <c r="BC446" s="844">
        <v>58155</v>
      </c>
      <c r="BD446" s="844">
        <v>59318</v>
      </c>
      <c r="BE446" s="844">
        <v>60504</v>
      </c>
      <c r="BF446" s="844">
        <v>61713</v>
      </c>
      <c r="BG446" s="844">
        <v>62946</v>
      </c>
      <c r="BH446" s="844">
        <v>64204</v>
      </c>
      <c r="BI446" s="844">
        <v>65487</v>
      </c>
      <c r="BJ446" s="844">
        <v>66796</v>
      </c>
      <c r="BK446" s="844">
        <v>68130</v>
      </c>
      <c r="BL446" s="844">
        <v>69491</v>
      </c>
      <c r="BM446" s="844">
        <v>70863</v>
      </c>
      <c r="BN446" s="844">
        <v>72242</v>
      </c>
      <c r="BO446" s="844">
        <v>73628</v>
      </c>
      <c r="BP446" s="844">
        <v>75019</v>
      </c>
      <c r="BQ446" s="844">
        <v>76414</v>
      </c>
      <c r="BR446" s="844">
        <v>77814</v>
      </c>
      <c r="BS446" s="844">
        <v>79212</v>
      </c>
      <c r="BT446" s="844">
        <v>80000</v>
      </c>
      <c r="BU446" s="844">
        <v>0</v>
      </c>
      <c r="BV446" s="844">
        <v>0</v>
      </c>
      <c r="BW446" s="844">
        <v>0</v>
      </c>
      <c r="BX446" s="844">
        <v>0</v>
      </c>
      <c r="BY446" s="844">
        <v>0</v>
      </c>
      <c r="BZ446" s="844">
        <v>0</v>
      </c>
      <c r="CA446" s="844">
        <v>0</v>
      </c>
      <c r="CB446" s="844">
        <v>0</v>
      </c>
      <c r="CC446" s="844">
        <v>0</v>
      </c>
      <c r="CD446" s="844">
        <v>0</v>
      </c>
      <c r="CE446" s="844">
        <v>0</v>
      </c>
      <c r="CF446" s="844">
        <v>0</v>
      </c>
      <c r="CG446" s="844">
        <v>0</v>
      </c>
      <c r="CH446" s="844">
        <v>0</v>
      </c>
      <c r="CI446" s="844">
        <v>0</v>
      </c>
      <c r="CJ446" s="844">
        <v>0</v>
      </c>
      <c r="CK446" s="844">
        <v>0</v>
      </c>
      <c r="CL446" s="844">
        <v>0</v>
      </c>
      <c r="CM446" s="844">
        <v>0</v>
      </c>
      <c r="CN446" s="844">
        <v>0</v>
      </c>
      <c r="CO446" s="844">
        <v>0</v>
      </c>
      <c r="CP446" s="844">
        <v>0</v>
      </c>
      <c r="CQ446" s="844">
        <v>0</v>
      </c>
      <c r="CR446" s="844">
        <v>0</v>
      </c>
      <c r="CS446" s="844">
        <v>0</v>
      </c>
      <c r="CT446" s="844">
        <v>0</v>
      </c>
      <c r="CU446" s="844">
        <v>0</v>
      </c>
      <c r="CV446" s="844">
        <v>0</v>
      </c>
      <c r="CW446" s="844">
        <v>0</v>
      </c>
      <c r="CX446" s="844">
        <v>0</v>
      </c>
      <c r="CY446" s="844">
        <v>0</v>
      </c>
      <c r="CZ446" s="844">
        <v>0</v>
      </c>
      <c r="DA446" s="844">
        <v>0</v>
      </c>
      <c r="DB446" s="844">
        <v>0</v>
      </c>
      <c r="DC446" s="844">
        <v>0</v>
      </c>
      <c r="DD446" s="844">
        <v>0</v>
      </c>
      <c r="DE446" s="844">
        <v>0</v>
      </c>
      <c r="DF446" s="844">
        <v>0</v>
      </c>
      <c r="DG446" s="844">
        <v>0</v>
      </c>
      <c r="DH446" s="844">
        <v>0</v>
      </c>
      <c r="DI446" s="844">
        <v>0</v>
      </c>
      <c r="DJ446" s="844">
        <v>0</v>
      </c>
      <c r="DK446" s="844">
        <v>0</v>
      </c>
      <c r="DL446" s="844">
        <v>0</v>
      </c>
      <c r="DM446" s="844">
        <v>0</v>
      </c>
      <c r="DN446" s="844">
        <v>0</v>
      </c>
      <c r="DO446" s="844">
        <v>0</v>
      </c>
      <c r="DP446" s="844">
        <v>0</v>
      </c>
      <c r="DQ446" s="844">
        <v>0</v>
      </c>
      <c r="DR446" s="844">
        <v>0</v>
      </c>
      <c r="DS446" s="844">
        <v>0</v>
      </c>
      <c r="DT446" s="844">
        <v>0</v>
      </c>
      <c r="DU446" s="844">
        <v>0</v>
      </c>
      <c r="DV446" s="844">
        <v>0</v>
      </c>
      <c r="DW446" s="844">
        <v>0</v>
      </c>
      <c r="DY446" s="846" t="s">
        <v>1060</v>
      </c>
      <c r="DZ446" s="846" t="s">
        <v>1382</v>
      </c>
      <c r="EA446" s="846" t="s">
        <v>97</v>
      </c>
      <c r="EB446" s="847">
        <v>55</v>
      </c>
      <c r="EC446" s="780" t="str">
        <f t="shared" si="17"/>
        <v>IWT060255</v>
      </c>
      <c r="ED446" s="847">
        <v>0</v>
      </c>
      <c r="EE446" s="847">
        <v>3095</v>
      </c>
      <c r="EF446" s="847">
        <v>8320</v>
      </c>
      <c r="EG446" s="847">
        <v>13648</v>
      </c>
      <c r="EH446" s="847">
        <v>19081</v>
      </c>
      <c r="EI446" s="847">
        <v>24623</v>
      </c>
      <c r="EJ446" s="847">
        <v>30275</v>
      </c>
      <c r="EK446" s="847">
        <v>30871</v>
      </c>
      <c r="EL446" s="847">
        <v>31482</v>
      </c>
      <c r="EM446" s="847">
        <v>32108</v>
      </c>
      <c r="EN446" s="847">
        <v>32751</v>
      </c>
      <c r="EO446" s="847">
        <v>33406</v>
      </c>
      <c r="EP446" s="847">
        <v>34074</v>
      </c>
      <c r="EQ446" s="847">
        <v>34755</v>
      </c>
      <c r="ER446" s="847">
        <v>35450</v>
      </c>
      <c r="ES446" s="847">
        <v>36159</v>
      </c>
      <c r="ET446" s="847">
        <v>36882</v>
      </c>
      <c r="EU446" s="847">
        <v>37620</v>
      </c>
      <c r="EV446" s="847">
        <v>38372</v>
      </c>
      <c r="EW446" s="847">
        <v>39140</v>
      </c>
      <c r="EX446" s="847">
        <v>39922</v>
      </c>
      <c r="EY446" s="847">
        <v>40721</v>
      </c>
      <c r="EZ446" s="847">
        <v>41535</v>
      </c>
      <c r="FA446" s="847">
        <v>42366</v>
      </c>
      <c r="FB446" s="847">
        <v>43213</v>
      </c>
      <c r="FC446" s="847">
        <v>44077</v>
      </c>
      <c r="FD446" s="847">
        <v>44959</v>
      </c>
      <c r="FE446" s="847">
        <v>45858</v>
      </c>
      <c r="FF446" s="847">
        <v>46775</v>
      </c>
      <c r="FG446" s="847">
        <v>47710</v>
      </c>
      <c r="FH446" s="847">
        <v>48664</v>
      </c>
      <c r="FI446" s="847">
        <v>49637</v>
      </c>
      <c r="FJ446" s="847">
        <v>50630</v>
      </c>
      <c r="FK446" s="847">
        <v>51642</v>
      </c>
      <c r="FL446" s="847">
        <v>52675</v>
      </c>
      <c r="FM446" s="847">
        <v>53728</v>
      </c>
      <c r="FN446" s="847">
        <v>54802</v>
      </c>
      <c r="FO446" s="847">
        <v>55898</v>
      </c>
      <c r="FP446" s="847">
        <v>57016</v>
      </c>
      <c r="FQ446" s="847">
        <v>58155</v>
      </c>
      <c r="FR446" s="847">
        <v>59318</v>
      </c>
      <c r="FS446" s="847">
        <v>60504</v>
      </c>
      <c r="FT446" s="847">
        <v>61713</v>
      </c>
      <c r="FU446" s="847">
        <v>62946</v>
      </c>
      <c r="FV446" s="847">
        <v>64204</v>
      </c>
      <c r="FW446" s="847">
        <v>65487</v>
      </c>
      <c r="FX446" s="847">
        <v>66796</v>
      </c>
      <c r="FY446" s="847">
        <v>68130</v>
      </c>
      <c r="FZ446" s="847">
        <v>69491</v>
      </c>
      <c r="GA446" s="847">
        <v>70863</v>
      </c>
      <c r="GB446" s="847">
        <v>72242</v>
      </c>
      <c r="GC446" s="847">
        <v>73628</v>
      </c>
      <c r="GD446" s="847">
        <v>75019</v>
      </c>
      <c r="GE446" s="847">
        <v>76414</v>
      </c>
      <c r="GF446" s="847">
        <v>77814</v>
      </c>
      <c r="GG446" s="847">
        <v>79212</v>
      </c>
      <c r="GH446" s="847">
        <v>80000</v>
      </c>
      <c r="GI446" s="847">
        <v>0</v>
      </c>
      <c r="GJ446" s="847">
        <v>0</v>
      </c>
      <c r="GK446" s="847">
        <v>0</v>
      </c>
      <c r="GL446" s="847">
        <v>0</v>
      </c>
      <c r="GM446" s="847">
        <v>0</v>
      </c>
      <c r="GN446" s="847">
        <v>0</v>
      </c>
      <c r="GO446" s="847">
        <v>0</v>
      </c>
      <c r="GP446" s="847">
        <v>0</v>
      </c>
      <c r="GQ446" s="847">
        <v>0</v>
      </c>
      <c r="GR446" s="847">
        <v>0</v>
      </c>
      <c r="GS446" s="847">
        <v>0</v>
      </c>
      <c r="GT446" s="847">
        <v>0</v>
      </c>
      <c r="GU446" s="847">
        <v>0</v>
      </c>
      <c r="GV446" s="847">
        <v>0</v>
      </c>
      <c r="GW446" s="847">
        <v>0</v>
      </c>
      <c r="GX446" s="847">
        <v>0</v>
      </c>
      <c r="GY446" s="847">
        <v>0</v>
      </c>
      <c r="GZ446" s="847">
        <v>0</v>
      </c>
      <c r="HA446" s="847">
        <v>0</v>
      </c>
      <c r="HB446" s="847">
        <v>0</v>
      </c>
      <c r="HC446" s="847">
        <v>0</v>
      </c>
      <c r="HD446" s="847">
        <v>0</v>
      </c>
      <c r="HE446" s="847">
        <v>0</v>
      </c>
      <c r="HF446" s="847">
        <v>0</v>
      </c>
      <c r="HG446" s="847">
        <v>0</v>
      </c>
      <c r="HH446" s="847">
        <v>0</v>
      </c>
      <c r="HI446" s="847">
        <v>0</v>
      </c>
      <c r="HJ446" s="847">
        <v>0</v>
      </c>
      <c r="HK446" s="847">
        <v>0</v>
      </c>
      <c r="HL446" s="847">
        <v>0</v>
      </c>
      <c r="HM446" s="847">
        <v>0</v>
      </c>
      <c r="HN446" s="847">
        <v>0</v>
      </c>
      <c r="HO446" s="847">
        <v>0</v>
      </c>
      <c r="HP446" s="847">
        <v>0</v>
      </c>
      <c r="HQ446" s="847">
        <v>0</v>
      </c>
      <c r="HR446" s="847">
        <v>0</v>
      </c>
      <c r="HS446" s="847">
        <v>0</v>
      </c>
      <c r="HT446" s="847">
        <v>0</v>
      </c>
      <c r="HU446" s="847">
        <v>0</v>
      </c>
      <c r="HV446" s="847">
        <v>0</v>
      </c>
      <c r="HW446" s="847">
        <v>0</v>
      </c>
      <c r="HX446" s="847">
        <v>0</v>
      </c>
      <c r="HY446" s="847">
        <v>0</v>
      </c>
      <c r="HZ446" s="847">
        <v>0</v>
      </c>
      <c r="IA446" s="847">
        <v>0</v>
      </c>
      <c r="IB446" s="847">
        <v>0</v>
      </c>
      <c r="IC446" s="847">
        <v>0</v>
      </c>
      <c r="ID446" s="847">
        <v>0</v>
      </c>
      <c r="IE446" s="847">
        <v>0</v>
      </c>
      <c r="IF446" s="847">
        <v>0</v>
      </c>
      <c r="IG446" s="847">
        <v>0</v>
      </c>
      <c r="IH446" s="847">
        <v>0</v>
      </c>
      <c r="II446" s="847">
        <v>0</v>
      </c>
      <c r="IJ446" s="847">
        <v>0</v>
      </c>
      <c r="IK446" s="847">
        <v>0</v>
      </c>
    </row>
    <row r="447" spans="12:245" hidden="1">
      <c r="L447" s="843" t="s">
        <v>1060</v>
      </c>
      <c r="M447" s="843" t="s">
        <v>1382</v>
      </c>
      <c r="N447" s="843" t="s">
        <v>97</v>
      </c>
      <c r="O447" s="844">
        <v>56</v>
      </c>
      <c r="P447" s="780" t="str">
        <f t="shared" si="16"/>
        <v>IWT060256</v>
      </c>
      <c r="Q447" s="844">
        <v>2317</v>
      </c>
      <c r="R447" s="844">
        <v>6653</v>
      </c>
      <c r="S447" s="844">
        <v>11599</v>
      </c>
      <c r="T447" s="844">
        <v>17174</v>
      </c>
      <c r="U447" s="844">
        <v>23394</v>
      </c>
      <c r="V447" s="844">
        <v>29977</v>
      </c>
      <c r="W447" s="844">
        <v>30875</v>
      </c>
      <c r="X447" s="844">
        <v>31486</v>
      </c>
      <c r="Y447" s="844">
        <v>32112</v>
      </c>
      <c r="Z447" s="844">
        <v>32754</v>
      </c>
      <c r="AA447" s="844">
        <v>33409</v>
      </c>
      <c r="AB447" s="844">
        <v>34077</v>
      </c>
      <c r="AC447" s="844">
        <v>34759</v>
      </c>
      <c r="AD447" s="844">
        <v>35454</v>
      </c>
      <c r="AE447" s="844">
        <v>36163</v>
      </c>
      <c r="AF447" s="844">
        <v>36886</v>
      </c>
      <c r="AG447" s="844">
        <v>37624</v>
      </c>
      <c r="AH447" s="844">
        <v>38377</v>
      </c>
      <c r="AI447" s="844">
        <v>39144</v>
      </c>
      <c r="AJ447" s="844">
        <v>39927</v>
      </c>
      <c r="AK447" s="844">
        <v>40725</v>
      </c>
      <c r="AL447" s="844">
        <v>41540</v>
      </c>
      <c r="AM447" s="844">
        <v>42370</v>
      </c>
      <c r="AN447" s="844">
        <v>43218</v>
      </c>
      <c r="AO447" s="844">
        <v>44082</v>
      </c>
      <c r="AP447" s="844">
        <v>44964</v>
      </c>
      <c r="AQ447" s="844">
        <v>45863</v>
      </c>
      <c r="AR447" s="844">
        <v>46780</v>
      </c>
      <c r="AS447" s="844">
        <v>47715</v>
      </c>
      <c r="AT447" s="844">
        <v>48669</v>
      </c>
      <c r="AU447" s="844">
        <v>49643</v>
      </c>
      <c r="AV447" s="844">
        <v>50635</v>
      </c>
      <c r="AW447" s="844">
        <v>51648</v>
      </c>
      <c r="AX447" s="844">
        <v>52680</v>
      </c>
      <c r="AY447" s="844">
        <v>53734</v>
      </c>
      <c r="AZ447" s="844">
        <v>54808</v>
      </c>
      <c r="BA447" s="844">
        <v>55904</v>
      </c>
      <c r="BB447" s="844">
        <v>57021</v>
      </c>
      <c r="BC447" s="844">
        <v>58161</v>
      </c>
      <c r="BD447" s="844">
        <v>59324</v>
      </c>
      <c r="BE447" s="844">
        <v>60509</v>
      </c>
      <c r="BF447" s="844">
        <v>61719</v>
      </c>
      <c r="BG447" s="844">
        <v>62952</v>
      </c>
      <c r="BH447" s="844">
        <v>64210</v>
      </c>
      <c r="BI447" s="844">
        <v>65493</v>
      </c>
      <c r="BJ447" s="844">
        <v>66801</v>
      </c>
      <c r="BK447" s="844">
        <v>68135</v>
      </c>
      <c r="BL447" s="844">
        <v>69496</v>
      </c>
      <c r="BM447" s="844">
        <v>70871</v>
      </c>
      <c r="BN447" s="844">
        <v>72253</v>
      </c>
      <c r="BO447" s="844">
        <v>73641</v>
      </c>
      <c r="BP447" s="844">
        <v>75033</v>
      </c>
      <c r="BQ447" s="844">
        <v>76429</v>
      </c>
      <c r="BR447" s="844">
        <v>77826</v>
      </c>
      <c r="BS447" s="844">
        <v>78600</v>
      </c>
      <c r="BT447" s="844">
        <v>0</v>
      </c>
      <c r="BU447" s="844">
        <v>0</v>
      </c>
      <c r="BV447" s="844">
        <v>0</v>
      </c>
      <c r="BW447" s="844">
        <v>0</v>
      </c>
      <c r="BX447" s="844">
        <v>0</v>
      </c>
      <c r="BY447" s="844">
        <v>0</v>
      </c>
      <c r="BZ447" s="844">
        <v>0</v>
      </c>
      <c r="CA447" s="844">
        <v>0</v>
      </c>
      <c r="CB447" s="844">
        <v>0</v>
      </c>
      <c r="CC447" s="844">
        <v>0</v>
      </c>
      <c r="CD447" s="844">
        <v>0</v>
      </c>
      <c r="CE447" s="844">
        <v>0</v>
      </c>
      <c r="CF447" s="844">
        <v>0</v>
      </c>
      <c r="CG447" s="844">
        <v>0</v>
      </c>
      <c r="CH447" s="844">
        <v>0</v>
      </c>
      <c r="CI447" s="844">
        <v>0</v>
      </c>
      <c r="CJ447" s="844">
        <v>0</v>
      </c>
      <c r="CK447" s="844">
        <v>0</v>
      </c>
      <c r="CL447" s="844">
        <v>0</v>
      </c>
      <c r="CM447" s="844">
        <v>0</v>
      </c>
      <c r="CN447" s="844">
        <v>0</v>
      </c>
      <c r="CO447" s="844">
        <v>0</v>
      </c>
      <c r="CP447" s="844">
        <v>0</v>
      </c>
      <c r="CQ447" s="844">
        <v>0</v>
      </c>
      <c r="CR447" s="844">
        <v>0</v>
      </c>
      <c r="CS447" s="844">
        <v>0</v>
      </c>
      <c r="CT447" s="844">
        <v>0</v>
      </c>
      <c r="CU447" s="844">
        <v>0</v>
      </c>
      <c r="CV447" s="844">
        <v>0</v>
      </c>
      <c r="CW447" s="844">
        <v>0</v>
      </c>
      <c r="CX447" s="844">
        <v>0</v>
      </c>
      <c r="CY447" s="844">
        <v>0</v>
      </c>
      <c r="CZ447" s="844">
        <v>0</v>
      </c>
      <c r="DA447" s="844">
        <v>0</v>
      </c>
      <c r="DB447" s="844">
        <v>0</v>
      </c>
      <c r="DC447" s="844">
        <v>0</v>
      </c>
      <c r="DD447" s="844">
        <v>0</v>
      </c>
      <c r="DE447" s="844">
        <v>0</v>
      </c>
      <c r="DF447" s="844">
        <v>0</v>
      </c>
      <c r="DG447" s="844">
        <v>0</v>
      </c>
      <c r="DH447" s="844">
        <v>0</v>
      </c>
      <c r="DI447" s="844">
        <v>0</v>
      </c>
      <c r="DJ447" s="844">
        <v>0</v>
      </c>
      <c r="DK447" s="844">
        <v>0</v>
      </c>
      <c r="DL447" s="844">
        <v>0</v>
      </c>
      <c r="DM447" s="844">
        <v>0</v>
      </c>
      <c r="DN447" s="844">
        <v>0</v>
      </c>
      <c r="DO447" s="844">
        <v>0</v>
      </c>
      <c r="DP447" s="844">
        <v>0</v>
      </c>
      <c r="DQ447" s="844">
        <v>0</v>
      </c>
      <c r="DR447" s="844">
        <v>0</v>
      </c>
      <c r="DS447" s="844">
        <v>0</v>
      </c>
      <c r="DT447" s="844">
        <v>0</v>
      </c>
      <c r="DU447" s="844">
        <v>0</v>
      </c>
      <c r="DV447" s="844">
        <v>0</v>
      </c>
      <c r="DW447" s="844">
        <v>0</v>
      </c>
      <c r="DY447" s="846" t="s">
        <v>1060</v>
      </c>
      <c r="DZ447" s="846" t="s">
        <v>1382</v>
      </c>
      <c r="EA447" s="846" t="s">
        <v>97</v>
      </c>
      <c r="EB447" s="847">
        <v>56</v>
      </c>
      <c r="EC447" s="780" t="str">
        <f t="shared" si="17"/>
        <v>IWT060256</v>
      </c>
      <c r="ED447" s="847">
        <v>0</v>
      </c>
      <c r="EE447" s="847">
        <v>3089</v>
      </c>
      <c r="EF447" s="847">
        <v>8316</v>
      </c>
      <c r="EG447" s="847">
        <v>13646</v>
      </c>
      <c r="EH447" s="847">
        <v>19082</v>
      </c>
      <c r="EI447" s="847">
        <v>24625</v>
      </c>
      <c r="EJ447" s="847">
        <v>30280</v>
      </c>
      <c r="EK447" s="847">
        <v>30875</v>
      </c>
      <c r="EL447" s="847">
        <v>31486</v>
      </c>
      <c r="EM447" s="847">
        <v>32112</v>
      </c>
      <c r="EN447" s="847">
        <v>32754</v>
      </c>
      <c r="EO447" s="847">
        <v>33409</v>
      </c>
      <c r="EP447" s="847">
        <v>34077</v>
      </c>
      <c r="EQ447" s="847">
        <v>34759</v>
      </c>
      <c r="ER447" s="847">
        <v>35454</v>
      </c>
      <c r="ES447" s="847">
        <v>36163</v>
      </c>
      <c r="ET447" s="847">
        <v>36886</v>
      </c>
      <c r="EU447" s="847">
        <v>37624</v>
      </c>
      <c r="EV447" s="847">
        <v>38377</v>
      </c>
      <c r="EW447" s="847">
        <v>39144</v>
      </c>
      <c r="EX447" s="847">
        <v>39927</v>
      </c>
      <c r="EY447" s="847">
        <v>40725</v>
      </c>
      <c r="EZ447" s="847">
        <v>41540</v>
      </c>
      <c r="FA447" s="847">
        <v>42370</v>
      </c>
      <c r="FB447" s="847">
        <v>43218</v>
      </c>
      <c r="FC447" s="847">
        <v>44082</v>
      </c>
      <c r="FD447" s="847">
        <v>44964</v>
      </c>
      <c r="FE447" s="847">
        <v>45863</v>
      </c>
      <c r="FF447" s="847">
        <v>46780</v>
      </c>
      <c r="FG447" s="847">
        <v>47715</v>
      </c>
      <c r="FH447" s="847">
        <v>48669</v>
      </c>
      <c r="FI447" s="847">
        <v>49643</v>
      </c>
      <c r="FJ447" s="847">
        <v>50635</v>
      </c>
      <c r="FK447" s="847">
        <v>51648</v>
      </c>
      <c r="FL447" s="847">
        <v>52680</v>
      </c>
      <c r="FM447" s="847">
        <v>53734</v>
      </c>
      <c r="FN447" s="847">
        <v>54808</v>
      </c>
      <c r="FO447" s="847">
        <v>55904</v>
      </c>
      <c r="FP447" s="847">
        <v>57021</v>
      </c>
      <c r="FQ447" s="847">
        <v>58161</v>
      </c>
      <c r="FR447" s="847">
        <v>59324</v>
      </c>
      <c r="FS447" s="847">
        <v>60509</v>
      </c>
      <c r="FT447" s="847">
        <v>61719</v>
      </c>
      <c r="FU447" s="847">
        <v>62952</v>
      </c>
      <c r="FV447" s="847">
        <v>64210</v>
      </c>
      <c r="FW447" s="847">
        <v>65493</v>
      </c>
      <c r="FX447" s="847">
        <v>66801</v>
      </c>
      <c r="FY447" s="847">
        <v>68135</v>
      </c>
      <c r="FZ447" s="847">
        <v>69496</v>
      </c>
      <c r="GA447" s="847">
        <v>70871</v>
      </c>
      <c r="GB447" s="847">
        <v>72253</v>
      </c>
      <c r="GC447" s="847">
        <v>73641</v>
      </c>
      <c r="GD447" s="847">
        <v>75033</v>
      </c>
      <c r="GE447" s="847">
        <v>76429</v>
      </c>
      <c r="GF447" s="847">
        <v>77826</v>
      </c>
      <c r="GG447" s="847">
        <v>78600</v>
      </c>
      <c r="GH447" s="847">
        <v>0</v>
      </c>
      <c r="GI447" s="847">
        <v>0</v>
      </c>
      <c r="GJ447" s="847">
        <v>0</v>
      </c>
      <c r="GK447" s="847">
        <v>0</v>
      </c>
      <c r="GL447" s="847">
        <v>0</v>
      </c>
      <c r="GM447" s="847">
        <v>0</v>
      </c>
      <c r="GN447" s="847">
        <v>0</v>
      </c>
      <c r="GO447" s="847">
        <v>0</v>
      </c>
      <c r="GP447" s="847">
        <v>0</v>
      </c>
      <c r="GQ447" s="847">
        <v>0</v>
      </c>
      <c r="GR447" s="847">
        <v>0</v>
      </c>
      <c r="GS447" s="847">
        <v>0</v>
      </c>
      <c r="GT447" s="847">
        <v>0</v>
      </c>
      <c r="GU447" s="847">
        <v>0</v>
      </c>
      <c r="GV447" s="847">
        <v>0</v>
      </c>
      <c r="GW447" s="847">
        <v>0</v>
      </c>
      <c r="GX447" s="847">
        <v>0</v>
      </c>
      <c r="GY447" s="847">
        <v>0</v>
      </c>
      <c r="GZ447" s="847">
        <v>0</v>
      </c>
      <c r="HA447" s="847">
        <v>0</v>
      </c>
      <c r="HB447" s="847">
        <v>0</v>
      </c>
      <c r="HC447" s="847">
        <v>0</v>
      </c>
      <c r="HD447" s="847">
        <v>0</v>
      </c>
      <c r="HE447" s="847">
        <v>0</v>
      </c>
      <c r="HF447" s="847">
        <v>0</v>
      </c>
      <c r="HG447" s="847">
        <v>0</v>
      </c>
      <c r="HH447" s="847">
        <v>0</v>
      </c>
      <c r="HI447" s="847">
        <v>0</v>
      </c>
      <c r="HJ447" s="847">
        <v>0</v>
      </c>
      <c r="HK447" s="847">
        <v>0</v>
      </c>
      <c r="HL447" s="847">
        <v>0</v>
      </c>
      <c r="HM447" s="847">
        <v>0</v>
      </c>
      <c r="HN447" s="847">
        <v>0</v>
      </c>
      <c r="HO447" s="847">
        <v>0</v>
      </c>
      <c r="HP447" s="847">
        <v>0</v>
      </c>
      <c r="HQ447" s="847">
        <v>0</v>
      </c>
      <c r="HR447" s="847">
        <v>0</v>
      </c>
      <c r="HS447" s="847">
        <v>0</v>
      </c>
      <c r="HT447" s="847">
        <v>0</v>
      </c>
      <c r="HU447" s="847">
        <v>0</v>
      </c>
      <c r="HV447" s="847">
        <v>0</v>
      </c>
      <c r="HW447" s="847">
        <v>0</v>
      </c>
      <c r="HX447" s="847">
        <v>0</v>
      </c>
      <c r="HY447" s="847">
        <v>0</v>
      </c>
      <c r="HZ447" s="847">
        <v>0</v>
      </c>
      <c r="IA447" s="847">
        <v>0</v>
      </c>
      <c r="IB447" s="847">
        <v>0</v>
      </c>
      <c r="IC447" s="847">
        <v>0</v>
      </c>
      <c r="ID447" s="847">
        <v>0</v>
      </c>
      <c r="IE447" s="847">
        <v>0</v>
      </c>
      <c r="IF447" s="847">
        <v>0</v>
      </c>
      <c r="IG447" s="847">
        <v>0</v>
      </c>
      <c r="IH447" s="847">
        <v>0</v>
      </c>
      <c r="II447" s="847">
        <v>0</v>
      </c>
      <c r="IJ447" s="847">
        <v>0</v>
      </c>
      <c r="IK447" s="847">
        <v>0</v>
      </c>
    </row>
    <row r="448" spans="12:245" hidden="1">
      <c r="L448" s="843" t="s">
        <v>1060</v>
      </c>
      <c r="M448" s="843" t="s">
        <v>1382</v>
      </c>
      <c r="N448" s="843" t="s">
        <v>97</v>
      </c>
      <c r="O448" s="844">
        <v>57</v>
      </c>
      <c r="P448" s="780" t="str">
        <f t="shared" si="16"/>
        <v>IWT060257</v>
      </c>
      <c r="Q448" s="844">
        <v>2312</v>
      </c>
      <c r="R448" s="844">
        <v>6650</v>
      </c>
      <c r="S448" s="844">
        <v>11597</v>
      </c>
      <c r="T448" s="844">
        <v>17174</v>
      </c>
      <c r="U448" s="844">
        <v>23397</v>
      </c>
      <c r="V448" s="844">
        <v>29982</v>
      </c>
      <c r="W448" s="844">
        <v>30879</v>
      </c>
      <c r="X448" s="844">
        <v>31489</v>
      </c>
      <c r="Y448" s="844">
        <v>32115</v>
      </c>
      <c r="Z448" s="844">
        <v>32757</v>
      </c>
      <c r="AA448" s="844">
        <v>33413</v>
      </c>
      <c r="AB448" s="844">
        <v>34081</v>
      </c>
      <c r="AC448" s="844">
        <v>34762</v>
      </c>
      <c r="AD448" s="844">
        <v>35458</v>
      </c>
      <c r="AE448" s="844">
        <v>36167</v>
      </c>
      <c r="AF448" s="844">
        <v>36890</v>
      </c>
      <c r="AG448" s="844">
        <v>37628</v>
      </c>
      <c r="AH448" s="844">
        <v>38380</v>
      </c>
      <c r="AI448" s="844">
        <v>39148</v>
      </c>
      <c r="AJ448" s="844">
        <v>39931</v>
      </c>
      <c r="AK448" s="844">
        <v>40729</v>
      </c>
      <c r="AL448" s="844">
        <v>41544</v>
      </c>
      <c r="AM448" s="844">
        <v>42375</v>
      </c>
      <c r="AN448" s="844">
        <v>43222</v>
      </c>
      <c r="AO448" s="844">
        <v>44086</v>
      </c>
      <c r="AP448" s="844">
        <v>44968</v>
      </c>
      <c r="AQ448" s="844">
        <v>45867</v>
      </c>
      <c r="AR448" s="844">
        <v>46784</v>
      </c>
      <c r="AS448" s="844">
        <v>47720</v>
      </c>
      <c r="AT448" s="844">
        <v>48674</v>
      </c>
      <c r="AU448" s="844">
        <v>49647</v>
      </c>
      <c r="AV448" s="844">
        <v>50640</v>
      </c>
      <c r="AW448" s="844">
        <v>51653</v>
      </c>
      <c r="AX448" s="844">
        <v>52685</v>
      </c>
      <c r="AY448" s="844">
        <v>53739</v>
      </c>
      <c r="AZ448" s="844">
        <v>54813</v>
      </c>
      <c r="BA448" s="844">
        <v>55909</v>
      </c>
      <c r="BB448" s="844">
        <v>57026</v>
      </c>
      <c r="BC448" s="844">
        <v>58166</v>
      </c>
      <c r="BD448" s="844">
        <v>59329</v>
      </c>
      <c r="BE448" s="844">
        <v>60515</v>
      </c>
      <c r="BF448" s="844">
        <v>61724</v>
      </c>
      <c r="BG448" s="844">
        <v>62957</v>
      </c>
      <c r="BH448" s="844">
        <v>64215</v>
      </c>
      <c r="BI448" s="844">
        <v>65498</v>
      </c>
      <c r="BJ448" s="844">
        <v>66806</v>
      </c>
      <c r="BK448" s="844">
        <v>68140</v>
      </c>
      <c r="BL448" s="844">
        <v>69501</v>
      </c>
      <c r="BM448" s="844">
        <v>70878</v>
      </c>
      <c r="BN448" s="844">
        <v>72262</v>
      </c>
      <c r="BO448" s="844">
        <v>73652</v>
      </c>
      <c r="BP448" s="844">
        <v>75045</v>
      </c>
      <c r="BQ448" s="844">
        <v>76439</v>
      </c>
      <c r="BR448" s="844">
        <v>77200</v>
      </c>
      <c r="BS448" s="844">
        <v>0</v>
      </c>
      <c r="BT448" s="844">
        <v>0</v>
      </c>
      <c r="BU448" s="844">
        <v>0</v>
      </c>
      <c r="BV448" s="844">
        <v>0</v>
      </c>
      <c r="BW448" s="844">
        <v>0</v>
      </c>
      <c r="BX448" s="844">
        <v>0</v>
      </c>
      <c r="BY448" s="844">
        <v>0</v>
      </c>
      <c r="BZ448" s="844">
        <v>0</v>
      </c>
      <c r="CA448" s="844">
        <v>0</v>
      </c>
      <c r="CB448" s="844">
        <v>0</v>
      </c>
      <c r="CC448" s="844">
        <v>0</v>
      </c>
      <c r="CD448" s="844">
        <v>0</v>
      </c>
      <c r="CE448" s="844">
        <v>0</v>
      </c>
      <c r="CF448" s="844">
        <v>0</v>
      </c>
      <c r="CG448" s="844">
        <v>0</v>
      </c>
      <c r="CH448" s="844">
        <v>0</v>
      </c>
      <c r="CI448" s="844">
        <v>0</v>
      </c>
      <c r="CJ448" s="844">
        <v>0</v>
      </c>
      <c r="CK448" s="844">
        <v>0</v>
      </c>
      <c r="CL448" s="844">
        <v>0</v>
      </c>
      <c r="CM448" s="844">
        <v>0</v>
      </c>
      <c r="CN448" s="844">
        <v>0</v>
      </c>
      <c r="CO448" s="844">
        <v>0</v>
      </c>
      <c r="CP448" s="844">
        <v>0</v>
      </c>
      <c r="CQ448" s="844">
        <v>0</v>
      </c>
      <c r="CR448" s="844">
        <v>0</v>
      </c>
      <c r="CS448" s="844">
        <v>0</v>
      </c>
      <c r="CT448" s="844">
        <v>0</v>
      </c>
      <c r="CU448" s="844">
        <v>0</v>
      </c>
      <c r="CV448" s="844">
        <v>0</v>
      </c>
      <c r="CW448" s="844">
        <v>0</v>
      </c>
      <c r="CX448" s="844">
        <v>0</v>
      </c>
      <c r="CY448" s="844">
        <v>0</v>
      </c>
      <c r="CZ448" s="844">
        <v>0</v>
      </c>
      <c r="DA448" s="844">
        <v>0</v>
      </c>
      <c r="DB448" s="844">
        <v>0</v>
      </c>
      <c r="DC448" s="844">
        <v>0</v>
      </c>
      <c r="DD448" s="844">
        <v>0</v>
      </c>
      <c r="DE448" s="844">
        <v>0</v>
      </c>
      <c r="DF448" s="844">
        <v>0</v>
      </c>
      <c r="DG448" s="844">
        <v>0</v>
      </c>
      <c r="DH448" s="844">
        <v>0</v>
      </c>
      <c r="DI448" s="844">
        <v>0</v>
      </c>
      <c r="DJ448" s="844">
        <v>0</v>
      </c>
      <c r="DK448" s="844">
        <v>0</v>
      </c>
      <c r="DL448" s="844">
        <v>0</v>
      </c>
      <c r="DM448" s="844">
        <v>0</v>
      </c>
      <c r="DN448" s="844">
        <v>0</v>
      </c>
      <c r="DO448" s="844">
        <v>0</v>
      </c>
      <c r="DP448" s="844">
        <v>0</v>
      </c>
      <c r="DQ448" s="844">
        <v>0</v>
      </c>
      <c r="DR448" s="844">
        <v>0</v>
      </c>
      <c r="DS448" s="844">
        <v>0</v>
      </c>
      <c r="DT448" s="844">
        <v>0</v>
      </c>
      <c r="DU448" s="844">
        <v>0</v>
      </c>
      <c r="DV448" s="844">
        <v>0</v>
      </c>
      <c r="DW448" s="844">
        <v>0</v>
      </c>
      <c r="DY448" s="846" t="s">
        <v>1060</v>
      </c>
      <c r="DZ448" s="846" t="s">
        <v>1382</v>
      </c>
      <c r="EA448" s="846" t="s">
        <v>97</v>
      </c>
      <c r="EB448" s="847">
        <v>57</v>
      </c>
      <c r="EC448" s="780" t="str">
        <f t="shared" si="17"/>
        <v>IWT060257</v>
      </c>
      <c r="ED448" s="847">
        <v>0</v>
      </c>
      <c r="EE448" s="847">
        <v>3082</v>
      </c>
      <c r="EF448" s="847">
        <v>8312</v>
      </c>
      <c r="EG448" s="847">
        <v>13644</v>
      </c>
      <c r="EH448" s="847">
        <v>19082</v>
      </c>
      <c r="EI448" s="847">
        <v>24628</v>
      </c>
      <c r="EJ448" s="847">
        <v>30285</v>
      </c>
      <c r="EK448" s="847">
        <v>30879</v>
      </c>
      <c r="EL448" s="847">
        <v>31489</v>
      </c>
      <c r="EM448" s="847">
        <v>32115</v>
      </c>
      <c r="EN448" s="847">
        <v>32757</v>
      </c>
      <c r="EO448" s="847">
        <v>33413</v>
      </c>
      <c r="EP448" s="847">
        <v>34081</v>
      </c>
      <c r="EQ448" s="847">
        <v>34762</v>
      </c>
      <c r="ER448" s="847">
        <v>35458</v>
      </c>
      <c r="ES448" s="847">
        <v>36167</v>
      </c>
      <c r="ET448" s="847">
        <v>36890</v>
      </c>
      <c r="EU448" s="847">
        <v>37628</v>
      </c>
      <c r="EV448" s="847">
        <v>38380</v>
      </c>
      <c r="EW448" s="847">
        <v>39148</v>
      </c>
      <c r="EX448" s="847">
        <v>39931</v>
      </c>
      <c r="EY448" s="847">
        <v>40729</v>
      </c>
      <c r="EZ448" s="847">
        <v>41544</v>
      </c>
      <c r="FA448" s="847">
        <v>42375</v>
      </c>
      <c r="FB448" s="847">
        <v>43222</v>
      </c>
      <c r="FC448" s="847">
        <v>44086</v>
      </c>
      <c r="FD448" s="847">
        <v>44968</v>
      </c>
      <c r="FE448" s="847">
        <v>45867</v>
      </c>
      <c r="FF448" s="847">
        <v>46784</v>
      </c>
      <c r="FG448" s="847">
        <v>47720</v>
      </c>
      <c r="FH448" s="847">
        <v>48674</v>
      </c>
      <c r="FI448" s="847">
        <v>49647</v>
      </c>
      <c r="FJ448" s="847">
        <v>50640</v>
      </c>
      <c r="FK448" s="847">
        <v>51653</v>
      </c>
      <c r="FL448" s="847">
        <v>52685</v>
      </c>
      <c r="FM448" s="847">
        <v>53739</v>
      </c>
      <c r="FN448" s="847">
        <v>54813</v>
      </c>
      <c r="FO448" s="847">
        <v>55909</v>
      </c>
      <c r="FP448" s="847">
        <v>57026</v>
      </c>
      <c r="FQ448" s="847">
        <v>58166</v>
      </c>
      <c r="FR448" s="847">
        <v>59329</v>
      </c>
      <c r="FS448" s="847">
        <v>60515</v>
      </c>
      <c r="FT448" s="847">
        <v>61724</v>
      </c>
      <c r="FU448" s="847">
        <v>62957</v>
      </c>
      <c r="FV448" s="847">
        <v>64215</v>
      </c>
      <c r="FW448" s="847">
        <v>65498</v>
      </c>
      <c r="FX448" s="847">
        <v>66806</v>
      </c>
      <c r="FY448" s="847">
        <v>68140</v>
      </c>
      <c r="FZ448" s="847">
        <v>69501</v>
      </c>
      <c r="GA448" s="847">
        <v>70878</v>
      </c>
      <c r="GB448" s="847">
        <v>72262</v>
      </c>
      <c r="GC448" s="847">
        <v>73652</v>
      </c>
      <c r="GD448" s="847">
        <v>75045</v>
      </c>
      <c r="GE448" s="847">
        <v>76439</v>
      </c>
      <c r="GF448" s="847">
        <v>77200</v>
      </c>
      <c r="GG448" s="847">
        <v>0</v>
      </c>
      <c r="GH448" s="847">
        <v>0</v>
      </c>
      <c r="GI448" s="847">
        <v>0</v>
      </c>
      <c r="GJ448" s="847">
        <v>0</v>
      </c>
      <c r="GK448" s="847">
        <v>0</v>
      </c>
      <c r="GL448" s="847">
        <v>0</v>
      </c>
      <c r="GM448" s="847">
        <v>0</v>
      </c>
      <c r="GN448" s="847">
        <v>0</v>
      </c>
      <c r="GO448" s="847">
        <v>0</v>
      </c>
      <c r="GP448" s="847">
        <v>0</v>
      </c>
      <c r="GQ448" s="847">
        <v>0</v>
      </c>
      <c r="GR448" s="847">
        <v>0</v>
      </c>
      <c r="GS448" s="847">
        <v>0</v>
      </c>
      <c r="GT448" s="847">
        <v>0</v>
      </c>
      <c r="GU448" s="847">
        <v>0</v>
      </c>
      <c r="GV448" s="847">
        <v>0</v>
      </c>
      <c r="GW448" s="847">
        <v>0</v>
      </c>
      <c r="GX448" s="847">
        <v>0</v>
      </c>
      <c r="GY448" s="847">
        <v>0</v>
      </c>
      <c r="GZ448" s="847">
        <v>0</v>
      </c>
      <c r="HA448" s="847">
        <v>0</v>
      </c>
      <c r="HB448" s="847">
        <v>0</v>
      </c>
      <c r="HC448" s="847">
        <v>0</v>
      </c>
      <c r="HD448" s="847">
        <v>0</v>
      </c>
      <c r="HE448" s="847">
        <v>0</v>
      </c>
      <c r="HF448" s="847">
        <v>0</v>
      </c>
      <c r="HG448" s="847">
        <v>0</v>
      </c>
      <c r="HH448" s="847">
        <v>0</v>
      </c>
      <c r="HI448" s="847">
        <v>0</v>
      </c>
      <c r="HJ448" s="847">
        <v>0</v>
      </c>
      <c r="HK448" s="847">
        <v>0</v>
      </c>
      <c r="HL448" s="847">
        <v>0</v>
      </c>
      <c r="HM448" s="847">
        <v>0</v>
      </c>
      <c r="HN448" s="847">
        <v>0</v>
      </c>
      <c r="HO448" s="847">
        <v>0</v>
      </c>
      <c r="HP448" s="847">
        <v>0</v>
      </c>
      <c r="HQ448" s="847">
        <v>0</v>
      </c>
      <c r="HR448" s="847">
        <v>0</v>
      </c>
      <c r="HS448" s="847">
        <v>0</v>
      </c>
      <c r="HT448" s="847">
        <v>0</v>
      </c>
      <c r="HU448" s="847">
        <v>0</v>
      </c>
      <c r="HV448" s="847">
        <v>0</v>
      </c>
      <c r="HW448" s="847">
        <v>0</v>
      </c>
      <c r="HX448" s="847">
        <v>0</v>
      </c>
      <c r="HY448" s="847">
        <v>0</v>
      </c>
      <c r="HZ448" s="847">
        <v>0</v>
      </c>
      <c r="IA448" s="847">
        <v>0</v>
      </c>
      <c r="IB448" s="847">
        <v>0</v>
      </c>
      <c r="IC448" s="847">
        <v>0</v>
      </c>
      <c r="ID448" s="847">
        <v>0</v>
      </c>
      <c r="IE448" s="847">
        <v>0</v>
      </c>
      <c r="IF448" s="847">
        <v>0</v>
      </c>
      <c r="IG448" s="847">
        <v>0</v>
      </c>
      <c r="IH448" s="847">
        <v>0</v>
      </c>
      <c r="II448" s="847">
        <v>0</v>
      </c>
      <c r="IJ448" s="847">
        <v>0</v>
      </c>
      <c r="IK448" s="847">
        <v>0</v>
      </c>
    </row>
    <row r="449" spans="12:245" hidden="1">
      <c r="L449" s="843" t="s">
        <v>1060</v>
      </c>
      <c r="M449" s="843" t="s">
        <v>1382</v>
      </c>
      <c r="N449" s="843" t="s">
        <v>97</v>
      </c>
      <c r="O449" s="844">
        <v>58</v>
      </c>
      <c r="P449" s="780" t="str">
        <f t="shared" si="16"/>
        <v>IWT060258</v>
      </c>
      <c r="Q449" s="844">
        <v>2306</v>
      </c>
      <c r="R449" s="844">
        <v>6645</v>
      </c>
      <c r="S449" s="844">
        <v>11595</v>
      </c>
      <c r="T449" s="844">
        <v>17174</v>
      </c>
      <c r="U449" s="844">
        <v>23399</v>
      </c>
      <c r="V449" s="844">
        <v>29987</v>
      </c>
      <c r="W449" s="844">
        <v>30883</v>
      </c>
      <c r="X449" s="844">
        <v>31492</v>
      </c>
      <c r="Y449" s="844">
        <v>32118</v>
      </c>
      <c r="Z449" s="844">
        <v>32760</v>
      </c>
      <c r="AA449" s="844">
        <v>33415</v>
      </c>
      <c r="AB449" s="844">
        <v>34084</v>
      </c>
      <c r="AC449" s="844">
        <v>34765</v>
      </c>
      <c r="AD449" s="844">
        <v>35461</v>
      </c>
      <c r="AE449" s="844">
        <v>36170</v>
      </c>
      <c r="AF449" s="844">
        <v>36893</v>
      </c>
      <c r="AG449" s="844">
        <v>37631</v>
      </c>
      <c r="AH449" s="844">
        <v>38384</v>
      </c>
      <c r="AI449" s="844">
        <v>39151</v>
      </c>
      <c r="AJ449" s="844">
        <v>39934</v>
      </c>
      <c r="AK449" s="844">
        <v>40733</v>
      </c>
      <c r="AL449" s="844">
        <v>41547</v>
      </c>
      <c r="AM449" s="844">
        <v>42378</v>
      </c>
      <c r="AN449" s="844">
        <v>43226</v>
      </c>
      <c r="AO449" s="844">
        <v>44090</v>
      </c>
      <c r="AP449" s="844">
        <v>44972</v>
      </c>
      <c r="AQ449" s="844">
        <v>45871</v>
      </c>
      <c r="AR449" s="844">
        <v>46788</v>
      </c>
      <c r="AS449" s="844">
        <v>47724</v>
      </c>
      <c r="AT449" s="844">
        <v>48678</v>
      </c>
      <c r="AU449" s="844">
        <v>49651</v>
      </c>
      <c r="AV449" s="844">
        <v>50644</v>
      </c>
      <c r="AW449" s="844">
        <v>51657</v>
      </c>
      <c r="AX449" s="844">
        <v>52690</v>
      </c>
      <c r="AY449" s="844">
        <v>53743</v>
      </c>
      <c r="AZ449" s="844">
        <v>54817</v>
      </c>
      <c r="BA449" s="844">
        <v>55913</v>
      </c>
      <c r="BB449" s="844">
        <v>57031</v>
      </c>
      <c r="BC449" s="844">
        <v>58171</v>
      </c>
      <c r="BD449" s="844">
        <v>59333</v>
      </c>
      <c r="BE449" s="844">
        <v>60519</v>
      </c>
      <c r="BF449" s="844">
        <v>61728</v>
      </c>
      <c r="BG449" s="844">
        <v>62961</v>
      </c>
      <c r="BH449" s="844">
        <v>64219</v>
      </c>
      <c r="BI449" s="844">
        <v>65502</v>
      </c>
      <c r="BJ449" s="844">
        <v>66810</v>
      </c>
      <c r="BK449" s="844">
        <v>68144</v>
      </c>
      <c r="BL449" s="844">
        <v>69504</v>
      </c>
      <c r="BM449" s="844">
        <v>70884</v>
      </c>
      <c r="BN449" s="844">
        <v>72270</v>
      </c>
      <c r="BO449" s="844">
        <v>73661</v>
      </c>
      <c r="BP449" s="844">
        <v>75053</v>
      </c>
      <c r="BQ449" s="844">
        <v>75800</v>
      </c>
      <c r="BR449" s="844">
        <v>0</v>
      </c>
      <c r="BS449" s="844">
        <v>0</v>
      </c>
      <c r="BT449" s="844">
        <v>0</v>
      </c>
      <c r="BU449" s="844">
        <v>0</v>
      </c>
      <c r="BV449" s="844">
        <v>0</v>
      </c>
      <c r="BW449" s="844">
        <v>0</v>
      </c>
      <c r="BX449" s="844">
        <v>0</v>
      </c>
      <c r="BY449" s="844">
        <v>0</v>
      </c>
      <c r="BZ449" s="844">
        <v>0</v>
      </c>
      <c r="CA449" s="844">
        <v>0</v>
      </c>
      <c r="CB449" s="844">
        <v>0</v>
      </c>
      <c r="CC449" s="844">
        <v>0</v>
      </c>
      <c r="CD449" s="844">
        <v>0</v>
      </c>
      <c r="CE449" s="844">
        <v>0</v>
      </c>
      <c r="CF449" s="844">
        <v>0</v>
      </c>
      <c r="CG449" s="844">
        <v>0</v>
      </c>
      <c r="CH449" s="844">
        <v>0</v>
      </c>
      <c r="CI449" s="844">
        <v>0</v>
      </c>
      <c r="CJ449" s="844">
        <v>0</v>
      </c>
      <c r="CK449" s="844">
        <v>0</v>
      </c>
      <c r="CL449" s="844">
        <v>0</v>
      </c>
      <c r="CM449" s="844">
        <v>0</v>
      </c>
      <c r="CN449" s="844">
        <v>0</v>
      </c>
      <c r="CO449" s="844">
        <v>0</v>
      </c>
      <c r="CP449" s="844">
        <v>0</v>
      </c>
      <c r="CQ449" s="844">
        <v>0</v>
      </c>
      <c r="CR449" s="844">
        <v>0</v>
      </c>
      <c r="CS449" s="844">
        <v>0</v>
      </c>
      <c r="CT449" s="844">
        <v>0</v>
      </c>
      <c r="CU449" s="844">
        <v>0</v>
      </c>
      <c r="CV449" s="844">
        <v>0</v>
      </c>
      <c r="CW449" s="844">
        <v>0</v>
      </c>
      <c r="CX449" s="844">
        <v>0</v>
      </c>
      <c r="CY449" s="844">
        <v>0</v>
      </c>
      <c r="CZ449" s="844">
        <v>0</v>
      </c>
      <c r="DA449" s="844">
        <v>0</v>
      </c>
      <c r="DB449" s="844">
        <v>0</v>
      </c>
      <c r="DC449" s="844">
        <v>0</v>
      </c>
      <c r="DD449" s="844">
        <v>0</v>
      </c>
      <c r="DE449" s="844">
        <v>0</v>
      </c>
      <c r="DF449" s="844">
        <v>0</v>
      </c>
      <c r="DG449" s="844">
        <v>0</v>
      </c>
      <c r="DH449" s="844">
        <v>0</v>
      </c>
      <c r="DI449" s="844">
        <v>0</v>
      </c>
      <c r="DJ449" s="844">
        <v>0</v>
      </c>
      <c r="DK449" s="844">
        <v>0</v>
      </c>
      <c r="DL449" s="844">
        <v>0</v>
      </c>
      <c r="DM449" s="844">
        <v>0</v>
      </c>
      <c r="DN449" s="844">
        <v>0</v>
      </c>
      <c r="DO449" s="844">
        <v>0</v>
      </c>
      <c r="DP449" s="844">
        <v>0</v>
      </c>
      <c r="DQ449" s="844">
        <v>0</v>
      </c>
      <c r="DR449" s="844">
        <v>0</v>
      </c>
      <c r="DS449" s="844">
        <v>0</v>
      </c>
      <c r="DT449" s="844">
        <v>0</v>
      </c>
      <c r="DU449" s="844">
        <v>0</v>
      </c>
      <c r="DV449" s="844">
        <v>0</v>
      </c>
      <c r="DW449" s="844">
        <v>0</v>
      </c>
      <c r="DY449" s="846" t="s">
        <v>1060</v>
      </c>
      <c r="DZ449" s="846" t="s">
        <v>1382</v>
      </c>
      <c r="EA449" s="846" t="s">
        <v>97</v>
      </c>
      <c r="EB449" s="847">
        <v>58</v>
      </c>
      <c r="EC449" s="780" t="str">
        <f t="shared" si="17"/>
        <v>IWT060258</v>
      </c>
      <c r="ED449" s="847">
        <v>0</v>
      </c>
      <c r="EE449" s="847">
        <v>3074</v>
      </c>
      <c r="EF449" s="847">
        <v>8306</v>
      </c>
      <c r="EG449" s="847">
        <v>13641</v>
      </c>
      <c r="EH449" s="847">
        <v>19082</v>
      </c>
      <c r="EI449" s="847">
        <v>24630</v>
      </c>
      <c r="EJ449" s="847">
        <v>30290</v>
      </c>
      <c r="EK449" s="847">
        <v>30883</v>
      </c>
      <c r="EL449" s="847">
        <v>31492</v>
      </c>
      <c r="EM449" s="847">
        <v>32118</v>
      </c>
      <c r="EN449" s="847">
        <v>32760</v>
      </c>
      <c r="EO449" s="847">
        <v>33415</v>
      </c>
      <c r="EP449" s="847">
        <v>34084</v>
      </c>
      <c r="EQ449" s="847">
        <v>34765</v>
      </c>
      <c r="ER449" s="847">
        <v>35461</v>
      </c>
      <c r="ES449" s="847">
        <v>36170</v>
      </c>
      <c r="ET449" s="847">
        <v>36893</v>
      </c>
      <c r="EU449" s="847">
        <v>37631</v>
      </c>
      <c r="EV449" s="847">
        <v>38384</v>
      </c>
      <c r="EW449" s="847">
        <v>39151</v>
      </c>
      <c r="EX449" s="847">
        <v>39934</v>
      </c>
      <c r="EY449" s="847">
        <v>40733</v>
      </c>
      <c r="EZ449" s="847">
        <v>41547</v>
      </c>
      <c r="FA449" s="847">
        <v>42378</v>
      </c>
      <c r="FB449" s="847">
        <v>43226</v>
      </c>
      <c r="FC449" s="847">
        <v>44090</v>
      </c>
      <c r="FD449" s="847">
        <v>44972</v>
      </c>
      <c r="FE449" s="847">
        <v>45871</v>
      </c>
      <c r="FF449" s="847">
        <v>46788</v>
      </c>
      <c r="FG449" s="847">
        <v>47724</v>
      </c>
      <c r="FH449" s="847">
        <v>48678</v>
      </c>
      <c r="FI449" s="847">
        <v>49651</v>
      </c>
      <c r="FJ449" s="847">
        <v>50644</v>
      </c>
      <c r="FK449" s="847">
        <v>51657</v>
      </c>
      <c r="FL449" s="847">
        <v>52690</v>
      </c>
      <c r="FM449" s="847">
        <v>53743</v>
      </c>
      <c r="FN449" s="847">
        <v>54817</v>
      </c>
      <c r="FO449" s="847">
        <v>55913</v>
      </c>
      <c r="FP449" s="847">
        <v>57031</v>
      </c>
      <c r="FQ449" s="847">
        <v>58171</v>
      </c>
      <c r="FR449" s="847">
        <v>59333</v>
      </c>
      <c r="FS449" s="847">
        <v>60519</v>
      </c>
      <c r="FT449" s="847">
        <v>61728</v>
      </c>
      <c r="FU449" s="847">
        <v>62961</v>
      </c>
      <c r="FV449" s="847">
        <v>64219</v>
      </c>
      <c r="FW449" s="847">
        <v>65502</v>
      </c>
      <c r="FX449" s="847">
        <v>66810</v>
      </c>
      <c r="FY449" s="847">
        <v>68144</v>
      </c>
      <c r="FZ449" s="847">
        <v>69504</v>
      </c>
      <c r="GA449" s="847">
        <v>70884</v>
      </c>
      <c r="GB449" s="847">
        <v>72270</v>
      </c>
      <c r="GC449" s="847">
        <v>73661</v>
      </c>
      <c r="GD449" s="847">
        <v>75053</v>
      </c>
      <c r="GE449" s="847">
        <v>75800</v>
      </c>
      <c r="GF449" s="847">
        <v>0</v>
      </c>
      <c r="GG449" s="847">
        <v>0</v>
      </c>
      <c r="GH449" s="847">
        <v>0</v>
      </c>
      <c r="GI449" s="847">
        <v>0</v>
      </c>
      <c r="GJ449" s="847">
        <v>0</v>
      </c>
      <c r="GK449" s="847">
        <v>0</v>
      </c>
      <c r="GL449" s="847">
        <v>0</v>
      </c>
      <c r="GM449" s="847">
        <v>0</v>
      </c>
      <c r="GN449" s="847">
        <v>0</v>
      </c>
      <c r="GO449" s="847">
        <v>0</v>
      </c>
      <c r="GP449" s="847">
        <v>0</v>
      </c>
      <c r="GQ449" s="847">
        <v>0</v>
      </c>
      <c r="GR449" s="847">
        <v>0</v>
      </c>
      <c r="GS449" s="847">
        <v>0</v>
      </c>
      <c r="GT449" s="847">
        <v>0</v>
      </c>
      <c r="GU449" s="847">
        <v>0</v>
      </c>
      <c r="GV449" s="847">
        <v>0</v>
      </c>
      <c r="GW449" s="847">
        <v>0</v>
      </c>
      <c r="GX449" s="847">
        <v>0</v>
      </c>
      <c r="GY449" s="847">
        <v>0</v>
      </c>
      <c r="GZ449" s="847">
        <v>0</v>
      </c>
      <c r="HA449" s="847">
        <v>0</v>
      </c>
      <c r="HB449" s="847">
        <v>0</v>
      </c>
      <c r="HC449" s="847">
        <v>0</v>
      </c>
      <c r="HD449" s="847">
        <v>0</v>
      </c>
      <c r="HE449" s="847">
        <v>0</v>
      </c>
      <c r="HF449" s="847">
        <v>0</v>
      </c>
      <c r="HG449" s="847">
        <v>0</v>
      </c>
      <c r="HH449" s="847">
        <v>0</v>
      </c>
      <c r="HI449" s="847">
        <v>0</v>
      </c>
      <c r="HJ449" s="847">
        <v>0</v>
      </c>
      <c r="HK449" s="847">
        <v>0</v>
      </c>
      <c r="HL449" s="847">
        <v>0</v>
      </c>
      <c r="HM449" s="847">
        <v>0</v>
      </c>
      <c r="HN449" s="847">
        <v>0</v>
      </c>
      <c r="HO449" s="847">
        <v>0</v>
      </c>
      <c r="HP449" s="847">
        <v>0</v>
      </c>
      <c r="HQ449" s="847">
        <v>0</v>
      </c>
      <c r="HR449" s="847">
        <v>0</v>
      </c>
      <c r="HS449" s="847">
        <v>0</v>
      </c>
      <c r="HT449" s="847">
        <v>0</v>
      </c>
      <c r="HU449" s="847">
        <v>0</v>
      </c>
      <c r="HV449" s="847">
        <v>0</v>
      </c>
      <c r="HW449" s="847">
        <v>0</v>
      </c>
      <c r="HX449" s="847">
        <v>0</v>
      </c>
      <c r="HY449" s="847">
        <v>0</v>
      </c>
      <c r="HZ449" s="847">
        <v>0</v>
      </c>
      <c r="IA449" s="847">
        <v>0</v>
      </c>
      <c r="IB449" s="847">
        <v>0</v>
      </c>
      <c r="IC449" s="847">
        <v>0</v>
      </c>
      <c r="ID449" s="847">
        <v>0</v>
      </c>
      <c r="IE449" s="847">
        <v>0</v>
      </c>
      <c r="IF449" s="847">
        <v>0</v>
      </c>
      <c r="IG449" s="847">
        <v>0</v>
      </c>
      <c r="IH449" s="847">
        <v>0</v>
      </c>
      <c r="II449" s="847">
        <v>0</v>
      </c>
      <c r="IJ449" s="847">
        <v>0</v>
      </c>
      <c r="IK449" s="847">
        <v>0</v>
      </c>
    </row>
    <row r="450" spans="12:245" hidden="1">
      <c r="L450" s="843" t="s">
        <v>1060</v>
      </c>
      <c r="M450" s="843" t="s">
        <v>1382</v>
      </c>
      <c r="N450" s="843" t="s">
        <v>97</v>
      </c>
      <c r="O450" s="844">
        <v>59</v>
      </c>
      <c r="P450" s="780" t="str">
        <f t="shared" si="16"/>
        <v>IWT060259</v>
      </c>
      <c r="Q450" s="844">
        <v>2299</v>
      </c>
      <c r="R450" s="844">
        <v>6640</v>
      </c>
      <c r="S450" s="844">
        <v>11592</v>
      </c>
      <c r="T450" s="844">
        <v>17174</v>
      </c>
      <c r="U450" s="844">
        <v>23401</v>
      </c>
      <c r="V450" s="844">
        <v>29993</v>
      </c>
      <c r="W450" s="844">
        <v>30888</v>
      </c>
      <c r="X450" s="844">
        <v>31496</v>
      </c>
      <c r="Y450" s="844">
        <v>32121</v>
      </c>
      <c r="Z450" s="844">
        <v>32763</v>
      </c>
      <c r="AA450" s="844">
        <v>33418</v>
      </c>
      <c r="AB450" s="844">
        <v>34087</v>
      </c>
      <c r="AC450" s="844">
        <v>34768</v>
      </c>
      <c r="AD450" s="844">
        <v>35464</v>
      </c>
      <c r="AE450" s="844">
        <v>36173</v>
      </c>
      <c r="AF450" s="844">
        <v>36896</v>
      </c>
      <c r="AG450" s="844">
        <v>37634</v>
      </c>
      <c r="AH450" s="844">
        <v>38387</v>
      </c>
      <c r="AI450" s="844">
        <v>39154</v>
      </c>
      <c r="AJ450" s="844">
        <v>39937</v>
      </c>
      <c r="AK450" s="844">
        <v>40736</v>
      </c>
      <c r="AL450" s="844">
        <v>41551</v>
      </c>
      <c r="AM450" s="844">
        <v>42382</v>
      </c>
      <c r="AN450" s="844">
        <v>43229</v>
      </c>
      <c r="AO450" s="844">
        <v>44094</v>
      </c>
      <c r="AP450" s="844">
        <v>44975</v>
      </c>
      <c r="AQ450" s="844">
        <v>45875</v>
      </c>
      <c r="AR450" s="844">
        <v>46792</v>
      </c>
      <c r="AS450" s="844">
        <v>47728</v>
      </c>
      <c r="AT450" s="844">
        <v>48682</v>
      </c>
      <c r="AU450" s="844">
        <v>49655</v>
      </c>
      <c r="AV450" s="844">
        <v>50648</v>
      </c>
      <c r="AW450" s="844">
        <v>51661</v>
      </c>
      <c r="AX450" s="844">
        <v>52694</v>
      </c>
      <c r="AY450" s="844">
        <v>53747</v>
      </c>
      <c r="AZ450" s="844">
        <v>54821</v>
      </c>
      <c r="BA450" s="844">
        <v>55917</v>
      </c>
      <c r="BB450" s="844">
        <v>57035</v>
      </c>
      <c r="BC450" s="844">
        <v>58175</v>
      </c>
      <c r="BD450" s="844">
        <v>59337</v>
      </c>
      <c r="BE450" s="844">
        <v>60523</v>
      </c>
      <c r="BF450" s="844">
        <v>61732</v>
      </c>
      <c r="BG450" s="844">
        <v>62965</v>
      </c>
      <c r="BH450" s="844">
        <v>64223</v>
      </c>
      <c r="BI450" s="844">
        <v>65505</v>
      </c>
      <c r="BJ450" s="844">
        <v>66813</v>
      </c>
      <c r="BK450" s="844">
        <v>68146</v>
      </c>
      <c r="BL450" s="844">
        <v>69506</v>
      </c>
      <c r="BM450" s="844">
        <v>70889</v>
      </c>
      <c r="BN450" s="844">
        <v>72277</v>
      </c>
      <c r="BO450" s="844">
        <v>73667</v>
      </c>
      <c r="BP450" s="844">
        <v>74400</v>
      </c>
      <c r="BQ450" s="844">
        <v>0</v>
      </c>
      <c r="BR450" s="844">
        <v>0</v>
      </c>
      <c r="BS450" s="844">
        <v>0</v>
      </c>
      <c r="BT450" s="844">
        <v>0</v>
      </c>
      <c r="BU450" s="844">
        <v>0</v>
      </c>
      <c r="BV450" s="844">
        <v>0</v>
      </c>
      <c r="BW450" s="844">
        <v>0</v>
      </c>
      <c r="BX450" s="844">
        <v>0</v>
      </c>
      <c r="BY450" s="844">
        <v>0</v>
      </c>
      <c r="BZ450" s="844">
        <v>0</v>
      </c>
      <c r="CA450" s="844">
        <v>0</v>
      </c>
      <c r="CB450" s="844">
        <v>0</v>
      </c>
      <c r="CC450" s="844">
        <v>0</v>
      </c>
      <c r="CD450" s="844">
        <v>0</v>
      </c>
      <c r="CE450" s="844">
        <v>0</v>
      </c>
      <c r="CF450" s="844">
        <v>0</v>
      </c>
      <c r="CG450" s="844">
        <v>0</v>
      </c>
      <c r="CH450" s="844">
        <v>0</v>
      </c>
      <c r="CI450" s="844">
        <v>0</v>
      </c>
      <c r="CJ450" s="844">
        <v>0</v>
      </c>
      <c r="CK450" s="844">
        <v>0</v>
      </c>
      <c r="CL450" s="844">
        <v>0</v>
      </c>
      <c r="CM450" s="844">
        <v>0</v>
      </c>
      <c r="CN450" s="844">
        <v>0</v>
      </c>
      <c r="CO450" s="844">
        <v>0</v>
      </c>
      <c r="CP450" s="844">
        <v>0</v>
      </c>
      <c r="CQ450" s="844">
        <v>0</v>
      </c>
      <c r="CR450" s="844">
        <v>0</v>
      </c>
      <c r="CS450" s="844">
        <v>0</v>
      </c>
      <c r="CT450" s="844">
        <v>0</v>
      </c>
      <c r="CU450" s="844">
        <v>0</v>
      </c>
      <c r="CV450" s="844">
        <v>0</v>
      </c>
      <c r="CW450" s="844">
        <v>0</v>
      </c>
      <c r="CX450" s="844">
        <v>0</v>
      </c>
      <c r="CY450" s="844">
        <v>0</v>
      </c>
      <c r="CZ450" s="844">
        <v>0</v>
      </c>
      <c r="DA450" s="844">
        <v>0</v>
      </c>
      <c r="DB450" s="844">
        <v>0</v>
      </c>
      <c r="DC450" s="844">
        <v>0</v>
      </c>
      <c r="DD450" s="844">
        <v>0</v>
      </c>
      <c r="DE450" s="844">
        <v>0</v>
      </c>
      <c r="DF450" s="844">
        <v>0</v>
      </c>
      <c r="DG450" s="844">
        <v>0</v>
      </c>
      <c r="DH450" s="844">
        <v>0</v>
      </c>
      <c r="DI450" s="844">
        <v>0</v>
      </c>
      <c r="DJ450" s="844">
        <v>0</v>
      </c>
      <c r="DK450" s="844">
        <v>0</v>
      </c>
      <c r="DL450" s="844">
        <v>0</v>
      </c>
      <c r="DM450" s="844">
        <v>0</v>
      </c>
      <c r="DN450" s="844">
        <v>0</v>
      </c>
      <c r="DO450" s="844">
        <v>0</v>
      </c>
      <c r="DP450" s="844">
        <v>0</v>
      </c>
      <c r="DQ450" s="844">
        <v>0</v>
      </c>
      <c r="DR450" s="844">
        <v>0</v>
      </c>
      <c r="DS450" s="844">
        <v>0</v>
      </c>
      <c r="DT450" s="844">
        <v>0</v>
      </c>
      <c r="DU450" s="844">
        <v>0</v>
      </c>
      <c r="DV450" s="844">
        <v>0</v>
      </c>
      <c r="DW450" s="844">
        <v>0</v>
      </c>
      <c r="DY450" s="846" t="s">
        <v>1060</v>
      </c>
      <c r="DZ450" s="846" t="s">
        <v>1382</v>
      </c>
      <c r="EA450" s="846" t="s">
        <v>97</v>
      </c>
      <c r="EB450" s="847">
        <v>59</v>
      </c>
      <c r="EC450" s="780" t="str">
        <f t="shared" si="17"/>
        <v>IWT060259</v>
      </c>
      <c r="ED450" s="847">
        <v>0</v>
      </c>
      <c r="EE450" s="847">
        <v>3065</v>
      </c>
      <c r="EF450" s="847">
        <v>8300</v>
      </c>
      <c r="EG450" s="847">
        <v>13638</v>
      </c>
      <c r="EH450" s="847">
        <v>19082</v>
      </c>
      <c r="EI450" s="847">
        <v>24633</v>
      </c>
      <c r="EJ450" s="847">
        <v>30296</v>
      </c>
      <c r="EK450" s="847">
        <v>30888</v>
      </c>
      <c r="EL450" s="847">
        <v>31496</v>
      </c>
      <c r="EM450" s="847">
        <v>32121</v>
      </c>
      <c r="EN450" s="847">
        <v>32763</v>
      </c>
      <c r="EO450" s="847">
        <v>33418</v>
      </c>
      <c r="EP450" s="847">
        <v>34087</v>
      </c>
      <c r="EQ450" s="847">
        <v>34768</v>
      </c>
      <c r="ER450" s="847">
        <v>35464</v>
      </c>
      <c r="ES450" s="847">
        <v>36173</v>
      </c>
      <c r="ET450" s="847">
        <v>36896</v>
      </c>
      <c r="EU450" s="847">
        <v>37634</v>
      </c>
      <c r="EV450" s="847">
        <v>38387</v>
      </c>
      <c r="EW450" s="847">
        <v>39154</v>
      </c>
      <c r="EX450" s="847">
        <v>39937</v>
      </c>
      <c r="EY450" s="847">
        <v>40736</v>
      </c>
      <c r="EZ450" s="847">
        <v>41551</v>
      </c>
      <c r="FA450" s="847">
        <v>42382</v>
      </c>
      <c r="FB450" s="847">
        <v>43229</v>
      </c>
      <c r="FC450" s="847">
        <v>44094</v>
      </c>
      <c r="FD450" s="847">
        <v>44975</v>
      </c>
      <c r="FE450" s="847">
        <v>45875</v>
      </c>
      <c r="FF450" s="847">
        <v>46792</v>
      </c>
      <c r="FG450" s="847">
        <v>47728</v>
      </c>
      <c r="FH450" s="847">
        <v>48682</v>
      </c>
      <c r="FI450" s="847">
        <v>49655</v>
      </c>
      <c r="FJ450" s="847">
        <v>50648</v>
      </c>
      <c r="FK450" s="847">
        <v>51661</v>
      </c>
      <c r="FL450" s="847">
        <v>52694</v>
      </c>
      <c r="FM450" s="847">
        <v>53747</v>
      </c>
      <c r="FN450" s="847">
        <v>54821</v>
      </c>
      <c r="FO450" s="847">
        <v>55917</v>
      </c>
      <c r="FP450" s="847">
        <v>57035</v>
      </c>
      <c r="FQ450" s="847">
        <v>58175</v>
      </c>
      <c r="FR450" s="847">
        <v>59337</v>
      </c>
      <c r="FS450" s="847">
        <v>60523</v>
      </c>
      <c r="FT450" s="847">
        <v>61732</v>
      </c>
      <c r="FU450" s="847">
        <v>62965</v>
      </c>
      <c r="FV450" s="847">
        <v>64223</v>
      </c>
      <c r="FW450" s="847">
        <v>65505</v>
      </c>
      <c r="FX450" s="847">
        <v>66813</v>
      </c>
      <c r="FY450" s="847">
        <v>68146</v>
      </c>
      <c r="FZ450" s="847">
        <v>69506</v>
      </c>
      <c r="GA450" s="847">
        <v>70889</v>
      </c>
      <c r="GB450" s="847">
        <v>72277</v>
      </c>
      <c r="GC450" s="847">
        <v>73667</v>
      </c>
      <c r="GD450" s="847">
        <v>74400</v>
      </c>
      <c r="GE450" s="847">
        <v>0</v>
      </c>
      <c r="GF450" s="847">
        <v>0</v>
      </c>
      <c r="GG450" s="847">
        <v>0</v>
      </c>
      <c r="GH450" s="847">
        <v>0</v>
      </c>
      <c r="GI450" s="847">
        <v>0</v>
      </c>
      <c r="GJ450" s="847">
        <v>0</v>
      </c>
      <c r="GK450" s="847">
        <v>0</v>
      </c>
      <c r="GL450" s="847">
        <v>0</v>
      </c>
      <c r="GM450" s="847">
        <v>0</v>
      </c>
      <c r="GN450" s="847">
        <v>0</v>
      </c>
      <c r="GO450" s="847">
        <v>0</v>
      </c>
      <c r="GP450" s="847">
        <v>0</v>
      </c>
      <c r="GQ450" s="847">
        <v>0</v>
      </c>
      <c r="GR450" s="847">
        <v>0</v>
      </c>
      <c r="GS450" s="847">
        <v>0</v>
      </c>
      <c r="GT450" s="847">
        <v>0</v>
      </c>
      <c r="GU450" s="847">
        <v>0</v>
      </c>
      <c r="GV450" s="847">
        <v>0</v>
      </c>
      <c r="GW450" s="847">
        <v>0</v>
      </c>
      <c r="GX450" s="847">
        <v>0</v>
      </c>
      <c r="GY450" s="847">
        <v>0</v>
      </c>
      <c r="GZ450" s="847">
        <v>0</v>
      </c>
      <c r="HA450" s="847">
        <v>0</v>
      </c>
      <c r="HB450" s="847">
        <v>0</v>
      </c>
      <c r="HC450" s="847">
        <v>0</v>
      </c>
      <c r="HD450" s="847">
        <v>0</v>
      </c>
      <c r="HE450" s="847">
        <v>0</v>
      </c>
      <c r="HF450" s="847">
        <v>0</v>
      </c>
      <c r="HG450" s="847">
        <v>0</v>
      </c>
      <c r="HH450" s="847">
        <v>0</v>
      </c>
      <c r="HI450" s="847">
        <v>0</v>
      </c>
      <c r="HJ450" s="847">
        <v>0</v>
      </c>
      <c r="HK450" s="847">
        <v>0</v>
      </c>
      <c r="HL450" s="847">
        <v>0</v>
      </c>
      <c r="HM450" s="847">
        <v>0</v>
      </c>
      <c r="HN450" s="847">
        <v>0</v>
      </c>
      <c r="HO450" s="847">
        <v>0</v>
      </c>
      <c r="HP450" s="847">
        <v>0</v>
      </c>
      <c r="HQ450" s="847">
        <v>0</v>
      </c>
      <c r="HR450" s="847">
        <v>0</v>
      </c>
      <c r="HS450" s="847">
        <v>0</v>
      </c>
      <c r="HT450" s="847">
        <v>0</v>
      </c>
      <c r="HU450" s="847">
        <v>0</v>
      </c>
      <c r="HV450" s="847">
        <v>0</v>
      </c>
      <c r="HW450" s="847">
        <v>0</v>
      </c>
      <c r="HX450" s="847">
        <v>0</v>
      </c>
      <c r="HY450" s="847">
        <v>0</v>
      </c>
      <c r="HZ450" s="847">
        <v>0</v>
      </c>
      <c r="IA450" s="847">
        <v>0</v>
      </c>
      <c r="IB450" s="847">
        <v>0</v>
      </c>
      <c r="IC450" s="847">
        <v>0</v>
      </c>
      <c r="ID450" s="847">
        <v>0</v>
      </c>
      <c r="IE450" s="847">
        <v>0</v>
      </c>
      <c r="IF450" s="847">
        <v>0</v>
      </c>
      <c r="IG450" s="847">
        <v>0</v>
      </c>
      <c r="IH450" s="847">
        <v>0</v>
      </c>
      <c r="II450" s="847">
        <v>0</v>
      </c>
      <c r="IJ450" s="847">
        <v>0</v>
      </c>
      <c r="IK450" s="847">
        <v>0</v>
      </c>
    </row>
    <row r="451" spans="12:245" hidden="1">
      <c r="L451" s="843" t="s">
        <v>1060</v>
      </c>
      <c r="M451" s="843" t="s">
        <v>1382</v>
      </c>
      <c r="N451" s="843" t="s">
        <v>97</v>
      </c>
      <c r="O451" s="844">
        <v>60</v>
      </c>
      <c r="P451" s="780" t="str">
        <f t="shared" si="16"/>
        <v>IWT060260</v>
      </c>
      <c r="Q451" s="844">
        <v>2291</v>
      </c>
      <c r="R451" s="844">
        <v>6635</v>
      </c>
      <c r="S451" s="844">
        <v>11590</v>
      </c>
      <c r="T451" s="844">
        <v>17173</v>
      </c>
      <c r="U451" s="844">
        <v>23404</v>
      </c>
      <c r="V451" s="844">
        <v>29998</v>
      </c>
      <c r="W451" s="844">
        <v>30892</v>
      </c>
      <c r="X451" s="844">
        <v>31498</v>
      </c>
      <c r="Y451" s="844">
        <v>32123</v>
      </c>
      <c r="Z451" s="844">
        <v>32765</v>
      </c>
      <c r="AA451" s="844">
        <v>33421</v>
      </c>
      <c r="AB451" s="844">
        <v>34089</v>
      </c>
      <c r="AC451" s="844">
        <v>34771</v>
      </c>
      <c r="AD451" s="844">
        <v>35466</v>
      </c>
      <c r="AE451" s="844">
        <v>36175</v>
      </c>
      <c r="AF451" s="844">
        <v>36899</v>
      </c>
      <c r="AG451" s="844">
        <v>37637</v>
      </c>
      <c r="AH451" s="844">
        <v>38389</v>
      </c>
      <c r="AI451" s="844">
        <v>39157</v>
      </c>
      <c r="AJ451" s="844">
        <v>39940</v>
      </c>
      <c r="AK451" s="844">
        <v>40739</v>
      </c>
      <c r="AL451" s="844">
        <v>41554</v>
      </c>
      <c r="AM451" s="844">
        <v>42384</v>
      </c>
      <c r="AN451" s="844">
        <v>43232</v>
      </c>
      <c r="AO451" s="844">
        <v>44097</v>
      </c>
      <c r="AP451" s="844">
        <v>44978</v>
      </c>
      <c r="AQ451" s="844">
        <v>45878</v>
      </c>
      <c r="AR451" s="844">
        <v>46795</v>
      </c>
      <c r="AS451" s="844">
        <v>47731</v>
      </c>
      <c r="AT451" s="844">
        <v>48685</v>
      </c>
      <c r="AU451" s="844">
        <v>49658</v>
      </c>
      <c r="AV451" s="844">
        <v>50651</v>
      </c>
      <c r="AW451" s="844">
        <v>51664</v>
      </c>
      <c r="AX451" s="844">
        <v>52697</v>
      </c>
      <c r="AY451" s="844">
        <v>53750</v>
      </c>
      <c r="AZ451" s="844">
        <v>54825</v>
      </c>
      <c r="BA451" s="844">
        <v>55920</v>
      </c>
      <c r="BB451" s="844">
        <v>57038</v>
      </c>
      <c r="BC451" s="844">
        <v>58178</v>
      </c>
      <c r="BD451" s="844">
        <v>59340</v>
      </c>
      <c r="BE451" s="844">
        <v>60526</v>
      </c>
      <c r="BF451" s="844">
        <v>61735</v>
      </c>
      <c r="BG451" s="844">
        <v>62968</v>
      </c>
      <c r="BH451" s="844">
        <v>64226</v>
      </c>
      <c r="BI451" s="844">
        <v>65508</v>
      </c>
      <c r="BJ451" s="844">
        <v>66815</v>
      </c>
      <c r="BK451" s="844">
        <v>68148</v>
      </c>
      <c r="BL451" s="844">
        <v>69507</v>
      </c>
      <c r="BM451" s="844">
        <v>70892</v>
      </c>
      <c r="BN451" s="844">
        <v>72281</v>
      </c>
      <c r="BO451" s="844">
        <v>73000</v>
      </c>
      <c r="BP451" s="844">
        <v>0</v>
      </c>
      <c r="BQ451" s="844">
        <v>0</v>
      </c>
      <c r="BR451" s="844">
        <v>0</v>
      </c>
      <c r="BS451" s="844">
        <v>0</v>
      </c>
      <c r="BT451" s="844">
        <v>0</v>
      </c>
      <c r="BU451" s="844">
        <v>0</v>
      </c>
      <c r="BV451" s="844">
        <v>0</v>
      </c>
      <c r="BW451" s="844">
        <v>0</v>
      </c>
      <c r="BX451" s="844">
        <v>0</v>
      </c>
      <c r="BY451" s="844">
        <v>0</v>
      </c>
      <c r="BZ451" s="844">
        <v>0</v>
      </c>
      <c r="CA451" s="844">
        <v>0</v>
      </c>
      <c r="CB451" s="844">
        <v>0</v>
      </c>
      <c r="CC451" s="844">
        <v>0</v>
      </c>
      <c r="CD451" s="844">
        <v>0</v>
      </c>
      <c r="CE451" s="844">
        <v>0</v>
      </c>
      <c r="CF451" s="844">
        <v>0</v>
      </c>
      <c r="CG451" s="844">
        <v>0</v>
      </c>
      <c r="CH451" s="844">
        <v>0</v>
      </c>
      <c r="CI451" s="844">
        <v>0</v>
      </c>
      <c r="CJ451" s="844">
        <v>0</v>
      </c>
      <c r="CK451" s="844">
        <v>0</v>
      </c>
      <c r="CL451" s="844">
        <v>0</v>
      </c>
      <c r="CM451" s="844">
        <v>0</v>
      </c>
      <c r="CN451" s="844">
        <v>0</v>
      </c>
      <c r="CO451" s="844">
        <v>0</v>
      </c>
      <c r="CP451" s="844">
        <v>0</v>
      </c>
      <c r="CQ451" s="844">
        <v>0</v>
      </c>
      <c r="CR451" s="844">
        <v>0</v>
      </c>
      <c r="CS451" s="844">
        <v>0</v>
      </c>
      <c r="CT451" s="844">
        <v>0</v>
      </c>
      <c r="CU451" s="844">
        <v>0</v>
      </c>
      <c r="CV451" s="844">
        <v>0</v>
      </c>
      <c r="CW451" s="844">
        <v>0</v>
      </c>
      <c r="CX451" s="844">
        <v>0</v>
      </c>
      <c r="CY451" s="844">
        <v>0</v>
      </c>
      <c r="CZ451" s="844">
        <v>0</v>
      </c>
      <c r="DA451" s="844">
        <v>0</v>
      </c>
      <c r="DB451" s="844">
        <v>0</v>
      </c>
      <c r="DC451" s="844">
        <v>0</v>
      </c>
      <c r="DD451" s="844">
        <v>0</v>
      </c>
      <c r="DE451" s="844">
        <v>0</v>
      </c>
      <c r="DF451" s="844">
        <v>0</v>
      </c>
      <c r="DG451" s="844">
        <v>0</v>
      </c>
      <c r="DH451" s="844">
        <v>0</v>
      </c>
      <c r="DI451" s="844">
        <v>0</v>
      </c>
      <c r="DJ451" s="844">
        <v>0</v>
      </c>
      <c r="DK451" s="844">
        <v>0</v>
      </c>
      <c r="DL451" s="844">
        <v>0</v>
      </c>
      <c r="DM451" s="844">
        <v>0</v>
      </c>
      <c r="DN451" s="844">
        <v>0</v>
      </c>
      <c r="DO451" s="844">
        <v>0</v>
      </c>
      <c r="DP451" s="844">
        <v>0</v>
      </c>
      <c r="DQ451" s="844">
        <v>0</v>
      </c>
      <c r="DR451" s="844">
        <v>0</v>
      </c>
      <c r="DS451" s="844">
        <v>0</v>
      </c>
      <c r="DT451" s="844">
        <v>0</v>
      </c>
      <c r="DU451" s="844">
        <v>0</v>
      </c>
      <c r="DV451" s="844">
        <v>0</v>
      </c>
      <c r="DW451" s="844">
        <v>0</v>
      </c>
      <c r="DY451" s="846" t="s">
        <v>1060</v>
      </c>
      <c r="DZ451" s="846" t="s">
        <v>1382</v>
      </c>
      <c r="EA451" s="846" t="s">
        <v>97</v>
      </c>
      <c r="EB451" s="847">
        <v>60</v>
      </c>
      <c r="EC451" s="780" t="str">
        <f t="shared" si="17"/>
        <v>IWT060260</v>
      </c>
      <c r="ED451" s="847">
        <v>0</v>
      </c>
      <c r="EE451" s="847">
        <v>3055</v>
      </c>
      <c r="EF451" s="847">
        <v>8294</v>
      </c>
      <c r="EG451" s="847">
        <v>13635</v>
      </c>
      <c r="EH451" s="847">
        <v>19081</v>
      </c>
      <c r="EI451" s="847">
        <v>24636</v>
      </c>
      <c r="EJ451" s="847">
        <v>30301</v>
      </c>
      <c r="EK451" s="847">
        <v>30892</v>
      </c>
      <c r="EL451" s="847">
        <v>31498</v>
      </c>
      <c r="EM451" s="847">
        <v>32123</v>
      </c>
      <c r="EN451" s="847">
        <v>32765</v>
      </c>
      <c r="EO451" s="847">
        <v>33421</v>
      </c>
      <c r="EP451" s="847">
        <v>34089</v>
      </c>
      <c r="EQ451" s="847">
        <v>34771</v>
      </c>
      <c r="ER451" s="847">
        <v>35466</v>
      </c>
      <c r="ES451" s="847">
        <v>36175</v>
      </c>
      <c r="ET451" s="847">
        <v>36899</v>
      </c>
      <c r="EU451" s="847">
        <v>37637</v>
      </c>
      <c r="EV451" s="847">
        <v>38389</v>
      </c>
      <c r="EW451" s="847">
        <v>39157</v>
      </c>
      <c r="EX451" s="847">
        <v>39940</v>
      </c>
      <c r="EY451" s="847">
        <v>40739</v>
      </c>
      <c r="EZ451" s="847">
        <v>41554</v>
      </c>
      <c r="FA451" s="847">
        <v>42384</v>
      </c>
      <c r="FB451" s="847">
        <v>43232</v>
      </c>
      <c r="FC451" s="847">
        <v>44097</v>
      </c>
      <c r="FD451" s="847">
        <v>44978</v>
      </c>
      <c r="FE451" s="847">
        <v>45878</v>
      </c>
      <c r="FF451" s="847">
        <v>46795</v>
      </c>
      <c r="FG451" s="847">
        <v>47731</v>
      </c>
      <c r="FH451" s="847">
        <v>48685</v>
      </c>
      <c r="FI451" s="847">
        <v>49658</v>
      </c>
      <c r="FJ451" s="847">
        <v>50651</v>
      </c>
      <c r="FK451" s="847">
        <v>51664</v>
      </c>
      <c r="FL451" s="847">
        <v>52697</v>
      </c>
      <c r="FM451" s="847">
        <v>53750</v>
      </c>
      <c r="FN451" s="847">
        <v>54825</v>
      </c>
      <c r="FO451" s="847">
        <v>55920</v>
      </c>
      <c r="FP451" s="847">
        <v>57038</v>
      </c>
      <c r="FQ451" s="847">
        <v>58178</v>
      </c>
      <c r="FR451" s="847">
        <v>59340</v>
      </c>
      <c r="FS451" s="847">
        <v>60526</v>
      </c>
      <c r="FT451" s="847">
        <v>61735</v>
      </c>
      <c r="FU451" s="847">
        <v>62968</v>
      </c>
      <c r="FV451" s="847">
        <v>64226</v>
      </c>
      <c r="FW451" s="847">
        <v>65508</v>
      </c>
      <c r="FX451" s="847">
        <v>66815</v>
      </c>
      <c r="FY451" s="847">
        <v>68148</v>
      </c>
      <c r="FZ451" s="847">
        <v>69507</v>
      </c>
      <c r="GA451" s="847">
        <v>70892</v>
      </c>
      <c r="GB451" s="847">
        <v>72281</v>
      </c>
      <c r="GC451" s="847">
        <v>73000</v>
      </c>
      <c r="GD451" s="847">
        <v>0</v>
      </c>
      <c r="GE451" s="847">
        <v>0</v>
      </c>
      <c r="GF451" s="847">
        <v>0</v>
      </c>
      <c r="GG451" s="847">
        <v>0</v>
      </c>
      <c r="GH451" s="847">
        <v>0</v>
      </c>
      <c r="GI451" s="847">
        <v>0</v>
      </c>
      <c r="GJ451" s="847">
        <v>0</v>
      </c>
      <c r="GK451" s="847">
        <v>0</v>
      </c>
      <c r="GL451" s="847">
        <v>0</v>
      </c>
      <c r="GM451" s="847">
        <v>0</v>
      </c>
      <c r="GN451" s="847">
        <v>0</v>
      </c>
      <c r="GO451" s="847">
        <v>0</v>
      </c>
      <c r="GP451" s="847">
        <v>0</v>
      </c>
      <c r="GQ451" s="847">
        <v>0</v>
      </c>
      <c r="GR451" s="847">
        <v>0</v>
      </c>
      <c r="GS451" s="847">
        <v>0</v>
      </c>
      <c r="GT451" s="847">
        <v>0</v>
      </c>
      <c r="GU451" s="847">
        <v>0</v>
      </c>
      <c r="GV451" s="847">
        <v>0</v>
      </c>
      <c r="GW451" s="847">
        <v>0</v>
      </c>
      <c r="GX451" s="847">
        <v>0</v>
      </c>
      <c r="GY451" s="847">
        <v>0</v>
      </c>
      <c r="GZ451" s="847">
        <v>0</v>
      </c>
      <c r="HA451" s="847">
        <v>0</v>
      </c>
      <c r="HB451" s="847">
        <v>0</v>
      </c>
      <c r="HC451" s="847">
        <v>0</v>
      </c>
      <c r="HD451" s="847">
        <v>0</v>
      </c>
      <c r="HE451" s="847">
        <v>0</v>
      </c>
      <c r="HF451" s="847">
        <v>0</v>
      </c>
      <c r="HG451" s="847">
        <v>0</v>
      </c>
      <c r="HH451" s="847">
        <v>0</v>
      </c>
      <c r="HI451" s="847">
        <v>0</v>
      </c>
      <c r="HJ451" s="847">
        <v>0</v>
      </c>
      <c r="HK451" s="847">
        <v>0</v>
      </c>
      <c r="HL451" s="847">
        <v>0</v>
      </c>
      <c r="HM451" s="847">
        <v>0</v>
      </c>
      <c r="HN451" s="847">
        <v>0</v>
      </c>
      <c r="HO451" s="847">
        <v>0</v>
      </c>
      <c r="HP451" s="847">
        <v>0</v>
      </c>
      <c r="HQ451" s="847">
        <v>0</v>
      </c>
      <c r="HR451" s="847">
        <v>0</v>
      </c>
      <c r="HS451" s="847">
        <v>0</v>
      </c>
      <c r="HT451" s="847">
        <v>0</v>
      </c>
      <c r="HU451" s="847">
        <v>0</v>
      </c>
      <c r="HV451" s="847">
        <v>0</v>
      </c>
      <c r="HW451" s="847">
        <v>0</v>
      </c>
      <c r="HX451" s="847">
        <v>0</v>
      </c>
      <c r="HY451" s="847">
        <v>0</v>
      </c>
      <c r="HZ451" s="847">
        <v>0</v>
      </c>
      <c r="IA451" s="847">
        <v>0</v>
      </c>
      <c r="IB451" s="847">
        <v>0</v>
      </c>
      <c r="IC451" s="847">
        <v>0</v>
      </c>
      <c r="ID451" s="847">
        <v>0</v>
      </c>
      <c r="IE451" s="847">
        <v>0</v>
      </c>
      <c r="IF451" s="847">
        <v>0</v>
      </c>
      <c r="IG451" s="847">
        <v>0</v>
      </c>
      <c r="IH451" s="847">
        <v>0</v>
      </c>
      <c r="II451" s="847">
        <v>0</v>
      </c>
      <c r="IJ451" s="847">
        <v>0</v>
      </c>
      <c r="IK451" s="847">
        <v>0</v>
      </c>
    </row>
    <row r="452" spans="12:245" hidden="1">
      <c r="L452" s="843" t="s">
        <v>1060</v>
      </c>
      <c r="M452" s="843" t="s">
        <v>1382</v>
      </c>
      <c r="N452" s="843" t="s">
        <v>97</v>
      </c>
      <c r="O452" s="844">
        <v>61</v>
      </c>
      <c r="P452" s="780" t="str">
        <f t="shared" si="16"/>
        <v>IWT060261</v>
      </c>
      <c r="Q452" s="844">
        <v>2283</v>
      </c>
      <c r="R452" s="844">
        <v>6629</v>
      </c>
      <c r="S452" s="844">
        <v>11586</v>
      </c>
      <c r="T452" s="844">
        <v>17174</v>
      </c>
      <c r="U452" s="844">
        <v>23408</v>
      </c>
      <c r="V452" s="844">
        <v>30006</v>
      </c>
      <c r="W452" s="844">
        <v>30897</v>
      </c>
      <c r="X452" s="844">
        <v>31503</v>
      </c>
      <c r="Y452" s="844">
        <v>32126</v>
      </c>
      <c r="Z452" s="844">
        <v>32769</v>
      </c>
      <c r="AA452" s="844">
        <v>33424</v>
      </c>
      <c r="AB452" s="844">
        <v>34092</v>
      </c>
      <c r="AC452" s="844">
        <v>34774</v>
      </c>
      <c r="AD452" s="844">
        <v>35470</v>
      </c>
      <c r="AE452" s="844">
        <v>36179</v>
      </c>
      <c r="AF452" s="844">
        <v>36903</v>
      </c>
      <c r="AG452" s="844">
        <v>37641</v>
      </c>
      <c r="AH452" s="844">
        <v>38393</v>
      </c>
      <c r="AI452" s="844">
        <v>39161</v>
      </c>
      <c r="AJ452" s="844">
        <v>39944</v>
      </c>
      <c r="AK452" s="844">
        <v>40743</v>
      </c>
      <c r="AL452" s="844">
        <v>41558</v>
      </c>
      <c r="AM452" s="844">
        <v>42389</v>
      </c>
      <c r="AN452" s="844">
        <v>43236</v>
      </c>
      <c r="AO452" s="844">
        <v>44101</v>
      </c>
      <c r="AP452" s="844">
        <v>44983</v>
      </c>
      <c r="AQ452" s="844">
        <v>45882</v>
      </c>
      <c r="AR452" s="844">
        <v>46800</v>
      </c>
      <c r="AS452" s="844">
        <v>47735</v>
      </c>
      <c r="AT452" s="844">
        <v>48690</v>
      </c>
      <c r="AU452" s="844">
        <v>49663</v>
      </c>
      <c r="AV452" s="844">
        <v>50656</v>
      </c>
      <c r="AW452" s="844">
        <v>51669</v>
      </c>
      <c r="AX452" s="844">
        <v>52702</v>
      </c>
      <c r="AY452" s="844">
        <v>53755</v>
      </c>
      <c r="AZ452" s="844">
        <v>54830</v>
      </c>
      <c r="BA452" s="844">
        <v>55925</v>
      </c>
      <c r="BB452" s="844">
        <v>57043</v>
      </c>
      <c r="BC452" s="844">
        <v>58183</v>
      </c>
      <c r="BD452" s="844">
        <v>59345</v>
      </c>
      <c r="BE452" s="844">
        <v>60531</v>
      </c>
      <c r="BF452" s="844">
        <v>61740</v>
      </c>
      <c r="BG452" s="844">
        <v>62973</v>
      </c>
      <c r="BH452" s="844">
        <v>64230</v>
      </c>
      <c r="BI452" s="844">
        <v>65512</v>
      </c>
      <c r="BJ452" s="844">
        <v>66819</v>
      </c>
      <c r="BK452" s="844">
        <v>68152</v>
      </c>
      <c r="BL452" s="844">
        <v>69510</v>
      </c>
      <c r="BM452" s="844">
        <v>70895</v>
      </c>
      <c r="BN452" s="844">
        <v>71600</v>
      </c>
      <c r="BO452" s="844">
        <v>0</v>
      </c>
      <c r="BP452" s="844">
        <v>0</v>
      </c>
      <c r="BQ452" s="844">
        <v>0</v>
      </c>
      <c r="BR452" s="844">
        <v>0</v>
      </c>
      <c r="BS452" s="844">
        <v>0</v>
      </c>
      <c r="BT452" s="844">
        <v>0</v>
      </c>
      <c r="BU452" s="844">
        <v>0</v>
      </c>
      <c r="BV452" s="844">
        <v>0</v>
      </c>
      <c r="BW452" s="844">
        <v>0</v>
      </c>
      <c r="BX452" s="844">
        <v>0</v>
      </c>
      <c r="BY452" s="844">
        <v>0</v>
      </c>
      <c r="BZ452" s="844">
        <v>0</v>
      </c>
      <c r="CA452" s="844">
        <v>0</v>
      </c>
      <c r="CB452" s="844">
        <v>0</v>
      </c>
      <c r="CC452" s="844">
        <v>0</v>
      </c>
      <c r="CD452" s="844">
        <v>0</v>
      </c>
      <c r="CE452" s="844">
        <v>0</v>
      </c>
      <c r="CF452" s="844">
        <v>0</v>
      </c>
      <c r="CG452" s="844">
        <v>0</v>
      </c>
      <c r="CH452" s="844">
        <v>0</v>
      </c>
      <c r="CI452" s="844">
        <v>0</v>
      </c>
      <c r="CJ452" s="844">
        <v>0</v>
      </c>
      <c r="CK452" s="844">
        <v>0</v>
      </c>
      <c r="CL452" s="844">
        <v>0</v>
      </c>
      <c r="CM452" s="844">
        <v>0</v>
      </c>
      <c r="CN452" s="844">
        <v>0</v>
      </c>
      <c r="CO452" s="844">
        <v>0</v>
      </c>
      <c r="CP452" s="844">
        <v>0</v>
      </c>
      <c r="CQ452" s="844">
        <v>0</v>
      </c>
      <c r="CR452" s="844">
        <v>0</v>
      </c>
      <c r="CS452" s="844">
        <v>0</v>
      </c>
      <c r="CT452" s="844">
        <v>0</v>
      </c>
      <c r="CU452" s="844">
        <v>0</v>
      </c>
      <c r="CV452" s="844">
        <v>0</v>
      </c>
      <c r="CW452" s="844">
        <v>0</v>
      </c>
      <c r="CX452" s="844">
        <v>0</v>
      </c>
      <c r="CY452" s="844">
        <v>0</v>
      </c>
      <c r="CZ452" s="844">
        <v>0</v>
      </c>
      <c r="DA452" s="844">
        <v>0</v>
      </c>
      <c r="DB452" s="844">
        <v>0</v>
      </c>
      <c r="DC452" s="844">
        <v>0</v>
      </c>
      <c r="DD452" s="844">
        <v>0</v>
      </c>
      <c r="DE452" s="844">
        <v>0</v>
      </c>
      <c r="DF452" s="844">
        <v>0</v>
      </c>
      <c r="DG452" s="844">
        <v>0</v>
      </c>
      <c r="DH452" s="844">
        <v>0</v>
      </c>
      <c r="DI452" s="844">
        <v>0</v>
      </c>
      <c r="DJ452" s="844">
        <v>0</v>
      </c>
      <c r="DK452" s="844">
        <v>0</v>
      </c>
      <c r="DL452" s="844">
        <v>0</v>
      </c>
      <c r="DM452" s="844">
        <v>0</v>
      </c>
      <c r="DN452" s="844">
        <v>0</v>
      </c>
      <c r="DO452" s="844">
        <v>0</v>
      </c>
      <c r="DP452" s="844">
        <v>0</v>
      </c>
      <c r="DQ452" s="844">
        <v>0</v>
      </c>
      <c r="DR452" s="844">
        <v>0</v>
      </c>
      <c r="DS452" s="844">
        <v>0</v>
      </c>
      <c r="DT452" s="844">
        <v>0</v>
      </c>
      <c r="DU452" s="844">
        <v>0</v>
      </c>
      <c r="DV452" s="844">
        <v>0</v>
      </c>
      <c r="DW452" s="844">
        <v>0</v>
      </c>
      <c r="DY452" s="846" t="s">
        <v>1060</v>
      </c>
      <c r="DZ452" s="846" t="s">
        <v>1382</v>
      </c>
      <c r="EA452" s="846" t="s">
        <v>97</v>
      </c>
      <c r="EB452" s="847">
        <v>61</v>
      </c>
      <c r="EC452" s="780" t="str">
        <f t="shared" si="17"/>
        <v>IWT060261</v>
      </c>
      <c r="ED452" s="847">
        <v>0</v>
      </c>
      <c r="EE452" s="847">
        <v>3044</v>
      </c>
      <c r="EF452" s="847">
        <v>8286</v>
      </c>
      <c r="EG452" s="847">
        <v>13631</v>
      </c>
      <c r="EH452" s="847">
        <v>19082</v>
      </c>
      <c r="EI452" s="847">
        <v>24640</v>
      </c>
      <c r="EJ452" s="847">
        <v>30309</v>
      </c>
      <c r="EK452" s="847">
        <v>30897</v>
      </c>
      <c r="EL452" s="847">
        <v>31503</v>
      </c>
      <c r="EM452" s="847">
        <v>32126</v>
      </c>
      <c r="EN452" s="847">
        <v>32769</v>
      </c>
      <c r="EO452" s="847">
        <v>33424</v>
      </c>
      <c r="EP452" s="847">
        <v>34092</v>
      </c>
      <c r="EQ452" s="847">
        <v>34774</v>
      </c>
      <c r="ER452" s="847">
        <v>35470</v>
      </c>
      <c r="ES452" s="847">
        <v>36179</v>
      </c>
      <c r="ET452" s="847">
        <v>36903</v>
      </c>
      <c r="EU452" s="847">
        <v>37641</v>
      </c>
      <c r="EV452" s="847">
        <v>38393</v>
      </c>
      <c r="EW452" s="847">
        <v>39161</v>
      </c>
      <c r="EX452" s="847">
        <v>39944</v>
      </c>
      <c r="EY452" s="847">
        <v>40743</v>
      </c>
      <c r="EZ452" s="847">
        <v>41558</v>
      </c>
      <c r="FA452" s="847">
        <v>42389</v>
      </c>
      <c r="FB452" s="847">
        <v>43236</v>
      </c>
      <c r="FC452" s="847">
        <v>44101</v>
      </c>
      <c r="FD452" s="847">
        <v>44983</v>
      </c>
      <c r="FE452" s="847">
        <v>45882</v>
      </c>
      <c r="FF452" s="847">
        <v>46800</v>
      </c>
      <c r="FG452" s="847">
        <v>47735</v>
      </c>
      <c r="FH452" s="847">
        <v>48690</v>
      </c>
      <c r="FI452" s="847">
        <v>49663</v>
      </c>
      <c r="FJ452" s="847">
        <v>50656</v>
      </c>
      <c r="FK452" s="847">
        <v>51669</v>
      </c>
      <c r="FL452" s="847">
        <v>52702</v>
      </c>
      <c r="FM452" s="847">
        <v>53755</v>
      </c>
      <c r="FN452" s="847">
        <v>54830</v>
      </c>
      <c r="FO452" s="847">
        <v>55925</v>
      </c>
      <c r="FP452" s="847">
        <v>57043</v>
      </c>
      <c r="FQ452" s="847">
        <v>58183</v>
      </c>
      <c r="FR452" s="847">
        <v>59345</v>
      </c>
      <c r="FS452" s="847">
        <v>60531</v>
      </c>
      <c r="FT452" s="847">
        <v>61740</v>
      </c>
      <c r="FU452" s="847">
        <v>62973</v>
      </c>
      <c r="FV452" s="847">
        <v>64230</v>
      </c>
      <c r="FW452" s="847">
        <v>65512</v>
      </c>
      <c r="FX452" s="847">
        <v>66819</v>
      </c>
      <c r="FY452" s="847">
        <v>68152</v>
      </c>
      <c r="FZ452" s="847">
        <v>69510</v>
      </c>
      <c r="GA452" s="847">
        <v>70895</v>
      </c>
      <c r="GB452" s="847">
        <v>71600</v>
      </c>
      <c r="GC452" s="847">
        <v>0</v>
      </c>
      <c r="GD452" s="847">
        <v>0</v>
      </c>
      <c r="GE452" s="847">
        <v>0</v>
      </c>
      <c r="GF452" s="847">
        <v>0</v>
      </c>
      <c r="GG452" s="847">
        <v>0</v>
      </c>
      <c r="GH452" s="847">
        <v>0</v>
      </c>
      <c r="GI452" s="847">
        <v>0</v>
      </c>
      <c r="GJ452" s="847">
        <v>0</v>
      </c>
      <c r="GK452" s="847">
        <v>0</v>
      </c>
      <c r="GL452" s="847">
        <v>0</v>
      </c>
      <c r="GM452" s="847">
        <v>0</v>
      </c>
      <c r="GN452" s="847">
        <v>0</v>
      </c>
      <c r="GO452" s="847">
        <v>0</v>
      </c>
      <c r="GP452" s="847">
        <v>0</v>
      </c>
      <c r="GQ452" s="847">
        <v>0</v>
      </c>
      <c r="GR452" s="847">
        <v>0</v>
      </c>
      <c r="GS452" s="847">
        <v>0</v>
      </c>
      <c r="GT452" s="847">
        <v>0</v>
      </c>
      <c r="GU452" s="847">
        <v>0</v>
      </c>
      <c r="GV452" s="847">
        <v>0</v>
      </c>
      <c r="GW452" s="847">
        <v>0</v>
      </c>
      <c r="GX452" s="847">
        <v>0</v>
      </c>
      <c r="GY452" s="847">
        <v>0</v>
      </c>
      <c r="GZ452" s="847">
        <v>0</v>
      </c>
      <c r="HA452" s="847">
        <v>0</v>
      </c>
      <c r="HB452" s="847">
        <v>0</v>
      </c>
      <c r="HC452" s="847">
        <v>0</v>
      </c>
      <c r="HD452" s="847">
        <v>0</v>
      </c>
      <c r="HE452" s="847">
        <v>0</v>
      </c>
      <c r="HF452" s="847">
        <v>0</v>
      </c>
      <c r="HG452" s="847">
        <v>0</v>
      </c>
      <c r="HH452" s="847">
        <v>0</v>
      </c>
      <c r="HI452" s="847">
        <v>0</v>
      </c>
      <c r="HJ452" s="847">
        <v>0</v>
      </c>
      <c r="HK452" s="847">
        <v>0</v>
      </c>
      <c r="HL452" s="847">
        <v>0</v>
      </c>
      <c r="HM452" s="847">
        <v>0</v>
      </c>
      <c r="HN452" s="847">
        <v>0</v>
      </c>
      <c r="HO452" s="847">
        <v>0</v>
      </c>
      <c r="HP452" s="847">
        <v>0</v>
      </c>
      <c r="HQ452" s="847">
        <v>0</v>
      </c>
      <c r="HR452" s="847">
        <v>0</v>
      </c>
      <c r="HS452" s="847">
        <v>0</v>
      </c>
      <c r="HT452" s="847">
        <v>0</v>
      </c>
      <c r="HU452" s="847">
        <v>0</v>
      </c>
      <c r="HV452" s="847">
        <v>0</v>
      </c>
      <c r="HW452" s="847">
        <v>0</v>
      </c>
      <c r="HX452" s="847">
        <v>0</v>
      </c>
      <c r="HY452" s="847">
        <v>0</v>
      </c>
      <c r="HZ452" s="847">
        <v>0</v>
      </c>
      <c r="IA452" s="847">
        <v>0</v>
      </c>
      <c r="IB452" s="847">
        <v>0</v>
      </c>
      <c r="IC452" s="847">
        <v>0</v>
      </c>
      <c r="ID452" s="847">
        <v>0</v>
      </c>
      <c r="IE452" s="847">
        <v>0</v>
      </c>
      <c r="IF452" s="847">
        <v>0</v>
      </c>
      <c r="IG452" s="847">
        <v>0</v>
      </c>
      <c r="IH452" s="847">
        <v>0</v>
      </c>
      <c r="II452" s="847">
        <v>0</v>
      </c>
      <c r="IJ452" s="847">
        <v>0</v>
      </c>
      <c r="IK452" s="847">
        <v>0</v>
      </c>
    </row>
    <row r="453" spans="12:245" hidden="1">
      <c r="L453" s="843" t="s">
        <v>1060</v>
      </c>
      <c r="M453" s="843" t="s">
        <v>1382</v>
      </c>
      <c r="N453" s="843" t="s">
        <v>97</v>
      </c>
      <c r="O453" s="844">
        <v>62</v>
      </c>
      <c r="P453" s="780" t="str">
        <f t="shared" si="16"/>
        <v>IWT060262</v>
      </c>
      <c r="Q453" s="844">
        <v>2273</v>
      </c>
      <c r="R453" s="844">
        <v>6622</v>
      </c>
      <c r="S453" s="844">
        <v>11583</v>
      </c>
      <c r="T453" s="844">
        <v>17173</v>
      </c>
      <c r="U453" s="844">
        <v>23411</v>
      </c>
      <c r="V453" s="844">
        <v>30013</v>
      </c>
      <c r="W453" s="844">
        <v>30902</v>
      </c>
      <c r="X453" s="844">
        <v>31506</v>
      </c>
      <c r="Y453" s="844">
        <v>32128</v>
      </c>
      <c r="Z453" s="844">
        <v>32771</v>
      </c>
      <c r="AA453" s="844">
        <v>33426</v>
      </c>
      <c r="AB453" s="844">
        <v>34095</v>
      </c>
      <c r="AC453" s="844">
        <v>34777</v>
      </c>
      <c r="AD453" s="844">
        <v>35472</v>
      </c>
      <c r="AE453" s="844">
        <v>36181</v>
      </c>
      <c r="AF453" s="844">
        <v>36905</v>
      </c>
      <c r="AG453" s="844">
        <v>37643</v>
      </c>
      <c r="AH453" s="844">
        <v>38396</v>
      </c>
      <c r="AI453" s="844">
        <v>39164</v>
      </c>
      <c r="AJ453" s="844">
        <v>39947</v>
      </c>
      <c r="AK453" s="844">
        <v>40746</v>
      </c>
      <c r="AL453" s="844">
        <v>41560</v>
      </c>
      <c r="AM453" s="844">
        <v>42392</v>
      </c>
      <c r="AN453" s="844">
        <v>43239</v>
      </c>
      <c r="AO453" s="844">
        <v>44104</v>
      </c>
      <c r="AP453" s="844">
        <v>44986</v>
      </c>
      <c r="AQ453" s="844">
        <v>45885</v>
      </c>
      <c r="AR453" s="844">
        <v>46803</v>
      </c>
      <c r="AS453" s="844">
        <v>47738</v>
      </c>
      <c r="AT453" s="844">
        <v>48693</v>
      </c>
      <c r="AU453" s="844">
        <v>49666</v>
      </c>
      <c r="AV453" s="844">
        <v>50659</v>
      </c>
      <c r="AW453" s="844">
        <v>51672</v>
      </c>
      <c r="AX453" s="844">
        <v>52705</v>
      </c>
      <c r="AY453" s="844">
        <v>53758</v>
      </c>
      <c r="AZ453" s="844">
        <v>54833</v>
      </c>
      <c r="BA453" s="844">
        <v>55928</v>
      </c>
      <c r="BB453" s="844">
        <v>57046</v>
      </c>
      <c r="BC453" s="844">
        <v>58186</v>
      </c>
      <c r="BD453" s="844">
        <v>59348</v>
      </c>
      <c r="BE453" s="844">
        <v>60533</v>
      </c>
      <c r="BF453" s="844">
        <v>61742</v>
      </c>
      <c r="BG453" s="844">
        <v>62975</v>
      </c>
      <c r="BH453" s="844">
        <v>64232</v>
      </c>
      <c r="BI453" s="844">
        <v>65514</v>
      </c>
      <c r="BJ453" s="844">
        <v>66820</v>
      </c>
      <c r="BK453" s="844">
        <v>68151</v>
      </c>
      <c r="BL453" s="844">
        <v>69508</v>
      </c>
      <c r="BM453" s="844">
        <v>70200</v>
      </c>
      <c r="BN453" s="844">
        <v>0</v>
      </c>
      <c r="BO453" s="844">
        <v>0</v>
      </c>
      <c r="BP453" s="844">
        <v>0</v>
      </c>
      <c r="BQ453" s="844">
        <v>0</v>
      </c>
      <c r="BR453" s="844">
        <v>0</v>
      </c>
      <c r="BS453" s="844">
        <v>0</v>
      </c>
      <c r="BT453" s="844">
        <v>0</v>
      </c>
      <c r="BU453" s="844">
        <v>0</v>
      </c>
      <c r="BV453" s="844">
        <v>0</v>
      </c>
      <c r="BW453" s="844">
        <v>0</v>
      </c>
      <c r="BX453" s="844">
        <v>0</v>
      </c>
      <c r="BY453" s="844">
        <v>0</v>
      </c>
      <c r="BZ453" s="844">
        <v>0</v>
      </c>
      <c r="CA453" s="844">
        <v>0</v>
      </c>
      <c r="CB453" s="844">
        <v>0</v>
      </c>
      <c r="CC453" s="844">
        <v>0</v>
      </c>
      <c r="CD453" s="844">
        <v>0</v>
      </c>
      <c r="CE453" s="844">
        <v>0</v>
      </c>
      <c r="CF453" s="844">
        <v>0</v>
      </c>
      <c r="CG453" s="844">
        <v>0</v>
      </c>
      <c r="CH453" s="844">
        <v>0</v>
      </c>
      <c r="CI453" s="844">
        <v>0</v>
      </c>
      <c r="CJ453" s="844">
        <v>0</v>
      </c>
      <c r="CK453" s="844">
        <v>0</v>
      </c>
      <c r="CL453" s="844">
        <v>0</v>
      </c>
      <c r="CM453" s="844">
        <v>0</v>
      </c>
      <c r="CN453" s="844">
        <v>0</v>
      </c>
      <c r="CO453" s="844">
        <v>0</v>
      </c>
      <c r="CP453" s="844">
        <v>0</v>
      </c>
      <c r="CQ453" s="844">
        <v>0</v>
      </c>
      <c r="CR453" s="844">
        <v>0</v>
      </c>
      <c r="CS453" s="844">
        <v>0</v>
      </c>
      <c r="CT453" s="844">
        <v>0</v>
      </c>
      <c r="CU453" s="844">
        <v>0</v>
      </c>
      <c r="CV453" s="844">
        <v>0</v>
      </c>
      <c r="CW453" s="844">
        <v>0</v>
      </c>
      <c r="CX453" s="844">
        <v>0</v>
      </c>
      <c r="CY453" s="844">
        <v>0</v>
      </c>
      <c r="CZ453" s="844">
        <v>0</v>
      </c>
      <c r="DA453" s="844">
        <v>0</v>
      </c>
      <c r="DB453" s="844">
        <v>0</v>
      </c>
      <c r="DC453" s="844">
        <v>0</v>
      </c>
      <c r="DD453" s="844">
        <v>0</v>
      </c>
      <c r="DE453" s="844">
        <v>0</v>
      </c>
      <c r="DF453" s="844">
        <v>0</v>
      </c>
      <c r="DG453" s="844">
        <v>0</v>
      </c>
      <c r="DH453" s="844">
        <v>0</v>
      </c>
      <c r="DI453" s="844">
        <v>0</v>
      </c>
      <c r="DJ453" s="844">
        <v>0</v>
      </c>
      <c r="DK453" s="844">
        <v>0</v>
      </c>
      <c r="DL453" s="844">
        <v>0</v>
      </c>
      <c r="DM453" s="844">
        <v>0</v>
      </c>
      <c r="DN453" s="844">
        <v>0</v>
      </c>
      <c r="DO453" s="844">
        <v>0</v>
      </c>
      <c r="DP453" s="844">
        <v>0</v>
      </c>
      <c r="DQ453" s="844">
        <v>0</v>
      </c>
      <c r="DR453" s="844">
        <v>0</v>
      </c>
      <c r="DS453" s="844">
        <v>0</v>
      </c>
      <c r="DT453" s="844">
        <v>0</v>
      </c>
      <c r="DU453" s="844">
        <v>0</v>
      </c>
      <c r="DV453" s="844">
        <v>0</v>
      </c>
      <c r="DW453" s="844">
        <v>0</v>
      </c>
      <c r="DY453" s="846" t="s">
        <v>1060</v>
      </c>
      <c r="DZ453" s="846" t="s">
        <v>1382</v>
      </c>
      <c r="EA453" s="846" t="s">
        <v>97</v>
      </c>
      <c r="EB453" s="847">
        <v>62</v>
      </c>
      <c r="EC453" s="780" t="str">
        <f t="shared" si="17"/>
        <v>IWT060262</v>
      </c>
      <c r="ED453" s="847">
        <v>0</v>
      </c>
      <c r="EE453" s="847">
        <v>3031</v>
      </c>
      <c r="EF453" s="847">
        <v>8277</v>
      </c>
      <c r="EG453" s="847">
        <v>13627</v>
      </c>
      <c r="EH453" s="847">
        <v>19081</v>
      </c>
      <c r="EI453" s="847">
        <v>24643</v>
      </c>
      <c r="EJ453" s="847">
        <v>30316</v>
      </c>
      <c r="EK453" s="847">
        <v>30902</v>
      </c>
      <c r="EL453" s="847">
        <v>31506</v>
      </c>
      <c r="EM453" s="847">
        <v>32128</v>
      </c>
      <c r="EN453" s="847">
        <v>32771</v>
      </c>
      <c r="EO453" s="847">
        <v>33426</v>
      </c>
      <c r="EP453" s="847">
        <v>34095</v>
      </c>
      <c r="EQ453" s="847">
        <v>34777</v>
      </c>
      <c r="ER453" s="847">
        <v>35472</v>
      </c>
      <c r="ES453" s="847">
        <v>36181</v>
      </c>
      <c r="ET453" s="847">
        <v>36905</v>
      </c>
      <c r="EU453" s="847">
        <v>37643</v>
      </c>
      <c r="EV453" s="847">
        <v>38396</v>
      </c>
      <c r="EW453" s="847">
        <v>39164</v>
      </c>
      <c r="EX453" s="847">
        <v>39947</v>
      </c>
      <c r="EY453" s="847">
        <v>40746</v>
      </c>
      <c r="EZ453" s="847">
        <v>41560</v>
      </c>
      <c r="FA453" s="847">
        <v>42392</v>
      </c>
      <c r="FB453" s="847">
        <v>43239</v>
      </c>
      <c r="FC453" s="847">
        <v>44104</v>
      </c>
      <c r="FD453" s="847">
        <v>44986</v>
      </c>
      <c r="FE453" s="847">
        <v>45885</v>
      </c>
      <c r="FF453" s="847">
        <v>46803</v>
      </c>
      <c r="FG453" s="847">
        <v>47738</v>
      </c>
      <c r="FH453" s="847">
        <v>48693</v>
      </c>
      <c r="FI453" s="847">
        <v>49666</v>
      </c>
      <c r="FJ453" s="847">
        <v>50659</v>
      </c>
      <c r="FK453" s="847">
        <v>51672</v>
      </c>
      <c r="FL453" s="847">
        <v>52705</v>
      </c>
      <c r="FM453" s="847">
        <v>53758</v>
      </c>
      <c r="FN453" s="847">
        <v>54833</v>
      </c>
      <c r="FO453" s="847">
        <v>55928</v>
      </c>
      <c r="FP453" s="847">
        <v>57046</v>
      </c>
      <c r="FQ453" s="847">
        <v>58186</v>
      </c>
      <c r="FR453" s="847">
        <v>59348</v>
      </c>
      <c r="FS453" s="847">
        <v>60533</v>
      </c>
      <c r="FT453" s="847">
        <v>61742</v>
      </c>
      <c r="FU453" s="847">
        <v>62975</v>
      </c>
      <c r="FV453" s="847">
        <v>64232</v>
      </c>
      <c r="FW453" s="847">
        <v>65514</v>
      </c>
      <c r="FX453" s="847">
        <v>66820</v>
      </c>
      <c r="FY453" s="847">
        <v>68151</v>
      </c>
      <c r="FZ453" s="847">
        <v>69508</v>
      </c>
      <c r="GA453" s="847">
        <v>70200</v>
      </c>
      <c r="GB453" s="847">
        <v>0</v>
      </c>
      <c r="GC453" s="847">
        <v>0</v>
      </c>
      <c r="GD453" s="847">
        <v>0</v>
      </c>
      <c r="GE453" s="847">
        <v>0</v>
      </c>
      <c r="GF453" s="847">
        <v>0</v>
      </c>
      <c r="GG453" s="847">
        <v>0</v>
      </c>
      <c r="GH453" s="847">
        <v>0</v>
      </c>
      <c r="GI453" s="847">
        <v>0</v>
      </c>
      <c r="GJ453" s="847">
        <v>0</v>
      </c>
      <c r="GK453" s="847">
        <v>0</v>
      </c>
      <c r="GL453" s="847">
        <v>0</v>
      </c>
      <c r="GM453" s="847">
        <v>0</v>
      </c>
      <c r="GN453" s="847">
        <v>0</v>
      </c>
      <c r="GO453" s="847">
        <v>0</v>
      </c>
      <c r="GP453" s="847">
        <v>0</v>
      </c>
      <c r="GQ453" s="847">
        <v>0</v>
      </c>
      <c r="GR453" s="847">
        <v>0</v>
      </c>
      <c r="GS453" s="847">
        <v>0</v>
      </c>
      <c r="GT453" s="847">
        <v>0</v>
      </c>
      <c r="GU453" s="847">
        <v>0</v>
      </c>
      <c r="GV453" s="847">
        <v>0</v>
      </c>
      <c r="GW453" s="847">
        <v>0</v>
      </c>
      <c r="GX453" s="847">
        <v>0</v>
      </c>
      <c r="GY453" s="847">
        <v>0</v>
      </c>
      <c r="GZ453" s="847">
        <v>0</v>
      </c>
      <c r="HA453" s="847">
        <v>0</v>
      </c>
      <c r="HB453" s="847">
        <v>0</v>
      </c>
      <c r="HC453" s="847">
        <v>0</v>
      </c>
      <c r="HD453" s="847">
        <v>0</v>
      </c>
      <c r="HE453" s="847">
        <v>0</v>
      </c>
      <c r="HF453" s="847">
        <v>0</v>
      </c>
      <c r="HG453" s="847">
        <v>0</v>
      </c>
      <c r="HH453" s="847">
        <v>0</v>
      </c>
      <c r="HI453" s="847">
        <v>0</v>
      </c>
      <c r="HJ453" s="847">
        <v>0</v>
      </c>
      <c r="HK453" s="847">
        <v>0</v>
      </c>
      <c r="HL453" s="847">
        <v>0</v>
      </c>
      <c r="HM453" s="847">
        <v>0</v>
      </c>
      <c r="HN453" s="847">
        <v>0</v>
      </c>
      <c r="HO453" s="847">
        <v>0</v>
      </c>
      <c r="HP453" s="847">
        <v>0</v>
      </c>
      <c r="HQ453" s="847">
        <v>0</v>
      </c>
      <c r="HR453" s="847">
        <v>0</v>
      </c>
      <c r="HS453" s="847">
        <v>0</v>
      </c>
      <c r="HT453" s="847">
        <v>0</v>
      </c>
      <c r="HU453" s="847">
        <v>0</v>
      </c>
      <c r="HV453" s="847">
        <v>0</v>
      </c>
      <c r="HW453" s="847">
        <v>0</v>
      </c>
      <c r="HX453" s="847">
        <v>0</v>
      </c>
      <c r="HY453" s="847">
        <v>0</v>
      </c>
      <c r="HZ453" s="847">
        <v>0</v>
      </c>
      <c r="IA453" s="847">
        <v>0</v>
      </c>
      <c r="IB453" s="847">
        <v>0</v>
      </c>
      <c r="IC453" s="847">
        <v>0</v>
      </c>
      <c r="ID453" s="847">
        <v>0</v>
      </c>
      <c r="IE453" s="847">
        <v>0</v>
      </c>
      <c r="IF453" s="847">
        <v>0</v>
      </c>
      <c r="IG453" s="847">
        <v>0</v>
      </c>
      <c r="IH453" s="847">
        <v>0</v>
      </c>
      <c r="II453" s="847">
        <v>0</v>
      </c>
      <c r="IJ453" s="847">
        <v>0</v>
      </c>
      <c r="IK453" s="847">
        <v>0</v>
      </c>
    </row>
    <row r="454" spans="12:245" hidden="1">
      <c r="L454" s="843" t="s">
        <v>1060</v>
      </c>
      <c r="M454" s="843" t="s">
        <v>1382</v>
      </c>
      <c r="N454" s="843" t="s">
        <v>97</v>
      </c>
      <c r="O454" s="844">
        <v>63</v>
      </c>
      <c r="P454" s="780" t="str">
        <f t="shared" si="16"/>
        <v>IWT060263</v>
      </c>
      <c r="Q454" s="844">
        <v>2261</v>
      </c>
      <c r="R454" s="844">
        <v>6612</v>
      </c>
      <c r="S454" s="844">
        <v>11574</v>
      </c>
      <c r="T454" s="844">
        <v>17166</v>
      </c>
      <c r="U454" s="844">
        <v>23405</v>
      </c>
      <c r="V454" s="844">
        <v>30009</v>
      </c>
      <c r="W454" s="844">
        <v>30896</v>
      </c>
      <c r="X454" s="844">
        <v>31497</v>
      </c>
      <c r="Y454" s="844">
        <v>32118</v>
      </c>
      <c r="Z454" s="844">
        <v>32760</v>
      </c>
      <c r="AA454" s="844">
        <v>33415</v>
      </c>
      <c r="AB454" s="844">
        <v>34084</v>
      </c>
      <c r="AC454" s="844">
        <v>34765</v>
      </c>
      <c r="AD454" s="844">
        <v>35461</v>
      </c>
      <c r="AE454" s="844">
        <v>36170</v>
      </c>
      <c r="AF454" s="844">
        <v>36893</v>
      </c>
      <c r="AG454" s="844">
        <v>37631</v>
      </c>
      <c r="AH454" s="844">
        <v>38383</v>
      </c>
      <c r="AI454" s="844">
        <v>39151</v>
      </c>
      <c r="AJ454" s="844">
        <v>39934</v>
      </c>
      <c r="AK454" s="844">
        <v>40732</v>
      </c>
      <c r="AL454" s="844">
        <v>41547</v>
      </c>
      <c r="AM454" s="844">
        <v>42378</v>
      </c>
      <c r="AN454" s="844">
        <v>43225</v>
      </c>
      <c r="AO454" s="844">
        <v>44089</v>
      </c>
      <c r="AP454" s="844">
        <v>44971</v>
      </c>
      <c r="AQ454" s="844">
        <v>45870</v>
      </c>
      <c r="AR454" s="844">
        <v>46787</v>
      </c>
      <c r="AS454" s="844">
        <v>47723</v>
      </c>
      <c r="AT454" s="844">
        <v>48677</v>
      </c>
      <c r="AU454" s="844">
        <v>49650</v>
      </c>
      <c r="AV454" s="844">
        <v>50642</v>
      </c>
      <c r="AW454" s="844">
        <v>51655</v>
      </c>
      <c r="AX454" s="844">
        <v>52687</v>
      </c>
      <c r="AY454" s="844">
        <v>53740</v>
      </c>
      <c r="AZ454" s="844">
        <v>54814</v>
      </c>
      <c r="BA454" s="844">
        <v>55909</v>
      </c>
      <c r="BB454" s="844">
        <v>57026</v>
      </c>
      <c r="BC454" s="844">
        <v>58165</v>
      </c>
      <c r="BD454" s="844">
        <v>59327</v>
      </c>
      <c r="BE454" s="844">
        <v>60511</v>
      </c>
      <c r="BF454" s="844">
        <v>61719</v>
      </c>
      <c r="BG454" s="844">
        <v>62951</v>
      </c>
      <c r="BH454" s="844">
        <v>64207</v>
      </c>
      <c r="BI454" s="844">
        <v>65487</v>
      </c>
      <c r="BJ454" s="844">
        <v>66792</v>
      </c>
      <c r="BK454" s="844">
        <v>68122</v>
      </c>
      <c r="BL454" s="844">
        <v>68800</v>
      </c>
      <c r="BM454" s="844">
        <v>0</v>
      </c>
      <c r="BN454" s="844">
        <v>0</v>
      </c>
      <c r="BO454" s="844">
        <v>0</v>
      </c>
      <c r="BP454" s="844">
        <v>0</v>
      </c>
      <c r="BQ454" s="844">
        <v>0</v>
      </c>
      <c r="BR454" s="844">
        <v>0</v>
      </c>
      <c r="BS454" s="844">
        <v>0</v>
      </c>
      <c r="BT454" s="844">
        <v>0</v>
      </c>
      <c r="BU454" s="844">
        <v>0</v>
      </c>
      <c r="BV454" s="844">
        <v>0</v>
      </c>
      <c r="BW454" s="844">
        <v>0</v>
      </c>
      <c r="BX454" s="844">
        <v>0</v>
      </c>
      <c r="BY454" s="844">
        <v>0</v>
      </c>
      <c r="BZ454" s="844">
        <v>0</v>
      </c>
      <c r="CA454" s="844">
        <v>0</v>
      </c>
      <c r="CB454" s="844">
        <v>0</v>
      </c>
      <c r="CC454" s="844">
        <v>0</v>
      </c>
      <c r="CD454" s="844">
        <v>0</v>
      </c>
      <c r="CE454" s="844">
        <v>0</v>
      </c>
      <c r="CF454" s="844">
        <v>0</v>
      </c>
      <c r="CG454" s="844">
        <v>0</v>
      </c>
      <c r="CH454" s="844">
        <v>0</v>
      </c>
      <c r="CI454" s="844">
        <v>0</v>
      </c>
      <c r="CJ454" s="844">
        <v>0</v>
      </c>
      <c r="CK454" s="844">
        <v>0</v>
      </c>
      <c r="CL454" s="844">
        <v>0</v>
      </c>
      <c r="CM454" s="844">
        <v>0</v>
      </c>
      <c r="CN454" s="844">
        <v>0</v>
      </c>
      <c r="CO454" s="844">
        <v>0</v>
      </c>
      <c r="CP454" s="844">
        <v>0</v>
      </c>
      <c r="CQ454" s="844">
        <v>0</v>
      </c>
      <c r="CR454" s="844">
        <v>0</v>
      </c>
      <c r="CS454" s="844">
        <v>0</v>
      </c>
      <c r="CT454" s="844">
        <v>0</v>
      </c>
      <c r="CU454" s="844">
        <v>0</v>
      </c>
      <c r="CV454" s="844">
        <v>0</v>
      </c>
      <c r="CW454" s="844">
        <v>0</v>
      </c>
      <c r="CX454" s="844">
        <v>0</v>
      </c>
      <c r="CY454" s="844">
        <v>0</v>
      </c>
      <c r="CZ454" s="844">
        <v>0</v>
      </c>
      <c r="DA454" s="844">
        <v>0</v>
      </c>
      <c r="DB454" s="844">
        <v>0</v>
      </c>
      <c r="DC454" s="844">
        <v>0</v>
      </c>
      <c r="DD454" s="844">
        <v>0</v>
      </c>
      <c r="DE454" s="844">
        <v>0</v>
      </c>
      <c r="DF454" s="844">
        <v>0</v>
      </c>
      <c r="DG454" s="844">
        <v>0</v>
      </c>
      <c r="DH454" s="844">
        <v>0</v>
      </c>
      <c r="DI454" s="844">
        <v>0</v>
      </c>
      <c r="DJ454" s="844">
        <v>0</v>
      </c>
      <c r="DK454" s="844">
        <v>0</v>
      </c>
      <c r="DL454" s="844">
        <v>0</v>
      </c>
      <c r="DM454" s="844">
        <v>0</v>
      </c>
      <c r="DN454" s="844">
        <v>0</v>
      </c>
      <c r="DO454" s="844">
        <v>0</v>
      </c>
      <c r="DP454" s="844">
        <v>0</v>
      </c>
      <c r="DQ454" s="844">
        <v>0</v>
      </c>
      <c r="DR454" s="844">
        <v>0</v>
      </c>
      <c r="DS454" s="844">
        <v>0</v>
      </c>
      <c r="DT454" s="844">
        <v>0</v>
      </c>
      <c r="DU454" s="844">
        <v>0</v>
      </c>
      <c r="DV454" s="844">
        <v>0</v>
      </c>
      <c r="DW454" s="844">
        <v>0</v>
      </c>
      <c r="DY454" s="846" t="s">
        <v>1060</v>
      </c>
      <c r="DZ454" s="846" t="s">
        <v>1382</v>
      </c>
      <c r="EA454" s="846" t="s">
        <v>97</v>
      </c>
      <c r="EB454" s="847">
        <v>63</v>
      </c>
      <c r="EC454" s="780" t="str">
        <f t="shared" si="17"/>
        <v>IWT060263</v>
      </c>
      <c r="ED454" s="847">
        <v>0</v>
      </c>
      <c r="EE454" s="847">
        <v>3015</v>
      </c>
      <c r="EF454" s="847">
        <v>8265</v>
      </c>
      <c r="EG454" s="847">
        <v>13617</v>
      </c>
      <c r="EH454" s="847">
        <v>19073</v>
      </c>
      <c r="EI454" s="847">
        <v>24637</v>
      </c>
      <c r="EJ454" s="847">
        <v>30312</v>
      </c>
      <c r="EK454" s="847">
        <v>30896</v>
      </c>
      <c r="EL454" s="847">
        <v>31497</v>
      </c>
      <c r="EM454" s="847">
        <v>32118</v>
      </c>
      <c r="EN454" s="847">
        <v>32760</v>
      </c>
      <c r="EO454" s="847">
        <v>33415</v>
      </c>
      <c r="EP454" s="847">
        <v>34084</v>
      </c>
      <c r="EQ454" s="847">
        <v>34765</v>
      </c>
      <c r="ER454" s="847">
        <v>35461</v>
      </c>
      <c r="ES454" s="847">
        <v>36170</v>
      </c>
      <c r="ET454" s="847">
        <v>36893</v>
      </c>
      <c r="EU454" s="847">
        <v>37631</v>
      </c>
      <c r="EV454" s="847">
        <v>38383</v>
      </c>
      <c r="EW454" s="847">
        <v>39151</v>
      </c>
      <c r="EX454" s="847">
        <v>39934</v>
      </c>
      <c r="EY454" s="847">
        <v>40732</v>
      </c>
      <c r="EZ454" s="847">
        <v>41547</v>
      </c>
      <c r="FA454" s="847">
        <v>42378</v>
      </c>
      <c r="FB454" s="847">
        <v>43225</v>
      </c>
      <c r="FC454" s="847">
        <v>44089</v>
      </c>
      <c r="FD454" s="847">
        <v>44971</v>
      </c>
      <c r="FE454" s="847">
        <v>45870</v>
      </c>
      <c r="FF454" s="847">
        <v>46787</v>
      </c>
      <c r="FG454" s="847">
        <v>47723</v>
      </c>
      <c r="FH454" s="847">
        <v>48677</v>
      </c>
      <c r="FI454" s="847">
        <v>49650</v>
      </c>
      <c r="FJ454" s="847">
        <v>50642</v>
      </c>
      <c r="FK454" s="847">
        <v>51655</v>
      </c>
      <c r="FL454" s="847">
        <v>52687</v>
      </c>
      <c r="FM454" s="847">
        <v>53740</v>
      </c>
      <c r="FN454" s="847">
        <v>54814</v>
      </c>
      <c r="FO454" s="847">
        <v>55909</v>
      </c>
      <c r="FP454" s="847">
        <v>57026</v>
      </c>
      <c r="FQ454" s="847">
        <v>58165</v>
      </c>
      <c r="FR454" s="847">
        <v>59327</v>
      </c>
      <c r="FS454" s="847">
        <v>60511</v>
      </c>
      <c r="FT454" s="847">
        <v>61719</v>
      </c>
      <c r="FU454" s="847">
        <v>62951</v>
      </c>
      <c r="FV454" s="847">
        <v>64207</v>
      </c>
      <c r="FW454" s="847">
        <v>65487</v>
      </c>
      <c r="FX454" s="847">
        <v>66792</v>
      </c>
      <c r="FY454" s="847">
        <v>68122</v>
      </c>
      <c r="FZ454" s="847">
        <v>68800</v>
      </c>
      <c r="GA454" s="847">
        <v>0</v>
      </c>
      <c r="GB454" s="847">
        <v>0</v>
      </c>
      <c r="GC454" s="847">
        <v>0</v>
      </c>
      <c r="GD454" s="847">
        <v>0</v>
      </c>
      <c r="GE454" s="847">
        <v>0</v>
      </c>
      <c r="GF454" s="847">
        <v>0</v>
      </c>
      <c r="GG454" s="847">
        <v>0</v>
      </c>
      <c r="GH454" s="847">
        <v>0</v>
      </c>
      <c r="GI454" s="847">
        <v>0</v>
      </c>
      <c r="GJ454" s="847">
        <v>0</v>
      </c>
      <c r="GK454" s="847">
        <v>0</v>
      </c>
      <c r="GL454" s="847">
        <v>0</v>
      </c>
      <c r="GM454" s="847">
        <v>0</v>
      </c>
      <c r="GN454" s="847">
        <v>0</v>
      </c>
      <c r="GO454" s="847">
        <v>0</v>
      </c>
      <c r="GP454" s="847">
        <v>0</v>
      </c>
      <c r="GQ454" s="847">
        <v>0</v>
      </c>
      <c r="GR454" s="847">
        <v>0</v>
      </c>
      <c r="GS454" s="847">
        <v>0</v>
      </c>
      <c r="GT454" s="847">
        <v>0</v>
      </c>
      <c r="GU454" s="847">
        <v>0</v>
      </c>
      <c r="GV454" s="847">
        <v>0</v>
      </c>
      <c r="GW454" s="847">
        <v>0</v>
      </c>
      <c r="GX454" s="847">
        <v>0</v>
      </c>
      <c r="GY454" s="847">
        <v>0</v>
      </c>
      <c r="GZ454" s="847">
        <v>0</v>
      </c>
      <c r="HA454" s="847">
        <v>0</v>
      </c>
      <c r="HB454" s="847">
        <v>0</v>
      </c>
      <c r="HC454" s="847">
        <v>0</v>
      </c>
      <c r="HD454" s="847">
        <v>0</v>
      </c>
      <c r="HE454" s="847">
        <v>0</v>
      </c>
      <c r="HF454" s="847">
        <v>0</v>
      </c>
      <c r="HG454" s="847">
        <v>0</v>
      </c>
      <c r="HH454" s="847">
        <v>0</v>
      </c>
      <c r="HI454" s="847">
        <v>0</v>
      </c>
      <c r="HJ454" s="847">
        <v>0</v>
      </c>
      <c r="HK454" s="847">
        <v>0</v>
      </c>
      <c r="HL454" s="847">
        <v>0</v>
      </c>
      <c r="HM454" s="847">
        <v>0</v>
      </c>
      <c r="HN454" s="847">
        <v>0</v>
      </c>
      <c r="HO454" s="847">
        <v>0</v>
      </c>
      <c r="HP454" s="847">
        <v>0</v>
      </c>
      <c r="HQ454" s="847">
        <v>0</v>
      </c>
      <c r="HR454" s="847">
        <v>0</v>
      </c>
      <c r="HS454" s="847">
        <v>0</v>
      </c>
      <c r="HT454" s="847">
        <v>0</v>
      </c>
      <c r="HU454" s="847">
        <v>0</v>
      </c>
      <c r="HV454" s="847">
        <v>0</v>
      </c>
      <c r="HW454" s="847">
        <v>0</v>
      </c>
      <c r="HX454" s="847">
        <v>0</v>
      </c>
      <c r="HY454" s="847">
        <v>0</v>
      </c>
      <c r="HZ454" s="847">
        <v>0</v>
      </c>
      <c r="IA454" s="847">
        <v>0</v>
      </c>
      <c r="IB454" s="847">
        <v>0</v>
      </c>
      <c r="IC454" s="847">
        <v>0</v>
      </c>
      <c r="ID454" s="847">
        <v>0</v>
      </c>
      <c r="IE454" s="847">
        <v>0</v>
      </c>
      <c r="IF454" s="847">
        <v>0</v>
      </c>
      <c r="IG454" s="847">
        <v>0</v>
      </c>
      <c r="IH454" s="847">
        <v>0</v>
      </c>
      <c r="II454" s="847">
        <v>0</v>
      </c>
      <c r="IJ454" s="847">
        <v>0</v>
      </c>
      <c r="IK454" s="847">
        <v>0</v>
      </c>
    </row>
    <row r="455" spans="12:245" hidden="1">
      <c r="L455" s="843" t="s">
        <v>1060</v>
      </c>
      <c r="M455" s="843" t="s">
        <v>1382</v>
      </c>
      <c r="N455" s="843" t="s">
        <v>97</v>
      </c>
      <c r="O455" s="844">
        <v>64</v>
      </c>
      <c r="P455" s="780" t="str">
        <f t="shared" si="16"/>
        <v>IWT060264</v>
      </c>
      <c r="Q455" s="844">
        <v>2247</v>
      </c>
      <c r="R455" s="844">
        <v>6598</v>
      </c>
      <c r="S455" s="844">
        <v>11561</v>
      </c>
      <c r="T455" s="844">
        <v>17152</v>
      </c>
      <c r="U455" s="844">
        <v>23391</v>
      </c>
      <c r="V455" s="844">
        <v>29994</v>
      </c>
      <c r="W455" s="844">
        <v>30877</v>
      </c>
      <c r="X455" s="844">
        <v>31475</v>
      </c>
      <c r="Y455" s="844">
        <v>32094</v>
      </c>
      <c r="Z455" s="844">
        <v>32736</v>
      </c>
      <c r="AA455" s="844">
        <v>33390</v>
      </c>
      <c r="AB455" s="844">
        <v>34058</v>
      </c>
      <c r="AC455" s="844">
        <v>34739</v>
      </c>
      <c r="AD455" s="844">
        <v>35434</v>
      </c>
      <c r="AE455" s="844">
        <v>36143</v>
      </c>
      <c r="AF455" s="844">
        <v>36866</v>
      </c>
      <c r="AG455" s="844">
        <v>37603</v>
      </c>
      <c r="AH455" s="844">
        <v>38355</v>
      </c>
      <c r="AI455" s="844">
        <v>39122</v>
      </c>
      <c r="AJ455" s="844">
        <v>39904</v>
      </c>
      <c r="AK455" s="844">
        <v>40702</v>
      </c>
      <c r="AL455" s="844">
        <v>41516</v>
      </c>
      <c r="AM455" s="844">
        <v>42346</v>
      </c>
      <c r="AN455" s="844">
        <v>43193</v>
      </c>
      <c r="AO455" s="844">
        <v>44056</v>
      </c>
      <c r="AP455" s="844">
        <v>44937</v>
      </c>
      <c r="AQ455" s="844">
        <v>45836</v>
      </c>
      <c r="AR455" s="844">
        <v>46752</v>
      </c>
      <c r="AS455" s="844">
        <v>47687</v>
      </c>
      <c r="AT455" s="844">
        <v>48640</v>
      </c>
      <c r="AU455" s="844">
        <v>49612</v>
      </c>
      <c r="AV455" s="844">
        <v>50604</v>
      </c>
      <c r="AW455" s="844">
        <v>51615</v>
      </c>
      <c r="AX455" s="844">
        <v>52647</v>
      </c>
      <c r="AY455" s="844">
        <v>53699</v>
      </c>
      <c r="AZ455" s="844">
        <v>54772</v>
      </c>
      <c r="BA455" s="844">
        <v>55866</v>
      </c>
      <c r="BB455" s="844">
        <v>56982</v>
      </c>
      <c r="BC455" s="844">
        <v>58120</v>
      </c>
      <c r="BD455" s="844">
        <v>59281</v>
      </c>
      <c r="BE455" s="844">
        <v>60464</v>
      </c>
      <c r="BF455" s="844">
        <v>61671</v>
      </c>
      <c r="BG455" s="844">
        <v>62901</v>
      </c>
      <c r="BH455" s="844">
        <v>64155</v>
      </c>
      <c r="BI455" s="844">
        <v>65433</v>
      </c>
      <c r="BJ455" s="844">
        <v>66736</v>
      </c>
      <c r="BK455" s="844">
        <v>67400</v>
      </c>
      <c r="BL455" s="844">
        <v>0</v>
      </c>
      <c r="BM455" s="844">
        <v>0</v>
      </c>
      <c r="BN455" s="844">
        <v>0</v>
      </c>
      <c r="BO455" s="844">
        <v>0</v>
      </c>
      <c r="BP455" s="844">
        <v>0</v>
      </c>
      <c r="BQ455" s="844">
        <v>0</v>
      </c>
      <c r="BR455" s="844">
        <v>0</v>
      </c>
      <c r="BS455" s="844">
        <v>0</v>
      </c>
      <c r="BT455" s="844">
        <v>0</v>
      </c>
      <c r="BU455" s="844">
        <v>0</v>
      </c>
      <c r="BV455" s="844">
        <v>0</v>
      </c>
      <c r="BW455" s="844">
        <v>0</v>
      </c>
      <c r="BX455" s="844">
        <v>0</v>
      </c>
      <c r="BY455" s="844">
        <v>0</v>
      </c>
      <c r="BZ455" s="844">
        <v>0</v>
      </c>
      <c r="CA455" s="844">
        <v>0</v>
      </c>
      <c r="CB455" s="844">
        <v>0</v>
      </c>
      <c r="CC455" s="844">
        <v>0</v>
      </c>
      <c r="CD455" s="844">
        <v>0</v>
      </c>
      <c r="CE455" s="844">
        <v>0</v>
      </c>
      <c r="CF455" s="844">
        <v>0</v>
      </c>
      <c r="CG455" s="844">
        <v>0</v>
      </c>
      <c r="CH455" s="844">
        <v>0</v>
      </c>
      <c r="CI455" s="844">
        <v>0</v>
      </c>
      <c r="CJ455" s="844">
        <v>0</v>
      </c>
      <c r="CK455" s="844">
        <v>0</v>
      </c>
      <c r="CL455" s="844">
        <v>0</v>
      </c>
      <c r="CM455" s="844">
        <v>0</v>
      </c>
      <c r="CN455" s="844">
        <v>0</v>
      </c>
      <c r="CO455" s="844">
        <v>0</v>
      </c>
      <c r="CP455" s="844">
        <v>0</v>
      </c>
      <c r="CQ455" s="844">
        <v>0</v>
      </c>
      <c r="CR455" s="844">
        <v>0</v>
      </c>
      <c r="CS455" s="844">
        <v>0</v>
      </c>
      <c r="CT455" s="844">
        <v>0</v>
      </c>
      <c r="CU455" s="844">
        <v>0</v>
      </c>
      <c r="CV455" s="844">
        <v>0</v>
      </c>
      <c r="CW455" s="844">
        <v>0</v>
      </c>
      <c r="CX455" s="844">
        <v>0</v>
      </c>
      <c r="CY455" s="844">
        <v>0</v>
      </c>
      <c r="CZ455" s="844">
        <v>0</v>
      </c>
      <c r="DA455" s="844">
        <v>0</v>
      </c>
      <c r="DB455" s="844">
        <v>0</v>
      </c>
      <c r="DC455" s="844">
        <v>0</v>
      </c>
      <c r="DD455" s="844">
        <v>0</v>
      </c>
      <c r="DE455" s="844">
        <v>0</v>
      </c>
      <c r="DF455" s="844">
        <v>0</v>
      </c>
      <c r="DG455" s="844">
        <v>0</v>
      </c>
      <c r="DH455" s="844">
        <v>0</v>
      </c>
      <c r="DI455" s="844">
        <v>0</v>
      </c>
      <c r="DJ455" s="844">
        <v>0</v>
      </c>
      <c r="DK455" s="844">
        <v>0</v>
      </c>
      <c r="DL455" s="844">
        <v>0</v>
      </c>
      <c r="DM455" s="844">
        <v>0</v>
      </c>
      <c r="DN455" s="844">
        <v>0</v>
      </c>
      <c r="DO455" s="844">
        <v>0</v>
      </c>
      <c r="DP455" s="844">
        <v>0</v>
      </c>
      <c r="DQ455" s="844">
        <v>0</v>
      </c>
      <c r="DR455" s="844">
        <v>0</v>
      </c>
      <c r="DS455" s="844">
        <v>0</v>
      </c>
      <c r="DT455" s="844">
        <v>0</v>
      </c>
      <c r="DU455" s="844">
        <v>0</v>
      </c>
      <c r="DV455" s="844">
        <v>0</v>
      </c>
      <c r="DW455" s="844">
        <v>0</v>
      </c>
      <c r="DY455" s="846" t="s">
        <v>1060</v>
      </c>
      <c r="DZ455" s="846" t="s">
        <v>1382</v>
      </c>
      <c r="EA455" s="846" t="s">
        <v>97</v>
      </c>
      <c r="EB455" s="847">
        <v>64</v>
      </c>
      <c r="EC455" s="780" t="str">
        <f t="shared" si="17"/>
        <v>IWT060264</v>
      </c>
      <c r="ED455" s="847">
        <v>0</v>
      </c>
      <c r="EE455" s="847">
        <v>2996</v>
      </c>
      <c r="EF455" s="847">
        <v>8248</v>
      </c>
      <c r="EG455" s="847">
        <v>13601</v>
      </c>
      <c r="EH455" s="847">
        <v>19058</v>
      </c>
      <c r="EI455" s="847">
        <v>24622</v>
      </c>
      <c r="EJ455" s="847">
        <v>30297</v>
      </c>
      <c r="EK455" s="847">
        <v>30877</v>
      </c>
      <c r="EL455" s="847">
        <v>31475</v>
      </c>
      <c r="EM455" s="847">
        <v>32094</v>
      </c>
      <c r="EN455" s="847">
        <v>32736</v>
      </c>
      <c r="EO455" s="847">
        <v>33390</v>
      </c>
      <c r="EP455" s="847">
        <v>34058</v>
      </c>
      <c r="EQ455" s="847">
        <v>34739</v>
      </c>
      <c r="ER455" s="847">
        <v>35434</v>
      </c>
      <c r="ES455" s="847">
        <v>36143</v>
      </c>
      <c r="ET455" s="847">
        <v>36866</v>
      </c>
      <c r="EU455" s="847">
        <v>37603</v>
      </c>
      <c r="EV455" s="847">
        <v>38355</v>
      </c>
      <c r="EW455" s="847">
        <v>39122</v>
      </c>
      <c r="EX455" s="847">
        <v>39904</v>
      </c>
      <c r="EY455" s="847">
        <v>40702</v>
      </c>
      <c r="EZ455" s="847">
        <v>41516</v>
      </c>
      <c r="FA455" s="847">
        <v>42346</v>
      </c>
      <c r="FB455" s="847">
        <v>43193</v>
      </c>
      <c r="FC455" s="847">
        <v>44056</v>
      </c>
      <c r="FD455" s="847">
        <v>44937</v>
      </c>
      <c r="FE455" s="847">
        <v>45836</v>
      </c>
      <c r="FF455" s="847">
        <v>46752</v>
      </c>
      <c r="FG455" s="847">
        <v>47687</v>
      </c>
      <c r="FH455" s="847">
        <v>48640</v>
      </c>
      <c r="FI455" s="847">
        <v>49612</v>
      </c>
      <c r="FJ455" s="847">
        <v>50604</v>
      </c>
      <c r="FK455" s="847">
        <v>51615</v>
      </c>
      <c r="FL455" s="847">
        <v>52647</v>
      </c>
      <c r="FM455" s="847">
        <v>53699</v>
      </c>
      <c r="FN455" s="847">
        <v>54772</v>
      </c>
      <c r="FO455" s="847">
        <v>55866</v>
      </c>
      <c r="FP455" s="847">
        <v>56982</v>
      </c>
      <c r="FQ455" s="847">
        <v>58120</v>
      </c>
      <c r="FR455" s="847">
        <v>59281</v>
      </c>
      <c r="FS455" s="847">
        <v>60464</v>
      </c>
      <c r="FT455" s="847">
        <v>61671</v>
      </c>
      <c r="FU455" s="847">
        <v>62901</v>
      </c>
      <c r="FV455" s="847">
        <v>64155</v>
      </c>
      <c r="FW455" s="847">
        <v>65433</v>
      </c>
      <c r="FX455" s="847">
        <v>66736</v>
      </c>
      <c r="FY455" s="847">
        <v>67400</v>
      </c>
      <c r="FZ455" s="847">
        <v>0</v>
      </c>
      <c r="GA455" s="847">
        <v>0</v>
      </c>
      <c r="GB455" s="847">
        <v>0</v>
      </c>
      <c r="GC455" s="847">
        <v>0</v>
      </c>
      <c r="GD455" s="847">
        <v>0</v>
      </c>
      <c r="GE455" s="847">
        <v>0</v>
      </c>
      <c r="GF455" s="847">
        <v>0</v>
      </c>
      <c r="GG455" s="847">
        <v>0</v>
      </c>
      <c r="GH455" s="847">
        <v>0</v>
      </c>
      <c r="GI455" s="847">
        <v>0</v>
      </c>
      <c r="GJ455" s="847">
        <v>0</v>
      </c>
      <c r="GK455" s="847">
        <v>0</v>
      </c>
      <c r="GL455" s="847">
        <v>0</v>
      </c>
      <c r="GM455" s="847">
        <v>0</v>
      </c>
      <c r="GN455" s="847">
        <v>0</v>
      </c>
      <c r="GO455" s="847">
        <v>0</v>
      </c>
      <c r="GP455" s="847">
        <v>0</v>
      </c>
      <c r="GQ455" s="847">
        <v>0</v>
      </c>
      <c r="GR455" s="847">
        <v>0</v>
      </c>
      <c r="GS455" s="847">
        <v>0</v>
      </c>
      <c r="GT455" s="847">
        <v>0</v>
      </c>
      <c r="GU455" s="847">
        <v>0</v>
      </c>
      <c r="GV455" s="847">
        <v>0</v>
      </c>
      <c r="GW455" s="847">
        <v>0</v>
      </c>
      <c r="GX455" s="847">
        <v>0</v>
      </c>
      <c r="GY455" s="847">
        <v>0</v>
      </c>
      <c r="GZ455" s="847">
        <v>0</v>
      </c>
      <c r="HA455" s="847">
        <v>0</v>
      </c>
      <c r="HB455" s="847">
        <v>0</v>
      </c>
      <c r="HC455" s="847">
        <v>0</v>
      </c>
      <c r="HD455" s="847">
        <v>0</v>
      </c>
      <c r="HE455" s="847">
        <v>0</v>
      </c>
      <c r="HF455" s="847">
        <v>0</v>
      </c>
      <c r="HG455" s="847">
        <v>0</v>
      </c>
      <c r="HH455" s="847">
        <v>0</v>
      </c>
      <c r="HI455" s="847">
        <v>0</v>
      </c>
      <c r="HJ455" s="847">
        <v>0</v>
      </c>
      <c r="HK455" s="847">
        <v>0</v>
      </c>
      <c r="HL455" s="847">
        <v>0</v>
      </c>
      <c r="HM455" s="847">
        <v>0</v>
      </c>
      <c r="HN455" s="847">
        <v>0</v>
      </c>
      <c r="HO455" s="847">
        <v>0</v>
      </c>
      <c r="HP455" s="847">
        <v>0</v>
      </c>
      <c r="HQ455" s="847">
        <v>0</v>
      </c>
      <c r="HR455" s="847">
        <v>0</v>
      </c>
      <c r="HS455" s="847">
        <v>0</v>
      </c>
      <c r="HT455" s="847">
        <v>0</v>
      </c>
      <c r="HU455" s="847">
        <v>0</v>
      </c>
      <c r="HV455" s="847">
        <v>0</v>
      </c>
      <c r="HW455" s="847">
        <v>0</v>
      </c>
      <c r="HX455" s="847">
        <v>0</v>
      </c>
      <c r="HY455" s="847">
        <v>0</v>
      </c>
      <c r="HZ455" s="847">
        <v>0</v>
      </c>
      <c r="IA455" s="847">
        <v>0</v>
      </c>
      <c r="IB455" s="847">
        <v>0</v>
      </c>
      <c r="IC455" s="847">
        <v>0</v>
      </c>
      <c r="ID455" s="847">
        <v>0</v>
      </c>
      <c r="IE455" s="847">
        <v>0</v>
      </c>
      <c r="IF455" s="847">
        <v>0</v>
      </c>
      <c r="IG455" s="847">
        <v>0</v>
      </c>
      <c r="IH455" s="847">
        <v>0</v>
      </c>
      <c r="II455" s="847">
        <v>0</v>
      </c>
      <c r="IJ455" s="847">
        <v>0</v>
      </c>
      <c r="IK455" s="847">
        <v>0</v>
      </c>
    </row>
    <row r="456" spans="12:245" hidden="1">
      <c r="L456" s="843" t="s">
        <v>1060</v>
      </c>
      <c r="M456" s="843" t="s">
        <v>1382</v>
      </c>
      <c r="N456" s="843" t="s">
        <v>97</v>
      </c>
      <c r="O456" s="844">
        <v>65</v>
      </c>
      <c r="P456" s="780" t="str">
        <f t="shared" si="16"/>
        <v>IWT060265</v>
      </c>
      <c r="Q456" s="844">
        <v>2231</v>
      </c>
      <c r="R456" s="844">
        <v>6581</v>
      </c>
      <c r="S456" s="844">
        <v>11542</v>
      </c>
      <c r="T456" s="844">
        <v>17132</v>
      </c>
      <c r="U456" s="844">
        <v>23368</v>
      </c>
      <c r="V456" s="844">
        <v>29968</v>
      </c>
      <c r="W456" s="844">
        <v>30846</v>
      </c>
      <c r="X456" s="844">
        <v>31441</v>
      </c>
      <c r="Y456" s="844">
        <v>32056</v>
      </c>
      <c r="Z456" s="844">
        <v>32697</v>
      </c>
      <c r="AA456" s="844">
        <v>33351</v>
      </c>
      <c r="AB456" s="844">
        <v>34018</v>
      </c>
      <c r="AC456" s="844">
        <v>34698</v>
      </c>
      <c r="AD456" s="844">
        <v>35392</v>
      </c>
      <c r="AE456" s="844">
        <v>36100</v>
      </c>
      <c r="AF456" s="844">
        <v>36822</v>
      </c>
      <c r="AG456" s="844">
        <v>37558</v>
      </c>
      <c r="AH456" s="844">
        <v>38309</v>
      </c>
      <c r="AI456" s="844">
        <v>39075</v>
      </c>
      <c r="AJ456" s="844">
        <v>39856</v>
      </c>
      <c r="AK456" s="844">
        <v>40653</v>
      </c>
      <c r="AL456" s="844">
        <v>41466</v>
      </c>
      <c r="AM456" s="844">
        <v>42296</v>
      </c>
      <c r="AN456" s="844">
        <v>43141</v>
      </c>
      <c r="AO456" s="844">
        <v>44004</v>
      </c>
      <c r="AP456" s="844">
        <v>44884</v>
      </c>
      <c r="AQ456" s="844">
        <v>45781</v>
      </c>
      <c r="AR456" s="844">
        <v>46696</v>
      </c>
      <c r="AS456" s="844">
        <v>47630</v>
      </c>
      <c r="AT456" s="844">
        <v>48582</v>
      </c>
      <c r="AU456" s="844">
        <v>49553</v>
      </c>
      <c r="AV456" s="844">
        <v>50543</v>
      </c>
      <c r="AW456" s="844">
        <v>51553</v>
      </c>
      <c r="AX456" s="844">
        <v>52583</v>
      </c>
      <c r="AY456" s="844">
        <v>53634</v>
      </c>
      <c r="AZ456" s="844">
        <v>54706</v>
      </c>
      <c r="BA456" s="844">
        <v>55798</v>
      </c>
      <c r="BB456" s="844">
        <v>56913</v>
      </c>
      <c r="BC456" s="844">
        <v>58049</v>
      </c>
      <c r="BD456" s="844">
        <v>59208</v>
      </c>
      <c r="BE456" s="844">
        <v>60389</v>
      </c>
      <c r="BF456" s="844">
        <v>61594</v>
      </c>
      <c r="BG456" s="844">
        <v>62822</v>
      </c>
      <c r="BH456" s="844">
        <v>64074</v>
      </c>
      <c r="BI456" s="844">
        <v>65350</v>
      </c>
      <c r="BJ456" s="844">
        <v>66000</v>
      </c>
      <c r="BK456" s="844">
        <v>0</v>
      </c>
      <c r="BL456" s="844">
        <v>0</v>
      </c>
      <c r="BM456" s="844">
        <v>0</v>
      </c>
      <c r="BN456" s="844">
        <v>0</v>
      </c>
      <c r="BO456" s="844">
        <v>0</v>
      </c>
      <c r="BP456" s="844">
        <v>0</v>
      </c>
      <c r="BQ456" s="844">
        <v>0</v>
      </c>
      <c r="BR456" s="844">
        <v>0</v>
      </c>
      <c r="BS456" s="844">
        <v>0</v>
      </c>
      <c r="BT456" s="844">
        <v>0</v>
      </c>
      <c r="BU456" s="844">
        <v>0</v>
      </c>
      <c r="BV456" s="844">
        <v>0</v>
      </c>
      <c r="BW456" s="844">
        <v>0</v>
      </c>
      <c r="BX456" s="844">
        <v>0</v>
      </c>
      <c r="BY456" s="844">
        <v>0</v>
      </c>
      <c r="BZ456" s="844">
        <v>0</v>
      </c>
      <c r="CA456" s="844">
        <v>0</v>
      </c>
      <c r="CB456" s="844">
        <v>0</v>
      </c>
      <c r="CC456" s="844">
        <v>0</v>
      </c>
      <c r="CD456" s="844">
        <v>0</v>
      </c>
      <c r="CE456" s="844">
        <v>0</v>
      </c>
      <c r="CF456" s="844">
        <v>0</v>
      </c>
      <c r="CG456" s="844">
        <v>0</v>
      </c>
      <c r="CH456" s="844">
        <v>0</v>
      </c>
      <c r="CI456" s="844">
        <v>0</v>
      </c>
      <c r="CJ456" s="844">
        <v>0</v>
      </c>
      <c r="CK456" s="844">
        <v>0</v>
      </c>
      <c r="CL456" s="844">
        <v>0</v>
      </c>
      <c r="CM456" s="844">
        <v>0</v>
      </c>
      <c r="CN456" s="844">
        <v>0</v>
      </c>
      <c r="CO456" s="844">
        <v>0</v>
      </c>
      <c r="CP456" s="844">
        <v>0</v>
      </c>
      <c r="CQ456" s="844">
        <v>0</v>
      </c>
      <c r="CR456" s="844">
        <v>0</v>
      </c>
      <c r="CS456" s="844">
        <v>0</v>
      </c>
      <c r="CT456" s="844">
        <v>0</v>
      </c>
      <c r="CU456" s="844">
        <v>0</v>
      </c>
      <c r="CV456" s="844">
        <v>0</v>
      </c>
      <c r="CW456" s="844">
        <v>0</v>
      </c>
      <c r="CX456" s="844">
        <v>0</v>
      </c>
      <c r="CY456" s="844">
        <v>0</v>
      </c>
      <c r="CZ456" s="844">
        <v>0</v>
      </c>
      <c r="DA456" s="844">
        <v>0</v>
      </c>
      <c r="DB456" s="844">
        <v>0</v>
      </c>
      <c r="DC456" s="844">
        <v>0</v>
      </c>
      <c r="DD456" s="844">
        <v>0</v>
      </c>
      <c r="DE456" s="844">
        <v>0</v>
      </c>
      <c r="DF456" s="844">
        <v>0</v>
      </c>
      <c r="DG456" s="844">
        <v>0</v>
      </c>
      <c r="DH456" s="844">
        <v>0</v>
      </c>
      <c r="DI456" s="844">
        <v>0</v>
      </c>
      <c r="DJ456" s="844">
        <v>0</v>
      </c>
      <c r="DK456" s="844">
        <v>0</v>
      </c>
      <c r="DL456" s="844">
        <v>0</v>
      </c>
      <c r="DM456" s="844">
        <v>0</v>
      </c>
      <c r="DN456" s="844">
        <v>0</v>
      </c>
      <c r="DO456" s="844">
        <v>0</v>
      </c>
      <c r="DP456" s="844">
        <v>0</v>
      </c>
      <c r="DQ456" s="844">
        <v>0</v>
      </c>
      <c r="DR456" s="844">
        <v>0</v>
      </c>
      <c r="DS456" s="844">
        <v>0</v>
      </c>
      <c r="DT456" s="844">
        <v>0</v>
      </c>
      <c r="DU456" s="844">
        <v>0</v>
      </c>
      <c r="DV456" s="844">
        <v>0</v>
      </c>
      <c r="DW456" s="844">
        <v>0</v>
      </c>
      <c r="DY456" s="846" t="s">
        <v>1060</v>
      </c>
      <c r="DZ456" s="846" t="s">
        <v>1382</v>
      </c>
      <c r="EA456" s="846" t="s">
        <v>97</v>
      </c>
      <c r="EB456" s="847">
        <v>65</v>
      </c>
      <c r="EC456" s="780" t="str">
        <f t="shared" si="17"/>
        <v>IWT060265</v>
      </c>
      <c r="ED456" s="847">
        <v>0</v>
      </c>
      <c r="EE456" s="847">
        <v>2975</v>
      </c>
      <c r="EF456" s="847">
        <v>8226</v>
      </c>
      <c r="EG456" s="847">
        <v>13579</v>
      </c>
      <c r="EH456" s="847">
        <v>19035</v>
      </c>
      <c r="EI456" s="847">
        <v>24598</v>
      </c>
      <c r="EJ456" s="847">
        <v>30271</v>
      </c>
      <c r="EK456" s="847">
        <v>30846</v>
      </c>
      <c r="EL456" s="847">
        <v>31441</v>
      </c>
      <c r="EM456" s="847">
        <v>32056</v>
      </c>
      <c r="EN456" s="847">
        <v>32697</v>
      </c>
      <c r="EO456" s="847">
        <v>33351</v>
      </c>
      <c r="EP456" s="847">
        <v>34018</v>
      </c>
      <c r="EQ456" s="847">
        <v>34698</v>
      </c>
      <c r="ER456" s="847">
        <v>35392</v>
      </c>
      <c r="ES456" s="847">
        <v>36100</v>
      </c>
      <c r="ET456" s="847">
        <v>36822</v>
      </c>
      <c r="EU456" s="847">
        <v>37558</v>
      </c>
      <c r="EV456" s="847">
        <v>38309</v>
      </c>
      <c r="EW456" s="847">
        <v>39075</v>
      </c>
      <c r="EX456" s="847">
        <v>39856</v>
      </c>
      <c r="EY456" s="847">
        <v>40653</v>
      </c>
      <c r="EZ456" s="847">
        <v>41466</v>
      </c>
      <c r="FA456" s="847">
        <v>42296</v>
      </c>
      <c r="FB456" s="847">
        <v>43141</v>
      </c>
      <c r="FC456" s="847">
        <v>44004</v>
      </c>
      <c r="FD456" s="847">
        <v>44884</v>
      </c>
      <c r="FE456" s="847">
        <v>45781</v>
      </c>
      <c r="FF456" s="847">
        <v>46696</v>
      </c>
      <c r="FG456" s="847">
        <v>47630</v>
      </c>
      <c r="FH456" s="847">
        <v>48582</v>
      </c>
      <c r="FI456" s="847">
        <v>49553</v>
      </c>
      <c r="FJ456" s="847">
        <v>50543</v>
      </c>
      <c r="FK456" s="847">
        <v>51553</v>
      </c>
      <c r="FL456" s="847">
        <v>52583</v>
      </c>
      <c r="FM456" s="847">
        <v>53634</v>
      </c>
      <c r="FN456" s="847">
        <v>54706</v>
      </c>
      <c r="FO456" s="847">
        <v>55798</v>
      </c>
      <c r="FP456" s="847">
        <v>56913</v>
      </c>
      <c r="FQ456" s="847">
        <v>58049</v>
      </c>
      <c r="FR456" s="847">
        <v>59208</v>
      </c>
      <c r="FS456" s="847">
        <v>60389</v>
      </c>
      <c r="FT456" s="847">
        <v>61594</v>
      </c>
      <c r="FU456" s="847">
        <v>62822</v>
      </c>
      <c r="FV456" s="847">
        <v>64074</v>
      </c>
      <c r="FW456" s="847">
        <v>65350</v>
      </c>
      <c r="FX456" s="847">
        <v>66000</v>
      </c>
      <c r="FY456" s="847">
        <v>0</v>
      </c>
      <c r="FZ456" s="847">
        <v>0</v>
      </c>
      <c r="GA456" s="847">
        <v>0</v>
      </c>
      <c r="GB456" s="847">
        <v>0</v>
      </c>
      <c r="GC456" s="847">
        <v>0</v>
      </c>
      <c r="GD456" s="847">
        <v>0</v>
      </c>
      <c r="GE456" s="847">
        <v>0</v>
      </c>
      <c r="GF456" s="847">
        <v>0</v>
      </c>
      <c r="GG456" s="847">
        <v>0</v>
      </c>
      <c r="GH456" s="847">
        <v>0</v>
      </c>
      <c r="GI456" s="847">
        <v>0</v>
      </c>
      <c r="GJ456" s="847">
        <v>0</v>
      </c>
      <c r="GK456" s="847">
        <v>0</v>
      </c>
      <c r="GL456" s="847">
        <v>0</v>
      </c>
      <c r="GM456" s="847">
        <v>0</v>
      </c>
      <c r="GN456" s="847">
        <v>0</v>
      </c>
      <c r="GO456" s="847">
        <v>0</v>
      </c>
      <c r="GP456" s="847">
        <v>0</v>
      </c>
      <c r="GQ456" s="847">
        <v>0</v>
      </c>
      <c r="GR456" s="847">
        <v>0</v>
      </c>
      <c r="GS456" s="847">
        <v>0</v>
      </c>
      <c r="GT456" s="847">
        <v>0</v>
      </c>
      <c r="GU456" s="847">
        <v>0</v>
      </c>
      <c r="GV456" s="847">
        <v>0</v>
      </c>
      <c r="GW456" s="847">
        <v>0</v>
      </c>
      <c r="GX456" s="847">
        <v>0</v>
      </c>
      <c r="GY456" s="847">
        <v>0</v>
      </c>
      <c r="GZ456" s="847">
        <v>0</v>
      </c>
      <c r="HA456" s="847">
        <v>0</v>
      </c>
      <c r="HB456" s="847">
        <v>0</v>
      </c>
      <c r="HC456" s="847">
        <v>0</v>
      </c>
      <c r="HD456" s="847">
        <v>0</v>
      </c>
      <c r="HE456" s="847">
        <v>0</v>
      </c>
      <c r="HF456" s="847">
        <v>0</v>
      </c>
      <c r="HG456" s="847">
        <v>0</v>
      </c>
      <c r="HH456" s="847">
        <v>0</v>
      </c>
      <c r="HI456" s="847">
        <v>0</v>
      </c>
      <c r="HJ456" s="847">
        <v>0</v>
      </c>
      <c r="HK456" s="847">
        <v>0</v>
      </c>
      <c r="HL456" s="847">
        <v>0</v>
      </c>
      <c r="HM456" s="847">
        <v>0</v>
      </c>
      <c r="HN456" s="847">
        <v>0</v>
      </c>
      <c r="HO456" s="847">
        <v>0</v>
      </c>
      <c r="HP456" s="847">
        <v>0</v>
      </c>
      <c r="HQ456" s="847">
        <v>0</v>
      </c>
      <c r="HR456" s="847">
        <v>0</v>
      </c>
      <c r="HS456" s="847">
        <v>0</v>
      </c>
      <c r="HT456" s="847">
        <v>0</v>
      </c>
      <c r="HU456" s="847">
        <v>0</v>
      </c>
      <c r="HV456" s="847">
        <v>0</v>
      </c>
      <c r="HW456" s="847">
        <v>0</v>
      </c>
      <c r="HX456" s="847">
        <v>0</v>
      </c>
      <c r="HY456" s="847">
        <v>0</v>
      </c>
      <c r="HZ456" s="847">
        <v>0</v>
      </c>
      <c r="IA456" s="847">
        <v>0</v>
      </c>
      <c r="IB456" s="847">
        <v>0</v>
      </c>
      <c r="IC456" s="847">
        <v>0</v>
      </c>
      <c r="ID456" s="847">
        <v>0</v>
      </c>
      <c r="IE456" s="847">
        <v>0</v>
      </c>
      <c r="IF456" s="847">
        <v>0</v>
      </c>
      <c r="IG456" s="847">
        <v>0</v>
      </c>
      <c r="IH456" s="847">
        <v>0</v>
      </c>
      <c r="II456" s="847">
        <v>0</v>
      </c>
      <c r="IJ456" s="847">
        <v>0</v>
      </c>
      <c r="IK456" s="847">
        <v>0</v>
      </c>
    </row>
    <row r="457" spans="12:245" hidden="1">
      <c r="L457" s="843" t="s">
        <v>1060</v>
      </c>
      <c r="M457" s="843" t="s">
        <v>1382</v>
      </c>
      <c r="N457" s="843" t="s">
        <v>97</v>
      </c>
      <c r="O457" s="844">
        <v>66</v>
      </c>
      <c r="P457" s="780" t="str">
        <f t="shared" si="16"/>
        <v>IWT060266</v>
      </c>
      <c r="Q457" s="844">
        <v>2213</v>
      </c>
      <c r="R457" s="844">
        <v>6561</v>
      </c>
      <c r="S457" s="844">
        <v>11518</v>
      </c>
      <c r="T457" s="844">
        <v>17105</v>
      </c>
      <c r="U457" s="844">
        <v>23337</v>
      </c>
      <c r="V457" s="844">
        <v>29932</v>
      </c>
      <c r="W457" s="844">
        <v>30805</v>
      </c>
      <c r="X457" s="844">
        <v>31394</v>
      </c>
      <c r="Y457" s="844">
        <v>32006</v>
      </c>
      <c r="Z457" s="844">
        <v>32644</v>
      </c>
      <c r="AA457" s="844">
        <v>33297</v>
      </c>
      <c r="AB457" s="844">
        <v>33963</v>
      </c>
      <c r="AC457" s="844">
        <v>34642</v>
      </c>
      <c r="AD457" s="844">
        <v>35335</v>
      </c>
      <c r="AE457" s="844">
        <v>36041</v>
      </c>
      <c r="AF457" s="844">
        <v>36762</v>
      </c>
      <c r="AG457" s="844">
        <v>37497</v>
      </c>
      <c r="AH457" s="844">
        <v>38247</v>
      </c>
      <c r="AI457" s="844">
        <v>39012</v>
      </c>
      <c r="AJ457" s="844">
        <v>39792</v>
      </c>
      <c r="AK457" s="844">
        <v>40587</v>
      </c>
      <c r="AL457" s="844">
        <v>41399</v>
      </c>
      <c r="AM457" s="844">
        <v>42227</v>
      </c>
      <c r="AN457" s="844">
        <v>43071</v>
      </c>
      <c r="AO457" s="844">
        <v>43932</v>
      </c>
      <c r="AP457" s="844">
        <v>44811</v>
      </c>
      <c r="AQ457" s="844">
        <v>45706</v>
      </c>
      <c r="AR457" s="844">
        <v>46620</v>
      </c>
      <c r="AS457" s="844">
        <v>47552</v>
      </c>
      <c r="AT457" s="844">
        <v>48503</v>
      </c>
      <c r="AU457" s="844">
        <v>49472</v>
      </c>
      <c r="AV457" s="844">
        <v>50461</v>
      </c>
      <c r="AW457" s="844">
        <v>51469</v>
      </c>
      <c r="AX457" s="844">
        <v>52497</v>
      </c>
      <c r="AY457" s="844">
        <v>53546</v>
      </c>
      <c r="AZ457" s="844">
        <v>54616</v>
      </c>
      <c r="BA457" s="844">
        <v>55707</v>
      </c>
      <c r="BB457" s="844">
        <v>56819</v>
      </c>
      <c r="BC457" s="844">
        <v>57953</v>
      </c>
      <c r="BD457" s="844">
        <v>59109</v>
      </c>
      <c r="BE457" s="844">
        <v>60288</v>
      </c>
      <c r="BF457" s="844">
        <v>61490</v>
      </c>
      <c r="BG457" s="844">
        <v>62715</v>
      </c>
      <c r="BH457" s="844">
        <v>63964</v>
      </c>
      <c r="BI457" s="844">
        <v>64600</v>
      </c>
      <c r="BJ457" s="844">
        <v>0</v>
      </c>
      <c r="BK457" s="844">
        <v>0</v>
      </c>
      <c r="BL457" s="844">
        <v>0</v>
      </c>
      <c r="BM457" s="844">
        <v>0</v>
      </c>
      <c r="BN457" s="844">
        <v>0</v>
      </c>
      <c r="BO457" s="844">
        <v>0</v>
      </c>
      <c r="BP457" s="844">
        <v>0</v>
      </c>
      <c r="BQ457" s="844">
        <v>0</v>
      </c>
      <c r="BR457" s="844">
        <v>0</v>
      </c>
      <c r="BS457" s="844">
        <v>0</v>
      </c>
      <c r="BT457" s="844">
        <v>0</v>
      </c>
      <c r="BU457" s="844">
        <v>0</v>
      </c>
      <c r="BV457" s="844">
        <v>0</v>
      </c>
      <c r="BW457" s="844">
        <v>0</v>
      </c>
      <c r="BX457" s="844">
        <v>0</v>
      </c>
      <c r="BY457" s="844">
        <v>0</v>
      </c>
      <c r="BZ457" s="844">
        <v>0</v>
      </c>
      <c r="CA457" s="844">
        <v>0</v>
      </c>
      <c r="CB457" s="844">
        <v>0</v>
      </c>
      <c r="CC457" s="844">
        <v>0</v>
      </c>
      <c r="CD457" s="844">
        <v>0</v>
      </c>
      <c r="CE457" s="844">
        <v>0</v>
      </c>
      <c r="CF457" s="844">
        <v>0</v>
      </c>
      <c r="CG457" s="844">
        <v>0</v>
      </c>
      <c r="CH457" s="844">
        <v>0</v>
      </c>
      <c r="CI457" s="844">
        <v>0</v>
      </c>
      <c r="CJ457" s="844">
        <v>0</v>
      </c>
      <c r="CK457" s="844">
        <v>0</v>
      </c>
      <c r="CL457" s="844">
        <v>0</v>
      </c>
      <c r="CM457" s="844">
        <v>0</v>
      </c>
      <c r="CN457" s="844">
        <v>0</v>
      </c>
      <c r="CO457" s="844">
        <v>0</v>
      </c>
      <c r="CP457" s="844">
        <v>0</v>
      </c>
      <c r="CQ457" s="844">
        <v>0</v>
      </c>
      <c r="CR457" s="844">
        <v>0</v>
      </c>
      <c r="CS457" s="844">
        <v>0</v>
      </c>
      <c r="CT457" s="844">
        <v>0</v>
      </c>
      <c r="CU457" s="844">
        <v>0</v>
      </c>
      <c r="CV457" s="844">
        <v>0</v>
      </c>
      <c r="CW457" s="844">
        <v>0</v>
      </c>
      <c r="CX457" s="844">
        <v>0</v>
      </c>
      <c r="CY457" s="844">
        <v>0</v>
      </c>
      <c r="CZ457" s="844">
        <v>0</v>
      </c>
      <c r="DA457" s="844">
        <v>0</v>
      </c>
      <c r="DB457" s="844">
        <v>0</v>
      </c>
      <c r="DC457" s="844">
        <v>0</v>
      </c>
      <c r="DD457" s="844">
        <v>0</v>
      </c>
      <c r="DE457" s="844">
        <v>0</v>
      </c>
      <c r="DF457" s="844">
        <v>0</v>
      </c>
      <c r="DG457" s="844">
        <v>0</v>
      </c>
      <c r="DH457" s="844">
        <v>0</v>
      </c>
      <c r="DI457" s="844">
        <v>0</v>
      </c>
      <c r="DJ457" s="844">
        <v>0</v>
      </c>
      <c r="DK457" s="844">
        <v>0</v>
      </c>
      <c r="DL457" s="844">
        <v>0</v>
      </c>
      <c r="DM457" s="844">
        <v>0</v>
      </c>
      <c r="DN457" s="844">
        <v>0</v>
      </c>
      <c r="DO457" s="844">
        <v>0</v>
      </c>
      <c r="DP457" s="844">
        <v>0</v>
      </c>
      <c r="DQ457" s="844">
        <v>0</v>
      </c>
      <c r="DR457" s="844">
        <v>0</v>
      </c>
      <c r="DS457" s="844">
        <v>0</v>
      </c>
      <c r="DT457" s="844">
        <v>0</v>
      </c>
      <c r="DU457" s="844">
        <v>0</v>
      </c>
      <c r="DV457" s="844">
        <v>0</v>
      </c>
      <c r="DW457" s="844">
        <v>0</v>
      </c>
      <c r="DY457" s="846" t="s">
        <v>1060</v>
      </c>
      <c r="DZ457" s="846" t="s">
        <v>1382</v>
      </c>
      <c r="EA457" s="846" t="s">
        <v>97</v>
      </c>
      <c r="EB457" s="847">
        <v>66</v>
      </c>
      <c r="EC457" s="780" t="str">
        <f t="shared" si="17"/>
        <v>IWT060266</v>
      </c>
      <c r="ED457" s="847">
        <v>0</v>
      </c>
      <c r="EE457" s="847">
        <v>2951</v>
      </c>
      <c r="EF457" s="847">
        <v>8201</v>
      </c>
      <c r="EG457" s="847">
        <v>13551</v>
      </c>
      <c r="EH457" s="847">
        <v>19005</v>
      </c>
      <c r="EI457" s="847">
        <v>24565</v>
      </c>
      <c r="EJ457" s="847">
        <v>30234</v>
      </c>
      <c r="EK457" s="847">
        <v>30805</v>
      </c>
      <c r="EL457" s="847">
        <v>31394</v>
      </c>
      <c r="EM457" s="847">
        <v>32006</v>
      </c>
      <c r="EN457" s="847">
        <v>32644</v>
      </c>
      <c r="EO457" s="847">
        <v>33297</v>
      </c>
      <c r="EP457" s="847">
        <v>33963</v>
      </c>
      <c r="EQ457" s="847">
        <v>34642</v>
      </c>
      <c r="ER457" s="847">
        <v>35335</v>
      </c>
      <c r="ES457" s="847">
        <v>36041</v>
      </c>
      <c r="ET457" s="847">
        <v>36762</v>
      </c>
      <c r="EU457" s="847">
        <v>37497</v>
      </c>
      <c r="EV457" s="847">
        <v>38247</v>
      </c>
      <c r="EW457" s="847">
        <v>39012</v>
      </c>
      <c r="EX457" s="847">
        <v>39792</v>
      </c>
      <c r="EY457" s="847">
        <v>40587</v>
      </c>
      <c r="EZ457" s="847">
        <v>41399</v>
      </c>
      <c r="FA457" s="847">
        <v>42227</v>
      </c>
      <c r="FB457" s="847">
        <v>43071</v>
      </c>
      <c r="FC457" s="847">
        <v>43932</v>
      </c>
      <c r="FD457" s="847">
        <v>44811</v>
      </c>
      <c r="FE457" s="847">
        <v>45706</v>
      </c>
      <c r="FF457" s="847">
        <v>46620</v>
      </c>
      <c r="FG457" s="847">
        <v>47552</v>
      </c>
      <c r="FH457" s="847">
        <v>48503</v>
      </c>
      <c r="FI457" s="847">
        <v>49472</v>
      </c>
      <c r="FJ457" s="847">
        <v>50461</v>
      </c>
      <c r="FK457" s="847">
        <v>51469</v>
      </c>
      <c r="FL457" s="847">
        <v>52497</v>
      </c>
      <c r="FM457" s="847">
        <v>53546</v>
      </c>
      <c r="FN457" s="847">
        <v>54616</v>
      </c>
      <c r="FO457" s="847">
        <v>55707</v>
      </c>
      <c r="FP457" s="847">
        <v>56819</v>
      </c>
      <c r="FQ457" s="847">
        <v>57953</v>
      </c>
      <c r="FR457" s="847">
        <v>59109</v>
      </c>
      <c r="FS457" s="847">
        <v>60288</v>
      </c>
      <c r="FT457" s="847">
        <v>61490</v>
      </c>
      <c r="FU457" s="847">
        <v>62715</v>
      </c>
      <c r="FV457" s="847">
        <v>63964</v>
      </c>
      <c r="FW457" s="847">
        <v>64600</v>
      </c>
      <c r="FX457" s="847">
        <v>0</v>
      </c>
      <c r="FY457" s="847">
        <v>0</v>
      </c>
      <c r="FZ457" s="847">
        <v>0</v>
      </c>
      <c r="GA457" s="847">
        <v>0</v>
      </c>
      <c r="GB457" s="847">
        <v>0</v>
      </c>
      <c r="GC457" s="847">
        <v>0</v>
      </c>
      <c r="GD457" s="847">
        <v>0</v>
      </c>
      <c r="GE457" s="847">
        <v>0</v>
      </c>
      <c r="GF457" s="847">
        <v>0</v>
      </c>
      <c r="GG457" s="847">
        <v>0</v>
      </c>
      <c r="GH457" s="847">
        <v>0</v>
      </c>
      <c r="GI457" s="847">
        <v>0</v>
      </c>
      <c r="GJ457" s="847">
        <v>0</v>
      </c>
      <c r="GK457" s="847">
        <v>0</v>
      </c>
      <c r="GL457" s="847">
        <v>0</v>
      </c>
      <c r="GM457" s="847">
        <v>0</v>
      </c>
      <c r="GN457" s="847">
        <v>0</v>
      </c>
      <c r="GO457" s="847">
        <v>0</v>
      </c>
      <c r="GP457" s="847">
        <v>0</v>
      </c>
      <c r="GQ457" s="847">
        <v>0</v>
      </c>
      <c r="GR457" s="847">
        <v>0</v>
      </c>
      <c r="GS457" s="847">
        <v>0</v>
      </c>
      <c r="GT457" s="847">
        <v>0</v>
      </c>
      <c r="GU457" s="847">
        <v>0</v>
      </c>
      <c r="GV457" s="847">
        <v>0</v>
      </c>
      <c r="GW457" s="847">
        <v>0</v>
      </c>
      <c r="GX457" s="847">
        <v>0</v>
      </c>
      <c r="GY457" s="847">
        <v>0</v>
      </c>
      <c r="GZ457" s="847">
        <v>0</v>
      </c>
      <c r="HA457" s="847">
        <v>0</v>
      </c>
      <c r="HB457" s="847">
        <v>0</v>
      </c>
      <c r="HC457" s="847">
        <v>0</v>
      </c>
      <c r="HD457" s="847">
        <v>0</v>
      </c>
      <c r="HE457" s="847">
        <v>0</v>
      </c>
      <c r="HF457" s="847">
        <v>0</v>
      </c>
      <c r="HG457" s="847">
        <v>0</v>
      </c>
      <c r="HH457" s="847">
        <v>0</v>
      </c>
      <c r="HI457" s="847">
        <v>0</v>
      </c>
      <c r="HJ457" s="847">
        <v>0</v>
      </c>
      <c r="HK457" s="847">
        <v>0</v>
      </c>
      <c r="HL457" s="847">
        <v>0</v>
      </c>
      <c r="HM457" s="847">
        <v>0</v>
      </c>
      <c r="HN457" s="847">
        <v>0</v>
      </c>
      <c r="HO457" s="847">
        <v>0</v>
      </c>
      <c r="HP457" s="847">
        <v>0</v>
      </c>
      <c r="HQ457" s="847">
        <v>0</v>
      </c>
      <c r="HR457" s="847">
        <v>0</v>
      </c>
      <c r="HS457" s="847">
        <v>0</v>
      </c>
      <c r="HT457" s="847">
        <v>0</v>
      </c>
      <c r="HU457" s="847">
        <v>0</v>
      </c>
      <c r="HV457" s="847">
        <v>0</v>
      </c>
      <c r="HW457" s="847">
        <v>0</v>
      </c>
      <c r="HX457" s="847">
        <v>0</v>
      </c>
      <c r="HY457" s="847">
        <v>0</v>
      </c>
      <c r="HZ457" s="847">
        <v>0</v>
      </c>
      <c r="IA457" s="847">
        <v>0</v>
      </c>
      <c r="IB457" s="847">
        <v>0</v>
      </c>
      <c r="IC457" s="847">
        <v>0</v>
      </c>
      <c r="ID457" s="847">
        <v>0</v>
      </c>
      <c r="IE457" s="847">
        <v>0</v>
      </c>
      <c r="IF457" s="847">
        <v>0</v>
      </c>
      <c r="IG457" s="847">
        <v>0</v>
      </c>
      <c r="IH457" s="847">
        <v>0</v>
      </c>
      <c r="II457" s="847">
        <v>0</v>
      </c>
      <c r="IJ457" s="847">
        <v>0</v>
      </c>
      <c r="IK457" s="847">
        <v>0</v>
      </c>
    </row>
    <row r="458" spans="12:245" hidden="1">
      <c r="L458" s="843" t="s">
        <v>1060</v>
      </c>
      <c r="M458" s="843" t="s">
        <v>1382</v>
      </c>
      <c r="N458" s="843" t="s">
        <v>97</v>
      </c>
      <c r="O458" s="844">
        <v>67</v>
      </c>
      <c r="P458" s="780" t="str">
        <f t="shared" si="16"/>
        <v>IWT060267</v>
      </c>
      <c r="Q458" s="844">
        <v>2193</v>
      </c>
      <c r="R458" s="844">
        <v>6537</v>
      </c>
      <c r="S458" s="844">
        <v>11490</v>
      </c>
      <c r="T458" s="844">
        <v>17070</v>
      </c>
      <c r="U458" s="844">
        <v>23296</v>
      </c>
      <c r="V458" s="844">
        <v>29884</v>
      </c>
      <c r="W458" s="844">
        <v>30750</v>
      </c>
      <c r="X458" s="844">
        <v>31334</v>
      </c>
      <c r="Y458" s="844">
        <v>31941</v>
      </c>
      <c r="Z458" s="844">
        <v>32575</v>
      </c>
      <c r="AA458" s="844">
        <v>33226</v>
      </c>
      <c r="AB458" s="844">
        <v>33891</v>
      </c>
      <c r="AC458" s="844">
        <v>34568</v>
      </c>
      <c r="AD458" s="844">
        <v>35260</v>
      </c>
      <c r="AE458" s="844">
        <v>35965</v>
      </c>
      <c r="AF458" s="844">
        <v>36684</v>
      </c>
      <c r="AG458" s="844">
        <v>37417</v>
      </c>
      <c r="AH458" s="844">
        <v>38166</v>
      </c>
      <c r="AI458" s="844">
        <v>38929</v>
      </c>
      <c r="AJ458" s="844">
        <v>39707</v>
      </c>
      <c r="AK458" s="844">
        <v>40501</v>
      </c>
      <c r="AL458" s="844">
        <v>41311</v>
      </c>
      <c r="AM458" s="844">
        <v>42137</v>
      </c>
      <c r="AN458" s="844">
        <v>42980</v>
      </c>
      <c r="AO458" s="844">
        <v>43839</v>
      </c>
      <c r="AP458" s="844">
        <v>44715</v>
      </c>
      <c r="AQ458" s="844">
        <v>45609</v>
      </c>
      <c r="AR458" s="844">
        <v>46521</v>
      </c>
      <c r="AS458" s="844">
        <v>47451</v>
      </c>
      <c r="AT458" s="844">
        <v>48399</v>
      </c>
      <c r="AU458" s="844">
        <v>49367</v>
      </c>
      <c r="AV458" s="844">
        <v>50353</v>
      </c>
      <c r="AW458" s="844">
        <v>51359</v>
      </c>
      <c r="AX458" s="844">
        <v>52385</v>
      </c>
      <c r="AY458" s="844">
        <v>53432</v>
      </c>
      <c r="AZ458" s="844">
        <v>54499</v>
      </c>
      <c r="BA458" s="844">
        <v>55587</v>
      </c>
      <c r="BB458" s="844">
        <v>56696</v>
      </c>
      <c r="BC458" s="844">
        <v>57828</v>
      </c>
      <c r="BD458" s="844">
        <v>58981</v>
      </c>
      <c r="BE458" s="844">
        <v>60157</v>
      </c>
      <c r="BF458" s="844">
        <v>61356</v>
      </c>
      <c r="BG458" s="844">
        <v>62577</v>
      </c>
      <c r="BH458" s="844">
        <v>63200</v>
      </c>
      <c r="BI458" s="844">
        <v>0</v>
      </c>
      <c r="BJ458" s="844">
        <v>0</v>
      </c>
      <c r="BK458" s="844">
        <v>0</v>
      </c>
      <c r="BL458" s="844">
        <v>0</v>
      </c>
      <c r="BM458" s="844">
        <v>0</v>
      </c>
      <c r="BN458" s="844">
        <v>0</v>
      </c>
      <c r="BO458" s="844">
        <v>0</v>
      </c>
      <c r="BP458" s="844">
        <v>0</v>
      </c>
      <c r="BQ458" s="844">
        <v>0</v>
      </c>
      <c r="BR458" s="844">
        <v>0</v>
      </c>
      <c r="BS458" s="844">
        <v>0</v>
      </c>
      <c r="BT458" s="844">
        <v>0</v>
      </c>
      <c r="BU458" s="844">
        <v>0</v>
      </c>
      <c r="BV458" s="844">
        <v>0</v>
      </c>
      <c r="BW458" s="844">
        <v>0</v>
      </c>
      <c r="BX458" s="844">
        <v>0</v>
      </c>
      <c r="BY458" s="844">
        <v>0</v>
      </c>
      <c r="BZ458" s="844">
        <v>0</v>
      </c>
      <c r="CA458" s="844">
        <v>0</v>
      </c>
      <c r="CB458" s="844">
        <v>0</v>
      </c>
      <c r="CC458" s="844">
        <v>0</v>
      </c>
      <c r="CD458" s="844">
        <v>0</v>
      </c>
      <c r="CE458" s="844">
        <v>0</v>
      </c>
      <c r="CF458" s="844">
        <v>0</v>
      </c>
      <c r="CG458" s="844">
        <v>0</v>
      </c>
      <c r="CH458" s="844">
        <v>0</v>
      </c>
      <c r="CI458" s="844">
        <v>0</v>
      </c>
      <c r="CJ458" s="844">
        <v>0</v>
      </c>
      <c r="CK458" s="844">
        <v>0</v>
      </c>
      <c r="CL458" s="844">
        <v>0</v>
      </c>
      <c r="CM458" s="844">
        <v>0</v>
      </c>
      <c r="CN458" s="844">
        <v>0</v>
      </c>
      <c r="CO458" s="844">
        <v>0</v>
      </c>
      <c r="CP458" s="844">
        <v>0</v>
      </c>
      <c r="CQ458" s="844">
        <v>0</v>
      </c>
      <c r="CR458" s="844">
        <v>0</v>
      </c>
      <c r="CS458" s="844">
        <v>0</v>
      </c>
      <c r="CT458" s="844">
        <v>0</v>
      </c>
      <c r="CU458" s="844">
        <v>0</v>
      </c>
      <c r="CV458" s="844">
        <v>0</v>
      </c>
      <c r="CW458" s="844">
        <v>0</v>
      </c>
      <c r="CX458" s="844">
        <v>0</v>
      </c>
      <c r="CY458" s="844">
        <v>0</v>
      </c>
      <c r="CZ458" s="844">
        <v>0</v>
      </c>
      <c r="DA458" s="844">
        <v>0</v>
      </c>
      <c r="DB458" s="844">
        <v>0</v>
      </c>
      <c r="DC458" s="844">
        <v>0</v>
      </c>
      <c r="DD458" s="844">
        <v>0</v>
      </c>
      <c r="DE458" s="844">
        <v>0</v>
      </c>
      <c r="DF458" s="844">
        <v>0</v>
      </c>
      <c r="DG458" s="844">
        <v>0</v>
      </c>
      <c r="DH458" s="844">
        <v>0</v>
      </c>
      <c r="DI458" s="844">
        <v>0</v>
      </c>
      <c r="DJ458" s="844">
        <v>0</v>
      </c>
      <c r="DK458" s="844">
        <v>0</v>
      </c>
      <c r="DL458" s="844">
        <v>0</v>
      </c>
      <c r="DM458" s="844">
        <v>0</v>
      </c>
      <c r="DN458" s="844">
        <v>0</v>
      </c>
      <c r="DO458" s="844">
        <v>0</v>
      </c>
      <c r="DP458" s="844">
        <v>0</v>
      </c>
      <c r="DQ458" s="844">
        <v>0</v>
      </c>
      <c r="DR458" s="844">
        <v>0</v>
      </c>
      <c r="DS458" s="844">
        <v>0</v>
      </c>
      <c r="DT458" s="844">
        <v>0</v>
      </c>
      <c r="DU458" s="844">
        <v>0</v>
      </c>
      <c r="DV458" s="844">
        <v>0</v>
      </c>
      <c r="DW458" s="844">
        <v>0</v>
      </c>
      <c r="DY458" s="846" t="s">
        <v>1060</v>
      </c>
      <c r="DZ458" s="846" t="s">
        <v>1382</v>
      </c>
      <c r="EA458" s="846" t="s">
        <v>97</v>
      </c>
      <c r="EB458" s="847">
        <v>67</v>
      </c>
      <c r="EC458" s="780" t="str">
        <f t="shared" si="17"/>
        <v>IWT060267</v>
      </c>
      <c r="ED458" s="847">
        <v>0</v>
      </c>
      <c r="EE458" s="847">
        <v>2924</v>
      </c>
      <c r="EF458" s="847">
        <v>8171</v>
      </c>
      <c r="EG458" s="847">
        <v>13518</v>
      </c>
      <c r="EH458" s="847">
        <v>18967</v>
      </c>
      <c r="EI458" s="847">
        <v>24522</v>
      </c>
      <c r="EJ458" s="847">
        <v>30186</v>
      </c>
      <c r="EK458" s="847">
        <v>30750</v>
      </c>
      <c r="EL458" s="847">
        <v>31334</v>
      </c>
      <c r="EM458" s="847">
        <v>31941</v>
      </c>
      <c r="EN458" s="847">
        <v>32575</v>
      </c>
      <c r="EO458" s="847">
        <v>33226</v>
      </c>
      <c r="EP458" s="847">
        <v>33891</v>
      </c>
      <c r="EQ458" s="847">
        <v>34568</v>
      </c>
      <c r="ER458" s="847">
        <v>35260</v>
      </c>
      <c r="ES458" s="847">
        <v>35965</v>
      </c>
      <c r="ET458" s="847">
        <v>36684</v>
      </c>
      <c r="EU458" s="847">
        <v>37417</v>
      </c>
      <c r="EV458" s="847">
        <v>38166</v>
      </c>
      <c r="EW458" s="847">
        <v>38929</v>
      </c>
      <c r="EX458" s="847">
        <v>39707</v>
      </c>
      <c r="EY458" s="847">
        <v>40501</v>
      </c>
      <c r="EZ458" s="847">
        <v>41311</v>
      </c>
      <c r="FA458" s="847">
        <v>42137</v>
      </c>
      <c r="FB458" s="847">
        <v>42980</v>
      </c>
      <c r="FC458" s="847">
        <v>43839</v>
      </c>
      <c r="FD458" s="847">
        <v>44715</v>
      </c>
      <c r="FE458" s="847">
        <v>45609</v>
      </c>
      <c r="FF458" s="847">
        <v>46521</v>
      </c>
      <c r="FG458" s="847">
        <v>47451</v>
      </c>
      <c r="FH458" s="847">
        <v>48399</v>
      </c>
      <c r="FI458" s="847">
        <v>49367</v>
      </c>
      <c r="FJ458" s="847">
        <v>50353</v>
      </c>
      <c r="FK458" s="847">
        <v>51359</v>
      </c>
      <c r="FL458" s="847">
        <v>52385</v>
      </c>
      <c r="FM458" s="847">
        <v>53432</v>
      </c>
      <c r="FN458" s="847">
        <v>54499</v>
      </c>
      <c r="FO458" s="847">
        <v>55587</v>
      </c>
      <c r="FP458" s="847">
        <v>56696</v>
      </c>
      <c r="FQ458" s="847">
        <v>57828</v>
      </c>
      <c r="FR458" s="847">
        <v>58981</v>
      </c>
      <c r="FS458" s="847">
        <v>60157</v>
      </c>
      <c r="FT458" s="847">
        <v>61356</v>
      </c>
      <c r="FU458" s="847">
        <v>62577</v>
      </c>
      <c r="FV458" s="847">
        <v>63200</v>
      </c>
      <c r="FW458" s="847">
        <v>0</v>
      </c>
      <c r="FX458" s="847">
        <v>0</v>
      </c>
      <c r="FY458" s="847">
        <v>0</v>
      </c>
      <c r="FZ458" s="847">
        <v>0</v>
      </c>
      <c r="GA458" s="847">
        <v>0</v>
      </c>
      <c r="GB458" s="847">
        <v>0</v>
      </c>
      <c r="GC458" s="847">
        <v>0</v>
      </c>
      <c r="GD458" s="847">
        <v>0</v>
      </c>
      <c r="GE458" s="847">
        <v>0</v>
      </c>
      <c r="GF458" s="847">
        <v>0</v>
      </c>
      <c r="GG458" s="847">
        <v>0</v>
      </c>
      <c r="GH458" s="847">
        <v>0</v>
      </c>
      <c r="GI458" s="847">
        <v>0</v>
      </c>
      <c r="GJ458" s="847">
        <v>0</v>
      </c>
      <c r="GK458" s="847">
        <v>0</v>
      </c>
      <c r="GL458" s="847">
        <v>0</v>
      </c>
      <c r="GM458" s="847">
        <v>0</v>
      </c>
      <c r="GN458" s="847">
        <v>0</v>
      </c>
      <c r="GO458" s="847">
        <v>0</v>
      </c>
      <c r="GP458" s="847">
        <v>0</v>
      </c>
      <c r="GQ458" s="847">
        <v>0</v>
      </c>
      <c r="GR458" s="847">
        <v>0</v>
      </c>
      <c r="GS458" s="847">
        <v>0</v>
      </c>
      <c r="GT458" s="847">
        <v>0</v>
      </c>
      <c r="GU458" s="847">
        <v>0</v>
      </c>
      <c r="GV458" s="847">
        <v>0</v>
      </c>
      <c r="GW458" s="847">
        <v>0</v>
      </c>
      <c r="GX458" s="847">
        <v>0</v>
      </c>
      <c r="GY458" s="847">
        <v>0</v>
      </c>
      <c r="GZ458" s="847">
        <v>0</v>
      </c>
      <c r="HA458" s="847">
        <v>0</v>
      </c>
      <c r="HB458" s="847">
        <v>0</v>
      </c>
      <c r="HC458" s="847">
        <v>0</v>
      </c>
      <c r="HD458" s="847">
        <v>0</v>
      </c>
      <c r="HE458" s="847">
        <v>0</v>
      </c>
      <c r="HF458" s="847">
        <v>0</v>
      </c>
      <c r="HG458" s="847">
        <v>0</v>
      </c>
      <c r="HH458" s="847">
        <v>0</v>
      </c>
      <c r="HI458" s="847">
        <v>0</v>
      </c>
      <c r="HJ458" s="847">
        <v>0</v>
      </c>
      <c r="HK458" s="847">
        <v>0</v>
      </c>
      <c r="HL458" s="847">
        <v>0</v>
      </c>
      <c r="HM458" s="847">
        <v>0</v>
      </c>
      <c r="HN458" s="847">
        <v>0</v>
      </c>
      <c r="HO458" s="847">
        <v>0</v>
      </c>
      <c r="HP458" s="847">
        <v>0</v>
      </c>
      <c r="HQ458" s="847">
        <v>0</v>
      </c>
      <c r="HR458" s="847">
        <v>0</v>
      </c>
      <c r="HS458" s="847">
        <v>0</v>
      </c>
      <c r="HT458" s="847">
        <v>0</v>
      </c>
      <c r="HU458" s="847">
        <v>0</v>
      </c>
      <c r="HV458" s="847">
        <v>0</v>
      </c>
      <c r="HW458" s="847">
        <v>0</v>
      </c>
      <c r="HX458" s="847">
        <v>0</v>
      </c>
      <c r="HY458" s="847">
        <v>0</v>
      </c>
      <c r="HZ458" s="847">
        <v>0</v>
      </c>
      <c r="IA458" s="847">
        <v>0</v>
      </c>
      <c r="IB458" s="847">
        <v>0</v>
      </c>
      <c r="IC458" s="847">
        <v>0</v>
      </c>
      <c r="ID458" s="847">
        <v>0</v>
      </c>
      <c r="IE458" s="847">
        <v>0</v>
      </c>
      <c r="IF458" s="847">
        <v>0</v>
      </c>
      <c r="IG458" s="847">
        <v>0</v>
      </c>
      <c r="IH458" s="847">
        <v>0</v>
      </c>
      <c r="II458" s="847">
        <v>0</v>
      </c>
      <c r="IJ458" s="847">
        <v>0</v>
      </c>
      <c r="IK458" s="847">
        <v>0</v>
      </c>
    </row>
    <row r="459" spans="12:245" hidden="1">
      <c r="L459" s="843" t="s">
        <v>1060</v>
      </c>
      <c r="M459" s="843" t="s">
        <v>1382</v>
      </c>
      <c r="N459" s="843" t="s">
        <v>97</v>
      </c>
      <c r="O459" s="844">
        <v>68</v>
      </c>
      <c r="P459" s="780" t="str">
        <f t="shared" si="16"/>
        <v>IWT060268</v>
      </c>
      <c r="Q459" s="844">
        <v>2171</v>
      </c>
      <c r="R459" s="844">
        <v>6510</v>
      </c>
      <c r="S459" s="844">
        <v>11456</v>
      </c>
      <c r="T459" s="844">
        <v>17030</v>
      </c>
      <c r="U459" s="844">
        <v>23247</v>
      </c>
      <c r="V459" s="844">
        <v>29827</v>
      </c>
      <c r="W459" s="844">
        <v>30685</v>
      </c>
      <c r="X459" s="844">
        <v>31262</v>
      </c>
      <c r="Y459" s="844">
        <v>31862</v>
      </c>
      <c r="Z459" s="844">
        <v>32490</v>
      </c>
      <c r="AA459" s="844">
        <v>33140</v>
      </c>
      <c r="AB459" s="844">
        <v>33803</v>
      </c>
      <c r="AC459" s="844">
        <v>34479</v>
      </c>
      <c r="AD459" s="844">
        <v>35168</v>
      </c>
      <c r="AE459" s="844">
        <v>35872</v>
      </c>
      <c r="AF459" s="844">
        <v>36589</v>
      </c>
      <c r="AG459" s="844">
        <v>37321</v>
      </c>
      <c r="AH459" s="844">
        <v>38067</v>
      </c>
      <c r="AI459" s="844">
        <v>38828</v>
      </c>
      <c r="AJ459" s="844">
        <v>39604</v>
      </c>
      <c r="AK459" s="844">
        <v>40396</v>
      </c>
      <c r="AL459" s="844">
        <v>41204</v>
      </c>
      <c r="AM459" s="844">
        <v>42028</v>
      </c>
      <c r="AN459" s="844">
        <v>42868</v>
      </c>
      <c r="AO459" s="844">
        <v>43725</v>
      </c>
      <c r="AP459" s="844">
        <v>44599</v>
      </c>
      <c r="AQ459" s="844">
        <v>45491</v>
      </c>
      <c r="AR459" s="844">
        <v>46400</v>
      </c>
      <c r="AS459" s="844">
        <v>47327</v>
      </c>
      <c r="AT459" s="844">
        <v>48273</v>
      </c>
      <c r="AU459" s="844">
        <v>49238</v>
      </c>
      <c r="AV459" s="844">
        <v>50222</v>
      </c>
      <c r="AW459" s="844">
        <v>51225</v>
      </c>
      <c r="AX459" s="844">
        <v>52248</v>
      </c>
      <c r="AY459" s="844">
        <v>53292</v>
      </c>
      <c r="AZ459" s="844">
        <v>54356</v>
      </c>
      <c r="BA459" s="844">
        <v>55441</v>
      </c>
      <c r="BB459" s="844">
        <v>56547</v>
      </c>
      <c r="BC459" s="844">
        <v>57675</v>
      </c>
      <c r="BD459" s="844">
        <v>58825</v>
      </c>
      <c r="BE459" s="844">
        <v>59997</v>
      </c>
      <c r="BF459" s="844">
        <v>61191</v>
      </c>
      <c r="BG459" s="844">
        <v>61800</v>
      </c>
      <c r="BH459" s="844">
        <v>0</v>
      </c>
      <c r="BI459" s="844">
        <v>0</v>
      </c>
      <c r="BJ459" s="844">
        <v>0</v>
      </c>
      <c r="BK459" s="844">
        <v>0</v>
      </c>
      <c r="BL459" s="844">
        <v>0</v>
      </c>
      <c r="BM459" s="844">
        <v>0</v>
      </c>
      <c r="BN459" s="844">
        <v>0</v>
      </c>
      <c r="BO459" s="844">
        <v>0</v>
      </c>
      <c r="BP459" s="844">
        <v>0</v>
      </c>
      <c r="BQ459" s="844">
        <v>0</v>
      </c>
      <c r="BR459" s="844">
        <v>0</v>
      </c>
      <c r="BS459" s="844">
        <v>0</v>
      </c>
      <c r="BT459" s="844">
        <v>0</v>
      </c>
      <c r="BU459" s="844">
        <v>0</v>
      </c>
      <c r="BV459" s="844">
        <v>0</v>
      </c>
      <c r="BW459" s="844">
        <v>0</v>
      </c>
      <c r="BX459" s="844">
        <v>0</v>
      </c>
      <c r="BY459" s="844">
        <v>0</v>
      </c>
      <c r="BZ459" s="844">
        <v>0</v>
      </c>
      <c r="CA459" s="844">
        <v>0</v>
      </c>
      <c r="CB459" s="844">
        <v>0</v>
      </c>
      <c r="CC459" s="844">
        <v>0</v>
      </c>
      <c r="CD459" s="844">
        <v>0</v>
      </c>
      <c r="CE459" s="844">
        <v>0</v>
      </c>
      <c r="CF459" s="844">
        <v>0</v>
      </c>
      <c r="CG459" s="844">
        <v>0</v>
      </c>
      <c r="CH459" s="844">
        <v>0</v>
      </c>
      <c r="CI459" s="844">
        <v>0</v>
      </c>
      <c r="CJ459" s="844">
        <v>0</v>
      </c>
      <c r="CK459" s="844">
        <v>0</v>
      </c>
      <c r="CL459" s="844">
        <v>0</v>
      </c>
      <c r="CM459" s="844">
        <v>0</v>
      </c>
      <c r="CN459" s="844">
        <v>0</v>
      </c>
      <c r="CO459" s="844">
        <v>0</v>
      </c>
      <c r="CP459" s="844">
        <v>0</v>
      </c>
      <c r="CQ459" s="844">
        <v>0</v>
      </c>
      <c r="CR459" s="844">
        <v>0</v>
      </c>
      <c r="CS459" s="844">
        <v>0</v>
      </c>
      <c r="CT459" s="844">
        <v>0</v>
      </c>
      <c r="CU459" s="844">
        <v>0</v>
      </c>
      <c r="CV459" s="844">
        <v>0</v>
      </c>
      <c r="CW459" s="844">
        <v>0</v>
      </c>
      <c r="CX459" s="844">
        <v>0</v>
      </c>
      <c r="CY459" s="844">
        <v>0</v>
      </c>
      <c r="CZ459" s="844">
        <v>0</v>
      </c>
      <c r="DA459" s="844">
        <v>0</v>
      </c>
      <c r="DB459" s="844">
        <v>0</v>
      </c>
      <c r="DC459" s="844">
        <v>0</v>
      </c>
      <c r="DD459" s="844">
        <v>0</v>
      </c>
      <c r="DE459" s="844">
        <v>0</v>
      </c>
      <c r="DF459" s="844">
        <v>0</v>
      </c>
      <c r="DG459" s="844">
        <v>0</v>
      </c>
      <c r="DH459" s="844">
        <v>0</v>
      </c>
      <c r="DI459" s="844">
        <v>0</v>
      </c>
      <c r="DJ459" s="844">
        <v>0</v>
      </c>
      <c r="DK459" s="844">
        <v>0</v>
      </c>
      <c r="DL459" s="844">
        <v>0</v>
      </c>
      <c r="DM459" s="844">
        <v>0</v>
      </c>
      <c r="DN459" s="844">
        <v>0</v>
      </c>
      <c r="DO459" s="844">
        <v>0</v>
      </c>
      <c r="DP459" s="844">
        <v>0</v>
      </c>
      <c r="DQ459" s="844">
        <v>0</v>
      </c>
      <c r="DR459" s="844">
        <v>0</v>
      </c>
      <c r="DS459" s="844">
        <v>0</v>
      </c>
      <c r="DT459" s="844">
        <v>0</v>
      </c>
      <c r="DU459" s="844">
        <v>0</v>
      </c>
      <c r="DV459" s="844">
        <v>0</v>
      </c>
      <c r="DW459" s="844">
        <v>0</v>
      </c>
      <c r="DY459" s="846" t="s">
        <v>1060</v>
      </c>
      <c r="DZ459" s="846" t="s">
        <v>1382</v>
      </c>
      <c r="EA459" s="846" t="s">
        <v>97</v>
      </c>
      <c r="EB459" s="847">
        <v>68</v>
      </c>
      <c r="EC459" s="780" t="str">
        <f t="shared" si="17"/>
        <v>IWT060268</v>
      </c>
      <c r="ED459" s="847">
        <v>0</v>
      </c>
      <c r="EE459" s="847">
        <v>2894</v>
      </c>
      <c r="EF459" s="847">
        <v>8137</v>
      </c>
      <c r="EG459" s="847">
        <v>13478</v>
      </c>
      <c r="EH459" s="847">
        <v>18922</v>
      </c>
      <c r="EI459" s="847">
        <v>24470</v>
      </c>
      <c r="EJ459" s="847">
        <v>30128</v>
      </c>
      <c r="EK459" s="847">
        <v>30685</v>
      </c>
      <c r="EL459" s="847">
        <v>31262</v>
      </c>
      <c r="EM459" s="847">
        <v>31862</v>
      </c>
      <c r="EN459" s="847">
        <v>32490</v>
      </c>
      <c r="EO459" s="847">
        <v>33140</v>
      </c>
      <c r="EP459" s="847">
        <v>33803</v>
      </c>
      <c r="EQ459" s="847">
        <v>34479</v>
      </c>
      <c r="ER459" s="847">
        <v>35168</v>
      </c>
      <c r="ES459" s="847">
        <v>35872</v>
      </c>
      <c r="ET459" s="847">
        <v>36589</v>
      </c>
      <c r="EU459" s="847">
        <v>37321</v>
      </c>
      <c r="EV459" s="847">
        <v>38067</v>
      </c>
      <c r="EW459" s="847">
        <v>38828</v>
      </c>
      <c r="EX459" s="847">
        <v>39604</v>
      </c>
      <c r="EY459" s="847">
        <v>40396</v>
      </c>
      <c r="EZ459" s="847">
        <v>41204</v>
      </c>
      <c r="FA459" s="847">
        <v>42028</v>
      </c>
      <c r="FB459" s="847">
        <v>42868</v>
      </c>
      <c r="FC459" s="847">
        <v>43725</v>
      </c>
      <c r="FD459" s="847">
        <v>44599</v>
      </c>
      <c r="FE459" s="847">
        <v>45491</v>
      </c>
      <c r="FF459" s="847">
        <v>46400</v>
      </c>
      <c r="FG459" s="847">
        <v>47327</v>
      </c>
      <c r="FH459" s="847">
        <v>48273</v>
      </c>
      <c r="FI459" s="847">
        <v>49238</v>
      </c>
      <c r="FJ459" s="847">
        <v>50222</v>
      </c>
      <c r="FK459" s="847">
        <v>51225</v>
      </c>
      <c r="FL459" s="847">
        <v>52248</v>
      </c>
      <c r="FM459" s="847">
        <v>53292</v>
      </c>
      <c r="FN459" s="847">
        <v>54356</v>
      </c>
      <c r="FO459" s="847">
        <v>55441</v>
      </c>
      <c r="FP459" s="847">
        <v>56547</v>
      </c>
      <c r="FQ459" s="847">
        <v>57675</v>
      </c>
      <c r="FR459" s="847">
        <v>58825</v>
      </c>
      <c r="FS459" s="847">
        <v>59997</v>
      </c>
      <c r="FT459" s="847">
        <v>61191</v>
      </c>
      <c r="FU459" s="847">
        <v>61800</v>
      </c>
      <c r="FV459" s="847">
        <v>0</v>
      </c>
      <c r="FW459" s="847">
        <v>0</v>
      </c>
      <c r="FX459" s="847">
        <v>0</v>
      </c>
      <c r="FY459" s="847">
        <v>0</v>
      </c>
      <c r="FZ459" s="847">
        <v>0</v>
      </c>
      <c r="GA459" s="847">
        <v>0</v>
      </c>
      <c r="GB459" s="847">
        <v>0</v>
      </c>
      <c r="GC459" s="847">
        <v>0</v>
      </c>
      <c r="GD459" s="847">
        <v>0</v>
      </c>
      <c r="GE459" s="847">
        <v>0</v>
      </c>
      <c r="GF459" s="847">
        <v>0</v>
      </c>
      <c r="GG459" s="847">
        <v>0</v>
      </c>
      <c r="GH459" s="847">
        <v>0</v>
      </c>
      <c r="GI459" s="847">
        <v>0</v>
      </c>
      <c r="GJ459" s="847">
        <v>0</v>
      </c>
      <c r="GK459" s="847">
        <v>0</v>
      </c>
      <c r="GL459" s="847">
        <v>0</v>
      </c>
      <c r="GM459" s="847">
        <v>0</v>
      </c>
      <c r="GN459" s="847">
        <v>0</v>
      </c>
      <c r="GO459" s="847">
        <v>0</v>
      </c>
      <c r="GP459" s="847">
        <v>0</v>
      </c>
      <c r="GQ459" s="847">
        <v>0</v>
      </c>
      <c r="GR459" s="847">
        <v>0</v>
      </c>
      <c r="GS459" s="847">
        <v>0</v>
      </c>
      <c r="GT459" s="847">
        <v>0</v>
      </c>
      <c r="GU459" s="847">
        <v>0</v>
      </c>
      <c r="GV459" s="847">
        <v>0</v>
      </c>
      <c r="GW459" s="847">
        <v>0</v>
      </c>
      <c r="GX459" s="847">
        <v>0</v>
      </c>
      <c r="GY459" s="847">
        <v>0</v>
      </c>
      <c r="GZ459" s="847">
        <v>0</v>
      </c>
      <c r="HA459" s="847">
        <v>0</v>
      </c>
      <c r="HB459" s="847">
        <v>0</v>
      </c>
      <c r="HC459" s="847">
        <v>0</v>
      </c>
      <c r="HD459" s="847">
        <v>0</v>
      </c>
      <c r="HE459" s="847">
        <v>0</v>
      </c>
      <c r="HF459" s="847">
        <v>0</v>
      </c>
      <c r="HG459" s="847">
        <v>0</v>
      </c>
      <c r="HH459" s="847">
        <v>0</v>
      </c>
      <c r="HI459" s="847">
        <v>0</v>
      </c>
      <c r="HJ459" s="847">
        <v>0</v>
      </c>
      <c r="HK459" s="847">
        <v>0</v>
      </c>
      <c r="HL459" s="847">
        <v>0</v>
      </c>
      <c r="HM459" s="847">
        <v>0</v>
      </c>
      <c r="HN459" s="847">
        <v>0</v>
      </c>
      <c r="HO459" s="847">
        <v>0</v>
      </c>
      <c r="HP459" s="847">
        <v>0</v>
      </c>
      <c r="HQ459" s="847">
        <v>0</v>
      </c>
      <c r="HR459" s="847">
        <v>0</v>
      </c>
      <c r="HS459" s="847">
        <v>0</v>
      </c>
      <c r="HT459" s="847">
        <v>0</v>
      </c>
      <c r="HU459" s="847">
        <v>0</v>
      </c>
      <c r="HV459" s="847">
        <v>0</v>
      </c>
      <c r="HW459" s="847">
        <v>0</v>
      </c>
      <c r="HX459" s="847">
        <v>0</v>
      </c>
      <c r="HY459" s="847">
        <v>0</v>
      </c>
      <c r="HZ459" s="847">
        <v>0</v>
      </c>
      <c r="IA459" s="847">
        <v>0</v>
      </c>
      <c r="IB459" s="847">
        <v>0</v>
      </c>
      <c r="IC459" s="847">
        <v>0</v>
      </c>
      <c r="ID459" s="847">
        <v>0</v>
      </c>
      <c r="IE459" s="847">
        <v>0</v>
      </c>
      <c r="IF459" s="847">
        <v>0</v>
      </c>
      <c r="IG459" s="847">
        <v>0</v>
      </c>
      <c r="IH459" s="847">
        <v>0</v>
      </c>
      <c r="II459" s="847">
        <v>0</v>
      </c>
      <c r="IJ459" s="847">
        <v>0</v>
      </c>
      <c r="IK459" s="847">
        <v>0</v>
      </c>
    </row>
    <row r="460" spans="12:245" hidden="1">
      <c r="L460" s="843" t="s">
        <v>1060</v>
      </c>
      <c r="M460" s="843" t="s">
        <v>1382</v>
      </c>
      <c r="N460" s="843" t="s">
        <v>97</v>
      </c>
      <c r="O460" s="844">
        <v>69</v>
      </c>
      <c r="P460" s="780" t="str">
        <f t="shared" si="16"/>
        <v>IWT060269</v>
      </c>
      <c r="Q460" s="844">
        <v>2145</v>
      </c>
      <c r="R460" s="844">
        <v>6478</v>
      </c>
      <c r="S460" s="844">
        <v>11418</v>
      </c>
      <c r="T460" s="844">
        <v>16983</v>
      </c>
      <c r="U460" s="844">
        <v>23190</v>
      </c>
      <c r="V460" s="844">
        <v>29758</v>
      </c>
      <c r="W460" s="844">
        <v>30607</v>
      </c>
      <c r="X460" s="844">
        <v>31175</v>
      </c>
      <c r="Y460" s="844">
        <v>31768</v>
      </c>
      <c r="Z460" s="844">
        <v>32389</v>
      </c>
      <c r="AA460" s="844">
        <v>33037</v>
      </c>
      <c r="AB460" s="844">
        <v>33697</v>
      </c>
      <c r="AC460" s="844">
        <v>34371</v>
      </c>
      <c r="AD460" s="844">
        <v>35059</v>
      </c>
      <c r="AE460" s="844">
        <v>35760</v>
      </c>
      <c r="AF460" s="844">
        <v>36475</v>
      </c>
      <c r="AG460" s="844">
        <v>37204</v>
      </c>
      <c r="AH460" s="844">
        <v>37948</v>
      </c>
      <c r="AI460" s="844">
        <v>38707</v>
      </c>
      <c r="AJ460" s="844">
        <v>39481</v>
      </c>
      <c r="AK460" s="844">
        <v>40270</v>
      </c>
      <c r="AL460" s="844">
        <v>41075</v>
      </c>
      <c r="AM460" s="844">
        <v>41896</v>
      </c>
      <c r="AN460" s="844">
        <v>42734</v>
      </c>
      <c r="AO460" s="844">
        <v>43588</v>
      </c>
      <c r="AP460" s="844">
        <v>44460</v>
      </c>
      <c r="AQ460" s="844">
        <v>45348</v>
      </c>
      <c r="AR460" s="844">
        <v>46255</v>
      </c>
      <c r="AS460" s="844">
        <v>47179</v>
      </c>
      <c r="AT460" s="844">
        <v>48122</v>
      </c>
      <c r="AU460" s="844">
        <v>49084</v>
      </c>
      <c r="AV460" s="844">
        <v>50064</v>
      </c>
      <c r="AW460" s="844">
        <v>51064</v>
      </c>
      <c r="AX460" s="844">
        <v>52084</v>
      </c>
      <c r="AY460" s="844">
        <v>53124</v>
      </c>
      <c r="AZ460" s="844">
        <v>54185</v>
      </c>
      <c r="BA460" s="844">
        <v>55266</v>
      </c>
      <c r="BB460" s="844">
        <v>56368</v>
      </c>
      <c r="BC460" s="844">
        <v>57492</v>
      </c>
      <c r="BD460" s="844">
        <v>58638</v>
      </c>
      <c r="BE460" s="844">
        <v>59805</v>
      </c>
      <c r="BF460" s="844">
        <v>60400</v>
      </c>
      <c r="BG460" s="844">
        <v>0</v>
      </c>
      <c r="BH460" s="844">
        <v>0</v>
      </c>
      <c r="BI460" s="844">
        <v>0</v>
      </c>
      <c r="BJ460" s="844">
        <v>0</v>
      </c>
      <c r="BK460" s="844">
        <v>0</v>
      </c>
      <c r="BL460" s="844">
        <v>0</v>
      </c>
      <c r="BM460" s="844">
        <v>0</v>
      </c>
      <c r="BN460" s="844">
        <v>0</v>
      </c>
      <c r="BO460" s="844">
        <v>0</v>
      </c>
      <c r="BP460" s="844">
        <v>0</v>
      </c>
      <c r="BQ460" s="844">
        <v>0</v>
      </c>
      <c r="BR460" s="844">
        <v>0</v>
      </c>
      <c r="BS460" s="844">
        <v>0</v>
      </c>
      <c r="BT460" s="844">
        <v>0</v>
      </c>
      <c r="BU460" s="844">
        <v>0</v>
      </c>
      <c r="BV460" s="844">
        <v>0</v>
      </c>
      <c r="BW460" s="844">
        <v>0</v>
      </c>
      <c r="BX460" s="844">
        <v>0</v>
      </c>
      <c r="BY460" s="844">
        <v>0</v>
      </c>
      <c r="BZ460" s="844">
        <v>0</v>
      </c>
      <c r="CA460" s="844">
        <v>0</v>
      </c>
      <c r="CB460" s="844">
        <v>0</v>
      </c>
      <c r="CC460" s="844">
        <v>0</v>
      </c>
      <c r="CD460" s="844">
        <v>0</v>
      </c>
      <c r="CE460" s="844">
        <v>0</v>
      </c>
      <c r="CF460" s="844">
        <v>0</v>
      </c>
      <c r="CG460" s="844">
        <v>0</v>
      </c>
      <c r="CH460" s="844">
        <v>0</v>
      </c>
      <c r="CI460" s="844">
        <v>0</v>
      </c>
      <c r="CJ460" s="844">
        <v>0</v>
      </c>
      <c r="CK460" s="844">
        <v>0</v>
      </c>
      <c r="CL460" s="844">
        <v>0</v>
      </c>
      <c r="CM460" s="844">
        <v>0</v>
      </c>
      <c r="CN460" s="844">
        <v>0</v>
      </c>
      <c r="CO460" s="844">
        <v>0</v>
      </c>
      <c r="CP460" s="844">
        <v>0</v>
      </c>
      <c r="CQ460" s="844">
        <v>0</v>
      </c>
      <c r="CR460" s="844">
        <v>0</v>
      </c>
      <c r="CS460" s="844">
        <v>0</v>
      </c>
      <c r="CT460" s="844">
        <v>0</v>
      </c>
      <c r="CU460" s="844">
        <v>0</v>
      </c>
      <c r="CV460" s="844">
        <v>0</v>
      </c>
      <c r="CW460" s="844">
        <v>0</v>
      </c>
      <c r="CX460" s="844">
        <v>0</v>
      </c>
      <c r="CY460" s="844">
        <v>0</v>
      </c>
      <c r="CZ460" s="844">
        <v>0</v>
      </c>
      <c r="DA460" s="844">
        <v>0</v>
      </c>
      <c r="DB460" s="844">
        <v>0</v>
      </c>
      <c r="DC460" s="844">
        <v>0</v>
      </c>
      <c r="DD460" s="844">
        <v>0</v>
      </c>
      <c r="DE460" s="844">
        <v>0</v>
      </c>
      <c r="DF460" s="844">
        <v>0</v>
      </c>
      <c r="DG460" s="844">
        <v>0</v>
      </c>
      <c r="DH460" s="844">
        <v>0</v>
      </c>
      <c r="DI460" s="844">
        <v>0</v>
      </c>
      <c r="DJ460" s="844">
        <v>0</v>
      </c>
      <c r="DK460" s="844">
        <v>0</v>
      </c>
      <c r="DL460" s="844">
        <v>0</v>
      </c>
      <c r="DM460" s="844">
        <v>0</v>
      </c>
      <c r="DN460" s="844">
        <v>0</v>
      </c>
      <c r="DO460" s="844">
        <v>0</v>
      </c>
      <c r="DP460" s="844">
        <v>0</v>
      </c>
      <c r="DQ460" s="844">
        <v>0</v>
      </c>
      <c r="DR460" s="844">
        <v>0</v>
      </c>
      <c r="DS460" s="844">
        <v>0</v>
      </c>
      <c r="DT460" s="844">
        <v>0</v>
      </c>
      <c r="DU460" s="844">
        <v>0</v>
      </c>
      <c r="DV460" s="844">
        <v>0</v>
      </c>
      <c r="DW460" s="844">
        <v>0</v>
      </c>
      <c r="DY460" s="846" t="s">
        <v>1060</v>
      </c>
      <c r="DZ460" s="846" t="s">
        <v>1382</v>
      </c>
      <c r="EA460" s="846" t="s">
        <v>97</v>
      </c>
      <c r="EB460" s="847">
        <v>69</v>
      </c>
      <c r="EC460" s="780" t="str">
        <f t="shared" si="17"/>
        <v>IWT060269</v>
      </c>
      <c r="ED460" s="847">
        <v>0</v>
      </c>
      <c r="EE460" s="847">
        <v>2860</v>
      </c>
      <c r="EF460" s="847">
        <v>8098</v>
      </c>
      <c r="EG460" s="847">
        <v>13433</v>
      </c>
      <c r="EH460" s="847">
        <v>18870</v>
      </c>
      <c r="EI460" s="847">
        <v>24410</v>
      </c>
      <c r="EJ460" s="847">
        <v>30059</v>
      </c>
      <c r="EK460" s="847">
        <v>30607</v>
      </c>
      <c r="EL460" s="847">
        <v>31175</v>
      </c>
      <c r="EM460" s="847">
        <v>31768</v>
      </c>
      <c r="EN460" s="847">
        <v>32389</v>
      </c>
      <c r="EO460" s="847">
        <v>33037</v>
      </c>
      <c r="EP460" s="847">
        <v>33697</v>
      </c>
      <c r="EQ460" s="847">
        <v>34371</v>
      </c>
      <c r="ER460" s="847">
        <v>35059</v>
      </c>
      <c r="ES460" s="847">
        <v>35760</v>
      </c>
      <c r="ET460" s="847">
        <v>36475</v>
      </c>
      <c r="EU460" s="847">
        <v>37204</v>
      </c>
      <c r="EV460" s="847">
        <v>37948</v>
      </c>
      <c r="EW460" s="847">
        <v>38707</v>
      </c>
      <c r="EX460" s="847">
        <v>39481</v>
      </c>
      <c r="EY460" s="847">
        <v>40270</v>
      </c>
      <c r="EZ460" s="847">
        <v>41075</v>
      </c>
      <c r="FA460" s="847">
        <v>41896</v>
      </c>
      <c r="FB460" s="847">
        <v>42734</v>
      </c>
      <c r="FC460" s="847">
        <v>43588</v>
      </c>
      <c r="FD460" s="847">
        <v>44460</v>
      </c>
      <c r="FE460" s="847">
        <v>45348</v>
      </c>
      <c r="FF460" s="847">
        <v>46255</v>
      </c>
      <c r="FG460" s="847">
        <v>47179</v>
      </c>
      <c r="FH460" s="847">
        <v>48122</v>
      </c>
      <c r="FI460" s="847">
        <v>49084</v>
      </c>
      <c r="FJ460" s="847">
        <v>50064</v>
      </c>
      <c r="FK460" s="847">
        <v>51064</v>
      </c>
      <c r="FL460" s="847">
        <v>52084</v>
      </c>
      <c r="FM460" s="847">
        <v>53124</v>
      </c>
      <c r="FN460" s="847">
        <v>54185</v>
      </c>
      <c r="FO460" s="847">
        <v>55266</v>
      </c>
      <c r="FP460" s="847">
        <v>56368</v>
      </c>
      <c r="FQ460" s="847">
        <v>57492</v>
      </c>
      <c r="FR460" s="847">
        <v>58638</v>
      </c>
      <c r="FS460" s="847">
        <v>59805</v>
      </c>
      <c r="FT460" s="847">
        <v>60400</v>
      </c>
      <c r="FU460" s="847">
        <v>0</v>
      </c>
      <c r="FV460" s="847">
        <v>0</v>
      </c>
      <c r="FW460" s="847">
        <v>0</v>
      </c>
      <c r="FX460" s="847">
        <v>0</v>
      </c>
      <c r="FY460" s="847">
        <v>0</v>
      </c>
      <c r="FZ460" s="847">
        <v>0</v>
      </c>
      <c r="GA460" s="847">
        <v>0</v>
      </c>
      <c r="GB460" s="847">
        <v>0</v>
      </c>
      <c r="GC460" s="847">
        <v>0</v>
      </c>
      <c r="GD460" s="847">
        <v>0</v>
      </c>
      <c r="GE460" s="847">
        <v>0</v>
      </c>
      <c r="GF460" s="847">
        <v>0</v>
      </c>
      <c r="GG460" s="847">
        <v>0</v>
      </c>
      <c r="GH460" s="847">
        <v>0</v>
      </c>
      <c r="GI460" s="847">
        <v>0</v>
      </c>
      <c r="GJ460" s="847">
        <v>0</v>
      </c>
      <c r="GK460" s="847">
        <v>0</v>
      </c>
      <c r="GL460" s="847">
        <v>0</v>
      </c>
      <c r="GM460" s="847">
        <v>0</v>
      </c>
      <c r="GN460" s="847">
        <v>0</v>
      </c>
      <c r="GO460" s="847">
        <v>0</v>
      </c>
      <c r="GP460" s="847">
        <v>0</v>
      </c>
      <c r="GQ460" s="847">
        <v>0</v>
      </c>
      <c r="GR460" s="847">
        <v>0</v>
      </c>
      <c r="GS460" s="847">
        <v>0</v>
      </c>
      <c r="GT460" s="847">
        <v>0</v>
      </c>
      <c r="GU460" s="847">
        <v>0</v>
      </c>
      <c r="GV460" s="847">
        <v>0</v>
      </c>
      <c r="GW460" s="847">
        <v>0</v>
      </c>
      <c r="GX460" s="847">
        <v>0</v>
      </c>
      <c r="GY460" s="847">
        <v>0</v>
      </c>
      <c r="GZ460" s="847">
        <v>0</v>
      </c>
      <c r="HA460" s="847">
        <v>0</v>
      </c>
      <c r="HB460" s="847">
        <v>0</v>
      </c>
      <c r="HC460" s="847">
        <v>0</v>
      </c>
      <c r="HD460" s="847">
        <v>0</v>
      </c>
      <c r="HE460" s="847">
        <v>0</v>
      </c>
      <c r="HF460" s="847">
        <v>0</v>
      </c>
      <c r="HG460" s="847">
        <v>0</v>
      </c>
      <c r="HH460" s="847">
        <v>0</v>
      </c>
      <c r="HI460" s="847">
        <v>0</v>
      </c>
      <c r="HJ460" s="847">
        <v>0</v>
      </c>
      <c r="HK460" s="847">
        <v>0</v>
      </c>
      <c r="HL460" s="847">
        <v>0</v>
      </c>
      <c r="HM460" s="847">
        <v>0</v>
      </c>
      <c r="HN460" s="847">
        <v>0</v>
      </c>
      <c r="HO460" s="847">
        <v>0</v>
      </c>
      <c r="HP460" s="847">
        <v>0</v>
      </c>
      <c r="HQ460" s="847">
        <v>0</v>
      </c>
      <c r="HR460" s="847">
        <v>0</v>
      </c>
      <c r="HS460" s="847">
        <v>0</v>
      </c>
      <c r="HT460" s="847">
        <v>0</v>
      </c>
      <c r="HU460" s="847">
        <v>0</v>
      </c>
      <c r="HV460" s="847">
        <v>0</v>
      </c>
      <c r="HW460" s="847">
        <v>0</v>
      </c>
      <c r="HX460" s="847">
        <v>0</v>
      </c>
      <c r="HY460" s="847">
        <v>0</v>
      </c>
      <c r="HZ460" s="847">
        <v>0</v>
      </c>
      <c r="IA460" s="847">
        <v>0</v>
      </c>
      <c r="IB460" s="847">
        <v>0</v>
      </c>
      <c r="IC460" s="847">
        <v>0</v>
      </c>
      <c r="ID460" s="847">
        <v>0</v>
      </c>
      <c r="IE460" s="847">
        <v>0</v>
      </c>
      <c r="IF460" s="847">
        <v>0</v>
      </c>
      <c r="IG460" s="847">
        <v>0</v>
      </c>
      <c r="IH460" s="847">
        <v>0</v>
      </c>
      <c r="II460" s="847">
        <v>0</v>
      </c>
      <c r="IJ460" s="847">
        <v>0</v>
      </c>
      <c r="IK460" s="847">
        <v>0</v>
      </c>
    </row>
    <row r="461" spans="12:245" hidden="1">
      <c r="L461" s="843" t="s">
        <v>1060</v>
      </c>
      <c r="M461" s="843" t="s">
        <v>1382</v>
      </c>
      <c r="N461" s="843" t="s">
        <v>97</v>
      </c>
      <c r="O461" s="844">
        <v>70</v>
      </c>
      <c r="P461" s="780" t="str">
        <f t="shared" si="16"/>
        <v>IWT060270</v>
      </c>
      <c r="Q461" s="844">
        <v>2117</v>
      </c>
      <c r="R461" s="844">
        <v>6444</v>
      </c>
      <c r="S461" s="844">
        <v>11376</v>
      </c>
      <c r="T461" s="844">
        <v>16931</v>
      </c>
      <c r="U461" s="844">
        <v>23126</v>
      </c>
      <c r="V461" s="844">
        <v>29682</v>
      </c>
      <c r="W461" s="844">
        <v>30519</v>
      </c>
      <c r="X461" s="844">
        <v>31076</v>
      </c>
      <c r="Y461" s="844">
        <v>31659</v>
      </c>
      <c r="Z461" s="844">
        <v>32271</v>
      </c>
      <c r="AA461" s="844">
        <v>32917</v>
      </c>
      <c r="AB461" s="844">
        <v>33575</v>
      </c>
      <c r="AC461" s="844">
        <v>34246</v>
      </c>
      <c r="AD461" s="844">
        <v>34931</v>
      </c>
      <c r="AE461" s="844">
        <v>35630</v>
      </c>
      <c r="AF461" s="844">
        <v>36342</v>
      </c>
      <c r="AG461" s="844">
        <v>37069</v>
      </c>
      <c r="AH461" s="844">
        <v>37810</v>
      </c>
      <c r="AI461" s="844">
        <v>38566</v>
      </c>
      <c r="AJ461" s="844">
        <v>39337</v>
      </c>
      <c r="AK461" s="844">
        <v>40124</v>
      </c>
      <c r="AL461" s="844">
        <v>40926</v>
      </c>
      <c r="AM461" s="844">
        <v>41744</v>
      </c>
      <c r="AN461" s="844">
        <v>42579</v>
      </c>
      <c r="AO461" s="844">
        <v>43430</v>
      </c>
      <c r="AP461" s="844">
        <v>44298</v>
      </c>
      <c r="AQ461" s="844">
        <v>45183</v>
      </c>
      <c r="AR461" s="844">
        <v>46086</v>
      </c>
      <c r="AS461" s="844">
        <v>47007</v>
      </c>
      <c r="AT461" s="844">
        <v>47946</v>
      </c>
      <c r="AU461" s="844">
        <v>48904</v>
      </c>
      <c r="AV461" s="844">
        <v>49881</v>
      </c>
      <c r="AW461" s="844">
        <v>50877</v>
      </c>
      <c r="AX461" s="844">
        <v>51893</v>
      </c>
      <c r="AY461" s="844">
        <v>52929</v>
      </c>
      <c r="AZ461" s="844">
        <v>53985</v>
      </c>
      <c r="BA461" s="844">
        <v>55062</v>
      </c>
      <c r="BB461" s="844">
        <v>56160</v>
      </c>
      <c r="BC461" s="844">
        <v>57279</v>
      </c>
      <c r="BD461" s="844">
        <v>58419</v>
      </c>
      <c r="BE461" s="844">
        <v>59000</v>
      </c>
      <c r="BF461" s="844">
        <v>0</v>
      </c>
      <c r="BG461" s="844">
        <v>0</v>
      </c>
      <c r="BH461" s="844">
        <v>0</v>
      </c>
      <c r="BI461" s="844">
        <v>0</v>
      </c>
      <c r="BJ461" s="844">
        <v>0</v>
      </c>
      <c r="BK461" s="844">
        <v>0</v>
      </c>
      <c r="BL461" s="844">
        <v>0</v>
      </c>
      <c r="BM461" s="844">
        <v>0</v>
      </c>
      <c r="BN461" s="844">
        <v>0</v>
      </c>
      <c r="BO461" s="844">
        <v>0</v>
      </c>
      <c r="BP461" s="844">
        <v>0</v>
      </c>
      <c r="BQ461" s="844">
        <v>0</v>
      </c>
      <c r="BR461" s="844">
        <v>0</v>
      </c>
      <c r="BS461" s="844">
        <v>0</v>
      </c>
      <c r="BT461" s="844">
        <v>0</v>
      </c>
      <c r="BU461" s="844">
        <v>0</v>
      </c>
      <c r="BV461" s="844">
        <v>0</v>
      </c>
      <c r="BW461" s="844">
        <v>0</v>
      </c>
      <c r="BX461" s="844">
        <v>0</v>
      </c>
      <c r="BY461" s="844">
        <v>0</v>
      </c>
      <c r="BZ461" s="844">
        <v>0</v>
      </c>
      <c r="CA461" s="844">
        <v>0</v>
      </c>
      <c r="CB461" s="844">
        <v>0</v>
      </c>
      <c r="CC461" s="844">
        <v>0</v>
      </c>
      <c r="CD461" s="844">
        <v>0</v>
      </c>
      <c r="CE461" s="844">
        <v>0</v>
      </c>
      <c r="CF461" s="844">
        <v>0</v>
      </c>
      <c r="CG461" s="844">
        <v>0</v>
      </c>
      <c r="CH461" s="844">
        <v>0</v>
      </c>
      <c r="CI461" s="844">
        <v>0</v>
      </c>
      <c r="CJ461" s="844">
        <v>0</v>
      </c>
      <c r="CK461" s="844">
        <v>0</v>
      </c>
      <c r="CL461" s="844">
        <v>0</v>
      </c>
      <c r="CM461" s="844">
        <v>0</v>
      </c>
      <c r="CN461" s="844">
        <v>0</v>
      </c>
      <c r="CO461" s="844">
        <v>0</v>
      </c>
      <c r="CP461" s="844">
        <v>0</v>
      </c>
      <c r="CQ461" s="844">
        <v>0</v>
      </c>
      <c r="CR461" s="844">
        <v>0</v>
      </c>
      <c r="CS461" s="844">
        <v>0</v>
      </c>
      <c r="CT461" s="844">
        <v>0</v>
      </c>
      <c r="CU461" s="844">
        <v>0</v>
      </c>
      <c r="CV461" s="844">
        <v>0</v>
      </c>
      <c r="CW461" s="844">
        <v>0</v>
      </c>
      <c r="CX461" s="844">
        <v>0</v>
      </c>
      <c r="CY461" s="844">
        <v>0</v>
      </c>
      <c r="CZ461" s="844">
        <v>0</v>
      </c>
      <c r="DA461" s="844">
        <v>0</v>
      </c>
      <c r="DB461" s="844">
        <v>0</v>
      </c>
      <c r="DC461" s="844">
        <v>0</v>
      </c>
      <c r="DD461" s="844">
        <v>0</v>
      </c>
      <c r="DE461" s="844">
        <v>0</v>
      </c>
      <c r="DF461" s="844">
        <v>0</v>
      </c>
      <c r="DG461" s="844">
        <v>0</v>
      </c>
      <c r="DH461" s="844">
        <v>0</v>
      </c>
      <c r="DI461" s="844">
        <v>0</v>
      </c>
      <c r="DJ461" s="844">
        <v>0</v>
      </c>
      <c r="DK461" s="844">
        <v>0</v>
      </c>
      <c r="DL461" s="844">
        <v>0</v>
      </c>
      <c r="DM461" s="844">
        <v>0</v>
      </c>
      <c r="DN461" s="844">
        <v>0</v>
      </c>
      <c r="DO461" s="844">
        <v>0</v>
      </c>
      <c r="DP461" s="844">
        <v>0</v>
      </c>
      <c r="DQ461" s="844">
        <v>0</v>
      </c>
      <c r="DR461" s="844">
        <v>0</v>
      </c>
      <c r="DS461" s="844">
        <v>0</v>
      </c>
      <c r="DT461" s="844">
        <v>0</v>
      </c>
      <c r="DU461" s="844">
        <v>0</v>
      </c>
      <c r="DV461" s="844">
        <v>0</v>
      </c>
      <c r="DW461" s="844">
        <v>0</v>
      </c>
      <c r="DY461" s="846" t="s">
        <v>1060</v>
      </c>
      <c r="DZ461" s="846" t="s">
        <v>1382</v>
      </c>
      <c r="EA461" s="846" t="s">
        <v>97</v>
      </c>
      <c r="EB461" s="847">
        <v>70</v>
      </c>
      <c r="EC461" s="780" t="str">
        <f t="shared" si="17"/>
        <v>IWT060270</v>
      </c>
      <c r="ED461" s="847">
        <v>0</v>
      </c>
      <c r="EE461" s="847">
        <v>2823</v>
      </c>
      <c r="EF461" s="847">
        <v>8055</v>
      </c>
      <c r="EG461" s="847">
        <v>13383</v>
      </c>
      <c r="EH461" s="847">
        <v>18812</v>
      </c>
      <c r="EI461" s="847">
        <v>24343</v>
      </c>
      <c r="EJ461" s="847">
        <v>29982</v>
      </c>
      <c r="EK461" s="847">
        <v>30519</v>
      </c>
      <c r="EL461" s="847">
        <v>31076</v>
      </c>
      <c r="EM461" s="847">
        <v>31659</v>
      </c>
      <c r="EN461" s="847">
        <v>32271</v>
      </c>
      <c r="EO461" s="847">
        <v>32917</v>
      </c>
      <c r="EP461" s="847">
        <v>33575</v>
      </c>
      <c r="EQ461" s="847">
        <v>34246</v>
      </c>
      <c r="ER461" s="847">
        <v>34931</v>
      </c>
      <c r="ES461" s="847">
        <v>35630</v>
      </c>
      <c r="ET461" s="847">
        <v>36342</v>
      </c>
      <c r="EU461" s="847">
        <v>37069</v>
      </c>
      <c r="EV461" s="847">
        <v>37810</v>
      </c>
      <c r="EW461" s="847">
        <v>38566</v>
      </c>
      <c r="EX461" s="847">
        <v>39337</v>
      </c>
      <c r="EY461" s="847">
        <v>40124</v>
      </c>
      <c r="EZ461" s="847">
        <v>40926</v>
      </c>
      <c r="FA461" s="847">
        <v>41744</v>
      </c>
      <c r="FB461" s="847">
        <v>42579</v>
      </c>
      <c r="FC461" s="847">
        <v>43430</v>
      </c>
      <c r="FD461" s="847">
        <v>44298</v>
      </c>
      <c r="FE461" s="847">
        <v>45183</v>
      </c>
      <c r="FF461" s="847">
        <v>46086</v>
      </c>
      <c r="FG461" s="847">
        <v>47007</v>
      </c>
      <c r="FH461" s="847">
        <v>47946</v>
      </c>
      <c r="FI461" s="847">
        <v>48904</v>
      </c>
      <c r="FJ461" s="847">
        <v>49881</v>
      </c>
      <c r="FK461" s="847">
        <v>50877</v>
      </c>
      <c r="FL461" s="847">
        <v>51893</v>
      </c>
      <c r="FM461" s="847">
        <v>52929</v>
      </c>
      <c r="FN461" s="847">
        <v>53985</v>
      </c>
      <c r="FO461" s="847">
        <v>55062</v>
      </c>
      <c r="FP461" s="847">
        <v>56160</v>
      </c>
      <c r="FQ461" s="847">
        <v>57279</v>
      </c>
      <c r="FR461" s="847">
        <v>58419</v>
      </c>
      <c r="FS461" s="847">
        <v>59000</v>
      </c>
      <c r="FT461" s="847">
        <v>0</v>
      </c>
      <c r="FU461" s="847">
        <v>0</v>
      </c>
      <c r="FV461" s="847">
        <v>0</v>
      </c>
      <c r="FW461" s="847">
        <v>0</v>
      </c>
      <c r="FX461" s="847">
        <v>0</v>
      </c>
      <c r="FY461" s="847">
        <v>0</v>
      </c>
      <c r="FZ461" s="847">
        <v>0</v>
      </c>
      <c r="GA461" s="847">
        <v>0</v>
      </c>
      <c r="GB461" s="847">
        <v>0</v>
      </c>
      <c r="GC461" s="847">
        <v>0</v>
      </c>
      <c r="GD461" s="847">
        <v>0</v>
      </c>
      <c r="GE461" s="847">
        <v>0</v>
      </c>
      <c r="GF461" s="847">
        <v>0</v>
      </c>
      <c r="GG461" s="847">
        <v>0</v>
      </c>
      <c r="GH461" s="847">
        <v>0</v>
      </c>
      <c r="GI461" s="847">
        <v>0</v>
      </c>
      <c r="GJ461" s="847">
        <v>0</v>
      </c>
      <c r="GK461" s="847">
        <v>0</v>
      </c>
      <c r="GL461" s="847">
        <v>0</v>
      </c>
      <c r="GM461" s="847">
        <v>0</v>
      </c>
      <c r="GN461" s="847">
        <v>0</v>
      </c>
      <c r="GO461" s="847">
        <v>0</v>
      </c>
      <c r="GP461" s="847">
        <v>0</v>
      </c>
      <c r="GQ461" s="847">
        <v>0</v>
      </c>
      <c r="GR461" s="847">
        <v>0</v>
      </c>
      <c r="GS461" s="847">
        <v>0</v>
      </c>
      <c r="GT461" s="847">
        <v>0</v>
      </c>
      <c r="GU461" s="847">
        <v>0</v>
      </c>
      <c r="GV461" s="847">
        <v>0</v>
      </c>
      <c r="GW461" s="847">
        <v>0</v>
      </c>
      <c r="GX461" s="847">
        <v>0</v>
      </c>
      <c r="GY461" s="847">
        <v>0</v>
      </c>
      <c r="GZ461" s="847">
        <v>0</v>
      </c>
      <c r="HA461" s="847">
        <v>0</v>
      </c>
      <c r="HB461" s="847">
        <v>0</v>
      </c>
      <c r="HC461" s="847">
        <v>0</v>
      </c>
      <c r="HD461" s="847">
        <v>0</v>
      </c>
      <c r="HE461" s="847">
        <v>0</v>
      </c>
      <c r="HF461" s="847">
        <v>0</v>
      </c>
      <c r="HG461" s="847">
        <v>0</v>
      </c>
      <c r="HH461" s="847">
        <v>0</v>
      </c>
      <c r="HI461" s="847">
        <v>0</v>
      </c>
      <c r="HJ461" s="847">
        <v>0</v>
      </c>
      <c r="HK461" s="847">
        <v>0</v>
      </c>
      <c r="HL461" s="847">
        <v>0</v>
      </c>
      <c r="HM461" s="847">
        <v>0</v>
      </c>
      <c r="HN461" s="847">
        <v>0</v>
      </c>
      <c r="HO461" s="847">
        <v>0</v>
      </c>
      <c r="HP461" s="847">
        <v>0</v>
      </c>
      <c r="HQ461" s="847">
        <v>0</v>
      </c>
      <c r="HR461" s="847">
        <v>0</v>
      </c>
      <c r="HS461" s="847">
        <v>0</v>
      </c>
      <c r="HT461" s="847">
        <v>0</v>
      </c>
      <c r="HU461" s="847">
        <v>0</v>
      </c>
      <c r="HV461" s="847">
        <v>0</v>
      </c>
      <c r="HW461" s="847">
        <v>0</v>
      </c>
      <c r="HX461" s="847">
        <v>0</v>
      </c>
      <c r="HY461" s="847">
        <v>0</v>
      </c>
      <c r="HZ461" s="847">
        <v>0</v>
      </c>
      <c r="IA461" s="847">
        <v>0</v>
      </c>
      <c r="IB461" s="847">
        <v>0</v>
      </c>
      <c r="IC461" s="847">
        <v>0</v>
      </c>
      <c r="ID461" s="847">
        <v>0</v>
      </c>
      <c r="IE461" s="847">
        <v>0</v>
      </c>
      <c r="IF461" s="847">
        <v>0</v>
      </c>
      <c r="IG461" s="847">
        <v>0</v>
      </c>
      <c r="IH461" s="847">
        <v>0</v>
      </c>
      <c r="II461" s="847">
        <v>0</v>
      </c>
      <c r="IJ461" s="847">
        <v>0</v>
      </c>
      <c r="IK461" s="847">
        <v>0</v>
      </c>
    </row>
    <row r="462" spans="12:245" hidden="1">
      <c r="L462" s="843" t="s">
        <v>1060</v>
      </c>
      <c r="M462" s="843" t="s">
        <v>1382</v>
      </c>
      <c r="N462" s="843" t="s">
        <v>97</v>
      </c>
      <c r="O462" s="844">
        <v>71</v>
      </c>
      <c r="P462" s="780" t="str">
        <f t="shared" si="16"/>
        <v>IWT060271</v>
      </c>
      <c r="Q462" s="844">
        <v>2087</v>
      </c>
      <c r="R462" s="844">
        <v>6407</v>
      </c>
      <c r="S462" s="844">
        <v>11331</v>
      </c>
      <c r="T462" s="844">
        <v>16875</v>
      </c>
      <c r="U462" s="844">
        <v>23057</v>
      </c>
      <c r="V462" s="844">
        <v>29600</v>
      </c>
      <c r="W462" s="844">
        <v>30423</v>
      </c>
      <c r="X462" s="844">
        <v>30968</v>
      </c>
      <c r="Y462" s="844">
        <v>31538</v>
      </c>
      <c r="Z462" s="844">
        <v>32139</v>
      </c>
      <c r="AA462" s="844">
        <v>32778</v>
      </c>
      <c r="AB462" s="844">
        <v>33434</v>
      </c>
      <c r="AC462" s="844">
        <v>34102</v>
      </c>
      <c r="AD462" s="844">
        <v>34784</v>
      </c>
      <c r="AE462" s="844">
        <v>35480</v>
      </c>
      <c r="AF462" s="844">
        <v>36189</v>
      </c>
      <c r="AG462" s="844">
        <v>36913</v>
      </c>
      <c r="AH462" s="844">
        <v>37651</v>
      </c>
      <c r="AI462" s="844">
        <v>38404</v>
      </c>
      <c r="AJ462" s="844">
        <v>39172</v>
      </c>
      <c r="AK462" s="844">
        <v>39955</v>
      </c>
      <c r="AL462" s="844">
        <v>40754</v>
      </c>
      <c r="AM462" s="844">
        <v>41568</v>
      </c>
      <c r="AN462" s="844">
        <v>42399</v>
      </c>
      <c r="AO462" s="844">
        <v>43247</v>
      </c>
      <c r="AP462" s="844">
        <v>44111</v>
      </c>
      <c r="AQ462" s="844">
        <v>44993</v>
      </c>
      <c r="AR462" s="844">
        <v>45892</v>
      </c>
      <c r="AS462" s="844">
        <v>46809</v>
      </c>
      <c r="AT462" s="844">
        <v>47744</v>
      </c>
      <c r="AU462" s="844">
        <v>48698</v>
      </c>
      <c r="AV462" s="844">
        <v>49670</v>
      </c>
      <c r="AW462" s="844">
        <v>50662</v>
      </c>
      <c r="AX462" s="844">
        <v>51673</v>
      </c>
      <c r="AY462" s="844">
        <v>52704</v>
      </c>
      <c r="AZ462" s="844">
        <v>53755</v>
      </c>
      <c r="BA462" s="844">
        <v>54827</v>
      </c>
      <c r="BB462" s="844">
        <v>55919</v>
      </c>
      <c r="BC462" s="844">
        <v>57032</v>
      </c>
      <c r="BD462" s="844">
        <v>57600</v>
      </c>
      <c r="BE462" s="844">
        <v>0</v>
      </c>
      <c r="BF462" s="844">
        <v>0</v>
      </c>
      <c r="BG462" s="844">
        <v>0</v>
      </c>
      <c r="BH462" s="844">
        <v>0</v>
      </c>
      <c r="BI462" s="844">
        <v>0</v>
      </c>
      <c r="BJ462" s="844">
        <v>0</v>
      </c>
      <c r="BK462" s="844">
        <v>0</v>
      </c>
      <c r="BL462" s="844">
        <v>0</v>
      </c>
      <c r="BM462" s="844">
        <v>0</v>
      </c>
      <c r="BN462" s="844">
        <v>0</v>
      </c>
      <c r="BO462" s="844">
        <v>0</v>
      </c>
      <c r="BP462" s="844">
        <v>0</v>
      </c>
      <c r="BQ462" s="844">
        <v>0</v>
      </c>
      <c r="BR462" s="844">
        <v>0</v>
      </c>
      <c r="BS462" s="844">
        <v>0</v>
      </c>
      <c r="BT462" s="844">
        <v>0</v>
      </c>
      <c r="BU462" s="844">
        <v>0</v>
      </c>
      <c r="BV462" s="844">
        <v>0</v>
      </c>
      <c r="BW462" s="844">
        <v>0</v>
      </c>
      <c r="BX462" s="844">
        <v>0</v>
      </c>
      <c r="BY462" s="844">
        <v>0</v>
      </c>
      <c r="BZ462" s="844">
        <v>0</v>
      </c>
      <c r="CA462" s="844">
        <v>0</v>
      </c>
      <c r="CB462" s="844">
        <v>0</v>
      </c>
      <c r="CC462" s="844">
        <v>0</v>
      </c>
      <c r="CD462" s="844">
        <v>0</v>
      </c>
      <c r="CE462" s="844">
        <v>0</v>
      </c>
      <c r="CF462" s="844">
        <v>0</v>
      </c>
      <c r="CG462" s="844">
        <v>0</v>
      </c>
      <c r="CH462" s="844">
        <v>0</v>
      </c>
      <c r="CI462" s="844">
        <v>0</v>
      </c>
      <c r="CJ462" s="844">
        <v>0</v>
      </c>
      <c r="CK462" s="844">
        <v>0</v>
      </c>
      <c r="CL462" s="844">
        <v>0</v>
      </c>
      <c r="CM462" s="844">
        <v>0</v>
      </c>
      <c r="CN462" s="844">
        <v>0</v>
      </c>
      <c r="CO462" s="844">
        <v>0</v>
      </c>
      <c r="CP462" s="844">
        <v>0</v>
      </c>
      <c r="CQ462" s="844">
        <v>0</v>
      </c>
      <c r="CR462" s="844">
        <v>0</v>
      </c>
      <c r="CS462" s="844">
        <v>0</v>
      </c>
      <c r="CT462" s="844">
        <v>0</v>
      </c>
      <c r="CU462" s="844">
        <v>0</v>
      </c>
      <c r="CV462" s="844">
        <v>0</v>
      </c>
      <c r="CW462" s="844">
        <v>0</v>
      </c>
      <c r="CX462" s="844">
        <v>0</v>
      </c>
      <c r="CY462" s="844">
        <v>0</v>
      </c>
      <c r="CZ462" s="844">
        <v>0</v>
      </c>
      <c r="DA462" s="844">
        <v>0</v>
      </c>
      <c r="DB462" s="844">
        <v>0</v>
      </c>
      <c r="DC462" s="844">
        <v>0</v>
      </c>
      <c r="DD462" s="844">
        <v>0</v>
      </c>
      <c r="DE462" s="844">
        <v>0</v>
      </c>
      <c r="DF462" s="844">
        <v>0</v>
      </c>
      <c r="DG462" s="844">
        <v>0</v>
      </c>
      <c r="DH462" s="844">
        <v>0</v>
      </c>
      <c r="DI462" s="844">
        <v>0</v>
      </c>
      <c r="DJ462" s="844">
        <v>0</v>
      </c>
      <c r="DK462" s="844">
        <v>0</v>
      </c>
      <c r="DL462" s="844">
        <v>0</v>
      </c>
      <c r="DM462" s="844">
        <v>0</v>
      </c>
      <c r="DN462" s="844">
        <v>0</v>
      </c>
      <c r="DO462" s="844">
        <v>0</v>
      </c>
      <c r="DP462" s="844">
        <v>0</v>
      </c>
      <c r="DQ462" s="844">
        <v>0</v>
      </c>
      <c r="DR462" s="844">
        <v>0</v>
      </c>
      <c r="DS462" s="844">
        <v>0</v>
      </c>
      <c r="DT462" s="844">
        <v>0</v>
      </c>
      <c r="DU462" s="844">
        <v>0</v>
      </c>
      <c r="DV462" s="844">
        <v>0</v>
      </c>
      <c r="DW462" s="844">
        <v>0</v>
      </c>
      <c r="DY462" s="846" t="s">
        <v>1060</v>
      </c>
      <c r="DZ462" s="846" t="s">
        <v>1382</v>
      </c>
      <c r="EA462" s="846" t="s">
        <v>97</v>
      </c>
      <c r="EB462" s="847">
        <v>71</v>
      </c>
      <c r="EC462" s="780" t="str">
        <f t="shared" si="17"/>
        <v>IWT060271</v>
      </c>
      <c r="ED462" s="847">
        <v>0</v>
      </c>
      <c r="EE462" s="847">
        <v>2783</v>
      </c>
      <c r="EF462" s="847">
        <v>8009</v>
      </c>
      <c r="EG462" s="847">
        <v>13330</v>
      </c>
      <c r="EH462" s="847">
        <v>18750</v>
      </c>
      <c r="EI462" s="847">
        <v>24271</v>
      </c>
      <c r="EJ462" s="847">
        <v>29899</v>
      </c>
      <c r="EK462" s="847">
        <v>30423</v>
      </c>
      <c r="EL462" s="847">
        <v>30968</v>
      </c>
      <c r="EM462" s="847">
        <v>31538</v>
      </c>
      <c r="EN462" s="847">
        <v>32139</v>
      </c>
      <c r="EO462" s="847">
        <v>32778</v>
      </c>
      <c r="EP462" s="847">
        <v>33434</v>
      </c>
      <c r="EQ462" s="847">
        <v>34102</v>
      </c>
      <c r="ER462" s="847">
        <v>34784</v>
      </c>
      <c r="ES462" s="847">
        <v>35480</v>
      </c>
      <c r="ET462" s="847">
        <v>36189</v>
      </c>
      <c r="EU462" s="847">
        <v>36913</v>
      </c>
      <c r="EV462" s="847">
        <v>37651</v>
      </c>
      <c r="EW462" s="847">
        <v>38404</v>
      </c>
      <c r="EX462" s="847">
        <v>39172</v>
      </c>
      <c r="EY462" s="847">
        <v>39955</v>
      </c>
      <c r="EZ462" s="847">
        <v>40754</v>
      </c>
      <c r="FA462" s="847">
        <v>41568</v>
      </c>
      <c r="FB462" s="847">
        <v>42399</v>
      </c>
      <c r="FC462" s="847">
        <v>43247</v>
      </c>
      <c r="FD462" s="847">
        <v>44111</v>
      </c>
      <c r="FE462" s="847">
        <v>44993</v>
      </c>
      <c r="FF462" s="847">
        <v>45892</v>
      </c>
      <c r="FG462" s="847">
        <v>46809</v>
      </c>
      <c r="FH462" s="847">
        <v>47744</v>
      </c>
      <c r="FI462" s="847">
        <v>48698</v>
      </c>
      <c r="FJ462" s="847">
        <v>49670</v>
      </c>
      <c r="FK462" s="847">
        <v>50662</v>
      </c>
      <c r="FL462" s="847">
        <v>51673</v>
      </c>
      <c r="FM462" s="847">
        <v>52704</v>
      </c>
      <c r="FN462" s="847">
        <v>53755</v>
      </c>
      <c r="FO462" s="847">
        <v>54827</v>
      </c>
      <c r="FP462" s="847">
        <v>55919</v>
      </c>
      <c r="FQ462" s="847">
        <v>57032</v>
      </c>
      <c r="FR462" s="847">
        <v>57600</v>
      </c>
      <c r="FS462" s="847">
        <v>0</v>
      </c>
      <c r="FT462" s="847">
        <v>0</v>
      </c>
      <c r="FU462" s="847">
        <v>0</v>
      </c>
      <c r="FV462" s="847">
        <v>0</v>
      </c>
      <c r="FW462" s="847">
        <v>0</v>
      </c>
      <c r="FX462" s="847">
        <v>0</v>
      </c>
      <c r="FY462" s="847">
        <v>0</v>
      </c>
      <c r="FZ462" s="847">
        <v>0</v>
      </c>
      <c r="GA462" s="847">
        <v>0</v>
      </c>
      <c r="GB462" s="847">
        <v>0</v>
      </c>
      <c r="GC462" s="847">
        <v>0</v>
      </c>
      <c r="GD462" s="847">
        <v>0</v>
      </c>
      <c r="GE462" s="847">
        <v>0</v>
      </c>
      <c r="GF462" s="847">
        <v>0</v>
      </c>
      <c r="GG462" s="847">
        <v>0</v>
      </c>
      <c r="GH462" s="847">
        <v>0</v>
      </c>
      <c r="GI462" s="847">
        <v>0</v>
      </c>
      <c r="GJ462" s="847">
        <v>0</v>
      </c>
      <c r="GK462" s="847">
        <v>0</v>
      </c>
      <c r="GL462" s="847">
        <v>0</v>
      </c>
      <c r="GM462" s="847">
        <v>0</v>
      </c>
      <c r="GN462" s="847">
        <v>0</v>
      </c>
      <c r="GO462" s="847">
        <v>0</v>
      </c>
      <c r="GP462" s="847">
        <v>0</v>
      </c>
      <c r="GQ462" s="847">
        <v>0</v>
      </c>
      <c r="GR462" s="847">
        <v>0</v>
      </c>
      <c r="GS462" s="847">
        <v>0</v>
      </c>
      <c r="GT462" s="847">
        <v>0</v>
      </c>
      <c r="GU462" s="847">
        <v>0</v>
      </c>
      <c r="GV462" s="847">
        <v>0</v>
      </c>
      <c r="GW462" s="847">
        <v>0</v>
      </c>
      <c r="GX462" s="847">
        <v>0</v>
      </c>
      <c r="GY462" s="847">
        <v>0</v>
      </c>
      <c r="GZ462" s="847">
        <v>0</v>
      </c>
      <c r="HA462" s="847">
        <v>0</v>
      </c>
      <c r="HB462" s="847">
        <v>0</v>
      </c>
      <c r="HC462" s="847">
        <v>0</v>
      </c>
      <c r="HD462" s="847">
        <v>0</v>
      </c>
      <c r="HE462" s="847">
        <v>0</v>
      </c>
      <c r="HF462" s="847">
        <v>0</v>
      </c>
      <c r="HG462" s="847">
        <v>0</v>
      </c>
      <c r="HH462" s="847">
        <v>0</v>
      </c>
      <c r="HI462" s="847">
        <v>0</v>
      </c>
      <c r="HJ462" s="847">
        <v>0</v>
      </c>
      <c r="HK462" s="847">
        <v>0</v>
      </c>
      <c r="HL462" s="847">
        <v>0</v>
      </c>
      <c r="HM462" s="847">
        <v>0</v>
      </c>
      <c r="HN462" s="847">
        <v>0</v>
      </c>
      <c r="HO462" s="847">
        <v>0</v>
      </c>
      <c r="HP462" s="847">
        <v>0</v>
      </c>
      <c r="HQ462" s="847">
        <v>0</v>
      </c>
      <c r="HR462" s="847">
        <v>0</v>
      </c>
      <c r="HS462" s="847">
        <v>0</v>
      </c>
      <c r="HT462" s="847">
        <v>0</v>
      </c>
      <c r="HU462" s="847">
        <v>0</v>
      </c>
      <c r="HV462" s="847">
        <v>0</v>
      </c>
      <c r="HW462" s="847">
        <v>0</v>
      </c>
      <c r="HX462" s="847">
        <v>0</v>
      </c>
      <c r="HY462" s="847">
        <v>0</v>
      </c>
      <c r="HZ462" s="847">
        <v>0</v>
      </c>
      <c r="IA462" s="847">
        <v>0</v>
      </c>
      <c r="IB462" s="847">
        <v>0</v>
      </c>
      <c r="IC462" s="847">
        <v>0</v>
      </c>
      <c r="ID462" s="847">
        <v>0</v>
      </c>
      <c r="IE462" s="847">
        <v>0</v>
      </c>
      <c r="IF462" s="847">
        <v>0</v>
      </c>
      <c r="IG462" s="847">
        <v>0</v>
      </c>
      <c r="IH462" s="847">
        <v>0</v>
      </c>
      <c r="II462" s="847">
        <v>0</v>
      </c>
      <c r="IJ462" s="847">
        <v>0</v>
      </c>
      <c r="IK462" s="847">
        <v>0</v>
      </c>
    </row>
    <row r="463" spans="12:245" hidden="1">
      <c r="L463" s="843" t="s">
        <v>1060</v>
      </c>
      <c r="M463" s="843" t="s">
        <v>1382</v>
      </c>
      <c r="N463" s="843" t="s">
        <v>97</v>
      </c>
      <c r="O463" s="844">
        <v>72</v>
      </c>
      <c r="P463" s="780" t="str">
        <f t="shared" si="16"/>
        <v>IWT060272</v>
      </c>
      <c r="Q463" s="844">
        <v>2054</v>
      </c>
      <c r="R463" s="844">
        <v>6367</v>
      </c>
      <c r="S463" s="844">
        <v>11283</v>
      </c>
      <c r="T463" s="844">
        <v>16817</v>
      </c>
      <c r="U463" s="844">
        <v>22986</v>
      </c>
      <c r="V463" s="844">
        <v>29514</v>
      </c>
      <c r="W463" s="844">
        <v>30322</v>
      </c>
      <c r="X463" s="844">
        <v>30852</v>
      </c>
      <c r="Y463" s="844">
        <v>31407</v>
      </c>
      <c r="Z463" s="844">
        <v>31994</v>
      </c>
      <c r="AA463" s="844">
        <v>32621</v>
      </c>
      <c r="AB463" s="844">
        <v>33273</v>
      </c>
      <c r="AC463" s="844">
        <v>33938</v>
      </c>
      <c r="AD463" s="844">
        <v>34617</v>
      </c>
      <c r="AE463" s="844">
        <v>35309</v>
      </c>
      <c r="AF463" s="844">
        <v>36015</v>
      </c>
      <c r="AG463" s="844">
        <v>36735</v>
      </c>
      <c r="AH463" s="844">
        <v>37470</v>
      </c>
      <c r="AI463" s="844">
        <v>38219</v>
      </c>
      <c r="AJ463" s="844">
        <v>38983</v>
      </c>
      <c r="AK463" s="844">
        <v>39762</v>
      </c>
      <c r="AL463" s="844">
        <v>40557</v>
      </c>
      <c r="AM463" s="844">
        <v>41368</v>
      </c>
      <c r="AN463" s="844">
        <v>42195</v>
      </c>
      <c r="AO463" s="844">
        <v>43038</v>
      </c>
      <c r="AP463" s="844">
        <v>43898</v>
      </c>
      <c r="AQ463" s="844">
        <v>44775</v>
      </c>
      <c r="AR463" s="844">
        <v>45670</v>
      </c>
      <c r="AS463" s="844">
        <v>46582</v>
      </c>
      <c r="AT463" s="844">
        <v>47513</v>
      </c>
      <c r="AU463" s="844">
        <v>48462</v>
      </c>
      <c r="AV463" s="844">
        <v>49429</v>
      </c>
      <c r="AW463" s="844">
        <v>50416</v>
      </c>
      <c r="AX463" s="844">
        <v>51422</v>
      </c>
      <c r="AY463" s="844">
        <v>52448</v>
      </c>
      <c r="AZ463" s="844">
        <v>53494</v>
      </c>
      <c r="BA463" s="844">
        <v>54560</v>
      </c>
      <c r="BB463" s="844">
        <v>55646</v>
      </c>
      <c r="BC463" s="844">
        <v>56200</v>
      </c>
      <c r="BD463" s="844">
        <v>0</v>
      </c>
      <c r="BE463" s="844">
        <v>0</v>
      </c>
      <c r="BF463" s="844">
        <v>0</v>
      </c>
      <c r="BG463" s="844">
        <v>0</v>
      </c>
      <c r="BH463" s="844">
        <v>0</v>
      </c>
      <c r="BI463" s="844">
        <v>0</v>
      </c>
      <c r="BJ463" s="844">
        <v>0</v>
      </c>
      <c r="BK463" s="844">
        <v>0</v>
      </c>
      <c r="BL463" s="844">
        <v>0</v>
      </c>
      <c r="BM463" s="844">
        <v>0</v>
      </c>
      <c r="BN463" s="844">
        <v>0</v>
      </c>
      <c r="BO463" s="844">
        <v>0</v>
      </c>
      <c r="BP463" s="844">
        <v>0</v>
      </c>
      <c r="BQ463" s="844">
        <v>0</v>
      </c>
      <c r="BR463" s="844">
        <v>0</v>
      </c>
      <c r="BS463" s="844">
        <v>0</v>
      </c>
      <c r="BT463" s="844">
        <v>0</v>
      </c>
      <c r="BU463" s="844">
        <v>0</v>
      </c>
      <c r="BV463" s="844">
        <v>0</v>
      </c>
      <c r="BW463" s="844">
        <v>0</v>
      </c>
      <c r="BX463" s="844">
        <v>0</v>
      </c>
      <c r="BY463" s="844">
        <v>0</v>
      </c>
      <c r="BZ463" s="844">
        <v>0</v>
      </c>
      <c r="CA463" s="844">
        <v>0</v>
      </c>
      <c r="CB463" s="844">
        <v>0</v>
      </c>
      <c r="CC463" s="844">
        <v>0</v>
      </c>
      <c r="CD463" s="844">
        <v>0</v>
      </c>
      <c r="CE463" s="844">
        <v>0</v>
      </c>
      <c r="CF463" s="844">
        <v>0</v>
      </c>
      <c r="CG463" s="844">
        <v>0</v>
      </c>
      <c r="CH463" s="844">
        <v>0</v>
      </c>
      <c r="CI463" s="844">
        <v>0</v>
      </c>
      <c r="CJ463" s="844">
        <v>0</v>
      </c>
      <c r="CK463" s="844">
        <v>0</v>
      </c>
      <c r="CL463" s="844">
        <v>0</v>
      </c>
      <c r="CM463" s="844">
        <v>0</v>
      </c>
      <c r="CN463" s="844">
        <v>0</v>
      </c>
      <c r="CO463" s="844">
        <v>0</v>
      </c>
      <c r="CP463" s="844">
        <v>0</v>
      </c>
      <c r="CQ463" s="844">
        <v>0</v>
      </c>
      <c r="CR463" s="844">
        <v>0</v>
      </c>
      <c r="CS463" s="844">
        <v>0</v>
      </c>
      <c r="CT463" s="844">
        <v>0</v>
      </c>
      <c r="CU463" s="844">
        <v>0</v>
      </c>
      <c r="CV463" s="844">
        <v>0</v>
      </c>
      <c r="CW463" s="844">
        <v>0</v>
      </c>
      <c r="CX463" s="844">
        <v>0</v>
      </c>
      <c r="CY463" s="844">
        <v>0</v>
      </c>
      <c r="CZ463" s="844">
        <v>0</v>
      </c>
      <c r="DA463" s="844">
        <v>0</v>
      </c>
      <c r="DB463" s="844">
        <v>0</v>
      </c>
      <c r="DC463" s="844">
        <v>0</v>
      </c>
      <c r="DD463" s="844">
        <v>0</v>
      </c>
      <c r="DE463" s="844">
        <v>0</v>
      </c>
      <c r="DF463" s="844">
        <v>0</v>
      </c>
      <c r="DG463" s="844">
        <v>0</v>
      </c>
      <c r="DH463" s="844">
        <v>0</v>
      </c>
      <c r="DI463" s="844">
        <v>0</v>
      </c>
      <c r="DJ463" s="844">
        <v>0</v>
      </c>
      <c r="DK463" s="844">
        <v>0</v>
      </c>
      <c r="DL463" s="844">
        <v>0</v>
      </c>
      <c r="DM463" s="844">
        <v>0</v>
      </c>
      <c r="DN463" s="844">
        <v>0</v>
      </c>
      <c r="DO463" s="844">
        <v>0</v>
      </c>
      <c r="DP463" s="844">
        <v>0</v>
      </c>
      <c r="DQ463" s="844">
        <v>0</v>
      </c>
      <c r="DR463" s="844">
        <v>0</v>
      </c>
      <c r="DS463" s="844">
        <v>0</v>
      </c>
      <c r="DT463" s="844">
        <v>0</v>
      </c>
      <c r="DU463" s="844">
        <v>0</v>
      </c>
      <c r="DV463" s="844">
        <v>0</v>
      </c>
      <c r="DW463" s="844">
        <v>0</v>
      </c>
      <c r="DY463" s="846" t="s">
        <v>1060</v>
      </c>
      <c r="DZ463" s="846" t="s">
        <v>1382</v>
      </c>
      <c r="EA463" s="846" t="s">
        <v>97</v>
      </c>
      <c r="EB463" s="847">
        <v>72</v>
      </c>
      <c r="EC463" s="780" t="str">
        <f t="shared" si="17"/>
        <v>IWT060272</v>
      </c>
      <c r="ED463" s="847">
        <v>0</v>
      </c>
      <c r="EE463" s="847">
        <v>2739</v>
      </c>
      <c r="EF463" s="847">
        <v>7959</v>
      </c>
      <c r="EG463" s="847">
        <v>13274</v>
      </c>
      <c r="EH463" s="847">
        <v>18685</v>
      </c>
      <c r="EI463" s="847">
        <v>24196</v>
      </c>
      <c r="EJ463" s="847">
        <v>29812</v>
      </c>
      <c r="EK463" s="847">
        <v>30322</v>
      </c>
      <c r="EL463" s="847">
        <v>30852</v>
      </c>
      <c r="EM463" s="847">
        <v>31407</v>
      </c>
      <c r="EN463" s="847">
        <v>31994</v>
      </c>
      <c r="EO463" s="847">
        <v>32621</v>
      </c>
      <c r="EP463" s="847">
        <v>33273</v>
      </c>
      <c r="EQ463" s="847">
        <v>33938</v>
      </c>
      <c r="ER463" s="847">
        <v>34617</v>
      </c>
      <c r="ES463" s="847">
        <v>35309</v>
      </c>
      <c r="ET463" s="847">
        <v>36015</v>
      </c>
      <c r="EU463" s="847">
        <v>36735</v>
      </c>
      <c r="EV463" s="847">
        <v>37470</v>
      </c>
      <c r="EW463" s="847">
        <v>38219</v>
      </c>
      <c r="EX463" s="847">
        <v>38983</v>
      </c>
      <c r="EY463" s="847">
        <v>39762</v>
      </c>
      <c r="EZ463" s="847">
        <v>40557</v>
      </c>
      <c r="FA463" s="847">
        <v>41368</v>
      </c>
      <c r="FB463" s="847">
        <v>42195</v>
      </c>
      <c r="FC463" s="847">
        <v>43038</v>
      </c>
      <c r="FD463" s="847">
        <v>43898</v>
      </c>
      <c r="FE463" s="847">
        <v>44775</v>
      </c>
      <c r="FF463" s="847">
        <v>45670</v>
      </c>
      <c r="FG463" s="847">
        <v>46582</v>
      </c>
      <c r="FH463" s="847">
        <v>47513</v>
      </c>
      <c r="FI463" s="847">
        <v>48462</v>
      </c>
      <c r="FJ463" s="847">
        <v>49429</v>
      </c>
      <c r="FK463" s="847">
        <v>50416</v>
      </c>
      <c r="FL463" s="847">
        <v>51422</v>
      </c>
      <c r="FM463" s="847">
        <v>52448</v>
      </c>
      <c r="FN463" s="847">
        <v>53494</v>
      </c>
      <c r="FO463" s="847">
        <v>54560</v>
      </c>
      <c r="FP463" s="847">
        <v>55646</v>
      </c>
      <c r="FQ463" s="847">
        <v>56200</v>
      </c>
      <c r="FR463" s="847">
        <v>0</v>
      </c>
      <c r="FS463" s="847">
        <v>0</v>
      </c>
      <c r="FT463" s="847">
        <v>0</v>
      </c>
      <c r="FU463" s="847">
        <v>0</v>
      </c>
      <c r="FV463" s="847">
        <v>0</v>
      </c>
      <c r="FW463" s="847">
        <v>0</v>
      </c>
      <c r="FX463" s="847">
        <v>0</v>
      </c>
      <c r="FY463" s="847">
        <v>0</v>
      </c>
      <c r="FZ463" s="847">
        <v>0</v>
      </c>
      <c r="GA463" s="847">
        <v>0</v>
      </c>
      <c r="GB463" s="847">
        <v>0</v>
      </c>
      <c r="GC463" s="847">
        <v>0</v>
      </c>
      <c r="GD463" s="847">
        <v>0</v>
      </c>
      <c r="GE463" s="847">
        <v>0</v>
      </c>
      <c r="GF463" s="847">
        <v>0</v>
      </c>
      <c r="GG463" s="847">
        <v>0</v>
      </c>
      <c r="GH463" s="847">
        <v>0</v>
      </c>
      <c r="GI463" s="847">
        <v>0</v>
      </c>
      <c r="GJ463" s="847">
        <v>0</v>
      </c>
      <c r="GK463" s="847">
        <v>0</v>
      </c>
      <c r="GL463" s="847">
        <v>0</v>
      </c>
      <c r="GM463" s="847">
        <v>0</v>
      </c>
      <c r="GN463" s="847">
        <v>0</v>
      </c>
      <c r="GO463" s="847">
        <v>0</v>
      </c>
      <c r="GP463" s="847">
        <v>0</v>
      </c>
      <c r="GQ463" s="847">
        <v>0</v>
      </c>
      <c r="GR463" s="847">
        <v>0</v>
      </c>
      <c r="GS463" s="847">
        <v>0</v>
      </c>
      <c r="GT463" s="847">
        <v>0</v>
      </c>
      <c r="GU463" s="847">
        <v>0</v>
      </c>
      <c r="GV463" s="847">
        <v>0</v>
      </c>
      <c r="GW463" s="847">
        <v>0</v>
      </c>
      <c r="GX463" s="847">
        <v>0</v>
      </c>
      <c r="GY463" s="847">
        <v>0</v>
      </c>
      <c r="GZ463" s="847">
        <v>0</v>
      </c>
      <c r="HA463" s="847">
        <v>0</v>
      </c>
      <c r="HB463" s="847">
        <v>0</v>
      </c>
      <c r="HC463" s="847">
        <v>0</v>
      </c>
      <c r="HD463" s="847">
        <v>0</v>
      </c>
      <c r="HE463" s="847">
        <v>0</v>
      </c>
      <c r="HF463" s="847">
        <v>0</v>
      </c>
      <c r="HG463" s="847">
        <v>0</v>
      </c>
      <c r="HH463" s="847">
        <v>0</v>
      </c>
      <c r="HI463" s="847">
        <v>0</v>
      </c>
      <c r="HJ463" s="847">
        <v>0</v>
      </c>
      <c r="HK463" s="847">
        <v>0</v>
      </c>
      <c r="HL463" s="847">
        <v>0</v>
      </c>
      <c r="HM463" s="847">
        <v>0</v>
      </c>
      <c r="HN463" s="847">
        <v>0</v>
      </c>
      <c r="HO463" s="847">
        <v>0</v>
      </c>
      <c r="HP463" s="847">
        <v>0</v>
      </c>
      <c r="HQ463" s="847">
        <v>0</v>
      </c>
      <c r="HR463" s="847">
        <v>0</v>
      </c>
      <c r="HS463" s="847">
        <v>0</v>
      </c>
      <c r="HT463" s="847">
        <v>0</v>
      </c>
      <c r="HU463" s="847">
        <v>0</v>
      </c>
      <c r="HV463" s="847">
        <v>0</v>
      </c>
      <c r="HW463" s="847">
        <v>0</v>
      </c>
      <c r="HX463" s="847">
        <v>0</v>
      </c>
      <c r="HY463" s="847">
        <v>0</v>
      </c>
      <c r="HZ463" s="847">
        <v>0</v>
      </c>
      <c r="IA463" s="847">
        <v>0</v>
      </c>
      <c r="IB463" s="847">
        <v>0</v>
      </c>
      <c r="IC463" s="847">
        <v>0</v>
      </c>
      <c r="ID463" s="847">
        <v>0</v>
      </c>
      <c r="IE463" s="847">
        <v>0</v>
      </c>
      <c r="IF463" s="847">
        <v>0</v>
      </c>
      <c r="IG463" s="847">
        <v>0</v>
      </c>
      <c r="IH463" s="847">
        <v>0</v>
      </c>
      <c r="II463" s="847">
        <v>0</v>
      </c>
      <c r="IJ463" s="847">
        <v>0</v>
      </c>
      <c r="IK463" s="847">
        <v>0</v>
      </c>
    </row>
    <row r="464" spans="12:245" hidden="1">
      <c r="L464" s="843" t="s">
        <v>1060</v>
      </c>
      <c r="M464" s="843" t="s">
        <v>1382</v>
      </c>
      <c r="N464" s="843" t="s">
        <v>97</v>
      </c>
      <c r="O464" s="844">
        <v>73</v>
      </c>
      <c r="P464" s="780" t="str">
        <f t="shared" si="16"/>
        <v>IWT060273</v>
      </c>
      <c r="Q464" s="844">
        <v>2018</v>
      </c>
      <c r="R464" s="844">
        <v>6326</v>
      </c>
      <c r="S464" s="844">
        <v>11232</v>
      </c>
      <c r="T464" s="844">
        <v>16755</v>
      </c>
      <c r="U464" s="844">
        <v>22912</v>
      </c>
      <c r="V464" s="844">
        <v>29424</v>
      </c>
      <c r="W464" s="844">
        <v>30214</v>
      </c>
      <c r="X464" s="844">
        <v>30727</v>
      </c>
      <c r="Y464" s="844">
        <v>31265</v>
      </c>
      <c r="Z464" s="844">
        <v>31835</v>
      </c>
      <c r="AA464" s="844">
        <v>32444</v>
      </c>
      <c r="AB464" s="844">
        <v>33093</v>
      </c>
      <c r="AC464" s="844">
        <v>33755</v>
      </c>
      <c r="AD464" s="844">
        <v>34430</v>
      </c>
      <c r="AE464" s="844">
        <v>35118</v>
      </c>
      <c r="AF464" s="844">
        <v>35820</v>
      </c>
      <c r="AG464" s="844">
        <v>36537</v>
      </c>
      <c r="AH464" s="844">
        <v>37267</v>
      </c>
      <c r="AI464" s="844">
        <v>38012</v>
      </c>
      <c r="AJ464" s="844">
        <v>38772</v>
      </c>
      <c r="AK464" s="844">
        <v>39547</v>
      </c>
      <c r="AL464" s="844">
        <v>40338</v>
      </c>
      <c r="AM464" s="844">
        <v>41144</v>
      </c>
      <c r="AN464" s="844">
        <v>41967</v>
      </c>
      <c r="AO464" s="844">
        <v>42805</v>
      </c>
      <c r="AP464" s="844">
        <v>43661</v>
      </c>
      <c r="AQ464" s="844">
        <v>44533</v>
      </c>
      <c r="AR464" s="844">
        <v>45423</v>
      </c>
      <c r="AS464" s="844">
        <v>46330</v>
      </c>
      <c r="AT464" s="844">
        <v>47255</v>
      </c>
      <c r="AU464" s="844">
        <v>48199</v>
      </c>
      <c r="AV464" s="844">
        <v>49161</v>
      </c>
      <c r="AW464" s="844">
        <v>50142</v>
      </c>
      <c r="AX464" s="844">
        <v>51142</v>
      </c>
      <c r="AY464" s="844">
        <v>52162</v>
      </c>
      <c r="AZ464" s="844">
        <v>53201</v>
      </c>
      <c r="BA464" s="844">
        <v>54260</v>
      </c>
      <c r="BB464" s="844">
        <v>54800</v>
      </c>
      <c r="BC464" s="844">
        <v>0</v>
      </c>
      <c r="BD464" s="844">
        <v>0</v>
      </c>
      <c r="BE464" s="844">
        <v>0</v>
      </c>
      <c r="BF464" s="844">
        <v>0</v>
      </c>
      <c r="BG464" s="844">
        <v>0</v>
      </c>
      <c r="BH464" s="844">
        <v>0</v>
      </c>
      <c r="BI464" s="844">
        <v>0</v>
      </c>
      <c r="BJ464" s="844">
        <v>0</v>
      </c>
      <c r="BK464" s="844">
        <v>0</v>
      </c>
      <c r="BL464" s="844">
        <v>0</v>
      </c>
      <c r="BM464" s="844">
        <v>0</v>
      </c>
      <c r="BN464" s="844">
        <v>0</v>
      </c>
      <c r="BO464" s="844">
        <v>0</v>
      </c>
      <c r="BP464" s="844">
        <v>0</v>
      </c>
      <c r="BQ464" s="844">
        <v>0</v>
      </c>
      <c r="BR464" s="844">
        <v>0</v>
      </c>
      <c r="BS464" s="844">
        <v>0</v>
      </c>
      <c r="BT464" s="844">
        <v>0</v>
      </c>
      <c r="BU464" s="844">
        <v>0</v>
      </c>
      <c r="BV464" s="844">
        <v>0</v>
      </c>
      <c r="BW464" s="844">
        <v>0</v>
      </c>
      <c r="BX464" s="844">
        <v>0</v>
      </c>
      <c r="BY464" s="844">
        <v>0</v>
      </c>
      <c r="BZ464" s="844">
        <v>0</v>
      </c>
      <c r="CA464" s="844">
        <v>0</v>
      </c>
      <c r="CB464" s="844">
        <v>0</v>
      </c>
      <c r="CC464" s="844">
        <v>0</v>
      </c>
      <c r="CD464" s="844">
        <v>0</v>
      </c>
      <c r="CE464" s="844">
        <v>0</v>
      </c>
      <c r="CF464" s="844">
        <v>0</v>
      </c>
      <c r="CG464" s="844">
        <v>0</v>
      </c>
      <c r="CH464" s="844">
        <v>0</v>
      </c>
      <c r="CI464" s="844">
        <v>0</v>
      </c>
      <c r="CJ464" s="844">
        <v>0</v>
      </c>
      <c r="CK464" s="844">
        <v>0</v>
      </c>
      <c r="CL464" s="844">
        <v>0</v>
      </c>
      <c r="CM464" s="844">
        <v>0</v>
      </c>
      <c r="CN464" s="844">
        <v>0</v>
      </c>
      <c r="CO464" s="844">
        <v>0</v>
      </c>
      <c r="CP464" s="844">
        <v>0</v>
      </c>
      <c r="CQ464" s="844">
        <v>0</v>
      </c>
      <c r="CR464" s="844">
        <v>0</v>
      </c>
      <c r="CS464" s="844">
        <v>0</v>
      </c>
      <c r="CT464" s="844">
        <v>0</v>
      </c>
      <c r="CU464" s="844">
        <v>0</v>
      </c>
      <c r="CV464" s="844">
        <v>0</v>
      </c>
      <c r="CW464" s="844">
        <v>0</v>
      </c>
      <c r="CX464" s="844">
        <v>0</v>
      </c>
      <c r="CY464" s="844">
        <v>0</v>
      </c>
      <c r="CZ464" s="844">
        <v>0</v>
      </c>
      <c r="DA464" s="844">
        <v>0</v>
      </c>
      <c r="DB464" s="844">
        <v>0</v>
      </c>
      <c r="DC464" s="844">
        <v>0</v>
      </c>
      <c r="DD464" s="844">
        <v>0</v>
      </c>
      <c r="DE464" s="844">
        <v>0</v>
      </c>
      <c r="DF464" s="844">
        <v>0</v>
      </c>
      <c r="DG464" s="844">
        <v>0</v>
      </c>
      <c r="DH464" s="844">
        <v>0</v>
      </c>
      <c r="DI464" s="844">
        <v>0</v>
      </c>
      <c r="DJ464" s="844">
        <v>0</v>
      </c>
      <c r="DK464" s="844">
        <v>0</v>
      </c>
      <c r="DL464" s="844">
        <v>0</v>
      </c>
      <c r="DM464" s="844">
        <v>0</v>
      </c>
      <c r="DN464" s="844">
        <v>0</v>
      </c>
      <c r="DO464" s="844">
        <v>0</v>
      </c>
      <c r="DP464" s="844">
        <v>0</v>
      </c>
      <c r="DQ464" s="844">
        <v>0</v>
      </c>
      <c r="DR464" s="844">
        <v>0</v>
      </c>
      <c r="DS464" s="844">
        <v>0</v>
      </c>
      <c r="DT464" s="844">
        <v>0</v>
      </c>
      <c r="DU464" s="844">
        <v>0</v>
      </c>
      <c r="DV464" s="844">
        <v>0</v>
      </c>
      <c r="DW464" s="844">
        <v>0</v>
      </c>
      <c r="DY464" s="846" t="s">
        <v>1060</v>
      </c>
      <c r="DZ464" s="846" t="s">
        <v>1382</v>
      </c>
      <c r="EA464" s="846" t="s">
        <v>97</v>
      </c>
      <c r="EB464" s="847">
        <v>73</v>
      </c>
      <c r="EC464" s="780" t="str">
        <f t="shared" si="17"/>
        <v>IWT060273</v>
      </c>
      <c r="ED464" s="847">
        <v>0</v>
      </c>
      <c r="EE464" s="847">
        <v>2691</v>
      </c>
      <c r="EF464" s="847">
        <v>7907</v>
      </c>
      <c r="EG464" s="847">
        <v>13214</v>
      </c>
      <c r="EH464" s="847">
        <v>18617</v>
      </c>
      <c r="EI464" s="847">
        <v>24118</v>
      </c>
      <c r="EJ464" s="847">
        <v>29721</v>
      </c>
      <c r="EK464" s="847">
        <v>30214</v>
      </c>
      <c r="EL464" s="847">
        <v>30727</v>
      </c>
      <c r="EM464" s="847">
        <v>31265</v>
      </c>
      <c r="EN464" s="847">
        <v>31835</v>
      </c>
      <c r="EO464" s="847">
        <v>32444</v>
      </c>
      <c r="EP464" s="847">
        <v>33093</v>
      </c>
      <c r="EQ464" s="847">
        <v>33755</v>
      </c>
      <c r="ER464" s="847">
        <v>34430</v>
      </c>
      <c r="ES464" s="847">
        <v>35118</v>
      </c>
      <c r="ET464" s="847">
        <v>35820</v>
      </c>
      <c r="EU464" s="847">
        <v>36537</v>
      </c>
      <c r="EV464" s="847">
        <v>37267</v>
      </c>
      <c r="EW464" s="847">
        <v>38012</v>
      </c>
      <c r="EX464" s="847">
        <v>38772</v>
      </c>
      <c r="EY464" s="847">
        <v>39547</v>
      </c>
      <c r="EZ464" s="847">
        <v>40338</v>
      </c>
      <c r="FA464" s="847">
        <v>41144</v>
      </c>
      <c r="FB464" s="847">
        <v>41967</v>
      </c>
      <c r="FC464" s="847">
        <v>42805</v>
      </c>
      <c r="FD464" s="847">
        <v>43661</v>
      </c>
      <c r="FE464" s="847">
        <v>44533</v>
      </c>
      <c r="FF464" s="847">
        <v>45423</v>
      </c>
      <c r="FG464" s="847">
        <v>46330</v>
      </c>
      <c r="FH464" s="847">
        <v>47255</v>
      </c>
      <c r="FI464" s="847">
        <v>48199</v>
      </c>
      <c r="FJ464" s="847">
        <v>49161</v>
      </c>
      <c r="FK464" s="847">
        <v>50142</v>
      </c>
      <c r="FL464" s="847">
        <v>51142</v>
      </c>
      <c r="FM464" s="847">
        <v>52162</v>
      </c>
      <c r="FN464" s="847">
        <v>53201</v>
      </c>
      <c r="FO464" s="847">
        <v>54260</v>
      </c>
      <c r="FP464" s="847">
        <v>54800</v>
      </c>
      <c r="FQ464" s="847">
        <v>0</v>
      </c>
      <c r="FR464" s="847">
        <v>0</v>
      </c>
      <c r="FS464" s="847">
        <v>0</v>
      </c>
      <c r="FT464" s="847">
        <v>0</v>
      </c>
      <c r="FU464" s="847">
        <v>0</v>
      </c>
      <c r="FV464" s="847">
        <v>0</v>
      </c>
      <c r="FW464" s="847">
        <v>0</v>
      </c>
      <c r="FX464" s="847">
        <v>0</v>
      </c>
      <c r="FY464" s="847">
        <v>0</v>
      </c>
      <c r="FZ464" s="847">
        <v>0</v>
      </c>
      <c r="GA464" s="847">
        <v>0</v>
      </c>
      <c r="GB464" s="847">
        <v>0</v>
      </c>
      <c r="GC464" s="847">
        <v>0</v>
      </c>
      <c r="GD464" s="847">
        <v>0</v>
      </c>
      <c r="GE464" s="847">
        <v>0</v>
      </c>
      <c r="GF464" s="847">
        <v>0</v>
      </c>
      <c r="GG464" s="847">
        <v>0</v>
      </c>
      <c r="GH464" s="847">
        <v>0</v>
      </c>
      <c r="GI464" s="847">
        <v>0</v>
      </c>
      <c r="GJ464" s="847">
        <v>0</v>
      </c>
      <c r="GK464" s="847">
        <v>0</v>
      </c>
      <c r="GL464" s="847">
        <v>0</v>
      </c>
      <c r="GM464" s="847">
        <v>0</v>
      </c>
      <c r="GN464" s="847">
        <v>0</v>
      </c>
      <c r="GO464" s="847">
        <v>0</v>
      </c>
      <c r="GP464" s="847">
        <v>0</v>
      </c>
      <c r="GQ464" s="847">
        <v>0</v>
      </c>
      <c r="GR464" s="847">
        <v>0</v>
      </c>
      <c r="GS464" s="847">
        <v>0</v>
      </c>
      <c r="GT464" s="847">
        <v>0</v>
      </c>
      <c r="GU464" s="847">
        <v>0</v>
      </c>
      <c r="GV464" s="847">
        <v>0</v>
      </c>
      <c r="GW464" s="847">
        <v>0</v>
      </c>
      <c r="GX464" s="847">
        <v>0</v>
      </c>
      <c r="GY464" s="847">
        <v>0</v>
      </c>
      <c r="GZ464" s="847">
        <v>0</v>
      </c>
      <c r="HA464" s="847">
        <v>0</v>
      </c>
      <c r="HB464" s="847">
        <v>0</v>
      </c>
      <c r="HC464" s="847">
        <v>0</v>
      </c>
      <c r="HD464" s="847">
        <v>0</v>
      </c>
      <c r="HE464" s="847">
        <v>0</v>
      </c>
      <c r="HF464" s="847">
        <v>0</v>
      </c>
      <c r="HG464" s="847">
        <v>0</v>
      </c>
      <c r="HH464" s="847">
        <v>0</v>
      </c>
      <c r="HI464" s="847">
        <v>0</v>
      </c>
      <c r="HJ464" s="847">
        <v>0</v>
      </c>
      <c r="HK464" s="847">
        <v>0</v>
      </c>
      <c r="HL464" s="847">
        <v>0</v>
      </c>
      <c r="HM464" s="847">
        <v>0</v>
      </c>
      <c r="HN464" s="847">
        <v>0</v>
      </c>
      <c r="HO464" s="847">
        <v>0</v>
      </c>
      <c r="HP464" s="847">
        <v>0</v>
      </c>
      <c r="HQ464" s="847">
        <v>0</v>
      </c>
      <c r="HR464" s="847">
        <v>0</v>
      </c>
      <c r="HS464" s="847">
        <v>0</v>
      </c>
      <c r="HT464" s="847">
        <v>0</v>
      </c>
      <c r="HU464" s="847">
        <v>0</v>
      </c>
      <c r="HV464" s="847">
        <v>0</v>
      </c>
      <c r="HW464" s="847">
        <v>0</v>
      </c>
      <c r="HX464" s="847">
        <v>0</v>
      </c>
      <c r="HY464" s="847">
        <v>0</v>
      </c>
      <c r="HZ464" s="847">
        <v>0</v>
      </c>
      <c r="IA464" s="847">
        <v>0</v>
      </c>
      <c r="IB464" s="847">
        <v>0</v>
      </c>
      <c r="IC464" s="847">
        <v>0</v>
      </c>
      <c r="ID464" s="847">
        <v>0</v>
      </c>
      <c r="IE464" s="847">
        <v>0</v>
      </c>
      <c r="IF464" s="847">
        <v>0</v>
      </c>
      <c r="IG464" s="847">
        <v>0</v>
      </c>
      <c r="IH464" s="847">
        <v>0</v>
      </c>
      <c r="II464" s="847">
        <v>0</v>
      </c>
      <c r="IJ464" s="847">
        <v>0</v>
      </c>
      <c r="IK464" s="847">
        <v>0</v>
      </c>
    </row>
    <row r="465" spans="12:245" hidden="1">
      <c r="L465" s="843" t="s">
        <v>1060</v>
      </c>
      <c r="M465" s="843" t="s">
        <v>1382</v>
      </c>
      <c r="N465" s="843" t="s">
        <v>97</v>
      </c>
      <c r="O465" s="844">
        <v>74</v>
      </c>
      <c r="P465" s="780" t="str">
        <f t="shared" si="16"/>
        <v>IWT060274</v>
      </c>
      <c r="Q465" s="844">
        <v>1979</v>
      </c>
      <c r="R465" s="844">
        <v>6281</v>
      </c>
      <c r="S465" s="844">
        <v>11180</v>
      </c>
      <c r="T465" s="844">
        <v>16692</v>
      </c>
      <c r="U465" s="844">
        <v>22836</v>
      </c>
      <c r="V465" s="844">
        <v>29333</v>
      </c>
      <c r="W465" s="844">
        <v>30103</v>
      </c>
      <c r="X465" s="844">
        <v>30596</v>
      </c>
      <c r="Y465" s="844">
        <v>31114</v>
      </c>
      <c r="Z465" s="844">
        <v>31663</v>
      </c>
      <c r="AA465" s="844">
        <v>32252</v>
      </c>
      <c r="AB465" s="844">
        <v>32893</v>
      </c>
      <c r="AC465" s="844">
        <v>33551</v>
      </c>
      <c r="AD465" s="844">
        <v>34222</v>
      </c>
      <c r="AE465" s="844">
        <v>34906</v>
      </c>
      <c r="AF465" s="844">
        <v>35604</v>
      </c>
      <c r="AG465" s="844">
        <v>36316</v>
      </c>
      <c r="AH465" s="844">
        <v>37042</v>
      </c>
      <c r="AI465" s="844">
        <v>37782</v>
      </c>
      <c r="AJ465" s="844">
        <v>38538</v>
      </c>
      <c r="AK465" s="844">
        <v>39308</v>
      </c>
      <c r="AL465" s="844">
        <v>40094</v>
      </c>
      <c r="AM465" s="844">
        <v>40895</v>
      </c>
      <c r="AN465" s="844">
        <v>41712</v>
      </c>
      <c r="AO465" s="844">
        <v>42546</v>
      </c>
      <c r="AP465" s="844">
        <v>43396</v>
      </c>
      <c r="AQ465" s="844">
        <v>44263</v>
      </c>
      <c r="AR465" s="844">
        <v>45147</v>
      </c>
      <c r="AS465" s="844">
        <v>46048</v>
      </c>
      <c r="AT465" s="844">
        <v>46968</v>
      </c>
      <c r="AU465" s="844">
        <v>47905</v>
      </c>
      <c r="AV465" s="844">
        <v>48861</v>
      </c>
      <c r="AW465" s="844">
        <v>49836</v>
      </c>
      <c r="AX465" s="844">
        <v>50829</v>
      </c>
      <c r="AY465" s="844">
        <v>51842</v>
      </c>
      <c r="AZ465" s="844">
        <v>52874</v>
      </c>
      <c r="BA465" s="844">
        <v>53400</v>
      </c>
      <c r="BB465" s="844">
        <v>0</v>
      </c>
      <c r="BC465" s="844">
        <v>0</v>
      </c>
      <c r="BD465" s="844">
        <v>0</v>
      </c>
      <c r="BE465" s="844">
        <v>0</v>
      </c>
      <c r="BF465" s="844">
        <v>0</v>
      </c>
      <c r="BG465" s="844">
        <v>0</v>
      </c>
      <c r="BH465" s="844">
        <v>0</v>
      </c>
      <c r="BI465" s="844">
        <v>0</v>
      </c>
      <c r="BJ465" s="844">
        <v>0</v>
      </c>
      <c r="BK465" s="844">
        <v>0</v>
      </c>
      <c r="BL465" s="844">
        <v>0</v>
      </c>
      <c r="BM465" s="844">
        <v>0</v>
      </c>
      <c r="BN465" s="844">
        <v>0</v>
      </c>
      <c r="BO465" s="844">
        <v>0</v>
      </c>
      <c r="BP465" s="844">
        <v>0</v>
      </c>
      <c r="BQ465" s="844">
        <v>0</v>
      </c>
      <c r="BR465" s="844">
        <v>0</v>
      </c>
      <c r="BS465" s="844">
        <v>0</v>
      </c>
      <c r="BT465" s="844">
        <v>0</v>
      </c>
      <c r="BU465" s="844">
        <v>0</v>
      </c>
      <c r="BV465" s="844">
        <v>0</v>
      </c>
      <c r="BW465" s="844">
        <v>0</v>
      </c>
      <c r="BX465" s="844">
        <v>0</v>
      </c>
      <c r="BY465" s="844">
        <v>0</v>
      </c>
      <c r="BZ465" s="844">
        <v>0</v>
      </c>
      <c r="CA465" s="844">
        <v>0</v>
      </c>
      <c r="CB465" s="844">
        <v>0</v>
      </c>
      <c r="CC465" s="844">
        <v>0</v>
      </c>
      <c r="CD465" s="844">
        <v>0</v>
      </c>
      <c r="CE465" s="844">
        <v>0</v>
      </c>
      <c r="CF465" s="844">
        <v>0</v>
      </c>
      <c r="CG465" s="844">
        <v>0</v>
      </c>
      <c r="CH465" s="844">
        <v>0</v>
      </c>
      <c r="CI465" s="844">
        <v>0</v>
      </c>
      <c r="CJ465" s="844">
        <v>0</v>
      </c>
      <c r="CK465" s="844">
        <v>0</v>
      </c>
      <c r="CL465" s="844">
        <v>0</v>
      </c>
      <c r="CM465" s="844">
        <v>0</v>
      </c>
      <c r="CN465" s="844">
        <v>0</v>
      </c>
      <c r="CO465" s="844">
        <v>0</v>
      </c>
      <c r="CP465" s="844">
        <v>0</v>
      </c>
      <c r="CQ465" s="844">
        <v>0</v>
      </c>
      <c r="CR465" s="844">
        <v>0</v>
      </c>
      <c r="CS465" s="844">
        <v>0</v>
      </c>
      <c r="CT465" s="844">
        <v>0</v>
      </c>
      <c r="CU465" s="844">
        <v>0</v>
      </c>
      <c r="CV465" s="844">
        <v>0</v>
      </c>
      <c r="CW465" s="844">
        <v>0</v>
      </c>
      <c r="CX465" s="844">
        <v>0</v>
      </c>
      <c r="CY465" s="844">
        <v>0</v>
      </c>
      <c r="CZ465" s="844">
        <v>0</v>
      </c>
      <c r="DA465" s="844">
        <v>0</v>
      </c>
      <c r="DB465" s="844">
        <v>0</v>
      </c>
      <c r="DC465" s="844">
        <v>0</v>
      </c>
      <c r="DD465" s="844">
        <v>0</v>
      </c>
      <c r="DE465" s="844">
        <v>0</v>
      </c>
      <c r="DF465" s="844">
        <v>0</v>
      </c>
      <c r="DG465" s="844">
        <v>0</v>
      </c>
      <c r="DH465" s="844">
        <v>0</v>
      </c>
      <c r="DI465" s="844">
        <v>0</v>
      </c>
      <c r="DJ465" s="844">
        <v>0</v>
      </c>
      <c r="DK465" s="844">
        <v>0</v>
      </c>
      <c r="DL465" s="844">
        <v>0</v>
      </c>
      <c r="DM465" s="844">
        <v>0</v>
      </c>
      <c r="DN465" s="844">
        <v>0</v>
      </c>
      <c r="DO465" s="844">
        <v>0</v>
      </c>
      <c r="DP465" s="844">
        <v>0</v>
      </c>
      <c r="DQ465" s="844">
        <v>0</v>
      </c>
      <c r="DR465" s="844">
        <v>0</v>
      </c>
      <c r="DS465" s="844">
        <v>0</v>
      </c>
      <c r="DT465" s="844">
        <v>0</v>
      </c>
      <c r="DU465" s="844">
        <v>0</v>
      </c>
      <c r="DV465" s="844">
        <v>0</v>
      </c>
      <c r="DW465" s="844">
        <v>0</v>
      </c>
      <c r="DY465" s="846" t="s">
        <v>1060</v>
      </c>
      <c r="DZ465" s="846" t="s">
        <v>1382</v>
      </c>
      <c r="EA465" s="846" t="s">
        <v>97</v>
      </c>
      <c r="EB465" s="847">
        <v>74</v>
      </c>
      <c r="EC465" s="780" t="str">
        <f t="shared" si="17"/>
        <v>IWT060274</v>
      </c>
      <c r="ED465" s="847">
        <v>0</v>
      </c>
      <c r="EE465" s="847">
        <v>2639</v>
      </c>
      <c r="EF465" s="847">
        <v>7851</v>
      </c>
      <c r="EG465" s="847">
        <v>13153</v>
      </c>
      <c r="EH465" s="847">
        <v>18547</v>
      </c>
      <c r="EI465" s="847">
        <v>24038</v>
      </c>
      <c r="EJ465" s="847">
        <v>29629</v>
      </c>
      <c r="EK465" s="847">
        <v>30103</v>
      </c>
      <c r="EL465" s="847">
        <v>30596</v>
      </c>
      <c r="EM465" s="847">
        <v>31114</v>
      </c>
      <c r="EN465" s="847">
        <v>31663</v>
      </c>
      <c r="EO465" s="847">
        <v>32252</v>
      </c>
      <c r="EP465" s="847">
        <v>32893</v>
      </c>
      <c r="EQ465" s="847">
        <v>33551</v>
      </c>
      <c r="ER465" s="847">
        <v>34222</v>
      </c>
      <c r="ES465" s="847">
        <v>34906</v>
      </c>
      <c r="ET465" s="847">
        <v>35604</v>
      </c>
      <c r="EU465" s="847">
        <v>36316</v>
      </c>
      <c r="EV465" s="847">
        <v>37042</v>
      </c>
      <c r="EW465" s="847">
        <v>37782</v>
      </c>
      <c r="EX465" s="847">
        <v>38538</v>
      </c>
      <c r="EY465" s="847">
        <v>39308</v>
      </c>
      <c r="EZ465" s="847">
        <v>40094</v>
      </c>
      <c r="FA465" s="847">
        <v>40895</v>
      </c>
      <c r="FB465" s="847">
        <v>41712</v>
      </c>
      <c r="FC465" s="847">
        <v>42546</v>
      </c>
      <c r="FD465" s="847">
        <v>43396</v>
      </c>
      <c r="FE465" s="847">
        <v>44263</v>
      </c>
      <c r="FF465" s="847">
        <v>45147</v>
      </c>
      <c r="FG465" s="847">
        <v>46048</v>
      </c>
      <c r="FH465" s="847">
        <v>46968</v>
      </c>
      <c r="FI465" s="847">
        <v>47905</v>
      </c>
      <c r="FJ465" s="847">
        <v>48861</v>
      </c>
      <c r="FK465" s="847">
        <v>49836</v>
      </c>
      <c r="FL465" s="847">
        <v>50829</v>
      </c>
      <c r="FM465" s="847">
        <v>51842</v>
      </c>
      <c r="FN465" s="847">
        <v>52874</v>
      </c>
      <c r="FO465" s="847">
        <v>53400</v>
      </c>
      <c r="FP465" s="847">
        <v>0</v>
      </c>
      <c r="FQ465" s="847">
        <v>0</v>
      </c>
      <c r="FR465" s="847">
        <v>0</v>
      </c>
      <c r="FS465" s="847">
        <v>0</v>
      </c>
      <c r="FT465" s="847">
        <v>0</v>
      </c>
      <c r="FU465" s="847">
        <v>0</v>
      </c>
      <c r="FV465" s="847">
        <v>0</v>
      </c>
      <c r="FW465" s="847">
        <v>0</v>
      </c>
      <c r="FX465" s="847">
        <v>0</v>
      </c>
      <c r="FY465" s="847">
        <v>0</v>
      </c>
      <c r="FZ465" s="847">
        <v>0</v>
      </c>
      <c r="GA465" s="847">
        <v>0</v>
      </c>
      <c r="GB465" s="847">
        <v>0</v>
      </c>
      <c r="GC465" s="847">
        <v>0</v>
      </c>
      <c r="GD465" s="847">
        <v>0</v>
      </c>
      <c r="GE465" s="847">
        <v>0</v>
      </c>
      <c r="GF465" s="847">
        <v>0</v>
      </c>
      <c r="GG465" s="847">
        <v>0</v>
      </c>
      <c r="GH465" s="847">
        <v>0</v>
      </c>
      <c r="GI465" s="847">
        <v>0</v>
      </c>
      <c r="GJ465" s="847">
        <v>0</v>
      </c>
      <c r="GK465" s="847">
        <v>0</v>
      </c>
      <c r="GL465" s="847">
        <v>0</v>
      </c>
      <c r="GM465" s="847">
        <v>0</v>
      </c>
      <c r="GN465" s="847">
        <v>0</v>
      </c>
      <c r="GO465" s="847">
        <v>0</v>
      </c>
      <c r="GP465" s="847">
        <v>0</v>
      </c>
      <c r="GQ465" s="847">
        <v>0</v>
      </c>
      <c r="GR465" s="847">
        <v>0</v>
      </c>
      <c r="GS465" s="847">
        <v>0</v>
      </c>
      <c r="GT465" s="847">
        <v>0</v>
      </c>
      <c r="GU465" s="847">
        <v>0</v>
      </c>
      <c r="GV465" s="847">
        <v>0</v>
      </c>
      <c r="GW465" s="847">
        <v>0</v>
      </c>
      <c r="GX465" s="847">
        <v>0</v>
      </c>
      <c r="GY465" s="847">
        <v>0</v>
      </c>
      <c r="GZ465" s="847">
        <v>0</v>
      </c>
      <c r="HA465" s="847">
        <v>0</v>
      </c>
      <c r="HB465" s="847">
        <v>0</v>
      </c>
      <c r="HC465" s="847">
        <v>0</v>
      </c>
      <c r="HD465" s="847">
        <v>0</v>
      </c>
      <c r="HE465" s="847">
        <v>0</v>
      </c>
      <c r="HF465" s="847">
        <v>0</v>
      </c>
      <c r="HG465" s="847">
        <v>0</v>
      </c>
      <c r="HH465" s="847">
        <v>0</v>
      </c>
      <c r="HI465" s="847">
        <v>0</v>
      </c>
      <c r="HJ465" s="847">
        <v>0</v>
      </c>
      <c r="HK465" s="847">
        <v>0</v>
      </c>
      <c r="HL465" s="847">
        <v>0</v>
      </c>
      <c r="HM465" s="847">
        <v>0</v>
      </c>
      <c r="HN465" s="847">
        <v>0</v>
      </c>
      <c r="HO465" s="847">
        <v>0</v>
      </c>
      <c r="HP465" s="847">
        <v>0</v>
      </c>
      <c r="HQ465" s="847">
        <v>0</v>
      </c>
      <c r="HR465" s="847">
        <v>0</v>
      </c>
      <c r="HS465" s="847">
        <v>0</v>
      </c>
      <c r="HT465" s="847">
        <v>0</v>
      </c>
      <c r="HU465" s="847">
        <v>0</v>
      </c>
      <c r="HV465" s="847">
        <v>0</v>
      </c>
      <c r="HW465" s="847">
        <v>0</v>
      </c>
      <c r="HX465" s="847">
        <v>0</v>
      </c>
      <c r="HY465" s="847">
        <v>0</v>
      </c>
      <c r="HZ465" s="847">
        <v>0</v>
      </c>
      <c r="IA465" s="847">
        <v>0</v>
      </c>
      <c r="IB465" s="847">
        <v>0</v>
      </c>
      <c r="IC465" s="847">
        <v>0</v>
      </c>
      <c r="ID465" s="847">
        <v>0</v>
      </c>
      <c r="IE465" s="847">
        <v>0</v>
      </c>
      <c r="IF465" s="847">
        <v>0</v>
      </c>
      <c r="IG465" s="847">
        <v>0</v>
      </c>
      <c r="IH465" s="847">
        <v>0</v>
      </c>
      <c r="II465" s="847">
        <v>0</v>
      </c>
      <c r="IJ465" s="847">
        <v>0</v>
      </c>
      <c r="IK465" s="847">
        <v>0</v>
      </c>
    </row>
    <row r="466" spans="12:245" hidden="1">
      <c r="L466" s="843" t="s">
        <v>1060</v>
      </c>
      <c r="M466" s="843" t="s">
        <v>1382</v>
      </c>
      <c r="N466" s="843" t="s">
        <v>97</v>
      </c>
      <c r="O466" s="844">
        <v>75</v>
      </c>
      <c r="P466" s="780" t="str">
        <f t="shared" si="16"/>
        <v>IWT060275</v>
      </c>
      <c r="Q466" s="844">
        <v>1939</v>
      </c>
      <c r="R466" s="844">
        <v>6235</v>
      </c>
      <c r="S466" s="844">
        <v>11129</v>
      </c>
      <c r="T466" s="844">
        <v>16633</v>
      </c>
      <c r="U466" s="844">
        <v>22766</v>
      </c>
      <c r="V466" s="844">
        <v>29250</v>
      </c>
      <c r="W466" s="844">
        <v>29998</v>
      </c>
      <c r="X466" s="844">
        <v>30469</v>
      </c>
      <c r="Y466" s="844">
        <v>30963</v>
      </c>
      <c r="Z466" s="844">
        <v>31489</v>
      </c>
      <c r="AA466" s="844">
        <v>32054</v>
      </c>
      <c r="AB466" s="844">
        <v>32671</v>
      </c>
      <c r="AC466" s="844">
        <v>33324</v>
      </c>
      <c r="AD466" s="844">
        <v>33990</v>
      </c>
      <c r="AE466" s="844">
        <v>34670</v>
      </c>
      <c r="AF466" s="844">
        <v>35363</v>
      </c>
      <c r="AG466" s="844">
        <v>36070</v>
      </c>
      <c r="AH466" s="844">
        <v>36791</v>
      </c>
      <c r="AI466" s="844">
        <v>37527</v>
      </c>
      <c r="AJ466" s="844">
        <v>38277</v>
      </c>
      <c r="AK466" s="844">
        <v>39042</v>
      </c>
      <c r="AL466" s="844">
        <v>39822</v>
      </c>
      <c r="AM466" s="844">
        <v>40618</v>
      </c>
      <c r="AN466" s="844">
        <v>41430</v>
      </c>
      <c r="AO466" s="844">
        <v>42258</v>
      </c>
      <c r="AP466" s="844">
        <v>43102</v>
      </c>
      <c r="AQ466" s="844">
        <v>43963</v>
      </c>
      <c r="AR466" s="844">
        <v>44841</v>
      </c>
      <c r="AS466" s="844">
        <v>45736</v>
      </c>
      <c r="AT466" s="844">
        <v>46649</v>
      </c>
      <c r="AU466" s="844">
        <v>47580</v>
      </c>
      <c r="AV466" s="844">
        <v>48529</v>
      </c>
      <c r="AW466" s="844">
        <v>49497</v>
      </c>
      <c r="AX466" s="844">
        <v>50483</v>
      </c>
      <c r="AY466" s="844">
        <v>51488</v>
      </c>
      <c r="AZ466" s="844">
        <v>52000</v>
      </c>
      <c r="BA466" s="844">
        <v>0</v>
      </c>
      <c r="BB466" s="844">
        <v>0</v>
      </c>
      <c r="BC466" s="844">
        <v>0</v>
      </c>
      <c r="BD466" s="844">
        <v>0</v>
      </c>
      <c r="BE466" s="844">
        <v>0</v>
      </c>
      <c r="BF466" s="844">
        <v>0</v>
      </c>
      <c r="BG466" s="844">
        <v>0</v>
      </c>
      <c r="BH466" s="844">
        <v>0</v>
      </c>
      <c r="BI466" s="844">
        <v>0</v>
      </c>
      <c r="BJ466" s="844">
        <v>0</v>
      </c>
      <c r="BK466" s="844">
        <v>0</v>
      </c>
      <c r="BL466" s="844">
        <v>0</v>
      </c>
      <c r="BM466" s="844">
        <v>0</v>
      </c>
      <c r="BN466" s="844">
        <v>0</v>
      </c>
      <c r="BO466" s="844">
        <v>0</v>
      </c>
      <c r="BP466" s="844">
        <v>0</v>
      </c>
      <c r="BQ466" s="844">
        <v>0</v>
      </c>
      <c r="BR466" s="844">
        <v>0</v>
      </c>
      <c r="BS466" s="844">
        <v>0</v>
      </c>
      <c r="BT466" s="844">
        <v>0</v>
      </c>
      <c r="BU466" s="844">
        <v>0</v>
      </c>
      <c r="BV466" s="844">
        <v>0</v>
      </c>
      <c r="BW466" s="844">
        <v>0</v>
      </c>
      <c r="BX466" s="844">
        <v>0</v>
      </c>
      <c r="BY466" s="844">
        <v>0</v>
      </c>
      <c r="BZ466" s="844">
        <v>0</v>
      </c>
      <c r="CA466" s="844">
        <v>0</v>
      </c>
      <c r="CB466" s="844">
        <v>0</v>
      </c>
      <c r="CC466" s="844">
        <v>0</v>
      </c>
      <c r="CD466" s="844">
        <v>0</v>
      </c>
      <c r="CE466" s="844">
        <v>0</v>
      </c>
      <c r="CF466" s="844">
        <v>0</v>
      </c>
      <c r="CG466" s="844">
        <v>0</v>
      </c>
      <c r="CH466" s="844">
        <v>0</v>
      </c>
      <c r="CI466" s="844">
        <v>0</v>
      </c>
      <c r="CJ466" s="844">
        <v>0</v>
      </c>
      <c r="CK466" s="844">
        <v>0</v>
      </c>
      <c r="CL466" s="844">
        <v>0</v>
      </c>
      <c r="CM466" s="844">
        <v>0</v>
      </c>
      <c r="CN466" s="844">
        <v>0</v>
      </c>
      <c r="CO466" s="844">
        <v>0</v>
      </c>
      <c r="CP466" s="844">
        <v>0</v>
      </c>
      <c r="CQ466" s="844">
        <v>0</v>
      </c>
      <c r="CR466" s="844">
        <v>0</v>
      </c>
      <c r="CS466" s="844">
        <v>0</v>
      </c>
      <c r="CT466" s="844">
        <v>0</v>
      </c>
      <c r="CU466" s="844">
        <v>0</v>
      </c>
      <c r="CV466" s="844">
        <v>0</v>
      </c>
      <c r="CW466" s="844">
        <v>0</v>
      </c>
      <c r="CX466" s="844">
        <v>0</v>
      </c>
      <c r="CY466" s="844">
        <v>0</v>
      </c>
      <c r="CZ466" s="844">
        <v>0</v>
      </c>
      <c r="DA466" s="844">
        <v>0</v>
      </c>
      <c r="DB466" s="844">
        <v>0</v>
      </c>
      <c r="DC466" s="844">
        <v>0</v>
      </c>
      <c r="DD466" s="844">
        <v>0</v>
      </c>
      <c r="DE466" s="844">
        <v>0</v>
      </c>
      <c r="DF466" s="844">
        <v>0</v>
      </c>
      <c r="DG466" s="844">
        <v>0</v>
      </c>
      <c r="DH466" s="844">
        <v>0</v>
      </c>
      <c r="DI466" s="844">
        <v>0</v>
      </c>
      <c r="DJ466" s="844">
        <v>0</v>
      </c>
      <c r="DK466" s="844">
        <v>0</v>
      </c>
      <c r="DL466" s="844">
        <v>0</v>
      </c>
      <c r="DM466" s="844">
        <v>0</v>
      </c>
      <c r="DN466" s="844">
        <v>0</v>
      </c>
      <c r="DO466" s="844">
        <v>0</v>
      </c>
      <c r="DP466" s="844">
        <v>0</v>
      </c>
      <c r="DQ466" s="844">
        <v>0</v>
      </c>
      <c r="DR466" s="844">
        <v>0</v>
      </c>
      <c r="DS466" s="844">
        <v>0</v>
      </c>
      <c r="DT466" s="844">
        <v>0</v>
      </c>
      <c r="DU466" s="844">
        <v>0</v>
      </c>
      <c r="DV466" s="844">
        <v>0</v>
      </c>
      <c r="DW466" s="844">
        <v>0</v>
      </c>
      <c r="DY466" s="846" t="s">
        <v>1060</v>
      </c>
      <c r="DZ466" s="846" t="s">
        <v>1382</v>
      </c>
      <c r="EA466" s="846" t="s">
        <v>97</v>
      </c>
      <c r="EB466" s="847">
        <v>75</v>
      </c>
      <c r="EC466" s="780" t="str">
        <f t="shared" si="17"/>
        <v>IWT060275</v>
      </c>
      <c r="ED466" s="847">
        <v>0</v>
      </c>
      <c r="EE466" s="847">
        <v>2585</v>
      </c>
      <c r="EF466" s="847">
        <v>7794</v>
      </c>
      <c r="EG466" s="847">
        <v>13093</v>
      </c>
      <c r="EH466" s="847">
        <v>18481</v>
      </c>
      <c r="EI466" s="847">
        <v>23964</v>
      </c>
      <c r="EJ466" s="847">
        <v>29545</v>
      </c>
      <c r="EK466" s="847">
        <v>29998</v>
      </c>
      <c r="EL466" s="847">
        <v>30469</v>
      </c>
      <c r="EM466" s="847">
        <v>30963</v>
      </c>
      <c r="EN466" s="847">
        <v>31489</v>
      </c>
      <c r="EO466" s="847">
        <v>32054</v>
      </c>
      <c r="EP466" s="847">
        <v>32671</v>
      </c>
      <c r="EQ466" s="847">
        <v>33324</v>
      </c>
      <c r="ER466" s="847">
        <v>33990</v>
      </c>
      <c r="ES466" s="847">
        <v>34670</v>
      </c>
      <c r="ET466" s="847">
        <v>35363</v>
      </c>
      <c r="EU466" s="847">
        <v>36070</v>
      </c>
      <c r="EV466" s="847">
        <v>36791</v>
      </c>
      <c r="EW466" s="847">
        <v>37527</v>
      </c>
      <c r="EX466" s="847">
        <v>38277</v>
      </c>
      <c r="EY466" s="847">
        <v>39042</v>
      </c>
      <c r="EZ466" s="847">
        <v>39822</v>
      </c>
      <c r="FA466" s="847">
        <v>40618</v>
      </c>
      <c r="FB466" s="847">
        <v>41430</v>
      </c>
      <c r="FC466" s="847">
        <v>42258</v>
      </c>
      <c r="FD466" s="847">
        <v>43102</v>
      </c>
      <c r="FE466" s="847">
        <v>43963</v>
      </c>
      <c r="FF466" s="847">
        <v>44841</v>
      </c>
      <c r="FG466" s="847">
        <v>45736</v>
      </c>
      <c r="FH466" s="847">
        <v>46649</v>
      </c>
      <c r="FI466" s="847">
        <v>47580</v>
      </c>
      <c r="FJ466" s="847">
        <v>48529</v>
      </c>
      <c r="FK466" s="847">
        <v>49497</v>
      </c>
      <c r="FL466" s="847">
        <v>50483</v>
      </c>
      <c r="FM466" s="847">
        <v>51488</v>
      </c>
      <c r="FN466" s="847">
        <v>52000</v>
      </c>
      <c r="FO466" s="847">
        <v>0</v>
      </c>
      <c r="FP466" s="847">
        <v>0</v>
      </c>
      <c r="FQ466" s="847">
        <v>0</v>
      </c>
      <c r="FR466" s="847">
        <v>0</v>
      </c>
      <c r="FS466" s="847">
        <v>0</v>
      </c>
      <c r="FT466" s="847">
        <v>0</v>
      </c>
      <c r="FU466" s="847">
        <v>0</v>
      </c>
      <c r="FV466" s="847">
        <v>0</v>
      </c>
      <c r="FW466" s="847">
        <v>0</v>
      </c>
      <c r="FX466" s="847">
        <v>0</v>
      </c>
      <c r="FY466" s="847">
        <v>0</v>
      </c>
      <c r="FZ466" s="847">
        <v>0</v>
      </c>
      <c r="GA466" s="847">
        <v>0</v>
      </c>
      <c r="GB466" s="847">
        <v>0</v>
      </c>
      <c r="GC466" s="847">
        <v>0</v>
      </c>
      <c r="GD466" s="847">
        <v>0</v>
      </c>
      <c r="GE466" s="847">
        <v>0</v>
      </c>
      <c r="GF466" s="847">
        <v>0</v>
      </c>
      <c r="GG466" s="847">
        <v>0</v>
      </c>
      <c r="GH466" s="847">
        <v>0</v>
      </c>
      <c r="GI466" s="847">
        <v>0</v>
      </c>
      <c r="GJ466" s="847">
        <v>0</v>
      </c>
      <c r="GK466" s="847">
        <v>0</v>
      </c>
      <c r="GL466" s="847">
        <v>0</v>
      </c>
      <c r="GM466" s="847">
        <v>0</v>
      </c>
      <c r="GN466" s="847">
        <v>0</v>
      </c>
      <c r="GO466" s="847">
        <v>0</v>
      </c>
      <c r="GP466" s="847">
        <v>0</v>
      </c>
      <c r="GQ466" s="847">
        <v>0</v>
      </c>
      <c r="GR466" s="847">
        <v>0</v>
      </c>
      <c r="GS466" s="847">
        <v>0</v>
      </c>
      <c r="GT466" s="847">
        <v>0</v>
      </c>
      <c r="GU466" s="847">
        <v>0</v>
      </c>
      <c r="GV466" s="847">
        <v>0</v>
      </c>
      <c r="GW466" s="847">
        <v>0</v>
      </c>
      <c r="GX466" s="847">
        <v>0</v>
      </c>
      <c r="GY466" s="847">
        <v>0</v>
      </c>
      <c r="GZ466" s="847">
        <v>0</v>
      </c>
      <c r="HA466" s="847">
        <v>0</v>
      </c>
      <c r="HB466" s="847">
        <v>0</v>
      </c>
      <c r="HC466" s="847">
        <v>0</v>
      </c>
      <c r="HD466" s="847">
        <v>0</v>
      </c>
      <c r="HE466" s="847">
        <v>0</v>
      </c>
      <c r="HF466" s="847">
        <v>0</v>
      </c>
      <c r="HG466" s="847">
        <v>0</v>
      </c>
      <c r="HH466" s="847">
        <v>0</v>
      </c>
      <c r="HI466" s="847">
        <v>0</v>
      </c>
      <c r="HJ466" s="847">
        <v>0</v>
      </c>
      <c r="HK466" s="847">
        <v>0</v>
      </c>
      <c r="HL466" s="847">
        <v>0</v>
      </c>
      <c r="HM466" s="847">
        <v>0</v>
      </c>
      <c r="HN466" s="847">
        <v>0</v>
      </c>
      <c r="HO466" s="847">
        <v>0</v>
      </c>
      <c r="HP466" s="847">
        <v>0</v>
      </c>
      <c r="HQ466" s="847">
        <v>0</v>
      </c>
      <c r="HR466" s="847">
        <v>0</v>
      </c>
      <c r="HS466" s="847">
        <v>0</v>
      </c>
      <c r="HT466" s="847">
        <v>0</v>
      </c>
      <c r="HU466" s="847">
        <v>0</v>
      </c>
      <c r="HV466" s="847">
        <v>0</v>
      </c>
      <c r="HW466" s="847">
        <v>0</v>
      </c>
      <c r="HX466" s="847">
        <v>0</v>
      </c>
      <c r="HY466" s="847">
        <v>0</v>
      </c>
      <c r="HZ466" s="847">
        <v>0</v>
      </c>
      <c r="IA466" s="847">
        <v>0</v>
      </c>
      <c r="IB466" s="847">
        <v>0</v>
      </c>
      <c r="IC466" s="847">
        <v>0</v>
      </c>
      <c r="ID466" s="847">
        <v>0</v>
      </c>
      <c r="IE466" s="847">
        <v>0</v>
      </c>
      <c r="IF466" s="847">
        <v>0</v>
      </c>
      <c r="IG466" s="847">
        <v>0</v>
      </c>
      <c r="IH466" s="847">
        <v>0</v>
      </c>
      <c r="II466" s="847">
        <v>0</v>
      </c>
      <c r="IJ466" s="847">
        <v>0</v>
      </c>
      <c r="IK466" s="847">
        <v>0</v>
      </c>
    </row>
    <row r="467" spans="12:245" hidden="1">
      <c r="L467" s="778"/>
      <c r="M467" s="778"/>
      <c r="N467" s="778"/>
      <c r="O467" s="779"/>
      <c r="P467" s="780"/>
      <c r="Q467" s="779"/>
      <c r="R467" s="779"/>
      <c r="S467" s="779"/>
      <c r="T467" s="779"/>
      <c r="U467" s="779"/>
      <c r="V467" s="779"/>
      <c r="W467" s="779"/>
      <c r="X467" s="779"/>
      <c r="Y467" s="779"/>
      <c r="Z467" s="779"/>
      <c r="AA467" s="779"/>
      <c r="AB467" s="779"/>
      <c r="AC467" s="779"/>
      <c r="AD467" s="779"/>
      <c r="AE467" s="779"/>
      <c r="AF467" s="779"/>
      <c r="AG467" s="779"/>
      <c r="AH467" s="779"/>
      <c r="AI467" s="779"/>
      <c r="AJ467" s="779"/>
      <c r="AK467" s="779"/>
      <c r="AL467" s="779"/>
      <c r="AM467" s="779"/>
      <c r="AN467" s="779"/>
      <c r="AO467" s="779"/>
      <c r="AP467" s="779"/>
      <c r="AQ467" s="779"/>
      <c r="AR467" s="779"/>
      <c r="AS467" s="779"/>
      <c r="AT467" s="779"/>
      <c r="AU467" s="779"/>
      <c r="AV467" s="779"/>
      <c r="AW467" s="779"/>
      <c r="AX467" s="779"/>
      <c r="AY467" s="779"/>
      <c r="AZ467" s="779"/>
      <c r="BA467" s="779"/>
      <c r="BB467" s="779"/>
      <c r="BC467" s="779"/>
      <c r="BD467" s="779"/>
      <c r="BE467" s="779"/>
      <c r="BF467" s="779"/>
      <c r="BG467" s="779"/>
      <c r="BH467" s="779"/>
      <c r="BI467" s="779"/>
      <c r="BJ467" s="779"/>
      <c r="BK467" s="779"/>
      <c r="BL467" s="779"/>
      <c r="BM467" s="779"/>
      <c r="BN467" s="779"/>
      <c r="BO467" s="779"/>
      <c r="BP467" s="779"/>
      <c r="BQ467" s="779"/>
      <c r="BR467" s="779"/>
      <c r="BS467" s="779"/>
      <c r="BT467" s="779"/>
      <c r="BU467" s="779"/>
      <c r="BV467" s="779"/>
      <c r="BW467" s="779"/>
      <c r="BX467" s="779"/>
      <c r="BY467" s="779"/>
      <c r="BZ467" s="779"/>
      <c r="CA467" s="779"/>
      <c r="CB467" s="779"/>
      <c r="CC467" s="779"/>
      <c r="CD467" s="779"/>
      <c r="CE467" s="779"/>
      <c r="CF467" s="779"/>
      <c r="CG467" s="779"/>
      <c r="CH467" s="779"/>
      <c r="CI467" s="779"/>
      <c r="CJ467" s="779"/>
      <c r="CK467" s="779"/>
      <c r="CL467" s="779"/>
      <c r="CM467" s="779"/>
      <c r="CN467" s="779"/>
      <c r="CO467" s="779"/>
      <c r="CP467" s="779"/>
      <c r="CQ467" s="779"/>
      <c r="CR467" s="779"/>
      <c r="CS467" s="779"/>
      <c r="CT467" s="779"/>
      <c r="CU467" s="779"/>
      <c r="CV467" s="779"/>
      <c r="CW467" s="779"/>
      <c r="CX467" s="779"/>
      <c r="CY467" s="779"/>
      <c r="CZ467" s="779"/>
      <c r="DA467" s="779"/>
      <c r="DB467" s="779"/>
      <c r="DC467" s="779"/>
      <c r="DD467" s="779"/>
      <c r="DE467" s="779"/>
      <c r="DF467" s="779"/>
      <c r="DG467" s="779"/>
      <c r="DH467" s="779"/>
      <c r="DI467" s="779"/>
      <c r="DJ467" s="779"/>
      <c r="DK467" s="779"/>
      <c r="DL467" s="779"/>
      <c r="DM467" s="779"/>
      <c r="DN467" s="779"/>
      <c r="DO467" s="779"/>
      <c r="DP467" s="779"/>
      <c r="DQ467" s="779"/>
      <c r="DR467" s="779"/>
      <c r="DS467" s="779"/>
      <c r="DT467" s="779"/>
      <c r="DU467" s="779"/>
      <c r="DV467" s="779"/>
      <c r="DW467" s="779"/>
      <c r="DY467" s="778"/>
      <c r="DZ467" s="778"/>
      <c r="EA467" s="778"/>
      <c r="EB467" s="779"/>
      <c r="EC467" s="780"/>
      <c r="ED467" s="778"/>
      <c r="EE467" s="779"/>
      <c r="EF467" s="779"/>
      <c r="EG467" s="779"/>
      <c r="EH467" s="779"/>
      <c r="EI467" s="779"/>
      <c r="EJ467" s="779"/>
      <c r="EK467" s="779"/>
      <c r="EL467" s="779"/>
      <c r="EM467" s="779"/>
      <c r="EN467" s="779"/>
      <c r="EO467" s="779"/>
      <c r="EP467" s="779"/>
      <c r="EQ467" s="779"/>
      <c r="ER467" s="779"/>
      <c r="ES467" s="779"/>
      <c r="ET467" s="779"/>
      <c r="EU467" s="779"/>
      <c r="EV467" s="779"/>
      <c r="EW467" s="779"/>
      <c r="EX467" s="779"/>
      <c r="EY467" s="779"/>
      <c r="EZ467" s="779"/>
      <c r="FA467" s="779"/>
      <c r="FB467" s="779"/>
      <c r="FC467" s="779"/>
      <c r="FD467" s="779"/>
      <c r="FE467" s="779"/>
      <c r="FF467" s="779"/>
      <c r="FG467" s="779"/>
      <c r="FH467" s="779"/>
      <c r="FI467" s="779"/>
      <c r="FJ467" s="779"/>
      <c r="FK467" s="779"/>
      <c r="FL467" s="779"/>
      <c r="FM467" s="779"/>
      <c r="FN467" s="779"/>
      <c r="FO467" s="779"/>
      <c r="FP467" s="779"/>
      <c r="FQ467" s="779"/>
      <c r="FR467" s="779"/>
      <c r="FS467" s="779"/>
      <c r="FT467" s="779"/>
      <c r="FU467" s="779"/>
      <c r="FV467" s="779"/>
      <c r="FW467" s="779"/>
      <c r="FX467" s="779"/>
      <c r="FY467" s="779"/>
      <c r="FZ467" s="779"/>
      <c r="GA467" s="779"/>
      <c r="GB467" s="779"/>
      <c r="GC467" s="779"/>
      <c r="GD467" s="779"/>
      <c r="GE467" s="779"/>
      <c r="GF467" s="779"/>
      <c r="GG467" s="779"/>
      <c r="GH467" s="779"/>
      <c r="GI467" s="779"/>
      <c r="GJ467" s="779"/>
      <c r="GK467" s="779"/>
      <c r="GL467" s="779"/>
      <c r="GM467" s="779"/>
      <c r="GN467" s="779"/>
      <c r="GO467" s="779"/>
      <c r="GP467" s="779"/>
      <c r="GQ467" s="779"/>
      <c r="GR467" s="779"/>
      <c r="GS467" s="779"/>
      <c r="GT467" s="779"/>
      <c r="GU467" s="779"/>
      <c r="GV467" s="779"/>
      <c r="GW467" s="779"/>
      <c r="GX467" s="779"/>
      <c r="GY467" s="779"/>
      <c r="GZ467" s="779"/>
      <c r="HA467" s="779"/>
      <c r="HB467" s="779"/>
      <c r="HC467" s="779"/>
      <c r="HD467" s="779"/>
      <c r="HE467" s="779"/>
      <c r="HF467" s="779"/>
      <c r="HG467" s="779"/>
      <c r="HH467" s="779"/>
      <c r="HI467" s="779"/>
      <c r="HJ467" s="779"/>
      <c r="HK467" s="779"/>
      <c r="HL467" s="779"/>
      <c r="HM467" s="779"/>
      <c r="HN467" s="779"/>
      <c r="HO467" s="779"/>
      <c r="HP467" s="779"/>
      <c r="HQ467" s="779"/>
      <c r="HR467" s="779"/>
      <c r="HS467" s="779"/>
      <c r="HT467" s="779"/>
      <c r="HU467" s="779"/>
      <c r="HV467" s="779"/>
      <c r="HW467" s="779"/>
      <c r="HX467" s="779"/>
      <c r="HY467" s="779"/>
      <c r="HZ467" s="779"/>
      <c r="IA467" s="779"/>
      <c r="IB467" s="779"/>
      <c r="IC467" s="779"/>
      <c r="ID467" s="779"/>
      <c r="IE467" s="779"/>
      <c r="IF467" s="779"/>
      <c r="IG467" s="779"/>
      <c r="IH467" s="779"/>
      <c r="II467" s="779"/>
      <c r="IJ467" s="779"/>
      <c r="IK467" s="779"/>
    </row>
    <row r="468" spans="12:245" hidden="1">
      <c r="L468" s="778"/>
      <c r="M468" s="778"/>
      <c r="N468" s="778"/>
      <c r="O468" s="779"/>
      <c r="P468" s="780"/>
      <c r="Q468" s="779"/>
      <c r="R468" s="779"/>
      <c r="S468" s="779"/>
      <c r="T468" s="779"/>
      <c r="U468" s="779"/>
      <c r="V468" s="779"/>
      <c r="W468" s="779"/>
      <c r="X468" s="779"/>
      <c r="Y468" s="779"/>
      <c r="Z468" s="779"/>
      <c r="AA468" s="779"/>
      <c r="AB468" s="779"/>
      <c r="AC468" s="779"/>
      <c r="AD468" s="779"/>
      <c r="AE468" s="779"/>
      <c r="AF468" s="779"/>
      <c r="AG468" s="779"/>
      <c r="AH468" s="779"/>
      <c r="AI468" s="779"/>
      <c r="AJ468" s="779"/>
      <c r="AK468" s="779"/>
      <c r="AL468" s="779"/>
      <c r="AM468" s="779"/>
      <c r="AN468" s="779"/>
      <c r="AO468" s="779"/>
      <c r="AP468" s="779"/>
      <c r="AQ468" s="779"/>
      <c r="AR468" s="779"/>
      <c r="AS468" s="779"/>
      <c r="AT468" s="779"/>
      <c r="AU468" s="779"/>
      <c r="AV468" s="779"/>
      <c r="AW468" s="779"/>
      <c r="AX468" s="779"/>
      <c r="AY468" s="779"/>
      <c r="AZ468" s="779"/>
      <c r="BA468" s="779"/>
      <c r="BB468" s="779"/>
      <c r="BC468" s="779"/>
      <c r="BD468" s="779"/>
      <c r="BE468" s="779"/>
      <c r="BF468" s="779"/>
      <c r="BG468" s="779"/>
      <c r="BH468" s="779"/>
      <c r="BI468" s="779"/>
      <c r="BJ468" s="779"/>
      <c r="BK468" s="779"/>
      <c r="BL468" s="779"/>
      <c r="BM468" s="779"/>
      <c r="BN468" s="779"/>
      <c r="BO468" s="779"/>
      <c r="BP468" s="779"/>
      <c r="BQ468" s="779"/>
      <c r="BR468" s="779"/>
      <c r="BS468" s="779"/>
      <c r="BT468" s="779"/>
      <c r="BU468" s="779"/>
      <c r="BV468" s="779"/>
      <c r="BW468" s="779"/>
      <c r="BX468" s="779"/>
      <c r="BY468" s="779"/>
      <c r="BZ468" s="779"/>
      <c r="CA468" s="779"/>
      <c r="CB468" s="779"/>
      <c r="CC468" s="779"/>
      <c r="CD468" s="779"/>
      <c r="CE468" s="779"/>
      <c r="CF468" s="779"/>
      <c r="CG468" s="779"/>
      <c r="CH468" s="779"/>
      <c r="CI468" s="779"/>
      <c r="CJ468" s="779"/>
      <c r="CK468" s="779"/>
      <c r="CL468" s="779"/>
      <c r="CM468" s="779"/>
      <c r="CN468" s="779"/>
      <c r="CO468" s="779"/>
      <c r="CP468" s="779"/>
      <c r="CQ468" s="779"/>
      <c r="CR468" s="779"/>
      <c r="CS468" s="779"/>
      <c r="CT468" s="779"/>
      <c r="CU468" s="779"/>
      <c r="CV468" s="779"/>
      <c r="CW468" s="779"/>
      <c r="CX468" s="779"/>
      <c r="CY468" s="779"/>
      <c r="CZ468" s="779"/>
      <c r="DA468" s="779"/>
      <c r="DB468" s="779"/>
      <c r="DC468" s="779"/>
      <c r="DD468" s="779"/>
      <c r="DE468" s="779"/>
      <c r="DF468" s="779"/>
      <c r="DG468" s="779"/>
      <c r="DH468" s="779"/>
      <c r="DI468" s="779"/>
      <c r="DJ468" s="779"/>
      <c r="DK468" s="779"/>
      <c r="DL468" s="779"/>
      <c r="DM468" s="779"/>
      <c r="DN468" s="779"/>
      <c r="DO468" s="779"/>
      <c r="DP468" s="779"/>
      <c r="DQ468" s="779"/>
      <c r="DR468" s="779"/>
      <c r="DS468" s="779"/>
      <c r="DT468" s="779"/>
      <c r="DU468" s="779"/>
      <c r="DV468" s="779"/>
      <c r="DW468" s="779"/>
      <c r="DY468" s="778"/>
      <c r="DZ468" s="778"/>
      <c r="EA468" s="778"/>
      <c r="EB468" s="779"/>
      <c r="EC468" s="780"/>
      <c r="ED468" s="778"/>
      <c r="EE468" s="779"/>
      <c r="EF468" s="779"/>
      <c r="EG468" s="779"/>
      <c r="EH468" s="779"/>
      <c r="EI468" s="779"/>
      <c r="EJ468" s="779"/>
      <c r="EK468" s="779"/>
      <c r="EL468" s="779"/>
      <c r="EM468" s="779"/>
      <c r="EN468" s="779"/>
      <c r="EO468" s="779"/>
      <c r="EP468" s="779"/>
      <c r="EQ468" s="779"/>
      <c r="ER468" s="779"/>
      <c r="ES468" s="779"/>
      <c r="ET468" s="779"/>
      <c r="EU468" s="779"/>
      <c r="EV468" s="779"/>
      <c r="EW468" s="779"/>
      <c r="EX468" s="779"/>
      <c r="EY468" s="779"/>
      <c r="EZ468" s="779"/>
      <c r="FA468" s="779"/>
      <c r="FB468" s="779"/>
      <c r="FC468" s="779"/>
      <c r="FD468" s="779"/>
      <c r="FE468" s="779"/>
      <c r="FF468" s="779"/>
      <c r="FG468" s="779"/>
      <c r="FH468" s="779"/>
      <c r="FI468" s="779"/>
      <c r="FJ468" s="779"/>
      <c r="FK468" s="779"/>
      <c r="FL468" s="779"/>
      <c r="FM468" s="779"/>
      <c r="FN468" s="779"/>
      <c r="FO468" s="779"/>
      <c r="FP468" s="779"/>
      <c r="FQ468" s="779"/>
      <c r="FR468" s="779"/>
      <c r="FS468" s="779"/>
      <c r="FT468" s="779"/>
      <c r="FU468" s="779"/>
      <c r="FV468" s="779"/>
      <c r="FW468" s="779"/>
      <c r="FX468" s="779"/>
      <c r="FY468" s="779"/>
      <c r="FZ468" s="779"/>
      <c r="GA468" s="779"/>
      <c r="GB468" s="779"/>
      <c r="GC468" s="779"/>
      <c r="GD468" s="779"/>
      <c r="GE468" s="779"/>
      <c r="GF468" s="779"/>
      <c r="GG468" s="779"/>
      <c r="GH468" s="779"/>
      <c r="GI468" s="779"/>
      <c r="GJ468" s="779"/>
      <c r="GK468" s="779"/>
      <c r="GL468" s="779"/>
      <c r="GM468" s="779"/>
      <c r="GN468" s="779"/>
      <c r="GO468" s="779"/>
      <c r="GP468" s="779"/>
      <c r="GQ468" s="779"/>
      <c r="GR468" s="779"/>
      <c r="GS468" s="779"/>
      <c r="GT468" s="779"/>
      <c r="GU468" s="779"/>
      <c r="GV468" s="779"/>
      <c r="GW468" s="779"/>
      <c r="GX468" s="779"/>
      <c r="GY468" s="779"/>
      <c r="GZ468" s="779"/>
      <c r="HA468" s="779"/>
      <c r="HB468" s="779"/>
      <c r="HC468" s="779"/>
      <c r="HD468" s="779"/>
      <c r="HE468" s="779"/>
      <c r="HF468" s="779"/>
      <c r="HG468" s="779"/>
      <c r="HH468" s="779"/>
      <c r="HI468" s="779"/>
      <c r="HJ468" s="779"/>
      <c r="HK468" s="779"/>
      <c r="HL468" s="779"/>
      <c r="HM468" s="779"/>
      <c r="HN468" s="779"/>
      <c r="HO468" s="779"/>
      <c r="HP468" s="779"/>
      <c r="HQ468" s="779"/>
      <c r="HR468" s="779"/>
      <c r="HS468" s="779"/>
      <c r="HT468" s="779"/>
      <c r="HU468" s="779"/>
      <c r="HV468" s="779"/>
      <c r="HW468" s="779"/>
      <c r="HX468" s="779"/>
      <c r="HY468" s="779"/>
      <c r="HZ468" s="779"/>
      <c r="IA468" s="779"/>
      <c r="IB468" s="779"/>
      <c r="IC468" s="779"/>
      <c r="ID468" s="779"/>
      <c r="IE468" s="779"/>
      <c r="IF468" s="779"/>
      <c r="IG468" s="779"/>
      <c r="IH468" s="779"/>
      <c r="II468" s="779"/>
      <c r="IJ468" s="779"/>
      <c r="IK468" s="779"/>
    </row>
    <row r="469" spans="12:245" hidden="1">
      <c r="L469" s="778"/>
      <c r="M469" s="778"/>
      <c r="N469" s="778"/>
      <c r="O469" s="779"/>
      <c r="P469" s="780"/>
      <c r="Q469" s="779"/>
      <c r="R469" s="779"/>
      <c r="S469" s="779"/>
      <c r="T469" s="779"/>
      <c r="U469" s="779"/>
      <c r="V469" s="779"/>
      <c r="W469" s="779"/>
      <c r="X469" s="779"/>
      <c r="Y469" s="779"/>
      <c r="Z469" s="779"/>
      <c r="AA469" s="779"/>
      <c r="AB469" s="779"/>
      <c r="AC469" s="779"/>
      <c r="AD469" s="779"/>
      <c r="AE469" s="779"/>
      <c r="AF469" s="779"/>
      <c r="AG469" s="779"/>
      <c r="AH469" s="779"/>
      <c r="AI469" s="779"/>
      <c r="AJ469" s="779"/>
      <c r="AK469" s="779"/>
      <c r="AL469" s="779"/>
      <c r="AM469" s="779"/>
      <c r="AN469" s="779"/>
      <c r="AO469" s="779"/>
      <c r="AP469" s="779"/>
      <c r="AQ469" s="779"/>
      <c r="AR469" s="779"/>
      <c r="AS469" s="779"/>
      <c r="AT469" s="779"/>
      <c r="AU469" s="779"/>
      <c r="AV469" s="779"/>
      <c r="AW469" s="779"/>
      <c r="AX469" s="779"/>
      <c r="AY469" s="779"/>
      <c r="AZ469" s="779"/>
      <c r="BA469" s="779"/>
      <c r="BB469" s="779"/>
      <c r="BC469" s="779"/>
      <c r="BD469" s="779"/>
      <c r="BE469" s="779"/>
      <c r="BF469" s="779"/>
      <c r="BG469" s="779"/>
      <c r="BH469" s="779"/>
      <c r="BI469" s="779"/>
      <c r="BJ469" s="779"/>
      <c r="BK469" s="779"/>
      <c r="BL469" s="779"/>
      <c r="BM469" s="779"/>
      <c r="BN469" s="779"/>
      <c r="BO469" s="779"/>
      <c r="BP469" s="779"/>
      <c r="BQ469" s="779"/>
      <c r="BR469" s="779"/>
      <c r="BS469" s="779"/>
      <c r="BT469" s="779"/>
      <c r="BU469" s="779"/>
      <c r="BV469" s="779"/>
      <c r="BW469" s="779"/>
      <c r="BX469" s="779"/>
      <c r="BY469" s="779"/>
      <c r="BZ469" s="779"/>
      <c r="CA469" s="779"/>
      <c r="CB469" s="779"/>
      <c r="CC469" s="779"/>
      <c r="CD469" s="779"/>
      <c r="CE469" s="779"/>
      <c r="CF469" s="779"/>
      <c r="CG469" s="779"/>
      <c r="CH469" s="779"/>
      <c r="CI469" s="779"/>
      <c r="CJ469" s="779"/>
      <c r="CK469" s="779"/>
      <c r="CL469" s="779"/>
      <c r="CM469" s="779"/>
      <c r="CN469" s="779"/>
      <c r="CO469" s="779"/>
      <c r="CP469" s="779"/>
      <c r="CQ469" s="779"/>
      <c r="CR469" s="779"/>
      <c r="CS469" s="779"/>
      <c r="CT469" s="779"/>
      <c r="CU469" s="779"/>
      <c r="CV469" s="779"/>
      <c r="CW469" s="779"/>
      <c r="CX469" s="779"/>
      <c r="CY469" s="779"/>
      <c r="CZ469" s="779"/>
      <c r="DA469" s="779"/>
      <c r="DB469" s="779"/>
      <c r="DC469" s="779"/>
      <c r="DD469" s="779"/>
      <c r="DE469" s="779"/>
      <c r="DF469" s="779"/>
      <c r="DG469" s="779"/>
      <c r="DH469" s="779"/>
      <c r="DI469" s="779"/>
      <c r="DJ469" s="779"/>
      <c r="DK469" s="779"/>
      <c r="DL469" s="779"/>
      <c r="DM469" s="779"/>
      <c r="DN469" s="779"/>
      <c r="DO469" s="779"/>
      <c r="DP469" s="779"/>
      <c r="DQ469" s="779"/>
      <c r="DR469" s="779"/>
      <c r="DS469" s="779"/>
      <c r="DT469" s="779"/>
      <c r="DU469" s="779"/>
      <c r="DV469" s="779"/>
      <c r="DW469" s="779"/>
      <c r="DY469" s="778"/>
      <c r="DZ469" s="778"/>
      <c r="EA469" s="778"/>
      <c r="EB469" s="779"/>
      <c r="EC469" s="780"/>
      <c r="ED469" s="778"/>
      <c r="EE469" s="779"/>
      <c r="EF469" s="779"/>
      <c r="EG469" s="779"/>
      <c r="EH469" s="779"/>
      <c r="EI469" s="779"/>
      <c r="EJ469" s="779"/>
      <c r="EK469" s="779"/>
      <c r="EL469" s="779"/>
      <c r="EM469" s="779"/>
      <c r="EN469" s="779"/>
      <c r="EO469" s="779"/>
      <c r="EP469" s="779"/>
      <c r="EQ469" s="779"/>
      <c r="ER469" s="779"/>
      <c r="ES469" s="779"/>
      <c r="ET469" s="779"/>
      <c r="EU469" s="779"/>
      <c r="EV469" s="779"/>
      <c r="EW469" s="779"/>
      <c r="EX469" s="779"/>
      <c r="EY469" s="779"/>
      <c r="EZ469" s="779"/>
      <c r="FA469" s="779"/>
      <c r="FB469" s="779"/>
      <c r="FC469" s="779"/>
      <c r="FD469" s="779"/>
      <c r="FE469" s="779"/>
      <c r="FF469" s="779"/>
      <c r="FG469" s="779"/>
      <c r="FH469" s="779"/>
      <c r="FI469" s="779"/>
      <c r="FJ469" s="779"/>
      <c r="FK469" s="779"/>
      <c r="FL469" s="779"/>
      <c r="FM469" s="779"/>
      <c r="FN469" s="779"/>
      <c r="FO469" s="779"/>
      <c r="FP469" s="779"/>
      <c r="FQ469" s="779"/>
      <c r="FR469" s="779"/>
      <c r="FS469" s="779"/>
      <c r="FT469" s="779"/>
      <c r="FU469" s="779"/>
      <c r="FV469" s="779"/>
      <c r="FW469" s="779"/>
      <c r="FX469" s="779"/>
      <c r="FY469" s="779"/>
      <c r="FZ469" s="779"/>
      <c r="GA469" s="779"/>
      <c r="GB469" s="779"/>
      <c r="GC469" s="779"/>
      <c r="GD469" s="779"/>
      <c r="GE469" s="779"/>
      <c r="GF469" s="779"/>
      <c r="GG469" s="779"/>
      <c r="GH469" s="779"/>
      <c r="GI469" s="779"/>
      <c r="GJ469" s="779"/>
      <c r="GK469" s="779"/>
      <c r="GL469" s="779"/>
      <c r="GM469" s="779"/>
      <c r="GN469" s="779"/>
      <c r="GO469" s="779"/>
      <c r="GP469" s="779"/>
      <c r="GQ469" s="779"/>
      <c r="GR469" s="779"/>
      <c r="GS469" s="779"/>
      <c r="GT469" s="779"/>
      <c r="GU469" s="779"/>
      <c r="GV469" s="779"/>
      <c r="GW469" s="779"/>
      <c r="GX469" s="779"/>
      <c r="GY469" s="779"/>
      <c r="GZ469" s="779"/>
      <c r="HA469" s="779"/>
      <c r="HB469" s="779"/>
      <c r="HC469" s="779"/>
      <c r="HD469" s="779"/>
      <c r="HE469" s="779"/>
      <c r="HF469" s="779"/>
      <c r="HG469" s="779"/>
      <c r="HH469" s="779"/>
      <c r="HI469" s="779"/>
      <c r="HJ469" s="779"/>
      <c r="HK469" s="779"/>
      <c r="HL469" s="779"/>
      <c r="HM469" s="779"/>
      <c r="HN469" s="779"/>
      <c r="HO469" s="779"/>
      <c r="HP469" s="779"/>
      <c r="HQ469" s="779"/>
      <c r="HR469" s="779"/>
      <c r="HS469" s="779"/>
      <c r="HT469" s="779"/>
      <c r="HU469" s="779"/>
      <c r="HV469" s="779"/>
      <c r="HW469" s="779"/>
      <c r="HX469" s="779"/>
      <c r="HY469" s="779"/>
      <c r="HZ469" s="779"/>
      <c r="IA469" s="779"/>
      <c r="IB469" s="779"/>
      <c r="IC469" s="779"/>
      <c r="ID469" s="779"/>
      <c r="IE469" s="779"/>
      <c r="IF469" s="779"/>
      <c r="IG469" s="779"/>
      <c r="IH469" s="779"/>
      <c r="II469" s="779"/>
      <c r="IJ469" s="779"/>
      <c r="IK469" s="779"/>
    </row>
    <row r="470" spans="12:245" hidden="1">
      <c r="L470" s="778"/>
      <c r="M470" s="778"/>
      <c r="N470" s="778"/>
      <c r="O470" s="779"/>
      <c r="P470" s="780"/>
      <c r="Q470" s="779"/>
      <c r="R470" s="779"/>
      <c r="S470" s="779"/>
      <c r="T470" s="779"/>
      <c r="U470" s="779"/>
      <c r="V470" s="779"/>
      <c r="W470" s="779"/>
      <c r="X470" s="779"/>
      <c r="Y470" s="779"/>
      <c r="Z470" s="779"/>
      <c r="AA470" s="779"/>
      <c r="AB470" s="779"/>
      <c r="AC470" s="779"/>
      <c r="AD470" s="779"/>
      <c r="AE470" s="779"/>
      <c r="AF470" s="779"/>
      <c r="AG470" s="779"/>
      <c r="AH470" s="779"/>
      <c r="AI470" s="779"/>
      <c r="AJ470" s="779"/>
      <c r="AK470" s="779"/>
      <c r="AL470" s="779"/>
      <c r="AM470" s="779"/>
      <c r="AN470" s="779"/>
      <c r="AO470" s="779"/>
      <c r="AP470" s="779"/>
      <c r="AQ470" s="779"/>
      <c r="AR470" s="779"/>
      <c r="AS470" s="779"/>
      <c r="AT470" s="779"/>
      <c r="AU470" s="779"/>
      <c r="AV470" s="779"/>
      <c r="AW470" s="779"/>
      <c r="AX470" s="779"/>
      <c r="AY470" s="779"/>
      <c r="AZ470" s="779"/>
      <c r="BA470" s="779"/>
      <c r="BB470" s="779"/>
      <c r="BC470" s="779"/>
      <c r="BD470" s="779"/>
      <c r="BE470" s="779"/>
      <c r="BF470" s="779"/>
      <c r="BG470" s="779"/>
      <c r="BH470" s="779"/>
      <c r="BI470" s="779"/>
      <c r="BJ470" s="779"/>
      <c r="BK470" s="779"/>
      <c r="BL470" s="779"/>
      <c r="BM470" s="779"/>
      <c r="BN470" s="779"/>
      <c r="BO470" s="779"/>
      <c r="BP470" s="779"/>
      <c r="BQ470" s="779"/>
      <c r="BR470" s="779"/>
      <c r="BS470" s="779"/>
      <c r="BT470" s="779"/>
      <c r="BU470" s="779"/>
      <c r="BV470" s="779"/>
      <c r="BW470" s="779"/>
      <c r="BX470" s="779"/>
      <c r="BY470" s="779"/>
      <c r="BZ470" s="779"/>
      <c r="CA470" s="779"/>
      <c r="CB470" s="779"/>
      <c r="CC470" s="779"/>
      <c r="CD470" s="779"/>
      <c r="CE470" s="779"/>
      <c r="CF470" s="779"/>
      <c r="CG470" s="779"/>
      <c r="CH470" s="779"/>
      <c r="CI470" s="779"/>
      <c r="CJ470" s="779"/>
      <c r="CK470" s="779"/>
      <c r="CL470" s="779"/>
      <c r="CM470" s="779"/>
      <c r="CN470" s="779"/>
      <c r="CO470" s="779"/>
      <c r="CP470" s="779"/>
      <c r="CQ470" s="779"/>
      <c r="CR470" s="779"/>
      <c r="CS470" s="779"/>
      <c r="CT470" s="779"/>
      <c r="CU470" s="779"/>
      <c r="CV470" s="779"/>
      <c r="CW470" s="779"/>
      <c r="CX470" s="779"/>
      <c r="CY470" s="779"/>
      <c r="CZ470" s="779"/>
      <c r="DA470" s="779"/>
      <c r="DB470" s="779"/>
      <c r="DC470" s="779"/>
      <c r="DD470" s="779"/>
      <c r="DE470" s="779"/>
      <c r="DF470" s="779"/>
      <c r="DG470" s="779"/>
      <c r="DH470" s="779"/>
      <c r="DI470" s="779"/>
      <c r="DJ470" s="779"/>
      <c r="DK470" s="779"/>
      <c r="DL470" s="779"/>
      <c r="DM470" s="779"/>
      <c r="DN470" s="779"/>
      <c r="DO470" s="779"/>
      <c r="DP470" s="779"/>
      <c r="DQ470" s="779"/>
      <c r="DR470" s="779"/>
      <c r="DS470" s="779"/>
      <c r="DT470" s="779"/>
      <c r="DU470" s="779"/>
      <c r="DV470" s="779"/>
      <c r="DW470" s="779"/>
      <c r="DY470" s="778"/>
      <c r="DZ470" s="778"/>
      <c r="EA470" s="778"/>
      <c r="EB470" s="779"/>
      <c r="EC470" s="780"/>
      <c r="ED470" s="778"/>
      <c r="EE470" s="779"/>
      <c r="EF470" s="779"/>
      <c r="EG470" s="779"/>
      <c r="EH470" s="779"/>
      <c r="EI470" s="779"/>
      <c r="EJ470" s="779"/>
      <c r="EK470" s="779"/>
      <c r="EL470" s="779"/>
      <c r="EM470" s="779"/>
      <c r="EN470" s="779"/>
      <c r="EO470" s="779"/>
      <c r="EP470" s="779"/>
      <c r="EQ470" s="779"/>
      <c r="ER470" s="779"/>
      <c r="ES470" s="779"/>
      <c r="ET470" s="779"/>
      <c r="EU470" s="779"/>
      <c r="EV470" s="779"/>
      <c r="EW470" s="779"/>
      <c r="EX470" s="779"/>
      <c r="EY470" s="779"/>
      <c r="EZ470" s="779"/>
      <c r="FA470" s="779"/>
      <c r="FB470" s="779"/>
      <c r="FC470" s="779"/>
      <c r="FD470" s="779"/>
      <c r="FE470" s="779"/>
      <c r="FF470" s="779"/>
      <c r="FG470" s="779"/>
      <c r="FH470" s="779"/>
      <c r="FI470" s="779"/>
      <c r="FJ470" s="779"/>
      <c r="FK470" s="779"/>
      <c r="FL470" s="779"/>
      <c r="FM470" s="779"/>
      <c r="FN470" s="779"/>
      <c r="FO470" s="779"/>
      <c r="FP470" s="779"/>
      <c r="FQ470" s="779"/>
      <c r="FR470" s="779"/>
      <c r="FS470" s="779"/>
      <c r="FT470" s="779"/>
      <c r="FU470" s="779"/>
      <c r="FV470" s="779"/>
      <c r="FW470" s="779"/>
      <c r="FX470" s="779"/>
      <c r="FY470" s="779"/>
      <c r="FZ470" s="779"/>
      <c r="GA470" s="779"/>
      <c r="GB470" s="779"/>
      <c r="GC470" s="779"/>
      <c r="GD470" s="779"/>
      <c r="GE470" s="779"/>
      <c r="GF470" s="779"/>
      <c r="GG470" s="779"/>
      <c r="GH470" s="779"/>
      <c r="GI470" s="779"/>
      <c r="GJ470" s="779"/>
      <c r="GK470" s="779"/>
      <c r="GL470" s="779"/>
      <c r="GM470" s="779"/>
      <c r="GN470" s="779"/>
      <c r="GO470" s="779"/>
      <c r="GP470" s="779"/>
      <c r="GQ470" s="779"/>
      <c r="GR470" s="779"/>
      <c r="GS470" s="779"/>
      <c r="GT470" s="779"/>
      <c r="GU470" s="779"/>
      <c r="GV470" s="779"/>
      <c r="GW470" s="779"/>
      <c r="GX470" s="779"/>
      <c r="GY470" s="779"/>
      <c r="GZ470" s="779"/>
      <c r="HA470" s="779"/>
      <c r="HB470" s="779"/>
      <c r="HC470" s="779"/>
      <c r="HD470" s="779"/>
      <c r="HE470" s="779"/>
      <c r="HF470" s="779"/>
      <c r="HG470" s="779"/>
      <c r="HH470" s="779"/>
      <c r="HI470" s="779"/>
      <c r="HJ470" s="779"/>
      <c r="HK470" s="779"/>
      <c r="HL470" s="779"/>
      <c r="HM470" s="779"/>
      <c r="HN470" s="779"/>
      <c r="HO470" s="779"/>
      <c r="HP470" s="779"/>
      <c r="HQ470" s="779"/>
      <c r="HR470" s="779"/>
      <c r="HS470" s="779"/>
      <c r="HT470" s="779"/>
      <c r="HU470" s="779"/>
      <c r="HV470" s="779"/>
      <c r="HW470" s="779"/>
      <c r="HX470" s="779"/>
      <c r="HY470" s="779"/>
      <c r="HZ470" s="779"/>
      <c r="IA470" s="779"/>
      <c r="IB470" s="779"/>
      <c r="IC470" s="779"/>
      <c r="ID470" s="779"/>
      <c r="IE470" s="779"/>
      <c r="IF470" s="779"/>
      <c r="IG470" s="779"/>
      <c r="IH470" s="779"/>
      <c r="II470" s="779"/>
      <c r="IJ470" s="779"/>
      <c r="IK470" s="779"/>
    </row>
    <row r="471" spans="12:245" hidden="1">
      <c r="L471" s="778"/>
      <c r="M471" s="778"/>
      <c r="N471" s="778"/>
      <c r="O471" s="779"/>
      <c r="P471" s="780"/>
      <c r="Q471" s="779"/>
      <c r="R471" s="779"/>
      <c r="S471" s="779"/>
      <c r="T471" s="779"/>
      <c r="U471" s="779"/>
      <c r="V471" s="779"/>
      <c r="W471" s="779"/>
      <c r="X471" s="779"/>
      <c r="Y471" s="779"/>
      <c r="Z471" s="779"/>
      <c r="AA471" s="779"/>
      <c r="AB471" s="779"/>
      <c r="AC471" s="779"/>
      <c r="AD471" s="779"/>
      <c r="AE471" s="779"/>
      <c r="AF471" s="779"/>
      <c r="AG471" s="779"/>
      <c r="AH471" s="779"/>
      <c r="AI471" s="779"/>
      <c r="AJ471" s="779"/>
      <c r="AK471" s="779"/>
      <c r="AL471" s="779"/>
      <c r="AM471" s="779"/>
      <c r="AN471" s="779"/>
      <c r="AO471" s="779"/>
      <c r="AP471" s="779"/>
      <c r="AQ471" s="779"/>
      <c r="AR471" s="779"/>
      <c r="AS471" s="779"/>
      <c r="AT471" s="779"/>
      <c r="AU471" s="779"/>
      <c r="AV471" s="779"/>
      <c r="AW471" s="779"/>
      <c r="AX471" s="779"/>
      <c r="AY471" s="779"/>
      <c r="AZ471" s="779"/>
      <c r="BA471" s="779"/>
      <c r="BB471" s="779"/>
      <c r="BC471" s="779"/>
      <c r="BD471" s="779"/>
      <c r="BE471" s="779"/>
      <c r="BF471" s="779"/>
      <c r="BG471" s="779"/>
      <c r="BH471" s="779"/>
      <c r="BI471" s="779"/>
      <c r="BJ471" s="779"/>
      <c r="BK471" s="779"/>
      <c r="BL471" s="779"/>
      <c r="BM471" s="779"/>
      <c r="BN471" s="779"/>
      <c r="BO471" s="779"/>
      <c r="BP471" s="779"/>
      <c r="BQ471" s="779"/>
      <c r="BR471" s="779"/>
      <c r="BS471" s="779"/>
      <c r="BT471" s="779"/>
      <c r="BU471" s="779"/>
      <c r="BV471" s="779"/>
      <c r="BW471" s="779"/>
      <c r="BX471" s="779"/>
      <c r="BY471" s="779"/>
      <c r="BZ471" s="779"/>
      <c r="CA471" s="779"/>
      <c r="CB471" s="779"/>
      <c r="CC471" s="779"/>
      <c r="CD471" s="779"/>
      <c r="CE471" s="779"/>
      <c r="CF471" s="779"/>
      <c r="CG471" s="779"/>
      <c r="CH471" s="779"/>
      <c r="CI471" s="779"/>
      <c r="CJ471" s="779"/>
      <c r="CK471" s="779"/>
      <c r="CL471" s="779"/>
      <c r="CM471" s="779"/>
      <c r="CN471" s="779"/>
      <c r="CO471" s="779"/>
      <c r="CP471" s="779"/>
      <c r="CQ471" s="779"/>
      <c r="CR471" s="779"/>
      <c r="CS471" s="779"/>
      <c r="CT471" s="779"/>
      <c r="CU471" s="779"/>
      <c r="CV471" s="779"/>
      <c r="CW471" s="779"/>
      <c r="CX471" s="779"/>
      <c r="CY471" s="779"/>
      <c r="CZ471" s="779"/>
      <c r="DA471" s="779"/>
      <c r="DB471" s="779"/>
      <c r="DC471" s="779"/>
      <c r="DD471" s="779"/>
      <c r="DE471" s="779"/>
      <c r="DF471" s="779"/>
      <c r="DG471" s="779"/>
      <c r="DH471" s="779"/>
      <c r="DI471" s="779"/>
      <c r="DJ471" s="779"/>
      <c r="DK471" s="779"/>
      <c r="DL471" s="779"/>
      <c r="DM471" s="779"/>
      <c r="DN471" s="779"/>
      <c r="DO471" s="779"/>
      <c r="DP471" s="779"/>
      <c r="DQ471" s="779"/>
      <c r="DR471" s="779"/>
      <c r="DS471" s="779"/>
      <c r="DT471" s="779"/>
      <c r="DU471" s="779"/>
      <c r="DV471" s="779"/>
      <c r="DW471" s="779"/>
      <c r="DY471" s="778"/>
      <c r="DZ471" s="778"/>
      <c r="EA471" s="778"/>
      <c r="EB471" s="779"/>
      <c r="EC471" s="780"/>
      <c r="ED471" s="778"/>
      <c r="EE471" s="779"/>
      <c r="EF471" s="779"/>
      <c r="EG471" s="779"/>
      <c r="EH471" s="779"/>
      <c r="EI471" s="779"/>
      <c r="EJ471" s="779"/>
      <c r="EK471" s="779"/>
      <c r="EL471" s="779"/>
      <c r="EM471" s="779"/>
      <c r="EN471" s="779"/>
      <c r="EO471" s="779"/>
      <c r="EP471" s="779"/>
      <c r="EQ471" s="779"/>
      <c r="ER471" s="779"/>
      <c r="ES471" s="779"/>
      <c r="ET471" s="779"/>
      <c r="EU471" s="779"/>
      <c r="EV471" s="779"/>
      <c r="EW471" s="779"/>
      <c r="EX471" s="779"/>
      <c r="EY471" s="779"/>
      <c r="EZ471" s="779"/>
      <c r="FA471" s="779"/>
      <c r="FB471" s="779"/>
      <c r="FC471" s="779"/>
      <c r="FD471" s="779"/>
      <c r="FE471" s="779"/>
      <c r="FF471" s="779"/>
      <c r="FG471" s="779"/>
      <c r="FH471" s="779"/>
      <c r="FI471" s="779"/>
      <c r="FJ471" s="779"/>
      <c r="FK471" s="779"/>
      <c r="FL471" s="779"/>
      <c r="FM471" s="779"/>
      <c r="FN471" s="779"/>
      <c r="FO471" s="779"/>
      <c r="FP471" s="779"/>
      <c r="FQ471" s="779"/>
      <c r="FR471" s="779"/>
      <c r="FS471" s="779"/>
      <c r="FT471" s="779"/>
      <c r="FU471" s="779"/>
      <c r="FV471" s="779"/>
      <c r="FW471" s="779"/>
      <c r="FX471" s="779"/>
      <c r="FY471" s="779"/>
      <c r="FZ471" s="779"/>
      <c r="GA471" s="779"/>
      <c r="GB471" s="779"/>
      <c r="GC471" s="779"/>
      <c r="GD471" s="779"/>
      <c r="GE471" s="779"/>
      <c r="GF471" s="779"/>
      <c r="GG471" s="779"/>
      <c r="GH471" s="779"/>
      <c r="GI471" s="779"/>
      <c r="GJ471" s="779"/>
      <c r="GK471" s="779"/>
      <c r="GL471" s="779"/>
      <c r="GM471" s="779"/>
      <c r="GN471" s="779"/>
      <c r="GO471" s="779"/>
      <c r="GP471" s="779"/>
      <c r="GQ471" s="779"/>
      <c r="GR471" s="779"/>
      <c r="GS471" s="779"/>
      <c r="GT471" s="779"/>
      <c r="GU471" s="779"/>
      <c r="GV471" s="779"/>
      <c r="GW471" s="779"/>
      <c r="GX471" s="779"/>
      <c r="GY471" s="779"/>
      <c r="GZ471" s="779"/>
      <c r="HA471" s="779"/>
      <c r="HB471" s="779"/>
      <c r="HC471" s="779"/>
      <c r="HD471" s="779"/>
      <c r="HE471" s="779"/>
      <c r="HF471" s="779"/>
      <c r="HG471" s="779"/>
      <c r="HH471" s="779"/>
      <c r="HI471" s="779"/>
      <c r="HJ471" s="779"/>
      <c r="HK471" s="779"/>
      <c r="HL471" s="779"/>
      <c r="HM471" s="779"/>
      <c r="HN471" s="779"/>
      <c r="HO471" s="779"/>
      <c r="HP471" s="779"/>
      <c r="HQ471" s="779"/>
      <c r="HR471" s="779"/>
      <c r="HS471" s="779"/>
      <c r="HT471" s="779"/>
      <c r="HU471" s="779"/>
      <c r="HV471" s="779"/>
      <c r="HW471" s="779"/>
      <c r="HX471" s="779"/>
      <c r="HY471" s="779"/>
      <c r="HZ471" s="779"/>
      <c r="IA471" s="779"/>
      <c r="IB471" s="779"/>
      <c r="IC471" s="779"/>
      <c r="ID471" s="779"/>
      <c r="IE471" s="779"/>
      <c r="IF471" s="779"/>
      <c r="IG471" s="779"/>
      <c r="IH471" s="779"/>
      <c r="II471" s="779"/>
      <c r="IJ471" s="779"/>
      <c r="IK471" s="779"/>
    </row>
    <row r="472" spans="12:245" hidden="1">
      <c r="L472" s="778"/>
      <c r="M472" s="778"/>
      <c r="N472" s="778"/>
      <c r="O472" s="779"/>
      <c r="P472" s="780"/>
      <c r="Q472" s="779"/>
      <c r="R472" s="779"/>
      <c r="S472" s="779"/>
      <c r="T472" s="779"/>
      <c r="U472" s="779"/>
      <c r="V472" s="779"/>
      <c r="W472" s="779"/>
      <c r="X472" s="779"/>
      <c r="Y472" s="779"/>
      <c r="Z472" s="779"/>
      <c r="AA472" s="779"/>
      <c r="AB472" s="779"/>
      <c r="AC472" s="779"/>
      <c r="AD472" s="779"/>
      <c r="AE472" s="779"/>
      <c r="AF472" s="779"/>
      <c r="AG472" s="779"/>
      <c r="AH472" s="779"/>
      <c r="AI472" s="779"/>
      <c r="AJ472" s="779"/>
      <c r="AK472" s="779"/>
      <c r="AL472" s="779"/>
      <c r="AM472" s="779"/>
      <c r="AN472" s="779"/>
      <c r="AO472" s="779"/>
      <c r="AP472" s="779"/>
      <c r="AQ472" s="779"/>
      <c r="AR472" s="779"/>
      <c r="AS472" s="779"/>
      <c r="AT472" s="779"/>
      <c r="AU472" s="779"/>
      <c r="AV472" s="779"/>
      <c r="AW472" s="779"/>
      <c r="AX472" s="779"/>
      <c r="AY472" s="779"/>
      <c r="AZ472" s="779"/>
      <c r="BA472" s="779"/>
      <c r="BB472" s="779"/>
      <c r="BC472" s="779"/>
      <c r="BD472" s="779"/>
      <c r="BE472" s="779"/>
      <c r="BF472" s="779"/>
      <c r="BG472" s="779"/>
      <c r="BH472" s="779"/>
      <c r="BI472" s="779"/>
      <c r="BJ472" s="779"/>
      <c r="BK472" s="779"/>
      <c r="BL472" s="779"/>
      <c r="BM472" s="779"/>
      <c r="BN472" s="779"/>
      <c r="BO472" s="779"/>
      <c r="BP472" s="779"/>
      <c r="BQ472" s="779"/>
      <c r="BR472" s="779"/>
      <c r="BS472" s="779"/>
      <c r="BT472" s="779"/>
      <c r="BU472" s="779"/>
      <c r="BV472" s="779"/>
      <c r="BW472" s="779"/>
      <c r="BX472" s="779"/>
      <c r="BY472" s="779"/>
      <c r="BZ472" s="779"/>
      <c r="CA472" s="779"/>
      <c r="CB472" s="779"/>
      <c r="CC472" s="779"/>
      <c r="CD472" s="779"/>
      <c r="CE472" s="779"/>
      <c r="CF472" s="779"/>
      <c r="CG472" s="779"/>
      <c r="CH472" s="779"/>
      <c r="CI472" s="779"/>
      <c r="CJ472" s="779"/>
      <c r="CK472" s="779"/>
      <c r="CL472" s="779"/>
      <c r="CM472" s="779"/>
      <c r="CN472" s="779"/>
      <c r="CO472" s="779"/>
      <c r="CP472" s="779"/>
      <c r="CQ472" s="779"/>
      <c r="CR472" s="779"/>
      <c r="CS472" s="779"/>
      <c r="CT472" s="779"/>
      <c r="CU472" s="779"/>
      <c r="CV472" s="779"/>
      <c r="CW472" s="779"/>
      <c r="CX472" s="779"/>
      <c r="CY472" s="779"/>
      <c r="CZ472" s="779"/>
      <c r="DA472" s="779"/>
      <c r="DB472" s="779"/>
      <c r="DC472" s="779"/>
      <c r="DD472" s="779"/>
      <c r="DE472" s="779"/>
      <c r="DF472" s="779"/>
      <c r="DG472" s="779"/>
      <c r="DH472" s="779"/>
      <c r="DI472" s="779"/>
      <c r="DJ472" s="779"/>
      <c r="DK472" s="779"/>
      <c r="DL472" s="779"/>
      <c r="DM472" s="779"/>
      <c r="DN472" s="779"/>
      <c r="DO472" s="779"/>
      <c r="DP472" s="779"/>
      <c r="DQ472" s="779"/>
      <c r="DR472" s="779"/>
      <c r="DS472" s="779"/>
      <c r="DT472" s="779"/>
      <c r="DU472" s="779"/>
      <c r="DV472" s="779"/>
      <c r="DW472" s="779"/>
      <c r="DY472" s="778"/>
      <c r="DZ472" s="778"/>
      <c r="EA472" s="778"/>
      <c r="EB472" s="779"/>
      <c r="EC472" s="780"/>
      <c r="ED472" s="778"/>
      <c r="EE472" s="779"/>
      <c r="EF472" s="779"/>
      <c r="EG472" s="779"/>
      <c r="EH472" s="779"/>
      <c r="EI472" s="779"/>
      <c r="EJ472" s="779"/>
      <c r="EK472" s="779"/>
      <c r="EL472" s="779"/>
      <c r="EM472" s="779"/>
      <c r="EN472" s="779"/>
      <c r="EO472" s="779"/>
      <c r="EP472" s="779"/>
      <c r="EQ472" s="779"/>
      <c r="ER472" s="779"/>
      <c r="ES472" s="779"/>
      <c r="ET472" s="779"/>
      <c r="EU472" s="779"/>
      <c r="EV472" s="779"/>
      <c r="EW472" s="779"/>
      <c r="EX472" s="779"/>
      <c r="EY472" s="779"/>
      <c r="EZ472" s="779"/>
      <c r="FA472" s="779"/>
      <c r="FB472" s="779"/>
      <c r="FC472" s="779"/>
      <c r="FD472" s="779"/>
      <c r="FE472" s="779"/>
      <c r="FF472" s="779"/>
      <c r="FG472" s="779"/>
      <c r="FH472" s="779"/>
      <c r="FI472" s="779"/>
      <c r="FJ472" s="779"/>
      <c r="FK472" s="779"/>
      <c r="FL472" s="779"/>
      <c r="FM472" s="779"/>
      <c r="FN472" s="779"/>
      <c r="FO472" s="779"/>
      <c r="FP472" s="779"/>
      <c r="FQ472" s="779"/>
      <c r="FR472" s="779"/>
      <c r="FS472" s="779"/>
      <c r="FT472" s="779"/>
      <c r="FU472" s="779"/>
      <c r="FV472" s="779"/>
      <c r="FW472" s="779"/>
      <c r="FX472" s="779"/>
      <c r="FY472" s="779"/>
      <c r="FZ472" s="779"/>
      <c r="GA472" s="779"/>
      <c r="GB472" s="779"/>
      <c r="GC472" s="779"/>
      <c r="GD472" s="779"/>
      <c r="GE472" s="779"/>
      <c r="GF472" s="779"/>
      <c r="GG472" s="779"/>
      <c r="GH472" s="779"/>
      <c r="GI472" s="779"/>
      <c r="GJ472" s="779"/>
      <c r="GK472" s="779"/>
      <c r="GL472" s="779"/>
      <c r="GM472" s="779"/>
      <c r="GN472" s="779"/>
      <c r="GO472" s="779"/>
      <c r="GP472" s="779"/>
      <c r="GQ472" s="779"/>
      <c r="GR472" s="779"/>
      <c r="GS472" s="779"/>
      <c r="GT472" s="779"/>
      <c r="GU472" s="779"/>
      <c r="GV472" s="779"/>
      <c r="GW472" s="779"/>
      <c r="GX472" s="779"/>
      <c r="GY472" s="779"/>
      <c r="GZ472" s="779"/>
      <c r="HA472" s="779"/>
      <c r="HB472" s="779"/>
      <c r="HC472" s="779"/>
      <c r="HD472" s="779"/>
      <c r="HE472" s="779"/>
      <c r="HF472" s="779"/>
      <c r="HG472" s="779"/>
      <c r="HH472" s="779"/>
      <c r="HI472" s="779"/>
      <c r="HJ472" s="779"/>
      <c r="HK472" s="779"/>
      <c r="HL472" s="779"/>
      <c r="HM472" s="779"/>
      <c r="HN472" s="779"/>
      <c r="HO472" s="779"/>
      <c r="HP472" s="779"/>
      <c r="HQ472" s="779"/>
      <c r="HR472" s="779"/>
      <c r="HS472" s="779"/>
      <c r="HT472" s="779"/>
      <c r="HU472" s="779"/>
      <c r="HV472" s="779"/>
      <c r="HW472" s="779"/>
      <c r="HX472" s="779"/>
      <c r="HY472" s="779"/>
      <c r="HZ472" s="779"/>
      <c r="IA472" s="779"/>
      <c r="IB472" s="779"/>
      <c r="IC472" s="779"/>
      <c r="ID472" s="779"/>
      <c r="IE472" s="779"/>
      <c r="IF472" s="779"/>
      <c r="IG472" s="779"/>
      <c r="IH472" s="779"/>
      <c r="II472" s="779"/>
      <c r="IJ472" s="779"/>
      <c r="IK472" s="779"/>
    </row>
    <row r="473" spans="12:245" hidden="1">
      <c r="L473" s="778"/>
      <c r="M473" s="778"/>
      <c r="N473" s="778"/>
      <c r="O473" s="779"/>
      <c r="P473" s="780"/>
      <c r="Q473" s="779"/>
      <c r="R473" s="779"/>
      <c r="S473" s="779"/>
      <c r="T473" s="779"/>
      <c r="U473" s="779"/>
      <c r="V473" s="779"/>
      <c r="W473" s="779"/>
      <c r="X473" s="779"/>
      <c r="Y473" s="779"/>
      <c r="Z473" s="779"/>
      <c r="AA473" s="779"/>
      <c r="AB473" s="779"/>
      <c r="AC473" s="779"/>
      <c r="AD473" s="779"/>
      <c r="AE473" s="779"/>
      <c r="AF473" s="779"/>
      <c r="AG473" s="779"/>
      <c r="AH473" s="779"/>
      <c r="AI473" s="779"/>
      <c r="AJ473" s="779"/>
      <c r="AK473" s="779"/>
      <c r="AL473" s="779"/>
      <c r="AM473" s="779"/>
      <c r="AN473" s="779"/>
      <c r="AO473" s="779"/>
      <c r="AP473" s="779"/>
      <c r="AQ473" s="779"/>
      <c r="AR473" s="779"/>
      <c r="AS473" s="779"/>
      <c r="AT473" s="779"/>
      <c r="AU473" s="779"/>
      <c r="AV473" s="779"/>
      <c r="AW473" s="779"/>
      <c r="AX473" s="779"/>
      <c r="AY473" s="779"/>
      <c r="AZ473" s="779"/>
      <c r="BA473" s="779"/>
      <c r="BB473" s="779"/>
      <c r="BC473" s="779"/>
      <c r="BD473" s="779"/>
      <c r="BE473" s="779"/>
      <c r="BF473" s="779"/>
      <c r="BG473" s="779"/>
      <c r="BH473" s="779"/>
      <c r="BI473" s="779"/>
      <c r="BJ473" s="779"/>
      <c r="BK473" s="779"/>
      <c r="BL473" s="779"/>
      <c r="BM473" s="779"/>
      <c r="BN473" s="779"/>
      <c r="BO473" s="779"/>
      <c r="BP473" s="779"/>
      <c r="BQ473" s="779"/>
      <c r="BR473" s="779"/>
      <c r="BS473" s="779"/>
      <c r="BT473" s="779"/>
      <c r="BU473" s="779"/>
      <c r="BV473" s="779"/>
      <c r="BW473" s="779"/>
      <c r="BX473" s="779"/>
      <c r="BY473" s="779"/>
      <c r="BZ473" s="779"/>
      <c r="CA473" s="779"/>
      <c r="CB473" s="779"/>
      <c r="CC473" s="779"/>
      <c r="CD473" s="779"/>
      <c r="CE473" s="779"/>
      <c r="CF473" s="779"/>
      <c r="CG473" s="779"/>
      <c r="CH473" s="779"/>
      <c r="CI473" s="779"/>
      <c r="CJ473" s="779"/>
      <c r="CK473" s="779"/>
      <c r="CL473" s="779"/>
      <c r="CM473" s="779"/>
      <c r="CN473" s="779"/>
      <c r="CO473" s="779"/>
      <c r="CP473" s="779"/>
      <c r="CQ473" s="779"/>
      <c r="CR473" s="779"/>
      <c r="CS473" s="779"/>
      <c r="CT473" s="779"/>
      <c r="CU473" s="779"/>
      <c r="CV473" s="779"/>
      <c r="CW473" s="779"/>
      <c r="CX473" s="779"/>
      <c r="CY473" s="779"/>
      <c r="CZ473" s="779"/>
      <c r="DA473" s="779"/>
      <c r="DB473" s="779"/>
      <c r="DC473" s="779"/>
      <c r="DD473" s="779"/>
      <c r="DE473" s="779"/>
      <c r="DF473" s="779"/>
      <c r="DG473" s="779"/>
      <c r="DH473" s="779"/>
      <c r="DI473" s="779"/>
      <c r="DJ473" s="779"/>
      <c r="DK473" s="779"/>
      <c r="DL473" s="779"/>
      <c r="DM473" s="779"/>
      <c r="DN473" s="779"/>
      <c r="DO473" s="779"/>
      <c r="DP473" s="779"/>
      <c r="DQ473" s="779"/>
      <c r="DR473" s="779"/>
      <c r="DS473" s="779"/>
      <c r="DT473" s="779"/>
      <c r="DU473" s="779"/>
      <c r="DV473" s="779"/>
      <c r="DW473" s="779"/>
      <c r="DY473" s="778"/>
      <c r="DZ473" s="778"/>
      <c r="EA473" s="778"/>
      <c r="EB473" s="779"/>
      <c r="EC473" s="780"/>
      <c r="ED473" s="778"/>
      <c r="EE473" s="779"/>
      <c r="EF473" s="779"/>
      <c r="EG473" s="779"/>
      <c r="EH473" s="779"/>
      <c r="EI473" s="779"/>
      <c r="EJ473" s="779"/>
      <c r="EK473" s="779"/>
      <c r="EL473" s="779"/>
      <c r="EM473" s="779"/>
      <c r="EN473" s="779"/>
      <c r="EO473" s="779"/>
      <c r="EP473" s="779"/>
      <c r="EQ473" s="779"/>
      <c r="ER473" s="779"/>
      <c r="ES473" s="779"/>
      <c r="ET473" s="779"/>
      <c r="EU473" s="779"/>
      <c r="EV473" s="779"/>
      <c r="EW473" s="779"/>
      <c r="EX473" s="779"/>
      <c r="EY473" s="779"/>
      <c r="EZ473" s="779"/>
      <c r="FA473" s="779"/>
      <c r="FB473" s="779"/>
      <c r="FC473" s="779"/>
      <c r="FD473" s="779"/>
      <c r="FE473" s="779"/>
      <c r="FF473" s="779"/>
      <c r="FG473" s="779"/>
      <c r="FH473" s="779"/>
      <c r="FI473" s="779"/>
      <c r="FJ473" s="779"/>
      <c r="FK473" s="779"/>
      <c r="FL473" s="779"/>
      <c r="FM473" s="779"/>
      <c r="FN473" s="779"/>
      <c r="FO473" s="779"/>
      <c r="FP473" s="779"/>
      <c r="FQ473" s="779"/>
      <c r="FR473" s="779"/>
      <c r="FS473" s="779"/>
      <c r="FT473" s="779"/>
      <c r="FU473" s="779"/>
      <c r="FV473" s="779"/>
      <c r="FW473" s="779"/>
      <c r="FX473" s="779"/>
      <c r="FY473" s="779"/>
      <c r="FZ473" s="779"/>
      <c r="GA473" s="779"/>
      <c r="GB473" s="779"/>
      <c r="GC473" s="779"/>
      <c r="GD473" s="779"/>
      <c r="GE473" s="779"/>
      <c r="GF473" s="779"/>
      <c r="GG473" s="779"/>
      <c r="GH473" s="779"/>
      <c r="GI473" s="779"/>
      <c r="GJ473" s="779"/>
      <c r="GK473" s="779"/>
      <c r="GL473" s="779"/>
      <c r="GM473" s="779"/>
      <c r="GN473" s="779"/>
      <c r="GO473" s="779"/>
      <c r="GP473" s="779"/>
      <c r="GQ473" s="779"/>
      <c r="GR473" s="779"/>
      <c r="GS473" s="779"/>
      <c r="GT473" s="779"/>
      <c r="GU473" s="779"/>
      <c r="GV473" s="779"/>
      <c r="GW473" s="779"/>
      <c r="GX473" s="779"/>
      <c r="GY473" s="779"/>
      <c r="GZ473" s="779"/>
      <c r="HA473" s="779"/>
      <c r="HB473" s="779"/>
      <c r="HC473" s="779"/>
      <c r="HD473" s="779"/>
      <c r="HE473" s="779"/>
      <c r="HF473" s="779"/>
      <c r="HG473" s="779"/>
      <c r="HH473" s="779"/>
      <c r="HI473" s="779"/>
      <c r="HJ473" s="779"/>
      <c r="HK473" s="779"/>
      <c r="HL473" s="779"/>
      <c r="HM473" s="779"/>
      <c r="HN473" s="779"/>
      <c r="HO473" s="779"/>
      <c r="HP473" s="779"/>
      <c r="HQ473" s="779"/>
      <c r="HR473" s="779"/>
      <c r="HS473" s="779"/>
      <c r="HT473" s="779"/>
      <c r="HU473" s="779"/>
      <c r="HV473" s="779"/>
      <c r="HW473" s="779"/>
      <c r="HX473" s="779"/>
      <c r="HY473" s="779"/>
      <c r="HZ473" s="779"/>
      <c r="IA473" s="779"/>
      <c r="IB473" s="779"/>
      <c r="IC473" s="779"/>
      <c r="ID473" s="779"/>
      <c r="IE473" s="779"/>
      <c r="IF473" s="779"/>
      <c r="IG473" s="779"/>
      <c r="IH473" s="779"/>
      <c r="II473" s="779"/>
      <c r="IJ473" s="779"/>
      <c r="IK473" s="779"/>
    </row>
    <row r="474" spans="12:245" hidden="1">
      <c r="L474" s="778"/>
      <c r="M474" s="778"/>
      <c r="N474" s="778"/>
      <c r="O474" s="779"/>
      <c r="P474" s="780"/>
      <c r="Q474" s="779"/>
      <c r="R474" s="779"/>
      <c r="S474" s="779"/>
      <c r="T474" s="779"/>
      <c r="U474" s="779"/>
      <c r="V474" s="779"/>
      <c r="W474" s="779"/>
      <c r="X474" s="779"/>
      <c r="Y474" s="779"/>
      <c r="Z474" s="779"/>
      <c r="AA474" s="779"/>
      <c r="AB474" s="779"/>
      <c r="AC474" s="779"/>
      <c r="AD474" s="779"/>
      <c r="AE474" s="779"/>
      <c r="AF474" s="779"/>
      <c r="AG474" s="779"/>
      <c r="AH474" s="779"/>
      <c r="AI474" s="779"/>
      <c r="AJ474" s="779"/>
      <c r="AK474" s="779"/>
      <c r="AL474" s="779"/>
      <c r="AM474" s="779"/>
      <c r="AN474" s="779"/>
      <c r="AO474" s="779"/>
      <c r="AP474" s="779"/>
      <c r="AQ474" s="779"/>
      <c r="AR474" s="779"/>
      <c r="AS474" s="779"/>
      <c r="AT474" s="779"/>
      <c r="AU474" s="779"/>
      <c r="AV474" s="779"/>
      <c r="AW474" s="779"/>
      <c r="AX474" s="779"/>
      <c r="AY474" s="779"/>
      <c r="AZ474" s="779"/>
      <c r="BA474" s="779"/>
      <c r="BB474" s="779"/>
      <c r="BC474" s="779"/>
      <c r="BD474" s="779"/>
      <c r="BE474" s="779"/>
      <c r="BF474" s="779"/>
      <c r="BG474" s="779"/>
      <c r="BH474" s="779"/>
      <c r="BI474" s="779"/>
      <c r="BJ474" s="779"/>
      <c r="BK474" s="779"/>
      <c r="BL474" s="779"/>
      <c r="BM474" s="779"/>
      <c r="BN474" s="779"/>
      <c r="BO474" s="779"/>
      <c r="BP474" s="779"/>
      <c r="BQ474" s="779"/>
      <c r="BR474" s="779"/>
      <c r="BS474" s="779"/>
      <c r="BT474" s="779"/>
      <c r="BU474" s="779"/>
      <c r="BV474" s="779"/>
      <c r="BW474" s="779"/>
      <c r="BX474" s="779"/>
      <c r="BY474" s="779"/>
      <c r="BZ474" s="779"/>
      <c r="CA474" s="779"/>
      <c r="CB474" s="779"/>
      <c r="CC474" s="779"/>
      <c r="CD474" s="779"/>
      <c r="CE474" s="779"/>
      <c r="CF474" s="779"/>
      <c r="CG474" s="779"/>
      <c r="CH474" s="779"/>
      <c r="CI474" s="779"/>
      <c r="CJ474" s="779"/>
      <c r="CK474" s="779"/>
      <c r="CL474" s="779"/>
      <c r="CM474" s="779"/>
      <c r="CN474" s="779"/>
      <c r="CO474" s="779"/>
      <c r="CP474" s="779"/>
      <c r="CQ474" s="779"/>
      <c r="CR474" s="779"/>
      <c r="CS474" s="779"/>
      <c r="CT474" s="779"/>
      <c r="CU474" s="779"/>
      <c r="CV474" s="779"/>
      <c r="CW474" s="779"/>
      <c r="CX474" s="779"/>
      <c r="CY474" s="779"/>
      <c r="CZ474" s="779"/>
      <c r="DA474" s="779"/>
      <c r="DB474" s="779"/>
      <c r="DC474" s="779"/>
      <c r="DD474" s="779"/>
      <c r="DE474" s="779"/>
      <c r="DF474" s="779"/>
      <c r="DG474" s="779"/>
      <c r="DH474" s="779"/>
      <c r="DI474" s="779"/>
      <c r="DJ474" s="779"/>
      <c r="DK474" s="779"/>
      <c r="DL474" s="779"/>
      <c r="DM474" s="779"/>
      <c r="DN474" s="779"/>
      <c r="DO474" s="779"/>
      <c r="DP474" s="779"/>
      <c r="DQ474" s="779"/>
      <c r="DR474" s="779"/>
      <c r="DS474" s="779"/>
      <c r="DT474" s="779"/>
      <c r="DU474" s="779"/>
      <c r="DV474" s="779"/>
      <c r="DW474" s="779"/>
      <c r="DY474" s="778"/>
      <c r="DZ474" s="778"/>
      <c r="EA474" s="778"/>
      <c r="EB474" s="779"/>
      <c r="EC474" s="780"/>
      <c r="ED474" s="778"/>
      <c r="EE474" s="779"/>
      <c r="EF474" s="779"/>
      <c r="EG474" s="779"/>
      <c r="EH474" s="779"/>
      <c r="EI474" s="779"/>
      <c r="EJ474" s="779"/>
      <c r="EK474" s="779"/>
      <c r="EL474" s="779"/>
      <c r="EM474" s="779"/>
      <c r="EN474" s="779"/>
      <c r="EO474" s="779"/>
      <c r="EP474" s="779"/>
      <c r="EQ474" s="779"/>
      <c r="ER474" s="779"/>
      <c r="ES474" s="779"/>
      <c r="ET474" s="779"/>
      <c r="EU474" s="779"/>
      <c r="EV474" s="779"/>
      <c r="EW474" s="779"/>
      <c r="EX474" s="779"/>
      <c r="EY474" s="779"/>
      <c r="EZ474" s="779"/>
      <c r="FA474" s="779"/>
      <c r="FB474" s="779"/>
      <c r="FC474" s="779"/>
      <c r="FD474" s="779"/>
      <c r="FE474" s="779"/>
      <c r="FF474" s="779"/>
      <c r="FG474" s="779"/>
      <c r="FH474" s="779"/>
      <c r="FI474" s="779"/>
      <c r="FJ474" s="779"/>
      <c r="FK474" s="779"/>
      <c r="FL474" s="779"/>
      <c r="FM474" s="779"/>
      <c r="FN474" s="779"/>
      <c r="FO474" s="779"/>
      <c r="FP474" s="779"/>
      <c r="FQ474" s="779"/>
      <c r="FR474" s="779"/>
      <c r="FS474" s="779"/>
      <c r="FT474" s="779"/>
      <c r="FU474" s="779"/>
      <c r="FV474" s="779"/>
      <c r="FW474" s="779"/>
      <c r="FX474" s="779"/>
      <c r="FY474" s="779"/>
      <c r="FZ474" s="779"/>
      <c r="GA474" s="779"/>
      <c r="GB474" s="779"/>
      <c r="GC474" s="779"/>
      <c r="GD474" s="779"/>
      <c r="GE474" s="779"/>
      <c r="GF474" s="779"/>
      <c r="GG474" s="779"/>
      <c r="GH474" s="779"/>
      <c r="GI474" s="779"/>
      <c r="GJ474" s="779"/>
      <c r="GK474" s="779"/>
      <c r="GL474" s="779"/>
      <c r="GM474" s="779"/>
      <c r="GN474" s="779"/>
      <c r="GO474" s="779"/>
      <c r="GP474" s="779"/>
      <c r="GQ474" s="779"/>
      <c r="GR474" s="779"/>
      <c r="GS474" s="779"/>
      <c r="GT474" s="779"/>
      <c r="GU474" s="779"/>
      <c r="GV474" s="779"/>
      <c r="GW474" s="779"/>
      <c r="GX474" s="779"/>
      <c r="GY474" s="779"/>
      <c r="GZ474" s="779"/>
      <c r="HA474" s="779"/>
      <c r="HB474" s="779"/>
      <c r="HC474" s="779"/>
      <c r="HD474" s="779"/>
      <c r="HE474" s="779"/>
      <c r="HF474" s="779"/>
      <c r="HG474" s="779"/>
      <c r="HH474" s="779"/>
      <c r="HI474" s="779"/>
      <c r="HJ474" s="779"/>
      <c r="HK474" s="779"/>
      <c r="HL474" s="779"/>
      <c r="HM474" s="779"/>
      <c r="HN474" s="779"/>
      <c r="HO474" s="779"/>
      <c r="HP474" s="779"/>
      <c r="HQ474" s="779"/>
      <c r="HR474" s="779"/>
      <c r="HS474" s="779"/>
      <c r="HT474" s="779"/>
      <c r="HU474" s="779"/>
      <c r="HV474" s="779"/>
      <c r="HW474" s="779"/>
      <c r="HX474" s="779"/>
      <c r="HY474" s="779"/>
      <c r="HZ474" s="779"/>
      <c r="IA474" s="779"/>
      <c r="IB474" s="779"/>
      <c r="IC474" s="779"/>
      <c r="ID474" s="779"/>
      <c r="IE474" s="779"/>
      <c r="IF474" s="779"/>
      <c r="IG474" s="779"/>
      <c r="IH474" s="779"/>
      <c r="II474" s="779"/>
      <c r="IJ474" s="779"/>
      <c r="IK474" s="779"/>
    </row>
    <row r="475" spans="12:245" hidden="1">
      <c r="L475" s="778"/>
      <c r="M475" s="778"/>
      <c r="N475" s="778"/>
      <c r="O475" s="779"/>
      <c r="P475" s="780"/>
      <c r="Q475" s="779"/>
      <c r="R475" s="779"/>
      <c r="S475" s="779"/>
      <c r="T475" s="779"/>
      <c r="U475" s="779"/>
      <c r="V475" s="779"/>
      <c r="W475" s="779"/>
      <c r="X475" s="779"/>
      <c r="Y475" s="779"/>
      <c r="Z475" s="779"/>
      <c r="AA475" s="779"/>
      <c r="AB475" s="779"/>
      <c r="AC475" s="779"/>
      <c r="AD475" s="779"/>
      <c r="AE475" s="779"/>
      <c r="AF475" s="779"/>
      <c r="AG475" s="779"/>
      <c r="AH475" s="779"/>
      <c r="AI475" s="779"/>
      <c r="AJ475" s="779"/>
      <c r="AK475" s="779"/>
      <c r="AL475" s="779"/>
      <c r="AM475" s="779"/>
      <c r="AN475" s="779"/>
      <c r="AO475" s="779"/>
      <c r="AP475" s="779"/>
      <c r="AQ475" s="779"/>
      <c r="AR475" s="779"/>
      <c r="AS475" s="779"/>
      <c r="AT475" s="779"/>
      <c r="AU475" s="779"/>
      <c r="AV475" s="779"/>
      <c r="AW475" s="779"/>
      <c r="AX475" s="779"/>
      <c r="AY475" s="779"/>
      <c r="AZ475" s="779"/>
      <c r="BA475" s="779"/>
      <c r="BB475" s="779"/>
      <c r="BC475" s="779"/>
      <c r="BD475" s="779"/>
      <c r="BE475" s="779"/>
      <c r="BF475" s="779"/>
      <c r="BG475" s="779"/>
      <c r="BH475" s="779"/>
      <c r="BI475" s="779"/>
      <c r="BJ475" s="779"/>
      <c r="BK475" s="779"/>
      <c r="BL475" s="779"/>
      <c r="BM475" s="779"/>
      <c r="BN475" s="779"/>
      <c r="BO475" s="779"/>
      <c r="BP475" s="779"/>
      <c r="BQ475" s="779"/>
      <c r="BR475" s="779"/>
      <c r="BS475" s="779"/>
      <c r="BT475" s="779"/>
      <c r="BU475" s="779"/>
      <c r="BV475" s="779"/>
      <c r="BW475" s="779"/>
      <c r="BX475" s="779"/>
      <c r="BY475" s="779"/>
      <c r="BZ475" s="779"/>
      <c r="CA475" s="779"/>
      <c r="CB475" s="779"/>
      <c r="CC475" s="779"/>
      <c r="CD475" s="779"/>
      <c r="CE475" s="779"/>
      <c r="CF475" s="779"/>
      <c r="CG475" s="779"/>
      <c r="CH475" s="779"/>
      <c r="CI475" s="779"/>
      <c r="CJ475" s="779"/>
      <c r="CK475" s="779"/>
      <c r="CL475" s="779"/>
      <c r="CM475" s="779"/>
      <c r="CN475" s="779"/>
      <c r="CO475" s="779"/>
      <c r="CP475" s="779"/>
      <c r="CQ475" s="779"/>
      <c r="CR475" s="779"/>
      <c r="CS475" s="779"/>
      <c r="CT475" s="779"/>
      <c r="CU475" s="779"/>
      <c r="CV475" s="779"/>
      <c r="CW475" s="779"/>
      <c r="CX475" s="779"/>
      <c r="CY475" s="779"/>
      <c r="CZ475" s="779"/>
      <c r="DA475" s="779"/>
      <c r="DB475" s="779"/>
      <c r="DC475" s="779"/>
      <c r="DD475" s="779"/>
      <c r="DE475" s="779"/>
      <c r="DF475" s="779"/>
      <c r="DG475" s="779"/>
      <c r="DH475" s="779"/>
      <c r="DI475" s="779"/>
      <c r="DJ475" s="779"/>
      <c r="DK475" s="779"/>
      <c r="DL475" s="779"/>
      <c r="DM475" s="779"/>
      <c r="DN475" s="779"/>
      <c r="DO475" s="779"/>
      <c r="DP475" s="779"/>
      <c r="DQ475" s="779"/>
      <c r="DR475" s="779"/>
      <c r="DS475" s="779"/>
      <c r="DT475" s="779"/>
      <c r="DU475" s="779"/>
      <c r="DV475" s="779"/>
      <c r="DW475" s="779"/>
      <c r="DY475" s="778"/>
      <c r="DZ475" s="778"/>
      <c r="EA475" s="778"/>
      <c r="EB475" s="779"/>
      <c r="EC475" s="780"/>
      <c r="ED475" s="778"/>
      <c r="EE475" s="779"/>
      <c r="EF475" s="779"/>
      <c r="EG475" s="779"/>
      <c r="EH475" s="779"/>
      <c r="EI475" s="779"/>
      <c r="EJ475" s="779"/>
      <c r="EK475" s="779"/>
      <c r="EL475" s="779"/>
      <c r="EM475" s="779"/>
      <c r="EN475" s="779"/>
      <c r="EO475" s="779"/>
      <c r="EP475" s="779"/>
      <c r="EQ475" s="779"/>
      <c r="ER475" s="779"/>
      <c r="ES475" s="779"/>
      <c r="ET475" s="779"/>
      <c r="EU475" s="779"/>
      <c r="EV475" s="779"/>
      <c r="EW475" s="779"/>
      <c r="EX475" s="779"/>
      <c r="EY475" s="779"/>
      <c r="EZ475" s="779"/>
      <c r="FA475" s="779"/>
      <c r="FB475" s="779"/>
      <c r="FC475" s="779"/>
      <c r="FD475" s="779"/>
      <c r="FE475" s="779"/>
      <c r="FF475" s="779"/>
      <c r="FG475" s="779"/>
      <c r="FH475" s="779"/>
      <c r="FI475" s="779"/>
      <c r="FJ475" s="779"/>
      <c r="FK475" s="779"/>
      <c r="FL475" s="779"/>
      <c r="FM475" s="779"/>
      <c r="FN475" s="779"/>
      <c r="FO475" s="779"/>
      <c r="FP475" s="779"/>
      <c r="FQ475" s="779"/>
      <c r="FR475" s="779"/>
      <c r="FS475" s="779"/>
      <c r="FT475" s="779"/>
      <c r="FU475" s="779"/>
      <c r="FV475" s="779"/>
      <c r="FW475" s="779"/>
      <c r="FX475" s="779"/>
      <c r="FY475" s="779"/>
      <c r="FZ475" s="779"/>
      <c r="GA475" s="779"/>
      <c r="GB475" s="779"/>
      <c r="GC475" s="779"/>
      <c r="GD475" s="779"/>
      <c r="GE475" s="779"/>
      <c r="GF475" s="779"/>
      <c r="GG475" s="779"/>
      <c r="GH475" s="779"/>
      <c r="GI475" s="779"/>
      <c r="GJ475" s="779"/>
      <c r="GK475" s="779"/>
      <c r="GL475" s="779"/>
      <c r="GM475" s="779"/>
      <c r="GN475" s="779"/>
      <c r="GO475" s="779"/>
      <c r="GP475" s="779"/>
      <c r="GQ475" s="779"/>
      <c r="GR475" s="779"/>
      <c r="GS475" s="779"/>
      <c r="GT475" s="779"/>
      <c r="GU475" s="779"/>
      <c r="GV475" s="779"/>
      <c r="GW475" s="779"/>
      <c r="GX475" s="779"/>
      <c r="GY475" s="779"/>
      <c r="GZ475" s="779"/>
      <c r="HA475" s="779"/>
      <c r="HB475" s="779"/>
      <c r="HC475" s="779"/>
      <c r="HD475" s="779"/>
      <c r="HE475" s="779"/>
      <c r="HF475" s="779"/>
      <c r="HG475" s="779"/>
      <c r="HH475" s="779"/>
      <c r="HI475" s="779"/>
      <c r="HJ475" s="779"/>
      <c r="HK475" s="779"/>
      <c r="HL475" s="779"/>
      <c r="HM475" s="779"/>
      <c r="HN475" s="779"/>
      <c r="HO475" s="779"/>
      <c r="HP475" s="779"/>
      <c r="HQ475" s="779"/>
      <c r="HR475" s="779"/>
      <c r="HS475" s="779"/>
      <c r="HT475" s="779"/>
      <c r="HU475" s="779"/>
      <c r="HV475" s="779"/>
      <c r="HW475" s="779"/>
      <c r="HX475" s="779"/>
      <c r="HY475" s="779"/>
      <c r="HZ475" s="779"/>
      <c r="IA475" s="779"/>
      <c r="IB475" s="779"/>
      <c r="IC475" s="779"/>
      <c r="ID475" s="779"/>
      <c r="IE475" s="779"/>
      <c r="IF475" s="779"/>
      <c r="IG475" s="779"/>
      <c r="IH475" s="779"/>
      <c r="II475" s="779"/>
      <c r="IJ475" s="779"/>
      <c r="IK475" s="779"/>
    </row>
    <row r="476" spans="12:245" hidden="1">
      <c r="L476" s="429"/>
      <c r="M476" s="429"/>
      <c r="N476" s="429"/>
      <c r="O476" s="430"/>
      <c r="P476" s="431"/>
      <c r="Q476" s="430"/>
      <c r="R476" s="430"/>
      <c r="S476" s="430"/>
      <c r="T476" s="430"/>
      <c r="U476" s="430"/>
      <c r="V476" s="430"/>
      <c r="W476" s="430"/>
      <c r="X476" s="430"/>
      <c r="Y476" s="430"/>
      <c r="Z476" s="430"/>
      <c r="AA476" s="430"/>
      <c r="AB476" s="430"/>
      <c r="AC476" s="430"/>
      <c r="AD476" s="430"/>
      <c r="AE476" s="430"/>
      <c r="AF476" s="430"/>
      <c r="AG476" s="430"/>
      <c r="AH476" s="430"/>
      <c r="AI476" s="430"/>
      <c r="AJ476" s="430"/>
      <c r="AK476" s="430"/>
      <c r="AL476" s="430"/>
      <c r="AM476" s="430"/>
      <c r="AN476" s="430"/>
      <c r="AO476" s="430"/>
      <c r="AP476" s="430"/>
      <c r="AQ476" s="430"/>
      <c r="AR476" s="430"/>
      <c r="AS476" s="430"/>
      <c r="AT476" s="430"/>
      <c r="AU476" s="430"/>
      <c r="AV476" s="430"/>
      <c r="AW476" s="430"/>
      <c r="AX476" s="430"/>
      <c r="AY476" s="430"/>
      <c r="AZ476" s="430"/>
      <c r="BA476" s="430"/>
      <c r="BB476" s="430"/>
      <c r="BC476" s="430"/>
      <c r="BD476" s="430"/>
      <c r="BE476" s="430"/>
      <c r="BF476" s="430"/>
      <c r="BG476" s="430"/>
      <c r="BH476" s="430"/>
      <c r="BI476" s="430"/>
      <c r="BJ476" s="430"/>
      <c r="BK476" s="430"/>
      <c r="BL476" s="430"/>
      <c r="BM476" s="430"/>
      <c r="BN476" s="430"/>
      <c r="BO476" s="430"/>
      <c r="BP476" s="430"/>
      <c r="BQ476" s="430"/>
      <c r="BR476" s="430"/>
      <c r="BS476" s="430"/>
      <c r="BT476" s="430"/>
      <c r="BU476" s="430"/>
      <c r="BV476" s="430"/>
      <c r="BW476" s="430"/>
      <c r="BX476" s="430"/>
      <c r="BY476" s="430"/>
      <c r="BZ476" s="430"/>
      <c r="CA476" s="430"/>
      <c r="CB476" s="430"/>
      <c r="CC476" s="430"/>
      <c r="CD476" s="430"/>
      <c r="CE476" s="430"/>
      <c r="CF476" s="430"/>
      <c r="CG476" s="430"/>
      <c r="CH476" s="430"/>
      <c r="CI476" s="430"/>
      <c r="CJ476" s="430"/>
      <c r="CK476" s="430"/>
      <c r="CL476" s="430"/>
      <c r="CM476" s="430"/>
      <c r="CN476" s="430"/>
      <c r="CO476" s="430"/>
      <c r="CP476" s="430"/>
      <c r="CQ476" s="430"/>
      <c r="CR476" s="430"/>
      <c r="CS476" s="430"/>
      <c r="CT476" s="430"/>
      <c r="CU476" s="430"/>
      <c r="CV476" s="430"/>
      <c r="CW476" s="430"/>
      <c r="CX476" s="430"/>
      <c r="CY476" s="430"/>
      <c r="CZ476" s="430"/>
      <c r="DA476" s="430"/>
      <c r="DB476" s="430"/>
      <c r="DC476" s="430"/>
      <c r="DD476" s="430"/>
      <c r="DE476" s="430"/>
      <c r="DF476" s="430"/>
      <c r="DG476" s="430"/>
      <c r="DH476" s="430"/>
      <c r="DI476" s="430"/>
      <c r="DJ476" s="430"/>
      <c r="DK476" s="430"/>
      <c r="DL476" s="430"/>
      <c r="DM476" s="430"/>
      <c r="DN476" s="430"/>
      <c r="DO476" s="430"/>
      <c r="DP476" s="430"/>
      <c r="DQ476" s="430"/>
      <c r="DR476" s="430"/>
      <c r="DS476" s="430"/>
      <c r="DT476" s="430"/>
      <c r="DU476" s="430"/>
      <c r="DV476" s="430"/>
      <c r="DW476" s="430"/>
      <c r="DY476" s="429"/>
      <c r="DZ476" s="429"/>
      <c r="EA476" s="429"/>
      <c r="EB476" s="430"/>
      <c r="EC476" s="431"/>
      <c r="ED476" s="430"/>
      <c r="EE476" s="430"/>
      <c r="EF476" s="430"/>
      <c r="EG476" s="430"/>
      <c r="EH476" s="430"/>
      <c r="EI476" s="430"/>
      <c r="EJ476" s="430"/>
      <c r="EK476" s="430"/>
      <c r="EL476" s="430"/>
      <c r="EM476" s="430"/>
      <c r="EN476" s="430"/>
      <c r="EO476" s="430"/>
      <c r="EP476" s="430"/>
      <c r="EQ476" s="430"/>
      <c r="ER476" s="430"/>
      <c r="ES476" s="430"/>
      <c r="ET476" s="430"/>
      <c r="EU476" s="430"/>
      <c r="EV476" s="430"/>
      <c r="EW476" s="430"/>
      <c r="EX476" s="430"/>
      <c r="EY476" s="430"/>
      <c r="EZ476" s="430"/>
      <c r="FA476" s="430"/>
      <c r="FB476" s="430"/>
      <c r="FC476" s="430"/>
      <c r="FD476" s="430"/>
      <c r="FE476" s="430"/>
      <c r="FF476" s="430"/>
      <c r="FG476" s="430"/>
      <c r="FH476" s="430"/>
      <c r="FI476" s="430"/>
      <c r="FJ476" s="430"/>
      <c r="FK476" s="430"/>
      <c r="FL476" s="430"/>
      <c r="FM476" s="430"/>
      <c r="FN476" s="430"/>
      <c r="FO476" s="430"/>
      <c r="FP476" s="430"/>
      <c r="FQ476" s="430"/>
      <c r="FR476" s="430"/>
      <c r="FS476" s="430"/>
      <c r="FT476" s="430"/>
      <c r="FU476" s="430"/>
      <c r="FV476" s="430"/>
      <c r="FW476" s="430"/>
      <c r="FX476" s="430"/>
      <c r="FY476" s="430"/>
      <c r="FZ476" s="430"/>
      <c r="GA476" s="430"/>
      <c r="GB476" s="430"/>
      <c r="GC476" s="430"/>
      <c r="GD476" s="430"/>
      <c r="GE476" s="430"/>
      <c r="GF476" s="430"/>
      <c r="GG476" s="430"/>
      <c r="GH476" s="430"/>
      <c r="GI476" s="430"/>
      <c r="GJ476" s="430"/>
      <c r="GK476" s="430"/>
      <c r="GL476" s="430"/>
      <c r="GM476" s="430"/>
      <c r="GN476" s="430"/>
      <c r="GO476" s="430"/>
      <c r="GP476" s="430"/>
      <c r="GQ476" s="430"/>
      <c r="GR476" s="430"/>
      <c r="GS476" s="430"/>
      <c r="GT476" s="430"/>
      <c r="GU476" s="430"/>
      <c r="GV476" s="430"/>
      <c r="GW476" s="430"/>
      <c r="GX476" s="430"/>
      <c r="GY476" s="430"/>
      <c r="GZ476" s="430"/>
      <c r="HA476" s="430"/>
      <c r="HB476" s="430"/>
      <c r="HC476" s="430"/>
      <c r="HD476" s="430"/>
      <c r="HE476" s="430"/>
      <c r="HF476" s="430"/>
      <c r="HG476" s="430"/>
      <c r="HH476" s="430"/>
      <c r="HI476" s="430"/>
      <c r="HJ476" s="430"/>
      <c r="HK476" s="430"/>
      <c r="HL476" s="430"/>
      <c r="HM476" s="430"/>
      <c r="HN476" s="430"/>
      <c r="HO476" s="430"/>
      <c r="HP476" s="430"/>
      <c r="HQ476" s="430"/>
      <c r="HR476" s="430"/>
      <c r="HS476" s="430"/>
      <c r="HT476" s="430"/>
      <c r="HU476" s="430"/>
      <c r="HV476" s="430"/>
      <c r="HW476" s="430"/>
      <c r="HX476" s="430"/>
      <c r="HY476" s="430"/>
      <c r="HZ476" s="430"/>
      <c r="IA476" s="430"/>
      <c r="IB476" s="430"/>
      <c r="IC476" s="430"/>
      <c r="ID476" s="430"/>
      <c r="IE476" s="430"/>
      <c r="IF476" s="430"/>
      <c r="IG476" s="430"/>
      <c r="IH476" s="430"/>
      <c r="II476" s="430"/>
      <c r="IJ476" s="430"/>
      <c r="IK476" s="430"/>
    </row>
    <row r="477" spans="12:245" hidden="1">
      <c r="L477" s="429"/>
      <c r="M477" s="429"/>
      <c r="N477" s="429"/>
      <c r="O477" s="430"/>
      <c r="P477" s="431"/>
      <c r="Q477" s="430"/>
      <c r="R477" s="430"/>
      <c r="S477" s="430"/>
      <c r="T477" s="430"/>
      <c r="U477" s="430"/>
      <c r="V477" s="430"/>
      <c r="W477" s="430"/>
      <c r="X477" s="430"/>
      <c r="Y477" s="430"/>
      <c r="Z477" s="430"/>
      <c r="AA477" s="430"/>
      <c r="AB477" s="430"/>
      <c r="AC477" s="430"/>
      <c r="AD477" s="430"/>
      <c r="AE477" s="430"/>
      <c r="AF477" s="430"/>
      <c r="AG477" s="430"/>
      <c r="AH477" s="430"/>
      <c r="AI477" s="430"/>
      <c r="AJ477" s="430"/>
      <c r="AK477" s="430"/>
      <c r="AL477" s="430"/>
      <c r="AM477" s="430"/>
      <c r="AN477" s="430"/>
      <c r="AO477" s="430"/>
      <c r="AP477" s="430"/>
      <c r="AQ477" s="430"/>
      <c r="AR477" s="430"/>
      <c r="AS477" s="430"/>
      <c r="AT477" s="430"/>
      <c r="AU477" s="430"/>
      <c r="AV477" s="430"/>
      <c r="AW477" s="430"/>
      <c r="AX477" s="430"/>
      <c r="AY477" s="430"/>
      <c r="AZ477" s="430"/>
      <c r="BA477" s="430"/>
      <c r="BB477" s="430"/>
      <c r="BC477" s="430"/>
      <c r="BD477" s="430"/>
      <c r="BE477" s="430"/>
      <c r="BF477" s="430"/>
      <c r="BG477" s="430"/>
      <c r="BH477" s="430"/>
      <c r="BI477" s="430"/>
      <c r="BJ477" s="430"/>
      <c r="BK477" s="430"/>
      <c r="BL477" s="430"/>
      <c r="BM477" s="430"/>
      <c r="BN477" s="430"/>
      <c r="BO477" s="430"/>
      <c r="BP477" s="430"/>
      <c r="BQ477" s="430"/>
      <c r="BR477" s="430"/>
      <c r="BS477" s="430"/>
      <c r="BT477" s="430"/>
      <c r="BU477" s="430"/>
      <c r="BV477" s="430"/>
      <c r="BW477" s="430"/>
      <c r="BX477" s="430"/>
      <c r="BY477" s="430"/>
      <c r="BZ477" s="430"/>
      <c r="CA477" s="430"/>
      <c r="CB477" s="430"/>
      <c r="CC477" s="430"/>
      <c r="CD477" s="430"/>
      <c r="CE477" s="430"/>
      <c r="CF477" s="430"/>
      <c r="CG477" s="430"/>
      <c r="CH477" s="430"/>
      <c r="CI477" s="430"/>
      <c r="CJ477" s="430"/>
      <c r="CK477" s="430"/>
      <c r="CL477" s="430"/>
      <c r="CM477" s="430"/>
      <c r="CN477" s="430"/>
      <c r="CO477" s="430"/>
      <c r="CP477" s="430"/>
      <c r="CQ477" s="430"/>
      <c r="CR477" s="430"/>
      <c r="CS477" s="430"/>
      <c r="CT477" s="430"/>
      <c r="CU477" s="430"/>
      <c r="CV477" s="430"/>
      <c r="CW477" s="430"/>
      <c r="CX477" s="430"/>
      <c r="CY477" s="430"/>
      <c r="CZ477" s="430"/>
      <c r="DA477" s="430"/>
      <c r="DB477" s="430"/>
      <c r="DC477" s="430"/>
      <c r="DD477" s="430"/>
      <c r="DE477" s="430"/>
      <c r="DF477" s="430"/>
      <c r="DG477" s="430"/>
      <c r="DH477" s="430"/>
      <c r="DI477" s="430"/>
      <c r="DJ477" s="430"/>
      <c r="DK477" s="430"/>
      <c r="DL477" s="430"/>
      <c r="DM477" s="430"/>
      <c r="DN477" s="430"/>
      <c r="DO477" s="430"/>
      <c r="DP477" s="430"/>
      <c r="DQ477" s="430"/>
      <c r="DR477" s="430"/>
      <c r="DS477" s="430"/>
      <c r="DT477" s="430"/>
      <c r="DU477" s="430"/>
      <c r="DV477" s="430"/>
      <c r="DW477" s="430"/>
      <c r="DY477" s="429"/>
      <c r="DZ477" s="429"/>
      <c r="EA477" s="429"/>
      <c r="EB477" s="430"/>
      <c r="EC477" s="431"/>
      <c r="ED477" s="430"/>
      <c r="EE477" s="430"/>
      <c r="EF477" s="430"/>
      <c r="EG477" s="430"/>
      <c r="EH477" s="430"/>
      <c r="EI477" s="430"/>
      <c r="EJ477" s="430"/>
      <c r="EK477" s="430"/>
      <c r="EL477" s="430"/>
      <c r="EM477" s="430"/>
      <c r="EN477" s="430"/>
      <c r="EO477" s="430"/>
      <c r="EP477" s="430"/>
      <c r="EQ477" s="430"/>
      <c r="ER477" s="430"/>
      <c r="ES477" s="430"/>
      <c r="ET477" s="430"/>
      <c r="EU477" s="430"/>
      <c r="EV477" s="430"/>
      <c r="EW477" s="430"/>
      <c r="EX477" s="430"/>
      <c r="EY477" s="430"/>
      <c r="EZ477" s="430"/>
      <c r="FA477" s="430"/>
      <c r="FB477" s="430"/>
      <c r="FC477" s="430"/>
      <c r="FD477" s="430"/>
      <c r="FE477" s="430"/>
      <c r="FF477" s="430"/>
      <c r="FG477" s="430"/>
      <c r="FH477" s="430"/>
      <c r="FI477" s="430"/>
      <c r="FJ477" s="430"/>
      <c r="FK477" s="430"/>
      <c r="FL477" s="430"/>
      <c r="FM477" s="430"/>
      <c r="FN477" s="430"/>
      <c r="FO477" s="430"/>
      <c r="FP477" s="430"/>
      <c r="FQ477" s="430"/>
      <c r="FR477" s="430"/>
      <c r="FS477" s="430"/>
      <c r="FT477" s="430"/>
      <c r="FU477" s="430"/>
      <c r="FV477" s="430"/>
      <c r="FW477" s="430"/>
      <c r="FX477" s="430"/>
      <c r="FY477" s="430"/>
      <c r="FZ477" s="430"/>
      <c r="GA477" s="430"/>
      <c r="GB477" s="430"/>
      <c r="GC477" s="430"/>
      <c r="GD477" s="430"/>
      <c r="GE477" s="430"/>
      <c r="GF477" s="430"/>
      <c r="GG477" s="430"/>
      <c r="GH477" s="430"/>
      <c r="GI477" s="430"/>
      <c r="GJ477" s="430"/>
      <c r="GK477" s="430"/>
      <c r="GL477" s="430"/>
      <c r="GM477" s="430"/>
      <c r="GN477" s="430"/>
      <c r="GO477" s="430"/>
      <c r="GP477" s="430"/>
      <c r="GQ477" s="430"/>
      <c r="GR477" s="430"/>
      <c r="GS477" s="430"/>
      <c r="GT477" s="430"/>
      <c r="GU477" s="430"/>
      <c r="GV477" s="430"/>
      <c r="GW477" s="430"/>
      <c r="GX477" s="430"/>
      <c r="GY477" s="430"/>
      <c r="GZ477" s="430"/>
      <c r="HA477" s="430"/>
      <c r="HB477" s="430"/>
      <c r="HC477" s="430"/>
      <c r="HD477" s="430"/>
      <c r="HE477" s="430"/>
      <c r="HF477" s="430"/>
      <c r="HG477" s="430"/>
      <c r="HH477" s="430"/>
      <c r="HI477" s="430"/>
      <c r="HJ477" s="430"/>
      <c r="HK477" s="430"/>
      <c r="HL477" s="430"/>
      <c r="HM477" s="430"/>
      <c r="HN477" s="430"/>
      <c r="HO477" s="430"/>
      <c r="HP477" s="430"/>
      <c r="HQ477" s="430"/>
      <c r="HR477" s="430"/>
      <c r="HS477" s="430"/>
      <c r="HT477" s="430"/>
      <c r="HU477" s="430"/>
      <c r="HV477" s="430"/>
      <c r="HW477" s="430"/>
      <c r="HX477" s="430"/>
      <c r="HY477" s="430"/>
      <c r="HZ477" s="430"/>
      <c r="IA477" s="430"/>
      <c r="IB477" s="430"/>
      <c r="IC477" s="430"/>
      <c r="ID477" s="430"/>
      <c r="IE477" s="430"/>
      <c r="IF477" s="430"/>
      <c r="IG477" s="430"/>
      <c r="IH477" s="430"/>
      <c r="II477" s="430"/>
      <c r="IJ477" s="430"/>
      <c r="IK477" s="430"/>
    </row>
    <row r="478" spans="12:245" s="439" customFormat="1" hidden="1">
      <c r="L478" s="439" t="s">
        <v>772</v>
      </c>
      <c r="P478" s="780" t="str">
        <f t="shared" ref="P478:P541" si="18">M478&amp;TEXT(N478,"00")&amp;TEXT(O478,"00")</f>
        <v>0000</v>
      </c>
    </row>
    <row r="479" spans="12:245" ht="24" hidden="1">
      <c r="L479" s="845" t="s">
        <v>91</v>
      </c>
      <c r="M479" s="845" t="s">
        <v>92</v>
      </c>
      <c r="N479" s="845" t="s">
        <v>93</v>
      </c>
      <c r="O479" s="845" t="s">
        <v>94</v>
      </c>
      <c r="P479" s="780" t="str">
        <f t="shared" si="18"/>
        <v>商品代號性別年齡</v>
      </c>
      <c r="Q479" s="845" t="s">
        <v>773</v>
      </c>
      <c r="R479" s="845" t="s">
        <v>774</v>
      </c>
      <c r="S479" s="845" t="s">
        <v>775</v>
      </c>
      <c r="T479" s="845" t="s">
        <v>776</v>
      </c>
      <c r="U479" s="845" t="s">
        <v>777</v>
      </c>
      <c r="V479" s="845" t="s">
        <v>778</v>
      </c>
      <c r="W479" s="845" t="s">
        <v>779</v>
      </c>
      <c r="X479" s="845" t="s">
        <v>780</v>
      </c>
      <c r="Y479" s="845" t="s">
        <v>781</v>
      </c>
      <c r="Z479" s="845" t="s">
        <v>782</v>
      </c>
      <c r="AA479" s="845" t="s">
        <v>783</v>
      </c>
      <c r="AB479" s="845" t="s">
        <v>784</v>
      </c>
      <c r="AC479" s="845" t="s">
        <v>785</v>
      </c>
      <c r="AD479" s="845" t="s">
        <v>786</v>
      </c>
      <c r="AE479" s="845" t="s">
        <v>787</v>
      </c>
      <c r="AF479" s="845" t="s">
        <v>788</v>
      </c>
      <c r="AG479" s="845" t="s">
        <v>789</v>
      </c>
      <c r="AH479" s="845" t="s">
        <v>790</v>
      </c>
      <c r="AI479" s="845" t="s">
        <v>791</v>
      </c>
      <c r="AJ479" s="845" t="s">
        <v>792</v>
      </c>
      <c r="AK479" s="845" t="s">
        <v>793</v>
      </c>
      <c r="AL479" s="845" t="s">
        <v>794</v>
      </c>
      <c r="AM479" s="845" t="s">
        <v>795</v>
      </c>
      <c r="AN479" s="845" t="s">
        <v>796</v>
      </c>
      <c r="AO479" s="845" t="s">
        <v>797</v>
      </c>
      <c r="AP479" s="845" t="s">
        <v>798</v>
      </c>
      <c r="AQ479" s="845" t="s">
        <v>799</v>
      </c>
      <c r="AR479" s="845" t="s">
        <v>800</v>
      </c>
      <c r="AS479" s="845" t="s">
        <v>801</v>
      </c>
      <c r="AT479" s="845" t="s">
        <v>802</v>
      </c>
      <c r="AU479" s="845" t="s">
        <v>803</v>
      </c>
      <c r="AV479" s="845" t="s">
        <v>804</v>
      </c>
      <c r="AW479" s="845" t="s">
        <v>805</v>
      </c>
      <c r="AX479" s="845" t="s">
        <v>806</v>
      </c>
      <c r="AY479" s="845" t="s">
        <v>807</v>
      </c>
      <c r="AZ479" s="845" t="s">
        <v>808</v>
      </c>
      <c r="BA479" s="845" t="s">
        <v>809</v>
      </c>
      <c r="BB479" s="845" t="s">
        <v>810</v>
      </c>
      <c r="BC479" s="845" t="s">
        <v>811</v>
      </c>
      <c r="BD479" s="845" t="s">
        <v>812</v>
      </c>
      <c r="BE479" s="845" t="s">
        <v>813</v>
      </c>
      <c r="BF479" s="845" t="s">
        <v>814</v>
      </c>
      <c r="BG479" s="845" t="s">
        <v>815</v>
      </c>
      <c r="BH479" s="845" t="s">
        <v>816</v>
      </c>
      <c r="BI479" s="845" t="s">
        <v>817</v>
      </c>
      <c r="BJ479" s="845" t="s">
        <v>818</v>
      </c>
      <c r="BK479" s="845" t="s">
        <v>819</v>
      </c>
      <c r="BL479" s="845" t="s">
        <v>820</v>
      </c>
      <c r="BM479" s="845" t="s">
        <v>821</v>
      </c>
      <c r="BN479" s="845" t="s">
        <v>822</v>
      </c>
      <c r="BO479" s="845" t="s">
        <v>823</v>
      </c>
      <c r="BP479" s="845" t="s">
        <v>824</v>
      </c>
      <c r="BQ479" s="845" t="s">
        <v>825</v>
      </c>
      <c r="BR479" s="845" t="s">
        <v>826</v>
      </c>
      <c r="BS479" s="845" t="s">
        <v>827</v>
      </c>
      <c r="BT479" s="845" t="s">
        <v>828</v>
      </c>
      <c r="BU479" s="845" t="s">
        <v>829</v>
      </c>
      <c r="BV479" s="845" t="s">
        <v>830</v>
      </c>
      <c r="BW479" s="845" t="s">
        <v>831</v>
      </c>
      <c r="BX479" s="845" t="s">
        <v>832</v>
      </c>
      <c r="BY479" s="845" t="s">
        <v>833</v>
      </c>
      <c r="BZ479" s="845" t="s">
        <v>834</v>
      </c>
      <c r="CA479" s="845" t="s">
        <v>835</v>
      </c>
      <c r="CB479" s="845" t="s">
        <v>836</v>
      </c>
      <c r="CC479" s="845" t="s">
        <v>837</v>
      </c>
      <c r="CD479" s="845" t="s">
        <v>838</v>
      </c>
      <c r="CE479" s="845" t="s">
        <v>839</v>
      </c>
      <c r="CF479" s="845" t="s">
        <v>840</v>
      </c>
      <c r="CG479" s="845" t="s">
        <v>841</v>
      </c>
      <c r="CH479" s="845" t="s">
        <v>842</v>
      </c>
      <c r="CI479" s="845" t="s">
        <v>843</v>
      </c>
      <c r="CJ479" s="845" t="s">
        <v>844</v>
      </c>
      <c r="CK479" s="845" t="s">
        <v>845</v>
      </c>
      <c r="CL479" s="845" t="s">
        <v>846</v>
      </c>
      <c r="CM479" s="845" t="s">
        <v>847</v>
      </c>
      <c r="CN479" s="845" t="s">
        <v>848</v>
      </c>
      <c r="CO479" s="845" t="s">
        <v>849</v>
      </c>
      <c r="CP479" s="845" t="s">
        <v>850</v>
      </c>
      <c r="CQ479" s="845" t="s">
        <v>851</v>
      </c>
      <c r="CR479" s="845" t="s">
        <v>852</v>
      </c>
      <c r="CS479" s="845" t="s">
        <v>853</v>
      </c>
      <c r="CT479" s="845" t="s">
        <v>854</v>
      </c>
      <c r="CU479" s="845" t="s">
        <v>855</v>
      </c>
      <c r="CV479" s="845" t="s">
        <v>856</v>
      </c>
      <c r="CW479" s="845" t="s">
        <v>857</v>
      </c>
      <c r="CX479" s="845" t="s">
        <v>858</v>
      </c>
      <c r="CY479" s="845" t="s">
        <v>859</v>
      </c>
      <c r="CZ479" s="845" t="s">
        <v>860</v>
      </c>
      <c r="DA479" s="845" t="s">
        <v>861</v>
      </c>
      <c r="DB479" s="845" t="s">
        <v>862</v>
      </c>
      <c r="DC479" s="845" t="s">
        <v>863</v>
      </c>
      <c r="DD479" s="845" t="s">
        <v>864</v>
      </c>
      <c r="DE479" s="845" t="s">
        <v>865</v>
      </c>
      <c r="DF479" s="845" t="s">
        <v>866</v>
      </c>
      <c r="DG479" s="845" t="s">
        <v>867</v>
      </c>
      <c r="DH479" s="845" t="s">
        <v>868</v>
      </c>
      <c r="DI479" s="845" t="s">
        <v>869</v>
      </c>
      <c r="DJ479" s="845" t="s">
        <v>870</v>
      </c>
      <c r="DK479" s="845" t="s">
        <v>871</v>
      </c>
      <c r="DL479" s="845" t="s">
        <v>872</v>
      </c>
      <c r="DM479" s="845" t="s">
        <v>873</v>
      </c>
      <c r="DN479" s="845" t="s">
        <v>874</v>
      </c>
      <c r="DO479" s="845" t="s">
        <v>875</v>
      </c>
      <c r="DP479" s="845" t="s">
        <v>876</v>
      </c>
      <c r="DQ479" s="845" t="s">
        <v>877</v>
      </c>
      <c r="DR479" s="845" t="s">
        <v>878</v>
      </c>
      <c r="DS479" s="845" t="s">
        <v>879</v>
      </c>
      <c r="DT479" s="845" t="s">
        <v>880</v>
      </c>
      <c r="DU479" s="845" t="s">
        <v>881</v>
      </c>
      <c r="DV479" s="845" t="s">
        <v>882</v>
      </c>
      <c r="DW479" s="845" t="s">
        <v>883</v>
      </c>
      <c r="DX479" s="845" t="s">
        <v>884</v>
      </c>
    </row>
    <row r="480" spans="12:245" hidden="1">
      <c r="L480" s="846" t="s">
        <v>1060</v>
      </c>
      <c r="M480" s="846" t="s">
        <v>1382</v>
      </c>
      <c r="N480" s="846" t="s">
        <v>96</v>
      </c>
      <c r="O480" s="847">
        <v>0</v>
      </c>
      <c r="P480" s="780" t="str">
        <f t="shared" si="18"/>
        <v>IWT060100</v>
      </c>
      <c r="Q480" s="847">
        <v>23381</v>
      </c>
      <c r="R480" s="847">
        <v>23861</v>
      </c>
      <c r="S480" s="847">
        <v>24348</v>
      </c>
      <c r="T480" s="847">
        <v>24842</v>
      </c>
      <c r="U480" s="847">
        <v>25344</v>
      </c>
      <c r="V480" s="847">
        <v>25856</v>
      </c>
      <c r="W480" s="847">
        <v>26377</v>
      </c>
      <c r="X480" s="847">
        <v>26909</v>
      </c>
      <c r="Y480" s="847">
        <v>27451</v>
      </c>
      <c r="Z480" s="847">
        <v>28004</v>
      </c>
      <c r="AA480" s="847">
        <v>28567</v>
      </c>
      <c r="AB480" s="847">
        <v>29143</v>
      </c>
      <c r="AC480" s="847">
        <v>29729</v>
      </c>
      <c r="AD480" s="847">
        <v>30328</v>
      </c>
      <c r="AE480" s="847">
        <v>30941</v>
      </c>
      <c r="AF480" s="847">
        <v>31568</v>
      </c>
      <c r="AG480" s="847">
        <v>32210</v>
      </c>
      <c r="AH480" s="847">
        <v>32855</v>
      </c>
      <c r="AI480" s="847">
        <v>33512</v>
      </c>
      <c r="AJ480" s="847">
        <v>34182</v>
      </c>
      <c r="AK480" s="847">
        <v>34866</v>
      </c>
      <c r="AL480" s="847">
        <v>35563</v>
      </c>
      <c r="AM480" s="847">
        <v>36274</v>
      </c>
      <c r="AN480" s="847">
        <v>37000</v>
      </c>
      <c r="AO480" s="847">
        <v>37740</v>
      </c>
      <c r="AP480" s="847">
        <v>38494</v>
      </c>
      <c r="AQ480" s="847">
        <v>39264</v>
      </c>
      <c r="AR480" s="847">
        <v>40050</v>
      </c>
      <c r="AS480" s="847">
        <v>40850</v>
      </c>
      <c r="AT480" s="847">
        <v>41666</v>
      </c>
      <c r="AU480" s="847">
        <v>42498</v>
      </c>
      <c r="AV480" s="847">
        <v>43346</v>
      </c>
      <c r="AW480" s="847">
        <v>44210</v>
      </c>
      <c r="AX480" s="847">
        <v>45090</v>
      </c>
      <c r="AY480" s="847">
        <v>45987</v>
      </c>
      <c r="AZ480" s="847">
        <v>46901</v>
      </c>
      <c r="BA480" s="847">
        <v>47832</v>
      </c>
      <c r="BB480" s="847">
        <v>48780</v>
      </c>
      <c r="BC480" s="847">
        <v>49745</v>
      </c>
      <c r="BD480" s="847">
        <v>50728</v>
      </c>
      <c r="BE480" s="847">
        <v>51730</v>
      </c>
      <c r="BF480" s="847">
        <v>52749</v>
      </c>
      <c r="BG480" s="847">
        <v>53786</v>
      </c>
      <c r="BH480" s="847">
        <v>54842</v>
      </c>
      <c r="BI480" s="847">
        <v>55916</v>
      </c>
      <c r="BJ480" s="847">
        <v>57009</v>
      </c>
      <c r="BK480" s="847">
        <v>58120</v>
      </c>
      <c r="BL480" s="847">
        <v>59249</v>
      </c>
      <c r="BM480" s="847">
        <v>60397</v>
      </c>
      <c r="BN480" s="847">
        <v>61565</v>
      </c>
      <c r="BO480" s="847">
        <v>62750</v>
      </c>
      <c r="BP480" s="847">
        <v>63955</v>
      </c>
      <c r="BQ480" s="847">
        <v>65179</v>
      </c>
      <c r="BR480" s="847">
        <v>66423</v>
      </c>
      <c r="BS480" s="847">
        <v>67686</v>
      </c>
      <c r="BT480" s="847">
        <v>68969</v>
      </c>
      <c r="BU480" s="847">
        <v>70273</v>
      </c>
      <c r="BV480" s="847">
        <v>71597</v>
      </c>
      <c r="BW480" s="847">
        <v>72940</v>
      </c>
      <c r="BX480" s="847">
        <v>74301</v>
      </c>
      <c r="BY480" s="847">
        <v>75679</v>
      </c>
      <c r="BZ480" s="847">
        <v>77074</v>
      </c>
      <c r="CA480" s="847">
        <v>78490</v>
      </c>
      <c r="CB480" s="847">
        <v>79924</v>
      </c>
      <c r="CC480" s="847">
        <v>81375</v>
      </c>
      <c r="CD480" s="847">
        <v>82843</v>
      </c>
      <c r="CE480" s="847">
        <v>84326</v>
      </c>
      <c r="CF480" s="847">
        <v>85824</v>
      </c>
      <c r="CG480" s="847">
        <v>87337</v>
      </c>
      <c r="CH480" s="847">
        <v>88864</v>
      </c>
      <c r="CI480" s="847">
        <v>90403</v>
      </c>
      <c r="CJ480" s="847">
        <v>91955</v>
      </c>
      <c r="CK480" s="847">
        <v>93517</v>
      </c>
      <c r="CL480" s="847">
        <v>95090</v>
      </c>
      <c r="CM480" s="847">
        <v>96673</v>
      </c>
      <c r="CN480" s="847">
        <v>98266</v>
      </c>
      <c r="CO480" s="847">
        <v>99867</v>
      </c>
      <c r="CP480" s="847">
        <v>101478</v>
      </c>
      <c r="CQ480" s="847">
        <v>103097</v>
      </c>
      <c r="CR480" s="847">
        <v>104724</v>
      </c>
      <c r="CS480" s="847">
        <v>106357</v>
      </c>
      <c r="CT480" s="847">
        <v>107996</v>
      </c>
      <c r="CU480" s="847">
        <v>109639</v>
      </c>
      <c r="CV480" s="847">
        <v>111286</v>
      </c>
      <c r="CW480" s="847">
        <v>112937</v>
      </c>
      <c r="CX480" s="847">
        <v>114591</v>
      </c>
      <c r="CY480" s="847">
        <v>116248</v>
      </c>
      <c r="CZ480" s="847">
        <v>117909</v>
      </c>
      <c r="DA480" s="847">
        <v>119573</v>
      </c>
      <c r="DB480" s="847">
        <v>121238</v>
      </c>
      <c r="DC480" s="847">
        <v>122904</v>
      </c>
      <c r="DD480" s="847">
        <v>124566</v>
      </c>
      <c r="DE480" s="847">
        <v>126219</v>
      </c>
      <c r="DF480" s="847">
        <v>127867</v>
      </c>
      <c r="DG480" s="847">
        <v>129512</v>
      </c>
      <c r="DH480" s="847">
        <v>131153</v>
      </c>
      <c r="DI480" s="847">
        <v>132788</v>
      </c>
      <c r="DJ480" s="847">
        <v>134419</v>
      </c>
      <c r="DK480" s="847">
        <v>136044</v>
      </c>
      <c r="DL480" s="847">
        <v>137663</v>
      </c>
      <c r="DM480" s="847">
        <v>139276</v>
      </c>
      <c r="DN480" s="847">
        <v>140883</v>
      </c>
      <c r="DO480" s="847">
        <v>142484</v>
      </c>
      <c r="DP480" s="847">
        <v>144078</v>
      </c>
      <c r="DQ480" s="847">
        <v>145665</v>
      </c>
      <c r="DR480" s="847">
        <v>147247</v>
      </c>
      <c r="DS480" s="847">
        <v>148823</v>
      </c>
      <c r="DT480" s="847">
        <v>150398</v>
      </c>
      <c r="DU480" s="847">
        <v>151981</v>
      </c>
      <c r="DV480" s="847">
        <v>153608</v>
      </c>
      <c r="DW480" s="847">
        <v>155453</v>
      </c>
      <c r="DX480" s="847">
        <v>157000</v>
      </c>
    </row>
    <row r="481" spans="12:128" hidden="1">
      <c r="L481" s="846" t="s">
        <v>1060</v>
      </c>
      <c r="M481" s="846" t="s">
        <v>1382</v>
      </c>
      <c r="N481" s="846" t="s">
        <v>96</v>
      </c>
      <c r="O481" s="847">
        <v>1</v>
      </c>
      <c r="P481" s="780" t="str">
        <f t="shared" si="18"/>
        <v>IWT060101</v>
      </c>
      <c r="Q481" s="847">
        <v>23543</v>
      </c>
      <c r="R481" s="847">
        <v>24023</v>
      </c>
      <c r="S481" s="847">
        <v>24511</v>
      </c>
      <c r="T481" s="847">
        <v>25006</v>
      </c>
      <c r="U481" s="847">
        <v>25511</v>
      </c>
      <c r="V481" s="847">
        <v>26026</v>
      </c>
      <c r="W481" s="847">
        <v>26550</v>
      </c>
      <c r="X481" s="847">
        <v>27085</v>
      </c>
      <c r="Y481" s="847">
        <v>27630</v>
      </c>
      <c r="Z481" s="847">
        <v>28187</v>
      </c>
      <c r="AA481" s="847">
        <v>28754</v>
      </c>
      <c r="AB481" s="847">
        <v>29333</v>
      </c>
      <c r="AC481" s="847">
        <v>29924</v>
      </c>
      <c r="AD481" s="847">
        <v>30529</v>
      </c>
      <c r="AE481" s="847">
        <v>31147</v>
      </c>
      <c r="AF481" s="847">
        <v>31781</v>
      </c>
      <c r="AG481" s="847">
        <v>32417</v>
      </c>
      <c r="AH481" s="847">
        <v>33065</v>
      </c>
      <c r="AI481" s="847">
        <v>33726</v>
      </c>
      <c r="AJ481" s="847">
        <v>34401</v>
      </c>
      <c r="AK481" s="847">
        <v>35089</v>
      </c>
      <c r="AL481" s="847">
        <v>35791</v>
      </c>
      <c r="AM481" s="847">
        <v>36506</v>
      </c>
      <c r="AN481" s="847">
        <v>37236</v>
      </c>
      <c r="AO481" s="847">
        <v>37981</v>
      </c>
      <c r="AP481" s="847">
        <v>38741</v>
      </c>
      <c r="AQ481" s="847">
        <v>39516</v>
      </c>
      <c r="AR481" s="847">
        <v>40306</v>
      </c>
      <c r="AS481" s="847">
        <v>41112</v>
      </c>
      <c r="AT481" s="847">
        <v>41934</v>
      </c>
      <c r="AU481" s="847">
        <v>42771</v>
      </c>
      <c r="AV481" s="847">
        <v>43624</v>
      </c>
      <c r="AW481" s="847">
        <v>44494</v>
      </c>
      <c r="AX481" s="847">
        <v>45380</v>
      </c>
      <c r="AY481" s="847">
        <v>46283</v>
      </c>
      <c r="AZ481" s="847">
        <v>47202</v>
      </c>
      <c r="BA481" s="847">
        <v>48139</v>
      </c>
      <c r="BB481" s="847">
        <v>49093</v>
      </c>
      <c r="BC481" s="847">
        <v>50065</v>
      </c>
      <c r="BD481" s="847">
        <v>51054</v>
      </c>
      <c r="BE481" s="847">
        <v>52061</v>
      </c>
      <c r="BF481" s="847">
        <v>53087</v>
      </c>
      <c r="BG481" s="847">
        <v>54131</v>
      </c>
      <c r="BH481" s="847">
        <v>55192</v>
      </c>
      <c r="BI481" s="847">
        <v>56273</v>
      </c>
      <c r="BJ481" s="847">
        <v>57371</v>
      </c>
      <c r="BK481" s="847">
        <v>58488</v>
      </c>
      <c r="BL481" s="847">
        <v>59624</v>
      </c>
      <c r="BM481" s="847">
        <v>60778</v>
      </c>
      <c r="BN481" s="847">
        <v>61951</v>
      </c>
      <c r="BO481" s="847">
        <v>63143</v>
      </c>
      <c r="BP481" s="847">
        <v>64354</v>
      </c>
      <c r="BQ481" s="847">
        <v>65584</v>
      </c>
      <c r="BR481" s="847">
        <v>66834</v>
      </c>
      <c r="BS481" s="847">
        <v>68104</v>
      </c>
      <c r="BT481" s="847">
        <v>69395</v>
      </c>
      <c r="BU481" s="847">
        <v>70705</v>
      </c>
      <c r="BV481" s="847">
        <v>72034</v>
      </c>
      <c r="BW481" s="847">
        <v>73382</v>
      </c>
      <c r="BX481" s="847">
        <v>74746</v>
      </c>
      <c r="BY481" s="847">
        <v>76128</v>
      </c>
      <c r="BZ481" s="847">
        <v>77530</v>
      </c>
      <c r="CA481" s="847">
        <v>78951</v>
      </c>
      <c r="CB481" s="847">
        <v>80389</v>
      </c>
      <c r="CC481" s="847">
        <v>81843</v>
      </c>
      <c r="CD481" s="847">
        <v>83312</v>
      </c>
      <c r="CE481" s="847">
        <v>84797</v>
      </c>
      <c r="CF481" s="847">
        <v>86297</v>
      </c>
      <c r="CG481" s="847">
        <v>87811</v>
      </c>
      <c r="CH481" s="847">
        <v>89337</v>
      </c>
      <c r="CI481" s="847">
        <v>90875</v>
      </c>
      <c r="CJ481" s="847">
        <v>92425</v>
      </c>
      <c r="CK481" s="847">
        <v>93986</v>
      </c>
      <c r="CL481" s="847">
        <v>95557</v>
      </c>
      <c r="CM481" s="847">
        <v>97137</v>
      </c>
      <c r="CN481" s="847">
        <v>98727</v>
      </c>
      <c r="CO481" s="847">
        <v>100326</v>
      </c>
      <c r="CP481" s="847">
        <v>101934</v>
      </c>
      <c r="CQ481" s="847">
        <v>103550</v>
      </c>
      <c r="CR481" s="847">
        <v>105172</v>
      </c>
      <c r="CS481" s="847">
        <v>106800</v>
      </c>
      <c r="CT481" s="847">
        <v>108433</v>
      </c>
      <c r="CU481" s="847">
        <v>110070</v>
      </c>
      <c r="CV481" s="847">
        <v>111711</v>
      </c>
      <c r="CW481" s="847">
        <v>113356</v>
      </c>
      <c r="CX481" s="847">
        <v>115004</v>
      </c>
      <c r="CY481" s="847">
        <v>116655</v>
      </c>
      <c r="CZ481" s="847">
        <v>118310</v>
      </c>
      <c r="DA481" s="847">
        <v>119968</v>
      </c>
      <c r="DB481" s="847">
        <v>121625</v>
      </c>
      <c r="DC481" s="847">
        <v>123279</v>
      </c>
      <c r="DD481" s="847">
        <v>124924</v>
      </c>
      <c r="DE481" s="847">
        <v>126566</v>
      </c>
      <c r="DF481" s="847">
        <v>128204</v>
      </c>
      <c r="DG481" s="847">
        <v>129838</v>
      </c>
      <c r="DH481" s="847">
        <v>131468</v>
      </c>
      <c r="DI481" s="847">
        <v>133092</v>
      </c>
      <c r="DJ481" s="847">
        <v>134712</v>
      </c>
      <c r="DK481" s="847">
        <v>136325</v>
      </c>
      <c r="DL481" s="847">
        <v>137933</v>
      </c>
      <c r="DM481" s="847">
        <v>139536</v>
      </c>
      <c r="DN481" s="847">
        <v>141131</v>
      </c>
      <c r="DO481" s="847">
        <v>142721</v>
      </c>
      <c r="DP481" s="847">
        <v>144305</v>
      </c>
      <c r="DQ481" s="847">
        <v>145883</v>
      </c>
      <c r="DR481" s="847">
        <v>147456</v>
      </c>
      <c r="DS481" s="847">
        <v>149027</v>
      </c>
      <c r="DT481" s="847">
        <v>150606</v>
      </c>
      <c r="DU481" s="847">
        <v>152229</v>
      </c>
      <c r="DV481" s="847">
        <v>154067</v>
      </c>
      <c r="DW481" s="847">
        <v>155600</v>
      </c>
      <c r="DX481" s="847">
        <v>0</v>
      </c>
    </row>
    <row r="482" spans="12:128" hidden="1">
      <c r="L482" s="846" t="s">
        <v>1060</v>
      </c>
      <c r="M482" s="846" t="s">
        <v>1382</v>
      </c>
      <c r="N482" s="846" t="s">
        <v>96</v>
      </c>
      <c r="O482" s="847">
        <v>2</v>
      </c>
      <c r="P482" s="780" t="str">
        <f t="shared" si="18"/>
        <v>IWT060102</v>
      </c>
      <c r="Q482" s="847">
        <v>23699</v>
      </c>
      <c r="R482" s="847">
        <v>24180</v>
      </c>
      <c r="S482" s="847">
        <v>24669</v>
      </c>
      <c r="T482" s="847">
        <v>25167</v>
      </c>
      <c r="U482" s="847">
        <v>25675</v>
      </c>
      <c r="V482" s="847">
        <v>26192</v>
      </c>
      <c r="W482" s="847">
        <v>26720</v>
      </c>
      <c r="X482" s="847">
        <v>27258</v>
      </c>
      <c r="Y482" s="847">
        <v>27806</v>
      </c>
      <c r="Z482" s="847">
        <v>28366</v>
      </c>
      <c r="AA482" s="847">
        <v>28937</v>
      </c>
      <c r="AB482" s="847">
        <v>29521</v>
      </c>
      <c r="AC482" s="847">
        <v>30117</v>
      </c>
      <c r="AD482" s="847">
        <v>30727</v>
      </c>
      <c r="AE482" s="847">
        <v>31352</v>
      </c>
      <c r="AF482" s="847">
        <v>31980</v>
      </c>
      <c r="AG482" s="847">
        <v>32619</v>
      </c>
      <c r="AH482" s="847">
        <v>33271</v>
      </c>
      <c r="AI482" s="847">
        <v>33937</v>
      </c>
      <c r="AJ482" s="847">
        <v>34616</v>
      </c>
      <c r="AK482" s="847">
        <v>35308</v>
      </c>
      <c r="AL482" s="847">
        <v>36014</v>
      </c>
      <c r="AM482" s="847">
        <v>36734</v>
      </c>
      <c r="AN482" s="847">
        <v>37469</v>
      </c>
      <c r="AO482" s="847">
        <v>38218</v>
      </c>
      <c r="AP482" s="847">
        <v>38983</v>
      </c>
      <c r="AQ482" s="847">
        <v>39762</v>
      </c>
      <c r="AR482" s="847">
        <v>40558</v>
      </c>
      <c r="AS482" s="847">
        <v>41369</v>
      </c>
      <c r="AT482" s="847">
        <v>42196</v>
      </c>
      <c r="AU482" s="847">
        <v>43039</v>
      </c>
      <c r="AV482" s="847">
        <v>43898</v>
      </c>
      <c r="AW482" s="847">
        <v>44773</v>
      </c>
      <c r="AX482" s="847">
        <v>45665</v>
      </c>
      <c r="AY482" s="847">
        <v>46573</v>
      </c>
      <c r="AZ482" s="847">
        <v>47498</v>
      </c>
      <c r="BA482" s="847">
        <v>48441</v>
      </c>
      <c r="BB482" s="847">
        <v>49401</v>
      </c>
      <c r="BC482" s="847">
        <v>50379</v>
      </c>
      <c r="BD482" s="847">
        <v>51374</v>
      </c>
      <c r="BE482" s="847">
        <v>52388</v>
      </c>
      <c r="BF482" s="847">
        <v>53419</v>
      </c>
      <c r="BG482" s="847">
        <v>54469</v>
      </c>
      <c r="BH482" s="847">
        <v>55536</v>
      </c>
      <c r="BI482" s="847">
        <v>56623</v>
      </c>
      <c r="BJ482" s="847">
        <v>57727</v>
      </c>
      <c r="BK482" s="847">
        <v>58850</v>
      </c>
      <c r="BL482" s="847">
        <v>59992</v>
      </c>
      <c r="BM482" s="847">
        <v>61152</v>
      </c>
      <c r="BN482" s="847">
        <v>62331</v>
      </c>
      <c r="BO482" s="847">
        <v>63529</v>
      </c>
      <c r="BP482" s="847">
        <v>64746</v>
      </c>
      <c r="BQ482" s="847">
        <v>65983</v>
      </c>
      <c r="BR482" s="847">
        <v>67240</v>
      </c>
      <c r="BS482" s="847">
        <v>68517</v>
      </c>
      <c r="BT482" s="847">
        <v>69813</v>
      </c>
      <c r="BU482" s="847">
        <v>71129</v>
      </c>
      <c r="BV482" s="847">
        <v>72463</v>
      </c>
      <c r="BW482" s="847">
        <v>73814</v>
      </c>
      <c r="BX482" s="847">
        <v>75183</v>
      </c>
      <c r="BY482" s="847">
        <v>76571</v>
      </c>
      <c r="BZ482" s="847">
        <v>77978</v>
      </c>
      <c r="CA482" s="847">
        <v>79402</v>
      </c>
      <c r="CB482" s="847">
        <v>80842</v>
      </c>
      <c r="CC482" s="847">
        <v>82298</v>
      </c>
      <c r="CD482" s="847">
        <v>83770</v>
      </c>
      <c r="CE482" s="847">
        <v>85256</v>
      </c>
      <c r="CF482" s="847">
        <v>86757</v>
      </c>
      <c r="CG482" s="847">
        <v>88271</v>
      </c>
      <c r="CH482" s="847">
        <v>89796</v>
      </c>
      <c r="CI482" s="847">
        <v>91333</v>
      </c>
      <c r="CJ482" s="847">
        <v>92881</v>
      </c>
      <c r="CK482" s="847">
        <v>94440</v>
      </c>
      <c r="CL482" s="847">
        <v>96009</v>
      </c>
      <c r="CM482" s="847">
        <v>97587</v>
      </c>
      <c r="CN482" s="847">
        <v>99175</v>
      </c>
      <c r="CO482" s="847">
        <v>100771</v>
      </c>
      <c r="CP482" s="847">
        <v>102376</v>
      </c>
      <c r="CQ482" s="847">
        <v>103987</v>
      </c>
      <c r="CR482" s="847">
        <v>105605</v>
      </c>
      <c r="CS482" s="847">
        <v>107227</v>
      </c>
      <c r="CT482" s="847">
        <v>108854</v>
      </c>
      <c r="CU482" s="847">
        <v>110485</v>
      </c>
      <c r="CV482" s="847">
        <v>112120</v>
      </c>
      <c r="CW482" s="847">
        <v>113759</v>
      </c>
      <c r="CX482" s="847">
        <v>115402</v>
      </c>
      <c r="CY482" s="847">
        <v>117048</v>
      </c>
      <c r="CZ482" s="847">
        <v>118697</v>
      </c>
      <c r="DA482" s="847">
        <v>120346</v>
      </c>
      <c r="DB482" s="847">
        <v>121992</v>
      </c>
      <c r="DC482" s="847">
        <v>123630</v>
      </c>
      <c r="DD482" s="847">
        <v>125264</v>
      </c>
      <c r="DE482" s="847">
        <v>126896</v>
      </c>
      <c r="DF482" s="847">
        <v>128523</v>
      </c>
      <c r="DG482" s="847">
        <v>130147</v>
      </c>
      <c r="DH482" s="847">
        <v>131765</v>
      </c>
      <c r="DI482" s="847">
        <v>133379</v>
      </c>
      <c r="DJ482" s="847">
        <v>134988</v>
      </c>
      <c r="DK482" s="847">
        <v>136591</v>
      </c>
      <c r="DL482" s="847">
        <v>138188</v>
      </c>
      <c r="DM482" s="847">
        <v>139779</v>
      </c>
      <c r="DN482" s="847">
        <v>141365</v>
      </c>
      <c r="DO482" s="847">
        <v>142944</v>
      </c>
      <c r="DP482" s="847">
        <v>144519</v>
      </c>
      <c r="DQ482" s="847">
        <v>146088</v>
      </c>
      <c r="DR482" s="847">
        <v>147656</v>
      </c>
      <c r="DS482" s="847">
        <v>149231</v>
      </c>
      <c r="DT482" s="847">
        <v>150851</v>
      </c>
      <c r="DU482" s="847">
        <v>152681</v>
      </c>
      <c r="DV482" s="847">
        <v>154200</v>
      </c>
      <c r="DW482" s="847">
        <v>0</v>
      </c>
      <c r="DX482" s="847">
        <v>0</v>
      </c>
    </row>
    <row r="483" spans="12:128" hidden="1">
      <c r="L483" s="846" t="s">
        <v>1060</v>
      </c>
      <c r="M483" s="846" t="s">
        <v>1382</v>
      </c>
      <c r="N483" s="846" t="s">
        <v>96</v>
      </c>
      <c r="O483" s="847">
        <v>3</v>
      </c>
      <c r="P483" s="780" t="str">
        <f t="shared" si="18"/>
        <v>IWT060103</v>
      </c>
      <c r="Q483" s="847">
        <v>23850</v>
      </c>
      <c r="R483" s="847">
        <v>24333</v>
      </c>
      <c r="S483" s="847">
        <v>24824</v>
      </c>
      <c r="T483" s="847">
        <v>25324</v>
      </c>
      <c r="U483" s="847">
        <v>25835</v>
      </c>
      <c r="V483" s="847">
        <v>26355</v>
      </c>
      <c r="W483" s="847">
        <v>26886</v>
      </c>
      <c r="X483" s="847">
        <v>27427</v>
      </c>
      <c r="Y483" s="847">
        <v>27979</v>
      </c>
      <c r="Z483" s="847">
        <v>28543</v>
      </c>
      <c r="AA483" s="847">
        <v>29118</v>
      </c>
      <c r="AB483" s="847">
        <v>29706</v>
      </c>
      <c r="AC483" s="847">
        <v>30308</v>
      </c>
      <c r="AD483" s="847">
        <v>30925</v>
      </c>
      <c r="AE483" s="847">
        <v>31543</v>
      </c>
      <c r="AF483" s="847">
        <v>32174</v>
      </c>
      <c r="AG483" s="847">
        <v>32818</v>
      </c>
      <c r="AH483" s="847">
        <v>33474</v>
      </c>
      <c r="AI483" s="847">
        <v>34144</v>
      </c>
      <c r="AJ483" s="847">
        <v>34826</v>
      </c>
      <c r="AK483" s="847">
        <v>35523</v>
      </c>
      <c r="AL483" s="847">
        <v>36233</v>
      </c>
      <c r="AM483" s="847">
        <v>36958</v>
      </c>
      <c r="AN483" s="847">
        <v>37697</v>
      </c>
      <c r="AO483" s="847">
        <v>38451</v>
      </c>
      <c r="AP483" s="847">
        <v>39220</v>
      </c>
      <c r="AQ483" s="847">
        <v>40005</v>
      </c>
      <c r="AR483" s="847">
        <v>40805</v>
      </c>
      <c r="AS483" s="847">
        <v>41621</v>
      </c>
      <c r="AT483" s="847">
        <v>42453</v>
      </c>
      <c r="AU483" s="847">
        <v>43301</v>
      </c>
      <c r="AV483" s="847">
        <v>44166</v>
      </c>
      <c r="AW483" s="847">
        <v>45046</v>
      </c>
      <c r="AX483" s="847">
        <v>45944</v>
      </c>
      <c r="AY483" s="847">
        <v>46858</v>
      </c>
      <c r="AZ483" s="847">
        <v>47789</v>
      </c>
      <c r="BA483" s="847">
        <v>48737</v>
      </c>
      <c r="BB483" s="847">
        <v>49703</v>
      </c>
      <c r="BC483" s="847">
        <v>50687</v>
      </c>
      <c r="BD483" s="847">
        <v>51688</v>
      </c>
      <c r="BE483" s="847">
        <v>52708</v>
      </c>
      <c r="BF483" s="847">
        <v>53745</v>
      </c>
      <c r="BG483" s="847">
        <v>54800</v>
      </c>
      <c r="BH483" s="847">
        <v>55874</v>
      </c>
      <c r="BI483" s="847">
        <v>56966</v>
      </c>
      <c r="BJ483" s="847">
        <v>58077</v>
      </c>
      <c r="BK483" s="847">
        <v>59205</v>
      </c>
      <c r="BL483" s="847">
        <v>60353</v>
      </c>
      <c r="BM483" s="847">
        <v>61519</v>
      </c>
      <c r="BN483" s="847">
        <v>62704</v>
      </c>
      <c r="BO483" s="847">
        <v>63908</v>
      </c>
      <c r="BP483" s="847">
        <v>65132</v>
      </c>
      <c r="BQ483" s="847">
        <v>66375</v>
      </c>
      <c r="BR483" s="847">
        <v>67639</v>
      </c>
      <c r="BS483" s="847">
        <v>68922</v>
      </c>
      <c r="BT483" s="847">
        <v>70224</v>
      </c>
      <c r="BU483" s="847">
        <v>71545</v>
      </c>
      <c r="BV483" s="847">
        <v>72882</v>
      </c>
      <c r="BW483" s="847">
        <v>74237</v>
      </c>
      <c r="BX483" s="847">
        <v>75611</v>
      </c>
      <c r="BY483" s="847">
        <v>77005</v>
      </c>
      <c r="BZ483" s="847">
        <v>78415</v>
      </c>
      <c r="CA483" s="847">
        <v>79842</v>
      </c>
      <c r="CB483" s="847">
        <v>81285</v>
      </c>
      <c r="CC483" s="847">
        <v>82743</v>
      </c>
      <c r="CD483" s="847">
        <v>84216</v>
      </c>
      <c r="CE483" s="847">
        <v>85704</v>
      </c>
      <c r="CF483" s="847">
        <v>87204</v>
      </c>
      <c r="CG483" s="847">
        <v>88717</v>
      </c>
      <c r="CH483" s="847">
        <v>90241</v>
      </c>
      <c r="CI483" s="847">
        <v>91777</v>
      </c>
      <c r="CJ483" s="847">
        <v>93324</v>
      </c>
      <c r="CK483" s="847">
        <v>94881</v>
      </c>
      <c r="CL483" s="847">
        <v>96447</v>
      </c>
      <c r="CM483" s="847">
        <v>98023</v>
      </c>
      <c r="CN483" s="847">
        <v>99608</v>
      </c>
      <c r="CO483" s="847">
        <v>101202</v>
      </c>
      <c r="CP483" s="847">
        <v>102802</v>
      </c>
      <c r="CQ483" s="847">
        <v>104409</v>
      </c>
      <c r="CR483" s="847">
        <v>106021</v>
      </c>
      <c r="CS483" s="847">
        <v>107638</v>
      </c>
      <c r="CT483" s="847">
        <v>109260</v>
      </c>
      <c r="CU483" s="847">
        <v>110885</v>
      </c>
      <c r="CV483" s="847">
        <v>112515</v>
      </c>
      <c r="CW483" s="847">
        <v>114149</v>
      </c>
      <c r="CX483" s="847">
        <v>115786</v>
      </c>
      <c r="CY483" s="847">
        <v>117426</v>
      </c>
      <c r="CZ483" s="847">
        <v>119067</v>
      </c>
      <c r="DA483" s="847">
        <v>120705</v>
      </c>
      <c r="DB483" s="847">
        <v>122335</v>
      </c>
      <c r="DC483" s="847">
        <v>123963</v>
      </c>
      <c r="DD483" s="847">
        <v>125587</v>
      </c>
      <c r="DE483" s="847">
        <v>127208</v>
      </c>
      <c r="DF483" s="847">
        <v>128826</v>
      </c>
      <c r="DG483" s="847">
        <v>130438</v>
      </c>
      <c r="DH483" s="847">
        <v>132047</v>
      </c>
      <c r="DI483" s="847">
        <v>133650</v>
      </c>
      <c r="DJ483" s="847">
        <v>135248</v>
      </c>
      <c r="DK483" s="847">
        <v>136840</v>
      </c>
      <c r="DL483" s="847">
        <v>138427</v>
      </c>
      <c r="DM483" s="847">
        <v>140009</v>
      </c>
      <c r="DN483" s="847">
        <v>141584</v>
      </c>
      <c r="DO483" s="847">
        <v>143154</v>
      </c>
      <c r="DP483" s="847">
        <v>144720</v>
      </c>
      <c r="DQ483" s="847">
        <v>146285</v>
      </c>
      <c r="DR483" s="847">
        <v>147857</v>
      </c>
      <c r="DS483" s="847">
        <v>149472</v>
      </c>
      <c r="DT483" s="847">
        <v>151295</v>
      </c>
      <c r="DU483" s="847">
        <v>152800</v>
      </c>
      <c r="DV483" s="847">
        <v>0</v>
      </c>
      <c r="DW483" s="847">
        <v>0</v>
      </c>
      <c r="DX483" s="847">
        <v>0</v>
      </c>
    </row>
    <row r="484" spans="12:128" hidden="1">
      <c r="L484" s="846" t="s">
        <v>1060</v>
      </c>
      <c r="M484" s="846" t="s">
        <v>1382</v>
      </c>
      <c r="N484" s="846" t="s">
        <v>96</v>
      </c>
      <c r="O484" s="847">
        <v>4</v>
      </c>
      <c r="P484" s="780" t="str">
        <f t="shared" si="18"/>
        <v>IWT060104</v>
      </c>
      <c r="Q484" s="847">
        <v>23997</v>
      </c>
      <c r="R484" s="847">
        <v>24481</v>
      </c>
      <c r="S484" s="847">
        <v>24975</v>
      </c>
      <c r="T484" s="847">
        <v>25478</v>
      </c>
      <c r="U484" s="847">
        <v>25992</v>
      </c>
      <c r="V484" s="847">
        <v>26515</v>
      </c>
      <c r="W484" s="847">
        <v>27049</v>
      </c>
      <c r="X484" s="847">
        <v>27593</v>
      </c>
      <c r="Y484" s="847">
        <v>28149</v>
      </c>
      <c r="Z484" s="847">
        <v>28716</v>
      </c>
      <c r="AA484" s="847">
        <v>29296</v>
      </c>
      <c r="AB484" s="847">
        <v>29890</v>
      </c>
      <c r="AC484" s="847">
        <v>30498</v>
      </c>
      <c r="AD484" s="847">
        <v>31108</v>
      </c>
      <c r="AE484" s="847">
        <v>31730</v>
      </c>
      <c r="AF484" s="847">
        <v>32365</v>
      </c>
      <c r="AG484" s="847">
        <v>33012</v>
      </c>
      <c r="AH484" s="847">
        <v>33673</v>
      </c>
      <c r="AI484" s="847">
        <v>34346</v>
      </c>
      <c r="AJ484" s="847">
        <v>35033</v>
      </c>
      <c r="AK484" s="847">
        <v>35734</v>
      </c>
      <c r="AL484" s="847">
        <v>36448</v>
      </c>
      <c r="AM484" s="847">
        <v>37177</v>
      </c>
      <c r="AN484" s="847">
        <v>37921</v>
      </c>
      <c r="AO484" s="847">
        <v>38679</v>
      </c>
      <c r="AP484" s="847">
        <v>39453</v>
      </c>
      <c r="AQ484" s="847">
        <v>40242</v>
      </c>
      <c r="AR484" s="847">
        <v>41047</v>
      </c>
      <c r="AS484" s="847">
        <v>41868</v>
      </c>
      <c r="AT484" s="847">
        <v>42705</v>
      </c>
      <c r="AU484" s="847">
        <v>43558</v>
      </c>
      <c r="AV484" s="847">
        <v>44428</v>
      </c>
      <c r="AW484" s="847">
        <v>45314</v>
      </c>
      <c r="AX484" s="847">
        <v>46217</v>
      </c>
      <c r="AY484" s="847">
        <v>47137</v>
      </c>
      <c r="AZ484" s="847">
        <v>48074</v>
      </c>
      <c r="BA484" s="847">
        <v>49028</v>
      </c>
      <c r="BB484" s="847">
        <v>50000</v>
      </c>
      <c r="BC484" s="847">
        <v>50989</v>
      </c>
      <c r="BD484" s="847">
        <v>51996</v>
      </c>
      <c r="BE484" s="847">
        <v>53021</v>
      </c>
      <c r="BF484" s="847">
        <v>54064</v>
      </c>
      <c r="BG484" s="847">
        <v>55126</v>
      </c>
      <c r="BH484" s="847">
        <v>56205</v>
      </c>
      <c r="BI484" s="847">
        <v>57303</v>
      </c>
      <c r="BJ484" s="847">
        <v>58419</v>
      </c>
      <c r="BK484" s="847">
        <v>59554</v>
      </c>
      <c r="BL484" s="847">
        <v>60707</v>
      </c>
      <c r="BM484" s="847">
        <v>61879</v>
      </c>
      <c r="BN484" s="847">
        <v>63070</v>
      </c>
      <c r="BO484" s="847">
        <v>64280</v>
      </c>
      <c r="BP484" s="847">
        <v>65511</v>
      </c>
      <c r="BQ484" s="847">
        <v>66761</v>
      </c>
      <c r="BR484" s="847">
        <v>68030</v>
      </c>
      <c r="BS484" s="847">
        <v>69319</v>
      </c>
      <c r="BT484" s="847">
        <v>70626</v>
      </c>
      <c r="BU484" s="847">
        <v>71949</v>
      </c>
      <c r="BV484" s="847">
        <v>73291</v>
      </c>
      <c r="BW484" s="847">
        <v>74652</v>
      </c>
      <c r="BX484" s="847">
        <v>76031</v>
      </c>
      <c r="BY484" s="847">
        <v>77428</v>
      </c>
      <c r="BZ484" s="847">
        <v>78842</v>
      </c>
      <c r="CA484" s="847">
        <v>80271</v>
      </c>
      <c r="CB484" s="847">
        <v>81716</v>
      </c>
      <c r="CC484" s="847">
        <v>83176</v>
      </c>
      <c r="CD484" s="847">
        <v>84650</v>
      </c>
      <c r="CE484" s="847">
        <v>86138</v>
      </c>
      <c r="CF484" s="847">
        <v>87638</v>
      </c>
      <c r="CG484" s="847">
        <v>89150</v>
      </c>
      <c r="CH484" s="847">
        <v>90673</v>
      </c>
      <c r="CI484" s="847">
        <v>92208</v>
      </c>
      <c r="CJ484" s="847">
        <v>93752</v>
      </c>
      <c r="CK484" s="847">
        <v>95307</v>
      </c>
      <c r="CL484" s="847">
        <v>96872</v>
      </c>
      <c r="CM484" s="847">
        <v>98445</v>
      </c>
      <c r="CN484" s="847">
        <v>100028</v>
      </c>
      <c r="CO484" s="847">
        <v>101617</v>
      </c>
      <c r="CP484" s="847">
        <v>103214</v>
      </c>
      <c r="CQ484" s="847">
        <v>104815</v>
      </c>
      <c r="CR484" s="847">
        <v>106422</v>
      </c>
      <c r="CS484" s="847">
        <v>108034</v>
      </c>
      <c r="CT484" s="847">
        <v>109650</v>
      </c>
      <c r="CU484" s="847">
        <v>111271</v>
      </c>
      <c r="CV484" s="847">
        <v>112895</v>
      </c>
      <c r="CW484" s="847">
        <v>114524</v>
      </c>
      <c r="CX484" s="847">
        <v>116155</v>
      </c>
      <c r="CY484" s="847">
        <v>117788</v>
      </c>
      <c r="CZ484" s="847">
        <v>119419</v>
      </c>
      <c r="DA484" s="847">
        <v>121041</v>
      </c>
      <c r="DB484" s="847">
        <v>122661</v>
      </c>
      <c r="DC484" s="847">
        <v>124279</v>
      </c>
      <c r="DD484" s="847">
        <v>125894</v>
      </c>
      <c r="DE484" s="847">
        <v>127505</v>
      </c>
      <c r="DF484" s="847">
        <v>129112</v>
      </c>
      <c r="DG484" s="847">
        <v>130714</v>
      </c>
      <c r="DH484" s="847">
        <v>132312</v>
      </c>
      <c r="DI484" s="847">
        <v>133905</v>
      </c>
      <c r="DJ484" s="847">
        <v>135493</v>
      </c>
      <c r="DK484" s="847">
        <v>137075</v>
      </c>
      <c r="DL484" s="847">
        <v>138652</v>
      </c>
      <c r="DM484" s="847">
        <v>140224</v>
      </c>
      <c r="DN484" s="847">
        <v>141790</v>
      </c>
      <c r="DO484" s="847">
        <v>143353</v>
      </c>
      <c r="DP484" s="847">
        <v>144913</v>
      </c>
      <c r="DQ484" s="847">
        <v>146482</v>
      </c>
      <c r="DR484" s="847">
        <v>148093</v>
      </c>
      <c r="DS484" s="847">
        <v>149908</v>
      </c>
      <c r="DT484" s="847">
        <v>151400</v>
      </c>
      <c r="DU484" s="847">
        <v>0</v>
      </c>
      <c r="DV484" s="847">
        <v>0</v>
      </c>
      <c r="DW484" s="847">
        <v>0</v>
      </c>
      <c r="DX484" s="847">
        <v>0</v>
      </c>
    </row>
    <row r="485" spans="12:128" hidden="1">
      <c r="L485" s="846" t="s">
        <v>1060</v>
      </c>
      <c r="M485" s="846" t="s">
        <v>1382</v>
      </c>
      <c r="N485" s="846" t="s">
        <v>96</v>
      </c>
      <c r="O485" s="847">
        <v>5</v>
      </c>
      <c r="P485" s="780" t="str">
        <f t="shared" si="18"/>
        <v>IWT060105</v>
      </c>
      <c r="Q485" s="847">
        <v>24140</v>
      </c>
      <c r="R485" s="847">
        <v>24627</v>
      </c>
      <c r="S485" s="847">
        <v>25123</v>
      </c>
      <c r="T485" s="847">
        <v>25629</v>
      </c>
      <c r="U485" s="847">
        <v>26145</v>
      </c>
      <c r="V485" s="847">
        <v>26671</v>
      </c>
      <c r="W485" s="847">
        <v>27208</v>
      </c>
      <c r="X485" s="847">
        <v>27756</v>
      </c>
      <c r="Y485" s="847">
        <v>28316</v>
      </c>
      <c r="Z485" s="847">
        <v>28888</v>
      </c>
      <c r="AA485" s="847">
        <v>29473</v>
      </c>
      <c r="AB485" s="847">
        <v>30073</v>
      </c>
      <c r="AC485" s="847">
        <v>30674</v>
      </c>
      <c r="AD485" s="847">
        <v>31288</v>
      </c>
      <c r="AE485" s="847">
        <v>31913</v>
      </c>
      <c r="AF485" s="847">
        <v>32552</v>
      </c>
      <c r="AG485" s="847">
        <v>33203</v>
      </c>
      <c r="AH485" s="847">
        <v>33867</v>
      </c>
      <c r="AI485" s="847">
        <v>34544</v>
      </c>
      <c r="AJ485" s="847">
        <v>35235</v>
      </c>
      <c r="AK485" s="847">
        <v>35940</v>
      </c>
      <c r="AL485" s="847">
        <v>36658</v>
      </c>
      <c r="AM485" s="847">
        <v>37392</v>
      </c>
      <c r="AN485" s="847">
        <v>38139</v>
      </c>
      <c r="AO485" s="847">
        <v>38902</v>
      </c>
      <c r="AP485" s="847">
        <v>39680</v>
      </c>
      <c r="AQ485" s="847">
        <v>40474</v>
      </c>
      <c r="AR485" s="847">
        <v>41283</v>
      </c>
      <c r="AS485" s="847">
        <v>42109</v>
      </c>
      <c r="AT485" s="847">
        <v>42951</v>
      </c>
      <c r="AU485" s="847">
        <v>43810</v>
      </c>
      <c r="AV485" s="847">
        <v>44685</v>
      </c>
      <c r="AW485" s="847">
        <v>45577</v>
      </c>
      <c r="AX485" s="847">
        <v>46485</v>
      </c>
      <c r="AY485" s="847">
        <v>47410</v>
      </c>
      <c r="AZ485" s="847">
        <v>48353</v>
      </c>
      <c r="BA485" s="847">
        <v>49312</v>
      </c>
      <c r="BB485" s="847">
        <v>50290</v>
      </c>
      <c r="BC485" s="847">
        <v>51285</v>
      </c>
      <c r="BD485" s="847">
        <v>52298</v>
      </c>
      <c r="BE485" s="847">
        <v>53328</v>
      </c>
      <c r="BF485" s="847">
        <v>54377</v>
      </c>
      <c r="BG485" s="847">
        <v>55444</v>
      </c>
      <c r="BH485" s="847">
        <v>56529</v>
      </c>
      <c r="BI485" s="847">
        <v>57633</v>
      </c>
      <c r="BJ485" s="847">
        <v>58754</v>
      </c>
      <c r="BK485" s="847">
        <v>59895</v>
      </c>
      <c r="BL485" s="847">
        <v>61054</v>
      </c>
      <c r="BM485" s="847">
        <v>62232</v>
      </c>
      <c r="BN485" s="847">
        <v>63429</v>
      </c>
      <c r="BO485" s="847">
        <v>64646</v>
      </c>
      <c r="BP485" s="847">
        <v>65882</v>
      </c>
      <c r="BQ485" s="847">
        <v>67139</v>
      </c>
      <c r="BR485" s="847">
        <v>68414</v>
      </c>
      <c r="BS485" s="847">
        <v>69707</v>
      </c>
      <c r="BT485" s="847">
        <v>71017</v>
      </c>
      <c r="BU485" s="847">
        <v>72345</v>
      </c>
      <c r="BV485" s="847">
        <v>73692</v>
      </c>
      <c r="BW485" s="847">
        <v>75058</v>
      </c>
      <c r="BX485" s="847">
        <v>76442</v>
      </c>
      <c r="BY485" s="847">
        <v>77842</v>
      </c>
      <c r="BZ485" s="847">
        <v>79257</v>
      </c>
      <c r="CA485" s="847">
        <v>80689</v>
      </c>
      <c r="CB485" s="847">
        <v>82135</v>
      </c>
      <c r="CC485" s="847">
        <v>83597</v>
      </c>
      <c r="CD485" s="847">
        <v>85071</v>
      </c>
      <c r="CE485" s="847">
        <v>86559</v>
      </c>
      <c r="CF485" s="847">
        <v>88058</v>
      </c>
      <c r="CG485" s="847">
        <v>89569</v>
      </c>
      <c r="CH485" s="847">
        <v>91091</v>
      </c>
      <c r="CI485" s="847">
        <v>92624</v>
      </c>
      <c r="CJ485" s="847">
        <v>94167</v>
      </c>
      <c r="CK485" s="847">
        <v>95720</v>
      </c>
      <c r="CL485" s="847">
        <v>97283</v>
      </c>
      <c r="CM485" s="847">
        <v>98854</v>
      </c>
      <c r="CN485" s="847">
        <v>100432</v>
      </c>
      <c r="CO485" s="847">
        <v>102018</v>
      </c>
      <c r="CP485" s="847">
        <v>103610</v>
      </c>
      <c r="CQ485" s="847">
        <v>105207</v>
      </c>
      <c r="CR485" s="847">
        <v>106808</v>
      </c>
      <c r="CS485" s="847">
        <v>108415</v>
      </c>
      <c r="CT485" s="847">
        <v>110026</v>
      </c>
      <c r="CU485" s="847">
        <v>111642</v>
      </c>
      <c r="CV485" s="847">
        <v>113261</v>
      </c>
      <c r="CW485" s="847">
        <v>114884</v>
      </c>
      <c r="CX485" s="847">
        <v>116509</v>
      </c>
      <c r="CY485" s="847">
        <v>118132</v>
      </c>
      <c r="CZ485" s="847">
        <v>119747</v>
      </c>
      <c r="DA485" s="847">
        <v>121360</v>
      </c>
      <c r="DB485" s="847">
        <v>122971</v>
      </c>
      <c r="DC485" s="847">
        <v>124579</v>
      </c>
      <c r="DD485" s="847">
        <v>126184</v>
      </c>
      <c r="DE485" s="847">
        <v>127785</v>
      </c>
      <c r="DF485" s="847">
        <v>129382</v>
      </c>
      <c r="DG485" s="847">
        <v>130974</v>
      </c>
      <c r="DH485" s="847">
        <v>132562</v>
      </c>
      <c r="DI485" s="847">
        <v>134145</v>
      </c>
      <c r="DJ485" s="847">
        <v>135723</v>
      </c>
      <c r="DK485" s="847">
        <v>137296</v>
      </c>
      <c r="DL485" s="847">
        <v>138863</v>
      </c>
      <c r="DM485" s="847">
        <v>140426</v>
      </c>
      <c r="DN485" s="847">
        <v>141985</v>
      </c>
      <c r="DO485" s="847">
        <v>143542</v>
      </c>
      <c r="DP485" s="847">
        <v>145108</v>
      </c>
      <c r="DQ485" s="847">
        <v>146715</v>
      </c>
      <c r="DR485" s="847">
        <v>148522</v>
      </c>
      <c r="DS485" s="847">
        <v>150000</v>
      </c>
      <c r="DT485" s="847">
        <v>0</v>
      </c>
      <c r="DU485" s="847">
        <v>0</v>
      </c>
      <c r="DV485" s="847">
        <v>0</v>
      </c>
      <c r="DW485" s="847">
        <v>0</v>
      </c>
      <c r="DX485" s="847">
        <v>0</v>
      </c>
    </row>
    <row r="486" spans="12:128" hidden="1">
      <c r="L486" s="846" t="s">
        <v>1060</v>
      </c>
      <c r="M486" s="846" t="s">
        <v>1382</v>
      </c>
      <c r="N486" s="846" t="s">
        <v>96</v>
      </c>
      <c r="O486" s="847">
        <v>6</v>
      </c>
      <c r="P486" s="780" t="str">
        <f t="shared" si="18"/>
        <v>IWT060106</v>
      </c>
      <c r="Q486" s="847">
        <v>24279</v>
      </c>
      <c r="R486" s="847">
        <v>24768</v>
      </c>
      <c r="S486" s="847">
        <v>25267</v>
      </c>
      <c r="T486" s="847">
        <v>25776</v>
      </c>
      <c r="U486" s="847">
        <v>26295</v>
      </c>
      <c r="V486" s="847">
        <v>26824</v>
      </c>
      <c r="W486" s="847">
        <v>27364</v>
      </c>
      <c r="X486" s="847">
        <v>27916</v>
      </c>
      <c r="Y486" s="847">
        <v>28480</v>
      </c>
      <c r="Z486" s="847">
        <v>29057</v>
      </c>
      <c r="AA486" s="847">
        <v>29648</v>
      </c>
      <c r="AB486" s="847">
        <v>30241</v>
      </c>
      <c r="AC486" s="847">
        <v>30846</v>
      </c>
      <c r="AD486" s="847">
        <v>31463</v>
      </c>
      <c r="AE486" s="847">
        <v>32092</v>
      </c>
      <c r="AF486" s="847">
        <v>32734</v>
      </c>
      <c r="AG486" s="847">
        <v>33389</v>
      </c>
      <c r="AH486" s="847">
        <v>34056</v>
      </c>
      <c r="AI486" s="847">
        <v>34738</v>
      </c>
      <c r="AJ486" s="847">
        <v>35432</v>
      </c>
      <c r="AK486" s="847">
        <v>36141</v>
      </c>
      <c r="AL486" s="847">
        <v>36864</v>
      </c>
      <c r="AM486" s="847">
        <v>37601</v>
      </c>
      <c r="AN486" s="847">
        <v>38353</v>
      </c>
      <c r="AO486" s="847">
        <v>39120</v>
      </c>
      <c r="AP486" s="847">
        <v>39903</v>
      </c>
      <c r="AQ486" s="847">
        <v>40701</v>
      </c>
      <c r="AR486" s="847">
        <v>41515</v>
      </c>
      <c r="AS486" s="847">
        <v>42345</v>
      </c>
      <c r="AT486" s="847">
        <v>43192</v>
      </c>
      <c r="AU486" s="847">
        <v>44056</v>
      </c>
      <c r="AV486" s="847">
        <v>44936</v>
      </c>
      <c r="AW486" s="847">
        <v>45833</v>
      </c>
      <c r="AX486" s="847">
        <v>46746</v>
      </c>
      <c r="AY486" s="847">
        <v>47677</v>
      </c>
      <c r="AZ486" s="847">
        <v>48625</v>
      </c>
      <c r="BA486" s="847">
        <v>49590</v>
      </c>
      <c r="BB486" s="847">
        <v>50573</v>
      </c>
      <c r="BC486" s="847">
        <v>51574</v>
      </c>
      <c r="BD486" s="847">
        <v>52592</v>
      </c>
      <c r="BE486" s="847">
        <v>53629</v>
      </c>
      <c r="BF486" s="847">
        <v>54683</v>
      </c>
      <c r="BG486" s="847">
        <v>55756</v>
      </c>
      <c r="BH486" s="847">
        <v>56846</v>
      </c>
      <c r="BI486" s="847">
        <v>57955</v>
      </c>
      <c r="BJ486" s="847">
        <v>59083</v>
      </c>
      <c r="BK486" s="847">
        <v>60229</v>
      </c>
      <c r="BL486" s="847">
        <v>61394</v>
      </c>
      <c r="BM486" s="847">
        <v>62578</v>
      </c>
      <c r="BN486" s="847">
        <v>63781</v>
      </c>
      <c r="BO486" s="847">
        <v>65004</v>
      </c>
      <c r="BP486" s="847">
        <v>66247</v>
      </c>
      <c r="BQ486" s="847">
        <v>67508</v>
      </c>
      <c r="BR486" s="847">
        <v>68788</v>
      </c>
      <c r="BS486" s="847">
        <v>70085</v>
      </c>
      <c r="BT486" s="847">
        <v>71399</v>
      </c>
      <c r="BU486" s="847">
        <v>72733</v>
      </c>
      <c r="BV486" s="847">
        <v>74085</v>
      </c>
      <c r="BW486" s="847">
        <v>75455</v>
      </c>
      <c r="BX486" s="847">
        <v>76841</v>
      </c>
      <c r="BY486" s="847">
        <v>78243</v>
      </c>
      <c r="BZ486" s="847">
        <v>79661</v>
      </c>
      <c r="CA486" s="847">
        <v>81095</v>
      </c>
      <c r="CB486" s="847">
        <v>82543</v>
      </c>
      <c r="CC486" s="847">
        <v>84005</v>
      </c>
      <c r="CD486" s="847">
        <v>85479</v>
      </c>
      <c r="CE486" s="847">
        <v>86966</v>
      </c>
      <c r="CF486" s="847">
        <v>88465</v>
      </c>
      <c r="CG486" s="847">
        <v>89975</v>
      </c>
      <c r="CH486" s="847">
        <v>91496</v>
      </c>
      <c r="CI486" s="847">
        <v>93027</v>
      </c>
      <c r="CJ486" s="847">
        <v>94569</v>
      </c>
      <c r="CK486" s="847">
        <v>96120</v>
      </c>
      <c r="CL486" s="847">
        <v>97680</v>
      </c>
      <c r="CM486" s="847">
        <v>99248</v>
      </c>
      <c r="CN486" s="847">
        <v>100823</v>
      </c>
      <c r="CO486" s="847">
        <v>102404</v>
      </c>
      <c r="CP486" s="847">
        <v>103991</v>
      </c>
      <c r="CQ486" s="847">
        <v>105583</v>
      </c>
      <c r="CR486" s="847">
        <v>107180</v>
      </c>
      <c r="CS486" s="847">
        <v>108782</v>
      </c>
      <c r="CT486" s="847">
        <v>110388</v>
      </c>
      <c r="CU486" s="847">
        <v>111999</v>
      </c>
      <c r="CV486" s="847">
        <v>113614</v>
      </c>
      <c r="CW486" s="847">
        <v>115230</v>
      </c>
      <c r="CX486" s="847">
        <v>116845</v>
      </c>
      <c r="CY486" s="847">
        <v>118452</v>
      </c>
      <c r="CZ486" s="847">
        <v>120058</v>
      </c>
      <c r="DA486" s="847">
        <v>121662</v>
      </c>
      <c r="DB486" s="847">
        <v>123264</v>
      </c>
      <c r="DC486" s="847">
        <v>124863</v>
      </c>
      <c r="DD486" s="847">
        <v>126458</v>
      </c>
      <c r="DE486" s="847">
        <v>128049</v>
      </c>
      <c r="DF486" s="847">
        <v>129636</v>
      </c>
      <c r="DG486" s="847">
        <v>131219</v>
      </c>
      <c r="DH486" s="847">
        <v>132798</v>
      </c>
      <c r="DI486" s="847">
        <v>134371</v>
      </c>
      <c r="DJ486" s="847">
        <v>135940</v>
      </c>
      <c r="DK486" s="847">
        <v>137503</v>
      </c>
      <c r="DL486" s="847">
        <v>139062</v>
      </c>
      <c r="DM486" s="847">
        <v>140617</v>
      </c>
      <c r="DN486" s="847">
        <v>142171</v>
      </c>
      <c r="DO486" s="847">
        <v>143733</v>
      </c>
      <c r="DP486" s="847">
        <v>145336</v>
      </c>
      <c r="DQ486" s="847">
        <v>147136</v>
      </c>
      <c r="DR486" s="847">
        <v>148600</v>
      </c>
      <c r="DS486" s="847">
        <v>0</v>
      </c>
      <c r="DT486" s="847">
        <v>0</v>
      </c>
      <c r="DU486" s="847">
        <v>0</v>
      </c>
      <c r="DV486" s="847">
        <v>0</v>
      </c>
      <c r="DW486" s="847">
        <v>0</v>
      </c>
      <c r="DX486" s="847">
        <v>0</v>
      </c>
    </row>
    <row r="487" spans="12:128" hidden="1">
      <c r="L487" s="846" t="s">
        <v>1060</v>
      </c>
      <c r="M487" s="846" t="s">
        <v>1382</v>
      </c>
      <c r="N487" s="846" t="s">
        <v>96</v>
      </c>
      <c r="O487" s="847">
        <v>7</v>
      </c>
      <c r="P487" s="780" t="str">
        <f t="shared" si="18"/>
        <v>IWT060107</v>
      </c>
      <c r="Q487" s="847">
        <v>24415</v>
      </c>
      <c r="R487" s="847">
        <v>24906</v>
      </c>
      <c r="S487" s="847">
        <v>25408</v>
      </c>
      <c r="T487" s="847">
        <v>25920</v>
      </c>
      <c r="U487" s="847">
        <v>26441</v>
      </c>
      <c r="V487" s="847">
        <v>26974</v>
      </c>
      <c r="W487" s="847">
        <v>27517</v>
      </c>
      <c r="X487" s="847">
        <v>28073</v>
      </c>
      <c r="Y487" s="847">
        <v>28642</v>
      </c>
      <c r="Z487" s="847">
        <v>29225</v>
      </c>
      <c r="AA487" s="847">
        <v>29809</v>
      </c>
      <c r="AB487" s="847">
        <v>30406</v>
      </c>
      <c r="AC487" s="847">
        <v>31014</v>
      </c>
      <c r="AD487" s="847">
        <v>31634</v>
      </c>
      <c r="AE487" s="847">
        <v>32267</v>
      </c>
      <c r="AF487" s="847">
        <v>32912</v>
      </c>
      <c r="AG487" s="847">
        <v>33570</v>
      </c>
      <c r="AH487" s="847">
        <v>34242</v>
      </c>
      <c r="AI487" s="847">
        <v>34926</v>
      </c>
      <c r="AJ487" s="847">
        <v>35625</v>
      </c>
      <c r="AK487" s="847">
        <v>36337</v>
      </c>
      <c r="AL487" s="847">
        <v>37064</v>
      </c>
      <c r="AM487" s="847">
        <v>37806</v>
      </c>
      <c r="AN487" s="847">
        <v>38562</v>
      </c>
      <c r="AO487" s="847">
        <v>39333</v>
      </c>
      <c r="AP487" s="847">
        <v>40120</v>
      </c>
      <c r="AQ487" s="847">
        <v>40922</v>
      </c>
      <c r="AR487" s="847">
        <v>41740</v>
      </c>
      <c r="AS487" s="847">
        <v>42575</v>
      </c>
      <c r="AT487" s="847">
        <v>43427</v>
      </c>
      <c r="AU487" s="847">
        <v>44295</v>
      </c>
      <c r="AV487" s="847">
        <v>45181</v>
      </c>
      <c r="AW487" s="847">
        <v>46083</v>
      </c>
      <c r="AX487" s="847">
        <v>47002</v>
      </c>
      <c r="AY487" s="847">
        <v>47938</v>
      </c>
      <c r="AZ487" s="847">
        <v>48891</v>
      </c>
      <c r="BA487" s="847">
        <v>49862</v>
      </c>
      <c r="BB487" s="847">
        <v>50850</v>
      </c>
      <c r="BC487" s="847">
        <v>51856</v>
      </c>
      <c r="BD487" s="847">
        <v>52880</v>
      </c>
      <c r="BE487" s="847">
        <v>53922</v>
      </c>
      <c r="BF487" s="847">
        <v>54982</v>
      </c>
      <c r="BG487" s="847">
        <v>56060</v>
      </c>
      <c r="BH487" s="847">
        <v>57156</v>
      </c>
      <c r="BI487" s="847">
        <v>58271</v>
      </c>
      <c r="BJ487" s="847">
        <v>59404</v>
      </c>
      <c r="BK487" s="847">
        <v>60556</v>
      </c>
      <c r="BL487" s="847">
        <v>61726</v>
      </c>
      <c r="BM487" s="847">
        <v>62917</v>
      </c>
      <c r="BN487" s="847">
        <v>64126</v>
      </c>
      <c r="BO487" s="847">
        <v>65355</v>
      </c>
      <c r="BP487" s="847">
        <v>66603</v>
      </c>
      <c r="BQ487" s="847">
        <v>67869</v>
      </c>
      <c r="BR487" s="847">
        <v>69152</v>
      </c>
      <c r="BS487" s="847">
        <v>70453</v>
      </c>
      <c r="BT487" s="847">
        <v>71773</v>
      </c>
      <c r="BU487" s="847">
        <v>73112</v>
      </c>
      <c r="BV487" s="847">
        <v>74468</v>
      </c>
      <c r="BW487" s="847">
        <v>75841</v>
      </c>
      <c r="BX487" s="847">
        <v>77230</v>
      </c>
      <c r="BY487" s="847">
        <v>78634</v>
      </c>
      <c r="BZ487" s="847">
        <v>80055</v>
      </c>
      <c r="CA487" s="847">
        <v>81490</v>
      </c>
      <c r="CB487" s="847">
        <v>82938</v>
      </c>
      <c r="CC487" s="847">
        <v>84400</v>
      </c>
      <c r="CD487" s="847">
        <v>85874</v>
      </c>
      <c r="CE487" s="847">
        <v>87361</v>
      </c>
      <c r="CF487" s="847">
        <v>88859</v>
      </c>
      <c r="CG487" s="847">
        <v>90368</v>
      </c>
      <c r="CH487" s="847">
        <v>91887</v>
      </c>
      <c r="CI487" s="847">
        <v>93417</v>
      </c>
      <c r="CJ487" s="847">
        <v>94957</v>
      </c>
      <c r="CK487" s="847">
        <v>96506</v>
      </c>
      <c r="CL487" s="847">
        <v>98063</v>
      </c>
      <c r="CM487" s="847">
        <v>99627</v>
      </c>
      <c r="CN487" s="847">
        <v>101198</v>
      </c>
      <c r="CO487" s="847">
        <v>102775</v>
      </c>
      <c r="CP487" s="847">
        <v>104357</v>
      </c>
      <c r="CQ487" s="847">
        <v>105945</v>
      </c>
      <c r="CR487" s="847">
        <v>107537</v>
      </c>
      <c r="CS487" s="847">
        <v>109135</v>
      </c>
      <c r="CT487" s="847">
        <v>110737</v>
      </c>
      <c r="CU487" s="847">
        <v>112343</v>
      </c>
      <c r="CV487" s="847">
        <v>113951</v>
      </c>
      <c r="CW487" s="847">
        <v>115558</v>
      </c>
      <c r="CX487" s="847">
        <v>117158</v>
      </c>
      <c r="CY487" s="847">
        <v>118757</v>
      </c>
      <c r="CZ487" s="847">
        <v>120354</v>
      </c>
      <c r="DA487" s="847">
        <v>121949</v>
      </c>
      <c r="DB487" s="847">
        <v>123542</v>
      </c>
      <c r="DC487" s="847">
        <v>125131</v>
      </c>
      <c r="DD487" s="847">
        <v>126717</v>
      </c>
      <c r="DE487" s="847">
        <v>128299</v>
      </c>
      <c r="DF487" s="847">
        <v>129877</v>
      </c>
      <c r="DG487" s="847">
        <v>131450</v>
      </c>
      <c r="DH487" s="847">
        <v>133019</v>
      </c>
      <c r="DI487" s="847">
        <v>134583</v>
      </c>
      <c r="DJ487" s="847">
        <v>136143</v>
      </c>
      <c r="DK487" s="847">
        <v>137698</v>
      </c>
      <c r="DL487" s="847">
        <v>139249</v>
      </c>
      <c r="DM487" s="847">
        <v>140800</v>
      </c>
      <c r="DN487" s="847">
        <v>142358</v>
      </c>
      <c r="DO487" s="847">
        <v>143957</v>
      </c>
      <c r="DP487" s="847">
        <v>145750</v>
      </c>
      <c r="DQ487" s="847">
        <v>147200</v>
      </c>
      <c r="DR487" s="847">
        <v>0</v>
      </c>
      <c r="DS487" s="847">
        <v>0</v>
      </c>
      <c r="DT487" s="847">
        <v>0</v>
      </c>
      <c r="DU487" s="847">
        <v>0</v>
      </c>
      <c r="DV487" s="847">
        <v>0</v>
      </c>
      <c r="DW487" s="847">
        <v>0</v>
      </c>
      <c r="DX487" s="847">
        <v>0</v>
      </c>
    </row>
    <row r="488" spans="12:128" hidden="1">
      <c r="L488" s="846" t="s">
        <v>1060</v>
      </c>
      <c r="M488" s="846" t="s">
        <v>1382</v>
      </c>
      <c r="N488" s="846" t="s">
        <v>96</v>
      </c>
      <c r="O488" s="847">
        <v>8</v>
      </c>
      <c r="P488" s="780" t="str">
        <f t="shared" si="18"/>
        <v>IWT060108</v>
      </c>
      <c r="Q488" s="847">
        <v>24547</v>
      </c>
      <c r="R488" s="847">
        <v>25041</v>
      </c>
      <c r="S488" s="847">
        <v>25545</v>
      </c>
      <c r="T488" s="847">
        <v>26060</v>
      </c>
      <c r="U488" s="847">
        <v>26584</v>
      </c>
      <c r="V488" s="847">
        <v>27120</v>
      </c>
      <c r="W488" s="847">
        <v>27668</v>
      </c>
      <c r="X488" s="847">
        <v>28228</v>
      </c>
      <c r="Y488" s="847">
        <v>28803</v>
      </c>
      <c r="Z488" s="847">
        <v>29379</v>
      </c>
      <c r="AA488" s="847">
        <v>29966</v>
      </c>
      <c r="AB488" s="847">
        <v>30566</v>
      </c>
      <c r="AC488" s="847">
        <v>31177</v>
      </c>
      <c r="AD488" s="847">
        <v>31801</v>
      </c>
      <c r="AE488" s="847">
        <v>32437</v>
      </c>
      <c r="AF488" s="847">
        <v>33085</v>
      </c>
      <c r="AG488" s="847">
        <v>33747</v>
      </c>
      <c r="AH488" s="847">
        <v>34422</v>
      </c>
      <c r="AI488" s="847">
        <v>35110</v>
      </c>
      <c r="AJ488" s="847">
        <v>35813</v>
      </c>
      <c r="AK488" s="847">
        <v>36529</v>
      </c>
      <c r="AL488" s="847">
        <v>37259</v>
      </c>
      <c r="AM488" s="847">
        <v>38005</v>
      </c>
      <c r="AN488" s="847">
        <v>38765</v>
      </c>
      <c r="AO488" s="847">
        <v>39540</v>
      </c>
      <c r="AP488" s="847">
        <v>40331</v>
      </c>
      <c r="AQ488" s="847">
        <v>41137</v>
      </c>
      <c r="AR488" s="847">
        <v>41960</v>
      </c>
      <c r="AS488" s="847">
        <v>42799</v>
      </c>
      <c r="AT488" s="847">
        <v>43655</v>
      </c>
      <c r="AU488" s="847">
        <v>44529</v>
      </c>
      <c r="AV488" s="847">
        <v>45419</v>
      </c>
      <c r="AW488" s="847">
        <v>46326</v>
      </c>
      <c r="AX488" s="847">
        <v>47250</v>
      </c>
      <c r="AY488" s="847">
        <v>48192</v>
      </c>
      <c r="AZ488" s="847">
        <v>49151</v>
      </c>
      <c r="BA488" s="847">
        <v>50127</v>
      </c>
      <c r="BB488" s="847">
        <v>51120</v>
      </c>
      <c r="BC488" s="847">
        <v>52132</v>
      </c>
      <c r="BD488" s="847">
        <v>53161</v>
      </c>
      <c r="BE488" s="847">
        <v>54208</v>
      </c>
      <c r="BF488" s="847">
        <v>55274</v>
      </c>
      <c r="BG488" s="847">
        <v>56357</v>
      </c>
      <c r="BH488" s="847">
        <v>57459</v>
      </c>
      <c r="BI488" s="847">
        <v>58579</v>
      </c>
      <c r="BJ488" s="847">
        <v>59718</v>
      </c>
      <c r="BK488" s="847">
        <v>60875</v>
      </c>
      <c r="BL488" s="847">
        <v>62052</v>
      </c>
      <c r="BM488" s="847">
        <v>63248</v>
      </c>
      <c r="BN488" s="847">
        <v>64464</v>
      </c>
      <c r="BO488" s="847">
        <v>65698</v>
      </c>
      <c r="BP488" s="847">
        <v>66950</v>
      </c>
      <c r="BQ488" s="847">
        <v>68220</v>
      </c>
      <c r="BR488" s="847">
        <v>69507</v>
      </c>
      <c r="BS488" s="847">
        <v>70814</v>
      </c>
      <c r="BT488" s="847">
        <v>72139</v>
      </c>
      <c r="BU488" s="847">
        <v>73481</v>
      </c>
      <c r="BV488" s="847">
        <v>74841</v>
      </c>
      <c r="BW488" s="847">
        <v>76216</v>
      </c>
      <c r="BX488" s="847">
        <v>77607</v>
      </c>
      <c r="BY488" s="847">
        <v>79014</v>
      </c>
      <c r="BZ488" s="847">
        <v>80436</v>
      </c>
      <c r="CA488" s="847">
        <v>81872</v>
      </c>
      <c r="CB488" s="847">
        <v>83321</v>
      </c>
      <c r="CC488" s="847">
        <v>84783</v>
      </c>
      <c r="CD488" s="847">
        <v>86257</v>
      </c>
      <c r="CE488" s="847">
        <v>87742</v>
      </c>
      <c r="CF488" s="847">
        <v>89239</v>
      </c>
      <c r="CG488" s="847">
        <v>90747</v>
      </c>
      <c r="CH488" s="847">
        <v>92265</v>
      </c>
      <c r="CI488" s="847">
        <v>93794</v>
      </c>
      <c r="CJ488" s="847">
        <v>95332</v>
      </c>
      <c r="CK488" s="847">
        <v>96878</v>
      </c>
      <c r="CL488" s="847">
        <v>98432</v>
      </c>
      <c r="CM488" s="847">
        <v>99992</v>
      </c>
      <c r="CN488" s="847">
        <v>101559</v>
      </c>
      <c r="CO488" s="847">
        <v>103131</v>
      </c>
      <c r="CP488" s="847">
        <v>104709</v>
      </c>
      <c r="CQ488" s="847">
        <v>106293</v>
      </c>
      <c r="CR488" s="847">
        <v>107881</v>
      </c>
      <c r="CS488" s="847">
        <v>109475</v>
      </c>
      <c r="CT488" s="847">
        <v>111072</v>
      </c>
      <c r="CU488" s="847">
        <v>112672</v>
      </c>
      <c r="CV488" s="847">
        <v>114271</v>
      </c>
      <c r="CW488" s="847">
        <v>115864</v>
      </c>
      <c r="CX488" s="847">
        <v>117455</v>
      </c>
      <c r="CY488" s="847">
        <v>119046</v>
      </c>
      <c r="CZ488" s="847">
        <v>120634</v>
      </c>
      <c r="DA488" s="847">
        <v>122221</v>
      </c>
      <c r="DB488" s="847">
        <v>123804</v>
      </c>
      <c r="DC488" s="847">
        <v>125384</v>
      </c>
      <c r="DD488" s="847">
        <v>126961</v>
      </c>
      <c r="DE488" s="847">
        <v>128534</v>
      </c>
      <c r="DF488" s="847">
        <v>130102</v>
      </c>
      <c r="DG488" s="847">
        <v>131667</v>
      </c>
      <c r="DH488" s="847">
        <v>133227</v>
      </c>
      <c r="DI488" s="847">
        <v>134782</v>
      </c>
      <c r="DJ488" s="847">
        <v>136334</v>
      </c>
      <c r="DK488" s="847">
        <v>137882</v>
      </c>
      <c r="DL488" s="847">
        <v>139429</v>
      </c>
      <c r="DM488" s="847">
        <v>140984</v>
      </c>
      <c r="DN488" s="847">
        <v>142579</v>
      </c>
      <c r="DO488" s="847">
        <v>144364</v>
      </c>
      <c r="DP488" s="847">
        <v>145800</v>
      </c>
      <c r="DQ488" s="847">
        <v>0</v>
      </c>
      <c r="DR488" s="847">
        <v>0</v>
      </c>
      <c r="DS488" s="847">
        <v>0</v>
      </c>
      <c r="DT488" s="847">
        <v>0</v>
      </c>
      <c r="DU488" s="847">
        <v>0</v>
      </c>
      <c r="DV488" s="847">
        <v>0</v>
      </c>
      <c r="DW488" s="847">
        <v>0</v>
      </c>
      <c r="DX488" s="847">
        <v>0</v>
      </c>
    </row>
    <row r="489" spans="12:128" hidden="1">
      <c r="L489" s="846" t="s">
        <v>1060</v>
      </c>
      <c r="M489" s="846" t="s">
        <v>1382</v>
      </c>
      <c r="N489" s="846" t="s">
        <v>96</v>
      </c>
      <c r="O489" s="847">
        <v>9</v>
      </c>
      <c r="P489" s="780" t="str">
        <f t="shared" si="18"/>
        <v>IWT060109</v>
      </c>
      <c r="Q489" s="847">
        <v>24676</v>
      </c>
      <c r="R489" s="847">
        <v>25173</v>
      </c>
      <c r="S489" s="847">
        <v>25679</v>
      </c>
      <c r="T489" s="847">
        <v>26196</v>
      </c>
      <c r="U489" s="847">
        <v>26724</v>
      </c>
      <c r="V489" s="847">
        <v>27264</v>
      </c>
      <c r="W489" s="847">
        <v>27817</v>
      </c>
      <c r="X489" s="847">
        <v>28383</v>
      </c>
      <c r="Y489" s="847">
        <v>28950</v>
      </c>
      <c r="Z489" s="847">
        <v>29529</v>
      </c>
      <c r="AA489" s="847">
        <v>30119</v>
      </c>
      <c r="AB489" s="847">
        <v>30722</v>
      </c>
      <c r="AC489" s="847">
        <v>31336</v>
      </c>
      <c r="AD489" s="847">
        <v>31963</v>
      </c>
      <c r="AE489" s="847">
        <v>32602</v>
      </c>
      <c r="AF489" s="847">
        <v>33254</v>
      </c>
      <c r="AG489" s="847">
        <v>33919</v>
      </c>
      <c r="AH489" s="847">
        <v>34598</v>
      </c>
      <c r="AI489" s="847">
        <v>35290</v>
      </c>
      <c r="AJ489" s="847">
        <v>35995</v>
      </c>
      <c r="AK489" s="847">
        <v>36715</v>
      </c>
      <c r="AL489" s="847">
        <v>37450</v>
      </c>
      <c r="AM489" s="847">
        <v>38199</v>
      </c>
      <c r="AN489" s="847">
        <v>38963</v>
      </c>
      <c r="AO489" s="847">
        <v>39742</v>
      </c>
      <c r="AP489" s="847">
        <v>40537</v>
      </c>
      <c r="AQ489" s="847">
        <v>41347</v>
      </c>
      <c r="AR489" s="847">
        <v>42174</v>
      </c>
      <c r="AS489" s="847">
        <v>43018</v>
      </c>
      <c r="AT489" s="847">
        <v>43878</v>
      </c>
      <c r="AU489" s="847">
        <v>44756</v>
      </c>
      <c r="AV489" s="847">
        <v>45651</v>
      </c>
      <c r="AW489" s="847">
        <v>46563</v>
      </c>
      <c r="AX489" s="847">
        <v>47493</v>
      </c>
      <c r="AY489" s="847">
        <v>48439</v>
      </c>
      <c r="AZ489" s="847">
        <v>49403</v>
      </c>
      <c r="BA489" s="847">
        <v>50384</v>
      </c>
      <c r="BB489" s="847">
        <v>51383</v>
      </c>
      <c r="BC489" s="847">
        <v>52400</v>
      </c>
      <c r="BD489" s="847">
        <v>53435</v>
      </c>
      <c r="BE489" s="847">
        <v>54487</v>
      </c>
      <c r="BF489" s="847">
        <v>55558</v>
      </c>
      <c r="BG489" s="847">
        <v>56647</v>
      </c>
      <c r="BH489" s="847">
        <v>57754</v>
      </c>
      <c r="BI489" s="847">
        <v>58879</v>
      </c>
      <c r="BJ489" s="847">
        <v>60024</v>
      </c>
      <c r="BK489" s="847">
        <v>61187</v>
      </c>
      <c r="BL489" s="847">
        <v>62370</v>
      </c>
      <c r="BM489" s="847">
        <v>63572</v>
      </c>
      <c r="BN489" s="847">
        <v>64793</v>
      </c>
      <c r="BO489" s="847">
        <v>66032</v>
      </c>
      <c r="BP489" s="847">
        <v>67288</v>
      </c>
      <c r="BQ489" s="847">
        <v>68561</v>
      </c>
      <c r="BR489" s="847">
        <v>69854</v>
      </c>
      <c r="BS489" s="847">
        <v>71166</v>
      </c>
      <c r="BT489" s="847">
        <v>72495</v>
      </c>
      <c r="BU489" s="847">
        <v>73840</v>
      </c>
      <c r="BV489" s="847">
        <v>75202</v>
      </c>
      <c r="BW489" s="847">
        <v>76580</v>
      </c>
      <c r="BX489" s="847">
        <v>77974</v>
      </c>
      <c r="BY489" s="847">
        <v>79383</v>
      </c>
      <c r="BZ489" s="847">
        <v>80806</v>
      </c>
      <c r="CA489" s="847">
        <v>82242</v>
      </c>
      <c r="CB489" s="847">
        <v>83691</v>
      </c>
      <c r="CC489" s="847">
        <v>85152</v>
      </c>
      <c r="CD489" s="847">
        <v>86626</v>
      </c>
      <c r="CE489" s="847">
        <v>88111</v>
      </c>
      <c r="CF489" s="847">
        <v>89607</v>
      </c>
      <c r="CG489" s="847">
        <v>91114</v>
      </c>
      <c r="CH489" s="847">
        <v>92631</v>
      </c>
      <c r="CI489" s="847">
        <v>94158</v>
      </c>
      <c r="CJ489" s="847">
        <v>95693</v>
      </c>
      <c r="CK489" s="847">
        <v>97236</v>
      </c>
      <c r="CL489" s="847">
        <v>98786</v>
      </c>
      <c r="CM489" s="847">
        <v>100343</v>
      </c>
      <c r="CN489" s="847">
        <v>101906</v>
      </c>
      <c r="CO489" s="847">
        <v>103474</v>
      </c>
      <c r="CP489" s="847">
        <v>105048</v>
      </c>
      <c r="CQ489" s="847">
        <v>106628</v>
      </c>
      <c r="CR489" s="847">
        <v>108212</v>
      </c>
      <c r="CS489" s="847">
        <v>109801</v>
      </c>
      <c r="CT489" s="847">
        <v>111393</v>
      </c>
      <c r="CU489" s="847">
        <v>112984</v>
      </c>
      <c r="CV489" s="847">
        <v>114569</v>
      </c>
      <c r="CW489" s="847">
        <v>116154</v>
      </c>
      <c r="CX489" s="847">
        <v>117738</v>
      </c>
      <c r="CY489" s="847">
        <v>119320</v>
      </c>
      <c r="CZ489" s="847">
        <v>120900</v>
      </c>
      <c r="DA489" s="847">
        <v>122477</v>
      </c>
      <c r="DB489" s="847">
        <v>124052</v>
      </c>
      <c r="DC489" s="847">
        <v>125623</v>
      </c>
      <c r="DD489" s="847">
        <v>127191</v>
      </c>
      <c r="DE489" s="847">
        <v>128755</v>
      </c>
      <c r="DF489" s="847">
        <v>130315</v>
      </c>
      <c r="DG489" s="847">
        <v>131871</v>
      </c>
      <c r="DH489" s="847">
        <v>133422</v>
      </c>
      <c r="DI489" s="847">
        <v>134970</v>
      </c>
      <c r="DJ489" s="847">
        <v>136514</v>
      </c>
      <c r="DK489" s="847">
        <v>138058</v>
      </c>
      <c r="DL489" s="847">
        <v>139609</v>
      </c>
      <c r="DM489" s="847">
        <v>141200</v>
      </c>
      <c r="DN489" s="847">
        <v>142977</v>
      </c>
      <c r="DO489" s="847">
        <v>144400</v>
      </c>
      <c r="DP489" s="847">
        <v>0</v>
      </c>
      <c r="DQ489" s="847">
        <v>0</v>
      </c>
      <c r="DR489" s="847">
        <v>0</v>
      </c>
      <c r="DS489" s="847">
        <v>0</v>
      </c>
      <c r="DT489" s="847">
        <v>0</v>
      </c>
      <c r="DU489" s="847">
        <v>0</v>
      </c>
      <c r="DV489" s="847">
        <v>0</v>
      </c>
      <c r="DW489" s="847">
        <v>0</v>
      </c>
      <c r="DX489" s="847">
        <v>0</v>
      </c>
    </row>
    <row r="490" spans="12:128" hidden="1">
      <c r="L490" s="846" t="s">
        <v>1060</v>
      </c>
      <c r="M490" s="846" t="s">
        <v>1382</v>
      </c>
      <c r="N490" s="846" t="s">
        <v>96</v>
      </c>
      <c r="O490" s="847">
        <v>10</v>
      </c>
      <c r="P490" s="780" t="str">
        <f t="shared" si="18"/>
        <v>IWT060110</v>
      </c>
      <c r="Q490" s="847">
        <v>24801</v>
      </c>
      <c r="R490" s="847">
        <v>25301</v>
      </c>
      <c r="S490" s="847">
        <v>25810</v>
      </c>
      <c r="T490" s="847">
        <v>26330</v>
      </c>
      <c r="U490" s="847">
        <v>26862</v>
      </c>
      <c r="V490" s="847">
        <v>27406</v>
      </c>
      <c r="W490" s="847">
        <v>27964</v>
      </c>
      <c r="X490" s="847">
        <v>28523</v>
      </c>
      <c r="Y490" s="847">
        <v>29093</v>
      </c>
      <c r="Z490" s="847">
        <v>29674</v>
      </c>
      <c r="AA490" s="847">
        <v>30268</v>
      </c>
      <c r="AB490" s="847">
        <v>30873</v>
      </c>
      <c r="AC490" s="847">
        <v>31491</v>
      </c>
      <c r="AD490" s="847">
        <v>32120</v>
      </c>
      <c r="AE490" s="847">
        <v>32763</v>
      </c>
      <c r="AF490" s="847">
        <v>33418</v>
      </c>
      <c r="AG490" s="847">
        <v>34087</v>
      </c>
      <c r="AH490" s="847">
        <v>34768</v>
      </c>
      <c r="AI490" s="847">
        <v>35464</v>
      </c>
      <c r="AJ490" s="847">
        <v>36173</v>
      </c>
      <c r="AK490" s="847">
        <v>36896</v>
      </c>
      <c r="AL490" s="847">
        <v>37634</v>
      </c>
      <c r="AM490" s="847">
        <v>38387</v>
      </c>
      <c r="AN490" s="847">
        <v>39155</v>
      </c>
      <c r="AO490" s="847">
        <v>39938</v>
      </c>
      <c r="AP490" s="847">
        <v>40737</v>
      </c>
      <c r="AQ490" s="847">
        <v>41551</v>
      </c>
      <c r="AR490" s="847">
        <v>42382</v>
      </c>
      <c r="AS490" s="847">
        <v>43230</v>
      </c>
      <c r="AT490" s="847">
        <v>44095</v>
      </c>
      <c r="AU490" s="847">
        <v>44976</v>
      </c>
      <c r="AV490" s="847">
        <v>45876</v>
      </c>
      <c r="AW490" s="847">
        <v>46793</v>
      </c>
      <c r="AX490" s="847">
        <v>47728</v>
      </c>
      <c r="AY490" s="847">
        <v>48679</v>
      </c>
      <c r="AZ490" s="847">
        <v>49648</v>
      </c>
      <c r="BA490" s="847">
        <v>50635</v>
      </c>
      <c r="BB490" s="847">
        <v>51639</v>
      </c>
      <c r="BC490" s="847">
        <v>52661</v>
      </c>
      <c r="BD490" s="847">
        <v>53701</v>
      </c>
      <c r="BE490" s="847">
        <v>54759</v>
      </c>
      <c r="BF490" s="847">
        <v>55835</v>
      </c>
      <c r="BG490" s="847">
        <v>56929</v>
      </c>
      <c r="BH490" s="847">
        <v>58041</v>
      </c>
      <c r="BI490" s="847">
        <v>59173</v>
      </c>
      <c r="BJ490" s="847">
        <v>60323</v>
      </c>
      <c r="BK490" s="847">
        <v>61492</v>
      </c>
      <c r="BL490" s="847">
        <v>62680</v>
      </c>
      <c r="BM490" s="847">
        <v>63888</v>
      </c>
      <c r="BN490" s="847">
        <v>65113</v>
      </c>
      <c r="BO490" s="847">
        <v>66355</v>
      </c>
      <c r="BP490" s="847">
        <v>67615</v>
      </c>
      <c r="BQ490" s="847">
        <v>68895</v>
      </c>
      <c r="BR490" s="847">
        <v>70193</v>
      </c>
      <c r="BS490" s="847">
        <v>71508</v>
      </c>
      <c r="BT490" s="847">
        <v>72840</v>
      </c>
      <c r="BU490" s="847">
        <v>74188</v>
      </c>
      <c r="BV490" s="847">
        <v>75553</v>
      </c>
      <c r="BW490" s="847">
        <v>76934</v>
      </c>
      <c r="BX490" s="847">
        <v>78329</v>
      </c>
      <c r="BY490" s="847">
        <v>79739</v>
      </c>
      <c r="BZ490" s="847">
        <v>81163</v>
      </c>
      <c r="CA490" s="847">
        <v>82599</v>
      </c>
      <c r="CB490" s="847">
        <v>84048</v>
      </c>
      <c r="CC490" s="847">
        <v>85510</v>
      </c>
      <c r="CD490" s="847">
        <v>86983</v>
      </c>
      <c r="CE490" s="847">
        <v>88467</v>
      </c>
      <c r="CF490" s="847">
        <v>89962</v>
      </c>
      <c r="CG490" s="847">
        <v>91468</v>
      </c>
      <c r="CH490" s="847">
        <v>92984</v>
      </c>
      <c r="CI490" s="847">
        <v>94508</v>
      </c>
      <c r="CJ490" s="847">
        <v>96041</v>
      </c>
      <c r="CK490" s="847">
        <v>97581</v>
      </c>
      <c r="CL490" s="847">
        <v>99127</v>
      </c>
      <c r="CM490" s="847">
        <v>100680</v>
      </c>
      <c r="CN490" s="847">
        <v>102239</v>
      </c>
      <c r="CO490" s="847">
        <v>103804</v>
      </c>
      <c r="CP490" s="847">
        <v>105374</v>
      </c>
      <c r="CQ490" s="847">
        <v>106950</v>
      </c>
      <c r="CR490" s="847">
        <v>108530</v>
      </c>
      <c r="CS490" s="847">
        <v>110114</v>
      </c>
      <c r="CT490" s="847">
        <v>111697</v>
      </c>
      <c r="CU490" s="847">
        <v>113275</v>
      </c>
      <c r="CV490" s="847">
        <v>114852</v>
      </c>
      <c r="CW490" s="847">
        <v>116429</v>
      </c>
      <c r="CX490" s="847">
        <v>118005</v>
      </c>
      <c r="CY490" s="847">
        <v>119579</v>
      </c>
      <c r="CZ490" s="847">
        <v>121150</v>
      </c>
      <c r="DA490" s="847">
        <v>122719</v>
      </c>
      <c r="DB490" s="847">
        <v>124285</v>
      </c>
      <c r="DC490" s="847">
        <v>125848</v>
      </c>
      <c r="DD490" s="847">
        <v>127407</v>
      </c>
      <c r="DE490" s="847">
        <v>128963</v>
      </c>
      <c r="DF490" s="847">
        <v>130514</v>
      </c>
      <c r="DG490" s="847">
        <v>132062</v>
      </c>
      <c r="DH490" s="847">
        <v>133606</v>
      </c>
      <c r="DI490" s="847">
        <v>135146</v>
      </c>
      <c r="DJ490" s="847">
        <v>136687</v>
      </c>
      <c r="DK490" s="847">
        <v>138234</v>
      </c>
      <c r="DL490" s="847">
        <v>139821</v>
      </c>
      <c r="DM490" s="847">
        <v>141591</v>
      </c>
      <c r="DN490" s="847">
        <v>143000</v>
      </c>
      <c r="DO490" s="847">
        <v>0</v>
      </c>
      <c r="DP490" s="847">
        <v>0</v>
      </c>
      <c r="DQ490" s="847">
        <v>0</v>
      </c>
      <c r="DR490" s="847">
        <v>0</v>
      </c>
      <c r="DS490" s="847">
        <v>0</v>
      </c>
      <c r="DT490" s="847">
        <v>0</v>
      </c>
      <c r="DU490" s="847">
        <v>0</v>
      </c>
      <c r="DV490" s="847">
        <v>0</v>
      </c>
      <c r="DW490" s="847">
        <v>0</v>
      </c>
      <c r="DX490" s="847">
        <v>0</v>
      </c>
    </row>
    <row r="491" spans="12:128" hidden="1">
      <c r="L491" s="846" t="s">
        <v>1060</v>
      </c>
      <c r="M491" s="846" t="s">
        <v>1382</v>
      </c>
      <c r="N491" s="846" t="s">
        <v>96</v>
      </c>
      <c r="O491" s="847">
        <v>11</v>
      </c>
      <c r="P491" s="780" t="str">
        <f t="shared" si="18"/>
        <v>IWT060111</v>
      </c>
      <c r="Q491" s="847">
        <v>24924</v>
      </c>
      <c r="R491" s="847">
        <v>25426</v>
      </c>
      <c r="S491" s="847">
        <v>25938</v>
      </c>
      <c r="T491" s="847">
        <v>26462</v>
      </c>
      <c r="U491" s="847">
        <v>26998</v>
      </c>
      <c r="V491" s="847">
        <v>27548</v>
      </c>
      <c r="W491" s="847">
        <v>28098</v>
      </c>
      <c r="X491" s="847">
        <v>28659</v>
      </c>
      <c r="Y491" s="847">
        <v>29231</v>
      </c>
      <c r="Z491" s="847">
        <v>29816</v>
      </c>
      <c r="AA491" s="847">
        <v>30412</v>
      </c>
      <c r="AB491" s="847">
        <v>31020</v>
      </c>
      <c r="AC491" s="847">
        <v>31641</v>
      </c>
      <c r="AD491" s="847">
        <v>32273</v>
      </c>
      <c r="AE491" s="847">
        <v>32919</v>
      </c>
      <c r="AF491" s="847">
        <v>33577</v>
      </c>
      <c r="AG491" s="847">
        <v>34249</v>
      </c>
      <c r="AH491" s="847">
        <v>34934</v>
      </c>
      <c r="AI491" s="847">
        <v>35632</v>
      </c>
      <c r="AJ491" s="847">
        <v>36345</v>
      </c>
      <c r="AK491" s="847">
        <v>37072</v>
      </c>
      <c r="AL491" s="847">
        <v>37813</v>
      </c>
      <c r="AM491" s="847">
        <v>38570</v>
      </c>
      <c r="AN491" s="847">
        <v>39341</v>
      </c>
      <c r="AO491" s="847">
        <v>40128</v>
      </c>
      <c r="AP491" s="847">
        <v>40931</v>
      </c>
      <c r="AQ491" s="847">
        <v>41749</v>
      </c>
      <c r="AR491" s="847">
        <v>42584</v>
      </c>
      <c r="AS491" s="847">
        <v>43436</v>
      </c>
      <c r="AT491" s="847">
        <v>44304</v>
      </c>
      <c r="AU491" s="847">
        <v>45191</v>
      </c>
      <c r="AV491" s="847">
        <v>46094</v>
      </c>
      <c r="AW491" s="847">
        <v>47016</v>
      </c>
      <c r="AX491" s="847">
        <v>47956</v>
      </c>
      <c r="AY491" s="847">
        <v>48912</v>
      </c>
      <c r="AZ491" s="847">
        <v>49886</v>
      </c>
      <c r="BA491" s="847">
        <v>50878</v>
      </c>
      <c r="BB491" s="847">
        <v>51887</v>
      </c>
      <c r="BC491" s="847">
        <v>52914</v>
      </c>
      <c r="BD491" s="847">
        <v>53959</v>
      </c>
      <c r="BE491" s="847">
        <v>55022</v>
      </c>
      <c r="BF491" s="847">
        <v>56104</v>
      </c>
      <c r="BG491" s="847">
        <v>57203</v>
      </c>
      <c r="BH491" s="847">
        <v>58321</v>
      </c>
      <c r="BI491" s="847">
        <v>59458</v>
      </c>
      <c r="BJ491" s="847">
        <v>60614</v>
      </c>
      <c r="BK491" s="847">
        <v>61789</v>
      </c>
      <c r="BL491" s="847">
        <v>62982</v>
      </c>
      <c r="BM491" s="847">
        <v>64194</v>
      </c>
      <c r="BN491" s="847">
        <v>65423</v>
      </c>
      <c r="BO491" s="847">
        <v>66670</v>
      </c>
      <c r="BP491" s="847">
        <v>67935</v>
      </c>
      <c r="BQ491" s="847">
        <v>69219</v>
      </c>
      <c r="BR491" s="847">
        <v>70521</v>
      </c>
      <c r="BS491" s="847">
        <v>71840</v>
      </c>
      <c r="BT491" s="847">
        <v>73175</v>
      </c>
      <c r="BU491" s="847">
        <v>74526</v>
      </c>
      <c r="BV491" s="847">
        <v>75893</v>
      </c>
      <c r="BW491" s="847">
        <v>77276</v>
      </c>
      <c r="BX491" s="847">
        <v>78673</v>
      </c>
      <c r="BY491" s="847">
        <v>80083</v>
      </c>
      <c r="BZ491" s="847">
        <v>81507</v>
      </c>
      <c r="CA491" s="847">
        <v>82944</v>
      </c>
      <c r="CB491" s="847">
        <v>84393</v>
      </c>
      <c r="CC491" s="847">
        <v>85854</v>
      </c>
      <c r="CD491" s="847">
        <v>87327</v>
      </c>
      <c r="CE491" s="847">
        <v>88811</v>
      </c>
      <c r="CF491" s="847">
        <v>90305</v>
      </c>
      <c r="CG491" s="847">
        <v>91810</v>
      </c>
      <c r="CH491" s="847">
        <v>93323</v>
      </c>
      <c r="CI491" s="847">
        <v>94845</v>
      </c>
      <c r="CJ491" s="847">
        <v>96375</v>
      </c>
      <c r="CK491" s="847">
        <v>97911</v>
      </c>
      <c r="CL491" s="847">
        <v>99454</v>
      </c>
      <c r="CM491" s="847">
        <v>101004</v>
      </c>
      <c r="CN491" s="847">
        <v>102559</v>
      </c>
      <c r="CO491" s="847">
        <v>104121</v>
      </c>
      <c r="CP491" s="847">
        <v>105688</v>
      </c>
      <c r="CQ491" s="847">
        <v>107260</v>
      </c>
      <c r="CR491" s="847">
        <v>108835</v>
      </c>
      <c r="CS491" s="847">
        <v>110410</v>
      </c>
      <c r="CT491" s="847">
        <v>111980</v>
      </c>
      <c r="CU491" s="847">
        <v>113551</v>
      </c>
      <c r="CV491" s="847">
        <v>115121</v>
      </c>
      <c r="CW491" s="847">
        <v>116690</v>
      </c>
      <c r="CX491" s="847">
        <v>118258</v>
      </c>
      <c r="CY491" s="847">
        <v>119823</v>
      </c>
      <c r="CZ491" s="847">
        <v>121387</v>
      </c>
      <c r="DA491" s="847">
        <v>122948</v>
      </c>
      <c r="DB491" s="847">
        <v>124505</v>
      </c>
      <c r="DC491" s="847">
        <v>126060</v>
      </c>
      <c r="DD491" s="847">
        <v>127611</v>
      </c>
      <c r="DE491" s="847">
        <v>129158</v>
      </c>
      <c r="DF491" s="847">
        <v>130701</v>
      </c>
      <c r="DG491" s="847">
        <v>132241</v>
      </c>
      <c r="DH491" s="847">
        <v>133779</v>
      </c>
      <c r="DI491" s="847">
        <v>135315</v>
      </c>
      <c r="DJ491" s="847">
        <v>136860</v>
      </c>
      <c r="DK491" s="847">
        <v>138442</v>
      </c>
      <c r="DL491" s="847">
        <v>140205</v>
      </c>
      <c r="DM491" s="847">
        <v>141600</v>
      </c>
      <c r="DN491" s="847">
        <v>0</v>
      </c>
      <c r="DO491" s="847">
        <v>0</v>
      </c>
      <c r="DP491" s="847">
        <v>0</v>
      </c>
      <c r="DQ491" s="847">
        <v>0</v>
      </c>
      <c r="DR491" s="847">
        <v>0</v>
      </c>
      <c r="DS491" s="847">
        <v>0</v>
      </c>
      <c r="DT491" s="847">
        <v>0</v>
      </c>
      <c r="DU491" s="847">
        <v>0</v>
      </c>
      <c r="DV491" s="847">
        <v>0</v>
      </c>
      <c r="DW491" s="847">
        <v>0</v>
      </c>
      <c r="DX491" s="847">
        <v>0</v>
      </c>
    </row>
    <row r="492" spans="12:128" hidden="1">
      <c r="L492" s="846" t="s">
        <v>1060</v>
      </c>
      <c r="M492" s="846" t="s">
        <v>1382</v>
      </c>
      <c r="N492" s="846" t="s">
        <v>96</v>
      </c>
      <c r="O492" s="847">
        <v>12</v>
      </c>
      <c r="P492" s="780" t="str">
        <f t="shared" si="18"/>
        <v>IWT060112</v>
      </c>
      <c r="Q492" s="847">
        <v>25042</v>
      </c>
      <c r="R492" s="847">
        <v>25546</v>
      </c>
      <c r="S492" s="847">
        <v>26062</v>
      </c>
      <c r="T492" s="847">
        <v>26590</v>
      </c>
      <c r="U492" s="847">
        <v>27132</v>
      </c>
      <c r="V492" s="847">
        <v>27674</v>
      </c>
      <c r="W492" s="847">
        <v>28227</v>
      </c>
      <c r="X492" s="847">
        <v>28790</v>
      </c>
      <c r="Y492" s="847">
        <v>29365</v>
      </c>
      <c r="Z492" s="847">
        <v>29953</v>
      </c>
      <c r="AA492" s="847">
        <v>30552</v>
      </c>
      <c r="AB492" s="847">
        <v>31163</v>
      </c>
      <c r="AC492" s="847">
        <v>31786</v>
      </c>
      <c r="AD492" s="847">
        <v>32422</v>
      </c>
      <c r="AE492" s="847">
        <v>33070</v>
      </c>
      <c r="AF492" s="847">
        <v>33731</v>
      </c>
      <c r="AG492" s="847">
        <v>34406</v>
      </c>
      <c r="AH492" s="847">
        <v>35094</v>
      </c>
      <c r="AI492" s="847">
        <v>35796</v>
      </c>
      <c r="AJ492" s="847">
        <v>36512</v>
      </c>
      <c r="AK492" s="847">
        <v>37242</v>
      </c>
      <c r="AL492" s="847">
        <v>37987</v>
      </c>
      <c r="AM492" s="847">
        <v>38747</v>
      </c>
      <c r="AN492" s="847">
        <v>39522</v>
      </c>
      <c r="AO492" s="847">
        <v>40312</v>
      </c>
      <c r="AP492" s="847">
        <v>41118</v>
      </c>
      <c r="AQ492" s="847">
        <v>41941</v>
      </c>
      <c r="AR492" s="847">
        <v>42780</v>
      </c>
      <c r="AS492" s="847">
        <v>43635</v>
      </c>
      <c r="AT492" s="847">
        <v>44508</v>
      </c>
      <c r="AU492" s="847">
        <v>45398</v>
      </c>
      <c r="AV492" s="847">
        <v>46306</v>
      </c>
      <c r="AW492" s="847">
        <v>47232</v>
      </c>
      <c r="AX492" s="847">
        <v>48176</v>
      </c>
      <c r="AY492" s="847">
        <v>49138</v>
      </c>
      <c r="AZ492" s="847">
        <v>50117</v>
      </c>
      <c r="BA492" s="847">
        <v>51114</v>
      </c>
      <c r="BB492" s="847">
        <v>52128</v>
      </c>
      <c r="BC492" s="847">
        <v>53160</v>
      </c>
      <c r="BD492" s="847">
        <v>54210</v>
      </c>
      <c r="BE492" s="847">
        <v>55279</v>
      </c>
      <c r="BF492" s="847">
        <v>56365</v>
      </c>
      <c r="BG492" s="847">
        <v>57470</v>
      </c>
      <c r="BH492" s="847">
        <v>58594</v>
      </c>
      <c r="BI492" s="847">
        <v>59736</v>
      </c>
      <c r="BJ492" s="847">
        <v>60897</v>
      </c>
      <c r="BK492" s="847">
        <v>62077</v>
      </c>
      <c r="BL492" s="847">
        <v>63275</v>
      </c>
      <c r="BM492" s="847">
        <v>64490</v>
      </c>
      <c r="BN492" s="847">
        <v>65724</v>
      </c>
      <c r="BO492" s="847">
        <v>66976</v>
      </c>
      <c r="BP492" s="847">
        <v>68246</v>
      </c>
      <c r="BQ492" s="847">
        <v>69534</v>
      </c>
      <c r="BR492" s="847">
        <v>70839</v>
      </c>
      <c r="BS492" s="847">
        <v>72161</v>
      </c>
      <c r="BT492" s="847">
        <v>73499</v>
      </c>
      <c r="BU492" s="847">
        <v>74853</v>
      </c>
      <c r="BV492" s="847">
        <v>76222</v>
      </c>
      <c r="BW492" s="847">
        <v>77606</v>
      </c>
      <c r="BX492" s="847">
        <v>79004</v>
      </c>
      <c r="BY492" s="847">
        <v>80416</v>
      </c>
      <c r="BZ492" s="847">
        <v>81840</v>
      </c>
      <c r="CA492" s="847">
        <v>83277</v>
      </c>
      <c r="CB492" s="847">
        <v>84726</v>
      </c>
      <c r="CC492" s="847">
        <v>86187</v>
      </c>
      <c r="CD492" s="847">
        <v>87659</v>
      </c>
      <c r="CE492" s="847">
        <v>89142</v>
      </c>
      <c r="CF492" s="847">
        <v>90636</v>
      </c>
      <c r="CG492" s="847">
        <v>92138</v>
      </c>
      <c r="CH492" s="847">
        <v>93650</v>
      </c>
      <c r="CI492" s="847">
        <v>95169</v>
      </c>
      <c r="CJ492" s="847">
        <v>96696</v>
      </c>
      <c r="CK492" s="847">
        <v>98229</v>
      </c>
      <c r="CL492" s="847">
        <v>99769</v>
      </c>
      <c r="CM492" s="847">
        <v>101315</v>
      </c>
      <c r="CN492" s="847">
        <v>102867</v>
      </c>
      <c r="CO492" s="847">
        <v>104426</v>
      </c>
      <c r="CP492" s="847">
        <v>105989</v>
      </c>
      <c r="CQ492" s="847">
        <v>107556</v>
      </c>
      <c r="CR492" s="847">
        <v>109123</v>
      </c>
      <c r="CS492" s="847">
        <v>110686</v>
      </c>
      <c r="CT492" s="847">
        <v>112249</v>
      </c>
      <c r="CU492" s="847">
        <v>113813</v>
      </c>
      <c r="CV492" s="847">
        <v>115375</v>
      </c>
      <c r="CW492" s="847">
        <v>116937</v>
      </c>
      <c r="CX492" s="847">
        <v>118497</v>
      </c>
      <c r="CY492" s="847">
        <v>120054</v>
      </c>
      <c r="CZ492" s="847">
        <v>121610</v>
      </c>
      <c r="DA492" s="847">
        <v>123162</v>
      </c>
      <c r="DB492" s="847">
        <v>124712</v>
      </c>
      <c r="DC492" s="847">
        <v>126259</v>
      </c>
      <c r="DD492" s="847">
        <v>127802</v>
      </c>
      <c r="DE492" s="847">
        <v>129341</v>
      </c>
      <c r="DF492" s="847">
        <v>130877</v>
      </c>
      <c r="DG492" s="847">
        <v>132411</v>
      </c>
      <c r="DH492" s="847">
        <v>133944</v>
      </c>
      <c r="DI492" s="847">
        <v>135485</v>
      </c>
      <c r="DJ492" s="847">
        <v>137064</v>
      </c>
      <c r="DK492" s="847">
        <v>138819</v>
      </c>
      <c r="DL492" s="847">
        <v>140200</v>
      </c>
      <c r="DM492" s="847">
        <v>0</v>
      </c>
      <c r="DN492" s="847">
        <v>0</v>
      </c>
      <c r="DO492" s="847">
        <v>0</v>
      </c>
      <c r="DP492" s="847">
        <v>0</v>
      </c>
      <c r="DQ492" s="847">
        <v>0</v>
      </c>
      <c r="DR492" s="847">
        <v>0</v>
      </c>
      <c r="DS492" s="847">
        <v>0</v>
      </c>
      <c r="DT492" s="847">
        <v>0</v>
      </c>
      <c r="DU492" s="847">
        <v>0</v>
      </c>
      <c r="DV492" s="847">
        <v>0</v>
      </c>
      <c r="DW492" s="847">
        <v>0</v>
      </c>
      <c r="DX492" s="847">
        <v>0</v>
      </c>
    </row>
    <row r="493" spans="12:128" hidden="1">
      <c r="L493" s="846" t="s">
        <v>1060</v>
      </c>
      <c r="M493" s="846" t="s">
        <v>1382</v>
      </c>
      <c r="N493" s="846" t="s">
        <v>96</v>
      </c>
      <c r="O493" s="847">
        <v>13</v>
      </c>
      <c r="P493" s="780" t="str">
        <f t="shared" si="18"/>
        <v>IWT060113</v>
      </c>
      <c r="Q493" s="847">
        <v>25156</v>
      </c>
      <c r="R493" s="847">
        <v>25664</v>
      </c>
      <c r="S493" s="847">
        <v>26184</v>
      </c>
      <c r="T493" s="847">
        <v>26717</v>
      </c>
      <c r="U493" s="847">
        <v>27252</v>
      </c>
      <c r="V493" s="847">
        <v>27797</v>
      </c>
      <c r="W493" s="847">
        <v>28351</v>
      </c>
      <c r="X493" s="847">
        <v>28917</v>
      </c>
      <c r="Y493" s="847">
        <v>29495</v>
      </c>
      <c r="Z493" s="847">
        <v>30085</v>
      </c>
      <c r="AA493" s="847">
        <v>30687</v>
      </c>
      <c r="AB493" s="847">
        <v>31300</v>
      </c>
      <c r="AC493" s="847">
        <v>31926</v>
      </c>
      <c r="AD493" s="847">
        <v>32565</v>
      </c>
      <c r="AE493" s="847">
        <v>33216</v>
      </c>
      <c r="AF493" s="847">
        <v>33880</v>
      </c>
      <c r="AG493" s="847">
        <v>34558</v>
      </c>
      <c r="AH493" s="847">
        <v>35249</v>
      </c>
      <c r="AI493" s="847">
        <v>35954</v>
      </c>
      <c r="AJ493" s="847">
        <v>36673</v>
      </c>
      <c r="AK493" s="847">
        <v>37407</v>
      </c>
      <c r="AL493" s="847">
        <v>38155</v>
      </c>
      <c r="AM493" s="847">
        <v>38918</v>
      </c>
      <c r="AN493" s="847">
        <v>39696</v>
      </c>
      <c r="AO493" s="847">
        <v>40490</v>
      </c>
      <c r="AP493" s="847">
        <v>41300</v>
      </c>
      <c r="AQ493" s="847">
        <v>42126</v>
      </c>
      <c r="AR493" s="847">
        <v>42969</v>
      </c>
      <c r="AS493" s="847">
        <v>43828</v>
      </c>
      <c r="AT493" s="847">
        <v>44704</v>
      </c>
      <c r="AU493" s="847">
        <v>45599</v>
      </c>
      <c r="AV493" s="847">
        <v>46511</v>
      </c>
      <c r="AW493" s="847">
        <v>47441</v>
      </c>
      <c r="AX493" s="847">
        <v>48390</v>
      </c>
      <c r="AY493" s="847">
        <v>49356</v>
      </c>
      <c r="AZ493" s="847">
        <v>50340</v>
      </c>
      <c r="BA493" s="847">
        <v>51342</v>
      </c>
      <c r="BB493" s="847">
        <v>52361</v>
      </c>
      <c r="BC493" s="847">
        <v>53398</v>
      </c>
      <c r="BD493" s="847">
        <v>54454</v>
      </c>
      <c r="BE493" s="847">
        <v>55527</v>
      </c>
      <c r="BF493" s="847">
        <v>56619</v>
      </c>
      <c r="BG493" s="847">
        <v>57729</v>
      </c>
      <c r="BH493" s="847">
        <v>58858</v>
      </c>
      <c r="BI493" s="847">
        <v>60006</v>
      </c>
      <c r="BJ493" s="847">
        <v>61172</v>
      </c>
      <c r="BK493" s="847">
        <v>62356</v>
      </c>
      <c r="BL493" s="847">
        <v>63558</v>
      </c>
      <c r="BM493" s="847">
        <v>64778</v>
      </c>
      <c r="BN493" s="847">
        <v>66016</v>
      </c>
      <c r="BO493" s="847">
        <v>67273</v>
      </c>
      <c r="BP493" s="847">
        <v>68548</v>
      </c>
      <c r="BQ493" s="847">
        <v>69839</v>
      </c>
      <c r="BR493" s="847">
        <v>71147</v>
      </c>
      <c r="BS493" s="847">
        <v>72472</v>
      </c>
      <c r="BT493" s="847">
        <v>73813</v>
      </c>
      <c r="BU493" s="847">
        <v>75169</v>
      </c>
      <c r="BV493" s="847">
        <v>76540</v>
      </c>
      <c r="BW493" s="847">
        <v>77925</v>
      </c>
      <c r="BX493" s="847">
        <v>79324</v>
      </c>
      <c r="BY493" s="847">
        <v>80736</v>
      </c>
      <c r="BZ493" s="847">
        <v>82161</v>
      </c>
      <c r="CA493" s="847">
        <v>83598</v>
      </c>
      <c r="CB493" s="847">
        <v>85047</v>
      </c>
      <c r="CC493" s="847">
        <v>86507</v>
      </c>
      <c r="CD493" s="847">
        <v>87979</v>
      </c>
      <c r="CE493" s="847">
        <v>89461</v>
      </c>
      <c r="CF493" s="847">
        <v>90953</v>
      </c>
      <c r="CG493" s="847">
        <v>92454</v>
      </c>
      <c r="CH493" s="847">
        <v>93963</v>
      </c>
      <c r="CI493" s="847">
        <v>95480</v>
      </c>
      <c r="CJ493" s="847">
        <v>97003</v>
      </c>
      <c r="CK493" s="847">
        <v>98534</v>
      </c>
      <c r="CL493" s="847">
        <v>100071</v>
      </c>
      <c r="CM493" s="847">
        <v>101614</v>
      </c>
      <c r="CN493" s="847">
        <v>103163</v>
      </c>
      <c r="CO493" s="847">
        <v>104718</v>
      </c>
      <c r="CP493" s="847">
        <v>106277</v>
      </c>
      <c r="CQ493" s="847">
        <v>107836</v>
      </c>
      <c r="CR493" s="847">
        <v>109392</v>
      </c>
      <c r="CS493" s="847">
        <v>110948</v>
      </c>
      <c r="CT493" s="847">
        <v>112504</v>
      </c>
      <c r="CU493" s="847">
        <v>114061</v>
      </c>
      <c r="CV493" s="847">
        <v>115616</v>
      </c>
      <c r="CW493" s="847">
        <v>117170</v>
      </c>
      <c r="CX493" s="847">
        <v>118722</v>
      </c>
      <c r="CY493" s="847">
        <v>120272</v>
      </c>
      <c r="CZ493" s="847">
        <v>121820</v>
      </c>
      <c r="DA493" s="847">
        <v>123365</v>
      </c>
      <c r="DB493" s="847">
        <v>124906</v>
      </c>
      <c r="DC493" s="847">
        <v>126445</v>
      </c>
      <c r="DD493" s="847">
        <v>127981</v>
      </c>
      <c r="DE493" s="847">
        <v>129513</v>
      </c>
      <c r="DF493" s="847">
        <v>131043</v>
      </c>
      <c r="DG493" s="847">
        <v>132573</v>
      </c>
      <c r="DH493" s="847">
        <v>134111</v>
      </c>
      <c r="DI493" s="847">
        <v>135685</v>
      </c>
      <c r="DJ493" s="847">
        <v>137432</v>
      </c>
      <c r="DK493" s="847">
        <v>138800</v>
      </c>
      <c r="DL493" s="847">
        <v>0</v>
      </c>
      <c r="DM493" s="847">
        <v>0</v>
      </c>
      <c r="DN493" s="847">
        <v>0</v>
      </c>
      <c r="DO493" s="847">
        <v>0</v>
      </c>
      <c r="DP493" s="847">
        <v>0</v>
      </c>
      <c r="DQ493" s="847">
        <v>0</v>
      </c>
      <c r="DR493" s="847">
        <v>0</v>
      </c>
      <c r="DS493" s="847">
        <v>0</v>
      </c>
      <c r="DT493" s="847">
        <v>0</v>
      </c>
      <c r="DU493" s="847">
        <v>0</v>
      </c>
      <c r="DV493" s="847">
        <v>0</v>
      </c>
      <c r="DW493" s="847">
        <v>0</v>
      </c>
      <c r="DX493" s="847">
        <v>0</v>
      </c>
    </row>
    <row r="494" spans="12:128" hidden="1">
      <c r="L494" s="846" t="s">
        <v>1060</v>
      </c>
      <c r="M494" s="846" t="s">
        <v>1382</v>
      </c>
      <c r="N494" s="846" t="s">
        <v>96</v>
      </c>
      <c r="O494" s="847">
        <v>14</v>
      </c>
      <c r="P494" s="780" t="str">
        <f t="shared" si="18"/>
        <v>IWT060114</v>
      </c>
      <c r="Q494" s="847">
        <v>25268</v>
      </c>
      <c r="R494" s="847">
        <v>25780</v>
      </c>
      <c r="S494" s="847">
        <v>26305</v>
      </c>
      <c r="T494" s="847">
        <v>26831</v>
      </c>
      <c r="U494" s="847">
        <v>27367</v>
      </c>
      <c r="V494" s="847">
        <v>27915</v>
      </c>
      <c r="W494" s="847">
        <v>28472</v>
      </c>
      <c r="X494" s="847">
        <v>29040</v>
      </c>
      <c r="Y494" s="847">
        <v>29620</v>
      </c>
      <c r="Z494" s="847">
        <v>30213</v>
      </c>
      <c r="AA494" s="847">
        <v>30817</v>
      </c>
      <c r="AB494" s="847">
        <v>31433</v>
      </c>
      <c r="AC494" s="847">
        <v>32062</v>
      </c>
      <c r="AD494" s="847">
        <v>32703</v>
      </c>
      <c r="AE494" s="847">
        <v>33357</v>
      </c>
      <c r="AF494" s="847">
        <v>34024</v>
      </c>
      <c r="AG494" s="847">
        <v>34705</v>
      </c>
      <c r="AH494" s="847">
        <v>35399</v>
      </c>
      <c r="AI494" s="847">
        <v>36107</v>
      </c>
      <c r="AJ494" s="847">
        <v>36829</v>
      </c>
      <c r="AK494" s="847">
        <v>37566</v>
      </c>
      <c r="AL494" s="847">
        <v>38317</v>
      </c>
      <c r="AM494" s="847">
        <v>39083</v>
      </c>
      <c r="AN494" s="847">
        <v>39865</v>
      </c>
      <c r="AO494" s="847">
        <v>40662</v>
      </c>
      <c r="AP494" s="847">
        <v>41475</v>
      </c>
      <c r="AQ494" s="847">
        <v>42305</v>
      </c>
      <c r="AR494" s="847">
        <v>43151</v>
      </c>
      <c r="AS494" s="847">
        <v>44014</v>
      </c>
      <c r="AT494" s="847">
        <v>44894</v>
      </c>
      <c r="AU494" s="847">
        <v>45792</v>
      </c>
      <c r="AV494" s="847">
        <v>46708</v>
      </c>
      <c r="AW494" s="847">
        <v>47642</v>
      </c>
      <c r="AX494" s="847">
        <v>48595</v>
      </c>
      <c r="AY494" s="847">
        <v>49566</v>
      </c>
      <c r="AZ494" s="847">
        <v>50555</v>
      </c>
      <c r="BA494" s="847">
        <v>51562</v>
      </c>
      <c r="BB494" s="847">
        <v>52586</v>
      </c>
      <c r="BC494" s="847">
        <v>53629</v>
      </c>
      <c r="BD494" s="847">
        <v>54689</v>
      </c>
      <c r="BE494" s="847">
        <v>55767</v>
      </c>
      <c r="BF494" s="847">
        <v>56864</v>
      </c>
      <c r="BG494" s="847">
        <v>57980</v>
      </c>
      <c r="BH494" s="847">
        <v>59114</v>
      </c>
      <c r="BI494" s="847">
        <v>60267</v>
      </c>
      <c r="BJ494" s="847">
        <v>61437</v>
      </c>
      <c r="BK494" s="847">
        <v>62626</v>
      </c>
      <c r="BL494" s="847">
        <v>63832</v>
      </c>
      <c r="BM494" s="847">
        <v>65057</v>
      </c>
      <c r="BN494" s="847">
        <v>66300</v>
      </c>
      <c r="BO494" s="847">
        <v>67561</v>
      </c>
      <c r="BP494" s="847">
        <v>68839</v>
      </c>
      <c r="BQ494" s="847">
        <v>70134</v>
      </c>
      <c r="BR494" s="847">
        <v>71445</v>
      </c>
      <c r="BS494" s="847">
        <v>72772</v>
      </c>
      <c r="BT494" s="847">
        <v>74116</v>
      </c>
      <c r="BU494" s="847">
        <v>75474</v>
      </c>
      <c r="BV494" s="847">
        <v>76846</v>
      </c>
      <c r="BW494" s="847">
        <v>78232</v>
      </c>
      <c r="BX494" s="847">
        <v>79632</v>
      </c>
      <c r="BY494" s="847">
        <v>81044</v>
      </c>
      <c r="BZ494" s="847">
        <v>82470</v>
      </c>
      <c r="CA494" s="847">
        <v>83907</v>
      </c>
      <c r="CB494" s="847">
        <v>85356</v>
      </c>
      <c r="CC494" s="847">
        <v>86816</v>
      </c>
      <c r="CD494" s="847">
        <v>88287</v>
      </c>
      <c r="CE494" s="847">
        <v>89769</v>
      </c>
      <c r="CF494" s="847">
        <v>91259</v>
      </c>
      <c r="CG494" s="847">
        <v>92757</v>
      </c>
      <c r="CH494" s="847">
        <v>94264</v>
      </c>
      <c r="CI494" s="847">
        <v>95777</v>
      </c>
      <c r="CJ494" s="847">
        <v>97298</v>
      </c>
      <c r="CK494" s="847">
        <v>98826</v>
      </c>
      <c r="CL494" s="847">
        <v>100360</v>
      </c>
      <c r="CM494" s="847">
        <v>101901</v>
      </c>
      <c r="CN494" s="847">
        <v>103447</v>
      </c>
      <c r="CO494" s="847">
        <v>104998</v>
      </c>
      <c r="CP494" s="847">
        <v>106549</v>
      </c>
      <c r="CQ494" s="847">
        <v>108097</v>
      </c>
      <c r="CR494" s="847">
        <v>109646</v>
      </c>
      <c r="CS494" s="847">
        <v>111196</v>
      </c>
      <c r="CT494" s="847">
        <v>112746</v>
      </c>
      <c r="CU494" s="847">
        <v>114295</v>
      </c>
      <c r="CV494" s="847">
        <v>115843</v>
      </c>
      <c r="CW494" s="847">
        <v>117389</v>
      </c>
      <c r="CX494" s="847">
        <v>118934</v>
      </c>
      <c r="CY494" s="847">
        <v>120477</v>
      </c>
      <c r="CZ494" s="847">
        <v>122017</v>
      </c>
      <c r="DA494" s="847">
        <v>123554</v>
      </c>
      <c r="DB494" s="847">
        <v>125089</v>
      </c>
      <c r="DC494" s="847">
        <v>126620</v>
      </c>
      <c r="DD494" s="847">
        <v>128149</v>
      </c>
      <c r="DE494" s="847">
        <v>129676</v>
      </c>
      <c r="DF494" s="847">
        <v>131202</v>
      </c>
      <c r="DG494" s="847">
        <v>132736</v>
      </c>
      <c r="DH494" s="847">
        <v>134306</v>
      </c>
      <c r="DI494" s="847">
        <v>136046</v>
      </c>
      <c r="DJ494" s="847">
        <v>137400</v>
      </c>
      <c r="DK494" s="847">
        <v>0</v>
      </c>
      <c r="DL494" s="847">
        <v>0</v>
      </c>
      <c r="DM494" s="847">
        <v>0</v>
      </c>
      <c r="DN494" s="847">
        <v>0</v>
      </c>
      <c r="DO494" s="847">
        <v>0</v>
      </c>
      <c r="DP494" s="847">
        <v>0</v>
      </c>
      <c r="DQ494" s="847">
        <v>0</v>
      </c>
      <c r="DR494" s="847">
        <v>0</v>
      </c>
      <c r="DS494" s="847">
        <v>0</v>
      </c>
      <c r="DT494" s="847">
        <v>0</v>
      </c>
      <c r="DU494" s="847">
        <v>0</v>
      </c>
      <c r="DV494" s="847">
        <v>0</v>
      </c>
      <c r="DW494" s="847">
        <v>0</v>
      </c>
      <c r="DX494" s="847">
        <v>0</v>
      </c>
    </row>
    <row r="495" spans="12:128" hidden="1">
      <c r="L495" s="846" t="s">
        <v>1060</v>
      </c>
      <c r="M495" s="846" t="s">
        <v>1382</v>
      </c>
      <c r="N495" s="846" t="s">
        <v>96</v>
      </c>
      <c r="O495" s="847">
        <v>15</v>
      </c>
      <c r="P495" s="780" t="str">
        <f t="shared" si="18"/>
        <v>IWT060115</v>
      </c>
      <c r="Q495" s="847">
        <v>25378</v>
      </c>
      <c r="R495" s="847">
        <v>25894</v>
      </c>
      <c r="S495" s="847">
        <v>26412</v>
      </c>
      <c r="T495" s="847">
        <v>26940</v>
      </c>
      <c r="U495" s="847">
        <v>27479</v>
      </c>
      <c r="V495" s="847">
        <v>28029</v>
      </c>
      <c r="W495" s="847">
        <v>28588</v>
      </c>
      <c r="X495" s="847">
        <v>29159</v>
      </c>
      <c r="Y495" s="847">
        <v>29741</v>
      </c>
      <c r="Z495" s="847">
        <v>30336</v>
      </c>
      <c r="AA495" s="847">
        <v>30943</v>
      </c>
      <c r="AB495" s="847">
        <v>31561</v>
      </c>
      <c r="AC495" s="847">
        <v>32193</v>
      </c>
      <c r="AD495" s="847">
        <v>32836</v>
      </c>
      <c r="AE495" s="847">
        <v>33493</v>
      </c>
      <c r="AF495" s="847">
        <v>34163</v>
      </c>
      <c r="AG495" s="847">
        <v>34846</v>
      </c>
      <c r="AH495" s="847">
        <v>35543</v>
      </c>
      <c r="AI495" s="847">
        <v>36254</v>
      </c>
      <c r="AJ495" s="847">
        <v>36979</v>
      </c>
      <c r="AK495" s="847">
        <v>37719</v>
      </c>
      <c r="AL495" s="847">
        <v>38473</v>
      </c>
      <c r="AM495" s="847">
        <v>39243</v>
      </c>
      <c r="AN495" s="847">
        <v>40027</v>
      </c>
      <c r="AO495" s="847">
        <v>40828</v>
      </c>
      <c r="AP495" s="847">
        <v>41645</v>
      </c>
      <c r="AQ495" s="847">
        <v>42477</v>
      </c>
      <c r="AR495" s="847">
        <v>43327</v>
      </c>
      <c r="AS495" s="847">
        <v>44194</v>
      </c>
      <c r="AT495" s="847">
        <v>45077</v>
      </c>
      <c r="AU495" s="847">
        <v>45979</v>
      </c>
      <c r="AV495" s="847">
        <v>46898</v>
      </c>
      <c r="AW495" s="847">
        <v>47836</v>
      </c>
      <c r="AX495" s="847">
        <v>48793</v>
      </c>
      <c r="AY495" s="847">
        <v>49769</v>
      </c>
      <c r="AZ495" s="847">
        <v>50763</v>
      </c>
      <c r="BA495" s="847">
        <v>51774</v>
      </c>
      <c r="BB495" s="847">
        <v>52803</v>
      </c>
      <c r="BC495" s="847">
        <v>53851</v>
      </c>
      <c r="BD495" s="847">
        <v>54916</v>
      </c>
      <c r="BE495" s="847">
        <v>56000</v>
      </c>
      <c r="BF495" s="847">
        <v>57102</v>
      </c>
      <c r="BG495" s="847">
        <v>58222</v>
      </c>
      <c r="BH495" s="847">
        <v>59361</v>
      </c>
      <c r="BI495" s="847">
        <v>60519</v>
      </c>
      <c r="BJ495" s="847">
        <v>61693</v>
      </c>
      <c r="BK495" s="847">
        <v>62886</v>
      </c>
      <c r="BL495" s="847">
        <v>64097</v>
      </c>
      <c r="BM495" s="847">
        <v>65327</v>
      </c>
      <c r="BN495" s="847">
        <v>66574</v>
      </c>
      <c r="BO495" s="847">
        <v>67839</v>
      </c>
      <c r="BP495" s="847">
        <v>69120</v>
      </c>
      <c r="BQ495" s="847">
        <v>70418</v>
      </c>
      <c r="BR495" s="847">
        <v>71732</v>
      </c>
      <c r="BS495" s="847">
        <v>73062</v>
      </c>
      <c r="BT495" s="847">
        <v>74407</v>
      </c>
      <c r="BU495" s="847">
        <v>75767</v>
      </c>
      <c r="BV495" s="847">
        <v>77140</v>
      </c>
      <c r="BW495" s="847">
        <v>78528</v>
      </c>
      <c r="BX495" s="847">
        <v>79928</v>
      </c>
      <c r="BY495" s="847">
        <v>81341</v>
      </c>
      <c r="BZ495" s="847">
        <v>82767</v>
      </c>
      <c r="CA495" s="847">
        <v>84204</v>
      </c>
      <c r="CB495" s="847">
        <v>85653</v>
      </c>
      <c r="CC495" s="847">
        <v>87113</v>
      </c>
      <c r="CD495" s="847">
        <v>88584</v>
      </c>
      <c r="CE495" s="847">
        <v>90063</v>
      </c>
      <c r="CF495" s="847">
        <v>91552</v>
      </c>
      <c r="CG495" s="847">
        <v>93048</v>
      </c>
      <c r="CH495" s="847">
        <v>94552</v>
      </c>
      <c r="CI495" s="847">
        <v>96063</v>
      </c>
      <c r="CJ495" s="847">
        <v>97582</v>
      </c>
      <c r="CK495" s="847">
        <v>99107</v>
      </c>
      <c r="CL495" s="847">
        <v>100639</v>
      </c>
      <c r="CM495" s="847">
        <v>102176</v>
      </c>
      <c r="CN495" s="847">
        <v>103719</v>
      </c>
      <c r="CO495" s="847">
        <v>105262</v>
      </c>
      <c r="CP495" s="847">
        <v>106803</v>
      </c>
      <c r="CQ495" s="847">
        <v>108345</v>
      </c>
      <c r="CR495" s="847">
        <v>109888</v>
      </c>
      <c r="CS495" s="847">
        <v>111431</v>
      </c>
      <c r="CT495" s="847">
        <v>112974</v>
      </c>
      <c r="CU495" s="847">
        <v>114516</v>
      </c>
      <c r="CV495" s="847">
        <v>116057</v>
      </c>
      <c r="CW495" s="847">
        <v>117596</v>
      </c>
      <c r="CX495" s="847">
        <v>119134</v>
      </c>
      <c r="CY495" s="847">
        <v>120669</v>
      </c>
      <c r="CZ495" s="847">
        <v>122202</v>
      </c>
      <c r="DA495" s="847">
        <v>123733</v>
      </c>
      <c r="DB495" s="847">
        <v>125260</v>
      </c>
      <c r="DC495" s="847">
        <v>126785</v>
      </c>
      <c r="DD495" s="847">
        <v>128308</v>
      </c>
      <c r="DE495" s="847">
        <v>129831</v>
      </c>
      <c r="DF495" s="847">
        <v>131361</v>
      </c>
      <c r="DG495" s="847">
        <v>132928</v>
      </c>
      <c r="DH495" s="847">
        <v>134660</v>
      </c>
      <c r="DI495" s="847">
        <v>136000</v>
      </c>
      <c r="DJ495" s="847">
        <v>0</v>
      </c>
      <c r="DK495" s="847">
        <v>0</v>
      </c>
      <c r="DL495" s="847">
        <v>0</v>
      </c>
      <c r="DM495" s="847">
        <v>0</v>
      </c>
      <c r="DN495" s="847">
        <v>0</v>
      </c>
      <c r="DO495" s="847">
        <v>0</v>
      </c>
      <c r="DP495" s="847">
        <v>0</v>
      </c>
      <c r="DQ495" s="847">
        <v>0</v>
      </c>
      <c r="DR495" s="847">
        <v>0</v>
      </c>
      <c r="DS495" s="847">
        <v>0</v>
      </c>
      <c r="DT495" s="847">
        <v>0</v>
      </c>
      <c r="DU495" s="847">
        <v>0</v>
      </c>
      <c r="DV495" s="847">
        <v>0</v>
      </c>
      <c r="DW495" s="847">
        <v>0</v>
      </c>
      <c r="DX495" s="847">
        <v>0</v>
      </c>
    </row>
    <row r="496" spans="12:128" hidden="1">
      <c r="L496" s="846" t="s">
        <v>1060</v>
      </c>
      <c r="M496" s="846" t="s">
        <v>1382</v>
      </c>
      <c r="N496" s="846" t="s">
        <v>96</v>
      </c>
      <c r="O496" s="847">
        <v>16</v>
      </c>
      <c r="P496" s="780" t="str">
        <f t="shared" si="18"/>
        <v>IWT060116</v>
      </c>
      <c r="Q496" s="847">
        <v>25486</v>
      </c>
      <c r="R496" s="847">
        <v>25996</v>
      </c>
      <c r="S496" s="847">
        <v>26516</v>
      </c>
      <c r="T496" s="847">
        <v>27046</v>
      </c>
      <c r="U496" s="847">
        <v>27587</v>
      </c>
      <c r="V496" s="847">
        <v>28138</v>
      </c>
      <c r="W496" s="847">
        <v>28700</v>
      </c>
      <c r="X496" s="847">
        <v>29273</v>
      </c>
      <c r="Y496" s="847">
        <v>29858</v>
      </c>
      <c r="Z496" s="847">
        <v>30454</v>
      </c>
      <c r="AA496" s="847">
        <v>31064</v>
      </c>
      <c r="AB496" s="847">
        <v>31685</v>
      </c>
      <c r="AC496" s="847">
        <v>32319</v>
      </c>
      <c r="AD496" s="847">
        <v>32965</v>
      </c>
      <c r="AE496" s="847">
        <v>33624</v>
      </c>
      <c r="AF496" s="847">
        <v>34297</v>
      </c>
      <c r="AG496" s="847">
        <v>34983</v>
      </c>
      <c r="AH496" s="847">
        <v>35682</v>
      </c>
      <c r="AI496" s="847">
        <v>36396</v>
      </c>
      <c r="AJ496" s="847">
        <v>37124</v>
      </c>
      <c r="AK496" s="847">
        <v>37866</v>
      </c>
      <c r="AL496" s="847">
        <v>38624</v>
      </c>
      <c r="AM496" s="847">
        <v>39396</v>
      </c>
      <c r="AN496" s="847">
        <v>40184</v>
      </c>
      <c r="AO496" s="847">
        <v>40988</v>
      </c>
      <c r="AP496" s="847">
        <v>41807</v>
      </c>
      <c r="AQ496" s="847">
        <v>42644</v>
      </c>
      <c r="AR496" s="847">
        <v>43496</v>
      </c>
      <c r="AS496" s="847">
        <v>44366</v>
      </c>
      <c r="AT496" s="847">
        <v>45254</v>
      </c>
      <c r="AU496" s="847">
        <v>46159</v>
      </c>
      <c r="AV496" s="847">
        <v>47082</v>
      </c>
      <c r="AW496" s="847">
        <v>48023</v>
      </c>
      <c r="AX496" s="847">
        <v>48984</v>
      </c>
      <c r="AY496" s="847">
        <v>49964</v>
      </c>
      <c r="AZ496" s="847">
        <v>50962</v>
      </c>
      <c r="BA496" s="847">
        <v>51978</v>
      </c>
      <c r="BB496" s="847">
        <v>53013</v>
      </c>
      <c r="BC496" s="847">
        <v>54065</v>
      </c>
      <c r="BD496" s="847">
        <v>55135</v>
      </c>
      <c r="BE496" s="847">
        <v>56224</v>
      </c>
      <c r="BF496" s="847">
        <v>57331</v>
      </c>
      <c r="BG496" s="847">
        <v>58456</v>
      </c>
      <c r="BH496" s="847">
        <v>59600</v>
      </c>
      <c r="BI496" s="847">
        <v>60761</v>
      </c>
      <c r="BJ496" s="847">
        <v>61940</v>
      </c>
      <c r="BK496" s="847">
        <v>63138</v>
      </c>
      <c r="BL496" s="847">
        <v>64354</v>
      </c>
      <c r="BM496" s="847">
        <v>65587</v>
      </c>
      <c r="BN496" s="847">
        <v>66838</v>
      </c>
      <c r="BO496" s="847">
        <v>68106</v>
      </c>
      <c r="BP496" s="847">
        <v>69391</v>
      </c>
      <c r="BQ496" s="847">
        <v>70692</v>
      </c>
      <c r="BR496" s="847">
        <v>72009</v>
      </c>
      <c r="BS496" s="847">
        <v>73341</v>
      </c>
      <c r="BT496" s="847">
        <v>74688</v>
      </c>
      <c r="BU496" s="847">
        <v>76049</v>
      </c>
      <c r="BV496" s="847">
        <v>77423</v>
      </c>
      <c r="BW496" s="847">
        <v>78812</v>
      </c>
      <c r="BX496" s="847">
        <v>80213</v>
      </c>
      <c r="BY496" s="847">
        <v>81627</v>
      </c>
      <c r="BZ496" s="847">
        <v>83053</v>
      </c>
      <c r="CA496" s="847">
        <v>84490</v>
      </c>
      <c r="CB496" s="847">
        <v>85939</v>
      </c>
      <c r="CC496" s="847">
        <v>87399</v>
      </c>
      <c r="CD496" s="847">
        <v>88868</v>
      </c>
      <c r="CE496" s="847">
        <v>90346</v>
      </c>
      <c r="CF496" s="847">
        <v>91832</v>
      </c>
      <c r="CG496" s="847">
        <v>93326</v>
      </c>
      <c r="CH496" s="847">
        <v>94828</v>
      </c>
      <c r="CI496" s="847">
        <v>96337</v>
      </c>
      <c r="CJ496" s="847">
        <v>97853</v>
      </c>
      <c r="CK496" s="847">
        <v>99377</v>
      </c>
      <c r="CL496" s="847">
        <v>100906</v>
      </c>
      <c r="CM496" s="847">
        <v>102440</v>
      </c>
      <c r="CN496" s="847">
        <v>103975</v>
      </c>
      <c r="CO496" s="847">
        <v>105508</v>
      </c>
      <c r="CP496" s="847">
        <v>107043</v>
      </c>
      <c r="CQ496" s="847">
        <v>108580</v>
      </c>
      <c r="CR496" s="847">
        <v>110116</v>
      </c>
      <c r="CS496" s="847">
        <v>111653</v>
      </c>
      <c r="CT496" s="847">
        <v>113189</v>
      </c>
      <c r="CU496" s="847">
        <v>114724</v>
      </c>
      <c r="CV496" s="847">
        <v>116259</v>
      </c>
      <c r="CW496" s="847">
        <v>117791</v>
      </c>
      <c r="CX496" s="847">
        <v>119322</v>
      </c>
      <c r="CY496" s="847">
        <v>120850</v>
      </c>
      <c r="CZ496" s="847">
        <v>122376</v>
      </c>
      <c r="DA496" s="847">
        <v>123900</v>
      </c>
      <c r="DB496" s="847">
        <v>125421</v>
      </c>
      <c r="DC496" s="847">
        <v>126940</v>
      </c>
      <c r="DD496" s="847">
        <v>128460</v>
      </c>
      <c r="DE496" s="847">
        <v>129987</v>
      </c>
      <c r="DF496" s="847">
        <v>131549</v>
      </c>
      <c r="DG496" s="847">
        <v>133274</v>
      </c>
      <c r="DH496" s="847">
        <v>134600</v>
      </c>
      <c r="DI496" s="847">
        <v>0</v>
      </c>
      <c r="DJ496" s="847">
        <v>0</v>
      </c>
      <c r="DK496" s="847">
        <v>0</v>
      </c>
      <c r="DL496" s="847">
        <v>0</v>
      </c>
      <c r="DM496" s="847">
        <v>0</v>
      </c>
      <c r="DN496" s="847">
        <v>0</v>
      </c>
      <c r="DO496" s="847">
        <v>0</v>
      </c>
      <c r="DP496" s="847">
        <v>0</v>
      </c>
      <c r="DQ496" s="847">
        <v>0</v>
      </c>
      <c r="DR496" s="847">
        <v>0</v>
      </c>
      <c r="DS496" s="847">
        <v>0</v>
      </c>
      <c r="DT496" s="847">
        <v>0</v>
      </c>
      <c r="DU496" s="847">
        <v>0</v>
      </c>
      <c r="DV496" s="847">
        <v>0</v>
      </c>
      <c r="DW496" s="847">
        <v>0</v>
      </c>
      <c r="DX496" s="847">
        <v>0</v>
      </c>
    </row>
    <row r="497" spans="12:128" hidden="1">
      <c r="L497" s="846" t="s">
        <v>1060</v>
      </c>
      <c r="M497" s="846" t="s">
        <v>1382</v>
      </c>
      <c r="N497" s="846" t="s">
        <v>96</v>
      </c>
      <c r="O497" s="847">
        <v>17</v>
      </c>
      <c r="P497" s="780" t="str">
        <f t="shared" si="18"/>
        <v>IWT060117</v>
      </c>
      <c r="Q497" s="847">
        <v>25581</v>
      </c>
      <c r="R497" s="847">
        <v>26093</v>
      </c>
      <c r="S497" s="847">
        <v>26615</v>
      </c>
      <c r="T497" s="847">
        <v>27147</v>
      </c>
      <c r="U497" s="847">
        <v>27690</v>
      </c>
      <c r="V497" s="847">
        <v>28244</v>
      </c>
      <c r="W497" s="847">
        <v>28807</v>
      </c>
      <c r="X497" s="847">
        <v>29382</v>
      </c>
      <c r="Y497" s="847">
        <v>29969</v>
      </c>
      <c r="Z497" s="847">
        <v>30568</v>
      </c>
      <c r="AA497" s="847">
        <v>31180</v>
      </c>
      <c r="AB497" s="847">
        <v>31803</v>
      </c>
      <c r="AC497" s="847">
        <v>32439</v>
      </c>
      <c r="AD497" s="847">
        <v>33088</v>
      </c>
      <c r="AE497" s="847">
        <v>33750</v>
      </c>
      <c r="AF497" s="847">
        <v>34425</v>
      </c>
      <c r="AG497" s="847">
        <v>35113</v>
      </c>
      <c r="AH497" s="847">
        <v>35816</v>
      </c>
      <c r="AI497" s="847">
        <v>36532</v>
      </c>
      <c r="AJ497" s="847">
        <v>37263</v>
      </c>
      <c r="AK497" s="847">
        <v>38008</v>
      </c>
      <c r="AL497" s="847">
        <v>38768</v>
      </c>
      <c r="AM497" s="847">
        <v>39543</v>
      </c>
      <c r="AN497" s="847">
        <v>40334</v>
      </c>
      <c r="AO497" s="847">
        <v>41141</v>
      </c>
      <c r="AP497" s="847">
        <v>41964</v>
      </c>
      <c r="AQ497" s="847">
        <v>42803</v>
      </c>
      <c r="AR497" s="847">
        <v>43659</v>
      </c>
      <c r="AS497" s="847">
        <v>44532</v>
      </c>
      <c r="AT497" s="847">
        <v>45423</v>
      </c>
      <c r="AU497" s="847">
        <v>46331</v>
      </c>
      <c r="AV497" s="847">
        <v>47258</v>
      </c>
      <c r="AW497" s="847">
        <v>48203</v>
      </c>
      <c r="AX497" s="847">
        <v>49167</v>
      </c>
      <c r="AY497" s="847">
        <v>50150</v>
      </c>
      <c r="AZ497" s="847">
        <v>51153</v>
      </c>
      <c r="BA497" s="847">
        <v>52174</v>
      </c>
      <c r="BB497" s="847">
        <v>53213</v>
      </c>
      <c r="BC497" s="847">
        <v>54270</v>
      </c>
      <c r="BD497" s="847">
        <v>55346</v>
      </c>
      <c r="BE497" s="847">
        <v>56439</v>
      </c>
      <c r="BF497" s="847">
        <v>57551</v>
      </c>
      <c r="BG497" s="847">
        <v>58681</v>
      </c>
      <c r="BH497" s="847">
        <v>59829</v>
      </c>
      <c r="BI497" s="847">
        <v>60994</v>
      </c>
      <c r="BJ497" s="847">
        <v>62178</v>
      </c>
      <c r="BK497" s="847">
        <v>63381</v>
      </c>
      <c r="BL497" s="847">
        <v>64601</v>
      </c>
      <c r="BM497" s="847">
        <v>65838</v>
      </c>
      <c r="BN497" s="847">
        <v>67092</v>
      </c>
      <c r="BO497" s="847">
        <v>68364</v>
      </c>
      <c r="BP497" s="847">
        <v>69651</v>
      </c>
      <c r="BQ497" s="847">
        <v>70955</v>
      </c>
      <c r="BR497" s="847">
        <v>72274</v>
      </c>
      <c r="BS497" s="847">
        <v>73608</v>
      </c>
      <c r="BT497" s="847">
        <v>74957</v>
      </c>
      <c r="BU497" s="847">
        <v>76319</v>
      </c>
      <c r="BV497" s="847">
        <v>77695</v>
      </c>
      <c r="BW497" s="847">
        <v>79085</v>
      </c>
      <c r="BX497" s="847">
        <v>80487</v>
      </c>
      <c r="BY497" s="847">
        <v>81901</v>
      </c>
      <c r="BZ497" s="847">
        <v>83328</v>
      </c>
      <c r="CA497" s="847">
        <v>84765</v>
      </c>
      <c r="CB497" s="847">
        <v>86214</v>
      </c>
      <c r="CC497" s="847">
        <v>87672</v>
      </c>
      <c r="CD497" s="847">
        <v>89140</v>
      </c>
      <c r="CE497" s="847">
        <v>90616</v>
      </c>
      <c r="CF497" s="847">
        <v>92101</v>
      </c>
      <c r="CG497" s="847">
        <v>93593</v>
      </c>
      <c r="CH497" s="847">
        <v>95093</v>
      </c>
      <c r="CI497" s="847">
        <v>96600</v>
      </c>
      <c r="CJ497" s="847">
        <v>98114</v>
      </c>
      <c r="CK497" s="847">
        <v>99635</v>
      </c>
      <c r="CL497" s="847">
        <v>101161</v>
      </c>
      <c r="CM497" s="847">
        <v>102688</v>
      </c>
      <c r="CN497" s="847">
        <v>104214</v>
      </c>
      <c r="CO497" s="847">
        <v>105742</v>
      </c>
      <c r="CP497" s="847">
        <v>107271</v>
      </c>
      <c r="CQ497" s="847">
        <v>108801</v>
      </c>
      <c r="CR497" s="847">
        <v>110332</v>
      </c>
      <c r="CS497" s="847">
        <v>111862</v>
      </c>
      <c r="CT497" s="847">
        <v>113392</v>
      </c>
      <c r="CU497" s="847">
        <v>114921</v>
      </c>
      <c r="CV497" s="847">
        <v>116448</v>
      </c>
      <c r="CW497" s="847">
        <v>117974</v>
      </c>
      <c r="CX497" s="847">
        <v>119498</v>
      </c>
      <c r="CY497" s="847">
        <v>121020</v>
      </c>
      <c r="CZ497" s="847">
        <v>122539</v>
      </c>
      <c r="DA497" s="847">
        <v>124057</v>
      </c>
      <c r="DB497" s="847">
        <v>125572</v>
      </c>
      <c r="DC497" s="847">
        <v>127089</v>
      </c>
      <c r="DD497" s="847">
        <v>128612</v>
      </c>
      <c r="DE497" s="847">
        <v>130170</v>
      </c>
      <c r="DF497" s="847">
        <v>131888</v>
      </c>
      <c r="DG497" s="847">
        <v>133200</v>
      </c>
      <c r="DH497" s="847">
        <v>0</v>
      </c>
      <c r="DI497" s="847">
        <v>0</v>
      </c>
      <c r="DJ497" s="847">
        <v>0</v>
      </c>
      <c r="DK497" s="847">
        <v>0</v>
      </c>
      <c r="DL497" s="847">
        <v>0</v>
      </c>
      <c r="DM497" s="847">
        <v>0</v>
      </c>
      <c r="DN497" s="847">
        <v>0</v>
      </c>
      <c r="DO497" s="847">
        <v>0</v>
      </c>
      <c r="DP497" s="847">
        <v>0</v>
      </c>
      <c r="DQ497" s="847">
        <v>0</v>
      </c>
      <c r="DR497" s="847">
        <v>0</v>
      </c>
      <c r="DS497" s="847">
        <v>0</v>
      </c>
      <c r="DT497" s="847">
        <v>0</v>
      </c>
      <c r="DU497" s="847">
        <v>0</v>
      </c>
      <c r="DV497" s="847">
        <v>0</v>
      </c>
      <c r="DW497" s="847">
        <v>0</v>
      </c>
      <c r="DX497" s="847">
        <v>0</v>
      </c>
    </row>
    <row r="498" spans="12:128" hidden="1">
      <c r="L498" s="846" t="s">
        <v>1060</v>
      </c>
      <c r="M498" s="846" t="s">
        <v>1382</v>
      </c>
      <c r="N498" s="846" t="s">
        <v>96</v>
      </c>
      <c r="O498" s="847">
        <v>18</v>
      </c>
      <c r="P498" s="780" t="str">
        <f t="shared" si="18"/>
        <v>IWT060118</v>
      </c>
      <c r="Q498" s="847">
        <v>25673</v>
      </c>
      <c r="R498" s="847">
        <v>26186</v>
      </c>
      <c r="S498" s="847">
        <v>26710</v>
      </c>
      <c r="T498" s="847">
        <v>27244</v>
      </c>
      <c r="U498" s="847">
        <v>27789</v>
      </c>
      <c r="V498" s="847">
        <v>28345</v>
      </c>
      <c r="W498" s="847">
        <v>28910</v>
      </c>
      <c r="X498" s="847">
        <v>29487</v>
      </c>
      <c r="Y498" s="847">
        <v>30076</v>
      </c>
      <c r="Z498" s="847">
        <v>30678</v>
      </c>
      <c r="AA498" s="847">
        <v>31291</v>
      </c>
      <c r="AB498" s="847">
        <v>31917</v>
      </c>
      <c r="AC498" s="847">
        <v>32555</v>
      </c>
      <c r="AD498" s="847">
        <v>33206</v>
      </c>
      <c r="AE498" s="847">
        <v>33871</v>
      </c>
      <c r="AF498" s="847">
        <v>34548</v>
      </c>
      <c r="AG498" s="847">
        <v>35239</v>
      </c>
      <c r="AH498" s="847">
        <v>35944</v>
      </c>
      <c r="AI498" s="847">
        <v>36663</v>
      </c>
      <c r="AJ498" s="847">
        <v>37396</v>
      </c>
      <c r="AK498" s="847">
        <v>38144</v>
      </c>
      <c r="AL498" s="847">
        <v>38907</v>
      </c>
      <c r="AM498" s="847">
        <v>39685</v>
      </c>
      <c r="AN498" s="847">
        <v>40478</v>
      </c>
      <c r="AO498" s="847">
        <v>41288</v>
      </c>
      <c r="AP498" s="847">
        <v>42114</v>
      </c>
      <c r="AQ498" s="847">
        <v>42956</v>
      </c>
      <c r="AR498" s="847">
        <v>43815</v>
      </c>
      <c r="AS498" s="847">
        <v>44691</v>
      </c>
      <c r="AT498" s="847">
        <v>45585</v>
      </c>
      <c r="AU498" s="847">
        <v>46497</v>
      </c>
      <c r="AV498" s="847">
        <v>47427</v>
      </c>
      <c r="AW498" s="847">
        <v>48375</v>
      </c>
      <c r="AX498" s="847">
        <v>49343</v>
      </c>
      <c r="AY498" s="847">
        <v>50330</v>
      </c>
      <c r="AZ498" s="847">
        <v>51336</v>
      </c>
      <c r="BA498" s="847">
        <v>52362</v>
      </c>
      <c r="BB498" s="847">
        <v>53406</v>
      </c>
      <c r="BC498" s="847">
        <v>54468</v>
      </c>
      <c r="BD498" s="847">
        <v>55548</v>
      </c>
      <c r="BE498" s="847">
        <v>56646</v>
      </c>
      <c r="BF498" s="847">
        <v>57762</v>
      </c>
      <c r="BG498" s="847">
        <v>58896</v>
      </c>
      <c r="BH498" s="847">
        <v>60048</v>
      </c>
      <c r="BI498" s="847">
        <v>61219</v>
      </c>
      <c r="BJ498" s="847">
        <v>62407</v>
      </c>
      <c r="BK498" s="847">
        <v>63614</v>
      </c>
      <c r="BL498" s="847">
        <v>64838</v>
      </c>
      <c r="BM498" s="847">
        <v>66079</v>
      </c>
      <c r="BN498" s="847">
        <v>67336</v>
      </c>
      <c r="BO498" s="847">
        <v>68611</v>
      </c>
      <c r="BP498" s="847">
        <v>69902</v>
      </c>
      <c r="BQ498" s="847">
        <v>71208</v>
      </c>
      <c r="BR498" s="847">
        <v>72529</v>
      </c>
      <c r="BS498" s="847">
        <v>73865</v>
      </c>
      <c r="BT498" s="847">
        <v>75215</v>
      </c>
      <c r="BU498" s="847">
        <v>76579</v>
      </c>
      <c r="BV498" s="847">
        <v>77956</v>
      </c>
      <c r="BW498" s="847">
        <v>79347</v>
      </c>
      <c r="BX498" s="847">
        <v>80750</v>
      </c>
      <c r="BY498" s="847">
        <v>82165</v>
      </c>
      <c r="BZ498" s="847">
        <v>83591</v>
      </c>
      <c r="CA498" s="847">
        <v>85029</v>
      </c>
      <c r="CB498" s="847">
        <v>86477</v>
      </c>
      <c r="CC498" s="847">
        <v>87934</v>
      </c>
      <c r="CD498" s="847">
        <v>89400</v>
      </c>
      <c r="CE498" s="847">
        <v>90875</v>
      </c>
      <c r="CF498" s="847">
        <v>92358</v>
      </c>
      <c r="CG498" s="847">
        <v>93848</v>
      </c>
      <c r="CH498" s="847">
        <v>95347</v>
      </c>
      <c r="CI498" s="847">
        <v>96852</v>
      </c>
      <c r="CJ498" s="847">
        <v>98364</v>
      </c>
      <c r="CK498" s="847">
        <v>99881</v>
      </c>
      <c r="CL498" s="847">
        <v>101401</v>
      </c>
      <c r="CM498" s="847">
        <v>102920</v>
      </c>
      <c r="CN498" s="847">
        <v>104440</v>
      </c>
      <c r="CO498" s="847">
        <v>105963</v>
      </c>
      <c r="CP498" s="847">
        <v>107487</v>
      </c>
      <c r="CQ498" s="847">
        <v>109011</v>
      </c>
      <c r="CR498" s="847">
        <v>110535</v>
      </c>
      <c r="CS498" s="847">
        <v>112060</v>
      </c>
      <c r="CT498" s="847">
        <v>113583</v>
      </c>
      <c r="CU498" s="847">
        <v>115106</v>
      </c>
      <c r="CV498" s="847">
        <v>116627</v>
      </c>
      <c r="CW498" s="847">
        <v>118146</v>
      </c>
      <c r="CX498" s="847">
        <v>119664</v>
      </c>
      <c r="CY498" s="847">
        <v>121179</v>
      </c>
      <c r="CZ498" s="847">
        <v>122693</v>
      </c>
      <c r="DA498" s="847">
        <v>124205</v>
      </c>
      <c r="DB498" s="847">
        <v>125718</v>
      </c>
      <c r="DC498" s="847">
        <v>127238</v>
      </c>
      <c r="DD498" s="847">
        <v>128792</v>
      </c>
      <c r="DE498" s="847">
        <v>130501</v>
      </c>
      <c r="DF498" s="847">
        <v>131800</v>
      </c>
      <c r="DG498" s="847">
        <v>0</v>
      </c>
      <c r="DH498" s="847">
        <v>0</v>
      </c>
      <c r="DI498" s="847">
        <v>0</v>
      </c>
      <c r="DJ498" s="847">
        <v>0</v>
      </c>
      <c r="DK498" s="847">
        <v>0</v>
      </c>
      <c r="DL498" s="847">
        <v>0</v>
      </c>
      <c r="DM498" s="847">
        <v>0</v>
      </c>
      <c r="DN498" s="847">
        <v>0</v>
      </c>
      <c r="DO498" s="847">
        <v>0</v>
      </c>
      <c r="DP498" s="847">
        <v>0</v>
      </c>
      <c r="DQ498" s="847">
        <v>0</v>
      </c>
      <c r="DR498" s="847">
        <v>0</v>
      </c>
      <c r="DS498" s="847">
        <v>0</v>
      </c>
      <c r="DT498" s="847">
        <v>0</v>
      </c>
      <c r="DU498" s="847">
        <v>0</v>
      </c>
      <c r="DV498" s="847">
        <v>0</v>
      </c>
      <c r="DW498" s="847">
        <v>0</v>
      </c>
      <c r="DX498" s="847">
        <v>0</v>
      </c>
    </row>
    <row r="499" spans="12:128" hidden="1">
      <c r="L499" s="846" t="s">
        <v>1060</v>
      </c>
      <c r="M499" s="846" t="s">
        <v>1382</v>
      </c>
      <c r="N499" s="846" t="s">
        <v>96</v>
      </c>
      <c r="O499" s="847">
        <v>19</v>
      </c>
      <c r="P499" s="780" t="str">
        <f t="shared" si="18"/>
        <v>IWT060119</v>
      </c>
      <c r="Q499" s="847">
        <v>25761</v>
      </c>
      <c r="R499" s="847">
        <v>26276</v>
      </c>
      <c r="S499" s="847">
        <v>26801</v>
      </c>
      <c r="T499" s="847">
        <v>27337</v>
      </c>
      <c r="U499" s="847">
        <v>27884</v>
      </c>
      <c r="V499" s="847">
        <v>28442</v>
      </c>
      <c r="W499" s="847">
        <v>29009</v>
      </c>
      <c r="X499" s="847">
        <v>29588</v>
      </c>
      <c r="Y499" s="847">
        <v>30179</v>
      </c>
      <c r="Z499" s="847">
        <v>30782</v>
      </c>
      <c r="AA499" s="847">
        <v>31398</v>
      </c>
      <c r="AB499" s="847">
        <v>32026</v>
      </c>
      <c r="AC499" s="847">
        <v>32666</v>
      </c>
      <c r="AD499" s="847">
        <v>33319</v>
      </c>
      <c r="AE499" s="847">
        <v>33986</v>
      </c>
      <c r="AF499" s="847">
        <v>34665</v>
      </c>
      <c r="AG499" s="847">
        <v>35359</v>
      </c>
      <c r="AH499" s="847">
        <v>36066</v>
      </c>
      <c r="AI499" s="847">
        <v>36787</v>
      </c>
      <c r="AJ499" s="847">
        <v>37523</v>
      </c>
      <c r="AK499" s="847">
        <v>38273</v>
      </c>
      <c r="AL499" s="847">
        <v>39039</v>
      </c>
      <c r="AM499" s="847">
        <v>39820</v>
      </c>
      <c r="AN499" s="847">
        <v>40616</v>
      </c>
      <c r="AO499" s="847">
        <v>41428</v>
      </c>
      <c r="AP499" s="847">
        <v>42257</v>
      </c>
      <c r="AQ499" s="847">
        <v>43102</v>
      </c>
      <c r="AR499" s="847">
        <v>43964</v>
      </c>
      <c r="AS499" s="847">
        <v>44843</v>
      </c>
      <c r="AT499" s="847">
        <v>45740</v>
      </c>
      <c r="AU499" s="847">
        <v>46655</v>
      </c>
      <c r="AV499" s="847">
        <v>47588</v>
      </c>
      <c r="AW499" s="847">
        <v>48540</v>
      </c>
      <c r="AX499" s="847">
        <v>49511</v>
      </c>
      <c r="AY499" s="847">
        <v>50501</v>
      </c>
      <c r="AZ499" s="847">
        <v>51511</v>
      </c>
      <c r="BA499" s="847">
        <v>52541</v>
      </c>
      <c r="BB499" s="847">
        <v>53589</v>
      </c>
      <c r="BC499" s="847">
        <v>54656</v>
      </c>
      <c r="BD499" s="847">
        <v>55741</v>
      </c>
      <c r="BE499" s="847">
        <v>56843</v>
      </c>
      <c r="BF499" s="847">
        <v>57964</v>
      </c>
      <c r="BG499" s="847">
        <v>59102</v>
      </c>
      <c r="BH499" s="847">
        <v>60259</v>
      </c>
      <c r="BI499" s="847">
        <v>61434</v>
      </c>
      <c r="BJ499" s="847">
        <v>62627</v>
      </c>
      <c r="BK499" s="847">
        <v>63837</v>
      </c>
      <c r="BL499" s="847">
        <v>65065</v>
      </c>
      <c r="BM499" s="847">
        <v>66309</v>
      </c>
      <c r="BN499" s="847">
        <v>67571</v>
      </c>
      <c r="BO499" s="847">
        <v>68848</v>
      </c>
      <c r="BP499" s="847">
        <v>70141</v>
      </c>
      <c r="BQ499" s="847">
        <v>71450</v>
      </c>
      <c r="BR499" s="847">
        <v>72773</v>
      </c>
      <c r="BS499" s="847">
        <v>74111</v>
      </c>
      <c r="BT499" s="847">
        <v>75463</v>
      </c>
      <c r="BU499" s="847">
        <v>76828</v>
      </c>
      <c r="BV499" s="847">
        <v>78207</v>
      </c>
      <c r="BW499" s="847">
        <v>79598</v>
      </c>
      <c r="BX499" s="847">
        <v>81002</v>
      </c>
      <c r="BY499" s="847">
        <v>82417</v>
      </c>
      <c r="BZ499" s="847">
        <v>83844</v>
      </c>
      <c r="CA499" s="847">
        <v>85281</v>
      </c>
      <c r="CB499" s="847">
        <v>86728</v>
      </c>
      <c r="CC499" s="847">
        <v>88184</v>
      </c>
      <c r="CD499" s="847">
        <v>89649</v>
      </c>
      <c r="CE499" s="847">
        <v>91122</v>
      </c>
      <c r="CF499" s="847">
        <v>92604</v>
      </c>
      <c r="CG499" s="847">
        <v>94093</v>
      </c>
      <c r="CH499" s="847">
        <v>95590</v>
      </c>
      <c r="CI499" s="847">
        <v>97093</v>
      </c>
      <c r="CJ499" s="847">
        <v>98602</v>
      </c>
      <c r="CK499" s="847">
        <v>100114</v>
      </c>
      <c r="CL499" s="847">
        <v>101625</v>
      </c>
      <c r="CM499" s="847">
        <v>103139</v>
      </c>
      <c r="CN499" s="847">
        <v>104655</v>
      </c>
      <c r="CO499" s="847">
        <v>106172</v>
      </c>
      <c r="CP499" s="847">
        <v>107690</v>
      </c>
      <c r="CQ499" s="847">
        <v>109208</v>
      </c>
      <c r="CR499" s="847">
        <v>110727</v>
      </c>
      <c r="CS499" s="847">
        <v>112245</v>
      </c>
      <c r="CT499" s="847">
        <v>113763</v>
      </c>
      <c r="CU499" s="847">
        <v>115279</v>
      </c>
      <c r="CV499" s="847">
        <v>116794</v>
      </c>
      <c r="CW499" s="847">
        <v>118307</v>
      </c>
      <c r="CX499" s="847">
        <v>119819</v>
      </c>
      <c r="CY499" s="847">
        <v>121329</v>
      </c>
      <c r="CZ499" s="847">
        <v>122837</v>
      </c>
      <c r="DA499" s="847">
        <v>124346</v>
      </c>
      <c r="DB499" s="847">
        <v>125863</v>
      </c>
      <c r="DC499" s="847">
        <v>127413</v>
      </c>
      <c r="DD499" s="847">
        <v>129115</v>
      </c>
      <c r="DE499" s="847">
        <v>130400</v>
      </c>
      <c r="DF499" s="847">
        <v>0</v>
      </c>
      <c r="DG499" s="847">
        <v>0</v>
      </c>
      <c r="DH499" s="847">
        <v>0</v>
      </c>
      <c r="DI499" s="847">
        <v>0</v>
      </c>
      <c r="DJ499" s="847">
        <v>0</v>
      </c>
      <c r="DK499" s="847">
        <v>0</v>
      </c>
      <c r="DL499" s="847">
        <v>0</v>
      </c>
      <c r="DM499" s="847">
        <v>0</v>
      </c>
      <c r="DN499" s="847">
        <v>0</v>
      </c>
      <c r="DO499" s="847">
        <v>0</v>
      </c>
      <c r="DP499" s="847">
        <v>0</v>
      </c>
      <c r="DQ499" s="847">
        <v>0</v>
      </c>
      <c r="DR499" s="847">
        <v>0</v>
      </c>
      <c r="DS499" s="847">
        <v>0</v>
      </c>
      <c r="DT499" s="847">
        <v>0</v>
      </c>
      <c r="DU499" s="847">
        <v>0</v>
      </c>
      <c r="DV499" s="847">
        <v>0</v>
      </c>
      <c r="DW499" s="847">
        <v>0</v>
      </c>
      <c r="DX499" s="847">
        <v>0</v>
      </c>
    </row>
    <row r="500" spans="12:128" hidden="1">
      <c r="L500" s="846" t="s">
        <v>1060</v>
      </c>
      <c r="M500" s="846" t="s">
        <v>1382</v>
      </c>
      <c r="N500" s="846" t="s">
        <v>96</v>
      </c>
      <c r="O500" s="847">
        <v>20</v>
      </c>
      <c r="P500" s="780" t="str">
        <f t="shared" si="18"/>
        <v>IWT060120</v>
      </c>
      <c r="Q500" s="847">
        <v>25844</v>
      </c>
      <c r="R500" s="847">
        <v>26361</v>
      </c>
      <c r="S500" s="847">
        <v>26888</v>
      </c>
      <c r="T500" s="847">
        <v>27426</v>
      </c>
      <c r="U500" s="847">
        <v>27975</v>
      </c>
      <c r="V500" s="847">
        <v>28534</v>
      </c>
      <c r="W500" s="847">
        <v>29103</v>
      </c>
      <c r="X500" s="847">
        <v>29684</v>
      </c>
      <c r="Y500" s="847">
        <v>30277</v>
      </c>
      <c r="Z500" s="847">
        <v>30882</v>
      </c>
      <c r="AA500" s="847">
        <v>31499</v>
      </c>
      <c r="AB500" s="847">
        <v>32129</v>
      </c>
      <c r="AC500" s="847">
        <v>32772</v>
      </c>
      <c r="AD500" s="847">
        <v>33427</v>
      </c>
      <c r="AE500" s="847">
        <v>34096</v>
      </c>
      <c r="AF500" s="847">
        <v>34778</v>
      </c>
      <c r="AG500" s="847">
        <v>35473</v>
      </c>
      <c r="AH500" s="847">
        <v>36183</v>
      </c>
      <c r="AI500" s="847">
        <v>36907</v>
      </c>
      <c r="AJ500" s="847">
        <v>37645</v>
      </c>
      <c r="AK500" s="847">
        <v>38398</v>
      </c>
      <c r="AL500" s="847">
        <v>39165</v>
      </c>
      <c r="AM500" s="847">
        <v>39949</v>
      </c>
      <c r="AN500" s="847">
        <v>40748</v>
      </c>
      <c r="AO500" s="847">
        <v>41563</v>
      </c>
      <c r="AP500" s="847">
        <v>42394</v>
      </c>
      <c r="AQ500" s="847">
        <v>43242</v>
      </c>
      <c r="AR500" s="847">
        <v>44107</v>
      </c>
      <c r="AS500" s="847">
        <v>44989</v>
      </c>
      <c r="AT500" s="847">
        <v>45889</v>
      </c>
      <c r="AU500" s="847">
        <v>46806</v>
      </c>
      <c r="AV500" s="847">
        <v>47742</v>
      </c>
      <c r="AW500" s="847">
        <v>48697</v>
      </c>
      <c r="AX500" s="847">
        <v>49671</v>
      </c>
      <c r="AY500" s="847">
        <v>50665</v>
      </c>
      <c r="AZ500" s="847">
        <v>51678</v>
      </c>
      <c r="BA500" s="847">
        <v>52711</v>
      </c>
      <c r="BB500" s="847">
        <v>53764</v>
      </c>
      <c r="BC500" s="847">
        <v>54835</v>
      </c>
      <c r="BD500" s="847">
        <v>55924</v>
      </c>
      <c r="BE500" s="847">
        <v>57032</v>
      </c>
      <c r="BF500" s="847">
        <v>58156</v>
      </c>
      <c r="BG500" s="847">
        <v>59300</v>
      </c>
      <c r="BH500" s="847">
        <v>60461</v>
      </c>
      <c r="BI500" s="847">
        <v>61640</v>
      </c>
      <c r="BJ500" s="847">
        <v>62837</v>
      </c>
      <c r="BK500" s="847">
        <v>64051</v>
      </c>
      <c r="BL500" s="847">
        <v>65282</v>
      </c>
      <c r="BM500" s="847">
        <v>66530</v>
      </c>
      <c r="BN500" s="847">
        <v>67795</v>
      </c>
      <c r="BO500" s="847">
        <v>69075</v>
      </c>
      <c r="BP500" s="847">
        <v>70371</v>
      </c>
      <c r="BQ500" s="847">
        <v>71681</v>
      </c>
      <c r="BR500" s="847">
        <v>73007</v>
      </c>
      <c r="BS500" s="847">
        <v>74346</v>
      </c>
      <c r="BT500" s="847">
        <v>75700</v>
      </c>
      <c r="BU500" s="847">
        <v>77067</v>
      </c>
      <c r="BV500" s="847">
        <v>78446</v>
      </c>
      <c r="BW500" s="847">
        <v>79839</v>
      </c>
      <c r="BX500" s="847">
        <v>81243</v>
      </c>
      <c r="BY500" s="847">
        <v>82659</v>
      </c>
      <c r="BZ500" s="847">
        <v>84086</v>
      </c>
      <c r="CA500" s="847">
        <v>85523</v>
      </c>
      <c r="CB500" s="847">
        <v>86969</v>
      </c>
      <c r="CC500" s="847">
        <v>88424</v>
      </c>
      <c r="CD500" s="847">
        <v>89887</v>
      </c>
      <c r="CE500" s="847">
        <v>91359</v>
      </c>
      <c r="CF500" s="847">
        <v>92840</v>
      </c>
      <c r="CG500" s="847">
        <v>94328</v>
      </c>
      <c r="CH500" s="847">
        <v>95823</v>
      </c>
      <c r="CI500" s="847">
        <v>97323</v>
      </c>
      <c r="CJ500" s="847">
        <v>98827</v>
      </c>
      <c r="CK500" s="847">
        <v>100331</v>
      </c>
      <c r="CL500" s="847">
        <v>101838</v>
      </c>
      <c r="CM500" s="847">
        <v>103346</v>
      </c>
      <c r="CN500" s="847">
        <v>104857</v>
      </c>
      <c r="CO500" s="847">
        <v>106369</v>
      </c>
      <c r="CP500" s="847">
        <v>107882</v>
      </c>
      <c r="CQ500" s="847">
        <v>109395</v>
      </c>
      <c r="CR500" s="847">
        <v>110908</v>
      </c>
      <c r="CS500" s="847">
        <v>112420</v>
      </c>
      <c r="CT500" s="847">
        <v>113931</v>
      </c>
      <c r="CU500" s="847">
        <v>115442</v>
      </c>
      <c r="CV500" s="847">
        <v>116951</v>
      </c>
      <c r="CW500" s="847">
        <v>118458</v>
      </c>
      <c r="CX500" s="847">
        <v>119964</v>
      </c>
      <c r="CY500" s="847">
        <v>121469</v>
      </c>
      <c r="CZ500" s="847">
        <v>122975</v>
      </c>
      <c r="DA500" s="847">
        <v>124488</v>
      </c>
      <c r="DB500" s="847">
        <v>126034</v>
      </c>
      <c r="DC500" s="847">
        <v>127729</v>
      </c>
      <c r="DD500" s="847">
        <v>129000</v>
      </c>
      <c r="DE500" s="847">
        <v>0</v>
      </c>
      <c r="DF500" s="847">
        <v>0</v>
      </c>
      <c r="DG500" s="847">
        <v>0</v>
      </c>
      <c r="DH500" s="847">
        <v>0</v>
      </c>
      <c r="DI500" s="847">
        <v>0</v>
      </c>
      <c r="DJ500" s="847">
        <v>0</v>
      </c>
      <c r="DK500" s="847">
        <v>0</v>
      </c>
      <c r="DL500" s="847">
        <v>0</v>
      </c>
      <c r="DM500" s="847">
        <v>0</v>
      </c>
      <c r="DN500" s="847">
        <v>0</v>
      </c>
      <c r="DO500" s="847">
        <v>0</v>
      </c>
      <c r="DP500" s="847">
        <v>0</v>
      </c>
      <c r="DQ500" s="847">
        <v>0</v>
      </c>
      <c r="DR500" s="847">
        <v>0</v>
      </c>
      <c r="DS500" s="847">
        <v>0</v>
      </c>
      <c r="DT500" s="847">
        <v>0</v>
      </c>
      <c r="DU500" s="847">
        <v>0</v>
      </c>
      <c r="DV500" s="847">
        <v>0</v>
      </c>
      <c r="DW500" s="847">
        <v>0</v>
      </c>
      <c r="DX500" s="847">
        <v>0</v>
      </c>
    </row>
    <row r="501" spans="12:128" hidden="1">
      <c r="L501" s="846" t="s">
        <v>1060</v>
      </c>
      <c r="M501" s="846" t="s">
        <v>1382</v>
      </c>
      <c r="N501" s="846" t="s">
        <v>96</v>
      </c>
      <c r="O501" s="847">
        <v>21</v>
      </c>
      <c r="P501" s="780" t="str">
        <f t="shared" si="18"/>
        <v>IWT060121</v>
      </c>
      <c r="Q501" s="847">
        <v>25924</v>
      </c>
      <c r="R501" s="847">
        <v>26442</v>
      </c>
      <c r="S501" s="847">
        <v>26971</v>
      </c>
      <c r="T501" s="847">
        <v>27510</v>
      </c>
      <c r="U501" s="847">
        <v>28061</v>
      </c>
      <c r="V501" s="847">
        <v>28622</v>
      </c>
      <c r="W501" s="847">
        <v>29192</v>
      </c>
      <c r="X501" s="847">
        <v>29775</v>
      </c>
      <c r="Y501" s="847">
        <v>30369</v>
      </c>
      <c r="Z501" s="847">
        <v>30976</v>
      </c>
      <c r="AA501" s="847">
        <v>31596</v>
      </c>
      <c r="AB501" s="847">
        <v>32228</v>
      </c>
      <c r="AC501" s="847">
        <v>32872</v>
      </c>
      <c r="AD501" s="847">
        <v>33530</v>
      </c>
      <c r="AE501" s="847">
        <v>34200</v>
      </c>
      <c r="AF501" s="847">
        <v>34884</v>
      </c>
      <c r="AG501" s="847">
        <v>35582</v>
      </c>
      <c r="AH501" s="847">
        <v>36294</v>
      </c>
      <c r="AI501" s="847">
        <v>37019</v>
      </c>
      <c r="AJ501" s="847">
        <v>37760</v>
      </c>
      <c r="AK501" s="847">
        <v>38515</v>
      </c>
      <c r="AL501" s="847">
        <v>39285</v>
      </c>
      <c r="AM501" s="847">
        <v>40071</v>
      </c>
      <c r="AN501" s="847">
        <v>40872</v>
      </c>
      <c r="AO501" s="847">
        <v>41690</v>
      </c>
      <c r="AP501" s="847">
        <v>42524</v>
      </c>
      <c r="AQ501" s="847">
        <v>43374</v>
      </c>
      <c r="AR501" s="847">
        <v>44242</v>
      </c>
      <c r="AS501" s="847">
        <v>45126</v>
      </c>
      <c r="AT501" s="847">
        <v>46029</v>
      </c>
      <c r="AU501" s="847">
        <v>46950</v>
      </c>
      <c r="AV501" s="847">
        <v>47889</v>
      </c>
      <c r="AW501" s="847">
        <v>48846</v>
      </c>
      <c r="AX501" s="847">
        <v>49823</v>
      </c>
      <c r="AY501" s="847">
        <v>50820</v>
      </c>
      <c r="AZ501" s="847">
        <v>51836</v>
      </c>
      <c r="BA501" s="847">
        <v>52873</v>
      </c>
      <c r="BB501" s="847">
        <v>53930</v>
      </c>
      <c r="BC501" s="847">
        <v>55006</v>
      </c>
      <c r="BD501" s="847">
        <v>56099</v>
      </c>
      <c r="BE501" s="847">
        <v>57211</v>
      </c>
      <c r="BF501" s="847">
        <v>58340</v>
      </c>
      <c r="BG501" s="847">
        <v>59488</v>
      </c>
      <c r="BH501" s="847">
        <v>60654</v>
      </c>
      <c r="BI501" s="847">
        <v>61837</v>
      </c>
      <c r="BJ501" s="847">
        <v>63037</v>
      </c>
      <c r="BK501" s="847">
        <v>64255</v>
      </c>
      <c r="BL501" s="847">
        <v>65490</v>
      </c>
      <c r="BM501" s="847">
        <v>66741</v>
      </c>
      <c r="BN501" s="847">
        <v>68009</v>
      </c>
      <c r="BO501" s="847">
        <v>69292</v>
      </c>
      <c r="BP501" s="847">
        <v>70590</v>
      </c>
      <c r="BQ501" s="847">
        <v>71903</v>
      </c>
      <c r="BR501" s="847">
        <v>73230</v>
      </c>
      <c r="BS501" s="847">
        <v>74572</v>
      </c>
      <c r="BT501" s="847">
        <v>75927</v>
      </c>
      <c r="BU501" s="847">
        <v>77295</v>
      </c>
      <c r="BV501" s="847">
        <v>78676</v>
      </c>
      <c r="BW501" s="847">
        <v>80069</v>
      </c>
      <c r="BX501" s="847">
        <v>81474</v>
      </c>
      <c r="BY501" s="847">
        <v>82890</v>
      </c>
      <c r="BZ501" s="847">
        <v>84317</v>
      </c>
      <c r="CA501" s="847">
        <v>85753</v>
      </c>
      <c r="CB501" s="847">
        <v>87198</v>
      </c>
      <c r="CC501" s="847">
        <v>88652</v>
      </c>
      <c r="CD501" s="847">
        <v>90115</v>
      </c>
      <c r="CE501" s="847">
        <v>91586</v>
      </c>
      <c r="CF501" s="847">
        <v>93065</v>
      </c>
      <c r="CG501" s="847">
        <v>94552</v>
      </c>
      <c r="CH501" s="847">
        <v>96044</v>
      </c>
      <c r="CI501" s="847">
        <v>97540</v>
      </c>
      <c r="CJ501" s="847">
        <v>99037</v>
      </c>
      <c r="CK501" s="847">
        <v>100536</v>
      </c>
      <c r="CL501" s="847">
        <v>102038</v>
      </c>
      <c r="CM501" s="847">
        <v>103542</v>
      </c>
      <c r="CN501" s="847">
        <v>105048</v>
      </c>
      <c r="CO501" s="847">
        <v>106555</v>
      </c>
      <c r="CP501" s="847">
        <v>108062</v>
      </c>
      <c r="CQ501" s="847">
        <v>109570</v>
      </c>
      <c r="CR501" s="847">
        <v>111077</v>
      </c>
      <c r="CS501" s="847">
        <v>112584</v>
      </c>
      <c r="CT501" s="847">
        <v>114090</v>
      </c>
      <c r="CU501" s="847">
        <v>115595</v>
      </c>
      <c r="CV501" s="847">
        <v>117098</v>
      </c>
      <c r="CW501" s="847">
        <v>118600</v>
      </c>
      <c r="CX501" s="847">
        <v>120102</v>
      </c>
      <c r="CY501" s="847">
        <v>121604</v>
      </c>
      <c r="CZ501" s="847">
        <v>123114</v>
      </c>
      <c r="DA501" s="847">
        <v>124655</v>
      </c>
      <c r="DB501" s="847">
        <v>126343</v>
      </c>
      <c r="DC501" s="847">
        <v>127600</v>
      </c>
      <c r="DD501" s="847">
        <v>0</v>
      </c>
      <c r="DE501" s="847">
        <v>0</v>
      </c>
      <c r="DF501" s="847">
        <v>0</v>
      </c>
      <c r="DG501" s="847">
        <v>0</v>
      </c>
      <c r="DH501" s="847">
        <v>0</v>
      </c>
      <c r="DI501" s="847">
        <v>0</v>
      </c>
      <c r="DJ501" s="847">
        <v>0</v>
      </c>
      <c r="DK501" s="847">
        <v>0</v>
      </c>
      <c r="DL501" s="847">
        <v>0</v>
      </c>
      <c r="DM501" s="847">
        <v>0</v>
      </c>
      <c r="DN501" s="847">
        <v>0</v>
      </c>
      <c r="DO501" s="847">
        <v>0</v>
      </c>
      <c r="DP501" s="847">
        <v>0</v>
      </c>
      <c r="DQ501" s="847">
        <v>0</v>
      </c>
      <c r="DR501" s="847">
        <v>0</v>
      </c>
      <c r="DS501" s="847">
        <v>0</v>
      </c>
      <c r="DT501" s="847">
        <v>0</v>
      </c>
      <c r="DU501" s="847">
        <v>0</v>
      </c>
      <c r="DV501" s="847">
        <v>0</v>
      </c>
      <c r="DW501" s="847">
        <v>0</v>
      </c>
      <c r="DX501" s="847">
        <v>0</v>
      </c>
    </row>
    <row r="502" spans="12:128" hidden="1">
      <c r="L502" s="846" t="s">
        <v>1060</v>
      </c>
      <c r="M502" s="846" t="s">
        <v>1382</v>
      </c>
      <c r="N502" s="846" t="s">
        <v>96</v>
      </c>
      <c r="O502" s="847">
        <v>22</v>
      </c>
      <c r="P502" s="780" t="str">
        <f t="shared" si="18"/>
        <v>IWT060122</v>
      </c>
      <c r="Q502" s="847">
        <v>25999</v>
      </c>
      <c r="R502" s="847">
        <v>26519</v>
      </c>
      <c r="S502" s="847">
        <v>27050</v>
      </c>
      <c r="T502" s="847">
        <v>27591</v>
      </c>
      <c r="U502" s="847">
        <v>28142</v>
      </c>
      <c r="V502" s="847">
        <v>28705</v>
      </c>
      <c r="W502" s="847">
        <v>29277</v>
      </c>
      <c r="X502" s="847">
        <v>29861</v>
      </c>
      <c r="Y502" s="847">
        <v>30458</v>
      </c>
      <c r="Z502" s="847">
        <v>31066</v>
      </c>
      <c r="AA502" s="847">
        <v>31688</v>
      </c>
      <c r="AB502" s="847">
        <v>32321</v>
      </c>
      <c r="AC502" s="847">
        <v>32968</v>
      </c>
      <c r="AD502" s="847">
        <v>33627</v>
      </c>
      <c r="AE502" s="847">
        <v>34300</v>
      </c>
      <c r="AF502" s="847">
        <v>34986</v>
      </c>
      <c r="AG502" s="847">
        <v>35685</v>
      </c>
      <c r="AH502" s="847">
        <v>36399</v>
      </c>
      <c r="AI502" s="847">
        <v>37127</v>
      </c>
      <c r="AJ502" s="847">
        <v>37870</v>
      </c>
      <c r="AK502" s="847">
        <v>38627</v>
      </c>
      <c r="AL502" s="847">
        <v>39400</v>
      </c>
      <c r="AM502" s="847">
        <v>40187</v>
      </c>
      <c r="AN502" s="847">
        <v>40991</v>
      </c>
      <c r="AO502" s="847">
        <v>41811</v>
      </c>
      <c r="AP502" s="847">
        <v>42647</v>
      </c>
      <c r="AQ502" s="847">
        <v>43500</v>
      </c>
      <c r="AR502" s="847">
        <v>44370</v>
      </c>
      <c r="AS502" s="847">
        <v>45258</v>
      </c>
      <c r="AT502" s="847">
        <v>46163</v>
      </c>
      <c r="AU502" s="847">
        <v>47086</v>
      </c>
      <c r="AV502" s="847">
        <v>48028</v>
      </c>
      <c r="AW502" s="847">
        <v>48988</v>
      </c>
      <c r="AX502" s="847">
        <v>49968</v>
      </c>
      <c r="AY502" s="847">
        <v>50967</v>
      </c>
      <c r="AZ502" s="847">
        <v>51987</v>
      </c>
      <c r="BA502" s="847">
        <v>53026</v>
      </c>
      <c r="BB502" s="847">
        <v>54087</v>
      </c>
      <c r="BC502" s="847">
        <v>55167</v>
      </c>
      <c r="BD502" s="847">
        <v>56265</v>
      </c>
      <c r="BE502" s="847">
        <v>57381</v>
      </c>
      <c r="BF502" s="847">
        <v>58515</v>
      </c>
      <c r="BG502" s="847">
        <v>59667</v>
      </c>
      <c r="BH502" s="847">
        <v>60837</v>
      </c>
      <c r="BI502" s="847">
        <v>62024</v>
      </c>
      <c r="BJ502" s="847">
        <v>63228</v>
      </c>
      <c r="BK502" s="847">
        <v>64450</v>
      </c>
      <c r="BL502" s="847">
        <v>65688</v>
      </c>
      <c r="BM502" s="847">
        <v>66942</v>
      </c>
      <c r="BN502" s="847">
        <v>68212</v>
      </c>
      <c r="BO502" s="847">
        <v>69498</v>
      </c>
      <c r="BP502" s="847">
        <v>70799</v>
      </c>
      <c r="BQ502" s="847">
        <v>72114</v>
      </c>
      <c r="BR502" s="847">
        <v>73443</v>
      </c>
      <c r="BS502" s="847">
        <v>74787</v>
      </c>
      <c r="BT502" s="847">
        <v>76143</v>
      </c>
      <c r="BU502" s="847">
        <v>77513</v>
      </c>
      <c r="BV502" s="847">
        <v>78895</v>
      </c>
      <c r="BW502" s="847">
        <v>80290</v>
      </c>
      <c r="BX502" s="847">
        <v>81695</v>
      </c>
      <c r="BY502" s="847">
        <v>83111</v>
      </c>
      <c r="BZ502" s="847">
        <v>84537</v>
      </c>
      <c r="CA502" s="847">
        <v>85972</v>
      </c>
      <c r="CB502" s="847">
        <v>87417</v>
      </c>
      <c r="CC502" s="847">
        <v>88871</v>
      </c>
      <c r="CD502" s="847">
        <v>90333</v>
      </c>
      <c r="CE502" s="847">
        <v>91803</v>
      </c>
      <c r="CF502" s="847">
        <v>93281</v>
      </c>
      <c r="CG502" s="847">
        <v>94765</v>
      </c>
      <c r="CH502" s="847">
        <v>96253</v>
      </c>
      <c r="CI502" s="847">
        <v>97742</v>
      </c>
      <c r="CJ502" s="847">
        <v>99235</v>
      </c>
      <c r="CK502" s="847">
        <v>100730</v>
      </c>
      <c r="CL502" s="847">
        <v>102227</v>
      </c>
      <c r="CM502" s="847">
        <v>103727</v>
      </c>
      <c r="CN502" s="847">
        <v>105228</v>
      </c>
      <c r="CO502" s="847">
        <v>106730</v>
      </c>
      <c r="CP502" s="847">
        <v>108232</v>
      </c>
      <c r="CQ502" s="847">
        <v>109734</v>
      </c>
      <c r="CR502" s="847">
        <v>111236</v>
      </c>
      <c r="CS502" s="847">
        <v>112738</v>
      </c>
      <c r="CT502" s="847">
        <v>114238</v>
      </c>
      <c r="CU502" s="847">
        <v>115738</v>
      </c>
      <c r="CV502" s="847">
        <v>117236</v>
      </c>
      <c r="CW502" s="847">
        <v>118734</v>
      </c>
      <c r="CX502" s="847">
        <v>120233</v>
      </c>
      <c r="CY502" s="847">
        <v>121739</v>
      </c>
      <c r="CZ502" s="847">
        <v>123277</v>
      </c>
      <c r="DA502" s="847">
        <v>124957</v>
      </c>
      <c r="DB502" s="847">
        <v>126200</v>
      </c>
      <c r="DC502" s="847">
        <v>0</v>
      </c>
      <c r="DD502" s="847">
        <v>0</v>
      </c>
      <c r="DE502" s="847">
        <v>0</v>
      </c>
      <c r="DF502" s="847">
        <v>0</v>
      </c>
      <c r="DG502" s="847">
        <v>0</v>
      </c>
      <c r="DH502" s="847">
        <v>0</v>
      </c>
      <c r="DI502" s="847">
        <v>0</v>
      </c>
      <c r="DJ502" s="847">
        <v>0</v>
      </c>
      <c r="DK502" s="847">
        <v>0</v>
      </c>
      <c r="DL502" s="847">
        <v>0</v>
      </c>
      <c r="DM502" s="847">
        <v>0</v>
      </c>
      <c r="DN502" s="847">
        <v>0</v>
      </c>
      <c r="DO502" s="847">
        <v>0</v>
      </c>
      <c r="DP502" s="847">
        <v>0</v>
      </c>
      <c r="DQ502" s="847">
        <v>0</v>
      </c>
      <c r="DR502" s="847">
        <v>0</v>
      </c>
      <c r="DS502" s="847">
        <v>0</v>
      </c>
      <c r="DT502" s="847">
        <v>0</v>
      </c>
      <c r="DU502" s="847">
        <v>0</v>
      </c>
      <c r="DV502" s="847">
        <v>0</v>
      </c>
      <c r="DW502" s="847">
        <v>0</v>
      </c>
      <c r="DX502" s="847">
        <v>0</v>
      </c>
    </row>
    <row r="503" spans="12:128" hidden="1">
      <c r="L503" s="846" t="s">
        <v>1060</v>
      </c>
      <c r="M503" s="846" t="s">
        <v>1382</v>
      </c>
      <c r="N503" s="846" t="s">
        <v>96</v>
      </c>
      <c r="O503" s="847">
        <v>23</v>
      </c>
      <c r="P503" s="780" t="str">
        <f t="shared" si="18"/>
        <v>IWT060123</v>
      </c>
      <c r="Q503" s="847">
        <v>26070</v>
      </c>
      <c r="R503" s="847">
        <v>26592</v>
      </c>
      <c r="S503" s="847">
        <v>27124</v>
      </c>
      <c r="T503" s="847">
        <v>27666</v>
      </c>
      <c r="U503" s="847">
        <v>28219</v>
      </c>
      <c r="V503" s="847">
        <v>28784</v>
      </c>
      <c r="W503" s="847">
        <v>29357</v>
      </c>
      <c r="X503" s="847">
        <v>29943</v>
      </c>
      <c r="Y503" s="847">
        <v>30541</v>
      </c>
      <c r="Z503" s="847">
        <v>31151</v>
      </c>
      <c r="AA503" s="847">
        <v>31774</v>
      </c>
      <c r="AB503" s="847">
        <v>32410</v>
      </c>
      <c r="AC503" s="847">
        <v>33058</v>
      </c>
      <c r="AD503" s="847">
        <v>33719</v>
      </c>
      <c r="AE503" s="847">
        <v>34393</v>
      </c>
      <c r="AF503" s="847">
        <v>35081</v>
      </c>
      <c r="AG503" s="847">
        <v>35783</v>
      </c>
      <c r="AH503" s="847">
        <v>36498</v>
      </c>
      <c r="AI503" s="847">
        <v>37228</v>
      </c>
      <c r="AJ503" s="847">
        <v>37973</v>
      </c>
      <c r="AK503" s="847">
        <v>38732</v>
      </c>
      <c r="AL503" s="847">
        <v>39507</v>
      </c>
      <c r="AM503" s="847">
        <v>40297</v>
      </c>
      <c r="AN503" s="847">
        <v>41103</v>
      </c>
      <c r="AO503" s="847">
        <v>41925</v>
      </c>
      <c r="AP503" s="847">
        <v>42764</v>
      </c>
      <c r="AQ503" s="847">
        <v>43619</v>
      </c>
      <c r="AR503" s="847">
        <v>44491</v>
      </c>
      <c r="AS503" s="847">
        <v>45381</v>
      </c>
      <c r="AT503" s="847">
        <v>46289</v>
      </c>
      <c r="AU503" s="847">
        <v>47214</v>
      </c>
      <c r="AV503" s="847">
        <v>48159</v>
      </c>
      <c r="AW503" s="847">
        <v>49122</v>
      </c>
      <c r="AX503" s="847">
        <v>50104</v>
      </c>
      <c r="AY503" s="847">
        <v>51106</v>
      </c>
      <c r="AZ503" s="847">
        <v>52128</v>
      </c>
      <c r="BA503" s="847">
        <v>53171</v>
      </c>
      <c r="BB503" s="847">
        <v>54234</v>
      </c>
      <c r="BC503" s="847">
        <v>55319</v>
      </c>
      <c r="BD503" s="847">
        <v>56421</v>
      </c>
      <c r="BE503" s="847">
        <v>57542</v>
      </c>
      <c r="BF503" s="847">
        <v>58680</v>
      </c>
      <c r="BG503" s="847">
        <v>59836</v>
      </c>
      <c r="BH503" s="847">
        <v>61010</v>
      </c>
      <c r="BI503" s="847">
        <v>62201</v>
      </c>
      <c r="BJ503" s="847">
        <v>63409</v>
      </c>
      <c r="BK503" s="847">
        <v>64634</v>
      </c>
      <c r="BL503" s="847">
        <v>65876</v>
      </c>
      <c r="BM503" s="847">
        <v>67133</v>
      </c>
      <c r="BN503" s="847">
        <v>68406</v>
      </c>
      <c r="BO503" s="847">
        <v>69694</v>
      </c>
      <c r="BP503" s="847">
        <v>70997</v>
      </c>
      <c r="BQ503" s="847">
        <v>72315</v>
      </c>
      <c r="BR503" s="847">
        <v>73646</v>
      </c>
      <c r="BS503" s="847">
        <v>74992</v>
      </c>
      <c r="BT503" s="847">
        <v>76350</v>
      </c>
      <c r="BU503" s="847">
        <v>77721</v>
      </c>
      <c r="BV503" s="847">
        <v>79105</v>
      </c>
      <c r="BW503" s="847">
        <v>80500</v>
      </c>
      <c r="BX503" s="847">
        <v>81905</v>
      </c>
      <c r="BY503" s="847">
        <v>83321</v>
      </c>
      <c r="BZ503" s="847">
        <v>84747</v>
      </c>
      <c r="CA503" s="847">
        <v>86182</v>
      </c>
      <c r="CB503" s="847">
        <v>87626</v>
      </c>
      <c r="CC503" s="847">
        <v>89079</v>
      </c>
      <c r="CD503" s="847">
        <v>90541</v>
      </c>
      <c r="CE503" s="847">
        <v>92010</v>
      </c>
      <c r="CF503" s="847">
        <v>93486</v>
      </c>
      <c r="CG503" s="847">
        <v>94967</v>
      </c>
      <c r="CH503" s="847">
        <v>96448</v>
      </c>
      <c r="CI503" s="847">
        <v>97933</v>
      </c>
      <c r="CJ503" s="847">
        <v>99421</v>
      </c>
      <c r="CK503" s="847">
        <v>100913</v>
      </c>
      <c r="CL503" s="847">
        <v>102406</v>
      </c>
      <c r="CM503" s="847">
        <v>103901</v>
      </c>
      <c r="CN503" s="847">
        <v>105397</v>
      </c>
      <c r="CO503" s="847">
        <v>106894</v>
      </c>
      <c r="CP503" s="847">
        <v>108391</v>
      </c>
      <c r="CQ503" s="847">
        <v>109889</v>
      </c>
      <c r="CR503" s="847">
        <v>111386</v>
      </c>
      <c r="CS503" s="847">
        <v>112882</v>
      </c>
      <c r="CT503" s="847">
        <v>114377</v>
      </c>
      <c r="CU503" s="847">
        <v>115872</v>
      </c>
      <c r="CV503" s="847">
        <v>117366</v>
      </c>
      <c r="CW503" s="847">
        <v>118862</v>
      </c>
      <c r="CX503" s="847">
        <v>120365</v>
      </c>
      <c r="CY503" s="847">
        <v>121898</v>
      </c>
      <c r="CZ503" s="847">
        <v>123570</v>
      </c>
      <c r="DA503" s="847">
        <v>124800</v>
      </c>
      <c r="DB503" s="847">
        <v>0</v>
      </c>
      <c r="DC503" s="847">
        <v>0</v>
      </c>
      <c r="DD503" s="847">
        <v>0</v>
      </c>
      <c r="DE503" s="847">
        <v>0</v>
      </c>
      <c r="DF503" s="847">
        <v>0</v>
      </c>
      <c r="DG503" s="847">
        <v>0</v>
      </c>
      <c r="DH503" s="847">
        <v>0</v>
      </c>
      <c r="DI503" s="847">
        <v>0</v>
      </c>
      <c r="DJ503" s="847">
        <v>0</v>
      </c>
      <c r="DK503" s="847">
        <v>0</v>
      </c>
      <c r="DL503" s="847">
        <v>0</v>
      </c>
      <c r="DM503" s="847">
        <v>0</v>
      </c>
      <c r="DN503" s="847">
        <v>0</v>
      </c>
      <c r="DO503" s="847">
        <v>0</v>
      </c>
      <c r="DP503" s="847">
        <v>0</v>
      </c>
      <c r="DQ503" s="847">
        <v>0</v>
      </c>
      <c r="DR503" s="847">
        <v>0</v>
      </c>
      <c r="DS503" s="847">
        <v>0</v>
      </c>
      <c r="DT503" s="847">
        <v>0</v>
      </c>
      <c r="DU503" s="847">
        <v>0</v>
      </c>
      <c r="DV503" s="847">
        <v>0</v>
      </c>
      <c r="DW503" s="847">
        <v>0</v>
      </c>
      <c r="DX503" s="847">
        <v>0</v>
      </c>
    </row>
    <row r="504" spans="12:128" hidden="1">
      <c r="L504" s="846" t="s">
        <v>1060</v>
      </c>
      <c r="M504" s="846" t="s">
        <v>1382</v>
      </c>
      <c r="N504" s="846" t="s">
        <v>96</v>
      </c>
      <c r="O504" s="847">
        <v>24</v>
      </c>
      <c r="P504" s="780" t="str">
        <f t="shared" si="18"/>
        <v>IWT060124</v>
      </c>
      <c r="Q504" s="847">
        <v>26138</v>
      </c>
      <c r="R504" s="847">
        <v>26661</v>
      </c>
      <c r="S504" s="847">
        <v>27194</v>
      </c>
      <c r="T504" s="847">
        <v>27738</v>
      </c>
      <c r="U504" s="847">
        <v>28292</v>
      </c>
      <c r="V504" s="847">
        <v>28858</v>
      </c>
      <c r="W504" s="847">
        <v>29433</v>
      </c>
      <c r="X504" s="847">
        <v>30020</v>
      </c>
      <c r="Y504" s="847">
        <v>30619</v>
      </c>
      <c r="Z504" s="847">
        <v>31231</v>
      </c>
      <c r="AA504" s="847">
        <v>31856</v>
      </c>
      <c r="AB504" s="847">
        <v>32493</v>
      </c>
      <c r="AC504" s="847">
        <v>33143</v>
      </c>
      <c r="AD504" s="847">
        <v>33806</v>
      </c>
      <c r="AE504" s="847">
        <v>34482</v>
      </c>
      <c r="AF504" s="847">
        <v>35172</v>
      </c>
      <c r="AG504" s="847">
        <v>35875</v>
      </c>
      <c r="AH504" s="847">
        <v>36593</v>
      </c>
      <c r="AI504" s="847">
        <v>37324</v>
      </c>
      <c r="AJ504" s="847">
        <v>38071</v>
      </c>
      <c r="AK504" s="847">
        <v>38832</v>
      </c>
      <c r="AL504" s="847">
        <v>39609</v>
      </c>
      <c r="AM504" s="847">
        <v>40401</v>
      </c>
      <c r="AN504" s="847">
        <v>41209</v>
      </c>
      <c r="AO504" s="847">
        <v>42033</v>
      </c>
      <c r="AP504" s="847">
        <v>42874</v>
      </c>
      <c r="AQ504" s="847">
        <v>43731</v>
      </c>
      <c r="AR504" s="847">
        <v>44606</v>
      </c>
      <c r="AS504" s="847">
        <v>45498</v>
      </c>
      <c r="AT504" s="847">
        <v>46408</v>
      </c>
      <c r="AU504" s="847">
        <v>47336</v>
      </c>
      <c r="AV504" s="847">
        <v>48283</v>
      </c>
      <c r="AW504" s="847">
        <v>49249</v>
      </c>
      <c r="AX504" s="847">
        <v>50234</v>
      </c>
      <c r="AY504" s="847">
        <v>51238</v>
      </c>
      <c r="AZ504" s="847">
        <v>52263</v>
      </c>
      <c r="BA504" s="847">
        <v>53308</v>
      </c>
      <c r="BB504" s="847">
        <v>54374</v>
      </c>
      <c r="BC504" s="847">
        <v>55462</v>
      </c>
      <c r="BD504" s="847">
        <v>56569</v>
      </c>
      <c r="BE504" s="847">
        <v>57693</v>
      </c>
      <c r="BF504" s="847">
        <v>58836</v>
      </c>
      <c r="BG504" s="847">
        <v>59996</v>
      </c>
      <c r="BH504" s="847">
        <v>61174</v>
      </c>
      <c r="BI504" s="847">
        <v>62369</v>
      </c>
      <c r="BJ504" s="847">
        <v>63581</v>
      </c>
      <c r="BK504" s="847">
        <v>64809</v>
      </c>
      <c r="BL504" s="847">
        <v>66054</v>
      </c>
      <c r="BM504" s="847">
        <v>67314</v>
      </c>
      <c r="BN504" s="847">
        <v>68590</v>
      </c>
      <c r="BO504" s="847">
        <v>69881</v>
      </c>
      <c r="BP504" s="847">
        <v>71187</v>
      </c>
      <c r="BQ504" s="847">
        <v>72506</v>
      </c>
      <c r="BR504" s="847">
        <v>73840</v>
      </c>
      <c r="BS504" s="847">
        <v>75187</v>
      </c>
      <c r="BT504" s="847">
        <v>76547</v>
      </c>
      <c r="BU504" s="847">
        <v>77920</v>
      </c>
      <c r="BV504" s="847">
        <v>79304</v>
      </c>
      <c r="BW504" s="847">
        <v>80699</v>
      </c>
      <c r="BX504" s="847">
        <v>82105</v>
      </c>
      <c r="BY504" s="847">
        <v>83521</v>
      </c>
      <c r="BZ504" s="847">
        <v>84947</v>
      </c>
      <c r="CA504" s="847">
        <v>86382</v>
      </c>
      <c r="CB504" s="847">
        <v>87826</v>
      </c>
      <c r="CC504" s="847">
        <v>89279</v>
      </c>
      <c r="CD504" s="847">
        <v>90739</v>
      </c>
      <c r="CE504" s="847">
        <v>92207</v>
      </c>
      <c r="CF504" s="847">
        <v>93680</v>
      </c>
      <c r="CG504" s="847">
        <v>95153</v>
      </c>
      <c r="CH504" s="847">
        <v>96632</v>
      </c>
      <c r="CI504" s="847">
        <v>98113</v>
      </c>
      <c r="CJ504" s="847">
        <v>99598</v>
      </c>
      <c r="CK504" s="847">
        <v>101085</v>
      </c>
      <c r="CL504" s="847">
        <v>102574</v>
      </c>
      <c r="CM504" s="847">
        <v>104065</v>
      </c>
      <c r="CN504" s="847">
        <v>105556</v>
      </c>
      <c r="CO504" s="847">
        <v>107049</v>
      </c>
      <c r="CP504" s="847">
        <v>108541</v>
      </c>
      <c r="CQ504" s="847">
        <v>110034</v>
      </c>
      <c r="CR504" s="847">
        <v>111526</v>
      </c>
      <c r="CS504" s="847">
        <v>113017</v>
      </c>
      <c r="CT504" s="847">
        <v>114508</v>
      </c>
      <c r="CU504" s="847">
        <v>115999</v>
      </c>
      <c r="CV504" s="847">
        <v>117491</v>
      </c>
      <c r="CW504" s="847">
        <v>118990</v>
      </c>
      <c r="CX504" s="847">
        <v>120519</v>
      </c>
      <c r="CY504" s="847">
        <v>122184</v>
      </c>
      <c r="CZ504" s="847">
        <v>123400</v>
      </c>
      <c r="DA504" s="847">
        <v>0</v>
      </c>
      <c r="DB504" s="847">
        <v>0</v>
      </c>
      <c r="DC504" s="847">
        <v>0</v>
      </c>
      <c r="DD504" s="847">
        <v>0</v>
      </c>
      <c r="DE504" s="847">
        <v>0</v>
      </c>
      <c r="DF504" s="847">
        <v>0</v>
      </c>
      <c r="DG504" s="847">
        <v>0</v>
      </c>
      <c r="DH504" s="847">
        <v>0</v>
      </c>
      <c r="DI504" s="847">
        <v>0</v>
      </c>
      <c r="DJ504" s="847">
        <v>0</v>
      </c>
      <c r="DK504" s="847">
        <v>0</v>
      </c>
      <c r="DL504" s="847">
        <v>0</v>
      </c>
      <c r="DM504" s="847">
        <v>0</v>
      </c>
      <c r="DN504" s="847">
        <v>0</v>
      </c>
      <c r="DO504" s="847">
        <v>0</v>
      </c>
      <c r="DP504" s="847">
        <v>0</v>
      </c>
      <c r="DQ504" s="847">
        <v>0</v>
      </c>
      <c r="DR504" s="847">
        <v>0</v>
      </c>
      <c r="DS504" s="847">
        <v>0</v>
      </c>
      <c r="DT504" s="847">
        <v>0</v>
      </c>
      <c r="DU504" s="847">
        <v>0</v>
      </c>
      <c r="DV504" s="847">
        <v>0</v>
      </c>
      <c r="DW504" s="847">
        <v>0</v>
      </c>
      <c r="DX504" s="847">
        <v>0</v>
      </c>
    </row>
    <row r="505" spans="12:128" hidden="1">
      <c r="L505" s="846" t="s">
        <v>1060</v>
      </c>
      <c r="M505" s="846" t="s">
        <v>1382</v>
      </c>
      <c r="N505" s="846" t="s">
        <v>96</v>
      </c>
      <c r="O505" s="847">
        <v>25</v>
      </c>
      <c r="P505" s="780" t="str">
        <f t="shared" si="18"/>
        <v>IWT060125</v>
      </c>
      <c r="Q505" s="847">
        <v>26201</v>
      </c>
      <c r="R505" s="847">
        <v>26725</v>
      </c>
      <c r="S505" s="847">
        <v>27260</v>
      </c>
      <c r="T505" s="847">
        <v>27805</v>
      </c>
      <c r="U505" s="847">
        <v>28361</v>
      </c>
      <c r="V505" s="847">
        <v>28928</v>
      </c>
      <c r="W505" s="847">
        <v>29504</v>
      </c>
      <c r="X505" s="847">
        <v>30093</v>
      </c>
      <c r="Y505" s="847">
        <v>30693</v>
      </c>
      <c r="Z505" s="847">
        <v>31307</v>
      </c>
      <c r="AA505" s="847">
        <v>31933</v>
      </c>
      <c r="AB505" s="847">
        <v>32571</v>
      </c>
      <c r="AC505" s="847">
        <v>33223</v>
      </c>
      <c r="AD505" s="847">
        <v>33887</v>
      </c>
      <c r="AE505" s="847">
        <v>34565</v>
      </c>
      <c r="AF505" s="847">
        <v>35256</v>
      </c>
      <c r="AG505" s="847">
        <v>35962</v>
      </c>
      <c r="AH505" s="847">
        <v>36681</v>
      </c>
      <c r="AI505" s="847">
        <v>37414</v>
      </c>
      <c r="AJ505" s="847">
        <v>38163</v>
      </c>
      <c r="AK505" s="847">
        <v>38926</v>
      </c>
      <c r="AL505" s="847">
        <v>39704</v>
      </c>
      <c r="AM505" s="847">
        <v>40499</v>
      </c>
      <c r="AN505" s="847">
        <v>41308</v>
      </c>
      <c r="AO505" s="847">
        <v>42135</v>
      </c>
      <c r="AP505" s="847">
        <v>42977</v>
      </c>
      <c r="AQ505" s="847">
        <v>43837</v>
      </c>
      <c r="AR505" s="847">
        <v>44714</v>
      </c>
      <c r="AS505" s="847">
        <v>45608</v>
      </c>
      <c r="AT505" s="847">
        <v>46520</v>
      </c>
      <c r="AU505" s="847">
        <v>47450</v>
      </c>
      <c r="AV505" s="847">
        <v>48399</v>
      </c>
      <c r="AW505" s="847">
        <v>49367</v>
      </c>
      <c r="AX505" s="847">
        <v>50355</v>
      </c>
      <c r="AY505" s="847">
        <v>51362</v>
      </c>
      <c r="AZ505" s="847">
        <v>52389</v>
      </c>
      <c r="BA505" s="847">
        <v>53437</v>
      </c>
      <c r="BB505" s="847">
        <v>54505</v>
      </c>
      <c r="BC505" s="847">
        <v>55595</v>
      </c>
      <c r="BD505" s="847">
        <v>56707</v>
      </c>
      <c r="BE505" s="847">
        <v>57836</v>
      </c>
      <c r="BF505" s="847">
        <v>58983</v>
      </c>
      <c r="BG505" s="847">
        <v>60147</v>
      </c>
      <c r="BH505" s="847">
        <v>61329</v>
      </c>
      <c r="BI505" s="847">
        <v>62527</v>
      </c>
      <c r="BJ505" s="847">
        <v>63743</v>
      </c>
      <c r="BK505" s="847">
        <v>64975</v>
      </c>
      <c r="BL505" s="847">
        <v>66223</v>
      </c>
      <c r="BM505" s="847">
        <v>67486</v>
      </c>
      <c r="BN505" s="847">
        <v>68765</v>
      </c>
      <c r="BO505" s="847">
        <v>70058</v>
      </c>
      <c r="BP505" s="847">
        <v>71366</v>
      </c>
      <c r="BQ505" s="847">
        <v>72688</v>
      </c>
      <c r="BR505" s="847">
        <v>74024</v>
      </c>
      <c r="BS505" s="847">
        <v>75373</v>
      </c>
      <c r="BT505" s="847">
        <v>76735</v>
      </c>
      <c r="BU505" s="847">
        <v>78109</v>
      </c>
      <c r="BV505" s="847">
        <v>79493</v>
      </c>
      <c r="BW505" s="847">
        <v>80889</v>
      </c>
      <c r="BX505" s="847">
        <v>82295</v>
      </c>
      <c r="BY505" s="847">
        <v>83711</v>
      </c>
      <c r="BZ505" s="847">
        <v>85137</v>
      </c>
      <c r="CA505" s="847">
        <v>86572</v>
      </c>
      <c r="CB505" s="847">
        <v>88016</v>
      </c>
      <c r="CC505" s="847">
        <v>89469</v>
      </c>
      <c r="CD505" s="847">
        <v>90928</v>
      </c>
      <c r="CE505" s="847">
        <v>92393</v>
      </c>
      <c r="CF505" s="847">
        <v>93859</v>
      </c>
      <c r="CG505" s="847">
        <v>95330</v>
      </c>
      <c r="CH505" s="847">
        <v>96805</v>
      </c>
      <c r="CI505" s="847">
        <v>98283</v>
      </c>
      <c r="CJ505" s="847">
        <v>99764</v>
      </c>
      <c r="CK505" s="847">
        <v>101247</v>
      </c>
      <c r="CL505" s="847">
        <v>102732</v>
      </c>
      <c r="CM505" s="847">
        <v>104219</v>
      </c>
      <c r="CN505" s="847">
        <v>105706</v>
      </c>
      <c r="CO505" s="847">
        <v>107194</v>
      </c>
      <c r="CP505" s="847">
        <v>108682</v>
      </c>
      <c r="CQ505" s="847">
        <v>110169</v>
      </c>
      <c r="CR505" s="847">
        <v>111657</v>
      </c>
      <c r="CS505" s="847">
        <v>113144</v>
      </c>
      <c r="CT505" s="847">
        <v>114631</v>
      </c>
      <c r="CU505" s="847">
        <v>116120</v>
      </c>
      <c r="CV505" s="847">
        <v>117615</v>
      </c>
      <c r="CW505" s="847">
        <v>119141</v>
      </c>
      <c r="CX505" s="847">
        <v>120798</v>
      </c>
      <c r="CY505" s="847">
        <v>122000</v>
      </c>
      <c r="CZ505" s="847">
        <v>0</v>
      </c>
      <c r="DA505" s="847">
        <v>0</v>
      </c>
      <c r="DB505" s="847">
        <v>0</v>
      </c>
      <c r="DC505" s="847">
        <v>0</v>
      </c>
      <c r="DD505" s="847">
        <v>0</v>
      </c>
      <c r="DE505" s="847">
        <v>0</v>
      </c>
      <c r="DF505" s="847">
        <v>0</v>
      </c>
      <c r="DG505" s="847">
        <v>0</v>
      </c>
      <c r="DH505" s="847">
        <v>0</v>
      </c>
      <c r="DI505" s="847">
        <v>0</v>
      </c>
      <c r="DJ505" s="847">
        <v>0</v>
      </c>
      <c r="DK505" s="847">
        <v>0</v>
      </c>
      <c r="DL505" s="847">
        <v>0</v>
      </c>
      <c r="DM505" s="847">
        <v>0</v>
      </c>
      <c r="DN505" s="847">
        <v>0</v>
      </c>
      <c r="DO505" s="847">
        <v>0</v>
      </c>
      <c r="DP505" s="847">
        <v>0</v>
      </c>
      <c r="DQ505" s="847">
        <v>0</v>
      </c>
      <c r="DR505" s="847">
        <v>0</v>
      </c>
      <c r="DS505" s="847">
        <v>0</v>
      </c>
      <c r="DT505" s="847">
        <v>0</v>
      </c>
      <c r="DU505" s="847">
        <v>0</v>
      </c>
      <c r="DV505" s="847">
        <v>0</v>
      </c>
      <c r="DW505" s="847">
        <v>0</v>
      </c>
      <c r="DX505" s="847">
        <v>0</v>
      </c>
    </row>
    <row r="506" spans="12:128" hidden="1">
      <c r="L506" s="846" t="s">
        <v>1060</v>
      </c>
      <c r="M506" s="846" t="s">
        <v>1382</v>
      </c>
      <c r="N506" s="846" t="s">
        <v>96</v>
      </c>
      <c r="O506" s="847">
        <v>26</v>
      </c>
      <c r="P506" s="780" t="str">
        <f t="shared" si="18"/>
        <v>IWT060126</v>
      </c>
      <c r="Q506" s="847">
        <v>26261</v>
      </c>
      <c r="R506" s="847">
        <v>26786</v>
      </c>
      <c r="S506" s="847">
        <v>27322</v>
      </c>
      <c r="T506" s="847">
        <v>27868</v>
      </c>
      <c r="U506" s="847">
        <v>28425</v>
      </c>
      <c r="V506" s="847">
        <v>28994</v>
      </c>
      <c r="W506" s="847">
        <v>29571</v>
      </c>
      <c r="X506" s="847">
        <v>30161</v>
      </c>
      <c r="Y506" s="847">
        <v>30763</v>
      </c>
      <c r="Z506" s="847">
        <v>31377</v>
      </c>
      <c r="AA506" s="847">
        <v>32005</v>
      </c>
      <c r="AB506" s="847">
        <v>32645</v>
      </c>
      <c r="AC506" s="847">
        <v>33298</v>
      </c>
      <c r="AD506" s="847">
        <v>33964</v>
      </c>
      <c r="AE506" s="847">
        <v>34643</v>
      </c>
      <c r="AF506" s="847">
        <v>35336</v>
      </c>
      <c r="AG506" s="847">
        <v>36043</v>
      </c>
      <c r="AH506" s="847">
        <v>36764</v>
      </c>
      <c r="AI506" s="847">
        <v>37499</v>
      </c>
      <c r="AJ506" s="847">
        <v>38249</v>
      </c>
      <c r="AK506" s="847">
        <v>39014</v>
      </c>
      <c r="AL506" s="847">
        <v>39794</v>
      </c>
      <c r="AM506" s="847">
        <v>40590</v>
      </c>
      <c r="AN506" s="847">
        <v>41402</v>
      </c>
      <c r="AO506" s="847">
        <v>42230</v>
      </c>
      <c r="AP506" s="847">
        <v>43074</v>
      </c>
      <c r="AQ506" s="847">
        <v>43936</v>
      </c>
      <c r="AR506" s="847">
        <v>44815</v>
      </c>
      <c r="AS506" s="847">
        <v>45711</v>
      </c>
      <c r="AT506" s="847">
        <v>46625</v>
      </c>
      <c r="AU506" s="847">
        <v>47558</v>
      </c>
      <c r="AV506" s="847">
        <v>48509</v>
      </c>
      <c r="AW506" s="847">
        <v>49479</v>
      </c>
      <c r="AX506" s="847">
        <v>50468</v>
      </c>
      <c r="AY506" s="847">
        <v>51478</v>
      </c>
      <c r="AZ506" s="847">
        <v>52507</v>
      </c>
      <c r="BA506" s="847">
        <v>53557</v>
      </c>
      <c r="BB506" s="847">
        <v>54629</v>
      </c>
      <c r="BC506" s="847">
        <v>55721</v>
      </c>
      <c r="BD506" s="847">
        <v>56835</v>
      </c>
      <c r="BE506" s="847">
        <v>57969</v>
      </c>
      <c r="BF506" s="847">
        <v>59120</v>
      </c>
      <c r="BG506" s="847">
        <v>60288</v>
      </c>
      <c r="BH506" s="847">
        <v>61474</v>
      </c>
      <c r="BI506" s="847">
        <v>62677</v>
      </c>
      <c r="BJ506" s="847">
        <v>63896</v>
      </c>
      <c r="BK506" s="847">
        <v>65131</v>
      </c>
      <c r="BL506" s="847">
        <v>66382</v>
      </c>
      <c r="BM506" s="847">
        <v>67649</v>
      </c>
      <c r="BN506" s="847">
        <v>68930</v>
      </c>
      <c r="BO506" s="847">
        <v>70226</v>
      </c>
      <c r="BP506" s="847">
        <v>71537</v>
      </c>
      <c r="BQ506" s="847">
        <v>72861</v>
      </c>
      <c r="BR506" s="847">
        <v>74199</v>
      </c>
      <c r="BS506" s="847">
        <v>75550</v>
      </c>
      <c r="BT506" s="847">
        <v>76913</v>
      </c>
      <c r="BU506" s="847">
        <v>78288</v>
      </c>
      <c r="BV506" s="847">
        <v>79673</v>
      </c>
      <c r="BW506" s="847">
        <v>81070</v>
      </c>
      <c r="BX506" s="847">
        <v>82476</v>
      </c>
      <c r="BY506" s="847">
        <v>83893</v>
      </c>
      <c r="BZ506" s="847">
        <v>85319</v>
      </c>
      <c r="CA506" s="847">
        <v>86754</v>
      </c>
      <c r="CB506" s="847">
        <v>88198</v>
      </c>
      <c r="CC506" s="847">
        <v>89649</v>
      </c>
      <c r="CD506" s="847">
        <v>91106</v>
      </c>
      <c r="CE506" s="847">
        <v>92565</v>
      </c>
      <c r="CF506" s="847">
        <v>94029</v>
      </c>
      <c r="CG506" s="847">
        <v>95497</v>
      </c>
      <c r="CH506" s="847">
        <v>96968</v>
      </c>
      <c r="CI506" s="847">
        <v>98443</v>
      </c>
      <c r="CJ506" s="847">
        <v>99920</v>
      </c>
      <c r="CK506" s="847">
        <v>101400</v>
      </c>
      <c r="CL506" s="847">
        <v>102881</v>
      </c>
      <c r="CM506" s="847">
        <v>104363</v>
      </c>
      <c r="CN506" s="847">
        <v>105846</v>
      </c>
      <c r="CO506" s="847">
        <v>107329</v>
      </c>
      <c r="CP506" s="847">
        <v>108813</v>
      </c>
      <c r="CQ506" s="847">
        <v>110296</v>
      </c>
      <c r="CR506" s="847">
        <v>111780</v>
      </c>
      <c r="CS506" s="847">
        <v>113263</v>
      </c>
      <c r="CT506" s="847">
        <v>114748</v>
      </c>
      <c r="CU506" s="847">
        <v>116241</v>
      </c>
      <c r="CV506" s="847">
        <v>117762</v>
      </c>
      <c r="CW506" s="847">
        <v>119412</v>
      </c>
      <c r="CX506" s="847">
        <v>120600</v>
      </c>
      <c r="CY506" s="847">
        <v>0</v>
      </c>
      <c r="CZ506" s="847">
        <v>0</v>
      </c>
      <c r="DA506" s="847">
        <v>0</v>
      </c>
      <c r="DB506" s="847">
        <v>0</v>
      </c>
      <c r="DC506" s="847">
        <v>0</v>
      </c>
      <c r="DD506" s="847">
        <v>0</v>
      </c>
      <c r="DE506" s="847">
        <v>0</v>
      </c>
      <c r="DF506" s="847">
        <v>0</v>
      </c>
      <c r="DG506" s="847">
        <v>0</v>
      </c>
      <c r="DH506" s="847">
        <v>0</v>
      </c>
      <c r="DI506" s="847">
        <v>0</v>
      </c>
      <c r="DJ506" s="847">
        <v>0</v>
      </c>
      <c r="DK506" s="847">
        <v>0</v>
      </c>
      <c r="DL506" s="847">
        <v>0</v>
      </c>
      <c r="DM506" s="847">
        <v>0</v>
      </c>
      <c r="DN506" s="847">
        <v>0</v>
      </c>
      <c r="DO506" s="847">
        <v>0</v>
      </c>
      <c r="DP506" s="847">
        <v>0</v>
      </c>
      <c r="DQ506" s="847">
        <v>0</v>
      </c>
      <c r="DR506" s="847">
        <v>0</v>
      </c>
      <c r="DS506" s="847">
        <v>0</v>
      </c>
      <c r="DT506" s="847">
        <v>0</v>
      </c>
      <c r="DU506" s="847">
        <v>0</v>
      </c>
      <c r="DV506" s="847">
        <v>0</v>
      </c>
      <c r="DW506" s="847">
        <v>0</v>
      </c>
      <c r="DX506" s="847">
        <v>0</v>
      </c>
    </row>
    <row r="507" spans="12:128" hidden="1">
      <c r="L507" s="846" t="s">
        <v>1060</v>
      </c>
      <c r="M507" s="846" t="s">
        <v>1382</v>
      </c>
      <c r="N507" s="846" t="s">
        <v>96</v>
      </c>
      <c r="O507" s="847">
        <v>27</v>
      </c>
      <c r="P507" s="780" t="str">
        <f t="shared" si="18"/>
        <v>IWT060127</v>
      </c>
      <c r="Q507" s="847">
        <v>26316</v>
      </c>
      <c r="R507" s="847">
        <v>26843</v>
      </c>
      <c r="S507" s="847">
        <v>27380</v>
      </c>
      <c r="T507" s="847">
        <v>27927</v>
      </c>
      <c r="U507" s="847">
        <v>28486</v>
      </c>
      <c r="V507" s="847">
        <v>29055</v>
      </c>
      <c r="W507" s="847">
        <v>29634</v>
      </c>
      <c r="X507" s="847">
        <v>30225</v>
      </c>
      <c r="Y507" s="847">
        <v>30828</v>
      </c>
      <c r="Z507" s="847">
        <v>31444</v>
      </c>
      <c r="AA507" s="847">
        <v>32072</v>
      </c>
      <c r="AB507" s="847">
        <v>32714</v>
      </c>
      <c r="AC507" s="847">
        <v>33368</v>
      </c>
      <c r="AD507" s="847">
        <v>34035</v>
      </c>
      <c r="AE507" s="847">
        <v>34716</v>
      </c>
      <c r="AF507" s="847">
        <v>35410</v>
      </c>
      <c r="AG507" s="847">
        <v>36119</v>
      </c>
      <c r="AH507" s="847">
        <v>36841</v>
      </c>
      <c r="AI507" s="847">
        <v>37578</v>
      </c>
      <c r="AJ507" s="847">
        <v>38329</v>
      </c>
      <c r="AK507" s="847">
        <v>39096</v>
      </c>
      <c r="AL507" s="847">
        <v>39878</v>
      </c>
      <c r="AM507" s="847">
        <v>40675</v>
      </c>
      <c r="AN507" s="847">
        <v>41489</v>
      </c>
      <c r="AO507" s="847">
        <v>42319</v>
      </c>
      <c r="AP507" s="847">
        <v>43165</v>
      </c>
      <c r="AQ507" s="847">
        <v>44028</v>
      </c>
      <c r="AR507" s="847">
        <v>44909</v>
      </c>
      <c r="AS507" s="847">
        <v>45807</v>
      </c>
      <c r="AT507" s="847">
        <v>46723</v>
      </c>
      <c r="AU507" s="847">
        <v>47658</v>
      </c>
      <c r="AV507" s="847">
        <v>48611</v>
      </c>
      <c r="AW507" s="847">
        <v>49583</v>
      </c>
      <c r="AX507" s="847">
        <v>50575</v>
      </c>
      <c r="AY507" s="847">
        <v>51586</v>
      </c>
      <c r="AZ507" s="847">
        <v>52618</v>
      </c>
      <c r="BA507" s="847">
        <v>53670</v>
      </c>
      <c r="BB507" s="847">
        <v>54743</v>
      </c>
      <c r="BC507" s="847">
        <v>55838</v>
      </c>
      <c r="BD507" s="847">
        <v>56955</v>
      </c>
      <c r="BE507" s="847">
        <v>58093</v>
      </c>
      <c r="BF507" s="847">
        <v>59248</v>
      </c>
      <c r="BG507" s="847">
        <v>60421</v>
      </c>
      <c r="BH507" s="847">
        <v>61610</v>
      </c>
      <c r="BI507" s="847">
        <v>62816</v>
      </c>
      <c r="BJ507" s="847">
        <v>64039</v>
      </c>
      <c r="BK507" s="847">
        <v>65278</v>
      </c>
      <c r="BL507" s="847">
        <v>66532</v>
      </c>
      <c r="BM507" s="847">
        <v>67802</v>
      </c>
      <c r="BN507" s="847">
        <v>69086</v>
      </c>
      <c r="BO507" s="847">
        <v>70385</v>
      </c>
      <c r="BP507" s="847">
        <v>71698</v>
      </c>
      <c r="BQ507" s="847">
        <v>73025</v>
      </c>
      <c r="BR507" s="847">
        <v>74365</v>
      </c>
      <c r="BS507" s="847">
        <v>75718</v>
      </c>
      <c r="BT507" s="847">
        <v>77082</v>
      </c>
      <c r="BU507" s="847">
        <v>78458</v>
      </c>
      <c r="BV507" s="847">
        <v>79844</v>
      </c>
      <c r="BW507" s="847">
        <v>81241</v>
      </c>
      <c r="BX507" s="847">
        <v>82648</v>
      </c>
      <c r="BY507" s="847">
        <v>84065</v>
      </c>
      <c r="BZ507" s="847">
        <v>85492</v>
      </c>
      <c r="CA507" s="847">
        <v>86927</v>
      </c>
      <c r="CB507" s="847">
        <v>88370</v>
      </c>
      <c r="CC507" s="847">
        <v>89819</v>
      </c>
      <c r="CD507" s="847">
        <v>91270</v>
      </c>
      <c r="CE507" s="847">
        <v>92727</v>
      </c>
      <c r="CF507" s="847">
        <v>94188</v>
      </c>
      <c r="CG507" s="847">
        <v>95653</v>
      </c>
      <c r="CH507" s="847">
        <v>97122</v>
      </c>
      <c r="CI507" s="847">
        <v>98593</v>
      </c>
      <c r="CJ507" s="847">
        <v>100067</v>
      </c>
      <c r="CK507" s="847">
        <v>101543</v>
      </c>
      <c r="CL507" s="847">
        <v>103020</v>
      </c>
      <c r="CM507" s="847">
        <v>104498</v>
      </c>
      <c r="CN507" s="847">
        <v>105977</v>
      </c>
      <c r="CO507" s="847">
        <v>107457</v>
      </c>
      <c r="CP507" s="847">
        <v>108936</v>
      </c>
      <c r="CQ507" s="847">
        <v>110416</v>
      </c>
      <c r="CR507" s="847">
        <v>111896</v>
      </c>
      <c r="CS507" s="847">
        <v>113377</v>
      </c>
      <c r="CT507" s="847">
        <v>114866</v>
      </c>
      <c r="CU507" s="847">
        <v>116383</v>
      </c>
      <c r="CV507" s="847">
        <v>118026</v>
      </c>
      <c r="CW507" s="847">
        <v>119200</v>
      </c>
      <c r="CX507" s="847">
        <v>0</v>
      </c>
      <c r="CY507" s="847">
        <v>0</v>
      </c>
      <c r="CZ507" s="847">
        <v>0</v>
      </c>
      <c r="DA507" s="847">
        <v>0</v>
      </c>
      <c r="DB507" s="847">
        <v>0</v>
      </c>
      <c r="DC507" s="847">
        <v>0</v>
      </c>
      <c r="DD507" s="847">
        <v>0</v>
      </c>
      <c r="DE507" s="847">
        <v>0</v>
      </c>
      <c r="DF507" s="847">
        <v>0</v>
      </c>
      <c r="DG507" s="847">
        <v>0</v>
      </c>
      <c r="DH507" s="847">
        <v>0</v>
      </c>
      <c r="DI507" s="847">
        <v>0</v>
      </c>
      <c r="DJ507" s="847">
        <v>0</v>
      </c>
      <c r="DK507" s="847">
        <v>0</v>
      </c>
      <c r="DL507" s="847">
        <v>0</v>
      </c>
      <c r="DM507" s="847">
        <v>0</v>
      </c>
      <c r="DN507" s="847">
        <v>0</v>
      </c>
      <c r="DO507" s="847">
        <v>0</v>
      </c>
      <c r="DP507" s="847">
        <v>0</v>
      </c>
      <c r="DQ507" s="847">
        <v>0</v>
      </c>
      <c r="DR507" s="847">
        <v>0</v>
      </c>
      <c r="DS507" s="847">
        <v>0</v>
      </c>
      <c r="DT507" s="847">
        <v>0</v>
      </c>
      <c r="DU507" s="847">
        <v>0</v>
      </c>
      <c r="DV507" s="847">
        <v>0</v>
      </c>
      <c r="DW507" s="847">
        <v>0</v>
      </c>
      <c r="DX507" s="847">
        <v>0</v>
      </c>
    </row>
    <row r="508" spans="12:128" hidden="1">
      <c r="L508" s="846" t="s">
        <v>1060</v>
      </c>
      <c r="M508" s="846" t="s">
        <v>1382</v>
      </c>
      <c r="N508" s="846" t="s">
        <v>96</v>
      </c>
      <c r="O508" s="847">
        <v>28</v>
      </c>
      <c r="P508" s="780" t="str">
        <f t="shared" si="18"/>
        <v>IWT060128</v>
      </c>
      <c r="Q508" s="847">
        <v>26368</v>
      </c>
      <c r="R508" s="847">
        <v>26896</v>
      </c>
      <c r="S508" s="847">
        <v>27434</v>
      </c>
      <c r="T508" s="847">
        <v>27982</v>
      </c>
      <c r="U508" s="847">
        <v>28542</v>
      </c>
      <c r="V508" s="847">
        <v>29113</v>
      </c>
      <c r="W508" s="847">
        <v>29692</v>
      </c>
      <c r="X508" s="847">
        <v>30284</v>
      </c>
      <c r="Y508" s="847">
        <v>30888</v>
      </c>
      <c r="Z508" s="847">
        <v>31505</v>
      </c>
      <c r="AA508" s="847">
        <v>32135</v>
      </c>
      <c r="AB508" s="847">
        <v>32778</v>
      </c>
      <c r="AC508" s="847">
        <v>33433</v>
      </c>
      <c r="AD508" s="847">
        <v>34102</v>
      </c>
      <c r="AE508" s="847">
        <v>34784</v>
      </c>
      <c r="AF508" s="847">
        <v>35480</v>
      </c>
      <c r="AG508" s="847">
        <v>36189</v>
      </c>
      <c r="AH508" s="847">
        <v>36913</v>
      </c>
      <c r="AI508" s="847">
        <v>37651</v>
      </c>
      <c r="AJ508" s="847">
        <v>38404</v>
      </c>
      <c r="AK508" s="847">
        <v>39172</v>
      </c>
      <c r="AL508" s="847">
        <v>39956</v>
      </c>
      <c r="AM508" s="847">
        <v>40755</v>
      </c>
      <c r="AN508" s="847">
        <v>41570</v>
      </c>
      <c r="AO508" s="847">
        <v>42401</v>
      </c>
      <c r="AP508" s="847">
        <v>43249</v>
      </c>
      <c r="AQ508" s="847">
        <v>44114</v>
      </c>
      <c r="AR508" s="847">
        <v>44997</v>
      </c>
      <c r="AS508" s="847">
        <v>45897</v>
      </c>
      <c r="AT508" s="847">
        <v>46815</v>
      </c>
      <c r="AU508" s="847">
        <v>47751</v>
      </c>
      <c r="AV508" s="847">
        <v>48706</v>
      </c>
      <c r="AW508" s="847">
        <v>49680</v>
      </c>
      <c r="AX508" s="847">
        <v>50673</v>
      </c>
      <c r="AY508" s="847">
        <v>51687</v>
      </c>
      <c r="AZ508" s="847">
        <v>52721</v>
      </c>
      <c r="BA508" s="847">
        <v>53775</v>
      </c>
      <c r="BB508" s="847">
        <v>54850</v>
      </c>
      <c r="BC508" s="847">
        <v>55947</v>
      </c>
      <c r="BD508" s="847">
        <v>57066</v>
      </c>
      <c r="BE508" s="847">
        <v>58208</v>
      </c>
      <c r="BF508" s="847">
        <v>59367</v>
      </c>
      <c r="BG508" s="847">
        <v>60544</v>
      </c>
      <c r="BH508" s="847">
        <v>61737</v>
      </c>
      <c r="BI508" s="847">
        <v>62947</v>
      </c>
      <c r="BJ508" s="847">
        <v>64174</v>
      </c>
      <c r="BK508" s="847">
        <v>65416</v>
      </c>
      <c r="BL508" s="847">
        <v>66674</v>
      </c>
      <c r="BM508" s="847">
        <v>67946</v>
      </c>
      <c r="BN508" s="847">
        <v>69234</v>
      </c>
      <c r="BO508" s="847">
        <v>70536</v>
      </c>
      <c r="BP508" s="847">
        <v>71851</v>
      </c>
      <c r="BQ508" s="847">
        <v>73180</v>
      </c>
      <c r="BR508" s="847">
        <v>74522</v>
      </c>
      <c r="BS508" s="847">
        <v>75876</v>
      </c>
      <c r="BT508" s="847">
        <v>77242</v>
      </c>
      <c r="BU508" s="847">
        <v>78618</v>
      </c>
      <c r="BV508" s="847">
        <v>80006</v>
      </c>
      <c r="BW508" s="847">
        <v>81404</v>
      </c>
      <c r="BX508" s="847">
        <v>82812</v>
      </c>
      <c r="BY508" s="847">
        <v>84230</v>
      </c>
      <c r="BZ508" s="847">
        <v>85656</v>
      </c>
      <c r="CA508" s="847">
        <v>87091</v>
      </c>
      <c r="CB508" s="847">
        <v>88532</v>
      </c>
      <c r="CC508" s="847">
        <v>89976</v>
      </c>
      <c r="CD508" s="847">
        <v>91426</v>
      </c>
      <c r="CE508" s="847">
        <v>92880</v>
      </c>
      <c r="CF508" s="847">
        <v>94339</v>
      </c>
      <c r="CG508" s="847">
        <v>95801</v>
      </c>
      <c r="CH508" s="847">
        <v>97267</v>
      </c>
      <c r="CI508" s="847">
        <v>98735</v>
      </c>
      <c r="CJ508" s="847">
        <v>100205</v>
      </c>
      <c r="CK508" s="847">
        <v>101677</v>
      </c>
      <c r="CL508" s="847">
        <v>103151</v>
      </c>
      <c r="CM508" s="847">
        <v>104625</v>
      </c>
      <c r="CN508" s="847">
        <v>106100</v>
      </c>
      <c r="CO508" s="847">
        <v>107576</v>
      </c>
      <c r="CP508" s="847">
        <v>109051</v>
      </c>
      <c r="CQ508" s="847">
        <v>110528</v>
      </c>
      <c r="CR508" s="847">
        <v>112006</v>
      </c>
      <c r="CS508" s="847">
        <v>113492</v>
      </c>
      <c r="CT508" s="847">
        <v>115004</v>
      </c>
      <c r="CU508" s="847">
        <v>116639</v>
      </c>
      <c r="CV508" s="847">
        <v>117800</v>
      </c>
      <c r="CW508" s="847">
        <v>0</v>
      </c>
      <c r="CX508" s="847">
        <v>0</v>
      </c>
      <c r="CY508" s="847">
        <v>0</v>
      </c>
      <c r="CZ508" s="847">
        <v>0</v>
      </c>
      <c r="DA508" s="847">
        <v>0</v>
      </c>
      <c r="DB508" s="847">
        <v>0</v>
      </c>
      <c r="DC508" s="847">
        <v>0</v>
      </c>
      <c r="DD508" s="847">
        <v>0</v>
      </c>
      <c r="DE508" s="847">
        <v>0</v>
      </c>
      <c r="DF508" s="847">
        <v>0</v>
      </c>
      <c r="DG508" s="847">
        <v>0</v>
      </c>
      <c r="DH508" s="847">
        <v>0</v>
      </c>
      <c r="DI508" s="847">
        <v>0</v>
      </c>
      <c r="DJ508" s="847">
        <v>0</v>
      </c>
      <c r="DK508" s="847">
        <v>0</v>
      </c>
      <c r="DL508" s="847">
        <v>0</v>
      </c>
      <c r="DM508" s="847">
        <v>0</v>
      </c>
      <c r="DN508" s="847">
        <v>0</v>
      </c>
      <c r="DO508" s="847">
        <v>0</v>
      </c>
      <c r="DP508" s="847">
        <v>0</v>
      </c>
      <c r="DQ508" s="847">
        <v>0</v>
      </c>
      <c r="DR508" s="847">
        <v>0</v>
      </c>
      <c r="DS508" s="847">
        <v>0</v>
      </c>
      <c r="DT508" s="847">
        <v>0</v>
      </c>
      <c r="DU508" s="847">
        <v>0</v>
      </c>
      <c r="DV508" s="847">
        <v>0</v>
      </c>
      <c r="DW508" s="847">
        <v>0</v>
      </c>
      <c r="DX508" s="847">
        <v>0</v>
      </c>
    </row>
    <row r="509" spans="12:128" hidden="1">
      <c r="L509" s="846" t="s">
        <v>1060</v>
      </c>
      <c r="M509" s="846" t="s">
        <v>1382</v>
      </c>
      <c r="N509" s="846" t="s">
        <v>96</v>
      </c>
      <c r="O509" s="847">
        <v>29</v>
      </c>
      <c r="P509" s="780" t="str">
        <f t="shared" si="18"/>
        <v>IWT060129</v>
      </c>
      <c r="Q509" s="847">
        <v>26417</v>
      </c>
      <c r="R509" s="847">
        <v>26945</v>
      </c>
      <c r="S509" s="847">
        <v>27484</v>
      </c>
      <c r="T509" s="847">
        <v>28034</v>
      </c>
      <c r="U509" s="847">
        <v>28595</v>
      </c>
      <c r="V509" s="847">
        <v>29166</v>
      </c>
      <c r="W509" s="847">
        <v>29747</v>
      </c>
      <c r="X509" s="847">
        <v>30339</v>
      </c>
      <c r="Y509" s="847">
        <v>30944</v>
      </c>
      <c r="Z509" s="847">
        <v>31562</v>
      </c>
      <c r="AA509" s="847">
        <v>32194</v>
      </c>
      <c r="AB509" s="847">
        <v>32838</v>
      </c>
      <c r="AC509" s="847">
        <v>33494</v>
      </c>
      <c r="AD509" s="847">
        <v>34164</v>
      </c>
      <c r="AE509" s="847">
        <v>34847</v>
      </c>
      <c r="AF509" s="847">
        <v>35544</v>
      </c>
      <c r="AG509" s="847">
        <v>36255</v>
      </c>
      <c r="AH509" s="847">
        <v>36980</v>
      </c>
      <c r="AI509" s="847">
        <v>37720</v>
      </c>
      <c r="AJ509" s="847">
        <v>38474</v>
      </c>
      <c r="AK509" s="847">
        <v>39244</v>
      </c>
      <c r="AL509" s="847">
        <v>40029</v>
      </c>
      <c r="AM509" s="847">
        <v>40829</v>
      </c>
      <c r="AN509" s="847">
        <v>41646</v>
      </c>
      <c r="AO509" s="847">
        <v>42479</v>
      </c>
      <c r="AP509" s="847">
        <v>43328</v>
      </c>
      <c r="AQ509" s="847">
        <v>44195</v>
      </c>
      <c r="AR509" s="847">
        <v>45079</v>
      </c>
      <c r="AS509" s="847">
        <v>45980</v>
      </c>
      <c r="AT509" s="847">
        <v>46900</v>
      </c>
      <c r="AU509" s="847">
        <v>47838</v>
      </c>
      <c r="AV509" s="847">
        <v>48795</v>
      </c>
      <c r="AW509" s="847">
        <v>49770</v>
      </c>
      <c r="AX509" s="847">
        <v>50766</v>
      </c>
      <c r="AY509" s="847">
        <v>51781</v>
      </c>
      <c r="AZ509" s="847">
        <v>52817</v>
      </c>
      <c r="BA509" s="847">
        <v>53873</v>
      </c>
      <c r="BB509" s="847">
        <v>54950</v>
      </c>
      <c r="BC509" s="847">
        <v>56049</v>
      </c>
      <c r="BD509" s="847">
        <v>57170</v>
      </c>
      <c r="BE509" s="847">
        <v>58314</v>
      </c>
      <c r="BF509" s="847">
        <v>59477</v>
      </c>
      <c r="BG509" s="847">
        <v>60658</v>
      </c>
      <c r="BH509" s="847">
        <v>61856</v>
      </c>
      <c r="BI509" s="847">
        <v>63070</v>
      </c>
      <c r="BJ509" s="847">
        <v>64300</v>
      </c>
      <c r="BK509" s="847">
        <v>65545</v>
      </c>
      <c r="BL509" s="847">
        <v>66806</v>
      </c>
      <c r="BM509" s="847">
        <v>68082</v>
      </c>
      <c r="BN509" s="847">
        <v>69373</v>
      </c>
      <c r="BO509" s="847">
        <v>70677</v>
      </c>
      <c r="BP509" s="847">
        <v>71995</v>
      </c>
      <c r="BQ509" s="847">
        <v>73327</v>
      </c>
      <c r="BR509" s="847">
        <v>74670</v>
      </c>
      <c r="BS509" s="847">
        <v>76026</v>
      </c>
      <c r="BT509" s="847">
        <v>77393</v>
      </c>
      <c r="BU509" s="847">
        <v>78771</v>
      </c>
      <c r="BV509" s="847">
        <v>80159</v>
      </c>
      <c r="BW509" s="847">
        <v>81558</v>
      </c>
      <c r="BX509" s="847">
        <v>82967</v>
      </c>
      <c r="BY509" s="847">
        <v>84385</v>
      </c>
      <c r="BZ509" s="847">
        <v>85812</v>
      </c>
      <c r="CA509" s="847">
        <v>87245</v>
      </c>
      <c r="CB509" s="847">
        <v>88682</v>
      </c>
      <c r="CC509" s="847">
        <v>90124</v>
      </c>
      <c r="CD509" s="847">
        <v>91572</v>
      </c>
      <c r="CE509" s="847">
        <v>93024</v>
      </c>
      <c r="CF509" s="847">
        <v>94480</v>
      </c>
      <c r="CG509" s="847">
        <v>95940</v>
      </c>
      <c r="CH509" s="847">
        <v>97402</v>
      </c>
      <c r="CI509" s="847">
        <v>98867</v>
      </c>
      <c r="CJ509" s="847">
        <v>100335</v>
      </c>
      <c r="CK509" s="847">
        <v>101803</v>
      </c>
      <c r="CL509" s="847">
        <v>103273</v>
      </c>
      <c r="CM509" s="847">
        <v>104744</v>
      </c>
      <c r="CN509" s="847">
        <v>106215</v>
      </c>
      <c r="CO509" s="847">
        <v>107687</v>
      </c>
      <c r="CP509" s="847">
        <v>109160</v>
      </c>
      <c r="CQ509" s="847">
        <v>110635</v>
      </c>
      <c r="CR509" s="847">
        <v>112117</v>
      </c>
      <c r="CS509" s="847">
        <v>113626</v>
      </c>
      <c r="CT509" s="847">
        <v>115253</v>
      </c>
      <c r="CU509" s="847">
        <v>116400</v>
      </c>
      <c r="CV509" s="847">
        <v>0</v>
      </c>
      <c r="CW509" s="847">
        <v>0</v>
      </c>
      <c r="CX509" s="847">
        <v>0</v>
      </c>
      <c r="CY509" s="847">
        <v>0</v>
      </c>
      <c r="CZ509" s="847">
        <v>0</v>
      </c>
      <c r="DA509" s="847">
        <v>0</v>
      </c>
      <c r="DB509" s="847">
        <v>0</v>
      </c>
      <c r="DC509" s="847">
        <v>0</v>
      </c>
      <c r="DD509" s="847">
        <v>0</v>
      </c>
      <c r="DE509" s="847">
        <v>0</v>
      </c>
      <c r="DF509" s="847">
        <v>0</v>
      </c>
      <c r="DG509" s="847">
        <v>0</v>
      </c>
      <c r="DH509" s="847">
        <v>0</v>
      </c>
      <c r="DI509" s="847">
        <v>0</v>
      </c>
      <c r="DJ509" s="847">
        <v>0</v>
      </c>
      <c r="DK509" s="847">
        <v>0</v>
      </c>
      <c r="DL509" s="847">
        <v>0</v>
      </c>
      <c r="DM509" s="847">
        <v>0</v>
      </c>
      <c r="DN509" s="847">
        <v>0</v>
      </c>
      <c r="DO509" s="847">
        <v>0</v>
      </c>
      <c r="DP509" s="847">
        <v>0</v>
      </c>
      <c r="DQ509" s="847">
        <v>0</v>
      </c>
      <c r="DR509" s="847">
        <v>0</v>
      </c>
      <c r="DS509" s="847">
        <v>0</v>
      </c>
      <c r="DT509" s="847">
        <v>0</v>
      </c>
      <c r="DU509" s="847">
        <v>0</v>
      </c>
      <c r="DV509" s="847">
        <v>0</v>
      </c>
      <c r="DW509" s="847">
        <v>0</v>
      </c>
      <c r="DX509" s="847">
        <v>0</v>
      </c>
    </row>
    <row r="510" spans="12:128" hidden="1">
      <c r="L510" s="846" t="s">
        <v>1060</v>
      </c>
      <c r="M510" s="846" t="s">
        <v>1382</v>
      </c>
      <c r="N510" s="846" t="s">
        <v>96</v>
      </c>
      <c r="O510" s="847">
        <v>30</v>
      </c>
      <c r="P510" s="780" t="str">
        <f t="shared" si="18"/>
        <v>IWT060130</v>
      </c>
      <c r="Q510" s="847">
        <v>26462</v>
      </c>
      <c r="R510" s="847">
        <v>26991</v>
      </c>
      <c r="S510" s="847">
        <v>27531</v>
      </c>
      <c r="T510" s="847">
        <v>28081</v>
      </c>
      <c r="U510" s="847">
        <v>28643</v>
      </c>
      <c r="V510" s="847">
        <v>29216</v>
      </c>
      <c r="W510" s="847">
        <v>29797</v>
      </c>
      <c r="X510" s="847">
        <v>30390</v>
      </c>
      <c r="Y510" s="847">
        <v>30996</v>
      </c>
      <c r="Z510" s="847">
        <v>31615</v>
      </c>
      <c r="AA510" s="847">
        <v>32247</v>
      </c>
      <c r="AB510" s="847">
        <v>32892</v>
      </c>
      <c r="AC510" s="847">
        <v>33550</v>
      </c>
      <c r="AD510" s="847">
        <v>34221</v>
      </c>
      <c r="AE510" s="847">
        <v>34906</v>
      </c>
      <c r="AF510" s="847">
        <v>35604</v>
      </c>
      <c r="AG510" s="847">
        <v>36316</v>
      </c>
      <c r="AH510" s="847">
        <v>37042</v>
      </c>
      <c r="AI510" s="847">
        <v>37783</v>
      </c>
      <c r="AJ510" s="847">
        <v>38539</v>
      </c>
      <c r="AK510" s="847">
        <v>39309</v>
      </c>
      <c r="AL510" s="847">
        <v>40096</v>
      </c>
      <c r="AM510" s="847">
        <v>40897</v>
      </c>
      <c r="AN510" s="847">
        <v>41715</v>
      </c>
      <c r="AO510" s="847">
        <v>42550</v>
      </c>
      <c r="AP510" s="847">
        <v>43401</v>
      </c>
      <c r="AQ510" s="847">
        <v>44269</v>
      </c>
      <c r="AR510" s="847">
        <v>45154</v>
      </c>
      <c r="AS510" s="847">
        <v>46057</v>
      </c>
      <c r="AT510" s="847">
        <v>46978</v>
      </c>
      <c r="AU510" s="847">
        <v>47918</v>
      </c>
      <c r="AV510" s="847">
        <v>48876</v>
      </c>
      <c r="AW510" s="847">
        <v>49854</v>
      </c>
      <c r="AX510" s="847">
        <v>50851</v>
      </c>
      <c r="AY510" s="847">
        <v>51868</v>
      </c>
      <c r="AZ510" s="847">
        <v>52905</v>
      </c>
      <c r="BA510" s="847">
        <v>53963</v>
      </c>
      <c r="BB510" s="847">
        <v>55042</v>
      </c>
      <c r="BC510" s="847">
        <v>56143</v>
      </c>
      <c r="BD510" s="847">
        <v>57266</v>
      </c>
      <c r="BE510" s="847">
        <v>58411</v>
      </c>
      <c r="BF510" s="847">
        <v>59579</v>
      </c>
      <c r="BG510" s="847">
        <v>60764</v>
      </c>
      <c r="BH510" s="847">
        <v>61965</v>
      </c>
      <c r="BI510" s="847">
        <v>63183</v>
      </c>
      <c r="BJ510" s="847">
        <v>64417</v>
      </c>
      <c r="BK510" s="847">
        <v>65666</v>
      </c>
      <c r="BL510" s="847">
        <v>66931</v>
      </c>
      <c r="BM510" s="847">
        <v>68210</v>
      </c>
      <c r="BN510" s="847">
        <v>69503</v>
      </c>
      <c r="BO510" s="847">
        <v>70811</v>
      </c>
      <c r="BP510" s="847">
        <v>72131</v>
      </c>
      <c r="BQ510" s="847">
        <v>73464</v>
      </c>
      <c r="BR510" s="847">
        <v>74810</v>
      </c>
      <c r="BS510" s="847">
        <v>76167</v>
      </c>
      <c r="BT510" s="847">
        <v>77536</v>
      </c>
      <c r="BU510" s="847">
        <v>78915</v>
      </c>
      <c r="BV510" s="847">
        <v>80305</v>
      </c>
      <c r="BW510" s="847">
        <v>81705</v>
      </c>
      <c r="BX510" s="847">
        <v>83115</v>
      </c>
      <c r="BY510" s="847">
        <v>84533</v>
      </c>
      <c r="BZ510" s="847">
        <v>85958</v>
      </c>
      <c r="CA510" s="847">
        <v>87387</v>
      </c>
      <c r="CB510" s="847">
        <v>88823</v>
      </c>
      <c r="CC510" s="847">
        <v>90263</v>
      </c>
      <c r="CD510" s="847">
        <v>91709</v>
      </c>
      <c r="CE510" s="847">
        <v>93159</v>
      </c>
      <c r="CF510" s="847">
        <v>94613</v>
      </c>
      <c r="CG510" s="847">
        <v>96070</v>
      </c>
      <c r="CH510" s="847">
        <v>97530</v>
      </c>
      <c r="CI510" s="847">
        <v>98992</v>
      </c>
      <c r="CJ510" s="847">
        <v>100456</v>
      </c>
      <c r="CK510" s="847">
        <v>101921</v>
      </c>
      <c r="CL510" s="847">
        <v>103388</v>
      </c>
      <c r="CM510" s="847">
        <v>104855</v>
      </c>
      <c r="CN510" s="847">
        <v>106323</v>
      </c>
      <c r="CO510" s="847">
        <v>107792</v>
      </c>
      <c r="CP510" s="847">
        <v>109264</v>
      </c>
      <c r="CQ510" s="847">
        <v>110742</v>
      </c>
      <c r="CR510" s="847">
        <v>112247</v>
      </c>
      <c r="CS510" s="847">
        <v>113867</v>
      </c>
      <c r="CT510" s="847">
        <v>115000</v>
      </c>
      <c r="CU510" s="847">
        <v>0</v>
      </c>
      <c r="CV510" s="847">
        <v>0</v>
      </c>
      <c r="CW510" s="847">
        <v>0</v>
      </c>
      <c r="CX510" s="847">
        <v>0</v>
      </c>
      <c r="CY510" s="847">
        <v>0</v>
      </c>
      <c r="CZ510" s="847">
        <v>0</v>
      </c>
      <c r="DA510" s="847">
        <v>0</v>
      </c>
      <c r="DB510" s="847">
        <v>0</v>
      </c>
      <c r="DC510" s="847">
        <v>0</v>
      </c>
      <c r="DD510" s="847">
        <v>0</v>
      </c>
      <c r="DE510" s="847">
        <v>0</v>
      </c>
      <c r="DF510" s="847">
        <v>0</v>
      </c>
      <c r="DG510" s="847">
        <v>0</v>
      </c>
      <c r="DH510" s="847">
        <v>0</v>
      </c>
      <c r="DI510" s="847">
        <v>0</v>
      </c>
      <c r="DJ510" s="847">
        <v>0</v>
      </c>
      <c r="DK510" s="847">
        <v>0</v>
      </c>
      <c r="DL510" s="847">
        <v>0</v>
      </c>
      <c r="DM510" s="847">
        <v>0</v>
      </c>
      <c r="DN510" s="847">
        <v>0</v>
      </c>
      <c r="DO510" s="847">
        <v>0</v>
      </c>
      <c r="DP510" s="847">
        <v>0</v>
      </c>
      <c r="DQ510" s="847">
        <v>0</v>
      </c>
      <c r="DR510" s="847">
        <v>0</v>
      </c>
      <c r="DS510" s="847">
        <v>0</v>
      </c>
      <c r="DT510" s="847">
        <v>0</v>
      </c>
      <c r="DU510" s="847">
        <v>0</v>
      </c>
      <c r="DV510" s="847">
        <v>0</v>
      </c>
      <c r="DW510" s="847">
        <v>0</v>
      </c>
      <c r="DX510" s="847">
        <v>0</v>
      </c>
    </row>
    <row r="511" spans="12:128" hidden="1">
      <c r="L511" s="846" t="s">
        <v>1060</v>
      </c>
      <c r="M511" s="846" t="s">
        <v>1382</v>
      </c>
      <c r="N511" s="846" t="s">
        <v>96</v>
      </c>
      <c r="O511" s="847">
        <v>31</v>
      </c>
      <c r="P511" s="780" t="str">
        <f t="shared" si="18"/>
        <v>IWT060131</v>
      </c>
      <c r="Q511" s="847">
        <v>26504</v>
      </c>
      <c r="R511" s="847">
        <v>27034</v>
      </c>
      <c r="S511" s="847">
        <v>27574</v>
      </c>
      <c r="T511" s="847">
        <v>28126</v>
      </c>
      <c r="U511" s="847">
        <v>28688</v>
      </c>
      <c r="V511" s="847">
        <v>29262</v>
      </c>
      <c r="W511" s="847">
        <v>29844</v>
      </c>
      <c r="X511" s="847">
        <v>30438</v>
      </c>
      <c r="Y511" s="847">
        <v>31044</v>
      </c>
      <c r="Z511" s="847">
        <v>31665</v>
      </c>
      <c r="AA511" s="847">
        <v>32298</v>
      </c>
      <c r="AB511" s="847">
        <v>32944</v>
      </c>
      <c r="AC511" s="847">
        <v>33603</v>
      </c>
      <c r="AD511" s="847">
        <v>34275</v>
      </c>
      <c r="AE511" s="847">
        <v>34960</v>
      </c>
      <c r="AF511" s="847">
        <v>35659</v>
      </c>
      <c r="AG511" s="847">
        <v>36373</v>
      </c>
      <c r="AH511" s="847">
        <v>37100</v>
      </c>
      <c r="AI511" s="847">
        <v>37842</v>
      </c>
      <c r="AJ511" s="847">
        <v>38599</v>
      </c>
      <c r="AK511" s="847">
        <v>39371</v>
      </c>
      <c r="AL511" s="847">
        <v>40158</v>
      </c>
      <c r="AM511" s="847">
        <v>40961</v>
      </c>
      <c r="AN511" s="847">
        <v>41781</v>
      </c>
      <c r="AO511" s="847">
        <v>42616</v>
      </c>
      <c r="AP511" s="847">
        <v>43468</v>
      </c>
      <c r="AQ511" s="847">
        <v>44338</v>
      </c>
      <c r="AR511" s="847">
        <v>45225</v>
      </c>
      <c r="AS511" s="847">
        <v>46129</v>
      </c>
      <c r="AT511" s="847">
        <v>47052</v>
      </c>
      <c r="AU511" s="847">
        <v>47993</v>
      </c>
      <c r="AV511" s="847">
        <v>48952</v>
      </c>
      <c r="AW511" s="847">
        <v>49931</v>
      </c>
      <c r="AX511" s="847">
        <v>50930</v>
      </c>
      <c r="AY511" s="847">
        <v>51949</v>
      </c>
      <c r="AZ511" s="847">
        <v>52987</v>
      </c>
      <c r="BA511" s="847">
        <v>54047</v>
      </c>
      <c r="BB511" s="847">
        <v>55128</v>
      </c>
      <c r="BC511" s="847">
        <v>56231</v>
      </c>
      <c r="BD511" s="847">
        <v>57355</v>
      </c>
      <c r="BE511" s="847">
        <v>58502</v>
      </c>
      <c r="BF511" s="847">
        <v>59672</v>
      </c>
      <c r="BG511" s="847">
        <v>60861</v>
      </c>
      <c r="BH511" s="847">
        <v>62067</v>
      </c>
      <c r="BI511" s="847">
        <v>63289</v>
      </c>
      <c r="BJ511" s="847">
        <v>64526</v>
      </c>
      <c r="BK511" s="847">
        <v>65779</v>
      </c>
      <c r="BL511" s="847">
        <v>67047</v>
      </c>
      <c r="BM511" s="847">
        <v>68329</v>
      </c>
      <c r="BN511" s="847">
        <v>69626</v>
      </c>
      <c r="BO511" s="847">
        <v>70936</v>
      </c>
      <c r="BP511" s="847">
        <v>72259</v>
      </c>
      <c r="BQ511" s="847">
        <v>73594</v>
      </c>
      <c r="BR511" s="847">
        <v>74941</v>
      </c>
      <c r="BS511" s="847">
        <v>76300</v>
      </c>
      <c r="BT511" s="847">
        <v>77671</v>
      </c>
      <c r="BU511" s="847">
        <v>79051</v>
      </c>
      <c r="BV511" s="847">
        <v>80443</v>
      </c>
      <c r="BW511" s="847">
        <v>81844</v>
      </c>
      <c r="BX511" s="847">
        <v>83254</v>
      </c>
      <c r="BY511" s="847">
        <v>84671</v>
      </c>
      <c r="BZ511" s="847">
        <v>86093</v>
      </c>
      <c r="CA511" s="847">
        <v>87521</v>
      </c>
      <c r="CB511" s="847">
        <v>88955</v>
      </c>
      <c r="CC511" s="847">
        <v>90394</v>
      </c>
      <c r="CD511" s="847">
        <v>91838</v>
      </c>
      <c r="CE511" s="847">
        <v>93286</v>
      </c>
      <c r="CF511" s="847">
        <v>94737</v>
      </c>
      <c r="CG511" s="847">
        <v>96192</v>
      </c>
      <c r="CH511" s="847">
        <v>97649</v>
      </c>
      <c r="CI511" s="847">
        <v>99108</v>
      </c>
      <c r="CJ511" s="847">
        <v>100569</v>
      </c>
      <c r="CK511" s="847">
        <v>102031</v>
      </c>
      <c r="CL511" s="847">
        <v>103495</v>
      </c>
      <c r="CM511" s="847">
        <v>104959</v>
      </c>
      <c r="CN511" s="847">
        <v>106425</v>
      </c>
      <c r="CO511" s="847">
        <v>107893</v>
      </c>
      <c r="CP511" s="847">
        <v>109368</v>
      </c>
      <c r="CQ511" s="847">
        <v>110868</v>
      </c>
      <c r="CR511" s="847">
        <v>112481</v>
      </c>
      <c r="CS511" s="847">
        <v>113600</v>
      </c>
      <c r="CT511" s="847">
        <v>0</v>
      </c>
      <c r="CU511" s="847">
        <v>0</v>
      </c>
      <c r="CV511" s="847">
        <v>0</v>
      </c>
      <c r="CW511" s="847">
        <v>0</v>
      </c>
      <c r="CX511" s="847">
        <v>0</v>
      </c>
      <c r="CY511" s="847">
        <v>0</v>
      </c>
      <c r="CZ511" s="847">
        <v>0</v>
      </c>
      <c r="DA511" s="847">
        <v>0</v>
      </c>
      <c r="DB511" s="847">
        <v>0</v>
      </c>
      <c r="DC511" s="847">
        <v>0</v>
      </c>
      <c r="DD511" s="847">
        <v>0</v>
      </c>
      <c r="DE511" s="847">
        <v>0</v>
      </c>
      <c r="DF511" s="847">
        <v>0</v>
      </c>
      <c r="DG511" s="847">
        <v>0</v>
      </c>
      <c r="DH511" s="847">
        <v>0</v>
      </c>
      <c r="DI511" s="847">
        <v>0</v>
      </c>
      <c r="DJ511" s="847">
        <v>0</v>
      </c>
      <c r="DK511" s="847">
        <v>0</v>
      </c>
      <c r="DL511" s="847">
        <v>0</v>
      </c>
      <c r="DM511" s="847">
        <v>0</v>
      </c>
      <c r="DN511" s="847">
        <v>0</v>
      </c>
      <c r="DO511" s="847">
        <v>0</v>
      </c>
      <c r="DP511" s="847">
        <v>0</v>
      </c>
      <c r="DQ511" s="847">
        <v>0</v>
      </c>
      <c r="DR511" s="847">
        <v>0</v>
      </c>
      <c r="DS511" s="847">
        <v>0</v>
      </c>
      <c r="DT511" s="847">
        <v>0</v>
      </c>
      <c r="DU511" s="847">
        <v>0</v>
      </c>
      <c r="DV511" s="847">
        <v>0</v>
      </c>
      <c r="DW511" s="847">
        <v>0</v>
      </c>
      <c r="DX511" s="847">
        <v>0</v>
      </c>
    </row>
    <row r="512" spans="12:128" hidden="1">
      <c r="L512" s="846" t="s">
        <v>1060</v>
      </c>
      <c r="M512" s="846" t="s">
        <v>1382</v>
      </c>
      <c r="N512" s="846" t="s">
        <v>96</v>
      </c>
      <c r="O512" s="847">
        <v>32</v>
      </c>
      <c r="P512" s="780" t="str">
        <f t="shared" si="18"/>
        <v>IWT060132</v>
      </c>
      <c r="Q512" s="847">
        <v>26542</v>
      </c>
      <c r="R512" s="847">
        <v>27073</v>
      </c>
      <c r="S512" s="847">
        <v>27614</v>
      </c>
      <c r="T512" s="847">
        <v>28167</v>
      </c>
      <c r="U512" s="847">
        <v>28730</v>
      </c>
      <c r="V512" s="847">
        <v>29305</v>
      </c>
      <c r="W512" s="847">
        <v>29887</v>
      </c>
      <c r="X512" s="847">
        <v>30481</v>
      </c>
      <c r="Y512" s="847">
        <v>31089</v>
      </c>
      <c r="Z512" s="847">
        <v>31710</v>
      </c>
      <c r="AA512" s="847">
        <v>32344</v>
      </c>
      <c r="AB512" s="847">
        <v>32991</v>
      </c>
      <c r="AC512" s="847">
        <v>33651</v>
      </c>
      <c r="AD512" s="847">
        <v>34324</v>
      </c>
      <c r="AE512" s="847">
        <v>35010</v>
      </c>
      <c r="AF512" s="847">
        <v>35710</v>
      </c>
      <c r="AG512" s="847">
        <v>36424</v>
      </c>
      <c r="AH512" s="847">
        <v>37153</v>
      </c>
      <c r="AI512" s="847">
        <v>37896</v>
      </c>
      <c r="AJ512" s="847">
        <v>38654</v>
      </c>
      <c r="AK512" s="847">
        <v>39427</v>
      </c>
      <c r="AL512" s="847">
        <v>40215</v>
      </c>
      <c r="AM512" s="847">
        <v>41020</v>
      </c>
      <c r="AN512" s="847">
        <v>41840</v>
      </c>
      <c r="AO512" s="847">
        <v>42677</v>
      </c>
      <c r="AP512" s="847">
        <v>43530</v>
      </c>
      <c r="AQ512" s="847">
        <v>44401</v>
      </c>
      <c r="AR512" s="847">
        <v>45289</v>
      </c>
      <c r="AS512" s="847">
        <v>46195</v>
      </c>
      <c r="AT512" s="847">
        <v>47119</v>
      </c>
      <c r="AU512" s="847">
        <v>48061</v>
      </c>
      <c r="AV512" s="847">
        <v>49022</v>
      </c>
      <c r="AW512" s="847">
        <v>50003</v>
      </c>
      <c r="AX512" s="847">
        <v>51003</v>
      </c>
      <c r="AY512" s="847">
        <v>52023</v>
      </c>
      <c r="AZ512" s="847">
        <v>53063</v>
      </c>
      <c r="BA512" s="847">
        <v>54124</v>
      </c>
      <c r="BB512" s="847">
        <v>55207</v>
      </c>
      <c r="BC512" s="847">
        <v>56311</v>
      </c>
      <c r="BD512" s="847">
        <v>57437</v>
      </c>
      <c r="BE512" s="847">
        <v>58585</v>
      </c>
      <c r="BF512" s="847">
        <v>59757</v>
      </c>
      <c r="BG512" s="847">
        <v>60951</v>
      </c>
      <c r="BH512" s="847">
        <v>62160</v>
      </c>
      <c r="BI512" s="847">
        <v>63386</v>
      </c>
      <c r="BJ512" s="847">
        <v>64627</v>
      </c>
      <c r="BK512" s="847">
        <v>65884</v>
      </c>
      <c r="BL512" s="847">
        <v>67155</v>
      </c>
      <c r="BM512" s="847">
        <v>68441</v>
      </c>
      <c r="BN512" s="847">
        <v>69740</v>
      </c>
      <c r="BO512" s="847">
        <v>71053</v>
      </c>
      <c r="BP512" s="847">
        <v>72378</v>
      </c>
      <c r="BQ512" s="847">
        <v>73716</v>
      </c>
      <c r="BR512" s="847">
        <v>75065</v>
      </c>
      <c r="BS512" s="847">
        <v>76426</v>
      </c>
      <c r="BT512" s="847">
        <v>77798</v>
      </c>
      <c r="BU512" s="847">
        <v>79181</v>
      </c>
      <c r="BV512" s="847">
        <v>80573</v>
      </c>
      <c r="BW512" s="847">
        <v>81975</v>
      </c>
      <c r="BX512" s="847">
        <v>83384</v>
      </c>
      <c r="BY512" s="847">
        <v>84798</v>
      </c>
      <c r="BZ512" s="847">
        <v>86220</v>
      </c>
      <c r="CA512" s="847">
        <v>87647</v>
      </c>
      <c r="CB512" s="847">
        <v>89080</v>
      </c>
      <c r="CC512" s="847">
        <v>90517</v>
      </c>
      <c r="CD512" s="847">
        <v>91959</v>
      </c>
      <c r="CE512" s="847">
        <v>93405</v>
      </c>
      <c r="CF512" s="847">
        <v>94854</v>
      </c>
      <c r="CG512" s="847">
        <v>96306</v>
      </c>
      <c r="CH512" s="847">
        <v>97761</v>
      </c>
      <c r="CI512" s="847">
        <v>99217</v>
      </c>
      <c r="CJ512" s="847">
        <v>100675</v>
      </c>
      <c r="CK512" s="847">
        <v>102134</v>
      </c>
      <c r="CL512" s="847">
        <v>103595</v>
      </c>
      <c r="CM512" s="847">
        <v>105057</v>
      </c>
      <c r="CN512" s="847">
        <v>106522</v>
      </c>
      <c r="CO512" s="847">
        <v>107993</v>
      </c>
      <c r="CP512" s="847">
        <v>109490</v>
      </c>
      <c r="CQ512" s="847">
        <v>111095</v>
      </c>
      <c r="CR512" s="847">
        <v>112200</v>
      </c>
      <c r="CS512" s="847">
        <v>0</v>
      </c>
      <c r="CT512" s="847">
        <v>0</v>
      </c>
      <c r="CU512" s="847">
        <v>0</v>
      </c>
      <c r="CV512" s="847">
        <v>0</v>
      </c>
      <c r="CW512" s="847">
        <v>0</v>
      </c>
      <c r="CX512" s="847">
        <v>0</v>
      </c>
      <c r="CY512" s="847">
        <v>0</v>
      </c>
      <c r="CZ512" s="847">
        <v>0</v>
      </c>
      <c r="DA512" s="847">
        <v>0</v>
      </c>
      <c r="DB512" s="847">
        <v>0</v>
      </c>
      <c r="DC512" s="847">
        <v>0</v>
      </c>
      <c r="DD512" s="847">
        <v>0</v>
      </c>
      <c r="DE512" s="847">
        <v>0</v>
      </c>
      <c r="DF512" s="847">
        <v>0</v>
      </c>
      <c r="DG512" s="847">
        <v>0</v>
      </c>
      <c r="DH512" s="847">
        <v>0</v>
      </c>
      <c r="DI512" s="847">
        <v>0</v>
      </c>
      <c r="DJ512" s="847">
        <v>0</v>
      </c>
      <c r="DK512" s="847">
        <v>0</v>
      </c>
      <c r="DL512" s="847">
        <v>0</v>
      </c>
      <c r="DM512" s="847">
        <v>0</v>
      </c>
      <c r="DN512" s="847">
        <v>0</v>
      </c>
      <c r="DO512" s="847">
        <v>0</v>
      </c>
      <c r="DP512" s="847">
        <v>0</v>
      </c>
      <c r="DQ512" s="847">
        <v>0</v>
      </c>
      <c r="DR512" s="847">
        <v>0</v>
      </c>
      <c r="DS512" s="847">
        <v>0</v>
      </c>
      <c r="DT512" s="847">
        <v>0</v>
      </c>
      <c r="DU512" s="847">
        <v>0</v>
      </c>
      <c r="DV512" s="847">
        <v>0</v>
      </c>
      <c r="DW512" s="847">
        <v>0</v>
      </c>
      <c r="DX512" s="847">
        <v>0</v>
      </c>
    </row>
    <row r="513" spans="12:128" hidden="1">
      <c r="L513" s="846" t="s">
        <v>1060</v>
      </c>
      <c r="M513" s="846" t="s">
        <v>1382</v>
      </c>
      <c r="N513" s="846" t="s">
        <v>96</v>
      </c>
      <c r="O513" s="847">
        <v>33</v>
      </c>
      <c r="P513" s="780" t="str">
        <f t="shared" si="18"/>
        <v>IWT060133</v>
      </c>
      <c r="Q513" s="847">
        <v>26578</v>
      </c>
      <c r="R513" s="847">
        <v>27109</v>
      </c>
      <c r="S513" s="847">
        <v>27651</v>
      </c>
      <c r="T513" s="847">
        <v>28204</v>
      </c>
      <c r="U513" s="847">
        <v>28769</v>
      </c>
      <c r="V513" s="847">
        <v>29344</v>
      </c>
      <c r="W513" s="847">
        <v>29926</v>
      </c>
      <c r="X513" s="847">
        <v>30522</v>
      </c>
      <c r="Y513" s="847">
        <v>31130</v>
      </c>
      <c r="Z513" s="847">
        <v>31751</v>
      </c>
      <c r="AA513" s="847">
        <v>32386</v>
      </c>
      <c r="AB513" s="847">
        <v>33034</v>
      </c>
      <c r="AC513" s="847">
        <v>33695</v>
      </c>
      <c r="AD513" s="847">
        <v>34369</v>
      </c>
      <c r="AE513" s="847">
        <v>35056</v>
      </c>
      <c r="AF513" s="847">
        <v>35757</v>
      </c>
      <c r="AG513" s="847">
        <v>36472</v>
      </c>
      <c r="AH513" s="847">
        <v>37202</v>
      </c>
      <c r="AI513" s="847">
        <v>37946</v>
      </c>
      <c r="AJ513" s="847">
        <v>38705</v>
      </c>
      <c r="AK513" s="847">
        <v>39479</v>
      </c>
      <c r="AL513" s="847">
        <v>40268</v>
      </c>
      <c r="AM513" s="847">
        <v>41074</v>
      </c>
      <c r="AN513" s="847">
        <v>41895</v>
      </c>
      <c r="AO513" s="847">
        <v>42733</v>
      </c>
      <c r="AP513" s="847">
        <v>43588</v>
      </c>
      <c r="AQ513" s="847">
        <v>44459</v>
      </c>
      <c r="AR513" s="847">
        <v>45348</v>
      </c>
      <c r="AS513" s="847">
        <v>46255</v>
      </c>
      <c r="AT513" s="847">
        <v>47180</v>
      </c>
      <c r="AU513" s="847">
        <v>48124</v>
      </c>
      <c r="AV513" s="847">
        <v>49086</v>
      </c>
      <c r="AW513" s="847">
        <v>50068</v>
      </c>
      <c r="AX513" s="847">
        <v>51069</v>
      </c>
      <c r="AY513" s="847">
        <v>52091</v>
      </c>
      <c r="AZ513" s="847">
        <v>53133</v>
      </c>
      <c r="BA513" s="847">
        <v>54195</v>
      </c>
      <c r="BB513" s="847">
        <v>55279</v>
      </c>
      <c r="BC513" s="847">
        <v>56385</v>
      </c>
      <c r="BD513" s="847">
        <v>57512</v>
      </c>
      <c r="BE513" s="847">
        <v>58662</v>
      </c>
      <c r="BF513" s="847">
        <v>59835</v>
      </c>
      <c r="BG513" s="847">
        <v>61032</v>
      </c>
      <c r="BH513" s="847">
        <v>62246</v>
      </c>
      <c r="BI513" s="847">
        <v>63476</v>
      </c>
      <c r="BJ513" s="847">
        <v>64721</v>
      </c>
      <c r="BK513" s="847">
        <v>65981</v>
      </c>
      <c r="BL513" s="847">
        <v>67256</v>
      </c>
      <c r="BM513" s="847">
        <v>68545</v>
      </c>
      <c r="BN513" s="847">
        <v>69847</v>
      </c>
      <c r="BO513" s="847">
        <v>71162</v>
      </c>
      <c r="BP513" s="847">
        <v>72490</v>
      </c>
      <c r="BQ513" s="847">
        <v>73830</v>
      </c>
      <c r="BR513" s="847">
        <v>75182</v>
      </c>
      <c r="BS513" s="847">
        <v>76545</v>
      </c>
      <c r="BT513" s="847">
        <v>77918</v>
      </c>
      <c r="BU513" s="847">
        <v>79302</v>
      </c>
      <c r="BV513" s="847">
        <v>80696</v>
      </c>
      <c r="BW513" s="847">
        <v>82097</v>
      </c>
      <c r="BX513" s="847">
        <v>83504</v>
      </c>
      <c r="BY513" s="847">
        <v>84918</v>
      </c>
      <c r="BZ513" s="847">
        <v>86339</v>
      </c>
      <c r="CA513" s="847">
        <v>87765</v>
      </c>
      <c r="CB513" s="847">
        <v>89196</v>
      </c>
      <c r="CC513" s="847">
        <v>90632</v>
      </c>
      <c r="CD513" s="847">
        <v>92072</v>
      </c>
      <c r="CE513" s="847">
        <v>93516</v>
      </c>
      <c r="CF513" s="847">
        <v>94963</v>
      </c>
      <c r="CG513" s="847">
        <v>96413</v>
      </c>
      <c r="CH513" s="847">
        <v>97865</v>
      </c>
      <c r="CI513" s="847">
        <v>99319</v>
      </c>
      <c r="CJ513" s="847">
        <v>100774</v>
      </c>
      <c r="CK513" s="847">
        <v>102231</v>
      </c>
      <c r="CL513" s="847">
        <v>103689</v>
      </c>
      <c r="CM513" s="847">
        <v>105150</v>
      </c>
      <c r="CN513" s="847">
        <v>106619</v>
      </c>
      <c r="CO513" s="847">
        <v>108111</v>
      </c>
      <c r="CP513" s="847">
        <v>109708</v>
      </c>
      <c r="CQ513" s="847">
        <v>110800</v>
      </c>
      <c r="CR513" s="847">
        <v>0</v>
      </c>
      <c r="CS513" s="847">
        <v>0</v>
      </c>
      <c r="CT513" s="847">
        <v>0</v>
      </c>
      <c r="CU513" s="847">
        <v>0</v>
      </c>
      <c r="CV513" s="847">
        <v>0</v>
      </c>
      <c r="CW513" s="847">
        <v>0</v>
      </c>
      <c r="CX513" s="847">
        <v>0</v>
      </c>
      <c r="CY513" s="847">
        <v>0</v>
      </c>
      <c r="CZ513" s="847">
        <v>0</v>
      </c>
      <c r="DA513" s="847">
        <v>0</v>
      </c>
      <c r="DB513" s="847">
        <v>0</v>
      </c>
      <c r="DC513" s="847">
        <v>0</v>
      </c>
      <c r="DD513" s="847">
        <v>0</v>
      </c>
      <c r="DE513" s="847">
        <v>0</v>
      </c>
      <c r="DF513" s="847">
        <v>0</v>
      </c>
      <c r="DG513" s="847">
        <v>0</v>
      </c>
      <c r="DH513" s="847">
        <v>0</v>
      </c>
      <c r="DI513" s="847">
        <v>0</v>
      </c>
      <c r="DJ513" s="847">
        <v>0</v>
      </c>
      <c r="DK513" s="847">
        <v>0</v>
      </c>
      <c r="DL513" s="847">
        <v>0</v>
      </c>
      <c r="DM513" s="847">
        <v>0</v>
      </c>
      <c r="DN513" s="847">
        <v>0</v>
      </c>
      <c r="DO513" s="847">
        <v>0</v>
      </c>
      <c r="DP513" s="847">
        <v>0</v>
      </c>
      <c r="DQ513" s="847">
        <v>0</v>
      </c>
      <c r="DR513" s="847">
        <v>0</v>
      </c>
      <c r="DS513" s="847">
        <v>0</v>
      </c>
      <c r="DT513" s="847">
        <v>0</v>
      </c>
      <c r="DU513" s="847">
        <v>0</v>
      </c>
      <c r="DV513" s="847">
        <v>0</v>
      </c>
      <c r="DW513" s="847">
        <v>0</v>
      </c>
      <c r="DX513" s="847">
        <v>0</v>
      </c>
    </row>
    <row r="514" spans="12:128" hidden="1">
      <c r="L514" s="846" t="s">
        <v>1060</v>
      </c>
      <c r="M514" s="846" t="s">
        <v>1382</v>
      </c>
      <c r="N514" s="846" t="s">
        <v>96</v>
      </c>
      <c r="O514" s="847">
        <v>34</v>
      </c>
      <c r="P514" s="780" t="str">
        <f t="shared" si="18"/>
        <v>IWT060134</v>
      </c>
      <c r="Q514" s="847">
        <v>26611</v>
      </c>
      <c r="R514" s="847">
        <v>27143</v>
      </c>
      <c r="S514" s="847">
        <v>27686</v>
      </c>
      <c r="T514" s="847">
        <v>28240</v>
      </c>
      <c r="U514" s="847">
        <v>28804</v>
      </c>
      <c r="V514" s="847">
        <v>29380</v>
      </c>
      <c r="W514" s="847">
        <v>29963</v>
      </c>
      <c r="X514" s="847">
        <v>30559</v>
      </c>
      <c r="Y514" s="847">
        <v>31168</v>
      </c>
      <c r="Z514" s="847">
        <v>31790</v>
      </c>
      <c r="AA514" s="847">
        <v>32426</v>
      </c>
      <c r="AB514" s="847">
        <v>33074</v>
      </c>
      <c r="AC514" s="847">
        <v>33736</v>
      </c>
      <c r="AD514" s="847">
        <v>34410</v>
      </c>
      <c r="AE514" s="847">
        <v>35098</v>
      </c>
      <c r="AF514" s="847">
        <v>35800</v>
      </c>
      <c r="AG514" s="847">
        <v>36516</v>
      </c>
      <c r="AH514" s="847">
        <v>37247</v>
      </c>
      <c r="AI514" s="847">
        <v>37992</v>
      </c>
      <c r="AJ514" s="847">
        <v>38752</v>
      </c>
      <c r="AK514" s="847">
        <v>39527</v>
      </c>
      <c r="AL514" s="847">
        <v>40317</v>
      </c>
      <c r="AM514" s="847">
        <v>41123</v>
      </c>
      <c r="AN514" s="847">
        <v>41946</v>
      </c>
      <c r="AO514" s="847">
        <v>42785</v>
      </c>
      <c r="AP514" s="847">
        <v>43640</v>
      </c>
      <c r="AQ514" s="847">
        <v>44513</v>
      </c>
      <c r="AR514" s="847">
        <v>45403</v>
      </c>
      <c r="AS514" s="847">
        <v>46311</v>
      </c>
      <c r="AT514" s="847">
        <v>47238</v>
      </c>
      <c r="AU514" s="847">
        <v>48182</v>
      </c>
      <c r="AV514" s="847">
        <v>49146</v>
      </c>
      <c r="AW514" s="847">
        <v>50129</v>
      </c>
      <c r="AX514" s="847">
        <v>51131</v>
      </c>
      <c r="AY514" s="847">
        <v>52154</v>
      </c>
      <c r="AZ514" s="847">
        <v>53197</v>
      </c>
      <c r="BA514" s="847">
        <v>54261</v>
      </c>
      <c r="BB514" s="847">
        <v>55346</v>
      </c>
      <c r="BC514" s="847">
        <v>56453</v>
      </c>
      <c r="BD514" s="847">
        <v>57582</v>
      </c>
      <c r="BE514" s="847">
        <v>58733</v>
      </c>
      <c r="BF514" s="847">
        <v>59908</v>
      </c>
      <c r="BG514" s="847">
        <v>61106</v>
      </c>
      <c r="BH514" s="847">
        <v>62324</v>
      </c>
      <c r="BI514" s="847">
        <v>63558</v>
      </c>
      <c r="BJ514" s="847">
        <v>64807</v>
      </c>
      <c r="BK514" s="847">
        <v>66071</v>
      </c>
      <c r="BL514" s="847">
        <v>67349</v>
      </c>
      <c r="BM514" s="847">
        <v>68641</v>
      </c>
      <c r="BN514" s="847">
        <v>69946</v>
      </c>
      <c r="BO514" s="847">
        <v>71264</v>
      </c>
      <c r="BP514" s="847">
        <v>72595</v>
      </c>
      <c r="BQ514" s="847">
        <v>73937</v>
      </c>
      <c r="BR514" s="847">
        <v>75291</v>
      </c>
      <c r="BS514" s="847">
        <v>76656</v>
      </c>
      <c r="BT514" s="847">
        <v>78032</v>
      </c>
      <c r="BU514" s="847">
        <v>79417</v>
      </c>
      <c r="BV514" s="847">
        <v>80810</v>
      </c>
      <c r="BW514" s="847">
        <v>82210</v>
      </c>
      <c r="BX514" s="847">
        <v>83617</v>
      </c>
      <c r="BY514" s="847">
        <v>85030</v>
      </c>
      <c r="BZ514" s="847">
        <v>86450</v>
      </c>
      <c r="CA514" s="847">
        <v>87875</v>
      </c>
      <c r="CB514" s="847">
        <v>89305</v>
      </c>
      <c r="CC514" s="847">
        <v>90740</v>
      </c>
      <c r="CD514" s="847">
        <v>92179</v>
      </c>
      <c r="CE514" s="847">
        <v>93620</v>
      </c>
      <c r="CF514" s="847">
        <v>95065</v>
      </c>
      <c r="CG514" s="847">
        <v>96513</v>
      </c>
      <c r="CH514" s="847">
        <v>97962</v>
      </c>
      <c r="CI514" s="847">
        <v>99414</v>
      </c>
      <c r="CJ514" s="847">
        <v>100867</v>
      </c>
      <c r="CK514" s="847">
        <v>102322</v>
      </c>
      <c r="CL514" s="847">
        <v>103779</v>
      </c>
      <c r="CM514" s="847">
        <v>105244</v>
      </c>
      <c r="CN514" s="847">
        <v>106732</v>
      </c>
      <c r="CO514" s="847">
        <v>108322</v>
      </c>
      <c r="CP514" s="847">
        <v>109400</v>
      </c>
      <c r="CQ514" s="847">
        <v>0</v>
      </c>
      <c r="CR514" s="847">
        <v>0</v>
      </c>
      <c r="CS514" s="847">
        <v>0</v>
      </c>
      <c r="CT514" s="847">
        <v>0</v>
      </c>
      <c r="CU514" s="847">
        <v>0</v>
      </c>
      <c r="CV514" s="847">
        <v>0</v>
      </c>
      <c r="CW514" s="847">
        <v>0</v>
      </c>
      <c r="CX514" s="847">
        <v>0</v>
      </c>
      <c r="CY514" s="847">
        <v>0</v>
      </c>
      <c r="CZ514" s="847">
        <v>0</v>
      </c>
      <c r="DA514" s="847">
        <v>0</v>
      </c>
      <c r="DB514" s="847">
        <v>0</v>
      </c>
      <c r="DC514" s="847">
        <v>0</v>
      </c>
      <c r="DD514" s="847">
        <v>0</v>
      </c>
      <c r="DE514" s="847">
        <v>0</v>
      </c>
      <c r="DF514" s="847">
        <v>0</v>
      </c>
      <c r="DG514" s="847">
        <v>0</v>
      </c>
      <c r="DH514" s="847">
        <v>0</v>
      </c>
      <c r="DI514" s="847">
        <v>0</v>
      </c>
      <c r="DJ514" s="847">
        <v>0</v>
      </c>
      <c r="DK514" s="847">
        <v>0</v>
      </c>
      <c r="DL514" s="847">
        <v>0</v>
      </c>
      <c r="DM514" s="847">
        <v>0</v>
      </c>
      <c r="DN514" s="847">
        <v>0</v>
      </c>
      <c r="DO514" s="847">
        <v>0</v>
      </c>
      <c r="DP514" s="847">
        <v>0</v>
      </c>
      <c r="DQ514" s="847">
        <v>0</v>
      </c>
      <c r="DR514" s="847">
        <v>0</v>
      </c>
      <c r="DS514" s="847">
        <v>0</v>
      </c>
      <c r="DT514" s="847">
        <v>0</v>
      </c>
      <c r="DU514" s="847">
        <v>0</v>
      </c>
      <c r="DV514" s="847">
        <v>0</v>
      </c>
      <c r="DW514" s="847">
        <v>0</v>
      </c>
      <c r="DX514" s="847">
        <v>0</v>
      </c>
    </row>
    <row r="515" spans="12:128" hidden="1">
      <c r="L515" s="846" t="s">
        <v>1060</v>
      </c>
      <c r="M515" s="846" t="s">
        <v>1382</v>
      </c>
      <c r="N515" s="846" t="s">
        <v>96</v>
      </c>
      <c r="O515" s="847">
        <v>35</v>
      </c>
      <c r="P515" s="780" t="str">
        <f t="shared" si="18"/>
        <v>IWT060135</v>
      </c>
      <c r="Q515" s="847">
        <v>26641</v>
      </c>
      <c r="R515" s="847">
        <v>27173</v>
      </c>
      <c r="S515" s="847">
        <v>27717</v>
      </c>
      <c r="T515" s="847">
        <v>28271</v>
      </c>
      <c r="U515" s="847">
        <v>28837</v>
      </c>
      <c r="V515" s="847">
        <v>29413</v>
      </c>
      <c r="W515" s="847">
        <v>29997</v>
      </c>
      <c r="X515" s="847">
        <v>30593</v>
      </c>
      <c r="Y515" s="847">
        <v>31202</v>
      </c>
      <c r="Z515" s="847">
        <v>31825</v>
      </c>
      <c r="AA515" s="847">
        <v>32461</v>
      </c>
      <c r="AB515" s="847">
        <v>33110</v>
      </c>
      <c r="AC515" s="847">
        <v>33772</v>
      </c>
      <c r="AD515" s="847">
        <v>34448</v>
      </c>
      <c r="AE515" s="847">
        <v>35137</v>
      </c>
      <c r="AF515" s="847">
        <v>35840</v>
      </c>
      <c r="AG515" s="847">
        <v>36556</v>
      </c>
      <c r="AH515" s="847">
        <v>37287</v>
      </c>
      <c r="AI515" s="847">
        <v>38033</v>
      </c>
      <c r="AJ515" s="847">
        <v>38794</v>
      </c>
      <c r="AK515" s="847">
        <v>39570</v>
      </c>
      <c r="AL515" s="847">
        <v>40361</v>
      </c>
      <c r="AM515" s="847">
        <v>41168</v>
      </c>
      <c r="AN515" s="847">
        <v>41992</v>
      </c>
      <c r="AO515" s="847">
        <v>42831</v>
      </c>
      <c r="AP515" s="847">
        <v>43688</v>
      </c>
      <c r="AQ515" s="847">
        <v>44562</v>
      </c>
      <c r="AR515" s="847">
        <v>45453</v>
      </c>
      <c r="AS515" s="847">
        <v>46362</v>
      </c>
      <c r="AT515" s="847">
        <v>47289</v>
      </c>
      <c r="AU515" s="847">
        <v>48235</v>
      </c>
      <c r="AV515" s="847">
        <v>49200</v>
      </c>
      <c r="AW515" s="847">
        <v>50184</v>
      </c>
      <c r="AX515" s="847">
        <v>51187</v>
      </c>
      <c r="AY515" s="847">
        <v>52211</v>
      </c>
      <c r="AZ515" s="847">
        <v>53255</v>
      </c>
      <c r="BA515" s="847">
        <v>54320</v>
      </c>
      <c r="BB515" s="847">
        <v>55406</v>
      </c>
      <c r="BC515" s="847">
        <v>56514</v>
      </c>
      <c r="BD515" s="847">
        <v>57645</v>
      </c>
      <c r="BE515" s="847">
        <v>58797</v>
      </c>
      <c r="BF515" s="847">
        <v>59973</v>
      </c>
      <c r="BG515" s="847">
        <v>61173</v>
      </c>
      <c r="BH515" s="847">
        <v>62395</v>
      </c>
      <c r="BI515" s="847">
        <v>63633</v>
      </c>
      <c r="BJ515" s="847">
        <v>64886</v>
      </c>
      <c r="BK515" s="847">
        <v>66154</v>
      </c>
      <c r="BL515" s="847">
        <v>67435</v>
      </c>
      <c r="BM515" s="847">
        <v>68731</v>
      </c>
      <c r="BN515" s="847">
        <v>70039</v>
      </c>
      <c r="BO515" s="847">
        <v>71360</v>
      </c>
      <c r="BP515" s="847">
        <v>72693</v>
      </c>
      <c r="BQ515" s="847">
        <v>74038</v>
      </c>
      <c r="BR515" s="847">
        <v>75394</v>
      </c>
      <c r="BS515" s="847">
        <v>76761</v>
      </c>
      <c r="BT515" s="847">
        <v>78138</v>
      </c>
      <c r="BU515" s="847">
        <v>79523</v>
      </c>
      <c r="BV515" s="847">
        <v>80915</v>
      </c>
      <c r="BW515" s="847">
        <v>82315</v>
      </c>
      <c r="BX515" s="847">
        <v>83722</v>
      </c>
      <c r="BY515" s="847">
        <v>85135</v>
      </c>
      <c r="BZ515" s="847">
        <v>86554</v>
      </c>
      <c r="CA515" s="847">
        <v>87979</v>
      </c>
      <c r="CB515" s="847">
        <v>89408</v>
      </c>
      <c r="CC515" s="847">
        <v>90841</v>
      </c>
      <c r="CD515" s="847">
        <v>92278</v>
      </c>
      <c r="CE515" s="847">
        <v>93718</v>
      </c>
      <c r="CF515" s="847">
        <v>95161</v>
      </c>
      <c r="CG515" s="847">
        <v>96606</v>
      </c>
      <c r="CH515" s="847">
        <v>98053</v>
      </c>
      <c r="CI515" s="847">
        <v>99503</v>
      </c>
      <c r="CJ515" s="847">
        <v>100954</v>
      </c>
      <c r="CK515" s="847">
        <v>102408</v>
      </c>
      <c r="CL515" s="847">
        <v>103869</v>
      </c>
      <c r="CM515" s="847">
        <v>105354</v>
      </c>
      <c r="CN515" s="847">
        <v>106936</v>
      </c>
      <c r="CO515" s="847">
        <v>108000</v>
      </c>
      <c r="CP515" s="847">
        <v>0</v>
      </c>
      <c r="CQ515" s="847">
        <v>0</v>
      </c>
      <c r="CR515" s="847">
        <v>0</v>
      </c>
      <c r="CS515" s="847">
        <v>0</v>
      </c>
      <c r="CT515" s="847">
        <v>0</v>
      </c>
      <c r="CU515" s="847">
        <v>0</v>
      </c>
      <c r="CV515" s="847">
        <v>0</v>
      </c>
      <c r="CW515" s="847">
        <v>0</v>
      </c>
      <c r="CX515" s="847">
        <v>0</v>
      </c>
      <c r="CY515" s="847">
        <v>0</v>
      </c>
      <c r="CZ515" s="847">
        <v>0</v>
      </c>
      <c r="DA515" s="847">
        <v>0</v>
      </c>
      <c r="DB515" s="847">
        <v>0</v>
      </c>
      <c r="DC515" s="847">
        <v>0</v>
      </c>
      <c r="DD515" s="847">
        <v>0</v>
      </c>
      <c r="DE515" s="847">
        <v>0</v>
      </c>
      <c r="DF515" s="847">
        <v>0</v>
      </c>
      <c r="DG515" s="847">
        <v>0</v>
      </c>
      <c r="DH515" s="847">
        <v>0</v>
      </c>
      <c r="DI515" s="847">
        <v>0</v>
      </c>
      <c r="DJ515" s="847">
        <v>0</v>
      </c>
      <c r="DK515" s="847">
        <v>0</v>
      </c>
      <c r="DL515" s="847">
        <v>0</v>
      </c>
      <c r="DM515" s="847">
        <v>0</v>
      </c>
      <c r="DN515" s="847">
        <v>0</v>
      </c>
      <c r="DO515" s="847">
        <v>0</v>
      </c>
      <c r="DP515" s="847">
        <v>0</v>
      </c>
      <c r="DQ515" s="847">
        <v>0</v>
      </c>
      <c r="DR515" s="847">
        <v>0</v>
      </c>
      <c r="DS515" s="847">
        <v>0</v>
      </c>
      <c r="DT515" s="847">
        <v>0</v>
      </c>
      <c r="DU515" s="847">
        <v>0</v>
      </c>
      <c r="DV515" s="847">
        <v>0</v>
      </c>
      <c r="DW515" s="847">
        <v>0</v>
      </c>
      <c r="DX515" s="847">
        <v>0</v>
      </c>
    </row>
    <row r="516" spans="12:128" hidden="1">
      <c r="L516" s="846" t="s">
        <v>1060</v>
      </c>
      <c r="M516" s="846" t="s">
        <v>1382</v>
      </c>
      <c r="N516" s="846" t="s">
        <v>96</v>
      </c>
      <c r="O516" s="847">
        <v>36</v>
      </c>
      <c r="P516" s="780" t="str">
        <f t="shared" si="18"/>
        <v>IWT060136</v>
      </c>
      <c r="Q516" s="847">
        <v>26669</v>
      </c>
      <c r="R516" s="847">
        <v>27202</v>
      </c>
      <c r="S516" s="847">
        <v>27746</v>
      </c>
      <c r="T516" s="847">
        <v>28301</v>
      </c>
      <c r="U516" s="847">
        <v>28867</v>
      </c>
      <c r="V516" s="847">
        <v>29444</v>
      </c>
      <c r="W516" s="847">
        <v>30028</v>
      </c>
      <c r="X516" s="847">
        <v>30624</v>
      </c>
      <c r="Y516" s="847">
        <v>31234</v>
      </c>
      <c r="Z516" s="847">
        <v>31857</v>
      </c>
      <c r="AA516" s="847">
        <v>32494</v>
      </c>
      <c r="AB516" s="847">
        <v>33144</v>
      </c>
      <c r="AC516" s="847">
        <v>33807</v>
      </c>
      <c r="AD516" s="847">
        <v>34483</v>
      </c>
      <c r="AE516" s="847">
        <v>35173</v>
      </c>
      <c r="AF516" s="847">
        <v>35876</v>
      </c>
      <c r="AG516" s="847">
        <v>36593</v>
      </c>
      <c r="AH516" s="847">
        <v>37325</v>
      </c>
      <c r="AI516" s="847">
        <v>38072</v>
      </c>
      <c r="AJ516" s="847">
        <v>38833</v>
      </c>
      <c r="AK516" s="847">
        <v>39610</v>
      </c>
      <c r="AL516" s="847">
        <v>40402</v>
      </c>
      <c r="AM516" s="847">
        <v>41210</v>
      </c>
      <c r="AN516" s="847">
        <v>42034</v>
      </c>
      <c r="AO516" s="847">
        <v>42875</v>
      </c>
      <c r="AP516" s="847">
        <v>43732</v>
      </c>
      <c r="AQ516" s="847">
        <v>44607</v>
      </c>
      <c r="AR516" s="847">
        <v>45499</v>
      </c>
      <c r="AS516" s="847">
        <v>46409</v>
      </c>
      <c r="AT516" s="847">
        <v>47337</v>
      </c>
      <c r="AU516" s="847">
        <v>48284</v>
      </c>
      <c r="AV516" s="847">
        <v>49250</v>
      </c>
      <c r="AW516" s="847">
        <v>50235</v>
      </c>
      <c r="AX516" s="847">
        <v>51239</v>
      </c>
      <c r="AY516" s="847">
        <v>52264</v>
      </c>
      <c r="AZ516" s="847">
        <v>53309</v>
      </c>
      <c r="BA516" s="847">
        <v>54375</v>
      </c>
      <c r="BB516" s="847">
        <v>55463</v>
      </c>
      <c r="BC516" s="847">
        <v>56572</v>
      </c>
      <c r="BD516" s="847">
        <v>57703</v>
      </c>
      <c r="BE516" s="847">
        <v>58857</v>
      </c>
      <c r="BF516" s="847">
        <v>60034</v>
      </c>
      <c r="BG516" s="847">
        <v>61235</v>
      </c>
      <c r="BH516" s="847">
        <v>62459</v>
      </c>
      <c r="BI516" s="847">
        <v>63701</v>
      </c>
      <c r="BJ516" s="847">
        <v>64958</v>
      </c>
      <c r="BK516" s="847">
        <v>66230</v>
      </c>
      <c r="BL516" s="847">
        <v>67515</v>
      </c>
      <c r="BM516" s="847">
        <v>68813</v>
      </c>
      <c r="BN516" s="847">
        <v>70125</v>
      </c>
      <c r="BO516" s="847">
        <v>71448</v>
      </c>
      <c r="BP516" s="847">
        <v>72784</v>
      </c>
      <c r="BQ516" s="847">
        <v>74132</v>
      </c>
      <c r="BR516" s="847">
        <v>75490</v>
      </c>
      <c r="BS516" s="847">
        <v>76859</v>
      </c>
      <c r="BT516" s="847">
        <v>78236</v>
      </c>
      <c r="BU516" s="847">
        <v>79621</v>
      </c>
      <c r="BV516" s="847">
        <v>81014</v>
      </c>
      <c r="BW516" s="847">
        <v>82414</v>
      </c>
      <c r="BX516" s="847">
        <v>83820</v>
      </c>
      <c r="BY516" s="847">
        <v>85233</v>
      </c>
      <c r="BZ516" s="847">
        <v>86652</v>
      </c>
      <c r="CA516" s="847">
        <v>88075</v>
      </c>
      <c r="CB516" s="847">
        <v>89503</v>
      </c>
      <c r="CC516" s="847">
        <v>90935</v>
      </c>
      <c r="CD516" s="847">
        <v>92370</v>
      </c>
      <c r="CE516" s="847">
        <v>93809</v>
      </c>
      <c r="CF516" s="847">
        <v>95250</v>
      </c>
      <c r="CG516" s="847">
        <v>96693</v>
      </c>
      <c r="CH516" s="847">
        <v>98139</v>
      </c>
      <c r="CI516" s="847">
        <v>99586</v>
      </c>
      <c r="CJ516" s="847">
        <v>101037</v>
      </c>
      <c r="CK516" s="847">
        <v>102495</v>
      </c>
      <c r="CL516" s="847">
        <v>103975</v>
      </c>
      <c r="CM516" s="847">
        <v>105550</v>
      </c>
      <c r="CN516" s="847">
        <v>106600</v>
      </c>
      <c r="CO516" s="847">
        <v>0</v>
      </c>
      <c r="CP516" s="847">
        <v>0</v>
      </c>
      <c r="CQ516" s="847">
        <v>0</v>
      </c>
      <c r="CR516" s="847">
        <v>0</v>
      </c>
      <c r="CS516" s="847">
        <v>0</v>
      </c>
      <c r="CT516" s="847">
        <v>0</v>
      </c>
      <c r="CU516" s="847">
        <v>0</v>
      </c>
      <c r="CV516" s="847">
        <v>0</v>
      </c>
      <c r="CW516" s="847">
        <v>0</v>
      </c>
      <c r="CX516" s="847">
        <v>0</v>
      </c>
      <c r="CY516" s="847">
        <v>0</v>
      </c>
      <c r="CZ516" s="847">
        <v>0</v>
      </c>
      <c r="DA516" s="847">
        <v>0</v>
      </c>
      <c r="DB516" s="847">
        <v>0</v>
      </c>
      <c r="DC516" s="847">
        <v>0</v>
      </c>
      <c r="DD516" s="847">
        <v>0</v>
      </c>
      <c r="DE516" s="847">
        <v>0</v>
      </c>
      <c r="DF516" s="847">
        <v>0</v>
      </c>
      <c r="DG516" s="847">
        <v>0</v>
      </c>
      <c r="DH516" s="847">
        <v>0</v>
      </c>
      <c r="DI516" s="847">
        <v>0</v>
      </c>
      <c r="DJ516" s="847">
        <v>0</v>
      </c>
      <c r="DK516" s="847">
        <v>0</v>
      </c>
      <c r="DL516" s="847">
        <v>0</v>
      </c>
      <c r="DM516" s="847">
        <v>0</v>
      </c>
      <c r="DN516" s="847">
        <v>0</v>
      </c>
      <c r="DO516" s="847">
        <v>0</v>
      </c>
      <c r="DP516" s="847">
        <v>0</v>
      </c>
      <c r="DQ516" s="847">
        <v>0</v>
      </c>
      <c r="DR516" s="847">
        <v>0</v>
      </c>
      <c r="DS516" s="847">
        <v>0</v>
      </c>
      <c r="DT516" s="847">
        <v>0</v>
      </c>
      <c r="DU516" s="847">
        <v>0</v>
      </c>
      <c r="DV516" s="847">
        <v>0</v>
      </c>
      <c r="DW516" s="847">
        <v>0</v>
      </c>
      <c r="DX516" s="847">
        <v>0</v>
      </c>
    </row>
    <row r="517" spans="12:128" hidden="1">
      <c r="L517" s="846" t="s">
        <v>1060</v>
      </c>
      <c r="M517" s="846" t="s">
        <v>1382</v>
      </c>
      <c r="N517" s="846" t="s">
        <v>96</v>
      </c>
      <c r="O517" s="847">
        <v>37</v>
      </c>
      <c r="P517" s="780" t="str">
        <f t="shared" si="18"/>
        <v>IWT060137</v>
      </c>
      <c r="Q517" s="847">
        <v>26694</v>
      </c>
      <c r="R517" s="847">
        <v>27228</v>
      </c>
      <c r="S517" s="847">
        <v>27773</v>
      </c>
      <c r="T517" s="847">
        <v>28328</v>
      </c>
      <c r="U517" s="847">
        <v>28895</v>
      </c>
      <c r="V517" s="847">
        <v>29473</v>
      </c>
      <c r="W517" s="847">
        <v>30056</v>
      </c>
      <c r="X517" s="847">
        <v>30653</v>
      </c>
      <c r="Y517" s="847">
        <v>31262</v>
      </c>
      <c r="Z517" s="847">
        <v>31886</v>
      </c>
      <c r="AA517" s="847">
        <v>32524</v>
      </c>
      <c r="AB517" s="847">
        <v>33174</v>
      </c>
      <c r="AC517" s="847">
        <v>33838</v>
      </c>
      <c r="AD517" s="847">
        <v>34515</v>
      </c>
      <c r="AE517" s="847">
        <v>35205</v>
      </c>
      <c r="AF517" s="847">
        <v>35909</v>
      </c>
      <c r="AG517" s="847">
        <v>36627</v>
      </c>
      <c r="AH517" s="847">
        <v>37360</v>
      </c>
      <c r="AI517" s="847">
        <v>38107</v>
      </c>
      <c r="AJ517" s="847">
        <v>38869</v>
      </c>
      <c r="AK517" s="847">
        <v>39646</v>
      </c>
      <c r="AL517" s="847">
        <v>40439</v>
      </c>
      <c r="AM517" s="847">
        <v>41248</v>
      </c>
      <c r="AN517" s="847">
        <v>42073</v>
      </c>
      <c r="AO517" s="847">
        <v>42914</v>
      </c>
      <c r="AP517" s="847">
        <v>43773</v>
      </c>
      <c r="AQ517" s="847">
        <v>44648</v>
      </c>
      <c r="AR517" s="847">
        <v>45541</v>
      </c>
      <c r="AS517" s="847">
        <v>46452</v>
      </c>
      <c r="AT517" s="847">
        <v>47381</v>
      </c>
      <c r="AU517" s="847">
        <v>48328</v>
      </c>
      <c r="AV517" s="847">
        <v>49295</v>
      </c>
      <c r="AW517" s="847">
        <v>50281</v>
      </c>
      <c r="AX517" s="847">
        <v>51286</v>
      </c>
      <c r="AY517" s="847">
        <v>52312</v>
      </c>
      <c r="AZ517" s="847">
        <v>53358</v>
      </c>
      <c r="BA517" s="847">
        <v>54425</v>
      </c>
      <c r="BB517" s="847">
        <v>55514</v>
      </c>
      <c r="BC517" s="847">
        <v>56624</v>
      </c>
      <c r="BD517" s="847">
        <v>57756</v>
      </c>
      <c r="BE517" s="847">
        <v>58911</v>
      </c>
      <c r="BF517" s="847">
        <v>60089</v>
      </c>
      <c r="BG517" s="847">
        <v>61291</v>
      </c>
      <c r="BH517" s="847">
        <v>62516</v>
      </c>
      <c r="BI517" s="847">
        <v>63763</v>
      </c>
      <c r="BJ517" s="847">
        <v>65024</v>
      </c>
      <c r="BK517" s="847">
        <v>66299</v>
      </c>
      <c r="BL517" s="847">
        <v>67588</v>
      </c>
      <c r="BM517" s="847">
        <v>68889</v>
      </c>
      <c r="BN517" s="847">
        <v>70204</v>
      </c>
      <c r="BO517" s="847">
        <v>71531</v>
      </c>
      <c r="BP517" s="847">
        <v>72869</v>
      </c>
      <c r="BQ517" s="847">
        <v>74219</v>
      </c>
      <c r="BR517" s="847">
        <v>75580</v>
      </c>
      <c r="BS517" s="847">
        <v>76949</v>
      </c>
      <c r="BT517" s="847">
        <v>78327</v>
      </c>
      <c r="BU517" s="847">
        <v>79712</v>
      </c>
      <c r="BV517" s="847">
        <v>81105</v>
      </c>
      <c r="BW517" s="847">
        <v>82506</v>
      </c>
      <c r="BX517" s="847">
        <v>83912</v>
      </c>
      <c r="BY517" s="847">
        <v>85325</v>
      </c>
      <c r="BZ517" s="847">
        <v>86743</v>
      </c>
      <c r="CA517" s="847">
        <v>88165</v>
      </c>
      <c r="CB517" s="847">
        <v>89592</v>
      </c>
      <c r="CC517" s="847">
        <v>91023</v>
      </c>
      <c r="CD517" s="847">
        <v>92457</v>
      </c>
      <c r="CE517" s="847">
        <v>93893</v>
      </c>
      <c r="CF517" s="847">
        <v>95333</v>
      </c>
      <c r="CG517" s="847">
        <v>96774</v>
      </c>
      <c r="CH517" s="847">
        <v>98219</v>
      </c>
      <c r="CI517" s="847">
        <v>99666</v>
      </c>
      <c r="CJ517" s="847">
        <v>101120</v>
      </c>
      <c r="CK517" s="847">
        <v>102596</v>
      </c>
      <c r="CL517" s="847">
        <v>104164</v>
      </c>
      <c r="CM517" s="847">
        <v>105200</v>
      </c>
      <c r="CN517" s="847">
        <v>0</v>
      </c>
      <c r="CO517" s="847">
        <v>0</v>
      </c>
      <c r="CP517" s="847">
        <v>0</v>
      </c>
      <c r="CQ517" s="847">
        <v>0</v>
      </c>
      <c r="CR517" s="847">
        <v>0</v>
      </c>
      <c r="CS517" s="847">
        <v>0</v>
      </c>
      <c r="CT517" s="847">
        <v>0</v>
      </c>
      <c r="CU517" s="847">
        <v>0</v>
      </c>
      <c r="CV517" s="847">
        <v>0</v>
      </c>
      <c r="CW517" s="847">
        <v>0</v>
      </c>
      <c r="CX517" s="847">
        <v>0</v>
      </c>
      <c r="CY517" s="847">
        <v>0</v>
      </c>
      <c r="CZ517" s="847">
        <v>0</v>
      </c>
      <c r="DA517" s="847">
        <v>0</v>
      </c>
      <c r="DB517" s="847">
        <v>0</v>
      </c>
      <c r="DC517" s="847">
        <v>0</v>
      </c>
      <c r="DD517" s="847">
        <v>0</v>
      </c>
      <c r="DE517" s="847">
        <v>0</v>
      </c>
      <c r="DF517" s="847">
        <v>0</v>
      </c>
      <c r="DG517" s="847">
        <v>0</v>
      </c>
      <c r="DH517" s="847">
        <v>0</v>
      </c>
      <c r="DI517" s="847">
        <v>0</v>
      </c>
      <c r="DJ517" s="847">
        <v>0</v>
      </c>
      <c r="DK517" s="847">
        <v>0</v>
      </c>
      <c r="DL517" s="847">
        <v>0</v>
      </c>
      <c r="DM517" s="847">
        <v>0</v>
      </c>
      <c r="DN517" s="847">
        <v>0</v>
      </c>
      <c r="DO517" s="847">
        <v>0</v>
      </c>
      <c r="DP517" s="847">
        <v>0</v>
      </c>
      <c r="DQ517" s="847">
        <v>0</v>
      </c>
      <c r="DR517" s="847">
        <v>0</v>
      </c>
      <c r="DS517" s="847">
        <v>0</v>
      </c>
      <c r="DT517" s="847">
        <v>0</v>
      </c>
      <c r="DU517" s="847">
        <v>0</v>
      </c>
      <c r="DV517" s="847">
        <v>0</v>
      </c>
      <c r="DW517" s="847">
        <v>0</v>
      </c>
      <c r="DX517" s="847">
        <v>0</v>
      </c>
    </row>
    <row r="518" spans="12:128" hidden="1">
      <c r="L518" s="846" t="s">
        <v>1060</v>
      </c>
      <c r="M518" s="846" t="s">
        <v>1382</v>
      </c>
      <c r="N518" s="846" t="s">
        <v>96</v>
      </c>
      <c r="O518" s="847">
        <v>38</v>
      </c>
      <c r="P518" s="780" t="str">
        <f t="shared" si="18"/>
        <v>IWT060138</v>
      </c>
      <c r="Q518" s="847">
        <v>26717</v>
      </c>
      <c r="R518" s="847">
        <v>27252</v>
      </c>
      <c r="S518" s="847">
        <v>27797</v>
      </c>
      <c r="T518" s="847">
        <v>28353</v>
      </c>
      <c r="U518" s="847">
        <v>28920</v>
      </c>
      <c r="V518" s="847">
        <v>29498</v>
      </c>
      <c r="W518" s="847">
        <v>30082</v>
      </c>
      <c r="X518" s="847">
        <v>30678</v>
      </c>
      <c r="Y518" s="847">
        <v>31288</v>
      </c>
      <c r="Z518" s="847">
        <v>31912</v>
      </c>
      <c r="AA518" s="847">
        <v>32550</v>
      </c>
      <c r="AB518" s="847">
        <v>33201</v>
      </c>
      <c r="AC518" s="847">
        <v>33865</v>
      </c>
      <c r="AD518" s="847">
        <v>34543</v>
      </c>
      <c r="AE518" s="847">
        <v>35234</v>
      </c>
      <c r="AF518" s="847">
        <v>35938</v>
      </c>
      <c r="AG518" s="847">
        <v>36657</v>
      </c>
      <c r="AH518" s="847">
        <v>37390</v>
      </c>
      <c r="AI518" s="847">
        <v>38138</v>
      </c>
      <c r="AJ518" s="847">
        <v>38901</v>
      </c>
      <c r="AK518" s="847">
        <v>39679</v>
      </c>
      <c r="AL518" s="847">
        <v>40472</v>
      </c>
      <c r="AM518" s="847">
        <v>41282</v>
      </c>
      <c r="AN518" s="847">
        <v>42107</v>
      </c>
      <c r="AO518" s="847">
        <v>42949</v>
      </c>
      <c r="AP518" s="847">
        <v>43808</v>
      </c>
      <c r="AQ518" s="847">
        <v>44685</v>
      </c>
      <c r="AR518" s="847">
        <v>45578</v>
      </c>
      <c r="AS518" s="847">
        <v>46490</v>
      </c>
      <c r="AT518" s="847">
        <v>47419</v>
      </c>
      <c r="AU518" s="847">
        <v>48368</v>
      </c>
      <c r="AV518" s="847">
        <v>49335</v>
      </c>
      <c r="AW518" s="847">
        <v>50322</v>
      </c>
      <c r="AX518" s="847">
        <v>51328</v>
      </c>
      <c r="AY518" s="847">
        <v>52355</v>
      </c>
      <c r="AZ518" s="847">
        <v>53402</v>
      </c>
      <c r="BA518" s="847">
        <v>54470</v>
      </c>
      <c r="BB518" s="847">
        <v>55559</v>
      </c>
      <c r="BC518" s="847">
        <v>56670</v>
      </c>
      <c r="BD518" s="847">
        <v>57803</v>
      </c>
      <c r="BE518" s="847">
        <v>58959</v>
      </c>
      <c r="BF518" s="847">
        <v>60138</v>
      </c>
      <c r="BG518" s="847">
        <v>61341</v>
      </c>
      <c r="BH518" s="847">
        <v>62567</v>
      </c>
      <c r="BI518" s="847">
        <v>63818</v>
      </c>
      <c r="BJ518" s="847">
        <v>65083</v>
      </c>
      <c r="BK518" s="847">
        <v>66362</v>
      </c>
      <c r="BL518" s="847">
        <v>67654</v>
      </c>
      <c r="BM518" s="847">
        <v>68959</v>
      </c>
      <c r="BN518" s="847">
        <v>70277</v>
      </c>
      <c r="BO518" s="847">
        <v>71607</v>
      </c>
      <c r="BP518" s="847">
        <v>72948</v>
      </c>
      <c r="BQ518" s="847">
        <v>74301</v>
      </c>
      <c r="BR518" s="847">
        <v>75662</v>
      </c>
      <c r="BS518" s="847">
        <v>77032</v>
      </c>
      <c r="BT518" s="847">
        <v>78411</v>
      </c>
      <c r="BU518" s="847">
        <v>79797</v>
      </c>
      <c r="BV518" s="847">
        <v>81191</v>
      </c>
      <c r="BW518" s="847">
        <v>82591</v>
      </c>
      <c r="BX518" s="847">
        <v>83998</v>
      </c>
      <c r="BY518" s="847">
        <v>85410</v>
      </c>
      <c r="BZ518" s="847">
        <v>86827</v>
      </c>
      <c r="CA518" s="847">
        <v>88249</v>
      </c>
      <c r="CB518" s="847">
        <v>89675</v>
      </c>
      <c r="CC518" s="847">
        <v>91104</v>
      </c>
      <c r="CD518" s="847">
        <v>92537</v>
      </c>
      <c r="CE518" s="847">
        <v>93972</v>
      </c>
      <c r="CF518" s="847">
        <v>95410</v>
      </c>
      <c r="CG518" s="847">
        <v>96851</v>
      </c>
      <c r="CH518" s="847">
        <v>98295</v>
      </c>
      <c r="CI518" s="847">
        <v>99746</v>
      </c>
      <c r="CJ518" s="847">
        <v>101217</v>
      </c>
      <c r="CK518" s="847">
        <v>102777</v>
      </c>
      <c r="CL518" s="847">
        <v>103800</v>
      </c>
      <c r="CM518" s="847">
        <v>0</v>
      </c>
      <c r="CN518" s="847">
        <v>0</v>
      </c>
      <c r="CO518" s="847">
        <v>0</v>
      </c>
      <c r="CP518" s="847">
        <v>0</v>
      </c>
      <c r="CQ518" s="847">
        <v>0</v>
      </c>
      <c r="CR518" s="847">
        <v>0</v>
      </c>
      <c r="CS518" s="847">
        <v>0</v>
      </c>
      <c r="CT518" s="847">
        <v>0</v>
      </c>
      <c r="CU518" s="847">
        <v>0</v>
      </c>
      <c r="CV518" s="847">
        <v>0</v>
      </c>
      <c r="CW518" s="847">
        <v>0</v>
      </c>
      <c r="CX518" s="847">
        <v>0</v>
      </c>
      <c r="CY518" s="847">
        <v>0</v>
      </c>
      <c r="CZ518" s="847">
        <v>0</v>
      </c>
      <c r="DA518" s="847">
        <v>0</v>
      </c>
      <c r="DB518" s="847">
        <v>0</v>
      </c>
      <c r="DC518" s="847">
        <v>0</v>
      </c>
      <c r="DD518" s="847">
        <v>0</v>
      </c>
      <c r="DE518" s="847">
        <v>0</v>
      </c>
      <c r="DF518" s="847">
        <v>0</v>
      </c>
      <c r="DG518" s="847">
        <v>0</v>
      </c>
      <c r="DH518" s="847">
        <v>0</v>
      </c>
      <c r="DI518" s="847">
        <v>0</v>
      </c>
      <c r="DJ518" s="847">
        <v>0</v>
      </c>
      <c r="DK518" s="847">
        <v>0</v>
      </c>
      <c r="DL518" s="847">
        <v>0</v>
      </c>
      <c r="DM518" s="847">
        <v>0</v>
      </c>
      <c r="DN518" s="847">
        <v>0</v>
      </c>
      <c r="DO518" s="847">
        <v>0</v>
      </c>
      <c r="DP518" s="847">
        <v>0</v>
      </c>
      <c r="DQ518" s="847">
        <v>0</v>
      </c>
      <c r="DR518" s="847">
        <v>0</v>
      </c>
      <c r="DS518" s="847">
        <v>0</v>
      </c>
      <c r="DT518" s="847">
        <v>0</v>
      </c>
      <c r="DU518" s="847">
        <v>0</v>
      </c>
      <c r="DV518" s="847">
        <v>0</v>
      </c>
      <c r="DW518" s="847">
        <v>0</v>
      </c>
      <c r="DX518" s="847">
        <v>0</v>
      </c>
    </row>
    <row r="519" spans="12:128" hidden="1">
      <c r="L519" s="846" t="s">
        <v>1060</v>
      </c>
      <c r="M519" s="846" t="s">
        <v>1382</v>
      </c>
      <c r="N519" s="846" t="s">
        <v>96</v>
      </c>
      <c r="O519" s="847">
        <v>39</v>
      </c>
      <c r="P519" s="780" t="str">
        <f t="shared" si="18"/>
        <v>IWT060139</v>
      </c>
      <c r="Q519" s="847">
        <v>26739</v>
      </c>
      <c r="R519" s="847">
        <v>27274</v>
      </c>
      <c r="S519" s="847">
        <v>27819</v>
      </c>
      <c r="T519" s="847">
        <v>28376</v>
      </c>
      <c r="U519" s="847">
        <v>28943</v>
      </c>
      <c r="V519" s="847">
        <v>29522</v>
      </c>
      <c r="W519" s="847">
        <v>30106</v>
      </c>
      <c r="X519" s="847">
        <v>30702</v>
      </c>
      <c r="Y519" s="847">
        <v>31312</v>
      </c>
      <c r="Z519" s="847">
        <v>31937</v>
      </c>
      <c r="AA519" s="847">
        <v>32575</v>
      </c>
      <c r="AB519" s="847">
        <v>33227</v>
      </c>
      <c r="AC519" s="847">
        <v>33891</v>
      </c>
      <c r="AD519" s="847">
        <v>34569</v>
      </c>
      <c r="AE519" s="847">
        <v>35261</v>
      </c>
      <c r="AF519" s="847">
        <v>35966</v>
      </c>
      <c r="AG519" s="847">
        <v>36685</v>
      </c>
      <c r="AH519" s="847">
        <v>37419</v>
      </c>
      <c r="AI519" s="847">
        <v>38167</v>
      </c>
      <c r="AJ519" s="847">
        <v>38930</v>
      </c>
      <c r="AK519" s="847">
        <v>39709</v>
      </c>
      <c r="AL519" s="847">
        <v>40503</v>
      </c>
      <c r="AM519" s="847">
        <v>41313</v>
      </c>
      <c r="AN519" s="847">
        <v>42139</v>
      </c>
      <c r="AO519" s="847">
        <v>42982</v>
      </c>
      <c r="AP519" s="847">
        <v>43842</v>
      </c>
      <c r="AQ519" s="847">
        <v>44719</v>
      </c>
      <c r="AR519" s="847">
        <v>45613</v>
      </c>
      <c r="AS519" s="847">
        <v>46525</v>
      </c>
      <c r="AT519" s="847">
        <v>47456</v>
      </c>
      <c r="AU519" s="847">
        <v>48405</v>
      </c>
      <c r="AV519" s="847">
        <v>49373</v>
      </c>
      <c r="AW519" s="847">
        <v>50360</v>
      </c>
      <c r="AX519" s="847">
        <v>51367</v>
      </c>
      <c r="AY519" s="847">
        <v>52395</v>
      </c>
      <c r="AZ519" s="847">
        <v>53442</v>
      </c>
      <c r="BA519" s="847">
        <v>54511</v>
      </c>
      <c r="BB519" s="847">
        <v>55601</v>
      </c>
      <c r="BC519" s="847">
        <v>56713</v>
      </c>
      <c r="BD519" s="847">
        <v>57847</v>
      </c>
      <c r="BE519" s="847">
        <v>59004</v>
      </c>
      <c r="BF519" s="847">
        <v>60184</v>
      </c>
      <c r="BG519" s="847">
        <v>61387</v>
      </c>
      <c r="BH519" s="847">
        <v>62615</v>
      </c>
      <c r="BI519" s="847">
        <v>63867</v>
      </c>
      <c r="BJ519" s="847">
        <v>65136</v>
      </c>
      <c r="BK519" s="847">
        <v>66419</v>
      </c>
      <c r="BL519" s="847">
        <v>67715</v>
      </c>
      <c r="BM519" s="847">
        <v>69024</v>
      </c>
      <c r="BN519" s="847">
        <v>70345</v>
      </c>
      <c r="BO519" s="847">
        <v>71678</v>
      </c>
      <c r="BP519" s="847">
        <v>73021</v>
      </c>
      <c r="BQ519" s="847">
        <v>74375</v>
      </c>
      <c r="BR519" s="847">
        <v>75738</v>
      </c>
      <c r="BS519" s="847">
        <v>77109</v>
      </c>
      <c r="BT519" s="847">
        <v>78489</v>
      </c>
      <c r="BU519" s="847">
        <v>79876</v>
      </c>
      <c r="BV519" s="847">
        <v>81270</v>
      </c>
      <c r="BW519" s="847">
        <v>82671</v>
      </c>
      <c r="BX519" s="847">
        <v>84078</v>
      </c>
      <c r="BY519" s="847">
        <v>85490</v>
      </c>
      <c r="BZ519" s="847">
        <v>86906</v>
      </c>
      <c r="CA519" s="847">
        <v>88327</v>
      </c>
      <c r="CB519" s="847">
        <v>89752</v>
      </c>
      <c r="CC519" s="847">
        <v>91181</v>
      </c>
      <c r="CD519" s="847">
        <v>92612</v>
      </c>
      <c r="CE519" s="847">
        <v>94046</v>
      </c>
      <c r="CF519" s="847">
        <v>95483</v>
      </c>
      <c r="CG519" s="847">
        <v>96924</v>
      </c>
      <c r="CH519" s="847">
        <v>98371</v>
      </c>
      <c r="CI519" s="847">
        <v>99839</v>
      </c>
      <c r="CJ519" s="847">
        <v>101391</v>
      </c>
      <c r="CK519" s="847">
        <v>102400</v>
      </c>
      <c r="CL519" s="847">
        <v>0</v>
      </c>
      <c r="CM519" s="847">
        <v>0</v>
      </c>
      <c r="CN519" s="847">
        <v>0</v>
      </c>
      <c r="CO519" s="847">
        <v>0</v>
      </c>
      <c r="CP519" s="847">
        <v>0</v>
      </c>
      <c r="CQ519" s="847">
        <v>0</v>
      </c>
      <c r="CR519" s="847">
        <v>0</v>
      </c>
      <c r="CS519" s="847">
        <v>0</v>
      </c>
      <c r="CT519" s="847">
        <v>0</v>
      </c>
      <c r="CU519" s="847">
        <v>0</v>
      </c>
      <c r="CV519" s="847">
        <v>0</v>
      </c>
      <c r="CW519" s="847">
        <v>0</v>
      </c>
      <c r="CX519" s="847">
        <v>0</v>
      </c>
      <c r="CY519" s="847">
        <v>0</v>
      </c>
      <c r="CZ519" s="847">
        <v>0</v>
      </c>
      <c r="DA519" s="847">
        <v>0</v>
      </c>
      <c r="DB519" s="847">
        <v>0</v>
      </c>
      <c r="DC519" s="847">
        <v>0</v>
      </c>
      <c r="DD519" s="847">
        <v>0</v>
      </c>
      <c r="DE519" s="847">
        <v>0</v>
      </c>
      <c r="DF519" s="847">
        <v>0</v>
      </c>
      <c r="DG519" s="847">
        <v>0</v>
      </c>
      <c r="DH519" s="847">
        <v>0</v>
      </c>
      <c r="DI519" s="847">
        <v>0</v>
      </c>
      <c r="DJ519" s="847">
        <v>0</v>
      </c>
      <c r="DK519" s="847">
        <v>0</v>
      </c>
      <c r="DL519" s="847">
        <v>0</v>
      </c>
      <c r="DM519" s="847">
        <v>0</v>
      </c>
      <c r="DN519" s="847">
        <v>0</v>
      </c>
      <c r="DO519" s="847">
        <v>0</v>
      </c>
      <c r="DP519" s="847">
        <v>0</v>
      </c>
      <c r="DQ519" s="847">
        <v>0</v>
      </c>
      <c r="DR519" s="847">
        <v>0</v>
      </c>
      <c r="DS519" s="847">
        <v>0</v>
      </c>
      <c r="DT519" s="847">
        <v>0</v>
      </c>
      <c r="DU519" s="847">
        <v>0</v>
      </c>
      <c r="DV519" s="847">
        <v>0</v>
      </c>
      <c r="DW519" s="847">
        <v>0</v>
      </c>
      <c r="DX519" s="847">
        <v>0</v>
      </c>
    </row>
    <row r="520" spans="12:128" hidden="1">
      <c r="L520" s="846" t="s">
        <v>1060</v>
      </c>
      <c r="M520" s="846" t="s">
        <v>1382</v>
      </c>
      <c r="N520" s="846" t="s">
        <v>96</v>
      </c>
      <c r="O520" s="847">
        <v>40</v>
      </c>
      <c r="P520" s="780" t="str">
        <f t="shared" si="18"/>
        <v>IWT060140</v>
      </c>
      <c r="Q520" s="847">
        <v>26759</v>
      </c>
      <c r="R520" s="847">
        <v>27294</v>
      </c>
      <c r="S520" s="847">
        <v>27840</v>
      </c>
      <c r="T520" s="847">
        <v>28397</v>
      </c>
      <c r="U520" s="847">
        <v>28965</v>
      </c>
      <c r="V520" s="847">
        <v>29544</v>
      </c>
      <c r="W520" s="847">
        <v>30127</v>
      </c>
      <c r="X520" s="847">
        <v>30724</v>
      </c>
      <c r="Y520" s="847">
        <v>31334</v>
      </c>
      <c r="Z520" s="847">
        <v>31958</v>
      </c>
      <c r="AA520" s="847">
        <v>32598</v>
      </c>
      <c r="AB520" s="847">
        <v>33250</v>
      </c>
      <c r="AC520" s="847">
        <v>33915</v>
      </c>
      <c r="AD520" s="847">
        <v>34593</v>
      </c>
      <c r="AE520" s="847">
        <v>35285</v>
      </c>
      <c r="AF520" s="847">
        <v>35990</v>
      </c>
      <c r="AG520" s="847">
        <v>36710</v>
      </c>
      <c r="AH520" s="847">
        <v>37444</v>
      </c>
      <c r="AI520" s="847">
        <v>38193</v>
      </c>
      <c r="AJ520" s="847">
        <v>38957</v>
      </c>
      <c r="AK520" s="847">
        <v>39736</v>
      </c>
      <c r="AL520" s="847">
        <v>40531</v>
      </c>
      <c r="AM520" s="847">
        <v>41342</v>
      </c>
      <c r="AN520" s="847">
        <v>42168</v>
      </c>
      <c r="AO520" s="847">
        <v>43012</v>
      </c>
      <c r="AP520" s="847">
        <v>43872</v>
      </c>
      <c r="AQ520" s="847">
        <v>44749</v>
      </c>
      <c r="AR520" s="847">
        <v>45644</v>
      </c>
      <c r="AS520" s="847">
        <v>46557</v>
      </c>
      <c r="AT520" s="847">
        <v>47488</v>
      </c>
      <c r="AU520" s="847">
        <v>48438</v>
      </c>
      <c r="AV520" s="847">
        <v>49407</v>
      </c>
      <c r="AW520" s="847">
        <v>50395</v>
      </c>
      <c r="AX520" s="847">
        <v>51402</v>
      </c>
      <c r="AY520" s="847">
        <v>52430</v>
      </c>
      <c r="AZ520" s="847">
        <v>53479</v>
      </c>
      <c r="BA520" s="847">
        <v>54548</v>
      </c>
      <c r="BB520" s="847">
        <v>55639</v>
      </c>
      <c r="BC520" s="847">
        <v>56752</v>
      </c>
      <c r="BD520" s="847">
        <v>57887</v>
      </c>
      <c r="BE520" s="847">
        <v>59044</v>
      </c>
      <c r="BF520" s="847">
        <v>60225</v>
      </c>
      <c r="BG520" s="847">
        <v>61429</v>
      </c>
      <c r="BH520" s="847">
        <v>62658</v>
      </c>
      <c r="BI520" s="847">
        <v>63911</v>
      </c>
      <c r="BJ520" s="847">
        <v>65184</v>
      </c>
      <c r="BK520" s="847">
        <v>66471</v>
      </c>
      <c r="BL520" s="847">
        <v>67770</v>
      </c>
      <c r="BM520" s="847">
        <v>69083</v>
      </c>
      <c r="BN520" s="847">
        <v>70407</v>
      </c>
      <c r="BO520" s="847">
        <v>71742</v>
      </c>
      <c r="BP520" s="847">
        <v>73088</v>
      </c>
      <c r="BQ520" s="847">
        <v>74443</v>
      </c>
      <c r="BR520" s="847">
        <v>75808</v>
      </c>
      <c r="BS520" s="847">
        <v>77180</v>
      </c>
      <c r="BT520" s="847">
        <v>78561</v>
      </c>
      <c r="BU520" s="847">
        <v>79949</v>
      </c>
      <c r="BV520" s="847">
        <v>81344</v>
      </c>
      <c r="BW520" s="847">
        <v>82745</v>
      </c>
      <c r="BX520" s="847">
        <v>84152</v>
      </c>
      <c r="BY520" s="847">
        <v>85564</v>
      </c>
      <c r="BZ520" s="847">
        <v>86980</v>
      </c>
      <c r="CA520" s="847">
        <v>88400</v>
      </c>
      <c r="CB520" s="847">
        <v>89824</v>
      </c>
      <c r="CC520" s="847">
        <v>91252</v>
      </c>
      <c r="CD520" s="847">
        <v>92682</v>
      </c>
      <c r="CE520" s="847">
        <v>94115</v>
      </c>
      <c r="CF520" s="847">
        <v>95552</v>
      </c>
      <c r="CG520" s="847">
        <v>96996</v>
      </c>
      <c r="CH520" s="847">
        <v>98460</v>
      </c>
      <c r="CI520" s="847">
        <v>100005</v>
      </c>
      <c r="CJ520" s="847">
        <v>101000</v>
      </c>
      <c r="CK520" s="847">
        <v>0</v>
      </c>
      <c r="CL520" s="847">
        <v>0</v>
      </c>
      <c r="CM520" s="847">
        <v>0</v>
      </c>
      <c r="CN520" s="847">
        <v>0</v>
      </c>
      <c r="CO520" s="847">
        <v>0</v>
      </c>
      <c r="CP520" s="847">
        <v>0</v>
      </c>
      <c r="CQ520" s="847">
        <v>0</v>
      </c>
      <c r="CR520" s="847">
        <v>0</v>
      </c>
      <c r="CS520" s="847">
        <v>0</v>
      </c>
      <c r="CT520" s="847">
        <v>0</v>
      </c>
      <c r="CU520" s="847">
        <v>0</v>
      </c>
      <c r="CV520" s="847">
        <v>0</v>
      </c>
      <c r="CW520" s="847">
        <v>0</v>
      </c>
      <c r="CX520" s="847">
        <v>0</v>
      </c>
      <c r="CY520" s="847">
        <v>0</v>
      </c>
      <c r="CZ520" s="847">
        <v>0</v>
      </c>
      <c r="DA520" s="847">
        <v>0</v>
      </c>
      <c r="DB520" s="847">
        <v>0</v>
      </c>
      <c r="DC520" s="847">
        <v>0</v>
      </c>
      <c r="DD520" s="847">
        <v>0</v>
      </c>
      <c r="DE520" s="847">
        <v>0</v>
      </c>
      <c r="DF520" s="847">
        <v>0</v>
      </c>
      <c r="DG520" s="847">
        <v>0</v>
      </c>
      <c r="DH520" s="847">
        <v>0</v>
      </c>
      <c r="DI520" s="847">
        <v>0</v>
      </c>
      <c r="DJ520" s="847">
        <v>0</v>
      </c>
      <c r="DK520" s="847">
        <v>0</v>
      </c>
      <c r="DL520" s="847">
        <v>0</v>
      </c>
      <c r="DM520" s="847">
        <v>0</v>
      </c>
      <c r="DN520" s="847">
        <v>0</v>
      </c>
      <c r="DO520" s="847">
        <v>0</v>
      </c>
      <c r="DP520" s="847">
        <v>0</v>
      </c>
      <c r="DQ520" s="847">
        <v>0</v>
      </c>
      <c r="DR520" s="847">
        <v>0</v>
      </c>
      <c r="DS520" s="847">
        <v>0</v>
      </c>
      <c r="DT520" s="847">
        <v>0</v>
      </c>
      <c r="DU520" s="847">
        <v>0</v>
      </c>
      <c r="DV520" s="847">
        <v>0</v>
      </c>
      <c r="DW520" s="847">
        <v>0</v>
      </c>
      <c r="DX520" s="847">
        <v>0</v>
      </c>
    </row>
    <row r="521" spans="12:128" hidden="1">
      <c r="L521" s="846" t="s">
        <v>1060</v>
      </c>
      <c r="M521" s="846" t="s">
        <v>1382</v>
      </c>
      <c r="N521" s="846" t="s">
        <v>96</v>
      </c>
      <c r="O521" s="847">
        <v>41</v>
      </c>
      <c r="P521" s="780" t="str">
        <f t="shared" si="18"/>
        <v>IWT060141</v>
      </c>
      <c r="Q521" s="847">
        <v>26777</v>
      </c>
      <c r="R521" s="847">
        <v>27312</v>
      </c>
      <c r="S521" s="847">
        <v>27858</v>
      </c>
      <c r="T521" s="847">
        <v>28416</v>
      </c>
      <c r="U521" s="847">
        <v>28984</v>
      </c>
      <c r="V521" s="847">
        <v>29564</v>
      </c>
      <c r="W521" s="847">
        <v>30146</v>
      </c>
      <c r="X521" s="847">
        <v>30743</v>
      </c>
      <c r="Y521" s="847">
        <v>31353</v>
      </c>
      <c r="Z521" s="847">
        <v>31978</v>
      </c>
      <c r="AA521" s="847">
        <v>32617</v>
      </c>
      <c r="AB521" s="847">
        <v>33270</v>
      </c>
      <c r="AC521" s="847">
        <v>33935</v>
      </c>
      <c r="AD521" s="847">
        <v>34614</v>
      </c>
      <c r="AE521" s="847">
        <v>35306</v>
      </c>
      <c r="AF521" s="847">
        <v>36012</v>
      </c>
      <c r="AG521" s="847">
        <v>36732</v>
      </c>
      <c r="AH521" s="847">
        <v>37467</v>
      </c>
      <c r="AI521" s="847">
        <v>38216</v>
      </c>
      <c r="AJ521" s="847">
        <v>38980</v>
      </c>
      <c r="AK521" s="847">
        <v>39760</v>
      </c>
      <c r="AL521" s="847">
        <v>40555</v>
      </c>
      <c r="AM521" s="847">
        <v>41366</v>
      </c>
      <c r="AN521" s="847">
        <v>42194</v>
      </c>
      <c r="AO521" s="847">
        <v>43037</v>
      </c>
      <c r="AP521" s="847">
        <v>43898</v>
      </c>
      <c r="AQ521" s="847">
        <v>44776</v>
      </c>
      <c r="AR521" s="847">
        <v>45672</v>
      </c>
      <c r="AS521" s="847">
        <v>46585</v>
      </c>
      <c r="AT521" s="847">
        <v>47517</v>
      </c>
      <c r="AU521" s="847">
        <v>48467</v>
      </c>
      <c r="AV521" s="847">
        <v>49436</v>
      </c>
      <c r="AW521" s="847">
        <v>50425</v>
      </c>
      <c r="AX521" s="847">
        <v>51433</v>
      </c>
      <c r="AY521" s="847">
        <v>52462</v>
      </c>
      <c r="AZ521" s="847">
        <v>53511</v>
      </c>
      <c r="BA521" s="847">
        <v>54581</v>
      </c>
      <c r="BB521" s="847">
        <v>55672</v>
      </c>
      <c r="BC521" s="847">
        <v>56786</v>
      </c>
      <c r="BD521" s="847">
        <v>57921</v>
      </c>
      <c r="BE521" s="847">
        <v>59080</v>
      </c>
      <c r="BF521" s="847">
        <v>60261</v>
      </c>
      <c r="BG521" s="847">
        <v>61466</v>
      </c>
      <c r="BH521" s="847">
        <v>62695</v>
      </c>
      <c r="BI521" s="847">
        <v>63949</v>
      </c>
      <c r="BJ521" s="847">
        <v>65226</v>
      </c>
      <c r="BK521" s="847">
        <v>66517</v>
      </c>
      <c r="BL521" s="847">
        <v>67820</v>
      </c>
      <c r="BM521" s="847">
        <v>69136</v>
      </c>
      <c r="BN521" s="847">
        <v>70463</v>
      </c>
      <c r="BO521" s="847">
        <v>71801</v>
      </c>
      <c r="BP521" s="847">
        <v>73149</v>
      </c>
      <c r="BQ521" s="847">
        <v>74506</v>
      </c>
      <c r="BR521" s="847">
        <v>75872</v>
      </c>
      <c r="BS521" s="847">
        <v>77246</v>
      </c>
      <c r="BT521" s="847">
        <v>78628</v>
      </c>
      <c r="BU521" s="847">
        <v>80017</v>
      </c>
      <c r="BV521" s="847">
        <v>81413</v>
      </c>
      <c r="BW521" s="847">
        <v>82814</v>
      </c>
      <c r="BX521" s="847">
        <v>84221</v>
      </c>
      <c r="BY521" s="847">
        <v>85632</v>
      </c>
      <c r="BZ521" s="847">
        <v>87048</v>
      </c>
      <c r="CA521" s="847">
        <v>88468</v>
      </c>
      <c r="CB521" s="847">
        <v>89891</v>
      </c>
      <c r="CC521" s="847">
        <v>91318</v>
      </c>
      <c r="CD521" s="847">
        <v>92748</v>
      </c>
      <c r="CE521" s="847">
        <v>94181</v>
      </c>
      <c r="CF521" s="847">
        <v>95622</v>
      </c>
      <c r="CG521" s="847">
        <v>97081</v>
      </c>
      <c r="CH521" s="847">
        <v>98619</v>
      </c>
      <c r="CI521" s="847">
        <v>99600</v>
      </c>
      <c r="CJ521" s="847">
        <v>0</v>
      </c>
      <c r="CK521" s="847">
        <v>0</v>
      </c>
      <c r="CL521" s="847">
        <v>0</v>
      </c>
      <c r="CM521" s="847">
        <v>0</v>
      </c>
      <c r="CN521" s="847">
        <v>0</v>
      </c>
      <c r="CO521" s="847">
        <v>0</v>
      </c>
      <c r="CP521" s="847">
        <v>0</v>
      </c>
      <c r="CQ521" s="847">
        <v>0</v>
      </c>
      <c r="CR521" s="847">
        <v>0</v>
      </c>
      <c r="CS521" s="847">
        <v>0</v>
      </c>
      <c r="CT521" s="847">
        <v>0</v>
      </c>
      <c r="CU521" s="847">
        <v>0</v>
      </c>
      <c r="CV521" s="847">
        <v>0</v>
      </c>
      <c r="CW521" s="847">
        <v>0</v>
      </c>
      <c r="CX521" s="847">
        <v>0</v>
      </c>
      <c r="CY521" s="847">
        <v>0</v>
      </c>
      <c r="CZ521" s="847">
        <v>0</v>
      </c>
      <c r="DA521" s="847">
        <v>0</v>
      </c>
      <c r="DB521" s="847">
        <v>0</v>
      </c>
      <c r="DC521" s="847">
        <v>0</v>
      </c>
      <c r="DD521" s="847">
        <v>0</v>
      </c>
      <c r="DE521" s="847">
        <v>0</v>
      </c>
      <c r="DF521" s="847">
        <v>0</v>
      </c>
      <c r="DG521" s="847">
        <v>0</v>
      </c>
      <c r="DH521" s="847">
        <v>0</v>
      </c>
      <c r="DI521" s="847">
        <v>0</v>
      </c>
      <c r="DJ521" s="847">
        <v>0</v>
      </c>
      <c r="DK521" s="847">
        <v>0</v>
      </c>
      <c r="DL521" s="847">
        <v>0</v>
      </c>
      <c r="DM521" s="847">
        <v>0</v>
      </c>
      <c r="DN521" s="847">
        <v>0</v>
      </c>
      <c r="DO521" s="847">
        <v>0</v>
      </c>
      <c r="DP521" s="847">
        <v>0</v>
      </c>
      <c r="DQ521" s="847">
        <v>0</v>
      </c>
      <c r="DR521" s="847">
        <v>0</v>
      </c>
      <c r="DS521" s="847">
        <v>0</v>
      </c>
      <c r="DT521" s="847">
        <v>0</v>
      </c>
      <c r="DU521" s="847">
        <v>0</v>
      </c>
      <c r="DV521" s="847">
        <v>0</v>
      </c>
      <c r="DW521" s="847">
        <v>0</v>
      </c>
      <c r="DX521" s="847">
        <v>0</v>
      </c>
    </row>
    <row r="522" spans="12:128" hidden="1">
      <c r="L522" s="846" t="s">
        <v>1060</v>
      </c>
      <c r="M522" s="846" t="s">
        <v>1382</v>
      </c>
      <c r="N522" s="846" t="s">
        <v>96</v>
      </c>
      <c r="O522" s="847">
        <v>42</v>
      </c>
      <c r="P522" s="780" t="str">
        <f t="shared" si="18"/>
        <v>IWT060142</v>
      </c>
      <c r="Q522" s="847">
        <v>26793</v>
      </c>
      <c r="R522" s="847">
        <v>27329</v>
      </c>
      <c r="S522" s="847">
        <v>27876</v>
      </c>
      <c r="T522" s="847">
        <v>28433</v>
      </c>
      <c r="U522" s="847">
        <v>29002</v>
      </c>
      <c r="V522" s="847">
        <v>29582</v>
      </c>
      <c r="W522" s="847">
        <v>30164</v>
      </c>
      <c r="X522" s="847">
        <v>30760</v>
      </c>
      <c r="Y522" s="847">
        <v>31370</v>
      </c>
      <c r="Z522" s="847">
        <v>31995</v>
      </c>
      <c r="AA522" s="847">
        <v>32635</v>
      </c>
      <c r="AB522" s="847">
        <v>33288</v>
      </c>
      <c r="AC522" s="847">
        <v>33954</v>
      </c>
      <c r="AD522" s="847">
        <v>34633</v>
      </c>
      <c r="AE522" s="847">
        <v>35326</v>
      </c>
      <c r="AF522" s="847">
        <v>36032</v>
      </c>
      <c r="AG522" s="847">
        <v>36753</v>
      </c>
      <c r="AH522" s="847">
        <v>37488</v>
      </c>
      <c r="AI522" s="847">
        <v>38237</v>
      </c>
      <c r="AJ522" s="847">
        <v>39002</v>
      </c>
      <c r="AK522" s="847">
        <v>39782</v>
      </c>
      <c r="AL522" s="847">
        <v>40578</v>
      </c>
      <c r="AM522" s="847">
        <v>41389</v>
      </c>
      <c r="AN522" s="847">
        <v>42217</v>
      </c>
      <c r="AO522" s="847">
        <v>43061</v>
      </c>
      <c r="AP522" s="847">
        <v>43923</v>
      </c>
      <c r="AQ522" s="847">
        <v>44801</v>
      </c>
      <c r="AR522" s="847">
        <v>45697</v>
      </c>
      <c r="AS522" s="847">
        <v>46611</v>
      </c>
      <c r="AT522" s="847">
        <v>47543</v>
      </c>
      <c r="AU522" s="847">
        <v>48494</v>
      </c>
      <c r="AV522" s="847">
        <v>49464</v>
      </c>
      <c r="AW522" s="847">
        <v>50453</v>
      </c>
      <c r="AX522" s="847">
        <v>51462</v>
      </c>
      <c r="AY522" s="847">
        <v>52491</v>
      </c>
      <c r="AZ522" s="847">
        <v>53540</v>
      </c>
      <c r="BA522" s="847">
        <v>54611</v>
      </c>
      <c r="BB522" s="847">
        <v>55703</v>
      </c>
      <c r="BC522" s="847">
        <v>56817</v>
      </c>
      <c r="BD522" s="847">
        <v>57953</v>
      </c>
      <c r="BE522" s="847">
        <v>59112</v>
      </c>
      <c r="BF522" s="847">
        <v>60294</v>
      </c>
      <c r="BG522" s="847">
        <v>61500</v>
      </c>
      <c r="BH522" s="847">
        <v>62730</v>
      </c>
      <c r="BI522" s="847">
        <v>63984</v>
      </c>
      <c r="BJ522" s="847">
        <v>65263</v>
      </c>
      <c r="BK522" s="847">
        <v>66558</v>
      </c>
      <c r="BL522" s="847">
        <v>67865</v>
      </c>
      <c r="BM522" s="847">
        <v>69184</v>
      </c>
      <c r="BN522" s="847">
        <v>70515</v>
      </c>
      <c r="BO522" s="847">
        <v>71855</v>
      </c>
      <c r="BP522" s="847">
        <v>73205</v>
      </c>
      <c r="BQ522" s="847">
        <v>74564</v>
      </c>
      <c r="BR522" s="847">
        <v>75932</v>
      </c>
      <c r="BS522" s="847">
        <v>77307</v>
      </c>
      <c r="BT522" s="847">
        <v>78690</v>
      </c>
      <c r="BU522" s="847">
        <v>80080</v>
      </c>
      <c r="BV522" s="847">
        <v>81476</v>
      </c>
      <c r="BW522" s="847">
        <v>82878</v>
      </c>
      <c r="BX522" s="847">
        <v>84285</v>
      </c>
      <c r="BY522" s="847">
        <v>85696</v>
      </c>
      <c r="BZ522" s="847">
        <v>87112</v>
      </c>
      <c r="CA522" s="847">
        <v>88531</v>
      </c>
      <c r="CB522" s="847">
        <v>89954</v>
      </c>
      <c r="CC522" s="847">
        <v>91380</v>
      </c>
      <c r="CD522" s="847">
        <v>92810</v>
      </c>
      <c r="CE522" s="847">
        <v>94247</v>
      </c>
      <c r="CF522" s="847">
        <v>95703</v>
      </c>
      <c r="CG522" s="847">
        <v>97232</v>
      </c>
      <c r="CH522" s="847">
        <v>98200</v>
      </c>
      <c r="CI522" s="847">
        <v>0</v>
      </c>
      <c r="CJ522" s="847">
        <v>0</v>
      </c>
      <c r="CK522" s="847">
        <v>0</v>
      </c>
      <c r="CL522" s="847">
        <v>0</v>
      </c>
      <c r="CM522" s="847">
        <v>0</v>
      </c>
      <c r="CN522" s="847">
        <v>0</v>
      </c>
      <c r="CO522" s="847">
        <v>0</v>
      </c>
      <c r="CP522" s="847">
        <v>0</v>
      </c>
      <c r="CQ522" s="847">
        <v>0</v>
      </c>
      <c r="CR522" s="847">
        <v>0</v>
      </c>
      <c r="CS522" s="847">
        <v>0</v>
      </c>
      <c r="CT522" s="847">
        <v>0</v>
      </c>
      <c r="CU522" s="847">
        <v>0</v>
      </c>
      <c r="CV522" s="847">
        <v>0</v>
      </c>
      <c r="CW522" s="847">
        <v>0</v>
      </c>
      <c r="CX522" s="847">
        <v>0</v>
      </c>
      <c r="CY522" s="847">
        <v>0</v>
      </c>
      <c r="CZ522" s="847">
        <v>0</v>
      </c>
      <c r="DA522" s="847">
        <v>0</v>
      </c>
      <c r="DB522" s="847">
        <v>0</v>
      </c>
      <c r="DC522" s="847">
        <v>0</v>
      </c>
      <c r="DD522" s="847">
        <v>0</v>
      </c>
      <c r="DE522" s="847">
        <v>0</v>
      </c>
      <c r="DF522" s="847">
        <v>0</v>
      </c>
      <c r="DG522" s="847">
        <v>0</v>
      </c>
      <c r="DH522" s="847">
        <v>0</v>
      </c>
      <c r="DI522" s="847">
        <v>0</v>
      </c>
      <c r="DJ522" s="847">
        <v>0</v>
      </c>
      <c r="DK522" s="847">
        <v>0</v>
      </c>
      <c r="DL522" s="847">
        <v>0</v>
      </c>
      <c r="DM522" s="847">
        <v>0</v>
      </c>
      <c r="DN522" s="847">
        <v>0</v>
      </c>
      <c r="DO522" s="847">
        <v>0</v>
      </c>
      <c r="DP522" s="847">
        <v>0</v>
      </c>
      <c r="DQ522" s="847">
        <v>0</v>
      </c>
      <c r="DR522" s="847">
        <v>0</v>
      </c>
      <c r="DS522" s="847">
        <v>0</v>
      </c>
      <c r="DT522" s="847">
        <v>0</v>
      </c>
      <c r="DU522" s="847">
        <v>0</v>
      </c>
      <c r="DV522" s="847">
        <v>0</v>
      </c>
      <c r="DW522" s="847">
        <v>0</v>
      </c>
      <c r="DX522" s="847">
        <v>0</v>
      </c>
    </row>
    <row r="523" spans="12:128" hidden="1">
      <c r="L523" s="846" t="s">
        <v>1060</v>
      </c>
      <c r="M523" s="846" t="s">
        <v>1382</v>
      </c>
      <c r="N523" s="846" t="s">
        <v>96</v>
      </c>
      <c r="O523" s="847">
        <v>43</v>
      </c>
      <c r="P523" s="780" t="str">
        <f t="shared" si="18"/>
        <v>IWT060143</v>
      </c>
      <c r="Q523" s="847">
        <v>26808</v>
      </c>
      <c r="R523" s="847">
        <v>27345</v>
      </c>
      <c r="S523" s="847">
        <v>27891</v>
      </c>
      <c r="T523" s="847">
        <v>28449</v>
      </c>
      <c r="U523" s="847">
        <v>29018</v>
      </c>
      <c r="V523" s="847">
        <v>29599</v>
      </c>
      <c r="W523" s="847">
        <v>30181</v>
      </c>
      <c r="X523" s="847">
        <v>30776</v>
      </c>
      <c r="Y523" s="847">
        <v>31386</v>
      </c>
      <c r="Z523" s="847">
        <v>32012</v>
      </c>
      <c r="AA523" s="847">
        <v>32652</v>
      </c>
      <c r="AB523" s="847">
        <v>33305</v>
      </c>
      <c r="AC523" s="847">
        <v>33971</v>
      </c>
      <c r="AD523" s="847">
        <v>34650</v>
      </c>
      <c r="AE523" s="847">
        <v>35343</v>
      </c>
      <c r="AF523" s="847">
        <v>36050</v>
      </c>
      <c r="AG523" s="847">
        <v>36771</v>
      </c>
      <c r="AH523" s="847">
        <v>37507</v>
      </c>
      <c r="AI523" s="847">
        <v>38257</v>
      </c>
      <c r="AJ523" s="847">
        <v>39022</v>
      </c>
      <c r="AK523" s="847">
        <v>39802</v>
      </c>
      <c r="AL523" s="847">
        <v>40598</v>
      </c>
      <c r="AM523" s="847">
        <v>41410</v>
      </c>
      <c r="AN523" s="847">
        <v>42238</v>
      </c>
      <c r="AO523" s="847">
        <v>43083</v>
      </c>
      <c r="AP523" s="847">
        <v>43945</v>
      </c>
      <c r="AQ523" s="847">
        <v>44823</v>
      </c>
      <c r="AR523" s="847">
        <v>45720</v>
      </c>
      <c r="AS523" s="847">
        <v>46634</v>
      </c>
      <c r="AT523" s="847">
        <v>47567</v>
      </c>
      <c r="AU523" s="847">
        <v>48518</v>
      </c>
      <c r="AV523" s="847">
        <v>49488</v>
      </c>
      <c r="AW523" s="847">
        <v>50478</v>
      </c>
      <c r="AX523" s="847">
        <v>51488</v>
      </c>
      <c r="AY523" s="847">
        <v>52517</v>
      </c>
      <c r="AZ523" s="847">
        <v>53567</v>
      </c>
      <c r="BA523" s="847">
        <v>54639</v>
      </c>
      <c r="BB523" s="847">
        <v>55731</v>
      </c>
      <c r="BC523" s="847">
        <v>56846</v>
      </c>
      <c r="BD523" s="847">
        <v>57982</v>
      </c>
      <c r="BE523" s="847">
        <v>59142</v>
      </c>
      <c r="BF523" s="847">
        <v>60324</v>
      </c>
      <c r="BG523" s="847">
        <v>61531</v>
      </c>
      <c r="BH523" s="847">
        <v>62761</v>
      </c>
      <c r="BI523" s="847">
        <v>64016</v>
      </c>
      <c r="BJ523" s="847">
        <v>65296</v>
      </c>
      <c r="BK523" s="847">
        <v>66594</v>
      </c>
      <c r="BL523" s="847">
        <v>67905</v>
      </c>
      <c r="BM523" s="847">
        <v>69228</v>
      </c>
      <c r="BN523" s="847">
        <v>70560</v>
      </c>
      <c r="BO523" s="847">
        <v>71903</v>
      </c>
      <c r="BP523" s="847">
        <v>73256</v>
      </c>
      <c r="BQ523" s="847">
        <v>74617</v>
      </c>
      <c r="BR523" s="847">
        <v>75986</v>
      </c>
      <c r="BS523" s="847">
        <v>77364</v>
      </c>
      <c r="BT523" s="847">
        <v>78748</v>
      </c>
      <c r="BU523" s="847">
        <v>80138</v>
      </c>
      <c r="BV523" s="847">
        <v>81535</v>
      </c>
      <c r="BW523" s="847">
        <v>82937</v>
      </c>
      <c r="BX523" s="847">
        <v>84344</v>
      </c>
      <c r="BY523" s="847">
        <v>85755</v>
      </c>
      <c r="BZ523" s="847">
        <v>87171</v>
      </c>
      <c r="CA523" s="847">
        <v>88590</v>
      </c>
      <c r="CB523" s="847">
        <v>90012</v>
      </c>
      <c r="CC523" s="847">
        <v>91439</v>
      </c>
      <c r="CD523" s="847">
        <v>92873</v>
      </c>
      <c r="CE523" s="847">
        <v>94324</v>
      </c>
      <c r="CF523" s="847">
        <v>95846</v>
      </c>
      <c r="CG523" s="847">
        <v>96800</v>
      </c>
      <c r="CH523" s="847">
        <v>0</v>
      </c>
      <c r="CI523" s="847">
        <v>0</v>
      </c>
      <c r="CJ523" s="847">
        <v>0</v>
      </c>
      <c r="CK523" s="847">
        <v>0</v>
      </c>
      <c r="CL523" s="847">
        <v>0</v>
      </c>
      <c r="CM523" s="847">
        <v>0</v>
      </c>
      <c r="CN523" s="847">
        <v>0</v>
      </c>
      <c r="CO523" s="847">
        <v>0</v>
      </c>
      <c r="CP523" s="847">
        <v>0</v>
      </c>
      <c r="CQ523" s="847">
        <v>0</v>
      </c>
      <c r="CR523" s="847">
        <v>0</v>
      </c>
      <c r="CS523" s="847">
        <v>0</v>
      </c>
      <c r="CT523" s="847">
        <v>0</v>
      </c>
      <c r="CU523" s="847">
        <v>0</v>
      </c>
      <c r="CV523" s="847">
        <v>0</v>
      </c>
      <c r="CW523" s="847">
        <v>0</v>
      </c>
      <c r="CX523" s="847">
        <v>0</v>
      </c>
      <c r="CY523" s="847">
        <v>0</v>
      </c>
      <c r="CZ523" s="847">
        <v>0</v>
      </c>
      <c r="DA523" s="847">
        <v>0</v>
      </c>
      <c r="DB523" s="847">
        <v>0</v>
      </c>
      <c r="DC523" s="847">
        <v>0</v>
      </c>
      <c r="DD523" s="847">
        <v>0</v>
      </c>
      <c r="DE523" s="847">
        <v>0</v>
      </c>
      <c r="DF523" s="847">
        <v>0</v>
      </c>
      <c r="DG523" s="847">
        <v>0</v>
      </c>
      <c r="DH523" s="847">
        <v>0</v>
      </c>
      <c r="DI523" s="847">
        <v>0</v>
      </c>
      <c r="DJ523" s="847">
        <v>0</v>
      </c>
      <c r="DK523" s="847">
        <v>0</v>
      </c>
      <c r="DL523" s="847">
        <v>0</v>
      </c>
      <c r="DM523" s="847">
        <v>0</v>
      </c>
      <c r="DN523" s="847">
        <v>0</v>
      </c>
      <c r="DO523" s="847">
        <v>0</v>
      </c>
      <c r="DP523" s="847">
        <v>0</v>
      </c>
      <c r="DQ523" s="847">
        <v>0</v>
      </c>
      <c r="DR523" s="847">
        <v>0</v>
      </c>
      <c r="DS523" s="847">
        <v>0</v>
      </c>
      <c r="DT523" s="847">
        <v>0</v>
      </c>
      <c r="DU523" s="847">
        <v>0</v>
      </c>
      <c r="DV523" s="847">
        <v>0</v>
      </c>
      <c r="DW523" s="847">
        <v>0</v>
      </c>
      <c r="DX523" s="847">
        <v>0</v>
      </c>
    </row>
    <row r="524" spans="12:128" hidden="1">
      <c r="L524" s="846" t="s">
        <v>1060</v>
      </c>
      <c r="M524" s="846" t="s">
        <v>1382</v>
      </c>
      <c r="N524" s="846" t="s">
        <v>96</v>
      </c>
      <c r="O524" s="847">
        <v>44</v>
      </c>
      <c r="P524" s="780" t="str">
        <f t="shared" si="18"/>
        <v>IWT060144</v>
      </c>
      <c r="Q524" s="847">
        <v>26822</v>
      </c>
      <c r="R524" s="847">
        <v>27358</v>
      </c>
      <c r="S524" s="847">
        <v>27906</v>
      </c>
      <c r="T524" s="847">
        <v>28464</v>
      </c>
      <c r="U524" s="847">
        <v>29033</v>
      </c>
      <c r="V524" s="847">
        <v>29614</v>
      </c>
      <c r="W524" s="847">
        <v>30195</v>
      </c>
      <c r="X524" s="847">
        <v>30790</v>
      </c>
      <c r="Y524" s="847">
        <v>31400</v>
      </c>
      <c r="Z524" s="847">
        <v>32025</v>
      </c>
      <c r="AA524" s="847">
        <v>32666</v>
      </c>
      <c r="AB524" s="847">
        <v>33319</v>
      </c>
      <c r="AC524" s="847">
        <v>33986</v>
      </c>
      <c r="AD524" s="847">
        <v>34665</v>
      </c>
      <c r="AE524" s="847">
        <v>35359</v>
      </c>
      <c r="AF524" s="847">
        <v>36066</v>
      </c>
      <c r="AG524" s="847">
        <v>36787</v>
      </c>
      <c r="AH524" s="847">
        <v>37523</v>
      </c>
      <c r="AI524" s="847">
        <v>38273</v>
      </c>
      <c r="AJ524" s="847">
        <v>39039</v>
      </c>
      <c r="AK524" s="847">
        <v>39819</v>
      </c>
      <c r="AL524" s="847">
        <v>40616</v>
      </c>
      <c r="AM524" s="847">
        <v>41428</v>
      </c>
      <c r="AN524" s="847">
        <v>42257</v>
      </c>
      <c r="AO524" s="847">
        <v>43102</v>
      </c>
      <c r="AP524" s="847">
        <v>43964</v>
      </c>
      <c r="AQ524" s="847">
        <v>44843</v>
      </c>
      <c r="AR524" s="847">
        <v>45740</v>
      </c>
      <c r="AS524" s="847">
        <v>46654</v>
      </c>
      <c r="AT524" s="847">
        <v>47587</v>
      </c>
      <c r="AU524" s="847">
        <v>48539</v>
      </c>
      <c r="AV524" s="847">
        <v>49510</v>
      </c>
      <c r="AW524" s="847">
        <v>50500</v>
      </c>
      <c r="AX524" s="847">
        <v>51510</v>
      </c>
      <c r="AY524" s="847">
        <v>52540</v>
      </c>
      <c r="AZ524" s="847">
        <v>53590</v>
      </c>
      <c r="BA524" s="847">
        <v>54662</v>
      </c>
      <c r="BB524" s="847">
        <v>55755</v>
      </c>
      <c r="BC524" s="847">
        <v>56870</v>
      </c>
      <c r="BD524" s="847">
        <v>58007</v>
      </c>
      <c r="BE524" s="847">
        <v>59167</v>
      </c>
      <c r="BF524" s="847">
        <v>60350</v>
      </c>
      <c r="BG524" s="847">
        <v>61557</v>
      </c>
      <c r="BH524" s="847">
        <v>62788</v>
      </c>
      <c r="BI524" s="847">
        <v>64043</v>
      </c>
      <c r="BJ524" s="847">
        <v>65324</v>
      </c>
      <c r="BK524" s="847">
        <v>66626</v>
      </c>
      <c r="BL524" s="847">
        <v>67941</v>
      </c>
      <c r="BM524" s="847">
        <v>69266</v>
      </c>
      <c r="BN524" s="847">
        <v>70602</v>
      </c>
      <c r="BO524" s="847">
        <v>71947</v>
      </c>
      <c r="BP524" s="847">
        <v>73302</v>
      </c>
      <c r="BQ524" s="847">
        <v>74665</v>
      </c>
      <c r="BR524" s="847">
        <v>76037</v>
      </c>
      <c r="BS524" s="847">
        <v>77415</v>
      </c>
      <c r="BT524" s="847">
        <v>78801</v>
      </c>
      <c r="BU524" s="847">
        <v>80192</v>
      </c>
      <c r="BV524" s="847">
        <v>81590</v>
      </c>
      <c r="BW524" s="847">
        <v>82992</v>
      </c>
      <c r="BX524" s="847">
        <v>84399</v>
      </c>
      <c r="BY524" s="847">
        <v>85810</v>
      </c>
      <c r="BZ524" s="847">
        <v>87226</v>
      </c>
      <c r="CA524" s="847">
        <v>88645</v>
      </c>
      <c r="CB524" s="847">
        <v>90068</v>
      </c>
      <c r="CC524" s="847">
        <v>91498</v>
      </c>
      <c r="CD524" s="847">
        <v>92945</v>
      </c>
      <c r="CE524" s="847">
        <v>94460</v>
      </c>
      <c r="CF524" s="847">
        <v>95400</v>
      </c>
      <c r="CG524" s="847">
        <v>0</v>
      </c>
      <c r="CH524" s="847">
        <v>0</v>
      </c>
      <c r="CI524" s="847">
        <v>0</v>
      </c>
      <c r="CJ524" s="847">
        <v>0</v>
      </c>
      <c r="CK524" s="847">
        <v>0</v>
      </c>
      <c r="CL524" s="847">
        <v>0</v>
      </c>
      <c r="CM524" s="847">
        <v>0</v>
      </c>
      <c r="CN524" s="847">
        <v>0</v>
      </c>
      <c r="CO524" s="847">
        <v>0</v>
      </c>
      <c r="CP524" s="847">
        <v>0</v>
      </c>
      <c r="CQ524" s="847">
        <v>0</v>
      </c>
      <c r="CR524" s="847">
        <v>0</v>
      </c>
      <c r="CS524" s="847">
        <v>0</v>
      </c>
      <c r="CT524" s="847">
        <v>0</v>
      </c>
      <c r="CU524" s="847">
        <v>0</v>
      </c>
      <c r="CV524" s="847">
        <v>0</v>
      </c>
      <c r="CW524" s="847">
        <v>0</v>
      </c>
      <c r="CX524" s="847">
        <v>0</v>
      </c>
      <c r="CY524" s="847">
        <v>0</v>
      </c>
      <c r="CZ524" s="847">
        <v>0</v>
      </c>
      <c r="DA524" s="847">
        <v>0</v>
      </c>
      <c r="DB524" s="847">
        <v>0</v>
      </c>
      <c r="DC524" s="847">
        <v>0</v>
      </c>
      <c r="DD524" s="847">
        <v>0</v>
      </c>
      <c r="DE524" s="847">
        <v>0</v>
      </c>
      <c r="DF524" s="847">
        <v>0</v>
      </c>
      <c r="DG524" s="847">
        <v>0</v>
      </c>
      <c r="DH524" s="847">
        <v>0</v>
      </c>
      <c r="DI524" s="847">
        <v>0</v>
      </c>
      <c r="DJ524" s="847">
        <v>0</v>
      </c>
      <c r="DK524" s="847">
        <v>0</v>
      </c>
      <c r="DL524" s="847">
        <v>0</v>
      </c>
      <c r="DM524" s="847">
        <v>0</v>
      </c>
      <c r="DN524" s="847">
        <v>0</v>
      </c>
      <c r="DO524" s="847">
        <v>0</v>
      </c>
      <c r="DP524" s="847">
        <v>0</v>
      </c>
      <c r="DQ524" s="847">
        <v>0</v>
      </c>
      <c r="DR524" s="847">
        <v>0</v>
      </c>
      <c r="DS524" s="847">
        <v>0</v>
      </c>
      <c r="DT524" s="847">
        <v>0</v>
      </c>
      <c r="DU524" s="847">
        <v>0</v>
      </c>
      <c r="DV524" s="847">
        <v>0</v>
      </c>
      <c r="DW524" s="847">
        <v>0</v>
      </c>
      <c r="DX524" s="847">
        <v>0</v>
      </c>
    </row>
    <row r="525" spans="12:128" hidden="1">
      <c r="L525" s="846" t="s">
        <v>1060</v>
      </c>
      <c r="M525" s="846" t="s">
        <v>1382</v>
      </c>
      <c r="N525" s="846" t="s">
        <v>96</v>
      </c>
      <c r="O525" s="847">
        <v>45</v>
      </c>
      <c r="P525" s="780" t="str">
        <f t="shared" si="18"/>
        <v>IWT060145</v>
      </c>
      <c r="Q525" s="847">
        <v>26834</v>
      </c>
      <c r="R525" s="847">
        <v>27370</v>
      </c>
      <c r="S525" s="847">
        <v>27918</v>
      </c>
      <c r="T525" s="847">
        <v>28476</v>
      </c>
      <c r="U525" s="847">
        <v>29046</v>
      </c>
      <c r="V525" s="847">
        <v>29627</v>
      </c>
      <c r="W525" s="847">
        <v>30207</v>
      </c>
      <c r="X525" s="847">
        <v>30802</v>
      </c>
      <c r="Y525" s="847">
        <v>31412</v>
      </c>
      <c r="Z525" s="847">
        <v>32037</v>
      </c>
      <c r="AA525" s="847">
        <v>32678</v>
      </c>
      <c r="AB525" s="847">
        <v>33331</v>
      </c>
      <c r="AC525" s="847">
        <v>33998</v>
      </c>
      <c r="AD525" s="847">
        <v>34678</v>
      </c>
      <c r="AE525" s="847">
        <v>35371</v>
      </c>
      <c r="AF525" s="847">
        <v>36079</v>
      </c>
      <c r="AG525" s="847">
        <v>36800</v>
      </c>
      <c r="AH525" s="847">
        <v>37536</v>
      </c>
      <c r="AI525" s="847">
        <v>38287</v>
      </c>
      <c r="AJ525" s="847">
        <v>39053</v>
      </c>
      <c r="AK525" s="847">
        <v>39834</v>
      </c>
      <c r="AL525" s="847">
        <v>40631</v>
      </c>
      <c r="AM525" s="847">
        <v>41443</v>
      </c>
      <c r="AN525" s="847">
        <v>42272</v>
      </c>
      <c r="AO525" s="847">
        <v>43117</v>
      </c>
      <c r="AP525" s="847">
        <v>43980</v>
      </c>
      <c r="AQ525" s="847">
        <v>44859</v>
      </c>
      <c r="AR525" s="847">
        <v>45756</v>
      </c>
      <c r="AS525" s="847">
        <v>46671</v>
      </c>
      <c r="AT525" s="847">
        <v>47605</v>
      </c>
      <c r="AU525" s="847">
        <v>48557</v>
      </c>
      <c r="AV525" s="847">
        <v>49528</v>
      </c>
      <c r="AW525" s="847">
        <v>50518</v>
      </c>
      <c r="AX525" s="847">
        <v>51528</v>
      </c>
      <c r="AY525" s="847">
        <v>52559</v>
      </c>
      <c r="AZ525" s="847">
        <v>53610</v>
      </c>
      <c r="BA525" s="847">
        <v>54682</v>
      </c>
      <c r="BB525" s="847">
        <v>55775</v>
      </c>
      <c r="BC525" s="847">
        <v>56891</v>
      </c>
      <c r="BD525" s="847">
        <v>58028</v>
      </c>
      <c r="BE525" s="847">
        <v>59189</v>
      </c>
      <c r="BF525" s="847">
        <v>60372</v>
      </c>
      <c r="BG525" s="847">
        <v>61579</v>
      </c>
      <c r="BH525" s="847">
        <v>62810</v>
      </c>
      <c r="BI525" s="847">
        <v>64066</v>
      </c>
      <c r="BJ525" s="847">
        <v>65347</v>
      </c>
      <c r="BK525" s="847">
        <v>66654</v>
      </c>
      <c r="BL525" s="847">
        <v>67972</v>
      </c>
      <c r="BM525" s="847">
        <v>69300</v>
      </c>
      <c r="BN525" s="847">
        <v>70639</v>
      </c>
      <c r="BO525" s="847">
        <v>71987</v>
      </c>
      <c r="BP525" s="847">
        <v>73344</v>
      </c>
      <c r="BQ525" s="847">
        <v>74710</v>
      </c>
      <c r="BR525" s="847">
        <v>76083</v>
      </c>
      <c r="BS525" s="847">
        <v>77463</v>
      </c>
      <c r="BT525" s="847">
        <v>78849</v>
      </c>
      <c r="BU525" s="847">
        <v>80242</v>
      </c>
      <c r="BV525" s="847">
        <v>81640</v>
      </c>
      <c r="BW525" s="847">
        <v>83043</v>
      </c>
      <c r="BX525" s="847">
        <v>84450</v>
      </c>
      <c r="BY525" s="847">
        <v>85862</v>
      </c>
      <c r="BZ525" s="847">
        <v>87277</v>
      </c>
      <c r="CA525" s="847">
        <v>88697</v>
      </c>
      <c r="CB525" s="847">
        <v>90123</v>
      </c>
      <c r="CC525" s="847">
        <v>91567</v>
      </c>
      <c r="CD525" s="847">
        <v>93074</v>
      </c>
      <c r="CE525" s="847">
        <v>94000</v>
      </c>
      <c r="CF525" s="847">
        <v>0</v>
      </c>
      <c r="CG525" s="847">
        <v>0</v>
      </c>
      <c r="CH525" s="847">
        <v>0</v>
      </c>
      <c r="CI525" s="847">
        <v>0</v>
      </c>
      <c r="CJ525" s="847">
        <v>0</v>
      </c>
      <c r="CK525" s="847">
        <v>0</v>
      </c>
      <c r="CL525" s="847">
        <v>0</v>
      </c>
      <c r="CM525" s="847">
        <v>0</v>
      </c>
      <c r="CN525" s="847">
        <v>0</v>
      </c>
      <c r="CO525" s="847">
        <v>0</v>
      </c>
      <c r="CP525" s="847">
        <v>0</v>
      </c>
      <c r="CQ525" s="847">
        <v>0</v>
      </c>
      <c r="CR525" s="847">
        <v>0</v>
      </c>
      <c r="CS525" s="847">
        <v>0</v>
      </c>
      <c r="CT525" s="847">
        <v>0</v>
      </c>
      <c r="CU525" s="847">
        <v>0</v>
      </c>
      <c r="CV525" s="847">
        <v>0</v>
      </c>
      <c r="CW525" s="847">
        <v>0</v>
      </c>
      <c r="CX525" s="847">
        <v>0</v>
      </c>
      <c r="CY525" s="847">
        <v>0</v>
      </c>
      <c r="CZ525" s="847">
        <v>0</v>
      </c>
      <c r="DA525" s="847">
        <v>0</v>
      </c>
      <c r="DB525" s="847">
        <v>0</v>
      </c>
      <c r="DC525" s="847">
        <v>0</v>
      </c>
      <c r="DD525" s="847">
        <v>0</v>
      </c>
      <c r="DE525" s="847">
        <v>0</v>
      </c>
      <c r="DF525" s="847">
        <v>0</v>
      </c>
      <c r="DG525" s="847">
        <v>0</v>
      </c>
      <c r="DH525" s="847">
        <v>0</v>
      </c>
      <c r="DI525" s="847">
        <v>0</v>
      </c>
      <c r="DJ525" s="847">
        <v>0</v>
      </c>
      <c r="DK525" s="847">
        <v>0</v>
      </c>
      <c r="DL525" s="847">
        <v>0</v>
      </c>
      <c r="DM525" s="847">
        <v>0</v>
      </c>
      <c r="DN525" s="847">
        <v>0</v>
      </c>
      <c r="DO525" s="847">
        <v>0</v>
      </c>
      <c r="DP525" s="847">
        <v>0</v>
      </c>
      <c r="DQ525" s="847">
        <v>0</v>
      </c>
      <c r="DR525" s="847">
        <v>0</v>
      </c>
      <c r="DS525" s="847">
        <v>0</v>
      </c>
      <c r="DT525" s="847">
        <v>0</v>
      </c>
      <c r="DU525" s="847">
        <v>0</v>
      </c>
      <c r="DV525" s="847">
        <v>0</v>
      </c>
      <c r="DW525" s="847">
        <v>0</v>
      </c>
      <c r="DX525" s="847">
        <v>0</v>
      </c>
    </row>
    <row r="526" spans="12:128" hidden="1">
      <c r="L526" s="846" t="s">
        <v>1060</v>
      </c>
      <c r="M526" s="846" t="s">
        <v>1382</v>
      </c>
      <c r="N526" s="846" t="s">
        <v>96</v>
      </c>
      <c r="O526" s="847">
        <v>46</v>
      </c>
      <c r="P526" s="780" t="str">
        <f t="shared" si="18"/>
        <v>IWT060146</v>
      </c>
      <c r="Q526" s="847">
        <v>26846</v>
      </c>
      <c r="R526" s="847">
        <v>27382</v>
      </c>
      <c r="S526" s="847">
        <v>27930</v>
      </c>
      <c r="T526" s="847">
        <v>28489</v>
      </c>
      <c r="U526" s="847">
        <v>29058</v>
      </c>
      <c r="V526" s="847">
        <v>29640</v>
      </c>
      <c r="W526" s="847">
        <v>30220</v>
      </c>
      <c r="X526" s="847">
        <v>30814</v>
      </c>
      <c r="Y526" s="847">
        <v>31423</v>
      </c>
      <c r="Z526" s="847">
        <v>32049</v>
      </c>
      <c r="AA526" s="847">
        <v>32690</v>
      </c>
      <c r="AB526" s="847">
        <v>33343</v>
      </c>
      <c r="AC526" s="847">
        <v>34010</v>
      </c>
      <c r="AD526" s="847">
        <v>34691</v>
      </c>
      <c r="AE526" s="847">
        <v>35384</v>
      </c>
      <c r="AF526" s="847">
        <v>36092</v>
      </c>
      <c r="AG526" s="847">
        <v>36814</v>
      </c>
      <c r="AH526" s="847">
        <v>37550</v>
      </c>
      <c r="AI526" s="847">
        <v>38301</v>
      </c>
      <c r="AJ526" s="847">
        <v>39067</v>
      </c>
      <c r="AK526" s="847">
        <v>39848</v>
      </c>
      <c r="AL526" s="847">
        <v>40645</v>
      </c>
      <c r="AM526" s="847">
        <v>41458</v>
      </c>
      <c r="AN526" s="847">
        <v>42287</v>
      </c>
      <c r="AO526" s="847">
        <v>43133</v>
      </c>
      <c r="AP526" s="847">
        <v>43996</v>
      </c>
      <c r="AQ526" s="847">
        <v>44875</v>
      </c>
      <c r="AR526" s="847">
        <v>45773</v>
      </c>
      <c r="AS526" s="847">
        <v>46688</v>
      </c>
      <c r="AT526" s="847">
        <v>47622</v>
      </c>
      <c r="AU526" s="847">
        <v>48574</v>
      </c>
      <c r="AV526" s="847">
        <v>49546</v>
      </c>
      <c r="AW526" s="847">
        <v>50536</v>
      </c>
      <c r="AX526" s="847">
        <v>51547</v>
      </c>
      <c r="AY526" s="847">
        <v>52578</v>
      </c>
      <c r="AZ526" s="847">
        <v>53629</v>
      </c>
      <c r="BA526" s="847">
        <v>54702</v>
      </c>
      <c r="BB526" s="847">
        <v>55795</v>
      </c>
      <c r="BC526" s="847">
        <v>56911</v>
      </c>
      <c r="BD526" s="847">
        <v>58049</v>
      </c>
      <c r="BE526" s="847">
        <v>59210</v>
      </c>
      <c r="BF526" s="847">
        <v>60394</v>
      </c>
      <c r="BG526" s="847">
        <v>61601</v>
      </c>
      <c r="BH526" s="847">
        <v>62833</v>
      </c>
      <c r="BI526" s="847">
        <v>64089</v>
      </c>
      <c r="BJ526" s="847">
        <v>65370</v>
      </c>
      <c r="BK526" s="847">
        <v>66677</v>
      </c>
      <c r="BL526" s="847">
        <v>67999</v>
      </c>
      <c r="BM526" s="847">
        <v>69331</v>
      </c>
      <c r="BN526" s="847">
        <v>70673</v>
      </c>
      <c r="BO526" s="847">
        <v>72023</v>
      </c>
      <c r="BP526" s="847">
        <v>73383</v>
      </c>
      <c r="BQ526" s="847">
        <v>74750</v>
      </c>
      <c r="BR526" s="847">
        <v>76125</v>
      </c>
      <c r="BS526" s="847">
        <v>77507</v>
      </c>
      <c r="BT526" s="847">
        <v>78894</v>
      </c>
      <c r="BU526" s="847">
        <v>80288</v>
      </c>
      <c r="BV526" s="847">
        <v>81686</v>
      </c>
      <c r="BW526" s="847">
        <v>83090</v>
      </c>
      <c r="BX526" s="847">
        <v>84497</v>
      </c>
      <c r="BY526" s="847">
        <v>85909</v>
      </c>
      <c r="BZ526" s="847">
        <v>87326</v>
      </c>
      <c r="CA526" s="847">
        <v>88749</v>
      </c>
      <c r="CB526" s="847">
        <v>90188</v>
      </c>
      <c r="CC526" s="847">
        <v>91688</v>
      </c>
      <c r="CD526" s="847">
        <v>92600</v>
      </c>
      <c r="CE526" s="847">
        <v>0</v>
      </c>
      <c r="CF526" s="847">
        <v>0</v>
      </c>
      <c r="CG526" s="847">
        <v>0</v>
      </c>
      <c r="CH526" s="847">
        <v>0</v>
      </c>
      <c r="CI526" s="847">
        <v>0</v>
      </c>
      <c r="CJ526" s="847">
        <v>0</v>
      </c>
      <c r="CK526" s="847">
        <v>0</v>
      </c>
      <c r="CL526" s="847">
        <v>0</v>
      </c>
      <c r="CM526" s="847">
        <v>0</v>
      </c>
      <c r="CN526" s="847">
        <v>0</v>
      </c>
      <c r="CO526" s="847">
        <v>0</v>
      </c>
      <c r="CP526" s="847">
        <v>0</v>
      </c>
      <c r="CQ526" s="847">
        <v>0</v>
      </c>
      <c r="CR526" s="847">
        <v>0</v>
      </c>
      <c r="CS526" s="847">
        <v>0</v>
      </c>
      <c r="CT526" s="847">
        <v>0</v>
      </c>
      <c r="CU526" s="847">
        <v>0</v>
      </c>
      <c r="CV526" s="847">
        <v>0</v>
      </c>
      <c r="CW526" s="847">
        <v>0</v>
      </c>
      <c r="CX526" s="847">
        <v>0</v>
      </c>
      <c r="CY526" s="847">
        <v>0</v>
      </c>
      <c r="CZ526" s="847">
        <v>0</v>
      </c>
      <c r="DA526" s="847">
        <v>0</v>
      </c>
      <c r="DB526" s="847">
        <v>0</v>
      </c>
      <c r="DC526" s="847">
        <v>0</v>
      </c>
      <c r="DD526" s="847">
        <v>0</v>
      </c>
      <c r="DE526" s="847">
        <v>0</v>
      </c>
      <c r="DF526" s="847">
        <v>0</v>
      </c>
      <c r="DG526" s="847">
        <v>0</v>
      </c>
      <c r="DH526" s="847">
        <v>0</v>
      </c>
      <c r="DI526" s="847">
        <v>0</v>
      </c>
      <c r="DJ526" s="847">
        <v>0</v>
      </c>
      <c r="DK526" s="847">
        <v>0</v>
      </c>
      <c r="DL526" s="847">
        <v>0</v>
      </c>
      <c r="DM526" s="847">
        <v>0</v>
      </c>
      <c r="DN526" s="847">
        <v>0</v>
      </c>
      <c r="DO526" s="847">
        <v>0</v>
      </c>
      <c r="DP526" s="847">
        <v>0</v>
      </c>
      <c r="DQ526" s="847">
        <v>0</v>
      </c>
      <c r="DR526" s="847">
        <v>0</v>
      </c>
      <c r="DS526" s="847">
        <v>0</v>
      </c>
      <c r="DT526" s="847">
        <v>0</v>
      </c>
      <c r="DU526" s="847">
        <v>0</v>
      </c>
      <c r="DV526" s="847">
        <v>0</v>
      </c>
      <c r="DW526" s="847">
        <v>0</v>
      </c>
      <c r="DX526" s="847">
        <v>0</v>
      </c>
    </row>
    <row r="527" spans="12:128" hidden="1">
      <c r="L527" s="846" t="s">
        <v>1060</v>
      </c>
      <c r="M527" s="846" t="s">
        <v>1382</v>
      </c>
      <c r="N527" s="846" t="s">
        <v>96</v>
      </c>
      <c r="O527" s="847">
        <v>47</v>
      </c>
      <c r="P527" s="780" t="str">
        <f t="shared" si="18"/>
        <v>IWT060147</v>
      </c>
      <c r="Q527" s="847">
        <v>26856</v>
      </c>
      <c r="R527" s="847">
        <v>27393</v>
      </c>
      <c r="S527" s="847">
        <v>27941</v>
      </c>
      <c r="T527" s="847">
        <v>28500</v>
      </c>
      <c r="U527" s="847">
        <v>29070</v>
      </c>
      <c r="V527" s="847">
        <v>29651</v>
      </c>
      <c r="W527" s="847">
        <v>30230</v>
      </c>
      <c r="X527" s="847">
        <v>30824</v>
      </c>
      <c r="Y527" s="847">
        <v>31433</v>
      </c>
      <c r="Z527" s="847">
        <v>32059</v>
      </c>
      <c r="AA527" s="847">
        <v>32700</v>
      </c>
      <c r="AB527" s="847">
        <v>33354</v>
      </c>
      <c r="AC527" s="847">
        <v>34021</v>
      </c>
      <c r="AD527" s="847">
        <v>34701</v>
      </c>
      <c r="AE527" s="847">
        <v>35395</v>
      </c>
      <c r="AF527" s="847">
        <v>36103</v>
      </c>
      <c r="AG527" s="847">
        <v>36825</v>
      </c>
      <c r="AH527" s="847">
        <v>37562</v>
      </c>
      <c r="AI527" s="847">
        <v>38313</v>
      </c>
      <c r="AJ527" s="847">
        <v>39079</v>
      </c>
      <c r="AK527" s="847">
        <v>39861</v>
      </c>
      <c r="AL527" s="847">
        <v>40658</v>
      </c>
      <c r="AM527" s="847">
        <v>41471</v>
      </c>
      <c r="AN527" s="847">
        <v>42300</v>
      </c>
      <c r="AO527" s="847">
        <v>43146</v>
      </c>
      <c r="AP527" s="847">
        <v>44009</v>
      </c>
      <c r="AQ527" s="847">
        <v>44889</v>
      </c>
      <c r="AR527" s="847">
        <v>45787</v>
      </c>
      <c r="AS527" s="847">
        <v>46703</v>
      </c>
      <c r="AT527" s="847">
        <v>47637</v>
      </c>
      <c r="AU527" s="847">
        <v>48589</v>
      </c>
      <c r="AV527" s="847">
        <v>49561</v>
      </c>
      <c r="AW527" s="847">
        <v>50552</v>
      </c>
      <c r="AX527" s="847">
        <v>51563</v>
      </c>
      <c r="AY527" s="847">
        <v>52594</v>
      </c>
      <c r="AZ527" s="847">
        <v>53646</v>
      </c>
      <c r="BA527" s="847">
        <v>54718</v>
      </c>
      <c r="BB527" s="847">
        <v>55812</v>
      </c>
      <c r="BC527" s="847">
        <v>56928</v>
      </c>
      <c r="BD527" s="847">
        <v>58067</v>
      </c>
      <c r="BE527" s="847">
        <v>59228</v>
      </c>
      <c r="BF527" s="847">
        <v>60412</v>
      </c>
      <c r="BG527" s="847">
        <v>61620</v>
      </c>
      <c r="BH527" s="847">
        <v>62852</v>
      </c>
      <c r="BI527" s="847">
        <v>64108</v>
      </c>
      <c r="BJ527" s="847">
        <v>65390</v>
      </c>
      <c r="BK527" s="847">
        <v>66697</v>
      </c>
      <c r="BL527" s="847">
        <v>68022</v>
      </c>
      <c r="BM527" s="847">
        <v>69358</v>
      </c>
      <c r="BN527" s="847">
        <v>70702</v>
      </c>
      <c r="BO527" s="847">
        <v>72056</v>
      </c>
      <c r="BP527" s="847">
        <v>73418</v>
      </c>
      <c r="BQ527" s="847">
        <v>74787</v>
      </c>
      <c r="BR527" s="847">
        <v>76164</v>
      </c>
      <c r="BS527" s="847">
        <v>77547</v>
      </c>
      <c r="BT527" s="847">
        <v>78936</v>
      </c>
      <c r="BU527" s="847">
        <v>80330</v>
      </c>
      <c r="BV527" s="847">
        <v>81729</v>
      </c>
      <c r="BW527" s="847">
        <v>83133</v>
      </c>
      <c r="BX527" s="847">
        <v>84542</v>
      </c>
      <c r="BY527" s="847">
        <v>85954</v>
      </c>
      <c r="BZ527" s="847">
        <v>87374</v>
      </c>
      <c r="CA527" s="847">
        <v>88809</v>
      </c>
      <c r="CB527" s="847">
        <v>90301</v>
      </c>
      <c r="CC527" s="847">
        <v>91200</v>
      </c>
      <c r="CD527" s="847">
        <v>0</v>
      </c>
      <c r="CE527" s="847">
        <v>0</v>
      </c>
      <c r="CF527" s="847">
        <v>0</v>
      </c>
      <c r="CG527" s="847">
        <v>0</v>
      </c>
      <c r="CH527" s="847">
        <v>0</v>
      </c>
      <c r="CI527" s="847">
        <v>0</v>
      </c>
      <c r="CJ527" s="847">
        <v>0</v>
      </c>
      <c r="CK527" s="847">
        <v>0</v>
      </c>
      <c r="CL527" s="847">
        <v>0</v>
      </c>
      <c r="CM527" s="847">
        <v>0</v>
      </c>
      <c r="CN527" s="847">
        <v>0</v>
      </c>
      <c r="CO527" s="847">
        <v>0</v>
      </c>
      <c r="CP527" s="847">
        <v>0</v>
      </c>
      <c r="CQ527" s="847">
        <v>0</v>
      </c>
      <c r="CR527" s="847">
        <v>0</v>
      </c>
      <c r="CS527" s="847">
        <v>0</v>
      </c>
      <c r="CT527" s="847">
        <v>0</v>
      </c>
      <c r="CU527" s="847">
        <v>0</v>
      </c>
      <c r="CV527" s="847">
        <v>0</v>
      </c>
      <c r="CW527" s="847">
        <v>0</v>
      </c>
      <c r="CX527" s="847">
        <v>0</v>
      </c>
      <c r="CY527" s="847">
        <v>0</v>
      </c>
      <c r="CZ527" s="847">
        <v>0</v>
      </c>
      <c r="DA527" s="847">
        <v>0</v>
      </c>
      <c r="DB527" s="847">
        <v>0</v>
      </c>
      <c r="DC527" s="847">
        <v>0</v>
      </c>
      <c r="DD527" s="847">
        <v>0</v>
      </c>
      <c r="DE527" s="847">
        <v>0</v>
      </c>
      <c r="DF527" s="847">
        <v>0</v>
      </c>
      <c r="DG527" s="847">
        <v>0</v>
      </c>
      <c r="DH527" s="847">
        <v>0</v>
      </c>
      <c r="DI527" s="847">
        <v>0</v>
      </c>
      <c r="DJ527" s="847">
        <v>0</v>
      </c>
      <c r="DK527" s="847">
        <v>0</v>
      </c>
      <c r="DL527" s="847">
        <v>0</v>
      </c>
      <c r="DM527" s="847">
        <v>0</v>
      </c>
      <c r="DN527" s="847">
        <v>0</v>
      </c>
      <c r="DO527" s="847">
        <v>0</v>
      </c>
      <c r="DP527" s="847">
        <v>0</v>
      </c>
      <c r="DQ527" s="847">
        <v>0</v>
      </c>
      <c r="DR527" s="847">
        <v>0</v>
      </c>
      <c r="DS527" s="847">
        <v>0</v>
      </c>
      <c r="DT527" s="847">
        <v>0</v>
      </c>
      <c r="DU527" s="847">
        <v>0</v>
      </c>
      <c r="DV527" s="847">
        <v>0</v>
      </c>
      <c r="DW527" s="847">
        <v>0</v>
      </c>
      <c r="DX527" s="847">
        <v>0</v>
      </c>
    </row>
    <row r="528" spans="12:128" hidden="1">
      <c r="L528" s="846" t="s">
        <v>1060</v>
      </c>
      <c r="M528" s="846" t="s">
        <v>1382</v>
      </c>
      <c r="N528" s="846" t="s">
        <v>96</v>
      </c>
      <c r="O528" s="847">
        <v>48</v>
      </c>
      <c r="P528" s="780" t="str">
        <f t="shared" si="18"/>
        <v>IWT060148</v>
      </c>
      <c r="Q528" s="847">
        <v>26865</v>
      </c>
      <c r="R528" s="847">
        <v>27402</v>
      </c>
      <c r="S528" s="847">
        <v>27951</v>
      </c>
      <c r="T528" s="847">
        <v>28510</v>
      </c>
      <c r="U528" s="847">
        <v>29080</v>
      </c>
      <c r="V528" s="847">
        <v>29661</v>
      </c>
      <c r="W528" s="847">
        <v>30240</v>
      </c>
      <c r="X528" s="847">
        <v>30833</v>
      </c>
      <c r="Y528" s="847">
        <v>31442</v>
      </c>
      <c r="Z528" s="847">
        <v>32067</v>
      </c>
      <c r="AA528" s="847">
        <v>32708</v>
      </c>
      <c r="AB528" s="847">
        <v>33363</v>
      </c>
      <c r="AC528" s="847">
        <v>34030</v>
      </c>
      <c r="AD528" s="847">
        <v>34710</v>
      </c>
      <c r="AE528" s="847">
        <v>35405</v>
      </c>
      <c r="AF528" s="847">
        <v>36113</v>
      </c>
      <c r="AG528" s="847">
        <v>36835</v>
      </c>
      <c r="AH528" s="847">
        <v>37572</v>
      </c>
      <c r="AI528" s="847">
        <v>38323</v>
      </c>
      <c r="AJ528" s="847">
        <v>39089</v>
      </c>
      <c r="AK528" s="847">
        <v>39871</v>
      </c>
      <c r="AL528" s="847">
        <v>40669</v>
      </c>
      <c r="AM528" s="847">
        <v>41482</v>
      </c>
      <c r="AN528" s="847">
        <v>42311</v>
      </c>
      <c r="AO528" s="847">
        <v>43158</v>
      </c>
      <c r="AP528" s="847">
        <v>44021</v>
      </c>
      <c r="AQ528" s="847">
        <v>44901</v>
      </c>
      <c r="AR528" s="847">
        <v>45799</v>
      </c>
      <c r="AS528" s="847">
        <v>46715</v>
      </c>
      <c r="AT528" s="847">
        <v>47649</v>
      </c>
      <c r="AU528" s="847">
        <v>48602</v>
      </c>
      <c r="AV528" s="847">
        <v>49574</v>
      </c>
      <c r="AW528" s="847">
        <v>50565</v>
      </c>
      <c r="AX528" s="847">
        <v>51576</v>
      </c>
      <c r="AY528" s="847">
        <v>52608</v>
      </c>
      <c r="AZ528" s="847">
        <v>53660</v>
      </c>
      <c r="BA528" s="847">
        <v>54733</v>
      </c>
      <c r="BB528" s="847">
        <v>55827</v>
      </c>
      <c r="BC528" s="847">
        <v>56943</v>
      </c>
      <c r="BD528" s="847">
        <v>58082</v>
      </c>
      <c r="BE528" s="847">
        <v>59243</v>
      </c>
      <c r="BF528" s="847">
        <v>60428</v>
      </c>
      <c r="BG528" s="847">
        <v>61636</v>
      </c>
      <c r="BH528" s="847">
        <v>62868</v>
      </c>
      <c r="BI528" s="847">
        <v>64125</v>
      </c>
      <c r="BJ528" s="847">
        <v>65407</v>
      </c>
      <c r="BK528" s="847">
        <v>66714</v>
      </c>
      <c r="BL528" s="847">
        <v>68043</v>
      </c>
      <c r="BM528" s="847">
        <v>69381</v>
      </c>
      <c r="BN528" s="847">
        <v>70729</v>
      </c>
      <c r="BO528" s="847">
        <v>72085</v>
      </c>
      <c r="BP528" s="847">
        <v>73450</v>
      </c>
      <c r="BQ528" s="847">
        <v>74821</v>
      </c>
      <c r="BR528" s="847">
        <v>76199</v>
      </c>
      <c r="BS528" s="847">
        <v>77584</v>
      </c>
      <c r="BT528" s="847">
        <v>78974</v>
      </c>
      <c r="BU528" s="847">
        <v>80369</v>
      </c>
      <c r="BV528" s="847">
        <v>81769</v>
      </c>
      <c r="BW528" s="847">
        <v>83174</v>
      </c>
      <c r="BX528" s="847">
        <v>84583</v>
      </c>
      <c r="BY528" s="847">
        <v>85999</v>
      </c>
      <c r="BZ528" s="847">
        <v>87430</v>
      </c>
      <c r="CA528" s="847">
        <v>88915</v>
      </c>
      <c r="CB528" s="847">
        <v>89800</v>
      </c>
      <c r="CC528" s="847">
        <v>0</v>
      </c>
      <c r="CD528" s="847">
        <v>0</v>
      </c>
      <c r="CE528" s="847">
        <v>0</v>
      </c>
      <c r="CF528" s="847">
        <v>0</v>
      </c>
      <c r="CG528" s="847">
        <v>0</v>
      </c>
      <c r="CH528" s="847">
        <v>0</v>
      </c>
      <c r="CI528" s="847">
        <v>0</v>
      </c>
      <c r="CJ528" s="847">
        <v>0</v>
      </c>
      <c r="CK528" s="847">
        <v>0</v>
      </c>
      <c r="CL528" s="847">
        <v>0</v>
      </c>
      <c r="CM528" s="847">
        <v>0</v>
      </c>
      <c r="CN528" s="847">
        <v>0</v>
      </c>
      <c r="CO528" s="847">
        <v>0</v>
      </c>
      <c r="CP528" s="847">
        <v>0</v>
      </c>
      <c r="CQ528" s="847">
        <v>0</v>
      </c>
      <c r="CR528" s="847">
        <v>0</v>
      </c>
      <c r="CS528" s="847">
        <v>0</v>
      </c>
      <c r="CT528" s="847">
        <v>0</v>
      </c>
      <c r="CU528" s="847">
        <v>0</v>
      </c>
      <c r="CV528" s="847">
        <v>0</v>
      </c>
      <c r="CW528" s="847">
        <v>0</v>
      </c>
      <c r="CX528" s="847">
        <v>0</v>
      </c>
      <c r="CY528" s="847">
        <v>0</v>
      </c>
      <c r="CZ528" s="847">
        <v>0</v>
      </c>
      <c r="DA528" s="847">
        <v>0</v>
      </c>
      <c r="DB528" s="847">
        <v>0</v>
      </c>
      <c r="DC528" s="847">
        <v>0</v>
      </c>
      <c r="DD528" s="847">
        <v>0</v>
      </c>
      <c r="DE528" s="847">
        <v>0</v>
      </c>
      <c r="DF528" s="847">
        <v>0</v>
      </c>
      <c r="DG528" s="847">
        <v>0</v>
      </c>
      <c r="DH528" s="847">
        <v>0</v>
      </c>
      <c r="DI528" s="847">
        <v>0</v>
      </c>
      <c r="DJ528" s="847">
        <v>0</v>
      </c>
      <c r="DK528" s="847">
        <v>0</v>
      </c>
      <c r="DL528" s="847">
        <v>0</v>
      </c>
      <c r="DM528" s="847">
        <v>0</v>
      </c>
      <c r="DN528" s="847">
        <v>0</v>
      </c>
      <c r="DO528" s="847">
        <v>0</v>
      </c>
      <c r="DP528" s="847">
        <v>0</v>
      </c>
      <c r="DQ528" s="847">
        <v>0</v>
      </c>
      <c r="DR528" s="847">
        <v>0</v>
      </c>
      <c r="DS528" s="847">
        <v>0</v>
      </c>
      <c r="DT528" s="847">
        <v>0</v>
      </c>
      <c r="DU528" s="847">
        <v>0</v>
      </c>
      <c r="DV528" s="847">
        <v>0</v>
      </c>
      <c r="DW528" s="847">
        <v>0</v>
      </c>
      <c r="DX528" s="847">
        <v>0</v>
      </c>
    </row>
    <row r="529" spans="12:128" hidden="1">
      <c r="L529" s="846" t="s">
        <v>1060</v>
      </c>
      <c r="M529" s="846" t="s">
        <v>1382</v>
      </c>
      <c r="N529" s="846" t="s">
        <v>96</v>
      </c>
      <c r="O529" s="847">
        <v>49</v>
      </c>
      <c r="P529" s="780" t="str">
        <f t="shared" si="18"/>
        <v>IWT060149</v>
      </c>
      <c r="Q529" s="847">
        <v>26873</v>
      </c>
      <c r="R529" s="847">
        <v>27411</v>
      </c>
      <c r="S529" s="847">
        <v>27959</v>
      </c>
      <c r="T529" s="847">
        <v>28518</v>
      </c>
      <c r="U529" s="847">
        <v>29088</v>
      </c>
      <c r="V529" s="847">
        <v>29670</v>
      </c>
      <c r="W529" s="847">
        <v>30248</v>
      </c>
      <c r="X529" s="847">
        <v>30841</v>
      </c>
      <c r="Y529" s="847">
        <v>31449</v>
      </c>
      <c r="Z529" s="847">
        <v>32074</v>
      </c>
      <c r="AA529" s="847">
        <v>32715</v>
      </c>
      <c r="AB529" s="847">
        <v>33370</v>
      </c>
      <c r="AC529" s="847">
        <v>34037</v>
      </c>
      <c r="AD529" s="847">
        <v>34718</v>
      </c>
      <c r="AE529" s="847">
        <v>35412</v>
      </c>
      <c r="AF529" s="847">
        <v>36120</v>
      </c>
      <c r="AG529" s="847">
        <v>36843</v>
      </c>
      <c r="AH529" s="847">
        <v>37580</v>
      </c>
      <c r="AI529" s="847">
        <v>38331</v>
      </c>
      <c r="AJ529" s="847">
        <v>39098</v>
      </c>
      <c r="AK529" s="847">
        <v>39880</v>
      </c>
      <c r="AL529" s="847">
        <v>40677</v>
      </c>
      <c r="AM529" s="847">
        <v>41491</v>
      </c>
      <c r="AN529" s="847">
        <v>42320</v>
      </c>
      <c r="AO529" s="847">
        <v>43167</v>
      </c>
      <c r="AP529" s="847">
        <v>44030</v>
      </c>
      <c r="AQ529" s="847">
        <v>44911</v>
      </c>
      <c r="AR529" s="847">
        <v>45809</v>
      </c>
      <c r="AS529" s="847">
        <v>46725</v>
      </c>
      <c r="AT529" s="847">
        <v>47659</v>
      </c>
      <c r="AU529" s="847">
        <v>48612</v>
      </c>
      <c r="AV529" s="847">
        <v>49584</v>
      </c>
      <c r="AW529" s="847">
        <v>50576</v>
      </c>
      <c r="AX529" s="847">
        <v>51587</v>
      </c>
      <c r="AY529" s="847">
        <v>52619</v>
      </c>
      <c r="AZ529" s="847">
        <v>53671</v>
      </c>
      <c r="BA529" s="847">
        <v>54744</v>
      </c>
      <c r="BB529" s="847">
        <v>55839</v>
      </c>
      <c r="BC529" s="847">
        <v>56955</v>
      </c>
      <c r="BD529" s="847">
        <v>58094</v>
      </c>
      <c r="BE529" s="847">
        <v>59256</v>
      </c>
      <c r="BF529" s="847">
        <v>60440</v>
      </c>
      <c r="BG529" s="847">
        <v>61649</v>
      </c>
      <c r="BH529" s="847">
        <v>62881</v>
      </c>
      <c r="BI529" s="847">
        <v>64138</v>
      </c>
      <c r="BJ529" s="847">
        <v>65420</v>
      </c>
      <c r="BK529" s="847">
        <v>66728</v>
      </c>
      <c r="BL529" s="847">
        <v>68061</v>
      </c>
      <c r="BM529" s="847">
        <v>69402</v>
      </c>
      <c r="BN529" s="847">
        <v>70753</v>
      </c>
      <c r="BO529" s="847">
        <v>72112</v>
      </c>
      <c r="BP529" s="847">
        <v>73478</v>
      </c>
      <c r="BQ529" s="847">
        <v>74852</v>
      </c>
      <c r="BR529" s="847">
        <v>76232</v>
      </c>
      <c r="BS529" s="847">
        <v>77617</v>
      </c>
      <c r="BT529" s="847">
        <v>79009</v>
      </c>
      <c r="BU529" s="847">
        <v>80405</v>
      </c>
      <c r="BV529" s="847">
        <v>81806</v>
      </c>
      <c r="BW529" s="847">
        <v>83212</v>
      </c>
      <c r="BX529" s="847">
        <v>84625</v>
      </c>
      <c r="BY529" s="847">
        <v>86052</v>
      </c>
      <c r="BZ529" s="847">
        <v>87529</v>
      </c>
      <c r="CA529" s="847">
        <v>88400</v>
      </c>
      <c r="CB529" s="847">
        <v>0</v>
      </c>
      <c r="CC529" s="847">
        <v>0</v>
      </c>
      <c r="CD529" s="847">
        <v>0</v>
      </c>
      <c r="CE529" s="847">
        <v>0</v>
      </c>
      <c r="CF529" s="847">
        <v>0</v>
      </c>
      <c r="CG529" s="847">
        <v>0</v>
      </c>
      <c r="CH529" s="847">
        <v>0</v>
      </c>
      <c r="CI529" s="847">
        <v>0</v>
      </c>
      <c r="CJ529" s="847">
        <v>0</v>
      </c>
      <c r="CK529" s="847">
        <v>0</v>
      </c>
      <c r="CL529" s="847">
        <v>0</v>
      </c>
      <c r="CM529" s="847">
        <v>0</v>
      </c>
      <c r="CN529" s="847">
        <v>0</v>
      </c>
      <c r="CO529" s="847">
        <v>0</v>
      </c>
      <c r="CP529" s="847">
        <v>0</v>
      </c>
      <c r="CQ529" s="847">
        <v>0</v>
      </c>
      <c r="CR529" s="847">
        <v>0</v>
      </c>
      <c r="CS529" s="847">
        <v>0</v>
      </c>
      <c r="CT529" s="847">
        <v>0</v>
      </c>
      <c r="CU529" s="847">
        <v>0</v>
      </c>
      <c r="CV529" s="847">
        <v>0</v>
      </c>
      <c r="CW529" s="847">
        <v>0</v>
      </c>
      <c r="CX529" s="847">
        <v>0</v>
      </c>
      <c r="CY529" s="847">
        <v>0</v>
      </c>
      <c r="CZ529" s="847">
        <v>0</v>
      </c>
      <c r="DA529" s="847">
        <v>0</v>
      </c>
      <c r="DB529" s="847">
        <v>0</v>
      </c>
      <c r="DC529" s="847">
        <v>0</v>
      </c>
      <c r="DD529" s="847">
        <v>0</v>
      </c>
      <c r="DE529" s="847">
        <v>0</v>
      </c>
      <c r="DF529" s="847">
        <v>0</v>
      </c>
      <c r="DG529" s="847">
        <v>0</v>
      </c>
      <c r="DH529" s="847">
        <v>0</v>
      </c>
      <c r="DI529" s="847">
        <v>0</v>
      </c>
      <c r="DJ529" s="847">
        <v>0</v>
      </c>
      <c r="DK529" s="847">
        <v>0</v>
      </c>
      <c r="DL529" s="847">
        <v>0</v>
      </c>
      <c r="DM529" s="847">
        <v>0</v>
      </c>
      <c r="DN529" s="847">
        <v>0</v>
      </c>
      <c r="DO529" s="847">
        <v>0</v>
      </c>
      <c r="DP529" s="847">
        <v>0</v>
      </c>
      <c r="DQ529" s="847">
        <v>0</v>
      </c>
      <c r="DR529" s="847">
        <v>0</v>
      </c>
      <c r="DS529" s="847">
        <v>0</v>
      </c>
      <c r="DT529" s="847">
        <v>0</v>
      </c>
      <c r="DU529" s="847">
        <v>0</v>
      </c>
      <c r="DV529" s="847">
        <v>0</v>
      </c>
      <c r="DW529" s="847">
        <v>0</v>
      </c>
      <c r="DX529" s="847">
        <v>0</v>
      </c>
    </row>
    <row r="530" spans="12:128" hidden="1">
      <c r="L530" s="846" t="s">
        <v>1060</v>
      </c>
      <c r="M530" s="846" t="s">
        <v>1382</v>
      </c>
      <c r="N530" s="846" t="s">
        <v>96</v>
      </c>
      <c r="O530" s="847">
        <v>50</v>
      </c>
      <c r="P530" s="780" t="str">
        <f t="shared" si="18"/>
        <v>IWT060150</v>
      </c>
      <c r="Q530" s="847">
        <v>26882</v>
      </c>
      <c r="R530" s="847">
        <v>27419</v>
      </c>
      <c r="S530" s="847">
        <v>27968</v>
      </c>
      <c r="T530" s="847">
        <v>28527</v>
      </c>
      <c r="U530" s="847">
        <v>29097</v>
      </c>
      <c r="V530" s="847">
        <v>29679</v>
      </c>
      <c r="W530" s="847">
        <v>30256</v>
      </c>
      <c r="X530" s="847">
        <v>30848</v>
      </c>
      <c r="Y530" s="847">
        <v>31456</v>
      </c>
      <c r="Z530" s="847">
        <v>32081</v>
      </c>
      <c r="AA530" s="847">
        <v>32722</v>
      </c>
      <c r="AB530" s="847">
        <v>33377</v>
      </c>
      <c r="AC530" s="847">
        <v>34044</v>
      </c>
      <c r="AD530" s="847">
        <v>34725</v>
      </c>
      <c r="AE530" s="847">
        <v>35420</v>
      </c>
      <c r="AF530" s="847">
        <v>36128</v>
      </c>
      <c r="AG530" s="847">
        <v>36851</v>
      </c>
      <c r="AH530" s="847">
        <v>37587</v>
      </c>
      <c r="AI530" s="847">
        <v>38339</v>
      </c>
      <c r="AJ530" s="847">
        <v>39106</v>
      </c>
      <c r="AK530" s="847">
        <v>39888</v>
      </c>
      <c r="AL530" s="847">
        <v>40686</v>
      </c>
      <c r="AM530" s="847">
        <v>41499</v>
      </c>
      <c r="AN530" s="847">
        <v>42329</v>
      </c>
      <c r="AO530" s="847">
        <v>43176</v>
      </c>
      <c r="AP530" s="847">
        <v>44039</v>
      </c>
      <c r="AQ530" s="847">
        <v>44920</v>
      </c>
      <c r="AR530" s="847">
        <v>45818</v>
      </c>
      <c r="AS530" s="847">
        <v>46735</v>
      </c>
      <c r="AT530" s="847">
        <v>47669</v>
      </c>
      <c r="AU530" s="847">
        <v>48622</v>
      </c>
      <c r="AV530" s="847">
        <v>49595</v>
      </c>
      <c r="AW530" s="847">
        <v>50586</v>
      </c>
      <c r="AX530" s="847">
        <v>51598</v>
      </c>
      <c r="AY530" s="847">
        <v>52630</v>
      </c>
      <c r="AZ530" s="847">
        <v>53682</v>
      </c>
      <c r="BA530" s="847">
        <v>54755</v>
      </c>
      <c r="BB530" s="847">
        <v>55850</v>
      </c>
      <c r="BC530" s="847">
        <v>56967</v>
      </c>
      <c r="BD530" s="847">
        <v>58106</v>
      </c>
      <c r="BE530" s="847">
        <v>59268</v>
      </c>
      <c r="BF530" s="847">
        <v>60453</v>
      </c>
      <c r="BG530" s="847">
        <v>61661</v>
      </c>
      <c r="BH530" s="847">
        <v>62894</v>
      </c>
      <c r="BI530" s="847">
        <v>64151</v>
      </c>
      <c r="BJ530" s="847">
        <v>65433</v>
      </c>
      <c r="BK530" s="847">
        <v>66741</v>
      </c>
      <c r="BL530" s="847">
        <v>68075</v>
      </c>
      <c r="BM530" s="847">
        <v>69420</v>
      </c>
      <c r="BN530" s="847">
        <v>70774</v>
      </c>
      <c r="BO530" s="847">
        <v>72135</v>
      </c>
      <c r="BP530" s="847">
        <v>73504</v>
      </c>
      <c r="BQ530" s="847">
        <v>74880</v>
      </c>
      <c r="BR530" s="847">
        <v>76261</v>
      </c>
      <c r="BS530" s="847">
        <v>77648</v>
      </c>
      <c r="BT530" s="847">
        <v>79041</v>
      </c>
      <c r="BU530" s="847">
        <v>80438</v>
      </c>
      <c r="BV530" s="847">
        <v>81841</v>
      </c>
      <c r="BW530" s="847">
        <v>83250</v>
      </c>
      <c r="BX530" s="847">
        <v>84673</v>
      </c>
      <c r="BY530" s="847">
        <v>86143</v>
      </c>
      <c r="BZ530" s="847">
        <v>87000</v>
      </c>
      <c r="CA530" s="847">
        <v>0</v>
      </c>
      <c r="CB530" s="847">
        <v>0</v>
      </c>
      <c r="CC530" s="847">
        <v>0</v>
      </c>
      <c r="CD530" s="847">
        <v>0</v>
      </c>
      <c r="CE530" s="847">
        <v>0</v>
      </c>
      <c r="CF530" s="847">
        <v>0</v>
      </c>
      <c r="CG530" s="847">
        <v>0</v>
      </c>
      <c r="CH530" s="847">
        <v>0</v>
      </c>
      <c r="CI530" s="847">
        <v>0</v>
      </c>
      <c r="CJ530" s="847">
        <v>0</v>
      </c>
      <c r="CK530" s="847">
        <v>0</v>
      </c>
      <c r="CL530" s="847">
        <v>0</v>
      </c>
      <c r="CM530" s="847">
        <v>0</v>
      </c>
      <c r="CN530" s="847">
        <v>0</v>
      </c>
      <c r="CO530" s="847">
        <v>0</v>
      </c>
      <c r="CP530" s="847">
        <v>0</v>
      </c>
      <c r="CQ530" s="847">
        <v>0</v>
      </c>
      <c r="CR530" s="847">
        <v>0</v>
      </c>
      <c r="CS530" s="847">
        <v>0</v>
      </c>
      <c r="CT530" s="847">
        <v>0</v>
      </c>
      <c r="CU530" s="847">
        <v>0</v>
      </c>
      <c r="CV530" s="847">
        <v>0</v>
      </c>
      <c r="CW530" s="847">
        <v>0</v>
      </c>
      <c r="CX530" s="847">
        <v>0</v>
      </c>
      <c r="CY530" s="847">
        <v>0</v>
      </c>
      <c r="CZ530" s="847">
        <v>0</v>
      </c>
      <c r="DA530" s="847">
        <v>0</v>
      </c>
      <c r="DB530" s="847">
        <v>0</v>
      </c>
      <c r="DC530" s="847">
        <v>0</v>
      </c>
      <c r="DD530" s="847">
        <v>0</v>
      </c>
      <c r="DE530" s="847">
        <v>0</v>
      </c>
      <c r="DF530" s="847">
        <v>0</v>
      </c>
      <c r="DG530" s="847">
        <v>0</v>
      </c>
      <c r="DH530" s="847">
        <v>0</v>
      </c>
      <c r="DI530" s="847">
        <v>0</v>
      </c>
      <c r="DJ530" s="847">
        <v>0</v>
      </c>
      <c r="DK530" s="847">
        <v>0</v>
      </c>
      <c r="DL530" s="847">
        <v>0</v>
      </c>
      <c r="DM530" s="847">
        <v>0</v>
      </c>
      <c r="DN530" s="847">
        <v>0</v>
      </c>
      <c r="DO530" s="847">
        <v>0</v>
      </c>
      <c r="DP530" s="847">
        <v>0</v>
      </c>
      <c r="DQ530" s="847">
        <v>0</v>
      </c>
      <c r="DR530" s="847">
        <v>0</v>
      </c>
      <c r="DS530" s="847">
        <v>0</v>
      </c>
      <c r="DT530" s="847">
        <v>0</v>
      </c>
      <c r="DU530" s="847">
        <v>0</v>
      </c>
      <c r="DV530" s="847">
        <v>0</v>
      </c>
      <c r="DW530" s="847">
        <v>0</v>
      </c>
      <c r="DX530" s="847">
        <v>0</v>
      </c>
    </row>
    <row r="531" spans="12:128" hidden="1">
      <c r="L531" s="846" t="s">
        <v>1060</v>
      </c>
      <c r="M531" s="846" t="s">
        <v>1382</v>
      </c>
      <c r="N531" s="846" t="s">
        <v>96</v>
      </c>
      <c r="O531" s="847">
        <v>51</v>
      </c>
      <c r="P531" s="780" t="str">
        <f t="shared" si="18"/>
        <v>IWT060151</v>
      </c>
      <c r="Q531" s="847">
        <v>26890</v>
      </c>
      <c r="R531" s="847">
        <v>27428</v>
      </c>
      <c r="S531" s="847">
        <v>27977</v>
      </c>
      <c r="T531" s="847">
        <v>28536</v>
      </c>
      <c r="U531" s="847">
        <v>29107</v>
      </c>
      <c r="V531" s="847">
        <v>29689</v>
      </c>
      <c r="W531" s="847">
        <v>30265</v>
      </c>
      <c r="X531" s="847">
        <v>30856</v>
      </c>
      <c r="Y531" s="847">
        <v>31463</v>
      </c>
      <c r="Z531" s="847">
        <v>32087</v>
      </c>
      <c r="AA531" s="847">
        <v>32729</v>
      </c>
      <c r="AB531" s="847">
        <v>33383</v>
      </c>
      <c r="AC531" s="847">
        <v>34051</v>
      </c>
      <c r="AD531" s="847">
        <v>34732</v>
      </c>
      <c r="AE531" s="847">
        <v>35427</v>
      </c>
      <c r="AF531" s="847">
        <v>36135</v>
      </c>
      <c r="AG531" s="847">
        <v>36858</v>
      </c>
      <c r="AH531" s="847">
        <v>37595</v>
      </c>
      <c r="AI531" s="847">
        <v>38347</v>
      </c>
      <c r="AJ531" s="847">
        <v>39114</v>
      </c>
      <c r="AK531" s="847">
        <v>39896</v>
      </c>
      <c r="AL531" s="847">
        <v>40694</v>
      </c>
      <c r="AM531" s="847">
        <v>41508</v>
      </c>
      <c r="AN531" s="847">
        <v>42338</v>
      </c>
      <c r="AO531" s="847">
        <v>43184</v>
      </c>
      <c r="AP531" s="847">
        <v>44048</v>
      </c>
      <c r="AQ531" s="847">
        <v>44929</v>
      </c>
      <c r="AR531" s="847">
        <v>45827</v>
      </c>
      <c r="AS531" s="847">
        <v>46744</v>
      </c>
      <c r="AT531" s="847">
        <v>47678</v>
      </c>
      <c r="AU531" s="847">
        <v>48632</v>
      </c>
      <c r="AV531" s="847">
        <v>49604</v>
      </c>
      <c r="AW531" s="847">
        <v>50596</v>
      </c>
      <c r="AX531" s="847">
        <v>51608</v>
      </c>
      <c r="AY531" s="847">
        <v>52640</v>
      </c>
      <c r="AZ531" s="847">
        <v>53693</v>
      </c>
      <c r="BA531" s="847">
        <v>54766</v>
      </c>
      <c r="BB531" s="847">
        <v>55861</v>
      </c>
      <c r="BC531" s="847">
        <v>56978</v>
      </c>
      <c r="BD531" s="847">
        <v>58117</v>
      </c>
      <c r="BE531" s="847">
        <v>59279</v>
      </c>
      <c r="BF531" s="847">
        <v>60464</v>
      </c>
      <c r="BG531" s="847">
        <v>61673</v>
      </c>
      <c r="BH531" s="847">
        <v>62906</v>
      </c>
      <c r="BI531" s="847">
        <v>64163</v>
      </c>
      <c r="BJ531" s="847">
        <v>65446</v>
      </c>
      <c r="BK531" s="847">
        <v>66754</v>
      </c>
      <c r="BL531" s="847">
        <v>68088</v>
      </c>
      <c r="BM531" s="847">
        <v>69436</v>
      </c>
      <c r="BN531" s="847">
        <v>70793</v>
      </c>
      <c r="BO531" s="847">
        <v>72157</v>
      </c>
      <c r="BP531" s="847">
        <v>73527</v>
      </c>
      <c r="BQ531" s="847">
        <v>74905</v>
      </c>
      <c r="BR531" s="847">
        <v>76288</v>
      </c>
      <c r="BS531" s="847">
        <v>77677</v>
      </c>
      <c r="BT531" s="847">
        <v>79071</v>
      </c>
      <c r="BU531" s="847">
        <v>80470</v>
      </c>
      <c r="BV531" s="847">
        <v>81876</v>
      </c>
      <c r="BW531" s="847">
        <v>83294</v>
      </c>
      <c r="BX531" s="847">
        <v>84757</v>
      </c>
      <c r="BY531" s="847">
        <v>85600</v>
      </c>
      <c r="BZ531" s="847">
        <v>0</v>
      </c>
      <c r="CA531" s="847">
        <v>0</v>
      </c>
      <c r="CB531" s="847">
        <v>0</v>
      </c>
      <c r="CC531" s="847">
        <v>0</v>
      </c>
      <c r="CD531" s="847">
        <v>0</v>
      </c>
      <c r="CE531" s="847">
        <v>0</v>
      </c>
      <c r="CF531" s="847">
        <v>0</v>
      </c>
      <c r="CG531" s="847">
        <v>0</v>
      </c>
      <c r="CH531" s="847">
        <v>0</v>
      </c>
      <c r="CI531" s="847">
        <v>0</v>
      </c>
      <c r="CJ531" s="847">
        <v>0</v>
      </c>
      <c r="CK531" s="847">
        <v>0</v>
      </c>
      <c r="CL531" s="847">
        <v>0</v>
      </c>
      <c r="CM531" s="847">
        <v>0</v>
      </c>
      <c r="CN531" s="847">
        <v>0</v>
      </c>
      <c r="CO531" s="847">
        <v>0</v>
      </c>
      <c r="CP531" s="847">
        <v>0</v>
      </c>
      <c r="CQ531" s="847">
        <v>0</v>
      </c>
      <c r="CR531" s="847">
        <v>0</v>
      </c>
      <c r="CS531" s="847">
        <v>0</v>
      </c>
      <c r="CT531" s="847">
        <v>0</v>
      </c>
      <c r="CU531" s="847">
        <v>0</v>
      </c>
      <c r="CV531" s="847">
        <v>0</v>
      </c>
      <c r="CW531" s="847">
        <v>0</v>
      </c>
      <c r="CX531" s="847">
        <v>0</v>
      </c>
      <c r="CY531" s="847">
        <v>0</v>
      </c>
      <c r="CZ531" s="847">
        <v>0</v>
      </c>
      <c r="DA531" s="847">
        <v>0</v>
      </c>
      <c r="DB531" s="847">
        <v>0</v>
      </c>
      <c r="DC531" s="847">
        <v>0</v>
      </c>
      <c r="DD531" s="847">
        <v>0</v>
      </c>
      <c r="DE531" s="847">
        <v>0</v>
      </c>
      <c r="DF531" s="847">
        <v>0</v>
      </c>
      <c r="DG531" s="847">
        <v>0</v>
      </c>
      <c r="DH531" s="847">
        <v>0</v>
      </c>
      <c r="DI531" s="847">
        <v>0</v>
      </c>
      <c r="DJ531" s="847">
        <v>0</v>
      </c>
      <c r="DK531" s="847">
        <v>0</v>
      </c>
      <c r="DL531" s="847">
        <v>0</v>
      </c>
      <c r="DM531" s="847">
        <v>0</v>
      </c>
      <c r="DN531" s="847">
        <v>0</v>
      </c>
      <c r="DO531" s="847">
        <v>0</v>
      </c>
      <c r="DP531" s="847">
        <v>0</v>
      </c>
      <c r="DQ531" s="847">
        <v>0</v>
      </c>
      <c r="DR531" s="847">
        <v>0</v>
      </c>
      <c r="DS531" s="847">
        <v>0</v>
      </c>
      <c r="DT531" s="847">
        <v>0</v>
      </c>
      <c r="DU531" s="847">
        <v>0</v>
      </c>
      <c r="DV531" s="847">
        <v>0</v>
      </c>
      <c r="DW531" s="847">
        <v>0</v>
      </c>
      <c r="DX531" s="847">
        <v>0</v>
      </c>
    </row>
    <row r="532" spans="12:128" hidden="1">
      <c r="L532" s="846" t="s">
        <v>1060</v>
      </c>
      <c r="M532" s="846" t="s">
        <v>1382</v>
      </c>
      <c r="N532" s="846" t="s">
        <v>96</v>
      </c>
      <c r="O532" s="847">
        <v>52</v>
      </c>
      <c r="P532" s="780" t="str">
        <f t="shared" si="18"/>
        <v>IWT060152</v>
      </c>
      <c r="Q532" s="847">
        <v>26899</v>
      </c>
      <c r="R532" s="847">
        <v>27437</v>
      </c>
      <c r="S532" s="847">
        <v>27986</v>
      </c>
      <c r="T532" s="847">
        <v>28545</v>
      </c>
      <c r="U532" s="847">
        <v>29116</v>
      </c>
      <c r="V532" s="847">
        <v>29699</v>
      </c>
      <c r="W532" s="847">
        <v>30273</v>
      </c>
      <c r="X532" s="847">
        <v>30863</v>
      </c>
      <c r="Y532" s="847">
        <v>31469</v>
      </c>
      <c r="Z532" s="847">
        <v>32093</v>
      </c>
      <c r="AA532" s="847">
        <v>32735</v>
      </c>
      <c r="AB532" s="847">
        <v>33389</v>
      </c>
      <c r="AC532" s="847">
        <v>34057</v>
      </c>
      <c r="AD532" s="847">
        <v>34738</v>
      </c>
      <c r="AE532" s="847">
        <v>35433</v>
      </c>
      <c r="AF532" s="847">
        <v>36141</v>
      </c>
      <c r="AG532" s="847">
        <v>36864</v>
      </c>
      <c r="AH532" s="847">
        <v>37601</v>
      </c>
      <c r="AI532" s="847">
        <v>38353</v>
      </c>
      <c r="AJ532" s="847">
        <v>39120</v>
      </c>
      <c r="AK532" s="847">
        <v>39903</v>
      </c>
      <c r="AL532" s="847">
        <v>40701</v>
      </c>
      <c r="AM532" s="847">
        <v>41515</v>
      </c>
      <c r="AN532" s="847">
        <v>42345</v>
      </c>
      <c r="AO532" s="847">
        <v>43192</v>
      </c>
      <c r="AP532" s="847">
        <v>44056</v>
      </c>
      <c r="AQ532" s="847">
        <v>44937</v>
      </c>
      <c r="AR532" s="847">
        <v>45835</v>
      </c>
      <c r="AS532" s="847">
        <v>46752</v>
      </c>
      <c r="AT532" s="847">
        <v>47687</v>
      </c>
      <c r="AU532" s="847">
        <v>48640</v>
      </c>
      <c r="AV532" s="847">
        <v>49613</v>
      </c>
      <c r="AW532" s="847">
        <v>50605</v>
      </c>
      <c r="AX532" s="847">
        <v>51617</v>
      </c>
      <c r="AY532" s="847">
        <v>52649</v>
      </c>
      <c r="AZ532" s="847">
        <v>53701</v>
      </c>
      <c r="BA532" s="847">
        <v>54775</v>
      </c>
      <c r="BB532" s="847">
        <v>55870</v>
      </c>
      <c r="BC532" s="847">
        <v>56987</v>
      </c>
      <c r="BD532" s="847">
        <v>58127</v>
      </c>
      <c r="BE532" s="847">
        <v>59289</v>
      </c>
      <c r="BF532" s="847">
        <v>60474</v>
      </c>
      <c r="BG532" s="847">
        <v>61683</v>
      </c>
      <c r="BH532" s="847">
        <v>62916</v>
      </c>
      <c r="BI532" s="847">
        <v>64173</v>
      </c>
      <c r="BJ532" s="847">
        <v>65456</v>
      </c>
      <c r="BK532" s="847">
        <v>66764</v>
      </c>
      <c r="BL532" s="847">
        <v>68098</v>
      </c>
      <c r="BM532" s="847">
        <v>69450</v>
      </c>
      <c r="BN532" s="847">
        <v>70809</v>
      </c>
      <c r="BO532" s="847">
        <v>72175</v>
      </c>
      <c r="BP532" s="847">
        <v>73548</v>
      </c>
      <c r="BQ532" s="847">
        <v>74928</v>
      </c>
      <c r="BR532" s="847">
        <v>76313</v>
      </c>
      <c r="BS532" s="847">
        <v>77703</v>
      </c>
      <c r="BT532" s="847">
        <v>79099</v>
      </c>
      <c r="BU532" s="847">
        <v>80501</v>
      </c>
      <c r="BV532" s="847">
        <v>81916</v>
      </c>
      <c r="BW532" s="847">
        <v>83370</v>
      </c>
      <c r="BX532" s="847">
        <v>84200</v>
      </c>
      <c r="BY532" s="847">
        <v>0</v>
      </c>
      <c r="BZ532" s="847">
        <v>0</v>
      </c>
      <c r="CA532" s="847">
        <v>0</v>
      </c>
      <c r="CB532" s="847">
        <v>0</v>
      </c>
      <c r="CC532" s="847">
        <v>0</v>
      </c>
      <c r="CD532" s="847">
        <v>0</v>
      </c>
      <c r="CE532" s="847">
        <v>0</v>
      </c>
      <c r="CF532" s="847">
        <v>0</v>
      </c>
      <c r="CG532" s="847">
        <v>0</v>
      </c>
      <c r="CH532" s="847">
        <v>0</v>
      </c>
      <c r="CI532" s="847">
        <v>0</v>
      </c>
      <c r="CJ532" s="847">
        <v>0</v>
      </c>
      <c r="CK532" s="847">
        <v>0</v>
      </c>
      <c r="CL532" s="847">
        <v>0</v>
      </c>
      <c r="CM532" s="847">
        <v>0</v>
      </c>
      <c r="CN532" s="847">
        <v>0</v>
      </c>
      <c r="CO532" s="847">
        <v>0</v>
      </c>
      <c r="CP532" s="847">
        <v>0</v>
      </c>
      <c r="CQ532" s="847">
        <v>0</v>
      </c>
      <c r="CR532" s="847">
        <v>0</v>
      </c>
      <c r="CS532" s="847">
        <v>0</v>
      </c>
      <c r="CT532" s="847">
        <v>0</v>
      </c>
      <c r="CU532" s="847">
        <v>0</v>
      </c>
      <c r="CV532" s="847">
        <v>0</v>
      </c>
      <c r="CW532" s="847">
        <v>0</v>
      </c>
      <c r="CX532" s="847">
        <v>0</v>
      </c>
      <c r="CY532" s="847">
        <v>0</v>
      </c>
      <c r="CZ532" s="847">
        <v>0</v>
      </c>
      <c r="DA532" s="847">
        <v>0</v>
      </c>
      <c r="DB532" s="847">
        <v>0</v>
      </c>
      <c r="DC532" s="847">
        <v>0</v>
      </c>
      <c r="DD532" s="847">
        <v>0</v>
      </c>
      <c r="DE532" s="847">
        <v>0</v>
      </c>
      <c r="DF532" s="847">
        <v>0</v>
      </c>
      <c r="DG532" s="847">
        <v>0</v>
      </c>
      <c r="DH532" s="847">
        <v>0</v>
      </c>
      <c r="DI532" s="847">
        <v>0</v>
      </c>
      <c r="DJ532" s="847">
        <v>0</v>
      </c>
      <c r="DK532" s="847">
        <v>0</v>
      </c>
      <c r="DL532" s="847">
        <v>0</v>
      </c>
      <c r="DM532" s="847">
        <v>0</v>
      </c>
      <c r="DN532" s="847">
        <v>0</v>
      </c>
      <c r="DO532" s="847">
        <v>0</v>
      </c>
      <c r="DP532" s="847">
        <v>0</v>
      </c>
      <c r="DQ532" s="847">
        <v>0</v>
      </c>
      <c r="DR532" s="847">
        <v>0</v>
      </c>
      <c r="DS532" s="847">
        <v>0</v>
      </c>
      <c r="DT532" s="847">
        <v>0</v>
      </c>
      <c r="DU532" s="847">
        <v>0</v>
      </c>
      <c r="DV532" s="847">
        <v>0</v>
      </c>
      <c r="DW532" s="847">
        <v>0</v>
      </c>
      <c r="DX532" s="847">
        <v>0</v>
      </c>
    </row>
    <row r="533" spans="12:128" hidden="1">
      <c r="L533" s="846" t="s">
        <v>1060</v>
      </c>
      <c r="M533" s="846" t="s">
        <v>1382</v>
      </c>
      <c r="N533" s="846" t="s">
        <v>96</v>
      </c>
      <c r="O533" s="847">
        <v>53</v>
      </c>
      <c r="P533" s="780" t="str">
        <f t="shared" si="18"/>
        <v>IWT060153</v>
      </c>
      <c r="Q533" s="847">
        <v>26907</v>
      </c>
      <c r="R533" s="847">
        <v>27445</v>
      </c>
      <c r="S533" s="847">
        <v>27994</v>
      </c>
      <c r="T533" s="847">
        <v>28554</v>
      </c>
      <c r="U533" s="847">
        <v>29125</v>
      </c>
      <c r="V533" s="847">
        <v>29708</v>
      </c>
      <c r="W533" s="847">
        <v>30281</v>
      </c>
      <c r="X533" s="847">
        <v>30869</v>
      </c>
      <c r="Y533" s="847">
        <v>31474</v>
      </c>
      <c r="Z533" s="847">
        <v>32097</v>
      </c>
      <c r="AA533" s="847">
        <v>32739</v>
      </c>
      <c r="AB533" s="847">
        <v>33394</v>
      </c>
      <c r="AC533" s="847">
        <v>34062</v>
      </c>
      <c r="AD533" s="847">
        <v>34743</v>
      </c>
      <c r="AE533" s="847">
        <v>35438</v>
      </c>
      <c r="AF533" s="847">
        <v>36147</v>
      </c>
      <c r="AG533" s="847">
        <v>36870</v>
      </c>
      <c r="AH533" s="847">
        <v>37607</v>
      </c>
      <c r="AI533" s="847">
        <v>38359</v>
      </c>
      <c r="AJ533" s="847">
        <v>39126</v>
      </c>
      <c r="AK533" s="847">
        <v>39909</v>
      </c>
      <c r="AL533" s="847">
        <v>40707</v>
      </c>
      <c r="AM533" s="847">
        <v>41521</v>
      </c>
      <c r="AN533" s="847">
        <v>42351</v>
      </c>
      <c r="AO533" s="847">
        <v>43198</v>
      </c>
      <c r="AP533" s="847">
        <v>44062</v>
      </c>
      <c r="AQ533" s="847">
        <v>44943</v>
      </c>
      <c r="AR533" s="847">
        <v>45842</v>
      </c>
      <c r="AS533" s="847">
        <v>46758</v>
      </c>
      <c r="AT533" s="847">
        <v>47693</v>
      </c>
      <c r="AU533" s="847">
        <v>48647</v>
      </c>
      <c r="AV533" s="847">
        <v>49620</v>
      </c>
      <c r="AW533" s="847">
        <v>50612</v>
      </c>
      <c r="AX533" s="847">
        <v>51624</v>
      </c>
      <c r="AY533" s="847">
        <v>52656</v>
      </c>
      <c r="AZ533" s="847">
        <v>53709</v>
      </c>
      <c r="BA533" s="847">
        <v>54783</v>
      </c>
      <c r="BB533" s="847">
        <v>55878</v>
      </c>
      <c r="BC533" s="847">
        <v>56995</v>
      </c>
      <c r="BD533" s="847">
        <v>58135</v>
      </c>
      <c r="BE533" s="847">
        <v>59297</v>
      </c>
      <c r="BF533" s="847">
        <v>60482</v>
      </c>
      <c r="BG533" s="847">
        <v>61691</v>
      </c>
      <c r="BH533" s="847">
        <v>62924</v>
      </c>
      <c r="BI533" s="847">
        <v>64182</v>
      </c>
      <c r="BJ533" s="847">
        <v>65464</v>
      </c>
      <c r="BK533" s="847">
        <v>66773</v>
      </c>
      <c r="BL533" s="847">
        <v>68107</v>
      </c>
      <c r="BM533" s="847">
        <v>69461</v>
      </c>
      <c r="BN533" s="847">
        <v>70823</v>
      </c>
      <c r="BO533" s="847">
        <v>72192</v>
      </c>
      <c r="BP533" s="847">
        <v>73567</v>
      </c>
      <c r="BQ533" s="847">
        <v>74949</v>
      </c>
      <c r="BR533" s="847">
        <v>76335</v>
      </c>
      <c r="BS533" s="847">
        <v>77728</v>
      </c>
      <c r="BT533" s="847">
        <v>79126</v>
      </c>
      <c r="BU533" s="847">
        <v>80537</v>
      </c>
      <c r="BV533" s="847">
        <v>81984</v>
      </c>
      <c r="BW533" s="847">
        <v>82800</v>
      </c>
      <c r="BX533" s="847">
        <v>0</v>
      </c>
      <c r="BY533" s="847">
        <v>0</v>
      </c>
      <c r="BZ533" s="847">
        <v>0</v>
      </c>
      <c r="CA533" s="847">
        <v>0</v>
      </c>
      <c r="CB533" s="847">
        <v>0</v>
      </c>
      <c r="CC533" s="847">
        <v>0</v>
      </c>
      <c r="CD533" s="847">
        <v>0</v>
      </c>
      <c r="CE533" s="847">
        <v>0</v>
      </c>
      <c r="CF533" s="847">
        <v>0</v>
      </c>
      <c r="CG533" s="847">
        <v>0</v>
      </c>
      <c r="CH533" s="847">
        <v>0</v>
      </c>
      <c r="CI533" s="847">
        <v>0</v>
      </c>
      <c r="CJ533" s="847">
        <v>0</v>
      </c>
      <c r="CK533" s="847">
        <v>0</v>
      </c>
      <c r="CL533" s="847">
        <v>0</v>
      </c>
      <c r="CM533" s="847">
        <v>0</v>
      </c>
      <c r="CN533" s="847">
        <v>0</v>
      </c>
      <c r="CO533" s="847">
        <v>0</v>
      </c>
      <c r="CP533" s="847">
        <v>0</v>
      </c>
      <c r="CQ533" s="847">
        <v>0</v>
      </c>
      <c r="CR533" s="847">
        <v>0</v>
      </c>
      <c r="CS533" s="847">
        <v>0</v>
      </c>
      <c r="CT533" s="847">
        <v>0</v>
      </c>
      <c r="CU533" s="847">
        <v>0</v>
      </c>
      <c r="CV533" s="847">
        <v>0</v>
      </c>
      <c r="CW533" s="847">
        <v>0</v>
      </c>
      <c r="CX533" s="847">
        <v>0</v>
      </c>
      <c r="CY533" s="847">
        <v>0</v>
      </c>
      <c r="CZ533" s="847">
        <v>0</v>
      </c>
      <c r="DA533" s="847">
        <v>0</v>
      </c>
      <c r="DB533" s="847">
        <v>0</v>
      </c>
      <c r="DC533" s="847">
        <v>0</v>
      </c>
      <c r="DD533" s="847">
        <v>0</v>
      </c>
      <c r="DE533" s="847">
        <v>0</v>
      </c>
      <c r="DF533" s="847">
        <v>0</v>
      </c>
      <c r="DG533" s="847">
        <v>0</v>
      </c>
      <c r="DH533" s="847">
        <v>0</v>
      </c>
      <c r="DI533" s="847">
        <v>0</v>
      </c>
      <c r="DJ533" s="847">
        <v>0</v>
      </c>
      <c r="DK533" s="847">
        <v>0</v>
      </c>
      <c r="DL533" s="847">
        <v>0</v>
      </c>
      <c r="DM533" s="847">
        <v>0</v>
      </c>
      <c r="DN533" s="847">
        <v>0</v>
      </c>
      <c r="DO533" s="847">
        <v>0</v>
      </c>
      <c r="DP533" s="847">
        <v>0</v>
      </c>
      <c r="DQ533" s="847">
        <v>0</v>
      </c>
      <c r="DR533" s="847">
        <v>0</v>
      </c>
      <c r="DS533" s="847">
        <v>0</v>
      </c>
      <c r="DT533" s="847">
        <v>0</v>
      </c>
      <c r="DU533" s="847">
        <v>0</v>
      </c>
      <c r="DV533" s="847">
        <v>0</v>
      </c>
      <c r="DW533" s="847">
        <v>0</v>
      </c>
      <c r="DX533" s="847">
        <v>0</v>
      </c>
    </row>
    <row r="534" spans="12:128" hidden="1">
      <c r="L534" s="846" t="s">
        <v>1060</v>
      </c>
      <c r="M534" s="846" t="s">
        <v>1382</v>
      </c>
      <c r="N534" s="846" t="s">
        <v>96</v>
      </c>
      <c r="O534" s="847">
        <v>54</v>
      </c>
      <c r="P534" s="780" t="str">
        <f t="shared" si="18"/>
        <v>IWT060154</v>
      </c>
      <c r="Q534" s="847">
        <v>26915</v>
      </c>
      <c r="R534" s="847">
        <v>27453</v>
      </c>
      <c r="S534" s="847">
        <v>28003</v>
      </c>
      <c r="T534" s="847">
        <v>28563</v>
      </c>
      <c r="U534" s="847">
        <v>29134</v>
      </c>
      <c r="V534" s="847">
        <v>29716</v>
      </c>
      <c r="W534" s="847">
        <v>30287</v>
      </c>
      <c r="X534" s="847">
        <v>30874</v>
      </c>
      <c r="Y534" s="847">
        <v>31478</v>
      </c>
      <c r="Z534" s="847">
        <v>32101</v>
      </c>
      <c r="AA534" s="847">
        <v>32743</v>
      </c>
      <c r="AB534" s="847">
        <v>33398</v>
      </c>
      <c r="AC534" s="847">
        <v>34066</v>
      </c>
      <c r="AD534" s="847">
        <v>34747</v>
      </c>
      <c r="AE534" s="847">
        <v>35442</v>
      </c>
      <c r="AF534" s="847">
        <v>36151</v>
      </c>
      <c r="AG534" s="847">
        <v>36874</v>
      </c>
      <c r="AH534" s="847">
        <v>37611</v>
      </c>
      <c r="AI534" s="847">
        <v>38363</v>
      </c>
      <c r="AJ534" s="847">
        <v>39131</v>
      </c>
      <c r="AK534" s="847">
        <v>39913</v>
      </c>
      <c r="AL534" s="847">
        <v>40711</v>
      </c>
      <c r="AM534" s="847">
        <v>41525</v>
      </c>
      <c r="AN534" s="847">
        <v>42356</v>
      </c>
      <c r="AO534" s="847">
        <v>43203</v>
      </c>
      <c r="AP534" s="847">
        <v>44067</v>
      </c>
      <c r="AQ534" s="847">
        <v>44948</v>
      </c>
      <c r="AR534" s="847">
        <v>45847</v>
      </c>
      <c r="AS534" s="847">
        <v>46764</v>
      </c>
      <c r="AT534" s="847">
        <v>47699</v>
      </c>
      <c r="AU534" s="847">
        <v>48652</v>
      </c>
      <c r="AV534" s="847">
        <v>49625</v>
      </c>
      <c r="AW534" s="847">
        <v>50618</v>
      </c>
      <c r="AX534" s="847">
        <v>51630</v>
      </c>
      <c r="AY534" s="847">
        <v>52662</v>
      </c>
      <c r="AZ534" s="847">
        <v>53715</v>
      </c>
      <c r="BA534" s="847">
        <v>54789</v>
      </c>
      <c r="BB534" s="847">
        <v>55884</v>
      </c>
      <c r="BC534" s="847">
        <v>57001</v>
      </c>
      <c r="BD534" s="847">
        <v>58141</v>
      </c>
      <c r="BE534" s="847">
        <v>59303</v>
      </c>
      <c r="BF534" s="847">
        <v>60488</v>
      </c>
      <c r="BG534" s="847">
        <v>61697</v>
      </c>
      <c r="BH534" s="847">
        <v>62931</v>
      </c>
      <c r="BI534" s="847">
        <v>64188</v>
      </c>
      <c r="BJ534" s="847">
        <v>65471</v>
      </c>
      <c r="BK534" s="847">
        <v>66779</v>
      </c>
      <c r="BL534" s="847">
        <v>68114</v>
      </c>
      <c r="BM534" s="847">
        <v>69471</v>
      </c>
      <c r="BN534" s="847">
        <v>70836</v>
      </c>
      <c r="BO534" s="847">
        <v>72207</v>
      </c>
      <c r="BP534" s="847">
        <v>73584</v>
      </c>
      <c r="BQ534" s="847">
        <v>74968</v>
      </c>
      <c r="BR534" s="847">
        <v>76357</v>
      </c>
      <c r="BS534" s="847">
        <v>77752</v>
      </c>
      <c r="BT534" s="847">
        <v>79158</v>
      </c>
      <c r="BU534" s="847">
        <v>80598</v>
      </c>
      <c r="BV534" s="847">
        <v>81400</v>
      </c>
      <c r="BW534" s="847">
        <v>0</v>
      </c>
      <c r="BX534" s="847">
        <v>0</v>
      </c>
      <c r="BY534" s="847">
        <v>0</v>
      </c>
      <c r="BZ534" s="847">
        <v>0</v>
      </c>
      <c r="CA534" s="847">
        <v>0</v>
      </c>
      <c r="CB534" s="847">
        <v>0</v>
      </c>
      <c r="CC534" s="847">
        <v>0</v>
      </c>
      <c r="CD534" s="847">
        <v>0</v>
      </c>
      <c r="CE534" s="847">
        <v>0</v>
      </c>
      <c r="CF534" s="847">
        <v>0</v>
      </c>
      <c r="CG534" s="847">
        <v>0</v>
      </c>
      <c r="CH534" s="847">
        <v>0</v>
      </c>
      <c r="CI534" s="847">
        <v>0</v>
      </c>
      <c r="CJ534" s="847">
        <v>0</v>
      </c>
      <c r="CK534" s="847">
        <v>0</v>
      </c>
      <c r="CL534" s="847">
        <v>0</v>
      </c>
      <c r="CM534" s="847">
        <v>0</v>
      </c>
      <c r="CN534" s="847">
        <v>0</v>
      </c>
      <c r="CO534" s="847">
        <v>0</v>
      </c>
      <c r="CP534" s="847">
        <v>0</v>
      </c>
      <c r="CQ534" s="847">
        <v>0</v>
      </c>
      <c r="CR534" s="847">
        <v>0</v>
      </c>
      <c r="CS534" s="847">
        <v>0</v>
      </c>
      <c r="CT534" s="847">
        <v>0</v>
      </c>
      <c r="CU534" s="847">
        <v>0</v>
      </c>
      <c r="CV534" s="847">
        <v>0</v>
      </c>
      <c r="CW534" s="847">
        <v>0</v>
      </c>
      <c r="CX534" s="847">
        <v>0</v>
      </c>
      <c r="CY534" s="847">
        <v>0</v>
      </c>
      <c r="CZ534" s="847">
        <v>0</v>
      </c>
      <c r="DA534" s="847">
        <v>0</v>
      </c>
      <c r="DB534" s="847">
        <v>0</v>
      </c>
      <c r="DC534" s="847">
        <v>0</v>
      </c>
      <c r="DD534" s="847">
        <v>0</v>
      </c>
      <c r="DE534" s="847">
        <v>0</v>
      </c>
      <c r="DF534" s="847">
        <v>0</v>
      </c>
      <c r="DG534" s="847">
        <v>0</v>
      </c>
      <c r="DH534" s="847">
        <v>0</v>
      </c>
      <c r="DI534" s="847">
        <v>0</v>
      </c>
      <c r="DJ534" s="847">
        <v>0</v>
      </c>
      <c r="DK534" s="847">
        <v>0</v>
      </c>
      <c r="DL534" s="847">
        <v>0</v>
      </c>
      <c r="DM534" s="847">
        <v>0</v>
      </c>
      <c r="DN534" s="847">
        <v>0</v>
      </c>
      <c r="DO534" s="847">
        <v>0</v>
      </c>
      <c r="DP534" s="847">
        <v>0</v>
      </c>
      <c r="DQ534" s="847">
        <v>0</v>
      </c>
      <c r="DR534" s="847">
        <v>0</v>
      </c>
      <c r="DS534" s="847">
        <v>0</v>
      </c>
      <c r="DT534" s="847">
        <v>0</v>
      </c>
      <c r="DU534" s="847">
        <v>0</v>
      </c>
      <c r="DV534" s="847">
        <v>0</v>
      </c>
      <c r="DW534" s="847">
        <v>0</v>
      </c>
      <c r="DX534" s="847">
        <v>0</v>
      </c>
    </row>
    <row r="535" spans="12:128" hidden="1">
      <c r="L535" s="846" t="s">
        <v>1060</v>
      </c>
      <c r="M535" s="846" t="s">
        <v>1382</v>
      </c>
      <c r="N535" s="846" t="s">
        <v>96</v>
      </c>
      <c r="O535" s="847">
        <v>55</v>
      </c>
      <c r="P535" s="780" t="str">
        <f t="shared" si="18"/>
        <v>IWT060155</v>
      </c>
      <c r="Q535" s="847">
        <v>26923</v>
      </c>
      <c r="R535" s="847">
        <v>27461</v>
      </c>
      <c r="S535" s="847">
        <v>28010</v>
      </c>
      <c r="T535" s="847">
        <v>28571</v>
      </c>
      <c r="U535" s="847">
        <v>29142</v>
      </c>
      <c r="V535" s="847">
        <v>29725</v>
      </c>
      <c r="W535" s="847">
        <v>30294</v>
      </c>
      <c r="X535" s="847">
        <v>30879</v>
      </c>
      <c r="Y535" s="847">
        <v>31482</v>
      </c>
      <c r="Z535" s="847">
        <v>32104</v>
      </c>
      <c r="AA535" s="847">
        <v>32746</v>
      </c>
      <c r="AB535" s="847">
        <v>33401</v>
      </c>
      <c r="AC535" s="847">
        <v>34069</v>
      </c>
      <c r="AD535" s="847">
        <v>34750</v>
      </c>
      <c r="AE535" s="847">
        <v>35445</v>
      </c>
      <c r="AF535" s="847">
        <v>36154</v>
      </c>
      <c r="AG535" s="847">
        <v>36877</v>
      </c>
      <c r="AH535" s="847">
        <v>37615</v>
      </c>
      <c r="AI535" s="847">
        <v>38367</v>
      </c>
      <c r="AJ535" s="847">
        <v>39134</v>
      </c>
      <c r="AK535" s="847">
        <v>39917</v>
      </c>
      <c r="AL535" s="847">
        <v>40715</v>
      </c>
      <c r="AM535" s="847">
        <v>41529</v>
      </c>
      <c r="AN535" s="847">
        <v>42360</v>
      </c>
      <c r="AO535" s="847">
        <v>43207</v>
      </c>
      <c r="AP535" s="847">
        <v>44071</v>
      </c>
      <c r="AQ535" s="847">
        <v>44952</v>
      </c>
      <c r="AR535" s="847">
        <v>45851</v>
      </c>
      <c r="AS535" s="847">
        <v>46768</v>
      </c>
      <c r="AT535" s="847">
        <v>47703</v>
      </c>
      <c r="AU535" s="847">
        <v>48657</v>
      </c>
      <c r="AV535" s="847">
        <v>49630</v>
      </c>
      <c r="AW535" s="847">
        <v>50622</v>
      </c>
      <c r="AX535" s="847">
        <v>51635</v>
      </c>
      <c r="AY535" s="847">
        <v>52667</v>
      </c>
      <c r="AZ535" s="847">
        <v>53720</v>
      </c>
      <c r="BA535" s="847">
        <v>54794</v>
      </c>
      <c r="BB535" s="847">
        <v>55889</v>
      </c>
      <c r="BC535" s="847">
        <v>57007</v>
      </c>
      <c r="BD535" s="847">
        <v>58146</v>
      </c>
      <c r="BE535" s="847">
        <v>59308</v>
      </c>
      <c r="BF535" s="847">
        <v>60494</v>
      </c>
      <c r="BG535" s="847">
        <v>61703</v>
      </c>
      <c r="BH535" s="847">
        <v>62936</v>
      </c>
      <c r="BI535" s="847">
        <v>64194</v>
      </c>
      <c r="BJ535" s="847">
        <v>65477</v>
      </c>
      <c r="BK535" s="847">
        <v>66785</v>
      </c>
      <c r="BL535" s="847">
        <v>68119</v>
      </c>
      <c r="BM535" s="847">
        <v>69479</v>
      </c>
      <c r="BN535" s="847">
        <v>70847</v>
      </c>
      <c r="BO535" s="847">
        <v>72220</v>
      </c>
      <c r="BP535" s="847">
        <v>73600</v>
      </c>
      <c r="BQ535" s="847">
        <v>74985</v>
      </c>
      <c r="BR535" s="847">
        <v>76377</v>
      </c>
      <c r="BS535" s="847">
        <v>77780</v>
      </c>
      <c r="BT535" s="847">
        <v>79212</v>
      </c>
      <c r="BU535" s="847">
        <v>80000</v>
      </c>
      <c r="BV535" s="847">
        <v>0</v>
      </c>
      <c r="BW535" s="847">
        <v>0</v>
      </c>
      <c r="BX535" s="847">
        <v>0</v>
      </c>
      <c r="BY535" s="847">
        <v>0</v>
      </c>
      <c r="BZ535" s="847">
        <v>0</v>
      </c>
      <c r="CA535" s="847">
        <v>0</v>
      </c>
      <c r="CB535" s="847">
        <v>0</v>
      </c>
      <c r="CC535" s="847">
        <v>0</v>
      </c>
      <c r="CD535" s="847">
        <v>0</v>
      </c>
      <c r="CE535" s="847">
        <v>0</v>
      </c>
      <c r="CF535" s="847">
        <v>0</v>
      </c>
      <c r="CG535" s="847">
        <v>0</v>
      </c>
      <c r="CH535" s="847">
        <v>0</v>
      </c>
      <c r="CI535" s="847">
        <v>0</v>
      </c>
      <c r="CJ535" s="847">
        <v>0</v>
      </c>
      <c r="CK535" s="847">
        <v>0</v>
      </c>
      <c r="CL535" s="847">
        <v>0</v>
      </c>
      <c r="CM535" s="847">
        <v>0</v>
      </c>
      <c r="CN535" s="847">
        <v>0</v>
      </c>
      <c r="CO535" s="847">
        <v>0</v>
      </c>
      <c r="CP535" s="847">
        <v>0</v>
      </c>
      <c r="CQ535" s="847">
        <v>0</v>
      </c>
      <c r="CR535" s="847">
        <v>0</v>
      </c>
      <c r="CS535" s="847">
        <v>0</v>
      </c>
      <c r="CT535" s="847">
        <v>0</v>
      </c>
      <c r="CU535" s="847">
        <v>0</v>
      </c>
      <c r="CV535" s="847">
        <v>0</v>
      </c>
      <c r="CW535" s="847">
        <v>0</v>
      </c>
      <c r="CX535" s="847">
        <v>0</v>
      </c>
      <c r="CY535" s="847">
        <v>0</v>
      </c>
      <c r="CZ535" s="847">
        <v>0</v>
      </c>
      <c r="DA535" s="847">
        <v>0</v>
      </c>
      <c r="DB535" s="847">
        <v>0</v>
      </c>
      <c r="DC535" s="847">
        <v>0</v>
      </c>
      <c r="DD535" s="847">
        <v>0</v>
      </c>
      <c r="DE535" s="847">
        <v>0</v>
      </c>
      <c r="DF535" s="847">
        <v>0</v>
      </c>
      <c r="DG535" s="847">
        <v>0</v>
      </c>
      <c r="DH535" s="847">
        <v>0</v>
      </c>
      <c r="DI535" s="847">
        <v>0</v>
      </c>
      <c r="DJ535" s="847">
        <v>0</v>
      </c>
      <c r="DK535" s="847">
        <v>0</v>
      </c>
      <c r="DL535" s="847">
        <v>0</v>
      </c>
      <c r="DM535" s="847">
        <v>0</v>
      </c>
      <c r="DN535" s="847">
        <v>0</v>
      </c>
      <c r="DO535" s="847">
        <v>0</v>
      </c>
      <c r="DP535" s="847">
        <v>0</v>
      </c>
      <c r="DQ535" s="847">
        <v>0</v>
      </c>
      <c r="DR535" s="847">
        <v>0</v>
      </c>
      <c r="DS535" s="847">
        <v>0</v>
      </c>
      <c r="DT535" s="847">
        <v>0</v>
      </c>
      <c r="DU535" s="847">
        <v>0</v>
      </c>
      <c r="DV535" s="847">
        <v>0</v>
      </c>
      <c r="DW535" s="847">
        <v>0</v>
      </c>
      <c r="DX535" s="847">
        <v>0</v>
      </c>
    </row>
    <row r="536" spans="12:128" hidden="1">
      <c r="L536" s="846" t="s">
        <v>1060</v>
      </c>
      <c r="M536" s="846" t="s">
        <v>1382</v>
      </c>
      <c r="N536" s="846" t="s">
        <v>96</v>
      </c>
      <c r="O536" s="847">
        <v>56</v>
      </c>
      <c r="P536" s="780" t="str">
        <f t="shared" si="18"/>
        <v>IWT060156</v>
      </c>
      <c r="Q536" s="847">
        <v>26931</v>
      </c>
      <c r="R536" s="847">
        <v>27470</v>
      </c>
      <c r="S536" s="847">
        <v>28019</v>
      </c>
      <c r="T536" s="847">
        <v>28579</v>
      </c>
      <c r="U536" s="847">
        <v>29151</v>
      </c>
      <c r="V536" s="847">
        <v>29734</v>
      </c>
      <c r="W536" s="847">
        <v>30301</v>
      </c>
      <c r="X536" s="847">
        <v>30885</v>
      </c>
      <c r="Y536" s="847">
        <v>31486</v>
      </c>
      <c r="Z536" s="847">
        <v>32108</v>
      </c>
      <c r="AA536" s="847">
        <v>32750</v>
      </c>
      <c r="AB536" s="847">
        <v>33405</v>
      </c>
      <c r="AC536" s="847">
        <v>34073</v>
      </c>
      <c r="AD536" s="847">
        <v>34754</v>
      </c>
      <c r="AE536" s="847">
        <v>35449</v>
      </c>
      <c r="AF536" s="847">
        <v>36158</v>
      </c>
      <c r="AG536" s="847">
        <v>36881</v>
      </c>
      <c r="AH536" s="847">
        <v>37619</v>
      </c>
      <c r="AI536" s="847">
        <v>38371</v>
      </c>
      <c r="AJ536" s="847">
        <v>39139</v>
      </c>
      <c r="AK536" s="847">
        <v>39921</v>
      </c>
      <c r="AL536" s="847">
        <v>40720</v>
      </c>
      <c r="AM536" s="847">
        <v>41534</v>
      </c>
      <c r="AN536" s="847">
        <v>42364</v>
      </c>
      <c r="AO536" s="847">
        <v>43212</v>
      </c>
      <c r="AP536" s="847">
        <v>44076</v>
      </c>
      <c r="AQ536" s="847">
        <v>44957</v>
      </c>
      <c r="AR536" s="847">
        <v>45856</v>
      </c>
      <c r="AS536" s="847">
        <v>46773</v>
      </c>
      <c r="AT536" s="847">
        <v>47708</v>
      </c>
      <c r="AU536" s="847">
        <v>48662</v>
      </c>
      <c r="AV536" s="847">
        <v>49635</v>
      </c>
      <c r="AW536" s="847">
        <v>50628</v>
      </c>
      <c r="AX536" s="847">
        <v>51640</v>
      </c>
      <c r="AY536" s="847">
        <v>52672</v>
      </c>
      <c r="AZ536" s="847">
        <v>53725</v>
      </c>
      <c r="BA536" s="847">
        <v>54799</v>
      </c>
      <c r="BB536" s="847">
        <v>55895</v>
      </c>
      <c r="BC536" s="847">
        <v>57012</v>
      </c>
      <c r="BD536" s="847">
        <v>58152</v>
      </c>
      <c r="BE536" s="847">
        <v>59314</v>
      </c>
      <c r="BF536" s="847">
        <v>60500</v>
      </c>
      <c r="BG536" s="847">
        <v>61709</v>
      </c>
      <c r="BH536" s="847">
        <v>62942</v>
      </c>
      <c r="BI536" s="847">
        <v>64200</v>
      </c>
      <c r="BJ536" s="847">
        <v>65483</v>
      </c>
      <c r="BK536" s="847">
        <v>66791</v>
      </c>
      <c r="BL536" s="847">
        <v>68126</v>
      </c>
      <c r="BM536" s="847">
        <v>69486</v>
      </c>
      <c r="BN536" s="847">
        <v>70856</v>
      </c>
      <c r="BO536" s="847">
        <v>72232</v>
      </c>
      <c r="BP536" s="847">
        <v>73614</v>
      </c>
      <c r="BQ536" s="847">
        <v>75003</v>
      </c>
      <c r="BR536" s="847">
        <v>76401</v>
      </c>
      <c r="BS536" s="847">
        <v>77826</v>
      </c>
      <c r="BT536" s="847">
        <v>78600</v>
      </c>
      <c r="BU536" s="847">
        <v>0</v>
      </c>
      <c r="BV536" s="847">
        <v>0</v>
      </c>
      <c r="BW536" s="847">
        <v>0</v>
      </c>
      <c r="BX536" s="847">
        <v>0</v>
      </c>
      <c r="BY536" s="847">
        <v>0</v>
      </c>
      <c r="BZ536" s="847">
        <v>0</v>
      </c>
      <c r="CA536" s="847">
        <v>0</v>
      </c>
      <c r="CB536" s="847">
        <v>0</v>
      </c>
      <c r="CC536" s="847">
        <v>0</v>
      </c>
      <c r="CD536" s="847">
        <v>0</v>
      </c>
      <c r="CE536" s="847">
        <v>0</v>
      </c>
      <c r="CF536" s="847">
        <v>0</v>
      </c>
      <c r="CG536" s="847">
        <v>0</v>
      </c>
      <c r="CH536" s="847">
        <v>0</v>
      </c>
      <c r="CI536" s="847">
        <v>0</v>
      </c>
      <c r="CJ536" s="847">
        <v>0</v>
      </c>
      <c r="CK536" s="847">
        <v>0</v>
      </c>
      <c r="CL536" s="847">
        <v>0</v>
      </c>
      <c r="CM536" s="847">
        <v>0</v>
      </c>
      <c r="CN536" s="847">
        <v>0</v>
      </c>
      <c r="CO536" s="847">
        <v>0</v>
      </c>
      <c r="CP536" s="847">
        <v>0</v>
      </c>
      <c r="CQ536" s="847">
        <v>0</v>
      </c>
      <c r="CR536" s="847">
        <v>0</v>
      </c>
      <c r="CS536" s="847">
        <v>0</v>
      </c>
      <c r="CT536" s="847">
        <v>0</v>
      </c>
      <c r="CU536" s="847">
        <v>0</v>
      </c>
      <c r="CV536" s="847">
        <v>0</v>
      </c>
      <c r="CW536" s="847">
        <v>0</v>
      </c>
      <c r="CX536" s="847">
        <v>0</v>
      </c>
      <c r="CY536" s="847">
        <v>0</v>
      </c>
      <c r="CZ536" s="847">
        <v>0</v>
      </c>
      <c r="DA536" s="847">
        <v>0</v>
      </c>
      <c r="DB536" s="847">
        <v>0</v>
      </c>
      <c r="DC536" s="847">
        <v>0</v>
      </c>
      <c r="DD536" s="847">
        <v>0</v>
      </c>
      <c r="DE536" s="847">
        <v>0</v>
      </c>
      <c r="DF536" s="847">
        <v>0</v>
      </c>
      <c r="DG536" s="847">
        <v>0</v>
      </c>
      <c r="DH536" s="847">
        <v>0</v>
      </c>
      <c r="DI536" s="847">
        <v>0</v>
      </c>
      <c r="DJ536" s="847">
        <v>0</v>
      </c>
      <c r="DK536" s="847">
        <v>0</v>
      </c>
      <c r="DL536" s="847">
        <v>0</v>
      </c>
      <c r="DM536" s="847">
        <v>0</v>
      </c>
      <c r="DN536" s="847">
        <v>0</v>
      </c>
      <c r="DO536" s="847">
        <v>0</v>
      </c>
      <c r="DP536" s="847">
        <v>0</v>
      </c>
      <c r="DQ536" s="847">
        <v>0</v>
      </c>
      <c r="DR536" s="847">
        <v>0</v>
      </c>
      <c r="DS536" s="847">
        <v>0</v>
      </c>
      <c r="DT536" s="847">
        <v>0</v>
      </c>
      <c r="DU536" s="847">
        <v>0</v>
      </c>
      <c r="DV536" s="847">
        <v>0</v>
      </c>
      <c r="DW536" s="847">
        <v>0</v>
      </c>
      <c r="DX536" s="847">
        <v>0</v>
      </c>
    </row>
    <row r="537" spans="12:128" hidden="1">
      <c r="L537" s="846" t="s">
        <v>1060</v>
      </c>
      <c r="M537" s="846" t="s">
        <v>1382</v>
      </c>
      <c r="N537" s="846" t="s">
        <v>96</v>
      </c>
      <c r="O537" s="847">
        <v>57</v>
      </c>
      <c r="P537" s="780" t="str">
        <f t="shared" si="18"/>
        <v>IWT060157</v>
      </c>
      <c r="Q537" s="847">
        <v>26940</v>
      </c>
      <c r="R537" s="847">
        <v>27479</v>
      </c>
      <c r="S537" s="847">
        <v>28028</v>
      </c>
      <c r="T537" s="847">
        <v>28589</v>
      </c>
      <c r="U537" s="847">
        <v>29161</v>
      </c>
      <c r="V537" s="847">
        <v>29744</v>
      </c>
      <c r="W537" s="847">
        <v>30309</v>
      </c>
      <c r="X537" s="847">
        <v>30891</v>
      </c>
      <c r="Y537" s="847">
        <v>31491</v>
      </c>
      <c r="Z537" s="847">
        <v>32111</v>
      </c>
      <c r="AA537" s="847">
        <v>32754</v>
      </c>
      <c r="AB537" s="847">
        <v>33409</v>
      </c>
      <c r="AC537" s="847">
        <v>34077</v>
      </c>
      <c r="AD537" s="847">
        <v>34758</v>
      </c>
      <c r="AE537" s="847">
        <v>35453</v>
      </c>
      <c r="AF537" s="847">
        <v>36162</v>
      </c>
      <c r="AG537" s="847">
        <v>36886</v>
      </c>
      <c r="AH537" s="847">
        <v>37623</v>
      </c>
      <c r="AI537" s="847">
        <v>38376</v>
      </c>
      <c r="AJ537" s="847">
        <v>39143</v>
      </c>
      <c r="AK537" s="847">
        <v>39926</v>
      </c>
      <c r="AL537" s="847">
        <v>40724</v>
      </c>
      <c r="AM537" s="847">
        <v>41539</v>
      </c>
      <c r="AN537" s="847">
        <v>42369</v>
      </c>
      <c r="AO537" s="847">
        <v>43216</v>
      </c>
      <c r="AP537" s="847">
        <v>44081</v>
      </c>
      <c r="AQ537" s="847">
        <v>44962</v>
      </c>
      <c r="AR537" s="847">
        <v>45861</v>
      </c>
      <c r="AS537" s="847">
        <v>46778</v>
      </c>
      <c r="AT537" s="847">
        <v>47714</v>
      </c>
      <c r="AU537" s="847">
        <v>48668</v>
      </c>
      <c r="AV537" s="847">
        <v>49641</v>
      </c>
      <c r="AW537" s="847">
        <v>50633</v>
      </c>
      <c r="AX537" s="847">
        <v>51645</v>
      </c>
      <c r="AY537" s="847">
        <v>52678</v>
      </c>
      <c r="AZ537" s="847">
        <v>53731</v>
      </c>
      <c r="BA537" s="847">
        <v>54805</v>
      </c>
      <c r="BB537" s="847">
        <v>55901</v>
      </c>
      <c r="BC537" s="847">
        <v>57018</v>
      </c>
      <c r="BD537" s="847">
        <v>58158</v>
      </c>
      <c r="BE537" s="847">
        <v>59320</v>
      </c>
      <c r="BF537" s="847">
        <v>60506</v>
      </c>
      <c r="BG537" s="847">
        <v>61715</v>
      </c>
      <c r="BH537" s="847">
        <v>62948</v>
      </c>
      <c r="BI537" s="847">
        <v>64206</v>
      </c>
      <c r="BJ537" s="847">
        <v>65489</v>
      </c>
      <c r="BK537" s="847">
        <v>66797</v>
      </c>
      <c r="BL537" s="847">
        <v>68131</v>
      </c>
      <c r="BM537" s="847">
        <v>69492</v>
      </c>
      <c r="BN537" s="847">
        <v>70865</v>
      </c>
      <c r="BO537" s="847">
        <v>72243</v>
      </c>
      <c r="BP537" s="847">
        <v>73628</v>
      </c>
      <c r="BQ537" s="847">
        <v>75022</v>
      </c>
      <c r="BR537" s="847">
        <v>76439</v>
      </c>
      <c r="BS537" s="847">
        <v>77200</v>
      </c>
      <c r="BT537" s="847">
        <v>0</v>
      </c>
      <c r="BU537" s="847">
        <v>0</v>
      </c>
      <c r="BV537" s="847">
        <v>0</v>
      </c>
      <c r="BW537" s="847">
        <v>0</v>
      </c>
      <c r="BX537" s="847">
        <v>0</v>
      </c>
      <c r="BY537" s="847">
        <v>0</v>
      </c>
      <c r="BZ537" s="847">
        <v>0</v>
      </c>
      <c r="CA537" s="847">
        <v>0</v>
      </c>
      <c r="CB537" s="847">
        <v>0</v>
      </c>
      <c r="CC537" s="847">
        <v>0</v>
      </c>
      <c r="CD537" s="847">
        <v>0</v>
      </c>
      <c r="CE537" s="847">
        <v>0</v>
      </c>
      <c r="CF537" s="847">
        <v>0</v>
      </c>
      <c r="CG537" s="847">
        <v>0</v>
      </c>
      <c r="CH537" s="847">
        <v>0</v>
      </c>
      <c r="CI537" s="847">
        <v>0</v>
      </c>
      <c r="CJ537" s="847">
        <v>0</v>
      </c>
      <c r="CK537" s="847">
        <v>0</v>
      </c>
      <c r="CL537" s="847">
        <v>0</v>
      </c>
      <c r="CM537" s="847">
        <v>0</v>
      </c>
      <c r="CN537" s="847">
        <v>0</v>
      </c>
      <c r="CO537" s="847">
        <v>0</v>
      </c>
      <c r="CP537" s="847">
        <v>0</v>
      </c>
      <c r="CQ537" s="847">
        <v>0</v>
      </c>
      <c r="CR537" s="847">
        <v>0</v>
      </c>
      <c r="CS537" s="847">
        <v>0</v>
      </c>
      <c r="CT537" s="847">
        <v>0</v>
      </c>
      <c r="CU537" s="847">
        <v>0</v>
      </c>
      <c r="CV537" s="847">
        <v>0</v>
      </c>
      <c r="CW537" s="847">
        <v>0</v>
      </c>
      <c r="CX537" s="847">
        <v>0</v>
      </c>
      <c r="CY537" s="847">
        <v>0</v>
      </c>
      <c r="CZ537" s="847">
        <v>0</v>
      </c>
      <c r="DA537" s="847">
        <v>0</v>
      </c>
      <c r="DB537" s="847">
        <v>0</v>
      </c>
      <c r="DC537" s="847">
        <v>0</v>
      </c>
      <c r="DD537" s="847">
        <v>0</v>
      </c>
      <c r="DE537" s="847">
        <v>0</v>
      </c>
      <c r="DF537" s="847">
        <v>0</v>
      </c>
      <c r="DG537" s="847">
        <v>0</v>
      </c>
      <c r="DH537" s="847">
        <v>0</v>
      </c>
      <c r="DI537" s="847">
        <v>0</v>
      </c>
      <c r="DJ537" s="847">
        <v>0</v>
      </c>
      <c r="DK537" s="847">
        <v>0</v>
      </c>
      <c r="DL537" s="847">
        <v>0</v>
      </c>
      <c r="DM537" s="847">
        <v>0</v>
      </c>
      <c r="DN537" s="847">
        <v>0</v>
      </c>
      <c r="DO537" s="847">
        <v>0</v>
      </c>
      <c r="DP537" s="847">
        <v>0</v>
      </c>
      <c r="DQ537" s="847">
        <v>0</v>
      </c>
      <c r="DR537" s="847">
        <v>0</v>
      </c>
      <c r="DS537" s="847">
        <v>0</v>
      </c>
      <c r="DT537" s="847">
        <v>0</v>
      </c>
      <c r="DU537" s="847">
        <v>0</v>
      </c>
      <c r="DV537" s="847">
        <v>0</v>
      </c>
      <c r="DW537" s="847">
        <v>0</v>
      </c>
      <c r="DX537" s="847">
        <v>0</v>
      </c>
    </row>
    <row r="538" spans="12:128" hidden="1">
      <c r="L538" s="846" t="s">
        <v>1060</v>
      </c>
      <c r="M538" s="846" t="s">
        <v>1382</v>
      </c>
      <c r="N538" s="846" t="s">
        <v>96</v>
      </c>
      <c r="O538" s="847">
        <v>58</v>
      </c>
      <c r="P538" s="780" t="str">
        <f t="shared" si="18"/>
        <v>IWT060158</v>
      </c>
      <c r="Q538" s="847">
        <v>26950</v>
      </c>
      <c r="R538" s="847">
        <v>27489</v>
      </c>
      <c r="S538" s="847">
        <v>28039</v>
      </c>
      <c r="T538" s="847">
        <v>28600</v>
      </c>
      <c r="U538" s="847">
        <v>29172</v>
      </c>
      <c r="V538" s="847">
        <v>29755</v>
      </c>
      <c r="W538" s="847">
        <v>30318</v>
      </c>
      <c r="X538" s="847">
        <v>30897</v>
      </c>
      <c r="Y538" s="847">
        <v>31495</v>
      </c>
      <c r="Z538" s="847">
        <v>32115</v>
      </c>
      <c r="AA538" s="847">
        <v>32757</v>
      </c>
      <c r="AB538" s="847">
        <v>33412</v>
      </c>
      <c r="AC538" s="847">
        <v>34080</v>
      </c>
      <c r="AD538" s="847">
        <v>34762</v>
      </c>
      <c r="AE538" s="847">
        <v>35457</v>
      </c>
      <c r="AF538" s="847">
        <v>36166</v>
      </c>
      <c r="AG538" s="847">
        <v>36889</v>
      </c>
      <c r="AH538" s="847">
        <v>37627</v>
      </c>
      <c r="AI538" s="847">
        <v>38379</v>
      </c>
      <c r="AJ538" s="847">
        <v>39147</v>
      </c>
      <c r="AK538" s="847">
        <v>39930</v>
      </c>
      <c r="AL538" s="847">
        <v>40728</v>
      </c>
      <c r="AM538" s="847">
        <v>41543</v>
      </c>
      <c r="AN538" s="847">
        <v>42373</v>
      </c>
      <c r="AO538" s="847">
        <v>43221</v>
      </c>
      <c r="AP538" s="847">
        <v>44085</v>
      </c>
      <c r="AQ538" s="847">
        <v>44966</v>
      </c>
      <c r="AR538" s="847">
        <v>45866</v>
      </c>
      <c r="AS538" s="847">
        <v>46783</v>
      </c>
      <c r="AT538" s="847">
        <v>47718</v>
      </c>
      <c r="AU538" s="847">
        <v>48672</v>
      </c>
      <c r="AV538" s="847">
        <v>49645</v>
      </c>
      <c r="AW538" s="847">
        <v>50638</v>
      </c>
      <c r="AX538" s="847">
        <v>51650</v>
      </c>
      <c r="AY538" s="847">
        <v>52683</v>
      </c>
      <c r="AZ538" s="847">
        <v>53736</v>
      </c>
      <c r="BA538" s="847">
        <v>54810</v>
      </c>
      <c r="BB538" s="847">
        <v>55906</v>
      </c>
      <c r="BC538" s="847">
        <v>57023</v>
      </c>
      <c r="BD538" s="847">
        <v>58163</v>
      </c>
      <c r="BE538" s="847">
        <v>59325</v>
      </c>
      <c r="BF538" s="847">
        <v>60511</v>
      </c>
      <c r="BG538" s="847">
        <v>61720</v>
      </c>
      <c r="BH538" s="847">
        <v>62953</v>
      </c>
      <c r="BI538" s="847">
        <v>64211</v>
      </c>
      <c r="BJ538" s="847">
        <v>65494</v>
      </c>
      <c r="BK538" s="847">
        <v>66802</v>
      </c>
      <c r="BL538" s="847">
        <v>68136</v>
      </c>
      <c r="BM538" s="847">
        <v>69497</v>
      </c>
      <c r="BN538" s="847">
        <v>70872</v>
      </c>
      <c r="BO538" s="847">
        <v>72253</v>
      </c>
      <c r="BP538" s="847">
        <v>73643</v>
      </c>
      <c r="BQ538" s="847">
        <v>75053</v>
      </c>
      <c r="BR538" s="847">
        <v>75800</v>
      </c>
      <c r="BS538" s="847">
        <v>0</v>
      </c>
      <c r="BT538" s="847">
        <v>0</v>
      </c>
      <c r="BU538" s="847">
        <v>0</v>
      </c>
      <c r="BV538" s="847">
        <v>0</v>
      </c>
      <c r="BW538" s="847">
        <v>0</v>
      </c>
      <c r="BX538" s="847">
        <v>0</v>
      </c>
      <c r="BY538" s="847">
        <v>0</v>
      </c>
      <c r="BZ538" s="847">
        <v>0</v>
      </c>
      <c r="CA538" s="847">
        <v>0</v>
      </c>
      <c r="CB538" s="847">
        <v>0</v>
      </c>
      <c r="CC538" s="847">
        <v>0</v>
      </c>
      <c r="CD538" s="847">
        <v>0</v>
      </c>
      <c r="CE538" s="847">
        <v>0</v>
      </c>
      <c r="CF538" s="847">
        <v>0</v>
      </c>
      <c r="CG538" s="847">
        <v>0</v>
      </c>
      <c r="CH538" s="847">
        <v>0</v>
      </c>
      <c r="CI538" s="847">
        <v>0</v>
      </c>
      <c r="CJ538" s="847">
        <v>0</v>
      </c>
      <c r="CK538" s="847">
        <v>0</v>
      </c>
      <c r="CL538" s="847">
        <v>0</v>
      </c>
      <c r="CM538" s="847">
        <v>0</v>
      </c>
      <c r="CN538" s="847">
        <v>0</v>
      </c>
      <c r="CO538" s="847">
        <v>0</v>
      </c>
      <c r="CP538" s="847">
        <v>0</v>
      </c>
      <c r="CQ538" s="847">
        <v>0</v>
      </c>
      <c r="CR538" s="847">
        <v>0</v>
      </c>
      <c r="CS538" s="847">
        <v>0</v>
      </c>
      <c r="CT538" s="847">
        <v>0</v>
      </c>
      <c r="CU538" s="847">
        <v>0</v>
      </c>
      <c r="CV538" s="847">
        <v>0</v>
      </c>
      <c r="CW538" s="847">
        <v>0</v>
      </c>
      <c r="CX538" s="847">
        <v>0</v>
      </c>
      <c r="CY538" s="847">
        <v>0</v>
      </c>
      <c r="CZ538" s="847">
        <v>0</v>
      </c>
      <c r="DA538" s="847">
        <v>0</v>
      </c>
      <c r="DB538" s="847">
        <v>0</v>
      </c>
      <c r="DC538" s="847">
        <v>0</v>
      </c>
      <c r="DD538" s="847">
        <v>0</v>
      </c>
      <c r="DE538" s="847">
        <v>0</v>
      </c>
      <c r="DF538" s="847">
        <v>0</v>
      </c>
      <c r="DG538" s="847">
        <v>0</v>
      </c>
      <c r="DH538" s="847">
        <v>0</v>
      </c>
      <c r="DI538" s="847">
        <v>0</v>
      </c>
      <c r="DJ538" s="847">
        <v>0</v>
      </c>
      <c r="DK538" s="847">
        <v>0</v>
      </c>
      <c r="DL538" s="847">
        <v>0</v>
      </c>
      <c r="DM538" s="847">
        <v>0</v>
      </c>
      <c r="DN538" s="847">
        <v>0</v>
      </c>
      <c r="DO538" s="847">
        <v>0</v>
      </c>
      <c r="DP538" s="847">
        <v>0</v>
      </c>
      <c r="DQ538" s="847">
        <v>0</v>
      </c>
      <c r="DR538" s="847">
        <v>0</v>
      </c>
      <c r="DS538" s="847">
        <v>0</v>
      </c>
      <c r="DT538" s="847">
        <v>0</v>
      </c>
      <c r="DU538" s="847">
        <v>0</v>
      </c>
      <c r="DV538" s="847">
        <v>0</v>
      </c>
      <c r="DW538" s="847">
        <v>0</v>
      </c>
      <c r="DX538" s="847">
        <v>0</v>
      </c>
    </row>
    <row r="539" spans="12:128" hidden="1">
      <c r="L539" s="846" t="s">
        <v>1060</v>
      </c>
      <c r="M539" s="846" t="s">
        <v>1382</v>
      </c>
      <c r="N539" s="846" t="s">
        <v>96</v>
      </c>
      <c r="O539" s="847">
        <v>59</v>
      </c>
      <c r="P539" s="780" t="str">
        <f t="shared" si="18"/>
        <v>IWT060159</v>
      </c>
      <c r="Q539" s="847">
        <v>26962</v>
      </c>
      <c r="R539" s="847">
        <v>27501</v>
      </c>
      <c r="S539" s="847">
        <v>28051</v>
      </c>
      <c r="T539" s="847">
        <v>28612</v>
      </c>
      <c r="U539" s="847">
        <v>29184</v>
      </c>
      <c r="V539" s="847">
        <v>29768</v>
      </c>
      <c r="W539" s="847">
        <v>30327</v>
      </c>
      <c r="X539" s="847">
        <v>30904</v>
      </c>
      <c r="Y539" s="847">
        <v>31500</v>
      </c>
      <c r="Z539" s="847">
        <v>32118</v>
      </c>
      <c r="AA539" s="847">
        <v>32760</v>
      </c>
      <c r="AB539" s="847">
        <v>33416</v>
      </c>
      <c r="AC539" s="847">
        <v>34084</v>
      </c>
      <c r="AD539" s="847">
        <v>34766</v>
      </c>
      <c r="AE539" s="847">
        <v>35461</v>
      </c>
      <c r="AF539" s="847">
        <v>36170</v>
      </c>
      <c r="AG539" s="847">
        <v>36893</v>
      </c>
      <c r="AH539" s="847">
        <v>37631</v>
      </c>
      <c r="AI539" s="847">
        <v>38384</v>
      </c>
      <c r="AJ539" s="847">
        <v>39151</v>
      </c>
      <c r="AK539" s="847">
        <v>39934</v>
      </c>
      <c r="AL539" s="847">
        <v>40733</v>
      </c>
      <c r="AM539" s="847">
        <v>41547</v>
      </c>
      <c r="AN539" s="847">
        <v>42378</v>
      </c>
      <c r="AO539" s="847">
        <v>43225</v>
      </c>
      <c r="AP539" s="847">
        <v>44090</v>
      </c>
      <c r="AQ539" s="847">
        <v>44971</v>
      </c>
      <c r="AR539" s="847">
        <v>45871</v>
      </c>
      <c r="AS539" s="847">
        <v>46788</v>
      </c>
      <c r="AT539" s="847">
        <v>47723</v>
      </c>
      <c r="AU539" s="847">
        <v>48677</v>
      </c>
      <c r="AV539" s="847">
        <v>49651</v>
      </c>
      <c r="AW539" s="847">
        <v>50643</v>
      </c>
      <c r="AX539" s="847">
        <v>51656</v>
      </c>
      <c r="AY539" s="847">
        <v>52688</v>
      </c>
      <c r="AZ539" s="847">
        <v>53742</v>
      </c>
      <c r="BA539" s="847">
        <v>54816</v>
      </c>
      <c r="BB539" s="847">
        <v>55911</v>
      </c>
      <c r="BC539" s="847">
        <v>57029</v>
      </c>
      <c r="BD539" s="847">
        <v>58169</v>
      </c>
      <c r="BE539" s="847">
        <v>59331</v>
      </c>
      <c r="BF539" s="847">
        <v>60517</v>
      </c>
      <c r="BG539" s="847">
        <v>61726</v>
      </c>
      <c r="BH539" s="847">
        <v>62959</v>
      </c>
      <c r="BI539" s="847">
        <v>64216</v>
      </c>
      <c r="BJ539" s="847">
        <v>65499</v>
      </c>
      <c r="BK539" s="847">
        <v>66807</v>
      </c>
      <c r="BL539" s="847">
        <v>68141</v>
      </c>
      <c r="BM539" s="847">
        <v>69501</v>
      </c>
      <c r="BN539" s="847">
        <v>70879</v>
      </c>
      <c r="BO539" s="847">
        <v>72265</v>
      </c>
      <c r="BP539" s="847">
        <v>73667</v>
      </c>
      <c r="BQ539" s="847">
        <v>74400</v>
      </c>
      <c r="BR539" s="847">
        <v>0</v>
      </c>
      <c r="BS539" s="847">
        <v>0</v>
      </c>
      <c r="BT539" s="847">
        <v>0</v>
      </c>
      <c r="BU539" s="847">
        <v>0</v>
      </c>
      <c r="BV539" s="847">
        <v>0</v>
      </c>
      <c r="BW539" s="847">
        <v>0</v>
      </c>
      <c r="BX539" s="847">
        <v>0</v>
      </c>
      <c r="BY539" s="847">
        <v>0</v>
      </c>
      <c r="BZ539" s="847">
        <v>0</v>
      </c>
      <c r="CA539" s="847">
        <v>0</v>
      </c>
      <c r="CB539" s="847">
        <v>0</v>
      </c>
      <c r="CC539" s="847">
        <v>0</v>
      </c>
      <c r="CD539" s="847">
        <v>0</v>
      </c>
      <c r="CE539" s="847">
        <v>0</v>
      </c>
      <c r="CF539" s="847">
        <v>0</v>
      </c>
      <c r="CG539" s="847">
        <v>0</v>
      </c>
      <c r="CH539" s="847">
        <v>0</v>
      </c>
      <c r="CI539" s="847">
        <v>0</v>
      </c>
      <c r="CJ539" s="847">
        <v>0</v>
      </c>
      <c r="CK539" s="847">
        <v>0</v>
      </c>
      <c r="CL539" s="847">
        <v>0</v>
      </c>
      <c r="CM539" s="847">
        <v>0</v>
      </c>
      <c r="CN539" s="847">
        <v>0</v>
      </c>
      <c r="CO539" s="847">
        <v>0</v>
      </c>
      <c r="CP539" s="847">
        <v>0</v>
      </c>
      <c r="CQ539" s="847">
        <v>0</v>
      </c>
      <c r="CR539" s="847">
        <v>0</v>
      </c>
      <c r="CS539" s="847">
        <v>0</v>
      </c>
      <c r="CT539" s="847">
        <v>0</v>
      </c>
      <c r="CU539" s="847">
        <v>0</v>
      </c>
      <c r="CV539" s="847">
        <v>0</v>
      </c>
      <c r="CW539" s="847">
        <v>0</v>
      </c>
      <c r="CX539" s="847">
        <v>0</v>
      </c>
      <c r="CY539" s="847">
        <v>0</v>
      </c>
      <c r="CZ539" s="847">
        <v>0</v>
      </c>
      <c r="DA539" s="847">
        <v>0</v>
      </c>
      <c r="DB539" s="847">
        <v>0</v>
      </c>
      <c r="DC539" s="847">
        <v>0</v>
      </c>
      <c r="DD539" s="847">
        <v>0</v>
      </c>
      <c r="DE539" s="847">
        <v>0</v>
      </c>
      <c r="DF539" s="847">
        <v>0</v>
      </c>
      <c r="DG539" s="847">
        <v>0</v>
      </c>
      <c r="DH539" s="847">
        <v>0</v>
      </c>
      <c r="DI539" s="847">
        <v>0</v>
      </c>
      <c r="DJ539" s="847">
        <v>0</v>
      </c>
      <c r="DK539" s="847">
        <v>0</v>
      </c>
      <c r="DL539" s="847">
        <v>0</v>
      </c>
      <c r="DM539" s="847">
        <v>0</v>
      </c>
      <c r="DN539" s="847">
        <v>0</v>
      </c>
      <c r="DO539" s="847">
        <v>0</v>
      </c>
      <c r="DP539" s="847">
        <v>0</v>
      </c>
      <c r="DQ539" s="847">
        <v>0</v>
      </c>
      <c r="DR539" s="847">
        <v>0</v>
      </c>
      <c r="DS539" s="847">
        <v>0</v>
      </c>
      <c r="DT539" s="847">
        <v>0</v>
      </c>
      <c r="DU539" s="847">
        <v>0</v>
      </c>
      <c r="DV539" s="847">
        <v>0</v>
      </c>
      <c r="DW539" s="847">
        <v>0</v>
      </c>
      <c r="DX539" s="847">
        <v>0</v>
      </c>
    </row>
    <row r="540" spans="12:128" hidden="1">
      <c r="L540" s="846" t="s">
        <v>1060</v>
      </c>
      <c r="M540" s="846" t="s">
        <v>1382</v>
      </c>
      <c r="N540" s="846" t="s">
        <v>96</v>
      </c>
      <c r="O540" s="847">
        <v>60</v>
      </c>
      <c r="P540" s="780" t="str">
        <f t="shared" si="18"/>
        <v>IWT060160</v>
      </c>
      <c r="Q540" s="847">
        <v>26973</v>
      </c>
      <c r="R540" s="847">
        <v>27513</v>
      </c>
      <c r="S540" s="847">
        <v>28063</v>
      </c>
      <c r="T540" s="847">
        <v>28624</v>
      </c>
      <c r="U540" s="847">
        <v>29197</v>
      </c>
      <c r="V540" s="847">
        <v>29781</v>
      </c>
      <c r="W540" s="847">
        <v>30337</v>
      </c>
      <c r="X540" s="847">
        <v>30910</v>
      </c>
      <c r="Y540" s="847">
        <v>31504</v>
      </c>
      <c r="Z540" s="847">
        <v>32121</v>
      </c>
      <c r="AA540" s="847">
        <v>32763</v>
      </c>
      <c r="AB540" s="847">
        <v>33418</v>
      </c>
      <c r="AC540" s="847">
        <v>34086</v>
      </c>
      <c r="AD540" s="847">
        <v>34768</v>
      </c>
      <c r="AE540" s="847">
        <v>35463</v>
      </c>
      <c r="AF540" s="847">
        <v>36173</v>
      </c>
      <c r="AG540" s="847">
        <v>36896</v>
      </c>
      <c r="AH540" s="847">
        <v>37634</v>
      </c>
      <c r="AI540" s="847">
        <v>38386</v>
      </c>
      <c r="AJ540" s="847">
        <v>39154</v>
      </c>
      <c r="AK540" s="847">
        <v>39937</v>
      </c>
      <c r="AL540" s="847">
        <v>40736</v>
      </c>
      <c r="AM540" s="847">
        <v>41550</v>
      </c>
      <c r="AN540" s="847">
        <v>42381</v>
      </c>
      <c r="AO540" s="847">
        <v>43229</v>
      </c>
      <c r="AP540" s="847">
        <v>44093</v>
      </c>
      <c r="AQ540" s="847">
        <v>44975</v>
      </c>
      <c r="AR540" s="847">
        <v>45874</v>
      </c>
      <c r="AS540" s="847">
        <v>46791</v>
      </c>
      <c r="AT540" s="847">
        <v>47727</v>
      </c>
      <c r="AU540" s="847">
        <v>48681</v>
      </c>
      <c r="AV540" s="847">
        <v>49654</v>
      </c>
      <c r="AW540" s="847">
        <v>50647</v>
      </c>
      <c r="AX540" s="847">
        <v>51659</v>
      </c>
      <c r="AY540" s="847">
        <v>52692</v>
      </c>
      <c r="AZ540" s="847">
        <v>53745</v>
      </c>
      <c r="BA540" s="847">
        <v>54819</v>
      </c>
      <c r="BB540" s="847">
        <v>55915</v>
      </c>
      <c r="BC540" s="847">
        <v>57032</v>
      </c>
      <c r="BD540" s="847">
        <v>58172</v>
      </c>
      <c r="BE540" s="847">
        <v>59334</v>
      </c>
      <c r="BF540" s="847">
        <v>60520</v>
      </c>
      <c r="BG540" s="847">
        <v>61729</v>
      </c>
      <c r="BH540" s="847">
        <v>62962</v>
      </c>
      <c r="BI540" s="847">
        <v>64220</v>
      </c>
      <c r="BJ540" s="847">
        <v>65502</v>
      </c>
      <c r="BK540" s="847">
        <v>66810</v>
      </c>
      <c r="BL540" s="847">
        <v>68144</v>
      </c>
      <c r="BM540" s="847">
        <v>69504</v>
      </c>
      <c r="BN540" s="847">
        <v>70886</v>
      </c>
      <c r="BO540" s="847">
        <v>72281</v>
      </c>
      <c r="BP540" s="847">
        <v>73000</v>
      </c>
      <c r="BQ540" s="847">
        <v>0</v>
      </c>
      <c r="BR540" s="847">
        <v>0</v>
      </c>
      <c r="BS540" s="847">
        <v>0</v>
      </c>
      <c r="BT540" s="847">
        <v>0</v>
      </c>
      <c r="BU540" s="847">
        <v>0</v>
      </c>
      <c r="BV540" s="847">
        <v>0</v>
      </c>
      <c r="BW540" s="847">
        <v>0</v>
      </c>
      <c r="BX540" s="847">
        <v>0</v>
      </c>
      <c r="BY540" s="847">
        <v>0</v>
      </c>
      <c r="BZ540" s="847">
        <v>0</v>
      </c>
      <c r="CA540" s="847">
        <v>0</v>
      </c>
      <c r="CB540" s="847">
        <v>0</v>
      </c>
      <c r="CC540" s="847">
        <v>0</v>
      </c>
      <c r="CD540" s="847">
        <v>0</v>
      </c>
      <c r="CE540" s="847">
        <v>0</v>
      </c>
      <c r="CF540" s="847">
        <v>0</v>
      </c>
      <c r="CG540" s="847">
        <v>0</v>
      </c>
      <c r="CH540" s="847">
        <v>0</v>
      </c>
      <c r="CI540" s="847">
        <v>0</v>
      </c>
      <c r="CJ540" s="847">
        <v>0</v>
      </c>
      <c r="CK540" s="847">
        <v>0</v>
      </c>
      <c r="CL540" s="847">
        <v>0</v>
      </c>
      <c r="CM540" s="847">
        <v>0</v>
      </c>
      <c r="CN540" s="847">
        <v>0</v>
      </c>
      <c r="CO540" s="847">
        <v>0</v>
      </c>
      <c r="CP540" s="847">
        <v>0</v>
      </c>
      <c r="CQ540" s="847">
        <v>0</v>
      </c>
      <c r="CR540" s="847">
        <v>0</v>
      </c>
      <c r="CS540" s="847">
        <v>0</v>
      </c>
      <c r="CT540" s="847">
        <v>0</v>
      </c>
      <c r="CU540" s="847">
        <v>0</v>
      </c>
      <c r="CV540" s="847">
        <v>0</v>
      </c>
      <c r="CW540" s="847">
        <v>0</v>
      </c>
      <c r="CX540" s="847">
        <v>0</v>
      </c>
      <c r="CY540" s="847">
        <v>0</v>
      </c>
      <c r="CZ540" s="847">
        <v>0</v>
      </c>
      <c r="DA540" s="847">
        <v>0</v>
      </c>
      <c r="DB540" s="847">
        <v>0</v>
      </c>
      <c r="DC540" s="847">
        <v>0</v>
      </c>
      <c r="DD540" s="847">
        <v>0</v>
      </c>
      <c r="DE540" s="847">
        <v>0</v>
      </c>
      <c r="DF540" s="847">
        <v>0</v>
      </c>
      <c r="DG540" s="847">
        <v>0</v>
      </c>
      <c r="DH540" s="847">
        <v>0</v>
      </c>
      <c r="DI540" s="847">
        <v>0</v>
      </c>
      <c r="DJ540" s="847">
        <v>0</v>
      </c>
      <c r="DK540" s="847">
        <v>0</v>
      </c>
      <c r="DL540" s="847">
        <v>0</v>
      </c>
      <c r="DM540" s="847">
        <v>0</v>
      </c>
      <c r="DN540" s="847">
        <v>0</v>
      </c>
      <c r="DO540" s="847">
        <v>0</v>
      </c>
      <c r="DP540" s="847">
        <v>0</v>
      </c>
      <c r="DQ540" s="847">
        <v>0</v>
      </c>
      <c r="DR540" s="847">
        <v>0</v>
      </c>
      <c r="DS540" s="847">
        <v>0</v>
      </c>
      <c r="DT540" s="847">
        <v>0</v>
      </c>
      <c r="DU540" s="847">
        <v>0</v>
      </c>
      <c r="DV540" s="847">
        <v>0</v>
      </c>
      <c r="DW540" s="847">
        <v>0</v>
      </c>
      <c r="DX540" s="847">
        <v>0</v>
      </c>
    </row>
    <row r="541" spans="12:128" hidden="1">
      <c r="L541" s="846" t="s">
        <v>1060</v>
      </c>
      <c r="M541" s="846" t="s">
        <v>1382</v>
      </c>
      <c r="N541" s="846" t="s">
        <v>96</v>
      </c>
      <c r="O541" s="847">
        <v>61</v>
      </c>
      <c r="P541" s="780" t="str">
        <f t="shared" si="18"/>
        <v>IWT060161</v>
      </c>
      <c r="Q541" s="847">
        <v>26987</v>
      </c>
      <c r="R541" s="847">
        <v>27527</v>
      </c>
      <c r="S541" s="847">
        <v>28077</v>
      </c>
      <c r="T541" s="847">
        <v>28639</v>
      </c>
      <c r="U541" s="847">
        <v>29212</v>
      </c>
      <c r="V541" s="847">
        <v>29796</v>
      </c>
      <c r="W541" s="847">
        <v>30348</v>
      </c>
      <c r="X541" s="847">
        <v>30919</v>
      </c>
      <c r="Y541" s="847">
        <v>31510</v>
      </c>
      <c r="Z541" s="847">
        <v>32124</v>
      </c>
      <c r="AA541" s="847">
        <v>32766</v>
      </c>
      <c r="AB541" s="847">
        <v>33421</v>
      </c>
      <c r="AC541" s="847">
        <v>34090</v>
      </c>
      <c r="AD541" s="847">
        <v>34772</v>
      </c>
      <c r="AE541" s="847">
        <v>35467</v>
      </c>
      <c r="AF541" s="847">
        <v>36176</v>
      </c>
      <c r="AG541" s="847">
        <v>36900</v>
      </c>
      <c r="AH541" s="847">
        <v>37638</v>
      </c>
      <c r="AI541" s="847">
        <v>38390</v>
      </c>
      <c r="AJ541" s="847">
        <v>39158</v>
      </c>
      <c r="AK541" s="847">
        <v>39941</v>
      </c>
      <c r="AL541" s="847">
        <v>40740</v>
      </c>
      <c r="AM541" s="847">
        <v>41554</v>
      </c>
      <c r="AN541" s="847">
        <v>42385</v>
      </c>
      <c r="AO541" s="847">
        <v>43233</v>
      </c>
      <c r="AP541" s="847">
        <v>44097</v>
      </c>
      <c r="AQ541" s="847">
        <v>44979</v>
      </c>
      <c r="AR541" s="847">
        <v>45878</v>
      </c>
      <c r="AS541" s="847">
        <v>46795</v>
      </c>
      <c r="AT541" s="847">
        <v>47731</v>
      </c>
      <c r="AU541" s="847">
        <v>48685</v>
      </c>
      <c r="AV541" s="847">
        <v>49659</v>
      </c>
      <c r="AW541" s="847">
        <v>50651</v>
      </c>
      <c r="AX541" s="847">
        <v>51664</v>
      </c>
      <c r="AY541" s="847">
        <v>52697</v>
      </c>
      <c r="AZ541" s="847">
        <v>53750</v>
      </c>
      <c r="BA541" s="847">
        <v>54824</v>
      </c>
      <c r="BB541" s="847">
        <v>55920</v>
      </c>
      <c r="BC541" s="847">
        <v>57037</v>
      </c>
      <c r="BD541" s="847">
        <v>58177</v>
      </c>
      <c r="BE541" s="847">
        <v>59340</v>
      </c>
      <c r="BF541" s="847">
        <v>60525</v>
      </c>
      <c r="BG541" s="847">
        <v>61734</v>
      </c>
      <c r="BH541" s="847">
        <v>62967</v>
      </c>
      <c r="BI541" s="847">
        <v>64225</v>
      </c>
      <c r="BJ541" s="847">
        <v>65507</v>
      </c>
      <c r="BK541" s="847">
        <v>66815</v>
      </c>
      <c r="BL541" s="847">
        <v>68148</v>
      </c>
      <c r="BM541" s="847">
        <v>69508</v>
      </c>
      <c r="BN541" s="847">
        <v>70895</v>
      </c>
      <c r="BO541" s="847">
        <v>71600</v>
      </c>
      <c r="BP541" s="847">
        <v>0</v>
      </c>
      <c r="BQ541" s="847">
        <v>0</v>
      </c>
      <c r="BR541" s="847">
        <v>0</v>
      </c>
      <c r="BS541" s="847">
        <v>0</v>
      </c>
      <c r="BT541" s="847">
        <v>0</v>
      </c>
      <c r="BU541" s="847">
        <v>0</v>
      </c>
      <c r="BV541" s="847">
        <v>0</v>
      </c>
      <c r="BW541" s="847">
        <v>0</v>
      </c>
      <c r="BX541" s="847">
        <v>0</v>
      </c>
      <c r="BY541" s="847">
        <v>0</v>
      </c>
      <c r="BZ541" s="847">
        <v>0</v>
      </c>
      <c r="CA541" s="847">
        <v>0</v>
      </c>
      <c r="CB541" s="847">
        <v>0</v>
      </c>
      <c r="CC541" s="847">
        <v>0</v>
      </c>
      <c r="CD541" s="847">
        <v>0</v>
      </c>
      <c r="CE541" s="847">
        <v>0</v>
      </c>
      <c r="CF541" s="847">
        <v>0</v>
      </c>
      <c r="CG541" s="847">
        <v>0</v>
      </c>
      <c r="CH541" s="847">
        <v>0</v>
      </c>
      <c r="CI541" s="847">
        <v>0</v>
      </c>
      <c r="CJ541" s="847">
        <v>0</v>
      </c>
      <c r="CK541" s="847">
        <v>0</v>
      </c>
      <c r="CL541" s="847">
        <v>0</v>
      </c>
      <c r="CM541" s="847">
        <v>0</v>
      </c>
      <c r="CN541" s="847">
        <v>0</v>
      </c>
      <c r="CO541" s="847">
        <v>0</v>
      </c>
      <c r="CP541" s="847">
        <v>0</v>
      </c>
      <c r="CQ541" s="847">
        <v>0</v>
      </c>
      <c r="CR541" s="847">
        <v>0</v>
      </c>
      <c r="CS541" s="847">
        <v>0</v>
      </c>
      <c r="CT541" s="847">
        <v>0</v>
      </c>
      <c r="CU541" s="847">
        <v>0</v>
      </c>
      <c r="CV541" s="847">
        <v>0</v>
      </c>
      <c r="CW541" s="847">
        <v>0</v>
      </c>
      <c r="CX541" s="847">
        <v>0</v>
      </c>
      <c r="CY541" s="847">
        <v>0</v>
      </c>
      <c r="CZ541" s="847">
        <v>0</v>
      </c>
      <c r="DA541" s="847">
        <v>0</v>
      </c>
      <c r="DB541" s="847">
        <v>0</v>
      </c>
      <c r="DC541" s="847">
        <v>0</v>
      </c>
      <c r="DD541" s="847">
        <v>0</v>
      </c>
      <c r="DE541" s="847">
        <v>0</v>
      </c>
      <c r="DF541" s="847">
        <v>0</v>
      </c>
      <c r="DG541" s="847">
        <v>0</v>
      </c>
      <c r="DH541" s="847">
        <v>0</v>
      </c>
      <c r="DI541" s="847">
        <v>0</v>
      </c>
      <c r="DJ541" s="847">
        <v>0</v>
      </c>
      <c r="DK541" s="847">
        <v>0</v>
      </c>
      <c r="DL541" s="847">
        <v>0</v>
      </c>
      <c r="DM541" s="847">
        <v>0</v>
      </c>
      <c r="DN541" s="847">
        <v>0</v>
      </c>
      <c r="DO541" s="847">
        <v>0</v>
      </c>
      <c r="DP541" s="847">
        <v>0</v>
      </c>
      <c r="DQ541" s="847">
        <v>0</v>
      </c>
      <c r="DR541" s="847">
        <v>0</v>
      </c>
      <c r="DS541" s="847">
        <v>0</v>
      </c>
      <c r="DT541" s="847">
        <v>0</v>
      </c>
      <c r="DU541" s="847">
        <v>0</v>
      </c>
      <c r="DV541" s="847">
        <v>0</v>
      </c>
      <c r="DW541" s="847">
        <v>0</v>
      </c>
      <c r="DX541" s="847">
        <v>0</v>
      </c>
    </row>
    <row r="542" spans="12:128" hidden="1">
      <c r="L542" s="846" t="s">
        <v>1060</v>
      </c>
      <c r="M542" s="846" t="s">
        <v>1382</v>
      </c>
      <c r="N542" s="846" t="s">
        <v>96</v>
      </c>
      <c r="O542" s="847">
        <v>62</v>
      </c>
      <c r="P542" s="780" t="str">
        <f t="shared" ref="P542:P605" si="19">M542&amp;TEXT(N542,"00")&amp;TEXT(O542,"00")</f>
        <v>IWT060162</v>
      </c>
      <c r="Q542" s="847">
        <v>27002</v>
      </c>
      <c r="R542" s="847">
        <v>27542</v>
      </c>
      <c r="S542" s="847">
        <v>28093</v>
      </c>
      <c r="T542" s="847">
        <v>28654</v>
      </c>
      <c r="U542" s="847">
        <v>29227</v>
      </c>
      <c r="V542" s="847">
        <v>29812</v>
      </c>
      <c r="W542" s="847">
        <v>30360</v>
      </c>
      <c r="X542" s="847">
        <v>30927</v>
      </c>
      <c r="Y542" s="847">
        <v>31515</v>
      </c>
      <c r="Z542" s="847">
        <v>32128</v>
      </c>
      <c r="AA542" s="847">
        <v>32769</v>
      </c>
      <c r="AB542" s="847">
        <v>33424</v>
      </c>
      <c r="AC542" s="847">
        <v>34092</v>
      </c>
      <c r="AD542" s="847">
        <v>34774</v>
      </c>
      <c r="AE542" s="847">
        <v>35469</v>
      </c>
      <c r="AF542" s="847">
        <v>36179</v>
      </c>
      <c r="AG542" s="847">
        <v>36902</v>
      </c>
      <c r="AH542" s="847">
        <v>37640</v>
      </c>
      <c r="AI542" s="847">
        <v>38393</v>
      </c>
      <c r="AJ542" s="847">
        <v>39161</v>
      </c>
      <c r="AK542" s="847">
        <v>39944</v>
      </c>
      <c r="AL542" s="847">
        <v>40742</v>
      </c>
      <c r="AM542" s="847">
        <v>41557</v>
      </c>
      <c r="AN542" s="847">
        <v>42388</v>
      </c>
      <c r="AO542" s="847">
        <v>43236</v>
      </c>
      <c r="AP542" s="847">
        <v>44100</v>
      </c>
      <c r="AQ542" s="847">
        <v>44982</v>
      </c>
      <c r="AR542" s="847">
        <v>45881</v>
      </c>
      <c r="AS542" s="847">
        <v>46799</v>
      </c>
      <c r="AT542" s="847">
        <v>47734</v>
      </c>
      <c r="AU542" s="847">
        <v>48689</v>
      </c>
      <c r="AV542" s="847">
        <v>49662</v>
      </c>
      <c r="AW542" s="847">
        <v>50655</v>
      </c>
      <c r="AX542" s="847">
        <v>51667</v>
      </c>
      <c r="AY542" s="847">
        <v>52700</v>
      </c>
      <c r="AZ542" s="847">
        <v>53753</v>
      </c>
      <c r="BA542" s="847">
        <v>54827</v>
      </c>
      <c r="BB542" s="847">
        <v>55923</v>
      </c>
      <c r="BC542" s="847">
        <v>57041</v>
      </c>
      <c r="BD542" s="847">
        <v>58180</v>
      </c>
      <c r="BE542" s="847">
        <v>59343</v>
      </c>
      <c r="BF542" s="847">
        <v>60528</v>
      </c>
      <c r="BG542" s="847">
        <v>61737</v>
      </c>
      <c r="BH542" s="847">
        <v>62970</v>
      </c>
      <c r="BI542" s="847">
        <v>64227</v>
      </c>
      <c r="BJ542" s="847">
        <v>65509</v>
      </c>
      <c r="BK542" s="847">
        <v>66816</v>
      </c>
      <c r="BL542" s="847">
        <v>68149</v>
      </c>
      <c r="BM542" s="847">
        <v>69508</v>
      </c>
      <c r="BN542" s="847">
        <v>70200</v>
      </c>
      <c r="BO542" s="847">
        <v>0</v>
      </c>
      <c r="BP542" s="847">
        <v>0</v>
      </c>
      <c r="BQ542" s="847">
        <v>0</v>
      </c>
      <c r="BR542" s="847">
        <v>0</v>
      </c>
      <c r="BS542" s="847">
        <v>0</v>
      </c>
      <c r="BT542" s="847">
        <v>0</v>
      </c>
      <c r="BU542" s="847">
        <v>0</v>
      </c>
      <c r="BV542" s="847">
        <v>0</v>
      </c>
      <c r="BW542" s="847">
        <v>0</v>
      </c>
      <c r="BX542" s="847">
        <v>0</v>
      </c>
      <c r="BY542" s="847">
        <v>0</v>
      </c>
      <c r="BZ542" s="847">
        <v>0</v>
      </c>
      <c r="CA542" s="847">
        <v>0</v>
      </c>
      <c r="CB542" s="847">
        <v>0</v>
      </c>
      <c r="CC542" s="847">
        <v>0</v>
      </c>
      <c r="CD542" s="847">
        <v>0</v>
      </c>
      <c r="CE542" s="847">
        <v>0</v>
      </c>
      <c r="CF542" s="847">
        <v>0</v>
      </c>
      <c r="CG542" s="847">
        <v>0</v>
      </c>
      <c r="CH542" s="847">
        <v>0</v>
      </c>
      <c r="CI542" s="847">
        <v>0</v>
      </c>
      <c r="CJ542" s="847">
        <v>0</v>
      </c>
      <c r="CK542" s="847">
        <v>0</v>
      </c>
      <c r="CL542" s="847">
        <v>0</v>
      </c>
      <c r="CM542" s="847">
        <v>0</v>
      </c>
      <c r="CN542" s="847">
        <v>0</v>
      </c>
      <c r="CO542" s="847">
        <v>0</v>
      </c>
      <c r="CP542" s="847">
        <v>0</v>
      </c>
      <c r="CQ542" s="847">
        <v>0</v>
      </c>
      <c r="CR542" s="847">
        <v>0</v>
      </c>
      <c r="CS542" s="847">
        <v>0</v>
      </c>
      <c r="CT542" s="847">
        <v>0</v>
      </c>
      <c r="CU542" s="847">
        <v>0</v>
      </c>
      <c r="CV542" s="847">
        <v>0</v>
      </c>
      <c r="CW542" s="847">
        <v>0</v>
      </c>
      <c r="CX542" s="847">
        <v>0</v>
      </c>
      <c r="CY542" s="847">
        <v>0</v>
      </c>
      <c r="CZ542" s="847">
        <v>0</v>
      </c>
      <c r="DA542" s="847">
        <v>0</v>
      </c>
      <c r="DB542" s="847">
        <v>0</v>
      </c>
      <c r="DC542" s="847">
        <v>0</v>
      </c>
      <c r="DD542" s="847">
        <v>0</v>
      </c>
      <c r="DE542" s="847">
        <v>0</v>
      </c>
      <c r="DF542" s="847">
        <v>0</v>
      </c>
      <c r="DG542" s="847">
        <v>0</v>
      </c>
      <c r="DH542" s="847">
        <v>0</v>
      </c>
      <c r="DI542" s="847">
        <v>0</v>
      </c>
      <c r="DJ542" s="847">
        <v>0</v>
      </c>
      <c r="DK542" s="847">
        <v>0</v>
      </c>
      <c r="DL542" s="847">
        <v>0</v>
      </c>
      <c r="DM542" s="847">
        <v>0</v>
      </c>
      <c r="DN542" s="847">
        <v>0</v>
      </c>
      <c r="DO542" s="847">
        <v>0</v>
      </c>
      <c r="DP542" s="847">
        <v>0</v>
      </c>
      <c r="DQ542" s="847">
        <v>0</v>
      </c>
      <c r="DR542" s="847">
        <v>0</v>
      </c>
      <c r="DS542" s="847">
        <v>0</v>
      </c>
      <c r="DT542" s="847">
        <v>0</v>
      </c>
      <c r="DU542" s="847">
        <v>0</v>
      </c>
      <c r="DV542" s="847">
        <v>0</v>
      </c>
      <c r="DW542" s="847">
        <v>0</v>
      </c>
      <c r="DX542" s="847">
        <v>0</v>
      </c>
    </row>
    <row r="543" spans="12:128" hidden="1">
      <c r="L543" s="846" t="s">
        <v>1060</v>
      </c>
      <c r="M543" s="846" t="s">
        <v>1382</v>
      </c>
      <c r="N543" s="846" t="s">
        <v>96</v>
      </c>
      <c r="O543" s="847">
        <v>63</v>
      </c>
      <c r="P543" s="780" t="str">
        <f t="shared" si="19"/>
        <v>IWT060163</v>
      </c>
      <c r="Q543" s="847">
        <v>27008</v>
      </c>
      <c r="R543" s="847">
        <v>27549</v>
      </c>
      <c r="S543" s="847">
        <v>28100</v>
      </c>
      <c r="T543" s="847">
        <v>28661</v>
      </c>
      <c r="U543" s="847">
        <v>29235</v>
      </c>
      <c r="V543" s="847">
        <v>29819</v>
      </c>
      <c r="W543" s="847">
        <v>30363</v>
      </c>
      <c r="X543" s="847">
        <v>30925</v>
      </c>
      <c r="Y543" s="847">
        <v>31509</v>
      </c>
      <c r="Z543" s="847">
        <v>32118</v>
      </c>
      <c r="AA543" s="847">
        <v>32758</v>
      </c>
      <c r="AB543" s="847">
        <v>33413</v>
      </c>
      <c r="AC543" s="847">
        <v>34081</v>
      </c>
      <c r="AD543" s="847">
        <v>34763</v>
      </c>
      <c r="AE543" s="847">
        <v>35458</v>
      </c>
      <c r="AF543" s="847">
        <v>36167</v>
      </c>
      <c r="AG543" s="847">
        <v>36890</v>
      </c>
      <c r="AH543" s="847">
        <v>37628</v>
      </c>
      <c r="AI543" s="847">
        <v>38380</v>
      </c>
      <c r="AJ543" s="847">
        <v>39148</v>
      </c>
      <c r="AK543" s="847">
        <v>39931</v>
      </c>
      <c r="AL543" s="847">
        <v>40729</v>
      </c>
      <c r="AM543" s="847">
        <v>41543</v>
      </c>
      <c r="AN543" s="847">
        <v>42374</v>
      </c>
      <c r="AO543" s="847">
        <v>43221</v>
      </c>
      <c r="AP543" s="847">
        <v>44086</v>
      </c>
      <c r="AQ543" s="847">
        <v>44967</v>
      </c>
      <c r="AR543" s="847">
        <v>45866</v>
      </c>
      <c r="AS543" s="847">
        <v>46783</v>
      </c>
      <c r="AT543" s="847">
        <v>47718</v>
      </c>
      <c r="AU543" s="847">
        <v>48672</v>
      </c>
      <c r="AV543" s="847">
        <v>49645</v>
      </c>
      <c r="AW543" s="847">
        <v>50638</v>
      </c>
      <c r="AX543" s="847">
        <v>51650</v>
      </c>
      <c r="AY543" s="847">
        <v>52682</v>
      </c>
      <c r="AZ543" s="847">
        <v>53735</v>
      </c>
      <c r="BA543" s="847">
        <v>54809</v>
      </c>
      <c r="BB543" s="847">
        <v>55904</v>
      </c>
      <c r="BC543" s="847">
        <v>57021</v>
      </c>
      <c r="BD543" s="847">
        <v>58160</v>
      </c>
      <c r="BE543" s="847">
        <v>59322</v>
      </c>
      <c r="BF543" s="847">
        <v>60507</v>
      </c>
      <c r="BG543" s="847">
        <v>61715</v>
      </c>
      <c r="BH543" s="847">
        <v>62947</v>
      </c>
      <c r="BI543" s="847">
        <v>64203</v>
      </c>
      <c r="BJ543" s="847">
        <v>65484</v>
      </c>
      <c r="BK543" s="847">
        <v>66790</v>
      </c>
      <c r="BL543" s="847">
        <v>68122</v>
      </c>
      <c r="BM543" s="847">
        <v>68800</v>
      </c>
      <c r="BN543" s="847">
        <v>0</v>
      </c>
      <c r="BO543" s="847">
        <v>0</v>
      </c>
      <c r="BP543" s="847">
        <v>0</v>
      </c>
      <c r="BQ543" s="847">
        <v>0</v>
      </c>
      <c r="BR543" s="847">
        <v>0</v>
      </c>
      <c r="BS543" s="847">
        <v>0</v>
      </c>
      <c r="BT543" s="847">
        <v>0</v>
      </c>
      <c r="BU543" s="847">
        <v>0</v>
      </c>
      <c r="BV543" s="847">
        <v>0</v>
      </c>
      <c r="BW543" s="847">
        <v>0</v>
      </c>
      <c r="BX543" s="847">
        <v>0</v>
      </c>
      <c r="BY543" s="847">
        <v>0</v>
      </c>
      <c r="BZ543" s="847">
        <v>0</v>
      </c>
      <c r="CA543" s="847">
        <v>0</v>
      </c>
      <c r="CB543" s="847">
        <v>0</v>
      </c>
      <c r="CC543" s="847">
        <v>0</v>
      </c>
      <c r="CD543" s="847">
        <v>0</v>
      </c>
      <c r="CE543" s="847">
        <v>0</v>
      </c>
      <c r="CF543" s="847">
        <v>0</v>
      </c>
      <c r="CG543" s="847">
        <v>0</v>
      </c>
      <c r="CH543" s="847">
        <v>0</v>
      </c>
      <c r="CI543" s="847">
        <v>0</v>
      </c>
      <c r="CJ543" s="847">
        <v>0</v>
      </c>
      <c r="CK543" s="847">
        <v>0</v>
      </c>
      <c r="CL543" s="847">
        <v>0</v>
      </c>
      <c r="CM543" s="847">
        <v>0</v>
      </c>
      <c r="CN543" s="847">
        <v>0</v>
      </c>
      <c r="CO543" s="847">
        <v>0</v>
      </c>
      <c r="CP543" s="847">
        <v>0</v>
      </c>
      <c r="CQ543" s="847">
        <v>0</v>
      </c>
      <c r="CR543" s="847">
        <v>0</v>
      </c>
      <c r="CS543" s="847">
        <v>0</v>
      </c>
      <c r="CT543" s="847">
        <v>0</v>
      </c>
      <c r="CU543" s="847">
        <v>0</v>
      </c>
      <c r="CV543" s="847">
        <v>0</v>
      </c>
      <c r="CW543" s="847">
        <v>0</v>
      </c>
      <c r="CX543" s="847">
        <v>0</v>
      </c>
      <c r="CY543" s="847">
        <v>0</v>
      </c>
      <c r="CZ543" s="847">
        <v>0</v>
      </c>
      <c r="DA543" s="847">
        <v>0</v>
      </c>
      <c r="DB543" s="847">
        <v>0</v>
      </c>
      <c r="DC543" s="847">
        <v>0</v>
      </c>
      <c r="DD543" s="847">
        <v>0</v>
      </c>
      <c r="DE543" s="847">
        <v>0</v>
      </c>
      <c r="DF543" s="847">
        <v>0</v>
      </c>
      <c r="DG543" s="847">
        <v>0</v>
      </c>
      <c r="DH543" s="847">
        <v>0</v>
      </c>
      <c r="DI543" s="847">
        <v>0</v>
      </c>
      <c r="DJ543" s="847">
        <v>0</v>
      </c>
      <c r="DK543" s="847">
        <v>0</v>
      </c>
      <c r="DL543" s="847">
        <v>0</v>
      </c>
      <c r="DM543" s="847">
        <v>0</v>
      </c>
      <c r="DN543" s="847">
        <v>0</v>
      </c>
      <c r="DO543" s="847">
        <v>0</v>
      </c>
      <c r="DP543" s="847">
        <v>0</v>
      </c>
      <c r="DQ543" s="847">
        <v>0</v>
      </c>
      <c r="DR543" s="847">
        <v>0</v>
      </c>
      <c r="DS543" s="847">
        <v>0</v>
      </c>
      <c r="DT543" s="847">
        <v>0</v>
      </c>
      <c r="DU543" s="847">
        <v>0</v>
      </c>
      <c r="DV543" s="847">
        <v>0</v>
      </c>
      <c r="DW543" s="847">
        <v>0</v>
      </c>
      <c r="DX543" s="847">
        <v>0</v>
      </c>
    </row>
    <row r="544" spans="12:128" hidden="1">
      <c r="L544" s="846" t="s">
        <v>1060</v>
      </c>
      <c r="M544" s="846" t="s">
        <v>1382</v>
      </c>
      <c r="N544" s="846" t="s">
        <v>96</v>
      </c>
      <c r="O544" s="847">
        <v>64</v>
      </c>
      <c r="P544" s="780" t="str">
        <f t="shared" si="19"/>
        <v>IWT060164</v>
      </c>
      <c r="Q544" s="847">
        <v>27007</v>
      </c>
      <c r="R544" s="847">
        <v>27547</v>
      </c>
      <c r="S544" s="847">
        <v>28098</v>
      </c>
      <c r="T544" s="847">
        <v>28660</v>
      </c>
      <c r="U544" s="847">
        <v>29233</v>
      </c>
      <c r="V544" s="847">
        <v>29817</v>
      </c>
      <c r="W544" s="847">
        <v>30355</v>
      </c>
      <c r="X544" s="847">
        <v>30911</v>
      </c>
      <c r="Y544" s="847">
        <v>31490</v>
      </c>
      <c r="Z544" s="847">
        <v>32096</v>
      </c>
      <c r="AA544" s="847">
        <v>32733</v>
      </c>
      <c r="AB544" s="847">
        <v>33387</v>
      </c>
      <c r="AC544" s="847">
        <v>34055</v>
      </c>
      <c r="AD544" s="847">
        <v>34736</v>
      </c>
      <c r="AE544" s="847">
        <v>35431</v>
      </c>
      <c r="AF544" s="847">
        <v>36139</v>
      </c>
      <c r="AG544" s="847">
        <v>36862</v>
      </c>
      <c r="AH544" s="847">
        <v>37599</v>
      </c>
      <c r="AI544" s="847">
        <v>38351</v>
      </c>
      <c r="AJ544" s="847">
        <v>39118</v>
      </c>
      <c r="AK544" s="847">
        <v>39900</v>
      </c>
      <c r="AL544" s="847">
        <v>40698</v>
      </c>
      <c r="AM544" s="847">
        <v>41512</v>
      </c>
      <c r="AN544" s="847">
        <v>42342</v>
      </c>
      <c r="AO544" s="847">
        <v>43188</v>
      </c>
      <c r="AP544" s="847">
        <v>44052</v>
      </c>
      <c r="AQ544" s="847">
        <v>44933</v>
      </c>
      <c r="AR544" s="847">
        <v>45831</v>
      </c>
      <c r="AS544" s="847">
        <v>46747</v>
      </c>
      <c r="AT544" s="847">
        <v>47682</v>
      </c>
      <c r="AU544" s="847">
        <v>48635</v>
      </c>
      <c r="AV544" s="847">
        <v>49607</v>
      </c>
      <c r="AW544" s="847">
        <v>50598</v>
      </c>
      <c r="AX544" s="847">
        <v>51610</v>
      </c>
      <c r="AY544" s="847">
        <v>52641</v>
      </c>
      <c r="AZ544" s="847">
        <v>53693</v>
      </c>
      <c r="BA544" s="847">
        <v>54766</v>
      </c>
      <c r="BB544" s="847">
        <v>55860</v>
      </c>
      <c r="BC544" s="847">
        <v>56976</v>
      </c>
      <c r="BD544" s="847">
        <v>58114</v>
      </c>
      <c r="BE544" s="847">
        <v>59274</v>
      </c>
      <c r="BF544" s="847">
        <v>60458</v>
      </c>
      <c r="BG544" s="847">
        <v>61665</v>
      </c>
      <c r="BH544" s="847">
        <v>62896</v>
      </c>
      <c r="BI544" s="847">
        <v>64151</v>
      </c>
      <c r="BJ544" s="847">
        <v>65431</v>
      </c>
      <c r="BK544" s="847">
        <v>66736</v>
      </c>
      <c r="BL544" s="847">
        <v>67400</v>
      </c>
      <c r="BM544" s="847">
        <v>0</v>
      </c>
      <c r="BN544" s="847">
        <v>0</v>
      </c>
      <c r="BO544" s="847">
        <v>0</v>
      </c>
      <c r="BP544" s="847">
        <v>0</v>
      </c>
      <c r="BQ544" s="847">
        <v>0</v>
      </c>
      <c r="BR544" s="847">
        <v>0</v>
      </c>
      <c r="BS544" s="847">
        <v>0</v>
      </c>
      <c r="BT544" s="847">
        <v>0</v>
      </c>
      <c r="BU544" s="847">
        <v>0</v>
      </c>
      <c r="BV544" s="847">
        <v>0</v>
      </c>
      <c r="BW544" s="847">
        <v>0</v>
      </c>
      <c r="BX544" s="847">
        <v>0</v>
      </c>
      <c r="BY544" s="847">
        <v>0</v>
      </c>
      <c r="BZ544" s="847">
        <v>0</v>
      </c>
      <c r="CA544" s="847">
        <v>0</v>
      </c>
      <c r="CB544" s="847">
        <v>0</v>
      </c>
      <c r="CC544" s="847">
        <v>0</v>
      </c>
      <c r="CD544" s="847">
        <v>0</v>
      </c>
      <c r="CE544" s="847">
        <v>0</v>
      </c>
      <c r="CF544" s="847">
        <v>0</v>
      </c>
      <c r="CG544" s="847">
        <v>0</v>
      </c>
      <c r="CH544" s="847">
        <v>0</v>
      </c>
      <c r="CI544" s="847">
        <v>0</v>
      </c>
      <c r="CJ544" s="847">
        <v>0</v>
      </c>
      <c r="CK544" s="847">
        <v>0</v>
      </c>
      <c r="CL544" s="847">
        <v>0</v>
      </c>
      <c r="CM544" s="847">
        <v>0</v>
      </c>
      <c r="CN544" s="847">
        <v>0</v>
      </c>
      <c r="CO544" s="847">
        <v>0</v>
      </c>
      <c r="CP544" s="847">
        <v>0</v>
      </c>
      <c r="CQ544" s="847">
        <v>0</v>
      </c>
      <c r="CR544" s="847">
        <v>0</v>
      </c>
      <c r="CS544" s="847">
        <v>0</v>
      </c>
      <c r="CT544" s="847">
        <v>0</v>
      </c>
      <c r="CU544" s="847">
        <v>0</v>
      </c>
      <c r="CV544" s="847">
        <v>0</v>
      </c>
      <c r="CW544" s="847">
        <v>0</v>
      </c>
      <c r="CX544" s="847">
        <v>0</v>
      </c>
      <c r="CY544" s="847">
        <v>0</v>
      </c>
      <c r="CZ544" s="847">
        <v>0</v>
      </c>
      <c r="DA544" s="847">
        <v>0</v>
      </c>
      <c r="DB544" s="847">
        <v>0</v>
      </c>
      <c r="DC544" s="847">
        <v>0</v>
      </c>
      <c r="DD544" s="847">
        <v>0</v>
      </c>
      <c r="DE544" s="847">
        <v>0</v>
      </c>
      <c r="DF544" s="847">
        <v>0</v>
      </c>
      <c r="DG544" s="847">
        <v>0</v>
      </c>
      <c r="DH544" s="847">
        <v>0</v>
      </c>
      <c r="DI544" s="847">
        <v>0</v>
      </c>
      <c r="DJ544" s="847">
        <v>0</v>
      </c>
      <c r="DK544" s="847">
        <v>0</v>
      </c>
      <c r="DL544" s="847">
        <v>0</v>
      </c>
      <c r="DM544" s="847">
        <v>0</v>
      </c>
      <c r="DN544" s="847">
        <v>0</v>
      </c>
      <c r="DO544" s="847">
        <v>0</v>
      </c>
      <c r="DP544" s="847">
        <v>0</v>
      </c>
      <c r="DQ544" s="847">
        <v>0</v>
      </c>
      <c r="DR544" s="847">
        <v>0</v>
      </c>
      <c r="DS544" s="847">
        <v>0</v>
      </c>
      <c r="DT544" s="847">
        <v>0</v>
      </c>
      <c r="DU544" s="847">
        <v>0</v>
      </c>
      <c r="DV544" s="847">
        <v>0</v>
      </c>
      <c r="DW544" s="847">
        <v>0</v>
      </c>
      <c r="DX544" s="847">
        <v>0</v>
      </c>
    </row>
    <row r="545" spans="12:128" hidden="1">
      <c r="L545" s="846" t="s">
        <v>1060</v>
      </c>
      <c r="M545" s="846" t="s">
        <v>1382</v>
      </c>
      <c r="N545" s="846" t="s">
        <v>96</v>
      </c>
      <c r="O545" s="847">
        <v>65</v>
      </c>
      <c r="P545" s="780" t="str">
        <f t="shared" si="19"/>
        <v>IWT060165</v>
      </c>
      <c r="Q545" s="847">
        <v>26998</v>
      </c>
      <c r="R545" s="847">
        <v>27537</v>
      </c>
      <c r="S545" s="847">
        <v>28088</v>
      </c>
      <c r="T545" s="847">
        <v>28650</v>
      </c>
      <c r="U545" s="847">
        <v>29223</v>
      </c>
      <c r="V545" s="847">
        <v>29807</v>
      </c>
      <c r="W545" s="847">
        <v>30337</v>
      </c>
      <c r="X545" s="847">
        <v>30887</v>
      </c>
      <c r="Y545" s="847">
        <v>31461</v>
      </c>
      <c r="Z545" s="847">
        <v>32061</v>
      </c>
      <c r="AA545" s="847">
        <v>32694</v>
      </c>
      <c r="AB545" s="847">
        <v>33348</v>
      </c>
      <c r="AC545" s="847">
        <v>34015</v>
      </c>
      <c r="AD545" s="847">
        <v>34695</v>
      </c>
      <c r="AE545" s="847">
        <v>35389</v>
      </c>
      <c r="AF545" s="847">
        <v>36097</v>
      </c>
      <c r="AG545" s="847">
        <v>36819</v>
      </c>
      <c r="AH545" s="847">
        <v>37555</v>
      </c>
      <c r="AI545" s="847">
        <v>38306</v>
      </c>
      <c r="AJ545" s="847">
        <v>39072</v>
      </c>
      <c r="AK545" s="847">
        <v>39853</v>
      </c>
      <c r="AL545" s="847">
        <v>40650</v>
      </c>
      <c r="AM545" s="847">
        <v>41463</v>
      </c>
      <c r="AN545" s="847">
        <v>42292</v>
      </c>
      <c r="AO545" s="847">
        <v>43137</v>
      </c>
      <c r="AP545" s="847">
        <v>44000</v>
      </c>
      <c r="AQ545" s="847">
        <v>44879</v>
      </c>
      <c r="AR545" s="847">
        <v>45777</v>
      </c>
      <c r="AS545" s="847">
        <v>46692</v>
      </c>
      <c r="AT545" s="847">
        <v>47625</v>
      </c>
      <c r="AU545" s="847">
        <v>48577</v>
      </c>
      <c r="AV545" s="847">
        <v>49548</v>
      </c>
      <c r="AW545" s="847">
        <v>50538</v>
      </c>
      <c r="AX545" s="847">
        <v>51548</v>
      </c>
      <c r="AY545" s="847">
        <v>52578</v>
      </c>
      <c r="AZ545" s="847">
        <v>53629</v>
      </c>
      <c r="BA545" s="847">
        <v>54700</v>
      </c>
      <c r="BB545" s="847">
        <v>55793</v>
      </c>
      <c r="BC545" s="847">
        <v>56907</v>
      </c>
      <c r="BD545" s="847">
        <v>58044</v>
      </c>
      <c r="BE545" s="847">
        <v>59203</v>
      </c>
      <c r="BF545" s="847">
        <v>60385</v>
      </c>
      <c r="BG545" s="847">
        <v>61590</v>
      </c>
      <c r="BH545" s="847">
        <v>62819</v>
      </c>
      <c r="BI545" s="847">
        <v>64072</v>
      </c>
      <c r="BJ545" s="847">
        <v>65350</v>
      </c>
      <c r="BK545" s="847">
        <v>66000</v>
      </c>
      <c r="BL545" s="847">
        <v>0</v>
      </c>
      <c r="BM545" s="847">
        <v>0</v>
      </c>
      <c r="BN545" s="847">
        <v>0</v>
      </c>
      <c r="BO545" s="847">
        <v>0</v>
      </c>
      <c r="BP545" s="847">
        <v>0</v>
      </c>
      <c r="BQ545" s="847">
        <v>0</v>
      </c>
      <c r="BR545" s="847">
        <v>0</v>
      </c>
      <c r="BS545" s="847">
        <v>0</v>
      </c>
      <c r="BT545" s="847">
        <v>0</v>
      </c>
      <c r="BU545" s="847">
        <v>0</v>
      </c>
      <c r="BV545" s="847">
        <v>0</v>
      </c>
      <c r="BW545" s="847">
        <v>0</v>
      </c>
      <c r="BX545" s="847">
        <v>0</v>
      </c>
      <c r="BY545" s="847">
        <v>0</v>
      </c>
      <c r="BZ545" s="847">
        <v>0</v>
      </c>
      <c r="CA545" s="847">
        <v>0</v>
      </c>
      <c r="CB545" s="847">
        <v>0</v>
      </c>
      <c r="CC545" s="847">
        <v>0</v>
      </c>
      <c r="CD545" s="847">
        <v>0</v>
      </c>
      <c r="CE545" s="847">
        <v>0</v>
      </c>
      <c r="CF545" s="847">
        <v>0</v>
      </c>
      <c r="CG545" s="847">
        <v>0</v>
      </c>
      <c r="CH545" s="847">
        <v>0</v>
      </c>
      <c r="CI545" s="847">
        <v>0</v>
      </c>
      <c r="CJ545" s="847">
        <v>0</v>
      </c>
      <c r="CK545" s="847">
        <v>0</v>
      </c>
      <c r="CL545" s="847">
        <v>0</v>
      </c>
      <c r="CM545" s="847">
        <v>0</v>
      </c>
      <c r="CN545" s="847">
        <v>0</v>
      </c>
      <c r="CO545" s="847">
        <v>0</v>
      </c>
      <c r="CP545" s="847">
        <v>0</v>
      </c>
      <c r="CQ545" s="847">
        <v>0</v>
      </c>
      <c r="CR545" s="847">
        <v>0</v>
      </c>
      <c r="CS545" s="847">
        <v>0</v>
      </c>
      <c r="CT545" s="847">
        <v>0</v>
      </c>
      <c r="CU545" s="847">
        <v>0</v>
      </c>
      <c r="CV545" s="847">
        <v>0</v>
      </c>
      <c r="CW545" s="847">
        <v>0</v>
      </c>
      <c r="CX545" s="847">
        <v>0</v>
      </c>
      <c r="CY545" s="847">
        <v>0</v>
      </c>
      <c r="CZ545" s="847">
        <v>0</v>
      </c>
      <c r="DA545" s="847">
        <v>0</v>
      </c>
      <c r="DB545" s="847">
        <v>0</v>
      </c>
      <c r="DC545" s="847">
        <v>0</v>
      </c>
      <c r="DD545" s="847">
        <v>0</v>
      </c>
      <c r="DE545" s="847">
        <v>0</v>
      </c>
      <c r="DF545" s="847">
        <v>0</v>
      </c>
      <c r="DG545" s="847">
        <v>0</v>
      </c>
      <c r="DH545" s="847">
        <v>0</v>
      </c>
      <c r="DI545" s="847">
        <v>0</v>
      </c>
      <c r="DJ545" s="847">
        <v>0</v>
      </c>
      <c r="DK545" s="847">
        <v>0</v>
      </c>
      <c r="DL545" s="847">
        <v>0</v>
      </c>
      <c r="DM545" s="847">
        <v>0</v>
      </c>
      <c r="DN545" s="847">
        <v>0</v>
      </c>
      <c r="DO545" s="847">
        <v>0</v>
      </c>
      <c r="DP545" s="847">
        <v>0</v>
      </c>
      <c r="DQ545" s="847">
        <v>0</v>
      </c>
      <c r="DR545" s="847">
        <v>0</v>
      </c>
      <c r="DS545" s="847">
        <v>0</v>
      </c>
      <c r="DT545" s="847">
        <v>0</v>
      </c>
      <c r="DU545" s="847">
        <v>0</v>
      </c>
      <c r="DV545" s="847">
        <v>0</v>
      </c>
      <c r="DW545" s="847">
        <v>0</v>
      </c>
      <c r="DX545" s="847">
        <v>0</v>
      </c>
    </row>
    <row r="546" spans="12:128" hidden="1">
      <c r="L546" s="846" t="s">
        <v>1060</v>
      </c>
      <c r="M546" s="846" t="s">
        <v>1382</v>
      </c>
      <c r="N546" s="846" t="s">
        <v>96</v>
      </c>
      <c r="O546" s="847">
        <v>66</v>
      </c>
      <c r="P546" s="780" t="str">
        <f t="shared" si="19"/>
        <v>IWT060166</v>
      </c>
      <c r="Q546" s="847">
        <v>26980</v>
      </c>
      <c r="R546" s="847">
        <v>27520</v>
      </c>
      <c r="S546" s="847">
        <v>28070</v>
      </c>
      <c r="T546" s="847">
        <v>28632</v>
      </c>
      <c r="U546" s="847">
        <v>29204</v>
      </c>
      <c r="V546" s="847">
        <v>29788</v>
      </c>
      <c r="W546" s="847">
        <v>30310</v>
      </c>
      <c r="X546" s="847">
        <v>30852</v>
      </c>
      <c r="Y546" s="847">
        <v>31418</v>
      </c>
      <c r="Z546" s="847">
        <v>32013</v>
      </c>
      <c r="AA546" s="847">
        <v>32641</v>
      </c>
      <c r="AB546" s="847">
        <v>33293</v>
      </c>
      <c r="AC546" s="847">
        <v>33959</v>
      </c>
      <c r="AD546" s="847">
        <v>34638</v>
      </c>
      <c r="AE546" s="847">
        <v>35331</v>
      </c>
      <c r="AF546" s="847">
        <v>36037</v>
      </c>
      <c r="AG546" s="847">
        <v>36758</v>
      </c>
      <c r="AH546" s="847">
        <v>37493</v>
      </c>
      <c r="AI546" s="847">
        <v>38243</v>
      </c>
      <c r="AJ546" s="847">
        <v>39007</v>
      </c>
      <c r="AK546" s="847">
        <v>39787</v>
      </c>
      <c r="AL546" s="847">
        <v>40583</v>
      </c>
      <c r="AM546" s="847">
        <v>41394</v>
      </c>
      <c r="AN546" s="847">
        <v>42222</v>
      </c>
      <c r="AO546" s="847">
        <v>43066</v>
      </c>
      <c r="AP546" s="847">
        <v>43927</v>
      </c>
      <c r="AQ546" s="847">
        <v>44805</v>
      </c>
      <c r="AR546" s="847">
        <v>45701</v>
      </c>
      <c r="AS546" s="847">
        <v>46615</v>
      </c>
      <c r="AT546" s="847">
        <v>47546</v>
      </c>
      <c r="AU546" s="847">
        <v>48497</v>
      </c>
      <c r="AV546" s="847">
        <v>49466</v>
      </c>
      <c r="AW546" s="847">
        <v>50455</v>
      </c>
      <c r="AX546" s="847">
        <v>51463</v>
      </c>
      <c r="AY546" s="847">
        <v>52491</v>
      </c>
      <c r="AZ546" s="847">
        <v>53540</v>
      </c>
      <c r="BA546" s="847">
        <v>54609</v>
      </c>
      <c r="BB546" s="847">
        <v>55700</v>
      </c>
      <c r="BC546" s="847">
        <v>56813</v>
      </c>
      <c r="BD546" s="847">
        <v>57947</v>
      </c>
      <c r="BE546" s="847">
        <v>59104</v>
      </c>
      <c r="BF546" s="847">
        <v>60284</v>
      </c>
      <c r="BG546" s="847">
        <v>61487</v>
      </c>
      <c r="BH546" s="847">
        <v>62713</v>
      </c>
      <c r="BI546" s="847">
        <v>63964</v>
      </c>
      <c r="BJ546" s="847">
        <v>64600</v>
      </c>
      <c r="BK546" s="847">
        <v>0</v>
      </c>
      <c r="BL546" s="847">
        <v>0</v>
      </c>
      <c r="BM546" s="847">
        <v>0</v>
      </c>
      <c r="BN546" s="847">
        <v>0</v>
      </c>
      <c r="BO546" s="847">
        <v>0</v>
      </c>
      <c r="BP546" s="847">
        <v>0</v>
      </c>
      <c r="BQ546" s="847">
        <v>0</v>
      </c>
      <c r="BR546" s="847">
        <v>0</v>
      </c>
      <c r="BS546" s="847">
        <v>0</v>
      </c>
      <c r="BT546" s="847">
        <v>0</v>
      </c>
      <c r="BU546" s="847">
        <v>0</v>
      </c>
      <c r="BV546" s="847">
        <v>0</v>
      </c>
      <c r="BW546" s="847">
        <v>0</v>
      </c>
      <c r="BX546" s="847">
        <v>0</v>
      </c>
      <c r="BY546" s="847">
        <v>0</v>
      </c>
      <c r="BZ546" s="847">
        <v>0</v>
      </c>
      <c r="CA546" s="847">
        <v>0</v>
      </c>
      <c r="CB546" s="847">
        <v>0</v>
      </c>
      <c r="CC546" s="847">
        <v>0</v>
      </c>
      <c r="CD546" s="847">
        <v>0</v>
      </c>
      <c r="CE546" s="847">
        <v>0</v>
      </c>
      <c r="CF546" s="847">
        <v>0</v>
      </c>
      <c r="CG546" s="847">
        <v>0</v>
      </c>
      <c r="CH546" s="847">
        <v>0</v>
      </c>
      <c r="CI546" s="847">
        <v>0</v>
      </c>
      <c r="CJ546" s="847">
        <v>0</v>
      </c>
      <c r="CK546" s="847">
        <v>0</v>
      </c>
      <c r="CL546" s="847">
        <v>0</v>
      </c>
      <c r="CM546" s="847">
        <v>0</v>
      </c>
      <c r="CN546" s="847">
        <v>0</v>
      </c>
      <c r="CO546" s="847">
        <v>0</v>
      </c>
      <c r="CP546" s="847">
        <v>0</v>
      </c>
      <c r="CQ546" s="847">
        <v>0</v>
      </c>
      <c r="CR546" s="847">
        <v>0</v>
      </c>
      <c r="CS546" s="847">
        <v>0</v>
      </c>
      <c r="CT546" s="847">
        <v>0</v>
      </c>
      <c r="CU546" s="847">
        <v>0</v>
      </c>
      <c r="CV546" s="847">
        <v>0</v>
      </c>
      <c r="CW546" s="847">
        <v>0</v>
      </c>
      <c r="CX546" s="847">
        <v>0</v>
      </c>
      <c r="CY546" s="847">
        <v>0</v>
      </c>
      <c r="CZ546" s="847">
        <v>0</v>
      </c>
      <c r="DA546" s="847">
        <v>0</v>
      </c>
      <c r="DB546" s="847">
        <v>0</v>
      </c>
      <c r="DC546" s="847">
        <v>0</v>
      </c>
      <c r="DD546" s="847">
        <v>0</v>
      </c>
      <c r="DE546" s="847">
        <v>0</v>
      </c>
      <c r="DF546" s="847">
        <v>0</v>
      </c>
      <c r="DG546" s="847">
        <v>0</v>
      </c>
      <c r="DH546" s="847">
        <v>0</v>
      </c>
      <c r="DI546" s="847">
        <v>0</v>
      </c>
      <c r="DJ546" s="847">
        <v>0</v>
      </c>
      <c r="DK546" s="847">
        <v>0</v>
      </c>
      <c r="DL546" s="847">
        <v>0</v>
      </c>
      <c r="DM546" s="847">
        <v>0</v>
      </c>
      <c r="DN546" s="847">
        <v>0</v>
      </c>
      <c r="DO546" s="847">
        <v>0</v>
      </c>
      <c r="DP546" s="847">
        <v>0</v>
      </c>
      <c r="DQ546" s="847">
        <v>0</v>
      </c>
      <c r="DR546" s="847">
        <v>0</v>
      </c>
      <c r="DS546" s="847">
        <v>0</v>
      </c>
      <c r="DT546" s="847">
        <v>0</v>
      </c>
      <c r="DU546" s="847">
        <v>0</v>
      </c>
      <c r="DV546" s="847">
        <v>0</v>
      </c>
      <c r="DW546" s="847">
        <v>0</v>
      </c>
      <c r="DX546" s="847">
        <v>0</v>
      </c>
    </row>
    <row r="547" spans="12:128" hidden="1">
      <c r="L547" s="846" t="s">
        <v>1060</v>
      </c>
      <c r="M547" s="846" t="s">
        <v>1382</v>
      </c>
      <c r="N547" s="846" t="s">
        <v>96</v>
      </c>
      <c r="O547" s="847">
        <v>67</v>
      </c>
      <c r="P547" s="780" t="str">
        <f t="shared" si="19"/>
        <v>IWT060167</v>
      </c>
      <c r="Q547" s="847">
        <v>26956</v>
      </c>
      <c r="R547" s="847">
        <v>27495</v>
      </c>
      <c r="S547" s="847">
        <v>28044</v>
      </c>
      <c r="T547" s="847">
        <v>28605</v>
      </c>
      <c r="U547" s="847">
        <v>29177</v>
      </c>
      <c r="V547" s="847">
        <v>29761</v>
      </c>
      <c r="W547" s="847">
        <v>30273</v>
      </c>
      <c r="X547" s="847">
        <v>30806</v>
      </c>
      <c r="Y547" s="847">
        <v>31364</v>
      </c>
      <c r="Z547" s="847">
        <v>31950</v>
      </c>
      <c r="AA547" s="847">
        <v>32572</v>
      </c>
      <c r="AB547" s="847">
        <v>33223</v>
      </c>
      <c r="AC547" s="847">
        <v>33887</v>
      </c>
      <c r="AD547" s="847">
        <v>34565</v>
      </c>
      <c r="AE547" s="847">
        <v>35256</v>
      </c>
      <c r="AF547" s="847">
        <v>35961</v>
      </c>
      <c r="AG547" s="847">
        <v>36680</v>
      </c>
      <c r="AH547" s="847">
        <v>37414</v>
      </c>
      <c r="AI547" s="847">
        <v>38162</v>
      </c>
      <c r="AJ547" s="847">
        <v>38925</v>
      </c>
      <c r="AK547" s="847">
        <v>39703</v>
      </c>
      <c r="AL547" s="847">
        <v>40497</v>
      </c>
      <c r="AM547" s="847">
        <v>41307</v>
      </c>
      <c r="AN547" s="847">
        <v>42133</v>
      </c>
      <c r="AO547" s="847">
        <v>42975</v>
      </c>
      <c r="AP547" s="847">
        <v>43834</v>
      </c>
      <c r="AQ547" s="847">
        <v>44710</v>
      </c>
      <c r="AR547" s="847">
        <v>45604</v>
      </c>
      <c r="AS547" s="847">
        <v>46516</v>
      </c>
      <c r="AT547" s="847">
        <v>47445</v>
      </c>
      <c r="AU547" s="847">
        <v>48394</v>
      </c>
      <c r="AV547" s="847">
        <v>49361</v>
      </c>
      <c r="AW547" s="847">
        <v>50347</v>
      </c>
      <c r="AX547" s="847">
        <v>51353</v>
      </c>
      <c r="AY547" s="847">
        <v>52379</v>
      </c>
      <c r="AZ547" s="847">
        <v>53426</v>
      </c>
      <c r="BA547" s="847">
        <v>54493</v>
      </c>
      <c r="BB547" s="847">
        <v>55581</v>
      </c>
      <c r="BC547" s="847">
        <v>56691</v>
      </c>
      <c r="BD547" s="847">
        <v>57823</v>
      </c>
      <c r="BE547" s="847">
        <v>58977</v>
      </c>
      <c r="BF547" s="847">
        <v>60154</v>
      </c>
      <c r="BG547" s="847">
        <v>61354</v>
      </c>
      <c r="BH547" s="847">
        <v>62577</v>
      </c>
      <c r="BI547" s="847">
        <v>63200</v>
      </c>
      <c r="BJ547" s="847">
        <v>0</v>
      </c>
      <c r="BK547" s="847">
        <v>0</v>
      </c>
      <c r="BL547" s="847">
        <v>0</v>
      </c>
      <c r="BM547" s="847">
        <v>0</v>
      </c>
      <c r="BN547" s="847">
        <v>0</v>
      </c>
      <c r="BO547" s="847">
        <v>0</v>
      </c>
      <c r="BP547" s="847">
        <v>0</v>
      </c>
      <c r="BQ547" s="847">
        <v>0</v>
      </c>
      <c r="BR547" s="847">
        <v>0</v>
      </c>
      <c r="BS547" s="847">
        <v>0</v>
      </c>
      <c r="BT547" s="847">
        <v>0</v>
      </c>
      <c r="BU547" s="847">
        <v>0</v>
      </c>
      <c r="BV547" s="847">
        <v>0</v>
      </c>
      <c r="BW547" s="847">
        <v>0</v>
      </c>
      <c r="BX547" s="847">
        <v>0</v>
      </c>
      <c r="BY547" s="847">
        <v>0</v>
      </c>
      <c r="BZ547" s="847">
        <v>0</v>
      </c>
      <c r="CA547" s="847">
        <v>0</v>
      </c>
      <c r="CB547" s="847">
        <v>0</v>
      </c>
      <c r="CC547" s="847">
        <v>0</v>
      </c>
      <c r="CD547" s="847">
        <v>0</v>
      </c>
      <c r="CE547" s="847">
        <v>0</v>
      </c>
      <c r="CF547" s="847">
        <v>0</v>
      </c>
      <c r="CG547" s="847">
        <v>0</v>
      </c>
      <c r="CH547" s="847">
        <v>0</v>
      </c>
      <c r="CI547" s="847">
        <v>0</v>
      </c>
      <c r="CJ547" s="847">
        <v>0</v>
      </c>
      <c r="CK547" s="847">
        <v>0</v>
      </c>
      <c r="CL547" s="847">
        <v>0</v>
      </c>
      <c r="CM547" s="847">
        <v>0</v>
      </c>
      <c r="CN547" s="847">
        <v>0</v>
      </c>
      <c r="CO547" s="847">
        <v>0</v>
      </c>
      <c r="CP547" s="847">
        <v>0</v>
      </c>
      <c r="CQ547" s="847">
        <v>0</v>
      </c>
      <c r="CR547" s="847">
        <v>0</v>
      </c>
      <c r="CS547" s="847">
        <v>0</v>
      </c>
      <c r="CT547" s="847">
        <v>0</v>
      </c>
      <c r="CU547" s="847">
        <v>0</v>
      </c>
      <c r="CV547" s="847">
        <v>0</v>
      </c>
      <c r="CW547" s="847">
        <v>0</v>
      </c>
      <c r="CX547" s="847">
        <v>0</v>
      </c>
      <c r="CY547" s="847">
        <v>0</v>
      </c>
      <c r="CZ547" s="847">
        <v>0</v>
      </c>
      <c r="DA547" s="847">
        <v>0</v>
      </c>
      <c r="DB547" s="847">
        <v>0</v>
      </c>
      <c r="DC547" s="847">
        <v>0</v>
      </c>
      <c r="DD547" s="847">
        <v>0</v>
      </c>
      <c r="DE547" s="847">
        <v>0</v>
      </c>
      <c r="DF547" s="847">
        <v>0</v>
      </c>
      <c r="DG547" s="847">
        <v>0</v>
      </c>
      <c r="DH547" s="847">
        <v>0</v>
      </c>
      <c r="DI547" s="847">
        <v>0</v>
      </c>
      <c r="DJ547" s="847">
        <v>0</v>
      </c>
      <c r="DK547" s="847">
        <v>0</v>
      </c>
      <c r="DL547" s="847">
        <v>0</v>
      </c>
      <c r="DM547" s="847">
        <v>0</v>
      </c>
      <c r="DN547" s="847">
        <v>0</v>
      </c>
      <c r="DO547" s="847">
        <v>0</v>
      </c>
      <c r="DP547" s="847">
        <v>0</v>
      </c>
      <c r="DQ547" s="847">
        <v>0</v>
      </c>
      <c r="DR547" s="847">
        <v>0</v>
      </c>
      <c r="DS547" s="847">
        <v>0</v>
      </c>
      <c r="DT547" s="847">
        <v>0</v>
      </c>
      <c r="DU547" s="847">
        <v>0</v>
      </c>
      <c r="DV547" s="847">
        <v>0</v>
      </c>
      <c r="DW547" s="847">
        <v>0</v>
      </c>
      <c r="DX547" s="847">
        <v>0</v>
      </c>
    </row>
    <row r="548" spans="12:128" hidden="1">
      <c r="L548" s="846" t="s">
        <v>1060</v>
      </c>
      <c r="M548" s="846" t="s">
        <v>1382</v>
      </c>
      <c r="N548" s="846" t="s">
        <v>96</v>
      </c>
      <c r="O548" s="847">
        <v>68</v>
      </c>
      <c r="P548" s="780" t="str">
        <f t="shared" si="19"/>
        <v>IWT060168</v>
      </c>
      <c r="Q548" s="847">
        <v>26924</v>
      </c>
      <c r="R548" s="847">
        <v>27462</v>
      </c>
      <c r="S548" s="847">
        <v>28012</v>
      </c>
      <c r="T548" s="847">
        <v>28572</v>
      </c>
      <c r="U548" s="847">
        <v>29143</v>
      </c>
      <c r="V548" s="847">
        <v>29726</v>
      </c>
      <c r="W548" s="847">
        <v>30228</v>
      </c>
      <c r="X548" s="847">
        <v>30750</v>
      </c>
      <c r="Y548" s="847">
        <v>31297</v>
      </c>
      <c r="Z548" s="847">
        <v>31874</v>
      </c>
      <c r="AA548" s="847">
        <v>32487</v>
      </c>
      <c r="AB548" s="847">
        <v>33137</v>
      </c>
      <c r="AC548" s="847">
        <v>33799</v>
      </c>
      <c r="AD548" s="847">
        <v>34475</v>
      </c>
      <c r="AE548" s="847">
        <v>35165</v>
      </c>
      <c r="AF548" s="847">
        <v>35868</v>
      </c>
      <c r="AG548" s="847">
        <v>36585</v>
      </c>
      <c r="AH548" s="847">
        <v>37317</v>
      </c>
      <c r="AI548" s="847">
        <v>38063</v>
      </c>
      <c r="AJ548" s="847">
        <v>38824</v>
      </c>
      <c r="AK548" s="847">
        <v>39600</v>
      </c>
      <c r="AL548" s="847">
        <v>40392</v>
      </c>
      <c r="AM548" s="847">
        <v>41199</v>
      </c>
      <c r="AN548" s="847">
        <v>42023</v>
      </c>
      <c r="AO548" s="847">
        <v>42863</v>
      </c>
      <c r="AP548" s="847">
        <v>43720</v>
      </c>
      <c r="AQ548" s="847">
        <v>44594</v>
      </c>
      <c r="AR548" s="847">
        <v>45486</v>
      </c>
      <c r="AS548" s="847">
        <v>46395</v>
      </c>
      <c r="AT548" s="847">
        <v>47322</v>
      </c>
      <c r="AU548" s="847">
        <v>48268</v>
      </c>
      <c r="AV548" s="847">
        <v>49232</v>
      </c>
      <c r="AW548" s="847">
        <v>50216</v>
      </c>
      <c r="AX548" s="847">
        <v>51219</v>
      </c>
      <c r="AY548" s="847">
        <v>52242</v>
      </c>
      <c r="AZ548" s="847">
        <v>53286</v>
      </c>
      <c r="BA548" s="847">
        <v>54350</v>
      </c>
      <c r="BB548" s="847">
        <v>55435</v>
      </c>
      <c r="BC548" s="847">
        <v>56542</v>
      </c>
      <c r="BD548" s="847">
        <v>57671</v>
      </c>
      <c r="BE548" s="847">
        <v>58822</v>
      </c>
      <c r="BF548" s="847">
        <v>59995</v>
      </c>
      <c r="BG548" s="847">
        <v>61191</v>
      </c>
      <c r="BH548" s="847">
        <v>61800</v>
      </c>
      <c r="BI548" s="847">
        <v>0</v>
      </c>
      <c r="BJ548" s="847">
        <v>0</v>
      </c>
      <c r="BK548" s="847">
        <v>0</v>
      </c>
      <c r="BL548" s="847">
        <v>0</v>
      </c>
      <c r="BM548" s="847">
        <v>0</v>
      </c>
      <c r="BN548" s="847">
        <v>0</v>
      </c>
      <c r="BO548" s="847">
        <v>0</v>
      </c>
      <c r="BP548" s="847">
        <v>0</v>
      </c>
      <c r="BQ548" s="847">
        <v>0</v>
      </c>
      <c r="BR548" s="847">
        <v>0</v>
      </c>
      <c r="BS548" s="847">
        <v>0</v>
      </c>
      <c r="BT548" s="847">
        <v>0</v>
      </c>
      <c r="BU548" s="847">
        <v>0</v>
      </c>
      <c r="BV548" s="847">
        <v>0</v>
      </c>
      <c r="BW548" s="847">
        <v>0</v>
      </c>
      <c r="BX548" s="847">
        <v>0</v>
      </c>
      <c r="BY548" s="847">
        <v>0</v>
      </c>
      <c r="BZ548" s="847">
        <v>0</v>
      </c>
      <c r="CA548" s="847">
        <v>0</v>
      </c>
      <c r="CB548" s="847">
        <v>0</v>
      </c>
      <c r="CC548" s="847">
        <v>0</v>
      </c>
      <c r="CD548" s="847">
        <v>0</v>
      </c>
      <c r="CE548" s="847">
        <v>0</v>
      </c>
      <c r="CF548" s="847">
        <v>0</v>
      </c>
      <c r="CG548" s="847">
        <v>0</v>
      </c>
      <c r="CH548" s="847">
        <v>0</v>
      </c>
      <c r="CI548" s="847">
        <v>0</v>
      </c>
      <c r="CJ548" s="847">
        <v>0</v>
      </c>
      <c r="CK548" s="847">
        <v>0</v>
      </c>
      <c r="CL548" s="847">
        <v>0</v>
      </c>
      <c r="CM548" s="847">
        <v>0</v>
      </c>
      <c r="CN548" s="847">
        <v>0</v>
      </c>
      <c r="CO548" s="847">
        <v>0</v>
      </c>
      <c r="CP548" s="847">
        <v>0</v>
      </c>
      <c r="CQ548" s="847">
        <v>0</v>
      </c>
      <c r="CR548" s="847">
        <v>0</v>
      </c>
      <c r="CS548" s="847">
        <v>0</v>
      </c>
      <c r="CT548" s="847">
        <v>0</v>
      </c>
      <c r="CU548" s="847">
        <v>0</v>
      </c>
      <c r="CV548" s="847">
        <v>0</v>
      </c>
      <c r="CW548" s="847">
        <v>0</v>
      </c>
      <c r="CX548" s="847">
        <v>0</v>
      </c>
      <c r="CY548" s="847">
        <v>0</v>
      </c>
      <c r="CZ548" s="847">
        <v>0</v>
      </c>
      <c r="DA548" s="847">
        <v>0</v>
      </c>
      <c r="DB548" s="847">
        <v>0</v>
      </c>
      <c r="DC548" s="847">
        <v>0</v>
      </c>
      <c r="DD548" s="847">
        <v>0</v>
      </c>
      <c r="DE548" s="847">
        <v>0</v>
      </c>
      <c r="DF548" s="847">
        <v>0</v>
      </c>
      <c r="DG548" s="847">
        <v>0</v>
      </c>
      <c r="DH548" s="847">
        <v>0</v>
      </c>
      <c r="DI548" s="847">
        <v>0</v>
      </c>
      <c r="DJ548" s="847">
        <v>0</v>
      </c>
      <c r="DK548" s="847">
        <v>0</v>
      </c>
      <c r="DL548" s="847">
        <v>0</v>
      </c>
      <c r="DM548" s="847">
        <v>0</v>
      </c>
      <c r="DN548" s="847">
        <v>0</v>
      </c>
      <c r="DO548" s="847">
        <v>0</v>
      </c>
      <c r="DP548" s="847">
        <v>0</v>
      </c>
      <c r="DQ548" s="847">
        <v>0</v>
      </c>
      <c r="DR548" s="847">
        <v>0</v>
      </c>
      <c r="DS548" s="847">
        <v>0</v>
      </c>
      <c r="DT548" s="847">
        <v>0</v>
      </c>
      <c r="DU548" s="847">
        <v>0</v>
      </c>
      <c r="DV548" s="847">
        <v>0</v>
      </c>
      <c r="DW548" s="847">
        <v>0</v>
      </c>
      <c r="DX548" s="847">
        <v>0</v>
      </c>
    </row>
    <row r="549" spans="12:128" hidden="1">
      <c r="L549" s="846" t="s">
        <v>1060</v>
      </c>
      <c r="M549" s="846" t="s">
        <v>1382</v>
      </c>
      <c r="N549" s="846" t="s">
        <v>96</v>
      </c>
      <c r="O549" s="847">
        <v>69</v>
      </c>
      <c r="P549" s="780" t="str">
        <f t="shared" si="19"/>
        <v>IWT060169</v>
      </c>
      <c r="Q549" s="847">
        <v>26886</v>
      </c>
      <c r="R549" s="847">
        <v>27424</v>
      </c>
      <c r="S549" s="847">
        <v>27972</v>
      </c>
      <c r="T549" s="847">
        <v>28532</v>
      </c>
      <c r="U549" s="847">
        <v>29102</v>
      </c>
      <c r="V549" s="847">
        <v>29684</v>
      </c>
      <c r="W549" s="847">
        <v>30174</v>
      </c>
      <c r="X549" s="847">
        <v>30684</v>
      </c>
      <c r="Y549" s="847">
        <v>31219</v>
      </c>
      <c r="Z549" s="847">
        <v>31785</v>
      </c>
      <c r="AA549" s="847">
        <v>32387</v>
      </c>
      <c r="AB549" s="847">
        <v>33034</v>
      </c>
      <c r="AC549" s="847">
        <v>33694</v>
      </c>
      <c r="AD549" s="847">
        <v>34368</v>
      </c>
      <c r="AE549" s="847">
        <v>35055</v>
      </c>
      <c r="AF549" s="847">
        <v>35756</v>
      </c>
      <c r="AG549" s="847">
        <v>36471</v>
      </c>
      <c r="AH549" s="847">
        <v>37201</v>
      </c>
      <c r="AI549" s="847">
        <v>37944</v>
      </c>
      <c r="AJ549" s="847">
        <v>38703</v>
      </c>
      <c r="AK549" s="847">
        <v>39477</v>
      </c>
      <c r="AL549" s="847">
        <v>40266</v>
      </c>
      <c r="AM549" s="847">
        <v>41071</v>
      </c>
      <c r="AN549" s="847">
        <v>41892</v>
      </c>
      <c r="AO549" s="847">
        <v>42730</v>
      </c>
      <c r="AP549" s="847">
        <v>43584</v>
      </c>
      <c r="AQ549" s="847">
        <v>44455</v>
      </c>
      <c r="AR549" s="847">
        <v>45344</v>
      </c>
      <c r="AS549" s="847">
        <v>46250</v>
      </c>
      <c r="AT549" s="847">
        <v>47174</v>
      </c>
      <c r="AU549" s="847">
        <v>48117</v>
      </c>
      <c r="AV549" s="847">
        <v>49078</v>
      </c>
      <c r="AW549" s="847">
        <v>50059</v>
      </c>
      <c r="AX549" s="847">
        <v>51059</v>
      </c>
      <c r="AY549" s="847">
        <v>52079</v>
      </c>
      <c r="AZ549" s="847">
        <v>53119</v>
      </c>
      <c r="BA549" s="847">
        <v>54179</v>
      </c>
      <c r="BB549" s="847">
        <v>55261</v>
      </c>
      <c r="BC549" s="847">
        <v>56364</v>
      </c>
      <c r="BD549" s="847">
        <v>57489</v>
      </c>
      <c r="BE549" s="847">
        <v>58636</v>
      </c>
      <c r="BF549" s="847">
        <v>59805</v>
      </c>
      <c r="BG549" s="847">
        <v>60400</v>
      </c>
      <c r="BH549" s="847">
        <v>0</v>
      </c>
      <c r="BI549" s="847">
        <v>0</v>
      </c>
      <c r="BJ549" s="847">
        <v>0</v>
      </c>
      <c r="BK549" s="847">
        <v>0</v>
      </c>
      <c r="BL549" s="847">
        <v>0</v>
      </c>
      <c r="BM549" s="847">
        <v>0</v>
      </c>
      <c r="BN549" s="847">
        <v>0</v>
      </c>
      <c r="BO549" s="847">
        <v>0</v>
      </c>
      <c r="BP549" s="847">
        <v>0</v>
      </c>
      <c r="BQ549" s="847">
        <v>0</v>
      </c>
      <c r="BR549" s="847">
        <v>0</v>
      </c>
      <c r="BS549" s="847">
        <v>0</v>
      </c>
      <c r="BT549" s="847">
        <v>0</v>
      </c>
      <c r="BU549" s="847">
        <v>0</v>
      </c>
      <c r="BV549" s="847">
        <v>0</v>
      </c>
      <c r="BW549" s="847">
        <v>0</v>
      </c>
      <c r="BX549" s="847">
        <v>0</v>
      </c>
      <c r="BY549" s="847">
        <v>0</v>
      </c>
      <c r="BZ549" s="847">
        <v>0</v>
      </c>
      <c r="CA549" s="847">
        <v>0</v>
      </c>
      <c r="CB549" s="847">
        <v>0</v>
      </c>
      <c r="CC549" s="847">
        <v>0</v>
      </c>
      <c r="CD549" s="847">
        <v>0</v>
      </c>
      <c r="CE549" s="847">
        <v>0</v>
      </c>
      <c r="CF549" s="847">
        <v>0</v>
      </c>
      <c r="CG549" s="847">
        <v>0</v>
      </c>
      <c r="CH549" s="847">
        <v>0</v>
      </c>
      <c r="CI549" s="847">
        <v>0</v>
      </c>
      <c r="CJ549" s="847">
        <v>0</v>
      </c>
      <c r="CK549" s="847">
        <v>0</v>
      </c>
      <c r="CL549" s="847">
        <v>0</v>
      </c>
      <c r="CM549" s="847">
        <v>0</v>
      </c>
      <c r="CN549" s="847">
        <v>0</v>
      </c>
      <c r="CO549" s="847">
        <v>0</v>
      </c>
      <c r="CP549" s="847">
        <v>0</v>
      </c>
      <c r="CQ549" s="847">
        <v>0</v>
      </c>
      <c r="CR549" s="847">
        <v>0</v>
      </c>
      <c r="CS549" s="847">
        <v>0</v>
      </c>
      <c r="CT549" s="847">
        <v>0</v>
      </c>
      <c r="CU549" s="847">
        <v>0</v>
      </c>
      <c r="CV549" s="847">
        <v>0</v>
      </c>
      <c r="CW549" s="847">
        <v>0</v>
      </c>
      <c r="CX549" s="847">
        <v>0</v>
      </c>
      <c r="CY549" s="847">
        <v>0</v>
      </c>
      <c r="CZ549" s="847">
        <v>0</v>
      </c>
      <c r="DA549" s="847">
        <v>0</v>
      </c>
      <c r="DB549" s="847">
        <v>0</v>
      </c>
      <c r="DC549" s="847">
        <v>0</v>
      </c>
      <c r="DD549" s="847">
        <v>0</v>
      </c>
      <c r="DE549" s="847">
        <v>0</v>
      </c>
      <c r="DF549" s="847">
        <v>0</v>
      </c>
      <c r="DG549" s="847">
        <v>0</v>
      </c>
      <c r="DH549" s="847">
        <v>0</v>
      </c>
      <c r="DI549" s="847">
        <v>0</v>
      </c>
      <c r="DJ549" s="847">
        <v>0</v>
      </c>
      <c r="DK549" s="847">
        <v>0</v>
      </c>
      <c r="DL549" s="847">
        <v>0</v>
      </c>
      <c r="DM549" s="847">
        <v>0</v>
      </c>
      <c r="DN549" s="847">
        <v>0</v>
      </c>
      <c r="DO549" s="847">
        <v>0</v>
      </c>
      <c r="DP549" s="847">
        <v>0</v>
      </c>
      <c r="DQ549" s="847">
        <v>0</v>
      </c>
      <c r="DR549" s="847">
        <v>0</v>
      </c>
      <c r="DS549" s="847">
        <v>0</v>
      </c>
      <c r="DT549" s="847">
        <v>0</v>
      </c>
      <c r="DU549" s="847">
        <v>0</v>
      </c>
      <c r="DV549" s="847">
        <v>0</v>
      </c>
      <c r="DW549" s="847">
        <v>0</v>
      </c>
      <c r="DX549" s="847">
        <v>0</v>
      </c>
    </row>
    <row r="550" spans="12:128" hidden="1">
      <c r="L550" s="846" t="s">
        <v>1060</v>
      </c>
      <c r="M550" s="846" t="s">
        <v>1382</v>
      </c>
      <c r="N550" s="846" t="s">
        <v>96</v>
      </c>
      <c r="O550" s="847">
        <v>70</v>
      </c>
      <c r="P550" s="780" t="str">
        <f t="shared" si="19"/>
        <v>IWT060170</v>
      </c>
      <c r="Q550" s="847">
        <v>26848</v>
      </c>
      <c r="R550" s="847">
        <v>27385</v>
      </c>
      <c r="S550" s="847">
        <v>27933</v>
      </c>
      <c r="T550" s="847">
        <v>28491</v>
      </c>
      <c r="U550" s="847">
        <v>29061</v>
      </c>
      <c r="V550" s="847">
        <v>29642</v>
      </c>
      <c r="W550" s="847">
        <v>30118</v>
      </c>
      <c r="X550" s="847">
        <v>30615</v>
      </c>
      <c r="Y550" s="847">
        <v>31136</v>
      </c>
      <c r="Z550" s="847">
        <v>31688</v>
      </c>
      <c r="AA550" s="847">
        <v>32278</v>
      </c>
      <c r="AB550" s="847">
        <v>32914</v>
      </c>
      <c r="AC550" s="847">
        <v>33572</v>
      </c>
      <c r="AD550" s="847">
        <v>34243</v>
      </c>
      <c r="AE550" s="847">
        <v>34928</v>
      </c>
      <c r="AF550" s="847">
        <v>35626</v>
      </c>
      <c r="AG550" s="847">
        <v>36339</v>
      </c>
      <c r="AH550" s="847">
        <v>37065</v>
      </c>
      <c r="AI550" s="847">
        <v>37806</v>
      </c>
      <c r="AJ550" s="847">
        <v>38562</v>
      </c>
      <c r="AK550" s="847">
        <v>39333</v>
      </c>
      <c r="AL550" s="847">
        <v>40120</v>
      </c>
      <c r="AM550" s="847">
        <v>40922</v>
      </c>
      <c r="AN550" s="847">
        <v>41740</v>
      </c>
      <c r="AO550" s="847">
        <v>42574</v>
      </c>
      <c r="AP550" s="847">
        <v>43425</v>
      </c>
      <c r="AQ550" s="847">
        <v>44293</v>
      </c>
      <c r="AR550" s="847">
        <v>45178</v>
      </c>
      <c r="AS550" s="847">
        <v>46081</v>
      </c>
      <c r="AT550" s="847">
        <v>47002</v>
      </c>
      <c r="AU550" s="847">
        <v>47941</v>
      </c>
      <c r="AV550" s="847">
        <v>48899</v>
      </c>
      <c r="AW550" s="847">
        <v>49876</v>
      </c>
      <c r="AX550" s="847">
        <v>50872</v>
      </c>
      <c r="AY550" s="847">
        <v>51888</v>
      </c>
      <c r="AZ550" s="847">
        <v>52924</v>
      </c>
      <c r="BA550" s="847">
        <v>53981</v>
      </c>
      <c r="BB550" s="847">
        <v>55058</v>
      </c>
      <c r="BC550" s="847">
        <v>56157</v>
      </c>
      <c r="BD550" s="847">
        <v>57277</v>
      </c>
      <c r="BE550" s="847">
        <v>58419</v>
      </c>
      <c r="BF550" s="847">
        <v>59000</v>
      </c>
      <c r="BG550" s="847">
        <v>0</v>
      </c>
      <c r="BH550" s="847">
        <v>0</v>
      </c>
      <c r="BI550" s="847">
        <v>0</v>
      </c>
      <c r="BJ550" s="847">
        <v>0</v>
      </c>
      <c r="BK550" s="847">
        <v>0</v>
      </c>
      <c r="BL550" s="847">
        <v>0</v>
      </c>
      <c r="BM550" s="847">
        <v>0</v>
      </c>
      <c r="BN550" s="847">
        <v>0</v>
      </c>
      <c r="BO550" s="847">
        <v>0</v>
      </c>
      <c r="BP550" s="847">
        <v>0</v>
      </c>
      <c r="BQ550" s="847">
        <v>0</v>
      </c>
      <c r="BR550" s="847">
        <v>0</v>
      </c>
      <c r="BS550" s="847">
        <v>0</v>
      </c>
      <c r="BT550" s="847">
        <v>0</v>
      </c>
      <c r="BU550" s="847">
        <v>0</v>
      </c>
      <c r="BV550" s="847">
        <v>0</v>
      </c>
      <c r="BW550" s="847">
        <v>0</v>
      </c>
      <c r="BX550" s="847">
        <v>0</v>
      </c>
      <c r="BY550" s="847">
        <v>0</v>
      </c>
      <c r="BZ550" s="847">
        <v>0</v>
      </c>
      <c r="CA550" s="847">
        <v>0</v>
      </c>
      <c r="CB550" s="847">
        <v>0</v>
      </c>
      <c r="CC550" s="847">
        <v>0</v>
      </c>
      <c r="CD550" s="847">
        <v>0</v>
      </c>
      <c r="CE550" s="847">
        <v>0</v>
      </c>
      <c r="CF550" s="847">
        <v>0</v>
      </c>
      <c r="CG550" s="847">
        <v>0</v>
      </c>
      <c r="CH550" s="847">
        <v>0</v>
      </c>
      <c r="CI550" s="847">
        <v>0</v>
      </c>
      <c r="CJ550" s="847">
        <v>0</v>
      </c>
      <c r="CK550" s="847">
        <v>0</v>
      </c>
      <c r="CL550" s="847">
        <v>0</v>
      </c>
      <c r="CM550" s="847">
        <v>0</v>
      </c>
      <c r="CN550" s="847">
        <v>0</v>
      </c>
      <c r="CO550" s="847">
        <v>0</v>
      </c>
      <c r="CP550" s="847">
        <v>0</v>
      </c>
      <c r="CQ550" s="847">
        <v>0</v>
      </c>
      <c r="CR550" s="847">
        <v>0</v>
      </c>
      <c r="CS550" s="847">
        <v>0</v>
      </c>
      <c r="CT550" s="847">
        <v>0</v>
      </c>
      <c r="CU550" s="847">
        <v>0</v>
      </c>
      <c r="CV550" s="847">
        <v>0</v>
      </c>
      <c r="CW550" s="847">
        <v>0</v>
      </c>
      <c r="CX550" s="847">
        <v>0</v>
      </c>
      <c r="CY550" s="847">
        <v>0</v>
      </c>
      <c r="CZ550" s="847">
        <v>0</v>
      </c>
      <c r="DA550" s="847">
        <v>0</v>
      </c>
      <c r="DB550" s="847">
        <v>0</v>
      </c>
      <c r="DC550" s="847">
        <v>0</v>
      </c>
      <c r="DD550" s="847">
        <v>0</v>
      </c>
      <c r="DE550" s="847">
        <v>0</v>
      </c>
      <c r="DF550" s="847">
        <v>0</v>
      </c>
      <c r="DG550" s="847">
        <v>0</v>
      </c>
      <c r="DH550" s="847">
        <v>0</v>
      </c>
      <c r="DI550" s="847">
        <v>0</v>
      </c>
      <c r="DJ550" s="847">
        <v>0</v>
      </c>
      <c r="DK550" s="847">
        <v>0</v>
      </c>
      <c r="DL550" s="847">
        <v>0</v>
      </c>
      <c r="DM550" s="847">
        <v>0</v>
      </c>
      <c r="DN550" s="847">
        <v>0</v>
      </c>
      <c r="DO550" s="847">
        <v>0</v>
      </c>
      <c r="DP550" s="847">
        <v>0</v>
      </c>
      <c r="DQ550" s="847">
        <v>0</v>
      </c>
      <c r="DR550" s="847">
        <v>0</v>
      </c>
      <c r="DS550" s="847">
        <v>0</v>
      </c>
      <c r="DT550" s="847">
        <v>0</v>
      </c>
      <c r="DU550" s="847">
        <v>0</v>
      </c>
      <c r="DV550" s="847">
        <v>0</v>
      </c>
      <c r="DW550" s="847">
        <v>0</v>
      </c>
      <c r="DX550" s="847">
        <v>0</v>
      </c>
    </row>
    <row r="551" spans="12:128" hidden="1">
      <c r="L551" s="846" t="s">
        <v>1060</v>
      </c>
      <c r="M551" s="846" t="s">
        <v>1382</v>
      </c>
      <c r="N551" s="846" t="s">
        <v>96</v>
      </c>
      <c r="O551" s="847">
        <v>71</v>
      </c>
      <c r="P551" s="780" t="str">
        <f t="shared" si="19"/>
        <v>IWT060171</v>
      </c>
      <c r="Q551" s="847">
        <v>26813</v>
      </c>
      <c r="R551" s="847">
        <v>27349</v>
      </c>
      <c r="S551" s="847">
        <v>27896</v>
      </c>
      <c r="T551" s="847">
        <v>28454</v>
      </c>
      <c r="U551" s="847">
        <v>29023</v>
      </c>
      <c r="V551" s="847">
        <v>29604</v>
      </c>
      <c r="W551" s="847">
        <v>30064</v>
      </c>
      <c r="X551" s="847">
        <v>30544</v>
      </c>
      <c r="Y551" s="847">
        <v>31048</v>
      </c>
      <c r="Z551" s="847">
        <v>31583</v>
      </c>
      <c r="AA551" s="847">
        <v>32156</v>
      </c>
      <c r="AB551" s="847">
        <v>32775</v>
      </c>
      <c r="AC551" s="847">
        <v>33430</v>
      </c>
      <c r="AD551" s="847">
        <v>34099</v>
      </c>
      <c r="AE551" s="847">
        <v>34780</v>
      </c>
      <c r="AF551" s="847">
        <v>35476</v>
      </c>
      <c r="AG551" s="847">
        <v>36185</v>
      </c>
      <c r="AH551" s="847">
        <v>36909</v>
      </c>
      <c r="AI551" s="847">
        <v>37647</v>
      </c>
      <c r="AJ551" s="847">
        <v>38399</v>
      </c>
      <c r="AK551" s="847">
        <v>39167</v>
      </c>
      <c r="AL551" s="847">
        <v>39950</v>
      </c>
      <c r="AM551" s="847">
        <v>40749</v>
      </c>
      <c r="AN551" s="847">
        <v>41563</v>
      </c>
      <c r="AO551" s="847">
        <v>42394</v>
      </c>
      <c r="AP551" s="847">
        <v>43241</v>
      </c>
      <c r="AQ551" s="847">
        <v>44106</v>
      </c>
      <c r="AR551" s="847">
        <v>44987</v>
      </c>
      <c r="AS551" s="847">
        <v>45886</v>
      </c>
      <c r="AT551" s="847">
        <v>46803</v>
      </c>
      <c r="AU551" s="847">
        <v>47738</v>
      </c>
      <c r="AV551" s="847">
        <v>48692</v>
      </c>
      <c r="AW551" s="847">
        <v>49664</v>
      </c>
      <c r="AX551" s="847">
        <v>50656</v>
      </c>
      <c r="AY551" s="847">
        <v>51668</v>
      </c>
      <c r="AZ551" s="847">
        <v>52699</v>
      </c>
      <c r="BA551" s="847">
        <v>53751</v>
      </c>
      <c r="BB551" s="847">
        <v>54824</v>
      </c>
      <c r="BC551" s="847">
        <v>55917</v>
      </c>
      <c r="BD551" s="847">
        <v>57032</v>
      </c>
      <c r="BE551" s="847">
        <v>57600</v>
      </c>
      <c r="BF551" s="847">
        <v>0</v>
      </c>
      <c r="BG551" s="847">
        <v>0</v>
      </c>
      <c r="BH551" s="847">
        <v>0</v>
      </c>
      <c r="BI551" s="847">
        <v>0</v>
      </c>
      <c r="BJ551" s="847">
        <v>0</v>
      </c>
      <c r="BK551" s="847">
        <v>0</v>
      </c>
      <c r="BL551" s="847">
        <v>0</v>
      </c>
      <c r="BM551" s="847">
        <v>0</v>
      </c>
      <c r="BN551" s="847">
        <v>0</v>
      </c>
      <c r="BO551" s="847">
        <v>0</v>
      </c>
      <c r="BP551" s="847">
        <v>0</v>
      </c>
      <c r="BQ551" s="847">
        <v>0</v>
      </c>
      <c r="BR551" s="847">
        <v>0</v>
      </c>
      <c r="BS551" s="847">
        <v>0</v>
      </c>
      <c r="BT551" s="847">
        <v>0</v>
      </c>
      <c r="BU551" s="847">
        <v>0</v>
      </c>
      <c r="BV551" s="847">
        <v>0</v>
      </c>
      <c r="BW551" s="847">
        <v>0</v>
      </c>
      <c r="BX551" s="847">
        <v>0</v>
      </c>
      <c r="BY551" s="847">
        <v>0</v>
      </c>
      <c r="BZ551" s="847">
        <v>0</v>
      </c>
      <c r="CA551" s="847">
        <v>0</v>
      </c>
      <c r="CB551" s="847">
        <v>0</v>
      </c>
      <c r="CC551" s="847">
        <v>0</v>
      </c>
      <c r="CD551" s="847">
        <v>0</v>
      </c>
      <c r="CE551" s="847">
        <v>0</v>
      </c>
      <c r="CF551" s="847">
        <v>0</v>
      </c>
      <c r="CG551" s="847">
        <v>0</v>
      </c>
      <c r="CH551" s="847">
        <v>0</v>
      </c>
      <c r="CI551" s="847">
        <v>0</v>
      </c>
      <c r="CJ551" s="847">
        <v>0</v>
      </c>
      <c r="CK551" s="847">
        <v>0</v>
      </c>
      <c r="CL551" s="847">
        <v>0</v>
      </c>
      <c r="CM551" s="847">
        <v>0</v>
      </c>
      <c r="CN551" s="847">
        <v>0</v>
      </c>
      <c r="CO551" s="847">
        <v>0</v>
      </c>
      <c r="CP551" s="847">
        <v>0</v>
      </c>
      <c r="CQ551" s="847">
        <v>0</v>
      </c>
      <c r="CR551" s="847">
        <v>0</v>
      </c>
      <c r="CS551" s="847">
        <v>0</v>
      </c>
      <c r="CT551" s="847">
        <v>0</v>
      </c>
      <c r="CU551" s="847">
        <v>0</v>
      </c>
      <c r="CV551" s="847">
        <v>0</v>
      </c>
      <c r="CW551" s="847">
        <v>0</v>
      </c>
      <c r="CX551" s="847">
        <v>0</v>
      </c>
      <c r="CY551" s="847">
        <v>0</v>
      </c>
      <c r="CZ551" s="847">
        <v>0</v>
      </c>
      <c r="DA551" s="847">
        <v>0</v>
      </c>
      <c r="DB551" s="847">
        <v>0</v>
      </c>
      <c r="DC551" s="847">
        <v>0</v>
      </c>
      <c r="DD551" s="847">
        <v>0</v>
      </c>
      <c r="DE551" s="847">
        <v>0</v>
      </c>
      <c r="DF551" s="847">
        <v>0</v>
      </c>
      <c r="DG551" s="847">
        <v>0</v>
      </c>
      <c r="DH551" s="847">
        <v>0</v>
      </c>
      <c r="DI551" s="847">
        <v>0</v>
      </c>
      <c r="DJ551" s="847">
        <v>0</v>
      </c>
      <c r="DK551" s="847">
        <v>0</v>
      </c>
      <c r="DL551" s="847">
        <v>0</v>
      </c>
      <c r="DM551" s="847">
        <v>0</v>
      </c>
      <c r="DN551" s="847">
        <v>0</v>
      </c>
      <c r="DO551" s="847">
        <v>0</v>
      </c>
      <c r="DP551" s="847">
        <v>0</v>
      </c>
      <c r="DQ551" s="847">
        <v>0</v>
      </c>
      <c r="DR551" s="847">
        <v>0</v>
      </c>
      <c r="DS551" s="847">
        <v>0</v>
      </c>
      <c r="DT551" s="847">
        <v>0</v>
      </c>
      <c r="DU551" s="847">
        <v>0</v>
      </c>
      <c r="DV551" s="847">
        <v>0</v>
      </c>
      <c r="DW551" s="847">
        <v>0</v>
      </c>
      <c r="DX551" s="847">
        <v>0</v>
      </c>
    </row>
    <row r="552" spans="12:128" hidden="1">
      <c r="L552" s="846" t="s">
        <v>1060</v>
      </c>
      <c r="M552" s="846" t="s">
        <v>1382</v>
      </c>
      <c r="N552" s="846" t="s">
        <v>96</v>
      </c>
      <c r="O552" s="847">
        <v>72</v>
      </c>
      <c r="P552" s="780" t="str">
        <f t="shared" si="19"/>
        <v>IWT060172</v>
      </c>
      <c r="Q552" s="847">
        <v>26778</v>
      </c>
      <c r="R552" s="847">
        <v>27313</v>
      </c>
      <c r="S552" s="847">
        <v>27859</v>
      </c>
      <c r="T552" s="847">
        <v>28417</v>
      </c>
      <c r="U552" s="847">
        <v>28985</v>
      </c>
      <c r="V552" s="847">
        <v>29564</v>
      </c>
      <c r="W552" s="847">
        <v>30006</v>
      </c>
      <c r="X552" s="847">
        <v>30468</v>
      </c>
      <c r="Y552" s="847">
        <v>30953</v>
      </c>
      <c r="Z552" s="847">
        <v>31468</v>
      </c>
      <c r="AA552" s="847">
        <v>32019</v>
      </c>
      <c r="AB552" s="847">
        <v>32618</v>
      </c>
      <c r="AC552" s="847">
        <v>33270</v>
      </c>
      <c r="AD552" s="847">
        <v>33935</v>
      </c>
      <c r="AE552" s="847">
        <v>34614</v>
      </c>
      <c r="AF552" s="847">
        <v>35306</v>
      </c>
      <c r="AG552" s="847">
        <v>36012</v>
      </c>
      <c r="AH552" s="847">
        <v>36732</v>
      </c>
      <c r="AI552" s="847">
        <v>37466</v>
      </c>
      <c r="AJ552" s="847">
        <v>38215</v>
      </c>
      <c r="AK552" s="847">
        <v>38979</v>
      </c>
      <c r="AL552" s="847">
        <v>39758</v>
      </c>
      <c r="AM552" s="847">
        <v>40553</v>
      </c>
      <c r="AN552" s="847">
        <v>41364</v>
      </c>
      <c r="AO552" s="847">
        <v>42191</v>
      </c>
      <c r="AP552" s="847">
        <v>43034</v>
      </c>
      <c r="AQ552" s="847">
        <v>43894</v>
      </c>
      <c r="AR552" s="847">
        <v>44771</v>
      </c>
      <c r="AS552" s="847">
        <v>45665</v>
      </c>
      <c r="AT552" s="847">
        <v>46578</v>
      </c>
      <c r="AU552" s="847">
        <v>47508</v>
      </c>
      <c r="AV552" s="847">
        <v>48457</v>
      </c>
      <c r="AW552" s="847">
        <v>49425</v>
      </c>
      <c r="AX552" s="847">
        <v>50412</v>
      </c>
      <c r="AY552" s="847">
        <v>51419</v>
      </c>
      <c r="AZ552" s="847">
        <v>52445</v>
      </c>
      <c r="BA552" s="847">
        <v>53491</v>
      </c>
      <c r="BB552" s="847">
        <v>54558</v>
      </c>
      <c r="BC552" s="847">
        <v>55646</v>
      </c>
      <c r="BD552" s="847">
        <v>56200</v>
      </c>
      <c r="BE552" s="847">
        <v>0</v>
      </c>
      <c r="BF552" s="847">
        <v>0</v>
      </c>
      <c r="BG552" s="847">
        <v>0</v>
      </c>
      <c r="BH552" s="847">
        <v>0</v>
      </c>
      <c r="BI552" s="847">
        <v>0</v>
      </c>
      <c r="BJ552" s="847">
        <v>0</v>
      </c>
      <c r="BK552" s="847">
        <v>0</v>
      </c>
      <c r="BL552" s="847">
        <v>0</v>
      </c>
      <c r="BM552" s="847">
        <v>0</v>
      </c>
      <c r="BN552" s="847">
        <v>0</v>
      </c>
      <c r="BO552" s="847">
        <v>0</v>
      </c>
      <c r="BP552" s="847">
        <v>0</v>
      </c>
      <c r="BQ552" s="847">
        <v>0</v>
      </c>
      <c r="BR552" s="847">
        <v>0</v>
      </c>
      <c r="BS552" s="847">
        <v>0</v>
      </c>
      <c r="BT552" s="847">
        <v>0</v>
      </c>
      <c r="BU552" s="847">
        <v>0</v>
      </c>
      <c r="BV552" s="847">
        <v>0</v>
      </c>
      <c r="BW552" s="847">
        <v>0</v>
      </c>
      <c r="BX552" s="847">
        <v>0</v>
      </c>
      <c r="BY552" s="847">
        <v>0</v>
      </c>
      <c r="BZ552" s="847">
        <v>0</v>
      </c>
      <c r="CA552" s="847">
        <v>0</v>
      </c>
      <c r="CB552" s="847">
        <v>0</v>
      </c>
      <c r="CC552" s="847">
        <v>0</v>
      </c>
      <c r="CD552" s="847">
        <v>0</v>
      </c>
      <c r="CE552" s="847">
        <v>0</v>
      </c>
      <c r="CF552" s="847">
        <v>0</v>
      </c>
      <c r="CG552" s="847">
        <v>0</v>
      </c>
      <c r="CH552" s="847">
        <v>0</v>
      </c>
      <c r="CI552" s="847">
        <v>0</v>
      </c>
      <c r="CJ552" s="847">
        <v>0</v>
      </c>
      <c r="CK552" s="847">
        <v>0</v>
      </c>
      <c r="CL552" s="847">
        <v>0</v>
      </c>
      <c r="CM552" s="847">
        <v>0</v>
      </c>
      <c r="CN552" s="847">
        <v>0</v>
      </c>
      <c r="CO552" s="847">
        <v>0</v>
      </c>
      <c r="CP552" s="847">
        <v>0</v>
      </c>
      <c r="CQ552" s="847">
        <v>0</v>
      </c>
      <c r="CR552" s="847">
        <v>0</v>
      </c>
      <c r="CS552" s="847">
        <v>0</v>
      </c>
      <c r="CT552" s="847">
        <v>0</v>
      </c>
      <c r="CU552" s="847">
        <v>0</v>
      </c>
      <c r="CV552" s="847">
        <v>0</v>
      </c>
      <c r="CW552" s="847">
        <v>0</v>
      </c>
      <c r="CX552" s="847">
        <v>0</v>
      </c>
      <c r="CY552" s="847">
        <v>0</v>
      </c>
      <c r="CZ552" s="847">
        <v>0</v>
      </c>
      <c r="DA552" s="847">
        <v>0</v>
      </c>
      <c r="DB552" s="847">
        <v>0</v>
      </c>
      <c r="DC552" s="847">
        <v>0</v>
      </c>
      <c r="DD552" s="847">
        <v>0</v>
      </c>
      <c r="DE552" s="847">
        <v>0</v>
      </c>
      <c r="DF552" s="847">
        <v>0</v>
      </c>
      <c r="DG552" s="847">
        <v>0</v>
      </c>
      <c r="DH552" s="847">
        <v>0</v>
      </c>
      <c r="DI552" s="847">
        <v>0</v>
      </c>
      <c r="DJ552" s="847">
        <v>0</v>
      </c>
      <c r="DK552" s="847">
        <v>0</v>
      </c>
      <c r="DL552" s="847">
        <v>0</v>
      </c>
      <c r="DM552" s="847">
        <v>0</v>
      </c>
      <c r="DN552" s="847">
        <v>0</v>
      </c>
      <c r="DO552" s="847">
        <v>0</v>
      </c>
      <c r="DP552" s="847">
        <v>0</v>
      </c>
      <c r="DQ552" s="847">
        <v>0</v>
      </c>
      <c r="DR552" s="847">
        <v>0</v>
      </c>
      <c r="DS552" s="847">
        <v>0</v>
      </c>
      <c r="DT552" s="847">
        <v>0</v>
      </c>
      <c r="DU552" s="847">
        <v>0</v>
      </c>
      <c r="DV552" s="847">
        <v>0</v>
      </c>
      <c r="DW552" s="847">
        <v>0</v>
      </c>
      <c r="DX552" s="847">
        <v>0</v>
      </c>
    </row>
    <row r="553" spans="12:128" hidden="1">
      <c r="L553" s="846" t="s">
        <v>1060</v>
      </c>
      <c r="M553" s="846" t="s">
        <v>1382</v>
      </c>
      <c r="N553" s="846" t="s">
        <v>96</v>
      </c>
      <c r="O553" s="847">
        <v>73</v>
      </c>
      <c r="P553" s="780" t="str">
        <f t="shared" si="19"/>
        <v>IWT060173</v>
      </c>
      <c r="Q553" s="847">
        <v>26750</v>
      </c>
      <c r="R553" s="847">
        <v>27285</v>
      </c>
      <c r="S553" s="847">
        <v>27831</v>
      </c>
      <c r="T553" s="847">
        <v>28388</v>
      </c>
      <c r="U553" s="847">
        <v>28955</v>
      </c>
      <c r="V553" s="847">
        <v>29534</v>
      </c>
      <c r="W553" s="847">
        <v>29957</v>
      </c>
      <c r="X553" s="847">
        <v>30398</v>
      </c>
      <c r="Y553" s="847">
        <v>30861</v>
      </c>
      <c r="Z553" s="847">
        <v>31353</v>
      </c>
      <c r="AA553" s="847">
        <v>31882</v>
      </c>
      <c r="AB553" s="847">
        <v>32456</v>
      </c>
      <c r="AC553" s="847">
        <v>33090</v>
      </c>
      <c r="AD553" s="847">
        <v>33752</v>
      </c>
      <c r="AE553" s="847">
        <v>34426</v>
      </c>
      <c r="AF553" s="847">
        <v>35115</v>
      </c>
      <c r="AG553" s="847">
        <v>35817</v>
      </c>
      <c r="AH553" s="847">
        <v>36533</v>
      </c>
      <c r="AI553" s="847">
        <v>37263</v>
      </c>
      <c r="AJ553" s="847">
        <v>38008</v>
      </c>
      <c r="AK553" s="847">
        <v>38768</v>
      </c>
      <c r="AL553" s="847">
        <v>39543</v>
      </c>
      <c r="AM553" s="847">
        <v>40334</v>
      </c>
      <c r="AN553" s="847">
        <v>41140</v>
      </c>
      <c r="AO553" s="847">
        <v>41962</v>
      </c>
      <c r="AP553" s="847">
        <v>42801</v>
      </c>
      <c r="AQ553" s="847">
        <v>43656</v>
      </c>
      <c r="AR553" s="847">
        <v>44528</v>
      </c>
      <c r="AS553" s="847">
        <v>45418</v>
      </c>
      <c r="AT553" s="847">
        <v>46325</v>
      </c>
      <c r="AU553" s="847">
        <v>47250</v>
      </c>
      <c r="AV553" s="847">
        <v>48194</v>
      </c>
      <c r="AW553" s="847">
        <v>49156</v>
      </c>
      <c r="AX553" s="847">
        <v>50137</v>
      </c>
      <c r="AY553" s="847">
        <v>51138</v>
      </c>
      <c r="AZ553" s="847">
        <v>52159</v>
      </c>
      <c r="BA553" s="847">
        <v>53199</v>
      </c>
      <c r="BB553" s="847">
        <v>54260</v>
      </c>
      <c r="BC553" s="847">
        <v>54800</v>
      </c>
      <c r="BD553" s="847">
        <v>0</v>
      </c>
      <c r="BE553" s="847">
        <v>0</v>
      </c>
      <c r="BF553" s="847">
        <v>0</v>
      </c>
      <c r="BG553" s="847">
        <v>0</v>
      </c>
      <c r="BH553" s="847">
        <v>0</v>
      </c>
      <c r="BI553" s="847">
        <v>0</v>
      </c>
      <c r="BJ553" s="847">
        <v>0</v>
      </c>
      <c r="BK553" s="847">
        <v>0</v>
      </c>
      <c r="BL553" s="847">
        <v>0</v>
      </c>
      <c r="BM553" s="847">
        <v>0</v>
      </c>
      <c r="BN553" s="847">
        <v>0</v>
      </c>
      <c r="BO553" s="847">
        <v>0</v>
      </c>
      <c r="BP553" s="847">
        <v>0</v>
      </c>
      <c r="BQ553" s="847">
        <v>0</v>
      </c>
      <c r="BR553" s="847">
        <v>0</v>
      </c>
      <c r="BS553" s="847">
        <v>0</v>
      </c>
      <c r="BT553" s="847">
        <v>0</v>
      </c>
      <c r="BU553" s="847">
        <v>0</v>
      </c>
      <c r="BV553" s="847">
        <v>0</v>
      </c>
      <c r="BW553" s="847">
        <v>0</v>
      </c>
      <c r="BX553" s="847">
        <v>0</v>
      </c>
      <c r="BY553" s="847">
        <v>0</v>
      </c>
      <c r="BZ553" s="847">
        <v>0</v>
      </c>
      <c r="CA553" s="847">
        <v>0</v>
      </c>
      <c r="CB553" s="847">
        <v>0</v>
      </c>
      <c r="CC553" s="847">
        <v>0</v>
      </c>
      <c r="CD553" s="847">
        <v>0</v>
      </c>
      <c r="CE553" s="847">
        <v>0</v>
      </c>
      <c r="CF553" s="847">
        <v>0</v>
      </c>
      <c r="CG553" s="847">
        <v>0</v>
      </c>
      <c r="CH553" s="847">
        <v>0</v>
      </c>
      <c r="CI553" s="847">
        <v>0</v>
      </c>
      <c r="CJ553" s="847">
        <v>0</v>
      </c>
      <c r="CK553" s="847">
        <v>0</v>
      </c>
      <c r="CL553" s="847">
        <v>0</v>
      </c>
      <c r="CM553" s="847">
        <v>0</v>
      </c>
      <c r="CN553" s="847">
        <v>0</v>
      </c>
      <c r="CO553" s="847">
        <v>0</v>
      </c>
      <c r="CP553" s="847">
        <v>0</v>
      </c>
      <c r="CQ553" s="847">
        <v>0</v>
      </c>
      <c r="CR553" s="847">
        <v>0</v>
      </c>
      <c r="CS553" s="847">
        <v>0</v>
      </c>
      <c r="CT553" s="847">
        <v>0</v>
      </c>
      <c r="CU553" s="847">
        <v>0</v>
      </c>
      <c r="CV553" s="847">
        <v>0</v>
      </c>
      <c r="CW553" s="847">
        <v>0</v>
      </c>
      <c r="CX553" s="847">
        <v>0</v>
      </c>
      <c r="CY553" s="847">
        <v>0</v>
      </c>
      <c r="CZ553" s="847">
        <v>0</v>
      </c>
      <c r="DA553" s="847">
        <v>0</v>
      </c>
      <c r="DB553" s="847">
        <v>0</v>
      </c>
      <c r="DC553" s="847">
        <v>0</v>
      </c>
      <c r="DD553" s="847">
        <v>0</v>
      </c>
      <c r="DE553" s="847">
        <v>0</v>
      </c>
      <c r="DF553" s="847">
        <v>0</v>
      </c>
      <c r="DG553" s="847">
        <v>0</v>
      </c>
      <c r="DH553" s="847">
        <v>0</v>
      </c>
      <c r="DI553" s="847">
        <v>0</v>
      </c>
      <c r="DJ553" s="847">
        <v>0</v>
      </c>
      <c r="DK553" s="847">
        <v>0</v>
      </c>
      <c r="DL553" s="847">
        <v>0</v>
      </c>
      <c r="DM553" s="847">
        <v>0</v>
      </c>
      <c r="DN553" s="847">
        <v>0</v>
      </c>
      <c r="DO553" s="847">
        <v>0</v>
      </c>
      <c r="DP553" s="847">
        <v>0</v>
      </c>
      <c r="DQ553" s="847">
        <v>0</v>
      </c>
      <c r="DR553" s="847">
        <v>0</v>
      </c>
      <c r="DS553" s="847">
        <v>0</v>
      </c>
      <c r="DT553" s="847">
        <v>0</v>
      </c>
      <c r="DU553" s="847">
        <v>0</v>
      </c>
      <c r="DV553" s="847">
        <v>0</v>
      </c>
      <c r="DW553" s="847">
        <v>0</v>
      </c>
      <c r="DX553" s="847">
        <v>0</v>
      </c>
    </row>
    <row r="554" spans="12:128" hidden="1">
      <c r="L554" s="846" t="s">
        <v>1060</v>
      </c>
      <c r="M554" s="846" t="s">
        <v>1382</v>
      </c>
      <c r="N554" s="846" t="s">
        <v>96</v>
      </c>
      <c r="O554" s="847">
        <v>74</v>
      </c>
      <c r="P554" s="780" t="str">
        <f t="shared" si="19"/>
        <v>IWT060174</v>
      </c>
      <c r="Q554" s="847">
        <v>26730</v>
      </c>
      <c r="R554" s="847">
        <v>27264</v>
      </c>
      <c r="S554" s="847">
        <v>27810</v>
      </c>
      <c r="T554" s="847">
        <v>28366</v>
      </c>
      <c r="U554" s="847">
        <v>28933</v>
      </c>
      <c r="V554" s="847">
        <v>29511</v>
      </c>
      <c r="W554" s="847">
        <v>29913</v>
      </c>
      <c r="X554" s="847">
        <v>30331</v>
      </c>
      <c r="Y554" s="847">
        <v>30770</v>
      </c>
      <c r="Z554" s="847">
        <v>31237</v>
      </c>
      <c r="AA554" s="847">
        <v>31738</v>
      </c>
      <c r="AB554" s="847">
        <v>32284</v>
      </c>
      <c r="AC554" s="847">
        <v>32889</v>
      </c>
      <c r="AD554" s="847">
        <v>33547</v>
      </c>
      <c r="AE554" s="847">
        <v>34218</v>
      </c>
      <c r="AF554" s="847">
        <v>34902</v>
      </c>
      <c r="AG554" s="847">
        <v>35600</v>
      </c>
      <c r="AH554" s="847">
        <v>36311</v>
      </c>
      <c r="AI554" s="847">
        <v>37037</v>
      </c>
      <c r="AJ554" s="847">
        <v>37778</v>
      </c>
      <c r="AK554" s="847">
        <v>38533</v>
      </c>
      <c r="AL554" s="847">
        <v>39303</v>
      </c>
      <c r="AM554" s="847">
        <v>40089</v>
      </c>
      <c r="AN554" s="847">
        <v>40890</v>
      </c>
      <c r="AO554" s="847">
        <v>41707</v>
      </c>
      <c r="AP554" s="847">
        <v>42541</v>
      </c>
      <c r="AQ554" s="847">
        <v>43391</v>
      </c>
      <c r="AR554" s="847">
        <v>44258</v>
      </c>
      <c r="AS554" s="847">
        <v>45142</v>
      </c>
      <c r="AT554" s="847">
        <v>46043</v>
      </c>
      <c r="AU554" s="847">
        <v>46963</v>
      </c>
      <c r="AV554" s="847">
        <v>47901</v>
      </c>
      <c r="AW554" s="847">
        <v>48857</v>
      </c>
      <c r="AX554" s="847">
        <v>49832</v>
      </c>
      <c r="AY554" s="847">
        <v>50826</v>
      </c>
      <c r="AZ554" s="847">
        <v>51840</v>
      </c>
      <c r="BA554" s="847">
        <v>52874</v>
      </c>
      <c r="BB554" s="847">
        <v>53400</v>
      </c>
      <c r="BC554" s="847">
        <v>0</v>
      </c>
      <c r="BD554" s="847">
        <v>0</v>
      </c>
      <c r="BE554" s="847">
        <v>0</v>
      </c>
      <c r="BF554" s="847">
        <v>0</v>
      </c>
      <c r="BG554" s="847">
        <v>0</v>
      </c>
      <c r="BH554" s="847">
        <v>0</v>
      </c>
      <c r="BI554" s="847">
        <v>0</v>
      </c>
      <c r="BJ554" s="847">
        <v>0</v>
      </c>
      <c r="BK554" s="847">
        <v>0</v>
      </c>
      <c r="BL554" s="847">
        <v>0</v>
      </c>
      <c r="BM554" s="847">
        <v>0</v>
      </c>
      <c r="BN554" s="847">
        <v>0</v>
      </c>
      <c r="BO554" s="847">
        <v>0</v>
      </c>
      <c r="BP554" s="847">
        <v>0</v>
      </c>
      <c r="BQ554" s="847">
        <v>0</v>
      </c>
      <c r="BR554" s="847">
        <v>0</v>
      </c>
      <c r="BS554" s="847">
        <v>0</v>
      </c>
      <c r="BT554" s="847">
        <v>0</v>
      </c>
      <c r="BU554" s="847">
        <v>0</v>
      </c>
      <c r="BV554" s="847">
        <v>0</v>
      </c>
      <c r="BW554" s="847">
        <v>0</v>
      </c>
      <c r="BX554" s="847">
        <v>0</v>
      </c>
      <c r="BY554" s="847">
        <v>0</v>
      </c>
      <c r="BZ554" s="847">
        <v>0</v>
      </c>
      <c r="CA554" s="847">
        <v>0</v>
      </c>
      <c r="CB554" s="847">
        <v>0</v>
      </c>
      <c r="CC554" s="847">
        <v>0</v>
      </c>
      <c r="CD554" s="847">
        <v>0</v>
      </c>
      <c r="CE554" s="847">
        <v>0</v>
      </c>
      <c r="CF554" s="847">
        <v>0</v>
      </c>
      <c r="CG554" s="847">
        <v>0</v>
      </c>
      <c r="CH554" s="847">
        <v>0</v>
      </c>
      <c r="CI554" s="847">
        <v>0</v>
      </c>
      <c r="CJ554" s="847">
        <v>0</v>
      </c>
      <c r="CK554" s="847">
        <v>0</v>
      </c>
      <c r="CL554" s="847">
        <v>0</v>
      </c>
      <c r="CM554" s="847">
        <v>0</v>
      </c>
      <c r="CN554" s="847">
        <v>0</v>
      </c>
      <c r="CO554" s="847">
        <v>0</v>
      </c>
      <c r="CP554" s="847">
        <v>0</v>
      </c>
      <c r="CQ554" s="847">
        <v>0</v>
      </c>
      <c r="CR554" s="847">
        <v>0</v>
      </c>
      <c r="CS554" s="847">
        <v>0</v>
      </c>
      <c r="CT554" s="847">
        <v>0</v>
      </c>
      <c r="CU554" s="847">
        <v>0</v>
      </c>
      <c r="CV554" s="847">
        <v>0</v>
      </c>
      <c r="CW554" s="847">
        <v>0</v>
      </c>
      <c r="CX554" s="847">
        <v>0</v>
      </c>
      <c r="CY554" s="847">
        <v>0</v>
      </c>
      <c r="CZ554" s="847">
        <v>0</v>
      </c>
      <c r="DA554" s="847">
        <v>0</v>
      </c>
      <c r="DB554" s="847">
        <v>0</v>
      </c>
      <c r="DC554" s="847">
        <v>0</v>
      </c>
      <c r="DD554" s="847">
        <v>0</v>
      </c>
      <c r="DE554" s="847">
        <v>0</v>
      </c>
      <c r="DF554" s="847">
        <v>0</v>
      </c>
      <c r="DG554" s="847">
        <v>0</v>
      </c>
      <c r="DH554" s="847">
        <v>0</v>
      </c>
      <c r="DI554" s="847">
        <v>0</v>
      </c>
      <c r="DJ554" s="847">
        <v>0</v>
      </c>
      <c r="DK554" s="847">
        <v>0</v>
      </c>
      <c r="DL554" s="847">
        <v>0</v>
      </c>
      <c r="DM554" s="847">
        <v>0</v>
      </c>
      <c r="DN554" s="847">
        <v>0</v>
      </c>
      <c r="DO554" s="847">
        <v>0</v>
      </c>
      <c r="DP554" s="847">
        <v>0</v>
      </c>
      <c r="DQ554" s="847">
        <v>0</v>
      </c>
      <c r="DR554" s="847">
        <v>0</v>
      </c>
      <c r="DS554" s="847">
        <v>0</v>
      </c>
      <c r="DT554" s="847">
        <v>0</v>
      </c>
      <c r="DU554" s="847">
        <v>0</v>
      </c>
      <c r="DV554" s="847">
        <v>0</v>
      </c>
      <c r="DW554" s="847">
        <v>0</v>
      </c>
      <c r="DX554" s="847">
        <v>0</v>
      </c>
    </row>
    <row r="555" spans="12:128" hidden="1">
      <c r="L555" s="846" t="s">
        <v>1060</v>
      </c>
      <c r="M555" s="846" t="s">
        <v>1382</v>
      </c>
      <c r="N555" s="846" t="s">
        <v>96</v>
      </c>
      <c r="O555" s="847">
        <v>75</v>
      </c>
      <c r="P555" s="780" t="str">
        <f t="shared" si="19"/>
        <v>IWT060175</v>
      </c>
      <c r="Q555" s="847">
        <v>26718</v>
      </c>
      <c r="R555" s="847">
        <v>27252</v>
      </c>
      <c r="S555" s="847">
        <v>27797</v>
      </c>
      <c r="T555" s="847">
        <v>28353</v>
      </c>
      <c r="U555" s="847">
        <v>28920</v>
      </c>
      <c r="V555" s="847">
        <v>29499</v>
      </c>
      <c r="W555" s="847">
        <v>29877</v>
      </c>
      <c r="X555" s="847">
        <v>30271</v>
      </c>
      <c r="Y555" s="847">
        <v>30683</v>
      </c>
      <c r="Z555" s="847">
        <v>31121</v>
      </c>
      <c r="AA555" s="847">
        <v>31591</v>
      </c>
      <c r="AB555" s="847">
        <v>32105</v>
      </c>
      <c r="AC555" s="847">
        <v>32676</v>
      </c>
      <c r="AD555" s="847">
        <v>33321</v>
      </c>
      <c r="AE555" s="847">
        <v>33987</v>
      </c>
      <c r="AF555" s="847">
        <v>34666</v>
      </c>
      <c r="AG555" s="847">
        <v>35359</v>
      </c>
      <c r="AH555" s="847">
        <v>36066</v>
      </c>
      <c r="AI555" s="847">
        <v>36787</v>
      </c>
      <c r="AJ555" s="847">
        <v>37523</v>
      </c>
      <c r="AK555" s="847">
        <v>38273</v>
      </c>
      <c r="AL555" s="847">
        <v>39038</v>
      </c>
      <c r="AM555" s="847">
        <v>39818</v>
      </c>
      <c r="AN555" s="847">
        <v>40614</v>
      </c>
      <c r="AO555" s="847">
        <v>41425</v>
      </c>
      <c r="AP555" s="847">
        <v>42253</v>
      </c>
      <c r="AQ555" s="847">
        <v>43097</v>
      </c>
      <c r="AR555" s="847">
        <v>43958</v>
      </c>
      <c r="AS555" s="847">
        <v>44836</v>
      </c>
      <c r="AT555" s="847">
        <v>45732</v>
      </c>
      <c r="AU555" s="847">
        <v>46645</v>
      </c>
      <c r="AV555" s="847">
        <v>47576</v>
      </c>
      <c r="AW555" s="847">
        <v>48526</v>
      </c>
      <c r="AX555" s="847">
        <v>49494</v>
      </c>
      <c r="AY555" s="847">
        <v>50481</v>
      </c>
      <c r="AZ555" s="847">
        <v>51488</v>
      </c>
      <c r="BA555" s="847">
        <v>52000</v>
      </c>
      <c r="BB555" s="847">
        <v>0</v>
      </c>
      <c r="BC555" s="847">
        <v>0</v>
      </c>
      <c r="BD555" s="847">
        <v>0</v>
      </c>
      <c r="BE555" s="847">
        <v>0</v>
      </c>
      <c r="BF555" s="847">
        <v>0</v>
      </c>
      <c r="BG555" s="847">
        <v>0</v>
      </c>
      <c r="BH555" s="847">
        <v>0</v>
      </c>
      <c r="BI555" s="847">
        <v>0</v>
      </c>
      <c r="BJ555" s="847">
        <v>0</v>
      </c>
      <c r="BK555" s="847">
        <v>0</v>
      </c>
      <c r="BL555" s="847">
        <v>0</v>
      </c>
      <c r="BM555" s="847">
        <v>0</v>
      </c>
      <c r="BN555" s="847">
        <v>0</v>
      </c>
      <c r="BO555" s="847">
        <v>0</v>
      </c>
      <c r="BP555" s="847">
        <v>0</v>
      </c>
      <c r="BQ555" s="847">
        <v>0</v>
      </c>
      <c r="BR555" s="847">
        <v>0</v>
      </c>
      <c r="BS555" s="847">
        <v>0</v>
      </c>
      <c r="BT555" s="847">
        <v>0</v>
      </c>
      <c r="BU555" s="847">
        <v>0</v>
      </c>
      <c r="BV555" s="847">
        <v>0</v>
      </c>
      <c r="BW555" s="847">
        <v>0</v>
      </c>
      <c r="BX555" s="847">
        <v>0</v>
      </c>
      <c r="BY555" s="847">
        <v>0</v>
      </c>
      <c r="BZ555" s="847">
        <v>0</v>
      </c>
      <c r="CA555" s="847">
        <v>0</v>
      </c>
      <c r="CB555" s="847">
        <v>0</v>
      </c>
      <c r="CC555" s="847">
        <v>0</v>
      </c>
      <c r="CD555" s="847">
        <v>0</v>
      </c>
      <c r="CE555" s="847">
        <v>0</v>
      </c>
      <c r="CF555" s="847">
        <v>0</v>
      </c>
      <c r="CG555" s="847">
        <v>0</v>
      </c>
      <c r="CH555" s="847">
        <v>0</v>
      </c>
      <c r="CI555" s="847">
        <v>0</v>
      </c>
      <c r="CJ555" s="847">
        <v>0</v>
      </c>
      <c r="CK555" s="847">
        <v>0</v>
      </c>
      <c r="CL555" s="847">
        <v>0</v>
      </c>
      <c r="CM555" s="847">
        <v>0</v>
      </c>
      <c r="CN555" s="847">
        <v>0</v>
      </c>
      <c r="CO555" s="847">
        <v>0</v>
      </c>
      <c r="CP555" s="847">
        <v>0</v>
      </c>
      <c r="CQ555" s="847">
        <v>0</v>
      </c>
      <c r="CR555" s="847">
        <v>0</v>
      </c>
      <c r="CS555" s="847">
        <v>0</v>
      </c>
      <c r="CT555" s="847">
        <v>0</v>
      </c>
      <c r="CU555" s="847">
        <v>0</v>
      </c>
      <c r="CV555" s="847">
        <v>0</v>
      </c>
      <c r="CW555" s="847">
        <v>0</v>
      </c>
      <c r="CX555" s="847">
        <v>0</v>
      </c>
      <c r="CY555" s="847">
        <v>0</v>
      </c>
      <c r="CZ555" s="847">
        <v>0</v>
      </c>
      <c r="DA555" s="847">
        <v>0</v>
      </c>
      <c r="DB555" s="847">
        <v>0</v>
      </c>
      <c r="DC555" s="847">
        <v>0</v>
      </c>
      <c r="DD555" s="847">
        <v>0</v>
      </c>
      <c r="DE555" s="847">
        <v>0</v>
      </c>
      <c r="DF555" s="847">
        <v>0</v>
      </c>
      <c r="DG555" s="847">
        <v>0</v>
      </c>
      <c r="DH555" s="847">
        <v>0</v>
      </c>
      <c r="DI555" s="847">
        <v>0</v>
      </c>
      <c r="DJ555" s="847">
        <v>0</v>
      </c>
      <c r="DK555" s="847">
        <v>0</v>
      </c>
      <c r="DL555" s="847">
        <v>0</v>
      </c>
      <c r="DM555" s="847">
        <v>0</v>
      </c>
      <c r="DN555" s="847">
        <v>0</v>
      </c>
      <c r="DO555" s="847">
        <v>0</v>
      </c>
      <c r="DP555" s="847">
        <v>0</v>
      </c>
      <c r="DQ555" s="847">
        <v>0</v>
      </c>
      <c r="DR555" s="847">
        <v>0</v>
      </c>
      <c r="DS555" s="847">
        <v>0</v>
      </c>
      <c r="DT555" s="847">
        <v>0</v>
      </c>
      <c r="DU555" s="847">
        <v>0</v>
      </c>
      <c r="DV555" s="847">
        <v>0</v>
      </c>
      <c r="DW555" s="847">
        <v>0</v>
      </c>
      <c r="DX555" s="847">
        <v>0</v>
      </c>
    </row>
    <row r="556" spans="12:128" hidden="1">
      <c r="L556" s="846" t="s">
        <v>1060</v>
      </c>
      <c r="M556" s="846" t="s">
        <v>1382</v>
      </c>
      <c r="N556" s="846" t="s">
        <v>97</v>
      </c>
      <c r="O556" s="847">
        <v>0</v>
      </c>
      <c r="P556" s="780" t="str">
        <f t="shared" si="19"/>
        <v>IWT060200</v>
      </c>
      <c r="Q556" s="847">
        <v>22543</v>
      </c>
      <c r="R556" s="847">
        <v>23003</v>
      </c>
      <c r="S556" s="847">
        <v>23470</v>
      </c>
      <c r="T556" s="847">
        <v>23945</v>
      </c>
      <c r="U556" s="847">
        <v>24428</v>
      </c>
      <c r="V556" s="847">
        <v>24921</v>
      </c>
      <c r="W556" s="847">
        <v>25423</v>
      </c>
      <c r="X556" s="847">
        <v>25934</v>
      </c>
      <c r="Y556" s="847">
        <v>26456</v>
      </c>
      <c r="Z556" s="847">
        <v>26988</v>
      </c>
      <c r="AA556" s="847">
        <v>27530</v>
      </c>
      <c r="AB556" s="847">
        <v>28084</v>
      </c>
      <c r="AC556" s="847">
        <v>28649</v>
      </c>
      <c r="AD556" s="847">
        <v>29225</v>
      </c>
      <c r="AE556" s="847">
        <v>29814</v>
      </c>
      <c r="AF556" s="847">
        <v>30415</v>
      </c>
      <c r="AG556" s="847">
        <v>31029</v>
      </c>
      <c r="AH556" s="847">
        <v>31649</v>
      </c>
      <c r="AI556" s="847">
        <v>32282</v>
      </c>
      <c r="AJ556" s="847">
        <v>32928</v>
      </c>
      <c r="AK556" s="847">
        <v>33587</v>
      </c>
      <c r="AL556" s="847">
        <v>34258</v>
      </c>
      <c r="AM556" s="847">
        <v>34943</v>
      </c>
      <c r="AN556" s="847">
        <v>35642</v>
      </c>
      <c r="AO556" s="847">
        <v>36355</v>
      </c>
      <c r="AP556" s="847">
        <v>37082</v>
      </c>
      <c r="AQ556" s="847">
        <v>37824</v>
      </c>
      <c r="AR556" s="847">
        <v>38580</v>
      </c>
      <c r="AS556" s="847">
        <v>39351</v>
      </c>
      <c r="AT556" s="847">
        <v>40137</v>
      </c>
      <c r="AU556" s="847">
        <v>40938</v>
      </c>
      <c r="AV556" s="847">
        <v>41756</v>
      </c>
      <c r="AW556" s="847">
        <v>42589</v>
      </c>
      <c r="AX556" s="847">
        <v>43439</v>
      </c>
      <c r="AY556" s="847">
        <v>44305</v>
      </c>
      <c r="AZ556" s="847">
        <v>45188</v>
      </c>
      <c r="BA556" s="847">
        <v>46088</v>
      </c>
      <c r="BB556" s="847">
        <v>47006</v>
      </c>
      <c r="BC556" s="847">
        <v>47941</v>
      </c>
      <c r="BD556" s="847">
        <v>48894</v>
      </c>
      <c r="BE556" s="847">
        <v>49866</v>
      </c>
      <c r="BF556" s="847">
        <v>50856</v>
      </c>
      <c r="BG556" s="847">
        <v>51865</v>
      </c>
      <c r="BH556" s="847">
        <v>52893</v>
      </c>
      <c r="BI556" s="847">
        <v>53941</v>
      </c>
      <c r="BJ556" s="847">
        <v>55008</v>
      </c>
      <c r="BK556" s="847">
        <v>56096</v>
      </c>
      <c r="BL556" s="847">
        <v>57203</v>
      </c>
      <c r="BM556" s="847">
        <v>58330</v>
      </c>
      <c r="BN556" s="847">
        <v>59478</v>
      </c>
      <c r="BO556" s="847">
        <v>60647</v>
      </c>
      <c r="BP556" s="847">
        <v>61836</v>
      </c>
      <c r="BQ556" s="847">
        <v>63046</v>
      </c>
      <c r="BR556" s="847">
        <v>64277</v>
      </c>
      <c r="BS556" s="847">
        <v>65530</v>
      </c>
      <c r="BT556" s="847">
        <v>66805</v>
      </c>
      <c r="BU556" s="847">
        <v>68103</v>
      </c>
      <c r="BV556" s="847">
        <v>69423</v>
      </c>
      <c r="BW556" s="847">
        <v>70765</v>
      </c>
      <c r="BX556" s="847">
        <v>72129</v>
      </c>
      <c r="BY556" s="847">
        <v>73514</v>
      </c>
      <c r="BZ556" s="847">
        <v>74920</v>
      </c>
      <c r="CA556" s="847">
        <v>76347</v>
      </c>
      <c r="CB556" s="847">
        <v>77797</v>
      </c>
      <c r="CC556" s="847">
        <v>79269</v>
      </c>
      <c r="CD556" s="847">
        <v>80762</v>
      </c>
      <c r="CE556" s="847">
        <v>82276</v>
      </c>
      <c r="CF556" s="847">
        <v>83810</v>
      </c>
      <c r="CG556" s="847">
        <v>85363</v>
      </c>
      <c r="CH556" s="847">
        <v>86933</v>
      </c>
      <c r="CI556" s="847">
        <v>88521</v>
      </c>
      <c r="CJ556" s="847">
        <v>90124</v>
      </c>
      <c r="CK556" s="847">
        <v>91742</v>
      </c>
      <c r="CL556" s="847">
        <v>93376</v>
      </c>
      <c r="CM556" s="847">
        <v>95024</v>
      </c>
      <c r="CN556" s="847">
        <v>96686</v>
      </c>
      <c r="CO556" s="847">
        <v>98360</v>
      </c>
      <c r="CP556" s="847">
        <v>100044</v>
      </c>
      <c r="CQ556" s="847">
        <v>101738</v>
      </c>
      <c r="CR556" s="847">
        <v>103440</v>
      </c>
      <c r="CS556" s="847">
        <v>105150</v>
      </c>
      <c r="CT556" s="847">
        <v>106867</v>
      </c>
      <c r="CU556" s="847">
        <v>108590</v>
      </c>
      <c r="CV556" s="847">
        <v>110318</v>
      </c>
      <c r="CW556" s="847">
        <v>112051</v>
      </c>
      <c r="CX556" s="847">
        <v>113788</v>
      </c>
      <c r="CY556" s="847">
        <v>115529</v>
      </c>
      <c r="CZ556" s="847">
        <v>117272</v>
      </c>
      <c r="DA556" s="847">
        <v>119017</v>
      </c>
      <c r="DB556" s="847">
        <v>120763</v>
      </c>
      <c r="DC556" s="847">
        <v>122510</v>
      </c>
      <c r="DD556" s="847">
        <v>124257</v>
      </c>
      <c r="DE556" s="847">
        <v>125996</v>
      </c>
      <c r="DF556" s="847">
        <v>127717</v>
      </c>
      <c r="DG556" s="847">
        <v>129430</v>
      </c>
      <c r="DH556" s="847">
        <v>131136</v>
      </c>
      <c r="DI556" s="847">
        <v>132832</v>
      </c>
      <c r="DJ556" s="847">
        <v>134520</v>
      </c>
      <c r="DK556" s="847">
        <v>136197</v>
      </c>
      <c r="DL556" s="847">
        <v>137865</v>
      </c>
      <c r="DM556" s="847">
        <v>139522</v>
      </c>
      <c r="DN556" s="847">
        <v>141168</v>
      </c>
      <c r="DO556" s="847">
        <v>142804</v>
      </c>
      <c r="DP556" s="847">
        <v>144428</v>
      </c>
      <c r="DQ556" s="847">
        <v>146042</v>
      </c>
      <c r="DR556" s="847">
        <v>147645</v>
      </c>
      <c r="DS556" s="847">
        <v>149237</v>
      </c>
      <c r="DT556" s="847">
        <v>150819</v>
      </c>
      <c r="DU556" s="847">
        <v>152390</v>
      </c>
      <c r="DV556" s="847">
        <v>153949</v>
      </c>
      <c r="DW556" s="847">
        <v>155453</v>
      </c>
      <c r="DX556" s="847">
        <v>157000</v>
      </c>
    </row>
    <row r="557" spans="12:128" hidden="1">
      <c r="L557" s="846" t="s">
        <v>1060</v>
      </c>
      <c r="M557" s="846" t="s">
        <v>1382</v>
      </c>
      <c r="N557" s="846" t="s">
        <v>97</v>
      </c>
      <c r="O557" s="847">
        <v>1</v>
      </c>
      <c r="P557" s="780" t="str">
        <f t="shared" si="19"/>
        <v>IWT060201</v>
      </c>
      <c r="Q557" s="847">
        <v>22722</v>
      </c>
      <c r="R557" s="847">
        <v>23183</v>
      </c>
      <c r="S557" s="847">
        <v>23652</v>
      </c>
      <c r="T557" s="847">
        <v>24129</v>
      </c>
      <c r="U557" s="847">
        <v>24616</v>
      </c>
      <c r="V557" s="847">
        <v>25112</v>
      </c>
      <c r="W557" s="847">
        <v>25617</v>
      </c>
      <c r="X557" s="847">
        <v>26132</v>
      </c>
      <c r="Y557" s="847">
        <v>26658</v>
      </c>
      <c r="Z557" s="847">
        <v>27194</v>
      </c>
      <c r="AA557" s="847">
        <v>27740</v>
      </c>
      <c r="AB557" s="847">
        <v>28298</v>
      </c>
      <c r="AC557" s="847">
        <v>28868</v>
      </c>
      <c r="AD557" s="847">
        <v>29449</v>
      </c>
      <c r="AE557" s="847">
        <v>30043</v>
      </c>
      <c r="AF557" s="847">
        <v>30649</v>
      </c>
      <c r="AG557" s="847">
        <v>31262</v>
      </c>
      <c r="AH557" s="847">
        <v>31888</v>
      </c>
      <c r="AI557" s="847">
        <v>32525</v>
      </c>
      <c r="AJ557" s="847">
        <v>33176</v>
      </c>
      <c r="AK557" s="847">
        <v>33839</v>
      </c>
      <c r="AL557" s="847">
        <v>34516</v>
      </c>
      <c r="AM557" s="847">
        <v>35207</v>
      </c>
      <c r="AN557" s="847">
        <v>35911</v>
      </c>
      <c r="AO557" s="847">
        <v>36629</v>
      </c>
      <c r="AP557" s="847">
        <v>37361</v>
      </c>
      <c r="AQ557" s="847">
        <v>38109</v>
      </c>
      <c r="AR557" s="847">
        <v>38870</v>
      </c>
      <c r="AS557" s="847">
        <v>39647</v>
      </c>
      <c r="AT557" s="847">
        <v>40439</v>
      </c>
      <c r="AU557" s="847">
        <v>41247</v>
      </c>
      <c r="AV557" s="847">
        <v>42071</v>
      </c>
      <c r="AW557" s="847">
        <v>42910</v>
      </c>
      <c r="AX557" s="847">
        <v>43766</v>
      </c>
      <c r="AY557" s="847">
        <v>44639</v>
      </c>
      <c r="AZ557" s="847">
        <v>45529</v>
      </c>
      <c r="BA557" s="847">
        <v>46436</v>
      </c>
      <c r="BB557" s="847">
        <v>47360</v>
      </c>
      <c r="BC557" s="847">
        <v>48302</v>
      </c>
      <c r="BD557" s="847">
        <v>49263</v>
      </c>
      <c r="BE557" s="847">
        <v>50242</v>
      </c>
      <c r="BF557" s="847">
        <v>51239</v>
      </c>
      <c r="BG557" s="847">
        <v>52255</v>
      </c>
      <c r="BH557" s="847">
        <v>53291</v>
      </c>
      <c r="BI557" s="847">
        <v>54346</v>
      </c>
      <c r="BJ557" s="847">
        <v>55421</v>
      </c>
      <c r="BK557" s="847">
        <v>56516</v>
      </c>
      <c r="BL557" s="847">
        <v>57631</v>
      </c>
      <c r="BM557" s="847">
        <v>58766</v>
      </c>
      <c r="BN557" s="847">
        <v>59921</v>
      </c>
      <c r="BO557" s="847">
        <v>61097</v>
      </c>
      <c r="BP557" s="847">
        <v>62294</v>
      </c>
      <c r="BQ557" s="847">
        <v>63512</v>
      </c>
      <c r="BR557" s="847">
        <v>64751</v>
      </c>
      <c r="BS557" s="847">
        <v>66013</v>
      </c>
      <c r="BT557" s="847">
        <v>67296</v>
      </c>
      <c r="BU557" s="847">
        <v>68602</v>
      </c>
      <c r="BV557" s="847">
        <v>69930</v>
      </c>
      <c r="BW557" s="847">
        <v>71279</v>
      </c>
      <c r="BX557" s="847">
        <v>72650</v>
      </c>
      <c r="BY557" s="847">
        <v>74041</v>
      </c>
      <c r="BZ557" s="847">
        <v>75453</v>
      </c>
      <c r="CA557" s="847">
        <v>76888</v>
      </c>
      <c r="CB557" s="847">
        <v>78345</v>
      </c>
      <c r="CC557" s="847">
        <v>79823</v>
      </c>
      <c r="CD557" s="847">
        <v>81322</v>
      </c>
      <c r="CE557" s="847">
        <v>82841</v>
      </c>
      <c r="CF557" s="847">
        <v>84379</v>
      </c>
      <c r="CG557" s="847">
        <v>85935</v>
      </c>
      <c r="CH557" s="847">
        <v>87507</v>
      </c>
      <c r="CI557" s="847">
        <v>89095</v>
      </c>
      <c r="CJ557" s="847">
        <v>90699</v>
      </c>
      <c r="CK557" s="847">
        <v>92318</v>
      </c>
      <c r="CL557" s="847">
        <v>93952</v>
      </c>
      <c r="CM557" s="847">
        <v>95599</v>
      </c>
      <c r="CN557" s="847">
        <v>97259</v>
      </c>
      <c r="CO557" s="847">
        <v>98929</v>
      </c>
      <c r="CP557" s="847">
        <v>100609</v>
      </c>
      <c r="CQ557" s="847">
        <v>102298</v>
      </c>
      <c r="CR557" s="847">
        <v>103995</v>
      </c>
      <c r="CS557" s="847">
        <v>105699</v>
      </c>
      <c r="CT557" s="847">
        <v>107409</v>
      </c>
      <c r="CU557" s="847">
        <v>109125</v>
      </c>
      <c r="CV557" s="847">
        <v>110846</v>
      </c>
      <c r="CW557" s="847">
        <v>112572</v>
      </c>
      <c r="CX557" s="847">
        <v>114301</v>
      </c>
      <c r="CY557" s="847">
        <v>116033</v>
      </c>
      <c r="CZ557" s="847">
        <v>117767</v>
      </c>
      <c r="DA557" s="847">
        <v>119503</v>
      </c>
      <c r="DB557" s="847">
        <v>121240</v>
      </c>
      <c r="DC557" s="847">
        <v>122977</v>
      </c>
      <c r="DD557" s="847">
        <v>124707</v>
      </c>
      <c r="DE557" s="847">
        <v>126419</v>
      </c>
      <c r="DF557" s="847">
        <v>128124</v>
      </c>
      <c r="DG557" s="847">
        <v>129822</v>
      </c>
      <c r="DH557" s="847">
        <v>131511</v>
      </c>
      <c r="DI557" s="847">
        <v>133191</v>
      </c>
      <c r="DJ557" s="847">
        <v>134862</v>
      </c>
      <c r="DK557" s="847">
        <v>136523</v>
      </c>
      <c r="DL557" s="847">
        <v>138175</v>
      </c>
      <c r="DM557" s="847">
        <v>139815</v>
      </c>
      <c r="DN557" s="847">
        <v>141446</v>
      </c>
      <c r="DO557" s="847">
        <v>143066</v>
      </c>
      <c r="DP557" s="847">
        <v>144675</v>
      </c>
      <c r="DQ557" s="847">
        <v>146274</v>
      </c>
      <c r="DR557" s="847">
        <v>147862</v>
      </c>
      <c r="DS557" s="847">
        <v>149441</v>
      </c>
      <c r="DT557" s="847">
        <v>151009</v>
      </c>
      <c r="DU557" s="847">
        <v>152565</v>
      </c>
      <c r="DV557" s="847">
        <v>154067</v>
      </c>
      <c r="DW557" s="847">
        <v>155600</v>
      </c>
      <c r="DX557" s="847">
        <v>0</v>
      </c>
    </row>
    <row r="558" spans="12:128" hidden="1">
      <c r="L558" s="846" t="s">
        <v>1060</v>
      </c>
      <c r="M558" s="846" t="s">
        <v>1382</v>
      </c>
      <c r="N558" s="846" t="s">
        <v>97</v>
      </c>
      <c r="O558" s="847">
        <v>2</v>
      </c>
      <c r="P558" s="780" t="str">
        <f t="shared" si="19"/>
        <v>IWT060202</v>
      </c>
      <c r="Q558" s="847">
        <v>22896</v>
      </c>
      <c r="R558" s="847">
        <v>23360</v>
      </c>
      <c r="S558" s="847">
        <v>23831</v>
      </c>
      <c r="T558" s="847">
        <v>24312</v>
      </c>
      <c r="U558" s="847">
        <v>24801</v>
      </c>
      <c r="V558" s="847">
        <v>25300</v>
      </c>
      <c r="W558" s="847">
        <v>25809</v>
      </c>
      <c r="X558" s="847">
        <v>26328</v>
      </c>
      <c r="Y558" s="847">
        <v>26857</v>
      </c>
      <c r="Z558" s="847">
        <v>27397</v>
      </c>
      <c r="AA558" s="847">
        <v>27948</v>
      </c>
      <c r="AB558" s="847">
        <v>28511</v>
      </c>
      <c r="AC558" s="847">
        <v>29085</v>
      </c>
      <c r="AD558" s="847">
        <v>29671</v>
      </c>
      <c r="AE558" s="847">
        <v>30270</v>
      </c>
      <c r="AF558" s="847">
        <v>30876</v>
      </c>
      <c r="AG558" s="847">
        <v>31493</v>
      </c>
      <c r="AH558" s="847">
        <v>32123</v>
      </c>
      <c r="AI558" s="847">
        <v>32766</v>
      </c>
      <c r="AJ558" s="847">
        <v>33421</v>
      </c>
      <c r="AK558" s="847">
        <v>34089</v>
      </c>
      <c r="AL558" s="847">
        <v>34771</v>
      </c>
      <c r="AM558" s="847">
        <v>35467</v>
      </c>
      <c r="AN558" s="847">
        <v>36176</v>
      </c>
      <c r="AO558" s="847">
        <v>36899</v>
      </c>
      <c r="AP558" s="847">
        <v>37637</v>
      </c>
      <c r="AQ558" s="847">
        <v>38390</v>
      </c>
      <c r="AR558" s="847">
        <v>39158</v>
      </c>
      <c r="AS558" s="847">
        <v>39940</v>
      </c>
      <c r="AT558" s="847">
        <v>40738</v>
      </c>
      <c r="AU558" s="847">
        <v>41552</v>
      </c>
      <c r="AV558" s="847">
        <v>42382</v>
      </c>
      <c r="AW558" s="847">
        <v>43228</v>
      </c>
      <c r="AX558" s="847">
        <v>44090</v>
      </c>
      <c r="AY558" s="847">
        <v>44969</v>
      </c>
      <c r="AZ558" s="847">
        <v>45866</v>
      </c>
      <c r="BA558" s="847">
        <v>46779</v>
      </c>
      <c r="BB558" s="847">
        <v>47711</v>
      </c>
      <c r="BC558" s="847">
        <v>48660</v>
      </c>
      <c r="BD558" s="847">
        <v>49627</v>
      </c>
      <c r="BE558" s="847">
        <v>50613</v>
      </c>
      <c r="BF558" s="847">
        <v>51618</v>
      </c>
      <c r="BG558" s="847">
        <v>52641</v>
      </c>
      <c r="BH558" s="847">
        <v>53684</v>
      </c>
      <c r="BI558" s="847">
        <v>54747</v>
      </c>
      <c r="BJ558" s="847">
        <v>55829</v>
      </c>
      <c r="BK558" s="847">
        <v>56931</v>
      </c>
      <c r="BL558" s="847">
        <v>58053</v>
      </c>
      <c r="BM558" s="847">
        <v>59196</v>
      </c>
      <c r="BN558" s="847">
        <v>60359</v>
      </c>
      <c r="BO558" s="847">
        <v>61542</v>
      </c>
      <c r="BP558" s="847">
        <v>62746</v>
      </c>
      <c r="BQ558" s="847">
        <v>63972</v>
      </c>
      <c r="BR558" s="847">
        <v>65220</v>
      </c>
      <c r="BS558" s="847">
        <v>66489</v>
      </c>
      <c r="BT558" s="847">
        <v>67781</v>
      </c>
      <c r="BU558" s="847">
        <v>69095</v>
      </c>
      <c r="BV558" s="847">
        <v>70429</v>
      </c>
      <c r="BW558" s="847">
        <v>71785</v>
      </c>
      <c r="BX558" s="847">
        <v>73162</v>
      </c>
      <c r="BY558" s="847">
        <v>74560</v>
      </c>
      <c r="BZ558" s="847">
        <v>75980</v>
      </c>
      <c r="CA558" s="847">
        <v>77422</v>
      </c>
      <c r="CB558" s="847">
        <v>78885</v>
      </c>
      <c r="CC558" s="847">
        <v>80369</v>
      </c>
      <c r="CD558" s="847">
        <v>81872</v>
      </c>
      <c r="CE558" s="847">
        <v>83395</v>
      </c>
      <c r="CF558" s="847">
        <v>84936</v>
      </c>
      <c r="CG558" s="847">
        <v>86493</v>
      </c>
      <c r="CH558" s="847">
        <v>88066</v>
      </c>
      <c r="CI558" s="847">
        <v>89655</v>
      </c>
      <c r="CJ558" s="847">
        <v>91260</v>
      </c>
      <c r="CK558" s="847">
        <v>92879</v>
      </c>
      <c r="CL558" s="847">
        <v>94512</v>
      </c>
      <c r="CM558" s="847">
        <v>96158</v>
      </c>
      <c r="CN558" s="847">
        <v>97814</v>
      </c>
      <c r="CO558" s="847">
        <v>99481</v>
      </c>
      <c r="CP558" s="847">
        <v>101156</v>
      </c>
      <c r="CQ558" s="847">
        <v>102840</v>
      </c>
      <c r="CR558" s="847">
        <v>104531</v>
      </c>
      <c r="CS558" s="847">
        <v>106229</v>
      </c>
      <c r="CT558" s="847">
        <v>107932</v>
      </c>
      <c r="CU558" s="847">
        <v>109641</v>
      </c>
      <c r="CV558" s="847">
        <v>111355</v>
      </c>
      <c r="CW558" s="847">
        <v>113073</v>
      </c>
      <c r="CX558" s="847">
        <v>114794</v>
      </c>
      <c r="CY558" s="847">
        <v>116517</v>
      </c>
      <c r="CZ558" s="847">
        <v>118242</v>
      </c>
      <c r="DA558" s="847">
        <v>119969</v>
      </c>
      <c r="DB558" s="847">
        <v>121696</v>
      </c>
      <c r="DC558" s="847">
        <v>123417</v>
      </c>
      <c r="DD558" s="847">
        <v>125121</v>
      </c>
      <c r="DE558" s="847">
        <v>126817</v>
      </c>
      <c r="DF558" s="847">
        <v>128507</v>
      </c>
      <c r="DG558" s="847">
        <v>130189</v>
      </c>
      <c r="DH558" s="847">
        <v>131862</v>
      </c>
      <c r="DI558" s="847">
        <v>133527</v>
      </c>
      <c r="DJ558" s="847">
        <v>135182</v>
      </c>
      <c r="DK558" s="847">
        <v>136827</v>
      </c>
      <c r="DL558" s="847">
        <v>138463</v>
      </c>
      <c r="DM558" s="847">
        <v>140088</v>
      </c>
      <c r="DN558" s="847">
        <v>141703</v>
      </c>
      <c r="DO558" s="847">
        <v>143308</v>
      </c>
      <c r="DP558" s="847">
        <v>144903</v>
      </c>
      <c r="DQ558" s="847">
        <v>146488</v>
      </c>
      <c r="DR558" s="847">
        <v>148063</v>
      </c>
      <c r="DS558" s="847">
        <v>149628</v>
      </c>
      <c r="DT558" s="847">
        <v>151181</v>
      </c>
      <c r="DU558" s="847">
        <v>152681</v>
      </c>
      <c r="DV558" s="847">
        <v>154200</v>
      </c>
      <c r="DW558" s="847">
        <v>0</v>
      </c>
      <c r="DX558" s="847">
        <v>0</v>
      </c>
    </row>
    <row r="559" spans="12:128" hidden="1">
      <c r="L559" s="846" t="s">
        <v>1060</v>
      </c>
      <c r="M559" s="846" t="s">
        <v>1382</v>
      </c>
      <c r="N559" s="846" t="s">
        <v>97</v>
      </c>
      <c r="O559" s="847">
        <v>3</v>
      </c>
      <c r="P559" s="780" t="str">
        <f t="shared" si="19"/>
        <v>IWT060203</v>
      </c>
      <c r="Q559" s="847">
        <v>23067</v>
      </c>
      <c r="R559" s="847">
        <v>23533</v>
      </c>
      <c r="S559" s="847">
        <v>24007</v>
      </c>
      <c r="T559" s="847">
        <v>24491</v>
      </c>
      <c r="U559" s="847">
        <v>24984</v>
      </c>
      <c r="V559" s="847">
        <v>25486</v>
      </c>
      <c r="W559" s="847">
        <v>25999</v>
      </c>
      <c r="X559" s="847">
        <v>26521</v>
      </c>
      <c r="Y559" s="847">
        <v>27055</v>
      </c>
      <c r="Z559" s="847">
        <v>27599</v>
      </c>
      <c r="AA559" s="847">
        <v>28154</v>
      </c>
      <c r="AB559" s="847">
        <v>28721</v>
      </c>
      <c r="AC559" s="847">
        <v>29300</v>
      </c>
      <c r="AD559" s="847">
        <v>29892</v>
      </c>
      <c r="AE559" s="847">
        <v>30490</v>
      </c>
      <c r="AF559" s="847">
        <v>31099</v>
      </c>
      <c r="AG559" s="847">
        <v>31721</v>
      </c>
      <c r="AH559" s="847">
        <v>32356</v>
      </c>
      <c r="AI559" s="847">
        <v>33003</v>
      </c>
      <c r="AJ559" s="847">
        <v>33663</v>
      </c>
      <c r="AK559" s="847">
        <v>34336</v>
      </c>
      <c r="AL559" s="847">
        <v>35023</v>
      </c>
      <c r="AM559" s="847">
        <v>35723</v>
      </c>
      <c r="AN559" s="847">
        <v>36438</v>
      </c>
      <c r="AO559" s="847">
        <v>37167</v>
      </c>
      <c r="AP559" s="847">
        <v>37910</v>
      </c>
      <c r="AQ559" s="847">
        <v>38668</v>
      </c>
      <c r="AR559" s="847">
        <v>39441</v>
      </c>
      <c r="AS559" s="847">
        <v>40230</v>
      </c>
      <c r="AT559" s="847">
        <v>41034</v>
      </c>
      <c r="AU559" s="847">
        <v>41854</v>
      </c>
      <c r="AV559" s="847">
        <v>42689</v>
      </c>
      <c r="AW559" s="847">
        <v>43541</v>
      </c>
      <c r="AX559" s="847">
        <v>44410</v>
      </c>
      <c r="AY559" s="847">
        <v>45296</v>
      </c>
      <c r="AZ559" s="847">
        <v>46198</v>
      </c>
      <c r="BA559" s="847">
        <v>47119</v>
      </c>
      <c r="BB559" s="847">
        <v>48057</v>
      </c>
      <c r="BC559" s="847">
        <v>49012</v>
      </c>
      <c r="BD559" s="847">
        <v>49987</v>
      </c>
      <c r="BE559" s="847">
        <v>50980</v>
      </c>
      <c r="BF559" s="847">
        <v>51991</v>
      </c>
      <c r="BG559" s="847">
        <v>53022</v>
      </c>
      <c r="BH559" s="847">
        <v>54072</v>
      </c>
      <c r="BI559" s="847">
        <v>55142</v>
      </c>
      <c r="BJ559" s="847">
        <v>56232</v>
      </c>
      <c r="BK559" s="847">
        <v>57341</v>
      </c>
      <c r="BL559" s="847">
        <v>58470</v>
      </c>
      <c r="BM559" s="847">
        <v>59620</v>
      </c>
      <c r="BN559" s="847">
        <v>60790</v>
      </c>
      <c r="BO559" s="847">
        <v>61981</v>
      </c>
      <c r="BP559" s="847">
        <v>63193</v>
      </c>
      <c r="BQ559" s="847">
        <v>64427</v>
      </c>
      <c r="BR559" s="847">
        <v>65683</v>
      </c>
      <c r="BS559" s="847">
        <v>66960</v>
      </c>
      <c r="BT559" s="847">
        <v>68259</v>
      </c>
      <c r="BU559" s="847">
        <v>69580</v>
      </c>
      <c r="BV559" s="847">
        <v>70921</v>
      </c>
      <c r="BW559" s="847">
        <v>72283</v>
      </c>
      <c r="BX559" s="847">
        <v>73666</v>
      </c>
      <c r="BY559" s="847">
        <v>75071</v>
      </c>
      <c r="BZ559" s="847">
        <v>76498</v>
      </c>
      <c r="CA559" s="847">
        <v>77946</v>
      </c>
      <c r="CB559" s="847">
        <v>79415</v>
      </c>
      <c r="CC559" s="847">
        <v>80904</v>
      </c>
      <c r="CD559" s="847">
        <v>82411</v>
      </c>
      <c r="CE559" s="847">
        <v>83937</v>
      </c>
      <c r="CF559" s="847">
        <v>85479</v>
      </c>
      <c r="CG559" s="847">
        <v>87038</v>
      </c>
      <c r="CH559" s="847">
        <v>88612</v>
      </c>
      <c r="CI559" s="847">
        <v>90202</v>
      </c>
      <c r="CJ559" s="847">
        <v>91807</v>
      </c>
      <c r="CK559" s="847">
        <v>93426</v>
      </c>
      <c r="CL559" s="847">
        <v>95057</v>
      </c>
      <c r="CM559" s="847">
        <v>96699</v>
      </c>
      <c r="CN559" s="847">
        <v>98352</v>
      </c>
      <c r="CO559" s="847">
        <v>100014</v>
      </c>
      <c r="CP559" s="847">
        <v>101685</v>
      </c>
      <c r="CQ559" s="847">
        <v>103363</v>
      </c>
      <c r="CR559" s="847">
        <v>105048</v>
      </c>
      <c r="CS559" s="847">
        <v>106739</v>
      </c>
      <c r="CT559" s="847">
        <v>108436</v>
      </c>
      <c r="CU559" s="847">
        <v>110138</v>
      </c>
      <c r="CV559" s="847">
        <v>111845</v>
      </c>
      <c r="CW559" s="847">
        <v>113555</v>
      </c>
      <c r="CX559" s="847">
        <v>115267</v>
      </c>
      <c r="CY559" s="847">
        <v>116982</v>
      </c>
      <c r="CZ559" s="847">
        <v>118699</v>
      </c>
      <c r="DA559" s="847">
        <v>120416</v>
      </c>
      <c r="DB559" s="847">
        <v>122127</v>
      </c>
      <c r="DC559" s="847">
        <v>123822</v>
      </c>
      <c r="DD559" s="847">
        <v>125511</v>
      </c>
      <c r="DE559" s="847">
        <v>127193</v>
      </c>
      <c r="DF559" s="847">
        <v>128867</v>
      </c>
      <c r="DG559" s="847">
        <v>130534</v>
      </c>
      <c r="DH559" s="847">
        <v>132192</v>
      </c>
      <c r="DI559" s="847">
        <v>133840</v>
      </c>
      <c r="DJ559" s="847">
        <v>135480</v>
      </c>
      <c r="DK559" s="847">
        <v>137110</v>
      </c>
      <c r="DL559" s="847">
        <v>138730</v>
      </c>
      <c r="DM559" s="847">
        <v>140341</v>
      </c>
      <c r="DN559" s="847">
        <v>141941</v>
      </c>
      <c r="DO559" s="847">
        <v>143532</v>
      </c>
      <c r="DP559" s="847">
        <v>145113</v>
      </c>
      <c r="DQ559" s="847">
        <v>146684</v>
      </c>
      <c r="DR559" s="847">
        <v>148246</v>
      </c>
      <c r="DS559" s="847">
        <v>149796</v>
      </c>
      <c r="DT559" s="847">
        <v>151295</v>
      </c>
      <c r="DU559" s="847">
        <v>152800</v>
      </c>
      <c r="DV559" s="847">
        <v>0</v>
      </c>
      <c r="DW559" s="847">
        <v>0</v>
      </c>
      <c r="DX559" s="847">
        <v>0</v>
      </c>
    </row>
    <row r="560" spans="12:128" hidden="1">
      <c r="L560" s="846" t="s">
        <v>1060</v>
      </c>
      <c r="M560" s="846" t="s">
        <v>1382</v>
      </c>
      <c r="N560" s="846" t="s">
        <v>97</v>
      </c>
      <c r="O560" s="847">
        <v>4</v>
      </c>
      <c r="P560" s="780" t="str">
        <f t="shared" si="19"/>
        <v>IWT060204</v>
      </c>
      <c r="Q560" s="847">
        <v>23235</v>
      </c>
      <c r="R560" s="847">
        <v>23704</v>
      </c>
      <c r="S560" s="847">
        <v>24181</v>
      </c>
      <c r="T560" s="847">
        <v>24668</v>
      </c>
      <c r="U560" s="847">
        <v>25164</v>
      </c>
      <c r="V560" s="847">
        <v>25670</v>
      </c>
      <c r="W560" s="847">
        <v>26186</v>
      </c>
      <c r="X560" s="847">
        <v>26712</v>
      </c>
      <c r="Y560" s="847">
        <v>27249</v>
      </c>
      <c r="Z560" s="847">
        <v>27798</v>
      </c>
      <c r="AA560" s="847">
        <v>28358</v>
      </c>
      <c r="AB560" s="847">
        <v>28930</v>
      </c>
      <c r="AC560" s="847">
        <v>29514</v>
      </c>
      <c r="AD560" s="847">
        <v>30104</v>
      </c>
      <c r="AE560" s="847">
        <v>30706</v>
      </c>
      <c r="AF560" s="847">
        <v>31320</v>
      </c>
      <c r="AG560" s="847">
        <v>31946</v>
      </c>
      <c r="AH560" s="847">
        <v>32585</v>
      </c>
      <c r="AI560" s="847">
        <v>33237</v>
      </c>
      <c r="AJ560" s="847">
        <v>33902</v>
      </c>
      <c r="AK560" s="847">
        <v>34580</v>
      </c>
      <c r="AL560" s="847">
        <v>35271</v>
      </c>
      <c r="AM560" s="847">
        <v>35977</v>
      </c>
      <c r="AN560" s="847">
        <v>36696</v>
      </c>
      <c r="AO560" s="847">
        <v>37430</v>
      </c>
      <c r="AP560" s="847">
        <v>38179</v>
      </c>
      <c r="AQ560" s="847">
        <v>38942</v>
      </c>
      <c r="AR560" s="847">
        <v>39721</v>
      </c>
      <c r="AS560" s="847">
        <v>40515</v>
      </c>
      <c r="AT560" s="847">
        <v>41325</v>
      </c>
      <c r="AU560" s="847">
        <v>42151</v>
      </c>
      <c r="AV560" s="847">
        <v>42993</v>
      </c>
      <c r="AW560" s="847">
        <v>43851</v>
      </c>
      <c r="AX560" s="847">
        <v>44726</v>
      </c>
      <c r="AY560" s="847">
        <v>45618</v>
      </c>
      <c r="AZ560" s="847">
        <v>46527</v>
      </c>
      <c r="BA560" s="847">
        <v>47453</v>
      </c>
      <c r="BB560" s="847">
        <v>48398</v>
      </c>
      <c r="BC560" s="847">
        <v>49361</v>
      </c>
      <c r="BD560" s="847">
        <v>50342</v>
      </c>
      <c r="BE560" s="847">
        <v>51342</v>
      </c>
      <c r="BF560" s="847">
        <v>52360</v>
      </c>
      <c r="BG560" s="847">
        <v>53398</v>
      </c>
      <c r="BH560" s="847">
        <v>54455</v>
      </c>
      <c r="BI560" s="847">
        <v>55532</v>
      </c>
      <c r="BJ560" s="847">
        <v>56629</v>
      </c>
      <c r="BK560" s="847">
        <v>57745</v>
      </c>
      <c r="BL560" s="847">
        <v>58882</v>
      </c>
      <c r="BM560" s="847">
        <v>60038</v>
      </c>
      <c r="BN560" s="847">
        <v>61216</v>
      </c>
      <c r="BO560" s="847">
        <v>62414</v>
      </c>
      <c r="BP560" s="847">
        <v>63634</v>
      </c>
      <c r="BQ560" s="847">
        <v>64876</v>
      </c>
      <c r="BR560" s="847">
        <v>66139</v>
      </c>
      <c r="BS560" s="847">
        <v>67424</v>
      </c>
      <c r="BT560" s="847">
        <v>68730</v>
      </c>
      <c r="BU560" s="847">
        <v>70056</v>
      </c>
      <c r="BV560" s="847">
        <v>71404</v>
      </c>
      <c r="BW560" s="847">
        <v>72772</v>
      </c>
      <c r="BX560" s="847">
        <v>74163</v>
      </c>
      <c r="BY560" s="847">
        <v>75575</v>
      </c>
      <c r="BZ560" s="847">
        <v>77008</v>
      </c>
      <c r="CA560" s="847">
        <v>78461</v>
      </c>
      <c r="CB560" s="847">
        <v>79935</v>
      </c>
      <c r="CC560" s="847">
        <v>81427</v>
      </c>
      <c r="CD560" s="847">
        <v>82938</v>
      </c>
      <c r="CE560" s="847">
        <v>84465</v>
      </c>
      <c r="CF560" s="847">
        <v>86009</v>
      </c>
      <c r="CG560" s="847">
        <v>87568</v>
      </c>
      <c r="CH560" s="847">
        <v>89144</v>
      </c>
      <c r="CI560" s="847">
        <v>90734</v>
      </c>
      <c r="CJ560" s="847">
        <v>92339</v>
      </c>
      <c r="CK560" s="847">
        <v>93956</v>
      </c>
      <c r="CL560" s="847">
        <v>95584</v>
      </c>
      <c r="CM560" s="847">
        <v>97223</v>
      </c>
      <c r="CN560" s="847">
        <v>98872</v>
      </c>
      <c r="CO560" s="847">
        <v>100529</v>
      </c>
      <c r="CP560" s="847">
        <v>102195</v>
      </c>
      <c r="CQ560" s="847">
        <v>103867</v>
      </c>
      <c r="CR560" s="847">
        <v>105546</v>
      </c>
      <c r="CS560" s="847">
        <v>107231</v>
      </c>
      <c r="CT560" s="847">
        <v>108922</v>
      </c>
      <c r="CU560" s="847">
        <v>110617</v>
      </c>
      <c r="CV560" s="847">
        <v>112315</v>
      </c>
      <c r="CW560" s="847">
        <v>114017</v>
      </c>
      <c r="CX560" s="847">
        <v>115722</v>
      </c>
      <c r="CY560" s="847">
        <v>117428</v>
      </c>
      <c r="CZ560" s="847">
        <v>119136</v>
      </c>
      <c r="DA560" s="847">
        <v>120838</v>
      </c>
      <c r="DB560" s="847">
        <v>122524</v>
      </c>
      <c r="DC560" s="847">
        <v>124204</v>
      </c>
      <c r="DD560" s="847">
        <v>125879</v>
      </c>
      <c r="DE560" s="847">
        <v>127546</v>
      </c>
      <c r="DF560" s="847">
        <v>129205</v>
      </c>
      <c r="DG560" s="847">
        <v>130856</v>
      </c>
      <c r="DH560" s="847">
        <v>132499</v>
      </c>
      <c r="DI560" s="847">
        <v>134133</v>
      </c>
      <c r="DJ560" s="847">
        <v>135757</v>
      </c>
      <c r="DK560" s="847">
        <v>137372</v>
      </c>
      <c r="DL560" s="847">
        <v>138978</v>
      </c>
      <c r="DM560" s="847">
        <v>140574</v>
      </c>
      <c r="DN560" s="847">
        <v>142161</v>
      </c>
      <c r="DO560" s="847">
        <v>143738</v>
      </c>
      <c r="DP560" s="847">
        <v>145306</v>
      </c>
      <c r="DQ560" s="847">
        <v>146865</v>
      </c>
      <c r="DR560" s="847">
        <v>148412</v>
      </c>
      <c r="DS560" s="847">
        <v>149908</v>
      </c>
      <c r="DT560" s="847">
        <v>151400</v>
      </c>
      <c r="DU560" s="847">
        <v>0</v>
      </c>
      <c r="DV560" s="847">
        <v>0</v>
      </c>
      <c r="DW560" s="847">
        <v>0</v>
      </c>
      <c r="DX560" s="847">
        <v>0</v>
      </c>
    </row>
    <row r="561" spans="12:128" hidden="1">
      <c r="L561" s="846" t="s">
        <v>1060</v>
      </c>
      <c r="M561" s="846" t="s">
        <v>1382</v>
      </c>
      <c r="N561" s="846" t="s">
        <v>97</v>
      </c>
      <c r="O561" s="847">
        <v>5</v>
      </c>
      <c r="P561" s="780" t="str">
        <f t="shared" si="19"/>
        <v>IWT060205</v>
      </c>
      <c r="Q561" s="847">
        <v>23400</v>
      </c>
      <c r="R561" s="847">
        <v>23872</v>
      </c>
      <c r="S561" s="847">
        <v>24352</v>
      </c>
      <c r="T561" s="847">
        <v>24842</v>
      </c>
      <c r="U561" s="847">
        <v>25341</v>
      </c>
      <c r="V561" s="847">
        <v>25851</v>
      </c>
      <c r="W561" s="847">
        <v>26370</v>
      </c>
      <c r="X561" s="847">
        <v>26901</v>
      </c>
      <c r="Y561" s="847">
        <v>27442</v>
      </c>
      <c r="Z561" s="847">
        <v>27995</v>
      </c>
      <c r="AA561" s="847">
        <v>28559</v>
      </c>
      <c r="AB561" s="847">
        <v>29136</v>
      </c>
      <c r="AC561" s="847">
        <v>29718</v>
      </c>
      <c r="AD561" s="847">
        <v>30313</v>
      </c>
      <c r="AE561" s="847">
        <v>30919</v>
      </c>
      <c r="AF561" s="847">
        <v>31537</v>
      </c>
      <c r="AG561" s="847">
        <v>32168</v>
      </c>
      <c r="AH561" s="847">
        <v>32812</v>
      </c>
      <c r="AI561" s="847">
        <v>33468</v>
      </c>
      <c r="AJ561" s="847">
        <v>34137</v>
      </c>
      <c r="AK561" s="847">
        <v>34820</v>
      </c>
      <c r="AL561" s="847">
        <v>35516</v>
      </c>
      <c r="AM561" s="847">
        <v>36227</v>
      </c>
      <c r="AN561" s="847">
        <v>36951</v>
      </c>
      <c r="AO561" s="847">
        <v>37690</v>
      </c>
      <c r="AP561" s="847">
        <v>38444</v>
      </c>
      <c r="AQ561" s="847">
        <v>39213</v>
      </c>
      <c r="AR561" s="847">
        <v>39997</v>
      </c>
      <c r="AS561" s="847">
        <v>40797</v>
      </c>
      <c r="AT561" s="847">
        <v>41612</v>
      </c>
      <c r="AU561" s="847">
        <v>42444</v>
      </c>
      <c r="AV561" s="847">
        <v>43291</v>
      </c>
      <c r="AW561" s="847">
        <v>44156</v>
      </c>
      <c r="AX561" s="847">
        <v>45037</v>
      </c>
      <c r="AY561" s="847">
        <v>45935</v>
      </c>
      <c r="AZ561" s="847">
        <v>46850</v>
      </c>
      <c r="BA561" s="847">
        <v>47783</v>
      </c>
      <c r="BB561" s="847">
        <v>48734</v>
      </c>
      <c r="BC561" s="847">
        <v>49704</v>
      </c>
      <c r="BD561" s="847">
        <v>50692</v>
      </c>
      <c r="BE561" s="847">
        <v>51698</v>
      </c>
      <c r="BF561" s="847">
        <v>52724</v>
      </c>
      <c r="BG561" s="847">
        <v>53768</v>
      </c>
      <c r="BH561" s="847">
        <v>54832</v>
      </c>
      <c r="BI561" s="847">
        <v>55916</v>
      </c>
      <c r="BJ561" s="847">
        <v>57020</v>
      </c>
      <c r="BK561" s="847">
        <v>58143</v>
      </c>
      <c r="BL561" s="847">
        <v>59287</v>
      </c>
      <c r="BM561" s="847">
        <v>60450</v>
      </c>
      <c r="BN561" s="847">
        <v>61635</v>
      </c>
      <c r="BO561" s="847">
        <v>62841</v>
      </c>
      <c r="BP561" s="847">
        <v>64069</v>
      </c>
      <c r="BQ561" s="847">
        <v>65318</v>
      </c>
      <c r="BR561" s="847">
        <v>66589</v>
      </c>
      <c r="BS561" s="847">
        <v>67880</v>
      </c>
      <c r="BT561" s="847">
        <v>69192</v>
      </c>
      <c r="BU561" s="847">
        <v>70525</v>
      </c>
      <c r="BV561" s="847">
        <v>71879</v>
      </c>
      <c r="BW561" s="847">
        <v>73254</v>
      </c>
      <c r="BX561" s="847">
        <v>74651</v>
      </c>
      <c r="BY561" s="847">
        <v>76069</v>
      </c>
      <c r="BZ561" s="847">
        <v>77508</v>
      </c>
      <c r="CA561" s="847">
        <v>78966</v>
      </c>
      <c r="CB561" s="847">
        <v>80444</v>
      </c>
      <c r="CC561" s="847">
        <v>81939</v>
      </c>
      <c r="CD561" s="847">
        <v>83451</v>
      </c>
      <c r="CE561" s="847">
        <v>84980</v>
      </c>
      <c r="CF561" s="847">
        <v>86525</v>
      </c>
      <c r="CG561" s="847">
        <v>88086</v>
      </c>
      <c r="CH561" s="847">
        <v>89662</v>
      </c>
      <c r="CI561" s="847">
        <v>91252</v>
      </c>
      <c r="CJ561" s="847">
        <v>92855</v>
      </c>
      <c r="CK561" s="847">
        <v>94469</v>
      </c>
      <c r="CL561" s="847">
        <v>96095</v>
      </c>
      <c r="CM561" s="847">
        <v>97730</v>
      </c>
      <c r="CN561" s="847">
        <v>99374</v>
      </c>
      <c r="CO561" s="847">
        <v>101027</v>
      </c>
      <c r="CP561" s="847">
        <v>102686</v>
      </c>
      <c r="CQ561" s="847">
        <v>104353</v>
      </c>
      <c r="CR561" s="847">
        <v>106026</v>
      </c>
      <c r="CS561" s="847">
        <v>107705</v>
      </c>
      <c r="CT561" s="847">
        <v>109389</v>
      </c>
      <c r="CU561" s="847">
        <v>111076</v>
      </c>
      <c r="CV561" s="847">
        <v>112767</v>
      </c>
      <c r="CW561" s="847">
        <v>114461</v>
      </c>
      <c r="CX561" s="847">
        <v>116158</v>
      </c>
      <c r="CY561" s="847">
        <v>117856</v>
      </c>
      <c r="CZ561" s="847">
        <v>119548</v>
      </c>
      <c r="DA561" s="847">
        <v>121226</v>
      </c>
      <c r="DB561" s="847">
        <v>122898</v>
      </c>
      <c r="DC561" s="847">
        <v>124564</v>
      </c>
      <c r="DD561" s="847">
        <v>126224</v>
      </c>
      <c r="DE561" s="847">
        <v>127876</v>
      </c>
      <c r="DF561" s="847">
        <v>129521</v>
      </c>
      <c r="DG561" s="847">
        <v>131157</v>
      </c>
      <c r="DH561" s="847">
        <v>132785</v>
      </c>
      <c r="DI561" s="847">
        <v>134405</v>
      </c>
      <c r="DJ561" s="847">
        <v>136015</v>
      </c>
      <c r="DK561" s="847">
        <v>137616</v>
      </c>
      <c r="DL561" s="847">
        <v>139207</v>
      </c>
      <c r="DM561" s="847">
        <v>140790</v>
      </c>
      <c r="DN561" s="847">
        <v>142364</v>
      </c>
      <c r="DO561" s="847">
        <v>143928</v>
      </c>
      <c r="DP561" s="847">
        <v>145483</v>
      </c>
      <c r="DQ561" s="847">
        <v>147028</v>
      </c>
      <c r="DR561" s="847">
        <v>148522</v>
      </c>
      <c r="DS561" s="847">
        <v>150000</v>
      </c>
      <c r="DT561" s="847">
        <v>0</v>
      </c>
      <c r="DU561" s="847">
        <v>0</v>
      </c>
      <c r="DV561" s="847">
        <v>0</v>
      </c>
      <c r="DW561" s="847">
        <v>0</v>
      </c>
      <c r="DX561" s="847">
        <v>0</v>
      </c>
    </row>
    <row r="562" spans="12:128" hidden="1">
      <c r="L562" s="846" t="s">
        <v>1060</v>
      </c>
      <c r="M562" s="846" t="s">
        <v>1382</v>
      </c>
      <c r="N562" s="846" t="s">
        <v>97</v>
      </c>
      <c r="O562" s="847">
        <v>6</v>
      </c>
      <c r="P562" s="780" t="str">
        <f t="shared" si="19"/>
        <v>IWT060206</v>
      </c>
      <c r="Q562" s="847">
        <v>23562</v>
      </c>
      <c r="R562" s="847">
        <v>24036</v>
      </c>
      <c r="S562" s="847">
        <v>24520</v>
      </c>
      <c r="T562" s="847">
        <v>25013</v>
      </c>
      <c r="U562" s="847">
        <v>25516</v>
      </c>
      <c r="V562" s="847">
        <v>26029</v>
      </c>
      <c r="W562" s="847">
        <v>26552</v>
      </c>
      <c r="X562" s="847">
        <v>27087</v>
      </c>
      <c r="Y562" s="847">
        <v>27632</v>
      </c>
      <c r="Z562" s="847">
        <v>28189</v>
      </c>
      <c r="AA562" s="847">
        <v>28758</v>
      </c>
      <c r="AB562" s="847">
        <v>29333</v>
      </c>
      <c r="AC562" s="847">
        <v>29920</v>
      </c>
      <c r="AD562" s="847">
        <v>30519</v>
      </c>
      <c r="AE562" s="847">
        <v>31129</v>
      </c>
      <c r="AF562" s="847">
        <v>31751</v>
      </c>
      <c r="AG562" s="847">
        <v>32386</v>
      </c>
      <c r="AH562" s="847">
        <v>33034</v>
      </c>
      <c r="AI562" s="847">
        <v>33695</v>
      </c>
      <c r="AJ562" s="847">
        <v>34369</v>
      </c>
      <c r="AK562" s="847">
        <v>35056</v>
      </c>
      <c r="AL562" s="847">
        <v>35757</v>
      </c>
      <c r="AM562" s="847">
        <v>36472</v>
      </c>
      <c r="AN562" s="847">
        <v>37202</v>
      </c>
      <c r="AO562" s="847">
        <v>37946</v>
      </c>
      <c r="AP562" s="847">
        <v>38705</v>
      </c>
      <c r="AQ562" s="847">
        <v>39479</v>
      </c>
      <c r="AR562" s="847">
        <v>40269</v>
      </c>
      <c r="AS562" s="847">
        <v>41074</v>
      </c>
      <c r="AT562" s="847">
        <v>41895</v>
      </c>
      <c r="AU562" s="847">
        <v>42732</v>
      </c>
      <c r="AV562" s="847">
        <v>43586</v>
      </c>
      <c r="AW562" s="847">
        <v>44456</v>
      </c>
      <c r="AX562" s="847">
        <v>45343</v>
      </c>
      <c r="AY562" s="847">
        <v>46247</v>
      </c>
      <c r="AZ562" s="847">
        <v>47169</v>
      </c>
      <c r="BA562" s="847">
        <v>48108</v>
      </c>
      <c r="BB562" s="847">
        <v>49066</v>
      </c>
      <c r="BC562" s="847">
        <v>50042</v>
      </c>
      <c r="BD562" s="847">
        <v>51036</v>
      </c>
      <c r="BE562" s="847">
        <v>52049</v>
      </c>
      <c r="BF562" s="847">
        <v>53082</v>
      </c>
      <c r="BG562" s="847">
        <v>54133</v>
      </c>
      <c r="BH562" s="847">
        <v>55204</v>
      </c>
      <c r="BI562" s="847">
        <v>56294</v>
      </c>
      <c r="BJ562" s="847">
        <v>57405</v>
      </c>
      <c r="BK562" s="847">
        <v>58535</v>
      </c>
      <c r="BL562" s="847">
        <v>59685</v>
      </c>
      <c r="BM562" s="847">
        <v>60856</v>
      </c>
      <c r="BN562" s="847">
        <v>62048</v>
      </c>
      <c r="BO562" s="847">
        <v>63262</v>
      </c>
      <c r="BP562" s="847">
        <v>64497</v>
      </c>
      <c r="BQ562" s="847">
        <v>65753</v>
      </c>
      <c r="BR562" s="847">
        <v>67030</v>
      </c>
      <c r="BS562" s="847">
        <v>68328</v>
      </c>
      <c r="BT562" s="847">
        <v>69646</v>
      </c>
      <c r="BU562" s="847">
        <v>70985</v>
      </c>
      <c r="BV562" s="847">
        <v>72346</v>
      </c>
      <c r="BW562" s="847">
        <v>73728</v>
      </c>
      <c r="BX562" s="847">
        <v>75131</v>
      </c>
      <c r="BY562" s="847">
        <v>76554</v>
      </c>
      <c r="BZ562" s="847">
        <v>77997</v>
      </c>
      <c r="CA562" s="847">
        <v>79460</v>
      </c>
      <c r="CB562" s="847">
        <v>80940</v>
      </c>
      <c r="CC562" s="847">
        <v>82438</v>
      </c>
      <c r="CD562" s="847">
        <v>83952</v>
      </c>
      <c r="CE562" s="847">
        <v>85481</v>
      </c>
      <c r="CF562" s="847">
        <v>87028</v>
      </c>
      <c r="CG562" s="847">
        <v>88589</v>
      </c>
      <c r="CH562" s="847">
        <v>90165</v>
      </c>
      <c r="CI562" s="847">
        <v>91754</v>
      </c>
      <c r="CJ562" s="847">
        <v>93354</v>
      </c>
      <c r="CK562" s="847">
        <v>94966</v>
      </c>
      <c r="CL562" s="847">
        <v>96588</v>
      </c>
      <c r="CM562" s="847">
        <v>98219</v>
      </c>
      <c r="CN562" s="847">
        <v>99858</v>
      </c>
      <c r="CO562" s="847">
        <v>101506</v>
      </c>
      <c r="CP562" s="847">
        <v>103160</v>
      </c>
      <c r="CQ562" s="847">
        <v>104822</v>
      </c>
      <c r="CR562" s="847">
        <v>106488</v>
      </c>
      <c r="CS562" s="847">
        <v>108161</v>
      </c>
      <c r="CT562" s="847">
        <v>109837</v>
      </c>
      <c r="CU562" s="847">
        <v>111518</v>
      </c>
      <c r="CV562" s="847">
        <v>113201</v>
      </c>
      <c r="CW562" s="847">
        <v>114887</v>
      </c>
      <c r="CX562" s="847">
        <v>116575</v>
      </c>
      <c r="CY562" s="847">
        <v>118259</v>
      </c>
      <c r="CZ562" s="847">
        <v>119927</v>
      </c>
      <c r="DA562" s="847">
        <v>121591</v>
      </c>
      <c r="DB562" s="847">
        <v>123250</v>
      </c>
      <c r="DC562" s="847">
        <v>124902</v>
      </c>
      <c r="DD562" s="847">
        <v>126548</v>
      </c>
      <c r="DE562" s="847">
        <v>128186</v>
      </c>
      <c r="DF562" s="847">
        <v>129816</v>
      </c>
      <c r="DG562" s="847">
        <v>131438</v>
      </c>
      <c r="DH562" s="847">
        <v>133052</v>
      </c>
      <c r="DI562" s="847">
        <v>134657</v>
      </c>
      <c r="DJ562" s="847">
        <v>136253</v>
      </c>
      <c r="DK562" s="847">
        <v>137841</v>
      </c>
      <c r="DL562" s="847">
        <v>139419</v>
      </c>
      <c r="DM562" s="847">
        <v>140989</v>
      </c>
      <c r="DN562" s="847">
        <v>142550</v>
      </c>
      <c r="DO562" s="847">
        <v>144102</v>
      </c>
      <c r="DP562" s="847">
        <v>145644</v>
      </c>
      <c r="DQ562" s="847">
        <v>147136</v>
      </c>
      <c r="DR562" s="847">
        <v>148600</v>
      </c>
      <c r="DS562" s="847">
        <v>0</v>
      </c>
      <c r="DT562" s="847">
        <v>0</v>
      </c>
      <c r="DU562" s="847">
        <v>0</v>
      </c>
      <c r="DV562" s="847">
        <v>0</v>
      </c>
      <c r="DW562" s="847">
        <v>0</v>
      </c>
      <c r="DX562" s="847">
        <v>0</v>
      </c>
    </row>
    <row r="563" spans="12:128" hidden="1">
      <c r="L563" s="846" t="s">
        <v>1060</v>
      </c>
      <c r="M563" s="846" t="s">
        <v>1382</v>
      </c>
      <c r="N563" s="846" t="s">
        <v>97</v>
      </c>
      <c r="O563" s="847">
        <v>7</v>
      </c>
      <c r="P563" s="780" t="str">
        <f t="shared" si="19"/>
        <v>IWT060207</v>
      </c>
      <c r="Q563" s="847">
        <v>23721</v>
      </c>
      <c r="R563" s="847">
        <v>24198</v>
      </c>
      <c r="S563" s="847">
        <v>24685</v>
      </c>
      <c r="T563" s="847">
        <v>25181</v>
      </c>
      <c r="U563" s="847">
        <v>25687</v>
      </c>
      <c r="V563" s="847">
        <v>26204</v>
      </c>
      <c r="W563" s="847">
        <v>26731</v>
      </c>
      <c r="X563" s="847">
        <v>27270</v>
      </c>
      <c r="Y563" s="847">
        <v>27820</v>
      </c>
      <c r="Z563" s="847">
        <v>28381</v>
      </c>
      <c r="AA563" s="847">
        <v>28949</v>
      </c>
      <c r="AB563" s="847">
        <v>29528</v>
      </c>
      <c r="AC563" s="847">
        <v>30118</v>
      </c>
      <c r="AD563" s="847">
        <v>30721</v>
      </c>
      <c r="AE563" s="847">
        <v>31335</v>
      </c>
      <c r="AF563" s="847">
        <v>31962</v>
      </c>
      <c r="AG563" s="847">
        <v>32601</v>
      </c>
      <c r="AH563" s="847">
        <v>33253</v>
      </c>
      <c r="AI563" s="847">
        <v>33918</v>
      </c>
      <c r="AJ563" s="847">
        <v>34597</v>
      </c>
      <c r="AK563" s="847">
        <v>35289</v>
      </c>
      <c r="AL563" s="847">
        <v>35994</v>
      </c>
      <c r="AM563" s="847">
        <v>36714</v>
      </c>
      <c r="AN563" s="847">
        <v>37448</v>
      </c>
      <c r="AO563" s="847">
        <v>38197</v>
      </c>
      <c r="AP563" s="847">
        <v>38961</v>
      </c>
      <c r="AQ563" s="847">
        <v>39741</v>
      </c>
      <c r="AR563" s="847">
        <v>40535</v>
      </c>
      <c r="AS563" s="847">
        <v>41346</v>
      </c>
      <c r="AT563" s="847">
        <v>42173</v>
      </c>
      <c r="AU563" s="847">
        <v>43016</v>
      </c>
      <c r="AV563" s="847">
        <v>43875</v>
      </c>
      <c r="AW563" s="847">
        <v>44751</v>
      </c>
      <c r="AX563" s="847">
        <v>45644</v>
      </c>
      <c r="AY563" s="847">
        <v>46554</v>
      </c>
      <c r="AZ563" s="847">
        <v>47482</v>
      </c>
      <c r="BA563" s="847">
        <v>48428</v>
      </c>
      <c r="BB563" s="847">
        <v>49392</v>
      </c>
      <c r="BC563" s="847">
        <v>50374</v>
      </c>
      <c r="BD563" s="847">
        <v>51375</v>
      </c>
      <c r="BE563" s="847">
        <v>52395</v>
      </c>
      <c r="BF563" s="847">
        <v>53433</v>
      </c>
      <c r="BG563" s="847">
        <v>54491</v>
      </c>
      <c r="BH563" s="847">
        <v>55569</v>
      </c>
      <c r="BI563" s="847">
        <v>56666</v>
      </c>
      <c r="BJ563" s="847">
        <v>57783</v>
      </c>
      <c r="BK563" s="847">
        <v>58920</v>
      </c>
      <c r="BL563" s="847">
        <v>60077</v>
      </c>
      <c r="BM563" s="847">
        <v>61256</v>
      </c>
      <c r="BN563" s="847">
        <v>62455</v>
      </c>
      <c r="BO563" s="847">
        <v>63676</v>
      </c>
      <c r="BP563" s="847">
        <v>64918</v>
      </c>
      <c r="BQ563" s="847">
        <v>66180</v>
      </c>
      <c r="BR563" s="847">
        <v>67463</v>
      </c>
      <c r="BS563" s="847">
        <v>68767</v>
      </c>
      <c r="BT563" s="847">
        <v>70091</v>
      </c>
      <c r="BU563" s="847">
        <v>71437</v>
      </c>
      <c r="BV563" s="847">
        <v>72804</v>
      </c>
      <c r="BW563" s="847">
        <v>74192</v>
      </c>
      <c r="BX563" s="847">
        <v>75600</v>
      </c>
      <c r="BY563" s="847">
        <v>77029</v>
      </c>
      <c r="BZ563" s="847">
        <v>78476</v>
      </c>
      <c r="CA563" s="847">
        <v>79941</v>
      </c>
      <c r="CB563" s="847">
        <v>81424</v>
      </c>
      <c r="CC563" s="847">
        <v>82923</v>
      </c>
      <c r="CD563" s="847">
        <v>84438</v>
      </c>
      <c r="CE563" s="847">
        <v>85970</v>
      </c>
      <c r="CF563" s="847">
        <v>87516</v>
      </c>
      <c r="CG563" s="847">
        <v>89078</v>
      </c>
      <c r="CH563" s="847">
        <v>90653</v>
      </c>
      <c r="CI563" s="847">
        <v>92239</v>
      </c>
      <c r="CJ563" s="847">
        <v>93837</v>
      </c>
      <c r="CK563" s="847">
        <v>95446</v>
      </c>
      <c r="CL563" s="847">
        <v>97064</v>
      </c>
      <c r="CM563" s="847">
        <v>98690</v>
      </c>
      <c r="CN563" s="847">
        <v>100325</v>
      </c>
      <c r="CO563" s="847">
        <v>101967</v>
      </c>
      <c r="CP563" s="847">
        <v>103617</v>
      </c>
      <c r="CQ563" s="847">
        <v>105272</v>
      </c>
      <c r="CR563" s="847">
        <v>106933</v>
      </c>
      <c r="CS563" s="847">
        <v>108598</v>
      </c>
      <c r="CT563" s="847">
        <v>110268</v>
      </c>
      <c r="CU563" s="847">
        <v>111941</v>
      </c>
      <c r="CV563" s="847">
        <v>113617</v>
      </c>
      <c r="CW563" s="847">
        <v>115295</v>
      </c>
      <c r="CX563" s="847">
        <v>116969</v>
      </c>
      <c r="CY563" s="847">
        <v>118629</v>
      </c>
      <c r="CZ563" s="847">
        <v>120285</v>
      </c>
      <c r="DA563" s="847">
        <v>121936</v>
      </c>
      <c r="DB563" s="847">
        <v>123580</v>
      </c>
      <c r="DC563" s="847">
        <v>125219</v>
      </c>
      <c r="DD563" s="847">
        <v>126850</v>
      </c>
      <c r="DE563" s="847">
        <v>128474</v>
      </c>
      <c r="DF563" s="847">
        <v>130091</v>
      </c>
      <c r="DG563" s="847">
        <v>131699</v>
      </c>
      <c r="DH563" s="847">
        <v>133299</v>
      </c>
      <c r="DI563" s="847">
        <v>134891</v>
      </c>
      <c r="DJ563" s="847">
        <v>136474</v>
      </c>
      <c r="DK563" s="847">
        <v>138048</v>
      </c>
      <c r="DL563" s="847">
        <v>139614</v>
      </c>
      <c r="DM563" s="847">
        <v>141172</v>
      </c>
      <c r="DN563" s="847">
        <v>142721</v>
      </c>
      <c r="DO563" s="847">
        <v>144259</v>
      </c>
      <c r="DP563" s="847">
        <v>145750</v>
      </c>
      <c r="DQ563" s="847">
        <v>147200</v>
      </c>
      <c r="DR563" s="847">
        <v>0</v>
      </c>
      <c r="DS563" s="847">
        <v>0</v>
      </c>
      <c r="DT563" s="847">
        <v>0</v>
      </c>
      <c r="DU563" s="847">
        <v>0</v>
      </c>
      <c r="DV563" s="847">
        <v>0</v>
      </c>
      <c r="DW563" s="847">
        <v>0</v>
      </c>
      <c r="DX563" s="847">
        <v>0</v>
      </c>
    </row>
    <row r="564" spans="12:128" hidden="1">
      <c r="L564" s="846" t="s">
        <v>1060</v>
      </c>
      <c r="M564" s="846" t="s">
        <v>1382</v>
      </c>
      <c r="N564" s="846" t="s">
        <v>97</v>
      </c>
      <c r="O564" s="847">
        <v>8</v>
      </c>
      <c r="P564" s="780" t="str">
        <f t="shared" si="19"/>
        <v>IWT060208</v>
      </c>
      <c r="Q564" s="847">
        <v>23877</v>
      </c>
      <c r="R564" s="847">
        <v>24357</v>
      </c>
      <c r="S564" s="847">
        <v>24847</v>
      </c>
      <c r="T564" s="847">
        <v>25347</v>
      </c>
      <c r="U564" s="847">
        <v>25856</v>
      </c>
      <c r="V564" s="847">
        <v>26377</v>
      </c>
      <c r="W564" s="847">
        <v>26908</v>
      </c>
      <c r="X564" s="847">
        <v>27451</v>
      </c>
      <c r="Y564" s="847">
        <v>28005</v>
      </c>
      <c r="Z564" s="847">
        <v>28565</v>
      </c>
      <c r="AA564" s="847">
        <v>29136</v>
      </c>
      <c r="AB564" s="847">
        <v>29719</v>
      </c>
      <c r="AC564" s="847">
        <v>30313</v>
      </c>
      <c r="AD564" s="847">
        <v>30919</v>
      </c>
      <c r="AE564" s="847">
        <v>31538</v>
      </c>
      <c r="AF564" s="847">
        <v>32169</v>
      </c>
      <c r="AG564" s="847">
        <v>32812</v>
      </c>
      <c r="AH564" s="847">
        <v>33468</v>
      </c>
      <c r="AI564" s="847">
        <v>34138</v>
      </c>
      <c r="AJ564" s="847">
        <v>34820</v>
      </c>
      <c r="AK564" s="847">
        <v>35517</v>
      </c>
      <c r="AL564" s="847">
        <v>36227</v>
      </c>
      <c r="AM564" s="847">
        <v>36952</v>
      </c>
      <c r="AN564" s="847">
        <v>37691</v>
      </c>
      <c r="AO564" s="847">
        <v>38444</v>
      </c>
      <c r="AP564" s="847">
        <v>39213</v>
      </c>
      <c r="AQ564" s="847">
        <v>39998</v>
      </c>
      <c r="AR564" s="847">
        <v>40798</v>
      </c>
      <c r="AS564" s="847">
        <v>41613</v>
      </c>
      <c r="AT564" s="847">
        <v>42446</v>
      </c>
      <c r="AU564" s="847">
        <v>43294</v>
      </c>
      <c r="AV564" s="847">
        <v>44159</v>
      </c>
      <c r="AW564" s="847">
        <v>45041</v>
      </c>
      <c r="AX564" s="847">
        <v>45940</v>
      </c>
      <c r="AY564" s="847">
        <v>46856</v>
      </c>
      <c r="AZ564" s="847">
        <v>47790</v>
      </c>
      <c r="BA564" s="847">
        <v>48742</v>
      </c>
      <c r="BB564" s="847">
        <v>49712</v>
      </c>
      <c r="BC564" s="847">
        <v>50701</v>
      </c>
      <c r="BD564" s="847">
        <v>51708</v>
      </c>
      <c r="BE564" s="847">
        <v>52734</v>
      </c>
      <c r="BF564" s="847">
        <v>53779</v>
      </c>
      <c r="BG564" s="847">
        <v>54843</v>
      </c>
      <c r="BH564" s="847">
        <v>55927</v>
      </c>
      <c r="BI564" s="847">
        <v>57031</v>
      </c>
      <c r="BJ564" s="847">
        <v>58154</v>
      </c>
      <c r="BK564" s="847">
        <v>59298</v>
      </c>
      <c r="BL564" s="847">
        <v>60463</v>
      </c>
      <c r="BM564" s="847">
        <v>61648</v>
      </c>
      <c r="BN564" s="847">
        <v>62855</v>
      </c>
      <c r="BO564" s="847">
        <v>64083</v>
      </c>
      <c r="BP564" s="847">
        <v>65331</v>
      </c>
      <c r="BQ564" s="847">
        <v>66599</v>
      </c>
      <c r="BR564" s="847">
        <v>67888</v>
      </c>
      <c r="BS564" s="847">
        <v>69197</v>
      </c>
      <c r="BT564" s="847">
        <v>70528</v>
      </c>
      <c r="BU564" s="847">
        <v>71881</v>
      </c>
      <c r="BV564" s="847">
        <v>73254</v>
      </c>
      <c r="BW564" s="847">
        <v>74647</v>
      </c>
      <c r="BX564" s="847">
        <v>76060</v>
      </c>
      <c r="BY564" s="847">
        <v>77492</v>
      </c>
      <c r="BZ564" s="847">
        <v>78942</v>
      </c>
      <c r="CA564" s="847">
        <v>80410</v>
      </c>
      <c r="CB564" s="847">
        <v>81894</v>
      </c>
      <c r="CC564" s="847">
        <v>83395</v>
      </c>
      <c r="CD564" s="847">
        <v>84911</v>
      </c>
      <c r="CE564" s="847">
        <v>86444</v>
      </c>
      <c r="CF564" s="847">
        <v>87991</v>
      </c>
      <c r="CG564" s="847">
        <v>89552</v>
      </c>
      <c r="CH564" s="847">
        <v>91124</v>
      </c>
      <c r="CI564" s="847">
        <v>92709</v>
      </c>
      <c r="CJ564" s="847">
        <v>94304</v>
      </c>
      <c r="CK564" s="847">
        <v>95908</v>
      </c>
      <c r="CL564" s="847">
        <v>97522</v>
      </c>
      <c r="CM564" s="847">
        <v>99144</v>
      </c>
      <c r="CN564" s="847">
        <v>100775</v>
      </c>
      <c r="CO564" s="847">
        <v>102412</v>
      </c>
      <c r="CP564" s="847">
        <v>104055</v>
      </c>
      <c r="CQ564" s="847">
        <v>105705</v>
      </c>
      <c r="CR564" s="847">
        <v>107359</v>
      </c>
      <c r="CS564" s="847">
        <v>109018</v>
      </c>
      <c r="CT564" s="847">
        <v>110680</v>
      </c>
      <c r="CU564" s="847">
        <v>112347</v>
      </c>
      <c r="CV564" s="847">
        <v>114015</v>
      </c>
      <c r="CW564" s="847">
        <v>115679</v>
      </c>
      <c r="CX564" s="847">
        <v>117331</v>
      </c>
      <c r="CY564" s="847">
        <v>118978</v>
      </c>
      <c r="CZ564" s="847">
        <v>120621</v>
      </c>
      <c r="DA564" s="847">
        <v>122259</v>
      </c>
      <c r="DB564" s="847">
        <v>123890</v>
      </c>
      <c r="DC564" s="847">
        <v>125515</v>
      </c>
      <c r="DD564" s="847">
        <v>127133</v>
      </c>
      <c r="DE564" s="847">
        <v>128744</v>
      </c>
      <c r="DF564" s="847">
        <v>130346</v>
      </c>
      <c r="DG564" s="847">
        <v>131941</v>
      </c>
      <c r="DH564" s="847">
        <v>133528</v>
      </c>
      <c r="DI564" s="847">
        <v>135107</v>
      </c>
      <c r="DJ564" s="847">
        <v>136677</v>
      </c>
      <c r="DK564" s="847">
        <v>138239</v>
      </c>
      <c r="DL564" s="847">
        <v>139794</v>
      </c>
      <c r="DM564" s="847">
        <v>141339</v>
      </c>
      <c r="DN564" s="847">
        <v>142875</v>
      </c>
      <c r="DO564" s="847">
        <v>144364</v>
      </c>
      <c r="DP564" s="847">
        <v>145800</v>
      </c>
      <c r="DQ564" s="847">
        <v>0</v>
      </c>
      <c r="DR564" s="847">
        <v>0</v>
      </c>
      <c r="DS564" s="847">
        <v>0</v>
      </c>
      <c r="DT564" s="847">
        <v>0</v>
      </c>
      <c r="DU564" s="847">
        <v>0</v>
      </c>
      <c r="DV564" s="847">
        <v>0</v>
      </c>
      <c r="DW564" s="847">
        <v>0</v>
      </c>
      <c r="DX564" s="847">
        <v>0</v>
      </c>
    </row>
    <row r="565" spans="12:128" hidden="1">
      <c r="L565" s="846" t="s">
        <v>1060</v>
      </c>
      <c r="M565" s="846" t="s">
        <v>1382</v>
      </c>
      <c r="N565" s="846" t="s">
        <v>97</v>
      </c>
      <c r="O565" s="847">
        <v>9</v>
      </c>
      <c r="P565" s="780" t="str">
        <f t="shared" si="19"/>
        <v>IWT060209</v>
      </c>
      <c r="Q565" s="847">
        <v>24031</v>
      </c>
      <c r="R565" s="847">
        <v>24514</v>
      </c>
      <c r="S565" s="847">
        <v>25006</v>
      </c>
      <c r="T565" s="847">
        <v>25509</v>
      </c>
      <c r="U565" s="847">
        <v>26023</v>
      </c>
      <c r="V565" s="847">
        <v>26547</v>
      </c>
      <c r="W565" s="847">
        <v>27082</v>
      </c>
      <c r="X565" s="847">
        <v>27629</v>
      </c>
      <c r="Y565" s="847">
        <v>28181</v>
      </c>
      <c r="Z565" s="847">
        <v>28745</v>
      </c>
      <c r="AA565" s="847">
        <v>29320</v>
      </c>
      <c r="AB565" s="847">
        <v>29906</v>
      </c>
      <c r="AC565" s="847">
        <v>30504</v>
      </c>
      <c r="AD565" s="847">
        <v>31114</v>
      </c>
      <c r="AE565" s="847">
        <v>31737</v>
      </c>
      <c r="AF565" s="847">
        <v>32371</v>
      </c>
      <c r="AG565" s="847">
        <v>33019</v>
      </c>
      <c r="AH565" s="847">
        <v>33679</v>
      </c>
      <c r="AI565" s="847">
        <v>34353</v>
      </c>
      <c r="AJ565" s="847">
        <v>35040</v>
      </c>
      <c r="AK565" s="847">
        <v>35741</v>
      </c>
      <c r="AL565" s="847">
        <v>36455</v>
      </c>
      <c r="AM565" s="847">
        <v>37184</v>
      </c>
      <c r="AN565" s="847">
        <v>37928</v>
      </c>
      <c r="AO565" s="847">
        <v>38687</v>
      </c>
      <c r="AP565" s="847">
        <v>39460</v>
      </c>
      <c r="AQ565" s="847">
        <v>40250</v>
      </c>
      <c r="AR565" s="847">
        <v>41055</v>
      </c>
      <c r="AS565" s="847">
        <v>41876</v>
      </c>
      <c r="AT565" s="847">
        <v>42713</v>
      </c>
      <c r="AU565" s="847">
        <v>43567</v>
      </c>
      <c r="AV565" s="847">
        <v>44438</v>
      </c>
      <c r="AW565" s="847">
        <v>45325</v>
      </c>
      <c r="AX565" s="847">
        <v>46230</v>
      </c>
      <c r="AY565" s="847">
        <v>47152</v>
      </c>
      <c r="AZ565" s="847">
        <v>48092</v>
      </c>
      <c r="BA565" s="847">
        <v>49050</v>
      </c>
      <c r="BB565" s="847">
        <v>50026</v>
      </c>
      <c r="BC565" s="847">
        <v>51021</v>
      </c>
      <c r="BD565" s="847">
        <v>52034</v>
      </c>
      <c r="BE565" s="847">
        <v>53067</v>
      </c>
      <c r="BF565" s="847">
        <v>54118</v>
      </c>
      <c r="BG565" s="847">
        <v>55189</v>
      </c>
      <c r="BH565" s="847">
        <v>56279</v>
      </c>
      <c r="BI565" s="847">
        <v>57389</v>
      </c>
      <c r="BJ565" s="847">
        <v>58519</v>
      </c>
      <c r="BK565" s="847">
        <v>59670</v>
      </c>
      <c r="BL565" s="847">
        <v>60842</v>
      </c>
      <c r="BM565" s="847">
        <v>62034</v>
      </c>
      <c r="BN565" s="847">
        <v>63247</v>
      </c>
      <c r="BO565" s="847">
        <v>64481</v>
      </c>
      <c r="BP565" s="847">
        <v>65735</v>
      </c>
      <c r="BQ565" s="847">
        <v>67009</v>
      </c>
      <c r="BR565" s="847">
        <v>68304</v>
      </c>
      <c r="BS565" s="847">
        <v>69620</v>
      </c>
      <c r="BT565" s="847">
        <v>70957</v>
      </c>
      <c r="BU565" s="847">
        <v>72315</v>
      </c>
      <c r="BV565" s="847">
        <v>73693</v>
      </c>
      <c r="BW565" s="847">
        <v>75091</v>
      </c>
      <c r="BX565" s="847">
        <v>76508</v>
      </c>
      <c r="BY565" s="847">
        <v>77943</v>
      </c>
      <c r="BZ565" s="847">
        <v>79396</v>
      </c>
      <c r="CA565" s="847">
        <v>80865</v>
      </c>
      <c r="CB565" s="847">
        <v>82351</v>
      </c>
      <c r="CC565" s="847">
        <v>83853</v>
      </c>
      <c r="CD565" s="847">
        <v>85371</v>
      </c>
      <c r="CE565" s="847">
        <v>86904</v>
      </c>
      <c r="CF565" s="847">
        <v>88450</v>
      </c>
      <c r="CG565" s="847">
        <v>90009</v>
      </c>
      <c r="CH565" s="847">
        <v>91580</v>
      </c>
      <c r="CI565" s="847">
        <v>93162</v>
      </c>
      <c r="CJ565" s="847">
        <v>94753</v>
      </c>
      <c r="CK565" s="847">
        <v>96354</v>
      </c>
      <c r="CL565" s="847">
        <v>97964</v>
      </c>
      <c r="CM565" s="847">
        <v>99582</v>
      </c>
      <c r="CN565" s="847">
        <v>101207</v>
      </c>
      <c r="CO565" s="847">
        <v>102838</v>
      </c>
      <c r="CP565" s="847">
        <v>104477</v>
      </c>
      <c r="CQ565" s="847">
        <v>106120</v>
      </c>
      <c r="CR565" s="847">
        <v>107768</v>
      </c>
      <c r="CS565" s="847">
        <v>109420</v>
      </c>
      <c r="CT565" s="847">
        <v>111076</v>
      </c>
      <c r="CU565" s="847">
        <v>112735</v>
      </c>
      <c r="CV565" s="847">
        <v>114390</v>
      </c>
      <c r="CW565" s="847">
        <v>116033</v>
      </c>
      <c r="CX565" s="847">
        <v>117672</v>
      </c>
      <c r="CY565" s="847">
        <v>119307</v>
      </c>
      <c r="CZ565" s="847">
        <v>120937</v>
      </c>
      <c r="DA565" s="847">
        <v>122561</v>
      </c>
      <c r="DB565" s="847">
        <v>124180</v>
      </c>
      <c r="DC565" s="847">
        <v>125791</v>
      </c>
      <c r="DD565" s="847">
        <v>127396</v>
      </c>
      <c r="DE565" s="847">
        <v>128994</v>
      </c>
      <c r="DF565" s="847">
        <v>130583</v>
      </c>
      <c r="DG565" s="847">
        <v>132166</v>
      </c>
      <c r="DH565" s="847">
        <v>133740</v>
      </c>
      <c r="DI565" s="847">
        <v>135306</v>
      </c>
      <c r="DJ565" s="847">
        <v>136865</v>
      </c>
      <c r="DK565" s="847">
        <v>138415</v>
      </c>
      <c r="DL565" s="847">
        <v>139958</v>
      </c>
      <c r="DM565" s="847">
        <v>141491</v>
      </c>
      <c r="DN565" s="847">
        <v>142977</v>
      </c>
      <c r="DO565" s="847">
        <v>144400</v>
      </c>
      <c r="DP565" s="847">
        <v>0</v>
      </c>
      <c r="DQ565" s="847">
        <v>0</v>
      </c>
      <c r="DR565" s="847">
        <v>0</v>
      </c>
      <c r="DS565" s="847">
        <v>0</v>
      </c>
      <c r="DT565" s="847">
        <v>0</v>
      </c>
      <c r="DU565" s="847">
        <v>0</v>
      </c>
      <c r="DV565" s="847">
        <v>0</v>
      </c>
      <c r="DW565" s="847">
        <v>0</v>
      </c>
      <c r="DX565" s="847">
        <v>0</v>
      </c>
    </row>
    <row r="566" spans="12:128" hidden="1">
      <c r="L566" s="846" t="s">
        <v>1060</v>
      </c>
      <c r="M566" s="846" t="s">
        <v>1382</v>
      </c>
      <c r="N566" s="846" t="s">
        <v>97</v>
      </c>
      <c r="O566" s="847">
        <v>10</v>
      </c>
      <c r="P566" s="780" t="str">
        <f t="shared" si="19"/>
        <v>IWT060210</v>
      </c>
      <c r="Q566" s="847">
        <v>24181</v>
      </c>
      <c r="R566" s="847">
        <v>24667</v>
      </c>
      <c r="S566" s="847">
        <v>25163</v>
      </c>
      <c r="T566" s="847">
        <v>25669</v>
      </c>
      <c r="U566" s="847">
        <v>26186</v>
      </c>
      <c r="V566" s="847">
        <v>26714</v>
      </c>
      <c r="W566" s="847">
        <v>27254</v>
      </c>
      <c r="X566" s="847">
        <v>27798</v>
      </c>
      <c r="Y566" s="847">
        <v>28354</v>
      </c>
      <c r="Z566" s="847">
        <v>28921</v>
      </c>
      <c r="AA566" s="847">
        <v>29500</v>
      </c>
      <c r="AB566" s="847">
        <v>30090</v>
      </c>
      <c r="AC566" s="847">
        <v>30691</v>
      </c>
      <c r="AD566" s="847">
        <v>31305</v>
      </c>
      <c r="AE566" s="847">
        <v>31931</v>
      </c>
      <c r="AF566" s="847">
        <v>32570</v>
      </c>
      <c r="AG566" s="847">
        <v>33221</v>
      </c>
      <c r="AH566" s="847">
        <v>33886</v>
      </c>
      <c r="AI566" s="847">
        <v>34563</v>
      </c>
      <c r="AJ566" s="847">
        <v>35255</v>
      </c>
      <c r="AK566" s="847">
        <v>35960</v>
      </c>
      <c r="AL566" s="847">
        <v>36679</v>
      </c>
      <c r="AM566" s="847">
        <v>37413</v>
      </c>
      <c r="AN566" s="847">
        <v>38161</v>
      </c>
      <c r="AO566" s="847">
        <v>38924</v>
      </c>
      <c r="AP566" s="847">
        <v>39703</v>
      </c>
      <c r="AQ566" s="847">
        <v>40497</v>
      </c>
      <c r="AR566" s="847">
        <v>41306</v>
      </c>
      <c r="AS566" s="847">
        <v>42133</v>
      </c>
      <c r="AT566" s="847">
        <v>42975</v>
      </c>
      <c r="AU566" s="847">
        <v>43835</v>
      </c>
      <c r="AV566" s="847">
        <v>44711</v>
      </c>
      <c r="AW566" s="847">
        <v>45604</v>
      </c>
      <c r="AX566" s="847">
        <v>46514</v>
      </c>
      <c r="AY566" s="847">
        <v>47442</v>
      </c>
      <c r="AZ566" s="847">
        <v>48388</v>
      </c>
      <c r="BA566" s="847">
        <v>49352</v>
      </c>
      <c r="BB566" s="847">
        <v>50334</v>
      </c>
      <c r="BC566" s="847">
        <v>51335</v>
      </c>
      <c r="BD566" s="847">
        <v>52354</v>
      </c>
      <c r="BE566" s="847">
        <v>53393</v>
      </c>
      <c r="BF566" s="847">
        <v>54450</v>
      </c>
      <c r="BG566" s="847">
        <v>55527</v>
      </c>
      <c r="BH566" s="847">
        <v>56624</v>
      </c>
      <c r="BI566" s="847">
        <v>57740</v>
      </c>
      <c r="BJ566" s="847">
        <v>58877</v>
      </c>
      <c r="BK566" s="847">
        <v>60035</v>
      </c>
      <c r="BL566" s="847">
        <v>61213</v>
      </c>
      <c r="BM566" s="847">
        <v>62412</v>
      </c>
      <c r="BN566" s="847">
        <v>63631</v>
      </c>
      <c r="BO566" s="847">
        <v>64870</v>
      </c>
      <c r="BP566" s="847">
        <v>66130</v>
      </c>
      <c r="BQ566" s="847">
        <v>67410</v>
      </c>
      <c r="BR566" s="847">
        <v>68711</v>
      </c>
      <c r="BS566" s="847">
        <v>70034</v>
      </c>
      <c r="BT566" s="847">
        <v>71376</v>
      </c>
      <c r="BU566" s="847">
        <v>72740</v>
      </c>
      <c r="BV566" s="847">
        <v>74122</v>
      </c>
      <c r="BW566" s="847">
        <v>75524</v>
      </c>
      <c r="BX566" s="847">
        <v>76944</v>
      </c>
      <c r="BY566" s="847">
        <v>78382</v>
      </c>
      <c r="BZ566" s="847">
        <v>79837</v>
      </c>
      <c r="CA566" s="847">
        <v>81308</v>
      </c>
      <c r="CB566" s="847">
        <v>82795</v>
      </c>
      <c r="CC566" s="847">
        <v>84299</v>
      </c>
      <c r="CD566" s="847">
        <v>85817</v>
      </c>
      <c r="CE566" s="847">
        <v>87349</v>
      </c>
      <c r="CF566" s="847">
        <v>88894</v>
      </c>
      <c r="CG566" s="847">
        <v>90451</v>
      </c>
      <c r="CH566" s="847">
        <v>92020</v>
      </c>
      <c r="CI566" s="847">
        <v>93598</v>
      </c>
      <c r="CJ566" s="847">
        <v>95186</v>
      </c>
      <c r="CK566" s="847">
        <v>96783</v>
      </c>
      <c r="CL566" s="847">
        <v>98389</v>
      </c>
      <c r="CM566" s="847">
        <v>100002</v>
      </c>
      <c r="CN566" s="847">
        <v>101622</v>
      </c>
      <c r="CO566" s="847">
        <v>103249</v>
      </c>
      <c r="CP566" s="847">
        <v>104881</v>
      </c>
      <c r="CQ566" s="847">
        <v>106518</v>
      </c>
      <c r="CR566" s="847">
        <v>108160</v>
      </c>
      <c r="CS566" s="847">
        <v>109806</v>
      </c>
      <c r="CT566" s="847">
        <v>111454</v>
      </c>
      <c r="CU566" s="847">
        <v>113100</v>
      </c>
      <c r="CV566" s="847">
        <v>114734</v>
      </c>
      <c r="CW566" s="847">
        <v>116365</v>
      </c>
      <c r="CX566" s="847">
        <v>117993</v>
      </c>
      <c r="CY566" s="847">
        <v>119615</v>
      </c>
      <c r="CZ566" s="847">
        <v>121233</v>
      </c>
      <c r="DA566" s="847">
        <v>122844</v>
      </c>
      <c r="DB566" s="847">
        <v>124450</v>
      </c>
      <c r="DC566" s="847">
        <v>126049</v>
      </c>
      <c r="DD566" s="847">
        <v>127641</v>
      </c>
      <c r="DE566" s="847">
        <v>129226</v>
      </c>
      <c r="DF566" s="847">
        <v>130803</v>
      </c>
      <c r="DG566" s="847">
        <v>132373</v>
      </c>
      <c r="DH566" s="847">
        <v>133935</v>
      </c>
      <c r="DI566" s="847">
        <v>135490</v>
      </c>
      <c r="DJ566" s="847">
        <v>137037</v>
      </c>
      <c r="DK566" s="847">
        <v>138577</v>
      </c>
      <c r="DL566" s="847">
        <v>140106</v>
      </c>
      <c r="DM566" s="847">
        <v>141591</v>
      </c>
      <c r="DN566" s="847">
        <v>143000</v>
      </c>
      <c r="DO566" s="847">
        <v>0</v>
      </c>
      <c r="DP566" s="847">
        <v>0</v>
      </c>
      <c r="DQ566" s="847">
        <v>0</v>
      </c>
      <c r="DR566" s="847">
        <v>0</v>
      </c>
      <c r="DS566" s="847">
        <v>0</v>
      </c>
      <c r="DT566" s="847">
        <v>0</v>
      </c>
      <c r="DU566" s="847">
        <v>0</v>
      </c>
      <c r="DV566" s="847">
        <v>0</v>
      </c>
      <c r="DW566" s="847">
        <v>0</v>
      </c>
      <c r="DX566" s="847">
        <v>0</v>
      </c>
    </row>
    <row r="567" spans="12:128" hidden="1">
      <c r="L567" s="846" t="s">
        <v>1060</v>
      </c>
      <c r="M567" s="846" t="s">
        <v>1382</v>
      </c>
      <c r="N567" s="846" t="s">
        <v>97</v>
      </c>
      <c r="O567" s="847">
        <v>11</v>
      </c>
      <c r="P567" s="780" t="str">
        <f t="shared" si="19"/>
        <v>IWT060211</v>
      </c>
      <c r="Q567" s="847">
        <v>24328</v>
      </c>
      <c r="R567" s="847">
        <v>24817</v>
      </c>
      <c r="S567" s="847">
        <v>25317</v>
      </c>
      <c r="T567" s="847">
        <v>25826</v>
      </c>
      <c r="U567" s="847">
        <v>26347</v>
      </c>
      <c r="V567" s="847">
        <v>26879</v>
      </c>
      <c r="W567" s="847">
        <v>27416</v>
      </c>
      <c r="X567" s="847">
        <v>27964</v>
      </c>
      <c r="Y567" s="847">
        <v>28523</v>
      </c>
      <c r="Z567" s="847">
        <v>29094</v>
      </c>
      <c r="AA567" s="847">
        <v>29675</v>
      </c>
      <c r="AB567" s="847">
        <v>30269</v>
      </c>
      <c r="AC567" s="847">
        <v>30874</v>
      </c>
      <c r="AD567" s="847">
        <v>31492</v>
      </c>
      <c r="AE567" s="847">
        <v>32122</v>
      </c>
      <c r="AF567" s="847">
        <v>32764</v>
      </c>
      <c r="AG567" s="847">
        <v>33419</v>
      </c>
      <c r="AH567" s="847">
        <v>34088</v>
      </c>
      <c r="AI567" s="847">
        <v>34770</v>
      </c>
      <c r="AJ567" s="847">
        <v>35465</v>
      </c>
      <c r="AK567" s="847">
        <v>36174</v>
      </c>
      <c r="AL567" s="847">
        <v>36898</v>
      </c>
      <c r="AM567" s="847">
        <v>37636</v>
      </c>
      <c r="AN567" s="847">
        <v>38388</v>
      </c>
      <c r="AO567" s="847">
        <v>39156</v>
      </c>
      <c r="AP567" s="847">
        <v>39939</v>
      </c>
      <c r="AQ567" s="847">
        <v>40738</v>
      </c>
      <c r="AR567" s="847">
        <v>41553</v>
      </c>
      <c r="AS567" s="847">
        <v>42384</v>
      </c>
      <c r="AT567" s="847">
        <v>43232</v>
      </c>
      <c r="AU567" s="847">
        <v>44096</v>
      </c>
      <c r="AV567" s="847">
        <v>44978</v>
      </c>
      <c r="AW567" s="847">
        <v>45876</v>
      </c>
      <c r="AX567" s="847">
        <v>46792</v>
      </c>
      <c r="AY567" s="847">
        <v>47726</v>
      </c>
      <c r="AZ567" s="847">
        <v>48677</v>
      </c>
      <c r="BA567" s="847">
        <v>49647</v>
      </c>
      <c r="BB567" s="847">
        <v>50635</v>
      </c>
      <c r="BC567" s="847">
        <v>51642</v>
      </c>
      <c r="BD567" s="847">
        <v>52667</v>
      </c>
      <c r="BE567" s="847">
        <v>53712</v>
      </c>
      <c r="BF567" s="847">
        <v>54775</v>
      </c>
      <c r="BG567" s="847">
        <v>55858</v>
      </c>
      <c r="BH567" s="847">
        <v>56961</v>
      </c>
      <c r="BI567" s="847">
        <v>58084</v>
      </c>
      <c r="BJ567" s="847">
        <v>59228</v>
      </c>
      <c r="BK567" s="847">
        <v>60392</v>
      </c>
      <c r="BL567" s="847">
        <v>61576</v>
      </c>
      <c r="BM567" s="847">
        <v>62781</v>
      </c>
      <c r="BN567" s="847">
        <v>64006</v>
      </c>
      <c r="BO567" s="847">
        <v>65251</v>
      </c>
      <c r="BP567" s="847">
        <v>66516</v>
      </c>
      <c r="BQ567" s="847">
        <v>67803</v>
      </c>
      <c r="BR567" s="847">
        <v>69110</v>
      </c>
      <c r="BS567" s="847">
        <v>70438</v>
      </c>
      <c r="BT567" s="847">
        <v>71786</v>
      </c>
      <c r="BU567" s="847">
        <v>73154</v>
      </c>
      <c r="BV567" s="847">
        <v>74540</v>
      </c>
      <c r="BW567" s="847">
        <v>75945</v>
      </c>
      <c r="BX567" s="847">
        <v>77368</v>
      </c>
      <c r="BY567" s="847">
        <v>78808</v>
      </c>
      <c r="BZ567" s="847">
        <v>80264</v>
      </c>
      <c r="CA567" s="847">
        <v>81737</v>
      </c>
      <c r="CB567" s="847">
        <v>83226</v>
      </c>
      <c r="CC567" s="847">
        <v>84730</v>
      </c>
      <c r="CD567" s="847">
        <v>86248</v>
      </c>
      <c r="CE567" s="847">
        <v>87779</v>
      </c>
      <c r="CF567" s="847">
        <v>89323</v>
      </c>
      <c r="CG567" s="847">
        <v>90877</v>
      </c>
      <c r="CH567" s="847">
        <v>92443</v>
      </c>
      <c r="CI567" s="847">
        <v>94018</v>
      </c>
      <c r="CJ567" s="847">
        <v>95602</v>
      </c>
      <c r="CK567" s="847">
        <v>97196</v>
      </c>
      <c r="CL567" s="847">
        <v>98797</v>
      </c>
      <c r="CM567" s="847">
        <v>100405</v>
      </c>
      <c r="CN567" s="847">
        <v>102021</v>
      </c>
      <c r="CO567" s="847">
        <v>103641</v>
      </c>
      <c r="CP567" s="847">
        <v>105268</v>
      </c>
      <c r="CQ567" s="847">
        <v>106899</v>
      </c>
      <c r="CR567" s="847">
        <v>108535</v>
      </c>
      <c r="CS567" s="847">
        <v>110174</v>
      </c>
      <c r="CT567" s="847">
        <v>111811</v>
      </c>
      <c r="CU567" s="847">
        <v>113436</v>
      </c>
      <c r="CV567" s="847">
        <v>115059</v>
      </c>
      <c r="CW567" s="847">
        <v>116678</v>
      </c>
      <c r="CX567" s="847">
        <v>118293</v>
      </c>
      <c r="CY567" s="847">
        <v>119904</v>
      </c>
      <c r="CZ567" s="847">
        <v>121509</v>
      </c>
      <c r="DA567" s="847">
        <v>123108</v>
      </c>
      <c r="DB567" s="847">
        <v>124702</v>
      </c>
      <c r="DC567" s="847">
        <v>126288</v>
      </c>
      <c r="DD567" s="847">
        <v>127868</v>
      </c>
      <c r="DE567" s="847">
        <v>129441</v>
      </c>
      <c r="DF567" s="847">
        <v>131006</v>
      </c>
      <c r="DG567" s="847">
        <v>132564</v>
      </c>
      <c r="DH567" s="847">
        <v>134115</v>
      </c>
      <c r="DI567" s="847">
        <v>135659</v>
      </c>
      <c r="DJ567" s="847">
        <v>137195</v>
      </c>
      <c r="DK567" s="847">
        <v>138722</v>
      </c>
      <c r="DL567" s="847">
        <v>140205</v>
      </c>
      <c r="DM567" s="847">
        <v>141600</v>
      </c>
      <c r="DN567" s="847">
        <v>0</v>
      </c>
      <c r="DO567" s="847">
        <v>0</v>
      </c>
      <c r="DP567" s="847">
        <v>0</v>
      </c>
      <c r="DQ567" s="847">
        <v>0</v>
      </c>
      <c r="DR567" s="847">
        <v>0</v>
      </c>
      <c r="DS567" s="847">
        <v>0</v>
      </c>
      <c r="DT567" s="847">
        <v>0</v>
      </c>
      <c r="DU567" s="847">
        <v>0</v>
      </c>
      <c r="DV567" s="847">
        <v>0</v>
      </c>
      <c r="DW567" s="847">
        <v>0</v>
      </c>
      <c r="DX567" s="847">
        <v>0</v>
      </c>
    </row>
    <row r="568" spans="12:128" hidden="1">
      <c r="L568" s="846" t="s">
        <v>1060</v>
      </c>
      <c r="M568" s="846" t="s">
        <v>1382</v>
      </c>
      <c r="N568" s="846" t="s">
        <v>97</v>
      </c>
      <c r="O568" s="847">
        <v>12</v>
      </c>
      <c r="P568" s="780" t="str">
        <f t="shared" si="19"/>
        <v>IWT060212</v>
      </c>
      <c r="Q568" s="847">
        <v>24471</v>
      </c>
      <c r="R568" s="847">
        <v>24964</v>
      </c>
      <c r="S568" s="847">
        <v>25467</v>
      </c>
      <c r="T568" s="847">
        <v>25980</v>
      </c>
      <c r="U568" s="847">
        <v>26505</v>
      </c>
      <c r="V568" s="847">
        <v>27035</v>
      </c>
      <c r="W568" s="847">
        <v>27575</v>
      </c>
      <c r="X568" s="847">
        <v>28126</v>
      </c>
      <c r="Y568" s="847">
        <v>28688</v>
      </c>
      <c r="Z568" s="847">
        <v>29262</v>
      </c>
      <c r="AA568" s="847">
        <v>29847</v>
      </c>
      <c r="AB568" s="847">
        <v>30444</v>
      </c>
      <c r="AC568" s="847">
        <v>31053</v>
      </c>
      <c r="AD568" s="847">
        <v>31674</v>
      </c>
      <c r="AE568" s="847">
        <v>32308</v>
      </c>
      <c r="AF568" s="847">
        <v>32954</v>
      </c>
      <c r="AG568" s="847">
        <v>33613</v>
      </c>
      <c r="AH568" s="847">
        <v>34285</v>
      </c>
      <c r="AI568" s="847">
        <v>34971</v>
      </c>
      <c r="AJ568" s="847">
        <v>35670</v>
      </c>
      <c r="AK568" s="847">
        <v>36384</v>
      </c>
      <c r="AL568" s="847">
        <v>37111</v>
      </c>
      <c r="AM568" s="847">
        <v>37854</v>
      </c>
      <c r="AN568" s="847">
        <v>38611</v>
      </c>
      <c r="AO568" s="847">
        <v>39383</v>
      </c>
      <c r="AP568" s="847">
        <v>40171</v>
      </c>
      <c r="AQ568" s="847">
        <v>40974</v>
      </c>
      <c r="AR568" s="847">
        <v>41793</v>
      </c>
      <c r="AS568" s="847">
        <v>42629</v>
      </c>
      <c r="AT568" s="847">
        <v>43482</v>
      </c>
      <c r="AU568" s="847">
        <v>44352</v>
      </c>
      <c r="AV568" s="847">
        <v>45238</v>
      </c>
      <c r="AW568" s="847">
        <v>46142</v>
      </c>
      <c r="AX568" s="847">
        <v>47064</v>
      </c>
      <c r="AY568" s="847">
        <v>48003</v>
      </c>
      <c r="AZ568" s="847">
        <v>48960</v>
      </c>
      <c r="BA568" s="847">
        <v>49936</v>
      </c>
      <c r="BB568" s="847">
        <v>50929</v>
      </c>
      <c r="BC568" s="847">
        <v>51942</v>
      </c>
      <c r="BD568" s="847">
        <v>52973</v>
      </c>
      <c r="BE568" s="847">
        <v>54023</v>
      </c>
      <c r="BF568" s="847">
        <v>55093</v>
      </c>
      <c r="BG568" s="847">
        <v>56182</v>
      </c>
      <c r="BH568" s="847">
        <v>57292</v>
      </c>
      <c r="BI568" s="847">
        <v>58421</v>
      </c>
      <c r="BJ568" s="847">
        <v>59571</v>
      </c>
      <c r="BK568" s="847">
        <v>60741</v>
      </c>
      <c r="BL568" s="847">
        <v>61931</v>
      </c>
      <c r="BM568" s="847">
        <v>63142</v>
      </c>
      <c r="BN568" s="847">
        <v>64372</v>
      </c>
      <c r="BO568" s="847">
        <v>65623</v>
      </c>
      <c r="BP568" s="847">
        <v>66894</v>
      </c>
      <c r="BQ568" s="847">
        <v>68186</v>
      </c>
      <c r="BR568" s="847">
        <v>69499</v>
      </c>
      <c r="BS568" s="847">
        <v>70832</v>
      </c>
      <c r="BT568" s="847">
        <v>72185</v>
      </c>
      <c r="BU568" s="847">
        <v>73557</v>
      </c>
      <c r="BV568" s="847">
        <v>74947</v>
      </c>
      <c r="BW568" s="847">
        <v>76354</v>
      </c>
      <c r="BX568" s="847">
        <v>77779</v>
      </c>
      <c r="BY568" s="847">
        <v>79221</v>
      </c>
      <c r="BZ568" s="847">
        <v>80679</v>
      </c>
      <c r="CA568" s="847">
        <v>82154</v>
      </c>
      <c r="CB568" s="847">
        <v>83643</v>
      </c>
      <c r="CC568" s="847">
        <v>85147</v>
      </c>
      <c r="CD568" s="847">
        <v>86664</v>
      </c>
      <c r="CE568" s="847">
        <v>88194</v>
      </c>
      <c r="CF568" s="847">
        <v>89735</v>
      </c>
      <c r="CG568" s="847">
        <v>91287</v>
      </c>
      <c r="CH568" s="847">
        <v>92850</v>
      </c>
      <c r="CI568" s="847">
        <v>94422</v>
      </c>
      <c r="CJ568" s="847">
        <v>96003</v>
      </c>
      <c r="CK568" s="847">
        <v>97592</v>
      </c>
      <c r="CL568" s="847">
        <v>99188</v>
      </c>
      <c r="CM568" s="847">
        <v>100792</v>
      </c>
      <c r="CN568" s="847">
        <v>102402</v>
      </c>
      <c r="CO568" s="847">
        <v>104018</v>
      </c>
      <c r="CP568" s="847">
        <v>105639</v>
      </c>
      <c r="CQ568" s="847">
        <v>107265</v>
      </c>
      <c r="CR568" s="847">
        <v>108894</v>
      </c>
      <c r="CS568" s="847">
        <v>110521</v>
      </c>
      <c r="CT568" s="847">
        <v>112138</v>
      </c>
      <c r="CU568" s="847">
        <v>113752</v>
      </c>
      <c r="CV568" s="847">
        <v>115364</v>
      </c>
      <c r="CW568" s="847">
        <v>116972</v>
      </c>
      <c r="CX568" s="847">
        <v>118575</v>
      </c>
      <c r="CY568" s="847">
        <v>120174</v>
      </c>
      <c r="CZ568" s="847">
        <v>121767</v>
      </c>
      <c r="DA568" s="847">
        <v>123354</v>
      </c>
      <c r="DB568" s="847">
        <v>124935</v>
      </c>
      <c r="DC568" s="847">
        <v>126510</v>
      </c>
      <c r="DD568" s="847">
        <v>128078</v>
      </c>
      <c r="DE568" s="847">
        <v>129639</v>
      </c>
      <c r="DF568" s="847">
        <v>131193</v>
      </c>
      <c r="DG568" s="847">
        <v>132741</v>
      </c>
      <c r="DH568" s="847">
        <v>134281</v>
      </c>
      <c r="DI568" s="847">
        <v>135814</v>
      </c>
      <c r="DJ568" s="847">
        <v>137338</v>
      </c>
      <c r="DK568" s="847">
        <v>138819</v>
      </c>
      <c r="DL568" s="847">
        <v>140200</v>
      </c>
      <c r="DM568" s="847">
        <v>0</v>
      </c>
      <c r="DN568" s="847">
        <v>0</v>
      </c>
      <c r="DO568" s="847">
        <v>0</v>
      </c>
      <c r="DP568" s="847">
        <v>0</v>
      </c>
      <c r="DQ568" s="847">
        <v>0</v>
      </c>
      <c r="DR568" s="847">
        <v>0</v>
      </c>
      <c r="DS568" s="847">
        <v>0</v>
      </c>
      <c r="DT568" s="847">
        <v>0</v>
      </c>
      <c r="DU568" s="847">
        <v>0</v>
      </c>
      <c r="DV568" s="847">
        <v>0</v>
      </c>
      <c r="DW568" s="847">
        <v>0</v>
      </c>
      <c r="DX568" s="847">
        <v>0</v>
      </c>
    </row>
    <row r="569" spans="12:128" hidden="1">
      <c r="L569" s="846" t="s">
        <v>1060</v>
      </c>
      <c r="M569" s="846" t="s">
        <v>1382</v>
      </c>
      <c r="N569" s="846" t="s">
        <v>97</v>
      </c>
      <c r="O569" s="847">
        <v>13</v>
      </c>
      <c r="P569" s="780" t="str">
        <f t="shared" si="19"/>
        <v>IWT060213</v>
      </c>
      <c r="Q569" s="847">
        <v>24612</v>
      </c>
      <c r="R569" s="847">
        <v>25108</v>
      </c>
      <c r="S569" s="847">
        <v>25614</v>
      </c>
      <c r="T569" s="847">
        <v>26131</v>
      </c>
      <c r="U569" s="847">
        <v>26653</v>
      </c>
      <c r="V569" s="847">
        <v>27187</v>
      </c>
      <c r="W569" s="847">
        <v>27730</v>
      </c>
      <c r="X569" s="847">
        <v>28284</v>
      </c>
      <c r="Y569" s="847">
        <v>28849</v>
      </c>
      <c r="Z569" s="847">
        <v>29426</v>
      </c>
      <c r="AA569" s="847">
        <v>30015</v>
      </c>
      <c r="AB569" s="847">
        <v>30615</v>
      </c>
      <c r="AC569" s="847">
        <v>31227</v>
      </c>
      <c r="AD569" s="847">
        <v>31852</v>
      </c>
      <c r="AE569" s="847">
        <v>32489</v>
      </c>
      <c r="AF569" s="847">
        <v>33139</v>
      </c>
      <c r="AG569" s="847">
        <v>33802</v>
      </c>
      <c r="AH569" s="847">
        <v>34478</v>
      </c>
      <c r="AI569" s="847">
        <v>35167</v>
      </c>
      <c r="AJ569" s="847">
        <v>35871</v>
      </c>
      <c r="AK569" s="847">
        <v>36588</v>
      </c>
      <c r="AL569" s="847">
        <v>37320</v>
      </c>
      <c r="AM569" s="847">
        <v>38066</v>
      </c>
      <c r="AN569" s="847">
        <v>38827</v>
      </c>
      <c r="AO569" s="847">
        <v>39604</v>
      </c>
      <c r="AP569" s="847">
        <v>40396</v>
      </c>
      <c r="AQ569" s="847">
        <v>41204</v>
      </c>
      <c r="AR569" s="847">
        <v>42028</v>
      </c>
      <c r="AS569" s="847">
        <v>42869</v>
      </c>
      <c r="AT569" s="847">
        <v>43726</v>
      </c>
      <c r="AU569" s="847">
        <v>44601</v>
      </c>
      <c r="AV569" s="847">
        <v>45493</v>
      </c>
      <c r="AW569" s="847">
        <v>46402</v>
      </c>
      <c r="AX569" s="847">
        <v>47329</v>
      </c>
      <c r="AY569" s="847">
        <v>48273</v>
      </c>
      <c r="AZ569" s="847">
        <v>49236</v>
      </c>
      <c r="BA569" s="847">
        <v>50217</v>
      </c>
      <c r="BB569" s="847">
        <v>51216</v>
      </c>
      <c r="BC569" s="847">
        <v>52235</v>
      </c>
      <c r="BD569" s="847">
        <v>53272</v>
      </c>
      <c r="BE569" s="847">
        <v>54328</v>
      </c>
      <c r="BF569" s="847">
        <v>55403</v>
      </c>
      <c r="BG569" s="847">
        <v>56499</v>
      </c>
      <c r="BH569" s="847">
        <v>57614</v>
      </c>
      <c r="BI569" s="847">
        <v>58750</v>
      </c>
      <c r="BJ569" s="847">
        <v>59906</v>
      </c>
      <c r="BK569" s="847">
        <v>61081</v>
      </c>
      <c r="BL569" s="847">
        <v>62277</v>
      </c>
      <c r="BM569" s="847">
        <v>63493</v>
      </c>
      <c r="BN569" s="847">
        <v>64729</v>
      </c>
      <c r="BO569" s="847">
        <v>65986</v>
      </c>
      <c r="BP569" s="847">
        <v>67263</v>
      </c>
      <c r="BQ569" s="847">
        <v>68561</v>
      </c>
      <c r="BR569" s="847">
        <v>69879</v>
      </c>
      <c r="BS569" s="847">
        <v>71216</v>
      </c>
      <c r="BT569" s="847">
        <v>72573</v>
      </c>
      <c r="BU569" s="847">
        <v>73948</v>
      </c>
      <c r="BV569" s="847">
        <v>75340</v>
      </c>
      <c r="BW569" s="847">
        <v>76750</v>
      </c>
      <c r="BX569" s="847">
        <v>78177</v>
      </c>
      <c r="BY569" s="847">
        <v>79621</v>
      </c>
      <c r="BZ569" s="847">
        <v>81081</v>
      </c>
      <c r="CA569" s="847">
        <v>82556</v>
      </c>
      <c r="CB569" s="847">
        <v>84046</v>
      </c>
      <c r="CC569" s="847">
        <v>85549</v>
      </c>
      <c r="CD569" s="847">
        <v>87065</v>
      </c>
      <c r="CE569" s="847">
        <v>88593</v>
      </c>
      <c r="CF569" s="847">
        <v>90132</v>
      </c>
      <c r="CG569" s="847">
        <v>91682</v>
      </c>
      <c r="CH569" s="847">
        <v>93241</v>
      </c>
      <c r="CI569" s="847">
        <v>94810</v>
      </c>
      <c r="CJ569" s="847">
        <v>96387</v>
      </c>
      <c r="CK569" s="847">
        <v>97972</v>
      </c>
      <c r="CL569" s="847">
        <v>99564</v>
      </c>
      <c r="CM569" s="847">
        <v>101163</v>
      </c>
      <c r="CN569" s="847">
        <v>102768</v>
      </c>
      <c r="CO569" s="847">
        <v>104379</v>
      </c>
      <c r="CP569" s="847">
        <v>105994</v>
      </c>
      <c r="CQ569" s="847">
        <v>107613</v>
      </c>
      <c r="CR569" s="847">
        <v>109231</v>
      </c>
      <c r="CS569" s="847">
        <v>110839</v>
      </c>
      <c r="CT569" s="847">
        <v>112446</v>
      </c>
      <c r="CU569" s="847">
        <v>114050</v>
      </c>
      <c r="CV569" s="847">
        <v>115650</v>
      </c>
      <c r="CW569" s="847">
        <v>117247</v>
      </c>
      <c r="CX569" s="847">
        <v>118839</v>
      </c>
      <c r="CY569" s="847">
        <v>120426</v>
      </c>
      <c r="CZ569" s="847">
        <v>122007</v>
      </c>
      <c r="DA569" s="847">
        <v>123583</v>
      </c>
      <c r="DB569" s="847">
        <v>125152</v>
      </c>
      <c r="DC569" s="847">
        <v>126716</v>
      </c>
      <c r="DD569" s="847">
        <v>128272</v>
      </c>
      <c r="DE569" s="847">
        <v>129822</v>
      </c>
      <c r="DF569" s="847">
        <v>131366</v>
      </c>
      <c r="DG569" s="847">
        <v>132903</v>
      </c>
      <c r="DH569" s="847">
        <v>134432</v>
      </c>
      <c r="DI569" s="847">
        <v>135954</v>
      </c>
      <c r="DJ569" s="847">
        <v>137432</v>
      </c>
      <c r="DK569" s="847">
        <v>138800</v>
      </c>
      <c r="DL569" s="847">
        <v>0</v>
      </c>
      <c r="DM569" s="847">
        <v>0</v>
      </c>
      <c r="DN569" s="847">
        <v>0</v>
      </c>
      <c r="DO569" s="847">
        <v>0</v>
      </c>
      <c r="DP569" s="847">
        <v>0</v>
      </c>
      <c r="DQ569" s="847">
        <v>0</v>
      </c>
      <c r="DR569" s="847">
        <v>0</v>
      </c>
      <c r="DS569" s="847">
        <v>0</v>
      </c>
      <c r="DT569" s="847">
        <v>0</v>
      </c>
      <c r="DU569" s="847">
        <v>0</v>
      </c>
      <c r="DV569" s="847">
        <v>0</v>
      </c>
      <c r="DW569" s="847">
        <v>0</v>
      </c>
      <c r="DX569" s="847">
        <v>0</v>
      </c>
    </row>
    <row r="570" spans="12:128" hidden="1">
      <c r="L570" s="846" t="s">
        <v>1060</v>
      </c>
      <c r="M570" s="846" t="s">
        <v>1382</v>
      </c>
      <c r="N570" s="846" t="s">
        <v>97</v>
      </c>
      <c r="O570" s="847">
        <v>14</v>
      </c>
      <c r="P570" s="780" t="str">
        <f t="shared" si="19"/>
        <v>IWT060214</v>
      </c>
      <c r="Q570" s="847">
        <v>24749</v>
      </c>
      <c r="R570" s="847">
        <v>25248</v>
      </c>
      <c r="S570" s="847">
        <v>25758</v>
      </c>
      <c r="T570" s="847">
        <v>26273</v>
      </c>
      <c r="U570" s="847">
        <v>26798</v>
      </c>
      <c r="V570" s="847">
        <v>27334</v>
      </c>
      <c r="W570" s="847">
        <v>27881</v>
      </c>
      <c r="X570" s="847">
        <v>28438</v>
      </c>
      <c r="Y570" s="847">
        <v>29006</v>
      </c>
      <c r="Z570" s="847">
        <v>29586</v>
      </c>
      <c r="AA570" s="847">
        <v>30178</v>
      </c>
      <c r="AB570" s="847">
        <v>30782</v>
      </c>
      <c r="AC570" s="847">
        <v>31397</v>
      </c>
      <c r="AD570" s="847">
        <v>32025</v>
      </c>
      <c r="AE570" s="847">
        <v>32666</v>
      </c>
      <c r="AF570" s="847">
        <v>33319</v>
      </c>
      <c r="AG570" s="847">
        <v>33985</v>
      </c>
      <c r="AH570" s="847">
        <v>34665</v>
      </c>
      <c r="AI570" s="847">
        <v>35358</v>
      </c>
      <c r="AJ570" s="847">
        <v>36066</v>
      </c>
      <c r="AK570" s="847">
        <v>36787</v>
      </c>
      <c r="AL570" s="847">
        <v>37523</v>
      </c>
      <c r="AM570" s="847">
        <v>38273</v>
      </c>
      <c r="AN570" s="847">
        <v>39038</v>
      </c>
      <c r="AO570" s="847">
        <v>39819</v>
      </c>
      <c r="AP570" s="847">
        <v>40616</v>
      </c>
      <c r="AQ570" s="847">
        <v>41428</v>
      </c>
      <c r="AR570" s="847">
        <v>42257</v>
      </c>
      <c r="AS570" s="847">
        <v>43102</v>
      </c>
      <c r="AT570" s="847">
        <v>43964</v>
      </c>
      <c r="AU570" s="847">
        <v>44843</v>
      </c>
      <c r="AV570" s="847">
        <v>45740</v>
      </c>
      <c r="AW570" s="847">
        <v>46654</v>
      </c>
      <c r="AX570" s="847">
        <v>47587</v>
      </c>
      <c r="AY570" s="847">
        <v>48537</v>
      </c>
      <c r="AZ570" s="847">
        <v>49505</v>
      </c>
      <c r="BA570" s="847">
        <v>50491</v>
      </c>
      <c r="BB570" s="847">
        <v>51496</v>
      </c>
      <c r="BC570" s="847">
        <v>52520</v>
      </c>
      <c r="BD570" s="847">
        <v>53562</v>
      </c>
      <c r="BE570" s="847">
        <v>54624</v>
      </c>
      <c r="BF570" s="847">
        <v>55706</v>
      </c>
      <c r="BG570" s="847">
        <v>56807</v>
      </c>
      <c r="BH570" s="847">
        <v>57929</v>
      </c>
      <c r="BI570" s="847">
        <v>59070</v>
      </c>
      <c r="BJ570" s="847">
        <v>60232</v>
      </c>
      <c r="BK570" s="847">
        <v>61413</v>
      </c>
      <c r="BL570" s="847">
        <v>62614</v>
      </c>
      <c r="BM570" s="847">
        <v>63835</v>
      </c>
      <c r="BN570" s="847">
        <v>65077</v>
      </c>
      <c r="BO570" s="847">
        <v>66339</v>
      </c>
      <c r="BP570" s="847">
        <v>67622</v>
      </c>
      <c r="BQ570" s="847">
        <v>68925</v>
      </c>
      <c r="BR570" s="847">
        <v>70247</v>
      </c>
      <c r="BS570" s="847">
        <v>71589</v>
      </c>
      <c r="BT570" s="847">
        <v>72949</v>
      </c>
      <c r="BU570" s="847">
        <v>74327</v>
      </c>
      <c r="BV570" s="847">
        <v>75722</v>
      </c>
      <c r="BW570" s="847">
        <v>77134</v>
      </c>
      <c r="BX570" s="847">
        <v>78563</v>
      </c>
      <c r="BY570" s="847">
        <v>80008</v>
      </c>
      <c r="BZ570" s="847">
        <v>81469</v>
      </c>
      <c r="CA570" s="847">
        <v>82945</v>
      </c>
      <c r="CB570" s="847">
        <v>84434</v>
      </c>
      <c r="CC570" s="847">
        <v>85937</v>
      </c>
      <c r="CD570" s="847">
        <v>87451</v>
      </c>
      <c r="CE570" s="847">
        <v>88977</v>
      </c>
      <c r="CF570" s="847">
        <v>90514</v>
      </c>
      <c r="CG570" s="847">
        <v>92060</v>
      </c>
      <c r="CH570" s="847">
        <v>93617</v>
      </c>
      <c r="CI570" s="847">
        <v>95182</v>
      </c>
      <c r="CJ570" s="847">
        <v>96755</v>
      </c>
      <c r="CK570" s="847">
        <v>98336</v>
      </c>
      <c r="CL570" s="847">
        <v>99924</v>
      </c>
      <c r="CM570" s="847">
        <v>101518</v>
      </c>
      <c r="CN570" s="847">
        <v>103118</v>
      </c>
      <c r="CO570" s="847">
        <v>104724</v>
      </c>
      <c r="CP570" s="847">
        <v>106333</v>
      </c>
      <c r="CQ570" s="847">
        <v>107942</v>
      </c>
      <c r="CR570" s="847">
        <v>109541</v>
      </c>
      <c r="CS570" s="847">
        <v>111139</v>
      </c>
      <c r="CT570" s="847">
        <v>112735</v>
      </c>
      <c r="CU570" s="847">
        <v>114328</v>
      </c>
      <c r="CV570" s="847">
        <v>115918</v>
      </c>
      <c r="CW570" s="847">
        <v>117503</v>
      </c>
      <c r="CX570" s="847">
        <v>119084</v>
      </c>
      <c r="CY570" s="847">
        <v>120660</v>
      </c>
      <c r="CZ570" s="847">
        <v>122230</v>
      </c>
      <c r="DA570" s="847">
        <v>123795</v>
      </c>
      <c r="DB570" s="847">
        <v>125353</v>
      </c>
      <c r="DC570" s="847">
        <v>126905</v>
      </c>
      <c r="DD570" s="847">
        <v>128451</v>
      </c>
      <c r="DE570" s="847">
        <v>129991</v>
      </c>
      <c r="DF570" s="847">
        <v>131524</v>
      </c>
      <c r="DG570" s="847">
        <v>133051</v>
      </c>
      <c r="DH570" s="847">
        <v>134569</v>
      </c>
      <c r="DI570" s="847">
        <v>136046</v>
      </c>
      <c r="DJ570" s="847">
        <v>137400</v>
      </c>
      <c r="DK570" s="847">
        <v>0</v>
      </c>
      <c r="DL570" s="847">
        <v>0</v>
      </c>
      <c r="DM570" s="847">
        <v>0</v>
      </c>
      <c r="DN570" s="847">
        <v>0</v>
      </c>
      <c r="DO570" s="847">
        <v>0</v>
      </c>
      <c r="DP570" s="847">
        <v>0</v>
      </c>
      <c r="DQ570" s="847">
        <v>0</v>
      </c>
      <c r="DR570" s="847">
        <v>0</v>
      </c>
      <c r="DS570" s="847">
        <v>0</v>
      </c>
      <c r="DT570" s="847">
        <v>0</v>
      </c>
      <c r="DU570" s="847">
        <v>0</v>
      </c>
      <c r="DV570" s="847">
        <v>0</v>
      </c>
      <c r="DW570" s="847">
        <v>0</v>
      </c>
      <c r="DX570" s="847">
        <v>0</v>
      </c>
    </row>
    <row r="571" spans="12:128" hidden="1">
      <c r="L571" s="846" t="s">
        <v>1060</v>
      </c>
      <c r="M571" s="846" t="s">
        <v>1382</v>
      </c>
      <c r="N571" s="846" t="s">
        <v>97</v>
      </c>
      <c r="O571" s="847">
        <v>15</v>
      </c>
      <c r="P571" s="780" t="str">
        <f t="shared" si="19"/>
        <v>IWT060215</v>
      </c>
      <c r="Q571" s="847">
        <v>24883</v>
      </c>
      <c r="R571" s="847">
        <v>25385</v>
      </c>
      <c r="S571" s="847">
        <v>25893</v>
      </c>
      <c r="T571" s="847">
        <v>26411</v>
      </c>
      <c r="U571" s="847">
        <v>26939</v>
      </c>
      <c r="V571" s="847">
        <v>27478</v>
      </c>
      <c r="W571" s="847">
        <v>28027</v>
      </c>
      <c r="X571" s="847">
        <v>28587</v>
      </c>
      <c r="Y571" s="847">
        <v>29159</v>
      </c>
      <c r="Z571" s="847">
        <v>29742</v>
      </c>
      <c r="AA571" s="847">
        <v>30337</v>
      </c>
      <c r="AB571" s="847">
        <v>30943</v>
      </c>
      <c r="AC571" s="847">
        <v>31562</v>
      </c>
      <c r="AD571" s="847">
        <v>32193</v>
      </c>
      <c r="AE571" s="847">
        <v>32837</v>
      </c>
      <c r="AF571" s="847">
        <v>33494</v>
      </c>
      <c r="AG571" s="847">
        <v>34164</v>
      </c>
      <c r="AH571" s="847">
        <v>34847</v>
      </c>
      <c r="AI571" s="847">
        <v>35544</v>
      </c>
      <c r="AJ571" s="847">
        <v>36255</v>
      </c>
      <c r="AK571" s="847">
        <v>36980</v>
      </c>
      <c r="AL571" s="847">
        <v>37720</v>
      </c>
      <c r="AM571" s="847">
        <v>38474</v>
      </c>
      <c r="AN571" s="847">
        <v>39244</v>
      </c>
      <c r="AO571" s="847">
        <v>40028</v>
      </c>
      <c r="AP571" s="847">
        <v>40829</v>
      </c>
      <c r="AQ571" s="847">
        <v>41646</v>
      </c>
      <c r="AR571" s="847">
        <v>42478</v>
      </c>
      <c r="AS571" s="847">
        <v>43328</v>
      </c>
      <c r="AT571" s="847">
        <v>44195</v>
      </c>
      <c r="AU571" s="847">
        <v>45078</v>
      </c>
      <c r="AV571" s="847">
        <v>45980</v>
      </c>
      <c r="AW571" s="847">
        <v>46900</v>
      </c>
      <c r="AX571" s="847">
        <v>47837</v>
      </c>
      <c r="AY571" s="847">
        <v>48792</v>
      </c>
      <c r="AZ571" s="847">
        <v>49766</v>
      </c>
      <c r="BA571" s="847">
        <v>50757</v>
      </c>
      <c r="BB571" s="847">
        <v>51768</v>
      </c>
      <c r="BC571" s="847">
        <v>52797</v>
      </c>
      <c r="BD571" s="847">
        <v>53845</v>
      </c>
      <c r="BE571" s="847">
        <v>54913</v>
      </c>
      <c r="BF571" s="847">
        <v>56001</v>
      </c>
      <c r="BG571" s="847">
        <v>57108</v>
      </c>
      <c r="BH571" s="847">
        <v>58235</v>
      </c>
      <c r="BI571" s="847">
        <v>59382</v>
      </c>
      <c r="BJ571" s="847">
        <v>60548</v>
      </c>
      <c r="BK571" s="847">
        <v>61735</v>
      </c>
      <c r="BL571" s="847">
        <v>62941</v>
      </c>
      <c r="BM571" s="847">
        <v>64168</v>
      </c>
      <c r="BN571" s="847">
        <v>65416</v>
      </c>
      <c r="BO571" s="847">
        <v>66684</v>
      </c>
      <c r="BP571" s="847">
        <v>67971</v>
      </c>
      <c r="BQ571" s="847">
        <v>69279</v>
      </c>
      <c r="BR571" s="847">
        <v>70605</v>
      </c>
      <c r="BS571" s="847">
        <v>71950</v>
      </c>
      <c r="BT571" s="847">
        <v>73313</v>
      </c>
      <c r="BU571" s="847">
        <v>74693</v>
      </c>
      <c r="BV571" s="847">
        <v>76090</v>
      </c>
      <c r="BW571" s="847">
        <v>77505</v>
      </c>
      <c r="BX571" s="847">
        <v>78936</v>
      </c>
      <c r="BY571" s="847">
        <v>80383</v>
      </c>
      <c r="BZ571" s="847">
        <v>81844</v>
      </c>
      <c r="CA571" s="847">
        <v>83320</v>
      </c>
      <c r="CB571" s="847">
        <v>84808</v>
      </c>
      <c r="CC571" s="847">
        <v>86309</v>
      </c>
      <c r="CD571" s="847">
        <v>87822</v>
      </c>
      <c r="CE571" s="847">
        <v>89345</v>
      </c>
      <c r="CF571" s="847">
        <v>90880</v>
      </c>
      <c r="CG571" s="847">
        <v>92424</v>
      </c>
      <c r="CH571" s="847">
        <v>93977</v>
      </c>
      <c r="CI571" s="847">
        <v>95538</v>
      </c>
      <c r="CJ571" s="847">
        <v>97108</v>
      </c>
      <c r="CK571" s="847">
        <v>98685</v>
      </c>
      <c r="CL571" s="847">
        <v>100269</v>
      </c>
      <c r="CM571" s="847">
        <v>101858</v>
      </c>
      <c r="CN571" s="847">
        <v>103453</v>
      </c>
      <c r="CO571" s="847">
        <v>105053</v>
      </c>
      <c r="CP571" s="847">
        <v>106652</v>
      </c>
      <c r="CQ571" s="847">
        <v>108243</v>
      </c>
      <c r="CR571" s="847">
        <v>109833</v>
      </c>
      <c r="CS571" s="847">
        <v>111421</v>
      </c>
      <c r="CT571" s="847">
        <v>113007</v>
      </c>
      <c r="CU571" s="847">
        <v>114589</v>
      </c>
      <c r="CV571" s="847">
        <v>116168</v>
      </c>
      <c r="CW571" s="847">
        <v>117743</v>
      </c>
      <c r="CX571" s="847">
        <v>119312</v>
      </c>
      <c r="CY571" s="847">
        <v>120877</v>
      </c>
      <c r="CZ571" s="847">
        <v>122437</v>
      </c>
      <c r="DA571" s="847">
        <v>123991</v>
      </c>
      <c r="DB571" s="847">
        <v>125539</v>
      </c>
      <c r="DC571" s="847">
        <v>127081</v>
      </c>
      <c r="DD571" s="847">
        <v>128616</v>
      </c>
      <c r="DE571" s="847">
        <v>130146</v>
      </c>
      <c r="DF571" s="847">
        <v>131670</v>
      </c>
      <c r="DG571" s="847">
        <v>133185</v>
      </c>
      <c r="DH571" s="847">
        <v>134660</v>
      </c>
      <c r="DI571" s="847">
        <v>136000</v>
      </c>
      <c r="DJ571" s="847">
        <v>0</v>
      </c>
      <c r="DK571" s="847">
        <v>0</v>
      </c>
      <c r="DL571" s="847">
        <v>0</v>
      </c>
      <c r="DM571" s="847">
        <v>0</v>
      </c>
      <c r="DN571" s="847">
        <v>0</v>
      </c>
      <c r="DO571" s="847">
        <v>0</v>
      </c>
      <c r="DP571" s="847">
        <v>0</v>
      </c>
      <c r="DQ571" s="847">
        <v>0</v>
      </c>
      <c r="DR571" s="847">
        <v>0</v>
      </c>
      <c r="DS571" s="847">
        <v>0</v>
      </c>
      <c r="DT571" s="847">
        <v>0</v>
      </c>
      <c r="DU571" s="847">
        <v>0</v>
      </c>
      <c r="DV571" s="847">
        <v>0</v>
      </c>
      <c r="DW571" s="847">
        <v>0</v>
      </c>
      <c r="DX571" s="847">
        <v>0</v>
      </c>
    </row>
    <row r="572" spans="12:128" hidden="1">
      <c r="L572" s="846" t="s">
        <v>1060</v>
      </c>
      <c r="M572" s="846" t="s">
        <v>1382</v>
      </c>
      <c r="N572" s="846" t="s">
        <v>97</v>
      </c>
      <c r="O572" s="847">
        <v>16</v>
      </c>
      <c r="P572" s="780" t="str">
        <f t="shared" si="19"/>
        <v>IWT060216</v>
      </c>
      <c r="Q572" s="847">
        <v>25014</v>
      </c>
      <c r="R572" s="847">
        <v>25514</v>
      </c>
      <c r="S572" s="847">
        <v>26024</v>
      </c>
      <c r="T572" s="847">
        <v>26545</v>
      </c>
      <c r="U572" s="847">
        <v>27076</v>
      </c>
      <c r="V572" s="847">
        <v>27617</v>
      </c>
      <c r="W572" s="847">
        <v>28169</v>
      </c>
      <c r="X572" s="847">
        <v>28732</v>
      </c>
      <c r="Y572" s="847">
        <v>29306</v>
      </c>
      <c r="Z572" s="847">
        <v>29892</v>
      </c>
      <c r="AA572" s="847">
        <v>30490</v>
      </c>
      <c r="AB572" s="847">
        <v>31100</v>
      </c>
      <c r="AC572" s="847">
        <v>31722</v>
      </c>
      <c r="AD572" s="847">
        <v>32357</v>
      </c>
      <c r="AE572" s="847">
        <v>33004</v>
      </c>
      <c r="AF572" s="847">
        <v>33664</v>
      </c>
      <c r="AG572" s="847">
        <v>34337</v>
      </c>
      <c r="AH572" s="847">
        <v>35024</v>
      </c>
      <c r="AI572" s="847">
        <v>35724</v>
      </c>
      <c r="AJ572" s="847">
        <v>36439</v>
      </c>
      <c r="AK572" s="847">
        <v>37168</v>
      </c>
      <c r="AL572" s="847">
        <v>37911</v>
      </c>
      <c r="AM572" s="847">
        <v>38669</v>
      </c>
      <c r="AN572" s="847">
        <v>39442</v>
      </c>
      <c r="AO572" s="847">
        <v>40231</v>
      </c>
      <c r="AP572" s="847">
        <v>41036</v>
      </c>
      <c r="AQ572" s="847">
        <v>41857</v>
      </c>
      <c r="AR572" s="847">
        <v>42694</v>
      </c>
      <c r="AS572" s="847">
        <v>43548</v>
      </c>
      <c r="AT572" s="847">
        <v>44419</v>
      </c>
      <c r="AU572" s="847">
        <v>45307</v>
      </c>
      <c r="AV572" s="847">
        <v>46213</v>
      </c>
      <c r="AW572" s="847">
        <v>47137</v>
      </c>
      <c r="AX572" s="847">
        <v>48080</v>
      </c>
      <c r="AY572" s="847">
        <v>49040</v>
      </c>
      <c r="AZ572" s="847">
        <v>50019</v>
      </c>
      <c r="BA572" s="847">
        <v>51016</v>
      </c>
      <c r="BB572" s="847">
        <v>52032</v>
      </c>
      <c r="BC572" s="847">
        <v>53066</v>
      </c>
      <c r="BD572" s="847">
        <v>54120</v>
      </c>
      <c r="BE572" s="847">
        <v>55194</v>
      </c>
      <c r="BF572" s="847">
        <v>56287</v>
      </c>
      <c r="BG572" s="847">
        <v>57400</v>
      </c>
      <c r="BH572" s="847">
        <v>58532</v>
      </c>
      <c r="BI572" s="847">
        <v>59684</v>
      </c>
      <c r="BJ572" s="847">
        <v>60856</v>
      </c>
      <c r="BK572" s="847">
        <v>62048</v>
      </c>
      <c r="BL572" s="847">
        <v>63260</v>
      </c>
      <c r="BM572" s="847">
        <v>64492</v>
      </c>
      <c r="BN572" s="847">
        <v>65745</v>
      </c>
      <c r="BO572" s="847">
        <v>67018</v>
      </c>
      <c r="BP572" s="847">
        <v>68310</v>
      </c>
      <c r="BQ572" s="847">
        <v>69621</v>
      </c>
      <c r="BR572" s="847">
        <v>70951</v>
      </c>
      <c r="BS572" s="847">
        <v>72299</v>
      </c>
      <c r="BT572" s="847">
        <v>73664</v>
      </c>
      <c r="BU572" s="847">
        <v>75047</v>
      </c>
      <c r="BV572" s="847">
        <v>76447</v>
      </c>
      <c r="BW572" s="847">
        <v>77863</v>
      </c>
      <c r="BX572" s="847">
        <v>79296</v>
      </c>
      <c r="BY572" s="847">
        <v>80743</v>
      </c>
      <c r="BZ572" s="847">
        <v>82205</v>
      </c>
      <c r="CA572" s="847">
        <v>83679</v>
      </c>
      <c r="CB572" s="847">
        <v>85167</v>
      </c>
      <c r="CC572" s="847">
        <v>86666</v>
      </c>
      <c r="CD572" s="847">
        <v>88177</v>
      </c>
      <c r="CE572" s="847">
        <v>89699</v>
      </c>
      <c r="CF572" s="847">
        <v>91231</v>
      </c>
      <c r="CG572" s="847">
        <v>92772</v>
      </c>
      <c r="CH572" s="847">
        <v>94322</v>
      </c>
      <c r="CI572" s="847">
        <v>95880</v>
      </c>
      <c r="CJ572" s="847">
        <v>97446</v>
      </c>
      <c r="CK572" s="847">
        <v>99019</v>
      </c>
      <c r="CL572" s="847">
        <v>100598</v>
      </c>
      <c r="CM572" s="847">
        <v>102183</v>
      </c>
      <c r="CN572" s="847">
        <v>103773</v>
      </c>
      <c r="CO572" s="847">
        <v>105362</v>
      </c>
      <c r="CP572" s="847">
        <v>106945</v>
      </c>
      <c r="CQ572" s="847">
        <v>108526</v>
      </c>
      <c r="CR572" s="847">
        <v>110107</v>
      </c>
      <c r="CS572" s="847">
        <v>111685</v>
      </c>
      <c r="CT572" s="847">
        <v>113260</v>
      </c>
      <c r="CU572" s="847">
        <v>114833</v>
      </c>
      <c r="CV572" s="847">
        <v>116401</v>
      </c>
      <c r="CW572" s="847">
        <v>117965</v>
      </c>
      <c r="CX572" s="847">
        <v>119525</v>
      </c>
      <c r="CY572" s="847">
        <v>121079</v>
      </c>
      <c r="CZ572" s="847">
        <v>122628</v>
      </c>
      <c r="DA572" s="847">
        <v>124172</v>
      </c>
      <c r="DB572" s="847">
        <v>125710</v>
      </c>
      <c r="DC572" s="847">
        <v>127242</v>
      </c>
      <c r="DD572" s="847">
        <v>128768</v>
      </c>
      <c r="DE572" s="847">
        <v>130288</v>
      </c>
      <c r="DF572" s="847">
        <v>131801</v>
      </c>
      <c r="DG572" s="847">
        <v>133274</v>
      </c>
      <c r="DH572" s="847">
        <v>134600</v>
      </c>
      <c r="DI572" s="847">
        <v>0</v>
      </c>
      <c r="DJ572" s="847">
        <v>0</v>
      </c>
      <c r="DK572" s="847">
        <v>0</v>
      </c>
      <c r="DL572" s="847">
        <v>0</v>
      </c>
      <c r="DM572" s="847">
        <v>0</v>
      </c>
      <c r="DN572" s="847">
        <v>0</v>
      </c>
      <c r="DO572" s="847">
        <v>0</v>
      </c>
      <c r="DP572" s="847">
        <v>0</v>
      </c>
      <c r="DQ572" s="847">
        <v>0</v>
      </c>
      <c r="DR572" s="847">
        <v>0</v>
      </c>
      <c r="DS572" s="847">
        <v>0</v>
      </c>
      <c r="DT572" s="847">
        <v>0</v>
      </c>
      <c r="DU572" s="847">
        <v>0</v>
      </c>
      <c r="DV572" s="847">
        <v>0</v>
      </c>
      <c r="DW572" s="847">
        <v>0</v>
      </c>
      <c r="DX572" s="847">
        <v>0</v>
      </c>
    </row>
    <row r="573" spans="12:128" hidden="1">
      <c r="L573" s="846" t="s">
        <v>1060</v>
      </c>
      <c r="M573" s="846" t="s">
        <v>1382</v>
      </c>
      <c r="N573" s="846" t="s">
        <v>97</v>
      </c>
      <c r="O573" s="847">
        <v>17</v>
      </c>
      <c r="P573" s="780" t="str">
        <f t="shared" si="19"/>
        <v>IWT060217</v>
      </c>
      <c r="Q573" s="847">
        <v>25136</v>
      </c>
      <c r="R573" s="847">
        <v>25639</v>
      </c>
      <c r="S573" s="847">
        <v>26152</v>
      </c>
      <c r="T573" s="847">
        <v>26675</v>
      </c>
      <c r="U573" s="847">
        <v>27208</v>
      </c>
      <c r="V573" s="847">
        <v>27752</v>
      </c>
      <c r="W573" s="847">
        <v>28307</v>
      </c>
      <c r="X573" s="847">
        <v>28872</v>
      </c>
      <c r="Y573" s="847">
        <v>29450</v>
      </c>
      <c r="Z573" s="847">
        <v>30038</v>
      </c>
      <c r="AA573" s="847">
        <v>30639</v>
      </c>
      <c r="AB573" s="847">
        <v>31252</v>
      </c>
      <c r="AC573" s="847">
        <v>31877</v>
      </c>
      <c r="AD573" s="847">
        <v>32515</v>
      </c>
      <c r="AE573" s="847">
        <v>33165</v>
      </c>
      <c r="AF573" s="847">
        <v>33828</v>
      </c>
      <c r="AG573" s="847">
        <v>34505</v>
      </c>
      <c r="AH573" s="847">
        <v>35195</v>
      </c>
      <c r="AI573" s="847">
        <v>35899</v>
      </c>
      <c r="AJ573" s="847">
        <v>36617</v>
      </c>
      <c r="AK573" s="847">
        <v>37349</v>
      </c>
      <c r="AL573" s="847">
        <v>38096</v>
      </c>
      <c r="AM573" s="847">
        <v>38858</v>
      </c>
      <c r="AN573" s="847">
        <v>39635</v>
      </c>
      <c r="AO573" s="847">
        <v>40428</v>
      </c>
      <c r="AP573" s="847">
        <v>41236</v>
      </c>
      <c r="AQ573" s="847">
        <v>42061</v>
      </c>
      <c r="AR573" s="847">
        <v>42902</v>
      </c>
      <c r="AS573" s="847">
        <v>43760</v>
      </c>
      <c r="AT573" s="847">
        <v>44635</v>
      </c>
      <c r="AU573" s="847">
        <v>45528</v>
      </c>
      <c r="AV573" s="847">
        <v>46439</v>
      </c>
      <c r="AW573" s="847">
        <v>47368</v>
      </c>
      <c r="AX573" s="847">
        <v>48315</v>
      </c>
      <c r="AY573" s="847">
        <v>49280</v>
      </c>
      <c r="AZ573" s="847">
        <v>50264</v>
      </c>
      <c r="BA573" s="847">
        <v>51266</v>
      </c>
      <c r="BB573" s="847">
        <v>52287</v>
      </c>
      <c r="BC573" s="847">
        <v>53327</v>
      </c>
      <c r="BD573" s="847">
        <v>54387</v>
      </c>
      <c r="BE573" s="847">
        <v>55466</v>
      </c>
      <c r="BF573" s="847">
        <v>56564</v>
      </c>
      <c r="BG573" s="847">
        <v>57682</v>
      </c>
      <c r="BH573" s="847">
        <v>58820</v>
      </c>
      <c r="BI573" s="847">
        <v>59977</v>
      </c>
      <c r="BJ573" s="847">
        <v>61154</v>
      </c>
      <c r="BK573" s="847">
        <v>62351</v>
      </c>
      <c r="BL573" s="847">
        <v>63569</v>
      </c>
      <c r="BM573" s="847">
        <v>64806</v>
      </c>
      <c r="BN573" s="847">
        <v>66064</v>
      </c>
      <c r="BO573" s="847">
        <v>67341</v>
      </c>
      <c r="BP573" s="847">
        <v>68637</v>
      </c>
      <c r="BQ573" s="847">
        <v>69952</v>
      </c>
      <c r="BR573" s="847">
        <v>71285</v>
      </c>
      <c r="BS573" s="847">
        <v>72636</v>
      </c>
      <c r="BT573" s="847">
        <v>74004</v>
      </c>
      <c r="BU573" s="847">
        <v>75389</v>
      </c>
      <c r="BV573" s="847">
        <v>76791</v>
      </c>
      <c r="BW573" s="847">
        <v>78209</v>
      </c>
      <c r="BX573" s="847">
        <v>79642</v>
      </c>
      <c r="BY573" s="847">
        <v>81090</v>
      </c>
      <c r="BZ573" s="847">
        <v>82551</v>
      </c>
      <c r="CA573" s="847">
        <v>84025</v>
      </c>
      <c r="CB573" s="847">
        <v>85511</v>
      </c>
      <c r="CC573" s="847">
        <v>87009</v>
      </c>
      <c r="CD573" s="847">
        <v>88518</v>
      </c>
      <c r="CE573" s="847">
        <v>90038</v>
      </c>
      <c r="CF573" s="847">
        <v>91567</v>
      </c>
      <c r="CG573" s="847">
        <v>93105</v>
      </c>
      <c r="CH573" s="847">
        <v>94652</v>
      </c>
      <c r="CI573" s="847">
        <v>96207</v>
      </c>
      <c r="CJ573" s="847">
        <v>97769</v>
      </c>
      <c r="CK573" s="847">
        <v>99337</v>
      </c>
      <c r="CL573" s="847">
        <v>100912</v>
      </c>
      <c r="CM573" s="847">
        <v>102492</v>
      </c>
      <c r="CN573" s="847">
        <v>104073</v>
      </c>
      <c r="CO573" s="847">
        <v>105646</v>
      </c>
      <c r="CP573" s="847">
        <v>107220</v>
      </c>
      <c r="CQ573" s="847">
        <v>108792</v>
      </c>
      <c r="CR573" s="847">
        <v>110363</v>
      </c>
      <c r="CS573" s="847">
        <v>111932</v>
      </c>
      <c r="CT573" s="847">
        <v>113497</v>
      </c>
      <c r="CU573" s="847">
        <v>115060</v>
      </c>
      <c r="CV573" s="847">
        <v>116618</v>
      </c>
      <c r="CW573" s="847">
        <v>118172</v>
      </c>
      <c r="CX573" s="847">
        <v>119721</v>
      </c>
      <c r="CY573" s="847">
        <v>121266</v>
      </c>
      <c r="CZ573" s="847">
        <v>122805</v>
      </c>
      <c r="DA573" s="847">
        <v>124339</v>
      </c>
      <c r="DB573" s="847">
        <v>125867</v>
      </c>
      <c r="DC573" s="847">
        <v>127390</v>
      </c>
      <c r="DD573" s="847">
        <v>128907</v>
      </c>
      <c r="DE573" s="847">
        <v>130417</v>
      </c>
      <c r="DF573" s="847">
        <v>131888</v>
      </c>
      <c r="DG573" s="847">
        <v>133200</v>
      </c>
      <c r="DH573" s="847">
        <v>0</v>
      </c>
      <c r="DI573" s="847">
        <v>0</v>
      </c>
      <c r="DJ573" s="847">
        <v>0</v>
      </c>
      <c r="DK573" s="847">
        <v>0</v>
      </c>
      <c r="DL573" s="847">
        <v>0</v>
      </c>
      <c r="DM573" s="847">
        <v>0</v>
      </c>
      <c r="DN573" s="847">
        <v>0</v>
      </c>
      <c r="DO573" s="847">
        <v>0</v>
      </c>
      <c r="DP573" s="847">
        <v>0</v>
      </c>
      <c r="DQ573" s="847">
        <v>0</v>
      </c>
      <c r="DR573" s="847">
        <v>0</v>
      </c>
      <c r="DS573" s="847">
        <v>0</v>
      </c>
      <c r="DT573" s="847">
        <v>0</v>
      </c>
      <c r="DU573" s="847">
        <v>0</v>
      </c>
      <c r="DV573" s="847">
        <v>0</v>
      </c>
      <c r="DW573" s="847">
        <v>0</v>
      </c>
      <c r="DX573" s="847">
        <v>0</v>
      </c>
    </row>
    <row r="574" spans="12:128" hidden="1">
      <c r="L574" s="846" t="s">
        <v>1060</v>
      </c>
      <c r="M574" s="846" t="s">
        <v>1382</v>
      </c>
      <c r="N574" s="846" t="s">
        <v>97</v>
      </c>
      <c r="O574" s="847">
        <v>18</v>
      </c>
      <c r="P574" s="780" t="str">
        <f t="shared" si="19"/>
        <v>IWT060218</v>
      </c>
      <c r="Q574" s="847">
        <v>25254</v>
      </c>
      <c r="R574" s="847">
        <v>25759</v>
      </c>
      <c r="S574" s="847">
        <v>26275</v>
      </c>
      <c r="T574" s="847">
        <v>26800</v>
      </c>
      <c r="U574" s="847">
        <v>27336</v>
      </c>
      <c r="V574" s="847">
        <v>27883</v>
      </c>
      <c r="W574" s="847">
        <v>28440</v>
      </c>
      <c r="X574" s="847">
        <v>29008</v>
      </c>
      <c r="Y574" s="847">
        <v>29588</v>
      </c>
      <c r="Z574" s="847">
        <v>30180</v>
      </c>
      <c r="AA574" s="847">
        <v>30783</v>
      </c>
      <c r="AB574" s="847">
        <v>31399</v>
      </c>
      <c r="AC574" s="847">
        <v>32027</v>
      </c>
      <c r="AD574" s="847">
        <v>32667</v>
      </c>
      <c r="AE574" s="847">
        <v>33321</v>
      </c>
      <c r="AF574" s="847">
        <v>33987</v>
      </c>
      <c r="AG574" s="847">
        <v>34667</v>
      </c>
      <c r="AH574" s="847">
        <v>35360</v>
      </c>
      <c r="AI574" s="847">
        <v>36067</v>
      </c>
      <c r="AJ574" s="847">
        <v>36789</v>
      </c>
      <c r="AK574" s="847">
        <v>37524</v>
      </c>
      <c r="AL574" s="847">
        <v>38275</v>
      </c>
      <c r="AM574" s="847">
        <v>39040</v>
      </c>
      <c r="AN574" s="847">
        <v>39821</v>
      </c>
      <c r="AO574" s="847">
        <v>40618</v>
      </c>
      <c r="AP574" s="847">
        <v>41430</v>
      </c>
      <c r="AQ574" s="847">
        <v>42259</v>
      </c>
      <c r="AR574" s="847">
        <v>43104</v>
      </c>
      <c r="AS574" s="847">
        <v>43966</v>
      </c>
      <c r="AT574" s="847">
        <v>44845</v>
      </c>
      <c r="AU574" s="847">
        <v>45742</v>
      </c>
      <c r="AV574" s="847">
        <v>46657</v>
      </c>
      <c r="AW574" s="847">
        <v>47590</v>
      </c>
      <c r="AX574" s="847">
        <v>48542</v>
      </c>
      <c r="AY574" s="847">
        <v>49512</v>
      </c>
      <c r="AZ574" s="847">
        <v>50501</v>
      </c>
      <c r="BA574" s="847">
        <v>51508</v>
      </c>
      <c r="BB574" s="847">
        <v>52535</v>
      </c>
      <c r="BC574" s="847">
        <v>53580</v>
      </c>
      <c r="BD574" s="847">
        <v>54645</v>
      </c>
      <c r="BE574" s="847">
        <v>55729</v>
      </c>
      <c r="BF574" s="847">
        <v>56832</v>
      </c>
      <c r="BG574" s="847">
        <v>57955</v>
      </c>
      <c r="BH574" s="847">
        <v>59098</v>
      </c>
      <c r="BI574" s="847">
        <v>60260</v>
      </c>
      <c r="BJ574" s="847">
        <v>61443</v>
      </c>
      <c r="BK574" s="847">
        <v>62645</v>
      </c>
      <c r="BL574" s="847">
        <v>63868</v>
      </c>
      <c r="BM574" s="847">
        <v>65110</v>
      </c>
      <c r="BN574" s="847">
        <v>66372</v>
      </c>
      <c r="BO574" s="847">
        <v>67653</v>
      </c>
      <c r="BP574" s="847">
        <v>68953</v>
      </c>
      <c r="BQ574" s="847">
        <v>70271</v>
      </c>
      <c r="BR574" s="847">
        <v>71607</v>
      </c>
      <c r="BS574" s="847">
        <v>72960</v>
      </c>
      <c r="BT574" s="847">
        <v>74331</v>
      </c>
      <c r="BU574" s="847">
        <v>75718</v>
      </c>
      <c r="BV574" s="847">
        <v>77122</v>
      </c>
      <c r="BW574" s="847">
        <v>78541</v>
      </c>
      <c r="BX574" s="847">
        <v>79975</v>
      </c>
      <c r="BY574" s="847">
        <v>81422</v>
      </c>
      <c r="BZ574" s="847">
        <v>82883</v>
      </c>
      <c r="CA574" s="847">
        <v>84356</v>
      </c>
      <c r="CB574" s="847">
        <v>85841</v>
      </c>
      <c r="CC574" s="847">
        <v>87338</v>
      </c>
      <c r="CD574" s="847">
        <v>88845</v>
      </c>
      <c r="CE574" s="847">
        <v>90362</v>
      </c>
      <c r="CF574" s="847">
        <v>91888</v>
      </c>
      <c r="CG574" s="847">
        <v>93424</v>
      </c>
      <c r="CH574" s="847">
        <v>94968</v>
      </c>
      <c r="CI574" s="847">
        <v>96519</v>
      </c>
      <c r="CJ574" s="847">
        <v>98077</v>
      </c>
      <c r="CK574" s="847">
        <v>99642</v>
      </c>
      <c r="CL574" s="847">
        <v>101212</v>
      </c>
      <c r="CM574" s="847">
        <v>102783</v>
      </c>
      <c r="CN574" s="847">
        <v>104348</v>
      </c>
      <c r="CO574" s="847">
        <v>105913</v>
      </c>
      <c r="CP574" s="847">
        <v>107478</v>
      </c>
      <c r="CQ574" s="847">
        <v>109041</v>
      </c>
      <c r="CR574" s="847">
        <v>110603</v>
      </c>
      <c r="CS574" s="847">
        <v>112162</v>
      </c>
      <c r="CT574" s="847">
        <v>113718</v>
      </c>
      <c r="CU574" s="847">
        <v>115271</v>
      </c>
      <c r="CV574" s="847">
        <v>116819</v>
      </c>
      <c r="CW574" s="847">
        <v>118363</v>
      </c>
      <c r="CX574" s="847">
        <v>119903</v>
      </c>
      <c r="CY574" s="847">
        <v>121438</v>
      </c>
      <c r="CZ574" s="847">
        <v>122968</v>
      </c>
      <c r="DA574" s="847">
        <v>124492</v>
      </c>
      <c r="DB574" s="847">
        <v>126012</v>
      </c>
      <c r="DC574" s="847">
        <v>127525</v>
      </c>
      <c r="DD574" s="847">
        <v>129032</v>
      </c>
      <c r="DE574" s="847">
        <v>130501</v>
      </c>
      <c r="DF574" s="847">
        <v>131800</v>
      </c>
      <c r="DG574" s="847">
        <v>0</v>
      </c>
      <c r="DH574" s="847">
        <v>0</v>
      </c>
      <c r="DI574" s="847">
        <v>0</v>
      </c>
      <c r="DJ574" s="847">
        <v>0</v>
      </c>
      <c r="DK574" s="847">
        <v>0</v>
      </c>
      <c r="DL574" s="847">
        <v>0</v>
      </c>
      <c r="DM574" s="847">
        <v>0</v>
      </c>
      <c r="DN574" s="847">
        <v>0</v>
      </c>
      <c r="DO574" s="847">
        <v>0</v>
      </c>
      <c r="DP574" s="847">
        <v>0</v>
      </c>
      <c r="DQ574" s="847">
        <v>0</v>
      </c>
      <c r="DR574" s="847">
        <v>0</v>
      </c>
      <c r="DS574" s="847">
        <v>0</v>
      </c>
      <c r="DT574" s="847">
        <v>0</v>
      </c>
      <c r="DU574" s="847">
        <v>0</v>
      </c>
      <c r="DV574" s="847">
        <v>0</v>
      </c>
      <c r="DW574" s="847">
        <v>0</v>
      </c>
      <c r="DX574" s="847">
        <v>0</v>
      </c>
    </row>
    <row r="575" spans="12:128" hidden="1">
      <c r="L575" s="846" t="s">
        <v>1060</v>
      </c>
      <c r="M575" s="846" t="s">
        <v>1382</v>
      </c>
      <c r="N575" s="846" t="s">
        <v>97</v>
      </c>
      <c r="O575" s="847">
        <v>19</v>
      </c>
      <c r="P575" s="780" t="str">
        <f t="shared" si="19"/>
        <v>IWT060219</v>
      </c>
      <c r="Q575" s="847">
        <v>25368</v>
      </c>
      <c r="R575" s="847">
        <v>25876</v>
      </c>
      <c r="S575" s="847">
        <v>26393</v>
      </c>
      <c r="T575" s="847">
        <v>26921</v>
      </c>
      <c r="U575" s="847">
        <v>27459</v>
      </c>
      <c r="V575" s="847">
        <v>28008</v>
      </c>
      <c r="W575" s="847">
        <v>28568</v>
      </c>
      <c r="X575" s="847">
        <v>29139</v>
      </c>
      <c r="Y575" s="847">
        <v>29721</v>
      </c>
      <c r="Z575" s="847">
        <v>30315</v>
      </c>
      <c r="AA575" s="847">
        <v>30922</v>
      </c>
      <c r="AB575" s="847">
        <v>31540</v>
      </c>
      <c r="AC575" s="847">
        <v>32171</v>
      </c>
      <c r="AD575" s="847">
        <v>32814</v>
      </c>
      <c r="AE575" s="847">
        <v>33471</v>
      </c>
      <c r="AF575" s="847">
        <v>34140</v>
      </c>
      <c r="AG575" s="847">
        <v>34823</v>
      </c>
      <c r="AH575" s="847">
        <v>35519</v>
      </c>
      <c r="AI575" s="847">
        <v>36230</v>
      </c>
      <c r="AJ575" s="847">
        <v>36954</v>
      </c>
      <c r="AK575" s="847">
        <v>37693</v>
      </c>
      <c r="AL575" s="847">
        <v>38447</v>
      </c>
      <c r="AM575" s="847">
        <v>39216</v>
      </c>
      <c r="AN575" s="847">
        <v>40001</v>
      </c>
      <c r="AO575" s="847">
        <v>40801</v>
      </c>
      <c r="AP575" s="847">
        <v>41617</v>
      </c>
      <c r="AQ575" s="847">
        <v>42449</v>
      </c>
      <c r="AR575" s="847">
        <v>43298</v>
      </c>
      <c r="AS575" s="847">
        <v>44164</v>
      </c>
      <c r="AT575" s="847">
        <v>45047</v>
      </c>
      <c r="AU575" s="847">
        <v>45948</v>
      </c>
      <c r="AV575" s="847">
        <v>46867</v>
      </c>
      <c r="AW575" s="847">
        <v>47804</v>
      </c>
      <c r="AX575" s="847">
        <v>48760</v>
      </c>
      <c r="AY575" s="847">
        <v>49736</v>
      </c>
      <c r="AZ575" s="847">
        <v>50729</v>
      </c>
      <c r="BA575" s="847">
        <v>51742</v>
      </c>
      <c r="BB575" s="847">
        <v>52773</v>
      </c>
      <c r="BC575" s="847">
        <v>53824</v>
      </c>
      <c r="BD575" s="847">
        <v>54893</v>
      </c>
      <c r="BE575" s="847">
        <v>55982</v>
      </c>
      <c r="BF575" s="847">
        <v>57091</v>
      </c>
      <c r="BG575" s="847">
        <v>58219</v>
      </c>
      <c r="BH575" s="847">
        <v>59367</v>
      </c>
      <c r="BI575" s="847">
        <v>60534</v>
      </c>
      <c r="BJ575" s="847">
        <v>61722</v>
      </c>
      <c r="BK575" s="847">
        <v>62929</v>
      </c>
      <c r="BL575" s="847">
        <v>64157</v>
      </c>
      <c r="BM575" s="847">
        <v>65403</v>
      </c>
      <c r="BN575" s="847">
        <v>66669</v>
      </c>
      <c r="BO575" s="847">
        <v>67954</v>
      </c>
      <c r="BP575" s="847">
        <v>69257</v>
      </c>
      <c r="BQ575" s="847">
        <v>70578</v>
      </c>
      <c r="BR575" s="847">
        <v>71917</v>
      </c>
      <c r="BS575" s="847">
        <v>73273</v>
      </c>
      <c r="BT575" s="847">
        <v>74646</v>
      </c>
      <c r="BU575" s="847">
        <v>76035</v>
      </c>
      <c r="BV575" s="847">
        <v>77440</v>
      </c>
      <c r="BW575" s="847">
        <v>78860</v>
      </c>
      <c r="BX575" s="847">
        <v>80293</v>
      </c>
      <c r="BY575" s="847">
        <v>81741</v>
      </c>
      <c r="BZ575" s="847">
        <v>83201</v>
      </c>
      <c r="CA575" s="847">
        <v>84673</v>
      </c>
      <c r="CB575" s="847">
        <v>86157</v>
      </c>
      <c r="CC575" s="847">
        <v>87652</v>
      </c>
      <c r="CD575" s="847">
        <v>89157</v>
      </c>
      <c r="CE575" s="847">
        <v>90672</v>
      </c>
      <c r="CF575" s="847">
        <v>92196</v>
      </c>
      <c r="CG575" s="847">
        <v>93728</v>
      </c>
      <c r="CH575" s="847">
        <v>95269</v>
      </c>
      <c r="CI575" s="847">
        <v>96817</v>
      </c>
      <c r="CJ575" s="847">
        <v>98371</v>
      </c>
      <c r="CK575" s="847">
        <v>99932</v>
      </c>
      <c r="CL575" s="847">
        <v>101494</v>
      </c>
      <c r="CM575" s="847">
        <v>103050</v>
      </c>
      <c r="CN575" s="847">
        <v>104607</v>
      </c>
      <c r="CO575" s="847">
        <v>106164</v>
      </c>
      <c r="CP575" s="847">
        <v>107720</v>
      </c>
      <c r="CQ575" s="847">
        <v>109274</v>
      </c>
      <c r="CR575" s="847">
        <v>110827</v>
      </c>
      <c r="CS575" s="847">
        <v>112377</v>
      </c>
      <c r="CT575" s="847">
        <v>113923</v>
      </c>
      <c r="CU575" s="847">
        <v>115466</v>
      </c>
      <c r="CV575" s="847">
        <v>117006</v>
      </c>
      <c r="CW575" s="847">
        <v>118541</v>
      </c>
      <c r="CX575" s="847">
        <v>120071</v>
      </c>
      <c r="CY575" s="847">
        <v>121597</v>
      </c>
      <c r="CZ575" s="847">
        <v>123118</v>
      </c>
      <c r="DA575" s="847">
        <v>124633</v>
      </c>
      <c r="DB575" s="847">
        <v>126144</v>
      </c>
      <c r="DC575" s="847">
        <v>127648</v>
      </c>
      <c r="DD575" s="847">
        <v>129115</v>
      </c>
      <c r="DE575" s="847">
        <v>130400</v>
      </c>
      <c r="DF575" s="847">
        <v>0</v>
      </c>
      <c r="DG575" s="847">
        <v>0</v>
      </c>
      <c r="DH575" s="847">
        <v>0</v>
      </c>
      <c r="DI575" s="847">
        <v>0</v>
      </c>
      <c r="DJ575" s="847">
        <v>0</v>
      </c>
      <c r="DK575" s="847">
        <v>0</v>
      </c>
      <c r="DL575" s="847">
        <v>0</v>
      </c>
      <c r="DM575" s="847">
        <v>0</v>
      </c>
      <c r="DN575" s="847">
        <v>0</v>
      </c>
      <c r="DO575" s="847">
        <v>0</v>
      </c>
      <c r="DP575" s="847">
        <v>0</v>
      </c>
      <c r="DQ575" s="847">
        <v>0</v>
      </c>
      <c r="DR575" s="847">
        <v>0</v>
      </c>
      <c r="DS575" s="847">
        <v>0</v>
      </c>
      <c r="DT575" s="847">
        <v>0</v>
      </c>
      <c r="DU575" s="847">
        <v>0</v>
      </c>
      <c r="DV575" s="847">
        <v>0</v>
      </c>
      <c r="DW575" s="847">
        <v>0</v>
      </c>
      <c r="DX575" s="847">
        <v>0</v>
      </c>
    </row>
    <row r="576" spans="12:128" hidden="1">
      <c r="L576" s="846" t="s">
        <v>1060</v>
      </c>
      <c r="M576" s="846" t="s">
        <v>1382</v>
      </c>
      <c r="N576" s="846" t="s">
        <v>97</v>
      </c>
      <c r="O576" s="847">
        <v>20</v>
      </c>
      <c r="P576" s="780" t="str">
        <f t="shared" si="19"/>
        <v>IWT060220</v>
      </c>
      <c r="Q576" s="847">
        <v>25478</v>
      </c>
      <c r="R576" s="847">
        <v>25987</v>
      </c>
      <c r="S576" s="847">
        <v>26507</v>
      </c>
      <c r="T576" s="847">
        <v>27037</v>
      </c>
      <c r="U576" s="847">
        <v>27578</v>
      </c>
      <c r="V576" s="847">
        <v>28130</v>
      </c>
      <c r="W576" s="847">
        <v>28691</v>
      </c>
      <c r="X576" s="847">
        <v>29265</v>
      </c>
      <c r="Y576" s="847">
        <v>29850</v>
      </c>
      <c r="Z576" s="847">
        <v>30446</v>
      </c>
      <c r="AA576" s="847">
        <v>31055</v>
      </c>
      <c r="AB576" s="847">
        <v>31676</v>
      </c>
      <c r="AC576" s="847">
        <v>32310</v>
      </c>
      <c r="AD576" s="847">
        <v>32956</v>
      </c>
      <c r="AE576" s="847">
        <v>33615</v>
      </c>
      <c r="AF576" s="847">
        <v>34288</v>
      </c>
      <c r="AG576" s="847">
        <v>34973</v>
      </c>
      <c r="AH576" s="847">
        <v>35673</v>
      </c>
      <c r="AI576" s="847">
        <v>36386</v>
      </c>
      <c r="AJ576" s="847">
        <v>37114</v>
      </c>
      <c r="AK576" s="847">
        <v>37856</v>
      </c>
      <c r="AL576" s="847">
        <v>38613</v>
      </c>
      <c r="AM576" s="847">
        <v>39386</v>
      </c>
      <c r="AN576" s="847">
        <v>40173</v>
      </c>
      <c r="AO576" s="847">
        <v>40977</v>
      </c>
      <c r="AP576" s="847">
        <v>41796</v>
      </c>
      <c r="AQ576" s="847">
        <v>42632</v>
      </c>
      <c r="AR576" s="847">
        <v>43485</v>
      </c>
      <c r="AS576" s="847">
        <v>44355</v>
      </c>
      <c r="AT576" s="847">
        <v>45242</v>
      </c>
      <c r="AU576" s="847">
        <v>46146</v>
      </c>
      <c r="AV576" s="847">
        <v>47069</v>
      </c>
      <c r="AW576" s="847">
        <v>48011</v>
      </c>
      <c r="AX576" s="847">
        <v>48971</v>
      </c>
      <c r="AY576" s="847">
        <v>49950</v>
      </c>
      <c r="AZ576" s="847">
        <v>50949</v>
      </c>
      <c r="BA576" s="847">
        <v>51966</v>
      </c>
      <c r="BB576" s="847">
        <v>53003</v>
      </c>
      <c r="BC576" s="847">
        <v>54058</v>
      </c>
      <c r="BD576" s="847">
        <v>55133</v>
      </c>
      <c r="BE576" s="847">
        <v>56227</v>
      </c>
      <c r="BF576" s="847">
        <v>57340</v>
      </c>
      <c r="BG576" s="847">
        <v>58473</v>
      </c>
      <c r="BH576" s="847">
        <v>59626</v>
      </c>
      <c r="BI576" s="847">
        <v>60798</v>
      </c>
      <c r="BJ576" s="847">
        <v>61991</v>
      </c>
      <c r="BK576" s="847">
        <v>63203</v>
      </c>
      <c r="BL576" s="847">
        <v>64435</v>
      </c>
      <c r="BM576" s="847">
        <v>65686</v>
      </c>
      <c r="BN576" s="847">
        <v>66955</v>
      </c>
      <c r="BO576" s="847">
        <v>68243</v>
      </c>
      <c r="BP576" s="847">
        <v>69549</v>
      </c>
      <c r="BQ576" s="847">
        <v>70873</v>
      </c>
      <c r="BR576" s="847">
        <v>72215</v>
      </c>
      <c r="BS576" s="847">
        <v>73573</v>
      </c>
      <c r="BT576" s="847">
        <v>74948</v>
      </c>
      <c r="BU576" s="847">
        <v>76339</v>
      </c>
      <c r="BV576" s="847">
        <v>77745</v>
      </c>
      <c r="BW576" s="847">
        <v>79165</v>
      </c>
      <c r="BX576" s="847">
        <v>80599</v>
      </c>
      <c r="BY576" s="847">
        <v>82046</v>
      </c>
      <c r="BZ576" s="847">
        <v>83505</v>
      </c>
      <c r="CA576" s="847">
        <v>84976</v>
      </c>
      <c r="CB576" s="847">
        <v>86459</v>
      </c>
      <c r="CC576" s="847">
        <v>87952</v>
      </c>
      <c r="CD576" s="847">
        <v>89455</v>
      </c>
      <c r="CE576" s="847">
        <v>90968</v>
      </c>
      <c r="CF576" s="847">
        <v>92489</v>
      </c>
      <c r="CG576" s="847">
        <v>94019</v>
      </c>
      <c r="CH576" s="847">
        <v>95556</v>
      </c>
      <c r="CI576" s="847">
        <v>97101</v>
      </c>
      <c r="CJ576" s="847">
        <v>98651</v>
      </c>
      <c r="CK576" s="847">
        <v>100204</v>
      </c>
      <c r="CL576" s="847">
        <v>101752</v>
      </c>
      <c r="CM576" s="847">
        <v>103300</v>
      </c>
      <c r="CN576" s="847">
        <v>104849</v>
      </c>
      <c r="CO576" s="847">
        <v>106398</v>
      </c>
      <c r="CP576" s="847">
        <v>107946</v>
      </c>
      <c r="CQ576" s="847">
        <v>109491</v>
      </c>
      <c r="CR576" s="847">
        <v>111035</v>
      </c>
      <c r="CS576" s="847">
        <v>112576</v>
      </c>
      <c r="CT576" s="847">
        <v>114114</v>
      </c>
      <c r="CU576" s="847">
        <v>115648</v>
      </c>
      <c r="CV576" s="847">
        <v>117178</v>
      </c>
      <c r="CW576" s="847">
        <v>118704</v>
      </c>
      <c r="CX576" s="847">
        <v>120226</v>
      </c>
      <c r="CY576" s="847">
        <v>121743</v>
      </c>
      <c r="CZ576" s="847">
        <v>123255</v>
      </c>
      <c r="DA576" s="847">
        <v>124763</v>
      </c>
      <c r="DB576" s="847">
        <v>126264</v>
      </c>
      <c r="DC576" s="847">
        <v>127729</v>
      </c>
      <c r="DD576" s="847">
        <v>129000</v>
      </c>
      <c r="DE576" s="847">
        <v>0</v>
      </c>
      <c r="DF576" s="847">
        <v>0</v>
      </c>
      <c r="DG576" s="847">
        <v>0</v>
      </c>
      <c r="DH576" s="847">
        <v>0</v>
      </c>
      <c r="DI576" s="847">
        <v>0</v>
      </c>
      <c r="DJ576" s="847">
        <v>0</v>
      </c>
      <c r="DK576" s="847">
        <v>0</v>
      </c>
      <c r="DL576" s="847">
        <v>0</v>
      </c>
      <c r="DM576" s="847">
        <v>0</v>
      </c>
      <c r="DN576" s="847">
        <v>0</v>
      </c>
      <c r="DO576" s="847">
        <v>0</v>
      </c>
      <c r="DP576" s="847">
        <v>0</v>
      </c>
      <c r="DQ576" s="847">
        <v>0</v>
      </c>
      <c r="DR576" s="847">
        <v>0</v>
      </c>
      <c r="DS576" s="847">
        <v>0</v>
      </c>
      <c r="DT576" s="847">
        <v>0</v>
      </c>
      <c r="DU576" s="847">
        <v>0</v>
      </c>
      <c r="DV576" s="847">
        <v>0</v>
      </c>
      <c r="DW576" s="847">
        <v>0</v>
      </c>
      <c r="DX576" s="847">
        <v>0</v>
      </c>
    </row>
    <row r="577" spans="12:128" hidden="1">
      <c r="L577" s="846" t="s">
        <v>1060</v>
      </c>
      <c r="M577" s="846" t="s">
        <v>1382</v>
      </c>
      <c r="N577" s="846" t="s">
        <v>97</v>
      </c>
      <c r="O577" s="847">
        <v>21</v>
      </c>
      <c r="P577" s="780" t="str">
        <f t="shared" si="19"/>
        <v>IWT060221</v>
      </c>
      <c r="Q577" s="847">
        <v>25583</v>
      </c>
      <c r="R577" s="847">
        <v>26094</v>
      </c>
      <c r="S577" s="847">
        <v>26616</v>
      </c>
      <c r="T577" s="847">
        <v>27149</v>
      </c>
      <c r="U577" s="847">
        <v>27692</v>
      </c>
      <c r="V577" s="847">
        <v>28246</v>
      </c>
      <c r="W577" s="847">
        <v>28810</v>
      </c>
      <c r="X577" s="847">
        <v>29385</v>
      </c>
      <c r="Y577" s="847">
        <v>29973</v>
      </c>
      <c r="Z577" s="847">
        <v>30572</v>
      </c>
      <c r="AA577" s="847">
        <v>31183</v>
      </c>
      <c r="AB577" s="847">
        <v>31807</v>
      </c>
      <c r="AC577" s="847">
        <v>32443</v>
      </c>
      <c r="AD577" s="847">
        <v>33092</v>
      </c>
      <c r="AE577" s="847">
        <v>33754</v>
      </c>
      <c r="AF577" s="847">
        <v>34429</v>
      </c>
      <c r="AG577" s="847">
        <v>35117</v>
      </c>
      <c r="AH577" s="847">
        <v>35820</v>
      </c>
      <c r="AI577" s="847">
        <v>36536</v>
      </c>
      <c r="AJ577" s="847">
        <v>37267</v>
      </c>
      <c r="AK577" s="847">
        <v>38012</v>
      </c>
      <c r="AL577" s="847">
        <v>38773</v>
      </c>
      <c r="AM577" s="847">
        <v>39548</v>
      </c>
      <c r="AN577" s="847">
        <v>40339</v>
      </c>
      <c r="AO577" s="847">
        <v>41146</v>
      </c>
      <c r="AP577" s="847">
        <v>41969</v>
      </c>
      <c r="AQ577" s="847">
        <v>42808</v>
      </c>
      <c r="AR577" s="847">
        <v>43664</v>
      </c>
      <c r="AS577" s="847">
        <v>44537</v>
      </c>
      <c r="AT577" s="847">
        <v>45428</v>
      </c>
      <c r="AU577" s="847">
        <v>46337</v>
      </c>
      <c r="AV577" s="847">
        <v>47263</v>
      </c>
      <c r="AW577" s="847">
        <v>48209</v>
      </c>
      <c r="AX577" s="847">
        <v>49173</v>
      </c>
      <c r="AY577" s="847">
        <v>50156</v>
      </c>
      <c r="AZ577" s="847">
        <v>51159</v>
      </c>
      <c r="BA577" s="847">
        <v>52182</v>
      </c>
      <c r="BB577" s="847">
        <v>53223</v>
      </c>
      <c r="BC577" s="847">
        <v>54283</v>
      </c>
      <c r="BD577" s="847">
        <v>55362</v>
      </c>
      <c r="BE577" s="847">
        <v>56461</v>
      </c>
      <c r="BF577" s="847">
        <v>57579</v>
      </c>
      <c r="BG577" s="847">
        <v>58717</v>
      </c>
      <c r="BH577" s="847">
        <v>59875</v>
      </c>
      <c r="BI577" s="847">
        <v>61052</v>
      </c>
      <c r="BJ577" s="847">
        <v>62249</v>
      </c>
      <c r="BK577" s="847">
        <v>63466</v>
      </c>
      <c r="BL577" s="847">
        <v>64702</v>
      </c>
      <c r="BM577" s="847">
        <v>65956</v>
      </c>
      <c r="BN577" s="847">
        <v>67230</v>
      </c>
      <c r="BO577" s="847">
        <v>68521</v>
      </c>
      <c r="BP577" s="847">
        <v>69830</v>
      </c>
      <c r="BQ577" s="847">
        <v>71156</v>
      </c>
      <c r="BR577" s="847">
        <v>72500</v>
      </c>
      <c r="BS577" s="847">
        <v>73861</v>
      </c>
      <c r="BT577" s="847">
        <v>75238</v>
      </c>
      <c r="BU577" s="847">
        <v>76630</v>
      </c>
      <c r="BV577" s="847">
        <v>78036</v>
      </c>
      <c r="BW577" s="847">
        <v>79457</v>
      </c>
      <c r="BX577" s="847">
        <v>80890</v>
      </c>
      <c r="BY577" s="847">
        <v>82337</v>
      </c>
      <c r="BZ577" s="847">
        <v>83795</v>
      </c>
      <c r="CA577" s="847">
        <v>85266</v>
      </c>
      <c r="CB577" s="847">
        <v>86747</v>
      </c>
      <c r="CC577" s="847">
        <v>88238</v>
      </c>
      <c r="CD577" s="847">
        <v>89740</v>
      </c>
      <c r="CE577" s="847">
        <v>91250</v>
      </c>
      <c r="CF577" s="847">
        <v>92769</v>
      </c>
      <c r="CG577" s="847">
        <v>94296</v>
      </c>
      <c r="CH577" s="847">
        <v>95830</v>
      </c>
      <c r="CI577" s="847">
        <v>97371</v>
      </c>
      <c r="CJ577" s="847">
        <v>98914</v>
      </c>
      <c r="CK577" s="847">
        <v>100453</v>
      </c>
      <c r="CL577" s="847">
        <v>101994</v>
      </c>
      <c r="CM577" s="847">
        <v>103535</v>
      </c>
      <c r="CN577" s="847">
        <v>105076</v>
      </c>
      <c r="CO577" s="847">
        <v>106617</v>
      </c>
      <c r="CP577" s="847">
        <v>108156</v>
      </c>
      <c r="CQ577" s="847">
        <v>109694</v>
      </c>
      <c r="CR577" s="847">
        <v>111229</v>
      </c>
      <c r="CS577" s="847">
        <v>112761</v>
      </c>
      <c r="CT577" s="847">
        <v>114290</v>
      </c>
      <c r="CU577" s="847">
        <v>115816</v>
      </c>
      <c r="CV577" s="847">
        <v>117337</v>
      </c>
      <c r="CW577" s="847">
        <v>118855</v>
      </c>
      <c r="CX577" s="847">
        <v>120368</v>
      </c>
      <c r="CY577" s="847">
        <v>121877</v>
      </c>
      <c r="CZ577" s="847">
        <v>123381</v>
      </c>
      <c r="DA577" s="847">
        <v>124879</v>
      </c>
      <c r="DB577" s="847">
        <v>126343</v>
      </c>
      <c r="DC577" s="847">
        <v>127600</v>
      </c>
      <c r="DD577" s="847">
        <v>0</v>
      </c>
      <c r="DE577" s="847">
        <v>0</v>
      </c>
      <c r="DF577" s="847">
        <v>0</v>
      </c>
      <c r="DG577" s="847">
        <v>0</v>
      </c>
      <c r="DH577" s="847">
        <v>0</v>
      </c>
      <c r="DI577" s="847">
        <v>0</v>
      </c>
      <c r="DJ577" s="847">
        <v>0</v>
      </c>
      <c r="DK577" s="847">
        <v>0</v>
      </c>
      <c r="DL577" s="847">
        <v>0</v>
      </c>
      <c r="DM577" s="847">
        <v>0</v>
      </c>
      <c r="DN577" s="847">
        <v>0</v>
      </c>
      <c r="DO577" s="847">
        <v>0</v>
      </c>
      <c r="DP577" s="847">
        <v>0</v>
      </c>
      <c r="DQ577" s="847">
        <v>0</v>
      </c>
      <c r="DR577" s="847">
        <v>0</v>
      </c>
      <c r="DS577" s="847">
        <v>0</v>
      </c>
      <c r="DT577" s="847">
        <v>0</v>
      </c>
      <c r="DU577" s="847">
        <v>0</v>
      </c>
      <c r="DV577" s="847">
        <v>0</v>
      </c>
      <c r="DW577" s="847">
        <v>0</v>
      </c>
      <c r="DX577" s="847">
        <v>0</v>
      </c>
    </row>
    <row r="578" spans="12:128" hidden="1">
      <c r="L578" s="846" t="s">
        <v>1060</v>
      </c>
      <c r="M578" s="846" t="s">
        <v>1382</v>
      </c>
      <c r="N578" s="846" t="s">
        <v>97</v>
      </c>
      <c r="O578" s="847">
        <v>22</v>
      </c>
      <c r="P578" s="780" t="str">
        <f t="shared" si="19"/>
        <v>IWT060222</v>
      </c>
      <c r="Q578" s="847">
        <v>25683</v>
      </c>
      <c r="R578" s="847">
        <v>26197</v>
      </c>
      <c r="S578" s="847">
        <v>26721</v>
      </c>
      <c r="T578" s="847">
        <v>27255</v>
      </c>
      <c r="U578" s="847">
        <v>27801</v>
      </c>
      <c r="V578" s="847">
        <v>28357</v>
      </c>
      <c r="W578" s="847">
        <v>28923</v>
      </c>
      <c r="X578" s="847">
        <v>29501</v>
      </c>
      <c r="Y578" s="847">
        <v>30090</v>
      </c>
      <c r="Z578" s="847">
        <v>30692</v>
      </c>
      <c r="AA578" s="847">
        <v>31306</v>
      </c>
      <c r="AB578" s="847">
        <v>31932</v>
      </c>
      <c r="AC578" s="847">
        <v>32571</v>
      </c>
      <c r="AD578" s="847">
        <v>33222</v>
      </c>
      <c r="AE578" s="847">
        <v>33886</v>
      </c>
      <c r="AF578" s="847">
        <v>34564</v>
      </c>
      <c r="AG578" s="847">
        <v>35256</v>
      </c>
      <c r="AH578" s="847">
        <v>35961</v>
      </c>
      <c r="AI578" s="847">
        <v>36680</v>
      </c>
      <c r="AJ578" s="847">
        <v>37413</v>
      </c>
      <c r="AK578" s="847">
        <v>38162</v>
      </c>
      <c r="AL578" s="847">
        <v>38925</v>
      </c>
      <c r="AM578" s="847">
        <v>39703</v>
      </c>
      <c r="AN578" s="847">
        <v>40497</v>
      </c>
      <c r="AO578" s="847">
        <v>41307</v>
      </c>
      <c r="AP578" s="847">
        <v>42134</v>
      </c>
      <c r="AQ578" s="847">
        <v>42976</v>
      </c>
      <c r="AR578" s="847">
        <v>43836</v>
      </c>
      <c r="AS578" s="847">
        <v>44712</v>
      </c>
      <c r="AT578" s="847">
        <v>45607</v>
      </c>
      <c r="AU578" s="847">
        <v>46519</v>
      </c>
      <c r="AV578" s="847">
        <v>47449</v>
      </c>
      <c r="AW578" s="847">
        <v>48398</v>
      </c>
      <c r="AX578" s="847">
        <v>49366</v>
      </c>
      <c r="AY578" s="847">
        <v>50353</v>
      </c>
      <c r="AZ578" s="847">
        <v>51361</v>
      </c>
      <c r="BA578" s="847">
        <v>52387</v>
      </c>
      <c r="BB578" s="847">
        <v>53433</v>
      </c>
      <c r="BC578" s="847">
        <v>54498</v>
      </c>
      <c r="BD578" s="847">
        <v>55582</v>
      </c>
      <c r="BE578" s="847">
        <v>56685</v>
      </c>
      <c r="BF578" s="847">
        <v>57809</v>
      </c>
      <c r="BG578" s="847">
        <v>58951</v>
      </c>
      <c r="BH578" s="847">
        <v>60114</v>
      </c>
      <c r="BI578" s="847">
        <v>61296</v>
      </c>
      <c r="BJ578" s="847">
        <v>62497</v>
      </c>
      <c r="BK578" s="847">
        <v>63718</v>
      </c>
      <c r="BL578" s="847">
        <v>64958</v>
      </c>
      <c r="BM578" s="847">
        <v>66216</v>
      </c>
      <c r="BN578" s="847">
        <v>67492</v>
      </c>
      <c r="BO578" s="847">
        <v>68786</v>
      </c>
      <c r="BP578" s="847">
        <v>70098</v>
      </c>
      <c r="BQ578" s="847">
        <v>71428</v>
      </c>
      <c r="BR578" s="847">
        <v>72774</v>
      </c>
      <c r="BS578" s="847">
        <v>74137</v>
      </c>
      <c r="BT578" s="847">
        <v>75515</v>
      </c>
      <c r="BU578" s="847">
        <v>76907</v>
      </c>
      <c r="BV578" s="847">
        <v>78314</v>
      </c>
      <c r="BW578" s="847">
        <v>79735</v>
      </c>
      <c r="BX578" s="847">
        <v>81169</v>
      </c>
      <c r="BY578" s="847">
        <v>82615</v>
      </c>
      <c r="BZ578" s="847">
        <v>84073</v>
      </c>
      <c r="CA578" s="847">
        <v>85542</v>
      </c>
      <c r="CB578" s="847">
        <v>87022</v>
      </c>
      <c r="CC578" s="847">
        <v>88512</v>
      </c>
      <c r="CD578" s="847">
        <v>90011</v>
      </c>
      <c r="CE578" s="847">
        <v>91519</v>
      </c>
      <c r="CF578" s="847">
        <v>93036</v>
      </c>
      <c r="CG578" s="847">
        <v>94560</v>
      </c>
      <c r="CH578" s="847">
        <v>96091</v>
      </c>
      <c r="CI578" s="847">
        <v>97625</v>
      </c>
      <c r="CJ578" s="847">
        <v>99155</v>
      </c>
      <c r="CK578" s="847">
        <v>100687</v>
      </c>
      <c r="CL578" s="847">
        <v>102221</v>
      </c>
      <c r="CM578" s="847">
        <v>103754</v>
      </c>
      <c r="CN578" s="847">
        <v>105288</v>
      </c>
      <c r="CO578" s="847">
        <v>106821</v>
      </c>
      <c r="CP578" s="847">
        <v>108352</v>
      </c>
      <c r="CQ578" s="847">
        <v>109881</v>
      </c>
      <c r="CR578" s="847">
        <v>111408</v>
      </c>
      <c r="CS578" s="847">
        <v>112932</v>
      </c>
      <c r="CT578" s="847">
        <v>114453</v>
      </c>
      <c r="CU578" s="847">
        <v>115970</v>
      </c>
      <c r="CV578" s="847">
        <v>117484</v>
      </c>
      <c r="CW578" s="847">
        <v>118993</v>
      </c>
      <c r="CX578" s="847">
        <v>120499</v>
      </c>
      <c r="CY578" s="847">
        <v>122000</v>
      </c>
      <c r="CZ578" s="847">
        <v>123495</v>
      </c>
      <c r="DA578" s="847">
        <v>124957</v>
      </c>
      <c r="DB578" s="847">
        <v>126200</v>
      </c>
      <c r="DC578" s="847">
        <v>0</v>
      </c>
      <c r="DD578" s="847">
        <v>0</v>
      </c>
      <c r="DE578" s="847">
        <v>0</v>
      </c>
      <c r="DF578" s="847">
        <v>0</v>
      </c>
      <c r="DG578" s="847">
        <v>0</v>
      </c>
      <c r="DH578" s="847">
        <v>0</v>
      </c>
      <c r="DI578" s="847">
        <v>0</v>
      </c>
      <c r="DJ578" s="847">
        <v>0</v>
      </c>
      <c r="DK578" s="847">
        <v>0</v>
      </c>
      <c r="DL578" s="847">
        <v>0</v>
      </c>
      <c r="DM578" s="847">
        <v>0</v>
      </c>
      <c r="DN578" s="847">
        <v>0</v>
      </c>
      <c r="DO578" s="847">
        <v>0</v>
      </c>
      <c r="DP578" s="847">
        <v>0</v>
      </c>
      <c r="DQ578" s="847">
        <v>0</v>
      </c>
      <c r="DR578" s="847">
        <v>0</v>
      </c>
      <c r="DS578" s="847">
        <v>0</v>
      </c>
      <c r="DT578" s="847">
        <v>0</v>
      </c>
      <c r="DU578" s="847">
        <v>0</v>
      </c>
      <c r="DV578" s="847">
        <v>0</v>
      </c>
      <c r="DW578" s="847">
        <v>0</v>
      </c>
      <c r="DX578" s="847">
        <v>0</v>
      </c>
    </row>
    <row r="579" spans="12:128" hidden="1">
      <c r="L579" s="846" t="s">
        <v>1060</v>
      </c>
      <c r="M579" s="846" t="s">
        <v>1382</v>
      </c>
      <c r="N579" s="846" t="s">
        <v>97</v>
      </c>
      <c r="O579" s="847">
        <v>23</v>
      </c>
      <c r="P579" s="780" t="str">
        <f t="shared" si="19"/>
        <v>IWT060223</v>
      </c>
      <c r="Q579" s="847">
        <v>25779</v>
      </c>
      <c r="R579" s="847">
        <v>26295</v>
      </c>
      <c r="S579" s="847">
        <v>26821</v>
      </c>
      <c r="T579" s="847">
        <v>27357</v>
      </c>
      <c r="U579" s="847">
        <v>27904</v>
      </c>
      <c r="V579" s="847">
        <v>28462</v>
      </c>
      <c r="W579" s="847">
        <v>29031</v>
      </c>
      <c r="X579" s="847">
        <v>29611</v>
      </c>
      <c r="Y579" s="847">
        <v>30203</v>
      </c>
      <c r="Z579" s="847">
        <v>30807</v>
      </c>
      <c r="AA579" s="847">
        <v>31423</v>
      </c>
      <c r="AB579" s="847">
        <v>32051</v>
      </c>
      <c r="AC579" s="847">
        <v>32692</v>
      </c>
      <c r="AD579" s="847">
        <v>33346</v>
      </c>
      <c r="AE579" s="847">
        <v>34013</v>
      </c>
      <c r="AF579" s="847">
        <v>34693</v>
      </c>
      <c r="AG579" s="847">
        <v>35387</v>
      </c>
      <c r="AH579" s="847">
        <v>36095</v>
      </c>
      <c r="AI579" s="847">
        <v>36817</v>
      </c>
      <c r="AJ579" s="847">
        <v>37553</v>
      </c>
      <c r="AK579" s="847">
        <v>38304</v>
      </c>
      <c r="AL579" s="847">
        <v>39070</v>
      </c>
      <c r="AM579" s="847">
        <v>39852</v>
      </c>
      <c r="AN579" s="847">
        <v>40649</v>
      </c>
      <c r="AO579" s="847">
        <v>41462</v>
      </c>
      <c r="AP579" s="847">
        <v>42291</v>
      </c>
      <c r="AQ579" s="847">
        <v>43137</v>
      </c>
      <c r="AR579" s="847">
        <v>43999</v>
      </c>
      <c r="AS579" s="847">
        <v>44879</v>
      </c>
      <c r="AT579" s="847">
        <v>45777</v>
      </c>
      <c r="AU579" s="847">
        <v>46692</v>
      </c>
      <c r="AV579" s="847">
        <v>47626</v>
      </c>
      <c r="AW579" s="847">
        <v>48579</v>
      </c>
      <c r="AX579" s="847">
        <v>49550</v>
      </c>
      <c r="AY579" s="847">
        <v>50541</v>
      </c>
      <c r="AZ579" s="847">
        <v>51552</v>
      </c>
      <c r="BA579" s="847">
        <v>52583</v>
      </c>
      <c r="BB579" s="847">
        <v>53634</v>
      </c>
      <c r="BC579" s="847">
        <v>54703</v>
      </c>
      <c r="BD579" s="847">
        <v>55792</v>
      </c>
      <c r="BE579" s="847">
        <v>56900</v>
      </c>
      <c r="BF579" s="847">
        <v>58028</v>
      </c>
      <c r="BG579" s="847">
        <v>59175</v>
      </c>
      <c r="BH579" s="847">
        <v>60342</v>
      </c>
      <c r="BI579" s="847">
        <v>61528</v>
      </c>
      <c r="BJ579" s="847">
        <v>62734</v>
      </c>
      <c r="BK579" s="847">
        <v>63959</v>
      </c>
      <c r="BL579" s="847">
        <v>65202</v>
      </c>
      <c r="BM579" s="847">
        <v>66463</v>
      </c>
      <c r="BN579" s="847">
        <v>67743</v>
      </c>
      <c r="BO579" s="847">
        <v>69040</v>
      </c>
      <c r="BP579" s="847">
        <v>70355</v>
      </c>
      <c r="BQ579" s="847">
        <v>71687</v>
      </c>
      <c r="BR579" s="847">
        <v>73036</v>
      </c>
      <c r="BS579" s="847">
        <v>74400</v>
      </c>
      <c r="BT579" s="847">
        <v>75779</v>
      </c>
      <c r="BU579" s="847">
        <v>77172</v>
      </c>
      <c r="BV579" s="847">
        <v>78580</v>
      </c>
      <c r="BW579" s="847">
        <v>80001</v>
      </c>
      <c r="BX579" s="847">
        <v>81434</v>
      </c>
      <c r="BY579" s="847">
        <v>82880</v>
      </c>
      <c r="BZ579" s="847">
        <v>84337</v>
      </c>
      <c r="CA579" s="847">
        <v>85805</v>
      </c>
      <c r="CB579" s="847">
        <v>87284</v>
      </c>
      <c r="CC579" s="847">
        <v>88772</v>
      </c>
      <c r="CD579" s="847">
        <v>90269</v>
      </c>
      <c r="CE579" s="847">
        <v>91775</v>
      </c>
      <c r="CF579" s="847">
        <v>93290</v>
      </c>
      <c r="CG579" s="847">
        <v>94811</v>
      </c>
      <c r="CH579" s="847">
        <v>96335</v>
      </c>
      <c r="CI579" s="847">
        <v>97857</v>
      </c>
      <c r="CJ579" s="847">
        <v>99381</v>
      </c>
      <c r="CK579" s="847">
        <v>100906</v>
      </c>
      <c r="CL579" s="847">
        <v>102433</v>
      </c>
      <c r="CM579" s="847">
        <v>103959</v>
      </c>
      <c r="CN579" s="847">
        <v>105486</v>
      </c>
      <c r="CO579" s="847">
        <v>107011</v>
      </c>
      <c r="CP579" s="847">
        <v>108534</v>
      </c>
      <c r="CQ579" s="847">
        <v>110056</v>
      </c>
      <c r="CR579" s="847">
        <v>111575</v>
      </c>
      <c r="CS579" s="847">
        <v>113091</v>
      </c>
      <c r="CT579" s="847">
        <v>114603</v>
      </c>
      <c r="CU579" s="847">
        <v>116113</v>
      </c>
      <c r="CV579" s="847">
        <v>117619</v>
      </c>
      <c r="CW579" s="847">
        <v>119121</v>
      </c>
      <c r="CX579" s="847">
        <v>120619</v>
      </c>
      <c r="CY579" s="847">
        <v>122111</v>
      </c>
      <c r="CZ579" s="847">
        <v>123570</v>
      </c>
      <c r="DA579" s="847">
        <v>124800</v>
      </c>
      <c r="DB579" s="847">
        <v>0</v>
      </c>
      <c r="DC579" s="847">
        <v>0</v>
      </c>
      <c r="DD579" s="847">
        <v>0</v>
      </c>
      <c r="DE579" s="847">
        <v>0</v>
      </c>
      <c r="DF579" s="847">
        <v>0</v>
      </c>
      <c r="DG579" s="847">
        <v>0</v>
      </c>
      <c r="DH579" s="847">
        <v>0</v>
      </c>
      <c r="DI579" s="847">
        <v>0</v>
      </c>
      <c r="DJ579" s="847">
        <v>0</v>
      </c>
      <c r="DK579" s="847">
        <v>0</v>
      </c>
      <c r="DL579" s="847">
        <v>0</v>
      </c>
      <c r="DM579" s="847">
        <v>0</v>
      </c>
      <c r="DN579" s="847">
        <v>0</v>
      </c>
      <c r="DO579" s="847">
        <v>0</v>
      </c>
      <c r="DP579" s="847">
        <v>0</v>
      </c>
      <c r="DQ579" s="847">
        <v>0</v>
      </c>
      <c r="DR579" s="847">
        <v>0</v>
      </c>
      <c r="DS579" s="847">
        <v>0</v>
      </c>
      <c r="DT579" s="847">
        <v>0</v>
      </c>
      <c r="DU579" s="847">
        <v>0</v>
      </c>
      <c r="DV579" s="847">
        <v>0</v>
      </c>
      <c r="DW579" s="847">
        <v>0</v>
      </c>
      <c r="DX579" s="847">
        <v>0</v>
      </c>
    </row>
    <row r="580" spans="12:128" hidden="1">
      <c r="L580" s="846" t="s">
        <v>1060</v>
      </c>
      <c r="M580" s="846" t="s">
        <v>1382</v>
      </c>
      <c r="N580" s="846" t="s">
        <v>97</v>
      </c>
      <c r="O580" s="847">
        <v>24</v>
      </c>
      <c r="P580" s="780" t="str">
        <f t="shared" si="19"/>
        <v>IWT060224</v>
      </c>
      <c r="Q580" s="847">
        <v>25871</v>
      </c>
      <c r="R580" s="847">
        <v>26388</v>
      </c>
      <c r="S580" s="847">
        <v>26916</v>
      </c>
      <c r="T580" s="847">
        <v>27454</v>
      </c>
      <c r="U580" s="847">
        <v>28003</v>
      </c>
      <c r="V580" s="847">
        <v>28563</v>
      </c>
      <c r="W580" s="847">
        <v>29134</v>
      </c>
      <c r="X580" s="847">
        <v>29716</v>
      </c>
      <c r="Y580" s="847">
        <v>30310</v>
      </c>
      <c r="Z580" s="847">
        <v>30916</v>
      </c>
      <c r="AA580" s="847">
        <v>31534</v>
      </c>
      <c r="AB580" s="847">
        <v>32165</v>
      </c>
      <c r="AC580" s="847">
        <v>32808</v>
      </c>
      <c r="AD580" s="847">
        <v>33464</v>
      </c>
      <c r="AE580" s="847">
        <v>34133</v>
      </c>
      <c r="AF580" s="847">
        <v>34816</v>
      </c>
      <c r="AG580" s="847">
        <v>35512</v>
      </c>
      <c r="AH580" s="847">
        <v>36222</v>
      </c>
      <c r="AI580" s="847">
        <v>36947</v>
      </c>
      <c r="AJ580" s="847">
        <v>37686</v>
      </c>
      <c r="AK580" s="847">
        <v>38440</v>
      </c>
      <c r="AL580" s="847">
        <v>39208</v>
      </c>
      <c r="AM580" s="847">
        <v>39993</v>
      </c>
      <c r="AN580" s="847">
        <v>40792</v>
      </c>
      <c r="AO580" s="847">
        <v>41608</v>
      </c>
      <c r="AP580" s="847">
        <v>42440</v>
      </c>
      <c r="AQ580" s="847">
        <v>43289</v>
      </c>
      <c r="AR580" s="847">
        <v>44155</v>
      </c>
      <c r="AS580" s="847">
        <v>45038</v>
      </c>
      <c r="AT580" s="847">
        <v>45939</v>
      </c>
      <c r="AU580" s="847">
        <v>46858</v>
      </c>
      <c r="AV580" s="847">
        <v>47795</v>
      </c>
      <c r="AW580" s="847">
        <v>48751</v>
      </c>
      <c r="AX580" s="847">
        <v>49726</v>
      </c>
      <c r="AY580" s="847">
        <v>50720</v>
      </c>
      <c r="AZ580" s="847">
        <v>51734</v>
      </c>
      <c r="BA580" s="847">
        <v>52769</v>
      </c>
      <c r="BB580" s="847">
        <v>53824</v>
      </c>
      <c r="BC580" s="847">
        <v>54898</v>
      </c>
      <c r="BD580" s="847">
        <v>55991</v>
      </c>
      <c r="BE580" s="847">
        <v>57104</v>
      </c>
      <c r="BF580" s="847">
        <v>58237</v>
      </c>
      <c r="BG580" s="847">
        <v>59388</v>
      </c>
      <c r="BH580" s="847">
        <v>60560</v>
      </c>
      <c r="BI580" s="847">
        <v>61750</v>
      </c>
      <c r="BJ580" s="847">
        <v>62960</v>
      </c>
      <c r="BK580" s="847">
        <v>64188</v>
      </c>
      <c r="BL580" s="847">
        <v>65435</v>
      </c>
      <c r="BM580" s="847">
        <v>66699</v>
      </c>
      <c r="BN580" s="847">
        <v>67982</v>
      </c>
      <c r="BO580" s="847">
        <v>69283</v>
      </c>
      <c r="BP580" s="847">
        <v>70600</v>
      </c>
      <c r="BQ580" s="847">
        <v>71935</v>
      </c>
      <c r="BR580" s="847">
        <v>73285</v>
      </c>
      <c r="BS580" s="847">
        <v>74650</v>
      </c>
      <c r="BT580" s="847">
        <v>76030</v>
      </c>
      <c r="BU580" s="847">
        <v>77425</v>
      </c>
      <c r="BV580" s="847">
        <v>78832</v>
      </c>
      <c r="BW580" s="847">
        <v>80253</v>
      </c>
      <c r="BX580" s="847">
        <v>81687</v>
      </c>
      <c r="BY580" s="847">
        <v>83132</v>
      </c>
      <c r="BZ580" s="847">
        <v>84588</v>
      </c>
      <c r="CA580" s="847">
        <v>86056</v>
      </c>
      <c r="CB580" s="847">
        <v>87533</v>
      </c>
      <c r="CC580" s="847">
        <v>89020</v>
      </c>
      <c r="CD580" s="847">
        <v>90515</v>
      </c>
      <c r="CE580" s="847">
        <v>92019</v>
      </c>
      <c r="CF580" s="847">
        <v>93530</v>
      </c>
      <c r="CG580" s="847">
        <v>95045</v>
      </c>
      <c r="CH580" s="847">
        <v>96558</v>
      </c>
      <c r="CI580" s="847">
        <v>98074</v>
      </c>
      <c r="CJ580" s="847">
        <v>99592</v>
      </c>
      <c r="CK580" s="847">
        <v>101111</v>
      </c>
      <c r="CL580" s="847">
        <v>102631</v>
      </c>
      <c r="CM580" s="847">
        <v>104150</v>
      </c>
      <c r="CN580" s="847">
        <v>105669</v>
      </c>
      <c r="CO580" s="847">
        <v>107187</v>
      </c>
      <c r="CP580" s="847">
        <v>108703</v>
      </c>
      <c r="CQ580" s="847">
        <v>110217</v>
      </c>
      <c r="CR580" s="847">
        <v>111728</v>
      </c>
      <c r="CS580" s="847">
        <v>113237</v>
      </c>
      <c r="CT580" s="847">
        <v>114742</v>
      </c>
      <c r="CU580" s="847">
        <v>116244</v>
      </c>
      <c r="CV580" s="847">
        <v>117743</v>
      </c>
      <c r="CW580" s="847">
        <v>119237</v>
      </c>
      <c r="CX580" s="847">
        <v>120727</v>
      </c>
      <c r="CY580" s="847">
        <v>122184</v>
      </c>
      <c r="CZ580" s="847">
        <v>123400</v>
      </c>
      <c r="DA580" s="847">
        <v>0</v>
      </c>
      <c r="DB580" s="847">
        <v>0</v>
      </c>
      <c r="DC580" s="847">
        <v>0</v>
      </c>
      <c r="DD580" s="847">
        <v>0</v>
      </c>
      <c r="DE580" s="847">
        <v>0</v>
      </c>
      <c r="DF580" s="847">
        <v>0</v>
      </c>
      <c r="DG580" s="847">
        <v>0</v>
      </c>
      <c r="DH580" s="847">
        <v>0</v>
      </c>
      <c r="DI580" s="847">
        <v>0</v>
      </c>
      <c r="DJ580" s="847">
        <v>0</v>
      </c>
      <c r="DK580" s="847">
        <v>0</v>
      </c>
      <c r="DL580" s="847">
        <v>0</v>
      </c>
      <c r="DM580" s="847">
        <v>0</v>
      </c>
      <c r="DN580" s="847">
        <v>0</v>
      </c>
      <c r="DO580" s="847">
        <v>0</v>
      </c>
      <c r="DP580" s="847">
        <v>0</v>
      </c>
      <c r="DQ580" s="847">
        <v>0</v>
      </c>
      <c r="DR580" s="847">
        <v>0</v>
      </c>
      <c r="DS580" s="847">
        <v>0</v>
      </c>
      <c r="DT580" s="847">
        <v>0</v>
      </c>
      <c r="DU580" s="847">
        <v>0</v>
      </c>
      <c r="DV580" s="847">
        <v>0</v>
      </c>
      <c r="DW580" s="847">
        <v>0</v>
      </c>
      <c r="DX580" s="847">
        <v>0</v>
      </c>
    </row>
    <row r="581" spans="12:128" hidden="1">
      <c r="L581" s="846" t="s">
        <v>1060</v>
      </c>
      <c r="M581" s="846" t="s">
        <v>1382</v>
      </c>
      <c r="N581" s="846" t="s">
        <v>97</v>
      </c>
      <c r="O581" s="847">
        <v>25</v>
      </c>
      <c r="P581" s="780" t="str">
        <f t="shared" si="19"/>
        <v>IWT060225</v>
      </c>
      <c r="Q581" s="847">
        <v>25957</v>
      </c>
      <c r="R581" s="847">
        <v>26476</v>
      </c>
      <c r="S581" s="847">
        <v>27006</v>
      </c>
      <c r="T581" s="847">
        <v>27546</v>
      </c>
      <c r="U581" s="847">
        <v>28097</v>
      </c>
      <c r="V581" s="847">
        <v>28659</v>
      </c>
      <c r="W581" s="847">
        <v>29231</v>
      </c>
      <c r="X581" s="847">
        <v>29815</v>
      </c>
      <c r="Y581" s="847">
        <v>30411</v>
      </c>
      <c r="Z581" s="847">
        <v>31019</v>
      </c>
      <c r="AA581" s="847">
        <v>31639</v>
      </c>
      <c r="AB581" s="847">
        <v>32272</v>
      </c>
      <c r="AC581" s="847">
        <v>32917</v>
      </c>
      <c r="AD581" s="847">
        <v>33576</v>
      </c>
      <c r="AE581" s="847">
        <v>34247</v>
      </c>
      <c r="AF581" s="847">
        <v>34932</v>
      </c>
      <c r="AG581" s="847">
        <v>35631</v>
      </c>
      <c r="AH581" s="847">
        <v>36343</v>
      </c>
      <c r="AI581" s="847">
        <v>37070</v>
      </c>
      <c r="AJ581" s="847">
        <v>37812</v>
      </c>
      <c r="AK581" s="847">
        <v>38568</v>
      </c>
      <c r="AL581" s="847">
        <v>39339</v>
      </c>
      <c r="AM581" s="847">
        <v>40126</v>
      </c>
      <c r="AN581" s="847">
        <v>40929</v>
      </c>
      <c r="AO581" s="847">
        <v>41747</v>
      </c>
      <c r="AP581" s="847">
        <v>42582</v>
      </c>
      <c r="AQ581" s="847">
        <v>43434</v>
      </c>
      <c r="AR581" s="847">
        <v>44302</v>
      </c>
      <c r="AS581" s="847">
        <v>45188</v>
      </c>
      <c r="AT581" s="847">
        <v>46092</v>
      </c>
      <c r="AU581" s="847">
        <v>47014</v>
      </c>
      <c r="AV581" s="847">
        <v>47954</v>
      </c>
      <c r="AW581" s="847">
        <v>48913</v>
      </c>
      <c r="AX581" s="847">
        <v>49892</v>
      </c>
      <c r="AY581" s="847">
        <v>50890</v>
      </c>
      <c r="AZ581" s="847">
        <v>51907</v>
      </c>
      <c r="BA581" s="847">
        <v>52945</v>
      </c>
      <c r="BB581" s="847">
        <v>54004</v>
      </c>
      <c r="BC581" s="847">
        <v>55083</v>
      </c>
      <c r="BD581" s="847">
        <v>56181</v>
      </c>
      <c r="BE581" s="847">
        <v>57298</v>
      </c>
      <c r="BF581" s="847">
        <v>58435</v>
      </c>
      <c r="BG581" s="847">
        <v>59591</v>
      </c>
      <c r="BH581" s="847">
        <v>60766</v>
      </c>
      <c r="BI581" s="847">
        <v>61961</v>
      </c>
      <c r="BJ581" s="847">
        <v>63174</v>
      </c>
      <c r="BK581" s="847">
        <v>64406</v>
      </c>
      <c r="BL581" s="847">
        <v>65656</v>
      </c>
      <c r="BM581" s="847">
        <v>66924</v>
      </c>
      <c r="BN581" s="847">
        <v>68210</v>
      </c>
      <c r="BO581" s="847">
        <v>69513</v>
      </c>
      <c r="BP581" s="847">
        <v>70833</v>
      </c>
      <c r="BQ581" s="847">
        <v>72170</v>
      </c>
      <c r="BR581" s="847">
        <v>73521</v>
      </c>
      <c r="BS581" s="847">
        <v>74888</v>
      </c>
      <c r="BT581" s="847">
        <v>76269</v>
      </c>
      <c r="BU581" s="847">
        <v>77664</v>
      </c>
      <c r="BV581" s="847">
        <v>79073</v>
      </c>
      <c r="BW581" s="847">
        <v>80494</v>
      </c>
      <c r="BX581" s="847">
        <v>81927</v>
      </c>
      <c r="BY581" s="847">
        <v>83372</v>
      </c>
      <c r="BZ581" s="847">
        <v>84828</v>
      </c>
      <c r="CA581" s="847">
        <v>86294</v>
      </c>
      <c r="CB581" s="847">
        <v>87770</v>
      </c>
      <c r="CC581" s="847">
        <v>89255</v>
      </c>
      <c r="CD581" s="847">
        <v>90749</v>
      </c>
      <c r="CE581" s="847">
        <v>92250</v>
      </c>
      <c r="CF581" s="847">
        <v>93756</v>
      </c>
      <c r="CG581" s="847">
        <v>95260</v>
      </c>
      <c r="CH581" s="847">
        <v>96768</v>
      </c>
      <c r="CI581" s="847">
        <v>98278</v>
      </c>
      <c r="CJ581" s="847">
        <v>99789</v>
      </c>
      <c r="CK581" s="847">
        <v>101302</v>
      </c>
      <c r="CL581" s="847">
        <v>102815</v>
      </c>
      <c r="CM581" s="847">
        <v>104328</v>
      </c>
      <c r="CN581" s="847">
        <v>105840</v>
      </c>
      <c r="CO581" s="847">
        <v>107350</v>
      </c>
      <c r="CP581" s="847">
        <v>108859</v>
      </c>
      <c r="CQ581" s="847">
        <v>110366</v>
      </c>
      <c r="CR581" s="847">
        <v>111870</v>
      </c>
      <c r="CS581" s="847">
        <v>113371</v>
      </c>
      <c r="CT581" s="847">
        <v>114869</v>
      </c>
      <c r="CU581" s="847">
        <v>116364</v>
      </c>
      <c r="CV581" s="847">
        <v>117856</v>
      </c>
      <c r="CW581" s="847">
        <v>119342</v>
      </c>
      <c r="CX581" s="847">
        <v>120798</v>
      </c>
      <c r="CY581" s="847">
        <v>122000</v>
      </c>
      <c r="CZ581" s="847">
        <v>0</v>
      </c>
      <c r="DA581" s="847">
        <v>0</v>
      </c>
      <c r="DB581" s="847">
        <v>0</v>
      </c>
      <c r="DC581" s="847">
        <v>0</v>
      </c>
      <c r="DD581" s="847">
        <v>0</v>
      </c>
      <c r="DE581" s="847">
        <v>0</v>
      </c>
      <c r="DF581" s="847">
        <v>0</v>
      </c>
      <c r="DG581" s="847">
        <v>0</v>
      </c>
      <c r="DH581" s="847">
        <v>0</v>
      </c>
      <c r="DI581" s="847">
        <v>0</v>
      </c>
      <c r="DJ581" s="847">
        <v>0</v>
      </c>
      <c r="DK581" s="847">
        <v>0</v>
      </c>
      <c r="DL581" s="847">
        <v>0</v>
      </c>
      <c r="DM581" s="847">
        <v>0</v>
      </c>
      <c r="DN581" s="847">
        <v>0</v>
      </c>
      <c r="DO581" s="847">
        <v>0</v>
      </c>
      <c r="DP581" s="847">
        <v>0</v>
      </c>
      <c r="DQ581" s="847">
        <v>0</v>
      </c>
      <c r="DR581" s="847">
        <v>0</v>
      </c>
      <c r="DS581" s="847">
        <v>0</v>
      </c>
      <c r="DT581" s="847">
        <v>0</v>
      </c>
      <c r="DU581" s="847">
        <v>0</v>
      </c>
      <c r="DV581" s="847">
        <v>0</v>
      </c>
      <c r="DW581" s="847">
        <v>0</v>
      </c>
      <c r="DX581" s="847">
        <v>0</v>
      </c>
    </row>
    <row r="582" spans="12:128" hidden="1">
      <c r="L582" s="846" t="s">
        <v>1060</v>
      </c>
      <c r="M582" s="846" t="s">
        <v>1382</v>
      </c>
      <c r="N582" s="846" t="s">
        <v>97</v>
      </c>
      <c r="O582" s="847">
        <v>26</v>
      </c>
      <c r="P582" s="780" t="str">
        <f t="shared" si="19"/>
        <v>IWT060226</v>
      </c>
      <c r="Q582" s="847">
        <v>26039</v>
      </c>
      <c r="R582" s="847">
        <v>26560</v>
      </c>
      <c r="S582" s="847">
        <v>27091</v>
      </c>
      <c r="T582" s="847">
        <v>27633</v>
      </c>
      <c r="U582" s="847">
        <v>28185</v>
      </c>
      <c r="V582" s="847">
        <v>28749</v>
      </c>
      <c r="W582" s="847">
        <v>29323</v>
      </c>
      <c r="X582" s="847">
        <v>29909</v>
      </c>
      <c r="Y582" s="847">
        <v>30506</v>
      </c>
      <c r="Z582" s="847">
        <v>31116</v>
      </c>
      <c r="AA582" s="847">
        <v>31739</v>
      </c>
      <c r="AB582" s="847">
        <v>32374</v>
      </c>
      <c r="AC582" s="847">
        <v>33021</v>
      </c>
      <c r="AD582" s="847">
        <v>33681</v>
      </c>
      <c r="AE582" s="847">
        <v>34355</v>
      </c>
      <c r="AF582" s="847">
        <v>35042</v>
      </c>
      <c r="AG582" s="847">
        <v>35743</v>
      </c>
      <c r="AH582" s="847">
        <v>36458</v>
      </c>
      <c r="AI582" s="847">
        <v>37187</v>
      </c>
      <c r="AJ582" s="847">
        <v>37931</v>
      </c>
      <c r="AK582" s="847">
        <v>38689</v>
      </c>
      <c r="AL582" s="847">
        <v>39463</v>
      </c>
      <c r="AM582" s="847">
        <v>40252</v>
      </c>
      <c r="AN582" s="847">
        <v>41057</v>
      </c>
      <c r="AO582" s="847">
        <v>41879</v>
      </c>
      <c r="AP582" s="847">
        <v>42716</v>
      </c>
      <c r="AQ582" s="847">
        <v>43570</v>
      </c>
      <c r="AR582" s="847">
        <v>44442</v>
      </c>
      <c r="AS582" s="847">
        <v>45331</v>
      </c>
      <c r="AT582" s="847">
        <v>46237</v>
      </c>
      <c r="AU582" s="847">
        <v>47162</v>
      </c>
      <c r="AV582" s="847">
        <v>48105</v>
      </c>
      <c r="AW582" s="847">
        <v>49067</v>
      </c>
      <c r="AX582" s="847">
        <v>50049</v>
      </c>
      <c r="AY582" s="847">
        <v>51050</v>
      </c>
      <c r="AZ582" s="847">
        <v>52071</v>
      </c>
      <c r="BA582" s="847">
        <v>53112</v>
      </c>
      <c r="BB582" s="847">
        <v>54174</v>
      </c>
      <c r="BC582" s="847">
        <v>55257</v>
      </c>
      <c r="BD582" s="847">
        <v>56359</v>
      </c>
      <c r="BE582" s="847">
        <v>57481</v>
      </c>
      <c r="BF582" s="847">
        <v>58622</v>
      </c>
      <c r="BG582" s="847">
        <v>59782</v>
      </c>
      <c r="BH582" s="847">
        <v>60962</v>
      </c>
      <c r="BI582" s="847">
        <v>62160</v>
      </c>
      <c r="BJ582" s="847">
        <v>63377</v>
      </c>
      <c r="BK582" s="847">
        <v>64612</v>
      </c>
      <c r="BL582" s="847">
        <v>65866</v>
      </c>
      <c r="BM582" s="847">
        <v>67138</v>
      </c>
      <c r="BN582" s="847">
        <v>68427</v>
      </c>
      <c r="BO582" s="847">
        <v>69732</v>
      </c>
      <c r="BP582" s="847">
        <v>71055</v>
      </c>
      <c r="BQ582" s="847">
        <v>72393</v>
      </c>
      <c r="BR582" s="847">
        <v>73746</v>
      </c>
      <c r="BS582" s="847">
        <v>75114</v>
      </c>
      <c r="BT582" s="847">
        <v>76496</v>
      </c>
      <c r="BU582" s="847">
        <v>77892</v>
      </c>
      <c r="BV582" s="847">
        <v>79301</v>
      </c>
      <c r="BW582" s="847">
        <v>80722</v>
      </c>
      <c r="BX582" s="847">
        <v>82155</v>
      </c>
      <c r="BY582" s="847">
        <v>83600</v>
      </c>
      <c r="BZ582" s="847">
        <v>85055</v>
      </c>
      <c r="CA582" s="847">
        <v>86520</v>
      </c>
      <c r="CB582" s="847">
        <v>87994</v>
      </c>
      <c r="CC582" s="847">
        <v>89478</v>
      </c>
      <c r="CD582" s="847">
        <v>90970</v>
      </c>
      <c r="CE582" s="847">
        <v>92466</v>
      </c>
      <c r="CF582" s="847">
        <v>93962</v>
      </c>
      <c r="CG582" s="847">
        <v>95461</v>
      </c>
      <c r="CH582" s="847">
        <v>96963</v>
      </c>
      <c r="CI582" s="847">
        <v>98468</v>
      </c>
      <c r="CJ582" s="847">
        <v>99973</v>
      </c>
      <c r="CK582" s="847">
        <v>101480</v>
      </c>
      <c r="CL582" s="847">
        <v>102986</v>
      </c>
      <c r="CM582" s="847">
        <v>104492</v>
      </c>
      <c r="CN582" s="847">
        <v>105997</v>
      </c>
      <c r="CO582" s="847">
        <v>107501</v>
      </c>
      <c r="CP582" s="847">
        <v>109003</v>
      </c>
      <c r="CQ582" s="847">
        <v>110503</v>
      </c>
      <c r="CR582" s="847">
        <v>112000</v>
      </c>
      <c r="CS582" s="847">
        <v>113495</v>
      </c>
      <c r="CT582" s="847">
        <v>114986</v>
      </c>
      <c r="CU582" s="847">
        <v>116474</v>
      </c>
      <c r="CV582" s="847">
        <v>117958</v>
      </c>
      <c r="CW582" s="847">
        <v>119412</v>
      </c>
      <c r="CX582" s="847">
        <v>120600</v>
      </c>
      <c r="CY582" s="847">
        <v>0</v>
      </c>
      <c r="CZ582" s="847">
        <v>0</v>
      </c>
      <c r="DA582" s="847">
        <v>0</v>
      </c>
      <c r="DB582" s="847">
        <v>0</v>
      </c>
      <c r="DC582" s="847">
        <v>0</v>
      </c>
      <c r="DD582" s="847">
        <v>0</v>
      </c>
      <c r="DE582" s="847">
        <v>0</v>
      </c>
      <c r="DF582" s="847">
        <v>0</v>
      </c>
      <c r="DG582" s="847">
        <v>0</v>
      </c>
      <c r="DH582" s="847">
        <v>0</v>
      </c>
      <c r="DI582" s="847">
        <v>0</v>
      </c>
      <c r="DJ582" s="847">
        <v>0</v>
      </c>
      <c r="DK582" s="847">
        <v>0</v>
      </c>
      <c r="DL582" s="847">
        <v>0</v>
      </c>
      <c r="DM582" s="847">
        <v>0</v>
      </c>
      <c r="DN582" s="847">
        <v>0</v>
      </c>
      <c r="DO582" s="847">
        <v>0</v>
      </c>
      <c r="DP582" s="847">
        <v>0</v>
      </c>
      <c r="DQ582" s="847">
        <v>0</v>
      </c>
      <c r="DR582" s="847">
        <v>0</v>
      </c>
      <c r="DS582" s="847">
        <v>0</v>
      </c>
      <c r="DT582" s="847">
        <v>0</v>
      </c>
      <c r="DU582" s="847">
        <v>0</v>
      </c>
      <c r="DV582" s="847">
        <v>0</v>
      </c>
      <c r="DW582" s="847">
        <v>0</v>
      </c>
      <c r="DX582" s="847">
        <v>0</v>
      </c>
    </row>
    <row r="583" spans="12:128" hidden="1">
      <c r="L583" s="846" t="s">
        <v>1060</v>
      </c>
      <c r="M583" s="846" t="s">
        <v>1382</v>
      </c>
      <c r="N583" s="846" t="s">
        <v>97</v>
      </c>
      <c r="O583" s="847">
        <v>27</v>
      </c>
      <c r="P583" s="780" t="str">
        <f t="shared" si="19"/>
        <v>IWT060227</v>
      </c>
      <c r="Q583" s="847">
        <v>26116</v>
      </c>
      <c r="R583" s="847">
        <v>26638</v>
      </c>
      <c r="S583" s="847">
        <v>27171</v>
      </c>
      <c r="T583" s="847">
        <v>27714</v>
      </c>
      <c r="U583" s="847">
        <v>28269</v>
      </c>
      <c r="V583" s="847">
        <v>28834</v>
      </c>
      <c r="W583" s="847">
        <v>29410</v>
      </c>
      <c r="X583" s="847">
        <v>29997</v>
      </c>
      <c r="Y583" s="847">
        <v>30597</v>
      </c>
      <c r="Z583" s="847">
        <v>31208</v>
      </c>
      <c r="AA583" s="847">
        <v>31832</v>
      </c>
      <c r="AB583" s="847">
        <v>32469</v>
      </c>
      <c r="AC583" s="847">
        <v>33118</v>
      </c>
      <c r="AD583" s="847">
        <v>33781</v>
      </c>
      <c r="AE583" s="847">
        <v>34456</v>
      </c>
      <c r="AF583" s="847">
        <v>35146</v>
      </c>
      <c r="AG583" s="847">
        <v>35849</v>
      </c>
      <c r="AH583" s="847">
        <v>36565</v>
      </c>
      <c r="AI583" s="847">
        <v>37297</v>
      </c>
      <c r="AJ583" s="847">
        <v>38043</v>
      </c>
      <c r="AK583" s="847">
        <v>38804</v>
      </c>
      <c r="AL583" s="847">
        <v>39580</v>
      </c>
      <c r="AM583" s="847">
        <v>40371</v>
      </c>
      <c r="AN583" s="847">
        <v>41179</v>
      </c>
      <c r="AO583" s="847">
        <v>42002</v>
      </c>
      <c r="AP583" s="847">
        <v>42842</v>
      </c>
      <c r="AQ583" s="847">
        <v>43699</v>
      </c>
      <c r="AR583" s="847">
        <v>44573</v>
      </c>
      <c r="AS583" s="847">
        <v>45465</v>
      </c>
      <c r="AT583" s="847">
        <v>46374</v>
      </c>
      <c r="AU583" s="847">
        <v>47301</v>
      </c>
      <c r="AV583" s="847">
        <v>48247</v>
      </c>
      <c r="AW583" s="847">
        <v>49212</v>
      </c>
      <c r="AX583" s="847">
        <v>50196</v>
      </c>
      <c r="AY583" s="847">
        <v>51200</v>
      </c>
      <c r="AZ583" s="847">
        <v>52224</v>
      </c>
      <c r="BA583" s="847">
        <v>53269</v>
      </c>
      <c r="BB583" s="847">
        <v>54334</v>
      </c>
      <c r="BC583" s="847">
        <v>55421</v>
      </c>
      <c r="BD583" s="847">
        <v>56527</v>
      </c>
      <c r="BE583" s="847">
        <v>57653</v>
      </c>
      <c r="BF583" s="847">
        <v>58799</v>
      </c>
      <c r="BG583" s="847">
        <v>59963</v>
      </c>
      <c r="BH583" s="847">
        <v>61146</v>
      </c>
      <c r="BI583" s="847">
        <v>62348</v>
      </c>
      <c r="BJ583" s="847">
        <v>63569</v>
      </c>
      <c r="BK583" s="847">
        <v>64808</v>
      </c>
      <c r="BL583" s="847">
        <v>66065</v>
      </c>
      <c r="BM583" s="847">
        <v>67340</v>
      </c>
      <c r="BN583" s="847">
        <v>68631</v>
      </c>
      <c r="BO583" s="847">
        <v>69940</v>
      </c>
      <c r="BP583" s="847">
        <v>71264</v>
      </c>
      <c r="BQ583" s="847">
        <v>72604</v>
      </c>
      <c r="BR583" s="847">
        <v>73959</v>
      </c>
      <c r="BS583" s="847">
        <v>75328</v>
      </c>
      <c r="BT583" s="847">
        <v>76711</v>
      </c>
      <c r="BU583" s="847">
        <v>78108</v>
      </c>
      <c r="BV583" s="847">
        <v>79517</v>
      </c>
      <c r="BW583" s="847">
        <v>80938</v>
      </c>
      <c r="BX583" s="847">
        <v>82372</v>
      </c>
      <c r="BY583" s="847">
        <v>83815</v>
      </c>
      <c r="BZ583" s="847">
        <v>85270</v>
      </c>
      <c r="CA583" s="847">
        <v>86734</v>
      </c>
      <c r="CB583" s="847">
        <v>88208</v>
      </c>
      <c r="CC583" s="847">
        <v>89690</v>
      </c>
      <c r="CD583" s="847">
        <v>91177</v>
      </c>
      <c r="CE583" s="847">
        <v>92664</v>
      </c>
      <c r="CF583" s="847">
        <v>94155</v>
      </c>
      <c r="CG583" s="847">
        <v>95649</v>
      </c>
      <c r="CH583" s="847">
        <v>97146</v>
      </c>
      <c r="CI583" s="847">
        <v>98644</v>
      </c>
      <c r="CJ583" s="847">
        <v>100144</v>
      </c>
      <c r="CK583" s="847">
        <v>101645</v>
      </c>
      <c r="CL583" s="847">
        <v>103145</v>
      </c>
      <c r="CM583" s="847">
        <v>104645</v>
      </c>
      <c r="CN583" s="847">
        <v>106143</v>
      </c>
      <c r="CO583" s="847">
        <v>107641</v>
      </c>
      <c r="CP583" s="847">
        <v>109136</v>
      </c>
      <c r="CQ583" s="847">
        <v>110629</v>
      </c>
      <c r="CR583" s="847">
        <v>112120</v>
      </c>
      <c r="CS583" s="847">
        <v>113608</v>
      </c>
      <c r="CT583" s="847">
        <v>115093</v>
      </c>
      <c r="CU583" s="847">
        <v>116574</v>
      </c>
      <c r="CV583" s="847">
        <v>118026</v>
      </c>
      <c r="CW583" s="847">
        <v>119200</v>
      </c>
      <c r="CX583" s="847">
        <v>0</v>
      </c>
      <c r="CY583" s="847">
        <v>0</v>
      </c>
      <c r="CZ583" s="847">
        <v>0</v>
      </c>
      <c r="DA583" s="847">
        <v>0</v>
      </c>
      <c r="DB583" s="847">
        <v>0</v>
      </c>
      <c r="DC583" s="847">
        <v>0</v>
      </c>
      <c r="DD583" s="847">
        <v>0</v>
      </c>
      <c r="DE583" s="847">
        <v>0</v>
      </c>
      <c r="DF583" s="847">
        <v>0</v>
      </c>
      <c r="DG583" s="847">
        <v>0</v>
      </c>
      <c r="DH583" s="847">
        <v>0</v>
      </c>
      <c r="DI583" s="847">
        <v>0</v>
      </c>
      <c r="DJ583" s="847">
        <v>0</v>
      </c>
      <c r="DK583" s="847">
        <v>0</v>
      </c>
      <c r="DL583" s="847">
        <v>0</v>
      </c>
      <c r="DM583" s="847">
        <v>0</v>
      </c>
      <c r="DN583" s="847">
        <v>0</v>
      </c>
      <c r="DO583" s="847">
        <v>0</v>
      </c>
      <c r="DP583" s="847">
        <v>0</v>
      </c>
      <c r="DQ583" s="847">
        <v>0</v>
      </c>
      <c r="DR583" s="847">
        <v>0</v>
      </c>
      <c r="DS583" s="847">
        <v>0</v>
      </c>
      <c r="DT583" s="847">
        <v>0</v>
      </c>
      <c r="DU583" s="847">
        <v>0</v>
      </c>
      <c r="DV583" s="847">
        <v>0</v>
      </c>
      <c r="DW583" s="847">
        <v>0</v>
      </c>
      <c r="DX583" s="847">
        <v>0</v>
      </c>
    </row>
    <row r="584" spans="12:128" hidden="1">
      <c r="L584" s="846" t="s">
        <v>1060</v>
      </c>
      <c r="M584" s="846" t="s">
        <v>1382</v>
      </c>
      <c r="N584" s="846" t="s">
        <v>97</v>
      </c>
      <c r="O584" s="847">
        <v>28</v>
      </c>
      <c r="P584" s="780" t="str">
        <f t="shared" si="19"/>
        <v>IWT060228</v>
      </c>
      <c r="Q584" s="847">
        <v>26188</v>
      </c>
      <c r="R584" s="847">
        <v>26712</v>
      </c>
      <c r="S584" s="847">
        <v>27246</v>
      </c>
      <c r="T584" s="847">
        <v>27791</v>
      </c>
      <c r="U584" s="847">
        <v>28347</v>
      </c>
      <c r="V584" s="847">
        <v>28914</v>
      </c>
      <c r="W584" s="847">
        <v>29491</v>
      </c>
      <c r="X584" s="847">
        <v>30080</v>
      </c>
      <c r="Y584" s="847">
        <v>30681</v>
      </c>
      <c r="Z584" s="847">
        <v>31294</v>
      </c>
      <c r="AA584" s="847">
        <v>31920</v>
      </c>
      <c r="AB584" s="847">
        <v>32559</v>
      </c>
      <c r="AC584" s="847">
        <v>33210</v>
      </c>
      <c r="AD584" s="847">
        <v>33874</v>
      </c>
      <c r="AE584" s="847">
        <v>34552</v>
      </c>
      <c r="AF584" s="847">
        <v>35243</v>
      </c>
      <c r="AG584" s="847">
        <v>35947</v>
      </c>
      <c r="AH584" s="847">
        <v>36666</v>
      </c>
      <c r="AI584" s="847">
        <v>37400</v>
      </c>
      <c r="AJ584" s="847">
        <v>38148</v>
      </c>
      <c r="AK584" s="847">
        <v>38911</v>
      </c>
      <c r="AL584" s="847">
        <v>39689</v>
      </c>
      <c r="AM584" s="847">
        <v>40483</v>
      </c>
      <c r="AN584" s="847">
        <v>41292</v>
      </c>
      <c r="AO584" s="847">
        <v>42118</v>
      </c>
      <c r="AP584" s="847">
        <v>42961</v>
      </c>
      <c r="AQ584" s="847">
        <v>43820</v>
      </c>
      <c r="AR584" s="847">
        <v>44696</v>
      </c>
      <c r="AS584" s="847">
        <v>45590</v>
      </c>
      <c r="AT584" s="847">
        <v>46502</v>
      </c>
      <c r="AU584" s="847">
        <v>47432</v>
      </c>
      <c r="AV584" s="847">
        <v>48380</v>
      </c>
      <c r="AW584" s="847">
        <v>49348</v>
      </c>
      <c r="AX584" s="847">
        <v>50335</v>
      </c>
      <c r="AY584" s="847">
        <v>51342</v>
      </c>
      <c r="AZ584" s="847">
        <v>52369</v>
      </c>
      <c r="BA584" s="847">
        <v>53416</v>
      </c>
      <c r="BB584" s="847">
        <v>54484</v>
      </c>
      <c r="BC584" s="847">
        <v>55574</v>
      </c>
      <c r="BD584" s="847">
        <v>56685</v>
      </c>
      <c r="BE584" s="847">
        <v>57815</v>
      </c>
      <c r="BF584" s="847">
        <v>58964</v>
      </c>
      <c r="BG584" s="847">
        <v>60132</v>
      </c>
      <c r="BH584" s="847">
        <v>61320</v>
      </c>
      <c r="BI584" s="847">
        <v>62526</v>
      </c>
      <c r="BJ584" s="847">
        <v>63750</v>
      </c>
      <c r="BK584" s="847">
        <v>64992</v>
      </c>
      <c r="BL584" s="847">
        <v>66253</v>
      </c>
      <c r="BM584" s="847">
        <v>67530</v>
      </c>
      <c r="BN584" s="847">
        <v>68825</v>
      </c>
      <c r="BO584" s="847">
        <v>70135</v>
      </c>
      <c r="BP584" s="847">
        <v>71462</v>
      </c>
      <c r="BQ584" s="847">
        <v>72804</v>
      </c>
      <c r="BR584" s="847">
        <v>74160</v>
      </c>
      <c r="BS584" s="847">
        <v>75531</v>
      </c>
      <c r="BT584" s="847">
        <v>76915</v>
      </c>
      <c r="BU584" s="847">
        <v>78312</v>
      </c>
      <c r="BV584" s="847">
        <v>79722</v>
      </c>
      <c r="BW584" s="847">
        <v>81144</v>
      </c>
      <c r="BX584" s="847">
        <v>82576</v>
      </c>
      <c r="BY584" s="847">
        <v>84020</v>
      </c>
      <c r="BZ584" s="847">
        <v>85474</v>
      </c>
      <c r="CA584" s="847">
        <v>86937</v>
      </c>
      <c r="CB584" s="847">
        <v>88409</v>
      </c>
      <c r="CC584" s="847">
        <v>89887</v>
      </c>
      <c r="CD584" s="847">
        <v>91365</v>
      </c>
      <c r="CE584" s="847">
        <v>92848</v>
      </c>
      <c r="CF584" s="847">
        <v>94335</v>
      </c>
      <c r="CG584" s="847">
        <v>95824</v>
      </c>
      <c r="CH584" s="847">
        <v>97316</v>
      </c>
      <c r="CI584" s="847">
        <v>98809</v>
      </c>
      <c r="CJ584" s="847">
        <v>100303</v>
      </c>
      <c r="CK584" s="847">
        <v>101798</v>
      </c>
      <c r="CL584" s="847">
        <v>103292</v>
      </c>
      <c r="CM584" s="847">
        <v>104786</v>
      </c>
      <c r="CN584" s="847">
        <v>106278</v>
      </c>
      <c r="CO584" s="847">
        <v>107769</v>
      </c>
      <c r="CP584" s="847">
        <v>109258</v>
      </c>
      <c r="CQ584" s="847">
        <v>110745</v>
      </c>
      <c r="CR584" s="847">
        <v>112230</v>
      </c>
      <c r="CS584" s="847">
        <v>113712</v>
      </c>
      <c r="CT584" s="847">
        <v>115189</v>
      </c>
      <c r="CU584" s="847">
        <v>116639</v>
      </c>
      <c r="CV584" s="847">
        <v>117800</v>
      </c>
      <c r="CW584" s="847">
        <v>0</v>
      </c>
      <c r="CX584" s="847">
        <v>0</v>
      </c>
      <c r="CY584" s="847">
        <v>0</v>
      </c>
      <c r="CZ584" s="847">
        <v>0</v>
      </c>
      <c r="DA584" s="847">
        <v>0</v>
      </c>
      <c r="DB584" s="847">
        <v>0</v>
      </c>
      <c r="DC584" s="847">
        <v>0</v>
      </c>
      <c r="DD584" s="847">
        <v>0</v>
      </c>
      <c r="DE584" s="847">
        <v>0</v>
      </c>
      <c r="DF584" s="847">
        <v>0</v>
      </c>
      <c r="DG584" s="847">
        <v>0</v>
      </c>
      <c r="DH584" s="847">
        <v>0</v>
      </c>
      <c r="DI584" s="847">
        <v>0</v>
      </c>
      <c r="DJ584" s="847">
        <v>0</v>
      </c>
      <c r="DK584" s="847">
        <v>0</v>
      </c>
      <c r="DL584" s="847">
        <v>0</v>
      </c>
      <c r="DM584" s="847">
        <v>0</v>
      </c>
      <c r="DN584" s="847">
        <v>0</v>
      </c>
      <c r="DO584" s="847">
        <v>0</v>
      </c>
      <c r="DP584" s="847">
        <v>0</v>
      </c>
      <c r="DQ584" s="847">
        <v>0</v>
      </c>
      <c r="DR584" s="847">
        <v>0</v>
      </c>
      <c r="DS584" s="847">
        <v>0</v>
      </c>
      <c r="DT584" s="847">
        <v>0</v>
      </c>
      <c r="DU584" s="847">
        <v>0</v>
      </c>
      <c r="DV584" s="847">
        <v>0</v>
      </c>
      <c r="DW584" s="847">
        <v>0</v>
      </c>
      <c r="DX584" s="847">
        <v>0</v>
      </c>
    </row>
    <row r="585" spans="12:128" hidden="1">
      <c r="L585" s="846" t="s">
        <v>1060</v>
      </c>
      <c r="M585" s="846" t="s">
        <v>1382</v>
      </c>
      <c r="N585" s="846" t="s">
        <v>97</v>
      </c>
      <c r="O585" s="847">
        <v>29</v>
      </c>
      <c r="P585" s="780" t="str">
        <f t="shared" si="19"/>
        <v>IWT060229</v>
      </c>
      <c r="Q585" s="847">
        <v>26256</v>
      </c>
      <c r="R585" s="847">
        <v>26781</v>
      </c>
      <c r="S585" s="847">
        <v>27316</v>
      </c>
      <c r="T585" s="847">
        <v>27863</v>
      </c>
      <c r="U585" s="847">
        <v>28420</v>
      </c>
      <c r="V585" s="847">
        <v>28988</v>
      </c>
      <c r="W585" s="847">
        <v>29567</v>
      </c>
      <c r="X585" s="847">
        <v>30157</v>
      </c>
      <c r="Y585" s="847">
        <v>30760</v>
      </c>
      <c r="Z585" s="847">
        <v>31375</v>
      </c>
      <c r="AA585" s="847">
        <v>32002</v>
      </c>
      <c r="AB585" s="847">
        <v>32642</v>
      </c>
      <c r="AC585" s="847">
        <v>33295</v>
      </c>
      <c r="AD585" s="847">
        <v>33961</v>
      </c>
      <c r="AE585" s="847">
        <v>34640</v>
      </c>
      <c r="AF585" s="847">
        <v>35333</v>
      </c>
      <c r="AG585" s="847">
        <v>36040</v>
      </c>
      <c r="AH585" s="847">
        <v>36761</v>
      </c>
      <c r="AI585" s="847">
        <v>37496</v>
      </c>
      <c r="AJ585" s="847">
        <v>38246</v>
      </c>
      <c r="AK585" s="847">
        <v>39011</v>
      </c>
      <c r="AL585" s="847">
        <v>39791</v>
      </c>
      <c r="AM585" s="847">
        <v>40587</v>
      </c>
      <c r="AN585" s="847">
        <v>41398</v>
      </c>
      <c r="AO585" s="847">
        <v>42226</v>
      </c>
      <c r="AP585" s="847">
        <v>43071</v>
      </c>
      <c r="AQ585" s="847">
        <v>43932</v>
      </c>
      <c r="AR585" s="847">
        <v>44811</v>
      </c>
      <c r="AS585" s="847">
        <v>45707</v>
      </c>
      <c r="AT585" s="847">
        <v>46621</v>
      </c>
      <c r="AU585" s="847">
        <v>47554</v>
      </c>
      <c r="AV585" s="847">
        <v>48505</v>
      </c>
      <c r="AW585" s="847">
        <v>49475</v>
      </c>
      <c r="AX585" s="847">
        <v>50464</v>
      </c>
      <c r="AY585" s="847">
        <v>51474</v>
      </c>
      <c r="AZ585" s="847">
        <v>52503</v>
      </c>
      <c r="BA585" s="847">
        <v>53553</v>
      </c>
      <c r="BB585" s="847">
        <v>54624</v>
      </c>
      <c r="BC585" s="847">
        <v>55717</v>
      </c>
      <c r="BD585" s="847">
        <v>56831</v>
      </c>
      <c r="BE585" s="847">
        <v>57965</v>
      </c>
      <c r="BF585" s="847">
        <v>59119</v>
      </c>
      <c r="BG585" s="847">
        <v>60291</v>
      </c>
      <c r="BH585" s="847">
        <v>61482</v>
      </c>
      <c r="BI585" s="847">
        <v>62692</v>
      </c>
      <c r="BJ585" s="847">
        <v>63920</v>
      </c>
      <c r="BK585" s="847">
        <v>65166</v>
      </c>
      <c r="BL585" s="847">
        <v>66429</v>
      </c>
      <c r="BM585" s="847">
        <v>67710</v>
      </c>
      <c r="BN585" s="847">
        <v>69007</v>
      </c>
      <c r="BO585" s="847">
        <v>70320</v>
      </c>
      <c r="BP585" s="847">
        <v>71648</v>
      </c>
      <c r="BQ585" s="847">
        <v>72992</v>
      </c>
      <c r="BR585" s="847">
        <v>74350</v>
      </c>
      <c r="BS585" s="847">
        <v>75722</v>
      </c>
      <c r="BT585" s="847">
        <v>77107</v>
      </c>
      <c r="BU585" s="847">
        <v>78505</v>
      </c>
      <c r="BV585" s="847">
        <v>79915</v>
      </c>
      <c r="BW585" s="847">
        <v>81337</v>
      </c>
      <c r="BX585" s="847">
        <v>82770</v>
      </c>
      <c r="BY585" s="847">
        <v>84213</v>
      </c>
      <c r="BZ585" s="847">
        <v>85667</v>
      </c>
      <c r="CA585" s="847">
        <v>87129</v>
      </c>
      <c r="CB585" s="847">
        <v>88597</v>
      </c>
      <c r="CC585" s="847">
        <v>90067</v>
      </c>
      <c r="CD585" s="847">
        <v>91542</v>
      </c>
      <c r="CE585" s="847">
        <v>93020</v>
      </c>
      <c r="CF585" s="847">
        <v>94502</v>
      </c>
      <c r="CG585" s="847">
        <v>95987</v>
      </c>
      <c r="CH585" s="847">
        <v>97474</v>
      </c>
      <c r="CI585" s="847">
        <v>98962</v>
      </c>
      <c r="CJ585" s="847">
        <v>100450</v>
      </c>
      <c r="CK585" s="847">
        <v>101939</v>
      </c>
      <c r="CL585" s="847">
        <v>103428</v>
      </c>
      <c r="CM585" s="847">
        <v>104916</v>
      </c>
      <c r="CN585" s="847">
        <v>106402</v>
      </c>
      <c r="CO585" s="847">
        <v>107887</v>
      </c>
      <c r="CP585" s="847">
        <v>109370</v>
      </c>
      <c r="CQ585" s="847">
        <v>110852</v>
      </c>
      <c r="CR585" s="847">
        <v>112330</v>
      </c>
      <c r="CS585" s="847">
        <v>113805</v>
      </c>
      <c r="CT585" s="847">
        <v>115253</v>
      </c>
      <c r="CU585" s="847">
        <v>116400</v>
      </c>
      <c r="CV585" s="847">
        <v>0</v>
      </c>
      <c r="CW585" s="847">
        <v>0</v>
      </c>
      <c r="CX585" s="847">
        <v>0</v>
      </c>
      <c r="CY585" s="847">
        <v>0</v>
      </c>
      <c r="CZ585" s="847">
        <v>0</v>
      </c>
      <c r="DA585" s="847">
        <v>0</v>
      </c>
      <c r="DB585" s="847">
        <v>0</v>
      </c>
      <c r="DC585" s="847">
        <v>0</v>
      </c>
      <c r="DD585" s="847">
        <v>0</v>
      </c>
      <c r="DE585" s="847">
        <v>0</v>
      </c>
      <c r="DF585" s="847">
        <v>0</v>
      </c>
      <c r="DG585" s="847">
        <v>0</v>
      </c>
      <c r="DH585" s="847">
        <v>0</v>
      </c>
      <c r="DI585" s="847">
        <v>0</v>
      </c>
      <c r="DJ585" s="847">
        <v>0</v>
      </c>
      <c r="DK585" s="847">
        <v>0</v>
      </c>
      <c r="DL585" s="847">
        <v>0</v>
      </c>
      <c r="DM585" s="847">
        <v>0</v>
      </c>
      <c r="DN585" s="847">
        <v>0</v>
      </c>
      <c r="DO585" s="847">
        <v>0</v>
      </c>
      <c r="DP585" s="847">
        <v>0</v>
      </c>
      <c r="DQ585" s="847">
        <v>0</v>
      </c>
      <c r="DR585" s="847">
        <v>0</v>
      </c>
      <c r="DS585" s="847">
        <v>0</v>
      </c>
      <c r="DT585" s="847">
        <v>0</v>
      </c>
      <c r="DU585" s="847">
        <v>0</v>
      </c>
      <c r="DV585" s="847">
        <v>0</v>
      </c>
      <c r="DW585" s="847">
        <v>0</v>
      </c>
      <c r="DX585" s="847">
        <v>0</v>
      </c>
    </row>
    <row r="586" spans="12:128" hidden="1">
      <c r="L586" s="846" t="s">
        <v>1060</v>
      </c>
      <c r="M586" s="846" t="s">
        <v>1382</v>
      </c>
      <c r="N586" s="846" t="s">
        <v>97</v>
      </c>
      <c r="O586" s="847">
        <v>30</v>
      </c>
      <c r="P586" s="780" t="str">
        <f t="shared" si="19"/>
        <v>IWT060230</v>
      </c>
      <c r="Q586" s="847">
        <v>26318</v>
      </c>
      <c r="R586" s="847">
        <v>26845</v>
      </c>
      <c r="S586" s="847">
        <v>27382</v>
      </c>
      <c r="T586" s="847">
        <v>27929</v>
      </c>
      <c r="U586" s="847">
        <v>28488</v>
      </c>
      <c r="V586" s="847">
        <v>29058</v>
      </c>
      <c r="W586" s="847">
        <v>29637</v>
      </c>
      <c r="X586" s="847">
        <v>30229</v>
      </c>
      <c r="Y586" s="847">
        <v>30833</v>
      </c>
      <c r="Z586" s="847">
        <v>31450</v>
      </c>
      <c r="AA586" s="847">
        <v>32079</v>
      </c>
      <c r="AB586" s="847">
        <v>32720</v>
      </c>
      <c r="AC586" s="847">
        <v>33375</v>
      </c>
      <c r="AD586" s="847">
        <v>34042</v>
      </c>
      <c r="AE586" s="847">
        <v>34723</v>
      </c>
      <c r="AF586" s="847">
        <v>35417</v>
      </c>
      <c r="AG586" s="847">
        <v>36126</v>
      </c>
      <c r="AH586" s="847">
        <v>36848</v>
      </c>
      <c r="AI586" s="847">
        <v>37585</v>
      </c>
      <c r="AJ586" s="847">
        <v>38337</v>
      </c>
      <c r="AK586" s="847">
        <v>39104</v>
      </c>
      <c r="AL586" s="847">
        <v>39886</v>
      </c>
      <c r="AM586" s="847">
        <v>40683</v>
      </c>
      <c r="AN586" s="847">
        <v>41497</v>
      </c>
      <c r="AO586" s="847">
        <v>42327</v>
      </c>
      <c r="AP586" s="847">
        <v>43174</v>
      </c>
      <c r="AQ586" s="847">
        <v>44037</v>
      </c>
      <c r="AR586" s="847">
        <v>44918</v>
      </c>
      <c r="AS586" s="847">
        <v>45816</v>
      </c>
      <c r="AT586" s="847">
        <v>46732</v>
      </c>
      <c r="AU586" s="847">
        <v>47667</v>
      </c>
      <c r="AV586" s="847">
        <v>48620</v>
      </c>
      <c r="AW586" s="847">
        <v>49593</v>
      </c>
      <c r="AX586" s="847">
        <v>50585</v>
      </c>
      <c r="AY586" s="847">
        <v>51596</v>
      </c>
      <c r="AZ586" s="847">
        <v>52628</v>
      </c>
      <c r="BA586" s="847">
        <v>53681</v>
      </c>
      <c r="BB586" s="847">
        <v>54754</v>
      </c>
      <c r="BC586" s="847">
        <v>55849</v>
      </c>
      <c r="BD586" s="847">
        <v>56966</v>
      </c>
      <c r="BE586" s="847">
        <v>58105</v>
      </c>
      <c r="BF586" s="847">
        <v>59262</v>
      </c>
      <c r="BG586" s="847">
        <v>60439</v>
      </c>
      <c r="BH586" s="847">
        <v>61634</v>
      </c>
      <c r="BI586" s="847">
        <v>62847</v>
      </c>
      <c r="BJ586" s="847">
        <v>64079</v>
      </c>
      <c r="BK586" s="847">
        <v>65328</v>
      </c>
      <c r="BL586" s="847">
        <v>66595</v>
      </c>
      <c r="BM586" s="847">
        <v>67878</v>
      </c>
      <c r="BN586" s="847">
        <v>69178</v>
      </c>
      <c r="BO586" s="847">
        <v>70493</v>
      </c>
      <c r="BP586" s="847">
        <v>71824</v>
      </c>
      <c r="BQ586" s="847">
        <v>73169</v>
      </c>
      <c r="BR586" s="847">
        <v>74529</v>
      </c>
      <c r="BS586" s="847">
        <v>75902</v>
      </c>
      <c r="BT586" s="847">
        <v>77288</v>
      </c>
      <c r="BU586" s="847">
        <v>78687</v>
      </c>
      <c r="BV586" s="847">
        <v>80098</v>
      </c>
      <c r="BW586" s="847">
        <v>81520</v>
      </c>
      <c r="BX586" s="847">
        <v>82953</v>
      </c>
      <c r="BY586" s="847">
        <v>84396</v>
      </c>
      <c r="BZ586" s="847">
        <v>85849</v>
      </c>
      <c r="CA586" s="847">
        <v>87308</v>
      </c>
      <c r="CB586" s="847">
        <v>88769</v>
      </c>
      <c r="CC586" s="847">
        <v>90235</v>
      </c>
      <c r="CD586" s="847">
        <v>91706</v>
      </c>
      <c r="CE586" s="847">
        <v>93181</v>
      </c>
      <c r="CF586" s="847">
        <v>94658</v>
      </c>
      <c r="CG586" s="847">
        <v>96138</v>
      </c>
      <c r="CH586" s="847">
        <v>97620</v>
      </c>
      <c r="CI586" s="847">
        <v>99103</v>
      </c>
      <c r="CJ586" s="847">
        <v>100587</v>
      </c>
      <c r="CK586" s="847">
        <v>102070</v>
      </c>
      <c r="CL586" s="847">
        <v>103553</v>
      </c>
      <c r="CM586" s="847">
        <v>105035</v>
      </c>
      <c r="CN586" s="847">
        <v>106516</v>
      </c>
      <c r="CO586" s="847">
        <v>107996</v>
      </c>
      <c r="CP586" s="847">
        <v>109473</v>
      </c>
      <c r="CQ586" s="847">
        <v>110949</v>
      </c>
      <c r="CR586" s="847">
        <v>112421</v>
      </c>
      <c r="CS586" s="847">
        <v>113867</v>
      </c>
      <c r="CT586" s="847">
        <v>115000</v>
      </c>
      <c r="CU586" s="847">
        <v>0</v>
      </c>
      <c r="CV586" s="847">
        <v>0</v>
      </c>
      <c r="CW586" s="847">
        <v>0</v>
      </c>
      <c r="CX586" s="847">
        <v>0</v>
      </c>
      <c r="CY586" s="847">
        <v>0</v>
      </c>
      <c r="CZ586" s="847">
        <v>0</v>
      </c>
      <c r="DA586" s="847">
        <v>0</v>
      </c>
      <c r="DB586" s="847">
        <v>0</v>
      </c>
      <c r="DC586" s="847">
        <v>0</v>
      </c>
      <c r="DD586" s="847">
        <v>0</v>
      </c>
      <c r="DE586" s="847">
        <v>0</v>
      </c>
      <c r="DF586" s="847">
        <v>0</v>
      </c>
      <c r="DG586" s="847">
        <v>0</v>
      </c>
      <c r="DH586" s="847">
        <v>0</v>
      </c>
      <c r="DI586" s="847">
        <v>0</v>
      </c>
      <c r="DJ586" s="847">
        <v>0</v>
      </c>
      <c r="DK586" s="847">
        <v>0</v>
      </c>
      <c r="DL586" s="847">
        <v>0</v>
      </c>
      <c r="DM586" s="847">
        <v>0</v>
      </c>
      <c r="DN586" s="847">
        <v>0</v>
      </c>
      <c r="DO586" s="847">
        <v>0</v>
      </c>
      <c r="DP586" s="847">
        <v>0</v>
      </c>
      <c r="DQ586" s="847">
        <v>0</v>
      </c>
      <c r="DR586" s="847">
        <v>0</v>
      </c>
      <c r="DS586" s="847">
        <v>0</v>
      </c>
      <c r="DT586" s="847">
        <v>0</v>
      </c>
      <c r="DU586" s="847">
        <v>0</v>
      </c>
      <c r="DV586" s="847">
        <v>0</v>
      </c>
      <c r="DW586" s="847">
        <v>0</v>
      </c>
      <c r="DX586" s="847">
        <v>0</v>
      </c>
    </row>
    <row r="587" spans="12:128" hidden="1">
      <c r="L587" s="846" t="s">
        <v>1060</v>
      </c>
      <c r="M587" s="846" t="s">
        <v>1382</v>
      </c>
      <c r="N587" s="846" t="s">
        <v>97</v>
      </c>
      <c r="O587" s="847">
        <v>31</v>
      </c>
      <c r="P587" s="780" t="str">
        <f t="shared" si="19"/>
        <v>IWT060231</v>
      </c>
      <c r="Q587" s="847">
        <v>26377</v>
      </c>
      <c r="R587" s="847">
        <v>26904</v>
      </c>
      <c r="S587" s="847">
        <v>27442</v>
      </c>
      <c r="T587" s="847">
        <v>27991</v>
      </c>
      <c r="U587" s="847">
        <v>28551</v>
      </c>
      <c r="V587" s="847">
        <v>29122</v>
      </c>
      <c r="W587" s="847">
        <v>29703</v>
      </c>
      <c r="X587" s="847">
        <v>30296</v>
      </c>
      <c r="Y587" s="847">
        <v>30901</v>
      </c>
      <c r="Z587" s="847">
        <v>31519</v>
      </c>
      <c r="AA587" s="847">
        <v>32149</v>
      </c>
      <c r="AB587" s="847">
        <v>32792</v>
      </c>
      <c r="AC587" s="847">
        <v>33448</v>
      </c>
      <c r="AD587" s="847">
        <v>34117</v>
      </c>
      <c r="AE587" s="847">
        <v>34799</v>
      </c>
      <c r="AF587" s="847">
        <v>35495</v>
      </c>
      <c r="AG587" s="847">
        <v>36205</v>
      </c>
      <c r="AH587" s="847">
        <v>36929</v>
      </c>
      <c r="AI587" s="847">
        <v>37668</v>
      </c>
      <c r="AJ587" s="847">
        <v>38421</v>
      </c>
      <c r="AK587" s="847">
        <v>39190</v>
      </c>
      <c r="AL587" s="847">
        <v>39974</v>
      </c>
      <c r="AM587" s="847">
        <v>40773</v>
      </c>
      <c r="AN587" s="847">
        <v>41588</v>
      </c>
      <c r="AO587" s="847">
        <v>42420</v>
      </c>
      <c r="AP587" s="847">
        <v>43269</v>
      </c>
      <c r="AQ587" s="847">
        <v>44134</v>
      </c>
      <c r="AR587" s="847">
        <v>45017</v>
      </c>
      <c r="AS587" s="847">
        <v>45917</v>
      </c>
      <c r="AT587" s="847">
        <v>46835</v>
      </c>
      <c r="AU587" s="847">
        <v>47772</v>
      </c>
      <c r="AV587" s="847">
        <v>48727</v>
      </c>
      <c r="AW587" s="847">
        <v>49702</v>
      </c>
      <c r="AX587" s="847">
        <v>50696</v>
      </c>
      <c r="AY587" s="847">
        <v>51710</v>
      </c>
      <c r="AZ587" s="847">
        <v>52744</v>
      </c>
      <c r="BA587" s="847">
        <v>53799</v>
      </c>
      <c r="BB587" s="847">
        <v>54875</v>
      </c>
      <c r="BC587" s="847">
        <v>55972</v>
      </c>
      <c r="BD587" s="847">
        <v>57092</v>
      </c>
      <c r="BE587" s="847">
        <v>58234</v>
      </c>
      <c r="BF587" s="847">
        <v>59395</v>
      </c>
      <c r="BG587" s="847">
        <v>60576</v>
      </c>
      <c r="BH587" s="847">
        <v>61775</v>
      </c>
      <c r="BI587" s="847">
        <v>62992</v>
      </c>
      <c r="BJ587" s="847">
        <v>64227</v>
      </c>
      <c r="BK587" s="847">
        <v>65480</v>
      </c>
      <c r="BL587" s="847">
        <v>66749</v>
      </c>
      <c r="BM587" s="847">
        <v>68036</v>
      </c>
      <c r="BN587" s="847">
        <v>69338</v>
      </c>
      <c r="BO587" s="847">
        <v>70656</v>
      </c>
      <c r="BP587" s="847">
        <v>71989</v>
      </c>
      <c r="BQ587" s="847">
        <v>73336</v>
      </c>
      <c r="BR587" s="847">
        <v>74697</v>
      </c>
      <c r="BS587" s="847">
        <v>76072</v>
      </c>
      <c r="BT587" s="847">
        <v>77459</v>
      </c>
      <c r="BU587" s="847">
        <v>78859</v>
      </c>
      <c r="BV587" s="847">
        <v>80270</v>
      </c>
      <c r="BW587" s="847">
        <v>81693</v>
      </c>
      <c r="BX587" s="847">
        <v>83126</v>
      </c>
      <c r="BY587" s="847">
        <v>84568</v>
      </c>
      <c r="BZ587" s="847">
        <v>86018</v>
      </c>
      <c r="CA587" s="847">
        <v>87470</v>
      </c>
      <c r="CB587" s="847">
        <v>88929</v>
      </c>
      <c r="CC587" s="847">
        <v>90392</v>
      </c>
      <c r="CD587" s="847">
        <v>91859</v>
      </c>
      <c r="CE587" s="847">
        <v>93330</v>
      </c>
      <c r="CF587" s="847">
        <v>94803</v>
      </c>
      <c r="CG587" s="847">
        <v>96279</v>
      </c>
      <c r="CH587" s="847">
        <v>97756</v>
      </c>
      <c r="CI587" s="847">
        <v>99234</v>
      </c>
      <c r="CJ587" s="847">
        <v>100712</v>
      </c>
      <c r="CK587" s="847">
        <v>102191</v>
      </c>
      <c r="CL587" s="847">
        <v>103668</v>
      </c>
      <c r="CM587" s="847">
        <v>105145</v>
      </c>
      <c r="CN587" s="847">
        <v>106621</v>
      </c>
      <c r="CO587" s="847">
        <v>108095</v>
      </c>
      <c r="CP587" s="847">
        <v>109567</v>
      </c>
      <c r="CQ587" s="847">
        <v>111037</v>
      </c>
      <c r="CR587" s="847">
        <v>112481</v>
      </c>
      <c r="CS587" s="847">
        <v>113600</v>
      </c>
      <c r="CT587" s="847">
        <v>0</v>
      </c>
      <c r="CU587" s="847">
        <v>0</v>
      </c>
      <c r="CV587" s="847">
        <v>0</v>
      </c>
      <c r="CW587" s="847">
        <v>0</v>
      </c>
      <c r="CX587" s="847">
        <v>0</v>
      </c>
      <c r="CY587" s="847">
        <v>0</v>
      </c>
      <c r="CZ587" s="847">
        <v>0</v>
      </c>
      <c r="DA587" s="847">
        <v>0</v>
      </c>
      <c r="DB587" s="847">
        <v>0</v>
      </c>
      <c r="DC587" s="847">
        <v>0</v>
      </c>
      <c r="DD587" s="847">
        <v>0</v>
      </c>
      <c r="DE587" s="847">
        <v>0</v>
      </c>
      <c r="DF587" s="847">
        <v>0</v>
      </c>
      <c r="DG587" s="847">
        <v>0</v>
      </c>
      <c r="DH587" s="847">
        <v>0</v>
      </c>
      <c r="DI587" s="847">
        <v>0</v>
      </c>
      <c r="DJ587" s="847">
        <v>0</v>
      </c>
      <c r="DK587" s="847">
        <v>0</v>
      </c>
      <c r="DL587" s="847">
        <v>0</v>
      </c>
      <c r="DM587" s="847">
        <v>0</v>
      </c>
      <c r="DN587" s="847">
        <v>0</v>
      </c>
      <c r="DO587" s="847">
        <v>0</v>
      </c>
      <c r="DP587" s="847">
        <v>0</v>
      </c>
      <c r="DQ587" s="847">
        <v>0</v>
      </c>
      <c r="DR587" s="847">
        <v>0</v>
      </c>
      <c r="DS587" s="847">
        <v>0</v>
      </c>
      <c r="DT587" s="847">
        <v>0</v>
      </c>
      <c r="DU587" s="847">
        <v>0</v>
      </c>
      <c r="DV587" s="847">
        <v>0</v>
      </c>
      <c r="DW587" s="847">
        <v>0</v>
      </c>
      <c r="DX587" s="847">
        <v>0</v>
      </c>
    </row>
    <row r="588" spans="12:128" hidden="1">
      <c r="L588" s="846" t="s">
        <v>1060</v>
      </c>
      <c r="M588" s="846" t="s">
        <v>1382</v>
      </c>
      <c r="N588" s="846" t="s">
        <v>97</v>
      </c>
      <c r="O588" s="847">
        <v>32</v>
      </c>
      <c r="P588" s="780" t="str">
        <f t="shared" si="19"/>
        <v>IWT060232</v>
      </c>
      <c r="Q588" s="847">
        <v>26430</v>
      </c>
      <c r="R588" s="847">
        <v>26959</v>
      </c>
      <c r="S588" s="847">
        <v>27498</v>
      </c>
      <c r="T588" s="847">
        <v>28048</v>
      </c>
      <c r="U588" s="847">
        <v>28609</v>
      </c>
      <c r="V588" s="847">
        <v>29181</v>
      </c>
      <c r="W588" s="847">
        <v>29763</v>
      </c>
      <c r="X588" s="847">
        <v>30358</v>
      </c>
      <c r="Y588" s="847">
        <v>30964</v>
      </c>
      <c r="Z588" s="847">
        <v>31583</v>
      </c>
      <c r="AA588" s="847">
        <v>32215</v>
      </c>
      <c r="AB588" s="847">
        <v>32859</v>
      </c>
      <c r="AC588" s="847">
        <v>33516</v>
      </c>
      <c r="AD588" s="847">
        <v>34186</v>
      </c>
      <c r="AE588" s="847">
        <v>34870</v>
      </c>
      <c r="AF588" s="847">
        <v>35567</v>
      </c>
      <c r="AG588" s="847">
        <v>36279</v>
      </c>
      <c r="AH588" s="847">
        <v>37004</v>
      </c>
      <c r="AI588" s="847">
        <v>37744</v>
      </c>
      <c r="AJ588" s="847">
        <v>38499</v>
      </c>
      <c r="AK588" s="847">
        <v>39269</v>
      </c>
      <c r="AL588" s="847">
        <v>40055</v>
      </c>
      <c r="AM588" s="847">
        <v>40856</v>
      </c>
      <c r="AN588" s="847">
        <v>41673</v>
      </c>
      <c r="AO588" s="847">
        <v>42506</v>
      </c>
      <c r="AP588" s="847">
        <v>43356</v>
      </c>
      <c r="AQ588" s="847">
        <v>44224</v>
      </c>
      <c r="AR588" s="847">
        <v>45108</v>
      </c>
      <c r="AS588" s="847">
        <v>46010</v>
      </c>
      <c r="AT588" s="847">
        <v>46930</v>
      </c>
      <c r="AU588" s="847">
        <v>47869</v>
      </c>
      <c r="AV588" s="847">
        <v>48826</v>
      </c>
      <c r="AW588" s="847">
        <v>49803</v>
      </c>
      <c r="AX588" s="847">
        <v>50799</v>
      </c>
      <c r="AY588" s="847">
        <v>51815</v>
      </c>
      <c r="AZ588" s="847">
        <v>52851</v>
      </c>
      <c r="BA588" s="847">
        <v>53908</v>
      </c>
      <c r="BB588" s="847">
        <v>54986</v>
      </c>
      <c r="BC588" s="847">
        <v>56086</v>
      </c>
      <c r="BD588" s="847">
        <v>57208</v>
      </c>
      <c r="BE588" s="847">
        <v>58352</v>
      </c>
      <c r="BF588" s="847">
        <v>59518</v>
      </c>
      <c r="BG588" s="847">
        <v>60702</v>
      </c>
      <c r="BH588" s="847">
        <v>61905</v>
      </c>
      <c r="BI588" s="847">
        <v>63126</v>
      </c>
      <c r="BJ588" s="847">
        <v>64365</v>
      </c>
      <c r="BK588" s="847">
        <v>65621</v>
      </c>
      <c r="BL588" s="847">
        <v>66894</v>
      </c>
      <c r="BM588" s="847">
        <v>68183</v>
      </c>
      <c r="BN588" s="847">
        <v>69488</v>
      </c>
      <c r="BO588" s="847">
        <v>70808</v>
      </c>
      <c r="BP588" s="847">
        <v>72143</v>
      </c>
      <c r="BQ588" s="847">
        <v>73492</v>
      </c>
      <c r="BR588" s="847">
        <v>74855</v>
      </c>
      <c r="BS588" s="847">
        <v>76231</v>
      </c>
      <c r="BT588" s="847">
        <v>77620</v>
      </c>
      <c r="BU588" s="847">
        <v>79020</v>
      </c>
      <c r="BV588" s="847">
        <v>80432</v>
      </c>
      <c r="BW588" s="847">
        <v>81855</v>
      </c>
      <c r="BX588" s="847">
        <v>83288</v>
      </c>
      <c r="BY588" s="847">
        <v>84729</v>
      </c>
      <c r="BZ588" s="847">
        <v>86172</v>
      </c>
      <c r="CA588" s="847">
        <v>87622</v>
      </c>
      <c r="CB588" s="847">
        <v>89077</v>
      </c>
      <c r="CC588" s="847">
        <v>90537</v>
      </c>
      <c r="CD588" s="847">
        <v>92001</v>
      </c>
      <c r="CE588" s="847">
        <v>93468</v>
      </c>
      <c r="CF588" s="847">
        <v>94937</v>
      </c>
      <c r="CG588" s="847">
        <v>96409</v>
      </c>
      <c r="CH588" s="847">
        <v>97881</v>
      </c>
      <c r="CI588" s="847">
        <v>99354</v>
      </c>
      <c r="CJ588" s="847">
        <v>100828</v>
      </c>
      <c r="CK588" s="847">
        <v>102301</v>
      </c>
      <c r="CL588" s="847">
        <v>103774</v>
      </c>
      <c r="CM588" s="847">
        <v>105246</v>
      </c>
      <c r="CN588" s="847">
        <v>106717</v>
      </c>
      <c r="CO588" s="847">
        <v>108186</v>
      </c>
      <c r="CP588" s="847">
        <v>109652</v>
      </c>
      <c r="CQ588" s="847">
        <v>111095</v>
      </c>
      <c r="CR588" s="847">
        <v>112200</v>
      </c>
      <c r="CS588" s="847">
        <v>0</v>
      </c>
      <c r="CT588" s="847">
        <v>0</v>
      </c>
      <c r="CU588" s="847">
        <v>0</v>
      </c>
      <c r="CV588" s="847">
        <v>0</v>
      </c>
      <c r="CW588" s="847">
        <v>0</v>
      </c>
      <c r="CX588" s="847">
        <v>0</v>
      </c>
      <c r="CY588" s="847">
        <v>0</v>
      </c>
      <c r="CZ588" s="847">
        <v>0</v>
      </c>
      <c r="DA588" s="847">
        <v>0</v>
      </c>
      <c r="DB588" s="847">
        <v>0</v>
      </c>
      <c r="DC588" s="847">
        <v>0</v>
      </c>
      <c r="DD588" s="847">
        <v>0</v>
      </c>
      <c r="DE588" s="847">
        <v>0</v>
      </c>
      <c r="DF588" s="847">
        <v>0</v>
      </c>
      <c r="DG588" s="847">
        <v>0</v>
      </c>
      <c r="DH588" s="847">
        <v>0</v>
      </c>
      <c r="DI588" s="847">
        <v>0</v>
      </c>
      <c r="DJ588" s="847">
        <v>0</v>
      </c>
      <c r="DK588" s="847">
        <v>0</v>
      </c>
      <c r="DL588" s="847">
        <v>0</v>
      </c>
      <c r="DM588" s="847">
        <v>0</v>
      </c>
      <c r="DN588" s="847">
        <v>0</v>
      </c>
      <c r="DO588" s="847">
        <v>0</v>
      </c>
      <c r="DP588" s="847">
        <v>0</v>
      </c>
      <c r="DQ588" s="847">
        <v>0</v>
      </c>
      <c r="DR588" s="847">
        <v>0</v>
      </c>
      <c r="DS588" s="847">
        <v>0</v>
      </c>
      <c r="DT588" s="847">
        <v>0</v>
      </c>
      <c r="DU588" s="847">
        <v>0</v>
      </c>
      <c r="DV588" s="847">
        <v>0</v>
      </c>
      <c r="DW588" s="847">
        <v>0</v>
      </c>
      <c r="DX588" s="847">
        <v>0</v>
      </c>
    </row>
    <row r="589" spans="12:128" hidden="1">
      <c r="L589" s="846" t="s">
        <v>1060</v>
      </c>
      <c r="M589" s="846" t="s">
        <v>1382</v>
      </c>
      <c r="N589" s="846" t="s">
        <v>97</v>
      </c>
      <c r="O589" s="847">
        <v>33</v>
      </c>
      <c r="P589" s="780" t="str">
        <f t="shared" si="19"/>
        <v>IWT060233</v>
      </c>
      <c r="Q589" s="847">
        <v>26480</v>
      </c>
      <c r="R589" s="847">
        <v>27009</v>
      </c>
      <c r="S589" s="847">
        <v>27550</v>
      </c>
      <c r="T589" s="847">
        <v>28101</v>
      </c>
      <c r="U589" s="847">
        <v>28663</v>
      </c>
      <c r="V589" s="847">
        <v>29236</v>
      </c>
      <c r="W589" s="847">
        <v>29819</v>
      </c>
      <c r="X589" s="847">
        <v>30414</v>
      </c>
      <c r="Y589" s="847">
        <v>31022</v>
      </c>
      <c r="Z589" s="847">
        <v>31642</v>
      </c>
      <c r="AA589" s="847">
        <v>32275</v>
      </c>
      <c r="AB589" s="847">
        <v>32920</v>
      </c>
      <c r="AC589" s="847">
        <v>33578</v>
      </c>
      <c r="AD589" s="847">
        <v>34250</v>
      </c>
      <c r="AE589" s="847">
        <v>34935</v>
      </c>
      <c r="AF589" s="847">
        <v>35634</v>
      </c>
      <c r="AG589" s="847">
        <v>36346</v>
      </c>
      <c r="AH589" s="847">
        <v>37073</v>
      </c>
      <c r="AI589" s="847">
        <v>37815</v>
      </c>
      <c r="AJ589" s="847">
        <v>38571</v>
      </c>
      <c r="AK589" s="847">
        <v>39342</v>
      </c>
      <c r="AL589" s="847">
        <v>40129</v>
      </c>
      <c r="AM589" s="847">
        <v>40932</v>
      </c>
      <c r="AN589" s="847">
        <v>41750</v>
      </c>
      <c r="AO589" s="847">
        <v>42585</v>
      </c>
      <c r="AP589" s="847">
        <v>43437</v>
      </c>
      <c r="AQ589" s="847">
        <v>44306</v>
      </c>
      <c r="AR589" s="847">
        <v>45192</v>
      </c>
      <c r="AS589" s="847">
        <v>46096</v>
      </c>
      <c r="AT589" s="847">
        <v>47018</v>
      </c>
      <c r="AU589" s="847">
        <v>47958</v>
      </c>
      <c r="AV589" s="847">
        <v>48917</v>
      </c>
      <c r="AW589" s="847">
        <v>49896</v>
      </c>
      <c r="AX589" s="847">
        <v>50893</v>
      </c>
      <c r="AY589" s="847">
        <v>51911</v>
      </c>
      <c r="AZ589" s="847">
        <v>52950</v>
      </c>
      <c r="BA589" s="847">
        <v>54008</v>
      </c>
      <c r="BB589" s="847">
        <v>55089</v>
      </c>
      <c r="BC589" s="847">
        <v>56190</v>
      </c>
      <c r="BD589" s="847">
        <v>57314</v>
      </c>
      <c r="BE589" s="847">
        <v>58460</v>
      </c>
      <c r="BF589" s="847">
        <v>59630</v>
      </c>
      <c r="BG589" s="847">
        <v>60818</v>
      </c>
      <c r="BH589" s="847">
        <v>62025</v>
      </c>
      <c r="BI589" s="847">
        <v>63250</v>
      </c>
      <c r="BJ589" s="847">
        <v>64492</v>
      </c>
      <c r="BK589" s="847">
        <v>65752</v>
      </c>
      <c r="BL589" s="847">
        <v>67027</v>
      </c>
      <c r="BM589" s="847">
        <v>68320</v>
      </c>
      <c r="BN589" s="847">
        <v>69627</v>
      </c>
      <c r="BO589" s="847">
        <v>70950</v>
      </c>
      <c r="BP589" s="847">
        <v>72287</v>
      </c>
      <c r="BQ589" s="847">
        <v>73638</v>
      </c>
      <c r="BR589" s="847">
        <v>75003</v>
      </c>
      <c r="BS589" s="847">
        <v>76381</v>
      </c>
      <c r="BT589" s="847">
        <v>77771</v>
      </c>
      <c r="BU589" s="847">
        <v>79172</v>
      </c>
      <c r="BV589" s="847">
        <v>80585</v>
      </c>
      <c r="BW589" s="847">
        <v>82008</v>
      </c>
      <c r="BX589" s="847">
        <v>83439</v>
      </c>
      <c r="BY589" s="847">
        <v>84874</v>
      </c>
      <c r="BZ589" s="847">
        <v>86316</v>
      </c>
      <c r="CA589" s="847">
        <v>87763</v>
      </c>
      <c r="CB589" s="847">
        <v>89215</v>
      </c>
      <c r="CC589" s="847">
        <v>90672</v>
      </c>
      <c r="CD589" s="847">
        <v>92133</v>
      </c>
      <c r="CE589" s="847">
        <v>93596</v>
      </c>
      <c r="CF589" s="847">
        <v>95061</v>
      </c>
      <c r="CG589" s="847">
        <v>96528</v>
      </c>
      <c r="CH589" s="847">
        <v>97997</v>
      </c>
      <c r="CI589" s="847">
        <v>99466</v>
      </c>
      <c r="CJ589" s="847">
        <v>100935</v>
      </c>
      <c r="CK589" s="847">
        <v>102403</v>
      </c>
      <c r="CL589" s="847">
        <v>103872</v>
      </c>
      <c r="CM589" s="847">
        <v>105339</v>
      </c>
      <c r="CN589" s="847">
        <v>106805</v>
      </c>
      <c r="CO589" s="847">
        <v>108268</v>
      </c>
      <c r="CP589" s="847">
        <v>109708</v>
      </c>
      <c r="CQ589" s="847">
        <v>110800</v>
      </c>
      <c r="CR589" s="847">
        <v>0</v>
      </c>
      <c r="CS589" s="847">
        <v>0</v>
      </c>
      <c r="CT589" s="847">
        <v>0</v>
      </c>
      <c r="CU589" s="847">
        <v>0</v>
      </c>
      <c r="CV589" s="847">
        <v>0</v>
      </c>
      <c r="CW589" s="847">
        <v>0</v>
      </c>
      <c r="CX589" s="847">
        <v>0</v>
      </c>
      <c r="CY589" s="847">
        <v>0</v>
      </c>
      <c r="CZ589" s="847">
        <v>0</v>
      </c>
      <c r="DA589" s="847">
        <v>0</v>
      </c>
      <c r="DB589" s="847">
        <v>0</v>
      </c>
      <c r="DC589" s="847">
        <v>0</v>
      </c>
      <c r="DD589" s="847">
        <v>0</v>
      </c>
      <c r="DE589" s="847">
        <v>0</v>
      </c>
      <c r="DF589" s="847">
        <v>0</v>
      </c>
      <c r="DG589" s="847">
        <v>0</v>
      </c>
      <c r="DH589" s="847">
        <v>0</v>
      </c>
      <c r="DI589" s="847">
        <v>0</v>
      </c>
      <c r="DJ589" s="847">
        <v>0</v>
      </c>
      <c r="DK589" s="847">
        <v>0</v>
      </c>
      <c r="DL589" s="847">
        <v>0</v>
      </c>
      <c r="DM589" s="847">
        <v>0</v>
      </c>
      <c r="DN589" s="847">
        <v>0</v>
      </c>
      <c r="DO589" s="847">
        <v>0</v>
      </c>
      <c r="DP589" s="847">
        <v>0</v>
      </c>
      <c r="DQ589" s="847">
        <v>0</v>
      </c>
      <c r="DR589" s="847">
        <v>0</v>
      </c>
      <c r="DS589" s="847">
        <v>0</v>
      </c>
      <c r="DT589" s="847">
        <v>0</v>
      </c>
      <c r="DU589" s="847">
        <v>0</v>
      </c>
      <c r="DV589" s="847">
        <v>0</v>
      </c>
      <c r="DW589" s="847">
        <v>0</v>
      </c>
      <c r="DX589" s="847">
        <v>0</v>
      </c>
    </row>
    <row r="590" spans="12:128" hidden="1">
      <c r="L590" s="846" t="s">
        <v>1060</v>
      </c>
      <c r="M590" s="846" t="s">
        <v>1382</v>
      </c>
      <c r="N590" s="846" t="s">
        <v>97</v>
      </c>
      <c r="O590" s="847">
        <v>34</v>
      </c>
      <c r="P590" s="780" t="str">
        <f t="shared" si="19"/>
        <v>IWT060234</v>
      </c>
      <c r="Q590" s="847">
        <v>26525</v>
      </c>
      <c r="R590" s="847">
        <v>27056</v>
      </c>
      <c r="S590" s="847">
        <v>27597</v>
      </c>
      <c r="T590" s="847">
        <v>28149</v>
      </c>
      <c r="U590" s="847">
        <v>28712</v>
      </c>
      <c r="V590" s="847">
        <v>29286</v>
      </c>
      <c r="W590" s="847">
        <v>29870</v>
      </c>
      <c r="X590" s="847">
        <v>30466</v>
      </c>
      <c r="Y590" s="847">
        <v>31075</v>
      </c>
      <c r="Z590" s="847">
        <v>31696</v>
      </c>
      <c r="AA590" s="847">
        <v>32330</v>
      </c>
      <c r="AB590" s="847">
        <v>32976</v>
      </c>
      <c r="AC590" s="847">
        <v>33636</v>
      </c>
      <c r="AD590" s="847">
        <v>34308</v>
      </c>
      <c r="AE590" s="847">
        <v>34995</v>
      </c>
      <c r="AF590" s="847">
        <v>35694</v>
      </c>
      <c r="AG590" s="847">
        <v>36408</v>
      </c>
      <c r="AH590" s="847">
        <v>37137</v>
      </c>
      <c r="AI590" s="847">
        <v>37879</v>
      </c>
      <c r="AJ590" s="847">
        <v>38637</v>
      </c>
      <c r="AK590" s="847">
        <v>39410</v>
      </c>
      <c r="AL590" s="847">
        <v>40198</v>
      </c>
      <c r="AM590" s="847">
        <v>41002</v>
      </c>
      <c r="AN590" s="847">
        <v>41822</v>
      </c>
      <c r="AO590" s="847">
        <v>42658</v>
      </c>
      <c r="AP590" s="847">
        <v>43511</v>
      </c>
      <c r="AQ590" s="847">
        <v>44382</v>
      </c>
      <c r="AR590" s="847">
        <v>45269</v>
      </c>
      <c r="AS590" s="847">
        <v>46175</v>
      </c>
      <c r="AT590" s="847">
        <v>47098</v>
      </c>
      <c r="AU590" s="847">
        <v>48040</v>
      </c>
      <c r="AV590" s="847">
        <v>49001</v>
      </c>
      <c r="AW590" s="847">
        <v>49981</v>
      </c>
      <c r="AX590" s="847">
        <v>50980</v>
      </c>
      <c r="AY590" s="847">
        <v>52000</v>
      </c>
      <c r="AZ590" s="847">
        <v>53040</v>
      </c>
      <c r="BA590" s="847">
        <v>54101</v>
      </c>
      <c r="BB590" s="847">
        <v>55183</v>
      </c>
      <c r="BC590" s="847">
        <v>56286</v>
      </c>
      <c r="BD590" s="847">
        <v>57412</v>
      </c>
      <c r="BE590" s="847">
        <v>58560</v>
      </c>
      <c r="BF590" s="847">
        <v>59731</v>
      </c>
      <c r="BG590" s="847">
        <v>60924</v>
      </c>
      <c r="BH590" s="847">
        <v>62135</v>
      </c>
      <c r="BI590" s="847">
        <v>63363</v>
      </c>
      <c r="BJ590" s="847">
        <v>64609</v>
      </c>
      <c r="BK590" s="847">
        <v>65872</v>
      </c>
      <c r="BL590" s="847">
        <v>67151</v>
      </c>
      <c r="BM590" s="847">
        <v>68446</v>
      </c>
      <c r="BN590" s="847">
        <v>69757</v>
      </c>
      <c r="BO590" s="847">
        <v>71082</v>
      </c>
      <c r="BP590" s="847">
        <v>72422</v>
      </c>
      <c r="BQ590" s="847">
        <v>73775</v>
      </c>
      <c r="BR590" s="847">
        <v>75142</v>
      </c>
      <c r="BS590" s="847">
        <v>76521</v>
      </c>
      <c r="BT590" s="847">
        <v>77912</v>
      </c>
      <c r="BU590" s="847">
        <v>79314</v>
      </c>
      <c r="BV590" s="847">
        <v>80728</v>
      </c>
      <c r="BW590" s="847">
        <v>82149</v>
      </c>
      <c r="BX590" s="847">
        <v>83576</v>
      </c>
      <c r="BY590" s="847">
        <v>85009</v>
      </c>
      <c r="BZ590" s="847">
        <v>86449</v>
      </c>
      <c r="CA590" s="847">
        <v>87894</v>
      </c>
      <c r="CB590" s="847">
        <v>89343</v>
      </c>
      <c r="CC590" s="847">
        <v>90797</v>
      </c>
      <c r="CD590" s="847">
        <v>92254</v>
      </c>
      <c r="CE590" s="847">
        <v>93714</v>
      </c>
      <c r="CF590" s="847">
        <v>95176</v>
      </c>
      <c r="CG590" s="847">
        <v>96639</v>
      </c>
      <c r="CH590" s="847">
        <v>98103</v>
      </c>
      <c r="CI590" s="847">
        <v>99568</v>
      </c>
      <c r="CJ590" s="847">
        <v>101032</v>
      </c>
      <c r="CK590" s="847">
        <v>102497</v>
      </c>
      <c r="CL590" s="847">
        <v>103961</v>
      </c>
      <c r="CM590" s="847">
        <v>105423</v>
      </c>
      <c r="CN590" s="847">
        <v>106884</v>
      </c>
      <c r="CO590" s="847">
        <v>108322</v>
      </c>
      <c r="CP590" s="847">
        <v>109400</v>
      </c>
      <c r="CQ590" s="847">
        <v>0</v>
      </c>
      <c r="CR590" s="847">
        <v>0</v>
      </c>
      <c r="CS590" s="847">
        <v>0</v>
      </c>
      <c r="CT590" s="847">
        <v>0</v>
      </c>
      <c r="CU590" s="847">
        <v>0</v>
      </c>
      <c r="CV590" s="847">
        <v>0</v>
      </c>
      <c r="CW590" s="847">
        <v>0</v>
      </c>
      <c r="CX590" s="847">
        <v>0</v>
      </c>
      <c r="CY590" s="847">
        <v>0</v>
      </c>
      <c r="CZ590" s="847">
        <v>0</v>
      </c>
      <c r="DA590" s="847">
        <v>0</v>
      </c>
      <c r="DB590" s="847">
        <v>0</v>
      </c>
      <c r="DC590" s="847">
        <v>0</v>
      </c>
      <c r="DD590" s="847">
        <v>0</v>
      </c>
      <c r="DE590" s="847">
        <v>0</v>
      </c>
      <c r="DF590" s="847">
        <v>0</v>
      </c>
      <c r="DG590" s="847">
        <v>0</v>
      </c>
      <c r="DH590" s="847">
        <v>0</v>
      </c>
      <c r="DI590" s="847">
        <v>0</v>
      </c>
      <c r="DJ590" s="847">
        <v>0</v>
      </c>
      <c r="DK590" s="847">
        <v>0</v>
      </c>
      <c r="DL590" s="847">
        <v>0</v>
      </c>
      <c r="DM590" s="847">
        <v>0</v>
      </c>
      <c r="DN590" s="847">
        <v>0</v>
      </c>
      <c r="DO590" s="847">
        <v>0</v>
      </c>
      <c r="DP590" s="847">
        <v>0</v>
      </c>
      <c r="DQ590" s="847">
        <v>0</v>
      </c>
      <c r="DR590" s="847">
        <v>0</v>
      </c>
      <c r="DS590" s="847">
        <v>0</v>
      </c>
      <c r="DT590" s="847">
        <v>0</v>
      </c>
      <c r="DU590" s="847">
        <v>0</v>
      </c>
      <c r="DV590" s="847">
        <v>0</v>
      </c>
      <c r="DW590" s="847">
        <v>0</v>
      </c>
      <c r="DX590" s="847">
        <v>0</v>
      </c>
    </row>
    <row r="591" spans="12:128" hidden="1">
      <c r="L591" s="846" t="s">
        <v>1060</v>
      </c>
      <c r="M591" s="846" t="s">
        <v>1382</v>
      </c>
      <c r="N591" s="846" t="s">
        <v>97</v>
      </c>
      <c r="O591" s="847">
        <v>35</v>
      </c>
      <c r="P591" s="780" t="str">
        <f t="shared" si="19"/>
        <v>IWT060235</v>
      </c>
      <c r="Q591" s="847">
        <v>26567</v>
      </c>
      <c r="R591" s="847">
        <v>27098</v>
      </c>
      <c r="S591" s="847">
        <v>27640</v>
      </c>
      <c r="T591" s="847">
        <v>28193</v>
      </c>
      <c r="U591" s="847">
        <v>28757</v>
      </c>
      <c r="V591" s="847">
        <v>29332</v>
      </c>
      <c r="W591" s="847">
        <v>29916</v>
      </c>
      <c r="X591" s="847">
        <v>30513</v>
      </c>
      <c r="Y591" s="847">
        <v>31123</v>
      </c>
      <c r="Z591" s="847">
        <v>31745</v>
      </c>
      <c r="AA591" s="847">
        <v>32380</v>
      </c>
      <c r="AB591" s="847">
        <v>33027</v>
      </c>
      <c r="AC591" s="847">
        <v>33688</v>
      </c>
      <c r="AD591" s="847">
        <v>34361</v>
      </c>
      <c r="AE591" s="847">
        <v>35049</v>
      </c>
      <c r="AF591" s="847">
        <v>35750</v>
      </c>
      <c r="AG591" s="847">
        <v>36465</v>
      </c>
      <c r="AH591" s="847">
        <v>37194</v>
      </c>
      <c r="AI591" s="847">
        <v>37938</v>
      </c>
      <c r="AJ591" s="847">
        <v>38697</v>
      </c>
      <c r="AK591" s="847">
        <v>39470</v>
      </c>
      <c r="AL591" s="847">
        <v>40260</v>
      </c>
      <c r="AM591" s="847">
        <v>41065</v>
      </c>
      <c r="AN591" s="847">
        <v>41886</v>
      </c>
      <c r="AO591" s="847">
        <v>42724</v>
      </c>
      <c r="AP591" s="847">
        <v>43579</v>
      </c>
      <c r="AQ591" s="847">
        <v>44450</v>
      </c>
      <c r="AR591" s="847">
        <v>45339</v>
      </c>
      <c r="AS591" s="847">
        <v>46246</v>
      </c>
      <c r="AT591" s="847">
        <v>47171</v>
      </c>
      <c r="AU591" s="847">
        <v>48114</v>
      </c>
      <c r="AV591" s="847">
        <v>49076</v>
      </c>
      <c r="AW591" s="847">
        <v>50058</v>
      </c>
      <c r="AX591" s="847">
        <v>51059</v>
      </c>
      <c r="AY591" s="847">
        <v>52080</v>
      </c>
      <c r="AZ591" s="847">
        <v>53122</v>
      </c>
      <c r="BA591" s="847">
        <v>54184</v>
      </c>
      <c r="BB591" s="847">
        <v>55268</v>
      </c>
      <c r="BC591" s="847">
        <v>56373</v>
      </c>
      <c r="BD591" s="847">
        <v>57501</v>
      </c>
      <c r="BE591" s="847">
        <v>58651</v>
      </c>
      <c r="BF591" s="847">
        <v>59823</v>
      </c>
      <c r="BG591" s="847">
        <v>61020</v>
      </c>
      <c r="BH591" s="847">
        <v>62235</v>
      </c>
      <c r="BI591" s="847">
        <v>63467</v>
      </c>
      <c r="BJ591" s="847">
        <v>64717</v>
      </c>
      <c r="BK591" s="847">
        <v>65983</v>
      </c>
      <c r="BL591" s="847">
        <v>67266</v>
      </c>
      <c r="BM591" s="847">
        <v>68564</v>
      </c>
      <c r="BN591" s="847">
        <v>69877</v>
      </c>
      <c r="BO591" s="847">
        <v>71205</v>
      </c>
      <c r="BP591" s="847">
        <v>72547</v>
      </c>
      <c r="BQ591" s="847">
        <v>73902</v>
      </c>
      <c r="BR591" s="847">
        <v>75271</v>
      </c>
      <c r="BS591" s="847">
        <v>76651</v>
      </c>
      <c r="BT591" s="847">
        <v>78044</v>
      </c>
      <c r="BU591" s="847">
        <v>79447</v>
      </c>
      <c r="BV591" s="847">
        <v>80860</v>
      </c>
      <c r="BW591" s="847">
        <v>82277</v>
      </c>
      <c r="BX591" s="847">
        <v>83703</v>
      </c>
      <c r="BY591" s="847">
        <v>85134</v>
      </c>
      <c r="BZ591" s="847">
        <v>86572</v>
      </c>
      <c r="CA591" s="847">
        <v>88015</v>
      </c>
      <c r="CB591" s="847">
        <v>89462</v>
      </c>
      <c r="CC591" s="847">
        <v>90913</v>
      </c>
      <c r="CD591" s="847">
        <v>92367</v>
      </c>
      <c r="CE591" s="847">
        <v>93823</v>
      </c>
      <c r="CF591" s="847">
        <v>95281</v>
      </c>
      <c r="CG591" s="847">
        <v>96741</v>
      </c>
      <c r="CH591" s="847">
        <v>98201</v>
      </c>
      <c r="CI591" s="847">
        <v>99661</v>
      </c>
      <c r="CJ591" s="847">
        <v>101122</v>
      </c>
      <c r="CK591" s="847">
        <v>102582</v>
      </c>
      <c r="CL591" s="847">
        <v>104042</v>
      </c>
      <c r="CM591" s="847">
        <v>105499</v>
      </c>
      <c r="CN591" s="847">
        <v>106936</v>
      </c>
      <c r="CO591" s="847">
        <v>108000</v>
      </c>
      <c r="CP591" s="847">
        <v>0</v>
      </c>
      <c r="CQ591" s="847">
        <v>0</v>
      </c>
      <c r="CR591" s="847">
        <v>0</v>
      </c>
      <c r="CS591" s="847">
        <v>0</v>
      </c>
      <c r="CT591" s="847">
        <v>0</v>
      </c>
      <c r="CU591" s="847">
        <v>0</v>
      </c>
      <c r="CV591" s="847">
        <v>0</v>
      </c>
      <c r="CW591" s="847">
        <v>0</v>
      </c>
      <c r="CX591" s="847">
        <v>0</v>
      </c>
      <c r="CY591" s="847">
        <v>0</v>
      </c>
      <c r="CZ591" s="847">
        <v>0</v>
      </c>
      <c r="DA591" s="847">
        <v>0</v>
      </c>
      <c r="DB591" s="847">
        <v>0</v>
      </c>
      <c r="DC591" s="847">
        <v>0</v>
      </c>
      <c r="DD591" s="847">
        <v>0</v>
      </c>
      <c r="DE591" s="847">
        <v>0</v>
      </c>
      <c r="DF591" s="847">
        <v>0</v>
      </c>
      <c r="DG591" s="847">
        <v>0</v>
      </c>
      <c r="DH591" s="847">
        <v>0</v>
      </c>
      <c r="DI591" s="847">
        <v>0</v>
      </c>
      <c r="DJ591" s="847">
        <v>0</v>
      </c>
      <c r="DK591" s="847">
        <v>0</v>
      </c>
      <c r="DL591" s="847">
        <v>0</v>
      </c>
      <c r="DM591" s="847">
        <v>0</v>
      </c>
      <c r="DN591" s="847">
        <v>0</v>
      </c>
      <c r="DO591" s="847">
        <v>0</v>
      </c>
      <c r="DP591" s="847">
        <v>0</v>
      </c>
      <c r="DQ591" s="847">
        <v>0</v>
      </c>
      <c r="DR591" s="847">
        <v>0</v>
      </c>
      <c r="DS591" s="847">
        <v>0</v>
      </c>
      <c r="DT591" s="847">
        <v>0</v>
      </c>
      <c r="DU591" s="847">
        <v>0</v>
      </c>
      <c r="DV591" s="847">
        <v>0</v>
      </c>
      <c r="DW591" s="847">
        <v>0</v>
      </c>
      <c r="DX591" s="847">
        <v>0</v>
      </c>
    </row>
    <row r="592" spans="12:128" hidden="1">
      <c r="L592" s="846" t="s">
        <v>1060</v>
      </c>
      <c r="M592" s="846" t="s">
        <v>1382</v>
      </c>
      <c r="N592" s="846" t="s">
        <v>97</v>
      </c>
      <c r="O592" s="847">
        <v>36</v>
      </c>
      <c r="P592" s="780" t="str">
        <f t="shared" si="19"/>
        <v>IWT060236</v>
      </c>
      <c r="Q592" s="847">
        <v>26605</v>
      </c>
      <c r="R592" s="847">
        <v>27137</v>
      </c>
      <c r="S592" s="847">
        <v>27679</v>
      </c>
      <c r="T592" s="847">
        <v>28233</v>
      </c>
      <c r="U592" s="847">
        <v>28798</v>
      </c>
      <c r="V592" s="847">
        <v>29374</v>
      </c>
      <c r="W592" s="847">
        <v>29959</v>
      </c>
      <c r="X592" s="847">
        <v>30557</v>
      </c>
      <c r="Y592" s="847">
        <v>31167</v>
      </c>
      <c r="Z592" s="847">
        <v>31790</v>
      </c>
      <c r="AA592" s="847">
        <v>32425</v>
      </c>
      <c r="AB592" s="847">
        <v>33074</v>
      </c>
      <c r="AC592" s="847">
        <v>33735</v>
      </c>
      <c r="AD592" s="847">
        <v>34410</v>
      </c>
      <c r="AE592" s="847">
        <v>35098</v>
      </c>
      <c r="AF592" s="847">
        <v>35800</v>
      </c>
      <c r="AG592" s="847">
        <v>36516</v>
      </c>
      <c r="AH592" s="847">
        <v>37247</v>
      </c>
      <c r="AI592" s="847">
        <v>37992</v>
      </c>
      <c r="AJ592" s="847">
        <v>38751</v>
      </c>
      <c r="AK592" s="847">
        <v>39526</v>
      </c>
      <c r="AL592" s="847">
        <v>40317</v>
      </c>
      <c r="AM592" s="847">
        <v>41123</v>
      </c>
      <c r="AN592" s="847">
        <v>41946</v>
      </c>
      <c r="AO592" s="847">
        <v>42785</v>
      </c>
      <c r="AP592" s="847">
        <v>43640</v>
      </c>
      <c r="AQ592" s="847">
        <v>44513</v>
      </c>
      <c r="AR592" s="847">
        <v>45403</v>
      </c>
      <c r="AS592" s="847">
        <v>46311</v>
      </c>
      <c r="AT592" s="847">
        <v>47238</v>
      </c>
      <c r="AU592" s="847">
        <v>48182</v>
      </c>
      <c r="AV592" s="847">
        <v>49146</v>
      </c>
      <c r="AW592" s="847">
        <v>50129</v>
      </c>
      <c r="AX592" s="847">
        <v>51131</v>
      </c>
      <c r="AY592" s="847">
        <v>52154</v>
      </c>
      <c r="AZ592" s="847">
        <v>53197</v>
      </c>
      <c r="BA592" s="847">
        <v>54261</v>
      </c>
      <c r="BB592" s="847">
        <v>55346</v>
      </c>
      <c r="BC592" s="847">
        <v>56453</v>
      </c>
      <c r="BD592" s="847">
        <v>57582</v>
      </c>
      <c r="BE592" s="847">
        <v>58733</v>
      </c>
      <c r="BF592" s="847">
        <v>59908</v>
      </c>
      <c r="BG592" s="847">
        <v>61106</v>
      </c>
      <c r="BH592" s="847">
        <v>62325</v>
      </c>
      <c r="BI592" s="847">
        <v>63562</v>
      </c>
      <c r="BJ592" s="847">
        <v>64815</v>
      </c>
      <c r="BK592" s="847">
        <v>66085</v>
      </c>
      <c r="BL592" s="847">
        <v>67371</v>
      </c>
      <c r="BM592" s="847">
        <v>68672</v>
      </c>
      <c r="BN592" s="847">
        <v>69988</v>
      </c>
      <c r="BO592" s="847">
        <v>71319</v>
      </c>
      <c r="BP592" s="847">
        <v>72663</v>
      </c>
      <c r="BQ592" s="847">
        <v>74021</v>
      </c>
      <c r="BR592" s="847">
        <v>75391</v>
      </c>
      <c r="BS592" s="847">
        <v>76773</v>
      </c>
      <c r="BT592" s="847">
        <v>78167</v>
      </c>
      <c r="BU592" s="847">
        <v>79570</v>
      </c>
      <c r="BV592" s="847">
        <v>80979</v>
      </c>
      <c r="BW592" s="847">
        <v>82396</v>
      </c>
      <c r="BX592" s="847">
        <v>83820</v>
      </c>
      <c r="BY592" s="847">
        <v>85250</v>
      </c>
      <c r="BZ592" s="847">
        <v>86686</v>
      </c>
      <c r="CA592" s="847">
        <v>88127</v>
      </c>
      <c r="CB592" s="847">
        <v>89571</v>
      </c>
      <c r="CC592" s="847">
        <v>91019</v>
      </c>
      <c r="CD592" s="847">
        <v>92470</v>
      </c>
      <c r="CE592" s="847">
        <v>93923</v>
      </c>
      <c r="CF592" s="847">
        <v>95378</v>
      </c>
      <c r="CG592" s="847">
        <v>96834</v>
      </c>
      <c r="CH592" s="847">
        <v>98291</v>
      </c>
      <c r="CI592" s="847">
        <v>99747</v>
      </c>
      <c r="CJ592" s="847">
        <v>101204</v>
      </c>
      <c r="CK592" s="847">
        <v>102661</v>
      </c>
      <c r="CL592" s="847">
        <v>104115</v>
      </c>
      <c r="CM592" s="847">
        <v>105550</v>
      </c>
      <c r="CN592" s="847">
        <v>106600</v>
      </c>
      <c r="CO592" s="847">
        <v>0</v>
      </c>
      <c r="CP592" s="847">
        <v>0</v>
      </c>
      <c r="CQ592" s="847">
        <v>0</v>
      </c>
      <c r="CR592" s="847">
        <v>0</v>
      </c>
      <c r="CS592" s="847">
        <v>0</v>
      </c>
      <c r="CT592" s="847">
        <v>0</v>
      </c>
      <c r="CU592" s="847">
        <v>0</v>
      </c>
      <c r="CV592" s="847">
        <v>0</v>
      </c>
      <c r="CW592" s="847">
        <v>0</v>
      </c>
      <c r="CX592" s="847">
        <v>0</v>
      </c>
      <c r="CY592" s="847">
        <v>0</v>
      </c>
      <c r="CZ592" s="847">
        <v>0</v>
      </c>
      <c r="DA592" s="847">
        <v>0</v>
      </c>
      <c r="DB592" s="847">
        <v>0</v>
      </c>
      <c r="DC592" s="847">
        <v>0</v>
      </c>
      <c r="DD592" s="847">
        <v>0</v>
      </c>
      <c r="DE592" s="847">
        <v>0</v>
      </c>
      <c r="DF592" s="847">
        <v>0</v>
      </c>
      <c r="DG592" s="847">
        <v>0</v>
      </c>
      <c r="DH592" s="847">
        <v>0</v>
      </c>
      <c r="DI592" s="847">
        <v>0</v>
      </c>
      <c r="DJ592" s="847">
        <v>0</v>
      </c>
      <c r="DK592" s="847">
        <v>0</v>
      </c>
      <c r="DL592" s="847">
        <v>0</v>
      </c>
      <c r="DM592" s="847">
        <v>0</v>
      </c>
      <c r="DN592" s="847">
        <v>0</v>
      </c>
      <c r="DO592" s="847">
        <v>0</v>
      </c>
      <c r="DP592" s="847">
        <v>0</v>
      </c>
      <c r="DQ592" s="847">
        <v>0</v>
      </c>
      <c r="DR592" s="847">
        <v>0</v>
      </c>
      <c r="DS592" s="847">
        <v>0</v>
      </c>
      <c r="DT592" s="847">
        <v>0</v>
      </c>
      <c r="DU592" s="847">
        <v>0</v>
      </c>
      <c r="DV592" s="847">
        <v>0</v>
      </c>
      <c r="DW592" s="847">
        <v>0</v>
      </c>
      <c r="DX592" s="847">
        <v>0</v>
      </c>
    </row>
    <row r="593" spans="12:128" hidden="1">
      <c r="L593" s="846" t="s">
        <v>1060</v>
      </c>
      <c r="M593" s="846" t="s">
        <v>1382</v>
      </c>
      <c r="N593" s="846" t="s">
        <v>97</v>
      </c>
      <c r="O593" s="847">
        <v>37</v>
      </c>
      <c r="P593" s="780" t="str">
        <f t="shared" si="19"/>
        <v>IWT060237</v>
      </c>
      <c r="Q593" s="847">
        <v>26638</v>
      </c>
      <c r="R593" s="847">
        <v>27171</v>
      </c>
      <c r="S593" s="847">
        <v>27715</v>
      </c>
      <c r="T593" s="847">
        <v>28269</v>
      </c>
      <c r="U593" s="847">
        <v>28834</v>
      </c>
      <c r="V593" s="847">
        <v>29411</v>
      </c>
      <c r="W593" s="847">
        <v>29997</v>
      </c>
      <c r="X593" s="847">
        <v>30595</v>
      </c>
      <c r="Y593" s="847">
        <v>31206</v>
      </c>
      <c r="Z593" s="847">
        <v>31830</v>
      </c>
      <c r="AA593" s="847">
        <v>32466</v>
      </c>
      <c r="AB593" s="847">
        <v>33116</v>
      </c>
      <c r="AC593" s="847">
        <v>33778</v>
      </c>
      <c r="AD593" s="847">
        <v>34454</v>
      </c>
      <c r="AE593" s="847">
        <v>35143</v>
      </c>
      <c r="AF593" s="847">
        <v>35845</v>
      </c>
      <c r="AG593" s="847">
        <v>36562</v>
      </c>
      <c r="AH593" s="847">
        <v>37294</v>
      </c>
      <c r="AI593" s="847">
        <v>38039</v>
      </c>
      <c r="AJ593" s="847">
        <v>38800</v>
      </c>
      <c r="AK593" s="847">
        <v>39576</v>
      </c>
      <c r="AL593" s="847">
        <v>40368</v>
      </c>
      <c r="AM593" s="847">
        <v>41175</v>
      </c>
      <c r="AN593" s="847">
        <v>41999</v>
      </c>
      <c r="AO593" s="847">
        <v>42839</v>
      </c>
      <c r="AP593" s="847">
        <v>43695</v>
      </c>
      <c r="AQ593" s="847">
        <v>44569</v>
      </c>
      <c r="AR593" s="847">
        <v>45461</v>
      </c>
      <c r="AS593" s="847">
        <v>46370</v>
      </c>
      <c r="AT593" s="847">
        <v>47297</v>
      </c>
      <c r="AU593" s="847">
        <v>48243</v>
      </c>
      <c r="AV593" s="847">
        <v>49208</v>
      </c>
      <c r="AW593" s="847">
        <v>50192</v>
      </c>
      <c r="AX593" s="847">
        <v>51196</v>
      </c>
      <c r="AY593" s="847">
        <v>52220</v>
      </c>
      <c r="AZ593" s="847">
        <v>53264</v>
      </c>
      <c r="BA593" s="847">
        <v>54329</v>
      </c>
      <c r="BB593" s="847">
        <v>55416</v>
      </c>
      <c r="BC593" s="847">
        <v>56524</v>
      </c>
      <c r="BD593" s="847">
        <v>57655</v>
      </c>
      <c r="BE593" s="847">
        <v>58808</v>
      </c>
      <c r="BF593" s="847">
        <v>59984</v>
      </c>
      <c r="BG593" s="847">
        <v>61183</v>
      </c>
      <c r="BH593" s="847">
        <v>62407</v>
      </c>
      <c r="BI593" s="847">
        <v>63647</v>
      </c>
      <c r="BJ593" s="847">
        <v>64904</v>
      </c>
      <c r="BK593" s="847">
        <v>66178</v>
      </c>
      <c r="BL593" s="847">
        <v>67467</v>
      </c>
      <c r="BM593" s="847">
        <v>68772</v>
      </c>
      <c r="BN593" s="847">
        <v>70091</v>
      </c>
      <c r="BO593" s="847">
        <v>71424</v>
      </c>
      <c r="BP593" s="847">
        <v>72771</v>
      </c>
      <c r="BQ593" s="847">
        <v>74131</v>
      </c>
      <c r="BR593" s="847">
        <v>75503</v>
      </c>
      <c r="BS593" s="847">
        <v>76887</v>
      </c>
      <c r="BT593" s="847">
        <v>78280</v>
      </c>
      <c r="BU593" s="847">
        <v>79681</v>
      </c>
      <c r="BV593" s="847">
        <v>81089</v>
      </c>
      <c r="BW593" s="847">
        <v>82506</v>
      </c>
      <c r="BX593" s="847">
        <v>83929</v>
      </c>
      <c r="BY593" s="847">
        <v>85357</v>
      </c>
      <c r="BZ593" s="847">
        <v>86791</v>
      </c>
      <c r="CA593" s="847">
        <v>88230</v>
      </c>
      <c r="CB593" s="847">
        <v>89672</v>
      </c>
      <c r="CC593" s="847">
        <v>91118</v>
      </c>
      <c r="CD593" s="847">
        <v>92566</v>
      </c>
      <c r="CE593" s="847">
        <v>94016</v>
      </c>
      <c r="CF593" s="847">
        <v>95467</v>
      </c>
      <c r="CG593" s="847">
        <v>96920</v>
      </c>
      <c r="CH593" s="847">
        <v>98373</v>
      </c>
      <c r="CI593" s="847">
        <v>99826</v>
      </c>
      <c r="CJ593" s="847">
        <v>101279</v>
      </c>
      <c r="CK593" s="847">
        <v>102731</v>
      </c>
      <c r="CL593" s="847">
        <v>104164</v>
      </c>
      <c r="CM593" s="847">
        <v>105200</v>
      </c>
      <c r="CN593" s="847">
        <v>0</v>
      </c>
      <c r="CO593" s="847">
        <v>0</v>
      </c>
      <c r="CP593" s="847">
        <v>0</v>
      </c>
      <c r="CQ593" s="847">
        <v>0</v>
      </c>
      <c r="CR593" s="847">
        <v>0</v>
      </c>
      <c r="CS593" s="847">
        <v>0</v>
      </c>
      <c r="CT593" s="847">
        <v>0</v>
      </c>
      <c r="CU593" s="847">
        <v>0</v>
      </c>
      <c r="CV593" s="847">
        <v>0</v>
      </c>
      <c r="CW593" s="847">
        <v>0</v>
      </c>
      <c r="CX593" s="847">
        <v>0</v>
      </c>
      <c r="CY593" s="847">
        <v>0</v>
      </c>
      <c r="CZ593" s="847">
        <v>0</v>
      </c>
      <c r="DA593" s="847">
        <v>0</v>
      </c>
      <c r="DB593" s="847">
        <v>0</v>
      </c>
      <c r="DC593" s="847">
        <v>0</v>
      </c>
      <c r="DD593" s="847">
        <v>0</v>
      </c>
      <c r="DE593" s="847">
        <v>0</v>
      </c>
      <c r="DF593" s="847">
        <v>0</v>
      </c>
      <c r="DG593" s="847">
        <v>0</v>
      </c>
      <c r="DH593" s="847">
        <v>0</v>
      </c>
      <c r="DI593" s="847">
        <v>0</v>
      </c>
      <c r="DJ593" s="847">
        <v>0</v>
      </c>
      <c r="DK593" s="847">
        <v>0</v>
      </c>
      <c r="DL593" s="847">
        <v>0</v>
      </c>
      <c r="DM593" s="847">
        <v>0</v>
      </c>
      <c r="DN593" s="847">
        <v>0</v>
      </c>
      <c r="DO593" s="847">
        <v>0</v>
      </c>
      <c r="DP593" s="847">
        <v>0</v>
      </c>
      <c r="DQ593" s="847">
        <v>0</v>
      </c>
      <c r="DR593" s="847">
        <v>0</v>
      </c>
      <c r="DS593" s="847">
        <v>0</v>
      </c>
      <c r="DT593" s="847">
        <v>0</v>
      </c>
      <c r="DU593" s="847">
        <v>0</v>
      </c>
      <c r="DV593" s="847">
        <v>0</v>
      </c>
      <c r="DW593" s="847">
        <v>0</v>
      </c>
      <c r="DX593" s="847">
        <v>0</v>
      </c>
    </row>
    <row r="594" spans="12:128" hidden="1">
      <c r="L594" s="846" t="s">
        <v>1060</v>
      </c>
      <c r="M594" s="846" t="s">
        <v>1382</v>
      </c>
      <c r="N594" s="846" t="s">
        <v>97</v>
      </c>
      <c r="O594" s="847">
        <v>38</v>
      </c>
      <c r="P594" s="780" t="str">
        <f t="shared" si="19"/>
        <v>IWT060238</v>
      </c>
      <c r="Q594" s="847">
        <v>26670</v>
      </c>
      <c r="R594" s="847">
        <v>27203</v>
      </c>
      <c r="S594" s="847">
        <v>27747</v>
      </c>
      <c r="T594" s="847">
        <v>28302</v>
      </c>
      <c r="U594" s="847">
        <v>28868</v>
      </c>
      <c r="V594" s="847">
        <v>29446</v>
      </c>
      <c r="W594" s="847">
        <v>30032</v>
      </c>
      <c r="X594" s="847">
        <v>30631</v>
      </c>
      <c r="Y594" s="847">
        <v>31242</v>
      </c>
      <c r="Z594" s="847">
        <v>31867</v>
      </c>
      <c r="AA594" s="847">
        <v>32504</v>
      </c>
      <c r="AB594" s="847">
        <v>33154</v>
      </c>
      <c r="AC594" s="847">
        <v>33817</v>
      </c>
      <c r="AD594" s="847">
        <v>34493</v>
      </c>
      <c r="AE594" s="847">
        <v>35183</v>
      </c>
      <c r="AF594" s="847">
        <v>35887</v>
      </c>
      <c r="AG594" s="847">
        <v>36605</v>
      </c>
      <c r="AH594" s="847">
        <v>37337</v>
      </c>
      <c r="AI594" s="847">
        <v>38084</v>
      </c>
      <c r="AJ594" s="847">
        <v>38845</v>
      </c>
      <c r="AK594" s="847">
        <v>39622</v>
      </c>
      <c r="AL594" s="847">
        <v>40415</v>
      </c>
      <c r="AM594" s="847">
        <v>41223</v>
      </c>
      <c r="AN594" s="847">
        <v>42047</v>
      </c>
      <c r="AO594" s="847">
        <v>42888</v>
      </c>
      <c r="AP594" s="847">
        <v>43746</v>
      </c>
      <c r="AQ594" s="847">
        <v>44621</v>
      </c>
      <c r="AR594" s="847">
        <v>45513</v>
      </c>
      <c r="AS594" s="847">
        <v>46424</v>
      </c>
      <c r="AT594" s="847">
        <v>47352</v>
      </c>
      <c r="AU594" s="847">
        <v>48299</v>
      </c>
      <c r="AV594" s="847">
        <v>49265</v>
      </c>
      <c r="AW594" s="847">
        <v>50250</v>
      </c>
      <c r="AX594" s="847">
        <v>51255</v>
      </c>
      <c r="AY594" s="847">
        <v>52280</v>
      </c>
      <c r="AZ594" s="847">
        <v>53326</v>
      </c>
      <c r="BA594" s="847">
        <v>54392</v>
      </c>
      <c r="BB594" s="847">
        <v>55480</v>
      </c>
      <c r="BC594" s="847">
        <v>56590</v>
      </c>
      <c r="BD594" s="847">
        <v>57721</v>
      </c>
      <c r="BE594" s="847">
        <v>58876</v>
      </c>
      <c r="BF594" s="847">
        <v>60053</v>
      </c>
      <c r="BG594" s="847">
        <v>61254</v>
      </c>
      <c r="BH594" s="847">
        <v>62479</v>
      </c>
      <c r="BI594" s="847">
        <v>63724</v>
      </c>
      <c r="BJ594" s="847">
        <v>64985</v>
      </c>
      <c r="BK594" s="847">
        <v>66262</v>
      </c>
      <c r="BL594" s="847">
        <v>67555</v>
      </c>
      <c r="BM594" s="847">
        <v>68863</v>
      </c>
      <c r="BN594" s="847">
        <v>70185</v>
      </c>
      <c r="BO594" s="847">
        <v>71521</v>
      </c>
      <c r="BP594" s="847">
        <v>72870</v>
      </c>
      <c r="BQ594" s="847">
        <v>74233</v>
      </c>
      <c r="BR594" s="847">
        <v>75607</v>
      </c>
      <c r="BS594" s="847">
        <v>76991</v>
      </c>
      <c r="BT594" s="847">
        <v>78383</v>
      </c>
      <c r="BU594" s="847">
        <v>79783</v>
      </c>
      <c r="BV594" s="847">
        <v>81191</v>
      </c>
      <c r="BW594" s="847">
        <v>82607</v>
      </c>
      <c r="BX594" s="847">
        <v>84029</v>
      </c>
      <c r="BY594" s="847">
        <v>85456</v>
      </c>
      <c r="BZ594" s="847">
        <v>86888</v>
      </c>
      <c r="CA594" s="847">
        <v>88325</v>
      </c>
      <c r="CB594" s="847">
        <v>89765</v>
      </c>
      <c r="CC594" s="847">
        <v>91208</v>
      </c>
      <c r="CD594" s="847">
        <v>92653</v>
      </c>
      <c r="CE594" s="847">
        <v>94100</v>
      </c>
      <c r="CF594" s="847">
        <v>95549</v>
      </c>
      <c r="CG594" s="847">
        <v>96998</v>
      </c>
      <c r="CH594" s="847">
        <v>98448</v>
      </c>
      <c r="CI594" s="847">
        <v>99898</v>
      </c>
      <c r="CJ594" s="847">
        <v>101347</v>
      </c>
      <c r="CK594" s="847">
        <v>102777</v>
      </c>
      <c r="CL594" s="847">
        <v>103800</v>
      </c>
      <c r="CM594" s="847">
        <v>0</v>
      </c>
      <c r="CN594" s="847">
        <v>0</v>
      </c>
      <c r="CO594" s="847">
        <v>0</v>
      </c>
      <c r="CP594" s="847">
        <v>0</v>
      </c>
      <c r="CQ594" s="847">
        <v>0</v>
      </c>
      <c r="CR594" s="847">
        <v>0</v>
      </c>
      <c r="CS594" s="847">
        <v>0</v>
      </c>
      <c r="CT594" s="847">
        <v>0</v>
      </c>
      <c r="CU594" s="847">
        <v>0</v>
      </c>
      <c r="CV594" s="847">
        <v>0</v>
      </c>
      <c r="CW594" s="847">
        <v>0</v>
      </c>
      <c r="CX594" s="847">
        <v>0</v>
      </c>
      <c r="CY594" s="847">
        <v>0</v>
      </c>
      <c r="CZ594" s="847">
        <v>0</v>
      </c>
      <c r="DA594" s="847">
        <v>0</v>
      </c>
      <c r="DB594" s="847">
        <v>0</v>
      </c>
      <c r="DC594" s="847">
        <v>0</v>
      </c>
      <c r="DD594" s="847">
        <v>0</v>
      </c>
      <c r="DE594" s="847">
        <v>0</v>
      </c>
      <c r="DF594" s="847">
        <v>0</v>
      </c>
      <c r="DG594" s="847">
        <v>0</v>
      </c>
      <c r="DH594" s="847">
        <v>0</v>
      </c>
      <c r="DI594" s="847">
        <v>0</v>
      </c>
      <c r="DJ594" s="847">
        <v>0</v>
      </c>
      <c r="DK594" s="847">
        <v>0</v>
      </c>
      <c r="DL594" s="847">
        <v>0</v>
      </c>
      <c r="DM594" s="847">
        <v>0</v>
      </c>
      <c r="DN594" s="847">
        <v>0</v>
      </c>
      <c r="DO594" s="847">
        <v>0</v>
      </c>
      <c r="DP594" s="847">
        <v>0</v>
      </c>
      <c r="DQ594" s="847">
        <v>0</v>
      </c>
      <c r="DR594" s="847">
        <v>0</v>
      </c>
      <c r="DS594" s="847">
        <v>0</v>
      </c>
      <c r="DT594" s="847">
        <v>0</v>
      </c>
      <c r="DU594" s="847">
        <v>0</v>
      </c>
      <c r="DV594" s="847">
        <v>0</v>
      </c>
      <c r="DW594" s="847">
        <v>0</v>
      </c>
      <c r="DX594" s="847">
        <v>0</v>
      </c>
    </row>
    <row r="595" spans="12:128" hidden="1">
      <c r="L595" s="846" t="s">
        <v>1060</v>
      </c>
      <c r="M595" s="846" t="s">
        <v>1382</v>
      </c>
      <c r="N595" s="846" t="s">
        <v>97</v>
      </c>
      <c r="O595" s="847">
        <v>39</v>
      </c>
      <c r="P595" s="780" t="str">
        <f t="shared" si="19"/>
        <v>IWT060239</v>
      </c>
      <c r="Q595" s="847">
        <v>26698</v>
      </c>
      <c r="R595" s="847">
        <v>27232</v>
      </c>
      <c r="S595" s="847">
        <v>27776</v>
      </c>
      <c r="T595" s="847">
        <v>28332</v>
      </c>
      <c r="U595" s="847">
        <v>28898</v>
      </c>
      <c r="V595" s="847">
        <v>29476</v>
      </c>
      <c r="W595" s="847">
        <v>30063</v>
      </c>
      <c r="X595" s="847">
        <v>30663</v>
      </c>
      <c r="Y595" s="847">
        <v>31275</v>
      </c>
      <c r="Z595" s="847">
        <v>31899</v>
      </c>
      <c r="AA595" s="847">
        <v>32537</v>
      </c>
      <c r="AB595" s="847">
        <v>33188</v>
      </c>
      <c r="AC595" s="847">
        <v>33852</v>
      </c>
      <c r="AD595" s="847">
        <v>34529</v>
      </c>
      <c r="AE595" s="847">
        <v>35220</v>
      </c>
      <c r="AF595" s="847">
        <v>35924</v>
      </c>
      <c r="AG595" s="847">
        <v>36642</v>
      </c>
      <c r="AH595" s="847">
        <v>37375</v>
      </c>
      <c r="AI595" s="847">
        <v>38123</v>
      </c>
      <c r="AJ595" s="847">
        <v>38885</v>
      </c>
      <c r="AK595" s="847">
        <v>39663</v>
      </c>
      <c r="AL595" s="847">
        <v>40456</v>
      </c>
      <c r="AM595" s="847">
        <v>41265</v>
      </c>
      <c r="AN595" s="847">
        <v>42091</v>
      </c>
      <c r="AO595" s="847">
        <v>42932</v>
      </c>
      <c r="AP595" s="847">
        <v>43791</v>
      </c>
      <c r="AQ595" s="847">
        <v>44667</v>
      </c>
      <c r="AR595" s="847">
        <v>45560</v>
      </c>
      <c r="AS595" s="847">
        <v>46471</v>
      </c>
      <c r="AT595" s="847">
        <v>47401</v>
      </c>
      <c r="AU595" s="847">
        <v>48349</v>
      </c>
      <c r="AV595" s="847">
        <v>49316</v>
      </c>
      <c r="AW595" s="847">
        <v>50302</v>
      </c>
      <c r="AX595" s="847">
        <v>51308</v>
      </c>
      <c r="AY595" s="847">
        <v>52334</v>
      </c>
      <c r="AZ595" s="847">
        <v>53381</v>
      </c>
      <c r="BA595" s="847">
        <v>54448</v>
      </c>
      <c r="BB595" s="847">
        <v>55537</v>
      </c>
      <c r="BC595" s="847">
        <v>56648</v>
      </c>
      <c r="BD595" s="847">
        <v>57781</v>
      </c>
      <c r="BE595" s="847">
        <v>58936</v>
      </c>
      <c r="BF595" s="847">
        <v>60115</v>
      </c>
      <c r="BG595" s="847">
        <v>61317</v>
      </c>
      <c r="BH595" s="847">
        <v>62543</v>
      </c>
      <c r="BI595" s="847">
        <v>63792</v>
      </c>
      <c r="BJ595" s="847">
        <v>65057</v>
      </c>
      <c r="BK595" s="847">
        <v>66338</v>
      </c>
      <c r="BL595" s="847">
        <v>67635</v>
      </c>
      <c r="BM595" s="847">
        <v>68946</v>
      </c>
      <c r="BN595" s="847">
        <v>70271</v>
      </c>
      <c r="BO595" s="847">
        <v>71610</v>
      </c>
      <c r="BP595" s="847">
        <v>72962</v>
      </c>
      <c r="BQ595" s="847">
        <v>74326</v>
      </c>
      <c r="BR595" s="847">
        <v>75701</v>
      </c>
      <c r="BS595" s="847">
        <v>77084</v>
      </c>
      <c r="BT595" s="847">
        <v>78476</v>
      </c>
      <c r="BU595" s="847">
        <v>79877</v>
      </c>
      <c r="BV595" s="847">
        <v>81285</v>
      </c>
      <c r="BW595" s="847">
        <v>82700</v>
      </c>
      <c r="BX595" s="847">
        <v>84121</v>
      </c>
      <c r="BY595" s="847">
        <v>85547</v>
      </c>
      <c r="BZ595" s="847">
        <v>86978</v>
      </c>
      <c r="CA595" s="847">
        <v>88412</v>
      </c>
      <c r="CB595" s="847">
        <v>89850</v>
      </c>
      <c r="CC595" s="847">
        <v>91291</v>
      </c>
      <c r="CD595" s="847">
        <v>92733</v>
      </c>
      <c r="CE595" s="847">
        <v>94178</v>
      </c>
      <c r="CF595" s="847">
        <v>95623</v>
      </c>
      <c r="CG595" s="847">
        <v>97070</v>
      </c>
      <c r="CH595" s="847">
        <v>98516</v>
      </c>
      <c r="CI595" s="847">
        <v>99962</v>
      </c>
      <c r="CJ595" s="847">
        <v>101391</v>
      </c>
      <c r="CK595" s="847">
        <v>102400</v>
      </c>
      <c r="CL595" s="847">
        <v>0</v>
      </c>
      <c r="CM595" s="847">
        <v>0</v>
      </c>
      <c r="CN595" s="847">
        <v>0</v>
      </c>
      <c r="CO595" s="847">
        <v>0</v>
      </c>
      <c r="CP595" s="847">
        <v>0</v>
      </c>
      <c r="CQ595" s="847">
        <v>0</v>
      </c>
      <c r="CR595" s="847">
        <v>0</v>
      </c>
      <c r="CS595" s="847">
        <v>0</v>
      </c>
      <c r="CT595" s="847">
        <v>0</v>
      </c>
      <c r="CU595" s="847">
        <v>0</v>
      </c>
      <c r="CV595" s="847">
        <v>0</v>
      </c>
      <c r="CW595" s="847">
        <v>0</v>
      </c>
      <c r="CX595" s="847">
        <v>0</v>
      </c>
      <c r="CY595" s="847">
        <v>0</v>
      </c>
      <c r="CZ595" s="847">
        <v>0</v>
      </c>
      <c r="DA595" s="847">
        <v>0</v>
      </c>
      <c r="DB595" s="847">
        <v>0</v>
      </c>
      <c r="DC595" s="847">
        <v>0</v>
      </c>
      <c r="DD595" s="847">
        <v>0</v>
      </c>
      <c r="DE595" s="847">
        <v>0</v>
      </c>
      <c r="DF595" s="847">
        <v>0</v>
      </c>
      <c r="DG595" s="847">
        <v>0</v>
      </c>
      <c r="DH595" s="847">
        <v>0</v>
      </c>
      <c r="DI595" s="847">
        <v>0</v>
      </c>
      <c r="DJ595" s="847">
        <v>0</v>
      </c>
      <c r="DK595" s="847">
        <v>0</v>
      </c>
      <c r="DL595" s="847">
        <v>0</v>
      </c>
      <c r="DM595" s="847">
        <v>0</v>
      </c>
      <c r="DN595" s="847">
        <v>0</v>
      </c>
      <c r="DO595" s="847">
        <v>0</v>
      </c>
      <c r="DP595" s="847">
        <v>0</v>
      </c>
      <c r="DQ595" s="847">
        <v>0</v>
      </c>
      <c r="DR595" s="847">
        <v>0</v>
      </c>
      <c r="DS595" s="847">
        <v>0</v>
      </c>
      <c r="DT595" s="847">
        <v>0</v>
      </c>
      <c r="DU595" s="847">
        <v>0</v>
      </c>
      <c r="DV595" s="847">
        <v>0</v>
      </c>
      <c r="DW595" s="847">
        <v>0</v>
      </c>
      <c r="DX595" s="847">
        <v>0</v>
      </c>
    </row>
    <row r="596" spans="12:128" hidden="1">
      <c r="L596" s="846" t="s">
        <v>1060</v>
      </c>
      <c r="M596" s="846" t="s">
        <v>1382</v>
      </c>
      <c r="N596" s="846" t="s">
        <v>97</v>
      </c>
      <c r="O596" s="847">
        <v>40</v>
      </c>
      <c r="P596" s="780" t="str">
        <f t="shared" si="19"/>
        <v>IWT060240</v>
      </c>
      <c r="Q596" s="847">
        <v>26723</v>
      </c>
      <c r="R596" s="847">
        <v>27257</v>
      </c>
      <c r="S596" s="847">
        <v>27802</v>
      </c>
      <c r="T596" s="847">
        <v>28358</v>
      </c>
      <c r="U596" s="847">
        <v>28926</v>
      </c>
      <c r="V596" s="847">
        <v>29504</v>
      </c>
      <c r="W596" s="847">
        <v>30091</v>
      </c>
      <c r="X596" s="847">
        <v>30691</v>
      </c>
      <c r="Y596" s="847">
        <v>31303</v>
      </c>
      <c r="Z596" s="847">
        <v>31929</v>
      </c>
      <c r="AA596" s="847">
        <v>32567</v>
      </c>
      <c r="AB596" s="847">
        <v>33219</v>
      </c>
      <c r="AC596" s="847">
        <v>33883</v>
      </c>
      <c r="AD596" s="847">
        <v>34561</v>
      </c>
      <c r="AE596" s="847">
        <v>35252</v>
      </c>
      <c r="AF596" s="847">
        <v>35957</v>
      </c>
      <c r="AG596" s="847">
        <v>36676</v>
      </c>
      <c r="AH596" s="847">
        <v>37410</v>
      </c>
      <c r="AI596" s="847">
        <v>38158</v>
      </c>
      <c r="AJ596" s="847">
        <v>38921</v>
      </c>
      <c r="AK596" s="847">
        <v>39699</v>
      </c>
      <c r="AL596" s="847">
        <v>40493</v>
      </c>
      <c r="AM596" s="847">
        <v>41303</v>
      </c>
      <c r="AN596" s="847">
        <v>42129</v>
      </c>
      <c r="AO596" s="847">
        <v>42972</v>
      </c>
      <c r="AP596" s="847">
        <v>43831</v>
      </c>
      <c r="AQ596" s="847">
        <v>44708</v>
      </c>
      <c r="AR596" s="847">
        <v>45602</v>
      </c>
      <c r="AS596" s="847">
        <v>46514</v>
      </c>
      <c r="AT596" s="847">
        <v>47444</v>
      </c>
      <c r="AU596" s="847">
        <v>48393</v>
      </c>
      <c r="AV596" s="847">
        <v>49361</v>
      </c>
      <c r="AW596" s="847">
        <v>50348</v>
      </c>
      <c r="AX596" s="847">
        <v>51355</v>
      </c>
      <c r="AY596" s="847">
        <v>52382</v>
      </c>
      <c r="AZ596" s="847">
        <v>53430</v>
      </c>
      <c r="BA596" s="847">
        <v>54498</v>
      </c>
      <c r="BB596" s="847">
        <v>55588</v>
      </c>
      <c r="BC596" s="847">
        <v>56700</v>
      </c>
      <c r="BD596" s="847">
        <v>57834</v>
      </c>
      <c r="BE596" s="847">
        <v>58990</v>
      </c>
      <c r="BF596" s="847">
        <v>60170</v>
      </c>
      <c r="BG596" s="847">
        <v>61373</v>
      </c>
      <c r="BH596" s="847">
        <v>62600</v>
      </c>
      <c r="BI596" s="847">
        <v>63852</v>
      </c>
      <c r="BJ596" s="847">
        <v>65122</v>
      </c>
      <c r="BK596" s="847">
        <v>66407</v>
      </c>
      <c r="BL596" s="847">
        <v>67707</v>
      </c>
      <c r="BM596" s="847">
        <v>69021</v>
      </c>
      <c r="BN596" s="847">
        <v>70350</v>
      </c>
      <c r="BO596" s="847">
        <v>71692</v>
      </c>
      <c r="BP596" s="847">
        <v>73046</v>
      </c>
      <c r="BQ596" s="847">
        <v>74412</v>
      </c>
      <c r="BR596" s="847">
        <v>75786</v>
      </c>
      <c r="BS596" s="847">
        <v>77170</v>
      </c>
      <c r="BT596" s="847">
        <v>78563</v>
      </c>
      <c r="BU596" s="847">
        <v>79963</v>
      </c>
      <c r="BV596" s="847">
        <v>81371</v>
      </c>
      <c r="BW596" s="847">
        <v>82785</v>
      </c>
      <c r="BX596" s="847">
        <v>84205</v>
      </c>
      <c r="BY596" s="847">
        <v>85630</v>
      </c>
      <c r="BZ596" s="847">
        <v>87059</v>
      </c>
      <c r="CA596" s="847">
        <v>88492</v>
      </c>
      <c r="CB596" s="847">
        <v>89928</v>
      </c>
      <c r="CC596" s="847">
        <v>91366</v>
      </c>
      <c r="CD596" s="847">
        <v>92807</v>
      </c>
      <c r="CE596" s="847">
        <v>94249</v>
      </c>
      <c r="CF596" s="847">
        <v>95692</v>
      </c>
      <c r="CG596" s="847">
        <v>97135</v>
      </c>
      <c r="CH596" s="847">
        <v>98578</v>
      </c>
      <c r="CI596" s="847">
        <v>100005</v>
      </c>
      <c r="CJ596" s="847">
        <v>101000</v>
      </c>
      <c r="CK596" s="847">
        <v>0</v>
      </c>
      <c r="CL596" s="847">
        <v>0</v>
      </c>
      <c r="CM596" s="847">
        <v>0</v>
      </c>
      <c r="CN596" s="847">
        <v>0</v>
      </c>
      <c r="CO596" s="847">
        <v>0</v>
      </c>
      <c r="CP596" s="847">
        <v>0</v>
      </c>
      <c r="CQ596" s="847">
        <v>0</v>
      </c>
      <c r="CR596" s="847">
        <v>0</v>
      </c>
      <c r="CS596" s="847">
        <v>0</v>
      </c>
      <c r="CT596" s="847">
        <v>0</v>
      </c>
      <c r="CU596" s="847">
        <v>0</v>
      </c>
      <c r="CV596" s="847">
        <v>0</v>
      </c>
      <c r="CW596" s="847">
        <v>0</v>
      </c>
      <c r="CX596" s="847">
        <v>0</v>
      </c>
      <c r="CY596" s="847">
        <v>0</v>
      </c>
      <c r="CZ596" s="847">
        <v>0</v>
      </c>
      <c r="DA596" s="847">
        <v>0</v>
      </c>
      <c r="DB596" s="847">
        <v>0</v>
      </c>
      <c r="DC596" s="847">
        <v>0</v>
      </c>
      <c r="DD596" s="847">
        <v>0</v>
      </c>
      <c r="DE596" s="847">
        <v>0</v>
      </c>
      <c r="DF596" s="847">
        <v>0</v>
      </c>
      <c r="DG596" s="847">
        <v>0</v>
      </c>
      <c r="DH596" s="847">
        <v>0</v>
      </c>
      <c r="DI596" s="847">
        <v>0</v>
      </c>
      <c r="DJ596" s="847">
        <v>0</v>
      </c>
      <c r="DK596" s="847">
        <v>0</v>
      </c>
      <c r="DL596" s="847">
        <v>0</v>
      </c>
      <c r="DM596" s="847">
        <v>0</v>
      </c>
      <c r="DN596" s="847">
        <v>0</v>
      </c>
      <c r="DO596" s="847">
        <v>0</v>
      </c>
      <c r="DP596" s="847">
        <v>0</v>
      </c>
      <c r="DQ596" s="847">
        <v>0</v>
      </c>
      <c r="DR596" s="847">
        <v>0</v>
      </c>
      <c r="DS596" s="847">
        <v>0</v>
      </c>
      <c r="DT596" s="847">
        <v>0</v>
      </c>
      <c r="DU596" s="847">
        <v>0</v>
      </c>
      <c r="DV596" s="847">
        <v>0</v>
      </c>
      <c r="DW596" s="847">
        <v>0</v>
      </c>
      <c r="DX596" s="847">
        <v>0</v>
      </c>
    </row>
    <row r="597" spans="12:128" hidden="1">
      <c r="L597" s="846" t="s">
        <v>1060</v>
      </c>
      <c r="M597" s="846" t="s">
        <v>1382</v>
      </c>
      <c r="N597" s="846" t="s">
        <v>97</v>
      </c>
      <c r="O597" s="847">
        <v>41</v>
      </c>
      <c r="P597" s="780" t="str">
        <f t="shared" si="19"/>
        <v>IWT060241</v>
      </c>
      <c r="Q597" s="847">
        <v>26746</v>
      </c>
      <c r="R597" s="847">
        <v>27281</v>
      </c>
      <c r="S597" s="847">
        <v>27826</v>
      </c>
      <c r="T597" s="847">
        <v>28383</v>
      </c>
      <c r="U597" s="847">
        <v>28950</v>
      </c>
      <c r="V597" s="847">
        <v>29529</v>
      </c>
      <c r="W597" s="847">
        <v>30117</v>
      </c>
      <c r="X597" s="847">
        <v>30717</v>
      </c>
      <c r="Y597" s="847">
        <v>31329</v>
      </c>
      <c r="Z597" s="847">
        <v>31955</v>
      </c>
      <c r="AA597" s="847">
        <v>32594</v>
      </c>
      <c r="AB597" s="847">
        <v>33246</v>
      </c>
      <c r="AC597" s="847">
        <v>33911</v>
      </c>
      <c r="AD597" s="847">
        <v>34589</v>
      </c>
      <c r="AE597" s="847">
        <v>35281</v>
      </c>
      <c r="AF597" s="847">
        <v>35987</v>
      </c>
      <c r="AG597" s="847">
        <v>36707</v>
      </c>
      <c r="AH597" s="847">
        <v>37441</v>
      </c>
      <c r="AI597" s="847">
        <v>38189</v>
      </c>
      <c r="AJ597" s="847">
        <v>38953</v>
      </c>
      <c r="AK597" s="847">
        <v>39732</v>
      </c>
      <c r="AL597" s="847">
        <v>40527</v>
      </c>
      <c r="AM597" s="847">
        <v>41337</v>
      </c>
      <c r="AN597" s="847">
        <v>42164</v>
      </c>
      <c r="AO597" s="847">
        <v>43008</v>
      </c>
      <c r="AP597" s="847">
        <v>43868</v>
      </c>
      <c r="AQ597" s="847">
        <v>44745</v>
      </c>
      <c r="AR597" s="847">
        <v>45640</v>
      </c>
      <c r="AS597" s="847">
        <v>46553</v>
      </c>
      <c r="AT597" s="847">
        <v>47484</v>
      </c>
      <c r="AU597" s="847">
        <v>48433</v>
      </c>
      <c r="AV597" s="847">
        <v>49402</v>
      </c>
      <c r="AW597" s="847">
        <v>50390</v>
      </c>
      <c r="AX597" s="847">
        <v>51398</v>
      </c>
      <c r="AY597" s="847">
        <v>52426</v>
      </c>
      <c r="AZ597" s="847">
        <v>53474</v>
      </c>
      <c r="BA597" s="847">
        <v>54543</v>
      </c>
      <c r="BB597" s="847">
        <v>55634</v>
      </c>
      <c r="BC597" s="847">
        <v>56747</v>
      </c>
      <c r="BD597" s="847">
        <v>57882</v>
      </c>
      <c r="BE597" s="847">
        <v>59039</v>
      </c>
      <c r="BF597" s="847">
        <v>60220</v>
      </c>
      <c r="BG597" s="847">
        <v>61424</v>
      </c>
      <c r="BH597" s="847">
        <v>62652</v>
      </c>
      <c r="BI597" s="847">
        <v>63905</v>
      </c>
      <c r="BJ597" s="847">
        <v>65179</v>
      </c>
      <c r="BK597" s="847">
        <v>66468</v>
      </c>
      <c r="BL597" s="847">
        <v>67771</v>
      </c>
      <c r="BM597" s="847">
        <v>69089</v>
      </c>
      <c r="BN597" s="847">
        <v>70421</v>
      </c>
      <c r="BO597" s="847">
        <v>71766</v>
      </c>
      <c r="BP597" s="847">
        <v>73122</v>
      </c>
      <c r="BQ597" s="847">
        <v>74488</v>
      </c>
      <c r="BR597" s="847">
        <v>75863</v>
      </c>
      <c r="BS597" s="847">
        <v>77248</v>
      </c>
      <c r="BT597" s="847">
        <v>78642</v>
      </c>
      <c r="BU597" s="847">
        <v>80042</v>
      </c>
      <c r="BV597" s="847">
        <v>81450</v>
      </c>
      <c r="BW597" s="847">
        <v>82864</v>
      </c>
      <c r="BX597" s="847">
        <v>84283</v>
      </c>
      <c r="BY597" s="847">
        <v>85707</v>
      </c>
      <c r="BZ597" s="847">
        <v>87134</v>
      </c>
      <c r="CA597" s="847">
        <v>88566</v>
      </c>
      <c r="CB597" s="847">
        <v>90000</v>
      </c>
      <c r="CC597" s="847">
        <v>91436</v>
      </c>
      <c r="CD597" s="847">
        <v>92874</v>
      </c>
      <c r="CE597" s="847">
        <v>94313</v>
      </c>
      <c r="CF597" s="847">
        <v>95754</v>
      </c>
      <c r="CG597" s="847">
        <v>97194</v>
      </c>
      <c r="CH597" s="847">
        <v>98619</v>
      </c>
      <c r="CI597" s="847">
        <v>99600</v>
      </c>
      <c r="CJ597" s="847">
        <v>0</v>
      </c>
      <c r="CK597" s="847">
        <v>0</v>
      </c>
      <c r="CL597" s="847">
        <v>0</v>
      </c>
      <c r="CM597" s="847">
        <v>0</v>
      </c>
      <c r="CN597" s="847">
        <v>0</v>
      </c>
      <c r="CO597" s="847">
        <v>0</v>
      </c>
      <c r="CP597" s="847">
        <v>0</v>
      </c>
      <c r="CQ597" s="847">
        <v>0</v>
      </c>
      <c r="CR597" s="847">
        <v>0</v>
      </c>
      <c r="CS597" s="847">
        <v>0</v>
      </c>
      <c r="CT597" s="847">
        <v>0</v>
      </c>
      <c r="CU597" s="847">
        <v>0</v>
      </c>
      <c r="CV597" s="847">
        <v>0</v>
      </c>
      <c r="CW597" s="847">
        <v>0</v>
      </c>
      <c r="CX597" s="847">
        <v>0</v>
      </c>
      <c r="CY597" s="847">
        <v>0</v>
      </c>
      <c r="CZ597" s="847">
        <v>0</v>
      </c>
      <c r="DA597" s="847">
        <v>0</v>
      </c>
      <c r="DB597" s="847">
        <v>0</v>
      </c>
      <c r="DC597" s="847">
        <v>0</v>
      </c>
      <c r="DD597" s="847">
        <v>0</v>
      </c>
      <c r="DE597" s="847">
        <v>0</v>
      </c>
      <c r="DF597" s="847">
        <v>0</v>
      </c>
      <c r="DG597" s="847">
        <v>0</v>
      </c>
      <c r="DH597" s="847">
        <v>0</v>
      </c>
      <c r="DI597" s="847">
        <v>0</v>
      </c>
      <c r="DJ597" s="847">
        <v>0</v>
      </c>
      <c r="DK597" s="847">
        <v>0</v>
      </c>
      <c r="DL597" s="847">
        <v>0</v>
      </c>
      <c r="DM597" s="847">
        <v>0</v>
      </c>
      <c r="DN597" s="847">
        <v>0</v>
      </c>
      <c r="DO597" s="847">
        <v>0</v>
      </c>
      <c r="DP597" s="847">
        <v>0</v>
      </c>
      <c r="DQ597" s="847">
        <v>0</v>
      </c>
      <c r="DR597" s="847">
        <v>0</v>
      </c>
      <c r="DS597" s="847">
        <v>0</v>
      </c>
      <c r="DT597" s="847">
        <v>0</v>
      </c>
      <c r="DU597" s="847">
        <v>0</v>
      </c>
      <c r="DV597" s="847">
        <v>0</v>
      </c>
      <c r="DW597" s="847">
        <v>0</v>
      </c>
      <c r="DX597" s="847">
        <v>0</v>
      </c>
    </row>
    <row r="598" spans="12:128" hidden="1">
      <c r="L598" s="846" t="s">
        <v>1060</v>
      </c>
      <c r="M598" s="846" t="s">
        <v>1382</v>
      </c>
      <c r="N598" s="846" t="s">
        <v>97</v>
      </c>
      <c r="O598" s="847">
        <v>42</v>
      </c>
      <c r="P598" s="780" t="str">
        <f t="shared" si="19"/>
        <v>IWT060242</v>
      </c>
      <c r="Q598" s="847">
        <v>26765</v>
      </c>
      <c r="R598" s="847">
        <v>27301</v>
      </c>
      <c r="S598" s="847">
        <v>27847</v>
      </c>
      <c r="T598" s="847">
        <v>28404</v>
      </c>
      <c r="U598" s="847">
        <v>28972</v>
      </c>
      <c r="V598" s="847">
        <v>29551</v>
      </c>
      <c r="W598" s="847">
        <v>30139</v>
      </c>
      <c r="X598" s="847">
        <v>30739</v>
      </c>
      <c r="Y598" s="847">
        <v>31352</v>
      </c>
      <c r="Z598" s="847">
        <v>31978</v>
      </c>
      <c r="AA598" s="847">
        <v>32618</v>
      </c>
      <c r="AB598" s="847">
        <v>33270</v>
      </c>
      <c r="AC598" s="847">
        <v>33935</v>
      </c>
      <c r="AD598" s="847">
        <v>34614</v>
      </c>
      <c r="AE598" s="847">
        <v>35306</v>
      </c>
      <c r="AF598" s="847">
        <v>36013</v>
      </c>
      <c r="AG598" s="847">
        <v>36733</v>
      </c>
      <c r="AH598" s="847">
        <v>37467</v>
      </c>
      <c r="AI598" s="847">
        <v>38217</v>
      </c>
      <c r="AJ598" s="847">
        <v>38981</v>
      </c>
      <c r="AK598" s="847">
        <v>39761</v>
      </c>
      <c r="AL598" s="847">
        <v>40556</v>
      </c>
      <c r="AM598" s="847">
        <v>41367</v>
      </c>
      <c r="AN598" s="847">
        <v>42194</v>
      </c>
      <c r="AO598" s="847">
        <v>43038</v>
      </c>
      <c r="AP598" s="847">
        <v>43899</v>
      </c>
      <c r="AQ598" s="847">
        <v>44777</v>
      </c>
      <c r="AR598" s="847">
        <v>45672</v>
      </c>
      <c r="AS598" s="847">
        <v>46586</v>
      </c>
      <c r="AT598" s="847">
        <v>47518</v>
      </c>
      <c r="AU598" s="847">
        <v>48468</v>
      </c>
      <c r="AV598" s="847">
        <v>49437</v>
      </c>
      <c r="AW598" s="847">
        <v>50426</v>
      </c>
      <c r="AX598" s="847">
        <v>51434</v>
      </c>
      <c r="AY598" s="847">
        <v>52463</v>
      </c>
      <c r="AZ598" s="847">
        <v>53512</v>
      </c>
      <c r="BA598" s="847">
        <v>54582</v>
      </c>
      <c r="BB598" s="847">
        <v>55674</v>
      </c>
      <c r="BC598" s="847">
        <v>56787</v>
      </c>
      <c r="BD598" s="847">
        <v>57923</v>
      </c>
      <c r="BE598" s="847">
        <v>59081</v>
      </c>
      <c r="BF598" s="847">
        <v>60263</v>
      </c>
      <c r="BG598" s="847">
        <v>61468</v>
      </c>
      <c r="BH598" s="847">
        <v>62697</v>
      </c>
      <c r="BI598" s="847">
        <v>63951</v>
      </c>
      <c r="BJ598" s="847">
        <v>65229</v>
      </c>
      <c r="BK598" s="847">
        <v>66522</v>
      </c>
      <c r="BL598" s="847">
        <v>67829</v>
      </c>
      <c r="BM598" s="847">
        <v>69151</v>
      </c>
      <c r="BN598" s="847">
        <v>70485</v>
      </c>
      <c r="BO598" s="847">
        <v>71832</v>
      </c>
      <c r="BP598" s="847">
        <v>73189</v>
      </c>
      <c r="BQ598" s="847">
        <v>74557</v>
      </c>
      <c r="BR598" s="847">
        <v>75934</v>
      </c>
      <c r="BS598" s="847">
        <v>77320</v>
      </c>
      <c r="BT598" s="847">
        <v>78714</v>
      </c>
      <c r="BU598" s="847">
        <v>80115</v>
      </c>
      <c r="BV598" s="847">
        <v>81522</v>
      </c>
      <c r="BW598" s="847">
        <v>82936</v>
      </c>
      <c r="BX598" s="847">
        <v>84354</v>
      </c>
      <c r="BY598" s="847">
        <v>85777</v>
      </c>
      <c r="BZ598" s="847">
        <v>87203</v>
      </c>
      <c r="CA598" s="847">
        <v>88633</v>
      </c>
      <c r="CB598" s="847">
        <v>90065</v>
      </c>
      <c r="CC598" s="847">
        <v>91499</v>
      </c>
      <c r="CD598" s="847">
        <v>92935</v>
      </c>
      <c r="CE598" s="847">
        <v>94372</v>
      </c>
      <c r="CF598" s="847">
        <v>95809</v>
      </c>
      <c r="CG598" s="847">
        <v>97232</v>
      </c>
      <c r="CH598" s="847">
        <v>98200</v>
      </c>
      <c r="CI598" s="847">
        <v>0</v>
      </c>
      <c r="CJ598" s="847">
        <v>0</v>
      </c>
      <c r="CK598" s="847">
        <v>0</v>
      </c>
      <c r="CL598" s="847">
        <v>0</v>
      </c>
      <c r="CM598" s="847">
        <v>0</v>
      </c>
      <c r="CN598" s="847">
        <v>0</v>
      </c>
      <c r="CO598" s="847">
        <v>0</v>
      </c>
      <c r="CP598" s="847">
        <v>0</v>
      </c>
      <c r="CQ598" s="847">
        <v>0</v>
      </c>
      <c r="CR598" s="847">
        <v>0</v>
      </c>
      <c r="CS598" s="847">
        <v>0</v>
      </c>
      <c r="CT598" s="847">
        <v>0</v>
      </c>
      <c r="CU598" s="847">
        <v>0</v>
      </c>
      <c r="CV598" s="847">
        <v>0</v>
      </c>
      <c r="CW598" s="847">
        <v>0</v>
      </c>
      <c r="CX598" s="847">
        <v>0</v>
      </c>
      <c r="CY598" s="847">
        <v>0</v>
      </c>
      <c r="CZ598" s="847">
        <v>0</v>
      </c>
      <c r="DA598" s="847">
        <v>0</v>
      </c>
      <c r="DB598" s="847">
        <v>0</v>
      </c>
      <c r="DC598" s="847">
        <v>0</v>
      </c>
      <c r="DD598" s="847">
        <v>0</v>
      </c>
      <c r="DE598" s="847">
        <v>0</v>
      </c>
      <c r="DF598" s="847">
        <v>0</v>
      </c>
      <c r="DG598" s="847">
        <v>0</v>
      </c>
      <c r="DH598" s="847">
        <v>0</v>
      </c>
      <c r="DI598" s="847">
        <v>0</v>
      </c>
      <c r="DJ598" s="847">
        <v>0</v>
      </c>
      <c r="DK598" s="847">
        <v>0</v>
      </c>
      <c r="DL598" s="847">
        <v>0</v>
      </c>
      <c r="DM598" s="847">
        <v>0</v>
      </c>
      <c r="DN598" s="847">
        <v>0</v>
      </c>
      <c r="DO598" s="847">
        <v>0</v>
      </c>
      <c r="DP598" s="847">
        <v>0</v>
      </c>
      <c r="DQ598" s="847">
        <v>0</v>
      </c>
      <c r="DR598" s="847">
        <v>0</v>
      </c>
      <c r="DS598" s="847">
        <v>0</v>
      </c>
      <c r="DT598" s="847">
        <v>0</v>
      </c>
      <c r="DU598" s="847">
        <v>0</v>
      </c>
      <c r="DV598" s="847">
        <v>0</v>
      </c>
      <c r="DW598" s="847">
        <v>0</v>
      </c>
      <c r="DX598" s="847">
        <v>0</v>
      </c>
    </row>
    <row r="599" spans="12:128" hidden="1">
      <c r="L599" s="846" t="s">
        <v>1060</v>
      </c>
      <c r="M599" s="846" t="s">
        <v>1382</v>
      </c>
      <c r="N599" s="846" t="s">
        <v>97</v>
      </c>
      <c r="O599" s="847">
        <v>43</v>
      </c>
      <c r="P599" s="780" t="str">
        <f t="shared" si="19"/>
        <v>IWT060243</v>
      </c>
      <c r="Q599" s="847">
        <v>26784</v>
      </c>
      <c r="R599" s="847">
        <v>27319</v>
      </c>
      <c r="S599" s="847">
        <v>27866</v>
      </c>
      <c r="T599" s="847">
        <v>28423</v>
      </c>
      <c r="U599" s="847">
        <v>28992</v>
      </c>
      <c r="V599" s="847">
        <v>29571</v>
      </c>
      <c r="W599" s="847">
        <v>30159</v>
      </c>
      <c r="X599" s="847">
        <v>30759</v>
      </c>
      <c r="Y599" s="847">
        <v>31373</v>
      </c>
      <c r="Z599" s="847">
        <v>31999</v>
      </c>
      <c r="AA599" s="847">
        <v>32639</v>
      </c>
      <c r="AB599" s="847">
        <v>33292</v>
      </c>
      <c r="AC599" s="847">
        <v>33958</v>
      </c>
      <c r="AD599" s="847">
        <v>34637</v>
      </c>
      <c r="AE599" s="847">
        <v>35330</v>
      </c>
      <c r="AF599" s="847">
        <v>36036</v>
      </c>
      <c r="AG599" s="847">
        <v>36757</v>
      </c>
      <c r="AH599" s="847">
        <v>37492</v>
      </c>
      <c r="AI599" s="847">
        <v>38242</v>
      </c>
      <c r="AJ599" s="847">
        <v>39007</v>
      </c>
      <c r="AK599" s="847">
        <v>39787</v>
      </c>
      <c r="AL599" s="847">
        <v>40582</v>
      </c>
      <c r="AM599" s="847">
        <v>41394</v>
      </c>
      <c r="AN599" s="847">
        <v>42222</v>
      </c>
      <c r="AO599" s="847">
        <v>43066</v>
      </c>
      <c r="AP599" s="847">
        <v>43928</v>
      </c>
      <c r="AQ599" s="847">
        <v>44806</v>
      </c>
      <c r="AR599" s="847">
        <v>45702</v>
      </c>
      <c r="AS599" s="847">
        <v>46616</v>
      </c>
      <c r="AT599" s="847">
        <v>47549</v>
      </c>
      <c r="AU599" s="847">
        <v>48500</v>
      </c>
      <c r="AV599" s="847">
        <v>49469</v>
      </c>
      <c r="AW599" s="847">
        <v>50459</v>
      </c>
      <c r="AX599" s="847">
        <v>51468</v>
      </c>
      <c r="AY599" s="847">
        <v>52497</v>
      </c>
      <c r="AZ599" s="847">
        <v>53547</v>
      </c>
      <c r="BA599" s="847">
        <v>54618</v>
      </c>
      <c r="BB599" s="847">
        <v>55710</v>
      </c>
      <c r="BC599" s="847">
        <v>56824</v>
      </c>
      <c r="BD599" s="847">
        <v>57961</v>
      </c>
      <c r="BE599" s="847">
        <v>59120</v>
      </c>
      <c r="BF599" s="847">
        <v>60302</v>
      </c>
      <c r="BG599" s="847">
        <v>61508</v>
      </c>
      <c r="BH599" s="847">
        <v>62738</v>
      </c>
      <c r="BI599" s="847">
        <v>63992</v>
      </c>
      <c r="BJ599" s="847">
        <v>65272</v>
      </c>
      <c r="BK599" s="847">
        <v>66569</v>
      </c>
      <c r="BL599" s="847">
        <v>67880</v>
      </c>
      <c r="BM599" s="847">
        <v>69205</v>
      </c>
      <c r="BN599" s="847">
        <v>70543</v>
      </c>
      <c r="BO599" s="847">
        <v>71891</v>
      </c>
      <c r="BP599" s="847">
        <v>73250</v>
      </c>
      <c r="BQ599" s="847">
        <v>74620</v>
      </c>
      <c r="BR599" s="847">
        <v>75998</v>
      </c>
      <c r="BS599" s="847">
        <v>77385</v>
      </c>
      <c r="BT599" s="847">
        <v>78780</v>
      </c>
      <c r="BU599" s="847">
        <v>80181</v>
      </c>
      <c r="BV599" s="847">
        <v>81588</v>
      </c>
      <c r="BW599" s="847">
        <v>83001</v>
      </c>
      <c r="BX599" s="847">
        <v>84419</v>
      </c>
      <c r="BY599" s="847">
        <v>85841</v>
      </c>
      <c r="BZ599" s="847">
        <v>87266</v>
      </c>
      <c r="CA599" s="847">
        <v>88694</v>
      </c>
      <c r="CB599" s="847">
        <v>90124</v>
      </c>
      <c r="CC599" s="847">
        <v>91557</v>
      </c>
      <c r="CD599" s="847">
        <v>92991</v>
      </c>
      <c r="CE599" s="847">
        <v>94425</v>
      </c>
      <c r="CF599" s="847">
        <v>95846</v>
      </c>
      <c r="CG599" s="847">
        <v>96800</v>
      </c>
      <c r="CH599" s="847">
        <v>0</v>
      </c>
      <c r="CI599" s="847">
        <v>0</v>
      </c>
      <c r="CJ599" s="847">
        <v>0</v>
      </c>
      <c r="CK599" s="847">
        <v>0</v>
      </c>
      <c r="CL599" s="847">
        <v>0</v>
      </c>
      <c r="CM599" s="847">
        <v>0</v>
      </c>
      <c r="CN599" s="847">
        <v>0</v>
      </c>
      <c r="CO599" s="847">
        <v>0</v>
      </c>
      <c r="CP599" s="847">
        <v>0</v>
      </c>
      <c r="CQ599" s="847">
        <v>0</v>
      </c>
      <c r="CR599" s="847">
        <v>0</v>
      </c>
      <c r="CS599" s="847">
        <v>0</v>
      </c>
      <c r="CT599" s="847">
        <v>0</v>
      </c>
      <c r="CU599" s="847">
        <v>0</v>
      </c>
      <c r="CV599" s="847">
        <v>0</v>
      </c>
      <c r="CW599" s="847">
        <v>0</v>
      </c>
      <c r="CX599" s="847">
        <v>0</v>
      </c>
      <c r="CY599" s="847">
        <v>0</v>
      </c>
      <c r="CZ599" s="847">
        <v>0</v>
      </c>
      <c r="DA599" s="847">
        <v>0</v>
      </c>
      <c r="DB599" s="847">
        <v>0</v>
      </c>
      <c r="DC599" s="847">
        <v>0</v>
      </c>
      <c r="DD599" s="847">
        <v>0</v>
      </c>
      <c r="DE599" s="847">
        <v>0</v>
      </c>
      <c r="DF599" s="847">
        <v>0</v>
      </c>
      <c r="DG599" s="847">
        <v>0</v>
      </c>
      <c r="DH599" s="847">
        <v>0</v>
      </c>
      <c r="DI599" s="847">
        <v>0</v>
      </c>
      <c r="DJ599" s="847">
        <v>0</v>
      </c>
      <c r="DK599" s="847">
        <v>0</v>
      </c>
      <c r="DL599" s="847">
        <v>0</v>
      </c>
      <c r="DM599" s="847">
        <v>0</v>
      </c>
      <c r="DN599" s="847">
        <v>0</v>
      </c>
      <c r="DO599" s="847">
        <v>0</v>
      </c>
      <c r="DP599" s="847">
        <v>0</v>
      </c>
      <c r="DQ599" s="847">
        <v>0</v>
      </c>
      <c r="DR599" s="847">
        <v>0</v>
      </c>
      <c r="DS599" s="847">
        <v>0</v>
      </c>
      <c r="DT599" s="847">
        <v>0</v>
      </c>
      <c r="DU599" s="847">
        <v>0</v>
      </c>
      <c r="DV599" s="847">
        <v>0</v>
      </c>
      <c r="DW599" s="847">
        <v>0</v>
      </c>
      <c r="DX599" s="847">
        <v>0</v>
      </c>
    </row>
    <row r="600" spans="12:128" hidden="1">
      <c r="L600" s="846" t="s">
        <v>1060</v>
      </c>
      <c r="M600" s="846" t="s">
        <v>1382</v>
      </c>
      <c r="N600" s="846" t="s">
        <v>97</v>
      </c>
      <c r="O600" s="847">
        <v>44</v>
      </c>
      <c r="P600" s="780" t="str">
        <f t="shared" si="19"/>
        <v>IWT060244</v>
      </c>
      <c r="Q600" s="847">
        <v>26800</v>
      </c>
      <c r="R600" s="847">
        <v>27336</v>
      </c>
      <c r="S600" s="847">
        <v>27883</v>
      </c>
      <c r="T600" s="847">
        <v>28440</v>
      </c>
      <c r="U600" s="847">
        <v>29009</v>
      </c>
      <c r="V600" s="847">
        <v>29589</v>
      </c>
      <c r="W600" s="847">
        <v>30177</v>
      </c>
      <c r="X600" s="847">
        <v>30777</v>
      </c>
      <c r="Y600" s="847">
        <v>31390</v>
      </c>
      <c r="Z600" s="847">
        <v>32017</v>
      </c>
      <c r="AA600" s="847">
        <v>32658</v>
      </c>
      <c r="AB600" s="847">
        <v>33311</v>
      </c>
      <c r="AC600" s="847">
        <v>33977</v>
      </c>
      <c r="AD600" s="847">
        <v>34656</v>
      </c>
      <c r="AE600" s="847">
        <v>35350</v>
      </c>
      <c r="AF600" s="847">
        <v>36057</v>
      </c>
      <c r="AG600" s="847">
        <v>36778</v>
      </c>
      <c r="AH600" s="847">
        <v>37513</v>
      </c>
      <c r="AI600" s="847">
        <v>38263</v>
      </c>
      <c r="AJ600" s="847">
        <v>39029</v>
      </c>
      <c r="AK600" s="847">
        <v>39809</v>
      </c>
      <c r="AL600" s="847">
        <v>40605</v>
      </c>
      <c r="AM600" s="847">
        <v>41418</v>
      </c>
      <c r="AN600" s="847">
        <v>42246</v>
      </c>
      <c r="AO600" s="847">
        <v>43091</v>
      </c>
      <c r="AP600" s="847">
        <v>43953</v>
      </c>
      <c r="AQ600" s="847">
        <v>44832</v>
      </c>
      <c r="AR600" s="847">
        <v>45728</v>
      </c>
      <c r="AS600" s="847">
        <v>46643</v>
      </c>
      <c r="AT600" s="847">
        <v>47575</v>
      </c>
      <c r="AU600" s="847">
        <v>48527</v>
      </c>
      <c r="AV600" s="847">
        <v>49497</v>
      </c>
      <c r="AW600" s="847">
        <v>50487</v>
      </c>
      <c r="AX600" s="847">
        <v>51497</v>
      </c>
      <c r="AY600" s="847">
        <v>52527</v>
      </c>
      <c r="AZ600" s="847">
        <v>53577</v>
      </c>
      <c r="BA600" s="847">
        <v>54649</v>
      </c>
      <c r="BB600" s="847">
        <v>55742</v>
      </c>
      <c r="BC600" s="847">
        <v>56856</v>
      </c>
      <c r="BD600" s="847">
        <v>57993</v>
      </c>
      <c r="BE600" s="847">
        <v>59153</v>
      </c>
      <c r="BF600" s="847">
        <v>60336</v>
      </c>
      <c r="BG600" s="847">
        <v>61542</v>
      </c>
      <c r="BH600" s="847">
        <v>62773</v>
      </c>
      <c r="BI600" s="847">
        <v>64028</v>
      </c>
      <c r="BJ600" s="847">
        <v>65308</v>
      </c>
      <c r="BK600" s="847">
        <v>66610</v>
      </c>
      <c r="BL600" s="847">
        <v>67925</v>
      </c>
      <c r="BM600" s="847">
        <v>69253</v>
      </c>
      <c r="BN600" s="847">
        <v>70593</v>
      </c>
      <c r="BO600" s="847">
        <v>71944</v>
      </c>
      <c r="BP600" s="847">
        <v>73305</v>
      </c>
      <c r="BQ600" s="847">
        <v>74676</v>
      </c>
      <c r="BR600" s="847">
        <v>76056</v>
      </c>
      <c r="BS600" s="847">
        <v>77444</v>
      </c>
      <c r="BT600" s="847">
        <v>78839</v>
      </c>
      <c r="BU600" s="847">
        <v>80241</v>
      </c>
      <c r="BV600" s="847">
        <v>81649</v>
      </c>
      <c r="BW600" s="847">
        <v>83061</v>
      </c>
      <c r="BX600" s="847">
        <v>84478</v>
      </c>
      <c r="BY600" s="847">
        <v>85899</v>
      </c>
      <c r="BZ600" s="847">
        <v>87323</v>
      </c>
      <c r="CA600" s="847">
        <v>88750</v>
      </c>
      <c r="CB600" s="847">
        <v>90179</v>
      </c>
      <c r="CC600" s="847">
        <v>91609</v>
      </c>
      <c r="CD600" s="847">
        <v>93041</v>
      </c>
      <c r="CE600" s="847">
        <v>94460</v>
      </c>
      <c r="CF600" s="847">
        <v>95400</v>
      </c>
      <c r="CG600" s="847">
        <v>0</v>
      </c>
      <c r="CH600" s="847">
        <v>0</v>
      </c>
      <c r="CI600" s="847">
        <v>0</v>
      </c>
      <c r="CJ600" s="847">
        <v>0</v>
      </c>
      <c r="CK600" s="847">
        <v>0</v>
      </c>
      <c r="CL600" s="847">
        <v>0</v>
      </c>
      <c r="CM600" s="847">
        <v>0</v>
      </c>
      <c r="CN600" s="847">
        <v>0</v>
      </c>
      <c r="CO600" s="847">
        <v>0</v>
      </c>
      <c r="CP600" s="847">
        <v>0</v>
      </c>
      <c r="CQ600" s="847">
        <v>0</v>
      </c>
      <c r="CR600" s="847">
        <v>0</v>
      </c>
      <c r="CS600" s="847">
        <v>0</v>
      </c>
      <c r="CT600" s="847">
        <v>0</v>
      </c>
      <c r="CU600" s="847">
        <v>0</v>
      </c>
      <c r="CV600" s="847">
        <v>0</v>
      </c>
      <c r="CW600" s="847">
        <v>0</v>
      </c>
      <c r="CX600" s="847">
        <v>0</v>
      </c>
      <c r="CY600" s="847">
        <v>0</v>
      </c>
      <c r="CZ600" s="847">
        <v>0</v>
      </c>
      <c r="DA600" s="847">
        <v>0</v>
      </c>
      <c r="DB600" s="847">
        <v>0</v>
      </c>
      <c r="DC600" s="847">
        <v>0</v>
      </c>
      <c r="DD600" s="847">
        <v>0</v>
      </c>
      <c r="DE600" s="847">
        <v>0</v>
      </c>
      <c r="DF600" s="847">
        <v>0</v>
      </c>
      <c r="DG600" s="847">
        <v>0</v>
      </c>
      <c r="DH600" s="847">
        <v>0</v>
      </c>
      <c r="DI600" s="847">
        <v>0</v>
      </c>
      <c r="DJ600" s="847">
        <v>0</v>
      </c>
      <c r="DK600" s="847">
        <v>0</v>
      </c>
      <c r="DL600" s="847">
        <v>0</v>
      </c>
      <c r="DM600" s="847">
        <v>0</v>
      </c>
      <c r="DN600" s="847">
        <v>0</v>
      </c>
      <c r="DO600" s="847">
        <v>0</v>
      </c>
      <c r="DP600" s="847">
        <v>0</v>
      </c>
      <c r="DQ600" s="847">
        <v>0</v>
      </c>
      <c r="DR600" s="847">
        <v>0</v>
      </c>
      <c r="DS600" s="847">
        <v>0</v>
      </c>
      <c r="DT600" s="847">
        <v>0</v>
      </c>
      <c r="DU600" s="847">
        <v>0</v>
      </c>
      <c r="DV600" s="847">
        <v>0</v>
      </c>
      <c r="DW600" s="847">
        <v>0</v>
      </c>
      <c r="DX600" s="847">
        <v>0</v>
      </c>
    </row>
    <row r="601" spans="12:128" hidden="1">
      <c r="L601" s="846" t="s">
        <v>1060</v>
      </c>
      <c r="M601" s="846" t="s">
        <v>1382</v>
      </c>
      <c r="N601" s="846" t="s">
        <v>97</v>
      </c>
      <c r="O601" s="847">
        <v>45</v>
      </c>
      <c r="P601" s="780" t="str">
        <f t="shared" si="19"/>
        <v>IWT060245</v>
      </c>
      <c r="Q601" s="847">
        <v>26814</v>
      </c>
      <c r="R601" s="847">
        <v>27350</v>
      </c>
      <c r="S601" s="847">
        <v>27897</v>
      </c>
      <c r="T601" s="847">
        <v>28455</v>
      </c>
      <c r="U601" s="847">
        <v>29024</v>
      </c>
      <c r="V601" s="847">
        <v>29604</v>
      </c>
      <c r="W601" s="847">
        <v>30192</v>
      </c>
      <c r="X601" s="847">
        <v>30792</v>
      </c>
      <c r="Y601" s="847">
        <v>31405</v>
      </c>
      <c r="Z601" s="847">
        <v>32032</v>
      </c>
      <c r="AA601" s="847">
        <v>32673</v>
      </c>
      <c r="AB601" s="847">
        <v>33327</v>
      </c>
      <c r="AC601" s="847">
        <v>33993</v>
      </c>
      <c r="AD601" s="847">
        <v>34673</v>
      </c>
      <c r="AE601" s="847">
        <v>35366</v>
      </c>
      <c r="AF601" s="847">
        <v>36074</v>
      </c>
      <c r="AG601" s="847">
        <v>36795</v>
      </c>
      <c r="AH601" s="847">
        <v>37531</v>
      </c>
      <c r="AI601" s="847">
        <v>38282</v>
      </c>
      <c r="AJ601" s="847">
        <v>39047</v>
      </c>
      <c r="AK601" s="847">
        <v>39828</v>
      </c>
      <c r="AL601" s="847">
        <v>40625</v>
      </c>
      <c r="AM601" s="847">
        <v>41437</v>
      </c>
      <c r="AN601" s="847">
        <v>42266</v>
      </c>
      <c r="AO601" s="847">
        <v>43111</v>
      </c>
      <c r="AP601" s="847">
        <v>43973</v>
      </c>
      <c r="AQ601" s="847">
        <v>44853</v>
      </c>
      <c r="AR601" s="847">
        <v>45750</v>
      </c>
      <c r="AS601" s="847">
        <v>46665</v>
      </c>
      <c r="AT601" s="847">
        <v>47598</v>
      </c>
      <c r="AU601" s="847">
        <v>48550</v>
      </c>
      <c r="AV601" s="847">
        <v>49521</v>
      </c>
      <c r="AW601" s="847">
        <v>50511</v>
      </c>
      <c r="AX601" s="847">
        <v>51521</v>
      </c>
      <c r="AY601" s="847">
        <v>52552</v>
      </c>
      <c r="AZ601" s="847">
        <v>53603</v>
      </c>
      <c r="BA601" s="847">
        <v>54675</v>
      </c>
      <c r="BB601" s="847">
        <v>55768</v>
      </c>
      <c r="BC601" s="847">
        <v>56883</v>
      </c>
      <c r="BD601" s="847">
        <v>58021</v>
      </c>
      <c r="BE601" s="847">
        <v>59181</v>
      </c>
      <c r="BF601" s="847">
        <v>60364</v>
      </c>
      <c r="BG601" s="847">
        <v>61571</v>
      </c>
      <c r="BH601" s="847">
        <v>62803</v>
      </c>
      <c r="BI601" s="847">
        <v>64058</v>
      </c>
      <c r="BJ601" s="847">
        <v>65339</v>
      </c>
      <c r="BK601" s="847">
        <v>66645</v>
      </c>
      <c r="BL601" s="847">
        <v>67963</v>
      </c>
      <c r="BM601" s="847">
        <v>69295</v>
      </c>
      <c r="BN601" s="847">
        <v>70637</v>
      </c>
      <c r="BO601" s="847">
        <v>71991</v>
      </c>
      <c r="BP601" s="847">
        <v>73355</v>
      </c>
      <c r="BQ601" s="847">
        <v>74728</v>
      </c>
      <c r="BR601" s="847">
        <v>76109</v>
      </c>
      <c r="BS601" s="847">
        <v>77498</v>
      </c>
      <c r="BT601" s="847">
        <v>78894</v>
      </c>
      <c r="BU601" s="847">
        <v>80296</v>
      </c>
      <c r="BV601" s="847">
        <v>81703</v>
      </c>
      <c r="BW601" s="847">
        <v>83116</v>
      </c>
      <c r="BX601" s="847">
        <v>84532</v>
      </c>
      <c r="BY601" s="847">
        <v>85952</v>
      </c>
      <c r="BZ601" s="847">
        <v>87375</v>
      </c>
      <c r="CA601" s="847">
        <v>88801</v>
      </c>
      <c r="CB601" s="847">
        <v>90228</v>
      </c>
      <c r="CC601" s="847">
        <v>91657</v>
      </c>
      <c r="CD601" s="847">
        <v>93074</v>
      </c>
      <c r="CE601" s="847">
        <v>94000</v>
      </c>
      <c r="CF601" s="847">
        <v>0</v>
      </c>
      <c r="CG601" s="847">
        <v>0</v>
      </c>
      <c r="CH601" s="847">
        <v>0</v>
      </c>
      <c r="CI601" s="847">
        <v>0</v>
      </c>
      <c r="CJ601" s="847">
        <v>0</v>
      </c>
      <c r="CK601" s="847">
        <v>0</v>
      </c>
      <c r="CL601" s="847">
        <v>0</v>
      </c>
      <c r="CM601" s="847">
        <v>0</v>
      </c>
      <c r="CN601" s="847">
        <v>0</v>
      </c>
      <c r="CO601" s="847">
        <v>0</v>
      </c>
      <c r="CP601" s="847">
        <v>0</v>
      </c>
      <c r="CQ601" s="847">
        <v>0</v>
      </c>
      <c r="CR601" s="847">
        <v>0</v>
      </c>
      <c r="CS601" s="847">
        <v>0</v>
      </c>
      <c r="CT601" s="847">
        <v>0</v>
      </c>
      <c r="CU601" s="847">
        <v>0</v>
      </c>
      <c r="CV601" s="847">
        <v>0</v>
      </c>
      <c r="CW601" s="847">
        <v>0</v>
      </c>
      <c r="CX601" s="847">
        <v>0</v>
      </c>
      <c r="CY601" s="847">
        <v>0</v>
      </c>
      <c r="CZ601" s="847">
        <v>0</v>
      </c>
      <c r="DA601" s="847">
        <v>0</v>
      </c>
      <c r="DB601" s="847">
        <v>0</v>
      </c>
      <c r="DC601" s="847">
        <v>0</v>
      </c>
      <c r="DD601" s="847">
        <v>0</v>
      </c>
      <c r="DE601" s="847">
        <v>0</v>
      </c>
      <c r="DF601" s="847">
        <v>0</v>
      </c>
      <c r="DG601" s="847">
        <v>0</v>
      </c>
      <c r="DH601" s="847">
        <v>0</v>
      </c>
      <c r="DI601" s="847">
        <v>0</v>
      </c>
      <c r="DJ601" s="847">
        <v>0</v>
      </c>
      <c r="DK601" s="847">
        <v>0</v>
      </c>
      <c r="DL601" s="847">
        <v>0</v>
      </c>
      <c r="DM601" s="847">
        <v>0</v>
      </c>
      <c r="DN601" s="847">
        <v>0</v>
      </c>
      <c r="DO601" s="847">
        <v>0</v>
      </c>
      <c r="DP601" s="847">
        <v>0</v>
      </c>
      <c r="DQ601" s="847">
        <v>0</v>
      </c>
      <c r="DR601" s="847">
        <v>0</v>
      </c>
      <c r="DS601" s="847">
        <v>0</v>
      </c>
      <c r="DT601" s="847">
        <v>0</v>
      </c>
      <c r="DU601" s="847">
        <v>0</v>
      </c>
      <c r="DV601" s="847">
        <v>0</v>
      </c>
      <c r="DW601" s="847">
        <v>0</v>
      </c>
      <c r="DX601" s="847">
        <v>0</v>
      </c>
    </row>
    <row r="602" spans="12:128" hidden="1">
      <c r="L602" s="846" t="s">
        <v>1060</v>
      </c>
      <c r="M602" s="846" t="s">
        <v>1382</v>
      </c>
      <c r="N602" s="846" t="s">
        <v>97</v>
      </c>
      <c r="O602" s="847">
        <v>46</v>
      </c>
      <c r="P602" s="780" t="str">
        <f t="shared" si="19"/>
        <v>IWT060246</v>
      </c>
      <c r="Q602" s="847">
        <v>26826</v>
      </c>
      <c r="R602" s="847">
        <v>27363</v>
      </c>
      <c r="S602" s="847">
        <v>27910</v>
      </c>
      <c r="T602" s="847">
        <v>28468</v>
      </c>
      <c r="U602" s="847">
        <v>29037</v>
      </c>
      <c r="V602" s="847">
        <v>29618</v>
      </c>
      <c r="W602" s="847">
        <v>30206</v>
      </c>
      <c r="X602" s="847">
        <v>30806</v>
      </c>
      <c r="Y602" s="847">
        <v>31419</v>
      </c>
      <c r="Z602" s="847">
        <v>32046</v>
      </c>
      <c r="AA602" s="847">
        <v>32687</v>
      </c>
      <c r="AB602" s="847">
        <v>33341</v>
      </c>
      <c r="AC602" s="847">
        <v>34008</v>
      </c>
      <c r="AD602" s="847">
        <v>34688</v>
      </c>
      <c r="AE602" s="847">
        <v>35382</v>
      </c>
      <c r="AF602" s="847">
        <v>36089</v>
      </c>
      <c r="AG602" s="847">
        <v>36811</v>
      </c>
      <c r="AH602" s="847">
        <v>37547</v>
      </c>
      <c r="AI602" s="847">
        <v>38298</v>
      </c>
      <c r="AJ602" s="847">
        <v>39064</v>
      </c>
      <c r="AK602" s="847">
        <v>39845</v>
      </c>
      <c r="AL602" s="847">
        <v>40642</v>
      </c>
      <c r="AM602" s="847">
        <v>41455</v>
      </c>
      <c r="AN602" s="847">
        <v>42284</v>
      </c>
      <c r="AO602" s="847">
        <v>43130</v>
      </c>
      <c r="AP602" s="847">
        <v>43992</v>
      </c>
      <c r="AQ602" s="847">
        <v>44872</v>
      </c>
      <c r="AR602" s="847">
        <v>45770</v>
      </c>
      <c r="AS602" s="847">
        <v>46685</v>
      </c>
      <c r="AT602" s="847">
        <v>47619</v>
      </c>
      <c r="AU602" s="847">
        <v>48571</v>
      </c>
      <c r="AV602" s="847">
        <v>49542</v>
      </c>
      <c r="AW602" s="847">
        <v>50533</v>
      </c>
      <c r="AX602" s="847">
        <v>51544</v>
      </c>
      <c r="AY602" s="847">
        <v>52574</v>
      </c>
      <c r="AZ602" s="847">
        <v>53626</v>
      </c>
      <c r="BA602" s="847">
        <v>54698</v>
      </c>
      <c r="BB602" s="847">
        <v>55792</v>
      </c>
      <c r="BC602" s="847">
        <v>56908</v>
      </c>
      <c r="BD602" s="847">
        <v>58046</v>
      </c>
      <c r="BE602" s="847">
        <v>59206</v>
      </c>
      <c r="BF602" s="847">
        <v>60390</v>
      </c>
      <c r="BG602" s="847">
        <v>61598</v>
      </c>
      <c r="BH602" s="847">
        <v>62829</v>
      </c>
      <c r="BI602" s="847">
        <v>64086</v>
      </c>
      <c r="BJ602" s="847">
        <v>65367</v>
      </c>
      <c r="BK602" s="847">
        <v>66674</v>
      </c>
      <c r="BL602" s="847">
        <v>67996</v>
      </c>
      <c r="BM602" s="847">
        <v>69331</v>
      </c>
      <c r="BN602" s="847">
        <v>70677</v>
      </c>
      <c r="BO602" s="847">
        <v>72033</v>
      </c>
      <c r="BP602" s="847">
        <v>73399</v>
      </c>
      <c r="BQ602" s="847">
        <v>74774</v>
      </c>
      <c r="BR602" s="847">
        <v>76156</v>
      </c>
      <c r="BS602" s="847">
        <v>77546</v>
      </c>
      <c r="BT602" s="847">
        <v>78943</v>
      </c>
      <c r="BU602" s="847">
        <v>80345</v>
      </c>
      <c r="BV602" s="847">
        <v>81753</v>
      </c>
      <c r="BW602" s="847">
        <v>83165</v>
      </c>
      <c r="BX602" s="847">
        <v>84581</v>
      </c>
      <c r="BY602" s="847">
        <v>86000</v>
      </c>
      <c r="BZ602" s="847">
        <v>87422</v>
      </c>
      <c r="CA602" s="847">
        <v>88847</v>
      </c>
      <c r="CB602" s="847">
        <v>90272</v>
      </c>
      <c r="CC602" s="847">
        <v>91688</v>
      </c>
      <c r="CD602" s="847">
        <v>92600</v>
      </c>
      <c r="CE602" s="847">
        <v>0</v>
      </c>
      <c r="CF602" s="847">
        <v>0</v>
      </c>
      <c r="CG602" s="847">
        <v>0</v>
      </c>
      <c r="CH602" s="847">
        <v>0</v>
      </c>
      <c r="CI602" s="847">
        <v>0</v>
      </c>
      <c r="CJ602" s="847">
        <v>0</v>
      </c>
      <c r="CK602" s="847">
        <v>0</v>
      </c>
      <c r="CL602" s="847">
        <v>0</v>
      </c>
      <c r="CM602" s="847">
        <v>0</v>
      </c>
      <c r="CN602" s="847">
        <v>0</v>
      </c>
      <c r="CO602" s="847">
        <v>0</v>
      </c>
      <c r="CP602" s="847">
        <v>0</v>
      </c>
      <c r="CQ602" s="847">
        <v>0</v>
      </c>
      <c r="CR602" s="847">
        <v>0</v>
      </c>
      <c r="CS602" s="847">
        <v>0</v>
      </c>
      <c r="CT602" s="847">
        <v>0</v>
      </c>
      <c r="CU602" s="847">
        <v>0</v>
      </c>
      <c r="CV602" s="847">
        <v>0</v>
      </c>
      <c r="CW602" s="847">
        <v>0</v>
      </c>
      <c r="CX602" s="847">
        <v>0</v>
      </c>
      <c r="CY602" s="847">
        <v>0</v>
      </c>
      <c r="CZ602" s="847">
        <v>0</v>
      </c>
      <c r="DA602" s="847">
        <v>0</v>
      </c>
      <c r="DB602" s="847">
        <v>0</v>
      </c>
      <c r="DC602" s="847">
        <v>0</v>
      </c>
      <c r="DD602" s="847">
        <v>0</v>
      </c>
      <c r="DE602" s="847">
        <v>0</v>
      </c>
      <c r="DF602" s="847">
        <v>0</v>
      </c>
      <c r="DG602" s="847">
        <v>0</v>
      </c>
      <c r="DH602" s="847">
        <v>0</v>
      </c>
      <c r="DI602" s="847">
        <v>0</v>
      </c>
      <c r="DJ602" s="847">
        <v>0</v>
      </c>
      <c r="DK602" s="847">
        <v>0</v>
      </c>
      <c r="DL602" s="847">
        <v>0</v>
      </c>
      <c r="DM602" s="847">
        <v>0</v>
      </c>
      <c r="DN602" s="847">
        <v>0</v>
      </c>
      <c r="DO602" s="847">
        <v>0</v>
      </c>
      <c r="DP602" s="847">
        <v>0</v>
      </c>
      <c r="DQ602" s="847">
        <v>0</v>
      </c>
      <c r="DR602" s="847">
        <v>0</v>
      </c>
      <c r="DS602" s="847">
        <v>0</v>
      </c>
      <c r="DT602" s="847">
        <v>0</v>
      </c>
      <c r="DU602" s="847">
        <v>0</v>
      </c>
      <c r="DV602" s="847">
        <v>0</v>
      </c>
      <c r="DW602" s="847">
        <v>0</v>
      </c>
      <c r="DX602" s="847">
        <v>0</v>
      </c>
    </row>
    <row r="603" spans="12:128" hidden="1">
      <c r="L603" s="846" t="s">
        <v>1060</v>
      </c>
      <c r="M603" s="846" t="s">
        <v>1382</v>
      </c>
      <c r="N603" s="846" t="s">
        <v>97</v>
      </c>
      <c r="O603" s="847">
        <v>47</v>
      </c>
      <c r="P603" s="780" t="str">
        <f t="shared" si="19"/>
        <v>IWT060247</v>
      </c>
      <c r="Q603" s="847">
        <v>26837</v>
      </c>
      <c r="R603" s="847">
        <v>27374</v>
      </c>
      <c r="S603" s="847">
        <v>27921</v>
      </c>
      <c r="T603" s="847">
        <v>28480</v>
      </c>
      <c r="U603" s="847">
        <v>29049</v>
      </c>
      <c r="V603" s="847">
        <v>29630</v>
      </c>
      <c r="W603" s="847">
        <v>30217</v>
      </c>
      <c r="X603" s="847">
        <v>30817</v>
      </c>
      <c r="Y603" s="847">
        <v>31431</v>
      </c>
      <c r="Z603" s="847">
        <v>32058</v>
      </c>
      <c r="AA603" s="847">
        <v>32699</v>
      </c>
      <c r="AB603" s="847">
        <v>33353</v>
      </c>
      <c r="AC603" s="847">
        <v>34020</v>
      </c>
      <c r="AD603" s="847">
        <v>34701</v>
      </c>
      <c r="AE603" s="847">
        <v>35395</v>
      </c>
      <c r="AF603" s="847">
        <v>36103</v>
      </c>
      <c r="AG603" s="847">
        <v>36825</v>
      </c>
      <c r="AH603" s="847">
        <v>37561</v>
      </c>
      <c r="AI603" s="847">
        <v>38312</v>
      </c>
      <c r="AJ603" s="847">
        <v>39079</v>
      </c>
      <c r="AK603" s="847">
        <v>39860</v>
      </c>
      <c r="AL603" s="847">
        <v>40657</v>
      </c>
      <c r="AM603" s="847">
        <v>41470</v>
      </c>
      <c r="AN603" s="847">
        <v>42300</v>
      </c>
      <c r="AO603" s="847">
        <v>43146</v>
      </c>
      <c r="AP603" s="847">
        <v>44009</v>
      </c>
      <c r="AQ603" s="847">
        <v>44889</v>
      </c>
      <c r="AR603" s="847">
        <v>45786</v>
      </c>
      <c r="AS603" s="847">
        <v>46702</v>
      </c>
      <c r="AT603" s="847">
        <v>47636</v>
      </c>
      <c r="AU603" s="847">
        <v>48589</v>
      </c>
      <c r="AV603" s="847">
        <v>49560</v>
      </c>
      <c r="AW603" s="847">
        <v>50552</v>
      </c>
      <c r="AX603" s="847">
        <v>51563</v>
      </c>
      <c r="AY603" s="847">
        <v>52594</v>
      </c>
      <c r="AZ603" s="847">
        <v>53645</v>
      </c>
      <c r="BA603" s="847">
        <v>54718</v>
      </c>
      <c r="BB603" s="847">
        <v>55812</v>
      </c>
      <c r="BC603" s="847">
        <v>56928</v>
      </c>
      <c r="BD603" s="847">
        <v>58067</v>
      </c>
      <c r="BE603" s="847">
        <v>59228</v>
      </c>
      <c r="BF603" s="847">
        <v>60412</v>
      </c>
      <c r="BG603" s="847">
        <v>61620</v>
      </c>
      <c r="BH603" s="847">
        <v>62852</v>
      </c>
      <c r="BI603" s="847">
        <v>64109</v>
      </c>
      <c r="BJ603" s="847">
        <v>65391</v>
      </c>
      <c r="BK603" s="847">
        <v>66698</v>
      </c>
      <c r="BL603" s="847">
        <v>68024</v>
      </c>
      <c r="BM603" s="847">
        <v>69362</v>
      </c>
      <c r="BN603" s="847">
        <v>70711</v>
      </c>
      <c r="BO603" s="847">
        <v>72070</v>
      </c>
      <c r="BP603" s="847">
        <v>73438</v>
      </c>
      <c r="BQ603" s="847">
        <v>74815</v>
      </c>
      <c r="BR603" s="847">
        <v>76199</v>
      </c>
      <c r="BS603" s="847">
        <v>77590</v>
      </c>
      <c r="BT603" s="847">
        <v>78988</v>
      </c>
      <c r="BU603" s="847">
        <v>80391</v>
      </c>
      <c r="BV603" s="847">
        <v>81798</v>
      </c>
      <c r="BW603" s="847">
        <v>83210</v>
      </c>
      <c r="BX603" s="847">
        <v>84626</v>
      </c>
      <c r="BY603" s="847">
        <v>86044</v>
      </c>
      <c r="BZ603" s="847">
        <v>87465</v>
      </c>
      <c r="CA603" s="847">
        <v>88888</v>
      </c>
      <c r="CB603" s="847">
        <v>90301</v>
      </c>
      <c r="CC603" s="847">
        <v>91200</v>
      </c>
      <c r="CD603" s="847">
        <v>0</v>
      </c>
      <c r="CE603" s="847">
        <v>0</v>
      </c>
      <c r="CF603" s="847">
        <v>0</v>
      </c>
      <c r="CG603" s="847">
        <v>0</v>
      </c>
      <c r="CH603" s="847">
        <v>0</v>
      </c>
      <c r="CI603" s="847">
        <v>0</v>
      </c>
      <c r="CJ603" s="847">
        <v>0</v>
      </c>
      <c r="CK603" s="847">
        <v>0</v>
      </c>
      <c r="CL603" s="847">
        <v>0</v>
      </c>
      <c r="CM603" s="847">
        <v>0</v>
      </c>
      <c r="CN603" s="847">
        <v>0</v>
      </c>
      <c r="CO603" s="847">
        <v>0</v>
      </c>
      <c r="CP603" s="847">
        <v>0</v>
      </c>
      <c r="CQ603" s="847">
        <v>0</v>
      </c>
      <c r="CR603" s="847">
        <v>0</v>
      </c>
      <c r="CS603" s="847">
        <v>0</v>
      </c>
      <c r="CT603" s="847">
        <v>0</v>
      </c>
      <c r="CU603" s="847">
        <v>0</v>
      </c>
      <c r="CV603" s="847">
        <v>0</v>
      </c>
      <c r="CW603" s="847">
        <v>0</v>
      </c>
      <c r="CX603" s="847">
        <v>0</v>
      </c>
      <c r="CY603" s="847">
        <v>0</v>
      </c>
      <c r="CZ603" s="847">
        <v>0</v>
      </c>
      <c r="DA603" s="847">
        <v>0</v>
      </c>
      <c r="DB603" s="847">
        <v>0</v>
      </c>
      <c r="DC603" s="847">
        <v>0</v>
      </c>
      <c r="DD603" s="847">
        <v>0</v>
      </c>
      <c r="DE603" s="847">
        <v>0</v>
      </c>
      <c r="DF603" s="847">
        <v>0</v>
      </c>
      <c r="DG603" s="847">
        <v>0</v>
      </c>
      <c r="DH603" s="847">
        <v>0</v>
      </c>
      <c r="DI603" s="847">
        <v>0</v>
      </c>
      <c r="DJ603" s="847">
        <v>0</v>
      </c>
      <c r="DK603" s="847">
        <v>0</v>
      </c>
      <c r="DL603" s="847">
        <v>0</v>
      </c>
      <c r="DM603" s="847">
        <v>0</v>
      </c>
      <c r="DN603" s="847">
        <v>0</v>
      </c>
      <c r="DO603" s="847">
        <v>0</v>
      </c>
      <c r="DP603" s="847">
        <v>0</v>
      </c>
      <c r="DQ603" s="847">
        <v>0</v>
      </c>
      <c r="DR603" s="847">
        <v>0</v>
      </c>
      <c r="DS603" s="847">
        <v>0</v>
      </c>
      <c r="DT603" s="847">
        <v>0</v>
      </c>
      <c r="DU603" s="847">
        <v>0</v>
      </c>
      <c r="DV603" s="847">
        <v>0</v>
      </c>
      <c r="DW603" s="847">
        <v>0</v>
      </c>
      <c r="DX603" s="847">
        <v>0</v>
      </c>
    </row>
    <row r="604" spans="12:128" hidden="1">
      <c r="L604" s="846" t="s">
        <v>1060</v>
      </c>
      <c r="M604" s="846" t="s">
        <v>1382</v>
      </c>
      <c r="N604" s="846" t="s">
        <v>97</v>
      </c>
      <c r="O604" s="847">
        <v>48</v>
      </c>
      <c r="P604" s="780" t="str">
        <f t="shared" si="19"/>
        <v>IWT060248</v>
      </c>
      <c r="Q604" s="847">
        <v>26846</v>
      </c>
      <c r="R604" s="847">
        <v>27383</v>
      </c>
      <c r="S604" s="847">
        <v>27931</v>
      </c>
      <c r="T604" s="847">
        <v>28489</v>
      </c>
      <c r="U604" s="847">
        <v>29059</v>
      </c>
      <c r="V604" s="847">
        <v>29640</v>
      </c>
      <c r="W604" s="847">
        <v>30227</v>
      </c>
      <c r="X604" s="847">
        <v>30827</v>
      </c>
      <c r="Y604" s="847">
        <v>31440</v>
      </c>
      <c r="Z604" s="847">
        <v>32068</v>
      </c>
      <c r="AA604" s="847">
        <v>32709</v>
      </c>
      <c r="AB604" s="847">
        <v>33363</v>
      </c>
      <c r="AC604" s="847">
        <v>34031</v>
      </c>
      <c r="AD604" s="847">
        <v>34711</v>
      </c>
      <c r="AE604" s="847">
        <v>35406</v>
      </c>
      <c r="AF604" s="847">
        <v>36114</v>
      </c>
      <c r="AG604" s="847">
        <v>36836</v>
      </c>
      <c r="AH604" s="847">
        <v>37573</v>
      </c>
      <c r="AI604" s="847">
        <v>38324</v>
      </c>
      <c r="AJ604" s="847">
        <v>39090</v>
      </c>
      <c r="AK604" s="847">
        <v>39872</v>
      </c>
      <c r="AL604" s="847">
        <v>40670</v>
      </c>
      <c r="AM604" s="847">
        <v>41483</v>
      </c>
      <c r="AN604" s="847">
        <v>42313</v>
      </c>
      <c r="AO604" s="847">
        <v>43159</v>
      </c>
      <c r="AP604" s="847">
        <v>44022</v>
      </c>
      <c r="AQ604" s="847">
        <v>44902</v>
      </c>
      <c r="AR604" s="847">
        <v>45800</v>
      </c>
      <c r="AS604" s="847">
        <v>46716</v>
      </c>
      <c r="AT604" s="847">
        <v>47651</v>
      </c>
      <c r="AU604" s="847">
        <v>48604</v>
      </c>
      <c r="AV604" s="847">
        <v>49576</v>
      </c>
      <c r="AW604" s="847">
        <v>50567</v>
      </c>
      <c r="AX604" s="847">
        <v>51578</v>
      </c>
      <c r="AY604" s="847">
        <v>52610</v>
      </c>
      <c r="AZ604" s="847">
        <v>53662</v>
      </c>
      <c r="BA604" s="847">
        <v>54735</v>
      </c>
      <c r="BB604" s="847">
        <v>55829</v>
      </c>
      <c r="BC604" s="847">
        <v>56946</v>
      </c>
      <c r="BD604" s="847">
        <v>58084</v>
      </c>
      <c r="BE604" s="847">
        <v>59246</v>
      </c>
      <c r="BF604" s="847">
        <v>60430</v>
      </c>
      <c r="BG604" s="847">
        <v>61639</v>
      </c>
      <c r="BH604" s="847">
        <v>62871</v>
      </c>
      <c r="BI604" s="847">
        <v>64128</v>
      </c>
      <c r="BJ604" s="847">
        <v>65410</v>
      </c>
      <c r="BK604" s="847">
        <v>66718</v>
      </c>
      <c r="BL604" s="847">
        <v>68048</v>
      </c>
      <c r="BM604" s="847">
        <v>69389</v>
      </c>
      <c r="BN604" s="847">
        <v>70741</v>
      </c>
      <c r="BO604" s="847">
        <v>72103</v>
      </c>
      <c r="BP604" s="847">
        <v>73473</v>
      </c>
      <c r="BQ604" s="847">
        <v>74852</v>
      </c>
      <c r="BR604" s="847">
        <v>76238</v>
      </c>
      <c r="BS604" s="847">
        <v>77630</v>
      </c>
      <c r="BT604" s="847">
        <v>79028</v>
      </c>
      <c r="BU604" s="847">
        <v>80431</v>
      </c>
      <c r="BV604" s="847">
        <v>81839</v>
      </c>
      <c r="BW604" s="847">
        <v>83251</v>
      </c>
      <c r="BX604" s="847">
        <v>84666</v>
      </c>
      <c r="BY604" s="847">
        <v>86084</v>
      </c>
      <c r="BZ604" s="847">
        <v>87504</v>
      </c>
      <c r="CA604" s="847">
        <v>88915</v>
      </c>
      <c r="CB604" s="847">
        <v>89800</v>
      </c>
      <c r="CC604" s="847">
        <v>0</v>
      </c>
      <c r="CD604" s="847">
        <v>0</v>
      </c>
      <c r="CE604" s="847">
        <v>0</v>
      </c>
      <c r="CF604" s="847">
        <v>0</v>
      </c>
      <c r="CG604" s="847">
        <v>0</v>
      </c>
      <c r="CH604" s="847">
        <v>0</v>
      </c>
      <c r="CI604" s="847">
        <v>0</v>
      </c>
      <c r="CJ604" s="847">
        <v>0</v>
      </c>
      <c r="CK604" s="847">
        <v>0</v>
      </c>
      <c r="CL604" s="847">
        <v>0</v>
      </c>
      <c r="CM604" s="847">
        <v>0</v>
      </c>
      <c r="CN604" s="847">
        <v>0</v>
      </c>
      <c r="CO604" s="847">
        <v>0</v>
      </c>
      <c r="CP604" s="847">
        <v>0</v>
      </c>
      <c r="CQ604" s="847">
        <v>0</v>
      </c>
      <c r="CR604" s="847">
        <v>0</v>
      </c>
      <c r="CS604" s="847">
        <v>0</v>
      </c>
      <c r="CT604" s="847">
        <v>0</v>
      </c>
      <c r="CU604" s="847">
        <v>0</v>
      </c>
      <c r="CV604" s="847">
        <v>0</v>
      </c>
      <c r="CW604" s="847">
        <v>0</v>
      </c>
      <c r="CX604" s="847">
        <v>0</v>
      </c>
      <c r="CY604" s="847">
        <v>0</v>
      </c>
      <c r="CZ604" s="847">
        <v>0</v>
      </c>
      <c r="DA604" s="847">
        <v>0</v>
      </c>
      <c r="DB604" s="847">
        <v>0</v>
      </c>
      <c r="DC604" s="847">
        <v>0</v>
      </c>
      <c r="DD604" s="847">
        <v>0</v>
      </c>
      <c r="DE604" s="847">
        <v>0</v>
      </c>
      <c r="DF604" s="847">
        <v>0</v>
      </c>
      <c r="DG604" s="847">
        <v>0</v>
      </c>
      <c r="DH604" s="847">
        <v>0</v>
      </c>
      <c r="DI604" s="847">
        <v>0</v>
      </c>
      <c r="DJ604" s="847">
        <v>0</v>
      </c>
      <c r="DK604" s="847">
        <v>0</v>
      </c>
      <c r="DL604" s="847">
        <v>0</v>
      </c>
      <c r="DM604" s="847">
        <v>0</v>
      </c>
      <c r="DN604" s="847">
        <v>0</v>
      </c>
      <c r="DO604" s="847">
        <v>0</v>
      </c>
      <c r="DP604" s="847">
        <v>0</v>
      </c>
      <c r="DQ604" s="847">
        <v>0</v>
      </c>
      <c r="DR604" s="847">
        <v>0</v>
      </c>
      <c r="DS604" s="847">
        <v>0</v>
      </c>
      <c r="DT604" s="847">
        <v>0</v>
      </c>
      <c r="DU604" s="847">
        <v>0</v>
      </c>
      <c r="DV604" s="847">
        <v>0</v>
      </c>
      <c r="DW604" s="847">
        <v>0</v>
      </c>
      <c r="DX604" s="847">
        <v>0</v>
      </c>
    </row>
    <row r="605" spans="12:128" hidden="1">
      <c r="L605" s="846" t="s">
        <v>1060</v>
      </c>
      <c r="M605" s="846" t="s">
        <v>1382</v>
      </c>
      <c r="N605" s="846" t="s">
        <v>97</v>
      </c>
      <c r="O605" s="847">
        <v>49</v>
      </c>
      <c r="P605" s="780" t="str">
        <f t="shared" si="19"/>
        <v>IWT060249</v>
      </c>
      <c r="Q605" s="847">
        <v>26854</v>
      </c>
      <c r="R605" s="847">
        <v>27391</v>
      </c>
      <c r="S605" s="847">
        <v>27939</v>
      </c>
      <c r="T605" s="847">
        <v>28498</v>
      </c>
      <c r="U605" s="847">
        <v>29068</v>
      </c>
      <c r="V605" s="847">
        <v>29649</v>
      </c>
      <c r="W605" s="847">
        <v>30236</v>
      </c>
      <c r="X605" s="847">
        <v>30835</v>
      </c>
      <c r="Y605" s="847">
        <v>31449</v>
      </c>
      <c r="Z605" s="847">
        <v>32076</v>
      </c>
      <c r="AA605" s="847">
        <v>32717</v>
      </c>
      <c r="AB605" s="847">
        <v>33372</v>
      </c>
      <c r="AC605" s="847">
        <v>34039</v>
      </c>
      <c r="AD605" s="847">
        <v>34720</v>
      </c>
      <c r="AE605" s="847">
        <v>35414</v>
      </c>
      <c r="AF605" s="847">
        <v>36123</v>
      </c>
      <c r="AG605" s="847">
        <v>36845</v>
      </c>
      <c r="AH605" s="847">
        <v>37582</v>
      </c>
      <c r="AI605" s="847">
        <v>38334</v>
      </c>
      <c r="AJ605" s="847">
        <v>39100</v>
      </c>
      <c r="AK605" s="847">
        <v>39882</v>
      </c>
      <c r="AL605" s="847">
        <v>40680</v>
      </c>
      <c r="AM605" s="847">
        <v>41493</v>
      </c>
      <c r="AN605" s="847">
        <v>42323</v>
      </c>
      <c r="AO605" s="847">
        <v>43170</v>
      </c>
      <c r="AP605" s="847">
        <v>44033</v>
      </c>
      <c r="AQ605" s="847">
        <v>44914</v>
      </c>
      <c r="AR605" s="847">
        <v>45812</v>
      </c>
      <c r="AS605" s="847">
        <v>46728</v>
      </c>
      <c r="AT605" s="847">
        <v>47663</v>
      </c>
      <c r="AU605" s="847">
        <v>48616</v>
      </c>
      <c r="AV605" s="847">
        <v>49588</v>
      </c>
      <c r="AW605" s="847">
        <v>50580</v>
      </c>
      <c r="AX605" s="847">
        <v>51591</v>
      </c>
      <c r="AY605" s="847">
        <v>52623</v>
      </c>
      <c r="AZ605" s="847">
        <v>53675</v>
      </c>
      <c r="BA605" s="847">
        <v>54748</v>
      </c>
      <c r="BB605" s="847">
        <v>55843</v>
      </c>
      <c r="BC605" s="847">
        <v>56960</v>
      </c>
      <c r="BD605" s="847">
        <v>58099</v>
      </c>
      <c r="BE605" s="847">
        <v>59260</v>
      </c>
      <c r="BF605" s="847">
        <v>60445</v>
      </c>
      <c r="BG605" s="847">
        <v>61654</v>
      </c>
      <c r="BH605" s="847">
        <v>62887</v>
      </c>
      <c r="BI605" s="847">
        <v>64144</v>
      </c>
      <c r="BJ605" s="847">
        <v>65426</v>
      </c>
      <c r="BK605" s="847">
        <v>66734</v>
      </c>
      <c r="BL605" s="847">
        <v>68068</v>
      </c>
      <c r="BM605" s="847">
        <v>69413</v>
      </c>
      <c r="BN605" s="847">
        <v>70768</v>
      </c>
      <c r="BO605" s="847">
        <v>72132</v>
      </c>
      <c r="BP605" s="847">
        <v>73505</v>
      </c>
      <c r="BQ605" s="847">
        <v>74885</v>
      </c>
      <c r="BR605" s="847">
        <v>76272</v>
      </c>
      <c r="BS605" s="847">
        <v>77666</v>
      </c>
      <c r="BT605" s="847">
        <v>79064</v>
      </c>
      <c r="BU605" s="847">
        <v>80468</v>
      </c>
      <c r="BV605" s="847">
        <v>81876</v>
      </c>
      <c r="BW605" s="847">
        <v>83288</v>
      </c>
      <c r="BX605" s="847">
        <v>84703</v>
      </c>
      <c r="BY605" s="847">
        <v>86119</v>
      </c>
      <c r="BZ605" s="847">
        <v>87529</v>
      </c>
      <c r="CA605" s="847">
        <v>88400</v>
      </c>
      <c r="CB605" s="847">
        <v>0</v>
      </c>
      <c r="CC605" s="847">
        <v>0</v>
      </c>
      <c r="CD605" s="847">
        <v>0</v>
      </c>
      <c r="CE605" s="847">
        <v>0</v>
      </c>
      <c r="CF605" s="847">
        <v>0</v>
      </c>
      <c r="CG605" s="847">
        <v>0</v>
      </c>
      <c r="CH605" s="847">
        <v>0</v>
      </c>
      <c r="CI605" s="847">
        <v>0</v>
      </c>
      <c r="CJ605" s="847">
        <v>0</v>
      </c>
      <c r="CK605" s="847">
        <v>0</v>
      </c>
      <c r="CL605" s="847">
        <v>0</v>
      </c>
      <c r="CM605" s="847">
        <v>0</v>
      </c>
      <c r="CN605" s="847">
        <v>0</v>
      </c>
      <c r="CO605" s="847">
        <v>0</v>
      </c>
      <c r="CP605" s="847">
        <v>0</v>
      </c>
      <c r="CQ605" s="847">
        <v>0</v>
      </c>
      <c r="CR605" s="847">
        <v>0</v>
      </c>
      <c r="CS605" s="847">
        <v>0</v>
      </c>
      <c r="CT605" s="847">
        <v>0</v>
      </c>
      <c r="CU605" s="847">
        <v>0</v>
      </c>
      <c r="CV605" s="847">
        <v>0</v>
      </c>
      <c r="CW605" s="847">
        <v>0</v>
      </c>
      <c r="CX605" s="847">
        <v>0</v>
      </c>
      <c r="CY605" s="847">
        <v>0</v>
      </c>
      <c r="CZ605" s="847">
        <v>0</v>
      </c>
      <c r="DA605" s="847">
        <v>0</v>
      </c>
      <c r="DB605" s="847">
        <v>0</v>
      </c>
      <c r="DC605" s="847">
        <v>0</v>
      </c>
      <c r="DD605" s="847">
        <v>0</v>
      </c>
      <c r="DE605" s="847">
        <v>0</v>
      </c>
      <c r="DF605" s="847">
        <v>0</v>
      </c>
      <c r="DG605" s="847">
        <v>0</v>
      </c>
      <c r="DH605" s="847">
        <v>0</v>
      </c>
      <c r="DI605" s="847">
        <v>0</v>
      </c>
      <c r="DJ605" s="847">
        <v>0</v>
      </c>
      <c r="DK605" s="847">
        <v>0</v>
      </c>
      <c r="DL605" s="847">
        <v>0</v>
      </c>
      <c r="DM605" s="847">
        <v>0</v>
      </c>
      <c r="DN605" s="847">
        <v>0</v>
      </c>
      <c r="DO605" s="847">
        <v>0</v>
      </c>
      <c r="DP605" s="847">
        <v>0</v>
      </c>
      <c r="DQ605" s="847">
        <v>0</v>
      </c>
      <c r="DR605" s="847">
        <v>0</v>
      </c>
      <c r="DS605" s="847">
        <v>0</v>
      </c>
      <c r="DT605" s="847">
        <v>0</v>
      </c>
      <c r="DU605" s="847">
        <v>0</v>
      </c>
      <c r="DV605" s="847">
        <v>0</v>
      </c>
      <c r="DW605" s="847">
        <v>0</v>
      </c>
      <c r="DX605" s="847">
        <v>0</v>
      </c>
    </row>
    <row r="606" spans="12:128" hidden="1">
      <c r="L606" s="846" t="s">
        <v>1060</v>
      </c>
      <c r="M606" s="846" t="s">
        <v>1382</v>
      </c>
      <c r="N606" s="846" t="s">
        <v>97</v>
      </c>
      <c r="O606" s="847">
        <v>50</v>
      </c>
      <c r="P606" s="780" t="str">
        <f t="shared" ref="P606:P631" si="20">M606&amp;TEXT(N606,"00")&amp;TEXT(O606,"00")</f>
        <v>IWT060250</v>
      </c>
      <c r="Q606" s="847">
        <v>26862</v>
      </c>
      <c r="R606" s="847">
        <v>27399</v>
      </c>
      <c r="S606" s="847">
        <v>27947</v>
      </c>
      <c r="T606" s="847">
        <v>28506</v>
      </c>
      <c r="U606" s="847">
        <v>29076</v>
      </c>
      <c r="V606" s="847">
        <v>29658</v>
      </c>
      <c r="W606" s="847">
        <v>30244</v>
      </c>
      <c r="X606" s="847">
        <v>30844</v>
      </c>
      <c r="Y606" s="847">
        <v>31457</v>
      </c>
      <c r="Z606" s="847">
        <v>32084</v>
      </c>
      <c r="AA606" s="847">
        <v>32726</v>
      </c>
      <c r="AB606" s="847">
        <v>33380</v>
      </c>
      <c r="AC606" s="847">
        <v>34048</v>
      </c>
      <c r="AD606" s="847">
        <v>34729</v>
      </c>
      <c r="AE606" s="847">
        <v>35423</v>
      </c>
      <c r="AF606" s="847">
        <v>36132</v>
      </c>
      <c r="AG606" s="847">
        <v>36854</v>
      </c>
      <c r="AH606" s="847">
        <v>37591</v>
      </c>
      <c r="AI606" s="847">
        <v>38343</v>
      </c>
      <c r="AJ606" s="847">
        <v>39110</v>
      </c>
      <c r="AK606" s="847">
        <v>39892</v>
      </c>
      <c r="AL606" s="847">
        <v>40690</v>
      </c>
      <c r="AM606" s="847">
        <v>41504</v>
      </c>
      <c r="AN606" s="847">
        <v>42334</v>
      </c>
      <c r="AO606" s="847">
        <v>43180</v>
      </c>
      <c r="AP606" s="847">
        <v>44044</v>
      </c>
      <c r="AQ606" s="847">
        <v>44925</v>
      </c>
      <c r="AR606" s="847">
        <v>45823</v>
      </c>
      <c r="AS606" s="847">
        <v>46740</v>
      </c>
      <c r="AT606" s="847">
        <v>47674</v>
      </c>
      <c r="AU606" s="847">
        <v>48628</v>
      </c>
      <c r="AV606" s="847">
        <v>49600</v>
      </c>
      <c r="AW606" s="847">
        <v>50592</v>
      </c>
      <c r="AX606" s="847">
        <v>51604</v>
      </c>
      <c r="AY606" s="847">
        <v>52636</v>
      </c>
      <c r="AZ606" s="847">
        <v>53688</v>
      </c>
      <c r="BA606" s="847">
        <v>54762</v>
      </c>
      <c r="BB606" s="847">
        <v>55857</v>
      </c>
      <c r="BC606" s="847">
        <v>56974</v>
      </c>
      <c r="BD606" s="847">
        <v>58113</v>
      </c>
      <c r="BE606" s="847">
        <v>59275</v>
      </c>
      <c r="BF606" s="847">
        <v>60460</v>
      </c>
      <c r="BG606" s="847">
        <v>61669</v>
      </c>
      <c r="BH606" s="847">
        <v>62902</v>
      </c>
      <c r="BI606" s="847">
        <v>64159</v>
      </c>
      <c r="BJ606" s="847">
        <v>65442</v>
      </c>
      <c r="BK606" s="847">
        <v>66750</v>
      </c>
      <c r="BL606" s="847">
        <v>68084</v>
      </c>
      <c r="BM606" s="847">
        <v>69432</v>
      </c>
      <c r="BN606" s="847">
        <v>70790</v>
      </c>
      <c r="BO606" s="847">
        <v>72157</v>
      </c>
      <c r="BP606" s="847">
        <v>73532</v>
      </c>
      <c r="BQ606" s="847">
        <v>74914</v>
      </c>
      <c r="BR606" s="847">
        <v>76303</v>
      </c>
      <c r="BS606" s="847">
        <v>77698</v>
      </c>
      <c r="BT606" s="847">
        <v>79097</v>
      </c>
      <c r="BU606" s="847">
        <v>80501</v>
      </c>
      <c r="BV606" s="847">
        <v>81910</v>
      </c>
      <c r="BW606" s="847">
        <v>83321</v>
      </c>
      <c r="BX606" s="847">
        <v>84735</v>
      </c>
      <c r="BY606" s="847">
        <v>86143</v>
      </c>
      <c r="BZ606" s="847">
        <v>87000</v>
      </c>
      <c r="CA606" s="847">
        <v>0</v>
      </c>
      <c r="CB606" s="847">
        <v>0</v>
      </c>
      <c r="CC606" s="847">
        <v>0</v>
      </c>
      <c r="CD606" s="847">
        <v>0</v>
      </c>
      <c r="CE606" s="847">
        <v>0</v>
      </c>
      <c r="CF606" s="847">
        <v>0</v>
      </c>
      <c r="CG606" s="847">
        <v>0</v>
      </c>
      <c r="CH606" s="847">
        <v>0</v>
      </c>
      <c r="CI606" s="847">
        <v>0</v>
      </c>
      <c r="CJ606" s="847">
        <v>0</v>
      </c>
      <c r="CK606" s="847">
        <v>0</v>
      </c>
      <c r="CL606" s="847">
        <v>0</v>
      </c>
      <c r="CM606" s="847">
        <v>0</v>
      </c>
      <c r="CN606" s="847">
        <v>0</v>
      </c>
      <c r="CO606" s="847">
        <v>0</v>
      </c>
      <c r="CP606" s="847">
        <v>0</v>
      </c>
      <c r="CQ606" s="847">
        <v>0</v>
      </c>
      <c r="CR606" s="847">
        <v>0</v>
      </c>
      <c r="CS606" s="847">
        <v>0</v>
      </c>
      <c r="CT606" s="847">
        <v>0</v>
      </c>
      <c r="CU606" s="847">
        <v>0</v>
      </c>
      <c r="CV606" s="847">
        <v>0</v>
      </c>
      <c r="CW606" s="847">
        <v>0</v>
      </c>
      <c r="CX606" s="847">
        <v>0</v>
      </c>
      <c r="CY606" s="847">
        <v>0</v>
      </c>
      <c r="CZ606" s="847">
        <v>0</v>
      </c>
      <c r="DA606" s="847">
        <v>0</v>
      </c>
      <c r="DB606" s="847">
        <v>0</v>
      </c>
      <c r="DC606" s="847">
        <v>0</v>
      </c>
      <c r="DD606" s="847">
        <v>0</v>
      </c>
      <c r="DE606" s="847">
        <v>0</v>
      </c>
      <c r="DF606" s="847">
        <v>0</v>
      </c>
      <c r="DG606" s="847">
        <v>0</v>
      </c>
      <c r="DH606" s="847">
        <v>0</v>
      </c>
      <c r="DI606" s="847">
        <v>0</v>
      </c>
      <c r="DJ606" s="847">
        <v>0</v>
      </c>
      <c r="DK606" s="847">
        <v>0</v>
      </c>
      <c r="DL606" s="847">
        <v>0</v>
      </c>
      <c r="DM606" s="847">
        <v>0</v>
      </c>
      <c r="DN606" s="847">
        <v>0</v>
      </c>
      <c r="DO606" s="847">
        <v>0</v>
      </c>
      <c r="DP606" s="847">
        <v>0</v>
      </c>
      <c r="DQ606" s="847">
        <v>0</v>
      </c>
      <c r="DR606" s="847">
        <v>0</v>
      </c>
      <c r="DS606" s="847">
        <v>0</v>
      </c>
      <c r="DT606" s="847">
        <v>0</v>
      </c>
      <c r="DU606" s="847">
        <v>0</v>
      </c>
      <c r="DV606" s="847">
        <v>0</v>
      </c>
      <c r="DW606" s="847">
        <v>0</v>
      </c>
      <c r="DX606" s="847">
        <v>0</v>
      </c>
    </row>
    <row r="607" spans="12:128" hidden="1">
      <c r="L607" s="846" t="s">
        <v>1060</v>
      </c>
      <c r="M607" s="846" t="s">
        <v>1382</v>
      </c>
      <c r="N607" s="846" t="s">
        <v>97</v>
      </c>
      <c r="O607" s="847">
        <v>51</v>
      </c>
      <c r="P607" s="780" t="str">
        <f t="shared" si="20"/>
        <v>IWT060251</v>
      </c>
      <c r="Q607" s="847">
        <v>26869</v>
      </c>
      <c r="R607" s="847">
        <v>27406</v>
      </c>
      <c r="S607" s="847">
        <v>27955</v>
      </c>
      <c r="T607" s="847">
        <v>28514</v>
      </c>
      <c r="U607" s="847">
        <v>29084</v>
      </c>
      <c r="V607" s="847">
        <v>29666</v>
      </c>
      <c r="W607" s="847">
        <v>30251</v>
      </c>
      <c r="X607" s="847">
        <v>30850</v>
      </c>
      <c r="Y607" s="847">
        <v>31463</v>
      </c>
      <c r="Z607" s="847">
        <v>32091</v>
      </c>
      <c r="AA607" s="847">
        <v>32732</v>
      </c>
      <c r="AB607" s="847">
        <v>33387</v>
      </c>
      <c r="AC607" s="847">
        <v>34055</v>
      </c>
      <c r="AD607" s="847">
        <v>34736</v>
      </c>
      <c r="AE607" s="847">
        <v>35430</v>
      </c>
      <c r="AF607" s="847">
        <v>36139</v>
      </c>
      <c r="AG607" s="847">
        <v>36862</v>
      </c>
      <c r="AH607" s="847">
        <v>37599</v>
      </c>
      <c r="AI607" s="847">
        <v>38351</v>
      </c>
      <c r="AJ607" s="847">
        <v>39118</v>
      </c>
      <c r="AK607" s="847">
        <v>39900</v>
      </c>
      <c r="AL607" s="847">
        <v>40698</v>
      </c>
      <c r="AM607" s="847">
        <v>41512</v>
      </c>
      <c r="AN607" s="847">
        <v>42342</v>
      </c>
      <c r="AO607" s="847">
        <v>43189</v>
      </c>
      <c r="AP607" s="847">
        <v>44053</v>
      </c>
      <c r="AQ607" s="847">
        <v>44934</v>
      </c>
      <c r="AR607" s="847">
        <v>45833</v>
      </c>
      <c r="AS607" s="847">
        <v>46749</v>
      </c>
      <c r="AT607" s="847">
        <v>47684</v>
      </c>
      <c r="AU607" s="847">
        <v>48638</v>
      </c>
      <c r="AV607" s="847">
        <v>49610</v>
      </c>
      <c r="AW607" s="847">
        <v>50602</v>
      </c>
      <c r="AX607" s="847">
        <v>51614</v>
      </c>
      <c r="AY607" s="847">
        <v>52646</v>
      </c>
      <c r="AZ607" s="847">
        <v>53699</v>
      </c>
      <c r="BA607" s="847">
        <v>54773</v>
      </c>
      <c r="BB607" s="847">
        <v>55868</v>
      </c>
      <c r="BC607" s="847">
        <v>56985</v>
      </c>
      <c r="BD607" s="847">
        <v>58125</v>
      </c>
      <c r="BE607" s="847">
        <v>59287</v>
      </c>
      <c r="BF607" s="847">
        <v>60472</v>
      </c>
      <c r="BG607" s="847">
        <v>61681</v>
      </c>
      <c r="BH607" s="847">
        <v>62914</v>
      </c>
      <c r="BI607" s="847">
        <v>64172</v>
      </c>
      <c r="BJ607" s="847">
        <v>65455</v>
      </c>
      <c r="BK607" s="847">
        <v>66763</v>
      </c>
      <c r="BL607" s="847">
        <v>68097</v>
      </c>
      <c r="BM607" s="847">
        <v>69449</v>
      </c>
      <c r="BN607" s="847">
        <v>70810</v>
      </c>
      <c r="BO607" s="847">
        <v>72179</v>
      </c>
      <c r="BP607" s="847">
        <v>73557</v>
      </c>
      <c r="BQ607" s="847">
        <v>74941</v>
      </c>
      <c r="BR607" s="847">
        <v>76331</v>
      </c>
      <c r="BS607" s="847">
        <v>77726</v>
      </c>
      <c r="BT607" s="847">
        <v>79127</v>
      </c>
      <c r="BU607" s="847">
        <v>80531</v>
      </c>
      <c r="BV607" s="847">
        <v>81940</v>
      </c>
      <c r="BW607" s="847">
        <v>83351</v>
      </c>
      <c r="BX607" s="847">
        <v>84757</v>
      </c>
      <c r="BY607" s="847">
        <v>85600</v>
      </c>
      <c r="BZ607" s="847">
        <v>0</v>
      </c>
      <c r="CA607" s="847">
        <v>0</v>
      </c>
      <c r="CB607" s="847">
        <v>0</v>
      </c>
      <c r="CC607" s="847">
        <v>0</v>
      </c>
      <c r="CD607" s="847">
        <v>0</v>
      </c>
      <c r="CE607" s="847">
        <v>0</v>
      </c>
      <c r="CF607" s="847">
        <v>0</v>
      </c>
      <c r="CG607" s="847">
        <v>0</v>
      </c>
      <c r="CH607" s="847">
        <v>0</v>
      </c>
      <c r="CI607" s="847">
        <v>0</v>
      </c>
      <c r="CJ607" s="847">
        <v>0</v>
      </c>
      <c r="CK607" s="847">
        <v>0</v>
      </c>
      <c r="CL607" s="847">
        <v>0</v>
      </c>
      <c r="CM607" s="847">
        <v>0</v>
      </c>
      <c r="CN607" s="847">
        <v>0</v>
      </c>
      <c r="CO607" s="847">
        <v>0</v>
      </c>
      <c r="CP607" s="847">
        <v>0</v>
      </c>
      <c r="CQ607" s="847">
        <v>0</v>
      </c>
      <c r="CR607" s="847">
        <v>0</v>
      </c>
      <c r="CS607" s="847">
        <v>0</v>
      </c>
      <c r="CT607" s="847">
        <v>0</v>
      </c>
      <c r="CU607" s="847">
        <v>0</v>
      </c>
      <c r="CV607" s="847">
        <v>0</v>
      </c>
      <c r="CW607" s="847">
        <v>0</v>
      </c>
      <c r="CX607" s="847">
        <v>0</v>
      </c>
      <c r="CY607" s="847">
        <v>0</v>
      </c>
      <c r="CZ607" s="847">
        <v>0</v>
      </c>
      <c r="DA607" s="847">
        <v>0</v>
      </c>
      <c r="DB607" s="847">
        <v>0</v>
      </c>
      <c r="DC607" s="847">
        <v>0</v>
      </c>
      <c r="DD607" s="847">
        <v>0</v>
      </c>
      <c r="DE607" s="847">
        <v>0</v>
      </c>
      <c r="DF607" s="847">
        <v>0</v>
      </c>
      <c r="DG607" s="847">
        <v>0</v>
      </c>
      <c r="DH607" s="847">
        <v>0</v>
      </c>
      <c r="DI607" s="847">
        <v>0</v>
      </c>
      <c r="DJ607" s="847">
        <v>0</v>
      </c>
      <c r="DK607" s="847">
        <v>0</v>
      </c>
      <c r="DL607" s="847">
        <v>0</v>
      </c>
      <c r="DM607" s="847">
        <v>0</v>
      </c>
      <c r="DN607" s="847">
        <v>0</v>
      </c>
      <c r="DO607" s="847">
        <v>0</v>
      </c>
      <c r="DP607" s="847">
        <v>0</v>
      </c>
      <c r="DQ607" s="847">
        <v>0</v>
      </c>
      <c r="DR607" s="847">
        <v>0</v>
      </c>
      <c r="DS607" s="847">
        <v>0</v>
      </c>
      <c r="DT607" s="847">
        <v>0</v>
      </c>
      <c r="DU607" s="847">
        <v>0</v>
      </c>
      <c r="DV607" s="847">
        <v>0</v>
      </c>
      <c r="DW607" s="847">
        <v>0</v>
      </c>
      <c r="DX607" s="847">
        <v>0</v>
      </c>
    </row>
    <row r="608" spans="12:128" hidden="1">
      <c r="L608" s="846" t="s">
        <v>1060</v>
      </c>
      <c r="M608" s="846" t="s">
        <v>1382</v>
      </c>
      <c r="N608" s="846" t="s">
        <v>97</v>
      </c>
      <c r="O608" s="847">
        <v>52</v>
      </c>
      <c r="P608" s="780" t="str">
        <f t="shared" si="20"/>
        <v>IWT060252</v>
      </c>
      <c r="Q608" s="847">
        <v>26876</v>
      </c>
      <c r="R608" s="847">
        <v>27413</v>
      </c>
      <c r="S608" s="847">
        <v>27961</v>
      </c>
      <c r="T608" s="847">
        <v>28521</v>
      </c>
      <c r="U608" s="847">
        <v>29091</v>
      </c>
      <c r="V608" s="847">
        <v>29673</v>
      </c>
      <c r="W608" s="847">
        <v>30258</v>
      </c>
      <c r="X608" s="847">
        <v>30856</v>
      </c>
      <c r="Y608" s="847">
        <v>31469</v>
      </c>
      <c r="Z608" s="847">
        <v>32096</v>
      </c>
      <c r="AA608" s="847">
        <v>32738</v>
      </c>
      <c r="AB608" s="847">
        <v>33393</v>
      </c>
      <c r="AC608" s="847">
        <v>34060</v>
      </c>
      <c r="AD608" s="847">
        <v>34742</v>
      </c>
      <c r="AE608" s="847">
        <v>35437</v>
      </c>
      <c r="AF608" s="847">
        <v>36145</v>
      </c>
      <c r="AG608" s="847">
        <v>36868</v>
      </c>
      <c r="AH608" s="847">
        <v>37605</v>
      </c>
      <c r="AI608" s="847">
        <v>38358</v>
      </c>
      <c r="AJ608" s="847">
        <v>39125</v>
      </c>
      <c r="AK608" s="847">
        <v>39907</v>
      </c>
      <c r="AL608" s="847">
        <v>40705</v>
      </c>
      <c r="AM608" s="847">
        <v>41519</v>
      </c>
      <c r="AN608" s="847">
        <v>42350</v>
      </c>
      <c r="AO608" s="847">
        <v>43197</v>
      </c>
      <c r="AP608" s="847">
        <v>44060</v>
      </c>
      <c r="AQ608" s="847">
        <v>44942</v>
      </c>
      <c r="AR608" s="847">
        <v>45840</v>
      </c>
      <c r="AS608" s="847">
        <v>46757</v>
      </c>
      <c r="AT608" s="847">
        <v>47692</v>
      </c>
      <c r="AU608" s="847">
        <v>48646</v>
      </c>
      <c r="AV608" s="847">
        <v>49619</v>
      </c>
      <c r="AW608" s="847">
        <v>50611</v>
      </c>
      <c r="AX608" s="847">
        <v>51623</v>
      </c>
      <c r="AY608" s="847">
        <v>52655</v>
      </c>
      <c r="AZ608" s="847">
        <v>53708</v>
      </c>
      <c r="BA608" s="847">
        <v>54782</v>
      </c>
      <c r="BB608" s="847">
        <v>55877</v>
      </c>
      <c r="BC608" s="847">
        <v>56995</v>
      </c>
      <c r="BD608" s="847">
        <v>58134</v>
      </c>
      <c r="BE608" s="847">
        <v>59296</v>
      </c>
      <c r="BF608" s="847">
        <v>60482</v>
      </c>
      <c r="BG608" s="847">
        <v>61691</v>
      </c>
      <c r="BH608" s="847">
        <v>62924</v>
      </c>
      <c r="BI608" s="847">
        <v>64182</v>
      </c>
      <c r="BJ608" s="847">
        <v>65465</v>
      </c>
      <c r="BK608" s="847">
        <v>66773</v>
      </c>
      <c r="BL608" s="847">
        <v>68107</v>
      </c>
      <c r="BM608" s="847">
        <v>69463</v>
      </c>
      <c r="BN608" s="847">
        <v>70827</v>
      </c>
      <c r="BO608" s="847">
        <v>72199</v>
      </c>
      <c r="BP608" s="847">
        <v>73578</v>
      </c>
      <c r="BQ608" s="847">
        <v>74964</v>
      </c>
      <c r="BR608" s="847">
        <v>76355</v>
      </c>
      <c r="BS608" s="847">
        <v>77752</v>
      </c>
      <c r="BT608" s="847">
        <v>79153</v>
      </c>
      <c r="BU608" s="847">
        <v>80558</v>
      </c>
      <c r="BV608" s="847">
        <v>81967</v>
      </c>
      <c r="BW608" s="847">
        <v>83370</v>
      </c>
      <c r="BX608" s="847">
        <v>84200</v>
      </c>
      <c r="BY608" s="847">
        <v>0</v>
      </c>
      <c r="BZ608" s="847">
        <v>0</v>
      </c>
      <c r="CA608" s="847">
        <v>0</v>
      </c>
      <c r="CB608" s="847">
        <v>0</v>
      </c>
      <c r="CC608" s="847">
        <v>0</v>
      </c>
      <c r="CD608" s="847">
        <v>0</v>
      </c>
      <c r="CE608" s="847">
        <v>0</v>
      </c>
      <c r="CF608" s="847">
        <v>0</v>
      </c>
      <c r="CG608" s="847">
        <v>0</v>
      </c>
      <c r="CH608" s="847">
        <v>0</v>
      </c>
      <c r="CI608" s="847">
        <v>0</v>
      </c>
      <c r="CJ608" s="847">
        <v>0</v>
      </c>
      <c r="CK608" s="847">
        <v>0</v>
      </c>
      <c r="CL608" s="847">
        <v>0</v>
      </c>
      <c r="CM608" s="847">
        <v>0</v>
      </c>
      <c r="CN608" s="847">
        <v>0</v>
      </c>
      <c r="CO608" s="847">
        <v>0</v>
      </c>
      <c r="CP608" s="847">
        <v>0</v>
      </c>
      <c r="CQ608" s="847">
        <v>0</v>
      </c>
      <c r="CR608" s="847">
        <v>0</v>
      </c>
      <c r="CS608" s="847">
        <v>0</v>
      </c>
      <c r="CT608" s="847">
        <v>0</v>
      </c>
      <c r="CU608" s="847">
        <v>0</v>
      </c>
      <c r="CV608" s="847">
        <v>0</v>
      </c>
      <c r="CW608" s="847">
        <v>0</v>
      </c>
      <c r="CX608" s="847">
        <v>0</v>
      </c>
      <c r="CY608" s="847">
        <v>0</v>
      </c>
      <c r="CZ608" s="847">
        <v>0</v>
      </c>
      <c r="DA608" s="847">
        <v>0</v>
      </c>
      <c r="DB608" s="847">
        <v>0</v>
      </c>
      <c r="DC608" s="847">
        <v>0</v>
      </c>
      <c r="DD608" s="847">
        <v>0</v>
      </c>
      <c r="DE608" s="847">
        <v>0</v>
      </c>
      <c r="DF608" s="847">
        <v>0</v>
      </c>
      <c r="DG608" s="847">
        <v>0</v>
      </c>
      <c r="DH608" s="847">
        <v>0</v>
      </c>
      <c r="DI608" s="847">
        <v>0</v>
      </c>
      <c r="DJ608" s="847">
        <v>0</v>
      </c>
      <c r="DK608" s="847">
        <v>0</v>
      </c>
      <c r="DL608" s="847">
        <v>0</v>
      </c>
      <c r="DM608" s="847">
        <v>0</v>
      </c>
      <c r="DN608" s="847">
        <v>0</v>
      </c>
      <c r="DO608" s="847">
        <v>0</v>
      </c>
      <c r="DP608" s="847">
        <v>0</v>
      </c>
      <c r="DQ608" s="847">
        <v>0</v>
      </c>
      <c r="DR608" s="847">
        <v>0</v>
      </c>
      <c r="DS608" s="847">
        <v>0</v>
      </c>
      <c r="DT608" s="847">
        <v>0</v>
      </c>
      <c r="DU608" s="847">
        <v>0</v>
      </c>
      <c r="DV608" s="847">
        <v>0</v>
      </c>
      <c r="DW608" s="847">
        <v>0</v>
      </c>
      <c r="DX608" s="847">
        <v>0</v>
      </c>
    </row>
    <row r="609" spans="12:128" hidden="1">
      <c r="L609" s="846" t="s">
        <v>1060</v>
      </c>
      <c r="M609" s="846" t="s">
        <v>1382</v>
      </c>
      <c r="N609" s="846" t="s">
        <v>97</v>
      </c>
      <c r="O609" s="847">
        <v>53</v>
      </c>
      <c r="P609" s="780" t="str">
        <f t="shared" si="20"/>
        <v>IWT060253</v>
      </c>
      <c r="Q609" s="847">
        <v>26881</v>
      </c>
      <c r="R609" s="847">
        <v>27419</v>
      </c>
      <c r="S609" s="847">
        <v>27967</v>
      </c>
      <c r="T609" s="847">
        <v>28527</v>
      </c>
      <c r="U609" s="847">
        <v>29097</v>
      </c>
      <c r="V609" s="847">
        <v>29679</v>
      </c>
      <c r="W609" s="847">
        <v>30264</v>
      </c>
      <c r="X609" s="847">
        <v>30861</v>
      </c>
      <c r="Y609" s="847">
        <v>31473</v>
      </c>
      <c r="Z609" s="847">
        <v>32100</v>
      </c>
      <c r="AA609" s="847">
        <v>32742</v>
      </c>
      <c r="AB609" s="847">
        <v>33397</v>
      </c>
      <c r="AC609" s="847">
        <v>34065</v>
      </c>
      <c r="AD609" s="847">
        <v>34746</v>
      </c>
      <c r="AE609" s="847">
        <v>35441</v>
      </c>
      <c r="AF609" s="847">
        <v>36150</v>
      </c>
      <c r="AG609" s="847">
        <v>36873</v>
      </c>
      <c r="AH609" s="847">
        <v>37611</v>
      </c>
      <c r="AI609" s="847">
        <v>38363</v>
      </c>
      <c r="AJ609" s="847">
        <v>39130</v>
      </c>
      <c r="AK609" s="847">
        <v>39913</v>
      </c>
      <c r="AL609" s="847">
        <v>40711</v>
      </c>
      <c r="AM609" s="847">
        <v>41525</v>
      </c>
      <c r="AN609" s="847">
        <v>42355</v>
      </c>
      <c r="AO609" s="847">
        <v>43202</v>
      </c>
      <c r="AP609" s="847">
        <v>44066</v>
      </c>
      <c r="AQ609" s="847">
        <v>44948</v>
      </c>
      <c r="AR609" s="847">
        <v>45847</v>
      </c>
      <c r="AS609" s="847">
        <v>46763</v>
      </c>
      <c r="AT609" s="847">
        <v>47699</v>
      </c>
      <c r="AU609" s="847">
        <v>48652</v>
      </c>
      <c r="AV609" s="847">
        <v>49625</v>
      </c>
      <c r="AW609" s="847">
        <v>50618</v>
      </c>
      <c r="AX609" s="847">
        <v>51630</v>
      </c>
      <c r="AY609" s="847">
        <v>52662</v>
      </c>
      <c r="AZ609" s="847">
        <v>53715</v>
      </c>
      <c r="BA609" s="847">
        <v>54789</v>
      </c>
      <c r="BB609" s="847">
        <v>55885</v>
      </c>
      <c r="BC609" s="847">
        <v>57002</v>
      </c>
      <c r="BD609" s="847">
        <v>58142</v>
      </c>
      <c r="BE609" s="847">
        <v>59304</v>
      </c>
      <c r="BF609" s="847">
        <v>60490</v>
      </c>
      <c r="BG609" s="847">
        <v>61699</v>
      </c>
      <c r="BH609" s="847">
        <v>62932</v>
      </c>
      <c r="BI609" s="847">
        <v>64190</v>
      </c>
      <c r="BJ609" s="847">
        <v>65473</v>
      </c>
      <c r="BK609" s="847">
        <v>66781</v>
      </c>
      <c r="BL609" s="847">
        <v>68115</v>
      </c>
      <c r="BM609" s="847">
        <v>69474</v>
      </c>
      <c r="BN609" s="847">
        <v>70841</v>
      </c>
      <c r="BO609" s="847">
        <v>72216</v>
      </c>
      <c r="BP609" s="847">
        <v>73597</v>
      </c>
      <c r="BQ609" s="847">
        <v>74984</v>
      </c>
      <c r="BR609" s="847">
        <v>76377</v>
      </c>
      <c r="BS609" s="847">
        <v>77775</v>
      </c>
      <c r="BT609" s="847">
        <v>79177</v>
      </c>
      <c r="BU609" s="847">
        <v>80582</v>
      </c>
      <c r="BV609" s="847">
        <v>81984</v>
      </c>
      <c r="BW609" s="847">
        <v>82800</v>
      </c>
      <c r="BX609" s="847">
        <v>0</v>
      </c>
      <c r="BY609" s="847">
        <v>0</v>
      </c>
      <c r="BZ609" s="847">
        <v>0</v>
      </c>
      <c r="CA609" s="847">
        <v>0</v>
      </c>
      <c r="CB609" s="847">
        <v>0</v>
      </c>
      <c r="CC609" s="847">
        <v>0</v>
      </c>
      <c r="CD609" s="847">
        <v>0</v>
      </c>
      <c r="CE609" s="847">
        <v>0</v>
      </c>
      <c r="CF609" s="847">
        <v>0</v>
      </c>
      <c r="CG609" s="847">
        <v>0</v>
      </c>
      <c r="CH609" s="847">
        <v>0</v>
      </c>
      <c r="CI609" s="847">
        <v>0</v>
      </c>
      <c r="CJ609" s="847">
        <v>0</v>
      </c>
      <c r="CK609" s="847">
        <v>0</v>
      </c>
      <c r="CL609" s="847">
        <v>0</v>
      </c>
      <c r="CM609" s="847">
        <v>0</v>
      </c>
      <c r="CN609" s="847">
        <v>0</v>
      </c>
      <c r="CO609" s="847">
        <v>0</v>
      </c>
      <c r="CP609" s="847">
        <v>0</v>
      </c>
      <c r="CQ609" s="847">
        <v>0</v>
      </c>
      <c r="CR609" s="847">
        <v>0</v>
      </c>
      <c r="CS609" s="847">
        <v>0</v>
      </c>
      <c r="CT609" s="847">
        <v>0</v>
      </c>
      <c r="CU609" s="847">
        <v>0</v>
      </c>
      <c r="CV609" s="847">
        <v>0</v>
      </c>
      <c r="CW609" s="847">
        <v>0</v>
      </c>
      <c r="CX609" s="847">
        <v>0</v>
      </c>
      <c r="CY609" s="847">
        <v>0</v>
      </c>
      <c r="CZ609" s="847">
        <v>0</v>
      </c>
      <c r="DA609" s="847">
        <v>0</v>
      </c>
      <c r="DB609" s="847">
        <v>0</v>
      </c>
      <c r="DC609" s="847">
        <v>0</v>
      </c>
      <c r="DD609" s="847">
        <v>0</v>
      </c>
      <c r="DE609" s="847">
        <v>0</v>
      </c>
      <c r="DF609" s="847">
        <v>0</v>
      </c>
      <c r="DG609" s="847">
        <v>0</v>
      </c>
      <c r="DH609" s="847">
        <v>0</v>
      </c>
      <c r="DI609" s="847">
        <v>0</v>
      </c>
      <c r="DJ609" s="847">
        <v>0</v>
      </c>
      <c r="DK609" s="847">
        <v>0</v>
      </c>
      <c r="DL609" s="847">
        <v>0</v>
      </c>
      <c r="DM609" s="847">
        <v>0</v>
      </c>
      <c r="DN609" s="847">
        <v>0</v>
      </c>
      <c r="DO609" s="847">
        <v>0</v>
      </c>
      <c r="DP609" s="847">
        <v>0</v>
      </c>
      <c r="DQ609" s="847">
        <v>0</v>
      </c>
      <c r="DR609" s="847">
        <v>0</v>
      </c>
      <c r="DS609" s="847">
        <v>0</v>
      </c>
      <c r="DT609" s="847">
        <v>0</v>
      </c>
      <c r="DU609" s="847">
        <v>0</v>
      </c>
      <c r="DV609" s="847">
        <v>0</v>
      </c>
      <c r="DW609" s="847">
        <v>0</v>
      </c>
      <c r="DX609" s="847">
        <v>0</v>
      </c>
    </row>
    <row r="610" spans="12:128" hidden="1">
      <c r="L610" s="846" t="s">
        <v>1060</v>
      </c>
      <c r="M610" s="846" t="s">
        <v>1382</v>
      </c>
      <c r="N610" s="846" t="s">
        <v>97</v>
      </c>
      <c r="O610" s="847">
        <v>54</v>
      </c>
      <c r="P610" s="780" t="str">
        <f t="shared" si="20"/>
        <v>IWT060254</v>
      </c>
      <c r="Q610" s="847">
        <v>26887</v>
      </c>
      <c r="R610" s="847">
        <v>27425</v>
      </c>
      <c r="S610" s="847">
        <v>27973</v>
      </c>
      <c r="T610" s="847">
        <v>28533</v>
      </c>
      <c r="U610" s="847">
        <v>29103</v>
      </c>
      <c r="V610" s="847">
        <v>29685</v>
      </c>
      <c r="W610" s="847">
        <v>30269</v>
      </c>
      <c r="X610" s="847">
        <v>30866</v>
      </c>
      <c r="Y610" s="847">
        <v>31477</v>
      </c>
      <c r="Z610" s="847">
        <v>32104</v>
      </c>
      <c r="AA610" s="847">
        <v>32746</v>
      </c>
      <c r="AB610" s="847">
        <v>33401</v>
      </c>
      <c r="AC610" s="847">
        <v>34069</v>
      </c>
      <c r="AD610" s="847">
        <v>34750</v>
      </c>
      <c r="AE610" s="847">
        <v>35445</v>
      </c>
      <c r="AF610" s="847">
        <v>36154</v>
      </c>
      <c r="AG610" s="847">
        <v>36877</v>
      </c>
      <c r="AH610" s="847">
        <v>37615</v>
      </c>
      <c r="AI610" s="847">
        <v>38367</v>
      </c>
      <c r="AJ610" s="847">
        <v>39134</v>
      </c>
      <c r="AK610" s="847">
        <v>39917</v>
      </c>
      <c r="AL610" s="847">
        <v>40715</v>
      </c>
      <c r="AM610" s="847">
        <v>41530</v>
      </c>
      <c r="AN610" s="847">
        <v>42360</v>
      </c>
      <c r="AO610" s="847">
        <v>43207</v>
      </c>
      <c r="AP610" s="847">
        <v>44071</v>
      </c>
      <c r="AQ610" s="847">
        <v>44953</v>
      </c>
      <c r="AR610" s="847">
        <v>45852</v>
      </c>
      <c r="AS610" s="847">
        <v>46769</v>
      </c>
      <c r="AT610" s="847">
        <v>47704</v>
      </c>
      <c r="AU610" s="847">
        <v>48658</v>
      </c>
      <c r="AV610" s="847">
        <v>49631</v>
      </c>
      <c r="AW610" s="847">
        <v>50623</v>
      </c>
      <c r="AX610" s="847">
        <v>51635</v>
      </c>
      <c r="AY610" s="847">
        <v>52668</v>
      </c>
      <c r="AZ610" s="847">
        <v>53721</v>
      </c>
      <c r="BA610" s="847">
        <v>54795</v>
      </c>
      <c r="BB610" s="847">
        <v>55891</v>
      </c>
      <c r="BC610" s="847">
        <v>57008</v>
      </c>
      <c r="BD610" s="847">
        <v>58148</v>
      </c>
      <c r="BE610" s="847">
        <v>59310</v>
      </c>
      <c r="BF610" s="847">
        <v>60496</v>
      </c>
      <c r="BG610" s="847">
        <v>61705</v>
      </c>
      <c r="BH610" s="847">
        <v>62938</v>
      </c>
      <c r="BI610" s="847">
        <v>64196</v>
      </c>
      <c r="BJ610" s="847">
        <v>65479</v>
      </c>
      <c r="BK610" s="847">
        <v>66788</v>
      </c>
      <c r="BL610" s="847">
        <v>68122</v>
      </c>
      <c r="BM610" s="847">
        <v>69483</v>
      </c>
      <c r="BN610" s="847">
        <v>70853</v>
      </c>
      <c r="BO610" s="847">
        <v>72230</v>
      </c>
      <c r="BP610" s="847">
        <v>73613</v>
      </c>
      <c r="BQ610" s="847">
        <v>75003</v>
      </c>
      <c r="BR610" s="847">
        <v>76397</v>
      </c>
      <c r="BS610" s="847">
        <v>77796</v>
      </c>
      <c r="BT610" s="847">
        <v>79198</v>
      </c>
      <c r="BU610" s="847">
        <v>80598</v>
      </c>
      <c r="BV610" s="847">
        <v>81400</v>
      </c>
      <c r="BW610" s="847">
        <v>0</v>
      </c>
      <c r="BX610" s="847">
        <v>0</v>
      </c>
      <c r="BY610" s="847">
        <v>0</v>
      </c>
      <c r="BZ610" s="847">
        <v>0</v>
      </c>
      <c r="CA610" s="847">
        <v>0</v>
      </c>
      <c r="CB610" s="847">
        <v>0</v>
      </c>
      <c r="CC610" s="847">
        <v>0</v>
      </c>
      <c r="CD610" s="847">
        <v>0</v>
      </c>
      <c r="CE610" s="847">
        <v>0</v>
      </c>
      <c r="CF610" s="847">
        <v>0</v>
      </c>
      <c r="CG610" s="847">
        <v>0</v>
      </c>
      <c r="CH610" s="847">
        <v>0</v>
      </c>
      <c r="CI610" s="847">
        <v>0</v>
      </c>
      <c r="CJ610" s="847">
        <v>0</v>
      </c>
      <c r="CK610" s="847">
        <v>0</v>
      </c>
      <c r="CL610" s="847">
        <v>0</v>
      </c>
      <c r="CM610" s="847">
        <v>0</v>
      </c>
      <c r="CN610" s="847">
        <v>0</v>
      </c>
      <c r="CO610" s="847">
        <v>0</v>
      </c>
      <c r="CP610" s="847">
        <v>0</v>
      </c>
      <c r="CQ610" s="847">
        <v>0</v>
      </c>
      <c r="CR610" s="847">
        <v>0</v>
      </c>
      <c r="CS610" s="847">
        <v>0</v>
      </c>
      <c r="CT610" s="847">
        <v>0</v>
      </c>
      <c r="CU610" s="847">
        <v>0</v>
      </c>
      <c r="CV610" s="847">
        <v>0</v>
      </c>
      <c r="CW610" s="847">
        <v>0</v>
      </c>
      <c r="CX610" s="847">
        <v>0</v>
      </c>
      <c r="CY610" s="847">
        <v>0</v>
      </c>
      <c r="CZ610" s="847">
        <v>0</v>
      </c>
      <c r="DA610" s="847">
        <v>0</v>
      </c>
      <c r="DB610" s="847">
        <v>0</v>
      </c>
      <c r="DC610" s="847">
        <v>0</v>
      </c>
      <c r="DD610" s="847">
        <v>0</v>
      </c>
      <c r="DE610" s="847">
        <v>0</v>
      </c>
      <c r="DF610" s="847">
        <v>0</v>
      </c>
      <c r="DG610" s="847">
        <v>0</v>
      </c>
      <c r="DH610" s="847">
        <v>0</v>
      </c>
      <c r="DI610" s="847">
        <v>0</v>
      </c>
      <c r="DJ610" s="847">
        <v>0</v>
      </c>
      <c r="DK610" s="847">
        <v>0</v>
      </c>
      <c r="DL610" s="847">
        <v>0</v>
      </c>
      <c r="DM610" s="847">
        <v>0</v>
      </c>
      <c r="DN610" s="847">
        <v>0</v>
      </c>
      <c r="DO610" s="847">
        <v>0</v>
      </c>
      <c r="DP610" s="847">
        <v>0</v>
      </c>
      <c r="DQ610" s="847">
        <v>0</v>
      </c>
      <c r="DR610" s="847">
        <v>0</v>
      </c>
      <c r="DS610" s="847">
        <v>0</v>
      </c>
      <c r="DT610" s="847">
        <v>0</v>
      </c>
      <c r="DU610" s="847">
        <v>0</v>
      </c>
      <c r="DV610" s="847">
        <v>0</v>
      </c>
      <c r="DW610" s="847">
        <v>0</v>
      </c>
      <c r="DX610" s="847">
        <v>0</v>
      </c>
    </row>
    <row r="611" spans="12:128" hidden="1">
      <c r="L611" s="846" t="s">
        <v>1060</v>
      </c>
      <c r="M611" s="846" t="s">
        <v>1382</v>
      </c>
      <c r="N611" s="846" t="s">
        <v>97</v>
      </c>
      <c r="O611" s="847">
        <v>55</v>
      </c>
      <c r="P611" s="780" t="str">
        <f t="shared" si="20"/>
        <v>IWT060255</v>
      </c>
      <c r="Q611" s="847">
        <v>26893</v>
      </c>
      <c r="R611" s="847">
        <v>27431</v>
      </c>
      <c r="S611" s="847">
        <v>27980</v>
      </c>
      <c r="T611" s="847">
        <v>28539</v>
      </c>
      <c r="U611" s="847">
        <v>29110</v>
      </c>
      <c r="V611" s="847">
        <v>29692</v>
      </c>
      <c r="W611" s="847">
        <v>30275</v>
      </c>
      <c r="X611" s="847">
        <v>30871</v>
      </c>
      <c r="Y611" s="847">
        <v>31482</v>
      </c>
      <c r="Z611" s="847">
        <v>32108</v>
      </c>
      <c r="AA611" s="847">
        <v>32751</v>
      </c>
      <c r="AB611" s="847">
        <v>33406</v>
      </c>
      <c r="AC611" s="847">
        <v>34074</v>
      </c>
      <c r="AD611" s="847">
        <v>34755</v>
      </c>
      <c r="AE611" s="847">
        <v>35450</v>
      </c>
      <c r="AF611" s="847">
        <v>36159</v>
      </c>
      <c r="AG611" s="847">
        <v>36882</v>
      </c>
      <c r="AH611" s="847">
        <v>37620</v>
      </c>
      <c r="AI611" s="847">
        <v>38372</v>
      </c>
      <c r="AJ611" s="847">
        <v>39140</v>
      </c>
      <c r="AK611" s="847">
        <v>39922</v>
      </c>
      <c r="AL611" s="847">
        <v>40721</v>
      </c>
      <c r="AM611" s="847">
        <v>41535</v>
      </c>
      <c r="AN611" s="847">
        <v>42366</v>
      </c>
      <c r="AO611" s="847">
        <v>43213</v>
      </c>
      <c r="AP611" s="847">
        <v>44077</v>
      </c>
      <c r="AQ611" s="847">
        <v>44959</v>
      </c>
      <c r="AR611" s="847">
        <v>45858</v>
      </c>
      <c r="AS611" s="847">
        <v>46775</v>
      </c>
      <c r="AT611" s="847">
        <v>47710</v>
      </c>
      <c r="AU611" s="847">
        <v>48664</v>
      </c>
      <c r="AV611" s="847">
        <v>49637</v>
      </c>
      <c r="AW611" s="847">
        <v>50630</v>
      </c>
      <c r="AX611" s="847">
        <v>51642</v>
      </c>
      <c r="AY611" s="847">
        <v>52675</v>
      </c>
      <c r="AZ611" s="847">
        <v>53728</v>
      </c>
      <c r="BA611" s="847">
        <v>54802</v>
      </c>
      <c r="BB611" s="847">
        <v>55898</v>
      </c>
      <c r="BC611" s="847">
        <v>57016</v>
      </c>
      <c r="BD611" s="847">
        <v>58155</v>
      </c>
      <c r="BE611" s="847">
        <v>59318</v>
      </c>
      <c r="BF611" s="847">
        <v>60504</v>
      </c>
      <c r="BG611" s="847">
        <v>61713</v>
      </c>
      <c r="BH611" s="847">
        <v>62946</v>
      </c>
      <c r="BI611" s="847">
        <v>64204</v>
      </c>
      <c r="BJ611" s="847">
        <v>65487</v>
      </c>
      <c r="BK611" s="847">
        <v>66796</v>
      </c>
      <c r="BL611" s="847">
        <v>68130</v>
      </c>
      <c r="BM611" s="847">
        <v>69491</v>
      </c>
      <c r="BN611" s="847">
        <v>70863</v>
      </c>
      <c r="BO611" s="847">
        <v>72242</v>
      </c>
      <c r="BP611" s="847">
        <v>73628</v>
      </c>
      <c r="BQ611" s="847">
        <v>75019</v>
      </c>
      <c r="BR611" s="847">
        <v>76414</v>
      </c>
      <c r="BS611" s="847">
        <v>77814</v>
      </c>
      <c r="BT611" s="847">
        <v>79212</v>
      </c>
      <c r="BU611" s="847">
        <v>80000</v>
      </c>
      <c r="BV611" s="847">
        <v>0</v>
      </c>
      <c r="BW611" s="847">
        <v>0</v>
      </c>
      <c r="BX611" s="847">
        <v>0</v>
      </c>
      <c r="BY611" s="847">
        <v>0</v>
      </c>
      <c r="BZ611" s="847">
        <v>0</v>
      </c>
      <c r="CA611" s="847">
        <v>0</v>
      </c>
      <c r="CB611" s="847">
        <v>0</v>
      </c>
      <c r="CC611" s="847">
        <v>0</v>
      </c>
      <c r="CD611" s="847">
        <v>0</v>
      </c>
      <c r="CE611" s="847">
        <v>0</v>
      </c>
      <c r="CF611" s="847">
        <v>0</v>
      </c>
      <c r="CG611" s="847">
        <v>0</v>
      </c>
      <c r="CH611" s="847">
        <v>0</v>
      </c>
      <c r="CI611" s="847">
        <v>0</v>
      </c>
      <c r="CJ611" s="847">
        <v>0</v>
      </c>
      <c r="CK611" s="847">
        <v>0</v>
      </c>
      <c r="CL611" s="847">
        <v>0</v>
      </c>
      <c r="CM611" s="847">
        <v>0</v>
      </c>
      <c r="CN611" s="847">
        <v>0</v>
      </c>
      <c r="CO611" s="847">
        <v>0</v>
      </c>
      <c r="CP611" s="847">
        <v>0</v>
      </c>
      <c r="CQ611" s="847">
        <v>0</v>
      </c>
      <c r="CR611" s="847">
        <v>0</v>
      </c>
      <c r="CS611" s="847">
        <v>0</v>
      </c>
      <c r="CT611" s="847">
        <v>0</v>
      </c>
      <c r="CU611" s="847">
        <v>0</v>
      </c>
      <c r="CV611" s="847">
        <v>0</v>
      </c>
      <c r="CW611" s="847">
        <v>0</v>
      </c>
      <c r="CX611" s="847">
        <v>0</v>
      </c>
      <c r="CY611" s="847">
        <v>0</v>
      </c>
      <c r="CZ611" s="847">
        <v>0</v>
      </c>
      <c r="DA611" s="847">
        <v>0</v>
      </c>
      <c r="DB611" s="847">
        <v>0</v>
      </c>
      <c r="DC611" s="847">
        <v>0</v>
      </c>
      <c r="DD611" s="847">
        <v>0</v>
      </c>
      <c r="DE611" s="847">
        <v>0</v>
      </c>
      <c r="DF611" s="847">
        <v>0</v>
      </c>
      <c r="DG611" s="847">
        <v>0</v>
      </c>
      <c r="DH611" s="847">
        <v>0</v>
      </c>
      <c r="DI611" s="847">
        <v>0</v>
      </c>
      <c r="DJ611" s="847">
        <v>0</v>
      </c>
      <c r="DK611" s="847">
        <v>0</v>
      </c>
      <c r="DL611" s="847">
        <v>0</v>
      </c>
      <c r="DM611" s="847">
        <v>0</v>
      </c>
      <c r="DN611" s="847">
        <v>0</v>
      </c>
      <c r="DO611" s="847">
        <v>0</v>
      </c>
      <c r="DP611" s="847">
        <v>0</v>
      </c>
      <c r="DQ611" s="847">
        <v>0</v>
      </c>
      <c r="DR611" s="847">
        <v>0</v>
      </c>
      <c r="DS611" s="847">
        <v>0</v>
      </c>
      <c r="DT611" s="847">
        <v>0</v>
      </c>
      <c r="DU611" s="847">
        <v>0</v>
      </c>
      <c r="DV611" s="847">
        <v>0</v>
      </c>
      <c r="DW611" s="847">
        <v>0</v>
      </c>
      <c r="DX611" s="847">
        <v>0</v>
      </c>
    </row>
    <row r="612" spans="12:128" hidden="1">
      <c r="L612" s="846" t="s">
        <v>1060</v>
      </c>
      <c r="M612" s="846" t="s">
        <v>1382</v>
      </c>
      <c r="N612" s="846" t="s">
        <v>97</v>
      </c>
      <c r="O612" s="847">
        <v>56</v>
      </c>
      <c r="P612" s="780" t="str">
        <f t="shared" si="20"/>
        <v>IWT060256</v>
      </c>
      <c r="Q612" s="847">
        <v>26899</v>
      </c>
      <c r="R612" s="847">
        <v>27437</v>
      </c>
      <c r="S612" s="847">
        <v>27985</v>
      </c>
      <c r="T612" s="847">
        <v>28545</v>
      </c>
      <c r="U612" s="847">
        <v>29116</v>
      </c>
      <c r="V612" s="847">
        <v>29698</v>
      </c>
      <c r="W612" s="847">
        <v>30280</v>
      </c>
      <c r="X612" s="847">
        <v>30875</v>
      </c>
      <c r="Y612" s="847">
        <v>31486</v>
      </c>
      <c r="Z612" s="847">
        <v>32112</v>
      </c>
      <c r="AA612" s="847">
        <v>32754</v>
      </c>
      <c r="AB612" s="847">
        <v>33409</v>
      </c>
      <c r="AC612" s="847">
        <v>34077</v>
      </c>
      <c r="AD612" s="847">
        <v>34759</v>
      </c>
      <c r="AE612" s="847">
        <v>35454</v>
      </c>
      <c r="AF612" s="847">
        <v>36163</v>
      </c>
      <c r="AG612" s="847">
        <v>36886</v>
      </c>
      <c r="AH612" s="847">
        <v>37624</v>
      </c>
      <c r="AI612" s="847">
        <v>38377</v>
      </c>
      <c r="AJ612" s="847">
        <v>39144</v>
      </c>
      <c r="AK612" s="847">
        <v>39927</v>
      </c>
      <c r="AL612" s="847">
        <v>40725</v>
      </c>
      <c r="AM612" s="847">
        <v>41540</v>
      </c>
      <c r="AN612" s="847">
        <v>42370</v>
      </c>
      <c r="AO612" s="847">
        <v>43218</v>
      </c>
      <c r="AP612" s="847">
        <v>44082</v>
      </c>
      <c r="AQ612" s="847">
        <v>44964</v>
      </c>
      <c r="AR612" s="847">
        <v>45863</v>
      </c>
      <c r="AS612" s="847">
        <v>46780</v>
      </c>
      <c r="AT612" s="847">
        <v>47715</v>
      </c>
      <c r="AU612" s="847">
        <v>48669</v>
      </c>
      <c r="AV612" s="847">
        <v>49643</v>
      </c>
      <c r="AW612" s="847">
        <v>50635</v>
      </c>
      <c r="AX612" s="847">
        <v>51648</v>
      </c>
      <c r="AY612" s="847">
        <v>52680</v>
      </c>
      <c r="AZ612" s="847">
        <v>53734</v>
      </c>
      <c r="BA612" s="847">
        <v>54808</v>
      </c>
      <c r="BB612" s="847">
        <v>55904</v>
      </c>
      <c r="BC612" s="847">
        <v>57021</v>
      </c>
      <c r="BD612" s="847">
        <v>58161</v>
      </c>
      <c r="BE612" s="847">
        <v>59324</v>
      </c>
      <c r="BF612" s="847">
        <v>60509</v>
      </c>
      <c r="BG612" s="847">
        <v>61719</v>
      </c>
      <c r="BH612" s="847">
        <v>62952</v>
      </c>
      <c r="BI612" s="847">
        <v>64210</v>
      </c>
      <c r="BJ612" s="847">
        <v>65493</v>
      </c>
      <c r="BK612" s="847">
        <v>66801</v>
      </c>
      <c r="BL612" s="847">
        <v>68135</v>
      </c>
      <c r="BM612" s="847">
        <v>69496</v>
      </c>
      <c r="BN612" s="847">
        <v>70871</v>
      </c>
      <c r="BO612" s="847">
        <v>72253</v>
      </c>
      <c r="BP612" s="847">
        <v>73641</v>
      </c>
      <c r="BQ612" s="847">
        <v>75033</v>
      </c>
      <c r="BR612" s="847">
        <v>76429</v>
      </c>
      <c r="BS612" s="847">
        <v>77826</v>
      </c>
      <c r="BT612" s="847">
        <v>78600</v>
      </c>
      <c r="BU612" s="847">
        <v>0</v>
      </c>
      <c r="BV612" s="847">
        <v>0</v>
      </c>
      <c r="BW612" s="847">
        <v>0</v>
      </c>
      <c r="BX612" s="847">
        <v>0</v>
      </c>
      <c r="BY612" s="847">
        <v>0</v>
      </c>
      <c r="BZ612" s="847">
        <v>0</v>
      </c>
      <c r="CA612" s="847">
        <v>0</v>
      </c>
      <c r="CB612" s="847">
        <v>0</v>
      </c>
      <c r="CC612" s="847">
        <v>0</v>
      </c>
      <c r="CD612" s="847">
        <v>0</v>
      </c>
      <c r="CE612" s="847">
        <v>0</v>
      </c>
      <c r="CF612" s="847">
        <v>0</v>
      </c>
      <c r="CG612" s="847">
        <v>0</v>
      </c>
      <c r="CH612" s="847">
        <v>0</v>
      </c>
      <c r="CI612" s="847">
        <v>0</v>
      </c>
      <c r="CJ612" s="847">
        <v>0</v>
      </c>
      <c r="CK612" s="847">
        <v>0</v>
      </c>
      <c r="CL612" s="847">
        <v>0</v>
      </c>
      <c r="CM612" s="847">
        <v>0</v>
      </c>
      <c r="CN612" s="847">
        <v>0</v>
      </c>
      <c r="CO612" s="847">
        <v>0</v>
      </c>
      <c r="CP612" s="847">
        <v>0</v>
      </c>
      <c r="CQ612" s="847">
        <v>0</v>
      </c>
      <c r="CR612" s="847">
        <v>0</v>
      </c>
      <c r="CS612" s="847">
        <v>0</v>
      </c>
      <c r="CT612" s="847">
        <v>0</v>
      </c>
      <c r="CU612" s="847">
        <v>0</v>
      </c>
      <c r="CV612" s="847">
        <v>0</v>
      </c>
      <c r="CW612" s="847">
        <v>0</v>
      </c>
      <c r="CX612" s="847">
        <v>0</v>
      </c>
      <c r="CY612" s="847">
        <v>0</v>
      </c>
      <c r="CZ612" s="847">
        <v>0</v>
      </c>
      <c r="DA612" s="847">
        <v>0</v>
      </c>
      <c r="DB612" s="847">
        <v>0</v>
      </c>
      <c r="DC612" s="847">
        <v>0</v>
      </c>
      <c r="DD612" s="847">
        <v>0</v>
      </c>
      <c r="DE612" s="847">
        <v>0</v>
      </c>
      <c r="DF612" s="847">
        <v>0</v>
      </c>
      <c r="DG612" s="847">
        <v>0</v>
      </c>
      <c r="DH612" s="847">
        <v>0</v>
      </c>
      <c r="DI612" s="847">
        <v>0</v>
      </c>
      <c r="DJ612" s="847">
        <v>0</v>
      </c>
      <c r="DK612" s="847">
        <v>0</v>
      </c>
      <c r="DL612" s="847">
        <v>0</v>
      </c>
      <c r="DM612" s="847">
        <v>0</v>
      </c>
      <c r="DN612" s="847">
        <v>0</v>
      </c>
      <c r="DO612" s="847">
        <v>0</v>
      </c>
      <c r="DP612" s="847">
        <v>0</v>
      </c>
      <c r="DQ612" s="847">
        <v>0</v>
      </c>
      <c r="DR612" s="847">
        <v>0</v>
      </c>
      <c r="DS612" s="847">
        <v>0</v>
      </c>
      <c r="DT612" s="847">
        <v>0</v>
      </c>
      <c r="DU612" s="847">
        <v>0</v>
      </c>
      <c r="DV612" s="847">
        <v>0</v>
      </c>
      <c r="DW612" s="847">
        <v>0</v>
      </c>
      <c r="DX612" s="847">
        <v>0</v>
      </c>
    </row>
    <row r="613" spans="12:128" hidden="1">
      <c r="L613" s="846" t="s">
        <v>1060</v>
      </c>
      <c r="M613" s="846" t="s">
        <v>1382</v>
      </c>
      <c r="N613" s="846" t="s">
        <v>97</v>
      </c>
      <c r="O613" s="847">
        <v>57</v>
      </c>
      <c r="P613" s="780" t="str">
        <f t="shared" si="20"/>
        <v>IWT060257</v>
      </c>
      <c r="Q613" s="847">
        <v>26904</v>
      </c>
      <c r="R613" s="847">
        <v>27442</v>
      </c>
      <c r="S613" s="847">
        <v>27991</v>
      </c>
      <c r="T613" s="847">
        <v>28551</v>
      </c>
      <c r="U613" s="847">
        <v>29122</v>
      </c>
      <c r="V613" s="847">
        <v>29705</v>
      </c>
      <c r="W613" s="847">
        <v>30285</v>
      </c>
      <c r="X613" s="847">
        <v>30879</v>
      </c>
      <c r="Y613" s="847">
        <v>31489</v>
      </c>
      <c r="Z613" s="847">
        <v>32115</v>
      </c>
      <c r="AA613" s="847">
        <v>32757</v>
      </c>
      <c r="AB613" s="847">
        <v>33413</v>
      </c>
      <c r="AC613" s="847">
        <v>34081</v>
      </c>
      <c r="AD613" s="847">
        <v>34762</v>
      </c>
      <c r="AE613" s="847">
        <v>35458</v>
      </c>
      <c r="AF613" s="847">
        <v>36167</v>
      </c>
      <c r="AG613" s="847">
        <v>36890</v>
      </c>
      <c r="AH613" s="847">
        <v>37628</v>
      </c>
      <c r="AI613" s="847">
        <v>38380</v>
      </c>
      <c r="AJ613" s="847">
        <v>39148</v>
      </c>
      <c r="AK613" s="847">
        <v>39931</v>
      </c>
      <c r="AL613" s="847">
        <v>40729</v>
      </c>
      <c r="AM613" s="847">
        <v>41544</v>
      </c>
      <c r="AN613" s="847">
        <v>42375</v>
      </c>
      <c r="AO613" s="847">
        <v>43222</v>
      </c>
      <c r="AP613" s="847">
        <v>44086</v>
      </c>
      <c r="AQ613" s="847">
        <v>44968</v>
      </c>
      <c r="AR613" s="847">
        <v>45867</v>
      </c>
      <c r="AS613" s="847">
        <v>46784</v>
      </c>
      <c r="AT613" s="847">
        <v>47720</v>
      </c>
      <c r="AU613" s="847">
        <v>48674</v>
      </c>
      <c r="AV613" s="847">
        <v>49647</v>
      </c>
      <c r="AW613" s="847">
        <v>50640</v>
      </c>
      <c r="AX613" s="847">
        <v>51653</v>
      </c>
      <c r="AY613" s="847">
        <v>52685</v>
      </c>
      <c r="AZ613" s="847">
        <v>53739</v>
      </c>
      <c r="BA613" s="847">
        <v>54813</v>
      </c>
      <c r="BB613" s="847">
        <v>55909</v>
      </c>
      <c r="BC613" s="847">
        <v>57026</v>
      </c>
      <c r="BD613" s="847">
        <v>58166</v>
      </c>
      <c r="BE613" s="847">
        <v>59329</v>
      </c>
      <c r="BF613" s="847">
        <v>60515</v>
      </c>
      <c r="BG613" s="847">
        <v>61724</v>
      </c>
      <c r="BH613" s="847">
        <v>62957</v>
      </c>
      <c r="BI613" s="847">
        <v>64215</v>
      </c>
      <c r="BJ613" s="847">
        <v>65498</v>
      </c>
      <c r="BK613" s="847">
        <v>66806</v>
      </c>
      <c r="BL613" s="847">
        <v>68140</v>
      </c>
      <c r="BM613" s="847">
        <v>69501</v>
      </c>
      <c r="BN613" s="847">
        <v>70878</v>
      </c>
      <c r="BO613" s="847">
        <v>72262</v>
      </c>
      <c r="BP613" s="847">
        <v>73652</v>
      </c>
      <c r="BQ613" s="847">
        <v>75045</v>
      </c>
      <c r="BR613" s="847">
        <v>76439</v>
      </c>
      <c r="BS613" s="847">
        <v>77200</v>
      </c>
      <c r="BT613" s="847">
        <v>0</v>
      </c>
      <c r="BU613" s="847">
        <v>0</v>
      </c>
      <c r="BV613" s="847">
        <v>0</v>
      </c>
      <c r="BW613" s="847">
        <v>0</v>
      </c>
      <c r="BX613" s="847">
        <v>0</v>
      </c>
      <c r="BY613" s="847">
        <v>0</v>
      </c>
      <c r="BZ613" s="847">
        <v>0</v>
      </c>
      <c r="CA613" s="847">
        <v>0</v>
      </c>
      <c r="CB613" s="847">
        <v>0</v>
      </c>
      <c r="CC613" s="847">
        <v>0</v>
      </c>
      <c r="CD613" s="847">
        <v>0</v>
      </c>
      <c r="CE613" s="847">
        <v>0</v>
      </c>
      <c r="CF613" s="847">
        <v>0</v>
      </c>
      <c r="CG613" s="847">
        <v>0</v>
      </c>
      <c r="CH613" s="847">
        <v>0</v>
      </c>
      <c r="CI613" s="847">
        <v>0</v>
      </c>
      <c r="CJ613" s="847">
        <v>0</v>
      </c>
      <c r="CK613" s="847">
        <v>0</v>
      </c>
      <c r="CL613" s="847">
        <v>0</v>
      </c>
      <c r="CM613" s="847">
        <v>0</v>
      </c>
      <c r="CN613" s="847">
        <v>0</v>
      </c>
      <c r="CO613" s="847">
        <v>0</v>
      </c>
      <c r="CP613" s="847">
        <v>0</v>
      </c>
      <c r="CQ613" s="847">
        <v>0</v>
      </c>
      <c r="CR613" s="847">
        <v>0</v>
      </c>
      <c r="CS613" s="847">
        <v>0</v>
      </c>
      <c r="CT613" s="847">
        <v>0</v>
      </c>
      <c r="CU613" s="847">
        <v>0</v>
      </c>
      <c r="CV613" s="847">
        <v>0</v>
      </c>
      <c r="CW613" s="847">
        <v>0</v>
      </c>
      <c r="CX613" s="847">
        <v>0</v>
      </c>
      <c r="CY613" s="847">
        <v>0</v>
      </c>
      <c r="CZ613" s="847">
        <v>0</v>
      </c>
      <c r="DA613" s="847">
        <v>0</v>
      </c>
      <c r="DB613" s="847">
        <v>0</v>
      </c>
      <c r="DC613" s="847">
        <v>0</v>
      </c>
      <c r="DD613" s="847">
        <v>0</v>
      </c>
      <c r="DE613" s="847">
        <v>0</v>
      </c>
      <c r="DF613" s="847">
        <v>0</v>
      </c>
      <c r="DG613" s="847">
        <v>0</v>
      </c>
      <c r="DH613" s="847">
        <v>0</v>
      </c>
      <c r="DI613" s="847">
        <v>0</v>
      </c>
      <c r="DJ613" s="847">
        <v>0</v>
      </c>
      <c r="DK613" s="847">
        <v>0</v>
      </c>
      <c r="DL613" s="847">
        <v>0</v>
      </c>
      <c r="DM613" s="847">
        <v>0</v>
      </c>
      <c r="DN613" s="847">
        <v>0</v>
      </c>
      <c r="DO613" s="847">
        <v>0</v>
      </c>
      <c r="DP613" s="847">
        <v>0</v>
      </c>
      <c r="DQ613" s="847">
        <v>0</v>
      </c>
      <c r="DR613" s="847">
        <v>0</v>
      </c>
      <c r="DS613" s="847">
        <v>0</v>
      </c>
      <c r="DT613" s="847">
        <v>0</v>
      </c>
      <c r="DU613" s="847">
        <v>0</v>
      </c>
      <c r="DV613" s="847">
        <v>0</v>
      </c>
      <c r="DW613" s="847">
        <v>0</v>
      </c>
      <c r="DX613" s="847">
        <v>0</v>
      </c>
    </row>
    <row r="614" spans="12:128" hidden="1">
      <c r="L614" s="846" t="s">
        <v>1060</v>
      </c>
      <c r="M614" s="846" t="s">
        <v>1382</v>
      </c>
      <c r="N614" s="846" t="s">
        <v>97</v>
      </c>
      <c r="O614" s="847">
        <v>58</v>
      </c>
      <c r="P614" s="780" t="str">
        <f t="shared" si="20"/>
        <v>IWT060258</v>
      </c>
      <c r="Q614" s="847">
        <v>26910</v>
      </c>
      <c r="R614" s="847">
        <v>27448</v>
      </c>
      <c r="S614" s="847">
        <v>27997</v>
      </c>
      <c r="T614" s="847">
        <v>28557</v>
      </c>
      <c r="U614" s="847">
        <v>29128</v>
      </c>
      <c r="V614" s="847">
        <v>29711</v>
      </c>
      <c r="W614" s="847">
        <v>30290</v>
      </c>
      <c r="X614" s="847">
        <v>30883</v>
      </c>
      <c r="Y614" s="847">
        <v>31492</v>
      </c>
      <c r="Z614" s="847">
        <v>32118</v>
      </c>
      <c r="AA614" s="847">
        <v>32760</v>
      </c>
      <c r="AB614" s="847">
        <v>33415</v>
      </c>
      <c r="AC614" s="847">
        <v>34084</v>
      </c>
      <c r="AD614" s="847">
        <v>34765</v>
      </c>
      <c r="AE614" s="847">
        <v>35461</v>
      </c>
      <c r="AF614" s="847">
        <v>36170</v>
      </c>
      <c r="AG614" s="847">
        <v>36893</v>
      </c>
      <c r="AH614" s="847">
        <v>37631</v>
      </c>
      <c r="AI614" s="847">
        <v>38384</v>
      </c>
      <c r="AJ614" s="847">
        <v>39151</v>
      </c>
      <c r="AK614" s="847">
        <v>39934</v>
      </c>
      <c r="AL614" s="847">
        <v>40733</v>
      </c>
      <c r="AM614" s="847">
        <v>41547</v>
      </c>
      <c r="AN614" s="847">
        <v>42378</v>
      </c>
      <c r="AO614" s="847">
        <v>43226</v>
      </c>
      <c r="AP614" s="847">
        <v>44090</v>
      </c>
      <c r="AQ614" s="847">
        <v>44972</v>
      </c>
      <c r="AR614" s="847">
        <v>45871</v>
      </c>
      <c r="AS614" s="847">
        <v>46788</v>
      </c>
      <c r="AT614" s="847">
        <v>47724</v>
      </c>
      <c r="AU614" s="847">
        <v>48678</v>
      </c>
      <c r="AV614" s="847">
        <v>49651</v>
      </c>
      <c r="AW614" s="847">
        <v>50644</v>
      </c>
      <c r="AX614" s="847">
        <v>51657</v>
      </c>
      <c r="AY614" s="847">
        <v>52690</v>
      </c>
      <c r="AZ614" s="847">
        <v>53743</v>
      </c>
      <c r="BA614" s="847">
        <v>54817</v>
      </c>
      <c r="BB614" s="847">
        <v>55913</v>
      </c>
      <c r="BC614" s="847">
        <v>57031</v>
      </c>
      <c r="BD614" s="847">
        <v>58171</v>
      </c>
      <c r="BE614" s="847">
        <v>59333</v>
      </c>
      <c r="BF614" s="847">
        <v>60519</v>
      </c>
      <c r="BG614" s="847">
        <v>61728</v>
      </c>
      <c r="BH614" s="847">
        <v>62961</v>
      </c>
      <c r="BI614" s="847">
        <v>64219</v>
      </c>
      <c r="BJ614" s="847">
        <v>65502</v>
      </c>
      <c r="BK614" s="847">
        <v>66810</v>
      </c>
      <c r="BL614" s="847">
        <v>68144</v>
      </c>
      <c r="BM614" s="847">
        <v>69504</v>
      </c>
      <c r="BN614" s="847">
        <v>70884</v>
      </c>
      <c r="BO614" s="847">
        <v>72270</v>
      </c>
      <c r="BP614" s="847">
        <v>73661</v>
      </c>
      <c r="BQ614" s="847">
        <v>75053</v>
      </c>
      <c r="BR614" s="847">
        <v>75800</v>
      </c>
      <c r="BS614" s="847">
        <v>0</v>
      </c>
      <c r="BT614" s="847">
        <v>0</v>
      </c>
      <c r="BU614" s="847">
        <v>0</v>
      </c>
      <c r="BV614" s="847">
        <v>0</v>
      </c>
      <c r="BW614" s="847">
        <v>0</v>
      </c>
      <c r="BX614" s="847">
        <v>0</v>
      </c>
      <c r="BY614" s="847">
        <v>0</v>
      </c>
      <c r="BZ614" s="847">
        <v>0</v>
      </c>
      <c r="CA614" s="847">
        <v>0</v>
      </c>
      <c r="CB614" s="847">
        <v>0</v>
      </c>
      <c r="CC614" s="847">
        <v>0</v>
      </c>
      <c r="CD614" s="847">
        <v>0</v>
      </c>
      <c r="CE614" s="847">
        <v>0</v>
      </c>
      <c r="CF614" s="847">
        <v>0</v>
      </c>
      <c r="CG614" s="847">
        <v>0</v>
      </c>
      <c r="CH614" s="847">
        <v>0</v>
      </c>
      <c r="CI614" s="847">
        <v>0</v>
      </c>
      <c r="CJ614" s="847">
        <v>0</v>
      </c>
      <c r="CK614" s="847">
        <v>0</v>
      </c>
      <c r="CL614" s="847">
        <v>0</v>
      </c>
      <c r="CM614" s="847">
        <v>0</v>
      </c>
      <c r="CN614" s="847">
        <v>0</v>
      </c>
      <c r="CO614" s="847">
        <v>0</v>
      </c>
      <c r="CP614" s="847">
        <v>0</v>
      </c>
      <c r="CQ614" s="847">
        <v>0</v>
      </c>
      <c r="CR614" s="847">
        <v>0</v>
      </c>
      <c r="CS614" s="847">
        <v>0</v>
      </c>
      <c r="CT614" s="847">
        <v>0</v>
      </c>
      <c r="CU614" s="847">
        <v>0</v>
      </c>
      <c r="CV614" s="847">
        <v>0</v>
      </c>
      <c r="CW614" s="847">
        <v>0</v>
      </c>
      <c r="CX614" s="847">
        <v>0</v>
      </c>
      <c r="CY614" s="847">
        <v>0</v>
      </c>
      <c r="CZ614" s="847">
        <v>0</v>
      </c>
      <c r="DA614" s="847">
        <v>0</v>
      </c>
      <c r="DB614" s="847">
        <v>0</v>
      </c>
      <c r="DC614" s="847">
        <v>0</v>
      </c>
      <c r="DD614" s="847">
        <v>0</v>
      </c>
      <c r="DE614" s="847">
        <v>0</v>
      </c>
      <c r="DF614" s="847">
        <v>0</v>
      </c>
      <c r="DG614" s="847">
        <v>0</v>
      </c>
      <c r="DH614" s="847">
        <v>0</v>
      </c>
      <c r="DI614" s="847">
        <v>0</v>
      </c>
      <c r="DJ614" s="847">
        <v>0</v>
      </c>
      <c r="DK614" s="847">
        <v>0</v>
      </c>
      <c r="DL614" s="847">
        <v>0</v>
      </c>
      <c r="DM614" s="847">
        <v>0</v>
      </c>
      <c r="DN614" s="847">
        <v>0</v>
      </c>
      <c r="DO614" s="847">
        <v>0</v>
      </c>
      <c r="DP614" s="847">
        <v>0</v>
      </c>
      <c r="DQ614" s="847">
        <v>0</v>
      </c>
      <c r="DR614" s="847">
        <v>0</v>
      </c>
      <c r="DS614" s="847">
        <v>0</v>
      </c>
      <c r="DT614" s="847">
        <v>0</v>
      </c>
      <c r="DU614" s="847">
        <v>0</v>
      </c>
      <c r="DV614" s="847">
        <v>0</v>
      </c>
      <c r="DW614" s="847">
        <v>0</v>
      </c>
      <c r="DX614" s="847">
        <v>0</v>
      </c>
    </row>
    <row r="615" spans="12:128" hidden="1">
      <c r="L615" s="846" t="s">
        <v>1060</v>
      </c>
      <c r="M615" s="846" t="s">
        <v>1382</v>
      </c>
      <c r="N615" s="846" t="s">
        <v>97</v>
      </c>
      <c r="O615" s="847">
        <v>59</v>
      </c>
      <c r="P615" s="780" t="str">
        <f t="shared" si="20"/>
        <v>IWT060259</v>
      </c>
      <c r="Q615" s="847">
        <v>26916</v>
      </c>
      <c r="R615" s="847">
        <v>27455</v>
      </c>
      <c r="S615" s="847">
        <v>28004</v>
      </c>
      <c r="T615" s="847">
        <v>28564</v>
      </c>
      <c r="U615" s="847">
        <v>29135</v>
      </c>
      <c r="V615" s="847">
        <v>29718</v>
      </c>
      <c r="W615" s="847">
        <v>30296</v>
      </c>
      <c r="X615" s="847">
        <v>30888</v>
      </c>
      <c r="Y615" s="847">
        <v>31496</v>
      </c>
      <c r="Z615" s="847">
        <v>32121</v>
      </c>
      <c r="AA615" s="847">
        <v>32763</v>
      </c>
      <c r="AB615" s="847">
        <v>33418</v>
      </c>
      <c r="AC615" s="847">
        <v>34087</v>
      </c>
      <c r="AD615" s="847">
        <v>34768</v>
      </c>
      <c r="AE615" s="847">
        <v>35464</v>
      </c>
      <c r="AF615" s="847">
        <v>36173</v>
      </c>
      <c r="AG615" s="847">
        <v>36896</v>
      </c>
      <c r="AH615" s="847">
        <v>37634</v>
      </c>
      <c r="AI615" s="847">
        <v>38387</v>
      </c>
      <c r="AJ615" s="847">
        <v>39154</v>
      </c>
      <c r="AK615" s="847">
        <v>39937</v>
      </c>
      <c r="AL615" s="847">
        <v>40736</v>
      </c>
      <c r="AM615" s="847">
        <v>41551</v>
      </c>
      <c r="AN615" s="847">
        <v>42382</v>
      </c>
      <c r="AO615" s="847">
        <v>43229</v>
      </c>
      <c r="AP615" s="847">
        <v>44094</v>
      </c>
      <c r="AQ615" s="847">
        <v>44975</v>
      </c>
      <c r="AR615" s="847">
        <v>45875</v>
      </c>
      <c r="AS615" s="847">
        <v>46792</v>
      </c>
      <c r="AT615" s="847">
        <v>47728</v>
      </c>
      <c r="AU615" s="847">
        <v>48682</v>
      </c>
      <c r="AV615" s="847">
        <v>49655</v>
      </c>
      <c r="AW615" s="847">
        <v>50648</v>
      </c>
      <c r="AX615" s="847">
        <v>51661</v>
      </c>
      <c r="AY615" s="847">
        <v>52694</v>
      </c>
      <c r="AZ615" s="847">
        <v>53747</v>
      </c>
      <c r="BA615" s="847">
        <v>54821</v>
      </c>
      <c r="BB615" s="847">
        <v>55917</v>
      </c>
      <c r="BC615" s="847">
        <v>57035</v>
      </c>
      <c r="BD615" s="847">
        <v>58175</v>
      </c>
      <c r="BE615" s="847">
        <v>59337</v>
      </c>
      <c r="BF615" s="847">
        <v>60523</v>
      </c>
      <c r="BG615" s="847">
        <v>61732</v>
      </c>
      <c r="BH615" s="847">
        <v>62965</v>
      </c>
      <c r="BI615" s="847">
        <v>64223</v>
      </c>
      <c r="BJ615" s="847">
        <v>65505</v>
      </c>
      <c r="BK615" s="847">
        <v>66813</v>
      </c>
      <c r="BL615" s="847">
        <v>68146</v>
      </c>
      <c r="BM615" s="847">
        <v>69506</v>
      </c>
      <c r="BN615" s="847">
        <v>70889</v>
      </c>
      <c r="BO615" s="847">
        <v>72277</v>
      </c>
      <c r="BP615" s="847">
        <v>73667</v>
      </c>
      <c r="BQ615" s="847">
        <v>74400</v>
      </c>
      <c r="BR615" s="847">
        <v>0</v>
      </c>
      <c r="BS615" s="847">
        <v>0</v>
      </c>
      <c r="BT615" s="847">
        <v>0</v>
      </c>
      <c r="BU615" s="847">
        <v>0</v>
      </c>
      <c r="BV615" s="847">
        <v>0</v>
      </c>
      <c r="BW615" s="847">
        <v>0</v>
      </c>
      <c r="BX615" s="847">
        <v>0</v>
      </c>
      <c r="BY615" s="847">
        <v>0</v>
      </c>
      <c r="BZ615" s="847">
        <v>0</v>
      </c>
      <c r="CA615" s="847">
        <v>0</v>
      </c>
      <c r="CB615" s="847">
        <v>0</v>
      </c>
      <c r="CC615" s="847">
        <v>0</v>
      </c>
      <c r="CD615" s="847">
        <v>0</v>
      </c>
      <c r="CE615" s="847">
        <v>0</v>
      </c>
      <c r="CF615" s="847">
        <v>0</v>
      </c>
      <c r="CG615" s="847">
        <v>0</v>
      </c>
      <c r="CH615" s="847">
        <v>0</v>
      </c>
      <c r="CI615" s="847">
        <v>0</v>
      </c>
      <c r="CJ615" s="847">
        <v>0</v>
      </c>
      <c r="CK615" s="847">
        <v>0</v>
      </c>
      <c r="CL615" s="847">
        <v>0</v>
      </c>
      <c r="CM615" s="847">
        <v>0</v>
      </c>
      <c r="CN615" s="847">
        <v>0</v>
      </c>
      <c r="CO615" s="847">
        <v>0</v>
      </c>
      <c r="CP615" s="847">
        <v>0</v>
      </c>
      <c r="CQ615" s="847">
        <v>0</v>
      </c>
      <c r="CR615" s="847">
        <v>0</v>
      </c>
      <c r="CS615" s="847">
        <v>0</v>
      </c>
      <c r="CT615" s="847">
        <v>0</v>
      </c>
      <c r="CU615" s="847">
        <v>0</v>
      </c>
      <c r="CV615" s="847">
        <v>0</v>
      </c>
      <c r="CW615" s="847">
        <v>0</v>
      </c>
      <c r="CX615" s="847">
        <v>0</v>
      </c>
      <c r="CY615" s="847">
        <v>0</v>
      </c>
      <c r="CZ615" s="847">
        <v>0</v>
      </c>
      <c r="DA615" s="847">
        <v>0</v>
      </c>
      <c r="DB615" s="847">
        <v>0</v>
      </c>
      <c r="DC615" s="847">
        <v>0</v>
      </c>
      <c r="DD615" s="847">
        <v>0</v>
      </c>
      <c r="DE615" s="847">
        <v>0</v>
      </c>
      <c r="DF615" s="847">
        <v>0</v>
      </c>
      <c r="DG615" s="847">
        <v>0</v>
      </c>
      <c r="DH615" s="847">
        <v>0</v>
      </c>
      <c r="DI615" s="847">
        <v>0</v>
      </c>
      <c r="DJ615" s="847">
        <v>0</v>
      </c>
      <c r="DK615" s="847">
        <v>0</v>
      </c>
      <c r="DL615" s="847">
        <v>0</v>
      </c>
      <c r="DM615" s="847">
        <v>0</v>
      </c>
      <c r="DN615" s="847">
        <v>0</v>
      </c>
      <c r="DO615" s="847">
        <v>0</v>
      </c>
      <c r="DP615" s="847">
        <v>0</v>
      </c>
      <c r="DQ615" s="847">
        <v>0</v>
      </c>
      <c r="DR615" s="847">
        <v>0</v>
      </c>
      <c r="DS615" s="847">
        <v>0</v>
      </c>
      <c r="DT615" s="847">
        <v>0</v>
      </c>
      <c r="DU615" s="847">
        <v>0</v>
      </c>
      <c r="DV615" s="847">
        <v>0</v>
      </c>
      <c r="DW615" s="847">
        <v>0</v>
      </c>
      <c r="DX615" s="847">
        <v>0</v>
      </c>
    </row>
    <row r="616" spans="12:128" hidden="1">
      <c r="L616" s="846" t="s">
        <v>1060</v>
      </c>
      <c r="M616" s="846" t="s">
        <v>1382</v>
      </c>
      <c r="N616" s="846" t="s">
        <v>97</v>
      </c>
      <c r="O616" s="847">
        <v>60</v>
      </c>
      <c r="P616" s="780" t="str">
        <f t="shared" si="20"/>
        <v>IWT060260</v>
      </c>
      <c r="Q616" s="847">
        <v>26923</v>
      </c>
      <c r="R616" s="847">
        <v>27462</v>
      </c>
      <c r="S616" s="847">
        <v>28011</v>
      </c>
      <c r="T616" s="847">
        <v>28571</v>
      </c>
      <c r="U616" s="847">
        <v>29143</v>
      </c>
      <c r="V616" s="847">
        <v>29725</v>
      </c>
      <c r="W616" s="847">
        <v>30301</v>
      </c>
      <c r="X616" s="847">
        <v>30892</v>
      </c>
      <c r="Y616" s="847">
        <v>31498</v>
      </c>
      <c r="Z616" s="847">
        <v>32123</v>
      </c>
      <c r="AA616" s="847">
        <v>32765</v>
      </c>
      <c r="AB616" s="847">
        <v>33421</v>
      </c>
      <c r="AC616" s="847">
        <v>34089</v>
      </c>
      <c r="AD616" s="847">
        <v>34771</v>
      </c>
      <c r="AE616" s="847">
        <v>35466</v>
      </c>
      <c r="AF616" s="847">
        <v>36175</v>
      </c>
      <c r="AG616" s="847">
        <v>36899</v>
      </c>
      <c r="AH616" s="847">
        <v>37637</v>
      </c>
      <c r="AI616" s="847">
        <v>38389</v>
      </c>
      <c r="AJ616" s="847">
        <v>39157</v>
      </c>
      <c r="AK616" s="847">
        <v>39940</v>
      </c>
      <c r="AL616" s="847">
        <v>40739</v>
      </c>
      <c r="AM616" s="847">
        <v>41554</v>
      </c>
      <c r="AN616" s="847">
        <v>42384</v>
      </c>
      <c r="AO616" s="847">
        <v>43232</v>
      </c>
      <c r="AP616" s="847">
        <v>44097</v>
      </c>
      <c r="AQ616" s="847">
        <v>44978</v>
      </c>
      <c r="AR616" s="847">
        <v>45878</v>
      </c>
      <c r="AS616" s="847">
        <v>46795</v>
      </c>
      <c r="AT616" s="847">
        <v>47731</v>
      </c>
      <c r="AU616" s="847">
        <v>48685</v>
      </c>
      <c r="AV616" s="847">
        <v>49658</v>
      </c>
      <c r="AW616" s="847">
        <v>50651</v>
      </c>
      <c r="AX616" s="847">
        <v>51664</v>
      </c>
      <c r="AY616" s="847">
        <v>52697</v>
      </c>
      <c r="AZ616" s="847">
        <v>53750</v>
      </c>
      <c r="BA616" s="847">
        <v>54825</v>
      </c>
      <c r="BB616" s="847">
        <v>55920</v>
      </c>
      <c r="BC616" s="847">
        <v>57038</v>
      </c>
      <c r="BD616" s="847">
        <v>58178</v>
      </c>
      <c r="BE616" s="847">
        <v>59340</v>
      </c>
      <c r="BF616" s="847">
        <v>60526</v>
      </c>
      <c r="BG616" s="847">
        <v>61735</v>
      </c>
      <c r="BH616" s="847">
        <v>62968</v>
      </c>
      <c r="BI616" s="847">
        <v>64226</v>
      </c>
      <c r="BJ616" s="847">
        <v>65508</v>
      </c>
      <c r="BK616" s="847">
        <v>66815</v>
      </c>
      <c r="BL616" s="847">
        <v>68148</v>
      </c>
      <c r="BM616" s="847">
        <v>69507</v>
      </c>
      <c r="BN616" s="847">
        <v>70892</v>
      </c>
      <c r="BO616" s="847">
        <v>72281</v>
      </c>
      <c r="BP616" s="847">
        <v>73000</v>
      </c>
      <c r="BQ616" s="847">
        <v>0</v>
      </c>
      <c r="BR616" s="847">
        <v>0</v>
      </c>
      <c r="BS616" s="847">
        <v>0</v>
      </c>
      <c r="BT616" s="847">
        <v>0</v>
      </c>
      <c r="BU616" s="847">
        <v>0</v>
      </c>
      <c r="BV616" s="847">
        <v>0</v>
      </c>
      <c r="BW616" s="847">
        <v>0</v>
      </c>
      <c r="BX616" s="847">
        <v>0</v>
      </c>
      <c r="BY616" s="847">
        <v>0</v>
      </c>
      <c r="BZ616" s="847">
        <v>0</v>
      </c>
      <c r="CA616" s="847">
        <v>0</v>
      </c>
      <c r="CB616" s="847">
        <v>0</v>
      </c>
      <c r="CC616" s="847">
        <v>0</v>
      </c>
      <c r="CD616" s="847">
        <v>0</v>
      </c>
      <c r="CE616" s="847">
        <v>0</v>
      </c>
      <c r="CF616" s="847">
        <v>0</v>
      </c>
      <c r="CG616" s="847">
        <v>0</v>
      </c>
      <c r="CH616" s="847">
        <v>0</v>
      </c>
      <c r="CI616" s="847">
        <v>0</v>
      </c>
      <c r="CJ616" s="847">
        <v>0</v>
      </c>
      <c r="CK616" s="847">
        <v>0</v>
      </c>
      <c r="CL616" s="847">
        <v>0</v>
      </c>
      <c r="CM616" s="847">
        <v>0</v>
      </c>
      <c r="CN616" s="847">
        <v>0</v>
      </c>
      <c r="CO616" s="847">
        <v>0</v>
      </c>
      <c r="CP616" s="847">
        <v>0</v>
      </c>
      <c r="CQ616" s="847">
        <v>0</v>
      </c>
      <c r="CR616" s="847">
        <v>0</v>
      </c>
      <c r="CS616" s="847">
        <v>0</v>
      </c>
      <c r="CT616" s="847">
        <v>0</v>
      </c>
      <c r="CU616" s="847">
        <v>0</v>
      </c>
      <c r="CV616" s="847">
        <v>0</v>
      </c>
      <c r="CW616" s="847">
        <v>0</v>
      </c>
      <c r="CX616" s="847">
        <v>0</v>
      </c>
      <c r="CY616" s="847">
        <v>0</v>
      </c>
      <c r="CZ616" s="847">
        <v>0</v>
      </c>
      <c r="DA616" s="847">
        <v>0</v>
      </c>
      <c r="DB616" s="847">
        <v>0</v>
      </c>
      <c r="DC616" s="847">
        <v>0</v>
      </c>
      <c r="DD616" s="847">
        <v>0</v>
      </c>
      <c r="DE616" s="847">
        <v>0</v>
      </c>
      <c r="DF616" s="847">
        <v>0</v>
      </c>
      <c r="DG616" s="847">
        <v>0</v>
      </c>
      <c r="DH616" s="847">
        <v>0</v>
      </c>
      <c r="DI616" s="847">
        <v>0</v>
      </c>
      <c r="DJ616" s="847">
        <v>0</v>
      </c>
      <c r="DK616" s="847">
        <v>0</v>
      </c>
      <c r="DL616" s="847">
        <v>0</v>
      </c>
      <c r="DM616" s="847">
        <v>0</v>
      </c>
      <c r="DN616" s="847">
        <v>0</v>
      </c>
      <c r="DO616" s="847">
        <v>0</v>
      </c>
      <c r="DP616" s="847">
        <v>0</v>
      </c>
      <c r="DQ616" s="847">
        <v>0</v>
      </c>
      <c r="DR616" s="847">
        <v>0</v>
      </c>
      <c r="DS616" s="847">
        <v>0</v>
      </c>
      <c r="DT616" s="847">
        <v>0</v>
      </c>
      <c r="DU616" s="847">
        <v>0</v>
      </c>
      <c r="DV616" s="847">
        <v>0</v>
      </c>
      <c r="DW616" s="847">
        <v>0</v>
      </c>
      <c r="DX616" s="847">
        <v>0</v>
      </c>
    </row>
    <row r="617" spans="12:128" hidden="1">
      <c r="L617" s="846" t="s">
        <v>1060</v>
      </c>
      <c r="M617" s="846" t="s">
        <v>1382</v>
      </c>
      <c r="N617" s="846" t="s">
        <v>97</v>
      </c>
      <c r="O617" s="847">
        <v>61</v>
      </c>
      <c r="P617" s="780" t="str">
        <f t="shared" si="20"/>
        <v>IWT060261</v>
      </c>
      <c r="Q617" s="847">
        <v>26932</v>
      </c>
      <c r="R617" s="847">
        <v>27470</v>
      </c>
      <c r="S617" s="847">
        <v>28020</v>
      </c>
      <c r="T617" s="847">
        <v>28580</v>
      </c>
      <c r="U617" s="847">
        <v>29152</v>
      </c>
      <c r="V617" s="847">
        <v>29735</v>
      </c>
      <c r="W617" s="847">
        <v>30309</v>
      </c>
      <c r="X617" s="847">
        <v>30897</v>
      </c>
      <c r="Y617" s="847">
        <v>31503</v>
      </c>
      <c r="Z617" s="847">
        <v>32126</v>
      </c>
      <c r="AA617" s="847">
        <v>32769</v>
      </c>
      <c r="AB617" s="847">
        <v>33424</v>
      </c>
      <c r="AC617" s="847">
        <v>34092</v>
      </c>
      <c r="AD617" s="847">
        <v>34774</v>
      </c>
      <c r="AE617" s="847">
        <v>35470</v>
      </c>
      <c r="AF617" s="847">
        <v>36179</v>
      </c>
      <c r="AG617" s="847">
        <v>36903</v>
      </c>
      <c r="AH617" s="847">
        <v>37641</v>
      </c>
      <c r="AI617" s="847">
        <v>38393</v>
      </c>
      <c r="AJ617" s="847">
        <v>39161</v>
      </c>
      <c r="AK617" s="847">
        <v>39944</v>
      </c>
      <c r="AL617" s="847">
        <v>40743</v>
      </c>
      <c r="AM617" s="847">
        <v>41558</v>
      </c>
      <c r="AN617" s="847">
        <v>42389</v>
      </c>
      <c r="AO617" s="847">
        <v>43236</v>
      </c>
      <c r="AP617" s="847">
        <v>44101</v>
      </c>
      <c r="AQ617" s="847">
        <v>44983</v>
      </c>
      <c r="AR617" s="847">
        <v>45882</v>
      </c>
      <c r="AS617" s="847">
        <v>46800</v>
      </c>
      <c r="AT617" s="847">
        <v>47735</v>
      </c>
      <c r="AU617" s="847">
        <v>48690</v>
      </c>
      <c r="AV617" s="847">
        <v>49663</v>
      </c>
      <c r="AW617" s="847">
        <v>50656</v>
      </c>
      <c r="AX617" s="847">
        <v>51669</v>
      </c>
      <c r="AY617" s="847">
        <v>52702</v>
      </c>
      <c r="AZ617" s="847">
        <v>53755</v>
      </c>
      <c r="BA617" s="847">
        <v>54830</v>
      </c>
      <c r="BB617" s="847">
        <v>55925</v>
      </c>
      <c r="BC617" s="847">
        <v>57043</v>
      </c>
      <c r="BD617" s="847">
        <v>58183</v>
      </c>
      <c r="BE617" s="847">
        <v>59345</v>
      </c>
      <c r="BF617" s="847">
        <v>60531</v>
      </c>
      <c r="BG617" s="847">
        <v>61740</v>
      </c>
      <c r="BH617" s="847">
        <v>62973</v>
      </c>
      <c r="BI617" s="847">
        <v>64230</v>
      </c>
      <c r="BJ617" s="847">
        <v>65512</v>
      </c>
      <c r="BK617" s="847">
        <v>66819</v>
      </c>
      <c r="BL617" s="847">
        <v>68152</v>
      </c>
      <c r="BM617" s="847">
        <v>69510</v>
      </c>
      <c r="BN617" s="847">
        <v>70895</v>
      </c>
      <c r="BO617" s="847">
        <v>71600</v>
      </c>
      <c r="BP617" s="847">
        <v>0</v>
      </c>
      <c r="BQ617" s="847">
        <v>0</v>
      </c>
      <c r="BR617" s="847">
        <v>0</v>
      </c>
      <c r="BS617" s="847">
        <v>0</v>
      </c>
      <c r="BT617" s="847">
        <v>0</v>
      </c>
      <c r="BU617" s="847">
        <v>0</v>
      </c>
      <c r="BV617" s="847">
        <v>0</v>
      </c>
      <c r="BW617" s="847">
        <v>0</v>
      </c>
      <c r="BX617" s="847">
        <v>0</v>
      </c>
      <c r="BY617" s="847">
        <v>0</v>
      </c>
      <c r="BZ617" s="847">
        <v>0</v>
      </c>
      <c r="CA617" s="847">
        <v>0</v>
      </c>
      <c r="CB617" s="847">
        <v>0</v>
      </c>
      <c r="CC617" s="847">
        <v>0</v>
      </c>
      <c r="CD617" s="847">
        <v>0</v>
      </c>
      <c r="CE617" s="847">
        <v>0</v>
      </c>
      <c r="CF617" s="847">
        <v>0</v>
      </c>
      <c r="CG617" s="847">
        <v>0</v>
      </c>
      <c r="CH617" s="847">
        <v>0</v>
      </c>
      <c r="CI617" s="847">
        <v>0</v>
      </c>
      <c r="CJ617" s="847">
        <v>0</v>
      </c>
      <c r="CK617" s="847">
        <v>0</v>
      </c>
      <c r="CL617" s="847">
        <v>0</v>
      </c>
      <c r="CM617" s="847">
        <v>0</v>
      </c>
      <c r="CN617" s="847">
        <v>0</v>
      </c>
      <c r="CO617" s="847">
        <v>0</v>
      </c>
      <c r="CP617" s="847">
        <v>0</v>
      </c>
      <c r="CQ617" s="847">
        <v>0</v>
      </c>
      <c r="CR617" s="847">
        <v>0</v>
      </c>
      <c r="CS617" s="847">
        <v>0</v>
      </c>
      <c r="CT617" s="847">
        <v>0</v>
      </c>
      <c r="CU617" s="847">
        <v>0</v>
      </c>
      <c r="CV617" s="847">
        <v>0</v>
      </c>
      <c r="CW617" s="847">
        <v>0</v>
      </c>
      <c r="CX617" s="847">
        <v>0</v>
      </c>
      <c r="CY617" s="847">
        <v>0</v>
      </c>
      <c r="CZ617" s="847">
        <v>0</v>
      </c>
      <c r="DA617" s="847">
        <v>0</v>
      </c>
      <c r="DB617" s="847">
        <v>0</v>
      </c>
      <c r="DC617" s="847">
        <v>0</v>
      </c>
      <c r="DD617" s="847">
        <v>0</v>
      </c>
      <c r="DE617" s="847">
        <v>0</v>
      </c>
      <c r="DF617" s="847">
        <v>0</v>
      </c>
      <c r="DG617" s="847">
        <v>0</v>
      </c>
      <c r="DH617" s="847">
        <v>0</v>
      </c>
      <c r="DI617" s="847">
        <v>0</v>
      </c>
      <c r="DJ617" s="847">
        <v>0</v>
      </c>
      <c r="DK617" s="847">
        <v>0</v>
      </c>
      <c r="DL617" s="847">
        <v>0</v>
      </c>
      <c r="DM617" s="847">
        <v>0</v>
      </c>
      <c r="DN617" s="847">
        <v>0</v>
      </c>
      <c r="DO617" s="847">
        <v>0</v>
      </c>
      <c r="DP617" s="847">
        <v>0</v>
      </c>
      <c r="DQ617" s="847">
        <v>0</v>
      </c>
      <c r="DR617" s="847">
        <v>0</v>
      </c>
      <c r="DS617" s="847">
        <v>0</v>
      </c>
      <c r="DT617" s="847">
        <v>0</v>
      </c>
      <c r="DU617" s="847">
        <v>0</v>
      </c>
      <c r="DV617" s="847">
        <v>0</v>
      </c>
      <c r="DW617" s="847">
        <v>0</v>
      </c>
      <c r="DX617" s="847">
        <v>0</v>
      </c>
    </row>
    <row r="618" spans="12:128" hidden="1">
      <c r="L618" s="846" t="s">
        <v>1060</v>
      </c>
      <c r="M618" s="846" t="s">
        <v>1382</v>
      </c>
      <c r="N618" s="846" t="s">
        <v>97</v>
      </c>
      <c r="O618" s="847">
        <v>62</v>
      </c>
      <c r="P618" s="780" t="str">
        <f t="shared" si="20"/>
        <v>IWT060262</v>
      </c>
      <c r="Q618" s="847">
        <v>26940</v>
      </c>
      <c r="R618" s="847">
        <v>27479</v>
      </c>
      <c r="S618" s="847">
        <v>28029</v>
      </c>
      <c r="T618" s="847">
        <v>28589</v>
      </c>
      <c r="U618" s="847">
        <v>29161</v>
      </c>
      <c r="V618" s="847">
        <v>29744</v>
      </c>
      <c r="W618" s="847">
        <v>30316</v>
      </c>
      <c r="X618" s="847">
        <v>30902</v>
      </c>
      <c r="Y618" s="847">
        <v>31506</v>
      </c>
      <c r="Z618" s="847">
        <v>32128</v>
      </c>
      <c r="AA618" s="847">
        <v>32771</v>
      </c>
      <c r="AB618" s="847">
        <v>33426</v>
      </c>
      <c r="AC618" s="847">
        <v>34095</v>
      </c>
      <c r="AD618" s="847">
        <v>34777</v>
      </c>
      <c r="AE618" s="847">
        <v>35472</v>
      </c>
      <c r="AF618" s="847">
        <v>36181</v>
      </c>
      <c r="AG618" s="847">
        <v>36905</v>
      </c>
      <c r="AH618" s="847">
        <v>37643</v>
      </c>
      <c r="AI618" s="847">
        <v>38396</v>
      </c>
      <c r="AJ618" s="847">
        <v>39164</v>
      </c>
      <c r="AK618" s="847">
        <v>39947</v>
      </c>
      <c r="AL618" s="847">
        <v>40746</v>
      </c>
      <c r="AM618" s="847">
        <v>41560</v>
      </c>
      <c r="AN618" s="847">
        <v>42392</v>
      </c>
      <c r="AO618" s="847">
        <v>43239</v>
      </c>
      <c r="AP618" s="847">
        <v>44104</v>
      </c>
      <c r="AQ618" s="847">
        <v>44986</v>
      </c>
      <c r="AR618" s="847">
        <v>45885</v>
      </c>
      <c r="AS618" s="847">
        <v>46803</v>
      </c>
      <c r="AT618" s="847">
        <v>47738</v>
      </c>
      <c r="AU618" s="847">
        <v>48693</v>
      </c>
      <c r="AV618" s="847">
        <v>49666</v>
      </c>
      <c r="AW618" s="847">
        <v>50659</v>
      </c>
      <c r="AX618" s="847">
        <v>51672</v>
      </c>
      <c r="AY618" s="847">
        <v>52705</v>
      </c>
      <c r="AZ618" s="847">
        <v>53758</v>
      </c>
      <c r="BA618" s="847">
        <v>54833</v>
      </c>
      <c r="BB618" s="847">
        <v>55928</v>
      </c>
      <c r="BC618" s="847">
        <v>57046</v>
      </c>
      <c r="BD618" s="847">
        <v>58186</v>
      </c>
      <c r="BE618" s="847">
        <v>59348</v>
      </c>
      <c r="BF618" s="847">
        <v>60533</v>
      </c>
      <c r="BG618" s="847">
        <v>61742</v>
      </c>
      <c r="BH618" s="847">
        <v>62975</v>
      </c>
      <c r="BI618" s="847">
        <v>64232</v>
      </c>
      <c r="BJ618" s="847">
        <v>65514</v>
      </c>
      <c r="BK618" s="847">
        <v>66820</v>
      </c>
      <c r="BL618" s="847">
        <v>68151</v>
      </c>
      <c r="BM618" s="847">
        <v>69508</v>
      </c>
      <c r="BN618" s="847">
        <v>70200</v>
      </c>
      <c r="BO618" s="847">
        <v>0</v>
      </c>
      <c r="BP618" s="847">
        <v>0</v>
      </c>
      <c r="BQ618" s="847">
        <v>0</v>
      </c>
      <c r="BR618" s="847">
        <v>0</v>
      </c>
      <c r="BS618" s="847">
        <v>0</v>
      </c>
      <c r="BT618" s="847">
        <v>0</v>
      </c>
      <c r="BU618" s="847">
        <v>0</v>
      </c>
      <c r="BV618" s="847">
        <v>0</v>
      </c>
      <c r="BW618" s="847">
        <v>0</v>
      </c>
      <c r="BX618" s="847">
        <v>0</v>
      </c>
      <c r="BY618" s="847">
        <v>0</v>
      </c>
      <c r="BZ618" s="847">
        <v>0</v>
      </c>
      <c r="CA618" s="847">
        <v>0</v>
      </c>
      <c r="CB618" s="847">
        <v>0</v>
      </c>
      <c r="CC618" s="847">
        <v>0</v>
      </c>
      <c r="CD618" s="847">
        <v>0</v>
      </c>
      <c r="CE618" s="847">
        <v>0</v>
      </c>
      <c r="CF618" s="847">
        <v>0</v>
      </c>
      <c r="CG618" s="847">
        <v>0</v>
      </c>
      <c r="CH618" s="847">
        <v>0</v>
      </c>
      <c r="CI618" s="847">
        <v>0</v>
      </c>
      <c r="CJ618" s="847">
        <v>0</v>
      </c>
      <c r="CK618" s="847">
        <v>0</v>
      </c>
      <c r="CL618" s="847">
        <v>0</v>
      </c>
      <c r="CM618" s="847">
        <v>0</v>
      </c>
      <c r="CN618" s="847">
        <v>0</v>
      </c>
      <c r="CO618" s="847">
        <v>0</v>
      </c>
      <c r="CP618" s="847">
        <v>0</v>
      </c>
      <c r="CQ618" s="847">
        <v>0</v>
      </c>
      <c r="CR618" s="847">
        <v>0</v>
      </c>
      <c r="CS618" s="847">
        <v>0</v>
      </c>
      <c r="CT618" s="847">
        <v>0</v>
      </c>
      <c r="CU618" s="847">
        <v>0</v>
      </c>
      <c r="CV618" s="847">
        <v>0</v>
      </c>
      <c r="CW618" s="847">
        <v>0</v>
      </c>
      <c r="CX618" s="847">
        <v>0</v>
      </c>
      <c r="CY618" s="847">
        <v>0</v>
      </c>
      <c r="CZ618" s="847">
        <v>0</v>
      </c>
      <c r="DA618" s="847">
        <v>0</v>
      </c>
      <c r="DB618" s="847">
        <v>0</v>
      </c>
      <c r="DC618" s="847">
        <v>0</v>
      </c>
      <c r="DD618" s="847">
        <v>0</v>
      </c>
      <c r="DE618" s="847">
        <v>0</v>
      </c>
      <c r="DF618" s="847">
        <v>0</v>
      </c>
      <c r="DG618" s="847">
        <v>0</v>
      </c>
      <c r="DH618" s="847">
        <v>0</v>
      </c>
      <c r="DI618" s="847">
        <v>0</v>
      </c>
      <c r="DJ618" s="847">
        <v>0</v>
      </c>
      <c r="DK618" s="847">
        <v>0</v>
      </c>
      <c r="DL618" s="847">
        <v>0</v>
      </c>
      <c r="DM618" s="847">
        <v>0</v>
      </c>
      <c r="DN618" s="847">
        <v>0</v>
      </c>
      <c r="DO618" s="847">
        <v>0</v>
      </c>
      <c r="DP618" s="847">
        <v>0</v>
      </c>
      <c r="DQ618" s="847">
        <v>0</v>
      </c>
      <c r="DR618" s="847">
        <v>0</v>
      </c>
      <c r="DS618" s="847">
        <v>0</v>
      </c>
      <c r="DT618" s="847">
        <v>0</v>
      </c>
      <c r="DU618" s="847">
        <v>0</v>
      </c>
      <c r="DV618" s="847">
        <v>0</v>
      </c>
      <c r="DW618" s="847">
        <v>0</v>
      </c>
      <c r="DX618" s="847">
        <v>0</v>
      </c>
    </row>
    <row r="619" spans="12:128" hidden="1">
      <c r="L619" s="846" t="s">
        <v>1060</v>
      </c>
      <c r="M619" s="846" t="s">
        <v>1382</v>
      </c>
      <c r="N619" s="846" t="s">
        <v>97</v>
      </c>
      <c r="O619" s="847">
        <v>63</v>
      </c>
      <c r="P619" s="780" t="str">
        <f t="shared" si="20"/>
        <v>IWT060263</v>
      </c>
      <c r="Q619" s="847">
        <v>26940</v>
      </c>
      <c r="R619" s="847">
        <v>27479</v>
      </c>
      <c r="S619" s="847">
        <v>28028</v>
      </c>
      <c r="T619" s="847">
        <v>28589</v>
      </c>
      <c r="U619" s="847">
        <v>29160</v>
      </c>
      <c r="V619" s="847">
        <v>29744</v>
      </c>
      <c r="W619" s="847">
        <v>30312</v>
      </c>
      <c r="X619" s="847">
        <v>30896</v>
      </c>
      <c r="Y619" s="847">
        <v>31497</v>
      </c>
      <c r="Z619" s="847">
        <v>32118</v>
      </c>
      <c r="AA619" s="847">
        <v>32760</v>
      </c>
      <c r="AB619" s="847">
        <v>33415</v>
      </c>
      <c r="AC619" s="847">
        <v>34084</v>
      </c>
      <c r="AD619" s="847">
        <v>34765</v>
      </c>
      <c r="AE619" s="847">
        <v>35461</v>
      </c>
      <c r="AF619" s="847">
        <v>36170</v>
      </c>
      <c r="AG619" s="847">
        <v>36893</v>
      </c>
      <c r="AH619" s="847">
        <v>37631</v>
      </c>
      <c r="AI619" s="847">
        <v>38383</v>
      </c>
      <c r="AJ619" s="847">
        <v>39151</v>
      </c>
      <c r="AK619" s="847">
        <v>39934</v>
      </c>
      <c r="AL619" s="847">
        <v>40732</v>
      </c>
      <c r="AM619" s="847">
        <v>41547</v>
      </c>
      <c r="AN619" s="847">
        <v>42378</v>
      </c>
      <c r="AO619" s="847">
        <v>43225</v>
      </c>
      <c r="AP619" s="847">
        <v>44089</v>
      </c>
      <c r="AQ619" s="847">
        <v>44971</v>
      </c>
      <c r="AR619" s="847">
        <v>45870</v>
      </c>
      <c r="AS619" s="847">
        <v>46787</v>
      </c>
      <c r="AT619" s="847">
        <v>47723</v>
      </c>
      <c r="AU619" s="847">
        <v>48677</v>
      </c>
      <c r="AV619" s="847">
        <v>49650</v>
      </c>
      <c r="AW619" s="847">
        <v>50642</v>
      </c>
      <c r="AX619" s="847">
        <v>51655</v>
      </c>
      <c r="AY619" s="847">
        <v>52687</v>
      </c>
      <c r="AZ619" s="847">
        <v>53740</v>
      </c>
      <c r="BA619" s="847">
        <v>54814</v>
      </c>
      <c r="BB619" s="847">
        <v>55909</v>
      </c>
      <c r="BC619" s="847">
        <v>57026</v>
      </c>
      <c r="BD619" s="847">
        <v>58165</v>
      </c>
      <c r="BE619" s="847">
        <v>59327</v>
      </c>
      <c r="BF619" s="847">
        <v>60511</v>
      </c>
      <c r="BG619" s="847">
        <v>61719</v>
      </c>
      <c r="BH619" s="847">
        <v>62951</v>
      </c>
      <c r="BI619" s="847">
        <v>64207</v>
      </c>
      <c r="BJ619" s="847">
        <v>65487</v>
      </c>
      <c r="BK619" s="847">
        <v>66792</v>
      </c>
      <c r="BL619" s="847">
        <v>68122</v>
      </c>
      <c r="BM619" s="847">
        <v>68800</v>
      </c>
      <c r="BN619" s="847">
        <v>0</v>
      </c>
      <c r="BO619" s="847">
        <v>0</v>
      </c>
      <c r="BP619" s="847">
        <v>0</v>
      </c>
      <c r="BQ619" s="847">
        <v>0</v>
      </c>
      <c r="BR619" s="847">
        <v>0</v>
      </c>
      <c r="BS619" s="847">
        <v>0</v>
      </c>
      <c r="BT619" s="847">
        <v>0</v>
      </c>
      <c r="BU619" s="847">
        <v>0</v>
      </c>
      <c r="BV619" s="847">
        <v>0</v>
      </c>
      <c r="BW619" s="847">
        <v>0</v>
      </c>
      <c r="BX619" s="847">
        <v>0</v>
      </c>
      <c r="BY619" s="847">
        <v>0</v>
      </c>
      <c r="BZ619" s="847">
        <v>0</v>
      </c>
      <c r="CA619" s="847">
        <v>0</v>
      </c>
      <c r="CB619" s="847">
        <v>0</v>
      </c>
      <c r="CC619" s="847">
        <v>0</v>
      </c>
      <c r="CD619" s="847">
        <v>0</v>
      </c>
      <c r="CE619" s="847">
        <v>0</v>
      </c>
      <c r="CF619" s="847">
        <v>0</v>
      </c>
      <c r="CG619" s="847">
        <v>0</v>
      </c>
      <c r="CH619" s="847">
        <v>0</v>
      </c>
      <c r="CI619" s="847">
        <v>0</v>
      </c>
      <c r="CJ619" s="847">
        <v>0</v>
      </c>
      <c r="CK619" s="847">
        <v>0</v>
      </c>
      <c r="CL619" s="847">
        <v>0</v>
      </c>
      <c r="CM619" s="847">
        <v>0</v>
      </c>
      <c r="CN619" s="847">
        <v>0</v>
      </c>
      <c r="CO619" s="847">
        <v>0</v>
      </c>
      <c r="CP619" s="847">
        <v>0</v>
      </c>
      <c r="CQ619" s="847">
        <v>0</v>
      </c>
      <c r="CR619" s="847">
        <v>0</v>
      </c>
      <c r="CS619" s="847">
        <v>0</v>
      </c>
      <c r="CT619" s="847">
        <v>0</v>
      </c>
      <c r="CU619" s="847">
        <v>0</v>
      </c>
      <c r="CV619" s="847">
        <v>0</v>
      </c>
      <c r="CW619" s="847">
        <v>0</v>
      </c>
      <c r="CX619" s="847">
        <v>0</v>
      </c>
      <c r="CY619" s="847">
        <v>0</v>
      </c>
      <c r="CZ619" s="847">
        <v>0</v>
      </c>
      <c r="DA619" s="847">
        <v>0</v>
      </c>
      <c r="DB619" s="847">
        <v>0</v>
      </c>
      <c r="DC619" s="847">
        <v>0</v>
      </c>
      <c r="DD619" s="847">
        <v>0</v>
      </c>
      <c r="DE619" s="847">
        <v>0</v>
      </c>
      <c r="DF619" s="847">
        <v>0</v>
      </c>
      <c r="DG619" s="847">
        <v>0</v>
      </c>
      <c r="DH619" s="847">
        <v>0</v>
      </c>
      <c r="DI619" s="847">
        <v>0</v>
      </c>
      <c r="DJ619" s="847">
        <v>0</v>
      </c>
      <c r="DK619" s="847">
        <v>0</v>
      </c>
      <c r="DL619" s="847">
        <v>0</v>
      </c>
      <c r="DM619" s="847">
        <v>0</v>
      </c>
      <c r="DN619" s="847">
        <v>0</v>
      </c>
      <c r="DO619" s="847">
        <v>0</v>
      </c>
      <c r="DP619" s="847">
        <v>0</v>
      </c>
      <c r="DQ619" s="847">
        <v>0</v>
      </c>
      <c r="DR619" s="847">
        <v>0</v>
      </c>
      <c r="DS619" s="847">
        <v>0</v>
      </c>
      <c r="DT619" s="847">
        <v>0</v>
      </c>
      <c r="DU619" s="847">
        <v>0</v>
      </c>
      <c r="DV619" s="847">
        <v>0</v>
      </c>
      <c r="DW619" s="847">
        <v>0</v>
      </c>
      <c r="DX619" s="847">
        <v>0</v>
      </c>
    </row>
    <row r="620" spans="12:128" hidden="1">
      <c r="L620" s="846" t="s">
        <v>1060</v>
      </c>
      <c r="M620" s="846" t="s">
        <v>1382</v>
      </c>
      <c r="N620" s="846" t="s">
        <v>97</v>
      </c>
      <c r="O620" s="847">
        <v>64</v>
      </c>
      <c r="P620" s="780" t="str">
        <f t="shared" si="20"/>
        <v>IWT060264</v>
      </c>
      <c r="Q620" s="847">
        <v>26930</v>
      </c>
      <c r="R620" s="847">
        <v>27468</v>
      </c>
      <c r="S620" s="847">
        <v>28018</v>
      </c>
      <c r="T620" s="847">
        <v>28578</v>
      </c>
      <c r="U620" s="847">
        <v>29150</v>
      </c>
      <c r="V620" s="847">
        <v>29732</v>
      </c>
      <c r="W620" s="847">
        <v>30297</v>
      </c>
      <c r="X620" s="847">
        <v>30877</v>
      </c>
      <c r="Y620" s="847">
        <v>31475</v>
      </c>
      <c r="Z620" s="847">
        <v>32094</v>
      </c>
      <c r="AA620" s="847">
        <v>32736</v>
      </c>
      <c r="AB620" s="847">
        <v>33390</v>
      </c>
      <c r="AC620" s="847">
        <v>34058</v>
      </c>
      <c r="AD620" s="847">
        <v>34739</v>
      </c>
      <c r="AE620" s="847">
        <v>35434</v>
      </c>
      <c r="AF620" s="847">
        <v>36143</v>
      </c>
      <c r="AG620" s="847">
        <v>36866</v>
      </c>
      <c r="AH620" s="847">
        <v>37603</v>
      </c>
      <c r="AI620" s="847">
        <v>38355</v>
      </c>
      <c r="AJ620" s="847">
        <v>39122</v>
      </c>
      <c r="AK620" s="847">
        <v>39904</v>
      </c>
      <c r="AL620" s="847">
        <v>40702</v>
      </c>
      <c r="AM620" s="847">
        <v>41516</v>
      </c>
      <c r="AN620" s="847">
        <v>42346</v>
      </c>
      <c r="AO620" s="847">
        <v>43193</v>
      </c>
      <c r="AP620" s="847">
        <v>44056</v>
      </c>
      <c r="AQ620" s="847">
        <v>44937</v>
      </c>
      <c r="AR620" s="847">
        <v>45836</v>
      </c>
      <c r="AS620" s="847">
        <v>46752</v>
      </c>
      <c r="AT620" s="847">
        <v>47687</v>
      </c>
      <c r="AU620" s="847">
        <v>48640</v>
      </c>
      <c r="AV620" s="847">
        <v>49612</v>
      </c>
      <c r="AW620" s="847">
        <v>50604</v>
      </c>
      <c r="AX620" s="847">
        <v>51615</v>
      </c>
      <c r="AY620" s="847">
        <v>52647</v>
      </c>
      <c r="AZ620" s="847">
        <v>53699</v>
      </c>
      <c r="BA620" s="847">
        <v>54772</v>
      </c>
      <c r="BB620" s="847">
        <v>55866</v>
      </c>
      <c r="BC620" s="847">
        <v>56982</v>
      </c>
      <c r="BD620" s="847">
        <v>58120</v>
      </c>
      <c r="BE620" s="847">
        <v>59281</v>
      </c>
      <c r="BF620" s="847">
        <v>60464</v>
      </c>
      <c r="BG620" s="847">
        <v>61671</v>
      </c>
      <c r="BH620" s="847">
        <v>62901</v>
      </c>
      <c r="BI620" s="847">
        <v>64155</v>
      </c>
      <c r="BJ620" s="847">
        <v>65433</v>
      </c>
      <c r="BK620" s="847">
        <v>66736</v>
      </c>
      <c r="BL620" s="847">
        <v>67400</v>
      </c>
      <c r="BM620" s="847">
        <v>0</v>
      </c>
      <c r="BN620" s="847">
        <v>0</v>
      </c>
      <c r="BO620" s="847">
        <v>0</v>
      </c>
      <c r="BP620" s="847">
        <v>0</v>
      </c>
      <c r="BQ620" s="847">
        <v>0</v>
      </c>
      <c r="BR620" s="847">
        <v>0</v>
      </c>
      <c r="BS620" s="847">
        <v>0</v>
      </c>
      <c r="BT620" s="847">
        <v>0</v>
      </c>
      <c r="BU620" s="847">
        <v>0</v>
      </c>
      <c r="BV620" s="847">
        <v>0</v>
      </c>
      <c r="BW620" s="847">
        <v>0</v>
      </c>
      <c r="BX620" s="847">
        <v>0</v>
      </c>
      <c r="BY620" s="847">
        <v>0</v>
      </c>
      <c r="BZ620" s="847">
        <v>0</v>
      </c>
      <c r="CA620" s="847">
        <v>0</v>
      </c>
      <c r="CB620" s="847">
        <v>0</v>
      </c>
      <c r="CC620" s="847">
        <v>0</v>
      </c>
      <c r="CD620" s="847">
        <v>0</v>
      </c>
      <c r="CE620" s="847">
        <v>0</v>
      </c>
      <c r="CF620" s="847">
        <v>0</v>
      </c>
      <c r="CG620" s="847">
        <v>0</v>
      </c>
      <c r="CH620" s="847">
        <v>0</v>
      </c>
      <c r="CI620" s="847">
        <v>0</v>
      </c>
      <c r="CJ620" s="847">
        <v>0</v>
      </c>
      <c r="CK620" s="847">
        <v>0</v>
      </c>
      <c r="CL620" s="847">
        <v>0</v>
      </c>
      <c r="CM620" s="847">
        <v>0</v>
      </c>
      <c r="CN620" s="847">
        <v>0</v>
      </c>
      <c r="CO620" s="847">
        <v>0</v>
      </c>
      <c r="CP620" s="847">
        <v>0</v>
      </c>
      <c r="CQ620" s="847">
        <v>0</v>
      </c>
      <c r="CR620" s="847">
        <v>0</v>
      </c>
      <c r="CS620" s="847">
        <v>0</v>
      </c>
      <c r="CT620" s="847">
        <v>0</v>
      </c>
      <c r="CU620" s="847">
        <v>0</v>
      </c>
      <c r="CV620" s="847">
        <v>0</v>
      </c>
      <c r="CW620" s="847">
        <v>0</v>
      </c>
      <c r="CX620" s="847">
        <v>0</v>
      </c>
      <c r="CY620" s="847">
        <v>0</v>
      </c>
      <c r="CZ620" s="847">
        <v>0</v>
      </c>
      <c r="DA620" s="847">
        <v>0</v>
      </c>
      <c r="DB620" s="847">
        <v>0</v>
      </c>
      <c r="DC620" s="847">
        <v>0</v>
      </c>
      <c r="DD620" s="847">
        <v>0</v>
      </c>
      <c r="DE620" s="847">
        <v>0</v>
      </c>
      <c r="DF620" s="847">
        <v>0</v>
      </c>
      <c r="DG620" s="847">
        <v>0</v>
      </c>
      <c r="DH620" s="847">
        <v>0</v>
      </c>
      <c r="DI620" s="847">
        <v>0</v>
      </c>
      <c r="DJ620" s="847">
        <v>0</v>
      </c>
      <c r="DK620" s="847">
        <v>0</v>
      </c>
      <c r="DL620" s="847">
        <v>0</v>
      </c>
      <c r="DM620" s="847">
        <v>0</v>
      </c>
      <c r="DN620" s="847">
        <v>0</v>
      </c>
      <c r="DO620" s="847">
        <v>0</v>
      </c>
      <c r="DP620" s="847">
        <v>0</v>
      </c>
      <c r="DQ620" s="847">
        <v>0</v>
      </c>
      <c r="DR620" s="847">
        <v>0</v>
      </c>
      <c r="DS620" s="847">
        <v>0</v>
      </c>
      <c r="DT620" s="847">
        <v>0</v>
      </c>
      <c r="DU620" s="847">
        <v>0</v>
      </c>
      <c r="DV620" s="847">
        <v>0</v>
      </c>
      <c r="DW620" s="847">
        <v>0</v>
      </c>
      <c r="DX620" s="847">
        <v>0</v>
      </c>
    </row>
    <row r="621" spans="12:128" hidden="1">
      <c r="L621" s="846" t="s">
        <v>1060</v>
      </c>
      <c r="M621" s="846" t="s">
        <v>1382</v>
      </c>
      <c r="N621" s="846" t="s">
        <v>97</v>
      </c>
      <c r="O621" s="847">
        <v>65</v>
      </c>
      <c r="P621" s="780" t="str">
        <f t="shared" si="20"/>
        <v>IWT060265</v>
      </c>
      <c r="Q621" s="847">
        <v>26910</v>
      </c>
      <c r="R621" s="847">
        <v>27448</v>
      </c>
      <c r="S621" s="847">
        <v>27997</v>
      </c>
      <c r="T621" s="847">
        <v>28557</v>
      </c>
      <c r="U621" s="847">
        <v>29128</v>
      </c>
      <c r="V621" s="847">
        <v>29711</v>
      </c>
      <c r="W621" s="847">
        <v>30271</v>
      </c>
      <c r="X621" s="847">
        <v>30846</v>
      </c>
      <c r="Y621" s="847">
        <v>31441</v>
      </c>
      <c r="Z621" s="847">
        <v>32056</v>
      </c>
      <c r="AA621" s="847">
        <v>32697</v>
      </c>
      <c r="AB621" s="847">
        <v>33351</v>
      </c>
      <c r="AC621" s="847">
        <v>34018</v>
      </c>
      <c r="AD621" s="847">
        <v>34698</v>
      </c>
      <c r="AE621" s="847">
        <v>35392</v>
      </c>
      <c r="AF621" s="847">
        <v>36100</v>
      </c>
      <c r="AG621" s="847">
        <v>36822</v>
      </c>
      <c r="AH621" s="847">
        <v>37558</v>
      </c>
      <c r="AI621" s="847">
        <v>38309</v>
      </c>
      <c r="AJ621" s="847">
        <v>39075</v>
      </c>
      <c r="AK621" s="847">
        <v>39856</v>
      </c>
      <c r="AL621" s="847">
        <v>40653</v>
      </c>
      <c r="AM621" s="847">
        <v>41466</v>
      </c>
      <c r="AN621" s="847">
        <v>42296</v>
      </c>
      <c r="AO621" s="847">
        <v>43141</v>
      </c>
      <c r="AP621" s="847">
        <v>44004</v>
      </c>
      <c r="AQ621" s="847">
        <v>44884</v>
      </c>
      <c r="AR621" s="847">
        <v>45781</v>
      </c>
      <c r="AS621" s="847">
        <v>46696</v>
      </c>
      <c r="AT621" s="847">
        <v>47630</v>
      </c>
      <c r="AU621" s="847">
        <v>48582</v>
      </c>
      <c r="AV621" s="847">
        <v>49553</v>
      </c>
      <c r="AW621" s="847">
        <v>50543</v>
      </c>
      <c r="AX621" s="847">
        <v>51553</v>
      </c>
      <c r="AY621" s="847">
        <v>52583</v>
      </c>
      <c r="AZ621" s="847">
        <v>53634</v>
      </c>
      <c r="BA621" s="847">
        <v>54706</v>
      </c>
      <c r="BB621" s="847">
        <v>55798</v>
      </c>
      <c r="BC621" s="847">
        <v>56913</v>
      </c>
      <c r="BD621" s="847">
        <v>58049</v>
      </c>
      <c r="BE621" s="847">
        <v>59208</v>
      </c>
      <c r="BF621" s="847">
        <v>60389</v>
      </c>
      <c r="BG621" s="847">
        <v>61594</v>
      </c>
      <c r="BH621" s="847">
        <v>62822</v>
      </c>
      <c r="BI621" s="847">
        <v>64074</v>
      </c>
      <c r="BJ621" s="847">
        <v>65350</v>
      </c>
      <c r="BK621" s="847">
        <v>66000</v>
      </c>
      <c r="BL621" s="847">
        <v>0</v>
      </c>
      <c r="BM621" s="847">
        <v>0</v>
      </c>
      <c r="BN621" s="847">
        <v>0</v>
      </c>
      <c r="BO621" s="847">
        <v>0</v>
      </c>
      <c r="BP621" s="847">
        <v>0</v>
      </c>
      <c r="BQ621" s="847">
        <v>0</v>
      </c>
      <c r="BR621" s="847">
        <v>0</v>
      </c>
      <c r="BS621" s="847">
        <v>0</v>
      </c>
      <c r="BT621" s="847">
        <v>0</v>
      </c>
      <c r="BU621" s="847">
        <v>0</v>
      </c>
      <c r="BV621" s="847">
        <v>0</v>
      </c>
      <c r="BW621" s="847">
        <v>0</v>
      </c>
      <c r="BX621" s="847">
        <v>0</v>
      </c>
      <c r="BY621" s="847">
        <v>0</v>
      </c>
      <c r="BZ621" s="847">
        <v>0</v>
      </c>
      <c r="CA621" s="847">
        <v>0</v>
      </c>
      <c r="CB621" s="847">
        <v>0</v>
      </c>
      <c r="CC621" s="847">
        <v>0</v>
      </c>
      <c r="CD621" s="847">
        <v>0</v>
      </c>
      <c r="CE621" s="847">
        <v>0</v>
      </c>
      <c r="CF621" s="847">
        <v>0</v>
      </c>
      <c r="CG621" s="847">
        <v>0</v>
      </c>
      <c r="CH621" s="847">
        <v>0</v>
      </c>
      <c r="CI621" s="847">
        <v>0</v>
      </c>
      <c r="CJ621" s="847">
        <v>0</v>
      </c>
      <c r="CK621" s="847">
        <v>0</v>
      </c>
      <c r="CL621" s="847">
        <v>0</v>
      </c>
      <c r="CM621" s="847">
        <v>0</v>
      </c>
      <c r="CN621" s="847">
        <v>0</v>
      </c>
      <c r="CO621" s="847">
        <v>0</v>
      </c>
      <c r="CP621" s="847">
        <v>0</v>
      </c>
      <c r="CQ621" s="847">
        <v>0</v>
      </c>
      <c r="CR621" s="847">
        <v>0</v>
      </c>
      <c r="CS621" s="847">
        <v>0</v>
      </c>
      <c r="CT621" s="847">
        <v>0</v>
      </c>
      <c r="CU621" s="847">
        <v>0</v>
      </c>
      <c r="CV621" s="847">
        <v>0</v>
      </c>
      <c r="CW621" s="847">
        <v>0</v>
      </c>
      <c r="CX621" s="847">
        <v>0</v>
      </c>
      <c r="CY621" s="847">
        <v>0</v>
      </c>
      <c r="CZ621" s="847">
        <v>0</v>
      </c>
      <c r="DA621" s="847">
        <v>0</v>
      </c>
      <c r="DB621" s="847">
        <v>0</v>
      </c>
      <c r="DC621" s="847">
        <v>0</v>
      </c>
      <c r="DD621" s="847">
        <v>0</v>
      </c>
      <c r="DE621" s="847">
        <v>0</v>
      </c>
      <c r="DF621" s="847">
        <v>0</v>
      </c>
      <c r="DG621" s="847">
        <v>0</v>
      </c>
      <c r="DH621" s="847">
        <v>0</v>
      </c>
      <c r="DI621" s="847">
        <v>0</v>
      </c>
      <c r="DJ621" s="847">
        <v>0</v>
      </c>
      <c r="DK621" s="847">
        <v>0</v>
      </c>
      <c r="DL621" s="847">
        <v>0</v>
      </c>
      <c r="DM621" s="847">
        <v>0</v>
      </c>
      <c r="DN621" s="847">
        <v>0</v>
      </c>
      <c r="DO621" s="847">
        <v>0</v>
      </c>
      <c r="DP621" s="847">
        <v>0</v>
      </c>
      <c r="DQ621" s="847">
        <v>0</v>
      </c>
      <c r="DR621" s="847">
        <v>0</v>
      </c>
      <c r="DS621" s="847">
        <v>0</v>
      </c>
      <c r="DT621" s="847">
        <v>0</v>
      </c>
      <c r="DU621" s="847">
        <v>0</v>
      </c>
      <c r="DV621" s="847">
        <v>0</v>
      </c>
      <c r="DW621" s="847">
        <v>0</v>
      </c>
      <c r="DX621" s="847">
        <v>0</v>
      </c>
    </row>
    <row r="622" spans="12:128" hidden="1">
      <c r="L622" s="846" t="s">
        <v>1060</v>
      </c>
      <c r="M622" s="846" t="s">
        <v>1382</v>
      </c>
      <c r="N622" s="846" t="s">
        <v>97</v>
      </c>
      <c r="O622" s="847">
        <v>66</v>
      </c>
      <c r="P622" s="780" t="str">
        <f t="shared" si="20"/>
        <v>IWT060266</v>
      </c>
      <c r="Q622" s="847">
        <v>26882</v>
      </c>
      <c r="R622" s="847">
        <v>27420</v>
      </c>
      <c r="S622" s="847">
        <v>27968</v>
      </c>
      <c r="T622" s="847">
        <v>28528</v>
      </c>
      <c r="U622" s="847">
        <v>29098</v>
      </c>
      <c r="V622" s="847">
        <v>29680</v>
      </c>
      <c r="W622" s="847">
        <v>30234</v>
      </c>
      <c r="X622" s="847">
        <v>30805</v>
      </c>
      <c r="Y622" s="847">
        <v>31394</v>
      </c>
      <c r="Z622" s="847">
        <v>32006</v>
      </c>
      <c r="AA622" s="847">
        <v>32644</v>
      </c>
      <c r="AB622" s="847">
        <v>33297</v>
      </c>
      <c r="AC622" s="847">
        <v>33963</v>
      </c>
      <c r="AD622" s="847">
        <v>34642</v>
      </c>
      <c r="AE622" s="847">
        <v>35335</v>
      </c>
      <c r="AF622" s="847">
        <v>36041</v>
      </c>
      <c r="AG622" s="847">
        <v>36762</v>
      </c>
      <c r="AH622" s="847">
        <v>37497</v>
      </c>
      <c r="AI622" s="847">
        <v>38247</v>
      </c>
      <c r="AJ622" s="847">
        <v>39012</v>
      </c>
      <c r="AK622" s="847">
        <v>39792</v>
      </c>
      <c r="AL622" s="847">
        <v>40587</v>
      </c>
      <c r="AM622" s="847">
        <v>41399</v>
      </c>
      <c r="AN622" s="847">
        <v>42227</v>
      </c>
      <c r="AO622" s="847">
        <v>43071</v>
      </c>
      <c r="AP622" s="847">
        <v>43932</v>
      </c>
      <c r="AQ622" s="847">
        <v>44811</v>
      </c>
      <c r="AR622" s="847">
        <v>45706</v>
      </c>
      <c r="AS622" s="847">
        <v>46620</v>
      </c>
      <c r="AT622" s="847">
        <v>47552</v>
      </c>
      <c r="AU622" s="847">
        <v>48503</v>
      </c>
      <c r="AV622" s="847">
        <v>49472</v>
      </c>
      <c r="AW622" s="847">
        <v>50461</v>
      </c>
      <c r="AX622" s="847">
        <v>51469</v>
      </c>
      <c r="AY622" s="847">
        <v>52497</v>
      </c>
      <c r="AZ622" s="847">
        <v>53546</v>
      </c>
      <c r="BA622" s="847">
        <v>54616</v>
      </c>
      <c r="BB622" s="847">
        <v>55707</v>
      </c>
      <c r="BC622" s="847">
        <v>56819</v>
      </c>
      <c r="BD622" s="847">
        <v>57953</v>
      </c>
      <c r="BE622" s="847">
        <v>59109</v>
      </c>
      <c r="BF622" s="847">
        <v>60288</v>
      </c>
      <c r="BG622" s="847">
        <v>61490</v>
      </c>
      <c r="BH622" s="847">
        <v>62715</v>
      </c>
      <c r="BI622" s="847">
        <v>63964</v>
      </c>
      <c r="BJ622" s="847">
        <v>64600</v>
      </c>
      <c r="BK622" s="847">
        <v>0</v>
      </c>
      <c r="BL622" s="847">
        <v>0</v>
      </c>
      <c r="BM622" s="847">
        <v>0</v>
      </c>
      <c r="BN622" s="847">
        <v>0</v>
      </c>
      <c r="BO622" s="847">
        <v>0</v>
      </c>
      <c r="BP622" s="847">
        <v>0</v>
      </c>
      <c r="BQ622" s="847">
        <v>0</v>
      </c>
      <c r="BR622" s="847">
        <v>0</v>
      </c>
      <c r="BS622" s="847">
        <v>0</v>
      </c>
      <c r="BT622" s="847">
        <v>0</v>
      </c>
      <c r="BU622" s="847">
        <v>0</v>
      </c>
      <c r="BV622" s="847">
        <v>0</v>
      </c>
      <c r="BW622" s="847">
        <v>0</v>
      </c>
      <c r="BX622" s="847">
        <v>0</v>
      </c>
      <c r="BY622" s="847">
        <v>0</v>
      </c>
      <c r="BZ622" s="847">
        <v>0</v>
      </c>
      <c r="CA622" s="847">
        <v>0</v>
      </c>
      <c r="CB622" s="847">
        <v>0</v>
      </c>
      <c r="CC622" s="847">
        <v>0</v>
      </c>
      <c r="CD622" s="847">
        <v>0</v>
      </c>
      <c r="CE622" s="847">
        <v>0</v>
      </c>
      <c r="CF622" s="847">
        <v>0</v>
      </c>
      <c r="CG622" s="847">
        <v>0</v>
      </c>
      <c r="CH622" s="847">
        <v>0</v>
      </c>
      <c r="CI622" s="847">
        <v>0</v>
      </c>
      <c r="CJ622" s="847">
        <v>0</v>
      </c>
      <c r="CK622" s="847">
        <v>0</v>
      </c>
      <c r="CL622" s="847">
        <v>0</v>
      </c>
      <c r="CM622" s="847">
        <v>0</v>
      </c>
      <c r="CN622" s="847">
        <v>0</v>
      </c>
      <c r="CO622" s="847">
        <v>0</v>
      </c>
      <c r="CP622" s="847">
        <v>0</v>
      </c>
      <c r="CQ622" s="847">
        <v>0</v>
      </c>
      <c r="CR622" s="847">
        <v>0</v>
      </c>
      <c r="CS622" s="847">
        <v>0</v>
      </c>
      <c r="CT622" s="847">
        <v>0</v>
      </c>
      <c r="CU622" s="847">
        <v>0</v>
      </c>
      <c r="CV622" s="847">
        <v>0</v>
      </c>
      <c r="CW622" s="847">
        <v>0</v>
      </c>
      <c r="CX622" s="847">
        <v>0</v>
      </c>
      <c r="CY622" s="847">
        <v>0</v>
      </c>
      <c r="CZ622" s="847">
        <v>0</v>
      </c>
      <c r="DA622" s="847">
        <v>0</v>
      </c>
      <c r="DB622" s="847">
        <v>0</v>
      </c>
      <c r="DC622" s="847">
        <v>0</v>
      </c>
      <c r="DD622" s="847">
        <v>0</v>
      </c>
      <c r="DE622" s="847">
        <v>0</v>
      </c>
      <c r="DF622" s="847">
        <v>0</v>
      </c>
      <c r="DG622" s="847">
        <v>0</v>
      </c>
      <c r="DH622" s="847">
        <v>0</v>
      </c>
      <c r="DI622" s="847">
        <v>0</v>
      </c>
      <c r="DJ622" s="847">
        <v>0</v>
      </c>
      <c r="DK622" s="847">
        <v>0</v>
      </c>
      <c r="DL622" s="847">
        <v>0</v>
      </c>
      <c r="DM622" s="847">
        <v>0</v>
      </c>
      <c r="DN622" s="847">
        <v>0</v>
      </c>
      <c r="DO622" s="847">
        <v>0</v>
      </c>
      <c r="DP622" s="847">
        <v>0</v>
      </c>
      <c r="DQ622" s="847">
        <v>0</v>
      </c>
      <c r="DR622" s="847">
        <v>0</v>
      </c>
      <c r="DS622" s="847">
        <v>0</v>
      </c>
      <c r="DT622" s="847">
        <v>0</v>
      </c>
      <c r="DU622" s="847">
        <v>0</v>
      </c>
      <c r="DV622" s="847">
        <v>0</v>
      </c>
      <c r="DW622" s="847">
        <v>0</v>
      </c>
      <c r="DX622" s="847">
        <v>0</v>
      </c>
    </row>
    <row r="623" spans="12:128" hidden="1">
      <c r="L623" s="846" t="s">
        <v>1060</v>
      </c>
      <c r="M623" s="846" t="s">
        <v>1382</v>
      </c>
      <c r="N623" s="846" t="s">
        <v>97</v>
      </c>
      <c r="O623" s="847">
        <v>67</v>
      </c>
      <c r="P623" s="780" t="str">
        <f t="shared" si="20"/>
        <v>IWT060267</v>
      </c>
      <c r="Q623" s="847">
        <v>26845</v>
      </c>
      <c r="R623" s="847">
        <v>27381</v>
      </c>
      <c r="S623" s="847">
        <v>27929</v>
      </c>
      <c r="T623" s="847">
        <v>28488</v>
      </c>
      <c r="U623" s="847">
        <v>29057</v>
      </c>
      <c r="V623" s="847">
        <v>29639</v>
      </c>
      <c r="W623" s="847">
        <v>30186</v>
      </c>
      <c r="X623" s="847">
        <v>30750</v>
      </c>
      <c r="Y623" s="847">
        <v>31334</v>
      </c>
      <c r="Z623" s="847">
        <v>31941</v>
      </c>
      <c r="AA623" s="847">
        <v>32575</v>
      </c>
      <c r="AB623" s="847">
        <v>33226</v>
      </c>
      <c r="AC623" s="847">
        <v>33891</v>
      </c>
      <c r="AD623" s="847">
        <v>34568</v>
      </c>
      <c r="AE623" s="847">
        <v>35260</v>
      </c>
      <c r="AF623" s="847">
        <v>35965</v>
      </c>
      <c r="AG623" s="847">
        <v>36684</v>
      </c>
      <c r="AH623" s="847">
        <v>37417</v>
      </c>
      <c r="AI623" s="847">
        <v>38166</v>
      </c>
      <c r="AJ623" s="847">
        <v>38929</v>
      </c>
      <c r="AK623" s="847">
        <v>39707</v>
      </c>
      <c r="AL623" s="847">
        <v>40501</v>
      </c>
      <c r="AM623" s="847">
        <v>41311</v>
      </c>
      <c r="AN623" s="847">
        <v>42137</v>
      </c>
      <c r="AO623" s="847">
        <v>42980</v>
      </c>
      <c r="AP623" s="847">
        <v>43839</v>
      </c>
      <c r="AQ623" s="847">
        <v>44715</v>
      </c>
      <c r="AR623" s="847">
        <v>45609</v>
      </c>
      <c r="AS623" s="847">
        <v>46521</v>
      </c>
      <c r="AT623" s="847">
        <v>47451</v>
      </c>
      <c r="AU623" s="847">
        <v>48399</v>
      </c>
      <c r="AV623" s="847">
        <v>49367</v>
      </c>
      <c r="AW623" s="847">
        <v>50353</v>
      </c>
      <c r="AX623" s="847">
        <v>51359</v>
      </c>
      <c r="AY623" s="847">
        <v>52385</v>
      </c>
      <c r="AZ623" s="847">
        <v>53432</v>
      </c>
      <c r="BA623" s="847">
        <v>54499</v>
      </c>
      <c r="BB623" s="847">
        <v>55587</v>
      </c>
      <c r="BC623" s="847">
        <v>56696</v>
      </c>
      <c r="BD623" s="847">
        <v>57828</v>
      </c>
      <c r="BE623" s="847">
        <v>58981</v>
      </c>
      <c r="BF623" s="847">
        <v>60157</v>
      </c>
      <c r="BG623" s="847">
        <v>61356</v>
      </c>
      <c r="BH623" s="847">
        <v>62577</v>
      </c>
      <c r="BI623" s="847">
        <v>63200</v>
      </c>
      <c r="BJ623" s="847">
        <v>0</v>
      </c>
      <c r="BK623" s="847">
        <v>0</v>
      </c>
      <c r="BL623" s="847">
        <v>0</v>
      </c>
      <c r="BM623" s="847">
        <v>0</v>
      </c>
      <c r="BN623" s="847">
        <v>0</v>
      </c>
      <c r="BO623" s="847">
        <v>0</v>
      </c>
      <c r="BP623" s="847">
        <v>0</v>
      </c>
      <c r="BQ623" s="847">
        <v>0</v>
      </c>
      <c r="BR623" s="847">
        <v>0</v>
      </c>
      <c r="BS623" s="847">
        <v>0</v>
      </c>
      <c r="BT623" s="847">
        <v>0</v>
      </c>
      <c r="BU623" s="847">
        <v>0</v>
      </c>
      <c r="BV623" s="847">
        <v>0</v>
      </c>
      <c r="BW623" s="847">
        <v>0</v>
      </c>
      <c r="BX623" s="847">
        <v>0</v>
      </c>
      <c r="BY623" s="847">
        <v>0</v>
      </c>
      <c r="BZ623" s="847">
        <v>0</v>
      </c>
      <c r="CA623" s="847">
        <v>0</v>
      </c>
      <c r="CB623" s="847">
        <v>0</v>
      </c>
      <c r="CC623" s="847">
        <v>0</v>
      </c>
      <c r="CD623" s="847">
        <v>0</v>
      </c>
      <c r="CE623" s="847">
        <v>0</v>
      </c>
      <c r="CF623" s="847">
        <v>0</v>
      </c>
      <c r="CG623" s="847">
        <v>0</v>
      </c>
      <c r="CH623" s="847">
        <v>0</v>
      </c>
      <c r="CI623" s="847">
        <v>0</v>
      </c>
      <c r="CJ623" s="847">
        <v>0</v>
      </c>
      <c r="CK623" s="847">
        <v>0</v>
      </c>
      <c r="CL623" s="847">
        <v>0</v>
      </c>
      <c r="CM623" s="847">
        <v>0</v>
      </c>
      <c r="CN623" s="847">
        <v>0</v>
      </c>
      <c r="CO623" s="847">
        <v>0</v>
      </c>
      <c r="CP623" s="847">
        <v>0</v>
      </c>
      <c r="CQ623" s="847">
        <v>0</v>
      </c>
      <c r="CR623" s="847">
        <v>0</v>
      </c>
      <c r="CS623" s="847">
        <v>0</v>
      </c>
      <c r="CT623" s="847">
        <v>0</v>
      </c>
      <c r="CU623" s="847">
        <v>0</v>
      </c>
      <c r="CV623" s="847">
        <v>0</v>
      </c>
      <c r="CW623" s="847">
        <v>0</v>
      </c>
      <c r="CX623" s="847">
        <v>0</v>
      </c>
      <c r="CY623" s="847">
        <v>0</v>
      </c>
      <c r="CZ623" s="847">
        <v>0</v>
      </c>
      <c r="DA623" s="847">
        <v>0</v>
      </c>
      <c r="DB623" s="847">
        <v>0</v>
      </c>
      <c r="DC623" s="847">
        <v>0</v>
      </c>
      <c r="DD623" s="847">
        <v>0</v>
      </c>
      <c r="DE623" s="847">
        <v>0</v>
      </c>
      <c r="DF623" s="847">
        <v>0</v>
      </c>
      <c r="DG623" s="847">
        <v>0</v>
      </c>
      <c r="DH623" s="847">
        <v>0</v>
      </c>
      <c r="DI623" s="847">
        <v>0</v>
      </c>
      <c r="DJ623" s="847">
        <v>0</v>
      </c>
      <c r="DK623" s="847">
        <v>0</v>
      </c>
      <c r="DL623" s="847">
        <v>0</v>
      </c>
      <c r="DM623" s="847">
        <v>0</v>
      </c>
      <c r="DN623" s="847">
        <v>0</v>
      </c>
      <c r="DO623" s="847">
        <v>0</v>
      </c>
      <c r="DP623" s="847">
        <v>0</v>
      </c>
      <c r="DQ623" s="847">
        <v>0</v>
      </c>
      <c r="DR623" s="847">
        <v>0</v>
      </c>
      <c r="DS623" s="847">
        <v>0</v>
      </c>
      <c r="DT623" s="847">
        <v>0</v>
      </c>
      <c r="DU623" s="847">
        <v>0</v>
      </c>
      <c r="DV623" s="847">
        <v>0</v>
      </c>
      <c r="DW623" s="847">
        <v>0</v>
      </c>
      <c r="DX623" s="847">
        <v>0</v>
      </c>
    </row>
    <row r="624" spans="12:128" hidden="1">
      <c r="L624" s="846" t="s">
        <v>1060</v>
      </c>
      <c r="M624" s="846" t="s">
        <v>1382</v>
      </c>
      <c r="N624" s="846" t="s">
        <v>97</v>
      </c>
      <c r="O624" s="847">
        <v>68</v>
      </c>
      <c r="P624" s="780" t="str">
        <f t="shared" si="20"/>
        <v>IWT060268</v>
      </c>
      <c r="Q624" s="847">
        <v>26799</v>
      </c>
      <c r="R624" s="847">
        <v>27335</v>
      </c>
      <c r="S624" s="847">
        <v>27882</v>
      </c>
      <c r="T624" s="847">
        <v>28439</v>
      </c>
      <c r="U624" s="847">
        <v>29008</v>
      </c>
      <c r="V624" s="847">
        <v>29588</v>
      </c>
      <c r="W624" s="847">
        <v>30128</v>
      </c>
      <c r="X624" s="847">
        <v>30685</v>
      </c>
      <c r="Y624" s="847">
        <v>31262</v>
      </c>
      <c r="Z624" s="847">
        <v>31862</v>
      </c>
      <c r="AA624" s="847">
        <v>32490</v>
      </c>
      <c r="AB624" s="847">
        <v>33140</v>
      </c>
      <c r="AC624" s="847">
        <v>33803</v>
      </c>
      <c r="AD624" s="847">
        <v>34479</v>
      </c>
      <c r="AE624" s="847">
        <v>35168</v>
      </c>
      <c r="AF624" s="847">
        <v>35872</v>
      </c>
      <c r="AG624" s="847">
        <v>36589</v>
      </c>
      <c r="AH624" s="847">
        <v>37321</v>
      </c>
      <c r="AI624" s="847">
        <v>38067</v>
      </c>
      <c r="AJ624" s="847">
        <v>38828</v>
      </c>
      <c r="AK624" s="847">
        <v>39604</v>
      </c>
      <c r="AL624" s="847">
        <v>40396</v>
      </c>
      <c r="AM624" s="847">
        <v>41204</v>
      </c>
      <c r="AN624" s="847">
        <v>42028</v>
      </c>
      <c r="AO624" s="847">
        <v>42868</v>
      </c>
      <c r="AP624" s="847">
        <v>43725</v>
      </c>
      <c r="AQ624" s="847">
        <v>44599</v>
      </c>
      <c r="AR624" s="847">
        <v>45491</v>
      </c>
      <c r="AS624" s="847">
        <v>46400</v>
      </c>
      <c r="AT624" s="847">
        <v>47327</v>
      </c>
      <c r="AU624" s="847">
        <v>48273</v>
      </c>
      <c r="AV624" s="847">
        <v>49238</v>
      </c>
      <c r="AW624" s="847">
        <v>50222</v>
      </c>
      <c r="AX624" s="847">
        <v>51225</v>
      </c>
      <c r="AY624" s="847">
        <v>52248</v>
      </c>
      <c r="AZ624" s="847">
        <v>53292</v>
      </c>
      <c r="BA624" s="847">
        <v>54356</v>
      </c>
      <c r="BB624" s="847">
        <v>55441</v>
      </c>
      <c r="BC624" s="847">
        <v>56547</v>
      </c>
      <c r="BD624" s="847">
        <v>57675</v>
      </c>
      <c r="BE624" s="847">
        <v>58825</v>
      </c>
      <c r="BF624" s="847">
        <v>59997</v>
      </c>
      <c r="BG624" s="847">
        <v>61191</v>
      </c>
      <c r="BH624" s="847">
        <v>61800</v>
      </c>
      <c r="BI624" s="847">
        <v>0</v>
      </c>
      <c r="BJ624" s="847">
        <v>0</v>
      </c>
      <c r="BK624" s="847">
        <v>0</v>
      </c>
      <c r="BL624" s="847">
        <v>0</v>
      </c>
      <c r="BM624" s="847">
        <v>0</v>
      </c>
      <c r="BN624" s="847">
        <v>0</v>
      </c>
      <c r="BO624" s="847">
        <v>0</v>
      </c>
      <c r="BP624" s="847">
        <v>0</v>
      </c>
      <c r="BQ624" s="847">
        <v>0</v>
      </c>
      <c r="BR624" s="847">
        <v>0</v>
      </c>
      <c r="BS624" s="847">
        <v>0</v>
      </c>
      <c r="BT624" s="847">
        <v>0</v>
      </c>
      <c r="BU624" s="847">
        <v>0</v>
      </c>
      <c r="BV624" s="847">
        <v>0</v>
      </c>
      <c r="BW624" s="847">
        <v>0</v>
      </c>
      <c r="BX624" s="847">
        <v>0</v>
      </c>
      <c r="BY624" s="847">
        <v>0</v>
      </c>
      <c r="BZ624" s="847">
        <v>0</v>
      </c>
      <c r="CA624" s="847">
        <v>0</v>
      </c>
      <c r="CB624" s="847">
        <v>0</v>
      </c>
      <c r="CC624" s="847">
        <v>0</v>
      </c>
      <c r="CD624" s="847">
        <v>0</v>
      </c>
      <c r="CE624" s="847">
        <v>0</v>
      </c>
      <c r="CF624" s="847">
        <v>0</v>
      </c>
      <c r="CG624" s="847">
        <v>0</v>
      </c>
      <c r="CH624" s="847">
        <v>0</v>
      </c>
      <c r="CI624" s="847">
        <v>0</v>
      </c>
      <c r="CJ624" s="847">
        <v>0</v>
      </c>
      <c r="CK624" s="847">
        <v>0</v>
      </c>
      <c r="CL624" s="847">
        <v>0</v>
      </c>
      <c r="CM624" s="847">
        <v>0</v>
      </c>
      <c r="CN624" s="847">
        <v>0</v>
      </c>
      <c r="CO624" s="847">
        <v>0</v>
      </c>
      <c r="CP624" s="847">
        <v>0</v>
      </c>
      <c r="CQ624" s="847">
        <v>0</v>
      </c>
      <c r="CR624" s="847">
        <v>0</v>
      </c>
      <c r="CS624" s="847">
        <v>0</v>
      </c>
      <c r="CT624" s="847">
        <v>0</v>
      </c>
      <c r="CU624" s="847">
        <v>0</v>
      </c>
      <c r="CV624" s="847">
        <v>0</v>
      </c>
      <c r="CW624" s="847">
        <v>0</v>
      </c>
      <c r="CX624" s="847">
        <v>0</v>
      </c>
      <c r="CY624" s="847">
        <v>0</v>
      </c>
      <c r="CZ624" s="847">
        <v>0</v>
      </c>
      <c r="DA624" s="847">
        <v>0</v>
      </c>
      <c r="DB624" s="847">
        <v>0</v>
      </c>
      <c r="DC624" s="847">
        <v>0</v>
      </c>
      <c r="DD624" s="847">
        <v>0</v>
      </c>
      <c r="DE624" s="847">
        <v>0</v>
      </c>
      <c r="DF624" s="847">
        <v>0</v>
      </c>
      <c r="DG624" s="847">
        <v>0</v>
      </c>
      <c r="DH624" s="847">
        <v>0</v>
      </c>
      <c r="DI624" s="847">
        <v>0</v>
      </c>
      <c r="DJ624" s="847">
        <v>0</v>
      </c>
      <c r="DK624" s="847">
        <v>0</v>
      </c>
      <c r="DL624" s="847">
        <v>0</v>
      </c>
      <c r="DM624" s="847">
        <v>0</v>
      </c>
      <c r="DN624" s="847">
        <v>0</v>
      </c>
      <c r="DO624" s="847">
        <v>0</v>
      </c>
      <c r="DP624" s="847">
        <v>0</v>
      </c>
      <c r="DQ624" s="847">
        <v>0</v>
      </c>
      <c r="DR624" s="847">
        <v>0</v>
      </c>
      <c r="DS624" s="847">
        <v>0</v>
      </c>
      <c r="DT624" s="847">
        <v>0</v>
      </c>
      <c r="DU624" s="847">
        <v>0</v>
      </c>
      <c r="DV624" s="847">
        <v>0</v>
      </c>
      <c r="DW624" s="847">
        <v>0</v>
      </c>
      <c r="DX624" s="847">
        <v>0</v>
      </c>
    </row>
    <row r="625" spans="12:128" hidden="1">
      <c r="L625" s="846" t="s">
        <v>1060</v>
      </c>
      <c r="M625" s="846" t="s">
        <v>1382</v>
      </c>
      <c r="N625" s="846" t="s">
        <v>97</v>
      </c>
      <c r="O625" s="847">
        <v>69</v>
      </c>
      <c r="P625" s="780" t="str">
        <f t="shared" si="20"/>
        <v>IWT060269</v>
      </c>
      <c r="Q625" s="847">
        <v>26745</v>
      </c>
      <c r="R625" s="847">
        <v>27280</v>
      </c>
      <c r="S625" s="847">
        <v>27826</v>
      </c>
      <c r="T625" s="847">
        <v>28382</v>
      </c>
      <c r="U625" s="847">
        <v>28950</v>
      </c>
      <c r="V625" s="847">
        <v>29529</v>
      </c>
      <c r="W625" s="847">
        <v>30059</v>
      </c>
      <c r="X625" s="847">
        <v>30607</v>
      </c>
      <c r="Y625" s="847">
        <v>31175</v>
      </c>
      <c r="Z625" s="847">
        <v>31768</v>
      </c>
      <c r="AA625" s="847">
        <v>32389</v>
      </c>
      <c r="AB625" s="847">
        <v>33037</v>
      </c>
      <c r="AC625" s="847">
        <v>33697</v>
      </c>
      <c r="AD625" s="847">
        <v>34371</v>
      </c>
      <c r="AE625" s="847">
        <v>35059</v>
      </c>
      <c r="AF625" s="847">
        <v>35760</v>
      </c>
      <c r="AG625" s="847">
        <v>36475</v>
      </c>
      <c r="AH625" s="847">
        <v>37204</v>
      </c>
      <c r="AI625" s="847">
        <v>37948</v>
      </c>
      <c r="AJ625" s="847">
        <v>38707</v>
      </c>
      <c r="AK625" s="847">
        <v>39481</v>
      </c>
      <c r="AL625" s="847">
        <v>40270</v>
      </c>
      <c r="AM625" s="847">
        <v>41075</v>
      </c>
      <c r="AN625" s="847">
        <v>41896</v>
      </c>
      <c r="AO625" s="847">
        <v>42734</v>
      </c>
      <c r="AP625" s="847">
        <v>43588</v>
      </c>
      <c r="AQ625" s="847">
        <v>44460</v>
      </c>
      <c r="AR625" s="847">
        <v>45348</v>
      </c>
      <c r="AS625" s="847">
        <v>46255</v>
      </c>
      <c r="AT625" s="847">
        <v>47179</v>
      </c>
      <c r="AU625" s="847">
        <v>48122</v>
      </c>
      <c r="AV625" s="847">
        <v>49084</v>
      </c>
      <c r="AW625" s="847">
        <v>50064</v>
      </c>
      <c r="AX625" s="847">
        <v>51064</v>
      </c>
      <c r="AY625" s="847">
        <v>52084</v>
      </c>
      <c r="AZ625" s="847">
        <v>53124</v>
      </c>
      <c r="BA625" s="847">
        <v>54185</v>
      </c>
      <c r="BB625" s="847">
        <v>55266</v>
      </c>
      <c r="BC625" s="847">
        <v>56368</v>
      </c>
      <c r="BD625" s="847">
        <v>57492</v>
      </c>
      <c r="BE625" s="847">
        <v>58638</v>
      </c>
      <c r="BF625" s="847">
        <v>59805</v>
      </c>
      <c r="BG625" s="847">
        <v>60400</v>
      </c>
      <c r="BH625" s="847">
        <v>0</v>
      </c>
      <c r="BI625" s="847">
        <v>0</v>
      </c>
      <c r="BJ625" s="847">
        <v>0</v>
      </c>
      <c r="BK625" s="847">
        <v>0</v>
      </c>
      <c r="BL625" s="847">
        <v>0</v>
      </c>
      <c r="BM625" s="847">
        <v>0</v>
      </c>
      <c r="BN625" s="847">
        <v>0</v>
      </c>
      <c r="BO625" s="847">
        <v>0</v>
      </c>
      <c r="BP625" s="847">
        <v>0</v>
      </c>
      <c r="BQ625" s="847">
        <v>0</v>
      </c>
      <c r="BR625" s="847">
        <v>0</v>
      </c>
      <c r="BS625" s="847">
        <v>0</v>
      </c>
      <c r="BT625" s="847">
        <v>0</v>
      </c>
      <c r="BU625" s="847">
        <v>0</v>
      </c>
      <c r="BV625" s="847">
        <v>0</v>
      </c>
      <c r="BW625" s="847">
        <v>0</v>
      </c>
      <c r="BX625" s="847">
        <v>0</v>
      </c>
      <c r="BY625" s="847">
        <v>0</v>
      </c>
      <c r="BZ625" s="847">
        <v>0</v>
      </c>
      <c r="CA625" s="847">
        <v>0</v>
      </c>
      <c r="CB625" s="847">
        <v>0</v>
      </c>
      <c r="CC625" s="847">
        <v>0</v>
      </c>
      <c r="CD625" s="847">
        <v>0</v>
      </c>
      <c r="CE625" s="847">
        <v>0</v>
      </c>
      <c r="CF625" s="847">
        <v>0</v>
      </c>
      <c r="CG625" s="847">
        <v>0</v>
      </c>
      <c r="CH625" s="847">
        <v>0</v>
      </c>
      <c r="CI625" s="847">
        <v>0</v>
      </c>
      <c r="CJ625" s="847">
        <v>0</v>
      </c>
      <c r="CK625" s="847">
        <v>0</v>
      </c>
      <c r="CL625" s="847">
        <v>0</v>
      </c>
      <c r="CM625" s="847">
        <v>0</v>
      </c>
      <c r="CN625" s="847">
        <v>0</v>
      </c>
      <c r="CO625" s="847">
        <v>0</v>
      </c>
      <c r="CP625" s="847">
        <v>0</v>
      </c>
      <c r="CQ625" s="847">
        <v>0</v>
      </c>
      <c r="CR625" s="847">
        <v>0</v>
      </c>
      <c r="CS625" s="847">
        <v>0</v>
      </c>
      <c r="CT625" s="847">
        <v>0</v>
      </c>
      <c r="CU625" s="847">
        <v>0</v>
      </c>
      <c r="CV625" s="847">
        <v>0</v>
      </c>
      <c r="CW625" s="847">
        <v>0</v>
      </c>
      <c r="CX625" s="847">
        <v>0</v>
      </c>
      <c r="CY625" s="847">
        <v>0</v>
      </c>
      <c r="CZ625" s="847">
        <v>0</v>
      </c>
      <c r="DA625" s="847">
        <v>0</v>
      </c>
      <c r="DB625" s="847">
        <v>0</v>
      </c>
      <c r="DC625" s="847">
        <v>0</v>
      </c>
      <c r="DD625" s="847">
        <v>0</v>
      </c>
      <c r="DE625" s="847">
        <v>0</v>
      </c>
      <c r="DF625" s="847">
        <v>0</v>
      </c>
      <c r="DG625" s="847">
        <v>0</v>
      </c>
      <c r="DH625" s="847">
        <v>0</v>
      </c>
      <c r="DI625" s="847">
        <v>0</v>
      </c>
      <c r="DJ625" s="847">
        <v>0</v>
      </c>
      <c r="DK625" s="847">
        <v>0</v>
      </c>
      <c r="DL625" s="847">
        <v>0</v>
      </c>
      <c r="DM625" s="847">
        <v>0</v>
      </c>
      <c r="DN625" s="847">
        <v>0</v>
      </c>
      <c r="DO625" s="847">
        <v>0</v>
      </c>
      <c r="DP625" s="847">
        <v>0</v>
      </c>
      <c r="DQ625" s="847">
        <v>0</v>
      </c>
      <c r="DR625" s="847">
        <v>0</v>
      </c>
      <c r="DS625" s="847">
        <v>0</v>
      </c>
      <c r="DT625" s="847">
        <v>0</v>
      </c>
      <c r="DU625" s="847">
        <v>0</v>
      </c>
      <c r="DV625" s="847">
        <v>0</v>
      </c>
      <c r="DW625" s="847">
        <v>0</v>
      </c>
      <c r="DX625" s="847">
        <v>0</v>
      </c>
    </row>
    <row r="626" spans="12:128" hidden="1">
      <c r="L626" s="846" t="s">
        <v>1060</v>
      </c>
      <c r="M626" s="846" t="s">
        <v>1382</v>
      </c>
      <c r="N626" s="846" t="s">
        <v>97</v>
      </c>
      <c r="O626" s="847">
        <v>70</v>
      </c>
      <c r="P626" s="780" t="str">
        <f t="shared" si="20"/>
        <v>IWT060270</v>
      </c>
      <c r="Q626" s="847">
        <v>26684</v>
      </c>
      <c r="R626" s="847">
        <v>27218</v>
      </c>
      <c r="S626" s="847">
        <v>27762</v>
      </c>
      <c r="T626" s="847">
        <v>28317</v>
      </c>
      <c r="U626" s="847">
        <v>28884</v>
      </c>
      <c r="V626" s="847">
        <v>29461</v>
      </c>
      <c r="W626" s="847">
        <v>29982</v>
      </c>
      <c r="X626" s="847">
        <v>30519</v>
      </c>
      <c r="Y626" s="847">
        <v>31076</v>
      </c>
      <c r="Z626" s="847">
        <v>31659</v>
      </c>
      <c r="AA626" s="847">
        <v>32271</v>
      </c>
      <c r="AB626" s="847">
        <v>32917</v>
      </c>
      <c r="AC626" s="847">
        <v>33575</v>
      </c>
      <c r="AD626" s="847">
        <v>34246</v>
      </c>
      <c r="AE626" s="847">
        <v>34931</v>
      </c>
      <c r="AF626" s="847">
        <v>35630</v>
      </c>
      <c r="AG626" s="847">
        <v>36342</v>
      </c>
      <c r="AH626" s="847">
        <v>37069</v>
      </c>
      <c r="AI626" s="847">
        <v>37810</v>
      </c>
      <c r="AJ626" s="847">
        <v>38566</v>
      </c>
      <c r="AK626" s="847">
        <v>39337</v>
      </c>
      <c r="AL626" s="847">
        <v>40124</v>
      </c>
      <c r="AM626" s="847">
        <v>40926</v>
      </c>
      <c r="AN626" s="847">
        <v>41744</v>
      </c>
      <c r="AO626" s="847">
        <v>42579</v>
      </c>
      <c r="AP626" s="847">
        <v>43430</v>
      </c>
      <c r="AQ626" s="847">
        <v>44298</v>
      </c>
      <c r="AR626" s="847">
        <v>45183</v>
      </c>
      <c r="AS626" s="847">
        <v>46086</v>
      </c>
      <c r="AT626" s="847">
        <v>47007</v>
      </c>
      <c r="AU626" s="847">
        <v>47946</v>
      </c>
      <c r="AV626" s="847">
        <v>48904</v>
      </c>
      <c r="AW626" s="847">
        <v>49881</v>
      </c>
      <c r="AX626" s="847">
        <v>50877</v>
      </c>
      <c r="AY626" s="847">
        <v>51893</v>
      </c>
      <c r="AZ626" s="847">
        <v>52929</v>
      </c>
      <c r="BA626" s="847">
        <v>53985</v>
      </c>
      <c r="BB626" s="847">
        <v>55062</v>
      </c>
      <c r="BC626" s="847">
        <v>56160</v>
      </c>
      <c r="BD626" s="847">
        <v>57279</v>
      </c>
      <c r="BE626" s="847">
        <v>58419</v>
      </c>
      <c r="BF626" s="847">
        <v>59000</v>
      </c>
      <c r="BG626" s="847">
        <v>0</v>
      </c>
      <c r="BH626" s="847">
        <v>0</v>
      </c>
      <c r="BI626" s="847">
        <v>0</v>
      </c>
      <c r="BJ626" s="847">
        <v>0</v>
      </c>
      <c r="BK626" s="847">
        <v>0</v>
      </c>
      <c r="BL626" s="847">
        <v>0</v>
      </c>
      <c r="BM626" s="847">
        <v>0</v>
      </c>
      <c r="BN626" s="847">
        <v>0</v>
      </c>
      <c r="BO626" s="847">
        <v>0</v>
      </c>
      <c r="BP626" s="847">
        <v>0</v>
      </c>
      <c r="BQ626" s="847">
        <v>0</v>
      </c>
      <c r="BR626" s="847">
        <v>0</v>
      </c>
      <c r="BS626" s="847">
        <v>0</v>
      </c>
      <c r="BT626" s="847">
        <v>0</v>
      </c>
      <c r="BU626" s="847">
        <v>0</v>
      </c>
      <c r="BV626" s="847">
        <v>0</v>
      </c>
      <c r="BW626" s="847">
        <v>0</v>
      </c>
      <c r="BX626" s="847">
        <v>0</v>
      </c>
      <c r="BY626" s="847">
        <v>0</v>
      </c>
      <c r="BZ626" s="847">
        <v>0</v>
      </c>
      <c r="CA626" s="847">
        <v>0</v>
      </c>
      <c r="CB626" s="847">
        <v>0</v>
      </c>
      <c r="CC626" s="847">
        <v>0</v>
      </c>
      <c r="CD626" s="847">
        <v>0</v>
      </c>
      <c r="CE626" s="847">
        <v>0</v>
      </c>
      <c r="CF626" s="847">
        <v>0</v>
      </c>
      <c r="CG626" s="847">
        <v>0</v>
      </c>
      <c r="CH626" s="847">
        <v>0</v>
      </c>
      <c r="CI626" s="847">
        <v>0</v>
      </c>
      <c r="CJ626" s="847">
        <v>0</v>
      </c>
      <c r="CK626" s="847">
        <v>0</v>
      </c>
      <c r="CL626" s="847">
        <v>0</v>
      </c>
      <c r="CM626" s="847">
        <v>0</v>
      </c>
      <c r="CN626" s="847">
        <v>0</v>
      </c>
      <c r="CO626" s="847">
        <v>0</v>
      </c>
      <c r="CP626" s="847">
        <v>0</v>
      </c>
      <c r="CQ626" s="847">
        <v>0</v>
      </c>
      <c r="CR626" s="847">
        <v>0</v>
      </c>
      <c r="CS626" s="847">
        <v>0</v>
      </c>
      <c r="CT626" s="847">
        <v>0</v>
      </c>
      <c r="CU626" s="847">
        <v>0</v>
      </c>
      <c r="CV626" s="847">
        <v>0</v>
      </c>
      <c r="CW626" s="847">
        <v>0</v>
      </c>
      <c r="CX626" s="847">
        <v>0</v>
      </c>
      <c r="CY626" s="847">
        <v>0</v>
      </c>
      <c r="CZ626" s="847">
        <v>0</v>
      </c>
      <c r="DA626" s="847">
        <v>0</v>
      </c>
      <c r="DB626" s="847">
        <v>0</v>
      </c>
      <c r="DC626" s="847">
        <v>0</v>
      </c>
      <c r="DD626" s="847">
        <v>0</v>
      </c>
      <c r="DE626" s="847">
        <v>0</v>
      </c>
      <c r="DF626" s="847">
        <v>0</v>
      </c>
      <c r="DG626" s="847">
        <v>0</v>
      </c>
      <c r="DH626" s="847">
        <v>0</v>
      </c>
      <c r="DI626" s="847">
        <v>0</v>
      </c>
      <c r="DJ626" s="847">
        <v>0</v>
      </c>
      <c r="DK626" s="847">
        <v>0</v>
      </c>
      <c r="DL626" s="847">
        <v>0</v>
      </c>
      <c r="DM626" s="847">
        <v>0</v>
      </c>
      <c r="DN626" s="847">
        <v>0</v>
      </c>
      <c r="DO626" s="847">
        <v>0</v>
      </c>
      <c r="DP626" s="847">
        <v>0</v>
      </c>
      <c r="DQ626" s="847">
        <v>0</v>
      </c>
      <c r="DR626" s="847">
        <v>0</v>
      </c>
      <c r="DS626" s="847">
        <v>0</v>
      </c>
      <c r="DT626" s="847">
        <v>0</v>
      </c>
      <c r="DU626" s="847">
        <v>0</v>
      </c>
      <c r="DV626" s="847">
        <v>0</v>
      </c>
      <c r="DW626" s="847">
        <v>0</v>
      </c>
      <c r="DX626" s="847">
        <v>0</v>
      </c>
    </row>
    <row r="627" spans="12:128" hidden="1">
      <c r="L627" s="846" t="s">
        <v>1060</v>
      </c>
      <c r="M627" s="846" t="s">
        <v>1382</v>
      </c>
      <c r="N627" s="846" t="s">
        <v>97</v>
      </c>
      <c r="O627" s="847">
        <v>71</v>
      </c>
      <c r="P627" s="780" t="str">
        <f t="shared" si="20"/>
        <v>IWT060271</v>
      </c>
      <c r="Q627" s="847">
        <v>26620</v>
      </c>
      <c r="R627" s="847">
        <v>27153</v>
      </c>
      <c r="S627" s="847">
        <v>27696</v>
      </c>
      <c r="T627" s="847">
        <v>28250</v>
      </c>
      <c r="U627" s="847">
        <v>28815</v>
      </c>
      <c r="V627" s="847">
        <v>29391</v>
      </c>
      <c r="W627" s="847">
        <v>29899</v>
      </c>
      <c r="X627" s="847">
        <v>30423</v>
      </c>
      <c r="Y627" s="847">
        <v>30968</v>
      </c>
      <c r="Z627" s="847">
        <v>31538</v>
      </c>
      <c r="AA627" s="847">
        <v>32139</v>
      </c>
      <c r="AB627" s="847">
        <v>32778</v>
      </c>
      <c r="AC627" s="847">
        <v>33434</v>
      </c>
      <c r="AD627" s="847">
        <v>34102</v>
      </c>
      <c r="AE627" s="847">
        <v>34784</v>
      </c>
      <c r="AF627" s="847">
        <v>35480</v>
      </c>
      <c r="AG627" s="847">
        <v>36189</v>
      </c>
      <c r="AH627" s="847">
        <v>36913</v>
      </c>
      <c r="AI627" s="847">
        <v>37651</v>
      </c>
      <c r="AJ627" s="847">
        <v>38404</v>
      </c>
      <c r="AK627" s="847">
        <v>39172</v>
      </c>
      <c r="AL627" s="847">
        <v>39955</v>
      </c>
      <c r="AM627" s="847">
        <v>40754</v>
      </c>
      <c r="AN627" s="847">
        <v>41568</v>
      </c>
      <c r="AO627" s="847">
        <v>42399</v>
      </c>
      <c r="AP627" s="847">
        <v>43247</v>
      </c>
      <c r="AQ627" s="847">
        <v>44111</v>
      </c>
      <c r="AR627" s="847">
        <v>44993</v>
      </c>
      <c r="AS627" s="847">
        <v>45892</v>
      </c>
      <c r="AT627" s="847">
        <v>46809</v>
      </c>
      <c r="AU627" s="847">
        <v>47744</v>
      </c>
      <c r="AV627" s="847">
        <v>48698</v>
      </c>
      <c r="AW627" s="847">
        <v>49670</v>
      </c>
      <c r="AX627" s="847">
        <v>50662</v>
      </c>
      <c r="AY627" s="847">
        <v>51673</v>
      </c>
      <c r="AZ627" s="847">
        <v>52704</v>
      </c>
      <c r="BA627" s="847">
        <v>53755</v>
      </c>
      <c r="BB627" s="847">
        <v>54827</v>
      </c>
      <c r="BC627" s="847">
        <v>55919</v>
      </c>
      <c r="BD627" s="847">
        <v>57032</v>
      </c>
      <c r="BE627" s="847">
        <v>57600</v>
      </c>
      <c r="BF627" s="847">
        <v>0</v>
      </c>
      <c r="BG627" s="847">
        <v>0</v>
      </c>
      <c r="BH627" s="847">
        <v>0</v>
      </c>
      <c r="BI627" s="847">
        <v>0</v>
      </c>
      <c r="BJ627" s="847">
        <v>0</v>
      </c>
      <c r="BK627" s="847">
        <v>0</v>
      </c>
      <c r="BL627" s="847">
        <v>0</v>
      </c>
      <c r="BM627" s="847">
        <v>0</v>
      </c>
      <c r="BN627" s="847">
        <v>0</v>
      </c>
      <c r="BO627" s="847">
        <v>0</v>
      </c>
      <c r="BP627" s="847">
        <v>0</v>
      </c>
      <c r="BQ627" s="847">
        <v>0</v>
      </c>
      <c r="BR627" s="847">
        <v>0</v>
      </c>
      <c r="BS627" s="847">
        <v>0</v>
      </c>
      <c r="BT627" s="847">
        <v>0</v>
      </c>
      <c r="BU627" s="847">
        <v>0</v>
      </c>
      <c r="BV627" s="847">
        <v>0</v>
      </c>
      <c r="BW627" s="847">
        <v>0</v>
      </c>
      <c r="BX627" s="847">
        <v>0</v>
      </c>
      <c r="BY627" s="847">
        <v>0</v>
      </c>
      <c r="BZ627" s="847">
        <v>0</v>
      </c>
      <c r="CA627" s="847">
        <v>0</v>
      </c>
      <c r="CB627" s="847">
        <v>0</v>
      </c>
      <c r="CC627" s="847">
        <v>0</v>
      </c>
      <c r="CD627" s="847">
        <v>0</v>
      </c>
      <c r="CE627" s="847">
        <v>0</v>
      </c>
      <c r="CF627" s="847">
        <v>0</v>
      </c>
      <c r="CG627" s="847">
        <v>0</v>
      </c>
      <c r="CH627" s="847">
        <v>0</v>
      </c>
      <c r="CI627" s="847">
        <v>0</v>
      </c>
      <c r="CJ627" s="847">
        <v>0</v>
      </c>
      <c r="CK627" s="847">
        <v>0</v>
      </c>
      <c r="CL627" s="847">
        <v>0</v>
      </c>
      <c r="CM627" s="847">
        <v>0</v>
      </c>
      <c r="CN627" s="847">
        <v>0</v>
      </c>
      <c r="CO627" s="847">
        <v>0</v>
      </c>
      <c r="CP627" s="847">
        <v>0</v>
      </c>
      <c r="CQ627" s="847">
        <v>0</v>
      </c>
      <c r="CR627" s="847">
        <v>0</v>
      </c>
      <c r="CS627" s="847">
        <v>0</v>
      </c>
      <c r="CT627" s="847">
        <v>0</v>
      </c>
      <c r="CU627" s="847">
        <v>0</v>
      </c>
      <c r="CV627" s="847">
        <v>0</v>
      </c>
      <c r="CW627" s="847">
        <v>0</v>
      </c>
      <c r="CX627" s="847">
        <v>0</v>
      </c>
      <c r="CY627" s="847">
        <v>0</v>
      </c>
      <c r="CZ627" s="847">
        <v>0</v>
      </c>
      <c r="DA627" s="847">
        <v>0</v>
      </c>
      <c r="DB627" s="847">
        <v>0</v>
      </c>
      <c r="DC627" s="847">
        <v>0</v>
      </c>
      <c r="DD627" s="847">
        <v>0</v>
      </c>
      <c r="DE627" s="847">
        <v>0</v>
      </c>
      <c r="DF627" s="847">
        <v>0</v>
      </c>
      <c r="DG627" s="847">
        <v>0</v>
      </c>
      <c r="DH627" s="847">
        <v>0</v>
      </c>
      <c r="DI627" s="847">
        <v>0</v>
      </c>
      <c r="DJ627" s="847">
        <v>0</v>
      </c>
      <c r="DK627" s="847">
        <v>0</v>
      </c>
      <c r="DL627" s="847">
        <v>0</v>
      </c>
      <c r="DM627" s="847">
        <v>0</v>
      </c>
      <c r="DN627" s="847">
        <v>0</v>
      </c>
      <c r="DO627" s="847">
        <v>0</v>
      </c>
      <c r="DP627" s="847">
        <v>0</v>
      </c>
      <c r="DQ627" s="847">
        <v>0</v>
      </c>
      <c r="DR627" s="847">
        <v>0</v>
      </c>
      <c r="DS627" s="847">
        <v>0</v>
      </c>
      <c r="DT627" s="847">
        <v>0</v>
      </c>
      <c r="DU627" s="847">
        <v>0</v>
      </c>
      <c r="DV627" s="847">
        <v>0</v>
      </c>
      <c r="DW627" s="847">
        <v>0</v>
      </c>
      <c r="DX627" s="847">
        <v>0</v>
      </c>
    </row>
    <row r="628" spans="12:128" hidden="1">
      <c r="L628" s="846" t="s">
        <v>1060</v>
      </c>
      <c r="M628" s="846" t="s">
        <v>1382</v>
      </c>
      <c r="N628" s="846" t="s">
        <v>97</v>
      </c>
      <c r="O628" s="847">
        <v>72</v>
      </c>
      <c r="P628" s="780" t="str">
        <f t="shared" si="20"/>
        <v>IWT060272</v>
      </c>
      <c r="Q628" s="847">
        <v>26555</v>
      </c>
      <c r="R628" s="847">
        <v>27086</v>
      </c>
      <c r="S628" s="847">
        <v>27628</v>
      </c>
      <c r="T628" s="847">
        <v>28180</v>
      </c>
      <c r="U628" s="847">
        <v>28744</v>
      </c>
      <c r="V628" s="847">
        <v>29318</v>
      </c>
      <c r="W628" s="847">
        <v>29812</v>
      </c>
      <c r="X628" s="847">
        <v>30322</v>
      </c>
      <c r="Y628" s="847">
        <v>30852</v>
      </c>
      <c r="Z628" s="847">
        <v>31407</v>
      </c>
      <c r="AA628" s="847">
        <v>31994</v>
      </c>
      <c r="AB628" s="847">
        <v>32621</v>
      </c>
      <c r="AC628" s="847">
        <v>33273</v>
      </c>
      <c r="AD628" s="847">
        <v>33938</v>
      </c>
      <c r="AE628" s="847">
        <v>34617</v>
      </c>
      <c r="AF628" s="847">
        <v>35309</v>
      </c>
      <c r="AG628" s="847">
        <v>36015</v>
      </c>
      <c r="AH628" s="847">
        <v>36735</v>
      </c>
      <c r="AI628" s="847">
        <v>37470</v>
      </c>
      <c r="AJ628" s="847">
        <v>38219</v>
      </c>
      <c r="AK628" s="847">
        <v>38983</v>
      </c>
      <c r="AL628" s="847">
        <v>39762</v>
      </c>
      <c r="AM628" s="847">
        <v>40557</v>
      </c>
      <c r="AN628" s="847">
        <v>41368</v>
      </c>
      <c r="AO628" s="847">
        <v>42195</v>
      </c>
      <c r="AP628" s="847">
        <v>43038</v>
      </c>
      <c r="AQ628" s="847">
        <v>43898</v>
      </c>
      <c r="AR628" s="847">
        <v>44775</v>
      </c>
      <c r="AS628" s="847">
        <v>45670</v>
      </c>
      <c r="AT628" s="847">
        <v>46582</v>
      </c>
      <c r="AU628" s="847">
        <v>47513</v>
      </c>
      <c r="AV628" s="847">
        <v>48462</v>
      </c>
      <c r="AW628" s="847">
        <v>49429</v>
      </c>
      <c r="AX628" s="847">
        <v>50416</v>
      </c>
      <c r="AY628" s="847">
        <v>51422</v>
      </c>
      <c r="AZ628" s="847">
        <v>52448</v>
      </c>
      <c r="BA628" s="847">
        <v>53494</v>
      </c>
      <c r="BB628" s="847">
        <v>54560</v>
      </c>
      <c r="BC628" s="847">
        <v>55646</v>
      </c>
      <c r="BD628" s="847">
        <v>56200</v>
      </c>
      <c r="BE628" s="847">
        <v>0</v>
      </c>
      <c r="BF628" s="847">
        <v>0</v>
      </c>
      <c r="BG628" s="847">
        <v>0</v>
      </c>
      <c r="BH628" s="847">
        <v>0</v>
      </c>
      <c r="BI628" s="847">
        <v>0</v>
      </c>
      <c r="BJ628" s="847">
        <v>0</v>
      </c>
      <c r="BK628" s="847">
        <v>0</v>
      </c>
      <c r="BL628" s="847">
        <v>0</v>
      </c>
      <c r="BM628" s="847">
        <v>0</v>
      </c>
      <c r="BN628" s="847">
        <v>0</v>
      </c>
      <c r="BO628" s="847">
        <v>0</v>
      </c>
      <c r="BP628" s="847">
        <v>0</v>
      </c>
      <c r="BQ628" s="847">
        <v>0</v>
      </c>
      <c r="BR628" s="847">
        <v>0</v>
      </c>
      <c r="BS628" s="847">
        <v>0</v>
      </c>
      <c r="BT628" s="847">
        <v>0</v>
      </c>
      <c r="BU628" s="847">
        <v>0</v>
      </c>
      <c r="BV628" s="847">
        <v>0</v>
      </c>
      <c r="BW628" s="847">
        <v>0</v>
      </c>
      <c r="BX628" s="847">
        <v>0</v>
      </c>
      <c r="BY628" s="847">
        <v>0</v>
      </c>
      <c r="BZ628" s="847">
        <v>0</v>
      </c>
      <c r="CA628" s="847">
        <v>0</v>
      </c>
      <c r="CB628" s="847">
        <v>0</v>
      </c>
      <c r="CC628" s="847">
        <v>0</v>
      </c>
      <c r="CD628" s="847">
        <v>0</v>
      </c>
      <c r="CE628" s="847">
        <v>0</v>
      </c>
      <c r="CF628" s="847">
        <v>0</v>
      </c>
      <c r="CG628" s="847">
        <v>0</v>
      </c>
      <c r="CH628" s="847">
        <v>0</v>
      </c>
      <c r="CI628" s="847">
        <v>0</v>
      </c>
      <c r="CJ628" s="847">
        <v>0</v>
      </c>
      <c r="CK628" s="847">
        <v>0</v>
      </c>
      <c r="CL628" s="847">
        <v>0</v>
      </c>
      <c r="CM628" s="847">
        <v>0</v>
      </c>
      <c r="CN628" s="847">
        <v>0</v>
      </c>
      <c r="CO628" s="847">
        <v>0</v>
      </c>
      <c r="CP628" s="847">
        <v>0</v>
      </c>
      <c r="CQ628" s="847">
        <v>0</v>
      </c>
      <c r="CR628" s="847">
        <v>0</v>
      </c>
      <c r="CS628" s="847">
        <v>0</v>
      </c>
      <c r="CT628" s="847">
        <v>0</v>
      </c>
      <c r="CU628" s="847">
        <v>0</v>
      </c>
      <c r="CV628" s="847">
        <v>0</v>
      </c>
      <c r="CW628" s="847">
        <v>0</v>
      </c>
      <c r="CX628" s="847">
        <v>0</v>
      </c>
      <c r="CY628" s="847">
        <v>0</v>
      </c>
      <c r="CZ628" s="847">
        <v>0</v>
      </c>
      <c r="DA628" s="847">
        <v>0</v>
      </c>
      <c r="DB628" s="847">
        <v>0</v>
      </c>
      <c r="DC628" s="847">
        <v>0</v>
      </c>
      <c r="DD628" s="847">
        <v>0</v>
      </c>
      <c r="DE628" s="847">
        <v>0</v>
      </c>
      <c r="DF628" s="847">
        <v>0</v>
      </c>
      <c r="DG628" s="847">
        <v>0</v>
      </c>
      <c r="DH628" s="847">
        <v>0</v>
      </c>
      <c r="DI628" s="847">
        <v>0</v>
      </c>
      <c r="DJ628" s="847">
        <v>0</v>
      </c>
      <c r="DK628" s="847">
        <v>0</v>
      </c>
      <c r="DL628" s="847">
        <v>0</v>
      </c>
      <c r="DM628" s="847">
        <v>0</v>
      </c>
      <c r="DN628" s="847">
        <v>0</v>
      </c>
      <c r="DO628" s="847">
        <v>0</v>
      </c>
      <c r="DP628" s="847">
        <v>0</v>
      </c>
      <c r="DQ628" s="847">
        <v>0</v>
      </c>
      <c r="DR628" s="847">
        <v>0</v>
      </c>
      <c r="DS628" s="847">
        <v>0</v>
      </c>
      <c r="DT628" s="847">
        <v>0</v>
      </c>
      <c r="DU628" s="847">
        <v>0</v>
      </c>
      <c r="DV628" s="847">
        <v>0</v>
      </c>
      <c r="DW628" s="847">
        <v>0</v>
      </c>
      <c r="DX628" s="847">
        <v>0</v>
      </c>
    </row>
    <row r="629" spans="12:128" hidden="1">
      <c r="L629" s="846" t="s">
        <v>1060</v>
      </c>
      <c r="M629" s="846" t="s">
        <v>1382</v>
      </c>
      <c r="N629" s="846" t="s">
        <v>97</v>
      </c>
      <c r="O629" s="847">
        <v>73</v>
      </c>
      <c r="P629" s="780" t="str">
        <f t="shared" si="20"/>
        <v>IWT060273</v>
      </c>
      <c r="Q629" s="847">
        <v>26487</v>
      </c>
      <c r="R629" s="847">
        <v>27017</v>
      </c>
      <c r="S629" s="847">
        <v>27557</v>
      </c>
      <c r="T629" s="847">
        <v>28108</v>
      </c>
      <c r="U629" s="847">
        <v>28670</v>
      </c>
      <c r="V629" s="847">
        <v>29244</v>
      </c>
      <c r="W629" s="847">
        <v>29721</v>
      </c>
      <c r="X629" s="847">
        <v>30214</v>
      </c>
      <c r="Y629" s="847">
        <v>30727</v>
      </c>
      <c r="Z629" s="847">
        <v>31265</v>
      </c>
      <c r="AA629" s="847">
        <v>31835</v>
      </c>
      <c r="AB629" s="847">
        <v>32444</v>
      </c>
      <c r="AC629" s="847">
        <v>33093</v>
      </c>
      <c r="AD629" s="847">
        <v>33755</v>
      </c>
      <c r="AE629" s="847">
        <v>34430</v>
      </c>
      <c r="AF629" s="847">
        <v>35118</v>
      </c>
      <c r="AG629" s="847">
        <v>35820</v>
      </c>
      <c r="AH629" s="847">
        <v>36537</v>
      </c>
      <c r="AI629" s="847">
        <v>37267</v>
      </c>
      <c r="AJ629" s="847">
        <v>38012</v>
      </c>
      <c r="AK629" s="847">
        <v>38772</v>
      </c>
      <c r="AL629" s="847">
        <v>39547</v>
      </c>
      <c r="AM629" s="847">
        <v>40338</v>
      </c>
      <c r="AN629" s="847">
        <v>41144</v>
      </c>
      <c r="AO629" s="847">
        <v>41967</v>
      </c>
      <c r="AP629" s="847">
        <v>42805</v>
      </c>
      <c r="AQ629" s="847">
        <v>43661</v>
      </c>
      <c r="AR629" s="847">
        <v>44533</v>
      </c>
      <c r="AS629" s="847">
        <v>45423</v>
      </c>
      <c r="AT629" s="847">
        <v>46330</v>
      </c>
      <c r="AU629" s="847">
        <v>47255</v>
      </c>
      <c r="AV629" s="847">
        <v>48199</v>
      </c>
      <c r="AW629" s="847">
        <v>49161</v>
      </c>
      <c r="AX629" s="847">
        <v>50142</v>
      </c>
      <c r="AY629" s="847">
        <v>51142</v>
      </c>
      <c r="AZ629" s="847">
        <v>52162</v>
      </c>
      <c r="BA629" s="847">
        <v>53201</v>
      </c>
      <c r="BB629" s="847">
        <v>54260</v>
      </c>
      <c r="BC629" s="847">
        <v>54800</v>
      </c>
      <c r="BD629" s="847">
        <v>0</v>
      </c>
      <c r="BE629" s="847">
        <v>0</v>
      </c>
      <c r="BF629" s="847">
        <v>0</v>
      </c>
      <c r="BG629" s="847">
        <v>0</v>
      </c>
      <c r="BH629" s="847">
        <v>0</v>
      </c>
      <c r="BI629" s="847">
        <v>0</v>
      </c>
      <c r="BJ629" s="847">
        <v>0</v>
      </c>
      <c r="BK629" s="847">
        <v>0</v>
      </c>
      <c r="BL629" s="847">
        <v>0</v>
      </c>
      <c r="BM629" s="847">
        <v>0</v>
      </c>
      <c r="BN629" s="847">
        <v>0</v>
      </c>
      <c r="BO629" s="847">
        <v>0</v>
      </c>
      <c r="BP629" s="847">
        <v>0</v>
      </c>
      <c r="BQ629" s="847">
        <v>0</v>
      </c>
      <c r="BR629" s="847">
        <v>0</v>
      </c>
      <c r="BS629" s="847">
        <v>0</v>
      </c>
      <c r="BT629" s="847">
        <v>0</v>
      </c>
      <c r="BU629" s="847">
        <v>0</v>
      </c>
      <c r="BV629" s="847">
        <v>0</v>
      </c>
      <c r="BW629" s="847">
        <v>0</v>
      </c>
      <c r="BX629" s="847">
        <v>0</v>
      </c>
      <c r="BY629" s="847">
        <v>0</v>
      </c>
      <c r="BZ629" s="847">
        <v>0</v>
      </c>
      <c r="CA629" s="847">
        <v>0</v>
      </c>
      <c r="CB629" s="847">
        <v>0</v>
      </c>
      <c r="CC629" s="847">
        <v>0</v>
      </c>
      <c r="CD629" s="847">
        <v>0</v>
      </c>
      <c r="CE629" s="847">
        <v>0</v>
      </c>
      <c r="CF629" s="847">
        <v>0</v>
      </c>
      <c r="CG629" s="847">
        <v>0</v>
      </c>
      <c r="CH629" s="847">
        <v>0</v>
      </c>
      <c r="CI629" s="847">
        <v>0</v>
      </c>
      <c r="CJ629" s="847">
        <v>0</v>
      </c>
      <c r="CK629" s="847">
        <v>0</v>
      </c>
      <c r="CL629" s="847">
        <v>0</v>
      </c>
      <c r="CM629" s="847">
        <v>0</v>
      </c>
      <c r="CN629" s="847">
        <v>0</v>
      </c>
      <c r="CO629" s="847">
        <v>0</v>
      </c>
      <c r="CP629" s="847">
        <v>0</v>
      </c>
      <c r="CQ629" s="847">
        <v>0</v>
      </c>
      <c r="CR629" s="847">
        <v>0</v>
      </c>
      <c r="CS629" s="847">
        <v>0</v>
      </c>
      <c r="CT629" s="847">
        <v>0</v>
      </c>
      <c r="CU629" s="847">
        <v>0</v>
      </c>
      <c r="CV629" s="847">
        <v>0</v>
      </c>
      <c r="CW629" s="847">
        <v>0</v>
      </c>
      <c r="CX629" s="847">
        <v>0</v>
      </c>
      <c r="CY629" s="847">
        <v>0</v>
      </c>
      <c r="CZ629" s="847">
        <v>0</v>
      </c>
      <c r="DA629" s="847">
        <v>0</v>
      </c>
      <c r="DB629" s="847">
        <v>0</v>
      </c>
      <c r="DC629" s="847">
        <v>0</v>
      </c>
      <c r="DD629" s="847">
        <v>0</v>
      </c>
      <c r="DE629" s="847">
        <v>0</v>
      </c>
      <c r="DF629" s="847">
        <v>0</v>
      </c>
      <c r="DG629" s="847">
        <v>0</v>
      </c>
      <c r="DH629" s="847">
        <v>0</v>
      </c>
      <c r="DI629" s="847">
        <v>0</v>
      </c>
      <c r="DJ629" s="847">
        <v>0</v>
      </c>
      <c r="DK629" s="847">
        <v>0</v>
      </c>
      <c r="DL629" s="847">
        <v>0</v>
      </c>
      <c r="DM629" s="847">
        <v>0</v>
      </c>
      <c r="DN629" s="847">
        <v>0</v>
      </c>
      <c r="DO629" s="847">
        <v>0</v>
      </c>
      <c r="DP629" s="847">
        <v>0</v>
      </c>
      <c r="DQ629" s="847">
        <v>0</v>
      </c>
      <c r="DR629" s="847">
        <v>0</v>
      </c>
      <c r="DS629" s="847">
        <v>0</v>
      </c>
      <c r="DT629" s="847">
        <v>0</v>
      </c>
      <c r="DU629" s="847">
        <v>0</v>
      </c>
      <c r="DV629" s="847">
        <v>0</v>
      </c>
      <c r="DW629" s="847">
        <v>0</v>
      </c>
      <c r="DX629" s="847">
        <v>0</v>
      </c>
    </row>
    <row r="630" spans="12:128" hidden="1">
      <c r="L630" s="846" t="s">
        <v>1060</v>
      </c>
      <c r="M630" s="846" t="s">
        <v>1382</v>
      </c>
      <c r="N630" s="846" t="s">
        <v>97</v>
      </c>
      <c r="O630" s="847">
        <v>74</v>
      </c>
      <c r="P630" s="780" t="str">
        <f t="shared" si="20"/>
        <v>IWT060274</v>
      </c>
      <c r="Q630" s="847">
        <v>26420</v>
      </c>
      <c r="R630" s="847">
        <v>26949</v>
      </c>
      <c r="S630" s="847">
        <v>27488</v>
      </c>
      <c r="T630" s="847">
        <v>28037</v>
      </c>
      <c r="U630" s="847">
        <v>28598</v>
      </c>
      <c r="V630" s="847">
        <v>29170</v>
      </c>
      <c r="W630" s="847">
        <v>29629</v>
      </c>
      <c r="X630" s="847">
        <v>30103</v>
      </c>
      <c r="Y630" s="847">
        <v>30596</v>
      </c>
      <c r="Z630" s="847">
        <v>31114</v>
      </c>
      <c r="AA630" s="847">
        <v>31663</v>
      </c>
      <c r="AB630" s="847">
        <v>32252</v>
      </c>
      <c r="AC630" s="847">
        <v>32893</v>
      </c>
      <c r="AD630" s="847">
        <v>33551</v>
      </c>
      <c r="AE630" s="847">
        <v>34222</v>
      </c>
      <c r="AF630" s="847">
        <v>34906</v>
      </c>
      <c r="AG630" s="847">
        <v>35604</v>
      </c>
      <c r="AH630" s="847">
        <v>36316</v>
      </c>
      <c r="AI630" s="847">
        <v>37042</v>
      </c>
      <c r="AJ630" s="847">
        <v>37782</v>
      </c>
      <c r="AK630" s="847">
        <v>38538</v>
      </c>
      <c r="AL630" s="847">
        <v>39308</v>
      </c>
      <c r="AM630" s="847">
        <v>40094</v>
      </c>
      <c r="AN630" s="847">
        <v>40895</v>
      </c>
      <c r="AO630" s="847">
        <v>41712</v>
      </c>
      <c r="AP630" s="847">
        <v>42546</v>
      </c>
      <c r="AQ630" s="847">
        <v>43396</v>
      </c>
      <c r="AR630" s="847">
        <v>44263</v>
      </c>
      <c r="AS630" s="847">
        <v>45147</v>
      </c>
      <c r="AT630" s="847">
        <v>46048</v>
      </c>
      <c r="AU630" s="847">
        <v>46968</v>
      </c>
      <c r="AV630" s="847">
        <v>47905</v>
      </c>
      <c r="AW630" s="847">
        <v>48861</v>
      </c>
      <c r="AX630" s="847">
        <v>49836</v>
      </c>
      <c r="AY630" s="847">
        <v>50829</v>
      </c>
      <c r="AZ630" s="847">
        <v>51842</v>
      </c>
      <c r="BA630" s="847">
        <v>52874</v>
      </c>
      <c r="BB630" s="847">
        <v>53400</v>
      </c>
      <c r="BC630" s="847">
        <v>0</v>
      </c>
      <c r="BD630" s="847">
        <v>0</v>
      </c>
      <c r="BE630" s="847">
        <v>0</v>
      </c>
      <c r="BF630" s="847">
        <v>0</v>
      </c>
      <c r="BG630" s="847">
        <v>0</v>
      </c>
      <c r="BH630" s="847">
        <v>0</v>
      </c>
      <c r="BI630" s="847">
        <v>0</v>
      </c>
      <c r="BJ630" s="847">
        <v>0</v>
      </c>
      <c r="BK630" s="847">
        <v>0</v>
      </c>
      <c r="BL630" s="847">
        <v>0</v>
      </c>
      <c r="BM630" s="847">
        <v>0</v>
      </c>
      <c r="BN630" s="847">
        <v>0</v>
      </c>
      <c r="BO630" s="847">
        <v>0</v>
      </c>
      <c r="BP630" s="847">
        <v>0</v>
      </c>
      <c r="BQ630" s="847">
        <v>0</v>
      </c>
      <c r="BR630" s="847">
        <v>0</v>
      </c>
      <c r="BS630" s="847">
        <v>0</v>
      </c>
      <c r="BT630" s="847">
        <v>0</v>
      </c>
      <c r="BU630" s="847">
        <v>0</v>
      </c>
      <c r="BV630" s="847">
        <v>0</v>
      </c>
      <c r="BW630" s="847">
        <v>0</v>
      </c>
      <c r="BX630" s="847">
        <v>0</v>
      </c>
      <c r="BY630" s="847">
        <v>0</v>
      </c>
      <c r="BZ630" s="847">
        <v>0</v>
      </c>
      <c r="CA630" s="847">
        <v>0</v>
      </c>
      <c r="CB630" s="847">
        <v>0</v>
      </c>
      <c r="CC630" s="847">
        <v>0</v>
      </c>
      <c r="CD630" s="847">
        <v>0</v>
      </c>
      <c r="CE630" s="847">
        <v>0</v>
      </c>
      <c r="CF630" s="847">
        <v>0</v>
      </c>
      <c r="CG630" s="847">
        <v>0</v>
      </c>
      <c r="CH630" s="847">
        <v>0</v>
      </c>
      <c r="CI630" s="847">
        <v>0</v>
      </c>
      <c r="CJ630" s="847">
        <v>0</v>
      </c>
      <c r="CK630" s="847">
        <v>0</v>
      </c>
      <c r="CL630" s="847">
        <v>0</v>
      </c>
      <c r="CM630" s="847">
        <v>0</v>
      </c>
      <c r="CN630" s="847">
        <v>0</v>
      </c>
      <c r="CO630" s="847">
        <v>0</v>
      </c>
      <c r="CP630" s="847">
        <v>0</v>
      </c>
      <c r="CQ630" s="847">
        <v>0</v>
      </c>
      <c r="CR630" s="847">
        <v>0</v>
      </c>
      <c r="CS630" s="847">
        <v>0</v>
      </c>
      <c r="CT630" s="847">
        <v>0</v>
      </c>
      <c r="CU630" s="847">
        <v>0</v>
      </c>
      <c r="CV630" s="847">
        <v>0</v>
      </c>
      <c r="CW630" s="847">
        <v>0</v>
      </c>
      <c r="CX630" s="847">
        <v>0</v>
      </c>
      <c r="CY630" s="847">
        <v>0</v>
      </c>
      <c r="CZ630" s="847">
        <v>0</v>
      </c>
      <c r="DA630" s="847">
        <v>0</v>
      </c>
      <c r="DB630" s="847">
        <v>0</v>
      </c>
      <c r="DC630" s="847">
        <v>0</v>
      </c>
      <c r="DD630" s="847">
        <v>0</v>
      </c>
      <c r="DE630" s="847">
        <v>0</v>
      </c>
      <c r="DF630" s="847">
        <v>0</v>
      </c>
      <c r="DG630" s="847">
        <v>0</v>
      </c>
      <c r="DH630" s="847">
        <v>0</v>
      </c>
      <c r="DI630" s="847">
        <v>0</v>
      </c>
      <c r="DJ630" s="847">
        <v>0</v>
      </c>
      <c r="DK630" s="847">
        <v>0</v>
      </c>
      <c r="DL630" s="847">
        <v>0</v>
      </c>
      <c r="DM630" s="847">
        <v>0</v>
      </c>
      <c r="DN630" s="847">
        <v>0</v>
      </c>
      <c r="DO630" s="847">
        <v>0</v>
      </c>
      <c r="DP630" s="847">
        <v>0</v>
      </c>
      <c r="DQ630" s="847">
        <v>0</v>
      </c>
      <c r="DR630" s="847">
        <v>0</v>
      </c>
      <c r="DS630" s="847">
        <v>0</v>
      </c>
      <c r="DT630" s="847">
        <v>0</v>
      </c>
      <c r="DU630" s="847">
        <v>0</v>
      </c>
      <c r="DV630" s="847">
        <v>0</v>
      </c>
      <c r="DW630" s="847">
        <v>0</v>
      </c>
      <c r="DX630" s="847">
        <v>0</v>
      </c>
    </row>
    <row r="631" spans="12:128" hidden="1">
      <c r="L631" s="846" t="s">
        <v>1060</v>
      </c>
      <c r="M631" s="846" t="s">
        <v>1382</v>
      </c>
      <c r="N631" s="846" t="s">
        <v>97</v>
      </c>
      <c r="O631" s="847">
        <v>75</v>
      </c>
      <c r="P631" s="780" t="str">
        <f t="shared" si="20"/>
        <v>IWT060275</v>
      </c>
      <c r="Q631" s="847">
        <v>26362</v>
      </c>
      <c r="R631" s="847">
        <v>26889</v>
      </c>
      <c r="S631" s="847">
        <v>27427</v>
      </c>
      <c r="T631" s="847">
        <v>27976</v>
      </c>
      <c r="U631" s="847">
        <v>28535</v>
      </c>
      <c r="V631" s="847">
        <v>29106</v>
      </c>
      <c r="W631" s="847">
        <v>29545</v>
      </c>
      <c r="X631" s="847">
        <v>29998</v>
      </c>
      <c r="Y631" s="847">
        <v>30469</v>
      </c>
      <c r="Z631" s="847">
        <v>30963</v>
      </c>
      <c r="AA631" s="847">
        <v>31489</v>
      </c>
      <c r="AB631" s="847">
        <v>32054</v>
      </c>
      <c r="AC631" s="847">
        <v>32671</v>
      </c>
      <c r="AD631" s="847">
        <v>33324</v>
      </c>
      <c r="AE631" s="847">
        <v>33990</v>
      </c>
      <c r="AF631" s="847">
        <v>34670</v>
      </c>
      <c r="AG631" s="847">
        <v>35363</v>
      </c>
      <c r="AH631" s="847">
        <v>36070</v>
      </c>
      <c r="AI631" s="847">
        <v>36791</v>
      </c>
      <c r="AJ631" s="847">
        <v>37527</v>
      </c>
      <c r="AK631" s="847">
        <v>38277</v>
      </c>
      <c r="AL631" s="847">
        <v>39042</v>
      </c>
      <c r="AM631" s="847">
        <v>39822</v>
      </c>
      <c r="AN631" s="847">
        <v>40618</v>
      </c>
      <c r="AO631" s="847">
        <v>41430</v>
      </c>
      <c r="AP631" s="847">
        <v>42258</v>
      </c>
      <c r="AQ631" s="847">
        <v>43102</v>
      </c>
      <c r="AR631" s="847">
        <v>43963</v>
      </c>
      <c r="AS631" s="847">
        <v>44841</v>
      </c>
      <c r="AT631" s="847">
        <v>45736</v>
      </c>
      <c r="AU631" s="847">
        <v>46649</v>
      </c>
      <c r="AV631" s="847">
        <v>47580</v>
      </c>
      <c r="AW631" s="847">
        <v>48529</v>
      </c>
      <c r="AX631" s="847">
        <v>49497</v>
      </c>
      <c r="AY631" s="847">
        <v>50483</v>
      </c>
      <c r="AZ631" s="847">
        <v>51488</v>
      </c>
      <c r="BA631" s="847">
        <v>52000</v>
      </c>
      <c r="BB631" s="847">
        <v>0</v>
      </c>
      <c r="BC631" s="847">
        <v>0</v>
      </c>
      <c r="BD631" s="847">
        <v>0</v>
      </c>
      <c r="BE631" s="847">
        <v>0</v>
      </c>
      <c r="BF631" s="847">
        <v>0</v>
      </c>
      <c r="BG631" s="847">
        <v>0</v>
      </c>
      <c r="BH631" s="847">
        <v>0</v>
      </c>
      <c r="BI631" s="847">
        <v>0</v>
      </c>
      <c r="BJ631" s="847">
        <v>0</v>
      </c>
      <c r="BK631" s="847">
        <v>0</v>
      </c>
      <c r="BL631" s="847">
        <v>0</v>
      </c>
      <c r="BM631" s="847">
        <v>0</v>
      </c>
      <c r="BN631" s="847">
        <v>0</v>
      </c>
      <c r="BO631" s="847">
        <v>0</v>
      </c>
      <c r="BP631" s="847">
        <v>0</v>
      </c>
      <c r="BQ631" s="847">
        <v>0</v>
      </c>
      <c r="BR631" s="847">
        <v>0</v>
      </c>
      <c r="BS631" s="847">
        <v>0</v>
      </c>
      <c r="BT631" s="847">
        <v>0</v>
      </c>
      <c r="BU631" s="847">
        <v>0</v>
      </c>
      <c r="BV631" s="847">
        <v>0</v>
      </c>
      <c r="BW631" s="847">
        <v>0</v>
      </c>
      <c r="BX631" s="847">
        <v>0</v>
      </c>
      <c r="BY631" s="847">
        <v>0</v>
      </c>
      <c r="BZ631" s="847">
        <v>0</v>
      </c>
      <c r="CA631" s="847">
        <v>0</v>
      </c>
      <c r="CB631" s="847">
        <v>0</v>
      </c>
      <c r="CC631" s="847">
        <v>0</v>
      </c>
      <c r="CD631" s="847">
        <v>0</v>
      </c>
      <c r="CE631" s="847">
        <v>0</v>
      </c>
      <c r="CF631" s="847">
        <v>0</v>
      </c>
      <c r="CG631" s="847">
        <v>0</v>
      </c>
      <c r="CH631" s="847">
        <v>0</v>
      </c>
      <c r="CI631" s="847">
        <v>0</v>
      </c>
      <c r="CJ631" s="847">
        <v>0</v>
      </c>
      <c r="CK631" s="847">
        <v>0</v>
      </c>
      <c r="CL631" s="847">
        <v>0</v>
      </c>
      <c r="CM631" s="847">
        <v>0</v>
      </c>
      <c r="CN631" s="847">
        <v>0</v>
      </c>
      <c r="CO631" s="847">
        <v>0</v>
      </c>
      <c r="CP631" s="847">
        <v>0</v>
      </c>
      <c r="CQ631" s="847">
        <v>0</v>
      </c>
      <c r="CR631" s="847">
        <v>0</v>
      </c>
      <c r="CS631" s="847">
        <v>0</v>
      </c>
      <c r="CT631" s="847">
        <v>0</v>
      </c>
      <c r="CU631" s="847">
        <v>0</v>
      </c>
      <c r="CV631" s="847">
        <v>0</v>
      </c>
      <c r="CW631" s="847">
        <v>0</v>
      </c>
      <c r="CX631" s="847">
        <v>0</v>
      </c>
      <c r="CY631" s="847">
        <v>0</v>
      </c>
      <c r="CZ631" s="847">
        <v>0</v>
      </c>
      <c r="DA631" s="847">
        <v>0</v>
      </c>
      <c r="DB631" s="847">
        <v>0</v>
      </c>
      <c r="DC631" s="847">
        <v>0</v>
      </c>
      <c r="DD631" s="847">
        <v>0</v>
      </c>
      <c r="DE631" s="847">
        <v>0</v>
      </c>
      <c r="DF631" s="847">
        <v>0</v>
      </c>
      <c r="DG631" s="847">
        <v>0</v>
      </c>
      <c r="DH631" s="847">
        <v>0</v>
      </c>
      <c r="DI631" s="847">
        <v>0</v>
      </c>
      <c r="DJ631" s="847">
        <v>0</v>
      </c>
      <c r="DK631" s="847">
        <v>0</v>
      </c>
      <c r="DL631" s="847">
        <v>0</v>
      </c>
      <c r="DM631" s="847">
        <v>0</v>
      </c>
      <c r="DN631" s="847">
        <v>0</v>
      </c>
      <c r="DO631" s="847">
        <v>0</v>
      </c>
      <c r="DP631" s="847">
        <v>0</v>
      </c>
      <c r="DQ631" s="847">
        <v>0</v>
      </c>
      <c r="DR631" s="847">
        <v>0</v>
      </c>
      <c r="DS631" s="847">
        <v>0</v>
      </c>
      <c r="DT631" s="847">
        <v>0</v>
      </c>
      <c r="DU631" s="847">
        <v>0</v>
      </c>
      <c r="DV631" s="847">
        <v>0</v>
      </c>
      <c r="DW631" s="847">
        <v>0</v>
      </c>
      <c r="DX631" s="847">
        <v>0</v>
      </c>
    </row>
    <row r="632" spans="12:128" hidden="1">
      <c r="L632" s="429"/>
      <c r="M632" s="429"/>
      <c r="N632" s="429"/>
      <c r="O632" s="430"/>
      <c r="P632" s="431"/>
      <c r="Q632" s="430"/>
      <c r="R632" s="430"/>
      <c r="S632" s="430"/>
      <c r="T632" s="430"/>
      <c r="U632" s="430"/>
      <c r="V632" s="430"/>
      <c r="W632" s="430"/>
      <c r="X632" s="430"/>
      <c r="Y632" s="430"/>
      <c r="Z632" s="430"/>
      <c r="AA632" s="430"/>
      <c r="AB632" s="430"/>
      <c r="AC632" s="430"/>
      <c r="AD632" s="430"/>
      <c r="AE632" s="430"/>
      <c r="AF632" s="430"/>
      <c r="AG632" s="430"/>
      <c r="AH632" s="430"/>
      <c r="AI632" s="430"/>
      <c r="AJ632" s="430"/>
      <c r="AK632" s="430"/>
      <c r="AL632" s="430"/>
      <c r="AM632" s="430"/>
      <c r="AN632" s="430"/>
      <c r="AO632" s="430"/>
      <c r="AP632" s="430"/>
      <c r="AQ632" s="430"/>
      <c r="AR632" s="430"/>
      <c r="AS632" s="430"/>
      <c r="AT632" s="430"/>
      <c r="AU632" s="430"/>
      <c r="AV632" s="430"/>
      <c r="AW632" s="430"/>
      <c r="AX632" s="430"/>
      <c r="AY632" s="430"/>
      <c r="AZ632" s="430"/>
      <c r="BA632" s="430"/>
      <c r="BB632" s="430"/>
      <c r="BC632" s="430"/>
      <c r="BD632" s="430"/>
      <c r="BE632" s="430"/>
      <c r="BF632" s="430"/>
      <c r="BG632" s="430"/>
      <c r="BH632" s="430"/>
      <c r="BI632" s="430"/>
      <c r="BJ632" s="430"/>
      <c r="BK632" s="430"/>
      <c r="BL632" s="430"/>
      <c r="BM632" s="430"/>
      <c r="BN632" s="430"/>
      <c r="BO632" s="430"/>
      <c r="BP632" s="430"/>
      <c r="BQ632" s="430"/>
      <c r="BR632" s="430"/>
      <c r="BS632" s="430"/>
      <c r="BT632" s="430"/>
      <c r="BU632" s="430"/>
      <c r="BV632" s="430"/>
      <c r="BW632" s="430"/>
      <c r="BX632" s="430"/>
      <c r="BY632" s="430"/>
      <c r="BZ632" s="430"/>
      <c r="CA632" s="430"/>
      <c r="CB632" s="430"/>
      <c r="CC632" s="430"/>
      <c r="CD632" s="430"/>
      <c r="CE632" s="430"/>
      <c r="CF632" s="430"/>
      <c r="CG632" s="430"/>
      <c r="CH632" s="430"/>
      <c r="CI632" s="430"/>
      <c r="CJ632" s="430"/>
      <c r="CK632" s="430"/>
      <c r="CL632" s="430"/>
      <c r="CM632" s="430"/>
      <c r="CN632" s="430"/>
      <c r="CO632" s="430"/>
      <c r="CP632" s="430"/>
      <c r="CQ632" s="430"/>
      <c r="CR632" s="430"/>
      <c r="CS632" s="430"/>
      <c r="CT632" s="430"/>
      <c r="CU632" s="430"/>
      <c r="CV632" s="430"/>
      <c r="CW632" s="430"/>
      <c r="CX632" s="430"/>
      <c r="CY632" s="430"/>
      <c r="CZ632" s="430"/>
      <c r="DA632" s="430"/>
      <c r="DB632" s="430"/>
      <c r="DC632" s="430"/>
      <c r="DD632" s="430"/>
      <c r="DE632" s="430"/>
      <c r="DF632" s="430"/>
      <c r="DG632" s="430"/>
      <c r="DH632" s="430"/>
      <c r="DI632" s="430"/>
      <c r="DJ632" s="430"/>
      <c r="DK632" s="430"/>
      <c r="DL632" s="430"/>
      <c r="DM632" s="430"/>
      <c r="DN632" s="430"/>
      <c r="DO632" s="430"/>
      <c r="DP632" s="430"/>
      <c r="DQ632" s="430"/>
      <c r="DR632" s="430"/>
      <c r="DS632" s="430"/>
      <c r="DT632" s="430"/>
      <c r="DU632" s="430"/>
      <c r="DV632" s="430"/>
      <c r="DW632" s="430"/>
      <c r="DX632" s="430"/>
    </row>
    <row r="633" spans="12:128" hidden="1">
      <c r="L633" s="429"/>
      <c r="M633" s="429"/>
      <c r="N633" s="429"/>
      <c r="O633" s="430"/>
      <c r="P633" s="431"/>
      <c r="Q633" s="430"/>
      <c r="R633" s="430"/>
      <c r="S633" s="430"/>
      <c r="T633" s="430"/>
      <c r="U633" s="430"/>
      <c r="V633" s="430"/>
      <c r="W633" s="430"/>
      <c r="X633" s="430"/>
      <c r="Y633" s="430"/>
      <c r="Z633" s="430"/>
      <c r="AA633" s="430"/>
      <c r="AB633" s="430"/>
      <c r="AC633" s="430"/>
      <c r="AD633" s="430"/>
      <c r="AE633" s="430"/>
      <c r="AF633" s="430"/>
      <c r="AG633" s="430"/>
      <c r="AH633" s="430"/>
      <c r="AI633" s="430"/>
      <c r="AJ633" s="430"/>
      <c r="AK633" s="430"/>
      <c r="AL633" s="430"/>
      <c r="AM633" s="430"/>
      <c r="AN633" s="430"/>
      <c r="AO633" s="430"/>
      <c r="AP633" s="430"/>
      <c r="AQ633" s="430"/>
      <c r="AR633" s="430"/>
      <c r="AS633" s="430"/>
      <c r="AT633" s="430"/>
      <c r="AU633" s="430"/>
      <c r="AV633" s="430"/>
      <c r="AW633" s="430"/>
      <c r="AX633" s="430"/>
      <c r="AY633" s="430"/>
      <c r="AZ633" s="430"/>
      <c r="BA633" s="430"/>
      <c r="BB633" s="430"/>
      <c r="BC633" s="430"/>
      <c r="BD633" s="430"/>
      <c r="BE633" s="430"/>
      <c r="BF633" s="430"/>
      <c r="BG633" s="430"/>
      <c r="BH633" s="430"/>
      <c r="BI633" s="430"/>
      <c r="BJ633" s="430"/>
      <c r="BK633" s="430"/>
      <c r="BL633" s="430"/>
      <c r="BM633" s="430"/>
      <c r="BN633" s="430"/>
      <c r="BO633" s="430"/>
      <c r="BP633" s="430"/>
      <c r="BQ633" s="430"/>
      <c r="BR633" s="430"/>
      <c r="BS633" s="430"/>
      <c r="BT633" s="430"/>
      <c r="BU633" s="430"/>
      <c r="BV633" s="430"/>
      <c r="BW633" s="430"/>
      <c r="BX633" s="430"/>
      <c r="BY633" s="430"/>
      <c r="BZ633" s="430"/>
      <c r="CA633" s="430"/>
      <c r="CB633" s="430"/>
      <c r="CC633" s="430"/>
      <c r="CD633" s="430"/>
      <c r="CE633" s="430"/>
      <c r="CF633" s="430"/>
      <c r="CG633" s="430"/>
      <c r="CH633" s="430"/>
      <c r="CI633" s="430"/>
      <c r="CJ633" s="430"/>
      <c r="CK633" s="430"/>
      <c r="CL633" s="430"/>
      <c r="CM633" s="430"/>
      <c r="CN633" s="430"/>
      <c r="CO633" s="430"/>
      <c r="CP633" s="430"/>
      <c r="CQ633" s="430"/>
      <c r="CR633" s="430"/>
      <c r="CS633" s="430"/>
      <c r="CT633" s="430"/>
      <c r="CU633" s="430"/>
      <c r="CV633" s="430"/>
      <c r="CW633" s="430"/>
      <c r="CX633" s="430"/>
      <c r="CY633" s="430"/>
      <c r="CZ633" s="430"/>
      <c r="DA633" s="430"/>
      <c r="DB633" s="430"/>
      <c r="DC633" s="430"/>
      <c r="DD633" s="430"/>
      <c r="DE633" s="430"/>
      <c r="DF633" s="430"/>
      <c r="DG633" s="430"/>
      <c r="DH633" s="430"/>
      <c r="DI633" s="430"/>
      <c r="DJ633" s="430"/>
      <c r="DK633" s="430"/>
      <c r="DL633" s="430"/>
      <c r="DM633" s="430"/>
      <c r="DN633" s="430"/>
      <c r="DO633" s="430"/>
      <c r="DP633" s="430"/>
      <c r="DQ633" s="430"/>
      <c r="DR633" s="430"/>
      <c r="DS633" s="430"/>
      <c r="DT633" s="430"/>
      <c r="DU633" s="430"/>
      <c r="DV633" s="430"/>
      <c r="DW633" s="430"/>
      <c r="DX633" s="430"/>
    </row>
    <row r="634" spans="12:128" s="439" customFormat="1" hidden="1">
      <c r="L634" s="439" t="s">
        <v>890</v>
      </c>
      <c r="P634" s="780" t="str">
        <f t="shared" ref="P634:P697" si="21">M634&amp;TEXT(N634,"00")&amp;TEXT(O634,"00")</f>
        <v>0000</v>
      </c>
    </row>
    <row r="635" spans="12:128" ht="24" hidden="1">
      <c r="L635" s="869" t="s">
        <v>91</v>
      </c>
      <c r="M635" s="869" t="s">
        <v>92</v>
      </c>
      <c r="N635" s="869" t="s">
        <v>93</v>
      </c>
      <c r="O635" s="869" t="s">
        <v>94</v>
      </c>
      <c r="P635" s="780" t="str">
        <f t="shared" si="21"/>
        <v>商品代號性別年齡</v>
      </c>
      <c r="Q635" s="869" t="s">
        <v>98</v>
      </c>
      <c r="R635" s="869" t="s">
        <v>99</v>
      </c>
      <c r="S635" s="869" t="s">
        <v>100</v>
      </c>
      <c r="T635" s="869" t="s">
        <v>101</v>
      </c>
      <c r="U635" s="869" t="s">
        <v>102</v>
      </c>
      <c r="V635" s="869" t="s">
        <v>103</v>
      </c>
      <c r="W635" s="869" t="s">
        <v>104</v>
      </c>
      <c r="X635" s="869" t="s">
        <v>105</v>
      </c>
      <c r="Y635" s="869" t="s">
        <v>106</v>
      </c>
      <c r="Z635" s="869" t="s">
        <v>107</v>
      </c>
      <c r="AA635" s="869" t="s">
        <v>108</v>
      </c>
      <c r="AB635" s="869" t="s">
        <v>109</v>
      </c>
      <c r="AC635" s="869" t="s">
        <v>110</v>
      </c>
      <c r="AD635" s="869" t="s">
        <v>111</v>
      </c>
      <c r="AE635" s="869" t="s">
        <v>112</v>
      </c>
      <c r="AF635" s="869" t="s">
        <v>113</v>
      </c>
      <c r="AG635" s="869" t="s">
        <v>114</v>
      </c>
      <c r="AH635" s="869" t="s">
        <v>115</v>
      </c>
      <c r="AI635" s="869" t="s">
        <v>116</v>
      </c>
      <c r="AJ635" s="869" t="s">
        <v>117</v>
      </c>
      <c r="AK635" s="869" t="s">
        <v>118</v>
      </c>
      <c r="AL635" s="869" t="s">
        <v>119</v>
      </c>
      <c r="AM635" s="869" t="s">
        <v>120</v>
      </c>
      <c r="AN635" s="869" t="s">
        <v>121</v>
      </c>
      <c r="AO635" s="869" t="s">
        <v>122</v>
      </c>
      <c r="AP635" s="869" t="s">
        <v>123</v>
      </c>
      <c r="AQ635" s="869" t="s">
        <v>124</v>
      </c>
      <c r="AR635" s="869" t="s">
        <v>125</v>
      </c>
      <c r="AS635" s="869" t="s">
        <v>126</v>
      </c>
      <c r="AT635" s="869" t="s">
        <v>127</v>
      </c>
      <c r="AU635" s="869" t="s">
        <v>128</v>
      </c>
      <c r="AV635" s="869" t="s">
        <v>129</v>
      </c>
      <c r="AW635" s="869" t="s">
        <v>130</v>
      </c>
      <c r="AX635" s="869" t="s">
        <v>131</v>
      </c>
      <c r="AY635" s="869" t="s">
        <v>132</v>
      </c>
      <c r="AZ635" s="869" t="s">
        <v>133</v>
      </c>
      <c r="BA635" s="869" t="s">
        <v>134</v>
      </c>
      <c r="BB635" s="869" t="s">
        <v>135</v>
      </c>
      <c r="BC635" s="869" t="s">
        <v>136</v>
      </c>
      <c r="BD635" s="869" t="s">
        <v>137</v>
      </c>
      <c r="BE635" s="869" t="s">
        <v>138</v>
      </c>
      <c r="BF635" s="869" t="s">
        <v>139</v>
      </c>
      <c r="BG635" s="869" t="s">
        <v>140</v>
      </c>
      <c r="BH635" s="869" t="s">
        <v>141</v>
      </c>
      <c r="BI635" s="869" t="s">
        <v>142</v>
      </c>
      <c r="BJ635" s="869" t="s">
        <v>143</v>
      </c>
      <c r="BK635" s="869" t="s">
        <v>144</v>
      </c>
      <c r="BL635" s="869" t="s">
        <v>145</v>
      </c>
      <c r="BM635" s="869" t="s">
        <v>146</v>
      </c>
      <c r="BN635" s="869" t="s">
        <v>147</v>
      </c>
      <c r="BO635" s="869" t="s">
        <v>148</v>
      </c>
      <c r="BP635" s="869" t="s">
        <v>149</v>
      </c>
      <c r="BQ635" s="869" t="s">
        <v>150</v>
      </c>
      <c r="BR635" s="869" t="s">
        <v>151</v>
      </c>
      <c r="BS635" s="869" t="s">
        <v>152</v>
      </c>
      <c r="BT635" s="869" t="s">
        <v>153</v>
      </c>
      <c r="BU635" s="869" t="s">
        <v>154</v>
      </c>
      <c r="BV635" s="869" t="s">
        <v>155</v>
      </c>
      <c r="BW635" s="869" t="s">
        <v>156</v>
      </c>
      <c r="BX635" s="869" t="s">
        <v>157</v>
      </c>
      <c r="BY635" s="869" t="s">
        <v>158</v>
      </c>
      <c r="BZ635" s="869" t="s">
        <v>159</v>
      </c>
      <c r="CA635" s="869" t="s">
        <v>160</v>
      </c>
      <c r="CB635" s="869" t="s">
        <v>161</v>
      </c>
      <c r="CC635" s="869" t="s">
        <v>162</v>
      </c>
      <c r="CD635" s="869" t="s">
        <v>163</v>
      </c>
      <c r="CE635" s="869" t="s">
        <v>164</v>
      </c>
      <c r="CF635" s="869" t="s">
        <v>165</v>
      </c>
      <c r="CG635" s="869" t="s">
        <v>166</v>
      </c>
      <c r="CH635" s="869" t="s">
        <v>167</v>
      </c>
      <c r="CI635" s="869" t="s">
        <v>168</v>
      </c>
      <c r="CJ635" s="869" t="s">
        <v>169</v>
      </c>
      <c r="CK635" s="869" t="s">
        <v>170</v>
      </c>
      <c r="CL635" s="869" t="s">
        <v>171</v>
      </c>
      <c r="CM635" s="869" t="s">
        <v>172</v>
      </c>
      <c r="CN635" s="869" t="s">
        <v>173</v>
      </c>
      <c r="CO635" s="869" t="s">
        <v>174</v>
      </c>
      <c r="CP635" s="869" t="s">
        <v>175</v>
      </c>
      <c r="CQ635" s="869" t="s">
        <v>176</v>
      </c>
      <c r="CR635" s="869" t="s">
        <v>177</v>
      </c>
      <c r="CS635" s="869" t="s">
        <v>178</v>
      </c>
      <c r="CT635" s="869" t="s">
        <v>179</v>
      </c>
      <c r="CU635" s="869" t="s">
        <v>180</v>
      </c>
      <c r="CV635" s="869" t="s">
        <v>181</v>
      </c>
      <c r="CW635" s="869" t="s">
        <v>182</v>
      </c>
      <c r="CX635" s="869" t="s">
        <v>183</v>
      </c>
      <c r="CY635" s="869" t="s">
        <v>184</v>
      </c>
      <c r="CZ635" s="869" t="s">
        <v>185</v>
      </c>
      <c r="DA635" s="869" t="s">
        <v>186</v>
      </c>
      <c r="DB635" s="869" t="s">
        <v>187</v>
      </c>
      <c r="DC635" s="869" t="s">
        <v>188</v>
      </c>
      <c r="DD635" s="869" t="s">
        <v>189</v>
      </c>
      <c r="DE635" s="869" t="s">
        <v>190</v>
      </c>
      <c r="DF635" s="869" t="s">
        <v>191</v>
      </c>
      <c r="DG635" s="869" t="s">
        <v>192</v>
      </c>
      <c r="DH635" s="869" t="s">
        <v>193</v>
      </c>
      <c r="DI635" s="869" t="s">
        <v>194</v>
      </c>
      <c r="DJ635" s="869" t="s">
        <v>195</v>
      </c>
      <c r="DK635" s="869" t="s">
        <v>196</v>
      </c>
      <c r="DL635" s="869" t="s">
        <v>197</v>
      </c>
      <c r="DM635" s="869" t="s">
        <v>198</v>
      </c>
      <c r="DN635" s="869" t="s">
        <v>199</v>
      </c>
      <c r="DO635" s="869" t="s">
        <v>200</v>
      </c>
      <c r="DP635" s="869" t="s">
        <v>201</v>
      </c>
      <c r="DQ635" s="869" t="s">
        <v>202</v>
      </c>
      <c r="DR635" s="869" t="s">
        <v>203</v>
      </c>
      <c r="DS635" s="869" t="s">
        <v>204</v>
      </c>
      <c r="DT635" s="869" t="s">
        <v>205</v>
      </c>
      <c r="DU635" s="869" t="s">
        <v>206</v>
      </c>
      <c r="DV635" s="869" t="s">
        <v>207</v>
      </c>
      <c r="DW635" s="869" t="s">
        <v>208</v>
      </c>
    </row>
    <row r="636" spans="12:128" hidden="1">
      <c r="L636" s="870" t="s">
        <v>1060</v>
      </c>
      <c r="M636" s="870" t="s">
        <v>1382</v>
      </c>
      <c r="N636" s="870" t="s">
        <v>96</v>
      </c>
      <c r="O636" s="871">
        <v>0</v>
      </c>
      <c r="P636" s="780" t="str">
        <f t="shared" si="21"/>
        <v>IWT060100</v>
      </c>
      <c r="Q636" s="871">
        <v>0</v>
      </c>
      <c r="R636" s="871">
        <v>0</v>
      </c>
      <c r="S636" s="871">
        <v>0</v>
      </c>
      <c r="T636" s="871">
        <v>0</v>
      </c>
      <c r="U636" s="871">
        <v>0</v>
      </c>
      <c r="V636" s="871">
        <v>0</v>
      </c>
      <c r="W636" s="871">
        <v>0</v>
      </c>
      <c r="X636" s="871">
        <v>0</v>
      </c>
      <c r="Y636" s="871">
        <v>0</v>
      </c>
      <c r="Z636" s="871">
        <v>0</v>
      </c>
      <c r="AA636" s="871">
        <v>0</v>
      </c>
      <c r="AB636" s="871">
        <v>0</v>
      </c>
      <c r="AC636" s="871">
        <v>0</v>
      </c>
      <c r="AD636" s="871">
        <v>0</v>
      </c>
      <c r="AE636" s="871">
        <v>0</v>
      </c>
      <c r="AF636" s="871">
        <v>0</v>
      </c>
      <c r="AG636" s="871">
        <v>32855</v>
      </c>
      <c r="AH636" s="871">
        <v>33512</v>
      </c>
      <c r="AI636" s="871">
        <v>34182</v>
      </c>
      <c r="AJ636" s="871">
        <v>34866</v>
      </c>
      <c r="AK636" s="871">
        <v>35563</v>
      </c>
      <c r="AL636" s="871">
        <v>36274</v>
      </c>
      <c r="AM636" s="871">
        <v>37000</v>
      </c>
      <c r="AN636" s="871">
        <v>37740</v>
      </c>
      <c r="AO636" s="871">
        <v>38494</v>
      </c>
      <c r="AP636" s="871">
        <v>39264</v>
      </c>
      <c r="AQ636" s="871">
        <v>40050</v>
      </c>
      <c r="AR636" s="871">
        <v>40850</v>
      </c>
      <c r="AS636" s="871">
        <v>42200</v>
      </c>
      <c r="AT636" s="871">
        <v>43600</v>
      </c>
      <c r="AU636" s="871">
        <v>45000</v>
      </c>
      <c r="AV636" s="871">
        <v>46400</v>
      </c>
      <c r="AW636" s="871">
        <v>47800</v>
      </c>
      <c r="AX636" s="871">
        <v>49200</v>
      </c>
      <c r="AY636" s="871">
        <v>50600</v>
      </c>
      <c r="AZ636" s="871">
        <v>52000</v>
      </c>
      <c r="BA636" s="871">
        <v>53400</v>
      </c>
      <c r="BB636" s="871">
        <v>54800</v>
      </c>
      <c r="BC636" s="871">
        <v>56200</v>
      </c>
      <c r="BD636" s="871">
        <v>57600</v>
      </c>
      <c r="BE636" s="871">
        <v>59000</v>
      </c>
      <c r="BF636" s="871">
        <v>60400</v>
      </c>
      <c r="BG636" s="871">
        <v>61800</v>
      </c>
      <c r="BH636" s="871">
        <v>63200</v>
      </c>
      <c r="BI636" s="871">
        <v>64600</v>
      </c>
      <c r="BJ636" s="871">
        <v>66000</v>
      </c>
      <c r="BK636" s="871">
        <v>67400</v>
      </c>
      <c r="BL636" s="871">
        <v>68800</v>
      </c>
      <c r="BM636" s="871">
        <v>70200</v>
      </c>
      <c r="BN636" s="871">
        <v>71600</v>
      </c>
      <c r="BO636" s="871">
        <v>73000</v>
      </c>
      <c r="BP636" s="871">
        <v>74400</v>
      </c>
      <c r="BQ636" s="871">
        <v>75800</v>
      </c>
      <c r="BR636" s="871">
        <v>77200</v>
      </c>
      <c r="BS636" s="871">
        <v>78600</v>
      </c>
      <c r="BT636" s="871">
        <v>80000</v>
      </c>
      <c r="BU636" s="871">
        <v>81400</v>
      </c>
      <c r="BV636" s="871">
        <v>82800</v>
      </c>
      <c r="BW636" s="871">
        <v>84200</v>
      </c>
      <c r="BX636" s="871">
        <v>85600</v>
      </c>
      <c r="BY636" s="871">
        <v>87000</v>
      </c>
      <c r="BZ636" s="871">
        <v>88400</v>
      </c>
      <c r="CA636" s="871">
        <v>89800</v>
      </c>
      <c r="CB636" s="871">
        <v>91200</v>
      </c>
      <c r="CC636" s="871">
        <v>92600</v>
      </c>
      <c r="CD636" s="871">
        <v>94000</v>
      </c>
      <c r="CE636" s="871">
        <v>95400</v>
      </c>
      <c r="CF636" s="871">
        <v>96800</v>
      </c>
      <c r="CG636" s="871">
        <v>98200</v>
      </c>
      <c r="CH636" s="871">
        <v>99600</v>
      </c>
      <c r="CI636" s="871">
        <v>101000</v>
      </c>
      <c r="CJ636" s="871">
        <v>102400</v>
      </c>
      <c r="CK636" s="871">
        <v>103800</v>
      </c>
      <c r="CL636" s="871">
        <v>105200</v>
      </c>
      <c r="CM636" s="871">
        <v>106600</v>
      </c>
      <c r="CN636" s="871">
        <v>108000</v>
      </c>
      <c r="CO636" s="871">
        <v>109400</v>
      </c>
      <c r="CP636" s="871">
        <v>110800</v>
      </c>
      <c r="CQ636" s="871">
        <v>112200</v>
      </c>
      <c r="CR636" s="871">
        <v>113600</v>
      </c>
      <c r="CS636" s="871">
        <v>115000</v>
      </c>
      <c r="CT636" s="871">
        <v>116400</v>
      </c>
      <c r="CU636" s="871">
        <v>117800</v>
      </c>
      <c r="CV636" s="871">
        <v>119200</v>
      </c>
      <c r="CW636" s="871">
        <v>120600</v>
      </c>
      <c r="CX636" s="871">
        <v>122000</v>
      </c>
      <c r="CY636" s="871">
        <v>123400</v>
      </c>
      <c r="CZ636" s="871">
        <v>124800</v>
      </c>
      <c r="DA636" s="871">
        <v>126200</v>
      </c>
      <c r="DB636" s="871">
        <v>127600</v>
      </c>
      <c r="DC636" s="871">
        <v>129000</v>
      </c>
      <c r="DD636" s="871">
        <v>130400</v>
      </c>
      <c r="DE636" s="871">
        <v>131800</v>
      </c>
      <c r="DF636" s="871">
        <v>133200</v>
      </c>
      <c r="DG636" s="871">
        <v>134600</v>
      </c>
      <c r="DH636" s="871">
        <v>136000</v>
      </c>
      <c r="DI636" s="871">
        <v>137400</v>
      </c>
      <c r="DJ636" s="871">
        <v>138800</v>
      </c>
      <c r="DK636" s="871">
        <v>140200</v>
      </c>
      <c r="DL636" s="871">
        <v>141600</v>
      </c>
      <c r="DM636" s="871">
        <v>143000</v>
      </c>
      <c r="DN636" s="871">
        <v>144400</v>
      </c>
      <c r="DO636" s="871">
        <v>145800</v>
      </c>
      <c r="DP636" s="871">
        <v>147200</v>
      </c>
      <c r="DQ636" s="871">
        <v>148600</v>
      </c>
      <c r="DR636" s="871">
        <v>150000</v>
      </c>
      <c r="DS636" s="871">
        <v>151400</v>
      </c>
      <c r="DT636" s="871">
        <v>152800</v>
      </c>
      <c r="DU636" s="871">
        <v>154200</v>
      </c>
      <c r="DV636" s="871">
        <v>155600</v>
      </c>
      <c r="DW636" s="871">
        <v>157000</v>
      </c>
    </row>
    <row r="637" spans="12:128" hidden="1">
      <c r="L637" s="870" t="s">
        <v>1060</v>
      </c>
      <c r="M637" s="870" t="s">
        <v>1382</v>
      </c>
      <c r="N637" s="870" t="s">
        <v>96</v>
      </c>
      <c r="O637" s="871">
        <v>1</v>
      </c>
      <c r="P637" s="780" t="str">
        <f t="shared" si="21"/>
        <v>IWT060101</v>
      </c>
      <c r="Q637" s="871">
        <v>0</v>
      </c>
      <c r="R637" s="871">
        <v>0</v>
      </c>
      <c r="S637" s="871">
        <v>0</v>
      </c>
      <c r="T637" s="871">
        <v>0</v>
      </c>
      <c r="U637" s="871">
        <v>0</v>
      </c>
      <c r="V637" s="871">
        <v>0</v>
      </c>
      <c r="W637" s="871">
        <v>0</v>
      </c>
      <c r="X637" s="871">
        <v>0</v>
      </c>
      <c r="Y637" s="871">
        <v>0</v>
      </c>
      <c r="Z637" s="871">
        <v>0</v>
      </c>
      <c r="AA637" s="871">
        <v>0</v>
      </c>
      <c r="AB637" s="871">
        <v>0</v>
      </c>
      <c r="AC637" s="871">
        <v>0</v>
      </c>
      <c r="AD637" s="871">
        <v>0</v>
      </c>
      <c r="AE637" s="871">
        <v>0</v>
      </c>
      <c r="AF637" s="871">
        <v>32417</v>
      </c>
      <c r="AG637" s="871">
        <v>33065</v>
      </c>
      <c r="AH637" s="871">
        <v>33726</v>
      </c>
      <c r="AI637" s="871">
        <v>34401</v>
      </c>
      <c r="AJ637" s="871">
        <v>35089</v>
      </c>
      <c r="AK637" s="871">
        <v>35791</v>
      </c>
      <c r="AL637" s="871">
        <v>36506</v>
      </c>
      <c r="AM637" s="871">
        <v>37236</v>
      </c>
      <c r="AN637" s="871">
        <v>37981</v>
      </c>
      <c r="AO637" s="871">
        <v>38741</v>
      </c>
      <c r="AP637" s="871">
        <v>39516</v>
      </c>
      <c r="AQ637" s="871">
        <v>40306</v>
      </c>
      <c r="AR637" s="871">
        <v>41112</v>
      </c>
      <c r="AS637" s="871">
        <v>42200</v>
      </c>
      <c r="AT637" s="871">
        <v>43600</v>
      </c>
      <c r="AU637" s="871">
        <v>45000</v>
      </c>
      <c r="AV637" s="871">
        <v>46400</v>
      </c>
      <c r="AW637" s="871">
        <v>47800</v>
      </c>
      <c r="AX637" s="871">
        <v>49200</v>
      </c>
      <c r="AY637" s="871">
        <v>50600</v>
      </c>
      <c r="AZ637" s="871">
        <v>52000</v>
      </c>
      <c r="BA637" s="871">
        <v>53400</v>
      </c>
      <c r="BB637" s="871">
        <v>54800</v>
      </c>
      <c r="BC637" s="871">
        <v>56200</v>
      </c>
      <c r="BD637" s="871">
        <v>57600</v>
      </c>
      <c r="BE637" s="871">
        <v>59000</v>
      </c>
      <c r="BF637" s="871">
        <v>60400</v>
      </c>
      <c r="BG637" s="871">
        <v>61800</v>
      </c>
      <c r="BH637" s="871">
        <v>63200</v>
      </c>
      <c r="BI637" s="871">
        <v>64600</v>
      </c>
      <c r="BJ637" s="871">
        <v>66000</v>
      </c>
      <c r="BK637" s="871">
        <v>67400</v>
      </c>
      <c r="BL637" s="871">
        <v>68800</v>
      </c>
      <c r="BM637" s="871">
        <v>70200</v>
      </c>
      <c r="BN637" s="871">
        <v>71600</v>
      </c>
      <c r="BO637" s="871">
        <v>73000</v>
      </c>
      <c r="BP637" s="871">
        <v>74400</v>
      </c>
      <c r="BQ637" s="871">
        <v>75800</v>
      </c>
      <c r="BR637" s="871">
        <v>77200</v>
      </c>
      <c r="BS637" s="871">
        <v>78600</v>
      </c>
      <c r="BT637" s="871">
        <v>80000</v>
      </c>
      <c r="BU637" s="871">
        <v>81400</v>
      </c>
      <c r="BV637" s="871">
        <v>82800</v>
      </c>
      <c r="BW637" s="871">
        <v>84200</v>
      </c>
      <c r="BX637" s="871">
        <v>85600</v>
      </c>
      <c r="BY637" s="871">
        <v>87000</v>
      </c>
      <c r="BZ637" s="871">
        <v>88400</v>
      </c>
      <c r="CA637" s="871">
        <v>89800</v>
      </c>
      <c r="CB637" s="871">
        <v>91200</v>
      </c>
      <c r="CC637" s="871">
        <v>92600</v>
      </c>
      <c r="CD637" s="871">
        <v>94000</v>
      </c>
      <c r="CE637" s="871">
        <v>95400</v>
      </c>
      <c r="CF637" s="871">
        <v>96800</v>
      </c>
      <c r="CG637" s="871">
        <v>98200</v>
      </c>
      <c r="CH637" s="871">
        <v>99600</v>
      </c>
      <c r="CI637" s="871">
        <v>101000</v>
      </c>
      <c r="CJ637" s="871">
        <v>102400</v>
      </c>
      <c r="CK637" s="871">
        <v>103800</v>
      </c>
      <c r="CL637" s="871">
        <v>105200</v>
      </c>
      <c r="CM637" s="871">
        <v>106600</v>
      </c>
      <c r="CN637" s="871">
        <v>108000</v>
      </c>
      <c r="CO637" s="871">
        <v>109400</v>
      </c>
      <c r="CP637" s="871">
        <v>110800</v>
      </c>
      <c r="CQ637" s="871">
        <v>112200</v>
      </c>
      <c r="CR637" s="871">
        <v>113600</v>
      </c>
      <c r="CS637" s="871">
        <v>115000</v>
      </c>
      <c r="CT637" s="871">
        <v>116400</v>
      </c>
      <c r="CU637" s="871">
        <v>117800</v>
      </c>
      <c r="CV637" s="871">
        <v>119200</v>
      </c>
      <c r="CW637" s="871">
        <v>120600</v>
      </c>
      <c r="CX637" s="871">
        <v>122000</v>
      </c>
      <c r="CY637" s="871">
        <v>123400</v>
      </c>
      <c r="CZ637" s="871">
        <v>124800</v>
      </c>
      <c r="DA637" s="871">
        <v>126200</v>
      </c>
      <c r="DB637" s="871">
        <v>127600</v>
      </c>
      <c r="DC637" s="871">
        <v>129000</v>
      </c>
      <c r="DD637" s="871">
        <v>130400</v>
      </c>
      <c r="DE637" s="871">
        <v>131800</v>
      </c>
      <c r="DF637" s="871">
        <v>133200</v>
      </c>
      <c r="DG637" s="871">
        <v>134600</v>
      </c>
      <c r="DH637" s="871">
        <v>136000</v>
      </c>
      <c r="DI637" s="871">
        <v>137400</v>
      </c>
      <c r="DJ637" s="871">
        <v>138800</v>
      </c>
      <c r="DK637" s="871">
        <v>140200</v>
      </c>
      <c r="DL637" s="871">
        <v>141600</v>
      </c>
      <c r="DM637" s="871">
        <v>143000</v>
      </c>
      <c r="DN637" s="871">
        <v>144400</v>
      </c>
      <c r="DO637" s="871">
        <v>145800</v>
      </c>
      <c r="DP637" s="871">
        <v>147200</v>
      </c>
      <c r="DQ637" s="871">
        <v>148600</v>
      </c>
      <c r="DR637" s="871">
        <v>150000</v>
      </c>
      <c r="DS637" s="871">
        <v>151400</v>
      </c>
      <c r="DT637" s="871">
        <v>152800</v>
      </c>
      <c r="DU637" s="871">
        <v>154200</v>
      </c>
      <c r="DV637" s="871">
        <v>155600</v>
      </c>
      <c r="DW637" s="871">
        <v>0</v>
      </c>
    </row>
    <row r="638" spans="12:128" hidden="1">
      <c r="L638" s="870" t="s">
        <v>1060</v>
      </c>
      <c r="M638" s="870" t="s">
        <v>1382</v>
      </c>
      <c r="N638" s="870" t="s">
        <v>96</v>
      </c>
      <c r="O638" s="871">
        <v>2</v>
      </c>
      <c r="P638" s="780" t="str">
        <f t="shared" si="21"/>
        <v>IWT060102</v>
      </c>
      <c r="Q638" s="871">
        <v>0</v>
      </c>
      <c r="R638" s="871">
        <v>0</v>
      </c>
      <c r="S638" s="871">
        <v>0</v>
      </c>
      <c r="T638" s="871">
        <v>0</v>
      </c>
      <c r="U638" s="871">
        <v>0</v>
      </c>
      <c r="V638" s="871">
        <v>0</v>
      </c>
      <c r="W638" s="871">
        <v>0</v>
      </c>
      <c r="X638" s="871">
        <v>0</v>
      </c>
      <c r="Y638" s="871">
        <v>0</v>
      </c>
      <c r="Z638" s="871">
        <v>0</v>
      </c>
      <c r="AA638" s="871">
        <v>0</v>
      </c>
      <c r="AB638" s="871">
        <v>0</v>
      </c>
      <c r="AC638" s="871">
        <v>0</v>
      </c>
      <c r="AD638" s="871">
        <v>0</v>
      </c>
      <c r="AE638" s="871">
        <v>31980</v>
      </c>
      <c r="AF638" s="871">
        <v>32619</v>
      </c>
      <c r="AG638" s="871">
        <v>33271</v>
      </c>
      <c r="AH638" s="871">
        <v>33937</v>
      </c>
      <c r="AI638" s="871">
        <v>34616</v>
      </c>
      <c r="AJ638" s="871">
        <v>35308</v>
      </c>
      <c r="AK638" s="871">
        <v>36014</v>
      </c>
      <c r="AL638" s="871">
        <v>36734</v>
      </c>
      <c r="AM638" s="871">
        <v>37469</v>
      </c>
      <c r="AN638" s="871">
        <v>38218</v>
      </c>
      <c r="AO638" s="871">
        <v>38983</v>
      </c>
      <c r="AP638" s="871">
        <v>39762</v>
      </c>
      <c r="AQ638" s="871">
        <v>40558</v>
      </c>
      <c r="AR638" s="871">
        <v>41369</v>
      </c>
      <c r="AS638" s="871">
        <v>42200</v>
      </c>
      <c r="AT638" s="871">
        <v>43600</v>
      </c>
      <c r="AU638" s="871">
        <v>45000</v>
      </c>
      <c r="AV638" s="871">
        <v>46400</v>
      </c>
      <c r="AW638" s="871">
        <v>47800</v>
      </c>
      <c r="AX638" s="871">
        <v>49200</v>
      </c>
      <c r="AY638" s="871">
        <v>50600</v>
      </c>
      <c r="AZ638" s="871">
        <v>52000</v>
      </c>
      <c r="BA638" s="871">
        <v>53400</v>
      </c>
      <c r="BB638" s="871">
        <v>54800</v>
      </c>
      <c r="BC638" s="871">
        <v>56200</v>
      </c>
      <c r="BD638" s="871">
        <v>57600</v>
      </c>
      <c r="BE638" s="871">
        <v>59000</v>
      </c>
      <c r="BF638" s="871">
        <v>60400</v>
      </c>
      <c r="BG638" s="871">
        <v>61800</v>
      </c>
      <c r="BH638" s="871">
        <v>63200</v>
      </c>
      <c r="BI638" s="871">
        <v>64600</v>
      </c>
      <c r="BJ638" s="871">
        <v>66000</v>
      </c>
      <c r="BK638" s="871">
        <v>67400</v>
      </c>
      <c r="BL638" s="871">
        <v>68800</v>
      </c>
      <c r="BM638" s="871">
        <v>70200</v>
      </c>
      <c r="BN638" s="871">
        <v>71600</v>
      </c>
      <c r="BO638" s="871">
        <v>73000</v>
      </c>
      <c r="BP638" s="871">
        <v>74400</v>
      </c>
      <c r="BQ638" s="871">
        <v>75800</v>
      </c>
      <c r="BR638" s="871">
        <v>77200</v>
      </c>
      <c r="BS638" s="871">
        <v>78600</v>
      </c>
      <c r="BT638" s="871">
        <v>80000</v>
      </c>
      <c r="BU638" s="871">
        <v>81400</v>
      </c>
      <c r="BV638" s="871">
        <v>82800</v>
      </c>
      <c r="BW638" s="871">
        <v>84200</v>
      </c>
      <c r="BX638" s="871">
        <v>85600</v>
      </c>
      <c r="BY638" s="871">
        <v>87000</v>
      </c>
      <c r="BZ638" s="871">
        <v>88400</v>
      </c>
      <c r="CA638" s="871">
        <v>89800</v>
      </c>
      <c r="CB638" s="871">
        <v>91200</v>
      </c>
      <c r="CC638" s="871">
        <v>92600</v>
      </c>
      <c r="CD638" s="871">
        <v>94000</v>
      </c>
      <c r="CE638" s="871">
        <v>95400</v>
      </c>
      <c r="CF638" s="871">
        <v>96800</v>
      </c>
      <c r="CG638" s="871">
        <v>98200</v>
      </c>
      <c r="CH638" s="871">
        <v>99600</v>
      </c>
      <c r="CI638" s="871">
        <v>101000</v>
      </c>
      <c r="CJ638" s="871">
        <v>102400</v>
      </c>
      <c r="CK638" s="871">
        <v>103800</v>
      </c>
      <c r="CL638" s="871">
        <v>105200</v>
      </c>
      <c r="CM638" s="871">
        <v>106600</v>
      </c>
      <c r="CN638" s="871">
        <v>108000</v>
      </c>
      <c r="CO638" s="871">
        <v>109400</v>
      </c>
      <c r="CP638" s="871">
        <v>110800</v>
      </c>
      <c r="CQ638" s="871">
        <v>112200</v>
      </c>
      <c r="CR638" s="871">
        <v>113600</v>
      </c>
      <c r="CS638" s="871">
        <v>115000</v>
      </c>
      <c r="CT638" s="871">
        <v>116400</v>
      </c>
      <c r="CU638" s="871">
        <v>117800</v>
      </c>
      <c r="CV638" s="871">
        <v>119200</v>
      </c>
      <c r="CW638" s="871">
        <v>120600</v>
      </c>
      <c r="CX638" s="871">
        <v>122000</v>
      </c>
      <c r="CY638" s="871">
        <v>123400</v>
      </c>
      <c r="CZ638" s="871">
        <v>124800</v>
      </c>
      <c r="DA638" s="871">
        <v>126200</v>
      </c>
      <c r="DB638" s="871">
        <v>127600</v>
      </c>
      <c r="DC638" s="871">
        <v>129000</v>
      </c>
      <c r="DD638" s="871">
        <v>130400</v>
      </c>
      <c r="DE638" s="871">
        <v>131800</v>
      </c>
      <c r="DF638" s="871">
        <v>133200</v>
      </c>
      <c r="DG638" s="871">
        <v>134600</v>
      </c>
      <c r="DH638" s="871">
        <v>136000</v>
      </c>
      <c r="DI638" s="871">
        <v>137400</v>
      </c>
      <c r="DJ638" s="871">
        <v>138800</v>
      </c>
      <c r="DK638" s="871">
        <v>140200</v>
      </c>
      <c r="DL638" s="871">
        <v>141600</v>
      </c>
      <c r="DM638" s="871">
        <v>143000</v>
      </c>
      <c r="DN638" s="871">
        <v>144400</v>
      </c>
      <c r="DO638" s="871">
        <v>145800</v>
      </c>
      <c r="DP638" s="871">
        <v>147200</v>
      </c>
      <c r="DQ638" s="871">
        <v>148600</v>
      </c>
      <c r="DR638" s="871">
        <v>150000</v>
      </c>
      <c r="DS638" s="871">
        <v>151400</v>
      </c>
      <c r="DT638" s="871">
        <v>152800</v>
      </c>
      <c r="DU638" s="871">
        <v>154200</v>
      </c>
      <c r="DV638" s="871">
        <v>0</v>
      </c>
      <c r="DW638" s="871">
        <v>0</v>
      </c>
    </row>
    <row r="639" spans="12:128" hidden="1">
      <c r="L639" s="870" t="s">
        <v>1060</v>
      </c>
      <c r="M639" s="870" t="s">
        <v>1382</v>
      </c>
      <c r="N639" s="870" t="s">
        <v>96</v>
      </c>
      <c r="O639" s="871">
        <v>3</v>
      </c>
      <c r="P639" s="780" t="str">
        <f t="shared" si="21"/>
        <v>IWT060103</v>
      </c>
      <c r="Q639" s="871">
        <v>0</v>
      </c>
      <c r="R639" s="871">
        <v>0</v>
      </c>
      <c r="S639" s="871">
        <v>0</v>
      </c>
      <c r="T639" s="871">
        <v>0</v>
      </c>
      <c r="U639" s="871">
        <v>0</v>
      </c>
      <c r="V639" s="871">
        <v>0</v>
      </c>
      <c r="W639" s="871">
        <v>0</v>
      </c>
      <c r="X639" s="871">
        <v>0</v>
      </c>
      <c r="Y639" s="871">
        <v>0</v>
      </c>
      <c r="Z639" s="871">
        <v>0</v>
      </c>
      <c r="AA639" s="871">
        <v>0</v>
      </c>
      <c r="AB639" s="871">
        <v>0</v>
      </c>
      <c r="AC639" s="871">
        <v>0</v>
      </c>
      <c r="AD639" s="871">
        <v>31543</v>
      </c>
      <c r="AE639" s="871">
        <v>32174</v>
      </c>
      <c r="AF639" s="871">
        <v>32818</v>
      </c>
      <c r="AG639" s="871">
        <v>33474</v>
      </c>
      <c r="AH639" s="871">
        <v>34144</v>
      </c>
      <c r="AI639" s="871">
        <v>34826</v>
      </c>
      <c r="AJ639" s="871">
        <v>35523</v>
      </c>
      <c r="AK639" s="871">
        <v>36233</v>
      </c>
      <c r="AL639" s="871">
        <v>36958</v>
      </c>
      <c r="AM639" s="871">
        <v>37697</v>
      </c>
      <c r="AN639" s="871">
        <v>38451</v>
      </c>
      <c r="AO639" s="871">
        <v>39220</v>
      </c>
      <c r="AP639" s="871">
        <v>40005</v>
      </c>
      <c r="AQ639" s="871">
        <v>40805</v>
      </c>
      <c r="AR639" s="871">
        <v>41621</v>
      </c>
      <c r="AS639" s="871">
        <v>42453</v>
      </c>
      <c r="AT639" s="871">
        <v>43600</v>
      </c>
      <c r="AU639" s="871">
        <v>45000</v>
      </c>
      <c r="AV639" s="871">
        <v>46400</v>
      </c>
      <c r="AW639" s="871">
        <v>47800</v>
      </c>
      <c r="AX639" s="871">
        <v>49200</v>
      </c>
      <c r="AY639" s="871">
        <v>50600</v>
      </c>
      <c r="AZ639" s="871">
        <v>52000</v>
      </c>
      <c r="BA639" s="871">
        <v>53400</v>
      </c>
      <c r="BB639" s="871">
        <v>54800</v>
      </c>
      <c r="BC639" s="871">
        <v>56200</v>
      </c>
      <c r="BD639" s="871">
        <v>57600</v>
      </c>
      <c r="BE639" s="871">
        <v>59000</v>
      </c>
      <c r="BF639" s="871">
        <v>60400</v>
      </c>
      <c r="BG639" s="871">
        <v>61800</v>
      </c>
      <c r="BH639" s="871">
        <v>63200</v>
      </c>
      <c r="BI639" s="871">
        <v>64600</v>
      </c>
      <c r="BJ639" s="871">
        <v>66000</v>
      </c>
      <c r="BK639" s="871">
        <v>67400</v>
      </c>
      <c r="BL639" s="871">
        <v>68800</v>
      </c>
      <c r="BM639" s="871">
        <v>70200</v>
      </c>
      <c r="BN639" s="871">
        <v>71600</v>
      </c>
      <c r="BO639" s="871">
        <v>73000</v>
      </c>
      <c r="BP639" s="871">
        <v>74400</v>
      </c>
      <c r="BQ639" s="871">
        <v>75800</v>
      </c>
      <c r="BR639" s="871">
        <v>77200</v>
      </c>
      <c r="BS639" s="871">
        <v>78600</v>
      </c>
      <c r="BT639" s="871">
        <v>80000</v>
      </c>
      <c r="BU639" s="871">
        <v>81400</v>
      </c>
      <c r="BV639" s="871">
        <v>82800</v>
      </c>
      <c r="BW639" s="871">
        <v>84200</v>
      </c>
      <c r="BX639" s="871">
        <v>85600</v>
      </c>
      <c r="BY639" s="871">
        <v>87000</v>
      </c>
      <c r="BZ639" s="871">
        <v>88400</v>
      </c>
      <c r="CA639" s="871">
        <v>89800</v>
      </c>
      <c r="CB639" s="871">
        <v>91200</v>
      </c>
      <c r="CC639" s="871">
        <v>92600</v>
      </c>
      <c r="CD639" s="871">
        <v>94000</v>
      </c>
      <c r="CE639" s="871">
        <v>95400</v>
      </c>
      <c r="CF639" s="871">
        <v>96800</v>
      </c>
      <c r="CG639" s="871">
        <v>98200</v>
      </c>
      <c r="CH639" s="871">
        <v>99600</v>
      </c>
      <c r="CI639" s="871">
        <v>101000</v>
      </c>
      <c r="CJ639" s="871">
        <v>102400</v>
      </c>
      <c r="CK639" s="871">
        <v>103800</v>
      </c>
      <c r="CL639" s="871">
        <v>105200</v>
      </c>
      <c r="CM639" s="871">
        <v>106600</v>
      </c>
      <c r="CN639" s="871">
        <v>108000</v>
      </c>
      <c r="CO639" s="871">
        <v>109400</v>
      </c>
      <c r="CP639" s="871">
        <v>110800</v>
      </c>
      <c r="CQ639" s="871">
        <v>112200</v>
      </c>
      <c r="CR639" s="871">
        <v>113600</v>
      </c>
      <c r="CS639" s="871">
        <v>115000</v>
      </c>
      <c r="CT639" s="871">
        <v>116400</v>
      </c>
      <c r="CU639" s="871">
        <v>117800</v>
      </c>
      <c r="CV639" s="871">
        <v>119200</v>
      </c>
      <c r="CW639" s="871">
        <v>120600</v>
      </c>
      <c r="CX639" s="871">
        <v>122000</v>
      </c>
      <c r="CY639" s="871">
        <v>123400</v>
      </c>
      <c r="CZ639" s="871">
        <v>124800</v>
      </c>
      <c r="DA639" s="871">
        <v>126200</v>
      </c>
      <c r="DB639" s="871">
        <v>127600</v>
      </c>
      <c r="DC639" s="871">
        <v>129000</v>
      </c>
      <c r="DD639" s="871">
        <v>130400</v>
      </c>
      <c r="DE639" s="871">
        <v>131800</v>
      </c>
      <c r="DF639" s="871">
        <v>133200</v>
      </c>
      <c r="DG639" s="871">
        <v>134600</v>
      </c>
      <c r="DH639" s="871">
        <v>136000</v>
      </c>
      <c r="DI639" s="871">
        <v>137400</v>
      </c>
      <c r="DJ639" s="871">
        <v>138800</v>
      </c>
      <c r="DK639" s="871">
        <v>140200</v>
      </c>
      <c r="DL639" s="871">
        <v>141600</v>
      </c>
      <c r="DM639" s="871">
        <v>143000</v>
      </c>
      <c r="DN639" s="871">
        <v>144400</v>
      </c>
      <c r="DO639" s="871">
        <v>145800</v>
      </c>
      <c r="DP639" s="871">
        <v>147200</v>
      </c>
      <c r="DQ639" s="871">
        <v>148600</v>
      </c>
      <c r="DR639" s="871">
        <v>150000</v>
      </c>
      <c r="DS639" s="871">
        <v>151400</v>
      </c>
      <c r="DT639" s="871">
        <v>152800</v>
      </c>
      <c r="DU639" s="871">
        <v>0</v>
      </c>
      <c r="DV639" s="871">
        <v>0</v>
      </c>
      <c r="DW639" s="871">
        <v>0</v>
      </c>
    </row>
    <row r="640" spans="12:128" hidden="1">
      <c r="L640" s="870" t="s">
        <v>1060</v>
      </c>
      <c r="M640" s="870" t="s">
        <v>1382</v>
      </c>
      <c r="N640" s="870" t="s">
        <v>96</v>
      </c>
      <c r="O640" s="871">
        <v>4</v>
      </c>
      <c r="P640" s="780" t="str">
        <f t="shared" si="21"/>
        <v>IWT060104</v>
      </c>
      <c r="Q640" s="871">
        <v>0</v>
      </c>
      <c r="R640" s="871">
        <v>0</v>
      </c>
      <c r="S640" s="871">
        <v>0</v>
      </c>
      <c r="T640" s="871">
        <v>0</v>
      </c>
      <c r="U640" s="871">
        <v>0</v>
      </c>
      <c r="V640" s="871">
        <v>0</v>
      </c>
      <c r="W640" s="871">
        <v>0</v>
      </c>
      <c r="X640" s="871">
        <v>0</v>
      </c>
      <c r="Y640" s="871">
        <v>0</v>
      </c>
      <c r="Z640" s="871">
        <v>0</v>
      </c>
      <c r="AA640" s="871">
        <v>0</v>
      </c>
      <c r="AB640" s="871">
        <v>0</v>
      </c>
      <c r="AC640" s="871">
        <v>31108</v>
      </c>
      <c r="AD640" s="871">
        <v>31730</v>
      </c>
      <c r="AE640" s="871">
        <v>32365</v>
      </c>
      <c r="AF640" s="871">
        <v>33012</v>
      </c>
      <c r="AG640" s="871">
        <v>33673</v>
      </c>
      <c r="AH640" s="871">
        <v>34346</v>
      </c>
      <c r="AI640" s="871">
        <v>35033</v>
      </c>
      <c r="AJ640" s="871">
        <v>35734</v>
      </c>
      <c r="AK640" s="871">
        <v>36448</v>
      </c>
      <c r="AL640" s="871">
        <v>37177</v>
      </c>
      <c r="AM640" s="871">
        <v>37921</v>
      </c>
      <c r="AN640" s="871">
        <v>38679</v>
      </c>
      <c r="AO640" s="871">
        <v>39453</v>
      </c>
      <c r="AP640" s="871">
        <v>40242</v>
      </c>
      <c r="AQ640" s="871">
        <v>41047</v>
      </c>
      <c r="AR640" s="871">
        <v>41868</v>
      </c>
      <c r="AS640" s="871">
        <v>42705</v>
      </c>
      <c r="AT640" s="871">
        <v>43600</v>
      </c>
      <c r="AU640" s="871">
        <v>45000</v>
      </c>
      <c r="AV640" s="871">
        <v>46400</v>
      </c>
      <c r="AW640" s="871">
        <v>47800</v>
      </c>
      <c r="AX640" s="871">
        <v>49200</v>
      </c>
      <c r="AY640" s="871">
        <v>50600</v>
      </c>
      <c r="AZ640" s="871">
        <v>52000</v>
      </c>
      <c r="BA640" s="871">
        <v>53400</v>
      </c>
      <c r="BB640" s="871">
        <v>54800</v>
      </c>
      <c r="BC640" s="871">
        <v>56200</v>
      </c>
      <c r="BD640" s="871">
        <v>57600</v>
      </c>
      <c r="BE640" s="871">
        <v>59000</v>
      </c>
      <c r="BF640" s="871">
        <v>60400</v>
      </c>
      <c r="BG640" s="871">
        <v>61800</v>
      </c>
      <c r="BH640" s="871">
        <v>63200</v>
      </c>
      <c r="BI640" s="871">
        <v>64600</v>
      </c>
      <c r="BJ640" s="871">
        <v>66000</v>
      </c>
      <c r="BK640" s="871">
        <v>67400</v>
      </c>
      <c r="BL640" s="871">
        <v>68800</v>
      </c>
      <c r="BM640" s="871">
        <v>70200</v>
      </c>
      <c r="BN640" s="871">
        <v>71600</v>
      </c>
      <c r="BO640" s="871">
        <v>73000</v>
      </c>
      <c r="BP640" s="871">
        <v>74400</v>
      </c>
      <c r="BQ640" s="871">
        <v>75800</v>
      </c>
      <c r="BR640" s="871">
        <v>77200</v>
      </c>
      <c r="BS640" s="871">
        <v>78600</v>
      </c>
      <c r="BT640" s="871">
        <v>80000</v>
      </c>
      <c r="BU640" s="871">
        <v>81400</v>
      </c>
      <c r="BV640" s="871">
        <v>82800</v>
      </c>
      <c r="BW640" s="871">
        <v>84200</v>
      </c>
      <c r="BX640" s="871">
        <v>85600</v>
      </c>
      <c r="BY640" s="871">
        <v>87000</v>
      </c>
      <c r="BZ640" s="871">
        <v>88400</v>
      </c>
      <c r="CA640" s="871">
        <v>89800</v>
      </c>
      <c r="CB640" s="871">
        <v>91200</v>
      </c>
      <c r="CC640" s="871">
        <v>92600</v>
      </c>
      <c r="CD640" s="871">
        <v>94000</v>
      </c>
      <c r="CE640" s="871">
        <v>95400</v>
      </c>
      <c r="CF640" s="871">
        <v>96800</v>
      </c>
      <c r="CG640" s="871">
        <v>98200</v>
      </c>
      <c r="CH640" s="871">
        <v>99600</v>
      </c>
      <c r="CI640" s="871">
        <v>101000</v>
      </c>
      <c r="CJ640" s="871">
        <v>102400</v>
      </c>
      <c r="CK640" s="871">
        <v>103800</v>
      </c>
      <c r="CL640" s="871">
        <v>105200</v>
      </c>
      <c r="CM640" s="871">
        <v>106600</v>
      </c>
      <c r="CN640" s="871">
        <v>108000</v>
      </c>
      <c r="CO640" s="871">
        <v>109400</v>
      </c>
      <c r="CP640" s="871">
        <v>110800</v>
      </c>
      <c r="CQ640" s="871">
        <v>112200</v>
      </c>
      <c r="CR640" s="871">
        <v>113600</v>
      </c>
      <c r="CS640" s="871">
        <v>115000</v>
      </c>
      <c r="CT640" s="871">
        <v>116400</v>
      </c>
      <c r="CU640" s="871">
        <v>117800</v>
      </c>
      <c r="CV640" s="871">
        <v>119200</v>
      </c>
      <c r="CW640" s="871">
        <v>120600</v>
      </c>
      <c r="CX640" s="871">
        <v>122000</v>
      </c>
      <c r="CY640" s="871">
        <v>123400</v>
      </c>
      <c r="CZ640" s="871">
        <v>124800</v>
      </c>
      <c r="DA640" s="871">
        <v>126200</v>
      </c>
      <c r="DB640" s="871">
        <v>127600</v>
      </c>
      <c r="DC640" s="871">
        <v>129000</v>
      </c>
      <c r="DD640" s="871">
        <v>130400</v>
      </c>
      <c r="DE640" s="871">
        <v>131800</v>
      </c>
      <c r="DF640" s="871">
        <v>133200</v>
      </c>
      <c r="DG640" s="871">
        <v>134600</v>
      </c>
      <c r="DH640" s="871">
        <v>136000</v>
      </c>
      <c r="DI640" s="871">
        <v>137400</v>
      </c>
      <c r="DJ640" s="871">
        <v>138800</v>
      </c>
      <c r="DK640" s="871">
        <v>140200</v>
      </c>
      <c r="DL640" s="871">
        <v>141600</v>
      </c>
      <c r="DM640" s="871">
        <v>143000</v>
      </c>
      <c r="DN640" s="871">
        <v>144400</v>
      </c>
      <c r="DO640" s="871">
        <v>145800</v>
      </c>
      <c r="DP640" s="871">
        <v>147200</v>
      </c>
      <c r="DQ640" s="871">
        <v>148600</v>
      </c>
      <c r="DR640" s="871">
        <v>150000</v>
      </c>
      <c r="DS640" s="871">
        <v>151400</v>
      </c>
      <c r="DT640" s="871">
        <v>0</v>
      </c>
      <c r="DU640" s="871">
        <v>0</v>
      </c>
      <c r="DV640" s="871">
        <v>0</v>
      </c>
      <c r="DW640" s="871">
        <v>0</v>
      </c>
    </row>
    <row r="641" spans="12:127" hidden="1">
      <c r="L641" s="870" t="s">
        <v>1060</v>
      </c>
      <c r="M641" s="870" t="s">
        <v>1382</v>
      </c>
      <c r="N641" s="870" t="s">
        <v>96</v>
      </c>
      <c r="O641" s="871">
        <v>5</v>
      </c>
      <c r="P641" s="780" t="str">
        <f t="shared" si="21"/>
        <v>IWT060105</v>
      </c>
      <c r="Q641" s="871">
        <v>0</v>
      </c>
      <c r="R641" s="871">
        <v>0</v>
      </c>
      <c r="S641" s="871">
        <v>0</v>
      </c>
      <c r="T641" s="871">
        <v>0</v>
      </c>
      <c r="U641" s="871">
        <v>0</v>
      </c>
      <c r="V641" s="871">
        <v>0</v>
      </c>
      <c r="W641" s="871">
        <v>0</v>
      </c>
      <c r="X641" s="871">
        <v>0</v>
      </c>
      <c r="Y641" s="871">
        <v>0</v>
      </c>
      <c r="Z641" s="871">
        <v>0</v>
      </c>
      <c r="AA641" s="871">
        <v>0</v>
      </c>
      <c r="AB641" s="871">
        <v>30674</v>
      </c>
      <c r="AC641" s="871">
        <v>31288</v>
      </c>
      <c r="AD641" s="871">
        <v>31913</v>
      </c>
      <c r="AE641" s="871">
        <v>32552</v>
      </c>
      <c r="AF641" s="871">
        <v>33203</v>
      </c>
      <c r="AG641" s="871">
        <v>33867</v>
      </c>
      <c r="AH641" s="871">
        <v>34544</v>
      </c>
      <c r="AI641" s="871">
        <v>35235</v>
      </c>
      <c r="AJ641" s="871">
        <v>35940</v>
      </c>
      <c r="AK641" s="871">
        <v>36658</v>
      </c>
      <c r="AL641" s="871">
        <v>37392</v>
      </c>
      <c r="AM641" s="871">
        <v>38139</v>
      </c>
      <c r="AN641" s="871">
        <v>38902</v>
      </c>
      <c r="AO641" s="871">
        <v>39680</v>
      </c>
      <c r="AP641" s="871">
        <v>40474</v>
      </c>
      <c r="AQ641" s="871">
        <v>41283</v>
      </c>
      <c r="AR641" s="871">
        <v>42109</v>
      </c>
      <c r="AS641" s="871">
        <v>42951</v>
      </c>
      <c r="AT641" s="871">
        <v>43810</v>
      </c>
      <c r="AU641" s="871">
        <v>45000</v>
      </c>
      <c r="AV641" s="871">
        <v>46400</v>
      </c>
      <c r="AW641" s="871">
        <v>47800</v>
      </c>
      <c r="AX641" s="871">
        <v>49200</v>
      </c>
      <c r="AY641" s="871">
        <v>50600</v>
      </c>
      <c r="AZ641" s="871">
        <v>52000</v>
      </c>
      <c r="BA641" s="871">
        <v>53400</v>
      </c>
      <c r="BB641" s="871">
        <v>54800</v>
      </c>
      <c r="BC641" s="871">
        <v>56200</v>
      </c>
      <c r="BD641" s="871">
        <v>57600</v>
      </c>
      <c r="BE641" s="871">
        <v>59000</v>
      </c>
      <c r="BF641" s="871">
        <v>60400</v>
      </c>
      <c r="BG641" s="871">
        <v>61800</v>
      </c>
      <c r="BH641" s="871">
        <v>63200</v>
      </c>
      <c r="BI641" s="871">
        <v>64600</v>
      </c>
      <c r="BJ641" s="871">
        <v>66000</v>
      </c>
      <c r="BK641" s="871">
        <v>67400</v>
      </c>
      <c r="BL641" s="871">
        <v>68800</v>
      </c>
      <c r="BM641" s="871">
        <v>70200</v>
      </c>
      <c r="BN641" s="871">
        <v>71600</v>
      </c>
      <c r="BO641" s="871">
        <v>73000</v>
      </c>
      <c r="BP641" s="871">
        <v>74400</v>
      </c>
      <c r="BQ641" s="871">
        <v>75800</v>
      </c>
      <c r="BR641" s="871">
        <v>77200</v>
      </c>
      <c r="BS641" s="871">
        <v>78600</v>
      </c>
      <c r="BT641" s="871">
        <v>80000</v>
      </c>
      <c r="BU641" s="871">
        <v>81400</v>
      </c>
      <c r="BV641" s="871">
        <v>82800</v>
      </c>
      <c r="BW641" s="871">
        <v>84200</v>
      </c>
      <c r="BX641" s="871">
        <v>85600</v>
      </c>
      <c r="BY641" s="871">
        <v>87000</v>
      </c>
      <c r="BZ641" s="871">
        <v>88400</v>
      </c>
      <c r="CA641" s="871">
        <v>89800</v>
      </c>
      <c r="CB641" s="871">
        <v>91200</v>
      </c>
      <c r="CC641" s="871">
        <v>92600</v>
      </c>
      <c r="CD641" s="871">
        <v>94000</v>
      </c>
      <c r="CE641" s="871">
        <v>95400</v>
      </c>
      <c r="CF641" s="871">
        <v>96800</v>
      </c>
      <c r="CG641" s="871">
        <v>98200</v>
      </c>
      <c r="CH641" s="871">
        <v>99600</v>
      </c>
      <c r="CI641" s="871">
        <v>101000</v>
      </c>
      <c r="CJ641" s="871">
        <v>102400</v>
      </c>
      <c r="CK641" s="871">
        <v>103800</v>
      </c>
      <c r="CL641" s="871">
        <v>105200</v>
      </c>
      <c r="CM641" s="871">
        <v>106600</v>
      </c>
      <c r="CN641" s="871">
        <v>108000</v>
      </c>
      <c r="CO641" s="871">
        <v>109400</v>
      </c>
      <c r="CP641" s="871">
        <v>110800</v>
      </c>
      <c r="CQ641" s="871">
        <v>112200</v>
      </c>
      <c r="CR641" s="871">
        <v>113600</v>
      </c>
      <c r="CS641" s="871">
        <v>115000</v>
      </c>
      <c r="CT641" s="871">
        <v>116400</v>
      </c>
      <c r="CU641" s="871">
        <v>117800</v>
      </c>
      <c r="CV641" s="871">
        <v>119200</v>
      </c>
      <c r="CW641" s="871">
        <v>120600</v>
      </c>
      <c r="CX641" s="871">
        <v>122000</v>
      </c>
      <c r="CY641" s="871">
        <v>123400</v>
      </c>
      <c r="CZ641" s="871">
        <v>124800</v>
      </c>
      <c r="DA641" s="871">
        <v>126200</v>
      </c>
      <c r="DB641" s="871">
        <v>127600</v>
      </c>
      <c r="DC641" s="871">
        <v>129000</v>
      </c>
      <c r="DD641" s="871">
        <v>130400</v>
      </c>
      <c r="DE641" s="871">
        <v>131800</v>
      </c>
      <c r="DF641" s="871">
        <v>133200</v>
      </c>
      <c r="DG641" s="871">
        <v>134600</v>
      </c>
      <c r="DH641" s="871">
        <v>136000</v>
      </c>
      <c r="DI641" s="871">
        <v>137400</v>
      </c>
      <c r="DJ641" s="871">
        <v>138800</v>
      </c>
      <c r="DK641" s="871">
        <v>140200</v>
      </c>
      <c r="DL641" s="871">
        <v>141600</v>
      </c>
      <c r="DM641" s="871">
        <v>143000</v>
      </c>
      <c r="DN641" s="871">
        <v>144400</v>
      </c>
      <c r="DO641" s="871">
        <v>145800</v>
      </c>
      <c r="DP641" s="871">
        <v>147200</v>
      </c>
      <c r="DQ641" s="871">
        <v>148600</v>
      </c>
      <c r="DR641" s="871">
        <v>150000</v>
      </c>
      <c r="DS641" s="871">
        <v>0</v>
      </c>
      <c r="DT641" s="871">
        <v>0</v>
      </c>
      <c r="DU641" s="871">
        <v>0</v>
      </c>
      <c r="DV641" s="871">
        <v>0</v>
      </c>
      <c r="DW641" s="871">
        <v>0</v>
      </c>
    </row>
    <row r="642" spans="12:127" hidden="1">
      <c r="L642" s="870" t="s">
        <v>1060</v>
      </c>
      <c r="M642" s="870" t="s">
        <v>1382</v>
      </c>
      <c r="N642" s="870" t="s">
        <v>96</v>
      </c>
      <c r="O642" s="871">
        <v>6</v>
      </c>
      <c r="P642" s="780" t="str">
        <f t="shared" si="21"/>
        <v>IWT060106</v>
      </c>
      <c r="Q642" s="871">
        <v>0</v>
      </c>
      <c r="R642" s="871">
        <v>0</v>
      </c>
      <c r="S642" s="871">
        <v>0</v>
      </c>
      <c r="T642" s="871">
        <v>0</v>
      </c>
      <c r="U642" s="871">
        <v>0</v>
      </c>
      <c r="V642" s="871">
        <v>0</v>
      </c>
      <c r="W642" s="871">
        <v>0</v>
      </c>
      <c r="X642" s="871">
        <v>0</v>
      </c>
      <c r="Y642" s="871">
        <v>0</v>
      </c>
      <c r="Z642" s="871">
        <v>0</v>
      </c>
      <c r="AA642" s="871">
        <v>30241</v>
      </c>
      <c r="AB642" s="871">
        <v>30846</v>
      </c>
      <c r="AC642" s="871">
        <v>31463</v>
      </c>
      <c r="AD642" s="871">
        <v>32092</v>
      </c>
      <c r="AE642" s="871">
        <v>32734</v>
      </c>
      <c r="AF642" s="871">
        <v>33389</v>
      </c>
      <c r="AG642" s="871">
        <v>34056</v>
      </c>
      <c r="AH642" s="871">
        <v>34738</v>
      </c>
      <c r="AI642" s="871">
        <v>35432</v>
      </c>
      <c r="AJ642" s="871">
        <v>36141</v>
      </c>
      <c r="AK642" s="871">
        <v>36864</v>
      </c>
      <c r="AL642" s="871">
        <v>37601</v>
      </c>
      <c r="AM642" s="871">
        <v>38353</v>
      </c>
      <c r="AN642" s="871">
        <v>39120</v>
      </c>
      <c r="AO642" s="871">
        <v>39903</v>
      </c>
      <c r="AP642" s="871">
        <v>40701</v>
      </c>
      <c r="AQ642" s="871">
        <v>41515</v>
      </c>
      <c r="AR642" s="871">
        <v>42345</v>
      </c>
      <c r="AS642" s="871">
        <v>43192</v>
      </c>
      <c r="AT642" s="871">
        <v>44056</v>
      </c>
      <c r="AU642" s="871">
        <v>45000</v>
      </c>
      <c r="AV642" s="871">
        <v>46400</v>
      </c>
      <c r="AW642" s="871">
        <v>47800</v>
      </c>
      <c r="AX642" s="871">
        <v>49200</v>
      </c>
      <c r="AY642" s="871">
        <v>50600</v>
      </c>
      <c r="AZ642" s="871">
        <v>52000</v>
      </c>
      <c r="BA642" s="871">
        <v>53400</v>
      </c>
      <c r="BB642" s="871">
        <v>54800</v>
      </c>
      <c r="BC642" s="871">
        <v>56200</v>
      </c>
      <c r="BD642" s="871">
        <v>57600</v>
      </c>
      <c r="BE642" s="871">
        <v>59000</v>
      </c>
      <c r="BF642" s="871">
        <v>60400</v>
      </c>
      <c r="BG642" s="871">
        <v>61800</v>
      </c>
      <c r="BH642" s="871">
        <v>63200</v>
      </c>
      <c r="BI642" s="871">
        <v>64600</v>
      </c>
      <c r="BJ642" s="871">
        <v>66000</v>
      </c>
      <c r="BK642" s="871">
        <v>67400</v>
      </c>
      <c r="BL642" s="871">
        <v>68800</v>
      </c>
      <c r="BM642" s="871">
        <v>70200</v>
      </c>
      <c r="BN642" s="871">
        <v>71600</v>
      </c>
      <c r="BO642" s="871">
        <v>73000</v>
      </c>
      <c r="BP642" s="871">
        <v>74400</v>
      </c>
      <c r="BQ642" s="871">
        <v>75800</v>
      </c>
      <c r="BR642" s="871">
        <v>77200</v>
      </c>
      <c r="BS642" s="871">
        <v>78600</v>
      </c>
      <c r="BT642" s="871">
        <v>80000</v>
      </c>
      <c r="BU642" s="871">
        <v>81400</v>
      </c>
      <c r="BV642" s="871">
        <v>82800</v>
      </c>
      <c r="BW642" s="871">
        <v>84200</v>
      </c>
      <c r="BX642" s="871">
        <v>85600</v>
      </c>
      <c r="BY642" s="871">
        <v>87000</v>
      </c>
      <c r="BZ642" s="871">
        <v>88400</v>
      </c>
      <c r="CA642" s="871">
        <v>89800</v>
      </c>
      <c r="CB642" s="871">
        <v>91200</v>
      </c>
      <c r="CC642" s="871">
        <v>92600</v>
      </c>
      <c r="CD642" s="871">
        <v>94000</v>
      </c>
      <c r="CE642" s="871">
        <v>95400</v>
      </c>
      <c r="CF642" s="871">
        <v>96800</v>
      </c>
      <c r="CG642" s="871">
        <v>98200</v>
      </c>
      <c r="CH642" s="871">
        <v>99600</v>
      </c>
      <c r="CI642" s="871">
        <v>101000</v>
      </c>
      <c r="CJ642" s="871">
        <v>102400</v>
      </c>
      <c r="CK642" s="871">
        <v>103800</v>
      </c>
      <c r="CL642" s="871">
        <v>105200</v>
      </c>
      <c r="CM642" s="871">
        <v>106600</v>
      </c>
      <c r="CN642" s="871">
        <v>108000</v>
      </c>
      <c r="CO642" s="871">
        <v>109400</v>
      </c>
      <c r="CP642" s="871">
        <v>110800</v>
      </c>
      <c r="CQ642" s="871">
        <v>112200</v>
      </c>
      <c r="CR642" s="871">
        <v>113600</v>
      </c>
      <c r="CS642" s="871">
        <v>115000</v>
      </c>
      <c r="CT642" s="871">
        <v>116400</v>
      </c>
      <c r="CU642" s="871">
        <v>117800</v>
      </c>
      <c r="CV642" s="871">
        <v>119200</v>
      </c>
      <c r="CW642" s="871">
        <v>120600</v>
      </c>
      <c r="CX642" s="871">
        <v>122000</v>
      </c>
      <c r="CY642" s="871">
        <v>123400</v>
      </c>
      <c r="CZ642" s="871">
        <v>124800</v>
      </c>
      <c r="DA642" s="871">
        <v>126200</v>
      </c>
      <c r="DB642" s="871">
        <v>127600</v>
      </c>
      <c r="DC642" s="871">
        <v>129000</v>
      </c>
      <c r="DD642" s="871">
        <v>130400</v>
      </c>
      <c r="DE642" s="871">
        <v>131800</v>
      </c>
      <c r="DF642" s="871">
        <v>133200</v>
      </c>
      <c r="DG642" s="871">
        <v>134600</v>
      </c>
      <c r="DH642" s="871">
        <v>136000</v>
      </c>
      <c r="DI642" s="871">
        <v>137400</v>
      </c>
      <c r="DJ642" s="871">
        <v>138800</v>
      </c>
      <c r="DK642" s="871">
        <v>140200</v>
      </c>
      <c r="DL642" s="871">
        <v>141600</v>
      </c>
      <c r="DM642" s="871">
        <v>143000</v>
      </c>
      <c r="DN642" s="871">
        <v>144400</v>
      </c>
      <c r="DO642" s="871">
        <v>145800</v>
      </c>
      <c r="DP642" s="871">
        <v>147200</v>
      </c>
      <c r="DQ642" s="871">
        <v>148600</v>
      </c>
      <c r="DR642" s="871">
        <v>0</v>
      </c>
      <c r="DS642" s="871">
        <v>0</v>
      </c>
      <c r="DT642" s="871">
        <v>0</v>
      </c>
      <c r="DU642" s="871">
        <v>0</v>
      </c>
      <c r="DV642" s="871">
        <v>0</v>
      </c>
      <c r="DW642" s="871">
        <v>0</v>
      </c>
    </row>
    <row r="643" spans="12:127" hidden="1">
      <c r="L643" s="870" t="s">
        <v>1060</v>
      </c>
      <c r="M643" s="870" t="s">
        <v>1382</v>
      </c>
      <c r="N643" s="870" t="s">
        <v>96</v>
      </c>
      <c r="O643" s="871">
        <v>7</v>
      </c>
      <c r="P643" s="780" t="str">
        <f t="shared" si="21"/>
        <v>IWT060107</v>
      </c>
      <c r="Q643" s="871">
        <v>0</v>
      </c>
      <c r="R643" s="871">
        <v>0</v>
      </c>
      <c r="S643" s="871">
        <v>0</v>
      </c>
      <c r="T643" s="871">
        <v>0</v>
      </c>
      <c r="U643" s="871">
        <v>0</v>
      </c>
      <c r="V643" s="871">
        <v>0</v>
      </c>
      <c r="W643" s="871">
        <v>0</v>
      </c>
      <c r="X643" s="871">
        <v>0</v>
      </c>
      <c r="Y643" s="871">
        <v>0</v>
      </c>
      <c r="Z643" s="871">
        <v>29809</v>
      </c>
      <c r="AA643" s="871">
        <v>30406</v>
      </c>
      <c r="AB643" s="871">
        <v>31014</v>
      </c>
      <c r="AC643" s="871">
        <v>31634</v>
      </c>
      <c r="AD643" s="871">
        <v>32267</v>
      </c>
      <c r="AE643" s="871">
        <v>32912</v>
      </c>
      <c r="AF643" s="871">
        <v>33570</v>
      </c>
      <c r="AG643" s="871">
        <v>34242</v>
      </c>
      <c r="AH643" s="871">
        <v>34926</v>
      </c>
      <c r="AI643" s="871">
        <v>35625</v>
      </c>
      <c r="AJ643" s="871">
        <v>36337</v>
      </c>
      <c r="AK643" s="871">
        <v>37064</v>
      </c>
      <c r="AL643" s="871">
        <v>37806</v>
      </c>
      <c r="AM643" s="871">
        <v>38562</v>
      </c>
      <c r="AN643" s="871">
        <v>39333</v>
      </c>
      <c r="AO643" s="871">
        <v>40120</v>
      </c>
      <c r="AP643" s="871">
        <v>40922</v>
      </c>
      <c r="AQ643" s="871">
        <v>41740</v>
      </c>
      <c r="AR643" s="871">
        <v>42575</v>
      </c>
      <c r="AS643" s="871">
        <v>43427</v>
      </c>
      <c r="AT643" s="871">
        <v>44295</v>
      </c>
      <c r="AU643" s="871">
        <v>45181</v>
      </c>
      <c r="AV643" s="871">
        <v>46400</v>
      </c>
      <c r="AW643" s="871">
        <v>47800</v>
      </c>
      <c r="AX643" s="871">
        <v>49200</v>
      </c>
      <c r="AY643" s="871">
        <v>50600</v>
      </c>
      <c r="AZ643" s="871">
        <v>52000</v>
      </c>
      <c r="BA643" s="871">
        <v>53400</v>
      </c>
      <c r="BB643" s="871">
        <v>54800</v>
      </c>
      <c r="BC643" s="871">
        <v>56200</v>
      </c>
      <c r="BD643" s="871">
        <v>57600</v>
      </c>
      <c r="BE643" s="871">
        <v>59000</v>
      </c>
      <c r="BF643" s="871">
        <v>60400</v>
      </c>
      <c r="BG643" s="871">
        <v>61800</v>
      </c>
      <c r="BH643" s="871">
        <v>63200</v>
      </c>
      <c r="BI643" s="871">
        <v>64600</v>
      </c>
      <c r="BJ643" s="871">
        <v>66000</v>
      </c>
      <c r="BK643" s="871">
        <v>67400</v>
      </c>
      <c r="BL643" s="871">
        <v>68800</v>
      </c>
      <c r="BM643" s="871">
        <v>70200</v>
      </c>
      <c r="BN643" s="871">
        <v>71600</v>
      </c>
      <c r="BO643" s="871">
        <v>73000</v>
      </c>
      <c r="BP643" s="871">
        <v>74400</v>
      </c>
      <c r="BQ643" s="871">
        <v>75800</v>
      </c>
      <c r="BR643" s="871">
        <v>77200</v>
      </c>
      <c r="BS643" s="871">
        <v>78600</v>
      </c>
      <c r="BT643" s="871">
        <v>80000</v>
      </c>
      <c r="BU643" s="871">
        <v>81400</v>
      </c>
      <c r="BV643" s="871">
        <v>82800</v>
      </c>
      <c r="BW643" s="871">
        <v>84200</v>
      </c>
      <c r="BX643" s="871">
        <v>85600</v>
      </c>
      <c r="BY643" s="871">
        <v>87000</v>
      </c>
      <c r="BZ643" s="871">
        <v>88400</v>
      </c>
      <c r="CA643" s="871">
        <v>89800</v>
      </c>
      <c r="CB643" s="871">
        <v>91200</v>
      </c>
      <c r="CC643" s="871">
        <v>92600</v>
      </c>
      <c r="CD643" s="871">
        <v>94000</v>
      </c>
      <c r="CE643" s="871">
        <v>95400</v>
      </c>
      <c r="CF643" s="871">
        <v>96800</v>
      </c>
      <c r="CG643" s="871">
        <v>98200</v>
      </c>
      <c r="CH643" s="871">
        <v>99600</v>
      </c>
      <c r="CI643" s="871">
        <v>101000</v>
      </c>
      <c r="CJ643" s="871">
        <v>102400</v>
      </c>
      <c r="CK643" s="871">
        <v>103800</v>
      </c>
      <c r="CL643" s="871">
        <v>105200</v>
      </c>
      <c r="CM643" s="871">
        <v>106600</v>
      </c>
      <c r="CN643" s="871">
        <v>108000</v>
      </c>
      <c r="CO643" s="871">
        <v>109400</v>
      </c>
      <c r="CP643" s="871">
        <v>110800</v>
      </c>
      <c r="CQ643" s="871">
        <v>112200</v>
      </c>
      <c r="CR643" s="871">
        <v>113600</v>
      </c>
      <c r="CS643" s="871">
        <v>115000</v>
      </c>
      <c r="CT643" s="871">
        <v>116400</v>
      </c>
      <c r="CU643" s="871">
        <v>117800</v>
      </c>
      <c r="CV643" s="871">
        <v>119200</v>
      </c>
      <c r="CW643" s="871">
        <v>120600</v>
      </c>
      <c r="CX643" s="871">
        <v>122000</v>
      </c>
      <c r="CY643" s="871">
        <v>123400</v>
      </c>
      <c r="CZ643" s="871">
        <v>124800</v>
      </c>
      <c r="DA643" s="871">
        <v>126200</v>
      </c>
      <c r="DB643" s="871">
        <v>127600</v>
      </c>
      <c r="DC643" s="871">
        <v>129000</v>
      </c>
      <c r="DD643" s="871">
        <v>130400</v>
      </c>
      <c r="DE643" s="871">
        <v>131800</v>
      </c>
      <c r="DF643" s="871">
        <v>133200</v>
      </c>
      <c r="DG643" s="871">
        <v>134600</v>
      </c>
      <c r="DH643" s="871">
        <v>136000</v>
      </c>
      <c r="DI643" s="871">
        <v>137400</v>
      </c>
      <c r="DJ643" s="871">
        <v>138800</v>
      </c>
      <c r="DK643" s="871">
        <v>140200</v>
      </c>
      <c r="DL643" s="871">
        <v>141600</v>
      </c>
      <c r="DM643" s="871">
        <v>143000</v>
      </c>
      <c r="DN643" s="871">
        <v>144400</v>
      </c>
      <c r="DO643" s="871">
        <v>145800</v>
      </c>
      <c r="DP643" s="871">
        <v>147200</v>
      </c>
      <c r="DQ643" s="871">
        <v>0</v>
      </c>
      <c r="DR643" s="871">
        <v>0</v>
      </c>
      <c r="DS643" s="871">
        <v>0</v>
      </c>
      <c r="DT643" s="871">
        <v>0</v>
      </c>
      <c r="DU643" s="871">
        <v>0</v>
      </c>
      <c r="DV643" s="871">
        <v>0</v>
      </c>
      <c r="DW643" s="871">
        <v>0</v>
      </c>
    </row>
    <row r="644" spans="12:127" hidden="1">
      <c r="L644" s="870" t="s">
        <v>1060</v>
      </c>
      <c r="M644" s="870" t="s">
        <v>1382</v>
      </c>
      <c r="N644" s="870" t="s">
        <v>96</v>
      </c>
      <c r="O644" s="871">
        <v>8</v>
      </c>
      <c r="P644" s="780" t="str">
        <f t="shared" si="21"/>
        <v>IWT060108</v>
      </c>
      <c r="Q644" s="871">
        <v>0</v>
      </c>
      <c r="R644" s="871">
        <v>0</v>
      </c>
      <c r="S644" s="871">
        <v>0</v>
      </c>
      <c r="T644" s="871">
        <v>0</v>
      </c>
      <c r="U644" s="871">
        <v>0</v>
      </c>
      <c r="V644" s="871">
        <v>0</v>
      </c>
      <c r="W644" s="871">
        <v>0</v>
      </c>
      <c r="X644" s="871">
        <v>0</v>
      </c>
      <c r="Y644" s="871">
        <v>29446.799999999999</v>
      </c>
      <c r="Z644" s="871">
        <v>29966</v>
      </c>
      <c r="AA644" s="871">
        <v>30566</v>
      </c>
      <c r="AB644" s="871">
        <v>31177</v>
      </c>
      <c r="AC644" s="871">
        <v>31801</v>
      </c>
      <c r="AD644" s="871">
        <v>32437</v>
      </c>
      <c r="AE644" s="871">
        <v>33085</v>
      </c>
      <c r="AF644" s="871">
        <v>33747</v>
      </c>
      <c r="AG644" s="871">
        <v>34422</v>
      </c>
      <c r="AH644" s="871">
        <v>35110</v>
      </c>
      <c r="AI644" s="871">
        <v>35813</v>
      </c>
      <c r="AJ644" s="871">
        <v>36529</v>
      </c>
      <c r="AK644" s="871">
        <v>37259</v>
      </c>
      <c r="AL644" s="871">
        <v>38005</v>
      </c>
      <c r="AM644" s="871">
        <v>38765</v>
      </c>
      <c r="AN644" s="871">
        <v>39540</v>
      </c>
      <c r="AO644" s="871">
        <v>40331</v>
      </c>
      <c r="AP644" s="871">
        <v>41137</v>
      </c>
      <c r="AQ644" s="871">
        <v>41960</v>
      </c>
      <c r="AR644" s="871">
        <v>42799</v>
      </c>
      <c r="AS644" s="871">
        <v>43655</v>
      </c>
      <c r="AT644" s="871">
        <v>44529</v>
      </c>
      <c r="AU644" s="871">
        <v>45419</v>
      </c>
      <c r="AV644" s="871">
        <v>46400</v>
      </c>
      <c r="AW644" s="871">
        <v>47800</v>
      </c>
      <c r="AX644" s="871">
        <v>49200</v>
      </c>
      <c r="AY644" s="871">
        <v>50600</v>
      </c>
      <c r="AZ644" s="871">
        <v>52000</v>
      </c>
      <c r="BA644" s="871">
        <v>53400</v>
      </c>
      <c r="BB644" s="871">
        <v>54800</v>
      </c>
      <c r="BC644" s="871">
        <v>56200</v>
      </c>
      <c r="BD644" s="871">
        <v>57600</v>
      </c>
      <c r="BE644" s="871">
        <v>59000</v>
      </c>
      <c r="BF644" s="871">
        <v>60400</v>
      </c>
      <c r="BG644" s="871">
        <v>61800</v>
      </c>
      <c r="BH644" s="871">
        <v>63200</v>
      </c>
      <c r="BI644" s="871">
        <v>64600</v>
      </c>
      <c r="BJ644" s="871">
        <v>66000</v>
      </c>
      <c r="BK644" s="871">
        <v>67400</v>
      </c>
      <c r="BL644" s="871">
        <v>68800</v>
      </c>
      <c r="BM644" s="871">
        <v>70200</v>
      </c>
      <c r="BN644" s="871">
        <v>71600</v>
      </c>
      <c r="BO644" s="871">
        <v>73000</v>
      </c>
      <c r="BP644" s="871">
        <v>74400</v>
      </c>
      <c r="BQ644" s="871">
        <v>75800</v>
      </c>
      <c r="BR644" s="871">
        <v>77200</v>
      </c>
      <c r="BS644" s="871">
        <v>78600</v>
      </c>
      <c r="BT644" s="871">
        <v>80000</v>
      </c>
      <c r="BU644" s="871">
        <v>81400</v>
      </c>
      <c r="BV644" s="871">
        <v>82800</v>
      </c>
      <c r="BW644" s="871">
        <v>84200</v>
      </c>
      <c r="BX644" s="871">
        <v>85600</v>
      </c>
      <c r="BY644" s="871">
        <v>87000</v>
      </c>
      <c r="BZ644" s="871">
        <v>88400</v>
      </c>
      <c r="CA644" s="871">
        <v>89800</v>
      </c>
      <c r="CB644" s="871">
        <v>91200</v>
      </c>
      <c r="CC644" s="871">
        <v>92600</v>
      </c>
      <c r="CD644" s="871">
        <v>94000</v>
      </c>
      <c r="CE644" s="871">
        <v>95400</v>
      </c>
      <c r="CF644" s="871">
        <v>96800</v>
      </c>
      <c r="CG644" s="871">
        <v>98200</v>
      </c>
      <c r="CH644" s="871">
        <v>99600</v>
      </c>
      <c r="CI644" s="871">
        <v>101000</v>
      </c>
      <c r="CJ644" s="871">
        <v>102400</v>
      </c>
      <c r="CK644" s="871">
        <v>103800</v>
      </c>
      <c r="CL644" s="871">
        <v>105200</v>
      </c>
      <c r="CM644" s="871">
        <v>106600</v>
      </c>
      <c r="CN644" s="871">
        <v>108000</v>
      </c>
      <c r="CO644" s="871">
        <v>109400</v>
      </c>
      <c r="CP644" s="871">
        <v>110800</v>
      </c>
      <c r="CQ644" s="871">
        <v>112200</v>
      </c>
      <c r="CR644" s="871">
        <v>113600</v>
      </c>
      <c r="CS644" s="871">
        <v>115000</v>
      </c>
      <c r="CT644" s="871">
        <v>116400</v>
      </c>
      <c r="CU644" s="871">
        <v>117800</v>
      </c>
      <c r="CV644" s="871">
        <v>119200</v>
      </c>
      <c r="CW644" s="871">
        <v>120600</v>
      </c>
      <c r="CX644" s="871">
        <v>122000</v>
      </c>
      <c r="CY644" s="871">
        <v>123400</v>
      </c>
      <c r="CZ644" s="871">
        <v>124800</v>
      </c>
      <c r="DA644" s="871">
        <v>126200</v>
      </c>
      <c r="DB644" s="871">
        <v>127600</v>
      </c>
      <c r="DC644" s="871">
        <v>129000</v>
      </c>
      <c r="DD644" s="871">
        <v>130400</v>
      </c>
      <c r="DE644" s="871">
        <v>131800</v>
      </c>
      <c r="DF644" s="871">
        <v>133200</v>
      </c>
      <c r="DG644" s="871">
        <v>134600</v>
      </c>
      <c r="DH644" s="871">
        <v>136000</v>
      </c>
      <c r="DI644" s="871">
        <v>137400</v>
      </c>
      <c r="DJ644" s="871">
        <v>138800</v>
      </c>
      <c r="DK644" s="871">
        <v>140200</v>
      </c>
      <c r="DL644" s="871">
        <v>141600</v>
      </c>
      <c r="DM644" s="871">
        <v>143000</v>
      </c>
      <c r="DN644" s="871">
        <v>144400</v>
      </c>
      <c r="DO644" s="871">
        <v>145800</v>
      </c>
      <c r="DP644" s="871">
        <v>0</v>
      </c>
      <c r="DQ644" s="871">
        <v>0</v>
      </c>
      <c r="DR644" s="871">
        <v>0</v>
      </c>
      <c r="DS644" s="871">
        <v>0</v>
      </c>
      <c r="DT644" s="871">
        <v>0</v>
      </c>
      <c r="DU644" s="871">
        <v>0</v>
      </c>
      <c r="DV644" s="871">
        <v>0</v>
      </c>
      <c r="DW644" s="871">
        <v>0</v>
      </c>
    </row>
    <row r="645" spans="12:127" hidden="1">
      <c r="L645" s="870" t="s">
        <v>1060</v>
      </c>
      <c r="M645" s="870" t="s">
        <v>1382</v>
      </c>
      <c r="N645" s="870" t="s">
        <v>96</v>
      </c>
      <c r="O645" s="871">
        <v>9</v>
      </c>
      <c r="P645" s="780" t="str">
        <f t="shared" si="21"/>
        <v>IWT060109</v>
      </c>
      <c r="Q645" s="871">
        <v>0</v>
      </c>
      <c r="R645" s="871">
        <v>0</v>
      </c>
      <c r="S645" s="871">
        <v>0</v>
      </c>
      <c r="T645" s="871">
        <v>0</v>
      </c>
      <c r="U645" s="871">
        <v>0</v>
      </c>
      <c r="V645" s="871">
        <v>0</v>
      </c>
      <c r="W645" s="871">
        <v>0</v>
      </c>
      <c r="X645" s="871">
        <v>29599.4</v>
      </c>
      <c r="Y645" s="871">
        <v>29599.4</v>
      </c>
      <c r="Z645" s="871">
        <v>30119</v>
      </c>
      <c r="AA645" s="871">
        <v>30722</v>
      </c>
      <c r="AB645" s="871">
        <v>31336</v>
      </c>
      <c r="AC645" s="871">
        <v>31963</v>
      </c>
      <c r="AD645" s="871">
        <v>32602</v>
      </c>
      <c r="AE645" s="871">
        <v>33254</v>
      </c>
      <c r="AF645" s="871">
        <v>33919</v>
      </c>
      <c r="AG645" s="871">
        <v>34598</v>
      </c>
      <c r="AH645" s="871">
        <v>35290</v>
      </c>
      <c r="AI645" s="871">
        <v>35995</v>
      </c>
      <c r="AJ645" s="871">
        <v>36715</v>
      </c>
      <c r="AK645" s="871">
        <v>37450</v>
      </c>
      <c r="AL645" s="871">
        <v>38199</v>
      </c>
      <c r="AM645" s="871">
        <v>38963</v>
      </c>
      <c r="AN645" s="871">
        <v>39742</v>
      </c>
      <c r="AO645" s="871">
        <v>40537</v>
      </c>
      <c r="AP645" s="871">
        <v>41347</v>
      </c>
      <c r="AQ645" s="871">
        <v>42174</v>
      </c>
      <c r="AR645" s="871">
        <v>43018</v>
      </c>
      <c r="AS645" s="871">
        <v>43878</v>
      </c>
      <c r="AT645" s="871">
        <v>44756</v>
      </c>
      <c r="AU645" s="871">
        <v>45651</v>
      </c>
      <c r="AV645" s="871">
        <v>46563</v>
      </c>
      <c r="AW645" s="871">
        <v>47800</v>
      </c>
      <c r="AX645" s="871">
        <v>49200</v>
      </c>
      <c r="AY645" s="871">
        <v>50600</v>
      </c>
      <c r="AZ645" s="871">
        <v>52000</v>
      </c>
      <c r="BA645" s="871">
        <v>53400</v>
      </c>
      <c r="BB645" s="871">
        <v>54800</v>
      </c>
      <c r="BC645" s="871">
        <v>56200</v>
      </c>
      <c r="BD645" s="871">
        <v>57600</v>
      </c>
      <c r="BE645" s="871">
        <v>59000</v>
      </c>
      <c r="BF645" s="871">
        <v>60400</v>
      </c>
      <c r="BG645" s="871">
        <v>61800</v>
      </c>
      <c r="BH645" s="871">
        <v>63200</v>
      </c>
      <c r="BI645" s="871">
        <v>64600</v>
      </c>
      <c r="BJ645" s="871">
        <v>66000</v>
      </c>
      <c r="BK645" s="871">
        <v>67400</v>
      </c>
      <c r="BL645" s="871">
        <v>68800</v>
      </c>
      <c r="BM645" s="871">
        <v>70200</v>
      </c>
      <c r="BN645" s="871">
        <v>71600</v>
      </c>
      <c r="BO645" s="871">
        <v>73000</v>
      </c>
      <c r="BP645" s="871">
        <v>74400</v>
      </c>
      <c r="BQ645" s="871">
        <v>75800</v>
      </c>
      <c r="BR645" s="871">
        <v>77200</v>
      </c>
      <c r="BS645" s="871">
        <v>78600</v>
      </c>
      <c r="BT645" s="871">
        <v>80000</v>
      </c>
      <c r="BU645" s="871">
        <v>81400</v>
      </c>
      <c r="BV645" s="871">
        <v>82800</v>
      </c>
      <c r="BW645" s="871">
        <v>84200</v>
      </c>
      <c r="BX645" s="871">
        <v>85600</v>
      </c>
      <c r="BY645" s="871">
        <v>87000</v>
      </c>
      <c r="BZ645" s="871">
        <v>88400</v>
      </c>
      <c r="CA645" s="871">
        <v>89800</v>
      </c>
      <c r="CB645" s="871">
        <v>91200</v>
      </c>
      <c r="CC645" s="871">
        <v>92600</v>
      </c>
      <c r="CD645" s="871">
        <v>94000</v>
      </c>
      <c r="CE645" s="871">
        <v>95400</v>
      </c>
      <c r="CF645" s="871">
        <v>96800</v>
      </c>
      <c r="CG645" s="871">
        <v>98200</v>
      </c>
      <c r="CH645" s="871">
        <v>99600</v>
      </c>
      <c r="CI645" s="871">
        <v>101000</v>
      </c>
      <c r="CJ645" s="871">
        <v>102400</v>
      </c>
      <c r="CK645" s="871">
        <v>103800</v>
      </c>
      <c r="CL645" s="871">
        <v>105200</v>
      </c>
      <c r="CM645" s="871">
        <v>106600</v>
      </c>
      <c r="CN645" s="871">
        <v>108000</v>
      </c>
      <c r="CO645" s="871">
        <v>109400</v>
      </c>
      <c r="CP645" s="871">
        <v>110800</v>
      </c>
      <c r="CQ645" s="871">
        <v>112200</v>
      </c>
      <c r="CR645" s="871">
        <v>113600</v>
      </c>
      <c r="CS645" s="871">
        <v>115000</v>
      </c>
      <c r="CT645" s="871">
        <v>116400</v>
      </c>
      <c r="CU645" s="871">
        <v>117800</v>
      </c>
      <c r="CV645" s="871">
        <v>119200</v>
      </c>
      <c r="CW645" s="871">
        <v>120600</v>
      </c>
      <c r="CX645" s="871">
        <v>122000</v>
      </c>
      <c r="CY645" s="871">
        <v>123400</v>
      </c>
      <c r="CZ645" s="871">
        <v>124800</v>
      </c>
      <c r="DA645" s="871">
        <v>126200</v>
      </c>
      <c r="DB645" s="871">
        <v>127600</v>
      </c>
      <c r="DC645" s="871">
        <v>129000</v>
      </c>
      <c r="DD645" s="871">
        <v>130400</v>
      </c>
      <c r="DE645" s="871">
        <v>131800</v>
      </c>
      <c r="DF645" s="871">
        <v>133200</v>
      </c>
      <c r="DG645" s="871">
        <v>134600</v>
      </c>
      <c r="DH645" s="871">
        <v>136000</v>
      </c>
      <c r="DI645" s="871">
        <v>137400</v>
      </c>
      <c r="DJ645" s="871">
        <v>138800</v>
      </c>
      <c r="DK645" s="871">
        <v>140200</v>
      </c>
      <c r="DL645" s="871">
        <v>141600</v>
      </c>
      <c r="DM645" s="871">
        <v>143000</v>
      </c>
      <c r="DN645" s="871">
        <v>144400</v>
      </c>
      <c r="DO645" s="871">
        <v>0</v>
      </c>
      <c r="DP645" s="871">
        <v>0</v>
      </c>
      <c r="DQ645" s="871">
        <v>0</v>
      </c>
      <c r="DR645" s="871">
        <v>0</v>
      </c>
      <c r="DS645" s="871">
        <v>0</v>
      </c>
      <c r="DT645" s="871">
        <v>0</v>
      </c>
      <c r="DU645" s="871">
        <v>0</v>
      </c>
      <c r="DV645" s="871">
        <v>0</v>
      </c>
      <c r="DW645" s="871">
        <v>0</v>
      </c>
    </row>
    <row r="646" spans="12:127" hidden="1">
      <c r="L646" s="870" t="s">
        <v>1060</v>
      </c>
      <c r="M646" s="870" t="s">
        <v>1382</v>
      </c>
      <c r="N646" s="870" t="s">
        <v>96</v>
      </c>
      <c r="O646" s="871">
        <v>10</v>
      </c>
      <c r="P646" s="780" t="str">
        <f t="shared" si="21"/>
        <v>IWT060110</v>
      </c>
      <c r="Q646" s="871">
        <v>0</v>
      </c>
      <c r="R646" s="871">
        <v>0</v>
      </c>
      <c r="S646" s="871">
        <v>0</v>
      </c>
      <c r="T646" s="871">
        <v>0</v>
      </c>
      <c r="U646" s="871">
        <v>0</v>
      </c>
      <c r="V646" s="871">
        <v>0</v>
      </c>
      <c r="W646" s="871">
        <v>29745.7</v>
      </c>
      <c r="X646" s="871">
        <v>29745.7</v>
      </c>
      <c r="Y646" s="871">
        <v>29745.7</v>
      </c>
      <c r="Z646" s="871">
        <v>30268</v>
      </c>
      <c r="AA646" s="871">
        <v>30873</v>
      </c>
      <c r="AB646" s="871">
        <v>31491</v>
      </c>
      <c r="AC646" s="871">
        <v>32120</v>
      </c>
      <c r="AD646" s="871">
        <v>32763</v>
      </c>
      <c r="AE646" s="871">
        <v>33418</v>
      </c>
      <c r="AF646" s="871">
        <v>34087</v>
      </c>
      <c r="AG646" s="871">
        <v>34768</v>
      </c>
      <c r="AH646" s="871">
        <v>35464</v>
      </c>
      <c r="AI646" s="871">
        <v>36173</v>
      </c>
      <c r="AJ646" s="871">
        <v>36896</v>
      </c>
      <c r="AK646" s="871">
        <v>37634</v>
      </c>
      <c r="AL646" s="871">
        <v>38387</v>
      </c>
      <c r="AM646" s="871">
        <v>39155</v>
      </c>
      <c r="AN646" s="871">
        <v>39938</v>
      </c>
      <c r="AO646" s="871">
        <v>40737</v>
      </c>
      <c r="AP646" s="871">
        <v>41551</v>
      </c>
      <c r="AQ646" s="871">
        <v>42382</v>
      </c>
      <c r="AR646" s="871">
        <v>43230</v>
      </c>
      <c r="AS646" s="871">
        <v>44095</v>
      </c>
      <c r="AT646" s="871">
        <v>44976</v>
      </c>
      <c r="AU646" s="871">
        <v>45876</v>
      </c>
      <c r="AV646" s="871">
        <v>46793</v>
      </c>
      <c r="AW646" s="871">
        <v>47800</v>
      </c>
      <c r="AX646" s="871">
        <v>49200</v>
      </c>
      <c r="AY646" s="871">
        <v>50600</v>
      </c>
      <c r="AZ646" s="871">
        <v>52000</v>
      </c>
      <c r="BA646" s="871">
        <v>53400</v>
      </c>
      <c r="BB646" s="871">
        <v>54800</v>
      </c>
      <c r="BC646" s="871">
        <v>56200</v>
      </c>
      <c r="BD646" s="871">
        <v>57600</v>
      </c>
      <c r="BE646" s="871">
        <v>59000</v>
      </c>
      <c r="BF646" s="871">
        <v>60400</v>
      </c>
      <c r="BG646" s="871">
        <v>61800</v>
      </c>
      <c r="BH646" s="871">
        <v>63200</v>
      </c>
      <c r="BI646" s="871">
        <v>64600</v>
      </c>
      <c r="BJ646" s="871">
        <v>66000</v>
      </c>
      <c r="BK646" s="871">
        <v>67400</v>
      </c>
      <c r="BL646" s="871">
        <v>68800</v>
      </c>
      <c r="BM646" s="871">
        <v>70200</v>
      </c>
      <c r="BN646" s="871">
        <v>71600</v>
      </c>
      <c r="BO646" s="871">
        <v>73000</v>
      </c>
      <c r="BP646" s="871">
        <v>74400</v>
      </c>
      <c r="BQ646" s="871">
        <v>75800</v>
      </c>
      <c r="BR646" s="871">
        <v>77200</v>
      </c>
      <c r="BS646" s="871">
        <v>78600</v>
      </c>
      <c r="BT646" s="871">
        <v>80000</v>
      </c>
      <c r="BU646" s="871">
        <v>81400</v>
      </c>
      <c r="BV646" s="871">
        <v>82800</v>
      </c>
      <c r="BW646" s="871">
        <v>84200</v>
      </c>
      <c r="BX646" s="871">
        <v>85600</v>
      </c>
      <c r="BY646" s="871">
        <v>87000</v>
      </c>
      <c r="BZ646" s="871">
        <v>88400</v>
      </c>
      <c r="CA646" s="871">
        <v>89800</v>
      </c>
      <c r="CB646" s="871">
        <v>91200</v>
      </c>
      <c r="CC646" s="871">
        <v>92600</v>
      </c>
      <c r="CD646" s="871">
        <v>94000</v>
      </c>
      <c r="CE646" s="871">
        <v>95400</v>
      </c>
      <c r="CF646" s="871">
        <v>96800</v>
      </c>
      <c r="CG646" s="871">
        <v>98200</v>
      </c>
      <c r="CH646" s="871">
        <v>99600</v>
      </c>
      <c r="CI646" s="871">
        <v>101000</v>
      </c>
      <c r="CJ646" s="871">
        <v>102400</v>
      </c>
      <c r="CK646" s="871">
        <v>103800</v>
      </c>
      <c r="CL646" s="871">
        <v>105200</v>
      </c>
      <c r="CM646" s="871">
        <v>106600</v>
      </c>
      <c r="CN646" s="871">
        <v>108000</v>
      </c>
      <c r="CO646" s="871">
        <v>109400</v>
      </c>
      <c r="CP646" s="871">
        <v>110800</v>
      </c>
      <c r="CQ646" s="871">
        <v>112200</v>
      </c>
      <c r="CR646" s="871">
        <v>113600</v>
      </c>
      <c r="CS646" s="871">
        <v>115000</v>
      </c>
      <c r="CT646" s="871">
        <v>116400</v>
      </c>
      <c r="CU646" s="871">
        <v>117800</v>
      </c>
      <c r="CV646" s="871">
        <v>119200</v>
      </c>
      <c r="CW646" s="871">
        <v>120600</v>
      </c>
      <c r="CX646" s="871">
        <v>122000</v>
      </c>
      <c r="CY646" s="871">
        <v>123400</v>
      </c>
      <c r="CZ646" s="871">
        <v>124800</v>
      </c>
      <c r="DA646" s="871">
        <v>126200</v>
      </c>
      <c r="DB646" s="871">
        <v>127600</v>
      </c>
      <c r="DC646" s="871">
        <v>129000</v>
      </c>
      <c r="DD646" s="871">
        <v>130400</v>
      </c>
      <c r="DE646" s="871">
        <v>131800</v>
      </c>
      <c r="DF646" s="871">
        <v>133200</v>
      </c>
      <c r="DG646" s="871">
        <v>134600</v>
      </c>
      <c r="DH646" s="871">
        <v>136000</v>
      </c>
      <c r="DI646" s="871">
        <v>137400</v>
      </c>
      <c r="DJ646" s="871">
        <v>138800</v>
      </c>
      <c r="DK646" s="871">
        <v>140200</v>
      </c>
      <c r="DL646" s="871">
        <v>141600</v>
      </c>
      <c r="DM646" s="871">
        <v>143000</v>
      </c>
      <c r="DN646" s="871">
        <v>0</v>
      </c>
      <c r="DO646" s="871">
        <v>0</v>
      </c>
      <c r="DP646" s="871">
        <v>0</v>
      </c>
      <c r="DQ646" s="871">
        <v>0</v>
      </c>
      <c r="DR646" s="871">
        <v>0</v>
      </c>
      <c r="DS646" s="871">
        <v>0</v>
      </c>
      <c r="DT646" s="871">
        <v>0</v>
      </c>
      <c r="DU646" s="871">
        <v>0</v>
      </c>
      <c r="DV646" s="871">
        <v>0</v>
      </c>
      <c r="DW646" s="871">
        <v>0</v>
      </c>
    </row>
    <row r="647" spans="12:127" hidden="1">
      <c r="L647" s="870" t="s">
        <v>1060</v>
      </c>
      <c r="M647" s="870" t="s">
        <v>1382</v>
      </c>
      <c r="N647" s="870" t="s">
        <v>96</v>
      </c>
      <c r="O647" s="871">
        <v>11</v>
      </c>
      <c r="P647" s="780" t="str">
        <f t="shared" si="21"/>
        <v>IWT060111</v>
      </c>
      <c r="Q647" s="871">
        <v>0</v>
      </c>
      <c r="R647" s="871">
        <v>0</v>
      </c>
      <c r="S647" s="871">
        <v>0</v>
      </c>
      <c r="T647" s="871">
        <v>0</v>
      </c>
      <c r="U647" s="871">
        <v>0</v>
      </c>
      <c r="V647" s="871">
        <v>29885.599999999999</v>
      </c>
      <c r="W647" s="871">
        <v>29885.599999999999</v>
      </c>
      <c r="X647" s="871">
        <v>29885.599999999999</v>
      </c>
      <c r="Y647" s="871">
        <v>29885.599999999999</v>
      </c>
      <c r="Z647" s="871">
        <v>30412</v>
      </c>
      <c r="AA647" s="871">
        <v>31020</v>
      </c>
      <c r="AB647" s="871">
        <v>31641</v>
      </c>
      <c r="AC647" s="871">
        <v>32273</v>
      </c>
      <c r="AD647" s="871">
        <v>32919</v>
      </c>
      <c r="AE647" s="871">
        <v>33577</v>
      </c>
      <c r="AF647" s="871">
        <v>34249</v>
      </c>
      <c r="AG647" s="871">
        <v>34934</v>
      </c>
      <c r="AH647" s="871">
        <v>35632</v>
      </c>
      <c r="AI647" s="871">
        <v>36345</v>
      </c>
      <c r="AJ647" s="871">
        <v>37072</v>
      </c>
      <c r="AK647" s="871">
        <v>37813</v>
      </c>
      <c r="AL647" s="871">
        <v>38570</v>
      </c>
      <c r="AM647" s="871">
        <v>39341</v>
      </c>
      <c r="AN647" s="871">
        <v>40128</v>
      </c>
      <c r="AO647" s="871">
        <v>40931</v>
      </c>
      <c r="AP647" s="871">
        <v>41749</v>
      </c>
      <c r="AQ647" s="871">
        <v>42584</v>
      </c>
      <c r="AR647" s="871">
        <v>43436</v>
      </c>
      <c r="AS647" s="871">
        <v>44304</v>
      </c>
      <c r="AT647" s="871">
        <v>45191</v>
      </c>
      <c r="AU647" s="871">
        <v>46094</v>
      </c>
      <c r="AV647" s="871">
        <v>47016</v>
      </c>
      <c r="AW647" s="871">
        <v>47956</v>
      </c>
      <c r="AX647" s="871">
        <v>49200</v>
      </c>
      <c r="AY647" s="871">
        <v>50600</v>
      </c>
      <c r="AZ647" s="871">
        <v>52000</v>
      </c>
      <c r="BA647" s="871">
        <v>53400</v>
      </c>
      <c r="BB647" s="871">
        <v>54800</v>
      </c>
      <c r="BC647" s="871">
        <v>56200</v>
      </c>
      <c r="BD647" s="871">
        <v>57600</v>
      </c>
      <c r="BE647" s="871">
        <v>59000</v>
      </c>
      <c r="BF647" s="871">
        <v>60400</v>
      </c>
      <c r="BG647" s="871">
        <v>61800</v>
      </c>
      <c r="BH647" s="871">
        <v>63200</v>
      </c>
      <c r="BI647" s="871">
        <v>64600</v>
      </c>
      <c r="BJ647" s="871">
        <v>66000</v>
      </c>
      <c r="BK647" s="871">
        <v>67400</v>
      </c>
      <c r="BL647" s="871">
        <v>68800</v>
      </c>
      <c r="BM647" s="871">
        <v>70200</v>
      </c>
      <c r="BN647" s="871">
        <v>71600</v>
      </c>
      <c r="BO647" s="871">
        <v>73000</v>
      </c>
      <c r="BP647" s="871">
        <v>74400</v>
      </c>
      <c r="BQ647" s="871">
        <v>75800</v>
      </c>
      <c r="BR647" s="871">
        <v>77200</v>
      </c>
      <c r="BS647" s="871">
        <v>78600</v>
      </c>
      <c r="BT647" s="871">
        <v>80000</v>
      </c>
      <c r="BU647" s="871">
        <v>81400</v>
      </c>
      <c r="BV647" s="871">
        <v>82800</v>
      </c>
      <c r="BW647" s="871">
        <v>84200</v>
      </c>
      <c r="BX647" s="871">
        <v>85600</v>
      </c>
      <c r="BY647" s="871">
        <v>87000</v>
      </c>
      <c r="BZ647" s="871">
        <v>88400</v>
      </c>
      <c r="CA647" s="871">
        <v>89800</v>
      </c>
      <c r="CB647" s="871">
        <v>91200</v>
      </c>
      <c r="CC647" s="871">
        <v>92600</v>
      </c>
      <c r="CD647" s="871">
        <v>94000</v>
      </c>
      <c r="CE647" s="871">
        <v>95400</v>
      </c>
      <c r="CF647" s="871">
        <v>96800</v>
      </c>
      <c r="CG647" s="871">
        <v>98200</v>
      </c>
      <c r="CH647" s="871">
        <v>99600</v>
      </c>
      <c r="CI647" s="871">
        <v>101000</v>
      </c>
      <c r="CJ647" s="871">
        <v>102400</v>
      </c>
      <c r="CK647" s="871">
        <v>103800</v>
      </c>
      <c r="CL647" s="871">
        <v>105200</v>
      </c>
      <c r="CM647" s="871">
        <v>106600</v>
      </c>
      <c r="CN647" s="871">
        <v>108000</v>
      </c>
      <c r="CO647" s="871">
        <v>109400</v>
      </c>
      <c r="CP647" s="871">
        <v>110800</v>
      </c>
      <c r="CQ647" s="871">
        <v>112200</v>
      </c>
      <c r="CR647" s="871">
        <v>113600</v>
      </c>
      <c r="CS647" s="871">
        <v>115000</v>
      </c>
      <c r="CT647" s="871">
        <v>116400</v>
      </c>
      <c r="CU647" s="871">
        <v>117800</v>
      </c>
      <c r="CV647" s="871">
        <v>119200</v>
      </c>
      <c r="CW647" s="871">
        <v>120600</v>
      </c>
      <c r="CX647" s="871">
        <v>122000</v>
      </c>
      <c r="CY647" s="871">
        <v>123400</v>
      </c>
      <c r="CZ647" s="871">
        <v>124800</v>
      </c>
      <c r="DA647" s="871">
        <v>126200</v>
      </c>
      <c r="DB647" s="871">
        <v>127600</v>
      </c>
      <c r="DC647" s="871">
        <v>129000</v>
      </c>
      <c r="DD647" s="871">
        <v>130400</v>
      </c>
      <c r="DE647" s="871">
        <v>131800</v>
      </c>
      <c r="DF647" s="871">
        <v>133200</v>
      </c>
      <c r="DG647" s="871">
        <v>134600</v>
      </c>
      <c r="DH647" s="871">
        <v>136000</v>
      </c>
      <c r="DI647" s="871">
        <v>137400</v>
      </c>
      <c r="DJ647" s="871">
        <v>138800</v>
      </c>
      <c r="DK647" s="871">
        <v>140205</v>
      </c>
      <c r="DL647" s="871">
        <v>141600</v>
      </c>
      <c r="DM647" s="871">
        <v>0</v>
      </c>
      <c r="DN647" s="871">
        <v>0</v>
      </c>
      <c r="DO647" s="871">
        <v>0</v>
      </c>
      <c r="DP647" s="871">
        <v>0</v>
      </c>
      <c r="DQ647" s="871">
        <v>0</v>
      </c>
      <c r="DR647" s="871">
        <v>0</v>
      </c>
      <c r="DS647" s="871">
        <v>0</v>
      </c>
      <c r="DT647" s="871">
        <v>0</v>
      </c>
      <c r="DU647" s="871">
        <v>0</v>
      </c>
      <c r="DV647" s="871">
        <v>0</v>
      </c>
      <c r="DW647" s="871">
        <v>0</v>
      </c>
    </row>
    <row r="648" spans="12:127" hidden="1">
      <c r="L648" s="870" t="s">
        <v>1060</v>
      </c>
      <c r="M648" s="870" t="s">
        <v>1382</v>
      </c>
      <c r="N648" s="870" t="s">
        <v>96</v>
      </c>
      <c r="O648" s="871">
        <v>12</v>
      </c>
      <c r="P648" s="780" t="str">
        <f t="shared" si="21"/>
        <v>IWT060112</v>
      </c>
      <c r="Q648" s="871">
        <v>0</v>
      </c>
      <c r="R648" s="871">
        <v>0</v>
      </c>
      <c r="S648" s="871">
        <v>0</v>
      </c>
      <c r="T648" s="871">
        <v>0</v>
      </c>
      <c r="U648" s="871">
        <v>27674</v>
      </c>
      <c r="V648" s="871">
        <v>30025.599999999999</v>
      </c>
      <c r="W648" s="871">
        <v>30025.599999999999</v>
      </c>
      <c r="X648" s="871">
        <v>30025.599999999999</v>
      </c>
      <c r="Y648" s="871">
        <v>30025.599999999999</v>
      </c>
      <c r="Z648" s="871">
        <v>30552</v>
      </c>
      <c r="AA648" s="871">
        <v>31163</v>
      </c>
      <c r="AB648" s="871">
        <v>31786</v>
      </c>
      <c r="AC648" s="871">
        <v>32422</v>
      </c>
      <c r="AD648" s="871">
        <v>33070</v>
      </c>
      <c r="AE648" s="871">
        <v>33731</v>
      </c>
      <c r="AF648" s="871">
        <v>34406</v>
      </c>
      <c r="AG648" s="871">
        <v>35094</v>
      </c>
      <c r="AH648" s="871">
        <v>35796</v>
      </c>
      <c r="AI648" s="871">
        <v>36512</v>
      </c>
      <c r="AJ648" s="871">
        <v>37242</v>
      </c>
      <c r="AK648" s="871">
        <v>37987</v>
      </c>
      <c r="AL648" s="871">
        <v>38747</v>
      </c>
      <c r="AM648" s="871">
        <v>39522</v>
      </c>
      <c r="AN648" s="871">
        <v>40312</v>
      </c>
      <c r="AO648" s="871">
        <v>41118</v>
      </c>
      <c r="AP648" s="871">
        <v>41941</v>
      </c>
      <c r="AQ648" s="871">
        <v>42780</v>
      </c>
      <c r="AR648" s="871">
        <v>43635</v>
      </c>
      <c r="AS648" s="871">
        <v>44508</v>
      </c>
      <c r="AT648" s="871">
        <v>45398</v>
      </c>
      <c r="AU648" s="871">
        <v>46306</v>
      </c>
      <c r="AV648" s="871">
        <v>47232</v>
      </c>
      <c r="AW648" s="871">
        <v>48176</v>
      </c>
      <c r="AX648" s="871">
        <v>49200</v>
      </c>
      <c r="AY648" s="871">
        <v>50600</v>
      </c>
      <c r="AZ648" s="871">
        <v>52000</v>
      </c>
      <c r="BA648" s="871">
        <v>53400</v>
      </c>
      <c r="BB648" s="871">
        <v>54800</v>
      </c>
      <c r="BC648" s="871">
        <v>56200</v>
      </c>
      <c r="BD648" s="871">
        <v>57600</v>
      </c>
      <c r="BE648" s="871">
        <v>59000</v>
      </c>
      <c r="BF648" s="871">
        <v>60400</v>
      </c>
      <c r="BG648" s="871">
        <v>61800</v>
      </c>
      <c r="BH648" s="871">
        <v>63200</v>
      </c>
      <c r="BI648" s="871">
        <v>64600</v>
      </c>
      <c r="BJ648" s="871">
        <v>66000</v>
      </c>
      <c r="BK648" s="871">
        <v>67400</v>
      </c>
      <c r="BL648" s="871">
        <v>68800</v>
      </c>
      <c r="BM648" s="871">
        <v>70200</v>
      </c>
      <c r="BN648" s="871">
        <v>71600</v>
      </c>
      <c r="BO648" s="871">
        <v>73000</v>
      </c>
      <c r="BP648" s="871">
        <v>74400</v>
      </c>
      <c r="BQ648" s="871">
        <v>75800</v>
      </c>
      <c r="BR648" s="871">
        <v>77200</v>
      </c>
      <c r="BS648" s="871">
        <v>78600</v>
      </c>
      <c r="BT648" s="871">
        <v>80000</v>
      </c>
      <c r="BU648" s="871">
        <v>81400</v>
      </c>
      <c r="BV648" s="871">
        <v>82800</v>
      </c>
      <c r="BW648" s="871">
        <v>84200</v>
      </c>
      <c r="BX648" s="871">
        <v>85600</v>
      </c>
      <c r="BY648" s="871">
        <v>87000</v>
      </c>
      <c r="BZ648" s="871">
        <v>88400</v>
      </c>
      <c r="CA648" s="871">
        <v>89800</v>
      </c>
      <c r="CB648" s="871">
        <v>91200</v>
      </c>
      <c r="CC648" s="871">
        <v>92600</v>
      </c>
      <c r="CD648" s="871">
        <v>94000</v>
      </c>
      <c r="CE648" s="871">
        <v>95400</v>
      </c>
      <c r="CF648" s="871">
        <v>96800</v>
      </c>
      <c r="CG648" s="871">
        <v>98200</v>
      </c>
      <c r="CH648" s="871">
        <v>99600</v>
      </c>
      <c r="CI648" s="871">
        <v>101000</v>
      </c>
      <c r="CJ648" s="871">
        <v>102400</v>
      </c>
      <c r="CK648" s="871">
        <v>103800</v>
      </c>
      <c r="CL648" s="871">
        <v>105200</v>
      </c>
      <c r="CM648" s="871">
        <v>106600</v>
      </c>
      <c r="CN648" s="871">
        <v>108000</v>
      </c>
      <c r="CO648" s="871">
        <v>109400</v>
      </c>
      <c r="CP648" s="871">
        <v>110800</v>
      </c>
      <c r="CQ648" s="871">
        <v>112200</v>
      </c>
      <c r="CR648" s="871">
        <v>113600</v>
      </c>
      <c r="CS648" s="871">
        <v>115000</v>
      </c>
      <c r="CT648" s="871">
        <v>116400</v>
      </c>
      <c r="CU648" s="871">
        <v>117800</v>
      </c>
      <c r="CV648" s="871">
        <v>119200</v>
      </c>
      <c r="CW648" s="871">
        <v>120600</v>
      </c>
      <c r="CX648" s="871">
        <v>122000</v>
      </c>
      <c r="CY648" s="871">
        <v>123400</v>
      </c>
      <c r="CZ648" s="871">
        <v>124800</v>
      </c>
      <c r="DA648" s="871">
        <v>126200</v>
      </c>
      <c r="DB648" s="871">
        <v>127600</v>
      </c>
      <c r="DC648" s="871">
        <v>129000</v>
      </c>
      <c r="DD648" s="871">
        <v>130400</v>
      </c>
      <c r="DE648" s="871">
        <v>131800</v>
      </c>
      <c r="DF648" s="871">
        <v>133200</v>
      </c>
      <c r="DG648" s="871">
        <v>134600</v>
      </c>
      <c r="DH648" s="871">
        <v>136000</v>
      </c>
      <c r="DI648" s="871">
        <v>137400</v>
      </c>
      <c r="DJ648" s="871">
        <v>138819</v>
      </c>
      <c r="DK648" s="871">
        <v>140200</v>
      </c>
      <c r="DL648" s="871">
        <v>0</v>
      </c>
      <c r="DM648" s="871">
        <v>0</v>
      </c>
      <c r="DN648" s="871">
        <v>0</v>
      </c>
      <c r="DO648" s="871">
        <v>0</v>
      </c>
      <c r="DP648" s="871">
        <v>0</v>
      </c>
      <c r="DQ648" s="871">
        <v>0</v>
      </c>
      <c r="DR648" s="871">
        <v>0</v>
      </c>
      <c r="DS648" s="871">
        <v>0</v>
      </c>
      <c r="DT648" s="871">
        <v>0</v>
      </c>
      <c r="DU648" s="871">
        <v>0</v>
      </c>
      <c r="DV648" s="871">
        <v>0</v>
      </c>
      <c r="DW648" s="871">
        <v>0</v>
      </c>
    </row>
    <row r="649" spans="12:127" hidden="1">
      <c r="L649" s="870" t="s">
        <v>1060</v>
      </c>
      <c r="M649" s="870" t="s">
        <v>1382</v>
      </c>
      <c r="N649" s="870" t="s">
        <v>96</v>
      </c>
      <c r="O649" s="871">
        <v>13</v>
      </c>
      <c r="P649" s="780" t="str">
        <f t="shared" si="21"/>
        <v>IWT060113</v>
      </c>
      <c r="Q649" s="871">
        <v>0</v>
      </c>
      <c r="R649" s="871">
        <v>0</v>
      </c>
      <c r="S649" s="871">
        <v>0</v>
      </c>
      <c r="T649" s="871">
        <v>27252</v>
      </c>
      <c r="U649" s="871">
        <v>27797</v>
      </c>
      <c r="V649" s="871">
        <v>30159.1</v>
      </c>
      <c r="W649" s="871">
        <v>30159.1</v>
      </c>
      <c r="X649" s="871">
        <v>30159.1</v>
      </c>
      <c r="Y649" s="871">
        <v>30159.1</v>
      </c>
      <c r="Z649" s="871">
        <v>30687</v>
      </c>
      <c r="AA649" s="871">
        <v>31300</v>
      </c>
      <c r="AB649" s="871">
        <v>31926</v>
      </c>
      <c r="AC649" s="871">
        <v>32565</v>
      </c>
      <c r="AD649" s="871">
        <v>33216</v>
      </c>
      <c r="AE649" s="871">
        <v>33880</v>
      </c>
      <c r="AF649" s="871">
        <v>34558</v>
      </c>
      <c r="AG649" s="871">
        <v>35249</v>
      </c>
      <c r="AH649" s="871">
        <v>35954</v>
      </c>
      <c r="AI649" s="871">
        <v>36673</v>
      </c>
      <c r="AJ649" s="871">
        <v>37407</v>
      </c>
      <c r="AK649" s="871">
        <v>38155</v>
      </c>
      <c r="AL649" s="871">
        <v>38918</v>
      </c>
      <c r="AM649" s="871">
        <v>39696</v>
      </c>
      <c r="AN649" s="871">
        <v>40490</v>
      </c>
      <c r="AO649" s="871">
        <v>41300</v>
      </c>
      <c r="AP649" s="871">
        <v>42126</v>
      </c>
      <c r="AQ649" s="871">
        <v>42969</v>
      </c>
      <c r="AR649" s="871">
        <v>43828</v>
      </c>
      <c r="AS649" s="871">
        <v>44704</v>
      </c>
      <c r="AT649" s="871">
        <v>45599</v>
      </c>
      <c r="AU649" s="871">
        <v>46511</v>
      </c>
      <c r="AV649" s="871">
        <v>47441</v>
      </c>
      <c r="AW649" s="871">
        <v>48390</v>
      </c>
      <c r="AX649" s="871">
        <v>49356</v>
      </c>
      <c r="AY649" s="871">
        <v>50600</v>
      </c>
      <c r="AZ649" s="871">
        <v>52000</v>
      </c>
      <c r="BA649" s="871">
        <v>53400</v>
      </c>
      <c r="BB649" s="871">
        <v>54800</v>
      </c>
      <c r="BC649" s="871">
        <v>56200</v>
      </c>
      <c r="BD649" s="871">
        <v>57600</v>
      </c>
      <c r="BE649" s="871">
        <v>59000</v>
      </c>
      <c r="BF649" s="871">
        <v>60400</v>
      </c>
      <c r="BG649" s="871">
        <v>61800</v>
      </c>
      <c r="BH649" s="871">
        <v>63200</v>
      </c>
      <c r="BI649" s="871">
        <v>64600</v>
      </c>
      <c r="BJ649" s="871">
        <v>66000</v>
      </c>
      <c r="BK649" s="871">
        <v>67400</v>
      </c>
      <c r="BL649" s="871">
        <v>68800</v>
      </c>
      <c r="BM649" s="871">
        <v>70200</v>
      </c>
      <c r="BN649" s="871">
        <v>71600</v>
      </c>
      <c r="BO649" s="871">
        <v>73000</v>
      </c>
      <c r="BP649" s="871">
        <v>74400</v>
      </c>
      <c r="BQ649" s="871">
        <v>75800</v>
      </c>
      <c r="BR649" s="871">
        <v>77200</v>
      </c>
      <c r="BS649" s="871">
        <v>78600</v>
      </c>
      <c r="BT649" s="871">
        <v>80000</v>
      </c>
      <c r="BU649" s="871">
        <v>81400</v>
      </c>
      <c r="BV649" s="871">
        <v>82800</v>
      </c>
      <c r="BW649" s="871">
        <v>84200</v>
      </c>
      <c r="BX649" s="871">
        <v>85600</v>
      </c>
      <c r="BY649" s="871">
        <v>87000</v>
      </c>
      <c r="BZ649" s="871">
        <v>88400</v>
      </c>
      <c r="CA649" s="871">
        <v>89800</v>
      </c>
      <c r="CB649" s="871">
        <v>91200</v>
      </c>
      <c r="CC649" s="871">
        <v>92600</v>
      </c>
      <c r="CD649" s="871">
        <v>94000</v>
      </c>
      <c r="CE649" s="871">
        <v>95400</v>
      </c>
      <c r="CF649" s="871">
        <v>96800</v>
      </c>
      <c r="CG649" s="871">
        <v>98200</v>
      </c>
      <c r="CH649" s="871">
        <v>99600</v>
      </c>
      <c r="CI649" s="871">
        <v>101000</v>
      </c>
      <c r="CJ649" s="871">
        <v>102400</v>
      </c>
      <c r="CK649" s="871">
        <v>103800</v>
      </c>
      <c r="CL649" s="871">
        <v>105200</v>
      </c>
      <c r="CM649" s="871">
        <v>106600</v>
      </c>
      <c r="CN649" s="871">
        <v>108000</v>
      </c>
      <c r="CO649" s="871">
        <v>109400</v>
      </c>
      <c r="CP649" s="871">
        <v>110800</v>
      </c>
      <c r="CQ649" s="871">
        <v>112200</v>
      </c>
      <c r="CR649" s="871">
        <v>113600</v>
      </c>
      <c r="CS649" s="871">
        <v>115000</v>
      </c>
      <c r="CT649" s="871">
        <v>116400</v>
      </c>
      <c r="CU649" s="871">
        <v>117800</v>
      </c>
      <c r="CV649" s="871">
        <v>119200</v>
      </c>
      <c r="CW649" s="871">
        <v>120600</v>
      </c>
      <c r="CX649" s="871">
        <v>122000</v>
      </c>
      <c r="CY649" s="871">
        <v>123400</v>
      </c>
      <c r="CZ649" s="871">
        <v>124800</v>
      </c>
      <c r="DA649" s="871">
        <v>126200</v>
      </c>
      <c r="DB649" s="871">
        <v>127600</v>
      </c>
      <c r="DC649" s="871">
        <v>129000</v>
      </c>
      <c r="DD649" s="871">
        <v>130400</v>
      </c>
      <c r="DE649" s="871">
        <v>131800</v>
      </c>
      <c r="DF649" s="871">
        <v>133200</v>
      </c>
      <c r="DG649" s="871">
        <v>134600</v>
      </c>
      <c r="DH649" s="871">
        <v>136000</v>
      </c>
      <c r="DI649" s="871">
        <v>137432</v>
      </c>
      <c r="DJ649" s="871">
        <v>138800</v>
      </c>
      <c r="DK649" s="871">
        <v>0</v>
      </c>
      <c r="DL649" s="871">
        <v>0</v>
      </c>
      <c r="DM649" s="871">
        <v>0</v>
      </c>
      <c r="DN649" s="871">
        <v>0</v>
      </c>
      <c r="DO649" s="871">
        <v>0</v>
      </c>
      <c r="DP649" s="871">
        <v>0</v>
      </c>
      <c r="DQ649" s="871">
        <v>0</v>
      </c>
      <c r="DR649" s="871">
        <v>0</v>
      </c>
      <c r="DS649" s="871">
        <v>0</v>
      </c>
      <c r="DT649" s="871">
        <v>0</v>
      </c>
      <c r="DU649" s="871">
        <v>0</v>
      </c>
      <c r="DV649" s="871">
        <v>0</v>
      </c>
      <c r="DW649" s="871">
        <v>0</v>
      </c>
    </row>
    <row r="650" spans="12:127" hidden="1">
      <c r="L650" s="870" t="s">
        <v>1060</v>
      </c>
      <c r="M650" s="870" t="s">
        <v>1382</v>
      </c>
      <c r="N650" s="870" t="s">
        <v>96</v>
      </c>
      <c r="O650" s="871">
        <v>14</v>
      </c>
      <c r="P650" s="780" t="str">
        <f t="shared" si="21"/>
        <v>IWT060114</v>
      </c>
      <c r="Q650" s="871">
        <v>0</v>
      </c>
      <c r="R650" s="871">
        <v>0</v>
      </c>
      <c r="S650" s="871">
        <v>26831</v>
      </c>
      <c r="T650" s="871">
        <v>27367</v>
      </c>
      <c r="U650" s="871">
        <v>27915</v>
      </c>
      <c r="V650" s="871">
        <v>30286.3</v>
      </c>
      <c r="W650" s="871">
        <v>30286.3</v>
      </c>
      <c r="X650" s="871">
        <v>30286.3</v>
      </c>
      <c r="Y650" s="871">
        <v>30286.3</v>
      </c>
      <c r="Z650" s="871">
        <v>30817</v>
      </c>
      <c r="AA650" s="871">
        <v>31433</v>
      </c>
      <c r="AB650" s="871">
        <v>32062</v>
      </c>
      <c r="AC650" s="871">
        <v>32703</v>
      </c>
      <c r="AD650" s="871">
        <v>33357</v>
      </c>
      <c r="AE650" s="871">
        <v>34024</v>
      </c>
      <c r="AF650" s="871">
        <v>34705</v>
      </c>
      <c r="AG650" s="871">
        <v>35399</v>
      </c>
      <c r="AH650" s="871">
        <v>36107</v>
      </c>
      <c r="AI650" s="871">
        <v>36829</v>
      </c>
      <c r="AJ650" s="871">
        <v>37566</v>
      </c>
      <c r="AK650" s="871">
        <v>38317</v>
      </c>
      <c r="AL650" s="871">
        <v>39083</v>
      </c>
      <c r="AM650" s="871">
        <v>39865</v>
      </c>
      <c r="AN650" s="871">
        <v>40662</v>
      </c>
      <c r="AO650" s="871">
        <v>41475</v>
      </c>
      <c r="AP650" s="871">
        <v>42305</v>
      </c>
      <c r="AQ650" s="871">
        <v>43151</v>
      </c>
      <c r="AR650" s="871">
        <v>44014</v>
      </c>
      <c r="AS650" s="871">
        <v>44894</v>
      </c>
      <c r="AT650" s="871">
        <v>45792</v>
      </c>
      <c r="AU650" s="871">
        <v>46708</v>
      </c>
      <c r="AV650" s="871">
        <v>47642</v>
      </c>
      <c r="AW650" s="871">
        <v>48595</v>
      </c>
      <c r="AX650" s="871">
        <v>49566</v>
      </c>
      <c r="AY650" s="871">
        <v>50600</v>
      </c>
      <c r="AZ650" s="871">
        <v>52000</v>
      </c>
      <c r="BA650" s="871">
        <v>53400</v>
      </c>
      <c r="BB650" s="871">
        <v>54800</v>
      </c>
      <c r="BC650" s="871">
        <v>56200</v>
      </c>
      <c r="BD650" s="871">
        <v>57600</v>
      </c>
      <c r="BE650" s="871">
        <v>59000</v>
      </c>
      <c r="BF650" s="871">
        <v>60400</v>
      </c>
      <c r="BG650" s="871">
        <v>61800</v>
      </c>
      <c r="BH650" s="871">
        <v>63200</v>
      </c>
      <c r="BI650" s="871">
        <v>64600</v>
      </c>
      <c r="BJ650" s="871">
        <v>66000</v>
      </c>
      <c r="BK650" s="871">
        <v>67400</v>
      </c>
      <c r="BL650" s="871">
        <v>68800</v>
      </c>
      <c r="BM650" s="871">
        <v>70200</v>
      </c>
      <c r="BN650" s="871">
        <v>71600</v>
      </c>
      <c r="BO650" s="871">
        <v>73000</v>
      </c>
      <c r="BP650" s="871">
        <v>74400</v>
      </c>
      <c r="BQ650" s="871">
        <v>75800</v>
      </c>
      <c r="BR650" s="871">
        <v>77200</v>
      </c>
      <c r="BS650" s="871">
        <v>78600</v>
      </c>
      <c r="BT650" s="871">
        <v>80000</v>
      </c>
      <c r="BU650" s="871">
        <v>81400</v>
      </c>
      <c r="BV650" s="871">
        <v>82800</v>
      </c>
      <c r="BW650" s="871">
        <v>84200</v>
      </c>
      <c r="BX650" s="871">
        <v>85600</v>
      </c>
      <c r="BY650" s="871">
        <v>87000</v>
      </c>
      <c r="BZ650" s="871">
        <v>88400</v>
      </c>
      <c r="CA650" s="871">
        <v>89800</v>
      </c>
      <c r="CB650" s="871">
        <v>91200</v>
      </c>
      <c r="CC650" s="871">
        <v>92600</v>
      </c>
      <c r="CD650" s="871">
        <v>94000</v>
      </c>
      <c r="CE650" s="871">
        <v>95400</v>
      </c>
      <c r="CF650" s="871">
        <v>96800</v>
      </c>
      <c r="CG650" s="871">
        <v>98200</v>
      </c>
      <c r="CH650" s="871">
        <v>99600</v>
      </c>
      <c r="CI650" s="871">
        <v>101000</v>
      </c>
      <c r="CJ650" s="871">
        <v>102400</v>
      </c>
      <c r="CK650" s="871">
        <v>103800</v>
      </c>
      <c r="CL650" s="871">
        <v>105200</v>
      </c>
      <c r="CM650" s="871">
        <v>106600</v>
      </c>
      <c r="CN650" s="871">
        <v>108000</v>
      </c>
      <c r="CO650" s="871">
        <v>109400</v>
      </c>
      <c r="CP650" s="871">
        <v>110800</v>
      </c>
      <c r="CQ650" s="871">
        <v>112200</v>
      </c>
      <c r="CR650" s="871">
        <v>113600</v>
      </c>
      <c r="CS650" s="871">
        <v>115000</v>
      </c>
      <c r="CT650" s="871">
        <v>116400</v>
      </c>
      <c r="CU650" s="871">
        <v>117800</v>
      </c>
      <c r="CV650" s="871">
        <v>119200</v>
      </c>
      <c r="CW650" s="871">
        <v>120600</v>
      </c>
      <c r="CX650" s="871">
        <v>122000</v>
      </c>
      <c r="CY650" s="871">
        <v>123400</v>
      </c>
      <c r="CZ650" s="871">
        <v>124800</v>
      </c>
      <c r="DA650" s="871">
        <v>126200</v>
      </c>
      <c r="DB650" s="871">
        <v>127600</v>
      </c>
      <c r="DC650" s="871">
        <v>129000</v>
      </c>
      <c r="DD650" s="871">
        <v>130400</v>
      </c>
      <c r="DE650" s="871">
        <v>131800</v>
      </c>
      <c r="DF650" s="871">
        <v>133200</v>
      </c>
      <c r="DG650" s="871">
        <v>134600</v>
      </c>
      <c r="DH650" s="871">
        <v>136046</v>
      </c>
      <c r="DI650" s="871">
        <v>137400</v>
      </c>
      <c r="DJ650" s="871">
        <v>0</v>
      </c>
      <c r="DK650" s="871">
        <v>0</v>
      </c>
      <c r="DL650" s="871">
        <v>0</v>
      </c>
      <c r="DM650" s="871">
        <v>0</v>
      </c>
      <c r="DN650" s="871">
        <v>0</v>
      </c>
      <c r="DO650" s="871">
        <v>0</v>
      </c>
      <c r="DP650" s="871">
        <v>0</v>
      </c>
      <c r="DQ650" s="871">
        <v>0</v>
      </c>
      <c r="DR650" s="871">
        <v>0</v>
      </c>
      <c r="DS650" s="871">
        <v>0</v>
      </c>
      <c r="DT650" s="871">
        <v>0</v>
      </c>
      <c r="DU650" s="871">
        <v>0</v>
      </c>
      <c r="DV650" s="871">
        <v>0</v>
      </c>
      <c r="DW650" s="871">
        <v>0</v>
      </c>
    </row>
    <row r="651" spans="12:127" hidden="1">
      <c r="L651" s="870" t="s">
        <v>1060</v>
      </c>
      <c r="M651" s="870" t="s">
        <v>1382</v>
      </c>
      <c r="N651" s="870" t="s">
        <v>96</v>
      </c>
      <c r="O651" s="871">
        <v>15</v>
      </c>
      <c r="P651" s="780" t="str">
        <f t="shared" si="21"/>
        <v>IWT060115</v>
      </c>
      <c r="Q651" s="871">
        <v>0</v>
      </c>
      <c r="R651" s="871">
        <v>26412</v>
      </c>
      <c r="S651" s="871">
        <v>26940</v>
      </c>
      <c r="T651" s="871">
        <v>27479</v>
      </c>
      <c r="U651" s="871">
        <v>28029</v>
      </c>
      <c r="V651" s="871">
        <v>30407.200000000001</v>
      </c>
      <c r="W651" s="871">
        <v>30407.200000000001</v>
      </c>
      <c r="X651" s="871">
        <v>30407.200000000001</v>
      </c>
      <c r="Y651" s="871">
        <v>30407.200000000001</v>
      </c>
      <c r="Z651" s="871">
        <v>30943</v>
      </c>
      <c r="AA651" s="871">
        <v>31561</v>
      </c>
      <c r="AB651" s="871">
        <v>32193</v>
      </c>
      <c r="AC651" s="871">
        <v>32836</v>
      </c>
      <c r="AD651" s="871">
        <v>33493</v>
      </c>
      <c r="AE651" s="871">
        <v>34163</v>
      </c>
      <c r="AF651" s="871">
        <v>34846</v>
      </c>
      <c r="AG651" s="871">
        <v>35543</v>
      </c>
      <c r="AH651" s="871">
        <v>36254</v>
      </c>
      <c r="AI651" s="871">
        <v>36979</v>
      </c>
      <c r="AJ651" s="871">
        <v>37719</v>
      </c>
      <c r="AK651" s="871">
        <v>38473</v>
      </c>
      <c r="AL651" s="871">
        <v>39243</v>
      </c>
      <c r="AM651" s="871">
        <v>40027</v>
      </c>
      <c r="AN651" s="871">
        <v>40828</v>
      </c>
      <c r="AO651" s="871">
        <v>41645</v>
      </c>
      <c r="AP651" s="871">
        <v>42477</v>
      </c>
      <c r="AQ651" s="871">
        <v>43327</v>
      </c>
      <c r="AR651" s="871">
        <v>44194</v>
      </c>
      <c r="AS651" s="871">
        <v>45077</v>
      </c>
      <c r="AT651" s="871">
        <v>45979</v>
      </c>
      <c r="AU651" s="871">
        <v>46898</v>
      </c>
      <c r="AV651" s="871">
        <v>47836</v>
      </c>
      <c r="AW651" s="871">
        <v>48793</v>
      </c>
      <c r="AX651" s="871">
        <v>49769</v>
      </c>
      <c r="AY651" s="871">
        <v>50763</v>
      </c>
      <c r="AZ651" s="871">
        <v>52000</v>
      </c>
      <c r="BA651" s="871">
        <v>53400</v>
      </c>
      <c r="BB651" s="871">
        <v>54800</v>
      </c>
      <c r="BC651" s="871">
        <v>56200</v>
      </c>
      <c r="BD651" s="871">
        <v>57600</v>
      </c>
      <c r="BE651" s="871">
        <v>59000</v>
      </c>
      <c r="BF651" s="871">
        <v>60400</v>
      </c>
      <c r="BG651" s="871">
        <v>61800</v>
      </c>
      <c r="BH651" s="871">
        <v>63200</v>
      </c>
      <c r="BI651" s="871">
        <v>64600</v>
      </c>
      <c r="BJ651" s="871">
        <v>66000</v>
      </c>
      <c r="BK651" s="871">
        <v>67400</v>
      </c>
      <c r="BL651" s="871">
        <v>68800</v>
      </c>
      <c r="BM651" s="871">
        <v>70200</v>
      </c>
      <c r="BN651" s="871">
        <v>71600</v>
      </c>
      <c r="BO651" s="871">
        <v>73000</v>
      </c>
      <c r="BP651" s="871">
        <v>74400</v>
      </c>
      <c r="BQ651" s="871">
        <v>75800</v>
      </c>
      <c r="BR651" s="871">
        <v>77200</v>
      </c>
      <c r="BS651" s="871">
        <v>78600</v>
      </c>
      <c r="BT651" s="871">
        <v>80000</v>
      </c>
      <c r="BU651" s="871">
        <v>81400</v>
      </c>
      <c r="BV651" s="871">
        <v>82800</v>
      </c>
      <c r="BW651" s="871">
        <v>84200</v>
      </c>
      <c r="BX651" s="871">
        <v>85600</v>
      </c>
      <c r="BY651" s="871">
        <v>87000</v>
      </c>
      <c r="BZ651" s="871">
        <v>88400</v>
      </c>
      <c r="CA651" s="871">
        <v>89800</v>
      </c>
      <c r="CB651" s="871">
        <v>91200</v>
      </c>
      <c r="CC651" s="871">
        <v>92600</v>
      </c>
      <c r="CD651" s="871">
        <v>94000</v>
      </c>
      <c r="CE651" s="871">
        <v>95400</v>
      </c>
      <c r="CF651" s="871">
        <v>96800</v>
      </c>
      <c r="CG651" s="871">
        <v>98200</v>
      </c>
      <c r="CH651" s="871">
        <v>99600</v>
      </c>
      <c r="CI651" s="871">
        <v>101000</v>
      </c>
      <c r="CJ651" s="871">
        <v>102400</v>
      </c>
      <c r="CK651" s="871">
        <v>103800</v>
      </c>
      <c r="CL651" s="871">
        <v>105200</v>
      </c>
      <c r="CM651" s="871">
        <v>106600</v>
      </c>
      <c r="CN651" s="871">
        <v>108000</v>
      </c>
      <c r="CO651" s="871">
        <v>109400</v>
      </c>
      <c r="CP651" s="871">
        <v>110800</v>
      </c>
      <c r="CQ651" s="871">
        <v>112200</v>
      </c>
      <c r="CR651" s="871">
        <v>113600</v>
      </c>
      <c r="CS651" s="871">
        <v>115000</v>
      </c>
      <c r="CT651" s="871">
        <v>116400</v>
      </c>
      <c r="CU651" s="871">
        <v>117800</v>
      </c>
      <c r="CV651" s="871">
        <v>119200</v>
      </c>
      <c r="CW651" s="871">
        <v>120600</v>
      </c>
      <c r="CX651" s="871">
        <v>122000</v>
      </c>
      <c r="CY651" s="871">
        <v>123400</v>
      </c>
      <c r="CZ651" s="871">
        <v>124800</v>
      </c>
      <c r="DA651" s="871">
        <v>126200</v>
      </c>
      <c r="DB651" s="871">
        <v>127600</v>
      </c>
      <c r="DC651" s="871">
        <v>129000</v>
      </c>
      <c r="DD651" s="871">
        <v>130400</v>
      </c>
      <c r="DE651" s="871">
        <v>131800</v>
      </c>
      <c r="DF651" s="871">
        <v>133200</v>
      </c>
      <c r="DG651" s="871">
        <v>134660</v>
      </c>
      <c r="DH651" s="871">
        <v>136000</v>
      </c>
      <c r="DI651" s="871">
        <v>0</v>
      </c>
      <c r="DJ651" s="871">
        <v>0</v>
      </c>
      <c r="DK651" s="871">
        <v>0</v>
      </c>
      <c r="DL651" s="871">
        <v>0</v>
      </c>
      <c r="DM651" s="871">
        <v>0</v>
      </c>
      <c r="DN651" s="871">
        <v>0</v>
      </c>
      <c r="DO651" s="871">
        <v>0</v>
      </c>
      <c r="DP651" s="871">
        <v>0</v>
      </c>
      <c r="DQ651" s="871">
        <v>0</v>
      </c>
      <c r="DR651" s="871">
        <v>0</v>
      </c>
      <c r="DS651" s="871">
        <v>0</v>
      </c>
      <c r="DT651" s="871">
        <v>0</v>
      </c>
      <c r="DU651" s="871">
        <v>0</v>
      </c>
      <c r="DV651" s="871">
        <v>0</v>
      </c>
      <c r="DW651" s="871">
        <v>0</v>
      </c>
    </row>
    <row r="652" spans="12:127" hidden="1">
      <c r="L652" s="870" t="s">
        <v>1060</v>
      </c>
      <c r="M652" s="870" t="s">
        <v>1382</v>
      </c>
      <c r="N652" s="870" t="s">
        <v>96</v>
      </c>
      <c r="O652" s="871">
        <v>16</v>
      </c>
      <c r="P652" s="780" t="str">
        <f t="shared" si="21"/>
        <v>IWT060116</v>
      </c>
      <c r="Q652" s="871">
        <v>25996</v>
      </c>
      <c r="R652" s="871">
        <v>26516</v>
      </c>
      <c r="S652" s="871">
        <v>27046</v>
      </c>
      <c r="T652" s="871">
        <v>27587</v>
      </c>
      <c r="U652" s="871">
        <v>28138</v>
      </c>
      <c r="V652" s="871">
        <v>30528</v>
      </c>
      <c r="W652" s="871">
        <v>30528</v>
      </c>
      <c r="X652" s="871">
        <v>30528</v>
      </c>
      <c r="Y652" s="871">
        <v>30528</v>
      </c>
      <c r="Z652" s="871">
        <v>31064</v>
      </c>
      <c r="AA652" s="871">
        <v>31685</v>
      </c>
      <c r="AB652" s="871">
        <v>32319</v>
      </c>
      <c r="AC652" s="871">
        <v>32965</v>
      </c>
      <c r="AD652" s="871">
        <v>33624</v>
      </c>
      <c r="AE652" s="871">
        <v>34297</v>
      </c>
      <c r="AF652" s="871">
        <v>34983</v>
      </c>
      <c r="AG652" s="871">
        <v>35682</v>
      </c>
      <c r="AH652" s="871">
        <v>36396</v>
      </c>
      <c r="AI652" s="871">
        <v>37124</v>
      </c>
      <c r="AJ652" s="871">
        <v>37866</v>
      </c>
      <c r="AK652" s="871">
        <v>38624</v>
      </c>
      <c r="AL652" s="871">
        <v>39396</v>
      </c>
      <c r="AM652" s="871">
        <v>40184</v>
      </c>
      <c r="AN652" s="871">
        <v>40988</v>
      </c>
      <c r="AO652" s="871">
        <v>41807</v>
      </c>
      <c r="AP652" s="871">
        <v>42644</v>
      </c>
      <c r="AQ652" s="871">
        <v>43496</v>
      </c>
      <c r="AR652" s="871">
        <v>44366</v>
      </c>
      <c r="AS652" s="871">
        <v>45254</v>
      </c>
      <c r="AT652" s="871">
        <v>46159</v>
      </c>
      <c r="AU652" s="871">
        <v>47082</v>
      </c>
      <c r="AV652" s="871">
        <v>48023</v>
      </c>
      <c r="AW652" s="871">
        <v>48984</v>
      </c>
      <c r="AX652" s="871">
        <v>49964</v>
      </c>
      <c r="AY652" s="871">
        <v>50962</v>
      </c>
      <c r="AZ652" s="871">
        <v>52000</v>
      </c>
      <c r="BA652" s="871">
        <v>53400</v>
      </c>
      <c r="BB652" s="871">
        <v>54800</v>
      </c>
      <c r="BC652" s="871">
        <v>56200</v>
      </c>
      <c r="BD652" s="871">
        <v>57600</v>
      </c>
      <c r="BE652" s="871">
        <v>59000</v>
      </c>
      <c r="BF652" s="871">
        <v>60400</v>
      </c>
      <c r="BG652" s="871">
        <v>61800</v>
      </c>
      <c r="BH652" s="871">
        <v>63200</v>
      </c>
      <c r="BI652" s="871">
        <v>64600</v>
      </c>
      <c r="BJ652" s="871">
        <v>66000</v>
      </c>
      <c r="BK652" s="871">
        <v>67400</v>
      </c>
      <c r="BL652" s="871">
        <v>68800</v>
      </c>
      <c r="BM652" s="871">
        <v>70200</v>
      </c>
      <c r="BN652" s="871">
        <v>71600</v>
      </c>
      <c r="BO652" s="871">
        <v>73000</v>
      </c>
      <c r="BP652" s="871">
        <v>74400</v>
      </c>
      <c r="BQ652" s="871">
        <v>75800</v>
      </c>
      <c r="BR652" s="871">
        <v>77200</v>
      </c>
      <c r="BS652" s="871">
        <v>78600</v>
      </c>
      <c r="BT652" s="871">
        <v>80000</v>
      </c>
      <c r="BU652" s="871">
        <v>81400</v>
      </c>
      <c r="BV652" s="871">
        <v>82800</v>
      </c>
      <c r="BW652" s="871">
        <v>84200</v>
      </c>
      <c r="BX652" s="871">
        <v>85600</v>
      </c>
      <c r="BY652" s="871">
        <v>87000</v>
      </c>
      <c r="BZ652" s="871">
        <v>88400</v>
      </c>
      <c r="CA652" s="871">
        <v>89800</v>
      </c>
      <c r="CB652" s="871">
        <v>91200</v>
      </c>
      <c r="CC652" s="871">
        <v>92600</v>
      </c>
      <c r="CD652" s="871">
        <v>94000</v>
      </c>
      <c r="CE652" s="871">
        <v>95400</v>
      </c>
      <c r="CF652" s="871">
        <v>96800</v>
      </c>
      <c r="CG652" s="871">
        <v>98200</v>
      </c>
      <c r="CH652" s="871">
        <v>99600</v>
      </c>
      <c r="CI652" s="871">
        <v>101000</v>
      </c>
      <c r="CJ652" s="871">
        <v>102400</v>
      </c>
      <c r="CK652" s="871">
        <v>103800</v>
      </c>
      <c r="CL652" s="871">
        <v>105200</v>
      </c>
      <c r="CM652" s="871">
        <v>106600</v>
      </c>
      <c r="CN652" s="871">
        <v>108000</v>
      </c>
      <c r="CO652" s="871">
        <v>109400</v>
      </c>
      <c r="CP652" s="871">
        <v>110800</v>
      </c>
      <c r="CQ652" s="871">
        <v>112200</v>
      </c>
      <c r="CR652" s="871">
        <v>113600</v>
      </c>
      <c r="CS652" s="871">
        <v>115000</v>
      </c>
      <c r="CT652" s="871">
        <v>116400</v>
      </c>
      <c r="CU652" s="871">
        <v>117800</v>
      </c>
      <c r="CV652" s="871">
        <v>119200</v>
      </c>
      <c r="CW652" s="871">
        <v>120600</v>
      </c>
      <c r="CX652" s="871">
        <v>122000</v>
      </c>
      <c r="CY652" s="871">
        <v>123400</v>
      </c>
      <c r="CZ652" s="871">
        <v>124800</v>
      </c>
      <c r="DA652" s="871">
        <v>126200</v>
      </c>
      <c r="DB652" s="871">
        <v>127600</v>
      </c>
      <c r="DC652" s="871">
        <v>129000</v>
      </c>
      <c r="DD652" s="871">
        <v>130400</v>
      </c>
      <c r="DE652" s="871">
        <v>131800</v>
      </c>
      <c r="DF652" s="871">
        <v>133274</v>
      </c>
      <c r="DG652" s="871">
        <v>134600</v>
      </c>
      <c r="DH652" s="871">
        <v>0</v>
      </c>
      <c r="DI652" s="871">
        <v>0</v>
      </c>
      <c r="DJ652" s="871">
        <v>0</v>
      </c>
      <c r="DK652" s="871">
        <v>0</v>
      </c>
      <c r="DL652" s="871">
        <v>0</v>
      </c>
      <c r="DM652" s="871">
        <v>0</v>
      </c>
      <c r="DN652" s="871">
        <v>0</v>
      </c>
      <c r="DO652" s="871">
        <v>0</v>
      </c>
      <c r="DP652" s="871">
        <v>0</v>
      </c>
      <c r="DQ652" s="871">
        <v>0</v>
      </c>
      <c r="DR652" s="871">
        <v>0</v>
      </c>
      <c r="DS652" s="871">
        <v>0</v>
      </c>
      <c r="DT652" s="871">
        <v>0</v>
      </c>
      <c r="DU652" s="871">
        <v>0</v>
      </c>
      <c r="DV652" s="871">
        <v>0</v>
      </c>
      <c r="DW652" s="871">
        <v>0</v>
      </c>
    </row>
    <row r="653" spans="12:127" hidden="1">
      <c r="L653" s="870" t="s">
        <v>1060</v>
      </c>
      <c r="M653" s="870" t="s">
        <v>1382</v>
      </c>
      <c r="N653" s="870" t="s">
        <v>96</v>
      </c>
      <c r="O653" s="871">
        <v>17</v>
      </c>
      <c r="P653" s="780" t="str">
        <f t="shared" si="21"/>
        <v>IWT060117</v>
      </c>
      <c r="Q653" s="871">
        <v>26093</v>
      </c>
      <c r="R653" s="871">
        <v>26615</v>
      </c>
      <c r="S653" s="871">
        <v>27147</v>
      </c>
      <c r="T653" s="871">
        <v>27690</v>
      </c>
      <c r="U653" s="871">
        <v>28244</v>
      </c>
      <c r="V653" s="871">
        <v>30642.5</v>
      </c>
      <c r="W653" s="871">
        <v>30642.5</v>
      </c>
      <c r="X653" s="871">
        <v>30642.5</v>
      </c>
      <c r="Y653" s="871">
        <v>30642.5</v>
      </c>
      <c r="Z653" s="871">
        <v>31180</v>
      </c>
      <c r="AA653" s="871">
        <v>31803</v>
      </c>
      <c r="AB653" s="871">
        <v>32439</v>
      </c>
      <c r="AC653" s="871">
        <v>33088</v>
      </c>
      <c r="AD653" s="871">
        <v>33750</v>
      </c>
      <c r="AE653" s="871">
        <v>34425</v>
      </c>
      <c r="AF653" s="871">
        <v>35113</v>
      </c>
      <c r="AG653" s="871">
        <v>35816</v>
      </c>
      <c r="AH653" s="871">
        <v>36532</v>
      </c>
      <c r="AI653" s="871">
        <v>37263</v>
      </c>
      <c r="AJ653" s="871">
        <v>38008</v>
      </c>
      <c r="AK653" s="871">
        <v>38768</v>
      </c>
      <c r="AL653" s="871">
        <v>39543</v>
      </c>
      <c r="AM653" s="871">
        <v>40334</v>
      </c>
      <c r="AN653" s="871">
        <v>41141</v>
      </c>
      <c r="AO653" s="871">
        <v>41964</v>
      </c>
      <c r="AP653" s="871">
        <v>42803</v>
      </c>
      <c r="AQ653" s="871">
        <v>43659</v>
      </c>
      <c r="AR653" s="871">
        <v>44532</v>
      </c>
      <c r="AS653" s="871">
        <v>45423</v>
      </c>
      <c r="AT653" s="871">
        <v>46331</v>
      </c>
      <c r="AU653" s="871">
        <v>47258</v>
      </c>
      <c r="AV653" s="871">
        <v>48203</v>
      </c>
      <c r="AW653" s="871">
        <v>49167</v>
      </c>
      <c r="AX653" s="871">
        <v>50150</v>
      </c>
      <c r="AY653" s="871">
        <v>51153</v>
      </c>
      <c r="AZ653" s="871">
        <v>52174</v>
      </c>
      <c r="BA653" s="871">
        <v>53400</v>
      </c>
      <c r="BB653" s="871">
        <v>54800</v>
      </c>
      <c r="BC653" s="871">
        <v>56200</v>
      </c>
      <c r="BD653" s="871">
        <v>57600</v>
      </c>
      <c r="BE653" s="871">
        <v>59000</v>
      </c>
      <c r="BF653" s="871">
        <v>60400</v>
      </c>
      <c r="BG653" s="871">
        <v>61800</v>
      </c>
      <c r="BH653" s="871">
        <v>63200</v>
      </c>
      <c r="BI653" s="871">
        <v>64600</v>
      </c>
      <c r="BJ653" s="871">
        <v>66000</v>
      </c>
      <c r="BK653" s="871">
        <v>67400</v>
      </c>
      <c r="BL653" s="871">
        <v>68800</v>
      </c>
      <c r="BM653" s="871">
        <v>70200</v>
      </c>
      <c r="BN653" s="871">
        <v>71600</v>
      </c>
      <c r="BO653" s="871">
        <v>73000</v>
      </c>
      <c r="BP653" s="871">
        <v>74400</v>
      </c>
      <c r="BQ653" s="871">
        <v>75800</v>
      </c>
      <c r="BR653" s="871">
        <v>77200</v>
      </c>
      <c r="BS653" s="871">
        <v>78600</v>
      </c>
      <c r="BT653" s="871">
        <v>80000</v>
      </c>
      <c r="BU653" s="871">
        <v>81400</v>
      </c>
      <c r="BV653" s="871">
        <v>82800</v>
      </c>
      <c r="BW653" s="871">
        <v>84200</v>
      </c>
      <c r="BX653" s="871">
        <v>85600</v>
      </c>
      <c r="BY653" s="871">
        <v>87000</v>
      </c>
      <c r="BZ653" s="871">
        <v>88400</v>
      </c>
      <c r="CA653" s="871">
        <v>89800</v>
      </c>
      <c r="CB653" s="871">
        <v>91200</v>
      </c>
      <c r="CC653" s="871">
        <v>92600</v>
      </c>
      <c r="CD653" s="871">
        <v>94000</v>
      </c>
      <c r="CE653" s="871">
        <v>95400</v>
      </c>
      <c r="CF653" s="871">
        <v>96800</v>
      </c>
      <c r="CG653" s="871">
        <v>98200</v>
      </c>
      <c r="CH653" s="871">
        <v>99600</v>
      </c>
      <c r="CI653" s="871">
        <v>101000</v>
      </c>
      <c r="CJ653" s="871">
        <v>102400</v>
      </c>
      <c r="CK653" s="871">
        <v>103800</v>
      </c>
      <c r="CL653" s="871">
        <v>105200</v>
      </c>
      <c r="CM653" s="871">
        <v>106600</v>
      </c>
      <c r="CN653" s="871">
        <v>108000</v>
      </c>
      <c r="CO653" s="871">
        <v>109400</v>
      </c>
      <c r="CP653" s="871">
        <v>110800</v>
      </c>
      <c r="CQ653" s="871">
        <v>112200</v>
      </c>
      <c r="CR653" s="871">
        <v>113600</v>
      </c>
      <c r="CS653" s="871">
        <v>115000</v>
      </c>
      <c r="CT653" s="871">
        <v>116400</v>
      </c>
      <c r="CU653" s="871">
        <v>117800</v>
      </c>
      <c r="CV653" s="871">
        <v>119200</v>
      </c>
      <c r="CW653" s="871">
        <v>120600</v>
      </c>
      <c r="CX653" s="871">
        <v>122000</v>
      </c>
      <c r="CY653" s="871">
        <v>123400</v>
      </c>
      <c r="CZ653" s="871">
        <v>124800</v>
      </c>
      <c r="DA653" s="871">
        <v>126200</v>
      </c>
      <c r="DB653" s="871">
        <v>127600</v>
      </c>
      <c r="DC653" s="871">
        <v>129000</v>
      </c>
      <c r="DD653" s="871">
        <v>130400</v>
      </c>
      <c r="DE653" s="871">
        <v>131888</v>
      </c>
      <c r="DF653" s="871">
        <v>133200</v>
      </c>
      <c r="DG653" s="871">
        <v>0</v>
      </c>
      <c r="DH653" s="871">
        <v>0</v>
      </c>
      <c r="DI653" s="871">
        <v>0</v>
      </c>
      <c r="DJ653" s="871">
        <v>0</v>
      </c>
      <c r="DK653" s="871">
        <v>0</v>
      </c>
      <c r="DL653" s="871">
        <v>0</v>
      </c>
      <c r="DM653" s="871">
        <v>0</v>
      </c>
      <c r="DN653" s="871">
        <v>0</v>
      </c>
      <c r="DO653" s="871">
        <v>0</v>
      </c>
      <c r="DP653" s="871">
        <v>0</v>
      </c>
      <c r="DQ653" s="871">
        <v>0</v>
      </c>
      <c r="DR653" s="871">
        <v>0</v>
      </c>
      <c r="DS653" s="871">
        <v>0</v>
      </c>
      <c r="DT653" s="871">
        <v>0</v>
      </c>
      <c r="DU653" s="871">
        <v>0</v>
      </c>
      <c r="DV653" s="871">
        <v>0</v>
      </c>
      <c r="DW653" s="871">
        <v>0</v>
      </c>
    </row>
    <row r="654" spans="12:127" hidden="1">
      <c r="L654" s="870" t="s">
        <v>1060</v>
      </c>
      <c r="M654" s="870" t="s">
        <v>1382</v>
      </c>
      <c r="N654" s="870" t="s">
        <v>96</v>
      </c>
      <c r="O654" s="871">
        <v>18</v>
      </c>
      <c r="P654" s="780" t="str">
        <f t="shared" si="21"/>
        <v>IWT060118</v>
      </c>
      <c r="Q654" s="871">
        <v>26186</v>
      </c>
      <c r="R654" s="871">
        <v>26710</v>
      </c>
      <c r="S654" s="871">
        <v>27244</v>
      </c>
      <c r="T654" s="871">
        <v>27789</v>
      </c>
      <c r="U654" s="871">
        <v>28345</v>
      </c>
      <c r="V654" s="871">
        <v>30757</v>
      </c>
      <c r="W654" s="871">
        <v>30757</v>
      </c>
      <c r="X654" s="871">
        <v>30757</v>
      </c>
      <c r="Y654" s="871">
        <v>30757</v>
      </c>
      <c r="Z654" s="871">
        <v>31291</v>
      </c>
      <c r="AA654" s="871">
        <v>31917</v>
      </c>
      <c r="AB654" s="871">
        <v>32555</v>
      </c>
      <c r="AC654" s="871">
        <v>33206</v>
      </c>
      <c r="AD654" s="871">
        <v>33871</v>
      </c>
      <c r="AE654" s="871">
        <v>34548</v>
      </c>
      <c r="AF654" s="871">
        <v>35239</v>
      </c>
      <c r="AG654" s="871">
        <v>35944</v>
      </c>
      <c r="AH654" s="871">
        <v>36663</v>
      </c>
      <c r="AI654" s="871">
        <v>37396</v>
      </c>
      <c r="AJ654" s="871">
        <v>38144</v>
      </c>
      <c r="AK654" s="871">
        <v>38907</v>
      </c>
      <c r="AL654" s="871">
        <v>39685</v>
      </c>
      <c r="AM654" s="871">
        <v>40478</v>
      </c>
      <c r="AN654" s="871">
        <v>41288</v>
      </c>
      <c r="AO654" s="871">
        <v>42114</v>
      </c>
      <c r="AP654" s="871">
        <v>42956</v>
      </c>
      <c r="AQ654" s="871">
        <v>43815</v>
      </c>
      <c r="AR654" s="871">
        <v>44691</v>
      </c>
      <c r="AS654" s="871">
        <v>45585</v>
      </c>
      <c r="AT654" s="871">
        <v>46497</v>
      </c>
      <c r="AU654" s="871">
        <v>47427</v>
      </c>
      <c r="AV654" s="871">
        <v>48375</v>
      </c>
      <c r="AW654" s="871">
        <v>49343</v>
      </c>
      <c r="AX654" s="871">
        <v>50330</v>
      </c>
      <c r="AY654" s="871">
        <v>51336</v>
      </c>
      <c r="AZ654" s="871">
        <v>52362</v>
      </c>
      <c r="BA654" s="871">
        <v>53406</v>
      </c>
      <c r="BB654" s="871">
        <v>54800</v>
      </c>
      <c r="BC654" s="871">
        <v>56200</v>
      </c>
      <c r="BD654" s="871">
        <v>57600</v>
      </c>
      <c r="BE654" s="871">
        <v>59000</v>
      </c>
      <c r="BF654" s="871">
        <v>60400</v>
      </c>
      <c r="BG654" s="871">
        <v>61800</v>
      </c>
      <c r="BH654" s="871">
        <v>63200</v>
      </c>
      <c r="BI654" s="871">
        <v>64600</v>
      </c>
      <c r="BJ654" s="871">
        <v>66000</v>
      </c>
      <c r="BK654" s="871">
        <v>67400</v>
      </c>
      <c r="BL654" s="871">
        <v>68800</v>
      </c>
      <c r="BM654" s="871">
        <v>70200</v>
      </c>
      <c r="BN654" s="871">
        <v>71600</v>
      </c>
      <c r="BO654" s="871">
        <v>73000</v>
      </c>
      <c r="BP654" s="871">
        <v>74400</v>
      </c>
      <c r="BQ654" s="871">
        <v>75800</v>
      </c>
      <c r="BR654" s="871">
        <v>77200</v>
      </c>
      <c r="BS654" s="871">
        <v>78600</v>
      </c>
      <c r="BT654" s="871">
        <v>80000</v>
      </c>
      <c r="BU654" s="871">
        <v>81400</v>
      </c>
      <c r="BV654" s="871">
        <v>82800</v>
      </c>
      <c r="BW654" s="871">
        <v>84200</v>
      </c>
      <c r="BX654" s="871">
        <v>85600</v>
      </c>
      <c r="BY654" s="871">
        <v>87000</v>
      </c>
      <c r="BZ654" s="871">
        <v>88400</v>
      </c>
      <c r="CA654" s="871">
        <v>89800</v>
      </c>
      <c r="CB654" s="871">
        <v>91200</v>
      </c>
      <c r="CC654" s="871">
        <v>92600</v>
      </c>
      <c r="CD654" s="871">
        <v>94000</v>
      </c>
      <c r="CE654" s="871">
        <v>95400</v>
      </c>
      <c r="CF654" s="871">
        <v>96800</v>
      </c>
      <c r="CG654" s="871">
        <v>98200</v>
      </c>
      <c r="CH654" s="871">
        <v>99600</v>
      </c>
      <c r="CI654" s="871">
        <v>101000</v>
      </c>
      <c r="CJ654" s="871">
        <v>102400</v>
      </c>
      <c r="CK654" s="871">
        <v>103800</v>
      </c>
      <c r="CL654" s="871">
        <v>105200</v>
      </c>
      <c r="CM654" s="871">
        <v>106600</v>
      </c>
      <c r="CN654" s="871">
        <v>108000</v>
      </c>
      <c r="CO654" s="871">
        <v>109400</v>
      </c>
      <c r="CP654" s="871">
        <v>110800</v>
      </c>
      <c r="CQ654" s="871">
        <v>112200</v>
      </c>
      <c r="CR654" s="871">
        <v>113600</v>
      </c>
      <c r="CS654" s="871">
        <v>115000</v>
      </c>
      <c r="CT654" s="871">
        <v>116400</v>
      </c>
      <c r="CU654" s="871">
        <v>117800</v>
      </c>
      <c r="CV654" s="871">
        <v>119200</v>
      </c>
      <c r="CW654" s="871">
        <v>120600</v>
      </c>
      <c r="CX654" s="871">
        <v>122000</v>
      </c>
      <c r="CY654" s="871">
        <v>123400</v>
      </c>
      <c r="CZ654" s="871">
        <v>124800</v>
      </c>
      <c r="DA654" s="871">
        <v>126200</v>
      </c>
      <c r="DB654" s="871">
        <v>127600</v>
      </c>
      <c r="DC654" s="871">
        <v>129000</v>
      </c>
      <c r="DD654" s="871">
        <v>130501</v>
      </c>
      <c r="DE654" s="871">
        <v>131800</v>
      </c>
      <c r="DF654" s="871">
        <v>0</v>
      </c>
      <c r="DG654" s="871">
        <v>0</v>
      </c>
      <c r="DH654" s="871">
        <v>0</v>
      </c>
      <c r="DI654" s="871">
        <v>0</v>
      </c>
      <c r="DJ654" s="871">
        <v>0</v>
      </c>
      <c r="DK654" s="871">
        <v>0</v>
      </c>
      <c r="DL654" s="871">
        <v>0</v>
      </c>
      <c r="DM654" s="871">
        <v>0</v>
      </c>
      <c r="DN654" s="871">
        <v>0</v>
      </c>
      <c r="DO654" s="871">
        <v>0</v>
      </c>
      <c r="DP654" s="871">
        <v>0</v>
      </c>
      <c r="DQ654" s="871">
        <v>0</v>
      </c>
      <c r="DR654" s="871">
        <v>0</v>
      </c>
      <c r="DS654" s="871">
        <v>0</v>
      </c>
      <c r="DT654" s="871">
        <v>0</v>
      </c>
      <c r="DU654" s="871">
        <v>0</v>
      </c>
      <c r="DV654" s="871">
        <v>0</v>
      </c>
      <c r="DW654" s="871">
        <v>0</v>
      </c>
    </row>
    <row r="655" spans="12:127" hidden="1">
      <c r="L655" s="870" t="s">
        <v>1060</v>
      </c>
      <c r="M655" s="870" t="s">
        <v>1382</v>
      </c>
      <c r="N655" s="870" t="s">
        <v>96</v>
      </c>
      <c r="O655" s="871">
        <v>19</v>
      </c>
      <c r="P655" s="780" t="str">
        <f t="shared" si="21"/>
        <v>IWT060119</v>
      </c>
      <c r="Q655" s="871">
        <v>26276</v>
      </c>
      <c r="R655" s="871">
        <v>26801</v>
      </c>
      <c r="S655" s="871">
        <v>27337</v>
      </c>
      <c r="T655" s="871">
        <v>27884</v>
      </c>
      <c r="U655" s="871">
        <v>28442</v>
      </c>
      <c r="V655" s="871">
        <v>30858.7</v>
      </c>
      <c r="W655" s="871">
        <v>30858.7</v>
      </c>
      <c r="X655" s="871">
        <v>30858.7</v>
      </c>
      <c r="Y655" s="871">
        <v>30858.7</v>
      </c>
      <c r="Z655" s="871">
        <v>31398</v>
      </c>
      <c r="AA655" s="871">
        <v>32026</v>
      </c>
      <c r="AB655" s="871">
        <v>32666</v>
      </c>
      <c r="AC655" s="871">
        <v>33319</v>
      </c>
      <c r="AD655" s="871">
        <v>33986</v>
      </c>
      <c r="AE655" s="871">
        <v>34665</v>
      </c>
      <c r="AF655" s="871">
        <v>35359</v>
      </c>
      <c r="AG655" s="871">
        <v>36066</v>
      </c>
      <c r="AH655" s="871">
        <v>36787</v>
      </c>
      <c r="AI655" s="871">
        <v>37523</v>
      </c>
      <c r="AJ655" s="871">
        <v>38273</v>
      </c>
      <c r="AK655" s="871">
        <v>39039</v>
      </c>
      <c r="AL655" s="871">
        <v>39820</v>
      </c>
      <c r="AM655" s="871">
        <v>40616</v>
      </c>
      <c r="AN655" s="871">
        <v>41428</v>
      </c>
      <c r="AO655" s="871">
        <v>42257</v>
      </c>
      <c r="AP655" s="871">
        <v>43102</v>
      </c>
      <c r="AQ655" s="871">
        <v>43964</v>
      </c>
      <c r="AR655" s="871">
        <v>44843</v>
      </c>
      <c r="AS655" s="871">
        <v>45740</v>
      </c>
      <c r="AT655" s="871">
        <v>46655</v>
      </c>
      <c r="AU655" s="871">
        <v>47588</v>
      </c>
      <c r="AV655" s="871">
        <v>48540</v>
      </c>
      <c r="AW655" s="871">
        <v>49511</v>
      </c>
      <c r="AX655" s="871">
        <v>50501</v>
      </c>
      <c r="AY655" s="871">
        <v>51511</v>
      </c>
      <c r="AZ655" s="871">
        <v>52541</v>
      </c>
      <c r="BA655" s="871">
        <v>53589</v>
      </c>
      <c r="BB655" s="871">
        <v>54800</v>
      </c>
      <c r="BC655" s="871">
        <v>56200</v>
      </c>
      <c r="BD655" s="871">
        <v>57600</v>
      </c>
      <c r="BE655" s="871">
        <v>59000</v>
      </c>
      <c r="BF655" s="871">
        <v>60400</v>
      </c>
      <c r="BG655" s="871">
        <v>61800</v>
      </c>
      <c r="BH655" s="871">
        <v>63200</v>
      </c>
      <c r="BI655" s="871">
        <v>64600</v>
      </c>
      <c r="BJ655" s="871">
        <v>66000</v>
      </c>
      <c r="BK655" s="871">
        <v>67400</v>
      </c>
      <c r="BL655" s="871">
        <v>68800</v>
      </c>
      <c r="BM655" s="871">
        <v>70200</v>
      </c>
      <c r="BN655" s="871">
        <v>71600</v>
      </c>
      <c r="BO655" s="871">
        <v>73000</v>
      </c>
      <c r="BP655" s="871">
        <v>74400</v>
      </c>
      <c r="BQ655" s="871">
        <v>75800</v>
      </c>
      <c r="BR655" s="871">
        <v>77200</v>
      </c>
      <c r="BS655" s="871">
        <v>78600</v>
      </c>
      <c r="BT655" s="871">
        <v>80000</v>
      </c>
      <c r="BU655" s="871">
        <v>81400</v>
      </c>
      <c r="BV655" s="871">
        <v>82800</v>
      </c>
      <c r="BW655" s="871">
        <v>84200</v>
      </c>
      <c r="BX655" s="871">
        <v>85600</v>
      </c>
      <c r="BY655" s="871">
        <v>87000</v>
      </c>
      <c r="BZ655" s="871">
        <v>88400</v>
      </c>
      <c r="CA655" s="871">
        <v>89800</v>
      </c>
      <c r="CB655" s="871">
        <v>91200</v>
      </c>
      <c r="CC655" s="871">
        <v>92600</v>
      </c>
      <c r="CD655" s="871">
        <v>94000</v>
      </c>
      <c r="CE655" s="871">
        <v>95400</v>
      </c>
      <c r="CF655" s="871">
        <v>96800</v>
      </c>
      <c r="CG655" s="871">
        <v>98200</v>
      </c>
      <c r="CH655" s="871">
        <v>99600</v>
      </c>
      <c r="CI655" s="871">
        <v>101000</v>
      </c>
      <c r="CJ655" s="871">
        <v>102400</v>
      </c>
      <c r="CK655" s="871">
        <v>103800</v>
      </c>
      <c r="CL655" s="871">
        <v>105200</v>
      </c>
      <c r="CM655" s="871">
        <v>106600</v>
      </c>
      <c r="CN655" s="871">
        <v>108000</v>
      </c>
      <c r="CO655" s="871">
        <v>109400</v>
      </c>
      <c r="CP655" s="871">
        <v>110800</v>
      </c>
      <c r="CQ655" s="871">
        <v>112200</v>
      </c>
      <c r="CR655" s="871">
        <v>113600</v>
      </c>
      <c r="CS655" s="871">
        <v>115000</v>
      </c>
      <c r="CT655" s="871">
        <v>116400</v>
      </c>
      <c r="CU655" s="871">
        <v>117800</v>
      </c>
      <c r="CV655" s="871">
        <v>119200</v>
      </c>
      <c r="CW655" s="871">
        <v>120600</v>
      </c>
      <c r="CX655" s="871">
        <v>122000</v>
      </c>
      <c r="CY655" s="871">
        <v>123400</v>
      </c>
      <c r="CZ655" s="871">
        <v>124800</v>
      </c>
      <c r="DA655" s="871">
        <v>126200</v>
      </c>
      <c r="DB655" s="871">
        <v>127600</v>
      </c>
      <c r="DC655" s="871">
        <v>129115</v>
      </c>
      <c r="DD655" s="871">
        <v>130400</v>
      </c>
      <c r="DE655" s="871">
        <v>0</v>
      </c>
      <c r="DF655" s="871">
        <v>0</v>
      </c>
      <c r="DG655" s="871">
        <v>0</v>
      </c>
      <c r="DH655" s="871">
        <v>0</v>
      </c>
      <c r="DI655" s="871">
        <v>0</v>
      </c>
      <c r="DJ655" s="871">
        <v>0</v>
      </c>
      <c r="DK655" s="871">
        <v>0</v>
      </c>
      <c r="DL655" s="871">
        <v>0</v>
      </c>
      <c r="DM655" s="871">
        <v>0</v>
      </c>
      <c r="DN655" s="871">
        <v>0</v>
      </c>
      <c r="DO655" s="871">
        <v>0</v>
      </c>
      <c r="DP655" s="871">
        <v>0</v>
      </c>
      <c r="DQ655" s="871">
        <v>0</v>
      </c>
      <c r="DR655" s="871">
        <v>0</v>
      </c>
      <c r="DS655" s="871">
        <v>0</v>
      </c>
      <c r="DT655" s="871">
        <v>0</v>
      </c>
      <c r="DU655" s="871">
        <v>0</v>
      </c>
      <c r="DV655" s="871">
        <v>0</v>
      </c>
      <c r="DW655" s="871">
        <v>0</v>
      </c>
    </row>
    <row r="656" spans="12:127" hidden="1">
      <c r="L656" s="870" t="s">
        <v>1060</v>
      </c>
      <c r="M656" s="870" t="s">
        <v>1382</v>
      </c>
      <c r="N656" s="870" t="s">
        <v>96</v>
      </c>
      <c r="O656" s="871">
        <v>20</v>
      </c>
      <c r="P656" s="780" t="str">
        <f t="shared" si="21"/>
        <v>IWT060120</v>
      </c>
      <c r="Q656" s="871">
        <v>26361</v>
      </c>
      <c r="R656" s="871">
        <v>26888</v>
      </c>
      <c r="S656" s="871">
        <v>27426</v>
      </c>
      <c r="T656" s="871">
        <v>27975</v>
      </c>
      <c r="U656" s="871">
        <v>28534</v>
      </c>
      <c r="V656" s="871">
        <v>30960.5</v>
      </c>
      <c r="W656" s="871">
        <v>30960.5</v>
      </c>
      <c r="X656" s="871">
        <v>30960.5</v>
      </c>
      <c r="Y656" s="871">
        <v>30960.5</v>
      </c>
      <c r="Z656" s="871">
        <v>31499</v>
      </c>
      <c r="AA656" s="871">
        <v>32129</v>
      </c>
      <c r="AB656" s="871">
        <v>32772</v>
      </c>
      <c r="AC656" s="871">
        <v>33427</v>
      </c>
      <c r="AD656" s="871">
        <v>34096</v>
      </c>
      <c r="AE656" s="871">
        <v>34778</v>
      </c>
      <c r="AF656" s="871">
        <v>35473</v>
      </c>
      <c r="AG656" s="871">
        <v>36183</v>
      </c>
      <c r="AH656" s="871">
        <v>36907</v>
      </c>
      <c r="AI656" s="871">
        <v>37645</v>
      </c>
      <c r="AJ656" s="871">
        <v>38398</v>
      </c>
      <c r="AK656" s="871">
        <v>39165</v>
      </c>
      <c r="AL656" s="871">
        <v>39949</v>
      </c>
      <c r="AM656" s="871">
        <v>40748</v>
      </c>
      <c r="AN656" s="871">
        <v>41563</v>
      </c>
      <c r="AO656" s="871">
        <v>42394</v>
      </c>
      <c r="AP656" s="871">
        <v>43242</v>
      </c>
      <c r="AQ656" s="871">
        <v>44107</v>
      </c>
      <c r="AR656" s="871">
        <v>44989</v>
      </c>
      <c r="AS656" s="871">
        <v>45889</v>
      </c>
      <c r="AT656" s="871">
        <v>46806</v>
      </c>
      <c r="AU656" s="871">
        <v>47742</v>
      </c>
      <c r="AV656" s="871">
        <v>48697</v>
      </c>
      <c r="AW656" s="871">
        <v>49671</v>
      </c>
      <c r="AX656" s="871">
        <v>50665</v>
      </c>
      <c r="AY656" s="871">
        <v>51678</v>
      </c>
      <c r="AZ656" s="871">
        <v>52711</v>
      </c>
      <c r="BA656" s="871">
        <v>53764</v>
      </c>
      <c r="BB656" s="871">
        <v>54835</v>
      </c>
      <c r="BC656" s="871">
        <v>56200</v>
      </c>
      <c r="BD656" s="871">
        <v>57600</v>
      </c>
      <c r="BE656" s="871">
        <v>59000</v>
      </c>
      <c r="BF656" s="871">
        <v>60400</v>
      </c>
      <c r="BG656" s="871">
        <v>61800</v>
      </c>
      <c r="BH656" s="871">
        <v>63200</v>
      </c>
      <c r="BI656" s="871">
        <v>64600</v>
      </c>
      <c r="BJ656" s="871">
        <v>66000</v>
      </c>
      <c r="BK656" s="871">
        <v>67400</v>
      </c>
      <c r="BL656" s="871">
        <v>68800</v>
      </c>
      <c r="BM656" s="871">
        <v>70200</v>
      </c>
      <c r="BN656" s="871">
        <v>71600</v>
      </c>
      <c r="BO656" s="871">
        <v>73000</v>
      </c>
      <c r="BP656" s="871">
        <v>74400</v>
      </c>
      <c r="BQ656" s="871">
        <v>75800</v>
      </c>
      <c r="BR656" s="871">
        <v>77200</v>
      </c>
      <c r="BS656" s="871">
        <v>78600</v>
      </c>
      <c r="BT656" s="871">
        <v>80000</v>
      </c>
      <c r="BU656" s="871">
        <v>81400</v>
      </c>
      <c r="BV656" s="871">
        <v>82800</v>
      </c>
      <c r="BW656" s="871">
        <v>84200</v>
      </c>
      <c r="BX656" s="871">
        <v>85600</v>
      </c>
      <c r="BY656" s="871">
        <v>87000</v>
      </c>
      <c r="BZ656" s="871">
        <v>88400</v>
      </c>
      <c r="CA656" s="871">
        <v>89800</v>
      </c>
      <c r="CB656" s="871">
        <v>91200</v>
      </c>
      <c r="CC656" s="871">
        <v>92600</v>
      </c>
      <c r="CD656" s="871">
        <v>94000</v>
      </c>
      <c r="CE656" s="871">
        <v>95400</v>
      </c>
      <c r="CF656" s="871">
        <v>96800</v>
      </c>
      <c r="CG656" s="871">
        <v>98200</v>
      </c>
      <c r="CH656" s="871">
        <v>99600</v>
      </c>
      <c r="CI656" s="871">
        <v>101000</v>
      </c>
      <c r="CJ656" s="871">
        <v>102400</v>
      </c>
      <c r="CK656" s="871">
        <v>103800</v>
      </c>
      <c r="CL656" s="871">
        <v>105200</v>
      </c>
      <c r="CM656" s="871">
        <v>106600</v>
      </c>
      <c r="CN656" s="871">
        <v>108000</v>
      </c>
      <c r="CO656" s="871">
        <v>109400</v>
      </c>
      <c r="CP656" s="871">
        <v>110800</v>
      </c>
      <c r="CQ656" s="871">
        <v>112200</v>
      </c>
      <c r="CR656" s="871">
        <v>113600</v>
      </c>
      <c r="CS656" s="871">
        <v>115000</v>
      </c>
      <c r="CT656" s="871">
        <v>116400</v>
      </c>
      <c r="CU656" s="871">
        <v>117800</v>
      </c>
      <c r="CV656" s="871">
        <v>119200</v>
      </c>
      <c r="CW656" s="871">
        <v>120600</v>
      </c>
      <c r="CX656" s="871">
        <v>122000</v>
      </c>
      <c r="CY656" s="871">
        <v>123400</v>
      </c>
      <c r="CZ656" s="871">
        <v>124800</v>
      </c>
      <c r="DA656" s="871">
        <v>126200</v>
      </c>
      <c r="DB656" s="871">
        <v>127729</v>
      </c>
      <c r="DC656" s="871">
        <v>129000</v>
      </c>
      <c r="DD656" s="871">
        <v>0</v>
      </c>
      <c r="DE656" s="871">
        <v>0</v>
      </c>
      <c r="DF656" s="871">
        <v>0</v>
      </c>
      <c r="DG656" s="871">
        <v>0</v>
      </c>
      <c r="DH656" s="871">
        <v>0</v>
      </c>
      <c r="DI656" s="871">
        <v>0</v>
      </c>
      <c r="DJ656" s="871">
        <v>0</v>
      </c>
      <c r="DK656" s="871">
        <v>0</v>
      </c>
      <c r="DL656" s="871">
        <v>0</v>
      </c>
      <c r="DM656" s="871">
        <v>0</v>
      </c>
      <c r="DN656" s="871">
        <v>0</v>
      </c>
      <c r="DO656" s="871">
        <v>0</v>
      </c>
      <c r="DP656" s="871">
        <v>0</v>
      </c>
      <c r="DQ656" s="871">
        <v>0</v>
      </c>
      <c r="DR656" s="871">
        <v>0</v>
      </c>
      <c r="DS656" s="871">
        <v>0</v>
      </c>
      <c r="DT656" s="871">
        <v>0</v>
      </c>
      <c r="DU656" s="871">
        <v>0</v>
      </c>
      <c r="DV656" s="871">
        <v>0</v>
      </c>
      <c r="DW656" s="871">
        <v>0</v>
      </c>
    </row>
    <row r="657" spans="12:127" hidden="1">
      <c r="L657" s="870" t="s">
        <v>1060</v>
      </c>
      <c r="M657" s="870" t="s">
        <v>1382</v>
      </c>
      <c r="N657" s="870" t="s">
        <v>96</v>
      </c>
      <c r="O657" s="871">
        <v>21</v>
      </c>
      <c r="P657" s="780" t="str">
        <f t="shared" si="21"/>
        <v>IWT060121</v>
      </c>
      <c r="Q657" s="871">
        <v>26442</v>
      </c>
      <c r="R657" s="871">
        <v>26971</v>
      </c>
      <c r="S657" s="871">
        <v>27510</v>
      </c>
      <c r="T657" s="871">
        <v>28061</v>
      </c>
      <c r="U657" s="871">
        <v>28622</v>
      </c>
      <c r="V657" s="871">
        <v>31055.9</v>
      </c>
      <c r="W657" s="871">
        <v>31055.9</v>
      </c>
      <c r="X657" s="871">
        <v>31055.9</v>
      </c>
      <c r="Y657" s="871">
        <v>31055.9</v>
      </c>
      <c r="Z657" s="871">
        <v>31596</v>
      </c>
      <c r="AA657" s="871">
        <v>32228</v>
      </c>
      <c r="AB657" s="871">
        <v>32872</v>
      </c>
      <c r="AC657" s="871">
        <v>33530</v>
      </c>
      <c r="AD657" s="871">
        <v>34200</v>
      </c>
      <c r="AE657" s="871">
        <v>34884</v>
      </c>
      <c r="AF657" s="871">
        <v>35582</v>
      </c>
      <c r="AG657" s="871">
        <v>36294</v>
      </c>
      <c r="AH657" s="871">
        <v>37019</v>
      </c>
      <c r="AI657" s="871">
        <v>37760</v>
      </c>
      <c r="AJ657" s="871">
        <v>38515</v>
      </c>
      <c r="AK657" s="871">
        <v>39285</v>
      </c>
      <c r="AL657" s="871">
        <v>40071</v>
      </c>
      <c r="AM657" s="871">
        <v>40872</v>
      </c>
      <c r="AN657" s="871">
        <v>41690</v>
      </c>
      <c r="AO657" s="871">
        <v>42524</v>
      </c>
      <c r="AP657" s="871">
        <v>43374</v>
      </c>
      <c r="AQ657" s="871">
        <v>44242</v>
      </c>
      <c r="AR657" s="871">
        <v>45126</v>
      </c>
      <c r="AS657" s="871">
        <v>46029</v>
      </c>
      <c r="AT657" s="871">
        <v>46950</v>
      </c>
      <c r="AU657" s="871">
        <v>47889</v>
      </c>
      <c r="AV657" s="871">
        <v>48846</v>
      </c>
      <c r="AW657" s="871">
        <v>49823</v>
      </c>
      <c r="AX657" s="871">
        <v>50820</v>
      </c>
      <c r="AY657" s="871">
        <v>51836</v>
      </c>
      <c r="AZ657" s="871">
        <v>52873</v>
      </c>
      <c r="BA657" s="871">
        <v>53930</v>
      </c>
      <c r="BB657" s="871">
        <v>55006</v>
      </c>
      <c r="BC657" s="871">
        <v>56200</v>
      </c>
      <c r="BD657" s="871">
        <v>57600</v>
      </c>
      <c r="BE657" s="871">
        <v>59000</v>
      </c>
      <c r="BF657" s="871">
        <v>60400</v>
      </c>
      <c r="BG657" s="871">
        <v>61800</v>
      </c>
      <c r="BH657" s="871">
        <v>63200</v>
      </c>
      <c r="BI657" s="871">
        <v>64600</v>
      </c>
      <c r="BJ657" s="871">
        <v>66000</v>
      </c>
      <c r="BK657" s="871">
        <v>67400</v>
      </c>
      <c r="BL657" s="871">
        <v>68800</v>
      </c>
      <c r="BM657" s="871">
        <v>70200</v>
      </c>
      <c r="BN657" s="871">
        <v>71600</v>
      </c>
      <c r="BO657" s="871">
        <v>73000</v>
      </c>
      <c r="BP657" s="871">
        <v>74400</v>
      </c>
      <c r="BQ657" s="871">
        <v>75800</v>
      </c>
      <c r="BR657" s="871">
        <v>77200</v>
      </c>
      <c r="BS657" s="871">
        <v>78600</v>
      </c>
      <c r="BT657" s="871">
        <v>80000</v>
      </c>
      <c r="BU657" s="871">
        <v>81400</v>
      </c>
      <c r="BV657" s="871">
        <v>82800</v>
      </c>
      <c r="BW657" s="871">
        <v>84200</v>
      </c>
      <c r="BX657" s="871">
        <v>85600</v>
      </c>
      <c r="BY657" s="871">
        <v>87000</v>
      </c>
      <c r="BZ657" s="871">
        <v>88400</v>
      </c>
      <c r="CA657" s="871">
        <v>89800</v>
      </c>
      <c r="CB657" s="871">
        <v>91200</v>
      </c>
      <c r="CC657" s="871">
        <v>92600</v>
      </c>
      <c r="CD657" s="871">
        <v>94000</v>
      </c>
      <c r="CE657" s="871">
        <v>95400</v>
      </c>
      <c r="CF657" s="871">
        <v>96800</v>
      </c>
      <c r="CG657" s="871">
        <v>98200</v>
      </c>
      <c r="CH657" s="871">
        <v>99600</v>
      </c>
      <c r="CI657" s="871">
        <v>101000</v>
      </c>
      <c r="CJ657" s="871">
        <v>102400</v>
      </c>
      <c r="CK657" s="871">
        <v>103800</v>
      </c>
      <c r="CL657" s="871">
        <v>105200</v>
      </c>
      <c r="CM657" s="871">
        <v>106600</v>
      </c>
      <c r="CN657" s="871">
        <v>108000</v>
      </c>
      <c r="CO657" s="871">
        <v>109400</v>
      </c>
      <c r="CP657" s="871">
        <v>110800</v>
      </c>
      <c r="CQ657" s="871">
        <v>112200</v>
      </c>
      <c r="CR657" s="871">
        <v>113600</v>
      </c>
      <c r="CS657" s="871">
        <v>115000</v>
      </c>
      <c r="CT657" s="871">
        <v>116400</v>
      </c>
      <c r="CU657" s="871">
        <v>117800</v>
      </c>
      <c r="CV657" s="871">
        <v>119200</v>
      </c>
      <c r="CW657" s="871">
        <v>120600</v>
      </c>
      <c r="CX657" s="871">
        <v>122000</v>
      </c>
      <c r="CY657" s="871">
        <v>123400</v>
      </c>
      <c r="CZ657" s="871">
        <v>124800</v>
      </c>
      <c r="DA657" s="871">
        <v>126343</v>
      </c>
      <c r="DB657" s="871">
        <v>127600</v>
      </c>
      <c r="DC657" s="871">
        <v>0</v>
      </c>
      <c r="DD657" s="871">
        <v>0</v>
      </c>
      <c r="DE657" s="871">
        <v>0</v>
      </c>
      <c r="DF657" s="871">
        <v>0</v>
      </c>
      <c r="DG657" s="871">
        <v>0</v>
      </c>
      <c r="DH657" s="871">
        <v>0</v>
      </c>
      <c r="DI657" s="871">
        <v>0</v>
      </c>
      <c r="DJ657" s="871">
        <v>0</v>
      </c>
      <c r="DK657" s="871">
        <v>0</v>
      </c>
      <c r="DL657" s="871">
        <v>0</v>
      </c>
      <c r="DM657" s="871">
        <v>0</v>
      </c>
      <c r="DN657" s="871">
        <v>0</v>
      </c>
      <c r="DO657" s="871">
        <v>0</v>
      </c>
      <c r="DP657" s="871">
        <v>0</v>
      </c>
      <c r="DQ657" s="871">
        <v>0</v>
      </c>
      <c r="DR657" s="871">
        <v>0</v>
      </c>
      <c r="DS657" s="871">
        <v>0</v>
      </c>
      <c r="DT657" s="871">
        <v>0</v>
      </c>
      <c r="DU657" s="871">
        <v>0</v>
      </c>
      <c r="DV657" s="871">
        <v>0</v>
      </c>
      <c r="DW657" s="871">
        <v>0</v>
      </c>
    </row>
    <row r="658" spans="12:127" hidden="1">
      <c r="L658" s="870" t="s">
        <v>1060</v>
      </c>
      <c r="M658" s="870" t="s">
        <v>1382</v>
      </c>
      <c r="N658" s="870" t="s">
        <v>96</v>
      </c>
      <c r="O658" s="871">
        <v>22</v>
      </c>
      <c r="P658" s="780" t="str">
        <f t="shared" si="21"/>
        <v>IWT060122</v>
      </c>
      <c r="Q658" s="871">
        <v>26519</v>
      </c>
      <c r="R658" s="871">
        <v>27050</v>
      </c>
      <c r="S658" s="871">
        <v>27591</v>
      </c>
      <c r="T658" s="871">
        <v>28142</v>
      </c>
      <c r="U658" s="871">
        <v>28705</v>
      </c>
      <c r="V658" s="871">
        <v>31144.9</v>
      </c>
      <c r="W658" s="871">
        <v>31144.9</v>
      </c>
      <c r="X658" s="871">
        <v>31144.9</v>
      </c>
      <c r="Y658" s="871">
        <v>31144.9</v>
      </c>
      <c r="Z658" s="871">
        <v>31688</v>
      </c>
      <c r="AA658" s="871">
        <v>32321</v>
      </c>
      <c r="AB658" s="871">
        <v>32968</v>
      </c>
      <c r="AC658" s="871">
        <v>33627</v>
      </c>
      <c r="AD658" s="871">
        <v>34300</v>
      </c>
      <c r="AE658" s="871">
        <v>34986</v>
      </c>
      <c r="AF658" s="871">
        <v>35685</v>
      </c>
      <c r="AG658" s="871">
        <v>36399</v>
      </c>
      <c r="AH658" s="871">
        <v>37127</v>
      </c>
      <c r="AI658" s="871">
        <v>37870</v>
      </c>
      <c r="AJ658" s="871">
        <v>38627</v>
      </c>
      <c r="AK658" s="871">
        <v>39400</v>
      </c>
      <c r="AL658" s="871">
        <v>40187</v>
      </c>
      <c r="AM658" s="871">
        <v>40991</v>
      </c>
      <c r="AN658" s="871">
        <v>41811</v>
      </c>
      <c r="AO658" s="871">
        <v>42647</v>
      </c>
      <c r="AP658" s="871">
        <v>43500</v>
      </c>
      <c r="AQ658" s="871">
        <v>44370</v>
      </c>
      <c r="AR658" s="871">
        <v>45258</v>
      </c>
      <c r="AS658" s="871">
        <v>46163</v>
      </c>
      <c r="AT658" s="871">
        <v>47086</v>
      </c>
      <c r="AU658" s="871">
        <v>48028</v>
      </c>
      <c r="AV658" s="871">
        <v>48988</v>
      </c>
      <c r="AW658" s="871">
        <v>49968</v>
      </c>
      <c r="AX658" s="871">
        <v>50967</v>
      </c>
      <c r="AY658" s="871">
        <v>51987</v>
      </c>
      <c r="AZ658" s="871">
        <v>53026</v>
      </c>
      <c r="BA658" s="871">
        <v>54087</v>
      </c>
      <c r="BB658" s="871">
        <v>55167</v>
      </c>
      <c r="BC658" s="871">
        <v>56265</v>
      </c>
      <c r="BD658" s="871">
        <v>57600</v>
      </c>
      <c r="BE658" s="871">
        <v>59000</v>
      </c>
      <c r="BF658" s="871">
        <v>60400</v>
      </c>
      <c r="BG658" s="871">
        <v>61800</v>
      </c>
      <c r="BH658" s="871">
        <v>63200</v>
      </c>
      <c r="BI658" s="871">
        <v>64600</v>
      </c>
      <c r="BJ658" s="871">
        <v>66000</v>
      </c>
      <c r="BK658" s="871">
        <v>67400</v>
      </c>
      <c r="BL658" s="871">
        <v>68800</v>
      </c>
      <c r="BM658" s="871">
        <v>70200</v>
      </c>
      <c r="BN658" s="871">
        <v>71600</v>
      </c>
      <c r="BO658" s="871">
        <v>73000</v>
      </c>
      <c r="BP658" s="871">
        <v>74400</v>
      </c>
      <c r="BQ658" s="871">
        <v>75800</v>
      </c>
      <c r="BR658" s="871">
        <v>77200</v>
      </c>
      <c r="BS658" s="871">
        <v>78600</v>
      </c>
      <c r="BT658" s="871">
        <v>80000</v>
      </c>
      <c r="BU658" s="871">
        <v>81400</v>
      </c>
      <c r="BV658" s="871">
        <v>82800</v>
      </c>
      <c r="BW658" s="871">
        <v>84200</v>
      </c>
      <c r="BX658" s="871">
        <v>85600</v>
      </c>
      <c r="BY658" s="871">
        <v>87000</v>
      </c>
      <c r="BZ658" s="871">
        <v>88400</v>
      </c>
      <c r="CA658" s="871">
        <v>89800</v>
      </c>
      <c r="CB658" s="871">
        <v>91200</v>
      </c>
      <c r="CC658" s="871">
        <v>92600</v>
      </c>
      <c r="CD658" s="871">
        <v>94000</v>
      </c>
      <c r="CE658" s="871">
        <v>95400</v>
      </c>
      <c r="CF658" s="871">
        <v>96800</v>
      </c>
      <c r="CG658" s="871">
        <v>98200</v>
      </c>
      <c r="CH658" s="871">
        <v>99600</v>
      </c>
      <c r="CI658" s="871">
        <v>101000</v>
      </c>
      <c r="CJ658" s="871">
        <v>102400</v>
      </c>
      <c r="CK658" s="871">
        <v>103800</v>
      </c>
      <c r="CL658" s="871">
        <v>105200</v>
      </c>
      <c r="CM658" s="871">
        <v>106600</v>
      </c>
      <c r="CN658" s="871">
        <v>108000</v>
      </c>
      <c r="CO658" s="871">
        <v>109400</v>
      </c>
      <c r="CP658" s="871">
        <v>110800</v>
      </c>
      <c r="CQ658" s="871">
        <v>112200</v>
      </c>
      <c r="CR658" s="871">
        <v>113600</v>
      </c>
      <c r="CS658" s="871">
        <v>115000</v>
      </c>
      <c r="CT658" s="871">
        <v>116400</v>
      </c>
      <c r="CU658" s="871">
        <v>117800</v>
      </c>
      <c r="CV658" s="871">
        <v>119200</v>
      </c>
      <c r="CW658" s="871">
        <v>120600</v>
      </c>
      <c r="CX658" s="871">
        <v>122000</v>
      </c>
      <c r="CY658" s="871">
        <v>123400</v>
      </c>
      <c r="CZ658" s="871">
        <v>124957</v>
      </c>
      <c r="DA658" s="871">
        <v>126200</v>
      </c>
      <c r="DB658" s="871">
        <v>0</v>
      </c>
      <c r="DC658" s="871">
        <v>0</v>
      </c>
      <c r="DD658" s="871">
        <v>0</v>
      </c>
      <c r="DE658" s="871">
        <v>0</v>
      </c>
      <c r="DF658" s="871">
        <v>0</v>
      </c>
      <c r="DG658" s="871">
        <v>0</v>
      </c>
      <c r="DH658" s="871">
        <v>0</v>
      </c>
      <c r="DI658" s="871">
        <v>0</v>
      </c>
      <c r="DJ658" s="871">
        <v>0</v>
      </c>
      <c r="DK658" s="871">
        <v>0</v>
      </c>
      <c r="DL658" s="871">
        <v>0</v>
      </c>
      <c r="DM658" s="871">
        <v>0</v>
      </c>
      <c r="DN658" s="871">
        <v>0</v>
      </c>
      <c r="DO658" s="871">
        <v>0</v>
      </c>
      <c r="DP658" s="871">
        <v>0</v>
      </c>
      <c r="DQ658" s="871">
        <v>0</v>
      </c>
      <c r="DR658" s="871">
        <v>0</v>
      </c>
      <c r="DS658" s="871">
        <v>0</v>
      </c>
      <c r="DT658" s="871">
        <v>0</v>
      </c>
      <c r="DU658" s="871">
        <v>0</v>
      </c>
      <c r="DV658" s="871">
        <v>0</v>
      </c>
      <c r="DW658" s="871">
        <v>0</v>
      </c>
    </row>
    <row r="659" spans="12:127" hidden="1">
      <c r="L659" s="870" t="s">
        <v>1060</v>
      </c>
      <c r="M659" s="870" t="s">
        <v>1382</v>
      </c>
      <c r="N659" s="870" t="s">
        <v>96</v>
      </c>
      <c r="O659" s="871">
        <v>23</v>
      </c>
      <c r="P659" s="780" t="str">
        <f t="shared" si="21"/>
        <v>IWT060123</v>
      </c>
      <c r="Q659" s="871">
        <v>26592</v>
      </c>
      <c r="R659" s="871">
        <v>27124</v>
      </c>
      <c r="S659" s="871">
        <v>27666</v>
      </c>
      <c r="T659" s="871">
        <v>28219</v>
      </c>
      <c r="U659" s="871">
        <v>28784</v>
      </c>
      <c r="V659" s="871">
        <v>31234</v>
      </c>
      <c r="W659" s="871">
        <v>31234</v>
      </c>
      <c r="X659" s="871">
        <v>31234</v>
      </c>
      <c r="Y659" s="871">
        <v>31234</v>
      </c>
      <c r="Z659" s="871">
        <v>31774</v>
      </c>
      <c r="AA659" s="871">
        <v>32410</v>
      </c>
      <c r="AB659" s="871">
        <v>33058</v>
      </c>
      <c r="AC659" s="871">
        <v>33719</v>
      </c>
      <c r="AD659" s="871">
        <v>34393</v>
      </c>
      <c r="AE659" s="871">
        <v>35081</v>
      </c>
      <c r="AF659" s="871">
        <v>35783</v>
      </c>
      <c r="AG659" s="871">
        <v>36498</v>
      </c>
      <c r="AH659" s="871">
        <v>37228</v>
      </c>
      <c r="AI659" s="871">
        <v>37973</v>
      </c>
      <c r="AJ659" s="871">
        <v>38732</v>
      </c>
      <c r="AK659" s="871">
        <v>39507</v>
      </c>
      <c r="AL659" s="871">
        <v>40297</v>
      </c>
      <c r="AM659" s="871">
        <v>41103</v>
      </c>
      <c r="AN659" s="871">
        <v>41925</v>
      </c>
      <c r="AO659" s="871">
        <v>42764</v>
      </c>
      <c r="AP659" s="871">
        <v>43619</v>
      </c>
      <c r="AQ659" s="871">
        <v>44491</v>
      </c>
      <c r="AR659" s="871">
        <v>45381</v>
      </c>
      <c r="AS659" s="871">
        <v>46289</v>
      </c>
      <c r="AT659" s="871">
        <v>47214</v>
      </c>
      <c r="AU659" s="871">
        <v>48159</v>
      </c>
      <c r="AV659" s="871">
        <v>49122</v>
      </c>
      <c r="AW659" s="871">
        <v>50104</v>
      </c>
      <c r="AX659" s="871">
        <v>51106</v>
      </c>
      <c r="AY659" s="871">
        <v>52128</v>
      </c>
      <c r="AZ659" s="871">
        <v>53171</v>
      </c>
      <c r="BA659" s="871">
        <v>54234</v>
      </c>
      <c r="BB659" s="871">
        <v>55319</v>
      </c>
      <c r="BC659" s="871">
        <v>56421</v>
      </c>
      <c r="BD659" s="871">
        <v>57600</v>
      </c>
      <c r="BE659" s="871">
        <v>59000</v>
      </c>
      <c r="BF659" s="871">
        <v>60400</v>
      </c>
      <c r="BG659" s="871">
        <v>61800</v>
      </c>
      <c r="BH659" s="871">
        <v>63200</v>
      </c>
      <c r="BI659" s="871">
        <v>64600</v>
      </c>
      <c r="BJ659" s="871">
        <v>66000</v>
      </c>
      <c r="BK659" s="871">
        <v>67400</v>
      </c>
      <c r="BL659" s="871">
        <v>68800</v>
      </c>
      <c r="BM659" s="871">
        <v>70200</v>
      </c>
      <c r="BN659" s="871">
        <v>71600</v>
      </c>
      <c r="BO659" s="871">
        <v>73000</v>
      </c>
      <c r="BP659" s="871">
        <v>74400</v>
      </c>
      <c r="BQ659" s="871">
        <v>75800</v>
      </c>
      <c r="BR659" s="871">
        <v>77200</v>
      </c>
      <c r="BS659" s="871">
        <v>78600</v>
      </c>
      <c r="BT659" s="871">
        <v>80000</v>
      </c>
      <c r="BU659" s="871">
        <v>81400</v>
      </c>
      <c r="BV659" s="871">
        <v>82800</v>
      </c>
      <c r="BW659" s="871">
        <v>84200</v>
      </c>
      <c r="BX659" s="871">
        <v>85600</v>
      </c>
      <c r="BY659" s="871">
        <v>87000</v>
      </c>
      <c r="BZ659" s="871">
        <v>88400</v>
      </c>
      <c r="CA659" s="871">
        <v>89800</v>
      </c>
      <c r="CB659" s="871">
        <v>91200</v>
      </c>
      <c r="CC659" s="871">
        <v>92600</v>
      </c>
      <c r="CD659" s="871">
        <v>94000</v>
      </c>
      <c r="CE659" s="871">
        <v>95400</v>
      </c>
      <c r="CF659" s="871">
        <v>96800</v>
      </c>
      <c r="CG659" s="871">
        <v>98200</v>
      </c>
      <c r="CH659" s="871">
        <v>99600</v>
      </c>
      <c r="CI659" s="871">
        <v>101000</v>
      </c>
      <c r="CJ659" s="871">
        <v>102400</v>
      </c>
      <c r="CK659" s="871">
        <v>103800</v>
      </c>
      <c r="CL659" s="871">
        <v>105200</v>
      </c>
      <c r="CM659" s="871">
        <v>106600</v>
      </c>
      <c r="CN659" s="871">
        <v>108000</v>
      </c>
      <c r="CO659" s="871">
        <v>109400</v>
      </c>
      <c r="CP659" s="871">
        <v>110800</v>
      </c>
      <c r="CQ659" s="871">
        <v>112200</v>
      </c>
      <c r="CR659" s="871">
        <v>113600</v>
      </c>
      <c r="CS659" s="871">
        <v>115000</v>
      </c>
      <c r="CT659" s="871">
        <v>116400</v>
      </c>
      <c r="CU659" s="871">
        <v>117800</v>
      </c>
      <c r="CV659" s="871">
        <v>119200</v>
      </c>
      <c r="CW659" s="871">
        <v>120600</v>
      </c>
      <c r="CX659" s="871">
        <v>122000</v>
      </c>
      <c r="CY659" s="871">
        <v>123570</v>
      </c>
      <c r="CZ659" s="871">
        <v>124800</v>
      </c>
      <c r="DA659" s="871">
        <v>0</v>
      </c>
      <c r="DB659" s="871">
        <v>0</v>
      </c>
      <c r="DC659" s="871">
        <v>0</v>
      </c>
      <c r="DD659" s="871">
        <v>0</v>
      </c>
      <c r="DE659" s="871">
        <v>0</v>
      </c>
      <c r="DF659" s="871">
        <v>0</v>
      </c>
      <c r="DG659" s="871">
        <v>0</v>
      </c>
      <c r="DH659" s="871">
        <v>0</v>
      </c>
      <c r="DI659" s="871">
        <v>0</v>
      </c>
      <c r="DJ659" s="871">
        <v>0</v>
      </c>
      <c r="DK659" s="871">
        <v>0</v>
      </c>
      <c r="DL659" s="871">
        <v>0</v>
      </c>
      <c r="DM659" s="871">
        <v>0</v>
      </c>
      <c r="DN659" s="871">
        <v>0</v>
      </c>
      <c r="DO659" s="871">
        <v>0</v>
      </c>
      <c r="DP659" s="871">
        <v>0</v>
      </c>
      <c r="DQ659" s="871">
        <v>0</v>
      </c>
      <c r="DR659" s="871">
        <v>0</v>
      </c>
      <c r="DS659" s="871">
        <v>0</v>
      </c>
      <c r="DT659" s="871">
        <v>0</v>
      </c>
      <c r="DU659" s="871">
        <v>0</v>
      </c>
      <c r="DV659" s="871">
        <v>0</v>
      </c>
      <c r="DW659" s="871">
        <v>0</v>
      </c>
    </row>
    <row r="660" spans="12:127" hidden="1">
      <c r="L660" s="870" t="s">
        <v>1060</v>
      </c>
      <c r="M660" s="870" t="s">
        <v>1382</v>
      </c>
      <c r="N660" s="870" t="s">
        <v>96</v>
      </c>
      <c r="O660" s="871">
        <v>24</v>
      </c>
      <c r="P660" s="780" t="str">
        <f t="shared" si="21"/>
        <v>IWT060124</v>
      </c>
      <c r="Q660" s="871">
        <v>26661</v>
      </c>
      <c r="R660" s="871">
        <v>27194</v>
      </c>
      <c r="S660" s="871">
        <v>27738</v>
      </c>
      <c r="T660" s="871">
        <v>28292</v>
      </c>
      <c r="U660" s="871">
        <v>28858</v>
      </c>
      <c r="V660" s="871">
        <v>31310.3</v>
      </c>
      <c r="W660" s="871">
        <v>31310.3</v>
      </c>
      <c r="X660" s="871">
        <v>31310.3</v>
      </c>
      <c r="Y660" s="871">
        <v>31310.3</v>
      </c>
      <c r="Z660" s="871">
        <v>31856</v>
      </c>
      <c r="AA660" s="871">
        <v>32493</v>
      </c>
      <c r="AB660" s="871">
        <v>33143</v>
      </c>
      <c r="AC660" s="871">
        <v>33806</v>
      </c>
      <c r="AD660" s="871">
        <v>34482</v>
      </c>
      <c r="AE660" s="871">
        <v>35172</v>
      </c>
      <c r="AF660" s="871">
        <v>35875</v>
      </c>
      <c r="AG660" s="871">
        <v>36593</v>
      </c>
      <c r="AH660" s="871">
        <v>37324</v>
      </c>
      <c r="AI660" s="871">
        <v>38071</v>
      </c>
      <c r="AJ660" s="871">
        <v>38832</v>
      </c>
      <c r="AK660" s="871">
        <v>39609</v>
      </c>
      <c r="AL660" s="871">
        <v>40401</v>
      </c>
      <c r="AM660" s="871">
        <v>41209</v>
      </c>
      <c r="AN660" s="871">
        <v>42033</v>
      </c>
      <c r="AO660" s="871">
        <v>42874</v>
      </c>
      <c r="AP660" s="871">
        <v>43731</v>
      </c>
      <c r="AQ660" s="871">
        <v>44606</v>
      </c>
      <c r="AR660" s="871">
        <v>45498</v>
      </c>
      <c r="AS660" s="871">
        <v>46408</v>
      </c>
      <c r="AT660" s="871">
        <v>47336</v>
      </c>
      <c r="AU660" s="871">
        <v>48283</v>
      </c>
      <c r="AV660" s="871">
        <v>49249</v>
      </c>
      <c r="AW660" s="871">
        <v>50234</v>
      </c>
      <c r="AX660" s="871">
        <v>51238</v>
      </c>
      <c r="AY660" s="871">
        <v>52263</v>
      </c>
      <c r="AZ660" s="871">
        <v>53308</v>
      </c>
      <c r="BA660" s="871">
        <v>54374</v>
      </c>
      <c r="BB660" s="871">
        <v>55462</v>
      </c>
      <c r="BC660" s="871">
        <v>56569</v>
      </c>
      <c r="BD660" s="871">
        <v>57693</v>
      </c>
      <c r="BE660" s="871">
        <v>59000</v>
      </c>
      <c r="BF660" s="871">
        <v>60400</v>
      </c>
      <c r="BG660" s="871">
        <v>61800</v>
      </c>
      <c r="BH660" s="871">
        <v>63200</v>
      </c>
      <c r="BI660" s="871">
        <v>64600</v>
      </c>
      <c r="BJ660" s="871">
        <v>66000</v>
      </c>
      <c r="BK660" s="871">
        <v>67400</v>
      </c>
      <c r="BL660" s="871">
        <v>68800</v>
      </c>
      <c r="BM660" s="871">
        <v>70200</v>
      </c>
      <c r="BN660" s="871">
        <v>71600</v>
      </c>
      <c r="BO660" s="871">
        <v>73000</v>
      </c>
      <c r="BP660" s="871">
        <v>74400</v>
      </c>
      <c r="BQ660" s="871">
        <v>75800</v>
      </c>
      <c r="BR660" s="871">
        <v>77200</v>
      </c>
      <c r="BS660" s="871">
        <v>78600</v>
      </c>
      <c r="BT660" s="871">
        <v>80000</v>
      </c>
      <c r="BU660" s="871">
        <v>81400</v>
      </c>
      <c r="BV660" s="871">
        <v>82800</v>
      </c>
      <c r="BW660" s="871">
        <v>84200</v>
      </c>
      <c r="BX660" s="871">
        <v>85600</v>
      </c>
      <c r="BY660" s="871">
        <v>87000</v>
      </c>
      <c r="BZ660" s="871">
        <v>88400</v>
      </c>
      <c r="CA660" s="871">
        <v>89800</v>
      </c>
      <c r="CB660" s="871">
        <v>91200</v>
      </c>
      <c r="CC660" s="871">
        <v>92600</v>
      </c>
      <c r="CD660" s="871">
        <v>94000</v>
      </c>
      <c r="CE660" s="871">
        <v>95400</v>
      </c>
      <c r="CF660" s="871">
        <v>96800</v>
      </c>
      <c r="CG660" s="871">
        <v>98200</v>
      </c>
      <c r="CH660" s="871">
        <v>99600</v>
      </c>
      <c r="CI660" s="871">
        <v>101000</v>
      </c>
      <c r="CJ660" s="871">
        <v>102400</v>
      </c>
      <c r="CK660" s="871">
        <v>103800</v>
      </c>
      <c r="CL660" s="871">
        <v>105200</v>
      </c>
      <c r="CM660" s="871">
        <v>106600</v>
      </c>
      <c r="CN660" s="871">
        <v>108000</v>
      </c>
      <c r="CO660" s="871">
        <v>109400</v>
      </c>
      <c r="CP660" s="871">
        <v>110800</v>
      </c>
      <c r="CQ660" s="871">
        <v>112200</v>
      </c>
      <c r="CR660" s="871">
        <v>113600</v>
      </c>
      <c r="CS660" s="871">
        <v>115000</v>
      </c>
      <c r="CT660" s="871">
        <v>116400</v>
      </c>
      <c r="CU660" s="871">
        <v>117800</v>
      </c>
      <c r="CV660" s="871">
        <v>119200</v>
      </c>
      <c r="CW660" s="871">
        <v>120600</v>
      </c>
      <c r="CX660" s="871">
        <v>122184</v>
      </c>
      <c r="CY660" s="871">
        <v>123400</v>
      </c>
      <c r="CZ660" s="871">
        <v>0</v>
      </c>
      <c r="DA660" s="871">
        <v>0</v>
      </c>
      <c r="DB660" s="871">
        <v>0</v>
      </c>
      <c r="DC660" s="871">
        <v>0</v>
      </c>
      <c r="DD660" s="871">
        <v>0</v>
      </c>
      <c r="DE660" s="871">
        <v>0</v>
      </c>
      <c r="DF660" s="871">
        <v>0</v>
      </c>
      <c r="DG660" s="871">
        <v>0</v>
      </c>
      <c r="DH660" s="871">
        <v>0</v>
      </c>
      <c r="DI660" s="871">
        <v>0</v>
      </c>
      <c r="DJ660" s="871">
        <v>0</v>
      </c>
      <c r="DK660" s="871">
        <v>0</v>
      </c>
      <c r="DL660" s="871">
        <v>0</v>
      </c>
      <c r="DM660" s="871">
        <v>0</v>
      </c>
      <c r="DN660" s="871">
        <v>0</v>
      </c>
      <c r="DO660" s="871">
        <v>0</v>
      </c>
      <c r="DP660" s="871">
        <v>0</v>
      </c>
      <c r="DQ660" s="871">
        <v>0</v>
      </c>
      <c r="DR660" s="871">
        <v>0</v>
      </c>
      <c r="DS660" s="871">
        <v>0</v>
      </c>
      <c r="DT660" s="871">
        <v>0</v>
      </c>
      <c r="DU660" s="871">
        <v>0</v>
      </c>
      <c r="DV660" s="871">
        <v>0</v>
      </c>
      <c r="DW660" s="871">
        <v>0</v>
      </c>
    </row>
    <row r="661" spans="12:127" hidden="1">
      <c r="L661" s="870" t="s">
        <v>1060</v>
      </c>
      <c r="M661" s="870" t="s">
        <v>1382</v>
      </c>
      <c r="N661" s="870" t="s">
        <v>96</v>
      </c>
      <c r="O661" s="871">
        <v>25</v>
      </c>
      <c r="P661" s="780" t="str">
        <f t="shared" si="21"/>
        <v>IWT060125</v>
      </c>
      <c r="Q661" s="871">
        <v>26725</v>
      </c>
      <c r="R661" s="871">
        <v>27260</v>
      </c>
      <c r="S661" s="871">
        <v>27805</v>
      </c>
      <c r="T661" s="871">
        <v>28361</v>
      </c>
      <c r="U661" s="871">
        <v>28928</v>
      </c>
      <c r="V661" s="871">
        <v>31386.6</v>
      </c>
      <c r="W661" s="871">
        <v>31386.6</v>
      </c>
      <c r="X661" s="871">
        <v>31386.6</v>
      </c>
      <c r="Y661" s="871">
        <v>31386.6</v>
      </c>
      <c r="Z661" s="871">
        <v>31933</v>
      </c>
      <c r="AA661" s="871">
        <v>32571</v>
      </c>
      <c r="AB661" s="871">
        <v>33223</v>
      </c>
      <c r="AC661" s="871">
        <v>33887</v>
      </c>
      <c r="AD661" s="871">
        <v>34565</v>
      </c>
      <c r="AE661" s="871">
        <v>35256</v>
      </c>
      <c r="AF661" s="871">
        <v>35962</v>
      </c>
      <c r="AG661" s="871">
        <v>36681</v>
      </c>
      <c r="AH661" s="871">
        <v>37414</v>
      </c>
      <c r="AI661" s="871">
        <v>38163</v>
      </c>
      <c r="AJ661" s="871">
        <v>38926</v>
      </c>
      <c r="AK661" s="871">
        <v>39704</v>
      </c>
      <c r="AL661" s="871">
        <v>40499</v>
      </c>
      <c r="AM661" s="871">
        <v>41308</v>
      </c>
      <c r="AN661" s="871">
        <v>42135</v>
      </c>
      <c r="AO661" s="871">
        <v>42977</v>
      </c>
      <c r="AP661" s="871">
        <v>43837</v>
      </c>
      <c r="AQ661" s="871">
        <v>44714</v>
      </c>
      <c r="AR661" s="871">
        <v>45608</v>
      </c>
      <c r="AS661" s="871">
        <v>46520</v>
      </c>
      <c r="AT661" s="871">
        <v>47450</v>
      </c>
      <c r="AU661" s="871">
        <v>48399</v>
      </c>
      <c r="AV661" s="871">
        <v>49367</v>
      </c>
      <c r="AW661" s="871">
        <v>50355</v>
      </c>
      <c r="AX661" s="871">
        <v>51362</v>
      </c>
      <c r="AY661" s="871">
        <v>52389</v>
      </c>
      <c r="AZ661" s="871">
        <v>53437</v>
      </c>
      <c r="BA661" s="871">
        <v>54505</v>
      </c>
      <c r="BB661" s="871">
        <v>55595</v>
      </c>
      <c r="BC661" s="871">
        <v>56707</v>
      </c>
      <c r="BD661" s="871">
        <v>57836</v>
      </c>
      <c r="BE661" s="871">
        <v>59000</v>
      </c>
      <c r="BF661" s="871">
        <v>60400</v>
      </c>
      <c r="BG661" s="871">
        <v>61800</v>
      </c>
      <c r="BH661" s="871">
        <v>63200</v>
      </c>
      <c r="BI661" s="871">
        <v>64600</v>
      </c>
      <c r="BJ661" s="871">
        <v>66000</v>
      </c>
      <c r="BK661" s="871">
        <v>67400</v>
      </c>
      <c r="BL661" s="871">
        <v>68800</v>
      </c>
      <c r="BM661" s="871">
        <v>70200</v>
      </c>
      <c r="BN661" s="871">
        <v>71600</v>
      </c>
      <c r="BO661" s="871">
        <v>73000</v>
      </c>
      <c r="BP661" s="871">
        <v>74400</v>
      </c>
      <c r="BQ661" s="871">
        <v>75800</v>
      </c>
      <c r="BR661" s="871">
        <v>77200</v>
      </c>
      <c r="BS661" s="871">
        <v>78600</v>
      </c>
      <c r="BT661" s="871">
        <v>80000</v>
      </c>
      <c r="BU661" s="871">
        <v>81400</v>
      </c>
      <c r="BV661" s="871">
        <v>82800</v>
      </c>
      <c r="BW661" s="871">
        <v>84200</v>
      </c>
      <c r="BX661" s="871">
        <v>85600</v>
      </c>
      <c r="BY661" s="871">
        <v>87000</v>
      </c>
      <c r="BZ661" s="871">
        <v>88400</v>
      </c>
      <c r="CA661" s="871">
        <v>89800</v>
      </c>
      <c r="CB661" s="871">
        <v>91200</v>
      </c>
      <c r="CC661" s="871">
        <v>92600</v>
      </c>
      <c r="CD661" s="871">
        <v>94000</v>
      </c>
      <c r="CE661" s="871">
        <v>95400</v>
      </c>
      <c r="CF661" s="871">
        <v>96800</v>
      </c>
      <c r="CG661" s="871">
        <v>98200</v>
      </c>
      <c r="CH661" s="871">
        <v>99600</v>
      </c>
      <c r="CI661" s="871">
        <v>101000</v>
      </c>
      <c r="CJ661" s="871">
        <v>102400</v>
      </c>
      <c r="CK661" s="871">
        <v>103800</v>
      </c>
      <c r="CL661" s="871">
        <v>105200</v>
      </c>
      <c r="CM661" s="871">
        <v>106600</v>
      </c>
      <c r="CN661" s="871">
        <v>108000</v>
      </c>
      <c r="CO661" s="871">
        <v>109400</v>
      </c>
      <c r="CP661" s="871">
        <v>110800</v>
      </c>
      <c r="CQ661" s="871">
        <v>112200</v>
      </c>
      <c r="CR661" s="871">
        <v>113600</v>
      </c>
      <c r="CS661" s="871">
        <v>115000</v>
      </c>
      <c r="CT661" s="871">
        <v>116400</v>
      </c>
      <c r="CU661" s="871">
        <v>117800</v>
      </c>
      <c r="CV661" s="871">
        <v>119200</v>
      </c>
      <c r="CW661" s="871">
        <v>120798</v>
      </c>
      <c r="CX661" s="871">
        <v>122000</v>
      </c>
      <c r="CY661" s="871">
        <v>0</v>
      </c>
      <c r="CZ661" s="871">
        <v>0</v>
      </c>
      <c r="DA661" s="871">
        <v>0</v>
      </c>
      <c r="DB661" s="871">
        <v>0</v>
      </c>
      <c r="DC661" s="871">
        <v>0</v>
      </c>
      <c r="DD661" s="871">
        <v>0</v>
      </c>
      <c r="DE661" s="871">
        <v>0</v>
      </c>
      <c r="DF661" s="871">
        <v>0</v>
      </c>
      <c r="DG661" s="871">
        <v>0</v>
      </c>
      <c r="DH661" s="871">
        <v>0</v>
      </c>
      <c r="DI661" s="871">
        <v>0</v>
      </c>
      <c r="DJ661" s="871">
        <v>0</v>
      </c>
      <c r="DK661" s="871">
        <v>0</v>
      </c>
      <c r="DL661" s="871">
        <v>0</v>
      </c>
      <c r="DM661" s="871">
        <v>0</v>
      </c>
      <c r="DN661" s="871">
        <v>0</v>
      </c>
      <c r="DO661" s="871">
        <v>0</v>
      </c>
      <c r="DP661" s="871">
        <v>0</v>
      </c>
      <c r="DQ661" s="871">
        <v>0</v>
      </c>
      <c r="DR661" s="871">
        <v>0</v>
      </c>
      <c r="DS661" s="871">
        <v>0</v>
      </c>
      <c r="DT661" s="871">
        <v>0</v>
      </c>
      <c r="DU661" s="871">
        <v>0</v>
      </c>
      <c r="DV661" s="871">
        <v>0</v>
      </c>
      <c r="DW661" s="871">
        <v>0</v>
      </c>
    </row>
    <row r="662" spans="12:127" hidden="1">
      <c r="L662" s="870" t="s">
        <v>1060</v>
      </c>
      <c r="M662" s="870" t="s">
        <v>1382</v>
      </c>
      <c r="N662" s="870" t="s">
        <v>96</v>
      </c>
      <c r="O662" s="871">
        <v>26</v>
      </c>
      <c r="P662" s="780" t="str">
        <f t="shared" si="21"/>
        <v>IWT060126</v>
      </c>
      <c r="Q662" s="871">
        <v>26786</v>
      </c>
      <c r="R662" s="871">
        <v>27322</v>
      </c>
      <c r="S662" s="871">
        <v>27868</v>
      </c>
      <c r="T662" s="871">
        <v>28425</v>
      </c>
      <c r="U662" s="871">
        <v>28994</v>
      </c>
      <c r="V662" s="871">
        <v>31462.9</v>
      </c>
      <c r="W662" s="871">
        <v>31462.9</v>
      </c>
      <c r="X662" s="871">
        <v>31462.9</v>
      </c>
      <c r="Y662" s="871">
        <v>31462.9</v>
      </c>
      <c r="Z662" s="871">
        <v>32005</v>
      </c>
      <c r="AA662" s="871">
        <v>32645</v>
      </c>
      <c r="AB662" s="871">
        <v>33298</v>
      </c>
      <c r="AC662" s="871">
        <v>33964</v>
      </c>
      <c r="AD662" s="871">
        <v>34643</v>
      </c>
      <c r="AE662" s="871">
        <v>35336</v>
      </c>
      <c r="AF662" s="871">
        <v>36043</v>
      </c>
      <c r="AG662" s="871">
        <v>36764</v>
      </c>
      <c r="AH662" s="871">
        <v>37499</v>
      </c>
      <c r="AI662" s="871">
        <v>38249</v>
      </c>
      <c r="AJ662" s="871">
        <v>39014</v>
      </c>
      <c r="AK662" s="871">
        <v>39794</v>
      </c>
      <c r="AL662" s="871">
        <v>40590</v>
      </c>
      <c r="AM662" s="871">
        <v>41402</v>
      </c>
      <c r="AN662" s="871">
        <v>42230</v>
      </c>
      <c r="AO662" s="871">
        <v>43074</v>
      </c>
      <c r="AP662" s="871">
        <v>43936</v>
      </c>
      <c r="AQ662" s="871">
        <v>44815</v>
      </c>
      <c r="AR662" s="871">
        <v>45711</v>
      </c>
      <c r="AS662" s="871">
        <v>46625</v>
      </c>
      <c r="AT662" s="871">
        <v>47558</v>
      </c>
      <c r="AU662" s="871">
        <v>48509</v>
      </c>
      <c r="AV662" s="871">
        <v>49479</v>
      </c>
      <c r="AW662" s="871">
        <v>50468</v>
      </c>
      <c r="AX662" s="871">
        <v>51478</v>
      </c>
      <c r="AY662" s="871">
        <v>52507</v>
      </c>
      <c r="AZ662" s="871">
        <v>53557</v>
      </c>
      <c r="BA662" s="871">
        <v>54629</v>
      </c>
      <c r="BB662" s="871">
        <v>55721</v>
      </c>
      <c r="BC662" s="871">
        <v>56835</v>
      </c>
      <c r="BD662" s="871">
        <v>57969</v>
      </c>
      <c r="BE662" s="871">
        <v>59120</v>
      </c>
      <c r="BF662" s="871">
        <v>60400</v>
      </c>
      <c r="BG662" s="871">
        <v>61800</v>
      </c>
      <c r="BH662" s="871">
        <v>63200</v>
      </c>
      <c r="BI662" s="871">
        <v>64600</v>
      </c>
      <c r="BJ662" s="871">
        <v>66000</v>
      </c>
      <c r="BK662" s="871">
        <v>67400</v>
      </c>
      <c r="BL662" s="871">
        <v>68800</v>
      </c>
      <c r="BM662" s="871">
        <v>70200</v>
      </c>
      <c r="BN662" s="871">
        <v>71600</v>
      </c>
      <c r="BO662" s="871">
        <v>73000</v>
      </c>
      <c r="BP662" s="871">
        <v>74400</v>
      </c>
      <c r="BQ662" s="871">
        <v>75800</v>
      </c>
      <c r="BR662" s="871">
        <v>77200</v>
      </c>
      <c r="BS662" s="871">
        <v>78600</v>
      </c>
      <c r="BT662" s="871">
        <v>80000</v>
      </c>
      <c r="BU662" s="871">
        <v>81400</v>
      </c>
      <c r="BV662" s="871">
        <v>82800</v>
      </c>
      <c r="BW662" s="871">
        <v>84200</v>
      </c>
      <c r="BX662" s="871">
        <v>85600</v>
      </c>
      <c r="BY662" s="871">
        <v>87000</v>
      </c>
      <c r="BZ662" s="871">
        <v>88400</v>
      </c>
      <c r="CA662" s="871">
        <v>89800</v>
      </c>
      <c r="CB662" s="871">
        <v>91200</v>
      </c>
      <c r="CC662" s="871">
        <v>92600</v>
      </c>
      <c r="CD662" s="871">
        <v>94000</v>
      </c>
      <c r="CE662" s="871">
        <v>95400</v>
      </c>
      <c r="CF662" s="871">
        <v>96800</v>
      </c>
      <c r="CG662" s="871">
        <v>98200</v>
      </c>
      <c r="CH662" s="871">
        <v>99600</v>
      </c>
      <c r="CI662" s="871">
        <v>101000</v>
      </c>
      <c r="CJ662" s="871">
        <v>102400</v>
      </c>
      <c r="CK662" s="871">
        <v>103800</v>
      </c>
      <c r="CL662" s="871">
        <v>105200</v>
      </c>
      <c r="CM662" s="871">
        <v>106600</v>
      </c>
      <c r="CN662" s="871">
        <v>108000</v>
      </c>
      <c r="CO662" s="871">
        <v>109400</v>
      </c>
      <c r="CP662" s="871">
        <v>110800</v>
      </c>
      <c r="CQ662" s="871">
        <v>112200</v>
      </c>
      <c r="CR662" s="871">
        <v>113600</v>
      </c>
      <c r="CS662" s="871">
        <v>115000</v>
      </c>
      <c r="CT662" s="871">
        <v>116400</v>
      </c>
      <c r="CU662" s="871">
        <v>117800</v>
      </c>
      <c r="CV662" s="871">
        <v>119412</v>
      </c>
      <c r="CW662" s="871">
        <v>120600</v>
      </c>
      <c r="CX662" s="871">
        <v>0</v>
      </c>
      <c r="CY662" s="871">
        <v>0</v>
      </c>
      <c r="CZ662" s="871">
        <v>0</v>
      </c>
      <c r="DA662" s="871">
        <v>0</v>
      </c>
      <c r="DB662" s="871">
        <v>0</v>
      </c>
      <c r="DC662" s="871">
        <v>0</v>
      </c>
      <c r="DD662" s="871">
        <v>0</v>
      </c>
      <c r="DE662" s="871">
        <v>0</v>
      </c>
      <c r="DF662" s="871">
        <v>0</v>
      </c>
      <c r="DG662" s="871">
        <v>0</v>
      </c>
      <c r="DH662" s="871">
        <v>0</v>
      </c>
      <c r="DI662" s="871">
        <v>0</v>
      </c>
      <c r="DJ662" s="871">
        <v>0</v>
      </c>
      <c r="DK662" s="871">
        <v>0</v>
      </c>
      <c r="DL662" s="871">
        <v>0</v>
      </c>
      <c r="DM662" s="871">
        <v>0</v>
      </c>
      <c r="DN662" s="871">
        <v>0</v>
      </c>
      <c r="DO662" s="871">
        <v>0</v>
      </c>
      <c r="DP662" s="871">
        <v>0</v>
      </c>
      <c r="DQ662" s="871">
        <v>0</v>
      </c>
      <c r="DR662" s="871">
        <v>0</v>
      </c>
      <c r="DS662" s="871">
        <v>0</v>
      </c>
      <c r="DT662" s="871">
        <v>0</v>
      </c>
      <c r="DU662" s="871">
        <v>0</v>
      </c>
      <c r="DV662" s="871">
        <v>0</v>
      </c>
      <c r="DW662" s="871">
        <v>0</v>
      </c>
    </row>
    <row r="663" spans="12:127" hidden="1">
      <c r="L663" s="870" t="s">
        <v>1060</v>
      </c>
      <c r="M663" s="870" t="s">
        <v>1382</v>
      </c>
      <c r="N663" s="870" t="s">
        <v>96</v>
      </c>
      <c r="O663" s="871">
        <v>27</v>
      </c>
      <c r="P663" s="780" t="str">
        <f t="shared" si="21"/>
        <v>IWT060127</v>
      </c>
      <c r="Q663" s="871">
        <v>26843</v>
      </c>
      <c r="R663" s="871">
        <v>27380</v>
      </c>
      <c r="S663" s="871">
        <v>27927</v>
      </c>
      <c r="T663" s="871">
        <v>28486</v>
      </c>
      <c r="U663" s="871">
        <v>29055</v>
      </c>
      <c r="V663" s="871">
        <v>31526.5</v>
      </c>
      <c r="W663" s="871">
        <v>31526.5</v>
      </c>
      <c r="X663" s="871">
        <v>31526.5</v>
      </c>
      <c r="Y663" s="871">
        <v>31526.5</v>
      </c>
      <c r="Z663" s="871">
        <v>32072</v>
      </c>
      <c r="AA663" s="871">
        <v>32714</v>
      </c>
      <c r="AB663" s="871">
        <v>33368</v>
      </c>
      <c r="AC663" s="871">
        <v>34035</v>
      </c>
      <c r="AD663" s="871">
        <v>34716</v>
      </c>
      <c r="AE663" s="871">
        <v>35410</v>
      </c>
      <c r="AF663" s="871">
        <v>36119</v>
      </c>
      <c r="AG663" s="871">
        <v>36841</v>
      </c>
      <c r="AH663" s="871">
        <v>37578</v>
      </c>
      <c r="AI663" s="871">
        <v>38329</v>
      </c>
      <c r="AJ663" s="871">
        <v>39096</v>
      </c>
      <c r="AK663" s="871">
        <v>39878</v>
      </c>
      <c r="AL663" s="871">
        <v>40675</v>
      </c>
      <c r="AM663" s="871">
        <v>41489</v>
      </c>
      <c r="AN663" s="871">
        <v>42319</v>
      </c>
      <c r="AO663" s="871">
        <v>43165</v>
      </c>
      <c r="AP663" s="871">
        <v>44028</v>
      </c>
      <c r="AQ663" s="871">
        <v>44909</v>
      </c>
      <c r="AR663" s="871">
        <v>45807</v>
      </c>
      <c r="AS663" s="871">
        <v>46723</v>
      </c>
      <c r="AT663" s="871">
        <v>47658</v>
      </c>
      <c r="AU663" s="871">
        <v>48611</v>
      </c>
      <c r="AV663" s="871">
        <v>49583</v>
      </c>
      <c r="AW663" s="871">
        <v>50575</v>
      </c>
      <c r="AX663" s="871">
        <v>51586</v>
      </c>
      <c r="AY663" s="871">
        <v>52618</v>
      </c>
      <c r="AZ663" s="871">
        <v>53670</v>
      </c>
      <c r="BA663" s="871">
        <v>54743</v>
      </c>
      <c r="BB663" s="871">
        <v>55838</v>
      </c>
      <c r="BC663" s="871">
        <v>56955</v>
      </c>
      <c r="BD663" s="871">
        <v>58093</v>
      </c>
      <c r="BE663" s="871">
        <v>59248</v>
      </c>
      <c r="BF663" s="871">
        <v>60421</v>
      </c>
      <c r="BG663" s="871">
        <v>61800</v>
      </c>
      <c r="BH663" s="871">
        <v>63200</v>
      </c>
      <c r="BI663" s="871">
        <v>64600</v>
      </c>
      <c r="BJ663" s="871">
        <v>66000</v>
      </c>
      <c r="BK663" s="871">
        <v>67400</v>
      </c>
      <c r="BL663" s="871">
        <v>68800</v>
      </c>
      <c r="BM663" s="871">
        <v>70200</v>
      </c>
      <c r="BN663" s="871">
        <v>71600</v>
      </c>
      <c r="BO663" s="871">
        <v>73000</v>
      </c>
      <c r="BP663" s="871">
        <v>74400</v>
      </c>
      <c r="BQ663" s="871">
        <v>75800</v>
      </c>
      <c r="BR663" s="871">
        <v>77200</v>
      </c>
      <c r="BS663" s="871">
        <v>78600</v>
      </c>
      <c r="BT663" s="871">
        <v>80000</v>
      </c>
      <c r="BU663" s="871">
        <v>81400</v>
      </c>
      <c r="BV663" s="871">
        <v>82800</v>
      </c>
      <c r="BW663" s="871">
        <v>84200</v>
      </c>
      <c r="BX663" s="871">
        <v>85600</v>
      </c>
      <c r="BY663" s="871">
        <v>87000</v>
      </c>
      <c r="BZ663" s="871">
        <v>88400</v>
      </c>
      <c r="CA663" s="871">
        <v>89800</v>
      </c>
      <c r="CB663" s="871">
        <v>91200</v>
      </c>
      <c r="CC663" s="871">
        <v>92600</v>
      </c>
      <c r="CD663" s="871">
        <v>94000</v>
      </c>
      <c r="CE663" s="871">
        <v>95400</v>
      </c>
      <c r="CF663" s="871">
        <v>96800</v>
      </c>
      <c r="CG663" s="871">
        <v>98200</v>
      </c>
      <c r="CH663" s="871">
        <v>99600</v>
      </c>
      <c r="CI663" s="871">
        <v>101000</v>
      </c>
      <c r="CJ663" s="871">
        <v>102400</v>
      </c>
      <c r="CK663" s="871">
        <v>103800</v>
      </c>
      <c r="CL663" s="871">
        <v>105200</v>
      </c>
      <c r="CM663" s="871">
        <v>106600</v>
      </c>
      <c r="CN663" s="871">
        <v>108000</v>
      </c>
      <c r="CO663" s="871">
        <v>109400</v>
      </c>
      <c r="CP663" s="871">
        <v>110800</v>
      </c>
      <c r="CQ663" s="871">
        <v>112200</v>
      </c>
      <c r="CR663" s="871">
        <v>113600</v>
      </c>
      <c r="CS663" s="871">
        <v>115000</v>
      </c>
      <c r="CT663" s="871">
        <v>116400</v>
      </c>
      <c r="CU663" s="871">
        <v>118026</v>
      </c>
      <c r="CV663" s="871">
        <v>119200</v>
      </c>
      <c r="CW663" s="871">
        <v>0</v>
      </c>
      <c r="CX663" s="871">
        <v>0</v>
      </c>
      <c r="CY663" s="871">
        <v>0</v>
      </c>
      <c r="CZ663" s="871">
        <v>0</v>
      </c>
      <c r="DA663" s="871">
        <v>0</v>
      </c>
      <c r="DB663" s="871">
        <v>0</v>
      </c>
      <c r="DC663" s="871">
        <v>0</v>
      </c>
      <c r="DD663" s="871">
        <v>0</v>
      </c>
      <c r="DE663" s="871">
        <v>0</v>
      </c>
      <c r="DF663" s="871">
        <v>0</v>
      </c>
      <c r="DG663" s="871">
        <v>0</v>
      </c>
      <c r="DH663" s="871">
        <v>0</v>
      </c>
      <c r="DI663" s="871">
        <v>0</v>
      </c>
      <c r="DJ663" s="871">
        <v>0</v>
      </c>
      <c r="DK663" s="871">
        <v>0</v>
      </c>
      <c r="DL663" s="871">
        <v>0</v>
      </c>
      <c r="DM663" s="871">
        <v>0</v>
      </c>
      <c r="DN663" s="871">
        <v>0</v>
      </c>
      <c r="DO663" s="871">
        <v>0</v>
      </c>
      <c r="DP663" s="871">
        <v>0</v>
      </c>
      <c r="DQ663" s="871">
        <v>0</v>
      </c>
      <c r="DR663" s="871">
        <v>0</v>
      </c>
      <c r="DS663" s="871">
        <v>0</v>
      </c>
      <c r="DT663" s="871">
        <v>0</v>
      </c>
      <c r="DU663" s="871">
        <v>0</v>
      </c>
      <c r="DV663" s="871">
        <v>0</v>
      </c>
      <c r="DW663" s="871">
        <v>0</v>
      </c>
    </row>
    <row r="664" spans="12:127" hidden="1">
      <c r="L664" s="870" t="s">
        <v>1060</v>
      </c>
      <c r="M664" s="870" t="s">
        <v>1382</v>
      </c>
      <c r="N664" s="870" t="s">
        <v>96</v>
      </c>
      <c r="O664" s="871">
        <v>28</v>
      </c>
      <c r="P664" s="780" t="str">
        <f t="shared" si="21"/>
        <v>IWT060128</v>
      </c>
      <c r="Q664" s="871">
        <v>26896</v>
      </c>
      <c r="R664" s="871">
        <v>27434</v>
      </c>
      <c r="S664" s="871">
        <v>27982</v>
      </c>
      <c r="T664" s="871">
        <v>28542</v>
      </c>
      <c r="U664" s="871">
        <v>29113</v>
      </c>
      <c r="V664" s="871">
        <v>31590.1</v>
      </c>
      <c r="W664" s="871">
        <v>31590.1</v>
      </c>
      <c r="X664" s="871">
        <v>31590.1</v>
      </c>
      <c r="Y664" s="871">
        <v>31590.1</v>
      </c>
      <c r="Z664" s="871">
        <v>32135</v>
      </c>
      <c r="AA664" s="871">
        <v>32778</v>
      </c>
      <c r="AB664" s="871">
        <v>33433</v>
      </c>
      <c r="AC664" s="871">
        <v>34102</v>
      </c>
      <c r="AD664" s="871">
        <v>34784</v>
      </c>
      <c r="AE664" s="871">
        <v>35480</v>
      </c>
      <c r="AF664" s="871">
        <v>36189</v>
      </c>
      <c r="AG664" s="871">
        <v>36913</v>
      </c>
      <c r="AH664" s="871">
        <v>37651</v>
      </c>
      <c r="AI664" s="871">
        <v>38404</v>
      </c>
      <c r="AJ664" s="871">
        <v>39172</v>
      </c>
      <c r="AK664" s="871">
        <v>39956</v>
      </c>
      <c r="AL664" s="871">
        <v>40755</v>
      </c>
      <c r="AM664" s="871">
        <v>41570</v>
      </c>
      <c r="AN664" s="871">
        <v>42401</v>
      </c>
      <c r="AO664" s="871">
        <v>43249</v>
      </c>
      <c r="AP664" s="871">
        <v>44114</v>
      </c>
      <c r="AQ664" s="871">
        <v>44997</v>
      </c>
      <c r="AR664" s="871">
        <v>45897</v>
      </c>
      <c r="AS664" s="871">
        <v>46815</v>
      </c>
      <c r="AT664" s="871">
        <v>47751</v>
      </c>
      <c r="AU664" s="871">
        <v>48706</v>
      </c>
      <c r="AV664" s="871">
        <v>49680</v>
      </c>
      <c r="AW664" s="871">
        <v>50673</v>
      </c>
      <c r="AX664" s="871">
        <v>51687</v>
      </c>
      <c r="AY664" s="871">
        <v>52721</v>
      </c>
      <c r="AZ664" s="871">
        <v>53775</v>
      </c>
      <c r="BA664" s="871">
        <v>54850</v>
      </c>
      <c r="BB664" s="871">
        <v>55947</v>
      </c>
      <c r="BC664" s="871">
        <v>57066</v>
      </c>
      <c r="BD664" s="871">
        <v>58208</v>
      </c>
      <c r="BE664" s="871">
        <v>59367</v>
      </c>
      <c r="BF664" s="871">
        <v>60544</v>
      </c>
      <c r="BG664" s="871">
        <v>61800</v>
      </c>
      <c r="BH664" s="871">
        <v>63200</v>
      </c>
      <c r="BI664" s="871">
        <v>64600</v>
      </c>
      <c r="BJ664" s="871">
        <v>66000</v>
      </c>
      <c r="BK664" s="871">
        <v>67400</v>
      </c>
      <c r="BL664" s="871">
        <v>68800</v>
      </c>
      <c r="BM664" s="871">
        <v>70200</v>
      </c>
      <c r="BN664" s="871">
        <v>71600</v>
      </c>
      <c r="BO664" s="871">
        <v>73000</v>
      </c>
      <c r="BP664" s="871">
        <v>74400</v>
      </c>
      <c r="BQ664" s="871">
        <v>75800</v>
      </c>
      <c r="BR664" s="871">
        <v>77200</v>
      </c>
      <c r="BS664" s="871">
        <v>78600</v>
      </c>
      <c r="BT664" s="871">
        <v>80000</v>
      </c>
      <c r="BU664" s="871">
        <v>81400</v>
      </c>
      <c r="BV664" s="871">
        <v>82800</v>
      </c>
      <c r="BW664" s="871">
        <v>84200</v>
      </c>
      <c r="BX664" s="871">
        <v>85600</v>
      </c>
      <c r="BY664" s="871">
        <v>87000</v>
      </c>
      <c r="BZ664" s="871">
        <v>88400</v>
      </c>
      <c r="CA664" s="871">
        <v>89800</v>
      </c>
      <c r="CB664" s="871">
        <v>91200</v>
      </c>
      <c r="CC664" s="871">
        <v>92600</v>
      </c>
      <c r="CD664" s="871">
        <v>94000</v>
      </c>
      <c r="CE664" s="871">
        <v>95400</v>
      </c>
      <c r="CF664" s="871">
        <v>96800</v>
      </c>
      <c r="CG664" s="871">
        <v>98200</v>
      </c>
      <c r="CH664" s="871">
        <v>99600</v>
      </c>
      <c r="CI664" s="871">
        <v>101000</v>
      </c>
      <c r="CJ664" s="871">
        <v>102400</v>
      </c>
      <c r="CK664" s="871">
        <v>103800</v>
      </c>
      <c r="CL664" s="871">
        <v>105200</v>
      </c>
      <c r="CM664" s="871">
        <v>106600</v>
      </c>
      <c r="CN664" s="871">
        <v>108000</v>
      </c>
      <c r="CO664" s="871">
        <v>109400</v>
      </c>
      <c r="CP664" s="871">
        <v>110800</v>
      </c>
      <c r="CQ664" s="871">
        <v>112200</v>
      </c>
      <c r="CR664" s="871">
        <v>113600</v>
      </c>
      <c r="CS664" s="871">
        <v>115004</v>
      </c>
      <c r="CT664" s="871">
        <v>116639</v>
      </c>
      <c r="CU664" s="871">
        <v>117800</v>
      </c>
      <c r="CV664" s="871">
        <v>0</v>
      </c>
      <c r="CW664" s="871">
        <v>0</v>
      </c>
      <c r="CX664" s="871">
        <v>0</v>
      </c>
      <c r="CY664" s="871">
        <v>0</v>
      </c>
      <c r="CZ664" s="871">
        <v>0</v>
      </c>
      <c r="DA664" s="871">
        <v>0</v>
      </c>
      <c r="DB664" s="871">
        <v>0</v>
      </c>
      <c r="DC664" s="871">
        <v>0</v>
      </c>
      <c r="DD664" s="871">
        <v>0</v>
      </c>
      <c r="DE664" s="871">
        <v>0</v>
      </c>
      <c r="DF664" s="871">
        <v>0</v>
      </c>
      <c r="DG664" s="871">
        <v>0</v>
      </c>
      <c r="DH664" s="871">
        <v>0</v>
      </c>
      <c r="DI664" s="871">
        <v>0</v>
      </c>
      <c r="DJ664" s="871">
        <v>0</v>
      </c>
      <c r="DK664" s="871">
        <v>0</v>
      </c>
      <c r="DL664" s="871">
        <v>0</v>
      </c>
      <c r="DM664" s="871">
        <v>0</v>
      </c>
      <c r="DN664" s="871">
        <v>0</v>
      </c>
      <c r="DO664" s="871">
        <v>0</v>
      </c>
      <c r="DP664" s="871">
        <v>0</v>
      </c>
      <c r="DQ664" s="871">
        <v>0</v>
      </c>
      <c r="DR664" s="871">
        <v>0</v>
      </c>
      <c r="DS664" s="871">
        <v>0</v>
      </c>
      <c r="DT664" s="871">
        <v>0</v>
      </c>
      <c r="DU664" s="871">
        <v>0</v>
      </c>
      <c r="DV664" s="871">
        <v>0</v>
      </c>
      <c r="DW664" s="871">
        <v>0</v>
      </c>
    </row>
    <row r="665" spans="12:127" hidden="1">
      <c r="L665" s="870" t="s">
        <v>1060</v>
      </c>
      <c r="M665" s="870" t="s">
        <v>1382</v>
      </c>
      <c r="N665" s="870" t="s">
        <v>96</v>
      </c>
      <c r="O665" s="871">
        <v>29</v>
      </c>
      <c r="P665" s="780" t="str">
        <f t="shared" si="21"/>
        <v>IWT060129</v>
      </c>
      <c r="Q665" s="871">
        <v>26945</v>
      </c>
      <c r="R665" s="871">
        <v>27484</v>
      </c>
      <c r="S665" s="871">
        <v>28034</v>
      </c>
      <c r="T665" s="871">
        <v>28595</v>
      </c>
      <c r="U665" s="871">
        <v>29166</v>
      </c>
      <c r="V665" s="871">
        <v>31647.4</v>
      </c>
      <c r="W665" s="871">
        <v>31647.4</v>
      </c>
      <c r="X665" s="871">
        <v>31647.4</v>
      </c>
      <c r="Y665" s="871">
        <v>31647.4</v>
      </c>
      <c r="Z665" s="871">
        <v>32194</v>
      </c>
      <c r="AA665" s="871">
        <v>32838</v>
      </c>
      <c r="AB665" s="871">
        <v>33494</v>
      </c>
      <c r="AC665" s="871">
        <v>34164</v>
      </c>
      <c r="AD665" s="871">
        <v>34847</v>
      </c>
      <c r="AE665" s="871">
        <v>35544</v>
      </c>
      <c r="AF665" s="871">
        <v>36255</v>
      </c>
      <c r="AG665" s="871">
        <v>36980</v>
      </c>
      <c r="AH665" s="871">
        <v>37720</v>
      </c>
      <c r="AI665" s="871">
        <v>38474</v>
      </c>
      <c r="AJ665" s="871">
        <v>39244</v>
      </c>
      <c r="AK665" s="871">
        <v>40029</v>
      </c>
      <c r="AL665" s="871">
        <v>40829</v>
      </c>
      <c r="AM665" s="871">
        <v>41646</v>
      </c>
      <c r="AN665" s="871">
        <v>42479</v>
      </c>
      <c r="AO665" s="871">
        <v>43328</v>
      </c>
      <c r="AP665" s="871">
        <v>44195</v>
      </c>
      <c r="AQ665" s="871">
        <v>45079</v>
      </c>
      <c r="AR665" s="871">
        <v>45980</v>
      </c>
      <c r="AS665" s="871">
        <v>46900</v>
      </c>
      <c r="AT665" s="871">
        <v>47838</v>
      </c>
      <c r="AU665" s="871">
        <v>48795</v>
      </c>
      <c r="AV665" s="871">
        <v>49770</v>
      </c>
      <c r="AW665" s="871">
        <v>50766</v>
      </c>
      <c r="AX665" s="871">
        <v>51781</v>
      </c>
      <c r="AY665" s="871">
        <v>52817</v>
      </c>
      <c r="AZ665" s="871">
        <v>53873</v>
      </c>
      <c r="BA665" s="871">
        <v>54950</v>
      </c>
      <c r="BB665" s="871">
        <v>56049</v>
      </c>
      <c r="BC665" s="871">
        <v>57170</v>
      </c>
      <c r="BD665" s="871">
        <v>58314</v>
      </c>
      <c r="BE665" s="871">
        <v>59477</v>
      </c>
      <c r="BF665" s="871">
        <v>60658</v>
      </c>
      <c r="BG665" s="871">
        <v>61856</v>
      </c>
      <c r="BH665" s="871">
        <v>63200</v>
      </c>
      <c r="BI665" s="871">
        <v>64600</v>
      </c>
      <c r="BJ665" s="871">
        <v>66000</v>
      </c>
      <c r="BK665" s="871">
        <v>67400</v>
      </c>
      <c r="BL665" s="871">
        <v>68800</v>
      </c>
      <c r="BM665" s="871">
        <v>70200</v>
      </c>
      <c r="BN665" s="871">
        <v>71600</v>
      </c>
      <c r="BO665" s="871">
        <v>73000</v>
      </c>
      <c r="BP665" s="871">
        <v>74400</v>
      </c>
      <c r="BQ665" s="871">
        <v>75800</v>
      </c>
      <c r="BR665" s="871">
        <v>77200</v>
      </c>
      <c r="BS665" s="871">
        <v>78600</v>
      </c>
      <c r="BT665" s="871">
        <v>80000</v>
      </c>
      <c r="BU665" s="871">
        <v>81400</v>
      </c>
      <c r="BV665" s="871">
        <v>82800</v>
      </c>
      <c r="BW665" s="871">
        <v>84200</v>
      </c>
      <c r="BX665" s="871">
        <v>85600</v>
      </c>
      <c r="BY665" s="871">
        <v>87000</v>
      </c>
      <c r="BZ665" s="871">
        <v>88400</v>
      </c>
      <c r="CA665" s="871">
        <v>89800</v>
      </c>
      <c r="CB665" s="871">
        <v>91200</v>
      </c>
      <c r="CC665" s="871">
        <v>92600</v>
      </c>
      <c r="CD665" s="871">
        <v>94000</v>
      </c>
      <c r="CE665" s="871">
        <v>95400</v>
      </c>
      <c r="CF665" s="871">
        <v>96800</v>
      </c>
      <c r="CG665" s="871">
        <v>98200</v>
      </c>
      <c r="CH665" s="871">
        <v>99600</v>
      </c>
      <c r="CI665" s="871">
        <v>101000</v>
      </c>
      <c r="CJ665" s="871">
        <v>102400</v>
      </c>
      <c r="CK665" s="871">
        <v>103800</v>
      </c>
      <c r="CL665" s="871">
        <v>105200</v>
      </c>
      <c r="CM665" s="871">
        <v>106600</v>
      </c>
      <c r="CN665" s="871">
        <v>108000</v>
      </c>
      <c r="CO665" s="871">
        <v>109400</v>
      </c>
      <c r="CP665" s="871">
        <v>110800</v>
      </c>
      <c r="CQ665" s="871">
        <v>112200</v>
      </c>
      <c r="CR665" s="871">
        <v>113626</v>
      </c>
      <c r="CS665" s="871">
        <v>115253</v>
      </c>
      <c r="CT665" s="871">
        <v>116400</v>
      </c>
      <c r="CU665" s="871">
        <v>0</v>
      </c>
      <c r="CV665" s="871">
        <v>0</v>
      </c>
      <c r="CW665" s="871">
        <v>0</v>
      </c>
      <c r="CX665" s="871">
        <v>0</v>
      </c>
      <c r="CY665" s="871">
        <v>0</v>
      </c>
      <c r="CZ665" s="871">
        <v>0</v>
      </c>
      <c r="DA665" s="871">
        <v>0</v>
      </c>
      <c r="DB665" s="871">
        <v>0</v>
      </c>
      <c r="DC665" s="871">
        <v>0</v>
      </c>
      <c r="DD665" s="871">
        <v>0</v>
      </c>
      <c r="DE665" s="871">
        <v>0</v>
      </c>
      <c r="DF665" s="871">
        <v>0</v>
      </c>
      <c r="DG665" s="871">
        <v>0</v>
      </c>
      <c r="DH665" s="871">
        <v>0</v>
      </c>
      <c r="DI665" s="871">
        <v>0</v>
      </c>
      <c r="DJ665" s="871">
        <v>0</v>
      </c>
      <c r="DK665" s="871">
        <v>0</v>
      </c>
      <c r="DL665" s="871">
        <v>0</v>
      </c>
      <c r="DM665" s="871">
        <v>0</v>
      </c>
      <c r="DN665" s="871">
        <v>0</v>
      </c>
      <c r="DO665" s="871">
        <v>0</v>
      </c>
      <c r="DP665" s="871">
        <v>0</v>
      </c>
      <c r="DQ665" s="871">
        <v>0</v>
      </c>
      <c r="DR665" s="871">
        <v>0</v>
      </c>
      <c r="DS665" s="871">
        <v>0</v>
      </c>
      <c r="DT665" s="871">
        <v>0</v>
      </c>
      <c r="DU665" s="871">
        <v>0</v>
      </c>
      <c r="DV665" s="871">
        <v>0</v>
      </c>
      <c r="DW665" s="871">
        <v>0</v>
      </c>
    </row>
    <row r="666" spans="12:127" hidden="1">
      <c r="L666" s="870" t="s">
        <v>1060</v>
      </c>
      <c r="M666" s="870" t="s">
        <v>1382</v>
      </c>
      <c r="N666" s="870" t="s">
        <v>96</v>
      </c>
      <c r="O666" s="871">
        <v>30</v>
      </c>
      <c r="P666" s="780" t="str">
        <f t="shared" si="21"/>
        <v>IWT060130</v>
      </c>
      <c r="Q666" s="871">
        <v>26991</v>
      </c>
      <c r="R666" s="871">
        <v>27531</v>
      </c>
      <c r="S666" s="871">
        <v>28081</v>
      </c>
      <c r="T666" s="871">
        <v>28643</v>
      </c>
      <c r="U666" s="871">
        <v>29216</v>
      </c>
      <c r="V666" s="871">
        <v>31704.6</v>
      </c>
      <c r="W666" s="871">
        <v>31704.6</v>
      </c>
      <c r="X666" s="871">
        <v>31704.6</v>
      </c>
      <c r="Y666" s="871">
        <v>31704.6</v>
      </c>
      <c r="Z666" s="871">
        <v>32247</v>
      </c>
      <c r="AA666" s="871">
        <v>32892</v>
      </c>
      <c r="AB666" s="871">
        <v>33550</v>
      </c>
      <c r="AC666" s="871">
        <v>34221</v>
      </c>
      <c r="AD666" s="871">
        <v>34906</v>
      </c>
      <c r="AE666" s="871">
        <v>35604</v>
      </c>
      <c r="AF666" s="871">
        <v>36316</v>
      </c>
      <c r="AG666" s="871">
        <v>37042</v>
      </c>
      <c r="AH666" s="871">
        <v>37783</v>
      </c>
      <c r="AI666" s="871">
        <v>38539</v>
      </c>
      <c r="AJ666" s="871">
        <v>39309</v>
      </c>
      <c r="AK666" s="871">
        <v>40096</v>
      </c>
      <c r="AL666" s="871">
        <v>40897</v>
      </c>
      <c r="AM666" s="871">
        <v>41715</v>
      </c>
      <c r="AN666" s="871">
        <v>42550</v>
      </c>
      <c r="AO666" s="871">
        <v>43401</v>
      </c>
      <c r="AP666" s="871">
        <v>44269</v>
      </c>
      <c r="AQ666" s="871">
        <v>45154</v>
      </c>
      <c r="AR666" s="871">
        <v>46057</v>
      </c>
      <c r="AS666" s="871">
        <v>46978</v>
      </c>
      <c r="AT666" s="871">
        <v>47918</v>
      </c>
      <c r="AU666" s="871">
        <v>48876</v>
      </c>
      <c r="AV666" s="871">
        <v>49854</v>
      </c>
      <c r="AW666" s="871">
        <v>50851</v>
      </c>
      <c r="AX666" s="871">
        <v>51868</v>
      </c>
      <c r="AY666" s="871">
        <v>52905</v>
      </c>
      <c r="AZ666" s="871">
        <v>53963</v>
      </c>
      <c r="BA666" s="871">
        <v>55042</v>
      </c>
      <c r="BB666" s="871">
        <v>56143</v>
      </c>
      <c r="BC666" s="871">
        <v>57266</v>
      </c>
      <c r="BD666" s="871">
        <v>58411</v>
      </c>
      <c r="BE666" s="871">
        <v>59579</v>
      </c>
      <c r="BF666" s="871">
        <v>60764</v>
      </c>
      <c r="BG666" s="871">
        <v>61965</v>
      </c>
      <c r="BH666" s="871">
        <v>63200</v>
      </c>
      <c r="BI666" s="871">
        <v>64600</v>
      </c>
      <c r="BJ666" s="871">
        <v>66000</v>
      </c>
      <c r="BK666" s="871">
        <v>67400</v>
      </c>
      <c r="BL666" s="871">
        <v>68800</v>
      </c>
      <c r="BM666" s="871">
        <v>70200</v>
      </c>
      <c r="BN666" s="871">
        <v>71600</v>
      </c>
      <c r="BO666" s="871">
        <v>73000</v>
      </c>
      <c r="BP666" s="871">
        <v>74400</v>
      </c>
      <c r="BQ666" s="871">
        <v>75800</v>
      </c>
      <c r="BR666" s="871">
        <v>77200</v>
      </c>
      <c r="BS666" s="871">
        <v>78600</v>
      </c>
      <c r="BT666" s="871">
        <v>80000</v>
      </c>
      <c r="BU666" s="871">
        <v>81400</v>
      </c>
      <c r="BV666" s="871">
        <v>82800</v>
      </c>
      <c r="BW666" s="871">
        <v>84200</v>
      </c>
      <c r="BX666" s="871">
        <v>85600</v>
      </c>
      <c r="BY666" s="871">
        <v>87000</v>
      </c>
      <c r="BZ666" s="871">
        <v>88400</v>
      </c>
      <c r="CA666" s="871">
        <v>89800</v>
      </c>
      <c r="CB666" s="871">
        <v>91200</v>
      </c>
      <c r="CC666" s="871">
        <v>92600</v>
      </c>
      <c r="CD666" s="871">
        <v>94000</v>
      </c>
      <c r="CE666" s="871">
        <v>95400</v>
      </c>
      <c r="CF666" s="871">
        <v>96800</v>
      </c>
      <c r="CG666" s="871">
        <v>98200</v>
      </c>
      <c r="CH666" s="871">
        <v>99600</v>
      </c>
      <c r="CI666" s="871">
        <v>101000</v>
      </c>
      <c r="CJ666" s="871">
        <v>102400</v>
      </c>
      <c r="CK666" s="871">
        <v>103800</v>
      </c>
      <c r="CL666" s="871">
        <v>105200</v>
      </c>
      <c r="CM666" s="871">
        <v>106600</v>
      </c>
      <c r="CN666" s="871">
        <v>108000</v>
      </c>
      <c r="CO666" s="871">
        <v>109400</v>
      </c>
      <c r="CP666" s="871">
        <v>110800</v>
      </c>
      <c r="CQ666" s="871">
        <v>112247</v>
      </c>
      <c r="CR666" s="871">
        <v>113867</v>
      </c>
      <c r="CS666" s="871">
        <v>115000</v>
      </c>
      <c r="CT666" s="871">
        <v>0</v>
      </c>
      <c r="CU666" s="871">
        <v>0</v>
      </c>
      <c r="CV666" s="871">
        <v>0</v>
      </c>
      <c r="CW666" s="871">
        <v>0</v>
      </c>
      <c r="CX666" s="871">
        <v>0</v>
      </c>
      <c r="CY666" s="871">
        <v>0</v>
      </c>
      <c r="CZ666" s="871">
        <v>0</v>
      </c>
      <c r="DA666" s="871">
        <v>0</v>
      </c>
      <c r="DB666" s="871">
        <v>0</v>
      </c>
      <c r="DC666" s="871">
        <v>0</v>
      </c>
      <c r="DD666" s="871">
        <v>0</v>
      </c>
      <c r="DE666" s="871">
        <v>0</v>
      </c>
      <c r="DF666" s="871">
        <v>0</v>
      </c>
      <c r="DG666" s="871">
        <v>0</v>
      </c>
      <c r="DH666" s="871">
        <v>0</v>
      </c>
      <c r="DI666" s="871">
        <v>0</v>
      </c>
      <c r="DJ666" s="871">
        <v>0</v>
      </c>
      <c r="DK666" s="871">
        <v>0</v>
      </c>
      <c r="DL666" s="871">
        <v>0</v>
      </c>
      <c r="DM666" s="871">
        <v>0</v>
      </c>
      <c r="DN666" s="871">
        <v>0</v>
      </c>
      <c r="DO666" s="871">
        <v>0</v>
      </c>
      <c r="DP666" s="871">
        <v>0</v>
      </c>
      <c r="DQ666" s="871">
        <v>0</v>
      </c>
      <c r="DR666" s="871">
        <v>0</v>
      </c>
      <c r="DS666" s="871">
        <v>0</v>
      </c>
      <c r="DT666" s="871">
        <v>0</v>
      </c>
      <c r="DU666" s="871">
        <v>0</v>
      </c>
      <c r="DV666" s="871">
        <v>0</v>
      </c>
      <c r="DW666" s="871">
        <v>0</v>
      </c>
    </row>
    <row r="667" spans="12:127" hidden="1">
      <c r="L667" s="870" t="s">
        <v>1060</v>
      </c>
      <c r="M667" s="870" t="s">
        <v>1382</v>
      </c>
      <c r="N667" s="870" t="s">
        <v>96</v>
      </c>
      <c r="O667" s="871">
        <v>31</v>
      </c>
      <c r="P667" s="780" t="str">
        <f t="shared" si="21"/>
        <v>IWT060131</v>
      </c>
      <c r="Q667" s="871">
        <v>27034</v>
      </c>
      <c r="R667" s="871">
        <v>27574</v>
      </c>
      <c r="S667" s="871">
        <v>28126</v>
      </c>
      <c r="T667" s="871">
        <v>28688</v>
      </c>
      <c r="U667" s="871">
        <v>29262</v>
      </c>
      <c r="V667" s="871">
        <v>31755.5</v>
      </c>
      <c r="W667" s="871">
        <v>31755.5</v>
      </c>
      <c r="X667" s="871">
        <v>31755.5</v>
      </c>
      <c r="Y667" s="871">
        <v>31755.5</v>
      </c>
      <c r="Z667" s="871">
        <v>32298</v>
      </c>
      <c r="AA667" s="871">
        <v>32944</v>
      </c>
      <c r="AB667" s="871">
        <v>33603</v>
      </c>
      <c r="AC667" s="871">
        <v>34275</v>
      </c>
      <c r="AD667" s="871">
        <v>34960</v>
      </c>
      <c r="AE667" s="871">
        <v>35659</v>
      </c>
      <c r="AF667" s="871">
        <v>36373</v>
      </c>
      <c r="AG667" s="871">
        <v>37100</v>
      </c>
      <c r="AH667" s="871">
        <v>37842</v>
      </c>
      <c r="AI667" s="871">
        <v>38599</v>
      </c>
      <c r="AJ667" s="871">
        <v>39371</v>
      </c>
      <c r="AK667" s="871">
        <v>40158</v>
      </c>
      <c r="AL667" s="871">
        <v>40961</v>
      </c>
      <c r="AM667" s="871">
        <v>41781</v>
      </c>
      <c r="AN667" s="871">
        <v>42616</v>
      </c>
      <c r="AO667" s="871">
        <v>43468</v>
      </c>
      <c r="AP667" s="871">
        <v>44338</v>
      </c>
      <c r="AQ667" s="871">
        <v>45225</v>
      </c>
      <c r="AR667" s="871">
        <v>46129</v>
      </c>
      <c r="AS667" s="871">
        <v>47052</v>
      </c>
      <c r="AT667" s="871">
        <v>47993</v>
      </c>
      <c r="AU667" s="871">
        <v>48952</v>
      </c>
      <c r="AV667" s="871">
        <v>49931</v>
      </c>
      <c r="AW667" s="871">
        <v>50930</v>
      </c>
      <c r="AX667" s="871">
        <v>51949</v>
      </c>
      <c r="AY667" s="871">
        <v>52987</v>
      </c>
      <c r="AZ667" s="871">
        <v>54047</v>
      </c>
      <c r="BA667" s="871">
        <v>55128</v>
      </c>
      <c r="BB667" s="871">
        <v>56231</v>
      </c>
      <c r="BC667" s="871">
        <v>57355</v>
      </c>
      <c r="BD667" s="871">
        <v>58502</v>
      </c>
      <c r="BE667" s="871">
        <v>59672</v>
      </c>
      <c r="BF667" s="871">
        <v>60861</v>
      </c>
      <c r="BG667" s="871">
        <v>62067</v>
      </c>
      <c r="BH667" s="871">
        <v>63289</v>
      </c>
      <c r="BI667" s="871">
        <v>64600</v>
      </c>
      <c r="BJ667" s="871">
        <v>66000</v>
      </c>
      <c r="BK667" s="871">
        <v>67400</v>
      </c>
      <c r="BL667" s="871">
        <v>68800</v>
      </c>
      <c r="BM667" s="871">
        <v>70200</v>
      </c>
      <c r="BN667" s="871">
        <v>71600</v>
      </c>
      <c r="BO667" s="871">
        <v>73000</v>
      </c>
      <c r="BP667" s="871">
        <v>74400</v>
      </c>
      <c r="BQ667" s="871">
        <v>75800</v>
      </c>
      <c r="BR667" s="871">
        <v>77200</v>
      </c>
      <c r="BS667" s="871">
        <v>78600</v>
      </c>
      <c r="BT667" s="871">
        <v>80000</v>
      </c>
      <c r="BU667" s="871">
        <v>81400</v>
      </c>
      <c r="BV667" s="871">
        <v>82800</v>
      </c>
      <c r="BW667" s="871">
        <v>84200</v>
      </c>
      <c r="BX667" s="871">
        <v>85600</v>
      </c>
      <c r="BY667" s="871">
        <v>87000</v>
      </c>
      <c r="BZ667" s="871">
        <v>88400</v>
      </c>
      <c r="CA667" s="871">
        <v>89800</v>
      </c>
      <c r="CB667" s="871">
        <v>91200</v>
      </c>
      <c r="CC667" s="871">
        <v>92600</v>
      </c>
      <c r="CD667" s="871">
        <v>94000</v>
      </c>
      <c r="CE667" s="871">
        <v>95400</v>
      </c>
      <c r="CF667" s="871">
        <v>96800</v>
      </c>
      <c r="CG667" s="871">
        <v>98200</v>
      </c>
      <c r="CH667" s="871">
        <v>99600</v>
      </c>
      <c r="CI667" s="871">
        <v>101000</v>
      </c>
      <c r="CJ667" s="871">
        <v>102400</v>
      </c>
      <c r="CK667" s="871">
        <v>103800</v>
      </c>
      <c r="CL667" s="871">
        <v>105200</v>
      </c>
      <c r="CM667" s="871">
        <v>106600</v>
      </c>
      <c r="CN667" s="871">
        <v>108000</v>
      </c>
      <c r="CO667" s="871">
        <v>109400</v>
      </c>
      <c r="CP667" s="871">
        <v>110868</v>
      </c>
      <c r="CQ667" s="871">
        <v>112481</v>
      </c>
      <c r="CR667" s="871">
        <v>113600</v>
      </c>
      <c r="CS667" s="871">
        <v>0</v>
      </c>
      <c r="CT667" s="871">
        <v>0</v>
      </c>
      <c r="CU667" s="871">
        <v>0</v>
      </c>
      <c r="CV667" s="871">
        <v>0</v>
      </c>
      <c r="CW667" s="871">
        <v>0</v>
      </c>
      <c r="CX667" s="871">
        <v>0</v>
      </c>
      <c r="CY667" s="871">
        <v>0</v>
      </c>
      <c r="CZ667" s="871">
        <v>0</v>
      </c>
      <c r="DA667" s="871">
        <v>0</v>
      </c>
      <c r="DB667" s="871">
        <v>0</v>
      </c>
      <c r="DC667" s="871">
        <v>0</v>
      </c>
      <c r="DD667" s="871">
        <v>0</v>
      </c>
      <c r="DE667" s="871">
        <v>0</v>
      </c>
      <c r="DF667" s="871">
        <v>0</v>
      </c>
      <c r="DG667" s="871">
        <v>0</v>
      </c>
      <c r="DH667" s="871">
        <v>0</v>
      </c>
      <c r="DI667" s="871">
        <v>0</v>
      </c>
      <c r="DJ667" s="871">
        <v>0</v>
      </c>
      <c r="DK667" s="871">
        <v>0</v>
      </c>
      <c r="DL667" s="871">
        <v>0</v>
      </c>
      <c r="DM667" s="871">
        <v>0</v>
      </c>
      <c r="DN667" s="871">
        <v>0</v>
      </c>
      <c r="DO667" s="871">
        <v>0</v>
      </c>
      <c r="DP667" s="871">
        <v>0</v>
      </c>
      <c r="DQ667" s="871">
        <v>0</v>
      </c>
      <c r="DR667" s="871">
        <v>0</v>
      </c>
      <c r="DS667" s="871">
        <v>0</v>
      </c>
      <c r="DT667" s="871">
        <v>0</v>
      </c>
      <c r="DU667" s="871">
        <v>0</v>
      </c>
      <c r="DV667" s="871">
        <v>0</v>
      </c>
      <c r="DW667" s="871">
        <v>0</v>
      </c>
    </row>
    <row r="668" spans="12:127" hidden="1">
      <c r="L668" s="870" t="s">
        <v>1060</v>
      </c>
      <c r="M668" s="870" t="s">
        <v>1382</v>
      </c>
      <c r="N668" s="870" t="s">
        <v>96</v>
      </c>
      <c r="O668" s="871">
        <v>32</v>
      </c>
      <c r="P668" s="780" t="str">
        <f t="shared" si="21"/>
        <v>IWT060132</v>
      </c>
      <c r="Q668" s="871">
        <v>27073</v>
      </c>
      <c r="R668" s="871">
        <v>27614</v>
      </c>
      <c r="S668" s="871">
        <v>28167</v>
      </c>
      <c r="T668" s="871">
        <v>28730</v>
      </c>
      <c r="U668" s="871">
        <v>29305</v>
      </c>
      <c r="V668" s="871">
        <v>31800</v>
      </c>
      <c r="W668" s="871">
        <v>31800</v>
      </c>
      <c r="X668" s="871">
        <v>31800</v>
      </c>
      <c r="Y668" s="871">
        <v>31800</v>
      </c>
      <c r="Z668" s="871">
        <v>32344</v>
      </c>
      <c r="AA668" s="871">
        <v>32991</v>
      </c>
      <c r="AB668" s="871">
        <v>33651</v>
      </c>
      <c r="AC668" s="871">
        <v>34324</v>
      </c>
      <c r="AD668" s="871">
        <v>35010</v>
      </c>
      <c r="AE668" s="871">
        <v>35710</v>
      </c>
      <c r="AF668" s="871">
        <v>36424</v>
      </c>
      <c r="AG668" s="871">
        <v>37153</v>
      </c>
      <c r="AH668" s="871">
        <v>37896</v>
      </c>
      <c r="AI668" s="871">
        <v>38654</v>
      </c>
      <c r="AJ668" s="871">
        <v>39427</v>
      </c>
      <c r="AK668" s="871">
        <v>40215</v>
      </c>
      <c r="AL668" s="871">
        <v>41020</v>
      </c>
      <c r="AM668" s="871">
        <v>41840</v>
      </c>
      <c r="AN668" s="871">
        <v>42677</v>
      </c>
      <c r="AO668" s="871">
        <v>43530</v>
      </c>
      <c r="AP668" s="871">
        <v>44401</v>
      </c>
      <c r="AQ668" s="871">
        <v>45289</v>
      </c>
      <c r="AR668" s="871">
        <v>46195</v>
      </c>
      <c r="AS668" s="871">
        <v>47119</v>
      </c>
      <c r="AT668" s="871">
        <v>48061</v>
      </c>
      <c r="AU668" s="871">
        <v>49022</v>
      </c>
      <c r="AV668" s="871">
        <v>50003</v>
      </c>
      <c r="AW668" s="871">
        <v>51003</v>
      </c>
      <c r="AX668" s="871">
        <v>52023</v>
      </c>
      <c r="AY668" s="871">
        <v>53063</v>
      </c>
      <c r="AZ668" s="871">
        <v>54124</v>
      </c>
      <c r="BA668" s="871">
        <v>55207</v>
      </c>
      <c r="BB668" s="871">
        <v>56311</v>
      </c>
      <c r="BC668" s="871">
        <v>57437</v>
      </c>
      <c r="BD668" s="871">
        <v>58585</v>
      </c>
      <c r="BE668" s="871">
        <v>59757</v>
      </c>
      <c r="BF668" s="871">
        <v>60951</v>
      </c>
      <c r="BG668" s="871">
        <v>62160</v>
      </c>
      <c r="BH668" s="871">
        <v>63386</v>
      </c>
      <c r="BI668" s="871">
        <v>64627</v>
      </c>
      <c r="BJ668" s="871">
        <v>66000</v>
      </c>
      <c r="BK668" s="871">
        <v>67400</v>
      </c>
      <c r="BL668" s="871">
        <v>68800</v>
      </c>
      <c r="BM668" s="871">
        <v>70200</v>
      </c>
      <c r="BN668" s="871">
        <v>71600</v>
      </c>
      <c r="BO668" s="871">
        <v>73000</v>
      </c>
      <c r="BP668" s="871">
        <v>74400</v>
      </c>
      <c r="BQ668" s="871">
        <v>75800</v>
      </c>
      <c r="BR668" s="871">
        <v>77200</v>
      </c>
      <c r="BS668" s="871">
        <v>78600</v>
      </c>
      <c r="BT668" s="871">
        <v>80000</v>
      </c>
      <c r="BU668" s="871">
        <v>81400</v>
      </c>
      <c r="BV668" s="871">
        <v>82800</v>
      </c>
      <c r="BW668" s="871">
        <v>84200</v>
      </c>
      <c r="BX668" s="871">
        <v>85600</v>
      </c>
      <c r="BY668" s="871">
        <v>87000</v>
      </c>
      <c r="BZ668" s="871">
        <v>88400</v>
      </c>
      <c r="CA668" s="871">
        <v>89800</v>
      </c>
      <c r="CB668" s="871">
        <v>91200</v>
      </c>
      <c r="CC668" s="871">
        <v>92600</v>
      </c>
      <c r="CD668" s="871">
        <v>94000</v>
      </c>
      <c r="CE668" s="871">
        <v>95400</v>
      </c>
      <c r="CF668" s="871">
        <v>96800</v>
      </c>
      <c r="CG668" s="871">
        <v>98200</v>
      </c>
      <c r="CH668" s="871">
        <v>99600</v>
      </c>
      <c r="CI668" s="871">
        <v>101000</v>
      </c>
      <c r="CJ668" s="871">
        <v>102400</v>
      </c>
      <c r="CK668" s="871">
        <v>103800</v>
      </c>
      <c r="CL668" s="871">
        <v>105200</v>
      </c>
      <c r="CM668" s="871">
        <v>106600</v>
      </c>
      <c r="CN668" s="871">
        <v>108000</v>
      </c>
      <c r="CO668" s="871">
        <v>109490</v>
      </c>
      <c r="CP668" s="871">
        <v>111095</v>
      </c>
      <c r="CQ668" s="871">
        <v>112200</v>
      </c>
      <c r="CR668" s="871">
        <v>0</v>
      </c>
      <c r="CS668" s="871">
        <v>0</v>
      </c>
      <c r="CT668" s="871">
        <v>0</v>
      </c>
      <c r="CU668" s="871">
        <v>0</v>
      </c>
      <c r="CV668" s="871">
        <v>0</v>
      </c>
      <c r="CW668" s="871">
        <v>0</v>
      </c>
      <c r="CX668" s="871">
        <v>0</v>
      </c>
      <c r="CY668" s="871">
        <v>0</v>
      </c>
      <c r="CZ668" s="871">
        <v>0</v>
      </c>
      <c r="DA668" s="871">
        <v>0</v>
      </c>
      <c r="DB668" s="871">
        <v>0</v>
      </c>
      <c r="DC668" s="871">
        <v>0</v>
      </c>
      <c r="DD668" s="871">
        <v>0</v>
      </c>
      <c r="DE668" s="871">
        <v>0</v>
      </c>
      <c r="DF668" s="871">
        <v>0</v>
      </c>
      <c r="DG668" s="871">
        <v>0</v>
      </c>
      <c r="DH668" s="871">
        <v>0</v>
      </c>
      <c r="DI668" s="871">
        <v>0</v>
      </c>
      <c r="DJ668" s="871">
        <v>0</v>
      </c>
      <c r="DK668" s="871">
        <v>0</v>
      </c>
      <c r="DL668" s="871">
        <v>0</v>
      </c>
      <c r="DM668" s="871">
        <v>0</v>
      </c>
      <c r="DN668" s="871">
        <v>0</v>
      </c>
      <c r="DO668" s="871">
        <v>0</v>
      </c>
      <c r="DP668" s="871">
        <v>0</v>
      </c>
      <c r="DQ668" s="871">
        <v>0</v>
      </c>
      <c r="DR668" s="871">
        <v>0</v>
      </c>
      <c r="DS668" s="871">
        <v>0</v>
      </c>
      <c r="DT668" s="871">
        <v>0</v>
      </c>
      <c r="DU668" s="871">
        <v>0</v>
      </c>
      <c r="DV668" s="871">
        <v>0</v>
      </c>
      <c r="DW668" s="871">
        <v>0</v>
      </c>
    </row>
    <row r="669" spans="12:127" hidden="1">
      <c r="L669" s="870" t="s">
        <v>1060</v>
      </c>
      <c r="M669" s="870" t="s">
        <v>1382</v>
      </c>
      <c r="N669" s="870" t="s">
        <v>96</v>
      </c>
      <c r="O669" s="871">
        <v>33</v>
      </c>
      <c r="P669" s="780" t="str">
        <f t="shared" si="21"/>
        <v>IWT060133</v>
      </c>
      <c r="Q669" s="871">
        <v>27109</v>
      </c>
      <c r="R669" s="871">
        <v>27651</v>
      </c>
      <c r="S669" s="871">
        <v>28204</v>
      </c>
      <c r="T669" s="871">
        <v>28769</v>
      </c>
      <c r="U669" s="871">
        <v>29344</v>
      </c>
      <c r="V669" s="871">
        <v>31844.5</v>
      </c>
      <c r="W669" s="871">
        <v>31844.5</v>
      </c>
      <c r="X669" s="871">
        <v>31844.5</v>
      </c>
      <c r="Y669" s="871">
        <v>31844.5</v>
      </c>
      <c r="Z669" s="871">
        <v>32386</v>
      </c>
      <c r="AA669" s="871">
        <v>33034</v>
      </c>
      <c r="AB669" s="871">
        <v>33695</v>
      </c>
      <c r="AC669" s="871">
        <v>34369</v>
      </c>
      <c r="AD669" s="871">
        <v>35056</v>
      </c>
      <c r="AE669" s="871">
        <v>35757</v>
      </c>
      <c r="AF669" s="871">
        <v>36472</v>
      </c>
      <c r="AG669" s="871">
        <v>37202</v>
      </c>
      <c r="AH669" s="871">
        <v>37946</v>
      </c>
      <c r="AI669" s="871">
        <v>38705</v>
      </c>
      <c r="AJ669" s="871">
        <v>39479</v>
      </c>
      <c r="AK669" s="871">
        <v>40268</v>
      </c>
      <c r="AL669" s="871">
        <v>41074</v>
      </c>
      <c r="AM669" s="871">
        <v>41895</v>
      </c>
      <c r="AN669" s="871">
        <v>42733</v>
      </c>
      <c r="AO669" s="871">
        <v>43588</v>
      </c>
      <c r="AP669" s="871">
        <v>44459</v>
      </c>
      <c r="AQ669" s="871">
        <v>45348</v>
      </c>
      <c r="AR669" s="871">
        <v>46255</v>
      </c>
      <c r="AS669" s="871">
        <v>47180</v>
      </c>
      <c r="AT669" s="871">
        <v>48124</v>
      </c>
      <c r="AU669" s="871">
        <v>49086</v>
      </c>
      <c r="AV669" s="871">
        <v>50068</v>
      </c>
      <c r="AW669" s="871">
        <v>51069</v>
      </c>
      <c r="AX669" s="871">
        <v>52091</v>
      </c>
      <c r="AY669" s="871">
        <v>53133</v>
      </c>
      <c r="AZ669" s="871">
        <v>54195</v>
      </c>
      <c r="BA669" s="871">
        <v>55279</v>
      </c>
      <c r="BB669" s="871">
        <v>56385</v>
      </c>
      <c r="BC669" s="871">
        <v>57512</v>
      </c>
      <c r="BD669" s="871">
        <v>58662</v>
      </c>
      <c r="BE669" s="871">
        <v>59835</v>
      </c>
      <c r="BF669" s="871">
        <v>61032</v>
      </c>
      <c r="BG669" s="871">
        <v>62246</v>
      </c>
      <c r="BH669" s="871">
        <v>63476</v>
      </c>
      <c r="BI669" s="871">
        <v>64721</v>
      </c>
      <c r="BJ669" s="871">
        <v>66000</v>
      </c>
      <c r="BK669" s="871">
        <v>67400</v>
      </c>
      <c r="BL669" s="871">
        <v>68800</v>
      </c>
      <c r="BM669" s="871">
        <v>70200</v>
      </c>
      <c r="BN669" s="871">
        <v>71600</v>
      </c>
      <c r="BO669" s="871">
        <v>73000</v>
      </c>
      <c r="BP669" s="871">
        <v>74400</v>
      </c>
      <c r="BQ669" s="871">
        <v>75800</v>
      </c>
      <c r="BR669" s="871">
        <v>77200</v>
      </c>
      <c r="BS669" s="871">
        <v>78600</v>
      </c>
      <c r="BT669" s="871">
        <v>80000</v>
      </c>
      <c r="BU669" s="871">
        <v>81400</v>
      </c>
      <c r="BV669" s="871">
        <v>82800</v>
      </c>
      <c r="BW669" s="871">
        <v>84200</v>
      </c>
      <c r="BX669" s="871">
        <v>85600</v>
      </c>
      <c r="BY669" s="871">
        <v>87000</v>
      </c>
      <c r="BZ669" s="871">
        <v>88400</v>
      </c>
      <c r="CA669" s="871">
        <v>89800</v>
      </c>
      <c r="CB669" s="871">
        <v>91200</v>
      </c>
      <c r="CC669" s="871">
        <v>92600</v>
      </c>
      <c r="CD669" s="871">
        <v>94000</v>
      </c>
      <c r="CE669" s="871">
        <v>95400</v>
      </c>
      <c r="CF669" s="871">
        <v>96800</v>
      </c>
      <c r="CG669" s="871">
        <v>98200</v>
      </c>
      <c r="CH669" s="871">
        <v>99600</v>
      </c>
      <c r="CI669" s="871">
        <v>101000</v>
      </c>
      <c r="CJ669" s="871">
        <v>102400</v>
      </c>
      <c r="CK669" s="871">
        <v>103800</v>
      </c>
      <c r="CL669" s="871">
        <v>105200</v>
      </c>
      <c r="CM669" s="871">
        <v>106619</v>
      </c>
      <c r="CN669" s="871">
        <v>108111</v>
      </c>
      <c r="CO669" s="871">
        <v>109708</v>
      </c>
      <c r="CP669" s="871">
        <v>110800</v>
      </c>
      <c r="CQ669" s="871">
        <v>0</v>
      </c>
      <c r="CR669" s="871">
        <v>0</v>
      </c>
      <c r="CS669" s="871">
        <v>0</v>
      </c>
      <c r="CT669" s="871">
        <v>0</v>
      </c>
      <c r="CU669" s="871">
        <v>0</v>
      </c>
      <c r="CV669" s="871">
        <v>0</v>
      </c>
      <c r="CW669" s="871">
        <v>0</v>
      </c>
      <c r="CX669" s="871">
        <v>0</v>
      </c>
      <c r="CY669" s="871">
        <v>0</v>
      </c>
      <c r="CZ669" s="871">
        <v>0</v>
      </c>
      <c r="DA669" s="871">
        <v>0</v>
      </c>
      <c r="DB669" s="871">
        <v>0</v>
      </c>
      <c r="DC669" s="871">
        <v>0</v>
      </c>
      <c r="DD669" s="871">
        <v>0</v>
      </c>
      <c r="DE669" s="871">
        <v>0</v>
      </c>
      <c r="DF669" s="871">
        <v>0</v>
      </c>
      <c r="DG669" s="871">
        <v>0</v>
      </c>
      <c r="DH669" s="871">
        <v>0</v>
      </c>
      <c r="DI669" s="871">
        <v>0</v>
      </c>
      <c r="DJ669" s="871">
        <v>0</v>
      </c>
      <c r="DK669" s="871">
        <v>0</v>
      </c>
      <c r="DL669" s="871">
        <v>0</v>
      </c>
      <c r="DM669" s="871">
        <v>0</v>
      </c>
      <c r="DN669" s="871">
        <v>0</v>
      </c>
      <c r="DO669" s="871">
        <v>0</v>
      </c>
      <c r="DP669" s="871">
        <v>0</v>
      </c>
      <c r="DQ669" s="871">
        <v>0</v>
      </c>
      <c r="DR669" s="871">
        <v>0</v>
      </c>
      <c r="DS669" s="871">
        <v>0</v>
      </c>
      <c r="DT669" s="871">
        <v>0</v>
      </c>
      <c r="DU669" s="871">
        <v>0</v>
      </c>
      <c r="DV669" s="871">
        <v>0</v>
      </c>
      <c r="DW669" s="871">
        <v>0</v>
      </c>
    </row>
    <row r="670" spans="12:127" hidden="1">
      <c r="L670" s="870" t="s">
        <v>1060</v>
      </c>
      <c r="M670" s="870" t="s">
        <v>1382</v>
      </c>
      <c r="N670" s="870" t="s">
        <v>96</v>
      </c>
      <c r="O670" s="871">
        <v>34</v>
      </c>
      <c r="P670" s="780" t="str">
        <f t="shared" si="21"/>
        <v>IWT060134</v>
      </c>
      <c r="Q670" s="871">
        <v>27143</v>
      </c>
      <c r="R670" s="871">
        <v>27686</v>
      </c>
      <c r="S670" s="871">
        <v>28240</v>
      </c>
      <c r="T670" s="871">
        <v>28804</v>
      </c>
      <c r="U670" s="871">
        <v>29380</v>
      </c>
      <c r="V670" s="871">
        <v>31889</v>
      </c>
      <c r="W670" s="871">
        <v>31889</v>
      </c>
      <c r="X670" s="871">
        <v>31889</v>
      </c>
      <c r="Y670" s="871">
        <v>31889</v>
      </c>
      <c r="Z670" s="871">
        <v>32426</v>
      </c>
      <c r="AA670" s="871">
        <v>33074</v>
      </c>
      <c r="AB670" s="871">
        <v>33736</v>
      </c>
      <c r="AC670" s="871">
        <v>34410</v>
      </c>
      <c r="AD670" s="871">
        <v>35098</v>
      </c>
      <c r="AE670" s="871">
        <v>35800</v>
      </c>
      <c r="AF670" s="871">
        <v>36516</v>
      </c>
      <c r="AG670" s="871">
        <v>37247</v>
      </c>
      <c r="AH670" s="871">
        <v>37992</v>
      </c>
      <c r="AI670" s="871">
        <v>38752</v>
      </c>
      <c r="AJ670" s="871">
        <v>39527</v>
      </c>
      <c r="AK670" s="871">
        <v>40317</v>
      </c>
      <c r="AL670" s="871">
        <v>41123</v>
      </c>
      <c r="AM670" s="871">
        <v>41946</v>
      </c>
      <c r="AN670" s="871">
        <v>42785</v>
      </c>
      <c r="AO670" s="871">
        <v>43640</v>
      </c>
      <c r="AP670" s="871">
        <v>44513</v>
      </c>
      <c r="AQ670" s="871">
        <v>45403</v>
      </c>
      <c r="AR670" s="871">
        <v>46311</v>
      </c>
      <c r="AS670" s="871">
        <v>47238</v>
      </c>
      <c r="AT670" s="871">
        <v>48182</v>
      </c>
      <c r="AU670" s="871">
        <v>49146</v>
      </c>
      <c r="AV670" s="871">
        <v>50129</v>
      </c>
      <c r="AW670" s="871">
        <v>51131</v>
      </c>
      <c r="AX670" s="871">
        <v>52154</v>
      </c>
      <c r="AY670" s="871">
        <v>53197</v>
      </c>
      <c r="AZ670" s="871">
        <v>54261</v>
      </c>
      <c r="BA670" s="871">
        <v>55346</v>
      </c>
      <c r="BB670" s="871">
        <v>56453</v>
      </c>
      <c r="BC670" s="871">
        <v>57582</v>
      </c>
      <c r="BD670" s="871">
        <v>58733</v>
      </c>
      <c r="BE670" s="871">
        <v>59908</v>
      </c>
      <c r="BF670" s="871">
        <v>61106</v>
      </c>
      <c r="BG670" s="871">
        <v>62324</v>
      </c>
      <c r="BH670" s="871">
        <v>63558</v>
      </c>
      <c r="BI670" s="871">
        <v>64807</v>
      </c>
      <c r="BJ670" s="871">
        <v>66071</v>
      </c>
      <c r="BK670" s="871">
        <v>67400</v>
      </c>
      <c r="BL670" s="871">
        <v>68800</v>
      </c>
      <c r="BM670" s="871">
        <v>70200</v>
      </c>
      <c r="BN670" s="871">
        <v>71600</v>
      </c>
      <c r="BO670" s="871">
        <v>73000</v>
      </c>
      <c r="BP670" s="871">
        <v>74400</v>
      </c>
      <c r="BQ670" s="871">
        <v>75800</v>
      </c>
      <c r="BR670" s="871">
        <v>77200</v>
      </c>
      <c r="BS670" s="871">
        <v>78600</v>
      </c>
      <c r="BT670" s="871">
        <v>80000</v>
      </c>
      <c r="BU670" s="871">
        <v>81400</v>
      </c>
      <c r="BV670" s="871">
        <v>82800</v>
      </c>
      <c r="BW670" s="871">
        <v>84200</v>
      </c>
      <c r="BX670" s="871">
        <v>85600</v>
      </c>
      <c r="BY670" s="871">
        <v>87000</v>
      </c>
      <c r="BZ670" s="871">
        <v>88400</v>
      </c>
      <c r="CA670" s="871">
        <v>89800</v>
      </c>
      <c r="CB670" s="871">
        <v>91200</v>
      </c>
      <c r="CC670" s="871">
        <v>92600</v>
      </c>
      <c r="CD670" s="871">
        <v>94000</v>
      </c>
      <c r="CE670" s="871">
        <v>95400</v>
      </c>
      <c r="CF670" s="871">
        <v>96800</v>
      </c>
      <c r="CG670" s="871">
        <v>98200</v>
      </c>
      <c r="CH670" s="871">
        <v>99600</v>
      </c>
      <c r="CI670" s="871">
        <v>101000</v>
      </c>
      <c r="CJ670" s="871">
        <v>102400</v>
      </c>
      <c r="CK670" s="871">
        <v>103800</v>
      </c>
      <c r="CL670" s="871">
        <v>105244</v>
      </c>
      <c r="CM670" s="871">
        <v>106732</v>
      </c>
      <c r="CN670" s="871">
        <v>108322</v>
      </c>
      <c r="CO670" s="871">
        <v>109400</v>
      </c>
      <c r="CP670" s="871">
        <v>0</v>
      </c>
      <c r="CQ670" s="871">
        <v>0</v>
      </c>
      <c r="CR670" s="871">
        <v>0</v>
      </c>
      <c r="CS670" s="871">
        <v>0</v>
      </c>
      <c r="CT670" s="871">
        <v>0</v>
      </c>
      <c r="CU670" s="871">
        <v>0</v>
      </c>
      <c r="CV670" s="871">
        <v>0</v>
      </c>
      <c r="CW670" s="871">
        <v>0</v>
      </c>
      <c r="CX670" s="871">
        <v>0</v>
      </c>
      <c r="CY670" s="871">
        <v>0</v>
      </c>
      <c r="CZ670" s="871">
        <v>0</v>
      </c>
      <c r="DA670" s="871">
        <v>0</v>
      </c>
      <c r="DB670" s="871">
        <v>0</v>
      </c>
      <c r="DC670" s="871">
        <v>0</v>
      </c>
      <c r="DD670" s="871">
        <v>0</v>
      </c>
      <c r="DE670" s="871">
        <v>0</v>
      </c>
      <c r="DF670" s="871">
        <v>0</v>
      </c>
      <c r="DG670" s="871">
        <v>0</v>
      </c>
      <c r="DH670" s="871">
        <v>0</v>
      </c>
      <c r="DI670" s="871">
        <v>0</v>
      </c>
      <c r="DJ670" s="871">
        <v>0</v>
      </c>
      <c r="DK670" s="871">
        <v>0</v>
      </c>
      <c r="DL670" s="871">
        <v>0</v>
      </c>
      <c r="DM670" s="871">
        <v>0</v>
      </c>
      <c r="DN670" s="871">
        <v>0</v>
      </c>
      <c r="DO670" s="871">
        <v>0</v>
      </c>
      <c r="DP670" s="871">
        <v>0</v>
      </c>
      <c r="DQ670" s="871">
        <v>0</v>
      </c>
      <c r="DR670" s="871">
        <v>0</v>
      </c>
      <c r="DS670" s="871">
        <v>0</v>
      </c>
      <c r="DT670" s="871">
        <v>0</v>
      </c>
      <c r="DU670" s="871">
        <v>0</v>
      </c>
      <c r="DV670" s="871">
        <v>0</v>
      </c>
      <c r="DW670" s="871">
        <v>0</v>
      </c>
    </row>
    <row r="671" spans="12:127" hidden="1">
      <c r="L671" s="870" t="s">
        <v>1060</v>
      </c>
      <c r="M671" s="870" t="s">
        <v>1382</v>
      </c>
      <c r="N671" s="870" t="s">
        <v>96</v>
      </c>
      <c r="O671" s="871">
        <v>35</v>
      </c>
      <c r="P671" s="780" t="str">
        <f t="shared" si="21"/>
        <v>IWT060135</v>
      </c>
      <c r="Q671" s="871">
        <v>27173</v>
      </c>
      <c r="R671" s="871">
        <v>27717</v>
      </c>
      <c r="S671" s="871">
        <v>28271</v>
      </c>
      <c r="T671" s="871">
        <v>28837</v>
      </c>
      <c r="U671" s="871">
        <v>29413</v>
      </c>
      <c r="V671" s="871">
        <v>31920.799999999999</v>
      </c>
      <c r="W671" s="871">
        <v>31920.799999999999</v>
      </c>
      <c r="X671" s="871">
        <v>31920.799999999999</v>
      </c>
      <c r="Y671" s="871">
        <v>31920.799999999999</v>
      </c>
      <c r="Z671" s="871">
        <v>32461</v>
      </c>
      <c r="AA671" s="871">
        <v>33110</v>
      </c>
      <c r="AB671" s="871">
        <v>33772</v>
      </c>
      <c r="AC671" s="871">
        <v>34448</v>
      </c>
      <c r="AD671" s="871">
        <v>35137</v>
      </c>
      <c r="AE671" s="871">
        <v>35840</v>
      </c>
      <c r="AF671" s="871">
        <v>36556</v>
      </c>
      <c r="AG671" s="871">
        <v>37287</v>
      </c>
      <c r="AH671" s="871">
        <v>38033</v>
      </c>
      <c r="AI671" s="871">
        <v>38794</v>
      </c>
      <c r="AJ671" s="871">
        <v>39570</v>
      </c>
      <c r="AK671" s="871">
        <v>40361</v>
      </c>
      <c r="AL671" s="871">
        <v>41168</v>
      </c>
      <c r="AM671" s="871">
        <v>41992</v>
      </c>
      <c r="AN671" s="871">
        <v>42831</v>
      </c>
      <c r="AO671" s="871">
        <v>43688</v>
      </c>
      <c r="AP671" s="871">
        <v>44562</v>
      </c>
      <c r="AQ671" s="871">
        <v>45453</v>
      </c>
      <c r="AR671" s="871">
        <v>46362</v>
      </c>
      <c r="AS671" s="871">
        <v>47289</v>
      </c>
      <c r="AT671" s="871">
        <v>48235</v>
      </c>
      <c r="AU671" s="871">
        <v>49200</v>
      </c>
      <c r="AV671" s="871">
        <v>50184</v>
      </c>
      <c r="AW671" s="871">
        <v>51187</v>
      </c>
      <c r="AX671" s="871">
        <v>52211</v>
      </c>
      <c r="AY671" s="871">
        <v>53255</v>
      </c>
      <c r="AZ671" s="871">
        <v>54320</v>
      </c>
      <c r="BA671" s="871">
        <v>55406</v>
      </c>
      <c r="BB671" s="871">
        <v>56514</v>
      </c>
      <c r="BC671" s="871">
        <v>57645</v>
      </c>
      <c r="BD671" s="871">
        <v>58797</v>
      </c>
      <c r="BE671" s="871">
        <v>59973</v>
      </c>
      <c r="BF671" s="871">
        <v>61173</v>
      </c>
      <c r="BG671" s="871">
        <v>62395</v>
      </c>
      <c r="BH671" s="871">
        <v>63633</v>
      </c>
      <c r="BI671" s="871">
        <v>64886</v>
      </c>
      <c r="BJ671" s="871">
        <v>66154</v>
      </c>
      <c r="BK671" s="871">
        <v>67435</v>
      </c>
      <c r="BL671" s="871">
        <v>68800</v>
      </c>
      <c r="BM671" s="871">
        <v>70200</v>
      </c>
      <c r="BN671" s="871">
        <v>71600</v>
      </c>
      <c r="BO671" s="871">
        <v>73000</v>
      </c>
      <c r="BP671" s="871">
        <v>74400</v>
      </c>
      <c r="BQ671" s="871">
        <v>75800</v>
      </c>
      <c r="BR671" s="871">
        <v>77200</v>
      </c>
      <c r="BS671" s="871">
        <v>78600</v>
      </c>
      <c r="BT671" s="871">
        <v>80000</v>
      </c>
      <c r="BU671" s="871">
        <v>81400</v>
      </c>
      <c r="BV671" s="871">
        <v>82800</v>
      </c>
      <c r="BW671" s="871">
        <v>84200</v>
      </c>
      <c r="BX671" s="871">
        <v>85600</v>
      </c>
      <c r="BY671" s="871">
        <v>87000</v>
      </c>
      <c r="BZ671" s="871">
        <v>88400</v>
      </c>
      <c r="CA671" s="871">
        <v>89800</v>
      </c>
      <c r="CB671" s="871">
        <v>91200</v>
      </c>
      <c r="CC671" s="871">
        <v>92600</v>
      </c>
      <c r="CD671" s="871">
        <v>94000</v>
      </c>
      <c r="CE671" s="871">
        <v>95400</v>
      </c>
      <c r="CF671" s="871">
        <v>96800</v>
      </c>
      <c r="CG671" s="871">
        <v>98200</v>
      </c>
      <c r="CH671" s="871">
        <v>99600</v>
      </c>
      <c r="CI671" s="871">
        <v>101000</v>
      </c>
      <c r="CJ671" s="871">
        <v>102408</v>
      </c>
      <c r="CK671" s="871">
        <v>103869</v>
      </c>
      <c r="CL671" s="871">
        <v>105354</v>
      </c>
      <c r="CM671" s="871">
        <v>106936</v>
      </c>
      <c r="CN671" s="871">
        <v>108000</v>
      </c>
      <c r="CO671" s="871">
        <v>0</v>
      </c>
      <c r="CP671" s="871">
        <v>0</v>
      </c>
      <c r="CQ671" s="871">
        <v>0</v>
      </c>
      <c r="CR671" s="871">
        <v>0</v>
      </c>
      <c r="CS671" s="871">
        <v>0</v>
      </c>
      <c r="CT671" s="871">
        <v>0</v>
      </c>
      <c r="CU671" s="871">
        <v>0</v>
      </c>
      <c r="CV671" s="871">
        <v>0</v>
      </c>
      <c r="CW671" s="871">
        <v>0</v>
      </c>
      <c r="CX671" s="871">
        <v>0</v>
      </c>
      <c r="CY671" s="871">
        <v>0</v>
      </c>
      <c r="CZ671" s="871">
        <v>0</v>
      </c>
      <c r="DA671" s="871">
        <v>0</v>
      </c>
      <c r="DB671" s="871">
        <v>0</v>
      </c>
      <c r="DC671" s="871">
        <v>0</v>
      </c>
      <c r="DD671" s="871">
        <v>0</v>
      </c>
      <c r="DE671" s="871">
        <v>0</v>
      </c>
      <c r="DF671" s="871">
        <v>0</v>
      </c>
      <c r="DG671" s="871">
        <v>0</v>
      </c>
      <c r="DH671" s="871">
        <v>0</v>
      </c>
      <c r="DI671" s="871">
        <v>0</v>
      </c>
      <c r="DJ671" s="871">
        <v>0</v>
      </c>
      <c r="DK671" s="871">
        <v>0</v>
      </c>
      <c r="DL671" s="871">
        <v>0</v>
      </c>
      <c r="DM671" s="871">
        <v>0</v>
      </c>
      <c r="DN671" s="871">
        <v>0</v>
      </c>
      <c r="DO671" s="871">
        <v>0</v>
      </c>
      <c r="DP671" s="871">
        <v>0</v>
      </c>
      <c r="DQ671" s="871">
        <v>0</v>
      </c>
      <c r="DR671" s="871">
        <v>0</v>
      </c>
      <c r="DS671" s="871">
        <v>0</v>
      </c>
      <c r="DT671" s="871">
        <v>0</v>
      </c>
      <c r="DU671" s="871">
        <v>0</v>
      </c>
      <c r="DV671" s="871">
        <v>0</v>
      </c>
      <c r="DW671" s="871">
        <v>0</v>
      </c>
    </row>
    <row r="672" spans="12:127" hidden="1">
      <c r="L672" s="870" t="s">
        <v>1060</v>
      </c>
      <c r="M672" s="870" t="s">
        <v>1382</v>
      </c>
      <c r="N672" s="870" t="s">
        <v>96</v>
      </c>
      <c r="O672" s="871">
        <v>36</v>
      </c>
      <c r="P672" s="780" t="str">
        <f t="shared" si="21"/>
        <v>IWT060136</v>
      </c>
      <c r="Q672" s="871">
        <v>27202</v>
      </c>
      <c r="R672" s="871">
        <v>27746</v>
      </c>
      <c r="S672" s="871">
        <v>28301</v>
      </c>
      <c r="T672" s="871">
        <v>28867</v>
      </c>
      <c r="U672" s="871">
        <v>29444</v>
      </c>
      <c r="V672" s="871">
        <v>31959</v>
      </c>
      <c r="W672" s="871">
        <v>31959</v>
      </c>
      <c r="X672" s="871">
        <v>31959</v>
      </c>
      <c r="Y672" s="871">
        <v>31959</v>
      </c>
      <c r="Z672" s="871">
        <v>32494</v>
      </c>
      <c r="AA672" s="871">
        <v>33144</v>
      </c>
      <c r="AB672" s="871">
        <v>33807</v>
      </c>
      <c r="AC672" s="871">
        <v>34483</v>
      </c>
      <c r="AD672" s="871">
        <v>35173</v>
      </c>
      <c r="AE672" s="871">
        <v>35876</v>
      </c>
      <c r="AF672" s="871">
        <v>36593</v>
      </c>
      <c r="AG672" s="871">
        <v>37325</v>
      </c>
      <c r="AH672" s="871">
        <v>38072</v>
      </c>
      <c r="AI672" s="871">
        <v>38833</v>
      </c>
      <c r="AJ672" s="871">
        <v>39610</v>
      </c>
      <c r="AK672" s="871">
        <v>40402</v>
      </c>
      <c r="AL672" s="871">
        <v>41210</v>
      </c>
      <c r="AM672" s="871">
        <v>42034</v>
      </c>
      <c r="AN672" s="871">
        <v>42875</v>
      </c>
      <c r="AO672" s="871">
        <v>43732</v>
      </c>
      <c r="AP672" s="871">
        <v>44607</v>
      </c>
      <c r="AQ672" s="871">
        <v>45499</v>
      </c>
      <c r="AR672" s="871">
        <v>46409</v>
      </c>
      <c r="AS672" s="871">
        <v>47337</v>
      </c>
      <c r="AT672" s="871">
        <v>48284</v>
      </c>
      <c r="AU672" s="871">
        <v>49250</v>
      </c>
      <c r="AV672" s="871">
        <v>50235</v>
      </c>
      <c r="AW672" s="871">
        <v>51239</v>
      </c>
      <c r="AX672" s="871">
        <v>52264</v>
      </c>
      <c r="AY672" s="871">
        <v>53309</v>
      </c>
      <c r="AZ672" s="871">
        <v>54375</v>
      </c>
      <c r="BA672" s="871">
        <v>55463</v>
      </c>
      <c r="BB672" s="871">
        <v>56572</v>
      </c>
      <c r="BC672" s="871">
        <v>57703</v>
      </c>
      <c r="BD672" s="871">
        <v>58857</v>
      </c>
      <c r="BE672" s="871">
        <v>60034</v>
      </c>
      <c r="BF672" s="871">
        <v>61235</v>
      </c>
      <c r="BG672" s="871">
        <v>62459</v>
      </c>
      <c r="BH672" s="871">
        <v>63701</v>
      </c>
      <c r="BI672" s="871">
        <v>64958</v>
      </c>
      <c r="BJ672" s="871">
        <v>66230</v>
      </c>
      <c r="BK672" s="871">
        <v>67515</v>
      </c>
      <c r="BL672" s="871">
        <v>68813</v>
      </c>
      <c r="BM672" s="871">
        <v>70200</v>
      </c>
      <c r="BN672" s="871">
        <v>71600</v>
      </c>
      <c r="BO672" s="871">
        <v>73000</v>
      </c>
      <c r="BP672" s="871">
        <v>74400</v>
      </c>
      <c r="BQ672" s="871">
        <v>75800</v>
      </c>
      <c r="BR672" s="871">
        <v>77200</v>
      </c>
      <c r="BS672" s="871">
        <v>78600</v>
      </c>
      <c r="BT672" s="871">
        <v>80000</v>
      </c>
      <c r="BU672" s="871">
        <v>81400</v>
      </c>
      <c r="BV672" s="871">
        <v>82800</v>
      </c>
      <c r="BW672" s="871">
        <v>84200</v>
      </c>
      <c r="BX672" s="871">
        <v>85600</v>
      </c>
      <c r="BY672" s="871">
        <v>87000</v>
      </c>
      <c r="BZ672" s="871">
        <v>88400</v>
      </c>
      <c r="CA672" s="871">
        <v>89800</v>
      </c>
      <c r="CB672" s="871">
        <v>91200</v>
      </c>
      <c r="CC672" s="871">
        <v>92600</v>
      </c>
      <c r="CD672" s="871">
        <v>94000</v>
      </c>
      <c r="CE672" s="871">
        <v>95400</v>
      </c>
      <c r="CF672" s="871">
        <v>96800</v>
      </c>
      <c r="CG672" s="871">
        <v>98200</v>
      </c>
      <c r="CH672" s="871">
        <v>99600</v>
      </c>
      <c r="CI672" s="871">
        <v>101037</v>
      </c>
      <c r="CJ672" s="871">
        <v>102495</v>
      </c>
      <c r="CK672" s="871">
        <v>103975</v>
      </c>
      <c r="CL672" s="871">
        <v>105550</v>
      </c>
      <c r="CM672" s="871">
        <v>106600</v>
      </c>
      <c r="CN672" s="871">
        <v>0</v>
      </c>
      <c r="CO672" s="871">
        <v>0</v>
      </c>
      <c r="CP672" s="871">
        <v>0</v>
      </c>
      <c r="CQ672" s="871">
        <v>0</v>
      </c>
      <c r="CR672" s="871">
        <v>0</v>
      </c>
      <c r="CS672" s="871">
        <v>0</v>
      </c>
      <c r="CT672" s="871">
        <v>0</v>
      </c>
      <c r="CU672" s="871">
        <v>0</v>
      </c>
      <c r="CV672" s="871">
        <v>0</v>
      </c>
      <c r="CW672" s="871">
        <v>0</v>
      </c>
      <c r="CX672" s="871">
        <v>0</v>
      </c>
      <c r="CY672" s="871">
        <v>0</v>
      </c>
      <c r="CZ672" s="871">
        <v>0</v>
      </c>
      <c r="DA672" s="871">
        <v>0</v>
      </c>
      <c r="DB672" s="871">
        <v>0</v>
      </c>
      <c r="DC672" s="871">
        <v>0</v>
      </c>
      <c r="DD672" s="871">
        <v>0</v>
      </c>
      <c r="DE672" s="871">
        <v>0</v>
      </c>
      <c r="DF672" s="871">
        <v>0</v>
      </c>
      <c r="DG672" s="871">
        <v>0</v>
      </c>
      <c r="DH672" s="871">
        <v>0</v>
      </c>
      <c r="DI672" s="871">
        <v>0</v>
      </c>
      <c r="DJ672" s="871">
        <v>0</v>
      </c>
      <c r="DK672" s="871">
        <v>0</v>
      </c>
      <c r="DL672" s="871">
        <v>0</v>
      </c>
      <c r="DM672" s="871">
        <v>0</v>
      </c>
      <c r="DN672" s="871">
        <v>0</v>
      </c>
      <c r="DO672" s="871">
        <v>0</v>
      </c>
      <c r="DP672" s="871">
        <v>0</v>
      </c>
      <c r="DQ672" s="871">
        <v>0</v>
      </c>
      <c r="DR672" s="871">
        <v>0</v>
      </c>
      <c r="DS672" s="871">
        <v>0</v>
      </c>
      <c r="DT672" s="871">
        <v>0</v>
      </c>
      <c r="DU672" s="871">
        <v>0</v>
      </c>
      <c r="DV672" s="871">
        <v>0</v>
      </c>
      <c r="DW672" s="871">
        <v>0</v>
      </c>
    </row>
    <row r="673" spans="12:127" hidden="1">
      <c r="L673" s="870" t="s">
        <v>1060</v>
      </c>
      <c r="M673" s="870" t="s">
        <v>1382</v>
      </c>
      <c r="N673" s="870" t="s">
        <v>96</v>
      </c>
      <c r="O673" s="871">
        <v>37</v>
      </c>
      <c r="P673" s="780" t="str">
        <f t="shared" si="21"/>
        <v>IWT060137</v>
      </c>
      <c r="Q673" s="871">
        <v>27228</v>
      </c>
      <c r="R673" s="871">
        <v>27773</v>
      </c>
      <c r="S673" s="871">
        <v>28328</v>
      </c>
      <c r="T673" s="871">
        <v>28895</v>
      </c>
      <c r="U673" s="871">
        <v>29473</v>
      </c>
      <c r="V673" s="871">
        <v>31990.799999999999</v>
      </c>
      <c r="W673" s="871">
        <v>31990.799999999999</v>
      </c>
      <c r="X673" s="871">
        <v>31990.799999999999</v>
      </c>
      <c r="Y673" s="871">
        <v>31990.799999999999</v>
      </c>
      <c r="Z673" s="871">
        <v>32524</v>
      </c>
      <c r="AA673" s="871">
        <v>33174</v>
      </c>
      <c r="AB673" s="871">
        <v>33838</v>
      </c>
      <c r="AC673" s="871">
        <v>34515</v>
      </c>
      <c r="AD673" s="871">
        <v>35205</v>
      </c>
      <c r="AE673" s="871">
        <v>35909</v>
      </c>
      <c r="AF673" s="871">
        <v>36627</v>
      </c>
      <c r="AG673" s="871">
        <v>37360</v>
      </c>
      <c r="AH673" s="871">
        <v>38107</v>
      </c>
      <c r="AI673" s="871">
        <v>38869</v>
      </c>
      <c r="AJ673" s="871">
        <v>39646</v>
      </c>
      <c r="AK673" s="871">
        <v>40439</v>
      </c>
      <c r="AL673" s="871">
        <v>41248</v>
      </c>
      <c r="AM673" s="871">
        <v>42073</v>
      </c>
      <c r="AN673" s="871">
        <v>42914</v>
      </c>
      <c r="AO673" s="871">
        <v>43773</v>
      </c>
      <c r="AP673" s="871">
        <v>44648</v>
      </c>
      <c r="AQ673" s="871">
        <v>45541</v>
      </c>
      <c r="AR673" s="871">
        <v>46452</v>
      </c>
      <c r="AS673" s="871">
        <v>47381</v>
      </c>
      <c r="AT673" s="871">
        <v>48328</v>
      </c>
      <c r="AU673" s="871">
        <v>49295</v>
      </c>
      <c r="AV673" s="871">
        <v>50281</v>
      </c>
      <c r="AW673" s="871">
        <v>51286</v>
      </c>
      <c r="AX673" s="871">
        <v>52312</v>
      </c>
      <c r="AY673" s="871">
        <v>53358</v>
      </c>
      <c r="AZ673" s="871">
        <v>54425</v>
      </c>
      <c r="BA673" s="871">
        <v>55514</v>
      </c>
      <c r="BB673" s="871">
        <v>56624</v>
      </c>
      <c r="BC673" s="871">
        <v>57756</v>
      </c>
      <c r="BD673" s="871">
        <v>58911</v>
      </c>
      <c r="BE673" s="871">
        <v>60089</v>
      </c>
      <c r="BF673" s="871">
        <v>61291</v>
      </c>
      <c r="BG673" s="871">
        <v>62516</v>
      </c>
      <c r="BH673" s="871">
        <v>63763</v>
      </c>
      <c r="BI673" s="871">
        <v>65024</v>
      </c>
      <c r="BJ673" s="871">
        <v>66299</v>
      </c>
      <c r="BK673" s="871">
        <v>67588</v>
      </c>
      <c r="BL673" s="871">
        <v>68889</v>
      </c>
      <c r="BM673" s="871">
        <v>70204</v>
      </c>
      <c r="BN673" s="871">
        <v>71600</v>
      </c>
      <c r="BO673" s="871">
        <v>73000</v>
      </c>
      <c r="BP673" s="871">
        <v>74400</v>
      </c>
      <c r="BQ673" s="871">
        <v>75800</v>
      </c>
      <c r="BR673" s="871">
        <v>77200</v>
      </c>
      <c r="BS673" s="871">
        <v>78600</v>
      </c>
      <c r="BT673" s="871">
        <v>80000</v>
      </c>
      <c r="BU673" s="871">
        <v>81400</v>
      </c>
      <c r="BV673" s="871">
        <v>82800</v>
      </c>
      <c r="BW673" s="871">
        <v>84200</v>
      </c>
      <c r="BX673" s="871">
        <v>85600</v>
      </c>
      <c r="BY673" s="871">
        <v>87000</v>
      </c>
      <c r="BZ673" s="871">
        <v>88400</v>
      </c>
      <c r="CA673" s="871">
        <v>89800</v>
      </c>
      <c r="CB673" s="871">
        <v>91200</v>
      </c>
      <c r="CC673" s="871">
        <v>92600</v>
      </c>
      <c r="CD673" s="871">
        <v>94000</v>
      </c>
      <c r="CE673" s="871">
        <v>95400</v>
      </c>
      <c r="CF673" s="871">
        <v>96800</v>
      </c>
      <c r="CG673" s="871">
        <v>98219</v>
      </c>
      <c r="CH673" s="871">
        <v>99666</v>
      </c>
      <c r="CI673" s="871">
        <v>101120</v>
      </c>
      <c r="CJ673" s="871">
        <v>102596</v>
      </c>
      <c r="CK673" s="871">
        <v>104164</v>
      </c>
      <c r="CL673" s="871">
        <v>105200</v>
      </c>
      <c r="CM673" s="871">
        <v>0</v>
      </c>
      <c r="CN673" s="871">
        <v>0</v>
      </c>
      <c r="CO673" s="871">
        <v>0</v>
      </c>
      <c r="CP673" s="871">
        <v>0</v>
      </c>
      <c r="CQ673" s="871">
        <v>0</v>
      </c>
      <c r="CR673" s="871">
        <v>0</v>
      </c>
      <c r="CS673" s="871">
        <v>0</v>
      </c>
      <c r="CT673" s="871">
        <v>0</v>
      </c>
      <c r="CU673" s="871">
        <v>0</v>
      </c>
      <c r="CV673" s="871">
        <v>0</v>
      </c>
      <c r="CW673" s="871">
        <v>0</v>
      </c>
      <c r="CX673" s="871">
        <v>0</v>
      </c>
      <c r="CY673" s="871">
        <v>0</v>
      </c>
      <c r="CZ673" s="871">
        <v>0</v>
      </c>
      <c r="DA673" s="871">
        <v>0</v>
      </c>
      <c r="DB673" s="871">
        <v>0</v>
      </c>
      <c r="DC673" s="871">
        <v>0</v>
      </c>
      <c r="DD673" s="871">
        <v>0</v>
      </c>
      <c r="DE673" s="871">
        <v>0</v>
      </c>
      <c r="DF673" s="871">
        <v>0</v>
      </c>
      <c r="DG673" s="871">
        <v>0</v>
      </c>
      <c r="DH673" s="871">
        <v>0</v>
      </c>
      <c r="DI673" s="871">
        <v>0</v>
      </c>
      <c r="DJ673" s="871">
        <v>0</v>
      </c>
      <c r="DK673" s="871">
        <v>0</v>
      </c>
      <c r="DL673" s="871">
        <v>0</v>
      </c>
      <c r="DM673" s="871">
        <v>0</v>
      </c>
      <c r="DN673" s="871">
        <v>0</v>
      </c>
      <c r="DO673" s="871">
        <v>0</v>
      </c>
      <c r="DP673" s="871">
        <v>0</v>
      </c>
      <c r="DQ673" s="871">
        <v>0</v>
      </c>
      <c r="DR673" s="871">
        <v>0</v>
      </c>
      <c r="DS673" s="871">
        <v>0</v>
      </c>
      <c r="DT673" s="871">
        <v>0</v>
      </c>
      <c r="DU673" s="871">
        <v>0</v>
      </c>
      <c r="DV673" s="871">
        <v>0</v>
      </c>
      <c r="DW673" s="871">
        <v>0</v>
      </c>
    </row>
    <row r="674" spans="12:127" hidden="1">
      <c r="L674" s="870" t="s">
        <v>1060</v>
      </c>
      <c r="M674" s="870" t="s">
        <v>1382</v>
      </c>
      <c r="N674" s="870" t="s">
        <v>96</v>
      </c>
      <c r="O674" s="871">
        <v>38</v>
      </c>
      <c r="P674" s="780" t="str">
        <f t="shared" si="21"/>
        <v>IWT060138</v>
      </c>
      <c r="Q674" s="871">
        <v>27252</v>
      </c>
      <c r="R674" s="871">
        <v>27797</v>
      </c>
      <c r="S674" s="871">
        <v>28353</v>
      </c>
      <c r="T674" s="871">
        <v>28920</v>
      </c>
      <c r="U674" s="871">
        <v>29498</v>
      </c>
      <c r="V674" s="871">
        <v>32016.2</v>
      </c>
      <c r="W674" s="871">
        <v>32016.2</v>
      </c>
      <c r="X674" s="871">
        <v>32016.2</v>
      </c>
      <c r="Y674" s="871">
        <v>32016.2</v>
      </c>
      <c r="Z674" s="871">
        <v>32550</v>
      </c>
      <c r="AA674" s="871">
        <v>33201</v>
      </c>
      <c r="AB674" s="871">
        <v>33865</v>
      </c>
      <c r="AC674" s="871">
        <v>34543</v>
      </c>
      <c r="AD674" s="871">
        <v>35234</v>
      </c>
      <c r="AE674" s="871">
        <v>35938</v>
      </c>
      <c r="AF674" s="871">
        <v>36657</v>
      </c>
      <c r="AG674" s="871">
        <v>37390</v>
      </c>
      <c r="AH674" s="871">
        <v>38138</v>
      </c>
      <c r="AI674" s="871">
        <v>38901</v>
      </c>
      <c r="AJ674" s="871">
        <v>39679</v>
      </c>
      <c r="AK674" s="871">
        <v>40472</v>
      </c>
      <c r="AL674" s="871">
        <v>41282</v>
      </c>
      <c r="AM674" s="871">
        <v>42107</v>
      </c>
      <c r="AN674" s="871">
        <v>42949</v>
      </c>
      <c r="AO674" s="871">
        <v>43808</v>
      </c>
      <c r="AP674" s="871">
        <v>44685</v>
      </c>
      <c r="AQ674" s="871">
        <v>45578</v>
      </c>
      <c r="AR674" s="871">
        <v>46490</v>
      </c>
      <c r="AS674" s="871">
        <v>47419</v>
      </c>
      <c r="AT674" s="871">
        <v>48368</v>
      </c>
      <c r="AU674" s="871">
        <v>49335</v>
      </c>
      <c r="AV674" s="871">
        <v>50322</v>
      </c>
      <c r="AW674" s="871">
        <v>51328</v>
      </c>
      <c r="AX674" s="871">
        <v>52355</v>
      </c>
      <c r="AY674" s="871">
        <v>53402</v>
      </c>
      <c r="AZ674" s="871">
        <v>54470</v>
      </c>
      <c r="BA674" s="871">
        <v>55559</v>
      </c>
      <c r="BB674" s="871">
        <v>56670</v>
      </c>
      <c r="BC674" s="871">
        <v>57803</v>
      </c>
      <c r="BD674" s="871">
        <v>58959</v>
      </c>
      <c r="BE674" s="871">
        <v>60138</v>
      </c>
      <c r="BF674" s="871">
        <v>61341</v>
      </c>
      <c r="BG674" s="871">
        <v>62567</v>
      </c>
      <c r="BH674" s="871">
        <v>63818</v>
      </c>
      <c r="BI674" s="871">
        <v>65083</v>
      </c>
      <c r="BJ674" s="871">
        <v>66362</v>
      </c>
      <c r="BK674" s="871">
        <v>67654</v>
      </c>
      <c r="BL674" s="871">
        <v>68959</v>
      </c>
      <c r="BM674" s="871">
        <v>70277</v>
      </c>
      <c r="BN674" s="871">
        <v>71607</v>
      </c>
      <c r="BO674" s="871">
        <v>73000</v>
      </c>
      <c r="BP674" s="871">
        <v>74400</v>
      </c>
      <c r="BQ674" s="871">
        <v>75800</v>
      </c>
      <c r="BR674" s="871">
        <v>77200</v>
      </c>
      <c r="BS674" s="871">
        <v>78600</v>
      </c>
      <c r="BT674" s="871">
        <v>80000</v>
      </c>
      <c r="BU674" s="871">
        <v>81400</v>
      </c>
      <c r="BV674" s="871">
        <v>82800</v>
      </c>
      <c r="BW674" s="871">
        <v>84200</v>
      </c>
      <c r="BX674" s="871">
        <v>85600</v>
      </c>
      <c r="BY674" s="871">
        <v>87000</v>
      </c>
      <c r="BZ674" s="871">
        <v>88400</v>
      </c>
      <c r="CA674" s="871">
        <v>89800</v>
      </c>
      <c r="CB674" s="871">
        <v>91200</v>
      </c>
      <c r="CC674" s="871">
        <v>92600</v>
      </c>
      <c r="CD674" s="871">
        <v>94000</v>
      </c>
      <c r="CE674" s="871">
        <v>95410</v>
      </c>
      <c r="CF674" s="871">
        <v>96851</v>
      </c>
      <c r="CG674" s="871">
        <v>98295</v>
      </c>
      <c r="CH674" s="871">
        <v>99746</v>
      </c>
      <c r="CI674" s="871">
        <v>101217</v>
      </c>
      <c r="CJ674" s="871">
        <v>102777</v>
      </c>
      <c r="CK674" s="871">
        <v>103800</v>
      </c>
      <c r="CL674" s="871">
        <v>0</v>
      </c>
      <c r="CM674" s="871">
        <v>0</v>
      </c>
      <c r="CN674" s="871">
        <v>0</v>
      </c>
      <c r="CO674" s="871">
        <v>0</v>
      </c>
      <c r="CP674" s="871">
        <v>0</v>
      </c>
      <c r="CQ674" s="871">
        <v>0</v>
      </c>
      <c r="CR674" s="871">
        <v>0</v>
      </c>
      <c r="CS674" s="871">
        <v>0</v>
      </c>
      <c r="CT674" s="871">
        <v>0</v>
      </c>
      <c r="CU674" s="871">
        <v>0</v>
      </c>
      <c r="CV674" s="871">
        <v>0</v>
      </c>
      <c r="CW674" s="871">
        <v>0</v>
      </c>
      <c r="CX674" s="871">
        <v>0</v>
      </c>
      <c r="CY674" s="871">
        <v>0</v>
      </c>
      <c r="CZ674" s="871">
        <v>0</v>
      </c>
      <c r="DA674" s="871">
        <v>0</v>
      </c>
      <c r="DB674" s="871">
        <v>0</v>
      </c>
      <c r="DC674" s="871">
        <v>0</v>
      </c>
      <c r="DD674" s="871">
        <v>0</v>
      </c>
      <c r="DE674" s="871">
        <v>0</v>
      </c>
      <c r="DF674" s="871">
        <v>0</v>
      </c>
      <c r="DG674" s="871">
        <v>0</v>
      </c>
      <c r="DH674" s="871">
        <v>0</v>
      </c>
      <c r="DI674" s="871">
        <v>0</v>
      </c>
      <c r="DJ674" s="871">
        <v>0</v>
      </c>
      <c r="DK674" s="871">
        <v>0</v>
      </c>
      <c r="DL674" s="871">
        <v>0</v>
      </c>
      <c r="DM674" s="871">
        <v>0</v>
      </c>
      <c r="DN674" s="871">
        <v>0</v>
      </c>
      <c r="DO674" s="871">
        <v>0</v>
      </c>
      <c r="DP674" s="871">
        <v>0</v>
      </c>
      <c r="DQ674" s="871">
        <v>0</v>
      </c>
      <c r="DR674" s="871">
        <v>0</v>
      </c>
      <c r="DS674" s="871">
        <v>0</v>
      </c>
      <c r="DT674" s="871">
        <v>0</v>
      </c>
      <c r="DU674" s="871">
        <v>0</v>
      </c>
      <c r="DV674" s="871">
        <v>0</v>
      </c>
      <c r="DW674" s="871">
        <v>0</v>
      </c>
    </row>
    <row r="675" spans="12:127" hidden="1">
      <c r="L675" s="870" t="s">
        <v>1060</v>
      </c>
      <c r="M675" s="870" t="s">
        <v>1382</v>
      </c>
      <c r="N675" s="870" t="s">
        <v>96</v>
      </c>
      <c r="O675" s="871">
        <v>39</v>
      </c>
      <c r="P675" s="780" t="str">
        <f t="shared" si="21"/>
        <v>IWT060139</v>
      </c>
      <c r="Q675" s="871">
        <v>27274</v>
      </c>
      <c r="R675" s="871">
        <v>27819</v>
      </c>
      <c r="S675" s="871">
        <v>28376</v>
      </c>
      <c r="T675" s="871">
        <v>28943</v>
      </c>
      <c r="U675" s="871">
        <v>29522</v>
      </c>
      <c r="V675" s="871">
        <v>32048</v>
      </c>
      <c r="W675" s="871">
        <v>32048</v>
      </c>
      <c r="X675" s="871">
        <v>32048</v>
      </c>
      <c r="Y675" s="871">
        <v>32048</v>
      </c>
      <c r="Z675" s="871">
        <v>32575</v>
      </c>
      <c r="AA675" s="871">
        <v>33227</v>
      </c>
      <c r="AB675" s="871">
        <v>33891</v>
      </c>
      <c r="AC675" s="871">
        <v>34569</v>
      </c>
      <c r="AD675" s="871">
        <v>35261</v>
      </c>
      <c r="AE675" s="871">
        <v>35966</v>
      </c>
      <c r="AF675" s="871">
        <v>36685</v>
      </c>
      <c r="AG675" s="871">
        <v>37419</v>
      </c>
      <c r="AH675" s="871">
        <v>38167</v>
      </c>
      <c r="AI675" s="871">
        <v>38930</v>
      </c>
      <c r="AJ675" s="871">
        <v>39709</v>
      </c>
      <c r="AK675" s="871">
        <v>40503</v>
      </c>
      <c r="AL675" s="871">
        <v>41313</v>
      </c>
      <c r="AM675" s="871">
        <v>42139</v>
      </c>
      <c r="AN675" s="871">
        <v>42982</v>
      </c>
      <c r="AO675" s="871">
        <v>43842</v>
      </c>
      <c r="AP675" s="871">
        <v>44719</v>
      </c>
      <c r="AQ675" s="871">
        <v>45613</v>
      </c>
      <c r="AR675" s="871">
        <v>46525</v>
      </c>
      <c r="AS675" s="871">
        <v>47456</v>
      </c>
      <c r="AT675" s="871">
        <v>48405</v>
      </c>
      <c r="AU675" s="871">
        <v>49373</v>
      </c>
      <c r="AV675" s="871">
        <v>50360</v>
      </c>
      <c r="AW675" s="871">
        <v>51367</v>
      </c>
      <c r="AX675" s="871">
        <v>52395</v>
      </c>
      <c r="AY675" s="871">
        <v>53442</v>
      </c>
      <c r="AZ675" s="871">
        <v>54511</v>
      </c>
      <c r="BA675" s="871">
        <v>55601</v>
      </c>
      <c r="BB675" s="871">
        <v>56713</v>
      </c>
      <c r="BC675" s="871">
        <v>57847</v>
      </c>
      <c r="BD675" s="871">
        <v>59004</v>
      </c>
      <c r="BE675" s="871">
        <v>60184</v>
      </c>
      <c r="BF675" s="871">
        <v>61387</v>
      </c>
      <c r="BG675" s="871">
        <v>62615</v>
      </c>
      <c r="BH675" s="871">
        <v>63867</v>
      </c>
      <c r="BI675" s="871">
        <v>65136</v>
      </c>
      <c r="BJ675" s="871">
        <v>66419</v>
      </c>
      <c r="BK675" s="871">
        <v>67715</v>
      </c>
      <c r="BL675" s="871">
        <v>69024</v>
      </c>
      <c r="BM675" s="871">
        <v>70345</v>
      </c>
      <c r="BN675" s="871">
        <v>71678</v>
      </c>
      <c r="BO675" s="871">
        <v>73021</v>
      </c>
      <c r="BP675" s="871">
        <v>74400</v>
      </c>
      <c r="BQ675" s="871">
        <v>75800</v>
      </c>
      <c r="BR675" s="871">
        <v>77200</v>
      </c>
      <c r="BS675" s="871">
        <v>78600</v>
      </c>
      <c r="BT675" s="871">
        <v>80000</v>
      </c>
      <c r="BU675" s="871">
        <v>81400</v>
      </c>
      <c r="BV675" s="871">
        <v>82800</v>
      </c>
      <c r="BW675" s="871">
        <v>84200</v>
      </c>
      <c r="BX675" s="871">
        <v>85600</v>
      </c>
      <c r="BY675" s="871">
        <v>87000</v>
      </c>
      <c r="BZ675" s="871">
        <v>88400</v>
      </c>
      <c r="CA675" s="871">
        <v>89800</v>
      </c>
      <c r="CB675" s="871">
        <v>91200</v>
      </c>
      <c r="CC675" s="871">
        <v>92612</v>
      </c>
      <c r="CD675" s="871">
        <v>94046</v>
      </c>
      <c r="CE675" s="871">
        <v>95483</v>
      </c>
      <c r="CF675" s="871">
        <v>96924</v>
      </c>
      <c r="CG675" s="871">
        <v>98371</v>
      </c>
      <c r="CH675" s="871">
        <v>99839</v>
      </c>
      <c r="CI675" s="871">
        <v>101391</v>
      </c>
      <c r="CJ675" s="871">
        <v>102400</v>
      </c>
      <c r="CK675" s="871">
        <v>0</v>
      </c>
      <c r="CL675" s="871">
        <v>0</v>
      </c>
      <c r="CM675" s="871">
        <v>0</v>
      </c>
      <c r="CN675" s="871">
        <v>0</v>
      </c>
      <c r="CO675" s="871">
        <v>0</v>
      </c>
      <c r="CP675" s="871">
        <v>0</v>
      </c>
      <c r="CQ675" s="871">
        <v>0</v>
      </c>
      <c r="CR675" s="871">
        <v>0</v>
      </c>
      <c r="CS675" s="871">
        <v>0</v>
      </c>
      <c r="CT675" s="871">
        <v>0</v>
      </c>
      <c r="CU675" s="871">
        <v>0</v>
      </c>
      <c r="CV675" s="871">
        <v>0</v>
      </c>
      <c r="CW675" s="871">
        <v>0</v>
      </c>
      <c r="CX675" s="871">
        <v>0</v>
      </c>
      <c r="CY675" s="871">
        <v>0</v>
      </c>
      <c r="CZ675" s="871">
        <v>0</v>
      </c>
      <c r="DA675" s="871">
        <v>0</v>
      </c>
      <c r="DB675" s="871">
        <v>0</v>
      </c>
      <c r="DC675" s="871">
        <v>0</v>
      </c>
      <c r="DD675" s="871">
        <v>0</v>
      </c>
      <c r="DE675" s="871">
        <v>0</v>
      </c>
      <c r="DF675" s="871">
        <v>0</v>
      </c>
      <c r="DG675" s="871">
        <v>0</v>
      </c>
      <c r="DH675" s="871">
        <v>0</v>
      </c>
      <c r="DI675" s="871">
        <v>0</v>
      </c>
      <c r="DJ675" s="871">
        <v>0</v>
      </c>
      <c r="DK675" s="871">
        <v>0</v>
      </c>
      <c r="DL675" s="871">
        <v>0</v>
      </c>
      <c r="DM675" s="871">
        <v>0</v>
      </c>
      <c r="DN675" s="871">
        <v>0</v>
      </c>
      <c r="DO675" s="871">
        <v>0</v>
      </c>
      <c r="DP675" s="871">
        <v>0</v>
      </c>
      <c r="DQ675" s="871">
        <v>0</v>
      </c>
      <c r="DR675" s="871">
        <v>0</v>
      </c>
      <c r="DS675" s="871">
        <v>0</v>
      </c>
      <c r="DT675" s="871">
        <v>0</v>
      </c>
      <c r="DU675" s="871">
        <v>0</v>
      </c>
      <c r="DV675" s="871">
        <v>0</v>
      </c>
      <c r="DW675" s="871">
        <v>0</v>
      </c>
    </row>
    <row r="676" spans="12:127" hidden="1">
      <c r="L676" s="870" t="s">
        <v>1060</v>
      </c>
      <c r="M676" s="870" t="s">
        <v>1382</v>
      </c>
      <c r="N676" s="870" t="s">
        <v>96</v>
      </c>
      <c r="O676" s="871">
        <v>40</v>
      </c>
      <c r="P676" s="780" t="str">
        <f t="shared" si="21"/>
        <v>IWT060140</v>
      </c>
      <c r="Q676" s="871">
        <v>27294</v>
      </c>
      <c r="R676" s="871">
        <v>27840</v>
      </c>
      <c r="S676" s="871">
        <v>28397</v>
      </c>
      <c r="T676" s="871">
        <v>28965</v>
      </c>
      <c r="U676" s="871">
        <v>29544</v>
      </c>
      <c r="V676" s="871">
        <v>32073.5</v>
      </c>
      <c r="W676" s="871">
        <v>32073.5</v>
      </c>
      <c r="X676" s="871">
        <v>32073.5</v>
      </c>
      <c r="Y676" s="871">
        <v>32073.5</v>
      </c>
      <c r="Z676" s="871">
        <v>32598</v>
      </c>
      <c r="AA676" s="871">
        <v>33250</v>
      </c>
      <c r="AB676" s="871">
        <v>33915</v>
      </c>
      <c r="AC676" s="871">
        <v>34593</v>
      </c>
      <c r="AD676" s="871">
        <v>35285</v>
      </c>
      <c r="AE676" s="871">
        <v>35990</v>
      </c>
      <c r="AF676" s="871">
        <v>36710</v>
      </c>
      <c r="AG676" s="871">
        <v>37444</v>
      </c>
      <c r="AH676" s="871">
        <v>38193</v>
      </c>
      <c r="AI676" s="871">
        <v>38957</v>
      </c>
      <c r="AJ676" s="871">
        <v>39736</v>
      </c>
      <c r="AK676" s="871">
        <v>40531</v>
      </c>
      <c r="AL676" s="871">
        <v>41342</v>
      </c>
      <c r="AM676" s="871">
        <v>42168</v>
      </c>
      <c r="AN676" s="871">
        <v>43012</v>
      </c>
      <c r="AO676" s="871">
        <v>43872</v>
      </c>
      <c r="AP676" s="871">
        <v>44749</v>
      </c>
      <c r="AQ676" s="871">
        <v>45644</v>
      </c>
      <c r="AR676" s="871">
        <v>46557</v>
      </c>
      <c r="AS676" s="871">
        <v>47488</v>
      </c>
      <c r="AT676" s="871">
        <v>48438</v>
      </c>
      <c r="AU676" s="871">
        <v>49407</v>
      </c>
      <c r="AV676" s="871">
        <v>50395</v>
      </c>
      <c r="AW676" s="871">
        <v>51402</v>
      </c>
      <c r="AX676" s="871">
        <v>52430</v>
      </c>
      <c r="AY676" s="871">
        <v>53479</v>
      </c>
      <c r="AZ676" s="871">
        <v>54548</v>
      </c>
      <c r="BA676" s="871">
        <v>55639</v>
      </c>
      <c r="BB676" s="871">
        <v>56752</v>
      </c>
      <c r="BC676" s="871">
        <v>57887</v>
      </c>
      <c r="BD676" s="871">
        <v>59044</v>
      </c>
      <c r="BE676" s="871">
        <v>60225</v>
      </c>
      <c r="BF676" s="871">
        <v>61429</v>
      </c>
      <c r="BG676" s="871">
        <v>62658</v>
      </c>
      <c r="BH676" s="871">
        <v>63911</v>
      </c>
      <c r="BI676" s="871">
        <v>65184</v>
      </c>
      <c r="BJ676" s="871">
        <v>66471</v>
      </c>
      <c r="BK676" s="871">
        <v>67770</v>
      </c>
      <c r="BL676" s="871">
        <v>69083</v>
      </c>
      <c r="BM676" s="871">
        <v>70407</v>
      </c>
      <c r="BN676" s="871">
        <v>71742</v>
      </c>
      <c r="BO676" s="871">
        <v>73088</v>
      </c>
      <c r="BP676" s="871">
        <v>74443</v>
      </c>
      <c r="BQ676" s="871">
        <v>75808</v>
      </c>
      <c r="BR676" s="871">
        <v>77200</v>
      </c>
      <c r="BS676" s="871">
        <v>78600</v>
      </c>
      <c r="BT676" s="871">
        <v>80000</v>
      </c>
      <c r="BU676" s="871">
        <v>81400</v>
      </c>
      <c r="BV676" s="871">
        <v>82800</v>
      </c>
      <c r="BW676" s="871">
        <v>84200</v>
      </c>
      <c r="BX676" s="871">
        <v>85600</v>
      </c>
      <c r="BY676" s="871">
        <v>87000</v>
      </c>
      <c r="BZ676" s="871">
        <v>88400</v>
      </c>
      <c r="CA676" s="871">
        <v>89824</v>
      </c>
      <c r="CB676" s="871">
        <v>91252</v>
      </c>
      <c r="CC676" s="871">
        <v>92682</v>
      </c>
      <c r="CD676" s="871">
        <v>94115</v>
      </c>
      <c r="CE676" s="871">
        <v>95552</v>
      </c>
      <c r="CF676" s="871">
        <v>96996</v>
      </c>
      <c r="CG676" s="871">
        <v>98460</v>
      </c>
      <c r="CH676" s="871">
        <v>100005</v>
      </c>
      <c r="CI676" s="871">
        <v>101000</v>
      </c>
      <c r="CJ676" s="871">
        <v>0</v>
      </c>
      <c r="CK676" s="871">
        <v>0</v>
      </c>
      <c r="CL676" s="871">
        <v>0</v>
      </c>
      <c r="CM676" s="871">
        <v>0</v>
      </c>
      <c r="CN676" s="871">
        <v>0</v>
      </c>
      <c r="CO676" s="871">
        <v>0</v>
      </c>
      <c r="CP676" s="871">
        <v>0</v>
      </c>
      <c r="CQ676" s="871">
        <v>0</v>
      </c>
      <c r="CR676" s="871">
        <v>0</v>
      </c>
      <c r="CS676" s="871">
        <v>0</v>
      </c>
      <c r="CT676" s="871">
        <v>0</v>
      </c>
      <c r="CU676" s="871">
        <v>0</v>
      </c>
      <c r="CV676" s="871">
        <v>0</v>
      </c>
      <c r="CW676" s="871">
        <v>0</v>
      </c>
      <c r="CX676" s="871">
        <v>0</v>
      </c>
      <c r="CY676" s="871">
        <v>0</v>
      </c>
      <c r="CZ676" s="871">
        <v>0</v>
      </c>
      <c r="DA676" s="871">
        <v>0</v>
      </c>
      <c r="DB676" s="871">
        <v>0</v>
      </c>
      <c r="DC676" s="871">
        <v>0</v>
      </c>
      <c r="DD676" s="871">
        <v>0</v>
      </c>
      <c r="DE676" s="871">
        <v>0</v>
      </c>
      <c r="DF676" s="871">
        <v>0</v>
      </c>
      <c r="DG676" s="871">
        <v>0</v>
      </c>
      <c r="DH676" s="871">
        <v>0</v>
      </c>
      <c r="DI676" s="871">
        <v>0</v>
      </c>
      <c r="DJ676" s="871">
        <v>0</v>
      </c>
      <c r="DK676" s="871">
        <v>0</v>
      </c>
      <c r="DL676" s="871">
        <v>0</v>
      </c>
      <c r="DM676" s="871">
        <v>0</v>
      </c>
      <c r="DN676" s="871">
        <v>0</v>
      </c>
      <c r="DO676" s="871">
        <v>0</v>
      </c>
      <c r="DP676" s="871">
        <v>0</v>
      </c>
      <c r="DQ676" s="871">
        <v>0</v>
      </c>
      <c r="DR676" s="871">
        <v>0</v>
      </c>
      <c r="DS676" s="871">
        <v>0</v>
      </c>
      <c r="DT676" s="871">
        <v>0</v>
      </c>
      <c r="DU676" s="871">
        <v>0</v>
      </c>
      <c r="DV676" s="871">
        <v>0</v>
      </c>
      <c r="DW676" s="871">
        <v>0</v>
      </c>
    </row>
    <row r="677" spans="12:127" hidden="1">
      <c r="L677" s="870" t="s">
        <v>1060</v>
      </c>
      <c r="M677" s="870" t="s">
        <v>1382</v>
      </c>
      <c r="N677" s="870" t="s">
        <v>96</v>
      </c>
      <c r="O677" s="871">
        <v>41</v>
      </c>
      <c r="P677" s="780" t="str">
        <f t="shared" si="21"/>
        <v>IWT060141</v>
      </c>
      <c r="Q677" s="871">
        <v>27312</v>
      </c>
      <c r="R677" s="871">
        <v>27858</v>
      </c>
      <c r="S677" s="871">
        <v>28416</v>
      </c>
      <c r="T677" s="871">
        <v>28984</v>
      </c>
      <c r="U677" s="871">
        <v>29564</v>
      </c>
      <c r="V677" s="871">
        <v>32098.9</v>
      </c>
      <c r="W677" s="871">
        <v>32098.9</v>
      </c>
      <c r="X677" s="871">
        <v>32098.9</v>
      </c>
      <c r="Y677" s="871">
        <v>32098.9</v>
      </c>
      <c r="Z677" s="871">
        <v>32617</v>
      </c>
      <c r="AA677" s="871">
        <v>33270</v>
      </c>
      <c r="AB677" s="871">
        <v>33935</v>
      </c>
      <c r="AC677" s="871">
        <v>34614</v>
      </c>
      <c r="AD677" s="871">
        <v>35306</v>
      </c>
      <c r="AE677" s="871">
        <v>36012</v>
      </c>
      <c r="AF677" s="871">
        <v>36732</v>
      </c>
      <c r="AG677" s="871">
        <v>37467</v>
      </c>
      <c r="AH677" s="871">
        <v>38216</v>
      </c>
      <c r="AI677" s="871">
        <v>38980</v>
      </c>
      <c r="AJ677" s="871">
        <v>39760</v>
      </c>
      <c r="AK677" s="871">
        <v>40555</v>
      </c>
      <c r="AL677" s="871">
        <v>41366</v>
      </c>
      <c r="AM677" s="871">
        <v>42194</v>
      </c>
      <c r="AN677" s="871">
        <v>43037</v>
      </c>
      <c r="AO677" s="871">
        <v>43898</v>
      </c>
      <c r="AP677" s="871">
        <v>44776</v>
      </c>
      <c r="AQ677" s="871">
        <v>45672</v>
      </c>
      <c r="AR677" s="871">
        <v>46585</v>
      </c>
      <c r="AS677" s="871">
        <v>47517</v>
      </c>
      <c r="AT677" s="871">
        <v>48467</v>
      </c>
      <c r="AU677" s="871">
        <v>49436</v>
      </c>
      <c r="AV677" s="871">
        <v>50425</v>
      </c>
      <c r="AW677" s="871">
        <v>51433</v>
      </c>
      <c r="AX677" s="871">
        <v>52462</v>
      </c>
      <c r="AY677" s="871">
        <v>53511</v>
      </c>
      <c r="AZ677" s="871">
        <v>54581</v>
      </c>
      <c r="BA677" s="871">
        <v>55672</v>
      </c>
      <c r="BB677" s="871">
        <v>56786</v>
      </c>
      <c r="BC677" s="871">
        <v>57921</v>
      </c>
      <c r="BD677" s="871">
        <v>59080</v>
      </c>
      <c r="BE677" s="871">
        <v>60261</v>
      </c>
      <c r="BF677" s="871">
        <v>61466</v>
      </c>
      <c r="BG677" s="871">
        <v>62695</v>
      </c>
      <c r="BH677" s="871">
        <v>63949</v>
      </c>
      <c r="BI677" s="871">
        <v>65226</v>
      </c>
      <c r="BJ677" s="871">
        <v>66517</v>
      </c>
      <c r="BK677" s="871">
        <v>67820</v>
      </c>
      <c r="BL677" s="871">
        <v>69136</v>
      </c>
      <c r="BM677" s="871">
        <v>70463</v>
      </c>
      <c r="BN677" s="871">
        <v>71801</v>
      </c>
      <c r="BO677" s="871">
        <v>73149</v>
      </c>
      <c r="BP677" s="871">
        <v>74506</v>
      </c>
      <c r="BQ677" s="871">
        <v>75872</v>
      </c>
      <c r="BR677" s="871">
        <v>77246</v>
      </c>
      <c r="BS677" s="871">
        <v>78628</v>
      </c>
      <c r="BT677" s="871">
        <v>80017</v>
      </c>
      <c r="BU677" s="871">
        <v>81413</v>
      </c>
      <c r="BV677" s="871">
        <v>82814</v>
      </c>
      <c r="BW677" s="871">
        <v>84221</v>
      </c>
      <c r="BX677" s="871">
        <v>85632</v>
      </c>
      <c r="BY677" s="871">
        <v>87048</v>
      </c>
      <c r="BZ677" s="871">
        <v>88468</v>
      </c>
      <c r="CA677" s="871">
        <v>89891</v>
      </c>
      <c r="CB677" s="871">
        <v>91318</v>
      </c>
      <c r="CC677" s="871">
        <v>92748</v>
      </c>
      <c r="CD677" s="871">
        <v>94181</v>
      </c>
      <c r="CE677" s="871">
        <v>95622</v>
      </c>
      <c r="CF677" s="871">
        <v>97081</v>
      </c>
      <c r="CG677" s="871">
        <v>98619</v>
      </c>
      <c r="CH677" s="871">
        <v>99600</v>
      </c>
      <c r="CI677" s="871">
        <v>0</v>
      </c>
      <c r="CJ677" s="871">
        <v>0</v>
      </c>
      <c r="CK677" s="871">
        <v>0</v>
      </c>
      <c r="CL677" s="871">
        <v>0</v>
      </c>
      <c r="CM677" s="871">
        <v>0</v>
      </c>
      <c r="CN677" s="871">
        <v>0</v>
      </c>
      <c r="CO677" s="871">
        <v>0</v>
      </c>
      <c r="CP677" s="871">
        <v>0</v>
      </c>
      <c r="CQ677" s="871">
        <v>0</v>
      </c>
      <c r="CR677" s="871">
        <v>0</v>
      </c>
      <c r="CS677" s="871">
        <v>0</v>
      </c>
      <c r="CT677" s="871">
        <v>0</v>
      </c>
      <c r="CU677" s="871">
        <v>0</v>
      </c>
      <c r="CV677" s="871">
        <v>0</v>
      </c>
      <c r="CW677" s="871">
        <v>0</v>
      </c>
      <c r="CX677" s="871">
        <v>0</v>
      </c>
      <c r="CY677" s="871">
        <v>0</v>
      </c>
      <c r="CZ677" s="871">
        <v>0</v>
      </c>
      <c r="DA677" s="871">
        <v>0</v>
      </c>
      <c r="DB677" s="871">
        <v>0</v>
      </c>
      <c r="DC677" s="871">
        <v>0</v>
      </c>
      <c r="DD677" s="871">
        <v>0</v>
      </c>
      <c r="DE677" s="871">
        <v>0</v>
      </c>
      <c r="DF677" s="871">
        <v>0</v>
      </c>
      <c r="DG677" s="871">
        <v>0</v>
      </c>
      <c r="DH677" s="871">
        <v>0</v>
      </c>
      <c r="DI677" s="871">
        <v>0</v>
      </c>
      <c r="DJ677" s="871">
        <v>0</v>
      </c>
      <c r="DK677" s="871">
        <v>0</v>
      </c>
      <c r="DL677" s="871">
        <v>0</v>
      </c>
      <c r="DM677" s="871">
        <v>0</v>
      </c>
      <c r="DN677" s="871">
        <v>0</v>
      </c>
      <c r="DO677" s="871">
        <v>0</v>
      </c>
      <c r="DP677" s="871">
        <v>0</v>
      </c>
      <c r="DQ677" s="871">
        <v>0</v>
      </c>
      <c r="DR677" s="871">
        <v>0</v>
      </c>
      <c r="DS677" s="871">
        <v>0</v>
      </c>
      <c r="DT677" s="871">
        <v>0</v>
      </c>
      <c r="DU677" s="871">
        <v>0</v>
      </c>
      <c r="DV677" s="871">
        <v>0</v>
      </c>
      <c r="DW677" s="871">
        <v>0</v>
      </c>
    </row>
    <row r="678" spans="12:127" hidden="1">
      <c r="L678" s="870" t="s">
        <v>1060</v>
      </c>
      <c r="M678" s="870" t="s">
        <v>1382</v>
      </c>
      <c r="N678" s="870" t="s">
        <v>96</v>
      </c>
      <c r="O678" s="871">
        <v>42</v>
      </c>
      <c r="P678" s="780" t="str">
        <f t="shared" si="21"/>
        <v>IWT060142</v>
      </c>
      <c r="Q678" s="871">
        <v>27329</v>
      </c>
      <c r="R678" s="871">
        <v>27876</v>
      </c>
      <c r="S678" s="871">
        <v>28433</v>
      </c>
      <c r="T678" s="871">
        <v>29002</v>
      </c>
      <c r="U678" s="871">
        <v>29582</v>
      </c>
      <c r="V678" s="871">
        <v>32118</v>
      </c>
      <c r="W678" s="871">
        <v>32118</v>
      </c>
      <c r="X678" s="871">
        <v>32118</v>
      </c>
      <c r="Y678" s="871">
        <v>32118</v>
      </c>
      <c r="Z678" s="871">
        <v>32635</v>
      </c>
      <c r="AA678" s="871">
        <v>33288</v>
      </c>
      <c r="AB678" s="871">
        <v>33954</v>
      </c>
      <c r="AC678" s="871">
        <v>34633</v>
      </c>
      <c r="AD678" s="871">
        <v>35326</v>
      </c>
      <c r="AE678" s="871">
        <v>36032</v>
      </c>
      <c r="AF678" s="871">
        <v>36753</v>
      </c>
      <c r="AG678" s="871">
        <v>37488</v>
      </c>
      <c r="AH678" s="871">
        <v>38237</v>
      </c>
      <c r="AI678" s="871">
        <v>39002</v>
      </c>
      <c r="AJ678" s="871">
        <v>39782</v>
      </c>
      <c r="AK678" s="871">
        <v>40578</v>
      </c>
      <c r="AL678" s="871">
        <v>41389</v>
      </c>
      <c r="AM678" s="871">
        <v>42217</v>
      </c>
      <c r="AN678" s="871">
        <v>43061</v>
      </c>
      <c r="AO678" s="871">
        <v>43923</v>
      </c>
      <c r="AP678" s="871">
        <v>44801</v>
      </c>
      <c r="AQ678" s="871">
        <v>45697</v>
      </c>
      <c r="AR678" s="871">
        <v>46611</v>
      </c>
      <c r="AS678" s="871">
        <v>47543</v>
      </c>
      <c r="AT678" s="871">
        <v>48494</v>
      </c>
      <c r="AU678" s="871">
        <v>49464</v>
      </c>
      <c r="AV678" s="871">
        <v>50453</v>
      </c>
      <c r="AW678" s="871">
        <v>51462</v>
      </c>
      <c r="AX678" s="871">
        <v>52491</v>
      </c>
      <c r="AY678" s="871">
        <v>53540</v>
      </c>
      <c r="AZ678" s="871">
        <v>54611</v>
      </c>
      <c r="BA678" s="871">
        <v>55703</v>
      </c>
      <c r="BB678" s="871">
        <v>56817</v>
      </c>
      <c r="BC678" s="871">
        <v>57953</v>
      </c>
      <c r="BD678" s="871">
        <v>59112</v>
      </c>
      <c r="BE678" s="871">
        <v>60294</v>
      </c>
      <c r="BF678" s="871">
        <v>61500</v>
      </c>
      <c r="BG678" s="871">
        <v>62730</v>
      </c>
      <c r="BH678" s="871">
        <v>63984</v>
      </c>
      <c r="BI678" s="871">
        <v>65263</v>
      </c>
      <c r="BJ678" s="871">
        <v>66558</v>
      </c>
      <c r="BK678" s="871">
        <v>67865</v>
      </c>
      <c r="BL678" s="871">
        <v>69184</v>
      </c>
      <c r="BM678" s="871">
        <v>70515</v>
      </c>
      <c r="BN678" s="871">
        <v>71855</v>
      </c>
      <c r="BO678" s="871">
        <v>73205</v>
      </c>
      <c r="BP678" s="871">
        <v>74564</v>
      </c>
      <c r="BQ678" s="871">
        <v>75932</v>
      </c>
      <c r="BR678" s="871">
        <v>77307</v>
      </c>
      <c r="BS678" s="871">
        <v>78690</v>
      </c>
      <c r="BT678" s="871">
        <v>80080</v>
      </c>
      <c r="BU678" s="871">
        <v>81476</v>
      </c>
      <c r="BV678" s="871">
        <v>82878</v>
      </c>
      <c r="BW678" s="871">
        <v>84285</v>
      </c>
      <c r="BX678" s="871">
        <v>85696</v>
      </c>
      <c r="BY678" s="871">
        <v>87112</v>
      </c>
      <c r="BZ678" s="871">
        <v>88531</v>
      </c>
      <c r="CA678" s="871">
        <v>89954</v>
      </c>
      <c r="CB678" s="871">
        <v>91380</v>
      </c>
      <c r="CC678" s="871">
        <v>92810</v>
      </c>
      <c r="CD678" s="871">
        <v>94247</v>
      </c>
      <c r="CE678" s="871">
        <v>95703</v>
      </c>
      <c r="CF678" s="871">
        <v>97232</v>
      </c>
      <c r="CG678" s="871">
        <v>98200</v>
      </c>
      <c r="CH678" s="871">
        <v>0</v>
      </c>
      <c r="CI678" s="871">
        <v>0</v>
      </c>
      <c r="CJ678" s="871">
        <v>0</v>
      </c>
      <c r="CK678" s="871">
        <v>0</v>
      </c>
      <c r="CL678" s="871">
        <v>0</v>
      </c>
      <c r="CM678" s="871">
        <v>0</v>
      </c>
      <c r="CN678" s="871">
        <v>0</v>
      </c>
      <c r="CO678" s="871">
        <v>0</v>
      </c>
      <c r="CP678" s="871">
        <v>0</v>
      </c>
      <c r="CQ678" s="871">
        <v>0</v>
      </c>
      <c r="CR678" s="871">
        <v>0</v>
      </c>
      <c r="CS678" s="871">
        <v>0</v>
      </c>
      <c r="CT678" s="871">
        <v>0</v>
      </c>
      <c r="CU678" s="871">
        <v>0</v>
      </c>
      <c r="CV678" s="871">
        <v>0</v>
      </c>
      <c r="CW678" s="871">
        <v>0</v>
      </c>
      <c r="CX678" s="871">
        <v>0</v>
      </c>
      <c r="CY678" s="871">
        <v>0</v>
      </c>
      <c r="CZ678" s="871">
        <v>0</v>
      </c>
      <c r="DA678" s="871">
        <v>0</v>
      </c>
      <c r="DB678" s="871">
        <v>0</v>
      </c>
      <c r="DC678" s="871">
        <v>0</v>
      </c>
      <c r="DD678" s="871">
        <v>0</v>
      </c>
      <c r="DE678" s="871">
        <v>0</v>
      </c>
      <c r="DF678" s="871">
        <v>0</v>
      </c>
      <c r="DG678" s="871">
        <v>0</v>
      </c>
      <c r="DH678" s="871">
        <v>0</v>
      </c>
      <c r="DI678" s="871">
        <v>0</v>
      </c>
      <c r="DJ678" s="871">
        <v>0</v>
      </c>
      <c r="DK678" s="871">
        <v>0</v>
      </c>
      <c r="DL678" s="871">
        <v>0</v>
      </c>
      <c r="DM678" s="871">
        <v>0</v>
      </c>
      <c r="DN678" s="871">
        <v>0</v>
      </c>
      <c r="DO678" s="871">
        <v>0</v>
      </c>
      <c r="DP678" s="871">
        <v>0</v>
      </c>
      <c r="DQ678" s="871">
        <v>0</v>
      </c>
      <c r="DR678" s="871">
        <v>0</v>
      </c>
      <c r="DS678" s="871">
        <v>0</v>
      </c>
      <c r="DT678" s="871">
        <v>0</v>
      </c>
      <c r="DU678" s="871">
        <v>0</v>
      </c>
      <c r="DV678" s="871">
        <v>0</v>
      </c>
      <c r="DW678" s="871">
        <v>0</v>
      </c>
    </row>
    <row r="679" spans="12:127" hidden="1">
      <c r="L679" s="870" t="s">
        <v>1060</v>
      </c>
      <c r="M679" s="870" t="s">
        <v>1382</v>
      </c>
      <c r="N679" s="870" t="s">
        <v>96</v>
      </c>
      <c r="O679" s="871">
        <v>43</v>
      </c>
      <c r="P679" s="780" t="str">
        <f t="shared" si="21"/>
        <v>IWT060143</v>
      </c>
      <c r="Q679" s="871">
        <v>27345</v>
      </c>
      <c r="R679" s="871">
        <v>27891</v>
      </c>
      <c r="S679" s="871">
        <v>28449</v>
      </c>
      <c r="T679" s="871">
        <v>29018</v>
      </c>
      <c r="U679" s="871">
        <v>29599</v>
      </c>
      <c r="V679" s="871">
        <v>32137.1</v>
      </c>
      <c r="W679" s="871">
        <v>32137.1</v>
      </c>
      <c r="X679" s="871">
        <v>32137.1</v>
      </c>
      <c r="Y679" s="871">
        <v>32137.1</v>
      </c>
      <c r="Z679" s="871">
        <v>32652</v>
      </c>
      <c r="AA679" s="871">
        <v>33305</v>
      </c>
      <c r="AB679" s="871">
        <v>33971</v>
      </c>
      <c r="AC679" s="871">
        <v>34650</v>
      </c>
      <c r="AD679" s="871">
        <v>35343</v>
      </c>
      <c r="AE679" s="871">
        <v>36050</v>
      </c>
      <c r="AF679" s="871">
        <v>36771</v>
      </c>
      <c r="AG679" s="871">
        <v>37507</v>
      </c>
      <c r="AH679" s="871">
        <v>38257</v>
      </c>
      <c r="AI679" s="871">
        <v>39022</v>
      </c>
      <c r="AJ679" s="871">
        <v>39802</v>
      </c>
      <c r="AK679" s="871">
        <v>40598</v>
      </c>
      <c r="AL679" s="871">
        <v>41410</v>
      </c>
      <c r="AM679" s="871">
        <v>42238</v>
      </c>
      <c r="AN679" s="871">
        <v>43083</v>
      </c>
      <c r="AO679" s="871">
        <v>43945</v>
      </c>
      <c r="AP679" s="871">
        <v>44823</v>
      </c>
      <c r="AQ679" s="871">
        <v>45720</v>
      </c>
      <c r="AR679" s="871">
        <v>46634</v>
      </c>
      <c r="AS679" s="871">
        <v>47567</v>
      </c>
      <c r="AT679" s="871">
        <v>48518</v>
      </c>
      <c r="AU679" s="871">
        <v>49488</v>
      </c>
      <c r="AV679" s="871">
        <v>50478</v>
      </c>
      <c r="AW679" s="871">
        <v>51488</v>
      </c>
      <c r="AX679" s="871">
        <v>52517</v>
      </c>
      <c r="AY679" s="871">
        <v>53567</v>
      </c>
      <c r="AZ679" s="871">
        <v>54639</v>
      </c>
      <c r="BA679" s="871">
        <v>55731</v>
      </c>
      <c r="BB679" s="871">
        <v>56846</v>
      </c>
      <c r="BC679" s="871">
        <v>57982</v>
      </c>
      <c r="BD679" s="871">
        <v>59142</v>
      </c>
      <c r="BE679" s="871">
        <v>60324</v>
      </c>
      <c r="BF679" s="871">
        <v>61531</v>
      </c>
      <c r="BG679" s="871">
        <v>62761</v>
      </c>
      <c r="BH679" s="871">
        <v>64016</v>
      </c>
      <c r="BI679" s="871">
        <v>65296</v>
      </c>
      <c r="BJ679" s="871">
        <v>66594</v>
      </c>
      <c r="BK679" s="871">
        <v>67905</v>
      </c>
      <c r="BL679" s="871">
        <v>69228</v>
      </c>
      <c r="BM679" s="871">
        <v>70560</v>
      </c>
      <c r="BN679" s="871">
        <v>71903</v>
      </c>
      <c r="BO679" s="871">
        <v>73256</v>
      </c>
      <c r="BP679" s="871">
        <v>74617</v>
      </c>
      <c r="BQ679" s="871">
        <v>75986</v>
      </c>
      <c r="BR679" s="871">
        <v>77364</v>
      </c>
      <c r="BS679" s="871">
        <v>78748</v>
      </c>
      <c r="BT679" s="871">
        <v>80138</v>
      </c>
      <c r="BU679" s="871">
        <v>81535</v>
      </c>
      <c r="BV679" s="871">
        <v>82937</v>
      </c>
      <c r="BW679" s="871">
        <v>84344</v>
      </c>
      <c r="BX679" s="871">
        <v>85755</v>
      </c>
      <c r="BY679" s="871">
        <v>87171</v>
      </c>
      <c r="BZ679" s="871">
        <v>88590</v>
      </c>
      <c r="CA679" s="871">
        <v>90012</v>
      </c>
      <c r="CB679" s="871">
        <v>91439</v>
      </c>
      <c r="CC679" s="871">
        <v>92873</v>
      </c>
      <c r="CD679" s="871">
        <v>94324</v>
      </c>
      <c r="CE679" s="871">
        <v>95846</v>
      </c>
      <c r="CF679" s="871">
        <v>96800</v>
      </c>
      <c r="CG679" s="871">
        <v>0</v>
      </c>
      <c r="CH679" s="871">
        <v>0</v>
      </c>
      <c r="CI679" s="871">
        <v>0</v>
      </c>
      <c r="CJ679" s="871">
        <v>0</v>
      </c>
      <c r="CK679" s="871">
        <v>0</v>
      </c>
      <c r="CL679" s="871">
        <v>0</v>
      </c>
      <c r="CM679" s="871">
        <v>0</v>
      </c>
      <c r="CN679" s="871">
        <v>0</v>
      </c>
      <c r="CO679" s="871">
        <v>0</v>
      </c>
      <c r="CP679" s="871">
        <v>0</v>
      </c>
      <c r="CQ679" s="871">
        <v>0</v>
      </c>
      <c r="CR679" s="871">
        <v>0</v>
      </c>
      <c r="CS679" s="871">
        <v>0</v>
      </c>
      <c r="CT679" s="871">
        <v>0</v>
      </c>
      <c r="CU679" s="871">
        <v>0</v>
      </c>
      <c r="CV679" s="871">
        <v>0</v>
      </c>
      <c r="CW679" s="871">
        <v>0</v>
      </c>
      <c r="CX679" s="871">
        <v>0</v>
      </c>
      <c r="CY679" s="871">
        <v>0</v>
      </c>
      <c r="CZ679" s="871">
        <v>0</v>
      </c>
      <c r="DA679" s="871">
        <v>0</v>
      </c>
      <c r="DB679" s="871">
        <v>0</v>
      </c>
      <c r="DC679" s="871">
        <v>0</v>
      </c>
      <c r="DD679" s="871">
        <v>0</v>
      </c>
      <c r="DE679" s="871">
        <v>0</v>
      </c>
      <c r="DF679" s="871">
        <v>0</v>
      </c>
      <c r="DG679" s="871">
        <v>0</v>
      </c>
      <c r="DH679" s="871">
        <v>0</v>
      </c>
      <c r="DI679" s="871">
        <v>0</v>
      </c>
      <c r="DJ679" s="871">
        <v>0</v>
      </c>
      <c r="DK679" s="871">
        <v>0</v>
      </c>
      <c r="DL679" s="871">
        <v>0</v>
      </c>
      <c r="DM679" s="871">
        <v>0</v>
      </c>
      <c r="DN679" s="871">
        <v>0</v>
      </c>
      <c r="DO679" s="871">
        <v>0</v>
      </c>
      <c r="DP679" s="871">
        <v>0</v>
      </c>
      <c r="DQ679" s="871">
        <v>0</v>
      </c>
      <c r="DR679" s="871">
        <v>0</v>
      </c>
      <c r="DS679" s="871">
        <v>0</v>
      </c>
      <c r="DT679" s="871">
        <v>0</v>
      </c>
      <c r="DU679" s="871">
        <v>0</v>
      </c>
      <c r="DV679" s="871">
        <v>0</v>
      </c>
      <c r="DW679" s="871">
        <v>0</v>
      </c>
    </row>
    <row r="680" spans="12:127" hidden="1">
      <c r="L680" s="870" t="s">
        <v>1060</v>
      </c>
      <c r="M680" s="870" t="s">
        <v>1382</v>
      </c>
      <c r="N680" s="870" t="s">
        <v>96</v>
      </c>
      <c r="O680" s="871">
        <v>44</v>
      </c>
      <c r="P680" s="780" t="str">
        <f t="shared" si="21"/>
        <v>IWT060144</v>
      </c>
      <c r="Q680" s="871">
        <v>27358</v>
      </c>
      <c r="R680" s="871">
        <v>27906</v>
      </c>
      <c r="S680" s="871">
        <v>28464</v>
      </c>
      <c r="T680" s="871">
        <v>29033</v>
      </c>
      <c r="U680" s="871">
        <v>29614</v>
      </c>
      <c r="V680" s="871">
        <v>32156.2</v>
      </c>
      <c r="W680" s="871">
        <v>32156.2</v>
      </c>
      <c r="X680" s="871">
        <v>32156.2</v>
      </c>
      <c r="Y680" s="871">
        <v>32156.2</v>
      </c>
      <c r="Z680" s="871">
        <v>32666</v>
      </c>
      <c r="AA680" s="871">
        <v>33319</v>
      </c>
      <c r="AB680" s="871">
        <v>33986</v>
      </c>
      <c r="AC680" s="871">
        <v>34665</v>
      </c>
      <c r="AD680" s="871">
        <v>35359</v>
      </c>
      <c r="AE680" s="871">
        <v>36066</v>
      </c>
      <c r="AF680" s="871">
        <v>36787</v>
      </c>
      <c r="AG680" s="871">
        <v>37523</v>
      </c>
      <c r="AH680" s="871">
        <v>38273</v>
      </c>
      <c r="AI680" s="871">
        <v>39039</v>
      </c>
      <c r="AJ680" s="871">
        <v>39819</v>
      </c>
      <c r="AK680" s="871">
        <v>40616</v>
      </c>
      <c r="AL680" s="871">
        <v>41428</v>
      </c>
      <c r="AM680" s="871">
        <v>42257</v>
      </c>
      <c r="AN680" s="871">
        <v>43102</v>
      </c>
      <c r="AO680" s="871">
        <v>43964</v>
      </c>
      <c r="AP680" s="871">
        <v>44843</v>
      </c>
      <c r="AQ680" s="871">
        <v>45740</v>
      </c>
      <c r="AR680" s="871">
        <v>46654</v>
      </c>
      <c r="AS680" s="871">
        <v>47587</v>
      </c>
      <c r="AT680" s="871">
        <v>48539</v>
      </c>
      <c r="AU680" s="871">
        <v>49510</v>
      </c>
      <c r="AV680" s="871">
        <v>50500</v>
      </c>
      <c r="AW680" s="871">
        <v>51510</v>
      </c>
      <c r="AX680" s="871">
        <v>52540</v>
      </c>
      <c r="AY680" s="871">
        <v>53590</v>
      </c>
      <c r="AZ680" s="871">
        <v>54662</v>
      </c>
      <c r="BA680" s="871">
        <v>55755</v>
      </c>
      <c r="BB680" s="871">
        <v>56870</v>
      </c>
      <c r="BC680" s="871">
        <v>58007</v>
      </c>
      <c r="BD680" s="871">
        <v>59167</v>
      </c>
      <c r="BE680" s="871">
        <v>60350</v>
      </c>
      <c r="BF680" s="871">
        <v>61557</v>
      </c>
      <c r="BG680" s="871">
        <v>62788</v>
      </c>
      <c r="BH680" s="871">
        <v>64043</v>
      </c>
      <c r="BI680" s="871">
        <v>65324</v>
      </c>
      <c r="BJ680" s="871">
        <v>66626</v>
      </c>
      <c r="BK680" s="871">
        <v>67941</v>
      </c>
      <c r="BL680" s="871">
        <v>69266</v>
      </c>
      <c r="BM680" s="871">
        <v>70602</v>
      </c>
      <c r="BN680" s="871">
        <v>71947</v>
      </c>
      <c r="BO680" s="871">
        <v>73302</v>
      </c>
      <c r="BP680" s="871">
        <v>74665</v>
      </c>
      <c r="BQ680" s="871">
        <v>76037</v>
      </c>
      <c r="BR680" s="871">
        <v>77415</v>
      </c>
      <c r="BS680" s="871">
        <v>78801</v>
      </c>
      <c r="BT680" s="871">
        <v>80192</v>
      </c>
      <c r="BU680" s="871">
        <v>81590</v>
      </c>
      <c r="BV680" s="871">
        <v>82992</v>
      </c>
      <c r="BW680" s="871">
        <v>84399</v>
      </c>
      <c r="BX680" s="871">
        <v>85810</v>
      </c>
      <c r="BY680" s="871">
        <v>87226</v>
      </c>
      <c r="BZ680" s="871">
        <v>88645</v>
      </c>
      <c r="CA680" s="871">
        <v>90068</v>
      </c>
      <c r="CB680" s="871">
        <v>91498</v>
      </c>
      <c r="CC680" s="871">
        <v>92945</v>
      </c>
      <c r="CD680" s="871">
        <v>94460</v>
      </c>
      <c r="CE680" s="871">
        <v>95400</v>
      </c>
      <c r="CF680" s="871">
        <v>0</v>
      </c>
      <c r="CG680" s="871">
        <v>0</v>
      </c>
      <c r="CH680" s="871">
        <v>0</v>
      </c>
      <c r="CI680" s="871">
        <v>0</v>
      </c>
      <c r="CJ680" s="871">
        <v>0</v>
      </c>
      <c r="CK680" s="871">
        <v>0</v>
      </c>
      <c r="CL680" s="871">
        <v>0</v>
      </c>
      <c r="CM680" s="871">
        <v>0</v>
      </c>
      <c r="CN680" s="871">
        <v>0</v>
      </c>
      <c r="CO680" s="871">
        <v>0</v>
      </c>
      <c r="CP680" s="871">
        <v>0</v>
      </c>
      <c r="CQ680" s="871">
        <v>0</v>
      </c>
      <c r="CR680" s="871">
        <v>0</v>
      </c>
      <c r="CS680" s="871">
        <v>0</v>
      </c>
      <c r="CT680" s="871">
        <v>0</v>
      </c>
      <c r="CU680" s="871">
        <v>0</v>
      </c>
      <c r="CV680" s="871">
        <v>0</v>
      </c>
      <c r="CW680" s="871">
        <v>0</v>
      </c>
      <c r="CX680" s="871">
        <v>0</v>
      </c>
      <c r="CY680" s="871">
        <v>0</v>
      </c>
      <c r="CZ680" s="871">
        <v>0</v>
      </c>
      <c r="DA680" s="871">
        <v>0</v>
      </c>
      <c r="DB680" s="871">
        <v>0</v>
      </c>
      <c r="DC680" s="871">
        <v>0</v>
      </c>
      <c r="DD680" s="871">
        <v>0</v>
      </c>
      <c r="DE680" s="871">
        <v>0</v>
      </c>
      <c r="DF680" s="871">
        <v>0</v>
      </c>
      <c r="DG680" s="871">
        <v>0</v>
      </c>
      <c r="DH680" s="871">
        <v>0</v>
      </c>
      <c r="DI680" s="871">
        <v>0</v>
      </c>
      <c r="DJ680" s="871">
        <v>0</v>
      </c>
      <c r="DK680" s="871">
        <v>0</v>
      </c>
      <c r="DL680" s="871">
        <v>0</v>
      </c>
      <c r="DM680" s="871">
        <v>0</v>
      </c>
      <c r="DN680" s="871">
        <v>0</v>
      </c>
      <c r="DO680" s="871">
        <v>0</v>
      </c>
      <c r="DP680" s="871">
        <v>0</v>
      </c>
      <c r="DQ680" s="871">
        <v>0</v>
      </c>
      <c r="DR680" s="871">
        <v>0</v>
      </c>
      <c r="DS680" s="871">
        <v>0</v>
      </c>
      <c r="DT680" s="871">
        <v>0</v>
      </c>
      <c r="DU680" s="871">
        <v>0</v>
      </c>
      <c r="DV680" s="871">
        <v>0</v>
      </c>
      <c r="DW680" s="871">
        <v>0</v>
      </c>
    </row>
    <row r="681" spans="12:127" hidden="1">
      <c r="L681" s="870" t="s">
        <v>1060</v>
      </c>
      <c r="M681" s="870" t="s">
        <v>1382</v>
      </c>
      <c r="N681" s="870" t="s">
        <v>96</v>
      </c>
      <c r="O681" s="871">
        <v>45</v>
      </c>
      <c r="P681" s="780" t="str">
        <f t="shared" si="21"/>
        <v>IWT060145</v>
      </c>
      <c r="Q681" s="871">
        <v>27370</v>
      </c>
      <c r="R681" s="871">
        <v>27918</v>
      </c>
      <c r="S681" s="871">
        <v>28476</v>
      </c>
      <c r="T681" s="871">
        <v>29046</v>
      </c>
      <c r="U681" s="871">
        <v>29627</v>
      </c>
      <c r="V681" s="871">
        <v>32175.200000000001</v>
      </c>
      <c r="W681" s="871">
        <v>32175.200000000001</v>
      </c>
      <c r="X681" s="871">
        <v>32175.200000000001</v>
      </c>
      <c r="Y681" s="871">
        <v>32175.200000000001</v>
      </c>
      <c r="Z681" s="871">
        <v>32678</v>
      </c>
      <c r="AA681" s="871">
        <v>33331</v>
      </c>
      <c r="AB681" s="871">
        <v>33998</v>
      </c>
      <c r="AC681" s="871">
        <v>34678</v>
      </c>
      <c r="AD681" s="871">
        <v>35371</v>
      </c>
      <c r="AE681" s="871">
        <v>36079</v>
      </c>
      <c r="AF681" s="871">
        <v>36800</v>
      </c>
      <c r="AG681" s="871">
        <v>37536</v>
      </c>
      <c r="AH681" s="871">
        <v>38287</v>
      </c>
      <c r="AI681" s="871">
        <v>39053</v>
      </c>
      <c r="AJ681" s="871">
        <v>39834</v>
      </c>
      <c r="AK681" s="871">
        <v>40631</v>
      </c>
      <c r="AL681" s="871">
        <v>41443</v>
      </c>
      <c r="AM681" s="871">
        <v>42272</v>
      </c>
      <c r="AN681" s="871">
        <v>43117</v>
      </c>
      <c r="AO681" s="871">
        <v>43980</v>
      </c>
      <c r="AP681" s="871">
        <v>44859</v>
      </c>
      <c r="AQ681" s="871">
        <v>45756</v>
      </c>
      <c r="AR681" s="871">
        <v>46671</v>
      </c>
      <c r="AS681" s="871">
        <v>47605</v>
      </c>
      <c r="AT681" s="871">
        <v>48557</v>
      </c>
      <c r="AU681" s="871">
        <v>49528</v>
      </c>
      <c r="AV681" s="871">
        <v>50518</v>
      </c>
      <c r="AW681" s="871">
        <v>51528</v>
      </c>
      <c r="AX681" s="871">
        <v>52559</v>
      </c>
      <c r="AY681" s="871">
        <v>53610</v>
      </c>
      <c r="AZ681" s="871">
        <v>54682</v>
      </c>
      <c r="BA681" s="871">
        <v>55775</v>
      </c>
      <c r="BB681" s="871">
        <v>56891</v>
      </c>
      <c r="BC681" s="871">
        <v>58028</v>
      </c>
      <c r="BD681" s="871">
        <v>59189</v>
      </c>
      <c r="BE681" s="871">
        <v>60372</v>
      </c>
      <c r="BF681" s="871">
        <v>61579</v>
      </c>
      <c r="BG681" s="871">
        <v>62810</v>
      </c>
      <c r="BH681" s="871">
        <v>64066</v>
      </c>
      <c r="BI681" s="871">
        <v>65347</v>
      </c>
      <c r="BJ681" s="871">
        <v>66654</v>
      </c>
      <c r="BK681" s="871">
        <v>67972</v>
      </c>
      <c r="BL681" s="871">
        <v>69300</v>
      </c>
      <c r="BM681" s="871">
        <v>70639</v>
      </c>
      <c r="BN681" s="871">
        <v>71987</v>
      </c>
      <c r="BO681" s="871">
        <v>73344</v>
      </c>
      <c r="BP681" s="871">
        <v>74710</v>
      </c>
      <c r="BQ681" s="871">
        <v>76083</v>
      </c>
      <c r="BR681" s="871">
        <v>77463</v>
      </c>
      <c r="BS681" s="871">
        <v>78849</v>
      </c>
      <c r="BT681" s="871">
        <v>80242</v>
      </c>
      <c r="BU681" s="871">
        <v>81640</v>
      </c>
      <c r="BV681" s="871">
        <v>83043</v>
      </c>
      <c r="BW681" s="871">
        <v>84450</v>
      </c>
      <c r="BX681" s="871">
        <v>85862</v>
      </c>
      <c r="BY681" s="871">
        <v>87277</v>
      </c>
      <c r="BZ681" s="871">
        <v>88697</v>
      </c>
      <c r="CA681" s="871">
        <v>90123</v>
      </c>
      <c r="CB681" s="871">
        <v>91567</v>
      </c>
      <c r="CC681" s="871">
        <v>93074</v>
      </c>
      <c r="CD681" s="871">
        <v>94000</v>
      </c>
      <c r="CE681" s="871">
        <v>0</v>
      </c>
      <c r="CF681" s="871">
        <v>0</v>
      </c>
      <c r="CG681" s="871">
        <v>0</v>
      </c>
      <c r="CH681" s="871">
        <v>0</v>
      </c>
      <c r="CI681" s="871">
        <v>0</v>
      </c>
      <c r="CJ681" s="871">
        <v>0</v>
      </c>
      <c r="CK681" s="871">
        <v>0</v>
      </c>
      <c r="CL681" s="871">
        <v>0</v>
      </c>
      <c r="CM681" s="871">
        <v>0</v>
      </c>
      <c r="CN681" s="871">
        <v>0</v>
      </c>
      <c r="CO681" s="871">
        <v>0</v>
      </c>
      <c r="CP681" s="871">
        <v>0</v>
      </c>
      <c r="CQ681" s="871">
        <v>0</v>
      </c>
      <c r="CR681" s="871">
        <v>0</v>
      </c>
      <c r="CS681" s="871">
        <v>0</v>
      </c>
      <c r="CT681" s="871">
        <v>0</v>
      </c>
      <c r="CU681" s="871">
        <v>0</v>
      </c>
      <c r="CV681" s="871">
        <v>0</v>
      </c>
      <c r="CW681" s="871">
        <v>0</v>
      </c>
      <c r="CX681" s="871">
        <v>0</v>
      </c>
      <c r="CY681" s="871">
        <v>0</v>
      </c>
      <c r="CZ681" s="871">
        <v>0</v>
      </c>
      <c r="DA681" s="871">
        <v>0</v>
      </c>
      <c r="DB681" s="871">
        <v>0</v>
      </c>
      <c r="DC681" s="871">
        <v>0</v>
      </c>
      <c r="DD681" s="871">
        <v>0</v>
      </c>
      <c r="DE681" s="871">
        <v>0</v>
      </c>
      <c r="DF681" s="871">
        <v>0</v>
      </c>
      <c r="DG681" s="871">
        <v>0</v>
      </c>
      <c r="DH681" s="871">
        <v>0</v>
      </c>
      <c r="DI681" s="871">
        <v>0</v>
      </c>
      <c r="DJ681" s="871">
        <v>0</v>
      </c>
      <c r="DK681" s="871">
        <v>0</v>
      </c>
      <c r="DL681" s="871">
        <v>0</v>
      </c>
      <c r="DM681" s="871">
        <v>0</v>
      </c>
      <c r="DN681" s="871">
        <v>0</v>
      </c>
      <c r="DO681" s="871">
        <v>0</v>
      </c>
      <c r="DP681" s="871">
        <v>0</v>
      </c>
      <c r="DQ681" s="871">
        <v>0</v>
      </c>
      <c r="DR681" s="871">
        <v>0</v>
      </c>
      <c r="DS681" s="871">
        <v>0</v>
      </c>
      <c r="DT681" s="871">
        <v>0</v>
      </c>
      <c r="DU681" s="871">
        <v>0</v>
      </c>
      <c r="DV681" s="871">
        <v>0</v>
      </c>
      <c r="DW681" s="871">
        <v>0</v>
      </c>
    </row>
    <row r="682" spans="12:127" hidden="1">
      <c r="L682" s="870" t="s">
        <v>1060</v>
      </c>
      <c r="M682" s="870" t="s">
        <v>1382</v>
      </c>
      <c r="N682" s="870" t="s">
        <v>96</v>
      </c>
      <c r="O682" s="871">
        <v>46</v>
      </c>
      <c r="P682" s="780" t="str">
        <f t="shared" si="21"/>
        <v>IWT060146</v>
      </c>
      <c r="Q682" s="871">
        <v>27382</v>
      </c>
      <c r="R682" s="871">
        <v>27930</v>
      </c>
      <c r="S682" s="871">
        <v>28489</v>
      </c>
      <c r="T682" s="871">
        <v>29058</v>
      </c>
      <c r="U682" s="871">
        <v>29640</v>
      </c>
      <c r="V682" s="871">
        <v>32194.3</v>
      </c>
      <c r="W682" s="871">
        <v>32194.3</v>
      </c>
      <c r="X682" s="871">
        <v>32194.3</v>
      </c>
      <c r="Y682" s="871">
        <v>32194.3</v>
      </c>
      <c r="Z682" s="871">
        <v>32690</v>
      </c>
      <c r="AA682" s="871">
        <v>33343</v>
      </c>
      <c r="AB682" s="871">
        <v>34010</v>
      </c>
      <c r="AC682" s="871">
        <v>34691</v>
      </c>
      <c r="AD682" s="871">
        <v>35384</v>
      </c>
      <c r="AE682" s="871">
        <v>36092</v>
      </c>
      <c r="AF682" s="871">
        <v>36814</v>
      </c>
      <c r="AG682" s="871">
        <v>37550</v>
      </c>
      <c r="AH682" s="871">
        <v>38301</v>
      </c>
      <c r="AI682" s="871">
        <v>39067</v>
      </c>
      <c r="AJ682" s="871">
        <v>39848</v>
      </c>
      <c r="AK682" s="871">
        <v>40645</v>
      </c>
      <c r="AL682" s="871">
        <v>41458</v>
      </c>
      <c r="AM682" s="871">
        <v>42287</v>
      </c>
      <c r="AN682" s="871">
        <v>43133</v>
      </c>
      <c r="AO682" s="871">
        <v>43996</v>
      </c>
      <c r="AP682" s="871">
        <v>44875</v>
      </c>
      <c r="AQ682" s="871">
        <v>45773</v>
      </c>
      <c r="AR682" s="871">
        <v>46688</v>
      </c>
      <c r="AS682" s="871">
        <v>47622</v>
      </c>
      <c r="AT682" s="871">
        <v>48574</v>
      </c>
      <c r="AU682" s="871">
        <v>49546</v>
      </c>
      <c r="AV682" s="871">
        <v>50536</v>
      </c>
      <c r="AW682" s="871">
        <v>51547</v>
      </c>
      <c r="AX682" s="871">
        <v>52578</v>
      </c>
      <c r="AY682" s="871">
        <v>53629</v>
      </c>
      <c r="AZ682" s="871">
        <v>54702</v>
      </c>
      <c r="BA682" s="871">
        <v>55795</v>
      </c>
      <c r="BB682" s="871">
        <v>56911</v>
      </c>
      <c r="BC682" s="871">
        <v>58049</v>
      </c>
      <c r="BD682" s="871">
        <v>59210</v>
      </c>
      <c r="BE682" s="871">
        <v>60394</v>
      </c>
      <c r="BF682" s="871">
        <v>61601</v>
      </c>
      <c r="BG682" s="871">
        <v>62833</v>
      </c>
      <c r="BH682" s="871">
        <v>64089</v>
      </c>
      <c r="BI682" s="871">
        <v>65370</v>
      </c>
      <c r="BJ682" s="871">
        <v>66677</v>
      </c>
      <c r="BK682" s="871">
        <v>67999</v>
      </c>
      <c r="BL682" s="871">
        <v>69331</v>
      </c>
      <c r="BM682" s="871">
        <v>70673</v>
      </c>
      <c r="BN682" s="871">
        <v>72023</v>
      </c>
      <c r="BO682" s="871">
        <v>73383</v>
      </c>
      <c r="BP682" s="871">
        <v>74750</v>
      </c>
      <c r="BQ682" s="871">
        <v>76125</v>
      </c>
      <c r="BR682" s="871">
        <v>77507</v>
      </c>
      <c r="BS682" s="871">
        <v>78894</v>
      </c>
      <c r="BT682" s="871">
        <v>80288</v>
      </c>
      <c r="BU682" s="871">
        <v>81686</v>
      </c>
      <c r="BV682" s="871">
        <v>83090</v>
      </c>
      <c r="BW682" s="871">
        <v>84497</v>
      </c>
      <c r="BX682" s="871">
        <v>85909</v>
      </c>
      <c r="BY682" s="871">
        <v>87326</v>
      </c>
      <c r="BZ682" s="871">
        <v>88749</v>
      </c>
      <c r="CA682" s="871">
        <v>90188</v>
      </c>
      <c r="CB682" s="871">
        <v>91688</v>
      </c>
      <c r="CC682" s="871">
        <v>92600</v>
      </c>
      <c r="CD682" s="871">
        <v>0</v>
      </c>
      <c r="CE682" s="871">
        <v>0</v>
      </c>
      <c r="CF682" s="871">
        <v>0</v>
      </c>
      <c r="CG682" s="871">
        <v>0</v>
      </c>
      <c r="CH682" s="871">
        <v>0</v>
      </c>
      <c r="CI682" s="871">
        <v>0</v>
      </c>
      <c r="CJ682" s="871">
        <v>0</v>
      </c>
      <c r="CK682" s="871">
        <v>0</v>
      </c>
      <c r="CL682" s="871">
        <v>0</v>
      </c>
      <c r="CM682" s="871">
        <v>0</v>
      </c>
      <c r="CN682" s="871">
        <v>0</v>
      </c>
      <c r="CO682" s="871">
        <v>0</v>
      </c>
      <c r="CP682" s="871">
        <v>0</v>
      </c>
      <c r="CQ682" s="871">
        <v>0</v>
      </c>
      <c r="CR682" s="871">
        <v>0</v>
      </c>
      <c r="CS682" s="871">
        <v>0</v>
      </c>
      <c r="CT682" s="871">
        <v>0</v>
      </c>
      <c r="CU682" s="871">
        <v>0</v>
      </c>
      <c r="CV682" s="871">
        <v>0</v>
      </c>
      <c r="CW682" s="871">
        <v>0</v>
      </c>
      <c r="CX682" s="871">
        <v>0</v>
      </c>
      <c r="CY682" s="871">
        <v>0</v>
      </c>
      <c r="CZ682" s="871">
        <v>0</v>
      </c>
      <c r="DA682" s="871">
        <v>0</v>
      </c>
      <c r="DB682" s="871">
        <v>0</v>
      </c>
      <c r="DC682" s="871">
        <v>0</v>
      </c>
      <c r="DD682" s="871">
        <v>0</v>
      </c>
      <c r="DE682" s="871">
        <v>0</v>
      </c>
      <c r="DF682" s="871">
        <v>0</v>
      </c>
      <c r="DG682" s="871">
        <v>0</v>
      </c>
      <c r="DH682" s="871">
        <v>0</v>
      </c>
      <c r="DI682" s="871">
        <v>0</v>
      </c>
      <c r="DJ682" s="871">
        <v>0</v>
      </c>
      <c r="DK682" s="871">
        <v>0</v>
      </c>
      <c r="DL682" s="871">
        <v>0</v>
      </c>
      <c r="DM682" s="871">
        <v>0</v>
      </c>
      <c r="DN682" s="871">
        <v>0</v>
      </c>
      <c r="DO682" s="871">
        <v>0</v>
      </c>
      <c r="DP682" s="871">
        <v>0</v>
      </c>
      <c r="DQ682" s="871">
        <v>0</v>
      </c>
      <c r="DR682" s="871">
        <v>0</v>
      </c>
      <c r="DS682" s="871">
        <v>0</v>
      </c>
      <c r="DT682" s="871">
        <v>0</v>
      </c>
      <c r="DU682" s="871">
        <v>0</v>
      </c>
      <c r="DV682" s="871">
        <v>0</v>
      </c>
      <c r="DW682" s="871">
        <v>0</v>
      </c>
    </row>
    <row r="683" spans="12:127" hidden="1">
      <c r="L683" s="870" t="s">
        <v>1060</v>
      </c>
      <c r="M683" s="870" t="s">
        <v>1382</v>
      </c>
      <c r="N683" s="870" t="s">
        <v>96</v>
      </c>
      <c r="O683" s="871">
        <v>47</v>
      </c>
      <c r="P683" s="780" t="str">
        <f t="shared" si="21"/>
        <v>IWT060147</v>
      </c>
      <c r="Q683" s="871">
        <v>27393</v>
      </c>
      <c r="R683" s="871">
        <v>27941</v>
      </c>
      <c r="S683" s="871">
        <v>28500</v>
      </c>
      <c r="T683" s="871">
        <v>29070</v>
      </c>
      <c r="U683" s="871">
        <v>29651</v>
      </c>
      <c r="V683" s="871">
        <v>32207</v>
      </c>
      <c r="W683" s="871">
        <v>32207</v>
      </c>
      <c r="X683" s="871">
        <v>32207</v>
      </c>
      <c r="Y683" s="871">
        <v>32207</v>
      </c>
      <c r="Z683" s="871">
        <v>32700</v>
      </c>
      <c r="AA683" s="871">
        <v>33354</v>
      </c>
      <c r="AB683" s="871">
        <v>34021</v>
      </c>
      <c r="AC683" s="871">
        <v>34701</v>
      </c>
      <c r="AD683" s="871">
        <v>35395</v>
      </c>
      <c r="AE683" s="871">
        <v>36103</v>
      </c>
      <c r="AF683" s="871">
        <v>36825</v>
      </c>
      <c r="AG683" s="871">
        <v>37562</v>
      </c>
      <c r="AH683" s="871">
        <v>38313</v>
      </c>
      <c r="AI683" s="871">
        <v>39079</v>
      </c>
      <c r="AJ683" s="871">
        <v>39861</v>
      </c>
      <c r="AK683" s="871">
        <v>40658</v>
      </c>
      <c r="AL683" s="871">
        <v>41471</v>
      </c>
      <c r="AM683" s="871">
        <v>42300</v>
      </c>
      <c r="AN683" s="871">
        <v>43146</v>
      </c>
      <c r="AO683" s="871">
        <v>44009</v>
      </c>
      <c r="AP683" s="871">
        <v>44889</v>
      </c>
      <c r="AQ683" s="871">
        <v>45787</v>
      </c>
      <c r="AR683" s="871">
        <v>46703</v>
      </c>
      <c r="AS683" s="871">
        <v>47637</v>
      </c>
      <c r="AT683" s="871">
        <v>48589</v>
      </c>
      <c r="AU683" s="871">
        <v>49561</v>
      </c>
      <c r="AV683" s="871">
        <v>50552</v>
      </c>
      <c r="AW683" s="871">
        <v>51563</v>
      </c>
      <c r="AX683" s="871">
        <v>52594</v>
      </c>
      <c r="AY683" s="871">
        <v>53646</v>
      </c>
      <c r="AZ683" s="871">
        <v>54718</v>
      </c>
      <c r="BA683" s="871">
        <v>55812</v>
      </c>
      <c r="BB683" s="871">
        <v>56928</v>
      </c>
      <c r="BC683" s="871">
        <v>58067</v>
      </c>
      <c r="BD683" s="871">
        <v>59228</v>
      </c>
      <c r="BE683" s="871">
        <v>60412</v>
      </c>
      <c r="BF683" s="871">
        <v>61620</v>
      </c>
      <c r="BG683" s="871">
        <v>62852</v>
      </c>
      <c r="BH683" s="871">
        <v>64108</v>
      </c>
      <c r="BI683" s="871">
        <v>65390</v>
      </c>
      <c r="BJ683" s="871">
        <v>66697</v>
      </c>
      <c r="BK683" s="871">
        <v>68022</v>
      </c>
      <c r="BL683" s="871">
        <v>69358</v>
      </c>
      <c r="BM683" s="871">
        <v>70702</v>
      </c>
      <c r="BN683" s="871">
        <v>72056</v>
      </c>
      <c r="BO683" s="871">
        <v>73418</v>
      </c>
      <c r="BP683" s="871">
        <v>74787</v>
      </c>
      <c r="BQ683" s="871">
        <v>76164</v>
      </c>
      <c r="BR683" s="871">
        <v>77547</v>
      </c>
      <c r="BS683" s="871">
        <v>78936</v>
      </c>
      <c r="BT683" s="871">
        <v>80330</v>
      </c>
      <c r="BU683" s="871">
        <v>81729</v>
      </c>
      <c r="BV683" s="871">
        <v>83133</v>
      </c>
      <c r="BW683" s="871">
        <v>84542</v>
      </c>
      <c r="BX683" s="871">
        <v>85954</v>
      </c>
      <c r="BY683" s="871">
        <v>87374</v>
      </c>
      <c r="BZ683" s="871">
        <v>88809</v>
      </c>
      <c r="CA683" s="871">
        <v>90301</v>
      </c>
      <c r="CB683" s="871">
        <v>91200</v>
      </c>
      <c r="CC683" s="871">
        <v>0</v>
      </c>
      <c r="CD683" s="871">
        <v>0</v>
      </c>
      <c r="CE683" s="871">
        <v>0</v>
      </c>
      <c r="CF683" s="871">
        <v>0</v>
      </c>
      <c r="CG683" s="871">
        <v>0</v>
      </c>
      <c r="CH683" s="871">
        <v>0</v>
      </c>
      <c r="CI683" s="871">
        <v>0</v>
      </c>
      <c r="CJ683" s="871">
        <v>0</v>
      </c>
      <c r="CK683" s="871">
        <v>0</v>
      </c>
      <c r="CL683" s="871">
        <v>0</v>
      </c>
      <c r="CM683" s="871">
        <v>0</v>
      </c>
      <c r="CN683" s="871">
        <v>0</v>
      </c>
      <c r="CO683" s="871">
        <v>0</v>
      </c>
      <c r="CP683" s="871">
        <v>0</v>
      </c>
      <c r="CQ683" s="871">
        <v>0</v>
      </c>
      <c r="CR683" s="871">
        <v>0</v>
      </c>
      <c r="CS683" s="871">
        <v>0</v>
      </c>
      <c r="CT683" s="871">
        <v>0</v>
      </c>
      <c r="CU683" s="871">
        <v>0</v>
      </c>
      <c r="CV683" s="871">
        <v>0</v>
      </c>
      <c r="CW683" s="871">
        <v>0</v>
      </c>
      <c r="CX683" s="871">
        <v>0</v>
      </c>
      <c r="CY683" s="871">
        <v>0</v>
      </c>
      <c r="CZ683" s="871">
        <v>0</v>
      </c>
      <c r="DA683" s="871">
        <v>0</v>
      </c>
      <c r="DB683" s="871">
        <v>0</v>
      </c>
      <c r="DC683" s="871">
        <v>0</v>
      </c>
      <c r="DD683" s="871">
        <v>0</v>
      </c>
      <c r="DE683" s="871">
        <v>0</v>
      </c>
      <c r="DF683" s="871">
        <v>0</v>
      </c>
      <c r="DG683" s="871">
        <v>0</v>
      </c>
      <c r="DH683" s="871">
        <v>0</v>
      </c>
      <c r="DI683" s="871">
        <v>0</v>
      </c>
      <c r="DJ683" s="871">
        <v>0</v>
      </c>
      <c r="DK683" s="871">
        <v>0</v>
      </c>
      <c r="DL683" s="871">
        <v>0</v>
      </c>
      <c r="DM683" s="871">
        <v>0</v>
      </c>
      <c r="DN683" s="871">
        <v>0</v>
      </c>
      <c r="DO683" s="871">
        <v>0</v>
      </c>
      <c r="DP683" s="871">
        <v>0</v>
      </c>
      <c r="DQ683" s="871">
        <v>0</v>
      </c>
      <c r="DR683" s="871">
        <v>0</v>
      </c>
      <c r="DS683" s="871">
        <v>0</v>
      </c>
      <c r="DT683" s="871">
        <v>0</v>
      </c>
      <c r="DU683" s="871">
        <v>0</v>
      </c>
      <c r="DV683" s="871">
        <v>0</v>
      </c>
      <c r="DW683" s="871">
        <v>0</v>
      </c>
    </row>
    <row r="684" spans="12:127" hidden="1">
      <c r="L684" s="870" t="s">
        <v>1060</v>
      </c>
      <c r="M684" s="870" t="s">
        <v>1382</v>
      </c>
      <c r="N684" s="870" t="s">
        <v>96</v>
      </c>
      <c r="O684" s="871">
        <v>48</v>
      </c>
      <c r="P684" s="780" t="str">
        <f t="shared" si="21"/>
        <v>IWT060148</v>
      </c>
      <c r="Q684" s="871">
        <v>27402</v>
      </c>
      <c r="R684" s="871">
        <v>27951</v>
      </c>
      <c r="S684" s="871">
        <v>28510</v>
      </c>
      <c r="T684" s="871">
        <v>29080</v>
      </c>
      <c r="U684" s="871">
        <v>29661</v>
      </c>
      <c r="V684" s="871">
        <v>32219.8</v>
      </c>
      <c r="W684" s="871">
        <v>32219.8</v>
      </c>
      <c r="X684" s="871">
        <v>32219.8</v>
      </c>
      <c r="Y684" s="871">
        <v>32219.8</v>
      </c>
      <c r="Z684" s="871">
        <v>32708</v>
      </c>
      <c r="AA684" s="871">
        <v>33363</v>
      </c>
      <c r="AB684" s="871">
        <v>34030</v>
      </c>
      <c r="AC684" s="871">
        <v>34710</v>
      </c>
      <c r="AD684" s="871">
        <v>35405</v>
      </c>
      <c r="AE684" s="871">
        <v>36113</v>
      </c>
      <c r="AF684" s="871">
        <v>36835</v>
      </c>
      <c r="AG684" s="871">
        <v>37572</v>
      </c>
      <c r="AH684" s="871">
        <v>38323</v>
      </c>
      <c r="AI684" s="871">
        <v>39089</v>
      </c>
      <c r="AJ684" s="871">
        <v>39871</v>
      </c>
      <c r="AK684" s="871">
        <v>40669</v>
      </c>
      <c r="AL684" s="871">
        <v>41482</v>
      </c>
      <c r="AM684" s="871">
        <v>42311</v>
      </c>
      <c r="AN684" s="871">
        <v>43158</v>
      </c>
      <c r="AO684" s="871">
        <v>44021</v>
      </c>
      <c r="AP684" s="871">
        <v>44901</v>
      </c>
      <c r="AQ684" s="871">
        <v>45799</v>
      </c>
      <c r="AR684" s="871">
        <v>46715</v>
      </c>
      <c r="AS684" s="871">
        <v>47649</v>
      </c>
      <c r="AT684" s="871">
        <v>48602</v>
      </c>
      <c r="AU684" s="871">
        <v>49574</v>
      </c>
      <c r="AV684" s="871">
        <v>50565</v>
      </c>
      <c r="AW684" s="871">
        <v>51576</v>
      </c>
      <c r="AX684" s="871">
        <v>52608</v>
      </c>
      <c r="AY684" s="871">
        <v>53660</v>
      </c>
      <c r="AZ684" s="871">
        <v>54733</v>
      </c>
      <c r="BA684" s="871">
        <v>55827</v>
      </c>
      <c r="BB684" s="871">
        <v>56943</v>
      </c>
      <c r="BC684" s="871">
        <v>58082</v>
      </c>
      <c r="BD684" s="871">
        <v>59243</v>
      </c>
      <c r="BE684" s="871">
        <v>60428</v>
      </c>
      <c r="BF684" s="871">
        <v>61636</v>
      </c>
      <c r="BG684" s="871">
        <v>62868</v>
      </c>
      <c r="BH684" s="871">
        <v>64125</v>
      </c>
      <c r="BI684" s="871">
        <v>65407</v>
      </c>
      <c r="BJ684" s="871">
        <v>66714</v>
      </c>
      <c r="BK684" s="871">
        <v>68043</v>
      </c>
      <c r="BL684" s="871">
        <v>69381</v>
      </c>
      <c r="BM684" s="871">
        <v>70729</v>
      </c>
      <c r="BN684" s="871">
        <v>72085</v>
      </c>
      <c r="BO684" s="871">
        <v>73450</v>
      </c>
      <c r="BP684" s="871">
        <v>74821</v>
      </c>
      <c r="BQ684" s="871">
        <v>76199</v>
      </c>
      <c r="BR684" s="871">
        <v>77584</v>
      </c>
      <c r="BS684" s="871">
        <v>78974</v>
      </c>
      <c r="BT684" s="871">
        <v>80369</v>
      </c>
      <c r="BU684" s="871">
        <v>81769</v>
      </c>
      <c r="BV684" s="871">
        <v>83174</v>
      </c>
      <c r="BW684" s="871">
        <v>84583</v>
      </c>
      <c r="BX684" s="871">
        <v>85999</v>
      </c>
      <c r="BY684" s="871">
        <v>87430</v>
      </c>
      <c r="BZ684" s="871">
        <v>88915</v>
      </c>
      <c r="CA684" s="871">
        <v>89800</v>
      </c>
      <c r="CB684" s="871">
        <v>0</v>
      </c>
      <c r="CC684" s="871">
        <v>0</v>
      </c>
      <c r="CD684" s="871">
        <v>0</v>
      </c>
      <c r="CE684" s="871">
        <v>0</v>
      </c>
      <c r="CF684" s="871">
        <v>0</v>
      </c>
      <c r="CG684" s="871">
        <v>0</v>
      </c>
      <c r="CH684" s="871">
        <v>0</v>
      </c>
      <c r="CI684" s="871">
        <v>0</v>
      </c>
      <c r="CJ684" s="871">
        <v>0</v>
      </c>
      <c r="CK684" s="871">
        <v>0</v>
      </c>
      <c r="CL684" s="871">
        <v>0</v>
      </c>
      <c r="CM684" s="871">
        <v>0</v>
      </c>
      <c r="CN684" s="871">
        <v>0</v>
      </c>
      <c r="CO684" s="871">
        <v>0</v>
      </c>
      <c r="CP684" s="871">
        <v>0</v>
      </c>
      <c r="CQ684" s="871">
        <v>0</v>
      </c>
      <c r="CR684" s="871">
        <v>0</v>
      </c>
      <c r="CS684" s="871">
        <v>0</v>
      </c>
      <c r="CT684" s="871">
        <v>0</v>
      </c>
      <c r="CU684" s="871">
        <v>0</v>
      </c>
      <c r="CV684" s="871">
        <v>0</v>
      </c>
      <c r="CW684" s="871">
        <v>0</v>
      </c>
      <c r="CX684" s="871">
        <v>0</v>
      </c>
      <c r="CY684" s="871">
        <v>0</v>
      </c>
      <c r="CZ684" s="871">
        <v>0</v>
      </c>
      <c r="DA684" s="871">
        <v>0</v>
      </c>
      <c r="DB684" s="871">
        <v>0</v>
      </c>
      <c r="DC684" s="871">
        <v>0</v>
      </c>
      <c r="DD684" s="871">
        <v>0</v>
      </c>
      <c r="DE684" s="871">
        <v>0</v>
      </c>
      <c r="DF684" s="871">
        <v>0</v>
      </c>
      <c r="DG684" s="871">
        <v>0</v>
      </c>
      <c r="DH684" s="871">
        <v>0</v>
      </c>
      <c r="DI684" s="871">
        <v>0</v>
      </c>
      <c r="DJ684" s="871">
        <v>0</v>
      </c>
      <c r="DK684" s="871">
        <v>0</v>
      </c>
      <c r="DL684" s="871">
        <v>0</v>
      </c>
      <c r="DM684" s="871">
        <v>0</v>
      </c>
      <c r="DN684" s="871">
        <v>0</v>
      </c>
      <c r="DO684" s="871">
        <v>0</v>
      </c>
      <c r="DP684" s="871">
        <v>0</v>
      </c>
      <c r="DQ684" s="871">
        <v>0</v>
      </c>
      <c r="DR684" s="871">
        <v>0</v>
      </c>
      <c r="DS684" s="871">
        <v>0</v>
      </c>
      <c r="DT684" s="871">
        <v>0</v>
      </c>
      <c r="DU684" s="871">
        <v>0</v>
      </c>
      <c r="DV684" s="871">
        <v>0</v>
      </c>
      <c r="DW684" s="871">
        <v>0</v>
      </c>
    </row>
    <row r="685" spans="12:127" hidden="1">
      <c r="L685" s="870" t="s">
        <v>1060</v>
      </c>
      <c r="M685" s="870" t="s">
        <v>1382</v>
      </c>
      <c r="N685" s="870" t="s">
        <v>96</v>
      </c>
      <c r="O685" s="871">
        <v>49</v>
      </c>
      <c r="P685" s="780" t="str">
        <f t="shared" si="21"/>
        <v>IWT060149</v>
      </c>
      <c r="Q685" s="871">
        <v>27411</v>
      </c>
      <c r="R685" s="871">
        <v>27959</v>
      </c>
      <c r="S685" s="871">
        <v>28518</v>
      </c>
      <c r="T685" s="871">
        <v>29088</v>
      </c>
      <c r="U685" s="871">
        <v>29670</v>
      </c>
      <c r="V685" s="871">
        <v>32232.5</v>
      </c>
      <c r="W685" s="871">
        <v>32232.5</v>
      </c>
      <c r="X685" s="871">
        <v>32232.5</v>
      </c>
      <c r="Y685" s="871">
        <v>32232.5</v>
      </c>
      <c r="Z685" s="871">
        <v>32715</v>
      </c>
      <c r="AA685" s="871">
        <v>33370</v>
      </c>
      <c r="AB685" s="871">
        <v>34037</v>
      </c>
      <c r="AC685" s="871">
        <v>34718</v>
      </c>
      <c r="AD685" s="871">
        <v>35412</v>
      </c>
      <c r="AE685" s="871">
        <v>36120</v>
      </c>
      <c r="AF685" s="871">
        <v>36843</v>
      </c>
      <c r="AG685" s="871">
        <v>37580</v>
      </c>
      <c r="AH685" s="871">
        <v>38331</v>
      </c>
      <c r="AI685" s="871">
        <v>39098</v>
      </c>
      <c r="AJ685" s="871">
        <v>39880</v>
      </c>
      <c r="AK685" s="871">
        <v>40677</v>
      </c>
      <c r="AL685" s="871">
        <v>41491</v>
      </c>
      <c r="AM685" s="871">
        <v>42320</v>
      </c>
      <c r="AN685" s="871">
        <v>43167</v>
      </c>
      <c r="AO685" s="871">
        <v>44030</v>
      </c>
      <c r="AP685" s="871">
        <v>44911</v>
      </c>
      <c r="AQ685" s="871">
        <v>45809</v>
      </c>
      <c r="AR685" s="871">
        <v>46725</v>
      </c>
      <c r="AS685" s="871">
        <v>47659</v>
      </c>
      <c r="AT685" s="871">
        <v>48612</v>
      </c>
      <c r="AU685" s="871">
        <v>49584</v>
      </c>
      <c r="AV685" s="871">
        <v>50576</v>
      </c>
      <c r="AW685" s="871">
        <v>51587</v>
      </c>
      <c r="AX685" s="871">
        <v>52619</v>
      </c>
      <c r="AY685" s="871">
        <v>53671</v>
      </c>
      <c r="AZ685" s="871">
        <v>54744</v>
      </c>
      <c r="BA685" s="871">
        <v>55839</v>
      </c>
      <c r="BB685" s="871">
        <v>56955</v>
      </c>
      <c r="BC685" s="871">
        <v>58094</v>
      </c>
      <c r="BD685" s="871">
        <v>59256</v>
      </c>
      <c r="BE685" s="871">
        <v>60440</v>
      </c>
      <c r="BF685" s="871">
        <v>61649</v>
      </c>
      <c r="BG685" s="871">
        <v>62881</v>
      </c>
      <c r="BH685" s="871">
        <v>64138</v>
      </c>
      <c r="BI685" s="871">
        <v>65420</v>
      </c>
      <c r="BJ685" s="871">
        <v>66728</v>
      </c>
      <c r="BK685" s="871">
        <v>68061</v>
      </c>
      <c r="BL685" s="871">
        <v>69402</v>
      </c>
      <c r="BM685" s="871">
        <v>70753</v>
      </c>
      <c r="BN685" s="871">
        <v>72112</v>
      </c>
      <c r="BO685" s="871">
        <v>73478</v>
      </c>
      <c r="BP685" s="871">
        <v>74852</v>
      </c>
      <c r="BQ685" s="871">
        <v>76232</v>
      </c>
      <c r="BR685" s="871">
        <v>77617</v>
      </c>
      <c r="BS685" s="871">
        <v>79009</v>
      </c>
      <c r="BT685" s="871">
        <v>80405</v>
      </c>
      <c r="BU685" s="871">
        <v>81806</v>
      </c>
      <c r="BV685" s="871">
        <v>83212</v>
      </c>
      <c r="BW685" s="871">
        <v>84625</v>
      </c>
      <c r="BX685" s="871">
        <v>86052</v>
      </c>
      <c r="BY685" s="871">
        <v>87529</v>
      </c>
      <c r="BZ685" s="871">
        <v>88400</v>
      </c>
      <c r="CA685" s="871">
        <v>0</v>
      </c>
      <c r="CB685" s="871">
        <v>0</v>
      </c>
      <c r="CC685" s="871">
        <v>0</v>
      </c>
      <c r="CD685" s="871">
        <v>0</v>
      </c>
      <c r="CE685" s="871">
        <v>0</v>
      </c>
      <c r="CF685" s="871">
        <v>0</v>
      </c>
      <c r="CG685" s="871">
        <v>0</v>
      </c>
      <c r="CH685" s="871">
        <v>0</v>
      </c>
      <c r="CI685" s="871">
        <v>0</v>
      </c>
      <c r="CJ685" s="871">
        <v>0</v>
      </c>
      <c r="CK685" s="871">
        <v>0</v>
      </c>
      <c r="CL685" s="871">
        <v>0</v>
      </c>
      <c r="CM685" s="871">
        <v>0</v>
      </c>
      <c r="CN685" s="871">
        <v>0</v>
      </c>
      <c r="CO685" s="871">
        <v>0</v>
      </c>
      <c r="CP685" s="871">
        <v>0</v>
      </c>
      <c r="CQ685" s="871">
        <v>0</v>
      </c>
      <c r="CR685" s="871">
        <v>0</v>
      </c>
      <c r="CS685" s="871">
        <v>0</v>
      </c>
      <c r="CT685" s="871">
        <v>0</v>
      </c>
      <c r="CU685" s="871">
        <v>0</v>
      </c>
      <c r="CV685" s="871">
        <v>0</v>
      </c>
      <c r="CW685" s="871">
        <v>0</v>
      </c>
      <c r="CX685" s="871">
        <v>0</v>
      </c>
      <c r="CY685" s="871">
        <v>0</v>
      </c>
      <c r="CZ685" s="871">
        <v>0</v>
      </c>
      <c r="DA685" s="871">
        <v>0</v>
      </c>
      <c r="DB685" s="871">
        <v>0</v>
      </c>
      <c r="DC685" s="871">
        <v>0</v>
      </c>
      <c r="DD685" s="871">
        <v>0</v>
      </c>
      <c r="DE685" s="871">
        <v>0</v>
      </c>
      <c r="DF685" s="871">
        <v>0</v>
      </c>
      <c r="DG685" s="871">
        <v>0</v>
      </c>
      <c r="DH685" s="871">
        <v>0</v>
      </c>
      <c r="DI685" s="871">
        <v>0</v>
      </c>
      <c r="DJ685" s="871">
        <v>0</v>
      </c>
      <c r="DK685" s="871">
        <v>0</v>
      </c>
      <c r="DL685" s="871">
        <v>0</v>
      </c>
      <c r="DM685" s="871">
        <v>0</v>
      </c>
      <c r="DN685" s="871">
        <v>0</v>
      </c>
      <c r="DO685" s="871">
        <v>0</v>
      </c>
      <c r="DP685" s="871">
        <v>0</v>
      </c>
      <c r="DQ685" s="871">
        <v>0</v>
      </c>
      <c r="DR685" s="871">
        <v>0</v>
      </c>
      <c r="DS685" s="871">
        <v>0</v>
      </c>
      <c r="DT685" s="871">
        <v>0</v>
      </c>
      <c r="DU685" s="871">
        <v>0</v>
      </c>
      <c r="DV685" s="871">
        <v>0</v>
      </c>
      <c r="DW685" s="871">
        <v>0</v>
      </c>
    </row>
    <row r="686" spans="12:127" hidden="1">
      <c r="L686" s="870" t="s">
        <v>1060</v>
      </c>
      <c r="M686" s="870" t="s">
        <v>1382</v>
      </c>
      <c r="N686" s="870" t="s">
        <v>96</v>
      </c>
      <c r="O686" s="871">
        <v>50</v>
      </c>
      <c r="P686" s="780" t="str">
        <f t="shared" si="21"/>
        <v>IWT060150</v>
      </c>
      <c r="Q686" s="871">
        <v>27419</v>
      </c>
      <c r="R686" s="871">
        <v>27968</v>
      </c>
      <c r="S686" s="871">
        <v>28527</v>
      </c>
      <c r="T686" s="871">
        <v>29097</v>
      </c>
      <c r="U686" s="871">
        <v>29679</v>
      </c>
      <c r="V686" s="871">
        <v>32245.200000000001</v>
      </c>
      <c r="W686" s="871">
        <v>32245.200000000001</v>
      </c>
      <c r="X686" s="871">
        <v>32245.200000000001</v>
      </c>
      <c r="Y686" s="871">
        <v>32245.200000000001</v>
      </c>
      <c r="Z686" s="871">
        <v>32722</v>
      </c>
      <c r="AA686" s="871">
        <v>33377</v>
      </c>
      <c r="AB686" s="871">
        <v>34044</v>
      </c>
      <c r="AC686" s="871">
        <v>34725</v>
      </c>
      <c r="AD686" s="871">
        <v>35420</v>
      </c>
      <c r="AE686" s="871">
        <v>36128</v>
      </c>
      <c r="AF686" s="871">
        <v>36851</v>
      </c>
      <c r="AG686" s="871">
        <v>37587</v>
      </c>
      <c r="AH686" s="871">
        <v>38339</v>
      </c>
      <c r="AI686" s="871">
        <v>39106</v>
      </c>
      <c r="AJ686" s="871">
        <v>39888</v>
      </c>
      <c r="AK686" s="871">
        <v>40686</v>
      </c>
      <c r="AL686" s="871">
        <v>41499</v>
      </c>
      <c r="AM686" s="871">
        <v>42329</v>
      </c>
      <c r="AN686" s="871">
        <v>43176</v>
      </c>
      <c r="AO686" s="871">
        <v>44039</v>
      </c>
      <c r="AP686" s="871">
        <v>44920</v>
      </c>
      <c r="AQ686" s="871">
        <v>45818</v>
      </c>
      <c r="AR686" s="871">
        <v>46735</v>
      </c>
      <c r="AS686" s="871">
        <v>47669</v>
      </c>
      <c r="AT686" s="871">
        <v>48622</v>
      </c>
      <c r="AU686" s="871">
        <v>49595</v>
      </c>
      <c r="AV686" s="871">
        <v>50586</v>
      </c>
      <c r="AW686" s="871">
        <v>51598</v>
      </c>
      <c r="AX686" s="871">
        <v>52630</v>
      </c>
      <c r="AY686" s="871">
        <v>53682</v>
      </c>
      <c r="AZ686" s="871">
        <v>54755</v>
      </c>
      <c r="BA686" s="871">
        <v>55850</v>
      </c>
      <c r="BB686" s="871">
        <v>56967</v>
      </c>
      <c r="BC686" s="871">
        <v>58106</v>
      </c>
      <c r="BD686" s="871">
        <v>59268</v>
      </c>
      <c r="BE686" s="871">
        <v>60453</v>
      </c>
      <c r="BF686" s="871">
        <v>61661</v>
      </c>
      <c r="BG686" s="871">
        <v>62894</v>
      </c>
      <c r="BH686" s="871">
        <v>64151</v>
      </c>
      <c r="BI686" s="871">
        <v>65433</v>
      </c>
      <c r="BJ686" s="871">
        <v>66741</v>
      </c>
      <c r="BK686" s="871">
        <v>68075</v>
      </c>
      <c r="BL686" s="871">
        <v>69420</v>
      </c>
      <c r="BM686" s="871">
        <v>70774</v>
      </c>
      <c r="BN686" s="871">
        <v>72135</v>
      </c>
      <c r="BO686" s="871">
        <v>73504</v>
      </c>
      <c r="BP686" s="871">
        <v>74880</v>
      </c>
      <c r="BQ686" s="871">
        <v>76261</v>
      </c>
      <c r="BR686" s="871">
        <v>77648</v>
      </c>
      <c r="BS686" s="871">
        <v>79041</v>
      </c>
      <c r="BT686" s="871">
        <v>80438</v>
      </c>
      <c r="BU686" s="871">
        <v>81841</v>
      </c>
      <c r="BV686" s="871">
        <v>83250</v>
      </c>
      <c r="BW686" s="871">
        <v>84673</v>
      </c>
      <c r="BX686" s="871">
        <v>86143</v>
      </c>
      <c r="BY686" s="871">
        <v>87000</v>
      </c>
      <c r="BZ686" s="871">
        <v>0</v>
      </c>
      <c r="CA686" s="871">
        <v>0</v>
      </c>
      <c r="CB686" s="871">
        <v>0</v>
      </c>
      <c r="CC686" s="871">
        <v>0</v>
      </c>
      <c r="CD686" s="871">
        <v>0</v>
      </c>
      <c r="CE686" s="871">
        <v>0</v>
      </c>
      <c r="CF686" s="871">
        <v>0</v>
      </c>
      <c r="CG686" s="871">
        <v>0</v>
      </c>
      <c r="CH686" s="871">
        <v>0</v>
      </c>
      <c r="CI686" s="871">
        <v>0</v>
      </c>
      <c r="CJ686" s="871">
        <v>0</v>
      </c>
      <c r="CK686" s="871">
        <v>0</v>
      </c>
      <c r="CL686" s="871">
        <v>0</v>
      </c>
      <c r="CM686" s="871">
        <v>0</v>
      </c>
      <c r="CN686" s="871">
        <v>0</v>
      </c>
      <c r="CO686" s="871">
        <v>0</v>
      </c>
      <c r="CP686" s="871">
        <v>0</v>
      </c>
      <c r="CQ686" s="871">
        <v>0</v>
      </c>
      <c r="CR686" s="871">
        <v>0</v>
      </c>
      <c r="CS686" s="871">
        <v>0</v>
      </c>
      <c r="CT686" s="871">
        <v>0</v>
      </c>
      <c r="CU686" s="871">
        <v>0</v>
      </c>
      <c r="CV686" s="871">
        <v>0</v>
      </c>
      <c r="CW686" s="871">
        <v>0</v>
      </c>
      <c r="CX686" s="871">
        <v>0</v>
      </c>
      <c r="CY686" s="871">
        <v>0</v>
      </c>
      <c r="CZ686" s="871">
        <v>0</v>
      </c>
      <c r="DA686" s="871">
        <v>0</v>
      </c>
      <c r="DB686" s="871">
        <v>0</v>
      </c>
      <c r="DC686" s="871">
        <v>0</v>
      </c>
      <c r="DD686" s="871">
        <v>0</v>
      </c>
      <c r="DE686" s="871">
        <v>0</v>
      </c>
      <c r="DF686" s="871">
        <v>0</v>
      </c>
      <c r="DG686" s="871">
        <v>0</v>
      </c>
      <c r="DH686" s="871">
        <v>0</v>
      </c>
      <c r="DI686" s="871">
        <v>0</v>
      </c>
      <c r="DJ686" s="871">
        <v>0</v>
      </c>
      <c r="DK686" s="871">
        <v>0</v>
      </c>
      <c r="DL686" s="871">
        <v>0</v>
      </c>
      <c r="DM686" s="871">
        <v>0</v>
      </c>
      <c r="DN686" s="871">
        <v>0</v>
      </c>
      <c r="DO686" s="871">
        <v>0</v>
      </c>
      <c r="DP686" s="871">
        <v>0</v>
      </c>
      <c r="DQ686" s="871">
        <v>0</v>
      </c>
      <c r="DR686" s="871">
        <v>0</v>
      </c>
      <c r="DS686" s="871">
        <v>0</v>
      </c>
      <c r="DT686" s="871">
        <v>0</v>
      </c>
      <c r="DU686" s="871">
        <v>0</v>
      </c>
      <c r="DV686" s="871">
        <v>0</v>
      </c>
      <c r="DW686" s="871">
        <v>0</v>
      </c>
    </row>
    <row r="687" spans="12:127" hidden="1">
      <c r="L687" s="870" t="s">
        <v>1060</v>
      </c>
      <c r="M687" s="870" t="s">
        <v>1382</v>
      </c>
      <c r="N687" s="870" t="s">
        <v>96</v>
      </c>
      <c r="O687" s="871">
        <v>51</v>
      </c>
      <c r="P687" s="780" t="str">
        <f t="shared" si="21"/>
        <v>IWT060151</v>
      </c>
      <c r="Q687" s="871">
        <v>27428</v>
      </c>
      <c r="R687" s="871">
        <v>27977</v>
      </c>
      <c r="S687" s="871">
        <v>28536</v>
      </c>
      <c r="T687" s="871">
        <v>29107</v>
      </c>
      <c r="U687" s="871">
        <v>29689</v>
      </c>
      <c r="V687" s="871">
        <v>32264.3</v>
      </c>
      <c r="W687" s="871">
        <v>32264.3</v>
      </c>
      <c r="X687" s="871">
        <v>32264.3</v>
      </c>
      <c r="Y687" s="871">
        <v>32264.3</v>
      </c>
      <c r="Z687" s="871">
        <v>32729</v>
      </c>
      <c r="AA687" s="871">
        <v>33383</v>
      </c>
      <c r="AB687" s="871">
        <v>34051</v>
      </c>
      <c r="AC687" s="871">
        <v>34732</v>
      </c>
      <c r="AD687" s="871">
        <v>35427</v>
      </c>
      <c r="AE687" s="871">
        <v>36135</v>
      </c>
      <c r="AF687" s="871">
        <v>36858</v>
      </c>
      <c r="AG687" s="871">
        <v>37595</v>
      </c>
      <c r="AH687" s="871">
        <v>38347</v>
      </c>
      <c r="AI687" s="871">
        <v>39114</v>
      </c>
      <c r="AJ687" s="871">
        <v>39896</v>
      </c>
      <c r="AK687" s="871">
        <v>40694</v>
      </c>
      <c r="AL687" s="871">
        <v>41508</v>
      </c>
      <c r="AM687" s="871">
        <v>42338</v>
      </c>
      <c r="AN687" s="871">
        <v>43184</v>
      </c>
      <c r="AO687" s="871">
        <v>44048</v>
      </c>
      <c r="AP687" s="871">
        <v>44929</v>
      </c>
      <c r="AQ687" s="871">
        <v>45827</v>
      </c>
      <c r="AR687" s="871">
        <v>46744</v>
      </c>
      <c r="AS687" s="871">
        <v>47678</v>
      </c>
      <c r="AT687" s="871">
        <v>48632</v>
      </c>
      <c r="AU687" s="871">
        <v>49604</v>
      </c>
      <c r="AV687" s="871">
        <v>50596</v>
      </c>
      <c r="AW687" s="871">
        <v>51608</v>
      </c>
      <c r="AX687" s="871">
        <v>52640</v>
      </c>
      <c r="AY687" s="871">
        <v>53693</v>
      </c>
      <c r="AZ687" s="871">
        <v>54766</v>
      </c>
      <c r="BA687" s="871">
        <v>55861</v>
      </c>
      <c r="BB687" s="871">
        <v>56978</v>
      </c>
      <c r="BC687" s="871">
        <v>58117</v>
      </c>
      <c r="BD687" s="871">
        <v>59279</v>
      </c>
      <c r="BE687" s="871">
        <v>60464</v>
      </c>
      <c r="BF687" s="871">
        <v>61673</v>
      </c>
      <c r="BG687" s="871">
        <v>62906</v>
      </c>
      <c r="BH687" s="871">
        <v>64163</v>
      </c>
      <c r="BI687" s="871">
        <v>65446</v>
      </c>
      <c r="BJ687" s="871">
        <v>66754</v>
      </c>
      <c r="BK687" s="871">
        <v>68088</v>
      </c>
      <c r="BL687" s="871">
        <v>69436</v>
      </c>
      <c r="BM687" s="871">
        <v>70793</v>
      </c>
      <c r="BN687" s="871">
        <v>72157</v>
      </c>
      <c r="BO687" s="871">
        <v>73527</v>
      </c>
      <c r="BP687" s="871">
        <v>74905</v>
      </c>
      <c r="BQ687" s="871">
        <v>76288</v>
      </c>
      <c r="BR687" s="871">
        <v>77677</v>
      </c>
      <c r="BS687" s="871">
        <v>79071</v>
      </c>
      <c r="BT687" s="871">
        <v>80470</v>
      </c>
      <c r="BU687" s="871">
        <v>81876</v>
      </c>
      <c r="BV687" s="871">
        <v>83294</v>
      </c>
      <c r="BW687" s="871">
        <v>84757</v>
      </c>
      <c r="BX687" s="871">
        <v>85600</v>
      </c>
      <c r="BY687" s="871">
        <v>0</v>
      </c>
      <c r="BZ687" s="871">
        <v>0</v>
      </c>
      <c r="CA687" s="871">
        <v>0</v>
      </c>
      <c r="CB687" s="871">
        <v>0</v>
      </c>
      <c r="CC687" s="871">
        <v>0</v>
      </c>
      <c r="CD687" s="871">
        <v>0</v>
      </c>
      <c r="CE687" s="871">
        <v>0</v>
      </c>
      <c r="CF687" s="871">
        <v>0</v>
      </c>
      <c r="CG687" s="871">
        <v>0</v>
      </c>
      <c r="CH687" s="871">
        <v>0</v>
      </c>
      <c r="CI687" s="871">
        <v>0</v>
      </c>
      <c r="CJ687" s="871">
        <v>0</v>
      </c>
      <c r="CK687" s="871">
        <v>0</v>
      </c>
      <c r="CL687" s="871">
        <v>0</v>
      </c>
      <c r="CM687" s="871">
        <v>0</v>
      </c>
      <c r="CN687" s="871">
        <v>0</v>
      </c>
      <c r="CO687" s="871">
        <v>0</v>
      </c>
      <c r="CP687" s="871">
        <v>0</v>
      </c>
      <c r="CQ687" s="871">
        <v>0</v>
      </c>
      <c r="CR687" s="871">
        <v>0</v>
      </c>
      <c r="CS687" s="871">
        <v>0</v>
      </c>
      <c r="CT687" s="871">
        <v>0</v>
      </c>
      <c r="CU687" s="871">
        <v>0</v>
      </c>
      <c r="CV687" s="871">
        <v>0</v>
      </c>
      <c r="CW687" s="871">
        <v>0</v>
      </c>
      <c r="CX687" s="871">
        <v>0</v>
      </c>
      <c r="CY687" s="871">
        <v>0</v>
      </c>
      <c r="CZ687" s="871">
        <v>0</v>
      </c>
      <c r="DA687" s="871">
        <v>0</v>
      </c>
      <c r="DB687" s="871">
        <v>0</v>
      </c>
      <c r="DC687" s="871">
        <v>0</v>
      </c>
      <c r="DD687" s="871">
        <v>0</v>
      </c>
      <c r="DE687" s="871">
        <v>0</v>
      </c>
      <c r="DF687" s="871">
        <v>0</v>
      </c>
      <c r="DG687" s="871">
        <v>0</v>
      </c>
      <c r="DH687" s="871">
        <v>0</v>
      </c>
      <c r="DI687" s="871">
        <v>0</v>
      </c>
      <c r="DJ687" s="871">
        <v>0</v>
      </c>
      <c r="DK687" s="871">
        <v>0</v>
      </c>
      <c r="DL687" s="871">
        <v>0</v>
      </c>
      <c r="DM687" s="871">
        <v>0</v>
      </c>
      <c r="DN687" s="871">
        <v>0</v>
      </c>
      <c r="DO687" s="871">
        <v>0</v>
      </c>
      <c r="DP687" s="871">
        <v>0</v>
      </c>
      <c r="DQ687" s="871">
        <v>0</v>
      </c>
      <c r="DR687" s="871">
        <v>0</v>
      </c>
      <c r="DS687" s="871">
        <v>0</v>
      </c>
      <c r="DT687" s="871">
        <v>0</v>
      </c>
      <c r="DU687" s="871">
        <v>0</v>
      </c>
      <c r="DV687" s="871">
        <v>0</v>
      </c>
      <c r="DW687" s="871">
        <v>0</v>
      </c>
    </row>
    <row r="688" spans="12:127" hidden="1">
      <c r="L688" s="870" t="s">
        <v>1060</v>
      </c>
      <c r="M688" s="870" t="s">
        <v>1382</v>
      </c>
      <c r="N688" s="870" t="s">
        <v>96</v>
      </c>
      <c r="O688" s="871">
        <v>52</v>
      </c>
      <c r="P688" s="780" t="str">
        <f t="shared" si="21"/>
        <v>IWT060152</v>
      </c>
      <c r="Q688" s="871">
        <v>27437</v>
      </c>
      <c r="R688" s="871">
        <v>27986</v>
      </c>
      <c r="S688" s="871">
        <v>28545</v>
      </c>
      <c r="T688" s="871">
        <v>29116</v>
      </c>
      <c r="U688" s="871">
        <v>29699</v>
      </c>
      <c r="V688" s="871">
        <v>32277</v>
      </c>
      <c r="W688" s="871">
        <v>32277</v>
      </c>
      <c r="X688" s="871">
        <v>32277</v>
      </c>
      <c r="Y688" s="871">
        <v>32277</v>
      </c>
      <c r="Z688" s="871">
        <v>32735</v>
      </c>
      <c r="AA688" s="871">
        <v>33389</v>
      </c>
      <c r="AB688" s="871">
        <v>34057</v>
      </c>
      <c r="AC688" s="871">
        <v>34738</v>
      </c>
      <c r="AD688" s="871">
        <v>35433</v>
      </c>
      <c r="AE688" s="871">
        <v>36141</v>
      </c>
      <c r="AF688" s="871">
        <v>36864</v>
      </c>
      <c r="AG688" s="871">
        <v>37601</v>
      </c>
      <c r="AH688" s="871">
        <v>38353</v>
      </c>
      <c r="AI688" s="871">
        <v>39120</v>
      </c>
      <c r="AJ688" s="871">
        <v>39903</v>
      </c>
      <c r="AK688" s="871">
        <v>40701</v>
      </c>
      <c r="AL688" s="871">
        <v>41515</v>
      </c>
      <c r="AM688" s="871">
        <v>42345</v>
      </c>
      <c r="AN688" s="871">
        <v>43192</v>
      </c>
      <c r="AO688" s="871">
        <v>44056</v>
      </c>
      <c r="AP688" s="871">
        <v>44937</v>
      </c>
      <c r="AQ688" s="871">
        <v>45835</v>
      </c>
      <c r="AR688" s="871">
        <v>46752</v>
      </c>
      <c r="AS688" s="871">
        <v>47687</v>
      </c>
      <c r="AT688" s="871">
        <v>48640</v>
      </c>
      <c r="AU688" s="871">
        <v>49613</v>
      </c>
      <c r="AV688" s="871">
        <v>50605</v>
      </c>
      <c r="AW688" s="871">
        <v>51617</v>
      </c>
      <c r="AX688" s="871">
        <v>52649</v>
      </c>
      <c r="AY688" s="871">
        <v>53701</v>
      </c>
      <c r="AZ688" s="871">
        <v>54775</v>
      </c>
      <c r="BA688" s="871">
        <v>55870</v>
      </c>
      <c r="BB688" s="871">
        <v>56987</v>
      </c>
      <c r="BC688" s="871">
        <v>58127</v>
      </c>
      <c r="BD688" s="871">
        <v>59289</v>
      </c>
      <c r="BE688" s="871">
        <v>60474</v>
      </c>
      <c r="BF688" s="871">
        <v>61683</v>
      </c>
      <c r="BG688" s="871">
        <v>62916</v>
      </c>
      <c r="BH688" s="871">
        <v>64173</v>
      </c>
      <c r="BI688" s="871">
        <v>65456</v>
      </c>
      <c r="BJ688" s="871">
        <v>66764</v>
      </c>
      <c r="BK688" s="871">
        <v>68098</v>
      </c>
      <c r="BL688" s="871">
        <v>69450</v>
      </c>
      <c r="BM688" s="871">
        <v>70809</v>
      </c>
      <c r="BN688" s="871">
        <v>72175</v>
      </c>
      <c r="BO688" s="871">
        <v>73548</v>
      </c>
      <c r="BP688" s="871">
        <v>74928</v>
      </c>
      <c r="BQ688" s="871">
        <v>76313</v>
      </c>
      <c r="BR688" s="871">
        <v>77703</v>
      </c>
      <c r="BS688" s="871">
        <v>79099</v>
      </c>
      <c r="BT688" s="871">
        <v>80501</v>
      </c>
      <c r="BU688" s="871">
        <v>81916</v>
      </c>
      <c r="BV688" s="871">
        <v>83370</v>
      </c>
      <c r="BW688" s="871">
        <v>84200</v>
      </c>
      <c r="BX688" s="871">
        <v>0</v>
      </c>
      <c r="BY688" s="871">
        <v>0</v>
      </c>
      <c r="BZ688" s="871">
        <v>0</v>
      </c>
      <c r="CA688" s="871">
        <v>0</v>
      </c>
      <c r="CB688" s="871">
        <v>0</v>
      </c>
      <c r="CC688" s="871">
        <v>0</v>
      </c>
      <c r="CD688" s="871">
        <v>0</v>
      </c>
      <c r="CE688" s="871">
        <v>0</v>
      </c>
      <c r="CF688" s="871">
        <v>0</v>
      </c>
      <c r="CG688" s="871">
        <v>0</v>
      </c>
      <c r="CH688" s="871">
        <v>0</v>
      </c>
      <c r="CI688" s="871">
        <v>0</v>
      </c>
      <c r="CJ688" s="871">
        <v>0</v>
      </c>
      <c r="CK688" s="871">
        <v>0</v>
      </c>
      <c r="CL688" s="871">
        <v>0</v>
      </c>
      <c r="CM688" s="871">
        <v>0</v>
      </c>
      <c r="CN688" s="871">
        <v>0</v>
      </c>
      <c r="CO688" s="871">
        <v>0</v>
      </c>
      <c r="CP688" s="871">
        <v>0</v>
      </c>
      <c r="CQ688" s="871">
        <v>0</v>
      </c>
      <c r="CR688" s="871">
        <v>0</v>
      </c>
      <c r="CS688" s="871">
        <v>0</v>
      </c>
      <c r="CT688" s="871">
        <v>0</v>
      </c>
      <c r="CU688" s="871">
        <v>0</v>
      </c>
      <c r="CV688" s="871">
        <v>0</v>
      </c>
      <c r="CW688" s="871">
        <v>0</v>
      </c>
      <c r="CX688" s="871">
        <v>0</v>
      </c>
      <c r="CY688" s="871">
        <v>0</v>
      </c>
      <c r="CZ688" s="871">
        <v>0</v>
      </c>
      <c r="DA688" s="871">
        <v>0</v>
      </c>
      <c r="DB688" s="871">
        <v>0</v>
      </c>
      <c r="DC688" s="871">
        <v>0</v>
      </c>
      <c r="DD688" s="871">
        <v>0</v>
      </c>
      <c r="DE688" s="871">
        <v>0</v>
      </c>
      <c r="DF688" s="871">
        <v>0</v>
      </c>
      <c r="DG688" s="871">
        <v>0</v>
      </c>
      <c r="DH688" s="871">
        <v>0</v>
      </c>
      <c r="DI688" s="871">
        <v>0</v>
      </c>
      <c r="DJ688" s="871">
        <v>0</v>
      </c>
      <c r="DK688" s="871">
        <v>0</v>
      </c>
      <c r="DL688" s="871">
        <v>0</v>
      </c>
      <c r="DM688" s="871">
        <v>0</v>
      </c>
      <c r="DN688" s="871">
        <v>0</v>
      </c>
      <c r="DO688" s="871">
        <v>0</v>
      </c>
      <c r="DP688" s="871">
        <v>0</v>
      </c>
      <c r="DQ688" s="871">
        <v>0</v>
      </c>
      <c r="DR688" s="871">
        <v>0</v>
      </c>
      <c r="DS688" s="871">
        <v>0</v>
      </c>
      <c r="DT688" s="871">
        <v>0</v>
      </c>
      <c r="DU688" s="871">
        <v>0</v>
      </c>
      <c r="DV688" s="871">
        <v>0</v>
      </c>
      <c r="DW688" s="871">
        <v>0</v>
      </c>
    </row>
    <row r="689" spans="12:127" hidden="1">
      <c r="L689" s="870" t="s">
        <v>1060</v>
      </c>
      <c r="M689" s="870" t="s">
        <v>1382</v>
      </c>
      <c r="N689" s="870" t="s">
        <v>96</v>
      </c>
      <c r="O689" s="871">
        <v>53</v>
      </c>
      <c r="P689" s="780" t="str">
        <f t="shared" si="21"/>
        <v>IWT060153</v>
      </c>
      <c r="Q689" s="871">
        <v>27445</v>
      </c>
      <c r="R689" s="871">
        <v>27994</v>
      </c>
      <c r="S689" s="871">
        <v>28554</v>
      </c>
      <c r="T689" s="871">
        <v>29125</v>
      </c>
      <c r="U689" s="871">
        <v>29708</v>
      </c>
      <c r="V689" s="871">
        <v>32289.7</v>
      </c>
      <c r="W689" s="871">
        <v>32289.7</v>
      </c>
      <c r="X689" s="871">
        <v>32289.7</v>
      </c>
      <c r="Y689" s="871">
        <v>32289.7</v>
      </c>
      <c r="Z689" s="871">
        <v>32739</v>
      </c>
      <c r="AA689" s="871">
        <v>33394</v>
      </c>
      <c r="AB689" s="871">
        <v>34062</v>
      </c>
      <c r="AC689" s="871">
        <v>34743</v>
      </c>
      <c r="AD689" s="871">
        <v>35438</v>
      </c>
      <c r="AE689" s="871">
        <v>36147</v>
      </c>
      <c r="AF689" s="871">
        <v>36870</v>
      </c>
      <c r="AG689" s="871">
        <v>37607</v>
      </c>
      <c r="AH689" s="871">
        <v>38359</v>
      </c>
      <c r="AI689" s="871">
        <v>39126</v>
      </c>
      <c r="AJ689" s="871">
        <v>39909</v>
      </c>
      <c r="AK689" s="871">
        <v>40707</v>
      </c>
      <c r="AL689" s="871">
        <v>41521</v>
      </c>
      <c r="AM689" s="871">
        <v>42351</v>
      </c>
      <c r="AN689" s="871">
        <v>43198</v>
      </c>
      <c r="AO689" s="871">
        <v>44062</v>
      </c>
      <c r="AP689" s="871">
        <v>44943</v>
      </c>
      <c r="AQ689" s="871">
        <v>45842</v>
      </c>
      <c r="AR689" s="871">
        <v>46758</v>
      </c>
      <c r="AS689" s="871">
        <v>47693</v>
      </c>
      <c r="AT689" s="871">
        <v>48647</v>
      </c>
      <c r="AU689" s="871">
        <v>49620</v>
      </c>
      <c r="AV689" s="871">
        <v>50612</v>
      </c>
      <c r="AW689" s="871">
        <v>51624</v>
      </c>
      <c r="AX689" s="871">
        <v>52656</v>
      </c>
      <c r="AY689" s="871">
        <v>53709</v>
      </c>
      <c r="AZ689" s="871">
        <v>54783</v>
      </c>
      <c r="BA689" s="871">
        <v>55878</v>
      </c>
      <c r="BB689" s="871">
        <v>56995</v>
      </c>
      <c r="BC689" s="871">
        <v>58135</v>
      </c>
      <c r="BD689" s="871">
        <v>59297</v>
      </c>
      <c r="BE689" s="871">
        <v>60482</v>
      </c>
      <c r="BF689" s="871">
        <v>61691</v>
      </c>
      <c r="BG689" s="871">
        <v>62924</v>
      </c>
      <c r="BH689" s="871">
        <v>64182</v>
      </c>
      <c r="BI689" s="871">
        <v>65464</v>
      </c>
      <c r="BJ689" s="871">
        <v>66773</v>
      </c>
      <c r="BK689" s="871">
        <v>68107</v>
      </c>
      <c r="BL689" s="871">
        <v>69461</v>
      </c>
      <c r="BM689" s="871">
        <v>70823</v>
      </c>
      <c r="BN689" s="871">
        <v>72192</v>
      </c>
      <c r="BO689" s="871">
        <v>73567</v>
      </c>
      <c r="BP689" s="871">
        <v>74949</v>
      </c>
      <c r="BQ689" s="871">
        <v>76335</v>
      </c>
      <c r="BR689" s="871">
        <v>77728</v>
      </c>
      <c r="BS689" s="871">
        <v>79126</v>
      </c>
      <c r="BT689" s="871">
        <v>80537</v>
      </c>
      <c r="BU689" s="871">
        <v>81984</v>
      </c>
      <c r="BV689" s="871">
        <v>82800</v>
      </c>
      <c r="BW689" s="871">
        <v>0</v>
      </c>
      <c r="BX689" s="871">
        <v>0</v>
      </c>
      <c r="BY689" s="871">
        <v>0</v>
      </c>
      <c r="BZ689" s="871">
        <v>0</v>
      </c>
      <c r="CA689" s="871">
        <v>0</v>
      </c>
      <c r="CB689" s="871">
        <v>0</v>
      </c>
      <c r="CC689" s="871">
        <v>0</v>
      </c>
      <c r="CD689" s="871">
        <v>0</v>
      </c>
      <c r="CE689" s="871">
        <v>0</v>
      </c>
      <c r="CF689" s="871">
        <v>0</v>
      </c>
      <c r="CG689" s="871">
        <v>0</v>
      </c>
      <c r="CH689" s="871">
        <v>0</v>
      </c>
      <c r="CI689" s="871">
        <v>0</v>
      </c>
      <c r="CJ689" s="871">
        <v>0</v>
      </c>
      <c r="CK689" s="871">
        <v>0</v>
      </c>
      <c r="CL689" s="871">
        <v>0</v>
      </c>
      <c r="CM689" s="871">
        <v>0</v>
      </c>
      <c r="CN689" s="871">
        <v>0</v>
      </c>
      <c r="CO689" s="871">
        <v>0</v>
      </c>
      <c r="CP689" s="871">
        <v>0</v>
      </c>
      <c r="CQ689" s="871">
        <v>0</v>
      </c>
      <c r="CR689" s="871">
        <v>0</v>
      </c>
      <c r="CS689" s="871">
        <v>0</v>
      </c>
      <c r="CT689" s="871">
        <v>0</v>
      </c>
      <c r="CU689" s="871">
        <v>0</v>
      </c>
      <c r="CV689" s="871">
        <v>0</v>
      </c>
      <c r="CW689" s="871">
        <v>0</v>
      </c>
      <c r="CX689" s="871">
        <v>0</v>
      </c>
      <c r="CY689" s="871">
        <v>0</v>
      </c>
      <c r="CZ689" s="871">
        <v>0</v>
      </c>
      <c r="DA689" s="871">
        <v>0</v>
      </c>
      <c r="DB689" s="871">
        <v>0</v>
      </c>
      <c r="DC689" s="871">
        <v>0</v>
      </c>
      <c r="DD689" s="871">
        <v>0</v>
      </c>
      <c r="DE689" s="871">
        <v>0</v>
      </c>
      <c r="DF689" s="871">
        <v>0</v>
      </c>
      <c r="DG689" s="871">
        <v>0</v>
      </c>
      <c r="DH689" s="871">
        <v>0</v>
      </c>
      <c r="DI689" s="871">
        <v>0</v>
      </c>
      <c r="DJ689" s="871">
        <v>0</v>
      </c>
      <c r="DK689" s="871">
        <v>0</v>
      </c>
      <c r="DL689" s="871">
        <v>0</v>
      </c>
      <c r="DM689" s="871">
        <v>0</v>
      </c>
      <c r="DN689" s="871">
        <v>0</v>
      </c>
      <c r="DO689" s="871">
        <v>0</v>
      </c>
      <c r="DP689" s="871">
        <v>0</v>
      </c>
      <c r="DQ689" s="871">
        <v>0</v>
      </c>
      <c r="DR689" s="871">
        <v>0</v>
      </c>
      <c r="DS689" s="871">
        <v>0</v>
      </c>
      <c r="DT689" s="871">
        <v>0</v>
      </c>
      <c r="DU689" s="871">
        <v>0</v>
      </c>
      <c r="DV689" s="871">
        <v>0</v>
      </c>
      <c r="DW689" s="871">
        <v>0</v>
      </c>
    </row>
    <row r="690" spans="12:127" hidden="1">
      <c r="L690" s="870" t="s">
        <v>1060</v>
      </c>
      <c r="M690" s="870" t="s">
        <v>1382</v>
      </c>
      <c r="N690" s="870" t="s">
        <v>96</v>
      </c>
      <c r="O690" s="871">
        <v>54</v>
      </c>
      <c r="P690" s="780" t="str">
        <f t="shared" si="21"/>
        <v>IWT060154</v>
      </c>
      <c r="Q690" s="871">
        <v>27453</v>
      </c>
      <c r="R690" s="871">
        <v>28003</v>
      </c>
      <c r="S690" s="871">
        <v>28563</v>
      </c>
      <c r="T690" s="871">
        <v>29134</v>
      </c>
      <c r="U690" s="871">
        <v>29716</v>
      </c>
      <c r="V690" s="871">
        <v>32302.400000000001</v>
      </c>
      <c r="W690" s="871">
        <v>32302.400000000001</v>
      </c>
      <c r="X690" s="871">
        <v>32302.400000000001</v>
      </c>
      <c r="Y690" s="871">
        <v>32302.400000000001</v>
      </c>
      <c r="Z690" s="871">
        <v>32743</v>
      </c>
      <c r="AA690" s="871">
        <v>33398</v>
      </c>
      <c r="AB690" s="871">
        <v>34066</v>
      </c>
      <c r="AC690" s="871">
        <v>34747</v>
      </c>
      <c r="AD690" s="871">
        <v>35442</v>
      </c>
      <c r="AE690" s="871">
        <v>36151</v>
      </c>
      <c r="AF690" s="871">
        <v>36874</v>
      </c>
      <c r="AG690" s="871">
        <v>37611</v>
      </c>
      <c r="AH690" s="871">
        <v>38363</v>
      </c>
      <c r="AI690" s="871">
        <v>39131</v>
      </c>
      <c r="AJ690" s="871">
        <v>39913</v>
      </c>
      <c r="AK690" s="871">
        <v>40711</v>
      </c>
      <c r="AL690" s="871">
        <v>41525</v>
      </c>
      <c r="AM690" s="871">
        <v>42356</v>
      </c>
      <c r="AN690" s="871">
        <v>43203</v>
      </c>
      <c r="AO690" s="871">
        <v>44067</v>
      </c>
      <c r="AP690" s="871">
        <v>44948</v>
      </c>
      <c r="AQ690" s="871">
        <v>45847</v>
      </c>
      <c r="AR690" s="871">
        <v>46764</v>
      </c>
      <c r="AS690" s="871">
        <v>47699</v>
      </c>
      <c r="AT690" s="871">
        <v>48652</v>
      </c>
      <c r="AU690" s="871">
        <v>49625</v>
      </c>
      <c r="AV690" s="871">
        <v>50618</v>
      </c>
      <c r="AW690" s="871">
        <v>51630</v>
      </c>
      <c r="AX690" s="871">
        <v>52662</v>
      </c>
      <c r="AY690" s="871">
        <v>53715</v>
      </c>
      <c r="AZ690" s="871">
        <v>54789</v>
      </c>
      <c r="BA690" s="871">
        <v>55884</v>
      </c>
      <c r="BB690" s="871">
        <v>57001</v>
      </c>
      <c r="BC690" s="871">
        <v>58141</v>
      </c>
      <c r="BD690" s="871">
        <v>59303</v>
      </c>
      <c r="BE690" s="871">
        <v>60488</v>
      </c>
      <c r="BF690" s="871">
        <v>61697</v>
      </c>
      <c r="BG690" s="871">
        <v>62931</v>
      </c>
      <c r="BH690" s="871">
        <v>64188</v>
      </c>
      <c r="BI690" s="871">
        <v>65471</v>
      </c>
      <c r="BJ690" s="871">
        <v>66779</v>
      </c>
      <c r="BK690" s="871">
        <v>68114</v>
      </c>
      <c r="BL690" s="871">
        <v>69471</v>
      </c>
      <c r="BM690" s="871">
        <v>70836</v>
      </c>
      <c r="BN690" s="871">
        <v>72207</v>
      </c>
      <c r="BO690" s="871">
        <v>73584</v>
      </c>
      <c r="BP690" s="871">
        <v>74968</v>
      </c>
      <c r="BQ690" s="871">
        <v>76357</v>
      </c>
      <c r="BR690" s="871">
        <v>77752</v>
      </c>
      <c r="BS690" s="871">
        <v>79158</v>
      </c>
      <c r="BT690" s="871">
        <v>80598</v>
      </c>
      <c r="BU690" s="871">
        <v>81400</v>
      </c>
      <c r="BV690" s="871">
        <v>0</v>
      </c>
      <c r="BW690" s="871">
        <v>0</v>
      </c>
      <c r="BX690" s="871">
        <v>0</v>
      </c>
      <c r="BY690" s="871">
        <v>0</v>
      </c>
      <c r="BZ690" s="871">
        <v>0</v>
      </c>
      <c r="CA690" s="871">
        <v>0</v>
      </c>
      <c r="CB690" s="871">
        <v>0</v>
      </c>
      <c r="CC690" s="871">
        <v>0</v>
      </c>
      <c r="CD690" s="871">
        <v>0</v>
      </c>
      <c r="CE690" s="871">
        <v>0</v>
      </c>
      <c r="CF690" s="871">
        <v>0</v>
      </c>
      <c r="CG690" s="871">
        <v>0</v>
      </c>
      <c r="CH690" s="871">
        <v>0</v>
      </c>
      <c r="CI690" s="871">
        <v>0</v>
      </c>
      <c r="CJ690" s="871">
        <v>0</v>
      </c>
      <c r="CK690" s="871">
        <v>0</v>
      </c>
      <c r="CL690" s="871">
        <v>0</v>
      </c>
      <c r="CM690" s="871">
        <v>0</v>
      </c>
      <c r="CN690" s="871">
        <v>0</v>
      </c>
      <c r="CO690" s="871">
        <v>0</v>
      </c>
      <c r="CP690" s="871">
        <v>0</v>
      </c>
      <c r="CQ690" s="871">
        <v>0</v>
      </c>
      <c r="CR690" s="871">
        <v>0</v>
      </c>
      <c r="CS690" s="871">
        <v>0</v>
      </c>
      <c r="CT690" s="871">
        <v>0</v>
      </c>
      <c r="CU690" s="871">
        <v>0</v>
      </c>
      <c r="CV690" s="871">
        <v>0</v>
      </c>
      <c r="CW690" s="871">
        <v>0</v>
      </c>
      <c r="CX690" s="871">
        <v>0</v>
      </c>
      <c r="CY690" s="871">
        <v>0</v>
      </c>
      <c r="CZ690" s="871">
        <v>0</v>
      </c>
      <c r="DA690" s="871">
        <v>0</v>
      </c>
      <c r="DB690" s="871">
        <v>0</v>
      </c>
      <c r="DC690" s="871">
        <v>0</v>
      </c>
      <c r="DD690" s="871">
        <v>0</v>
      </c>
      <c r="DE690" s="871">
        <v>0</v>
      </c>
      <c r="DF690" s="871">
        <v>0</v>
      </c>
      <c r="DG690" s="871">
        <v>0</v>
      </c>
      <c r="DH690" s="871">
        <v>0</v>
      </c>
      <c r="DI690" s="871">
        <v>0</v>
      </c>
      <c r="DJ690" s="871">
        <v>0</v>
      </c>
      <c r="DK690" s="871">
        <v>0</v>
      </c>
      <c r="DL690" s="871">
        <v>0</v>
      </c>
      <c r="DM690" s="871">
        <v>0</v>
      </c>
      <c r="DN690" s="871">
        <v>0</v>
      </c>
      <c r="DO690" s="871">
        <v>0</v>
      </c>
      <c r="DP690" s="871">
        <v>0</v>
      </c>
      <c r="DQ690" s="871">
        <v>0</v>
      </c>
      <c r="DR690" s="871">
        <v>0</v>
      </c>
      <c r="DS690" s="871">
        <v>0</v>
      </c>
      <c r="DT690" s="871">
        <v>0</v>
      </c>
      <c r="DU690" s="871">
        <v>0</v>
      </c>
      <c r="DV690" s="871">
        <v>0</v>
      </c>
      <c r="DW690" s="871">
        <v>0</v>
      </c>
    </row>
    <row r="691" spans="12:127" hidden="1">
      <c r="L691" s="870" t="s">
        <v>1060</v>
      </c>
      <c r="M691" s="870" t="s">
        <v>1382</v>
      </c>
      <c r="N691" s="870" t="s">
        <v>96</v>
      </c>
      <c r="O691" s="871">
        <v>55</v>
      </c>
      <c r="P691" s="780" t="str">
        <f t="shared" si="21"/>
        <v>IWT060155</v>
      </c>
      <c r="Q691" s="871">
        <v>27461</v>
      </c>
      <c r="R691" s="871">
        <v>28010</v>
      </c>
      <c r="S691" s="871">
        <v>28571</v>
      </c>
      <c r="T691" s="871">
        <v>29142</v>
      </c>
      <c r="U691" s="871">
        <v>29725</v>
      </c>
      <c r="V691" s="871">
        <v>32321.5</v>
      </c>
      <c r="W691" s="871">
        <v>32321.5</v>
      </c>
      <c r="X691" s="871">
        <v>32321.5</v>
      </c>
      <c r="Y691" s="871">
        <v>32321.5</v>
      </c>
      <c r="Z691" s="871">
        <v>32746</v>
      </c>
      <c r="AA691" s="871">
        <v>33401</v>
      </c>
      <c r="AB691" s="871">
        <v>34069</v>
      </c>
      <c r="AC691" s="871">
        <v>34750</v>
      </c>
      <c r="AD691" s="871">
        <v>35445</v>
      </c>
      <c r="AE691" s="871">
        <v>36154</v>
      </c>
      <c r="AF691" s="871">
        <v>36877</v>
      </c>
      <c r="AG691" s="871">
        <v>37615</v>
      </c>
      <c r="AH691" s="871">
        <v>38367</v>
      </c>
      <c r="AI691" s="871">
        <v>39134</v>
      </c>
      <c r="AJ691" s="871">
        <v>39917</v>
      </c>
      <c r="AK691" s="871">
        <v>40715</v>
      </c>
      <c r="AL691" s="871">
        <v>41529</v>
      </c>
      <c r="AM691" s="871">
        <v>42360</v>
      </c>
      <c r="AN691" s="871">
        <v>43207</v>
      </c>
      <c r="AO691" s="871">
        <v>44071</v>
      </c>
      <c r="AP691" s="871">
        <v>44952</v>
      </c>
      <c r="AQ691" s="871">
        <v>45851</v>
      </c>
      <c r="AR691" s="871">
        <v>46768</v>
      </c>
      <c r="AS691" s="871">
        <v>47703</v>
      </c>
      <c r="AT691" s="871">
        <v>48657</v>
      </c>
      <c r="AU691" s="871">
        <v>49630</v>
      </c>
      <c r="AV691" s="871">
        <v>50622</v>
      </c>
      <c r="AW691" s="871">
        <v>51635</v>
      </c>
      <c r="AX691" s="871">
        <v>52667</v>
      </c>
      <c r="AY691" s="871">
        <v>53720</v>
      </c>
      <c r="AZ691" s="871">
        <v>54794</v>
      </c>
      <c r="BA691" s="871">
        <v>55889</v>
      </c>
      <c r="BB691" s="871">
        <v>57007</v>
      </c>
      <c r="BC691" s="871">
        <v>58146</v>
      </c>
      <c r="BD691" s="871">
        <v>59308</v>
      </c>
      <c r="BE691" s="871">
        <v>60494</v>
      </c>
      <c r="BF691" s="871">
        <v>61703</v>
      </c>
      <c r="BG691" s="871">
        <v>62936</v>
      </c>
      <c r="BH691" s="871">
        <v>64194</v>
      </c>
      <c r="BI691" s="871">
        <v>65477</v>
      </c>
      <c r="BJ691" s="871">
        <v>66785</v>
      </c>
      <c r="BK691" s="871">
        <v>68119</v>
      </c>
      <c r="BL691" s="871">
        <v>69479</v>
      </c>
      <c r="BM691" s="871">
        <v>70847</v>
      </c>
      <c r="BN691" s="871">
        <v>72220</v>
      </c>
      <c r="BO691" s="871">
        <v>73600</v>
      </c>
      <c r="BP691" s="871">
        <v>74985</v>
      </c>
      <c r="BQ691" s="871">
        <v>76377</v>
      </c>
      <c r="BR691" s="871">
        <v>77780</v>
      </c>
      <c r="BS691" s="871">
        <v>79212</v>
      </c>
      <c r="BT691" s="871">
        <v>80000</v>
      </c>
      <c r="BU691" s="871">
        <v>0</v>
      </c>
      <c r="BV691" s="871">
        <v>0</v>
      </c>
      <c r="BW691" s="871">
        <v>0</v>
      </c>
      <c r="BX691" s="871">
        <v>0</v>
      </c>
      <c r="BY691" s="871">
        <v>0</v>
      </c>
      <c r="BZ691" s="871">
        <v>0</v>
      </c>
      <c r="CA691" s="871">
        <v>0</v>
      </c>
      <c r="CB691" s="871">
        <v>0</v>
      </c>
      <c r="CC691" s="871">
        <v>0</v>
      </c>
      <c r="CD691" s="871">
        <v>0</v>
      </c>
      <c r="CE691" s="871">
        <v>0</v>
      </c>
      <c r="CF691" s="871">
        <v>0</v>
      </c>
      <c r="CG691" s="871">
        <v>0</v>
      </c>
      <c r="CH691" s="871">
        <v>0</v>
      </c>
      <c r="CI691" s="871">
        <v>0</v>
      </c>
      <c r="CJ691" s="871">
        <v>0</v>
      </c>
      <c r="CK691" s="871">
        <v>0</v>
      </c>
      <c r="CL691" s="871">
        <v>0</v>
      </c>
      <c r="CM691" s="871">
        <v>0</v>
      </c>
      <c r="CN691" s="871">
        <v>0</v>
      </c>
      <c r="CO691" s="871">
        <v>0</v>
      </c>
      <c r="CP691" s="871">
        <v>0</v>
      </c>
      <c r="CQ691" s="871">
        <v>0</v>
      </c>
      <c r="CR691" s="871">
        <v>0</v>
      </c>
      <c r="CS691" s="871">
        <v>0</v>
      </c>
      <c r="CT691" s="871">
        <v>0</v>
      </c>
      <c r="CU691" s="871">
        <v>0</v>
      </c>
      <c r="CV691" s="871">
        <v>0</v>
      </c>
      <c r="CW691" s="871">
        <v>0</v>
      </c>
      <c r="CX691" s="871">
        <v>0</v>
      </c>
      <c r="CY691" s="871">
        <v>0</v>
      </c>
      <c r="CZ691" s="871">
        <v>0</v>
      </c>
      <c r="DA691" s="871">
        <v>0</v>
      </c>
      <c r="DB691" s="871">
        <v>0</v>
      </c>
      <c r="DC691" s="871">
        <v>0</v>
      </c>
      <c r="DD691" s="871">
        <v>0</v>
      </c>
      <c r="DE691" s="871">
        <v>0</v>
      </c>
      <c r="DF691" s="871">
        <v>0</v>
      </c>
      <c r="DG691" s="871">
        <v>0</v>
      </c>
      <c r="DH691" s="871">
        <v>0</v>
      </c>
      <c r="DI691" s="871">
        <v>0</v>
      </c>
      <c r="DJ691" s="871">
        <v>0</v>
      </c>
      <c r="DK691" s="871">
        <v>0</v>
      </c>
      <c r="DL691" s="871">
        <v>0</v>
      </c>
      <c r="DM691" s="871">
        <v>0</v>
      </c>
      <c r="DN691" s="871">
        <v>0</v>
      </c>
      <c r="DO691" s="871">
        <v>0</v>
      </c>
      <c r="DP691" s="871">
        <v>0</v>
      </c>
      <c r="DQ691" s="871">
        <v>0</v>
      </c>
      <c r="DR691" s="871">
        <v>0</v>
      </c>
      <c r="DS691" s="871">
        <v>0</v>
      </c>
      <c r="DT691" s="871">
        <v>0</v>
      </c>
      <c r="DU691" s="871">
        <v>0</v>
      </c>
      <c r="DV691" s="871">
        <v>0</v>
      </c>
      <c r="DW691" s="871">
        <v>0</v>
      </c>
    </row>
    <row r="692" spans="12:127" hidden="1">
      <c r="L692" s="870" t="s">
        <v>1060</v>
      </c>
      <c r="M692" s="870" t="s">
        <v>1382</v>
      </c>
      <c r="N692" s="870" t="s">
        <v>96</v>
      </c>
      <c r="O692" s="871">
        <v>56</v>
      </c>
      <c r="P692" s="780" t="str">
        <f t="shared" si="21"/>
        <v>IWT060156</v>
      </c>
      <c r="Q692" s="871">
        <v>27470</v>
      </c>
      <c r="R692" s="871">
        <v>28019</v>
      </c>
      <c r="S692" s="871">
        <v>28579</v>
      </c>
      <c r="T692" s="871">
        <v>29151</v>
      </c>
      <c r="U692" s="871">
        <v>29734</v>
      </c>
      <c r="V692" s="871">
        <v>32340.6</v>
      </c>
      <c r="W692" s="871">
        <v>32340.6</v>
      </c>
      <c r="X692" s="871">
        <v>32340.6</v>
      </c>
      <c r="Y692" s="871">
        <v>32340.6</v>
      </c>
      <c r="Z692" s="871">
        <v>32750</v>
      </c>
      <c r="AA692" s="871">
        <v>33405</v>
      </c>
      <c r="AB692" s="871">
        <v>34073</v>
      </c>
      <c r="AC692" s="871">
        <v>34754</v>
      </c>
      <c r="AD692" s="871">
        <v>35449</v>
      </c>
      <c r="AE692" s="871">
        <v>36158</v>
      </c>
      <c r="AF692" s="871">
        <v>36881</v>
      </c>
      <c r="AG692" s="871">
        <v>37619</v>
      </c>
      <c r="AH692" s="871">
        <v>38371</v>
      </c>
      <c r="AI692" s="871">
        <v>39139</v>
      </c>
      <c r="AJ692" s="871">
        <v>39921</v>
      </c>
      <c r="AK692" s="871">
        <v>40720</v>
      </c>
      <c r="AL692" s="871">
        <v>41534</v>
      </c>
      <c r="AM692" s="871">
        <v>42364</v>
      </c>
      <c r="AN692" s="871">
        <v>43212</v>
      </c>
      <c r="AO692" s="871">
        <v>44076</v>
      </c>
      <c r="AP692" s="871">
        <v>44957</v>
      </c>
      <c r="AQ692" s="871">
        <v>45856</v>
      </c>
      <c r="AR692" s="871">
        <v>46773</v>
      </c>
      <c r="AS692" s="871">
        <v>47708</v>
      </c>
      <c r="AT692" s="871">
        <v>48662</v>
      </c>
      <c r="AU692" s="871">
        <v>49635</v>
      </c>
      <c r="AV692" s="871">
        <v>50628</v>
      </c>
      <c r="AW692" s="871">
        <v>51640</v>
      </c>
      <c r="AX692" s="871">
        <v>52672</v>
      </c>
      <c r="AY692" s="871">
        <v>53725</v>
      </c>
      <c r="AZ692" s="871">
        <v>54799</v>
      </c>
      <c r="BA692" s="871">
        <v>55895</v>
      </c>
      <c r="BB692" s="871">
        <v>57012</v>
      </c>
      <c r="BC692" s="871">
        <v>58152</v>
      </c>
      <c r="BD692" s="871">
        <v>59314</v>
      </c>
      <c r="BE692" s="871">
        <v>60500</v>
      </c>
      <c r="BF692" s="871">
        <v>61709</v>
      </c>
      <c r="BG692" s="871">
        <v>62942</v>
      </c>
      <c r="BH692" s="871">
        <v>64200</v>
      </c>
      <c r="BI692" s="871">
        <v>65483</v>
      </c>
      <c r="BJ692" s="871">
        <v>66791</v>
      </c>
      <c r="BK692" s="871">
        <v>68126</v>
      </c>
      <c r="BL692" s="871">
        <v>69486</v>
      </c>
      <c r="BM692" s="871">
        <v>70856</v>
      </c>
      <c r="BN692" s="871">
        <v>72232</v>
      </c>
      <c r="BO692" s="871">
        <v>73614</v>
      </c>
      <c r="BP692" s="871">
        <v>75003</v>
      </c>
      <c r="BQ692" s="871">
        <v>76401</v>
      </c>
      <c r="BR692" s="871">
        <v>77826</v>
      </c>
      <c r="BS692" s="871">
        <v>78600</v>
      </c>
      <c r="BT692" s="871">
        <v>0</v>
      </c>
      <c r="BU692" s="871">
        <v>0</v>
      </c>
      <c r="BV692" s="871">
        <v>0</v>
      </c>
      <c r="BW692" s="871">
        <v>0</v>
      </c>
      <c r="BX692" s="871">
        <v>0</v>
      </c>
      <c r="BY692" s="871">
        <v>0</v>
      </c>
      <c r="BZ692" s="871">
        <v>0</v>
      </c>
      <c r="CA692" s="871">
        <v>0</v>
      </c>
      <c r="CB692" s="871">
        <v>0</v>
      </c>
      <c r="CC692" s="871">
        <v>0</v>
      </c>
      <c r="CD692" s="871">
        <v>0</v>
      </c>
      <c r="CE692" s="871">
        <v>0</v>
      </c>
      <c r="CF692" s="871">
        <v>0</v>
      </c>
      <c r="CG692" s="871">
        <v>0</v>
      </c>
      <c r="CH692" s="871">
        <v>0</v>
      </c>
      <c r="CI692" s="871">
        <v>0</v>
      </c>
      <c r="CJ692" s="871">
        <v>0</v>
      </c>
      <c r="CK692" s="871">
        <v>0</v>
      </c>
      <c r="CL692" s="871">
        <v>0</v>
      </c>
      <c r="CM692" s="871">
        <v>0</v>
      </c>
      <c r="CN692" s="871">
        <v>0</v>
      </c>
      <c r="CO692" s="871">
        <v>0</v>
      </c>
      <c r="CP692" s="871">
        <v>0</v>
      </c>
      <c r="CQ692" s="871">
        <v>0</v>
      </c>
      <c r="CR692" s="871">
        <v>0</v>
      </c>
      <c r="CS692" s="871">
        <v>0</v>
      </c>
      <c r="CT692" s="871">
        <v>0</v>
      </c>
      <c r="CU692" s="871">
        <v>0</v>
      </c>
      <c r="CV692" s="871">
        <v>0</v>
      </c>
      <c r="CW692" s="871">
        <v>0</v>
      </c>
      <c r="CX692" s="871">
        <v>0</v>
      </c>
      <c r="CY692" s="871">
        <v>0</v>
      </c>
      <c r="CZ692" s="871">
        <v>0</v>
      </c>
      <c r="DA692" s="871">
        <v>0</v>
      </c>
      <c r="DB692" s="871">
        <v>0</v>
      </c>
      <c r="DC692" s="871">
        <v>0</v>
      </c>
      <c r="DD692" s="871">
        <v>0</v>
      </c>
      <c r="DE692" s="871">
        <v>0</v>
      </c>
      <c r="DF692" s="871">
        <v>0</v>
      </c>
      <c r="DG692" s="871">
        <v>0</v>
      </c>
      <c r="DH692" s="871">
        <v>0</v>
      </c>
      <c r="DI692" s="871">
        <v>0</v>
      </c>
      <c r="DJ692" s="871">
        <v>0</v>
      </c>
      <c r="DK692" s="871">
        <v>0</v>
      </c>
      <c r="DL692" s="871">
        <v>0</v>
      </c>
      <c r="DM692" s="871">
        <v>0</v>
      </c>
      <c r="DN692" s="871">
        <v>0</v>
      </c>
      <c r="DO692" s="871">
        <v>0</v>
      </c>
      <c r="DP692" s="871">
        <v>0</v>
      </c>
      <c r="DQ692" s="871">
        <v>0</v>
      </c>
      <c r="DR692" s="871">
        <v>0</v>
      </c>
      <c r="DS692" s="871">
        <v>0</v>
      </c>
      <c r="DT692" s="871">
        <v>0</v>
      </c>
      <c r="DU692" s="871">
        <v>0</v>
      </c>
      <c r="DV692" s="871">
        <v>0</v>
      </c>
      <c r="DW692" s="871">
        <v>0</v>
      </c>
    </row>
    <row r="693" spans="12:127" hidden="1">
      <c r="L693" s="870" t="s">
        <v>1060</v>
      </c>
      <c r="M693" s="870" t="s">
        <v>1382</v>
      </c>
      <c r="N693" s="870" t="s">
        <v>96</v>
      </c>
      <c r="O693" s="871">
        <v>57</v>
      </c>
      <c r="P693" s="780" t="str">
        <f t="shared" si="21"/>
        <v>IWT060157</v>
      </c>
      <c r="Q693" s="871">
        <v>27479</v>
      </c>
      <c r="R693" s="871">
        <v>28028</v>
      </c>
      <c r="S693" s="871">
        <v>28589</v>
      </c>
      <c r="T693" s="871">
        <v>29161</v>
      </c>
      <c r="U693" s="871">
        <v>29744</v>
      </c>
      <c r="V693" s="871">
        <v>32353.3</v>
      </c>
      <c r="W693" s="871">
        <v>32353.3</v>
      </c>
      <c r="X693" s="871">
        <v>32353.3</v>
      </c>
      <c r="Y693" s="871">
        <v>32353.3</v>
      </c>
      <c r="Z693" s="871">
        <v>32754</v>
      </c>
      <c r="AA693" s="871">
        <v>33409</v>
      </c>
      <c r="AB693" s="871">
        <v>34077</v>
      </c>
      <c r="AC693" s="871">
        <v>34758</v>
      </c>
      <c r="AD693" s="871">
        <v>35453</v>
      </c>
      <c r="AE693" s="871">
        <v>36162</v>
      </c>
      <c r="AF693" s="871">
        <v>36886</v>
      </c>
      <c r="AG693" s="871">
        <v>37623</v>
      </c>
      <c r="AH693" s="871">
        <v>38376</v>
      </c>
      <c r="AI693" s="871">
        <v>39143</v>
      </c>
      <c r="AJ693" s="871">
        <v>39926</v>
      </c>
      <c r="AK693" s="871">
        <v>40724</v>
      </c>
      <c r="AL693" s="871">
        <v>41539</v>
      </c>
      <c r="AM693" s="871">
        <v>42369</v>
      </c>
      <c r="AN693" s="871">
        <v>43216</v>
      </c>
      <c r="AO693" s="871">
        <v>44081</v>
      </c>
      <c r="AP693" s="871">
        <v>44962</v>
      </c>
      <c r="AQ693" s="871">
        <v>45861</v>
      </c>
      <c r="AR693" s="871">
        <v>46778</v>
      </c>
      <c r="AS693" s="871">
        <v>47714</v>
      </c>
      <c r="AT693" s="871">
        <v>48668</v>
      </c>
      <c r="AU693" s="871">
        <v>49641</v>
      </c>
      <c r="AV693" s="871">
        <v>50633</v>
      </c>
      <c r="AW693" s="871">
        <v>51645</v>
      </c>
      <c r="AX693" s="871">
        <v>52678</v>
      </c>
      <c r="AY693" s="871">
        <v>53731</v>
      </c>
      <c r="AZ693" s="871">
        <v>54805</v>
      </c>
      <c r="BA693" s="871">
        <v>55901</v>
      </c>
      <c r="BB693" s="871">
        <v>57018</v>
      </c>
      <c r="BC693" s="871">
        <v>58158</v>
      </c>
      <c r="BD693" s="871">
        <v>59320</v>
      </c>
      <c r="BE693" s="871">
        <v>60506</v>
      </c>
      <c r="BF693" s="871">
        <v>61715</v>
      </c>
      <c r="BG693" s="871">
        <v>62948</v>
      </c>
      <c r="BH693" s="871">
        <v>64206</v>
      </c>
      <c r="BI693" s="871">
        <v>65489</v>
      </c>
      <c r="BJ693" s="871">
        <v>66797</v>
      </c>
      <c r="BK693" s="871">
        <v>68131</v>
      </c>
      <c r="BL693" s="871">
        <v>69492</v>
      </c>
      <c r="BM693" s="871">
        <v>70865</v>
      </c>
      <c r="BN693" s="871">
        <v>72243</v>
      </c>
      <c r="BO693" s="871">
        <v>73628</v>
      </c>
      <c r="BP693" s="871">
        <v>75022</v>
      </c>
      <c r="BQ693" s="871">
        <v>76439</v>
      </c>
      <c r="BR693" s="871">
        <v>77200</v>
      </c>
      <c r="BS693" s="871">
        <v>0</v>
      </c>
      <c r="BT693" s="871">
        <v>0</v>
      </c>
      <c r="BU693" s="871">
        <v>0</v>
      </c>
      <c r="BV693" s="871">
        <v>0</v>
      </c>
      <c r="BW693" s="871">
        <v>0</v>
      </c>
      <c r="BX693" s="871">
        <v>0</v>
      </c>
      <c r="BY693" s="871">
        <v>0</v>
      </c>
      <c r="BZ693" s="871">
        <v>0</v>
      </c>
      <c r="CA693" s="871">
        <v>0</v>
      </c>
      <c r="CB693" s="871">
        <v>0</v>
      </c>
      <c r="CC693" s="871">
        <v>0</v>
      </c>
      <c r="CD693" s="871">
        <v>0</v>
      </c>
      <c r="CE693" s="871">
        <v>0</v>
      </c>
      <c r="CF693" s="871">
        <v>0</v>
      </c>
      <c r="CG693" s="871">
        <v>0</v>
      </c>
      <c r="CH693" s="871">
        <v>0</v>
      </c>
      <c r="CI693" s="871">
        <v>0</v>
      </c>
      <c r="CJ693" s="871">
        <v>0</v>
      </c>
      <c r="CK693" s="871">
        <v>0</v>
      </c>
      <c r="CL693" s="871">
        <v>0</v>
      </c>
      <c r="CM693" s="871">
        <v>0</v>
      </c>
      <c r="CN693" s="871">
        <v>0</v>
      </c>
      <c r="CO693" s="871">
        <v>0</v>
      </c>
      <c r="CP693" s="871">
        <v>0</v>
      </c>
      <c r="CQ693" s="871">
        <v>0</v>
      </c>
      <c r="CR693" s="871">
        <v>0</v>
      </c>
      <c r="CS693" s="871">
        <v>0</v>
      </c>
      <c r="CT693" s="871">
        <v>0</v>
      </c>
      <c r="CU693" s="871">
        <v>0</v>
      </c>
      <c r="CV693" s="871">
        <v>0</v>
      </c>
      <c r="CW693" s="871">
        <v>0</v>
      </c>
      <c r="CX693" s="871">
        <v>0</v>
      </c>
      <c r="CY693" s="871">
        <v>0</v>
      </c>
      <c r="CZ693" s="871">
        <v>0</v>
      </c>
      <c r="DA693" s="871">
        <v>0</v>
      </c>
      <c r="DB693" s="871">
        <v>0</v>
      </c>
      <c r="DC693" s="871">
        <v>0</v>
      </c>
      <c r="DD693" s="871">
        <v>0</v>
      </c>
      <c r="DE693" s="871">
        <v>0</v>
      </c>
      <c r="DF693" s="871">
        <v>0</v>
      </c>
      <c r="DG693" s="871">
        <v>0</v>
      </c>
      <c r="DH693" s="871">
        <v>0</v>
      </c>
      <c r="DI693" s="871">
        <v>0</v>
      </c>
      <c r="DJ693" s="871">
        <v>0</v>
      </c>
      <c r="DK693" s="871">
        <v>0</v>
      </c>
      <c r="DL693" s="871">
        <v>0</v>
      </c>
      <c r="DM693" s="871">
        <v>0</v>
      </c>
      <c r="DN693" s="871">
        <v>0</v>
      </c>
      <c r="DO693" s="871">
        <v>0</v>
      </c>
      <c r="DP693" s="871">
        <v>0</v>
      </c>
      <c r="DQ693" s="871">
        <v>0</v>
      </c>
      <c r="DR693" s="871">
        <v>0</v>
      </c>
      <c r="DS693" s="871">
        <v>0</v>
      </c>
      <c r="DT693" s="871">
        <v>0</v>
      </c>
      <c r="DU693" s="871">
        <v>0</v>
      </c>
      <c r="DV693" s="871">
        <v>0</v>
      </c>
      <c r="DW693" s="871">
        <v>0</v>
      </c>
    </row>
    <row r="694" spans="12:127" hidden="1">
      <c r="L694" s="870" t="s">
        <v>1060</v>
      </c>
      <c r="M694" s="870" t="s">
        <v>1382</v>
      </c>
      <c r="N694" s="870" t="s">
        <v>96</v>
      </c>
      <c r="O694" s="871">
        <v>58</v>
      </c>
      <c r="P694" s="780" t="str">
        <f t="shared" si="21"/>
        <v>IWT060158</v>
      </c>
      <c r="Q694" s="871">
        <v>27489</v>
      </c>
      <c r="R694" s="871">
        <v>28039</v>
      </c>
      <c r="S694" s="871">
        <v>28600</v>
      </c>
      <c r="T694" s="871">
        <v>29172</v>
      </c>
      <c r="U694" s="871">
        <v>29755</v>
      </c>
      <c r="V694" s="871">
        <v>32378.799999999999</v>
      </c>
      <c r="W694" s="871">
        <v>32378.799999999999</v>
      </c>
      <c r="X694" s="871">
        <v>32378.799999999999</v>
      </c>
      <c r="Y694" s="871">
        <v>32378.799999999999</v>
      </c>
      <c r="Z694" s="871">
        <v>32757</v>
      </c>
      <c r="AA694" s="871">
        <v>33412</v>
      </c>
      <c r="AB694" s="871">
        <v>34080</v>
      </c>
      <c r="AC694" s="871">
        <v>34762</v>
      </c>
      <c r="AD694" s="871">
        <v>35457</v>
      </c>
      <c r="AE694" s="871">
        <v>36166</v>
      </c>
      <c r="AF694" s="871">
        <v>36889</v>
      </c>
      <c r="AG694" s="871">
        <v>37627</v>
      </c>
      <c r="AH694" s="871">
        <v>38379</v>
      </c>
      <c r="AI694" s="871">
        <v>39147</v>
      </c>
      <c r="AJ694" s="871">
        <v>39930</v>
      </c>
      <c r="AK694" s="871">
        <v>40728</v>
      </c>
      <c r="AL694" s="871">
        <v>41543</v>
      </c>
      <c r="AM694" s="871">
        <v>42373</v>
      </c>
      <c r="AN694" s="871">
        <v>43221</v>
      </c>
      <c r="AO694" s="871">
        <v>44085</v>
      </c>
      <c r="AP694" s="871">
        <v>44966</v>
      </c>
      <c r="AQ694" s="871">
        <v>45866</v>
      </c>
      <c r="AR694" s="871">
        <v>46783</v>
      </c>
      <c r="AS694" s="871">
        <v>47718</v>
      </c>
      <c r="AT694" s="871">
        <v>48672</v>
      </c>
      <c r="AU694" s="871">
        <v>49645</v>
      </c>
      <c r="AV694" s="871">
        <v>50638</v>
      </c>
      <c r="AW694" s="871">
        <v>51650</v>
      </c>
      <c r="AX694" s="871">
        <v>52683</v>
      </c>
      <c r="AY694" s="871">
        <v>53736</v>
      </c>
      <c r="AZ694" s="871">
        <v>54810</v>
      </c>
      <c r="BA694" s="871">
        <v>55906</v>
      </c>
      <c r="BB694" s="871">
        <v>57023</v>
      </c>
      <c r="BC694" s="871">
        <v>58163</v>
      </c>
      <c r="BD694" s="871">
        <v>59325</v>
      </c>
      <c r="BE694" s="871">
        <v>60511</v>
      </c>
      <c r="BF694" s="871">
        <v>61720</v>
      </c>
      <c r="BG694" s="871">
        <v>62953</v>
      </c>
      <c r="BH694" s="871">
        <v>64211</v>
      </c>
      <c r="BI694" s="871">
        <v>65494</v>
      </c>
      <c r="BJ694" s="871">
        <v>66802</v>
      </c>
      <c r="BK694" s="871">
        <v>68136</v>
      </c>
      <c r="BL694" s="871">
        <v>69497</v>
      </c>
      <c r="BM694" s="871">
        <v>70872</v>
      </c>
      <c r="BN694" s="871">
        <v>72253</v>
      </c>
      <c r="BO694" s="871">
        <v>73643</v>
      </c>
      <c r="BP694" s="871">
        <v>75053</v>
      </c>
      <c r="BQ694" s="871">
        <v>75800</v>
      </c>
      <c r="BR694" s="871">
        <v>0</v>
      </c>
      <c r="BS694" s="871">
        <v>0</v>
      </c>
      <c r="BT694" s="871">
        <v>0</v>
      </c>
      <c r="BU694" s="871">
        <v>0</v>
      </c>
      <c r="BV694" s="871">
        <v>0</v>
      </c>
      <c r="BW694" s="871">
        <v>0</v>
      </c>
      <c r="BX694" s="871">
        <v>0</v>
      </c>
      <c r="BY694" s="871">
        <v>0</v>
      </c>
      <c r="BZ694" s="871">
        <v>0</v>
      </c>
      <c r="CA694" s="871">
        <v>0</v>
      </c>
      <c r="CB694" s="871">
        <v>0</v>
      </c>
      <c r="CC694" s="871">
        <v>0</v>
      </c>
      <c r="CD694" s="871">
        <v>0</v>
      </c>
      <c r="CE694" s="871">
        <v>0</v>
      </c>
      <c r="CF694" s="871">
        <v>0</v>
      </c>
      <c r="CG694" s="871">
        <v>0</v>
      </c>
      <c r="CH694" s="871">
        <v>0</v>
      </c>
      <c r="CI694" s="871">
        <v>0</v>
      </c>
      <c r="CJ694" s="871">
        <v>0</v>
      </c>
      <c r="CK694" s="871">
        <v>0</v>
      </c>
      <c r="CL694" s="871">
        <v>0</v>
      </c>
      <c r="CM694" s="871">
        <v>0</v>
      </c>
      <c r="CN694" s="871">
        <v>0</v>
      </c>
      <c r="CO694" s="871">
        <v>0</v>
      </c>
      <c r="CP694" s="871">
        <v>0</v>
      </c>
      <c r="CQ694" s="871">
        <v>0</v>
      </c>
      <c r="CR694" s="871">
        <v>0</v>
      </c>
      <c r="CS694" s="871">
        <v>0</v>
      </c>
      <c r="CT694" s="871">
        <v>0</v>
      </c>
      <c r="CU694" s="871">
        <v>0</v>
      </c>
      <c r="CV694" s="871">
        <v>0</v>
      </c>
      <c r="CW694" s="871">
        <v>0</v>
      </c>
      <c r="CX694" s="871">
        <v>0</v>
      </c>
      <c r="CY694" s="871">
        <v>0</v>
      </c>
      <c r="CZ694" s="871">
        <v>0</v>
      </c>
      <c r="DA694" s="871">
        <v>0</v>
      </c>
      <c r="DB694" s="871">
        <v>0</v>
      </c>
      <c r="DC694" s="871">
        <v>0</v>
      </c>
      <c r="DD694" s="871">
        <v>0</v>
      </c>
      <c r="DE694" s="871">
        <v>0</v>
      </c>
      <c r="DF694" s="871">
        <v>0</v>
      </c>
      <c r="DG694" s="871">
        <v>0</v>
      </c>
      <c r="DH694" s="871">
        <v>0</v>
      </c>
      <c r="DI694" s="871">
        <v>0</v>
      </c>
      <c r="DJ694" s="871">
        <v>0</v>
      </c>
      <c r="DK694" s="871">
        <v>0</v>
      </c>
      <c r="DL694" s="871">
        <v>0</v>
      </c>
      <c r="DM694" s="871">
        <v>0</v>
      </c>
      <c r="DN694" s="871">
        <v>0</v>
      </c>
      <c r="DO694" s="871">
        <v>0</v>
      </c>
      <c r="DP694" s="871">
        <v>0</v>
      </c>
      <c r="DQ694" s="871">
        <v>0</v>
      </c>
      <c r="DR694" s="871">
        <v>0</v>
      </c>
      <c r="DS694" s="871">
        <v>0</v>
      </c>
      <c r="DT694" s="871">
        <v>0</v>
      </c>
      <c r="DU694" s="871">
        <v>0</v>
      </c>
      <c r="DV694" s="871">
        <v>0</v>
      </c>
      <c r="DW694" s="871">
        <v>0</v>
      </c>
    </row>
    <row r="695" spans="12:127" hidden="1">
      <c r="L695" s="870" t="s">
        <v>1060</v>
      </c>
      <c r="M695" s="870" t="s">
        <v>1382</v>
      </c>
      <c r="N695" s="870" t="s">
        <v>96</v>
      </c>
      <c r="O695" s="871">
        <v>59</v>
      </c>
      <c r="P695" s="780" t="str">
        <f t="shared" si="21"/>
        <v>IWT060159</v>
      </c>
      <c r="Q695" s="871">
        <v>27501</v>
      </c>
      <c r="R695" s="871">
        <v>28051</v>
      </c>
      <c r="S695" s="871">
        <v>28612</v>
      </c>
      <c r="T695" s="871">
        <v>29184</v>
      </c>
      <c r="U695" s="871">
        <v>29768</v>
      </c>
      <c r="V695" s="871">
        <v>32404.2</v>
      </c>
      <c r="W695" s="871">
        <v>32404.2</v>
      </c>
      <c r="X695" s="871">
        <v>32404.2</v>
      </c>
      <c r="Y695" s="871">
        <v>32404.2</v>
      </c>
      <c r="Z695" s="871">
        <v>32760</v>
      </c>
      <c r="AA695" s="871">
        <v>33416</v>
      </c>
      <c r="AB695" s="871">
        <v>34084</v>
      </c>
      <c r="AC695" s="871">
        <v>34766</v>
      </c>
      <c r="AD695" s="871">
        <v>35461</v>
      </c>
      <c r="AE695" s="871">
        <v>36170</v>
      </c>
      <c r="AF695" s="871">
        <v>36893</v>
      </c>
      <c r="AG695" s="871">
        <v>37631</v>
      </c>
      <c r="AH695" s="871">
        <v>38384</v>
      </c>
      <c r="AI695" s="871">
        <v>39151</v>
      </c>
      <c r="AJ695" s="871">
        <v>39934</v>
      </c>
      <c r="AK695" s="871">
        <v>40733</v>
      </c>
      <c r="AL695" s="871">
        <v>41547</v>
      </c>
      <c r="AM695" s="871">
        <v>42378</v>
      </c>
      <c r="AN695" s="871">
        <v>43225</v>
      </c>
      <c r="AO695" s="871">
        <v>44090</v>
      </c>
      <c r="AP695" s="871">
        <v>44971</v>
      </c>
      <c r="AQ695" s="871">
        <v>45871</v>
      </c>
      <c r="AR695" s="871">
        <v>46788</v>
      </c>
      <c r="AS695" s="871">
        <v>47723</v>
      </c>
      <c r="AT695" s="871">
        <v>48677</v>
      </c>
      <c r="AU695" s="871">
        <v>49651</v>
      </c>
      <c r="AV695" s="871">
        <v>50643</v>
      </c>
      <c r="AW695" s="871">
        <v>51656</v>
      </c>
      <c r="AX695" s="871">
        <v>52688</v>
      </c>
      <c r="AY695" s="871">
        <v>53742</v>
      </c>
      <c r="AZ695" s="871">
        <v>54816</v>
      </c>
      <c r="BA695" s="871">
        <v>55911</v>
      </c>
      <c r="BB695" s="871">
        <v>57029</v>
      </c>
      <c r="BC695" s="871">
        <v>58169</v>
      </c>
      <c r="BD695" s="871">
        <v>59331</v>
      </c>
      <c r="BE695" s="871">
        <v>60517</v>
      </c>
      <c r="BF695" s="871">
        <v>61726</v>
      </c>
      <c r="BG695" s="871">
        <v>62959</v>
      </c>
      <c r="BH695" s="871">
        <v>64216</v>
      </c>
      <c r="BI695" s="871">
        <v>65499</v>
      </c>
      <c r="BJ695" s="871">
        <v>66807</v>
      </c>
      <c r="BK695" s="871">
        <v>68141</v>
      </c>
      <c r="BL695" s="871">
        <v>69501</v>
      </c>
      <c r="BM695" s="871">
        <v>70879</v>
      </c>
      <c r="BN695" s="871">
        <v>72265</v>
      </c>
      <c r="BO695" s="871">
        <v>73667</v>
      </c>
      <c r="BP695" s="871">
        <v>74400</v>
      </c>
      <c r="BQ695" s="871">
        <v>0</v>
      </c>
      <c r="BR695" s="871">
        <v>0</v>
      </c>
      <c r="BS695" s="871">
        <v>0</v>
      </c>
      <c r="BT695" s="871">
        <v>0</v>
      </c>
      <c r="BU695" s="871">
        <v>0</v>
      </c>
      <c r="BV695" s="871">
        <v>0</v>
      </c>
      <c r="BW695" s="871">
        <v>0</v>
      </c>
      <c r="BX695" s="871">
        <v>0</v>
      </c>
      <c r="BY695" s="871">
        <v>0</v>
      </c>
      <c r="BZ695" s="871">
        <v>0</v>
      </c>
      <c r="CA695" s="871">
        <v>0</v>
      </c>
      <c r="CB695" s="871">
        <v>0</v>
      </c>
      <c r="CC695" s="871">
        <v>0</v>
      </c>
      <c r="CD695" s="871">
        <v>0</v>
      </c>
      <c r="CE695" s="871">
        <v>0</v>
      </c>
      <c r="CF695" s="871">
        <v>0</v>
      </c>
      <c r="CG695" s="871">
        <v>0</v>
      </c>
      <c r="CH695" s="871">
        <v>0</v>
      </c>
      <c r="CI695" s="871">
        <v>0</v>
      </c>
      <c r="CJ695" s="871">
        <v>0</v>
      </c>
      <c r="CK695" s="871">
        <v>0</v>
      </c>
      <c r="CL695" s="871">
        <v>0</v>
      </c>
      <c r="CM695" s="871">
        <v>0</v>
      </c>
      <c r="CN695" s="871">
        <v>0</v>
      </c>
      <c r="CO695" s="871">
        <v>0</v>
      </c>
      <c r="CP695" s="871">
        <v>0</v>
      </c>
      <c r="CQ695" s="871">
        <v>0</v>
      </c>
      <c r="CR695" s="871">
        <v>0</v>
      </c>
      <c r="CS695" s="871">
        <v>0</v>
      </c>
      <c r="CT695" s="871">
        <v>0</v>
      </c>
      <c r="CU695" s="871">
        <v>0</v>
      </c>
      <c r="CV695" s="871">
        <v>0</v>
      </c>
      <c r="CW695" s="871">
        <v>0</v>
      </c>
      <c r="CX695" s="871">
        <v>0</v>
      </c>
      <c r="CY695" s="871">
        <v>0</v>
      </c>
      <c r="CZ695" s="871">
        <v>0</v>
      </c>
      <c r="DA695" s="871">
        <v>0</v>
      </c>
      <c r="DB695" s="871">
        <v>0</v>
      </c>
      <c r="DC695" s="871">
        <v>0</v>
      </c>
      <c r="DD695" s="871">
        <v>0</v>
      </c>
      <c r="DE695" s="871">
        <v>0</v>
      </c>
      <c r="DF695" s="871">
        <v>0</v>
      </c>
      <c r="DG695" s="871">
        <v>0</v>
      </c>
      <c r="DH695" s="871">
        <v>0</v>
      </c>
      <c r="DI695" s="871">
        <v>0</v>
      </c>
      <c r="DJ695" s="871">
        <v>0</v>
      </c>
      <c r="DK695" s="871">
        <v>0</v>
      </c>
      <c r="DL695" s="871">
        <v>0</v>
      </c>
      <c r="DM695" s="871">
        <v>0</v>
      </c>
      <c r="DN695" s="871">
        <v>0</v>
      </c>
      <c r="DO695" s="871">
        <v>0</v>
      </c>
      <c r="DP695" s="871">
        <v>0</v>
      </c>
      <c r="DQ695" s="871">
        <v>0</v>
      </c>
      <c r="DR695" s="871">
        <v>0</v>
      </c>
      <c r="DS695" s="871">
        <v>0</v>
      </c>
      <c r="DT695" s="871">
        <v>0</v>
      </c>
      <c r="DU695" s="871">
        <v>0</v>
      </c>
      <c r="DV695" s="871">
        <v>0</v>
      </c>
      <c r="DW695" s="871">
        <v>0</v>
      </c>
    </row>
    <row r="696" spans="12:127" hidden="1">
      <c r="L696" s="870" t="s">
        <v>1060</v>
      </c>
      <c r="M696" s="870" t="s">
        <v>1382</v>
      </c>
      <c r="N696" s="870" t="s">
        <v>96</v>
      </c>
      <c r="O696" s="871">
        <v>60</v>
      </c>
      <c r="P696" s="780" t="str">
        <f t="shared" si="21"/>
        <v>IWT060160</v>
      </c>
      <c r="Q696" s="871">
        <v>27513</v>
      </c>
      <c r="R696" s="871">
        <v>28063</v>
      </c>
      <c r="S696" s="871">
        <v>28624</v>
      </c>
      <c r="T696" s="871">
        <v>29197</v>
      </c>
      <c r="U696" s="871">
        <v>29781</v>
      </c>
      <c r="V696" s="871">
        <v>32436</v>
      </c>
      <c r="W696" s="871">
        <v>32436</v>
      </c>
      <c r="X696" s="871">
        <v>32436</v>
      </c>
      <c r="Y696" s="871">
        <v>32436</v>
      </c>
      <c r="Z696" s="871">
        <v>32763</v>
      </c>
      <c r="AA696" s="871">
        <v>33418</v>
      </c>
      <c r="AB696" s="871">
        <v>34086</v>
      </c>
      <c r="AC696" s="871">
        <v>34768</v>
      </c>
      <c r="AD696" s="871">
        <v>35463</v>
      </c>
      <c r="AE696" s="871">
        <v>36173</v>
      </c>
      <c r="AF696" s="871">
        <v>36896</v>
      </c>
      <c r="AG696" s="871">
        <v>37634</v>
      </c>
      <c r="AH696" s="871">
        <v>38386</v>
      </c>
      <c r="AI696" s="871">
        <v>39154</v>
      </c>
      <c r="AJ696" s="871">
        <v>39937</v>
      </c>
      <c r="AK696" s="871">
        <v>40736</v>
      </c>
      <c r="AL696" s="871">
        <v>41550</v>
      </c>
      <c r="AM696" s="871">
        <v>42381</v>
      </c>
      <c r="AN696" s="871">
        <v>43229</v>
      </c>
      <c r="AO696" s="871">
        <v>44093</v>
      </c>
      <c r="AP696" s="871">
        <v>44975</v>
      </c>
      <c r="AQ696" s="871">
        <v>45874</v>
      </c>
      <c r="AR696" s="871">
        <v>46791</v>
      </c>
      <c r="AS696" s="871">
        <v>47727</v>
      </c>
      <c r="AT696" s="871">
        <v>48681</v>
      </c>
      <c r="AU696" s="871">
        <v>49654</v>
      </c>
      <c r="AV696" s="871">
        <v>50647</v>
      </c>
      <c r="AW696" s="871">
        <v>51659</v>
      </c>
      <c r="AX696" s="871">
        <v>52692</v>
      </c>
      <c r="AY696" s="871">
        <v>53745</v>
      </c>
      <c r="AZ696" s="871">
        <v>54819</v>
      </c>
      <c r="BA696" s="871">
        <v>55915</v>
      </c>
      <c r="BB696" s="871">
        <v>57032</v>
      </c>
      <c r="BC696" s="871">
        <v>58172</v>
      </c>
      <c r="BD696" s="871">
        <v>59334</v>
      </c>
      <c r="BE696" s="871">
        <v>60520</v>
      </c>
      <c r="BF696" s="871">
        <v>61729</v>
      </c>
      <c r="BG696" s="871">
        <v>62962</v>
      </c>
      <c r="BH696" s="871">
        <v>64220</v>
      </c>
      <c r="BI696" s="871">
        <v>65502</v>
      </c>
      <c r="BJ696" s="871">
        <v>66810</v>
      </c>
      <c r="BK696" s="871">
        <v>68144</v>
      </c>
      <c r="BL696" s="871">
        <v>69504</v>
      </c>
      <c r="BM696" s="871">
        <v>70886</v>
      </c>
      <c r="BN696" s="871">
        <v>72281</v>
      </c>
      <c r="BO696" s="871">
        <v>73000</v>
      </c>
      <c r="BP696" s="871">
        <v>0</v>
      </c>
      <c r="BQ696" s="871">
        <v>0</v>
      </c>
      <c r="BR696" s="871">
        <v>0</v>
      </c>
      <c r="BS696" s="871">
        <v>0</v>
      </c>
      <c r="BT696" s="871">
        <v>0</v>
      </c>
      <c r="BU696" s="871">
        <v>0</v>
      </c>
      <c r="BV696" s="871">
        <v>0</v>
      </c>
      <c r="BW696" s="871">
        <v>0</v>
      </c>
      <c r="BX696" s="871">
        <v>0</v>
      </c>
      <c r="BY696" s="871">
        <v>0</v>
      </c>
      <c r="BZ696" s="871">
        <v>0</v>
      </c>
      <c r="CA696" s="871">
        <v>0</v>
      </c>
      <c r="CB696" s="871">
        <v>0</v>
      </c>
      <c r="CC696" s="871">
        <v>0</v>
      </c>
      <c r="CD696" s="871">
        <v>0</v>
      </c>
      <c r="CE696" s="871">
        <v>0</v>
      </c>
      <c r="CF696" s="871">
        <v>0</v>
      </c>
      <c r="CG696" s="871">
        <v>0</v>
      </c>
      <c r="CH696" s="871">
        <v>0</v>
      </c>
      <c r="CI696" s="871">
        <v>0</v>
      </c>
      <c r="CJ696" s="871">
        <v>0</v>
      </c>
      <c r="CK696" s="871">
        <v>0</v>
      </c>
      <c r="CL696" s="871">
        <v>0</v>
      </c>
      <c r="CM696" s="871">
        <v>0</v>
      </c>
      <c r="CN696" s="871">
        <v>0</v>
      </c>
      <c r="CO696" s="871">
        <v>0</v>
      </c>
      <c r="CP696" s="871">
        <v>0</v>
      </c>
      <c r="CQ696" s="871">
        <v>0</v>
      </c>
      <c r="CR696" s="871">
        <v>0</v>
      </c>
      <c r="CS696" s="871">
        <v>0</v>
      </c>
      <c r="CT696" s="871">
        <v>0</v>
      </c>
      <c r="CU696" s="871">
        <v>0</v>
      </c>
      <c r="CV696" s="871">
        <v>0</v>
      </c>
      <c r="CW696" s="871">
        <v>0</v>
      </c>
      <c r="CX696" s="871">
        <v>0</v>
      </c>
      <c r="CY696" s="871">
        <v>0</v>
      </c>
      <c r="CZ696" s="871">
        <v>0</v>
      </c>
      <c r="DA696" s="871">
        <v>0</v>
      </c>
      <c r="DB696" s="871">
        <v>0</v>
      </c>
      <c r="DC696" s="871">
        <v>0</v>
      </c>
      <c r="DD696" s="871">
        <v>0</v>
      </c>
      <c r="DE696" s="871">
        <v>0</v>
      </c>
      <c r="DF696" s="871">
        <v>0</v>
      </c>
      <c r="DG696" s="871">
        <v>0</v>
      </c>
      <c r="DH696" s="871">
        <v>0</v>
      </c>
      <c r="DI696" s="871">
        <v>0</v>
      </c>
      <c r="DJ696" s="871">
        <v>0</v>
      </c>
      <c r="DK696" s="871">
        <v>0</v>
      </c>
      <c r="DL696" s="871">
        <v>0</v>
      </c>
      <c r="DM696" s="871">
        <v>0</v>
      </c>
      <c r="DN696" s="871">
        <v>0</v>
      </c>
      <c r="DO696" s="871">
        <v>0</v>
      </c>
      <c r="DP696" s="871">
        <v>0</v>
      </c>
      <c r="DQ696" s="871">
        <v>0</v>
      </c>
      <c r="DR696" s="871">
        <v>0</v>
      </c>
      <c r="DS696" s="871">
        <v>0</v>
      </c>
      <c r="DT696" s="871">
        <v>0</v>
      </c>
      <c r="DU696" s="871">
        <v>0</v>
      </c>
      <c r="DV696" s="871">
        <v>0</v>
      </c>
      <c r="DW696" s="871">
        <v>0</v>
      </c>
    </row>
    <row r="697" spans="12:127" hidden="1">
      <c r="L697" s="870" t="s">
        <v>1060</v>
      </c>
      <c r="M697" s="870" t="s">
        <v>1382</v>
      </c>
      <c r="N697" s="870" t="s">
        <v>96</v>
      </c>
      <c r="O697" s="871">
        <v>61</v>
      </c>
      <c r="P697" s="780" t="str">
        <f t="shared" si="21"/>
        <v>IWT060161</v>
      </c>
      <c r="Q697" s="871">
        <v>27527</v>
      </c>
      <c r="R697" s="871">
        <v>28077</v>
      </c>
      <c r="S697" s="871">
        <v>28639</v>
      </c>
      <c r="T697" s="871">
        <v>29212</v>
      </c>
      <c r="U697" s="871">
        <v>29796</v>
      </c>
      <c r="V697" s="871">
        <v>32467.8</v>
      </c>
      <c r="W697" s="871">
        <v>32467.8</v>
      </c>
      <c r="X697" s="871">
        <v>32467.8</v>
      </c>
      <c r="Y697" s="871">
        <v>32467.8</v>
      </c>
      <c r="Z697" s="871">
        <v>32766</v>
      </c>
      <c r="AA697" s="871">
        <v>33421</v>
      </c>
      <c r="AB697" s="871">
        <v>34090</v>
      </c>
      <c r="AC697" s="871">
        <v>34772</v>
      </c>
      <c r="AD697" s="871">
        <v>35467</v>
      </c>
      <c r="AE697" s="871">
        <v>36176</v>
      </c>
      <c r="AF697" s="871">
        <v>36900</v>
      </c>
      <c r="AG697" s="871">
        <v>37638</v>
      </c>
      <c r="AH697" s="871">
        <v>38390</v>
      </c>
      <c r="AI697" s="871">
        <v>39158</v>
      </c>
      <c r="AJ697" s="871">
        <v>39941</v>
      </c>
      <c r="AK697" s="871">
        <v>40740</v>
      </c>
      <c r="AL697" s="871">
        <v>41554</v>
      </c>
      <c r="AM697" s="871">
        <v>42385</v>
      </c>
      <c r="AN697" s="871">
        <v>43233</v>
      </c>
      <c r="AO697" s="871">
        <v>44097</v>
      </c>
      <c r="AP697" s="871">
        <v>44979</v>
      </c>
      <c r="AQ697" s="871">
        <v>45878</v>
      </c>
      <c r="AR697" s="871">
        <v>46795</v>
      </c>
      <c r="AS697" s="871">
        <v>47731</v>
      </c>
      <c r="AT697" s="871">
        <v>48685</v>
      </c>
      <c r="AU697" s="871">
        <v>49659</v>
      </c>
      <c r="AV697" s="871">
        <v>50651</v>
      </c>
      <c r="AW697" s="871">
        <v>51664</v>
      </c>
      <c r="AX697" s="871">
        <v>52697</v>
      </c>
      <c r="AY697" s="871">
        <v>53750</v>
      </c>
      <c r="AZ697" s="871">
        <v>54824</v>
      </c>
      <c r="BA697" s="871">
        <v>55920</v>
      </c>
      <c r="BB697" s="871">
        <v>57037</v>
      </c>
      <c r="BC697" s="871">
        <v>58177</v>
      </c>
      <c r="BD697" s="871">
        <v>59340</v>
      </c>
      <c r="BE697" s="871">
        <v>60525</v>
      </c>
      <c r="BF697" s="871">
        <v>61734</v>
      </c>
      <c r="BG697" s="871">
        <v>62967</v>
      </c>
      <c r="BH697" s="871">
        <v>64225</v>
      </c>
      <c r="BI697" s="871">
        <v>65507</v>
      </c>
      <c r="BJ697" s="871">
        <v>66815</v>
      </c>
      <c r="BK697" s="871">
        <v>68148</v>
      </c>
      <c r="BL697" s="871">
        <v>69508</v>
      </c>
      <c r="BM697" s="871">
        <v>70895</v>
      </c>
      <c r="BN697" s="871">
        <v>71600</v>
      </c>
      <c r="BO697" s="871">
        <v>0</v>
      </c>
      <c r="BP697" s="871">
        <v>0</v>
      </c>
      <c r="BQ697" s="871">
        <v>0</v>
      </c>
      <c r="BR697" s="871">
        <v>0</v>
      </c>
      <c r="BS697" s="871">
        <v>0</v>
      </c>
      <c r="BT697" s="871">
        <v>0</v>
      </c>
      <c r="BU697" s="871">
        <v>0</v>
      </c>
      <c r="BV697" s="871">
        <v>0</v>
      </c>
      <c r="BW697" s="871">
        <v>0</v>
      </c>
      <c r="BX697" s="871">
        <v>0</v>
      </c>
      <c r="BY697" s="871">
        <v>0</v>
      </c>
      <c r="BZ697" s="871">
        <v>0</v>
      </c>
      <c r="CA697" s="871">
        <v>0</v>
      </c>
      <c r="CB697" s="871">
        <v>0</v>
      </c>
      <c r="CC697" s="871">
        <v>0</v>
      </c>
      <c r="CD697" s="871">
        <v>0</v>
      </c>
      <c r="CE697" s="871">
        <v>0</v>
      </c>
      <c r="CF697" s="871">
        <v>0</v>
      </c>
      <c r="CG697" s="871">
        <v>0</v>
      </c>
      <c r="CH697" s="871">
        <v>0</v>
      </c>
      <c r="CI697" s="871">
        <v>0</v>
      </c>
      <c r="CJ697" s="871">
        <v>0</v>
      </c>
      <c r="CK697" s="871">
        <v>0</v>
      </c>
      <c r="CL697" s="871">
        <v>0</v>
      </c>
      <c r="CM697" s="871">
        <v>0</v>
      </c>
      <c r="CN697" s="871">
        <v>0</v>
      </c>
      <c r="CO697" s="871">
        <v>0</v>
      </c>
      <c r="CP697" s="871">
        <v>0</v>
      </c>
      <c r="CQ697" s="871">
        <v>0</v>
      </c>
      <c r="CR697" s="871">
        <v>0</v>
      </c>
      <c r="CS697" s="871">
        <v>0</v>
      </c>
      <c r="CT697" s="871">
        <v>0</v>
      </c>
      <c r="CU697" s="871">
        <v>0</v>
      </c>
      <c r="CV697" s="871">
        <v>0</v>
      </c>
      <c r="CW697" s="871">
        <v>0</v>
      </c>
      <c r="CX697" s="871">
        <v>0</v>
      </c>
      <c r="CY697" s="871">
        <v>0</v>
      </c>
      <c r="CZ697" s="871">
        <v>0</v>
      </c>
      <c r="DA697" s="871">
        <v>0</v>
      </c>
      <c r="DB697" s="871">
        <v>0</v>
      </c>
      <c r="DC697" s="871">
        <v>0</v>
      </c>
      <c r="DD697" s="871">
        <v>0</v>
      </c>
      <c r="DE697" s="871">
        <v>0</v>
      </c>
      <c r="DF697" s="871">
        <v>0</v>
      </c>
      <c r="DG697" s="871">
        <v>0</v>
      </c>
      <c r="DH697" s="871">
        <v>0</v>
      </c>
      <c r="DI697" s="871">
        <v>0</v>
      </c>
      <c r="DJ697" s="871">
        <v>0</v>
      </c>
      <c r="DK697" s="871">
        <v>0</v>
      </c>
      <c r="DL697" s="871">
        <v>0</v>
      </c>
      <c r="DM697" s="871">
        <v>0</v>
      </c>
      <c r="DN697" s="871">
        <v>0</v>
      </c>
      <c r="DO697" s="871">
        <v>0</v>
      </c>
      <c r="DP697" s="871">
        <v>0</v>
      </c>
      <c r="DQ697" s="871">
        <v>0</v>
      </c>
      <c r="DR697" s="871">
        <v>0</v>
      </c>
      <c r="DS697" s="871">
        <v>0</v>
      </c>
      <c r="DT697" s="871">
        <v>0</v>
      </c>
      <c r="DU697" s="871">
        <v>0</v>
      </c>
      <c r="DV697" s="871">
        <v>0</v>
      </c>
      <c r="DW697" s="871">
        <v>0</v>
      </c>
    </row>
    <row r="698" spans="12:127" hidden="1">
      <c r="L698" s="870" t="s">
        <v>1060</v>
      </c>
      <c r="M698" s="870" t="s">
        <v>1382</v>
      </c>
      <c r="N698" s="870" t="s">
        <v>96</v>
      </c>
      <c r="O698" s="871">
        <v>62</v>
      </c>
      <c r="P698" s="780" t="str">
        <f t="shared" ref="P698:P761" si="22">M698&amp;TEXT(N698,"00")&amp;TEXT(O698,"00")</f>
        <v>IWT060162</v>
      </c>
      <c r="Q698" s="871">
        <v>27542</v>
      </c>
      <c r="R698" s="871">
        <v>28093</v>
      </c>
      <c r="S698" s="871">
        <v>28654</v>
      </c>
      <c r="T698" s="871">
        <v>29227</v>
      </c>
      <c r="U698" s="871">
        <v>29812</v>
      </c>
      <c r="V698" s="871">
        <v>32499.599999999999</v>
      </c>
      <c r="W698" s="871">
        <v>32499.599999999999</v>
      </c>
      <c r="X698" s="871">
        <v>32499.599999999999</v>
      </c>
      <c r="Y698" s="871">
        <v>32499.599999999999</v>
      </c>
      <c r="Z698" s="871">
        <v>32769</v>
      </c>
      <c r="AA698" s="871">
        <v>33424</v>
      </c>
      <c r="AB698" s="871">
        <v>34092</v>
      </c>
      <c r="AC698" s="871">
        <v>34774</v>
      </c>
      <c r="AD698" s="871">
        <v>35469</v>
      </c>
      <c r="AE698" s="871">
        <v>36179</v>
      </c>
      <c r="AF698" s="871">
        <v>36902</v>
      </c>
      <c r="AG698" s="871">
        <v>37640</v>
      </c>
      <c r="AH698" s="871">
        <v>38393</v>
      </c>
      <c r="AI698" s="871">
        <v>39161</v>
      </c>
      <c r="AJ698" s="871">
        <v>39944</v>
      </c>
      <c r="AK698" s="871">
        <v>40742</v>
      </c>
      <c r="AL698" s="871">
        <v>41557</v>
      </c>
      <c r="AM698" s="871">
        <v>42388</v>
      </c>
      <c r="AN698" s="871">
        <v>43236</v>
      </c>
      <c r="AO698" s="871">
        <v>44100</v>
      </c>
      <c r="AP698" s="871">
        <v>44982</v>
      </c>
      <c r="AQ698" s="871">
        <v>45881</v>
      </c>
      <c r="AR698" s="871">
        <v>46799</v>
      </c>
      <c r="AS698" s="871">
        <v>47734</v>
      </c>
      <c r="AT698" s="871">
        <v>48689</v>
      </c>
      <c r="AU698" s="871">
        <v>49662</v>
      </c>
      <c r="AV698" s="871">
        <v>50655</v>
      </c>
      <c r="AW698" s="871">
        <v>51667</v>
      </c>
      <c r="AX698" s="871">
        <v>52700</v>
      </c>
      <c r="AY698" s="871">
        <v>53753</v>
      </c>
      <c r="AZ698" s="871">
        <v>54827</v>
      </c>
      <c r="BA698" s="871">
        <v>55923</v>
      </c>
      <c r="BB698" s="871">
        <v>57041</v>
      </c>
      <c r="BC698" s="871">
        <v>58180</v>
      </c>
      <c r="BD698" s="871">
        <v>59343</v>
      </c>
      <c r="BE698" s="871">
        <v>60528</v>
      </c>
      <c r="BF698" s="871">
        <v>61737</v>
      </c>
      <c r="BG698" s="871">
        <v>62970</v>
      </c>
      <c r="BH698" s="871">
        <v>64227</v>
      </c>
      <c r="BI698" s="871">
        <v>65509</v>
      </c>
      <c r="BJ698" s="871">
        <v>66816</v>
      </c>
      <c r="BK698" s="871">
        <v>68149</v>
      </c>
      <c r="BL698" s="871">
        <v>69508</v>
      </c>
      <c r="BM698" s="871">
        <v>70200</v>
      </c>
      <c r="BN698" s="871">
        <v>0</v>
      </c>
      <c r="BO698" s="871">
        <v>0</v>
      </c>
      <c r="BP698" s="871">
        <v>0</v>
      </c>
      <c r="BQ698" s="871">
        <v>0</v>
      </c>
      <c r="BR698" s="871">
        <v>0</v>
      </c>
      <c r="BS698" s="871">
        <v>0</v>
      </c>
      <c r="BT698" s="871">
        <v>0</v>
      </c>
      <c r="BU698" s="871">
        <v>0</v>
      </c>
      <c r="BV698" s="871">
        <v>0</v>
      </c>
      <c r="BW698" s="871">
        <v>0</v>
      </c>
      <c r="BX698" s="871">
        <v>0</v>
      </c>
      <c r="BY698" s="871">
        <v>0</v>
      </c>
      <c r="BZ698" s="871">
        <v>0</v>
      </c>
      <c r="CA698" s="871">
        <v>0</v>
      </c>
      <c r="CB698" s="871">
        <v>0</v>
      </c>
      <c r="CC698" s="871">
        <v>0</v>
      </c>
      <c r="CD698" s="871">
        <v>0</v>
      </c>
      <c r="CE698" s="871">
        <v>0</v>
      </c>
      <c r="CF698" s="871">
        <v>0</v>
      </c>
      <c r="CG698" s="871">
        <v>0</v>
      </c>
      <c r="CH698" s="871">
        <v>0</v>
      </c>
      <c r="CI698" s="871">
        <v>0</v>
      </c>
      <c r="CJ698" s="871">
        <v>0</v>
      </c>
      <c r="CK698" s="871">
        <v>0</v>
      </c>
      <c r="CL698" s="871">
        <v>0</v>
      </c>
      <c r="CM698" s="871">
        <v>0</v>
      </c>
      <c r="CN698" s="871">
        <v>0</v>
      </c>
      <c r="CO698" s="871">
        <v>0</v>
      </c>
      <c r="CP698" s="871">
        <v>0</v>
      </c>
      <c r="CQ698" s="871">
        <v>0</v>
      </c>
      <c r="CR698" s="871">
        <v>0</v>
      </c>
      <c r="CS698" s="871">
        <v>0</v>
      </c>
      <c r="CT698" s="871">
        <v>0</v>
      </c>
      <c r="CU698" s="871">
        <v>0</v>
      </c>
      <c r="CV698" s="871">
        <v>0</v>
      </c>
      <c r="CW698" s="871">
        <v>0</v>
      </c>
      <c r="CX698" s="871">
        <v>0</v>
      </c>
      <c r="CY698" s="871">
        <v>0</v>
      </c>
      <c r="CZ698" s="871">
        <v>0</v>
      </c>
      <c r="DA698" s="871">
        <v>0</v>
      </c>
      <c r="DB698" s="871">
        <v>0</v>
      </c>
      <c r="DC698" s="871">
        <v>0</v>
      </c>
      <c r="DD698" s="871">
        <v>0</v>
      </c>
      <c r="DE698" s="871">
        <v>0</v>
      </c>
      <c r="DF698" s="871">
        <v>0</v>
      </c>
      <c r="DG698" s="871">
        <v>0</v>
      </c>
      <c r="DH698" s="871">
        <v>0</v>
      </c>
      <c r="DI698" s="871">
        <v>0</v>
      </c>
      <c r="DJ698" s="871">
        <v>0</v>
      </c>
      <c r="DK698" s="871">
        <v>0</v>
      </c>
      <c r="DL698" s="871">
        <v>0</v>
      </c>
      <c r="DM698" s="871">
        <v>0</v>
      </c>
      <c r="DN698" s="871">
        <v>0</v>
      </c>
      <c r="DO698" s="871">
        <v>0</v>
      </c>
      <c r="DP698" s="871">
        <v>0</v>
      </c>
      <c r="DQ698" s="871">
        <v>0</v>
      </c>
      <c r="DR698" s="871">
        <v>0</v>
      </c>
      <c r="DS698" s="871">
        <v>0</v>
      </c>
      <c r="DT698" s="871">
        <v>0</v>
      </c>
      <c r="DU698" s="871">
        <v>0</v>
      </c>
      <c r="DV698" s="871">
        <v>0</v>
      </c>
      <c r="DW698" s="871">
        <v>0</v>
      </c>
    </row>
    <row r="699" spans="12:127" hidden="1">
      <c r="L699" s="870" t="s">
        <v>1060</v>
      </c>
      <c r="M699" s="870" t="s">
        <v>1382</v>
      </c>
      <c r="N699" s="870" t="s">
        <v>96</v>
      </c>
      <c r="O699" s="871">
        <v>63</v>
      </c>
      <c r="P699" s="780" t="str">
        <f t="shared" si="22"/>
        <v>IWT060163</v>
      </c>
      <c r="Q699" s="871">
        <v>27549</v>
      </c>
      <c r="R699" s="871">
        <v>28100</v>
      </c>
      <c r="S699" s="871">
        <v>28661</v>
      </c>
      <c r="T699" s="871">
        <v>29235</v>
      </c>
      <c r="U699" s="871">
        <v>29819</v>
      </c>
      <c r="V699" s="871">
        <v>32531.4</v>
      </c>
      <c r="W699" s="871">
        <v>32531.4</v>
      </c>
      <c r="X699" s="871">
        <v>32531.4</v>
      </c>
      <c r="Y699" s="871">
        <v>32531.4</v>
      </c>
      <c r="Z699" s="871">
        <v>32758</v>
      </c>
      <c r="AA699" s="871">
        <v>33413</v>
      </c>
      <c r="AB699" s="871">
        <v>34081</v>
      </c>
      <c r="AC699" s="871">
        <v>34763</v>
      </c>
      <c r="AD699" s="871">
        <v>35458</v>
      </c>
      <c r="AE699" s="871">
        <v>36167</v>
      </c>
      <c r="AF699" s="871">
        <v>36890</v>
      </c>
      <c r="AG699" s="871">
        <v>37628</v>
      </c>
      <c r="AH699" s="871">
        <v>38380</v>
      </c>
      <c r="AI699" s="871">
        <v>39148</v>
      </c>
      <c r="AJ699" s="871">
        <v>39931</v>
      </c>
      <c r="AK699" s="871">
        <v>40729</v>
      </c>
      <c r="AL699" s="871">
        <v>41543</v>
      </c>
      <c r="AM699" s="871">
        <v>42374</v>
      </c>
      <c r="AN699" s="871">
        <v>43221</v>
      </c>
      <c r="AO699" s="871">
        <v>44086</v>
      </c>
      <c r="AP699" s="871">
        <v>44967</v>
      </c>
      <c r="AQ699" s="871">
        <v>45866</v>
      </c>
      <c r="AR699" s="871">
        <v>46783</v>
      </c>
      <c r="AS699" s="871">
        <v>47718</v>
      </c>
      <c r="AT699" s="871">
        <v>48672</v>
      </c>
      <c r="AU699" s="871">
        <v>49645</v>
      </c>
      <c r="AV699" s="871">
        <v>50638</v>
      </c>
      <c r="AW699" s="871">
        <v>51650</v>
      </c>
      <c r="AX699" s="871">
        <v>52682</v>
      </c>
      <c r="AY699" s="871">
        <v>53735</v>
      </c>
      <c r="AZ699" s="871">
        <v>54809</v>
      </c>
      <c r="BA699" s="871">
        <v>55904</v>
      </c>
      <c r="BB699" s="871">
        <v>57021</v>
      </c>
      <c r="BC699" s="871">
        <v>58160</v>
      </c>
      <c r="BD699" s="871">
        <v>59322</v>
      </c>
      <c r="BE699" s="871">
        <v>60507</v>
      </c>
      <c r="BF699" s="871">
        <v>61715</v>
      </c>
      <c r="BG699" s="871">
        <v>62947</v>
      </c>
      <c r="BH699" s="871">
        <v>64203</v>
      </c>
      <c r="BI699" s="871">
        <v>65484</v>
      </c>
      <c r="BJ699" s="871">
        <v>66790</v>
      </c>
      <c r="BK699" s="871">
        <v>68122</v>
      </c>
      <c r="BL699" s="871">
        <v>68800</v>
      </c>
      <c r="BM699" s="871">
        <v>0</v>
      </c>
      <c r="BN699" s="871">
        <v>0</v>
      </c>
      <c r="BO699" s="871">
        <v>0</v>
      </c>
      <c r="BP699" s="871">
        <v>0</v>
      </c>
      <c r="BQ699" s="871">
        <v>0</v>
      </c>
      <c r="BR699" s="871">
        <v>0</v>
      </c>
      <c r="BS699" s="871">
        <v>0</v>
      </c>
      <c r="BT699" s="871">
        <v>0</v>
      </c>
      <c r="BU699" s="871">
        <v>0</v>
      </c>
      <c r="BV699" s="871">
        <v>0</v>
      </c>
      <c r="BW699" s="871">
        <v>0</v>
      </c>
      <c r="BX699" s="871">
        <v>0</v>
      </c>
      <c r="BY699" s="871">
        <v>0</v>
      </c>
      <c r="BZ699" s="871">
        <v>0</v>
      </c>
      <c r="CA699" s="871">
        <v>0</v>
      </c>
      <c r="CB699" s="871">
        <v>0</v>
      </c>
      <c r="CC699" s="871">
        <v>0</v>
      </c>
      <c r="CD699" s="871">
        <v>0</v>
      </c>
      <c r="CE699" s="871">
        <v>0</v>
      </c>
      <c r="CF699" s="871">
        <v>0</v>
      </c>
      <c r="CG699" s="871">
        <v>0</v>
      </c>
      <c r="CH699" s="871">
        <v>0</v>
      </c>
      <c r="CI699" s="871">
        <v>0</v>
      </c>
      <c r="CJ699" s="871">
        <v>0</v>
      </c>
      <c r="CK699" s="871">
        <v>0</v>
      </c>
      <c r="CL699" s="871">
        <v>0</v>
      </c>
      <c r="CM699" s="871">
        <v>0</v>
      </c>
      <c r="CN699" s="871">
        <v>0</v>
      </c>
      <c r="CO699" s="871">
        <v>0</v>
      </c>
      <c r="CP699" s="871">
        <v>0</v>
      </c>
      <c r="CQ699" s="871">
        <v>0</v>
      </c>
      <c r="CR699" s="871">
        <v>0</v>
      </c>
      <c r="CS699" s="871">
        <v>0</v>
      </c>
      <c r="CT699" s="871">
        <v>0</v>
      </c>
      <c r="CU699" s="871">
        <v>0</v>
      </c>
      <c r="CV699" s="871">
        <v>0</v>
      </c>
      <c r="CW699" s="871">
        <v>0</v>
      </c>
      <c r="CX699" s="871">
        <v>0</v>
      </c>
      <c r="CY699" s="871">
        <v>0</v>
      </c>
      <c r="CZ699" s="871">
        <v>0</v>
      </c>
      <c r="DA699" s="871">
        <v>0</v>
      </c>
      <c r="DB699" s="871">
        <v>0</v>
      </c>
      <c r="DC699" s="871">
        <v>0</v>
      </c>
      <c r="DD699" s="871">
        <v>0</v>
      </c>
      <c r="DE699" s="871">
        <v>0</v>
      </c>
      <c r="DF699" s="871">
        <v>0</v>
      </c>
      <c r="DG699" s="871">
        <v>0</v>
      </c>
      <c r="DH699" s="871">
        <v>0</v>
      </c>
      <c r="DI699" s="871">
        <v>0</v>
      </c>
      <c r="DJ699" s="871">
        <v>0</v>
      </c>
      <c r="DK699" s="871">
        <v>0</v>
      </c>
      <c r="DL699" s="871">
        <v>0</v>
      </c>
      <c r="DM699" s="871">
        <v>0</v>
      </c>
      <c r="DN699" s="871">
        <v>0</v>
      </c>
      <c r="DO699" s="871">
        <v>0</v>
      </c>
      <c r="DP699" s="871">
        <v>0</v>
      </c>
      <c r="DQ699" s="871">
        <v>0</v>
      </c>
      <c r="DR699" s="871">
        <v>0</v>
      </c>
      <c r="DS699" s="871">
        <v>0</v>
      </c>
      <c r="DT699" s="871">
        <v>0</v>
      </c>
      <c r="DU699" s="871">
        <v>0</v>
      </c>
      <c r="DV699" s="871">
        <v>0</v>
      </c>
      <c r="DW699" s="871">
        <v>0</v>
      </c>
    </row>
    <row r="700" spans="12:127" hidden="1">
      <c r="L700" s="870" t="s">
        <v>1060</v>
      </c>
      <c r="M700" s="870" t="s">
        <v>1382</v>
      </c>
      <c r="N700" s="870" t="s">
        <v>96</v>
      </c>
      <c r="O700" s="871">
        <v>64</v>
      </c>
      <c r="P700" s="780" t="str">
        <f t="shared" si="22"/>
        <v>IWT060164</v>
      </c>
      <c r="Q700" s="871">
        <v>27547</v>
      </c>
      <c r="R700" s="871">
        <v>28098</v>
      </c>
      <c r="S700" s="871">
        <v>28660</v>
      </c>
      <c r="T700" s="871">
        <v>29233</v>
      </c>
      <c r="U700" s="871">
        <v>29817</v>
      </c>
      <c r="V700" s="871">
        <v>32563.200000000001</v>
      </c>
      <c r="W700" s="871">
        <v>32563.200000000001</v>
      </c>
      <c r="X700" s="871">
        <v>32563.200000000001</v>
      </c>
      <c r="Y700" s="871">
        <v>32563.200000000001</v>
      </c>
      <c r="Z700" s="871">
        <v>32733</v>
      </c>
      <c r="AA700" s="871">
        <v>33387</v>
      </c>
      <c r="AB700" s="871">
        <v>34055</v>
      </c>
      <c r="AC700" s="871">
        <v>34736</v>
      </c>
      <c r="AD700" s="871">
        <v>35431</v>
      </c>
      <c r="AE700" s="871">
        <v>36139</v>
      </c>
      <c r="AF700" s="871">
        <v>36862</v>
      </c>
      <c r="AG700" s="871">
        <v>37599</v>
      </c>
      <c r="AH700" s="871">
        <v>38351</v>
      </c>
      <c r="AI700" s="871">
        <v>39118</v>
      </c>
      <c r="AJ700" s="871">
        <v>39900</v>
      </c>
      <c r="AK700" s="871">
        <v>40698</v>
      </c>
      <c r="AL700" s="871">
        <v>41512</v>
      </c>
      <c r="AM700" s="871">
        <v>42342</v>
      </c>
      <c r="AN700" s="871">
        <v>43188</v>
      </c>
      <c r="AO700" s="871">
        <v>44052</v>
      </c>
      <c r="AP700" s="871">
        <v>44933</v>
      </c>
      <c r="AQ700" s="871">
        <v>45831</v>
      </c>
      <c r="AR700" s="871">
        <v>46747</v>
      </c>
      <c r="AS700" s="871">
        <v>47682</v>
      </c>
      <c r="AT700" s="871">
        <v>48635</v>
      </c>
      <c r="AU700" s="871">
        <v>49607</v>
      </c>
      <c r="AV700" s="871">
        <v>50598</v>
      </c>
      <c r="AW700" s="871">
        <v>51610</v>
      </c>
      <c r="AX700" s="871">
        <v>52641</v>
      </c>
      <c r="AY700" s="871">
        <v>53693</v>
      </c>
      <c r="AZ700" s="871">
        <v>54766</v>
      </c>
      <c r="BA700" s="871">
        <v>55860</v>
      </c>
      <c r="BB700" s="871">
        <v>56976</v>
      </c>
      <c r="BC700" s="871">
        <v>58114</v>
      </c>
      <c r="BD700" s="871">
        <v>59274</v>
      </c>
      <c r="BE700" s="871">
        <v>60458</v>
      </c>
      <c r="BF700" s="871">
        <v>61665</v>
      </c>
      <c r="BG700" s="871">
        <v>62896</v>
      </c>
      <c r="BH700" s="871">
        <v>64151</v>
      </c>
      <c r="BI700" s="871">
        <v>65431</v>
      </c>
      <c r="BJ700" s="871">
        <v>66736</v>
      </c>
      <c r="BK700" s="871">
        <v>67400</v>
      </c>
      <c r="BL700" s="871">
        <v>0</v>
      </c>
      <c r="BM700" s="871">
        <v>0</v>
      </c>
      <c r="BN700" s="871">
        <v>0</v>
      </c>
      <c r="BO700" s="871">
        <v>0</v>
      </c>
      <c r="BP700" s="871">
        <v>0</v>
      </c>
      <c r="BQ700" s="871">
        <v>0</v>
      </c>
      <c r="BR700" s="871">
        <v>0</v>
      </c>
      <c r="BS700" s="871">
        <v>0</v>
      </c>
      <c r="BT700" s="871">
        <v>0</v>
      </c>
      <c r="BU700" s="871">
        <v>0</v>
      </c>
      <c r="BV700" s="871">
        <v>0</v>
      </c>
      <c r="BW700" s="871">
        <v>0</v>
      </c>
      <c r="BX700" s="871">
        <v>0</v>
      </c>
      <c r="BY700" s="871">
        <v>0</v>
      </c>
      <c r="BZ700" s="871">
        <v>0</v>
      </c>
      <c r="CA700" s="871">
        <v>0</v>
      </c>
      <c r="CB700" s="871">
        <v>0</v>
      </c>
      <c r="CC700" s="871">
        <v>0</v>
      </c>
      <c r="CD700" s="871">
        <v>0</v>
      </c>
      <c r="CE700" s="871">
        <v>0</v>
      </c>
      <c r="CF700" s="871">
        <v>0</v>
      </c>
      <c r="CG700" s="871">
        <v>0</v>
      </c>
      <c r="CH700" s="871">
        <v>0</v>
      </c>
      <c r="CI700" s="871">
        <v>0</v>
      </c>
      <c r="CJ700" s="871">
        <v>0</v>
      </c>
      <c r="CK700" s="871">
        <v>0</v>
      </c>
      <c r="CL700" s="871">
        <v>0</v>
      </c>
      <c r="CM700" s="871">
        <v>0</v>
      </c>
      <c r="CN700" s="871">
        <v>0</v>
      </c>
      <c r="CO700" s="871">
        <v>0</v>
      </c>
      <c r="CP700" s="871">
        <v>0</v>
      </c>
      <c r="CQ700" s="871">
        <v>0</v>
      </c>
      <c r="CR700" s="871">
        <v>0</v>
      </c>
      <c r="CS700" s="871">
        <v>0</v>
      </c>
      <c r="CT700" s="871">
        <v>0</v>
      </c>
      <c r="CU700" s="871">
        <v>0</v>
      </c>
      <c r="CV700" s="871">
        <v>0</v>
      </c>
      <c r="CW700" s="871">
        <v>0</v>
      </c>
      <c r="CX700" s="871">
        <v>0</v>
      </c>
      <c r="CY700" s="871">
        <v>0</v>
      </c>
      <c r="CZ700" s="871">
        <v>0</v>
      </c>
      <c r="DA700" s="871">
        <v>0</v>
      </c>
      <c r="DB700" s="871">
        <v>0</v>
      </c>
      <c r="DC700" s="871">
        <v>0</v>
      </c>
      <c r="DD700" s="871">
        <v>0</v>
      </c>
      <c r="DE700" s="871">
        <v>0</v>
      </c>
      <c r="DF700" s="871">
        <v>0</v>
      </c>
      <c r="DG700" s="871">
        <v>0</v>
      </c>
      <c r="DH700" s="871">
        <v>0</v>
      </c>
      <c r="DI700" s="871">
        <v>0</v>
      </c>
      <c r="DJ700" s="871">
        <v>0</v>
      </c>
      <c r="DK700" s="871">
        <v>0</v>
      </c>
      <c r="DL700" s="871">
        <v>0</v>
      </c>
      <c r="DM700" s="871">
        <v>0</v>
      </c>
      <c r="DN700" s="871">
        <v>0</v>
      </c>
      <c r="DO700" s="871">
        <v>0</v>
      </c>
      <c r="DP700" s="871">
        <v>0</v>
      </c>
      <c r="DQ700" s="871">
        <v>0</v>
      </c>
      <c r="DR700" s="871">
        <v>0</v>
      </c>
      <c r="DS700" s="871">
        <v>0</v>
      </c>
      <c r="DT700" s="871">
        <v>0</v>
      </c>
      <c r="DU700" s="871">
        <v>0</v>
      </c>
      <c r="DV700" s="871">
        <v>0</v>
      </c>
      <c r="DW700" s="871">
        <v>0</v>
      </c>
    </row>
    <row r="701" spans="12:127" hidden="1">
      <c r="L701" s="870" t="s">
        <v>1060</v>
      </c>
      <c r="M701" s="870" t="s">
        <v>1382</v>
      </c>
      <c r="N701" s="870" t="s">
        <v>96</v>
      </c>
      <c r="O701" s="871">
        <v>65</v>
      </c>
      <c r="P701" s="780" t="str">
        <f t="shared" si="22"/>
        <v>IWT060165</v>
      </c>
      <c r="Q701" s="871">
        <v>27537</v>
      </c>
      <c r="R701" s="871">
        <v>28088</v>
      </c>
      <c r="S701" s="871">
        <v>28650</v>
      </c>
      <c r="T701" s="871">
        <v>29223</v>
      </c>
      <c r="U701" s="871">
        <v>29807</v>
      </c>
      <c r="V701" s="871">
        <v>32595</v>
      </c>
      <c r="W701" s="871">
        <v>32595</v>
      </c>
      <c r="X701" s="871">
        <v>32595</v>
      </c>
      <c r="Y701" s="871">
        <v>32595</v>
      </c>
      <c r="Z701" s="871">
        <v>32694</v>
      </c>
      <c r="AA701" s="871">
        <v>33348</v>
      </c>
      <c r="AB701" s="871">
        <v>34015</v>
      </c>
      <c r="AC701" s="871">
        <v>34695</v>
      </c>
      <c r="AD701" s="871">
        <v>35389</v>
      </c>
      <c r="AE701" s="871">
        <v>36097</v>
      </c>
      <c r="AF701" s="871">
        <v>36819</v>
      </c>
      <c r="AG701" s="871">
        <v>37555</v>
      </c>
      <c r="AH701" s="871">
        <v>38306</v>
      </c>
      <c r="AI701" s="871">
        <v>39072</v>
      </c>
      <c r="AJ701" s="871">
        <v>39853</v>
      </c>
      <c r="AK701" s="871">
        <v>40650</v>
      </c>
      <c r="AL701" s="871">
        <v>41463</v>
      </c>
      <c r="AM701" s="871">
        <v>42292</v>
      </c>
      <c r="AN701" s="871">
        <v>43137</v>
      </c>
      <c r="AO701" s="871">
        <v>44000</v>
      </c>
      <c r="AP701" s="871">
        <v>44879</v>
      </c>
      <c r="AQ701" s="871">
        <v>45777</v>
      </c>
      <c r="AR701" s="871">
        <v>46692</v>
      </c>
      <c r="AS701" s="871">
        <v>47625</v>
      </c>
      <c r="AT701" s="871">
        <v>48577</v>
      </c>
      <c r="AU701" s="871">
        <v>49548</v>
      </c>
      <c r="AV701" s="871">
        <v>50538</v>
      </c>
      <c r="AW701" s="871">
        <v>51548</v>
      </c>
      <c r="AX701" s="871">
        <v>52578</v>
      </c>
      <c r="AY701" s="871">
        <v>53629</v>
      </c>
      <c r="AZ701" s="871">
        <v>54700</v>
      </c>
      <c r="BA701" s="871">
        <v>55793</v>
      </c>
      <c r="BB701" s="871">
        <v>56907</v>
      </c>
      <c r="BC701" s="871">
        <v>58044</v>
      </c>
      <c r="BD701" s="871">
        <v>59203</v>
      </c>
      <c r="BE701" s="871">
        <v>60385</v>
      </c>
      <c r="BF701" s="871">
        <v>61590</v>
      </c>
      <c r="BG701" s="871">
        <v>62819</v>
      </c>
      <c r="BH701" s="871">
        <v>64072</v>
      </c>
      <c r="BI701" s="871">
        <v>65350</v>
      </c>
      <c r="BJ701" s="871">
        <v>66000</v>
      </c>
      <c r="BK701" s="871">
        <v>0</v>
      </c>
      <c r="BL701" s="871">
        <v>0</v>
      </c>
      <c r="BM701" s="871">
        <v>0</v>
      </c>
      <c r="BN701" s="871">
        <v>0</v>
      </c>
      <c r="BO701" s="871">
        <v>0</v>
      </c>
      <c r="BP701" s="871">
        <v>0</v>
      </c>
      <c r="BQ701" s="871">
        <v>0</v>
      </c>
      <c r="BR701" s="871">
        <v>0</v>
      </c>
      <c r="BS701" s="871">
        <v>0</v>
      </c>
      <c r="BT701" s="871">
        <v>0</v>
      </c>
      <c r="BU701" s="871">
        <v>0</v>
      </c>
      <c r="BV701" s="871">
        <v>0</v>
      </c>
      <c r="BW701" s="871">
        <v>0</v>
      </c>
      <c r="BX701" s="871">
        <v>0</v>
      </c>
      <c r="BY701" s="871">
        <v>0</v>
      </c>
      <c r="BZ701" s="871">
        <v>0</v>
      </c>
      <c r="CA701" s="871">
        <v>0</v>
      </c>
      <c r="CB701" s="871">
        <v>0</v>
      </c>
      <c r="CC701" s="871">
        <v>0</v>
      </c>
      <c r="CD701" s="871">
        <v>0</v>
      </c>
      <c r="CE701" s="871">
        <v>0</v>
      </c>
      <c r="CF701" s="871">
        <v>0</v>
      </c>
      <c r="CG701" s="871">
        <v>0</v>
      </c>
      <c r="CH701" s="871">
        <v>0</v>
      </c>
      <c r="CI701" s="871">
        <v>0</v>
      </c>
      <c r="CJ701" s="871">
        <v>0</v>
      </c>
      <c r="CK701" s="871">
        <v>0</v>
      </c>
      <c r="CL701" s="871">
        <v>0</v>
      </c>
      <c r="CM701" s="871">
        <v>0</v>
      </c>
      <c r="CN701" s="871">
        <v>0</v>
      </c>
      <c r="CO701" s="871">
        <v>0</v>
      </c>
      <c r="CP701" s="871">
        <v>0</v>
      </c>
      <c r="CQ701" s="871">
        <v>0</v>
      </c>
      <c r="CR701" s="871">
        <v>0</v>
      </c>
      <c r="CS701" s="871">
        <v>0</v>
      </c>
      <c r="CT701" s="871">
        <v>0</v>
      </c>
      <c r="CU701" s="871">
        <v>0</v>
      </c>
      <c r="CV701" s="871">
        <v>0</v>
      </c>
      <c r="CW701" s="871">
        <v>0</v>
      </c>
      <c r="CX701" s="871">
        <v>0</v>
      </c>
      <c r="CY701" s="871">
        <v>0</v>
      </c>
      <c r="CZ701" s="871">
        <v>0</v>
      </c>
      <c r="DA701" s="871">
        <v>0</v>
      </c>
      <c r="DB701" s="871">
        <v>0</v>
      </c>
      <c r="DC701" s="871">
        <v>0</v>
      </c>
      <c r="DD701" s="871">
        <v>0</v>
      </c>
      <c r="DE701" s="871">
        <v>0</v>
      </c>
      <c r="DF701" s="871">
        <v>0</v>
      </c>
      <c r="DG701" s="871">
        <v>0</v>
      </c>
      <c r="DH701" s="871">
        <v>0</v>
      </c>
      <c r="DI701" s="871">
        <v>0</v>
      </c>
      <c r="DJ701" s="871">
        <v>0</v>
      </c>
      <c r="DK701" s="871">
        <v>0</v>
      </c>
      <c r="DL701" s="871">
        <v>0</v>
      </c>
      <c r="DM701" s="871">
        <v>0</v>
      </c>
      <c r="DN701" s="871">
        <v>0</v>
      </c>
      <c r="DO701" s="871">
        <v>0</v>
      </c>
      <c r="DP701" s="871">
        <v>0</v>
      </c>
      <c r="DQ701" s="871">
        <v>0</v>
      </c>
      <c r="DR701" s="871">
        <v>0</v>
      </c>
      <c r="DS701" s="871">
        <v>0</v>
      </c>
      <c r="DT701" s="871">
        <v>0</v>
      </c>
      <c r="DU701" s="871">
        <v>0</v>
      </c>
      <c r="DV701" s="871">
        <v>0</v>
      </c>
      <c r="DW701" s="871">
        <v>0</v>
      </c>
    </row>
    <row r="702" spans="12:127" hidden="1">
      <c r="L702" s="870" t="s">
        <v>1060</v>
      </c>
      <c r="M702" s="870" t="s">
        <v>1382</v>
      </c>
      <c r="N702" s="870" t="s">
        <v>96</v>
      </c>
      <c r="O702" s="871">
        <v>66</v>
      </c>
      <c r="P702" s="780" t="str">
        <f t="shared" si="22"/>
        <v>IWT060166</v>
      </c>
      <c r="Q702" s="871">
        <v>27520</v>
      </c>
      <c r="R702" s="871">
        <v>28070</v>
      </c>
      <c r="S702" s="871">
        <v>28632</v>
      </c>
      <c r="T702" s="871">
        <v>29204</v>
      </c>
      <c r="U702" s="871">
        <v>29788</v>
      </c>
      <c r="V702" s="871">
        <v>32626.799999999999</v>
      </c>
      <c r="W702" s="871">
        <v>32626.799999999999</v>
      </c>
      <c r="X702" s="871">
        <v>32626.799999999999</v>
      </c>
      <c r="Y702" s="871">
        <v>32626.799999999999</v>
      </c>
      <c r="Z702" s="871">
        <v>32641</v>
      </c>
      <c r="AA702" s="871">
        <v>33293</v>
      </c>
      <c r="AB702" s="871">
        <v>33959</v>
      </c>
      <c r="AC702" s="871">
        <v>34638</v>
      </c>
      <c r="AD702" s="871">
        <v>35331</v>
      </c>
      <c r="AE702" s="871">
        <v>36037</v>
      </c>
      <c r="AF702" s="871">
        <v>36758</v>
      </c>
      <c r="AG702" s="871">
        <v>37493</v>
      </c>
      <c r="AH702" s="871">
        <v>38243</v>
      </c>
      <c r="AI702" s="871">
        <v>39007</v>
      </c>
      <c r="AJ702" s="871">
        <v>39787</v>
      </c>
      <c r="AK702" s="871">
        <v>40583</v>
      </c>
      <c r="AL702" s="871">
        <v>41394</v>
      </c>
      <c r="AM702" s="871">
        <v>42222</v>
      </c>
      <c r="AN702" s="871">
        <v>43066</v>
      </c>
      <c r="AO702" s="871">
        <v>43927</v>
      </c>
      <c r="AP702" s="871">
        <v>44805</v>
      </c>
      <c r="AQ702" s="871">
        <v>45701</v>
      </c>
      <c r="AR702" s="871">
        <v>46615</v>
      </c>
      <c r="AS702" s="871">
        <v>47546</v>
      </c>
      <c r="AT702" s="871">
        <v>48497</v>
      </c>
      <c r="AU702" s="871">
        <v>49466</v>
      </c>
      <c r="AV702" s="871">
        <v>50455</v>
      </c>
      <c r="AW702" s="871">
        <v>51463</v>
      </c>
      <c r="AX702" s="871">
        <v>52491</v>
      </c>
      <c r="AY702" s="871">
        <v>53540</v>
      </c>
      <c r="AZ702" s="871">
        <v>54609</v>
      </c>
      <c r="BA702" s="871">
        <v>55700</v>
      </c>
      <c r="BB702" s="871">
        <v>56813</v>
      </c>
      <c r="BC702" s="871">
        <v>57947</v>
      </c>
      <c r="BD702" s="871">
        <v>59104</v>
      </c>
      <c r="BE702" s="871">
        <v>60284</v>
      </c>
      <c r="BF702" s="871">
        <v>61487</v>
      </c>
      <c r="BG702" s="871">
        <v>62713</v>
      </c>
      <c r="BH702" s="871">
        <v>63964</v>
      </c>
      <c r="BI702" s="871">
        <v>64600</v>
      </c>
      <c r="BJ702" s="871">
        <v>0</v>
      </c>
      <c r="BK702" s="871">
        <v>0</v>
      </c>
      <c r="BL702" s="871">
        <v>0</v>
      </c>
      <c r="BM702" s="871">
        <v>0</v>
      </c>
      <c r="BN702" s="871">
        <v>0</v>
      </c>
      <c r="BO702" s="871">
        <v>0</v>
      </c>
      <c r="BP702" s="871">
        <v>0</v>
      </c>
      <c r="BQ702" s="871">
        <v>0</v>
      </c>
      <c r="BR702" s="871">
        <v>0</v>
      </c>
      <c r="BS702" s="871">
        <v>0</v>
      </c>
      <c r="BT702" s="871">
        <v>0</v>
      </c>
      <c r="BU702" s="871">
        <v>0</v>
      </c>
      <c r="BV702" s="871">
        <v>0</v>
      </c>
      <c r="BW702" s="871">
        <v>0</v>
      </c>
      <c r="BX702" s="871">
        <v>0</v>
      </c>
      <c r="BY702" s="871">
        <v>0</v>
      </c>
      <c r="BZ702" s="871">
        <v>0</v>
      </c>
      <c r="CA702" s="871">
        <v>0</v>
      </c>
      <c r="CB702" s="871">
        <v>0</v>
      </c>
      <c r="CC702" s="871">
        <v>0</v>
      </c>
      <c r="CD702" s="871">
        <v>0</v>
      </c>
      <c r="CE702" s="871">
        <v>0</v>
      </c>
      <c r="CF702" s="871">
        <v>0</v>
      </c>
      <c r="CG702" s="871">
        <v>0</v>
      </c>
      <c r="CH702" s="871">
        <v>0</v>
      </c>
      <c r="CI702" s="871">
        <v>0</v>
      </c>
      <c r="CJ702" s="871">
        <v>0</v>
      </c>
      <c r="CK702" s="871">
        <v>0</v>
      </c>
      <c r="CL702" s="871">
        <v>0</v>
      </c>
      <c r="CM702" s="871">
        <v>0</v>
      </c>
      <c r="CN702" s="871">
        <v>0</v>
      </c>
      <c r="CO702" s="871">
        <v>0</v>
      </c>
      <c r="CP702" s="871">
        <v>0</v>
      </c>
      <c r="CQ702" s="871">
        <v>0</v>
      </c>
      <c r="CR702" s="871">
        <v>0</v>
      </c>
      <c r="CS702" s="871">
        <v>0</v>
      </c>
      <c r="CT702" s="871">
        <v>0</v>
      </c>
      <c r="CU702" s="871">
        <v>0</v>
      </c>
      <c r="CV702" s="871">
        <v>0</v>
      </c>
      <c r="CW702" s="871">
        <v>0</v>
      </c>
      <c r="CX702" s="871">
        <v>0</v>
      </c>
      <c r="CY702" s="871">
        <v>0</v>
      </c>
      <c r="CZ702" s="871">
        <v>0</v>
      </c>
      <c r="DA702" s="871">
        <v>0</v>
      </c>
      <c r="DB702" s="871">
        <v>0</v>
      </c>
      <c r="DC702" s="871">
        <v>0</v>
      </c>
      <c r="DD702" s="871">
        <v>0</v>
      </c>
      <c r="DE702" s="871">
        <v>0</v>
      </c>
      <c r="DF702" s="871">
        <v>0</v>
      </c>
      <c r="DG702" s="871">
        <v>0</v>
      </c>
      <c r="DH702" s="871">
        <v>0</v>
      </c>
      <c r="DI702" s="871">
        <v>0</v>
      </c>
      <c r="DJ702" s="871">
        <v>0</v>
      </c>
      <c r="DK702" s="871">
        <v>0</v>
      </c>
      <c r="DL702" s="871">
        <v>0</v>
      </c>
      <c r="DM702" s="871">
        <v>0</v>
      </c>
      <c r="DN702" s="871">
        <v>0</v>
      </c>
      <c r="DO702" s="871">
        <v>0</v>
      </c>
      <c r="DP702" s="871">
        <v>0</v>
      </c>
      <c r="DQ702" s="871">
        <v>0</v>
      </c>
      <c r="DR702" s="871">
        <v>0</v>
      </c>
      <c r="DS702" s="871">
        <v>0</v>
      </c>
      <c r="DT702" s="871">
        <v>0</v>
      </c>
      <c r="DU702" s="871">
        <v>0</v>
      </c>
      <c r="DV702" s="871">
        <v>0</v>
      </c>
      <c r="DW702" s="871">
        <v>0</v>
      </c>
    </row>
    <row r="703" spans="12:127" hidden="1">
      <c r="L703" s="870" t="s">
        <v>1060</v>
      </c>
      <c r="M703" s="870" t="s">
        <v>1382</v>
      </c>
      <c r="N703" s="870" t="s">
        <v>96</v>
      </c>
      <c r="O703" s="871">
        <v>67</v>
      </c>
      <c r="P703" s="780" t="str">
        <f t="shared" si="22"/>
        <v>IWT060167</v>
      </c>
      <c r="Q703" s="871">
        <v>27495</v>
      </c>
      <c r="R703" s="871">
        <v>28044</v>
      </c>
      <c r="S703" s="871">
        <v>28605</v>
      </c>
      <c r="T703" s="871">
        <v>29177</v>
      </c>
      <c r="U703" s="871">
        <v>29761</v>
      </c>
      <c r="V703" s="871">
        <v>32658.6</v>
      </c>
      <c r="W703" s="871">
        <v>32658.6</v>
      </c>
      <c r="X703" s="871">
        <v>32658.6</v>
      </c>
      <c r="Y703" s="871">
        <v>32658.6</v>
      </c>
      <c r="Z703" s="871">
        <v>32658.6</v>
      </c>
      <c r="AA703" s="871">
        <v>33223</v>
      </c>
      <c r="AB703" s="871">
        <v>33887</v>
      </c>
      <c r="AC703" s="871">
        <v>34565</v>
      </c>
      <c r="AD703" s="871">
        <v>35256</v>
      </c>
      <c r="AE703" s="871">
        <v>35961</v>
      </c>
      <c r="AF703" s="871">
        <v>36680</v>
      </c>
      <c r="AG703" s="871">
        <v>37414</v>
      </c>
      <c r="AH703" s="871">
        <v>38162</v>
      </c>
      <c r="AI703" s="871">
        <v>38925</v>
      </c>
      <c r="AJ703" s="871">
        <v>39703</v>
      </c>
      <c r="AK703" s="871">
        <v>40497</v>
      </c>
      <c r="AL703" s="871">
        <v>41307</v>
      </c>
      <c r="AM703" s="871">
        <v>42133</v>
      </c>
      <c r="AN703" s="871">
        <v>42975</v>
      </c>
      <c r="AO703" s="871">
        <v>43834</v>
      </c>
      <c r="AP703" s="871">
        <v>44710</v>
      </c>
      <c r="AQ703" s="871">
        <v>45604</v>
      </c>
      <c r="AR703" s="871">
        <v>46516</v>
      </c>
      <c r="AS703" s="871">
        <v>47445</v>
      </c>
      <c r="AT703" s="871">
        <v>48394</v>
      </c>
      <c r="AU703" s="871">
        <v>49361</v>
      </c>
      <c r="AV703" s="871">
        <v>50347</v>
      </c>
      <c r="AW703" s="871">
        <v>51353</v>
      </c>
      <c r="AX703" s="871">
        <v>52379</v>
      </c>
      <c r="AY703" s="871">
        <v>53426</v>
      </c>
      <c r="AZ703" s="871">
        <v>54493</v>
      </c>
      <c r="BA703" s="871">
        <v>55581</v>
      </c>
      <c r="BB703" s="871">
        <v>56691</v>
      </c>
      <c r="BC703" s="871">
        <v>57823</v>
      </c>
      <c r="BD703" s="871">
        <v>58977</v>
      </c>
      <c r="BE703" s="871">
        <v>60154</v>
      </c>
      <c r="BF703" s="871">
        <v>61354</v>
      </c>
      <c r="BG703" s="871">
        <v>62577</v>
      </c>
      <c r="BH703" s="871">
        <v>63200</v>
      </c>
      <c r="BI703" s="871">
        <v>0</v>
      </c>
      <c r="BJ703" s="871">
        <v>0</v>
      </c>
      <c r="BK703" s="871">
        <v>0</v>
      </c>
      <c r="BL703" s="871">
        <v>0</v>
      </c>
      <c r="BM703" s="871">
        <v>0</v>
      </c>
      <c r="BN703" s="871">
        <v>0</v>
      </c>
      <c r="BO703" s="871">
        <v>0</v>
      </c>
      <c r="BP703" s="871">
        <v>0</v>
      </c>
      <c r="BQ703" s="871">
        <v>0</v>
      </c>
      <c r="BR703" s="871">
        <v>0</v>
      </c>
      <c r="BS703" s="871">
        <v>0</v>
      </c>
      <c r="BT703" s="871">
        <v>0</v>
      </c>
      <c r="BU703" s="871">
        <v>0</v>
      </c>
      <c r="BV703" s="871">
        <v>0</v>
      </c>
      <c r="BW703" s="871">
        <v>0</v>
      </c>
      <c r="BX703" s="871">
        <v>0</v>
      </c>
      <c r="BY703" s="871">
        <v>0</v>
      </c>
      <c r="BZ703" s="871">
        <v>0</v>
      </c>
      <c r="CA703" s="871">
        <v>0</v>
      </c>
      <c r="CB703" s="871">
        <v>0</v>
      </c>
      <c r="CC703" s="871">
        <v>0</v>
      </c>
      <c r="CD703" s="871">
        <v>0</v>
      </c>
      <c r="CE703" s="871">
        <v>0</v>
      </c>
      <c r="CF703" s="871">
        <v>0</v>
      </c>
      <c r="CG703" s="871">
        <v>0</v>
      </c>
      <c r="CH703" s="871">
        <v>0</v>
      </c>
      <c r="CI703" s="871">
        <v>0</v>
      </c>
      <c r="CJ703" s="871">
        <v>0</v>
      </c>
      <c r="CK703" s="871">
        <v>0</v>
      </c>
      <c r="CL703" s="871">
        <v>0</v>
      </c>
      <c r="CM703" s="871">
        <v>0</v>
      </c>
      <c r="CN703" s="871">
        <v>0</v>
      </c>
      <c r="CO703" s="871">
        <v>0</v>
      </c>
      <c r="CP703" s="871">
        <v>0</v>
      </c>
      <c r="CQ703" s="871">
        <v>0</v>
      </c>
      <c r="CR703" s="871">
        <v>0</v>
      </c>
      <c r="CS703" s="871">
        <v>0</v>
      </c>
      <c r="CT703" s="871">
        <v>0</v>
      </c>
      <c r="CU703" s="871">
        <v>0</v>
      </c>
      <c r="CV703" s="871">
        <v>0</v>
      </c>
      <c r="CW703" s="871">
        <v>0</v>
      </c>
      <c r="CX703" s="871">
        <v>0</v>
      </c>
      <c r="CY703" s="871">
        <v>0</v>
      </c>
      <c r="CZ703" s="871">
        <v>0</v>
      </c>
      <c r="DA703" s="871">
        <v>0</v>
      </c>
      <c r="DB703" s="871">
        <v>0</v>
      </c>
      <c r="DC703" s="871">
        <v>0</v>
      </c>
      <c r="DD703" s="871">
        <v>0</v>
      </c>
      <c r="DE703" s="871">
        <v>0</v>
      </c>
      <c r="DF703" s="871">
        <v>0</v>
      </c>
      <c r="DG703" s="871">
        <v>0</v>
      </c>
      <c r="DH703" s="871">
        <v>0</v>
      </c>
      <c r="DI703" s="871">
        <v>0</v>
      </c>
      <c r="DJ703" s="871">
        <v>0</v>
      </c>
      <c r="DK703" s="871">
        <v>0</v>
      </c>
      <c r="DL703" s="871">
        <v>0</v>
      </c>
      <c r="DM703" s="871">
        <v>0</v>
      </c>
      <c r="DN703" s="871">
        <v>0</v>
      </c>
      <c r="DO703" s="871">
        <v>0</v>
      </c>
      <c r="DP703" s="871">
        <v>0</v>
      </c>
      <c r="DQ703" s="871">
        <v>0</v>
      </c>
      <c r="DR703" s="871">
        <v>0</v>
      </c>
      <c r="DS703" s="871">
        <v>0</v>
      </c>
      <c r="DT703" s="871">
        <v>0</v>
      </c>
      <c r="DU703" s="871">
        <v>0</v>
      </c>
      <c r="DV703" s="871">
        <v>0</v>
      </c>
      <c r="DW703" s="871">
        <v>0</v>
      </c>
    </row>
    <row r="704" spans="12:127" hidden="1">
      <c r="L704" s="870" t="s">
        <v>1060</v>
      </c>
      <c r="M704" s="870" t="s">
        <v>1382</v>
      </c>
      <c r="N704" s="870" t="s">
        <v>96</v>
      </c>
      <c r="O704" s="871">
        <v>68</v>
      </c>
      <c r="P704" s="780" t="str">
        <f t="shared" si="22"/>
        <v>IWT060168</v>
      </c>
      <c r="Q704" s="871">
        <v>27462</v>
      </c>
      <c r="R704" s="871">
        <v>28012</v>
      </c>
      <c r="S704" s="871">
        <v>28572</v>
      </c>
      <c r="T704" s="871">
        <v>29143</v>
      </c>
      <c r="U704" s="871">
        <v>29726</v>
      </c>
      <c r="V704" s="871">
        <v>32690.400000000001</v>
      </c>
      <c r="W704" s="871">
        <v>32690.400000000001</v>
      </c>
      <c r="X704" s="871">
        <v>32690.400000000001</v>
      </c>
      <c r="Y704" s="871">
        <v>32690.400000000001</v>
      </c>
      <c r="Z704" s="871">
        <v>32690.400000000001</v>
      </c>
      <c r="AA704" s="871">
        <v>33137</v>
      </c>
      <c r="AB704" s="871">
        <v>33799</v>
      </c>
      <c r="AC704" s="871">
        <v>34475</v>
      </c>
      <c r="AD704" s="871">
        <v>35165</v>
      </c>
      <c r="AE704" s="871">
        <v>35868</v>
      </c>
      <c r="AF704" s="871">
        <v>36585</v>
      </c>
      <c r="AG704" s="871">
        <v>37317</v>
      </c>
      <c r="AH704" s="871">
        <v>38063</v>
      </c>
      <c r="AI704" s="871">
        <v>38824</v>
      </c>
      <c r="AJ704" s="871">
        <v>39600</v>
      </c>
      <c r="AK704" s="871">
        <v>40392</v>
      </c>
      <c r="AL704" s="871">
        <v>41199</v>
      </c>
      <c r="AM704" s="871">
        <v>42023</v>
      </c>
      <c r="AN704" s="871">
        <v>42863</v>
      </c>
      <c r="AO704" s="871">
        <v>43720</v>
      </c>
      <c r="AP704" s="871">
        <v>44594</v>
      </c>
      <c r="AQ704" s="871">
        <v>45486</v>
      </c>
      <c r="AR704" s="871">
        <v>46395</v>
      </c>
      <c r="AS704" s="871">
        <v>47322</v>
      </c>
      <c r="AT704" s="871">
        <v>48268</v>
      </c>
      <c r="AU704" s="871">
        <v>49232</v>
      </c>
      <c r="AV704" s="871">
        <v>50216</v>
      </c>
      <c r="AW704" s="871">
        <v>51219</v>
      </c>
      <c r="AX704" s="871">
        <v>52242</v>
      </c>
      <c r="AY704" s="871">
        <v>53286</v>
      </c>
      <c r="AZ704" s="871">
        <v>54350</v>
      </c>
      <c r="BA704" s="871">
        <v>55435</v>
      </c>
      <c r="BB704" s="871">
        <v>56542</v>
      </c>
      <c r="BC704" s="871">
        <v>57671</v>
      </c>
      <c r="BD704" s="871">
        <v>58822</v>
      </c>
      <c r="BE704" s="871">
        <v>59995</v>
      </c>
      <c r="BF704" s="871">
        <v>61191</v>
      </c>
      <c r="BG704" s="871">
        <v>61800</v>
      </c>
      <c r="BH704" s="871">
        <v>0</v>
      </c>
      <c r="BI704" s="871">
        <v>0</v>
      </c>
      <c r="BJ704" s="871">
        <v>0</v>
      </c>
      <c r="BK704" s="871">
        <v>0</v>
      </c>
      <c r="BL704" s="871">
        <v>0</v>
      </c>
      <c r="BM704" s="871">
        <v>0</v>
      </c>
      <c r="BN704" s="871">
        <v>0</v>
      </c>
      <c r="BO704" s="871">
        <v>0</v>
      </c>
      <c r="BP704" s="871">
        <v>0</v>
      </c>
      <c r="BQ704" s="871">
        <v>0</v>
      </c>
      <c r="BR704" s="871">
        <v>0</v>
      </c>
      <c r="BS704" s="871">
        <v>0</v>
      </c>
      <c r="BT704" s="871">
        <v>0</v>
      </c>
      <c r="BU704" s="871">
        <v>0</v>
      </c>
      <c r="BV704" s="871">
        <v>0</v>
      </c>
      <c r="BW704" s="871">
        <v>0</v>
      </c>
      <c r="BX704" s="871">
        <v>0</v>
      </c>
      <c r="BY704" s="871">
        <v>0</v>
      </c>
      <c r="BZ704" s="871">
        <v>0</v>
      </c>
      <c r="CA704" s="871">
        <v>0</v>
      </c>
      <c r="CB704" s="871">
        <v>0</v>
      </c>
      <c r="CC704" s="871">
        <v>0</v>
      </c>
      <c r="CD704" s="871">
        <v>0</v>
      </c>
      <c r="CE704" s="871">
        <v>0</v>
      </c>
      <c r="CF704" s="871">
        <v>0</v>
      </c>
      <c r="CG704" s="871">
        <v>0</v>
      </c>
      <c r="CH704" s="871">
        <v>0</v>
      </c>
      <c r="CI704" s="871">
        <v>0</v>
      </c>
      <c r="CJ704" s="871">
        <v>0</v>
      </c>
      <c r="CK704" s="871">
        <v>0</v>
      </c>
      <c r="CL704" s="871">
        <v>0</v>
      </c>
      <c r="CM704" s="871">
        <v>0</v>
      </c>
      <c r="CN704" s="871">
        <v>0</v>
      </c>
      <c r="CO704" s="871">
        <v>0</v>
      </c>
      <c r="CP704" s="871">
        <v>0</v>
      </c>
      <c r="CQ704" s="871">
        <v>0</v>
      </c>
      <c r="CR704" s="871">
        <v>0</v>
      </c>
      <c r="CS704" s="871">
        <v>0</v>
      </c>
      <c r="CT704" s="871">
        <v>0</v>
      </c>
      <c r="CU704" s="871">
        <v>0</v>
      </c>
      <c r="CV704" s="871">
        <v>0</v>
      </c>
      <c r="CW704" s="871">
        <v>0</v>
      </c>
      <c r="CX704" s="871">
        <v>0</v>
      </c>
      <c r="CY704" s="871">
        <v>0</v>
      </c>
      <c r="CZ704" s="871">
        <v>0</v>
      </c>
      <c r="DA704" s="871">
        <v>0</v>
      </c>
      <c r="DB704" s="871">
        <v>0</v>
      </c>
      <c r="DC704" s="871">
        <v>0</v>
      </c>
      <c r="DD704" s="871">
        <v>0</v>
      </c>
      <c r="DE704" s="871">
        <v>0</v>
      </c>
      <c r="DF704" s="871">
        <v>0</v>
      </c>
      <c r="DG704" s="871">
        <v>0</v>
      </c>
      <c r="DH704" s="871">
        <v>0</v>
      </c>
      <c r="DI704" s="871">
        <v>0</v>
      </c>
      <c r="DJ704" s="871">
        <v>0</v>
      </c>
      <c r="DK704" s="871">
        <v>0</v>
      </c>
      <c r="DL704" s="871">
        <v>0</v>
      </c>
      <c r="DM704" s="871">
        <v>0</v>
      </c>
      <c r="DN704" s="871">
        <v>0</v>
      </c>
      <c r="DO704" s="871">
        <v>0</v>
      </c>
      <c r="DP704" s="871">
        <v>0</v>
      </c>
      <c r="DQ704" s="871">
        <v>0</v>
      </c>
      <c r="DR704" s="871">
        <v>0</v>
      </c>
      <c r="DS704" s="871">
        <v>0</v>
      </c>
      <c r="DT704" s="871">
        <v>0</v>
      </c>
      <c r="DU704" s="871">
        <v>0</v>
      </c>
      <c r="DV704" s="871">
        <v>0</v>
      </c>
      <c r="DW704" s="871">
        <v>0</v>
      </c>
    </row>
    <row r="705" spans="12:127" hidden="1">
      <c r="L705" s="870" t="s">
        <v>1060</v>
      </c>
      <c r="M705" s="870" t="s">
        <v>1382</v>
      </c>
      <c r="N705" s="870" t="s">
        <v>96</v>
      </c>
      <c r="O705" s="871">
        <v>69</v>
      </c>
      <c r="P705" s="780" t="str">
        <f t="shared" si="22"/>
        <v>IWT060169</v>
      </c>
      <c r="Q705" s="871">
        <v>27424</v>
      </c>
      <c r="R705" s="871">
        <v>27972</v>
      </c>
      <c r="S705" s="871">
        <v>28532</v>
      </c>
      <c r="T705" s="871">
        <v>29102</v>
      </c>
      <c r="U705" s="871">
        <v>29684</v>
      </c>
      <c r="V705" s="871">
        <v>32722.2</v>
      </c>
      <c r="W705" s="871">
        <v>32722.2</v>
      </c>
      <c r="X705" s="871">
        <v>32722.2</v>
      </c>
      <c r="Y705" s="871">
        <v>32722.2</v>
      </c>
      <c r="Z705" s="871">
        <v>32722.2</v>
      </c>
      <c r="AA705" s="871">
        <v>33034</v>
      </c>
      <c r="AB705" s="871">
        <v>33694</v>
      </c>
      <c r="AC705" s="871">
        <v>34368</v>
      </c>
      <c r="AD705" s="871">
        <v>35055</v>
      </c>
      <c r="AE705" s="871">
        <v>35756</v>
      </c>
      <c r="AF705" s="871">
        <v>36471</v>
      </c>
      <c r="AG705" s="871">
        <v>37201</v>
      </c>
      <c r="AH705" s="871">
        <v>37944</v>
      </c>
      <c r="AI705" s="871">
        <v>38703</v>
      </c>
      <c r="AJ705" s="871">
        <v>39477</v>
      </c>
      <c r="AK705" s="871">
        <v>40266</v>
      </c>
      <c r="AL705" s="871">
        <v>41071</v>
      </c>
      <c r="AM705" s="871">
        <v>41892</v>
      </c>
      <c r="AN705" s="871">
        <v>42730</v>
      </c>
      <c r="AO705" s="871">
        <v>43584</v>
      </c>
      <c r="AP705" s="871">
        <v>44455</v>
      </c>
      <c r="AQ705" s="871">
        <v>45344</v>
      </c>
      <c r="AR705" s="871">
        <v>46250</v>
      </c>
      <c r="AS705" s="871">
        <v>47174</v>
      </c>
      <c r="AT705" s="871">
        <v>48117</v>
      </c>
      <c r="AU705" s="871">
        <v>49078</v>
      </c>
      <c r="AV705" s="871">
        <v>50059</v>
      </c>
      <c r="AW705" s="871">
        <v>51059</v>
      </c>
      <c r="AX705" s="871">
        <v>52079</v>
      </c>
      <c r="AY705" s="871">
        <v>53119</v>
      </c>
      <c r="AZ705" s="871">
        <v>54179</v>
      </c>
      <c r="BA705" s="871">
        <v>55261</v>
      </c>
      <c r="BB705" s="871">
        <v>56364</v>
      </c>
      <c r="BC705" s="871">
        <v>57489</v>
      </c>
      <c r="BD705" s="871">
        <v>58636</v>
      </c>
      <c r="BE705" s="871">
        <v>59805</v>
      </c>
      <c r="BF705" s="871">
        <v>60400</v>
      </c>
      <c r="BG705" s="871">
        <v>0</v>
      </c>
      <c r="BH705" s="871">
        <v>0</v>
      </c>
      <c r="BI705" s="871">
        <v>0</v>
      </c>
      <c r="BJ705" s="871">
        <v>0</v>
      </c>
      <c r="BK705" s="871">
        <v>0</v>
      </c>
      <c r="BL705" s="871">
        <v>0</v>
      </c>
      <c r="BM705" s="871">
        <v>0</v>
      </c>
      <c r="BN705" s="871">
        <v>0</v>
      </c>
      <c r="BO705" s="871">
        <v>0</v>
      </c>
      <c r="BP705" s="871">
        <v>0</v>
      </c>
      <c r="BQ705" s="871">
        <v>0</v>
      </c>
      <c r="BR705" s="871">
        <v>0</v>
      </c>
      <c r="BS705" s="871">
        <v>0</v>
      </c>
      <c r="BT705" s="871">
        <v>0</v>
      </c>
      <c r="BU705" s="871">
        <v>0</v>
      </c>
      <c r="BV705" s="871">
        <v>0</v>
      </c>
      <c r="BW705" s="871">
        <v>0</v>
      </c>
      <c r="BX705" s="871">
        <v>0</v>
      </c>
      <c r="BY705" s="871">
        <v>0</v>
      </c>
      <c r="BZ705" s="871">
        <v>0</v>
      </c>
      <c r="CA705" s="871">
        <v>0</v>
      </c>
      <c r="CB705" s="871">
        <v>0</v>
      </c>
      <c r="CC705" s="871">
        <v>0</v>
      </c>
      <c r="CD705" s="871">
        <v>0</v>
      </c>
      <c r="CE705" s="871">
        <v>0</v>
      </c>
      <c r="CF705" s="871">
        <v>0</v>
      </c>
      <c r="CG705" s="871">
        <v>0</v>
      </c>
      <c r="CH705" s="871">
        <v>0</v>
      </c>
      <c r="CI705" s="871">
        <v>0</v>
      </c>
      <c r="CJ705" s="871">
        <v>0</v>
      </c>
      <c r="CK705" s="871">
        <v>0</v>
      </c>
      <c r="CL705" s="871">
        <v>0</v>
      </c>
      <c r="CM705" s="871">
        <v>0</v>
      </c>
      <c r="CN705" s="871">
        <v>0</v>
      </c>
      <c r="CO705" s="871">
        <v>0</v>
      </c>
      <c r="CP705" s="871">
        <v>0</v>
      </c>
      <c r="CQ705" s="871">
        <v>0</v>
      </c>
      <c r="CR705" s="871">
        <v>0</v>
      </c>
      <c r="CS705" s="871">
        <v>0</v>
      </c>
      <c r="CT705" s="871">
        <v>0</v>
      </c>
      <c r="CU705" s="871">
        <v>0</v>
      </c>
      <c r="CV705" s="871">
        <v>0</v>
      </c>
      <c r="CW705" s="871">
        <v>0</v>
      </c>
      <c r="CX705" s="871">
        <v>0</v>
      </c>
      <c r="CY705" s="871">
        <v>0</v>
      </c>
      <c r="CZ705" s="871">
        <v>0</v>
      </c>
      <c r="DA705" s="871">
        <v>0</v>
      </c>
      <c r="DB705" s="871">
        <v>0</v>
      </c>
      <c r="DC705" s="871">
        <v>0</v>
      </c>
      <c r="DD705" s="871">
        <v>0</v>
      </c>
      <c r="DE705" s="871">
        <v>0</v>
      </c>
      <c r="DF705" s="871">
        <v>0</v>
      </c>
      <c r="DG705" s="871">
        <v>0</v>
      </c>
      <c r="DH705" s="871">
        <v>0</v>
      </c>
      <c r="DI705" s="871">
        <v>0</v>
      </c>
      <c r="DJ705" s="871">
        <v>0</v>
      </c>
      <c r="DK705" s="871">
        <v>0</v>
      </c>
      <c r="DL705" s="871">
        <v>0</v>
      </c>
      <c r="DM705" s="871">
        <v>0</v>
      </c>
      <c r="DN705" s="871">
        <v>0</v>
      </c>
      <c r="DO705" s="871">
        <v>0</v>
      </c>
      <c r="DP705" s="871">
        <v>0</v>
      </c>
      <c r="DQ705" s="871">
        <v>0</v>
      </c>
      <c r="DR705" s="871">
        <v>0</v>
      </c>
      <c r="DS705" s="871">
        <v>0</v>
      </c>
      <c r="DT705" s="871">
        <v>0</v>
      </c>
      <c r="DU705" s="871">
        <v>0</v>
      </c>
      <c r="DV705" s="871">
        <v>0</v>
      </c>
      <c r="DW705" s="871">
        <v>0</v>
      </c>
    </row>
    <row r="706" spans="12:127" hidden="1">
      <c r="L706" s="870" t="s">
        <v>1060</v>
      </c>
      <c r="M706" s="870" t="s">
        <v>1382</v>
      </c>
      <c r="N706" s="870" t="s">
        <v>96</v>
      </c>
      <c r="O706" s="871">
        <v>70</v>
      </c>
      <c r="P706" s="780" t="str">
        <f t="shared" si="22"/>
        <v>IWT060170</v>
      </c>
      <c r="Q706" s="871">
        <v>27385</v>
      </c>
      <c r="R706" s="871">
        <v>27933</v>
      </c>
      <c r="S706" s="871">
        <v>28491</v>
      </c>
      <c r="T706" s="871">
        <v>29061</v>
      </c>
      <c r="U706" s="871">
        <v>29642</v>
      </c>
      <c r="V706" s="871">
        <v>32754</v>
      </c>
      <c r="W706" s="871">
        <v>32754</v>
      </c>
      <c r="X706" s="871">
        <v>32754</v>
      </c>
      <c r="Y706" s="871">
        <v>32754</v>
      </c>
      <c r="Z706" s="871">
        <v>32754</v>
      </c>
      <c r="AA706" s="871">
        <v>32914</v>
      </c>
      <c r="AB706" s="871">
        <v>33572</v>
      </c>
      <c r="AC706" s="871">
        <v>34243</v>
      </c>
      <c r="AD706" s="871">
        <v>34928</v>
      </c>
      <c r="AE706" s="871">
        <v>35626</v>
      </c>
      <c r="AF706" s="871">
        <v>36339</v>
      </c>
      <c r="AG706" s="871">
        <v>37065</v>
      </c>
      <c r="AH706" s="871">
        <v>37806</v>
      </c>
      <c r="AI706" s="871">
        <v>38562</v>
      </c>
      <c r="AJ706" s="871">
        <v>39333</v>
      </c>
      <c r="AK706" s="871">
        <v>40120</v>
      </c>
      <c r="AL706" s="871">
        <v>40922</v>
      </c>
      <c r="AM706" s="871">
        <v>41740</v>
      </c>
      <c r="AN706" s="871">
        <v>42574</v>
      </c>
      <c r="AO706" s="871">
        <v>43425</v>
      </c>
      <c r="AP706" s="871">
        <v>44293</v>
      </c>
      <c r="AQ706" s="871">
        <v>45178</v>
      </c>
      <c r="AR706" s="871">
        <v>46081</v>
      </c>
      <c r="AS706" s="871">
        <v>47002</v>
      </c>
      <c r="AT706" s="871">
        <v>47941</v>
      </c>
      <c r="AU706" s="871">
        <v>48899</v>
      </c>
      <c r="AV706" s="871">
        <v>49876</v>
      </c>
      <c r="AW706" s="871">
        <v>50872</v>
      </c>
      <c r="AX706" s="871">
        <v>51888</v>
      </c>
      <c r="AY706" s="871">
        <v>52924</v>
      </c>
      <c r="AZ706" s="871">
        <v>53981</v>
      </c>
      <c r="BA706" s="871">
        <v>55058</v>
      </c>
      <c r="BB706" s="871">
        <v>56157</v>
      </c>
      <c r="BC706" s="871">
        <v>57277</v>
      </c>
      <c r="BD706" s="871">
        <v>58419</v>
      </c>
      <c r="BE706" s="871">
        <v>59000</v>
      </c>
      <c r="BF706" s="871">
        <v>0</v>
      </c>
      <c r="BG706" s="871">
        <v>0</v>
      </c>
      <c r="BH706" s="871">
        <v>0</v>
      </c>
      <c r="BI706" s="871">
        <v>0</v>
      </c>
      <c r="BJ706" s="871">
        <v>0</v>
      </c>
      <c r="BK706" s="871">
        <v>0</v>
      </c>
      <c r="BL706" s="871">
        <v>0</v>
      </c>
      <c r="BM706" s="871">
        <v>0</v>
      </c>
      <c r="BN706" s="871">
        <v>0</v>
      </c>
      <c r="BO706" s="871">
        <v>0</v>
      </c>
      <c r="BP706" s="871">
        <v>0</v>
      </c>
      <c r="BQ706" s="871">
        <v>0</v>
      </c>
      <c r="BR706" s="871">
        <v>0</v>
      </c>
      <c r="BS706" s="871">
        <v>0</v>
      </c>
      <c r="BT706" s="871">
        <v>0</v>
      </c>
      <c r="BU706" s="871">
        <v>0</v>
      </c>
      <c r="BV706" s="871">
        <v>0</v>
      </c>
      <c r="BW706" s="871">
        <v>0</v>
      </c>
      <c r="BX706" s="871">
        <v>0</v>
      </c>
      <c r="BY706" s="871">
        <v>0</v>
      </c>
      <c r="BZ706" s="871">
        <v>0</v>
      </c>
      <c r="CA706" s="871">
        <v>0</v>
      </c>
      <c r="CB706" s="871">
        <v>0</v>
      </c>
      <c r="CC706" s="871">
        <v>0</v>
      </c>
      <c r="CD706" s="871">
        <v>0</v>
      </c>
      <c r="CE706" s="871">
        <v>0</v>
      </c>
      <c r="CF706" s="871">
        <v>0</v>
      </c>
      <c r="CG706" s="871">
        <v>0</v>
      </c>
      <c r="CH706" s="871">
        <v>0</v>
      </c>
      <c r="CI706" s="871">
        <v>0</v>
      </c>
      <c r="CJ706" s="871">
        <v>0</v>
      </c>
      <c r="CK706" s="871">
        <v>0</v>
      </c>
      <c r="CL706" s="871">
        <v>0</v>
      </c>
      <c r="CM706" s="871">
        <v>0</v>
      </c>
      <c r="CN706" s="871">
        <v>0</v>
      </c>
      <c r="CO706" s="871">
        <v>0</v>
      </c>
      <c r="CP706" s="871">
        <v>0</v>
      </c>
      <c r="CQ706" s="871">
        <v>0</v>
      </c>
      <c r="CR706" s="871">
        <v>0</v>
      </c>
      <c r="CS706" s="871">
        <v>0</v>
      </c>
      <c r="CT706" s="871">
        <v>0</v>
      </c>
      <c r="CU706" s="871">
        <v>0</v>
      </c>
      <c r="CV706" s="871">
        <v>0</v>
      </c>
      <c r="CW706" s="871">
        <v>0</v>
      </c>
      <c r="CX706" s="871">
        <v>0</v>
      </c>
      <c r="CY706" s="871">
        <v>0</v>
      </c>
      <c r="CZ706" s="871">
        <v>0</v>
      </c>
      <c r="DA706" s="871">
        <v>0</v>
      </c>
      <c r="DB706" s="871">
        <v>0</v>
      </c>
      <c r="DC706" s="871">
        <v>0</v>
      </c>
      <c r="DD706" s="871">
        <v>0</v>
      </c>
      <c r="DE706" s="871">
        <v>0</v>
      </c>
      <c r="DF706" s="871">
        <v>0</v>
      </c>
      <c r="DG706" s="871">
        <v>0</v>
      </c>
      <c r="DH706" s="871">
        <v>0</v>
      </c>
      <c r="DI706" s="871">
        <v>0</v>
      </c>
      <c r="DJ706" s="871">
        <v>0</v>
      </c>
      <c r="DK706" s="871">
        <v>0</v>
      </c>
      <c r="DL706" s="871">
        <v>0</v>
      </c>
      <c r="DM706" s="871">
        <v>0</v>
      </c>
      <c r="DN706" s="871">
        <v>0</v>
      </c>
      <c r="DO706" s="871">
        <v>0</v>
      </c>
      <c r="DP706" s="871">
        <v>0</v>
      </c>
      <c r="DQ706" s="871">
        <v>0</v>
      </c>
      <c r="DR706" s="871">
        <v>0</v>
      </c>
      <c r="DS706" s="871">
        <v>0</v>
      </c>
      <c r="DT706" s="871">
        <v>0</v>
      </c>
      <c r="DU706" s="871">
        <v>0</v>
      </c>
      <c r="DV706" s="871">
        <v>0</v>
      </c>
      <c r="DW706" s="871">
        <v>0</v>
      </c>
    </row>
    <row r="707" spans="12:127" hidden="1">
      <c r="L707" s="870" t="s">
        <v>1060</v>
      </c>
      <c r="M707" s="870" t="s">
        <v>1382</v>
      </c>
      <c r="N707" s="870" t="s">
        <v>96</v>
      </c>
      <c r="O707" s="871">
        <v>71</v>
      </c>
      <c r="P707" s="780" t="str">
        <f t="shared" si="22"/>
        <v>IWT060171</v>
      </c>
      <c r="Q707" s="871">
        <v>27349</v>
      </c>
      <c r="R707" s="871">
        <v>27896</v>
      </c>
      <c r="S707" s="871">
        <v>28454</v>
      </c>
      <c r="T707" s="871">
        <v>29023</v>
      </c>
      <c r="U707" s="871">
        <v>29604</v>
      </c>
      <c r="V707" s="871">
        <v>32817.599999999999</v>
      </c>
      <c r="W707" s="871">
        <v>32817.599999999999</v>
      </c>
      <c r="X707" s="871">
        <v>32817.599999999999</v>
      </c>
      <c r="Y707" s="871">
        <v>32817.599999999999</v>
      </c>
      <c r="Z707" s="871">
        <v>32817.599999999999</v>
      </c>
      <c r="AA707" s="871">
        <v>32817.599999999999</v>
      </c>
      <c r="AB707" s="871">
        <v>33430</v>
      </c>
      <c r="AC707" s="871">
        <v>34099</v>
      </c>
      <c r="AD707" s="871">
        <v>34780</v>
      </c>
      <c r="AE707" s="871">
        <v>35476</v>
      </c>
      <c r="AF707" s="871">
        <v>36185</v>
      </c>
      <c r="AG707" s="871">
        <v>36909</v>
      </c>
      <c r="AH707" s="871">
        <v>37647</v>
      </c>
      <c r="AI707" s="871">
        <v>38399</v>
      </c>
      <c r="AJ707" s="871">
        <v>39167</v>
      </c>
      <c r="AK707" s="871">
        <v>39950</v>
      </c>
      <c r="AL707" s="871">
        <v>40749</v>
      </c>
      <c r="AM707" s="871">
        <v>41563</v>
      </c>
      <c r="AN707" s="871">
        <v>42394</v>
      </c>
      <c r="AO707" s="871">
        <v>43241</v>
      </c>
      <c r="AP707" s="871">
        <v>44106</v>
      </c>
      <c r="AQ707" s="871">
        <v>44987</v>
      </c>
      <c r="AR707" s="871">
        <v>45886</v>
      </c>
      <c r="AS707" s="871">
        <v>46803</v>
      </c>
      <c r="AT707" s="871">
        <v>47738</v>
      </c>
      <c r="AU707" s="871">
        <v>48692</v>
      </c>
      <c r="AV707" s="871">
        <v>49664</v>
      </c>
      <c r="AW707" s="871">
        <v>50656</v>
      </c>
      <c r="AX707" s="871">
        <v>51668</v>
      </c>
      <c r="AY707" s="871">
        <v>52699</v>
      </c>
      <c r="AZ707" s="871">
        <v>53751</v>
      </c>
      <c r="BA707" s="871">
        <v>54824</v>
      </c>
      <c r="BB707" s="871">
        <v>55917</v>
      </c>
      <c r="BC707" s="871">
        <v>57032</v>
      </c>
      <c r="BD707" s="871">
        <v>57600</v>
      </c>
      <c r="BE707" s="871">
        <v>0</v>
      </c>
      <c r="BF707" s="871">
        <v>0</v>
      </c>
      <c r="BG707" s="871">
        <v>0</v>
      </c>
      <c r="BH707" s="871">
        <v>0</v>
      </c>
      <c r="BI707" s="871">
        <v>0</v>
      </c>
      <c r="BJ707" s="871">
        <v>0</v>
      </c>
      <c r="BK707" s="871">
        <v>0</v>
      </c>
      <c r="BL707" s="871">
        <v>0</v>
      </c>
      <c r="BM707" s="871">
        <v>0</v>
      </c>
      <c r="BN707" s="871">
        <v>0</v>
      </c>
      <c r="BO707" s="871">
        <v>0</v>
      </c>
      <c r="BP707" s="871">
        <v>0</v>
      </c>
      <c r="BQ707" s="871">
        <v>0</v>
      </c>
      <c r="BR707" s="871">
        <v>0</v>
      </c>
      <c r="BS707" s="871">
        <v>0</v>
      </c>
      <c r="BT707" s="871">
        <v>0</v>
      </c>
      <c r="BU707" s="871">
        <v>0</v>
      </c>
      <c r="BV707" s="871">
        <v>0</v>
      </c>
      <c r="BW707" s="871">
        <v>0</v>
      </c>
      <c r="BX707" s="871">
        <v>0</v>
      </c>
      <c r="BY707" s="871">
        <v>0</v>
      </c>
      <c r="BZ707" s="871">
        <v>0</v>
      </c>
      <c r="CA707" s="871">
        <v>0</v>
      </c>
      <c r="CB707" s="871">
        <v>0</v>
      </c>
      <c r="CC707" s="871">
        <v>0</v>
      </c>
      <c r="CD707" s="871">
        <v>0</v>
      </c>
      <c r="CE707" s="871">
        <v>0</v>
      </c>
      <c r="CF707" s="871">
        <v>0</v>
      </c>
      <c r="CG707" s="871">
        <v>0</v>
      </c>
      <c r="CH707" s="871">
        <v>0</v>
      </c>
      <c r="CI707" s="871">
        <v>0</v>
      </c>
      <c r="CJ707" s="871">
        <v>0</v>
      </c>
      <c r="CK707" s="871">
        <v>0</v>
      </c>
      <c r="CL707" s="871">
        <v>0</v>
      </c>
      <c r="CM707" s="871">
        <v>0</v>
      </c>
      <c r="CN707" s="871">
        <v>0</v>
      </c>
      <c r="CO707" s="871">
        <v>0</v>
      </c>
      <c r="CP707" s="871">
        <v>0</v>
      </c>
      <c r="CQ707" s="871">
        <v>0</v>
      </c>
      <c r="CR707" s="871">
        <v>0</v>
      </c>
      <c r="CS707" s="871">
        <v>0</v>
      </c>
      <c r="CT707" s="871">
        <v>0</v>
      </c>
      <c r="CU707" s="871">
        <v>0</v>
      </c>
      <c r="CV707" s="871">
        <v>0</v>
      </c>
      <c r="CW707" s="871">
        <v>0</v>
      </c>
      <c r="CX707" s="871">
        <v>0</v>
      </c>
      <c r="CY707" s="871">
        <v>0</v>
      </c>
      <c r="CZ707" s="871">
        <v>0</v>
      </c>
      <c r="DA707" s="871">
        <v>0</v>
      </c>
      <c r="DB707" s="871">
        <v>0</v>
      </c>
      <c r="DC707" s="871">
        <v>0</v>
      </c>
      <c r="DD707" s="871">
        <v>0</v>
      </c>
      <c r="DE707" s="871">
        <v>0</v>
      </c>
      <c r="DF707" s="871">
        <v>0</v>
      </c>
      <c r="DG707" s="871">
        <v>0</v>
      </c>
      <c r="DH707" s="871">
        <v>0</v>
      </c>
      <c r="DI707" s="871">
        <v>0</v>
      </c>
      <c r="DJ707" s="871">
        <v>0</v>
      </c>
      <c r="DK707" s="871">
        <v>0</v>
      </c>
      <c r="DL707" s="871">
        <v>0</v>
      </c>
      <c r="DM707" s="871">
        <v>0</v>
      </c>
      <c r="DN707" s="871">
        <v>0</v>
      </c>
      <c r="DO707" s="871">
        <v>0</v>
      </c>
      <c r="DP707" s="871">
        <v>0</v>
      </c>
      <c r="DQ707" s="871">
        <v>0</v>
      </c>
      <c r="DR707" s="871">
        <v>0</v>
      </c>
      <c r="DS707" s="871">
        <v>0</v>
      </c>
      <c r="DT707" s="871">
        <v>0</v>
      </c>
      <c r="DU707" s="871">
        <v>0</v>
      </c>
      <c r="DV707" s="871">
        <v>0</v>
      </c>
      <c r="DW707" s="871">
        <v>0</v>
      </c>
    </row>
    <row r="708" spans="12:127" hidden="1">
      <c r="L708" s="870" t="s">
        <v>1060</v>
      </c>
      <c r="M708" s="870" t="s">
        <v>1382</v>
      </c>
      <c r="N708" s="870" t="s">
        <v>96</v>
      </c>
      <c r="O708" s="871">
        <v>72</v>
      </c>
      <c r="P708" s="780" t="str">
        <f t="shared" si="22"/>
        <v>IWT060172</v>
      </c>
      <c r="Q708" s="871">
        <v>27313</v>
      </c>
      <c r="R708" s="871">
        <v>27859</v>
      </c>
      <c r="S708" s="871">
        <v>28417</v>
      </c>
      <c r="T708" s="871">
        <v>28985</v>
      </c>
      <c r="U708" s="871">
        <v>29564</v>
      </c>
      <c r="V708" s="871">
        <v>32881.199999999997</v>
      </c>
      <c r="W708" s="871">
        <v>32881.199999999997</v>
      </c>
      <c r="X708" s="871">
        <v>32881.199999999997</v>
      </c>
      <c r="Y708" s="871">
        <v>32881.199999999997</v>
      </c>
      <c r="Z708" s="871">
        <v>32881.199999999997</v>
      </c>
      <c r="AA708" s="871">
        <v>32881.199999999997</v>
      </c>
      <c r="AB708" s="871">
        <v>33270</v>
      </c>
      <c r="AC708" s="871">
        <v>33935</v>
      </c>
      <c r="AD708" s="871">
        <v>34614</v>
      </c>
      <c r="AE708" s="871">
        <v>35306</v>
      </c>
      <c r="AF708" s="871">
        <v>36012</v>
      </c>
      <c r="AG708" s="871">
        <v>36732</v>
      </c>
      <c r="AH708" s="871">
        <v>37466</v>
      </c>
      <c r="AI708" s="871">
        <v>38215</v>
      </c>
      <c r="AJ708" s="871">
        <v>38979</v>
      </c>
      <c r="AK708" s="871">
        <v>39758</v>
      </c>
      <c r="AL708" s="871">
        <v>40553</v>
      </c>
      <c r="AM708" s="871">
        <v>41364</v>
      </c>
      <c r="AN708" s="871">
        <v>42191</v>
      </c>
      <c r="AO708" s="871">
        <v>43034</v>
      </c>
      <c r="AP708" s="871">
        <v>43894</v>
      </c>
      <c r="AQ708" s="871">
        <v>44771</v>
      </c>
      <c r="AR708" s="871">
        <v>45665</v>
      </c>
      <c r="AS708" s="871">
        <v>46578</v>
      </c>
      <c r="AT708" s="871">
        <v>47508</v>
      </c>
      <c r="AU708" s="871">
        <v>48457</v>
      </c>
      <c r="AV708" s="871">
        <v>49425</v>
      </c>
      <c r="AW708" s="871">
        <v>50412</v>
      </c>
      <c r="AX708" s="871">
        <v>51419</v>
      </c>
      <c r="AY708" s="871">
        <v>52445</v>
      </c>
      <c r="AZ708" s="871">
        <v>53491</v>
      </c>
      <c r="BA708" s="871">
        <v>54558</v>
      </c>
      <c r="BB708" s="871">
        <v>55646</v>
      </c>
      <c r="BC708" s="871">
        <v>56200</v>
      </c>
      <c r="BD708" s="871">
        <v>0</v>
      </c>
      <c r="BE708" s="871">
        <v>0</v>
      </c>
      <c r="BF708" s="871">
        <v>0</v>
      </c>
      <c r="BG708" s="871">
        <v>0</v>
      </c>
      <c r="BH708" s="871">
        <v>0</v>
      </c>
      <c r="BI708" s="871">
        <v>0</v>
      </c>
      <c r="BJ708" s="871">
        <v>0</v>
      </c>
      <c r="BK708" s="871">
        <v>0</v>
      </c>
      <c r="BL708" s="871">
        <v>0</v>
      </c>
      <c r="BM708" s="871">
        <v>0</v>
      </c>
      <c r="BN708" s="871">
        <v>0</v>
      </c>
      <c r="BO708" s="871">
        <v>0</v>
      </c>
      <c r="BP708" s="871">
        <v>0</v>
      </c>
      <c r="BQ708" s="871">
        <v>0</v>
      </c>
      <c r="BR708" s="871">
        <v>0</v>
      </c>
      <c r="BS708" s="871">
        <v>0</v>
      </c>
      <c r="BT708" s="871">
        <v>0</v>
      </c>
      <c r="BU708" s="871">
        <v>0</v>
      </c>
      <c r="BV708" s="871">
        <v>0</v>
      </c>
      <c r="BW708" s="871">
        <v>0</v>
      </c>
      <c r="BX708" s="871">
        <v>0</v>
      </c>
      <c r="BY708" s="871">
        <v>0</v>
      </c>
      <c r="BZ708" s="871">
        <v>0</v>
      </c>
      <c r="CA708" s="871">
        <v>0</v>
      </c>
      <c r="CB708" s="871">
        <v>0</v>
      </c>
      <c r="CC708" s="871">
        <v>0</v>
      </c>
      <c r="CD708" s="871">
        <v>0</v>
      </c>
      <c r="CE708" s="871">
        <v>0</v>
      </c>
      <c r="CF708" s="871">
        <v>0</v>
      </c>
      <c r="CG708" s="871">
        <v>0</v>
      </c>
      <c r="CH708" s="871">
        <v>0</v>
      </c>
      <c r="CI708" s="871">
        <v>0</v>
      </c>
      <c r="CJ708" s="871">
        <v>0</v>
      </c>
      <c r="CK708" s="871">
        <v>0</v>
      </c>
      <c r="CL708" s="871">
        <v>0</v>
      </c>
      <c r="CM708" s="871">
        <v>0</v>
      </c>
      <c r="CN708" s="871">
        <v>0</v>
      </c>
      <c r="CO708" s="871">
        <v>0</v>
      </c>
      <c r="CP708" s="871">
        <v>0</v>
      </c>
      <c r="CQ708" s="871">
        <v>0</v>
      </c>
      <c r="CR708" s="871">
        <v>0</v>
      </c>
      <c r="CS708" s="871">
        <v>0</v>
      </c>
      <c r="CT708" s="871">
        <v>0</v>
      </c>
      <c r="CU708" s="871">
        <v>0</v>
      </c>
      <c r="CV708" s="871">
        <v>0</v>
      </c>
      <c r="CW708" s="871">
        <v>0</v>
      </c>
      <c r="CX708" s="871">
        <v>0</v>
      </c>
      <c r="CY708" s="871">
        <v>0</v>
      </c>
      <c r="CZ708" s="871">
        <v>0</v>
      </c>
      <c r="DA708" s="871">
        <v>0</v>
      </c>
      <c r="DB708" s="871">
        <v>0</v>
      </c>
      <c r="DC708" s="871">
        <v>0</v>
      </c>
      <c r="DD708" s="871">
        <v>0</v>
      </c>
      <c r="DE708" s="871">
        <v>0</v>
      </c>
      <c r="DF708" s="871">
        <v>0</v>
      </c>
      <c r="DG708" s="871">
        <v>0</v>
      </c>
      <c r="DH708" s="871">
        <v>0</v>
      </c>
      <c r="DI708" s="871">
        <v>0</v>
      </c>
      <c r="DJ708" s="871">
        <v>0</v>
      </c>
      <c r="DK708" s="871">
        <v>0</v>
      </c>
      <c r="DL708" s="871">
        <v>0</v>
      </c>
      <c r="DM708" s="871">
        <v>0</v>
      </c>
      <c r="DN708" s="871">
        <v>0</v>
      </c>
      <c r="DO708" s="871">
        <v>0</v>
      </c>
      <c r="DP708" s="871">
        <v>0</v>
      </c>
      <c r="DQ708" s="871">
        <v>0</v>
      </c>
      <c r="DR708" s="871">
        <v>0</v>
      </c>
      <c r="DS708" s="871">
        <v>0</v>
      </c>
      <c r="DT708" s="871">
        <v>0</v>
      </c>
      <c r="DU708" s="871">
        <v>0</v>
      </c>
      <c r="DV708" s="871">
        <v>0</v>
      </c>
      <c r="DW708" s="871">
        <v>0</v>
      </c>
    </row>
    <row r="709" spans="12:127" hidden="1">
      <c r="L709" s="870" t="s">
        <v>1060</v>
      </c>
      <c r="M709" s="870" t="s">
        <v>1382</v>
      </c>
      <c r="N709" s="870" t="s">
        <v>96</v>
      </c>
      <c r="O709" s="871">
        <v>73</v>
      </c>
      <c r="P709" s="780" t="str">
        <f t="shared" si="22"/>
        <v>IWT060173</v>
      </c>
      <c r="Q709" s="871">
        <v>27285</v>
      </c>
      <c r="R709" s="871">
        <v>27831</v>
      </c>
      <c r="S709" s="871">
        <v>28388</v>
      </c>
      <c r="T709" s="871">
        <v>28955</v>
      </c>
      <c r="U709" s="871">
        <v>29534</v>
      </c>
      <c r="V709" s="871">
        <v>32944.800000000003</v>
      </c>
      <c r="W709" s="871">
        <v>32944.800000000003</v>
      </c>
      <c r="X709" s="871">
        <v>32944.800000000003</v>
      </c>
      <c r="Y709" s="871">
        <v>32944.800000000003</v>
      </c>
      <c r="Z709" s="871">
        <v>32944.800000000003</v>
      </c>
      <c r="AA709" s="871">
        <v>32944.800000000003</v>
      </c>
      <c r="AB709" s="871">
        <v>33090</v>
      </c>
      <c r="AC709" s="871">
        <v>33752</v>
      </c>
      <c r="AD709" s="871">
        <v>34426</v>
      </c>
      <c r="AE709" s="871">
        <v>35115</v>
      </c>
      <c r="AF709" s="871">
        <v>35817</v>
      </c>
      <c r="AG709" s="871">
        <v>36533</v>
      </c>
      <c r="AH709" s="871">
        <v>37263</v>
      </c>
      <c r="AI709" s="871">
        <v>38008</v>
      </c>
      <c r="AJ709" s="871">
        <v>38768</v>
      </c>
      <c r="AK709" s="871">
        <v>39543</v>
      </c>
      <c r="AL709" s="871">
        <v>40334</v>
      </c>
      <c r="AM709" s="871">
        <v>41140</v>
      </c>
      <c r="AN709" s="871">
        <v>41962</v>
      </c>
      <c r="AO709" s="871">
        <v>42801</v>
      </c>
      <c r="AP709" s="871">
        <v>43656</v>
      </c>
      <c r="AQ709" s="871">
        <v>44528</v>
      </c>
      <c r="AR709" s="871">
        <v>45418</v>
      </c>
      <c r="AS709" s="871">
        <v>46325</v>
      </c>
      <c r="AT709" s="871">
        <v>47250</v>
      </c>
      <c r="AU709" s="871">
        <v>48194</v>
      </c>
      <c r="AV709" s="871">
        <v>49156</v>
      </c>
      <c r="AW709" s="871">
        <v>50137</v>
      </c>
      <c r="AX709" s="871">
        <v>51138</v>
      </c>
      <c r="AY709" s="871">
        <v>52159</v>
      </c>
      <c r="AZ709" s="871">
        <v>53199</v>
      </c>
      <c r="BA709" s="871">
        <v>54260</v>
      </c>
      <c r="BB709" s="871">
        <v>54800</v>
      </c>
      <c r="BC709" s="871">
        <v>0</v>
      </c>
      <c r="BD709" s="871">
        <v>0</v>
      </c>
      <c r="BE709" s="871">
        <v>0</v>
      </c>
      <c r="BF709" s="871">
        <v>0</v>
      </c>
      <c r="BG709" s="871">
        <v>0</v>
      </c>
      <c r="BH709" s="871">
        <v>0</v>
      </c>
      <c r="BI709" s="871">
        <v>0</v>
      </c>
      <c r="BJ709" s="871">
        <v>0</v>
      </c>
      <c r="BK709" s="871">
        <v>0</v>
      </c>
      <c r="BL709" s="871">
        <v>0</v>
      </c>
      <c r="BM709" s="871">
        <v>0</v>
      </c>
      <c r="BN709" s="871">
        <v>0</v>
      </c>
      <c r="BO709" s="871">
        <v>0</v>
      </c>
      <c r="BP709" s="871">
        <v>0</v>
      </c>
      <c r="BQ709" s="871">
        <v>0</v>
      </c>
      <c r="BR709" s="871">
        <v>0</v>
      </c>
      <c r="BS709" s="871">
        <v>0</v>
      </c>
      <c r="BT709" s="871">
        <v>0</v>
      </c>
      <c r="BU709" s="871">
        <v>0</v>
      </c>
      <c r="BV709" s="871">
        <v>0</v>
      </c>
      <c r="BW709" s="871">
        <v>0</v>
      </c>
      <c r="BX709" s="871">
        <v>0</v>
      </c>
      <c r="BY709" s="871">
        <v>0</v>
      </c>
      <c r="BZ709" s="871">
        <v>0</v>
      </c>
      <c r="CA709" s="871">
        <v>0</v>
      </c>
      <c r="CB709" s="871">
        <v>0</v>
      </c>
      <c r="CC709" s="871">
        <v>0</v>
      </c>
      <c r="CD709" s="871">
        <v>0</v>
      </c>
      <c r="CE709" s="871">
        <v>0</v>
      </c>
      <c r="CF709" s="871">
        <v>0</v>
      </c>
      <c r="CG709" s="871">
        <v>0</v>
      </c>
      <c r="CH709" s="871">
        <v>0</v>
      </c>
      <c r="CI709" s="871">
        <v>0</v>
      </c>
      <c r="CJ709" s="871">
        <v>0</v>
      </c>
      <c r="CK709" s="871">
        <v>0</v>
      </c>
      <c r="CL709" s="871">
        <v>0</v>
      </c>
      <c r="CM709" s="871">
        <v>0</v>
      </c>
      <c r="CN709" s="871">
        <v>0</v>
      </c>
      <c r="CO709" s="871">
        <v>0</v>
      </c>
      <c r="CP709" s="871">
        <v>0</v>
      </c>
      <c r="CQ709" s="871">
        <v>0</v>
      </c>
      <c r="CR709" s="871">
        <v>0</v>
      </c>
      <c r="CS709" s="871">
        <v>0</v>
      </c>
      <c r="CT709" s="871">
        <v>0</v>
      </c>
      <c r="CU709" s="871">
        <v>0</v>
      </c>
      <c r="CV709" s="871">
        <v>0</v>
      </c>
      <c r="CW709" s="871">
        <v>0</v>
      </c>
      <c r="CX709" s="871">
        <v>0</v>
      </c>
      <c r="CY709" s="871">
        <v>0</v>
      </c>
      <c r="CZ709" s="871">
        <v>0</v>
      </c>
      <c r="DA709" s="871">
        <v>0</v>
      </c>
      <c r="DB709" s="871">
        <v>0</v>
      </c>
      <c r="DC709" s="871">
        <v>0</v>
      </c>
      <c r="DD709" s="871">
        <v>0</v>
      </c>
      <c r="DE709" s="871">
        <v>0</v>
      </c>
      <c r="DF709" s="871">
        <v>0</v>
      </c>
      <c r="DG709" s="871">
        <v>0</v>
      </c>
      <c r="DH709" s="871">
        <v>0</v>
      </c>
      <c r="DI709" s="871">
        <v>0</v>
      </c>
      <c r="DJ709" s="871">
        <v>0</v>
      </c>
      <c r="DK709" s="871">
        <v>0</v>
      </c>
      <c r="DL709" s="871">
        <v>0</v>
      </c>
      <c r="DM709" s="871">
        <v>0</v>
      </c>
      <c r="DN709" s="871">
        <v>0</v>
      </c>
      <c r="DO709" s="871">
        <v>0</v>
      </c>
      <c r="DP709" s="871">
        <v>0</v>
      </c>
      <c r="DQ709" s="871">
        <v>0</v>
      </c>
      <c r="DR709" s="871">
        <v>0</v>
      </c>
      <c r="DS709" s="871">
        <v>0</v>
      </c>
      <c r="DT709" s="871">
        <v>0</v>
      </c>
      <c r="DU709" s="871">
        <v>0</v>
      </c>
      <c r="DV709" s="871">
        <v>0</v>
      </c>
      <c r="DW709" s="871">
        <v>0</v>
      </c>
    </row>
    <row r="710" spans="12:127" hidden="1">
      <c r="L710" s="870" t="s">
        <v>1060</v>
      </c>
      <c r="M710" s="870" t="s">
        <v>1382</v>
      </c>
      <c r="N710" s="870" t="s">
        <v>96</v>
      </c>
      <c r="O710" s="871">
        <v>74</v>
      </c>
      <c r="P710" s="780" t="str">
        <f t="shared" si="22"/>
        <v>IWT060174</v>
      </c>
      <c r="Q710" s="871">
        <v>27264</v>
      </c>
      <c r="R710" s="871">
        <v>27810</v>
      </c>
      <c r="S710" s="871">
        <v>28366</v>
      </c>
      <c r="T710" s="871">
        <v>28933</v>
      </c>
      <c r="U710" s="871">
        <v>29511</v>
      </c>
      <c r="V710" s="871">
        <v>33008.400000000001</v>
      </c>
      <c r="W710" s="871">
        <v>33008.400000000001</v>
      </c>
      <c r="X710" s="871">
        <v>33008.400000000001</v>
      </c>
      <c r="Y710" s="871">
        <v>33008.400000000001</v>
      </c>
      <c r="Z710" s="871">
        <v>33008.400000000001</v>
      </c>
      <c r="AA710" s="871">
        <v>33008.400000000001</v>
      </c>
      <c r="AB710" s="871">
        <v>33008.400000000001</v>
      </c>
      <c r="AC710" s="871">
        <v>33547</v>
      </c>
      <c r="AD710" s="871">
        <v>34218</v>
      </c>
      <c r="AE710" s="871">
        <v>34902</v>
      </c>
      <c r="AF710" s="871">
        <v>35600</v>
      </c>
      <c r="AG710" s="871">
        <v>36311</v>
      </c>
      <c r="AH710" s="871">
        <v>37037</v>
      </c>
      <c r="AI710" s="871">
        <v>37778</v>
      </c>
      <c r="AJ710" s="871">
        <v>38533</v>
      </c>
      <c r="AK710" s="871">
        <v>39303</v>
      </c>
      <c r="AL710" s="871">
        <v>40089</v>
      </c>
      <c r="AM710" s="871">
        <v>40890</v>
      </c>
      <c r="AN710" s="871">
        <v>41707</v>
      </c>
      <c r="AO710" s="871">
        <v>42541</v>
      </c>
      <c r="AP710" s="871">
        <v>43391</v>
      </c>
      <c r="AQ710" s="871">
        <v>44258</v>
      </c>
      <c r="AR710" s="871">
        <v>45142</v>
      </c>
      <c r="AS710" s="871">
        <v>46043</v>
      </c>
      <c r="AT710" s="871">
        <v>46963</v>
      </c>
      <c r="AU710" s="871">
        <v>47901</v>
      </c>
      <c r="AV710" s="871">
        <v>48857</v>
      </c>
      <c r="AW710" s="871">
        <v>49832</v>
      </c>
      <c r="AX710" s="871">
        <v>50826</v>
      </c>
      <c r="AY710" s="871">
        <v>51840</v>
      </c>
      <c r="AZ710" s="871">
        <v>52874</v>
      </c>
      <c r="BA710" s="871">
        <v>53400</v>
      </c>
      <c r="BB710" s="871">
        <v>0</v>
      </c>
      <c r="BC710" s="871">
        <v>0</v>
      </c>
      <c r="BD710" s="871">
        <v>0</v>
      </c>
      <c r="BE710" s="871">
        <v>0</v>
      </c>
      <c r="BF710" s="871">
        <v>0</v>
      </c>
      <c r="BG710" s="871">
        <v>0</v>
      </c>
      <c r="BH710" s="871">
        <v>0</v>
      </c>
      <c r="BI710" s="871">
        <v>0</v>
      </c>
      <c r="BJ710" s="871">
        <v>0</v>
      </c>
      <c r="BK710" s="871">
        <v>0</v>
      </c>
      <c r="BL710" s="871">
        <v>0</v>
      </c>
      <c r="BM710" s="871">
        <v>0</v>
      </c>
      <c r="BN710" s="871">
        <v>0</v>
      </c>
      <c r="BO710" s="871">
        <v>0</v>
      </c>
      <c r="BP710" s="871">
        <v>0</v>
      </c>
      <c r="BQ710" s="871">
        <v>0</v>
      </c>
      <c r="BR710" s="871">
        <v>0</v>
      </c>
      <c r="BS710" s="871">
        <v>0</v>
      </c>
      <c r="BT710" s="871">
        <v>0</v>
      </c>
      <c r="BU710" s="871">
        <v>0</v>
      </c>
      <c r="BV710" s="871">
        <v>0</v>
      </c>
      <c r="BW710" s="871">
        <v>0</v>
      </c>
      <c r="BX710" s="871">
        <v>0</v>
      </c>
      <c r="BY710" s="871">
        <v>0</v>
      </c>
      <c r="BZ710" s="871">
        <v>0</v>
      </c>
      <c r="CA710" s="871">
        <v>0</v>
      </c>
      <c r="CB710" s="871">
        <v>0</v>
      </c>
      <c r="CC710" s="871">
        <v>0</v>
      </c>
      <c r="CD710" s="871">
        <v>0</v>
      </c>
      <c r="CE710" s="871">
        <v>0</v>
      </c>
      <c r="CF710" s="871">
        <v>0</v>
      </c>
      <c r="CG710" s="871">
        <v>0</v>
      </c>
      <c r="CH710" s="871">
        <v>0</v>
      </c>
      <c r="CI710" s="871">
        <v>0</v>
      </c>
      <c r="CJ710" s="871">
        <v>0</v>
      </c>
      <c r="CK710" s="871">
        <v>0</v>
      </c>
      <c r="CL710" s="871">
        <v>0</v>
      </c>
      <c r="CM710" s="871">
        <v>0</v>
      </c>
      <c r="CN710" s="871">
        <v>0</v>
      </c>
      <c r="CO710" s="871">
        <v>0</v>
      </c>
      <c r="CP710" s="871">
        <v>0</v>
      </c>
      <c r="CQ710" s="871">
        <v>0</v>
      </c>
      <c r="CR710" s="871">
        <v>0</v>
      </c>
      <c r="CS710" s="871">
        <v>0</v>
      </c>
      <c r="CT710" s="871">
        <v>0</v>
      </c>
      <c r="CU710" s="871">
        <v>0</v>
      </c>
      <c r="CV710" s="871">
        <v>0</v>
      </c>
      <c r="CW710" s="871">
        <v>0</v>
      </c>
      <c r="CX710" s="871">
        <v>0</v>
      </c>
      <c r="CY710" s="871">
        <v>0</v>
      </c>
      <c r="CZ710" s="871">
        <v>0</v>
      </c>
      <c r="DA710" s="871">
        <v>0</v>
      </c>
      <c r="DB710" s="871">
        <v>0</v>
      </c>
      <c r="DC710" s="871">
        <v>0</v>
      </c>
      <c r="DD710" s="871">
        <v>0</v>
      </c>
      <c r="DE710" s="871">
        <v>0</v>
      </c>
      <c r="DF710" s="871">
        <v>0</v>
      </c>
      <c r="DG710" s="871">
        <v>0</v>
      </c>
      <c r="DH710" s="871">
        <v>0</v>
      </c>
      <c r="DI710" s="871">
        <v>0</v>
      </c>
      <c r="DJ710" s="871">
        <v>0</v>
      </c>
      <c r="DK710" s="871">
        <v>0</v>
      </c>
      <c r="DL710" s="871">
        <v>0</v>
      </c>
      <c r="DM710" s="871">
        <v>0</v>
      </c>
      <c r="DN710" s="871">
        <v>0</v>
      </c>
      <c r="DO710" s="871">
        <v>0</v>
      </c>
      <c r="DP710" s="871">
        <v>0</v>
      </c>
      <c r="DQ710" s="871">
        <v>0</v>
      </c>
      <c r="DR710" s="871">
        <v>0</v>
      </c>
      <c r="DS710" s="871">
        <v>0</v>
      </c>
      <c r="DT710" s="871">
        <v>0</v>
      </c>
      <c r="DU710" s="871">
        <v>0</v>
      </c>
      <c r="DV710" s="871">
        <v>0</v>
      </c>
      <c r="DW710" s="871">
        <v>0</v>
      </c>
    </row>
    <row r="711" spans="12:127" hidden="1">
      <c r="L711" s="870" t="s">
        <v>1060</v>
      </c>
      <c r="M711" s="870" t="s">
        <v>1382</v>
      </c>
      <c r="N711" s="870" t="s">
        <v>96</v>
      </c>
      <c r="O711" s="871">
        <v>75</v>
      </c>
      <c r="P711" s="780" t="str">
        <f t="shared" si="22"/>
        <v>IWT060175</v>
      </c>
      <c r="Q711" s="871">
        <v>27252</v>
      </c>
      <c r="R711" s="871">
        <v>27797</v>
      </c>
      <c r="S711" s="871">
        <v>28353</v>
      </c>
      <c r="T711" s="871">
        <v>28920</v>
      </c>
      <c r="U711" s="871">
        <v>29499</v>
      </c>
      <c r="V711" s="871">
        <v>33072</v>
      </c>
      <c r="W711" s="871">
        <v>33072</v>
      </c>
      <c r="X711" s="871">
        <v>33072</v>
      </c>
      <c r="Y711" s="871">
        <v>33072</v>
      </c>
      <c r="Z711" s="871">
        <v>33072</v>
      </c>
      <c r="AA711" s="871">
        <v>33072</v>
      </c>
      <c r="AB711" s="871">
        <v>33072</v>
      </c>
      <c r="AC711" s="871">
        <v>33321</v>
      </c>
      <c r="AD711" s="871">
        <v>33987</v>
      </c>
      <c r="AE711" s="871">
        <v>34666</v>
      </c>
      <c r="AF711" s="871">
        <v>35359</v>
      </c>
      <c r="AG711" s="871">
        <v>36066</v>
      </c>
      <c r="AH711" s="871">
        <v>36787</v>
      </c>
      <c r="AI711" s="871">
        <v>37523</v>
      </c>
      <c r="AJ711" s="871">
        <v>38273</v>
      </c>
      <c r="AK711" s="871">
        <v>39038</v>
      </c>
      <c r="AL711" s="871">
        <v>39818</v>
      </c>
      <c r="AM711" s="871">
        <v>40614</v>
      </c>
      <c r="AN711" s="871">
        <v>41425</v>
      </c>
      <c r="AO711" s="871">
        <v>42253</v>
      </c>
      <c r="AP711" s="871">
        <v>43097</v>
      </c>
      <c r="AQ711" s="871">
        <v>43958</v>
      </c>
      <c r="AR711" s="871">
        <v>44836</v>
      </c>
      <c r="AS711" s="871">
        <v>45732</v>
      </c>
      <c r="AT711" s="871">
        <v>46645</v>
      </c>
      <c r="AU711" s="871">
        <v>47576</v>
      </c>
      <c r="AV711" s="871">
        <v>48526</v>
      </c>
      <c r="AW711" s="871">
        <v>49494</v>
      </c>
      <c r="AX711" s="871">
        <v>50481</v>
      </c>
      <c r="AY711" s="871">
        <v>51488</v>
      </c>
      <c r="AZ711" s="871">
        <v>52000</v>
      </c>
      <c r="BA711" s="871">
        <v>0</v>
      </c>
      <c r="BB711" s="871">
        <v>0</v>
      </c>
      <c r="BC711" s="871">
        <v>0</v>
      </c>
      <c r="BD711" s="871">
        <v>0</v>
      </c>
      <c r="BE711" s="871">
        <v>0</v>
      </c>
      <c r="BF711" s="871">
        <v>0</v>
      </c>
      <c r="BG711" s="871">
        <v>0</v>
      </c>
      <c r="BH711" s="871">
        <v>0</v>
      </c>
      <c r="BI711" s="871">
        <v>0</v>
      </c>
      <c r="BJ711" s="871">
        <v>0</v>
      </c>
      <c r="BK711" s="871">
        <v>0</v>
      </c>
      <c r="BL711" s="871">
        <v>0</v>
      </c>
      <c r="BM711" s="871">
        <v>0</v>
      </c>
      <c r="BN711" s="871">
        <v>0</v>
      </c>
      <c r="BO711" s="871">
        <v>0</v>
      </c>
      <c r="BP711" s="871">
        <v>0</v>
      </c>
      <c r="BQ711" s="871">
        <v>0</v>
      </c>
      <c r="BR711" s="871">
        <v>0</v>
      </c>
      <c r="BS711" s="871">
        <v>0</v>
      </c>
      <c r="BT711" s="871">
        <v>0</v>
      </c>
      <c r="BU711" s="871">
        <v>0</v>
      </c>
      <c r="BV711" s="871">
        <v>0</v>
      </c>
      <c r="BW711" s="871">
        <v>0</v>
      </c>
      <c r="BX711" s="871">
        <v>0</v>
      </c>
      <c r="BY711" s="871">
        <v>0</v>
      </c>
      <c r="BZ711" s="871">
        <v>0</v>
      </c>
      <c r="CA711" s="871">
        <v>0</v>
      </c>
      <c r="CB711" s="871">
        <v>0</v>
      </c>
      <c r="CC711" s="871">
        <v>0</v>
      </c>
      <c r="CD711" s="871">
        <v>0</v>
      </c>
      <c r="CE711" s="871">
        <v>0</v>
      </c>
      <c r="CF711" s="871">
        <v>0</v>
      </c>
      <c r="CG711" s="871">
        <v>0</v>
      </c>
      <c r="CH711" s="871">
        <v>0</v>
      </c>
      <c r="CI711" s="871">
        <v>0</v>
      </c>
      <c r="CJ711" s="871">
        <v>0</v>
      </c>
      <c r="CK711" s="871">
        <v>0</v>
      </c>
      <c r="CL711" s="871">
        <v>0</v>
      </c>
      <c r="CM711" s="871">
        <v>0</v>
      </c>
      <c r="CN711" s="871">
        <v>0</v>
      </c>
      <c r="CO711" s="871">
        <v>0</v>
      </c>
      <c r="CP711" s="871">
        <v>0</v>
      </c>
      <c r="CQ711" s="871">
        <v>0</v>
      </c>
      <c r="CR711" s="871">
        <v>0</v>
      </c>
      <c r="CS711" s="871">
        <v>0</v>
      </c>
      <c r="CT711" s="871">
        <v>0</v>
      </c>
      <c r="CU711" s="871">
        <v>0</v>
      </c>
      <c r="CV711" s="871">
        <v>0</v>
      </c>
      <c r="CW711" s="871">
        <v>0</v>
      </c>
      <c r="CX711" s="871">
        <v>0</v>
      </c>
      <c r="CY711" s="871">
        <v>0</v>
      </c>
      <c r="CZ711" s="871">
        <v>0</v>
      </c>
      <c r="DA711" s="871">
        <v>0</v>
      </c>
      <c r="DB711" s="871">
        <v>0</v>
      </c>
      <c r="DC711" s="871">
        <v>0</v>
      </c>
      <c r="DD711" s="871">
        <v>0</v>
      </c>
      <c r="DE711" s="871">
        <v>0</v>
      </c>
      <c r="DF711" s="871">
        <v>0</v>
      </c>
      <c r="DG711" s="871">
        <v>0</v>
      </c>
      <c r="DH711" s="871">
        <v>0</v>
      </c>
      <c r="DI711" s="871">
        <v>0</v>
      </c>
      <c r="DJ711" s="871">
        <v>0</v>
      </c>
      <c r="DK711" s="871">
        <v>0</v>
      </c>
      <c r="DL711" s="871">
        <v>0</v>
      </c>
      <c r="DM711" s="871">
        <v>0</v>
      </c>
      <c r="DN711" s="871">
        <v>0</v>
      </c>
      <c r="DO711" s="871">
        <v>0</v>
      </c>
      <c r="DP711" s="871">
        <v>0</v>
      </c>
      <c r="DQ711" s="871">
        <v>0</v>
      </c>
      <c r="DR711" s="871">
        <v>0</v>
      </c>
      <c r="DS711" s="871">
        <v>0</v>
      </c>
      <c r="DT711" s="871">
        <v>0</v>
      </c>
      <c r="DU711" s="871">
        <v>0</v>
      </c>
      <c r="DV711" s="871">
        <v>0</v>
      </c>
      <c r="DW711" s="871">
        <v>0</v>
      </c>
    </row>
    <row r="712" spans="12:127" hidden="1">
      <c r="L712" s="870" t="s">
        <v>1060</v>
      </c>
      <c r="M712" s="870" t="s">
        <v>1382</v>
      </c>
      <c r="N712" s="870" t="s">
        <v>97</v>
      </c>
      <c r="O712" s="871">
        <v>0</v>
      </c>
      <c r="P712" s="780" t="str">
        <f t="shared" si="22"/>
        <v>IWT060200</v>
      </c>
      <c r="Q712" s="871">
        <v>0</v>
      </c>
      <c r="R712" s="871">
        <v>0</v>
      </c>
      <c r="S712" s="871">
        <v>0</v>
      </c>
      <c r="T712" s="871">
        <v>0</v>
      </c>
      <c r="U712" s="871">
        <v>0</v>
      </c>
      <c r="V712" s="871">
        <v>0</v>
      </c>
      <c r="W712" s="871">
        <v>0</v>
      </c>
      <c r="X712" s="871">
        <v>0</v>
      </c>
      <c r="Y712" s="871">
        <v>0</v>
      </c>
      <c r="Z712" s="871">
        <v>0</v>
      </c>
      <c r="AA712" s="871">
        <v>0</v>
      </c>
      <c r="AB712" s="871">
        <v>0</v>
      </c>
      <c r="AC712" s="871">
        <v>0</v>
      </c>
      <c r="AD712" s="871">
        <v>0</v>
      </c>
      <c r="AE712" s="871">
        <v>0</v>
      </c>
      <c r="AF712" s="871">
        <v>0</v>
      </c>
      <c r="AG712" s="871">
        <v>31649</v>
      </c>
      <c r="AH712" s="871">
        <v>32282</v>
      </c>
      <c r="AI712" s="871">
        <v>32928</v>
      </c>
      <c r="AJ712" s="871">
        <v>33587</v>
      </c>
      <c r="AK712" s="871">
        <v>34258</v>
      </c>
      <c r="AL712" s="871">
        <v>34943</v>
      </c>
      <c r="AM712" s="871">
        <v>35642</v>
      </c>
      <c r="AN712" s="871">
        <v>36355</v>
      </c>
      <c r="AO712" s="871">
        <v>37082</v>
      </c>
      <c r="AP712" s="871">
        <v>38000</v>
      </c>
      <c r="AQ712" s="871">
        <v>39400</v>
      </c>
      <c r="AR712" s="871">
        <v>40800</v>
      </c>
      <c r="AS712" s="871">
        <v>42200</v>
      </c>
      <c r="AT712" s="871">
        <v>43600</v>
      </c>
      <c r="AU712" s="871">
        <v>45000</v>
      </c>
      <c r="AV712" s="871">
        <v>46400</v>
      </c>
      <c r="AW712" s="871">
        <v>47800</v>
      </c>
      <c r="AX712" s="871">
        <v>49200</v>
      </c>
      <c r="AY712" s="871">
        <v>50600</v>
      </c>
      <c r="AZ712" s="871">
        <v>52000</v>
      </c>
      <c r="BA712" s="871">
        <v>53400</v>
      </c>
      <c r="BB712" s="871">
        <v>54800</v>
      </c>
      <c r="BC712" s="871">
        <v>56200</v>
      </c>
      <c r="BD712" s="871">
        <v>57600</v>
      </c>
      <c r="BE712" s="871">
        <v>59000</v>
      </c>
      <c r="BF712" s="871">
        <v>60400</v>
      </c>
      <c r="BG712" s="871">
        <v>61800</v>
      </c>
      <c r="BH712" s="871">
        <v>63200</v>
      </c>
      <c r="BI712" s="871">
        <v>64600</v>
      </c>
      <c r="BJ712" s="871">
        <v>66000</v>
      </c>
      <c r="BK712" s="871">
        <v>67400</v>
      </c>
      <c r="BL712" s="871">
        <v>68800</v>
      </c>
      <c r="BM712" s="871">
        <v>70200</v>
      </c>
      <c r="BN712" s="871">
        <v>71600</v>
      </c>
      <c r="BO712" s="871">
        <v>73000</v>
      </c>
      <c r="BP712" s="871">
        <v>74400</v>
      </c>
      <c r="BQ712" s="871">
        <v>75800</v>
      </c>
      <c r="BR712" s="871">
        <v>77200</v>
      </c>
      <c r="BS712" s="871">
        <v>78600</v>
      </c>
      <c r="BT712" s="871">
        <v>80000</v>
      </c>
      <c r="BU712" s="871">
        <v>81400</v>
      </c>
      <c r="BV712" s="871">
        <v>82800</v>
      </c>
      <c r="BW712" s="871">
        <v>84200</v>
      </c>
      <c r="BX712" s="871">
        <v>85600</v>
      </c>
      <c r="BY712" s="871">
        <v>87000</v>
      </c>
      <c r="BZ712" s="871">
        <v>88400</v>
      </c>
      <c r="CA712" s="871">
        <v>89800</v>
      </c>
      <c r="CB712" s="871">
        <v>91200</v>
      </c>
      <c r="CC712" s="871">
        <v>92600</v>
      </c>
      <c r="CD712" s="871">
        <v>94000</v>
      </c>
      <c r="CE712" s="871">
        <v>95400</v>
      </c>
      <c r="CF712" s="871">
        <v>96800</v>
      </c>
      <c r="CG712" s="871">
        <v>98200</v>
      </c>
      <c r="CH712" s="871">
        <v>99600</v>
      </c>
      <c r="CI712" s="871">
        <v>101000</v>
      </c>
      <c r="CJ712" s="871">
        <v>102400</v>
      </c>
      <c r="CK712" s="871">
        <v>103800</v>
      </c>
      <c r="CL712" s="871">
        <v>105200</v>
      </c>
      <c r="CM712" s="871">
        <v>106600</v>
      </c>
      <c r="CN712" s="871">
        <v>108000</v>
      </c>
      <c r="CO712" s="871">
        <v>109400</v>
      </c>
      <c r="CP712" s="871">
        <v>110800</v>
      </c>
      <c r="CQ712" s="871">
        <v>112200</v>
      </c>
      <c r="CR712" s="871">
        <v>113600</v>
      </c>
      <c r="CS712" s="871">
        <v>115000</v>
      </c>
      <c r="CT712" s="871">
        <v>116400</v>
      </c>
      <c r="CU712" s="871">
        <v>117800</v>
      </c>
      <c r="CV712" s="871">
        <v>119200</v>
      </c>
      <c r="CW712" s="871">
        <v>120600</v>
      </c>
      <c r="CX712" s="871">
        <v>122000</v>
      </c>
      <c r="CY712" s="871">
        <v>123400</v>
      </c>
      <c r="CZ712" s="871">
        <v>124800</v>
      </c>
      <c r="DA712" s="871">
        <v>126200</v>
      </c>
      <c r="DB712" s="871">
        <v>127600</v>
      </c>
      <c r="DC712" s="871">
        <v>129000</v>
      </c>
      <c r="DD712" s="871">
        <v>130400</v>
      </c>
      <c r="DE712" s="871">
        <v>131800</v>
      </c>
      <c r="DF712" s="871">
        <v>133200</v>
      </c>
      <c r="DG712" s="871">
        <v>134600</v>
      </c>
      <c r="DH712" s="871">
        <v>136000</v>
      </c>
      <c r="DI712" s="871">
        <v>137400</v>
      </c>
      <c r="DJ712" s="871">
        <v>138800</v>
      </c>
      <c r="DK712" s="871">
        <v>140200</v>
      </c>
      <c r="DL712" s="871">
        <v>141600</v>
      </c>
      <c r="DM712" s="871">
        <v>143000</v>
      </c>
      <c r="DN712" s="871">
        <v>144400</v>
      </c>
      <c r="DO712" s="871">
        <v>145800</v>
      </c>
      <c r="DP712" s="871">
        <v>147200</v>
      </c>
      <c r="DQ712" s="871">
        <v>148600</v>
      </c>
      <c r="DR712" s="871">
        <v>150000</v>
      </c>
      <c r="DS712" s="871">
        <v>151400</v>
      </c>
      <c r="DT712" s="871">
        <v>152800</v>
      </c>
      <c r="DU712" s="871">
        <v>154200</v>
      </c>
      <c r="DV712" s="871">
        <v>155600</v>
      </c>
      <c r="DW712" s="871">
        <v>157000</v>
      </c>
    </row>
    <row r="713" spans="12:127" hidden="1">
      <c r="L713" s="870" t="s">
        <v>1060</v>
      </c>
      <c r="M713" s="870" t="s">
        <v>1382</v>
      </c>
      <c r="N713" s="870" t="s">
        <v>97</v>
      </c>
      <c r="O713" s="871">
        <v>1</v>
      </c>
      <c r="P713" s="780" t="str">
        <f t="shared" si="22"/>
        <v>IWT060201</v>
      </c>
      <c r="Q713" s="871">
        <v>0</v>
      </c>
      <c r="R713" s="871">
        <v>0</v>
      </c>
      <c r="S713" s="871">
        <v>0</v>
      </c>
      <c r="T713" s="871">
        <v>0</v>
      </c>
      <c r="U713" s="871">
        <v>0</v>
      </c>
      <c r="V713" s="871">
        <v>0</v>
      </c>
      <c r="W713" s="871">
        <v>0</v>
      </c>
      <c r="X713" s="871">
        <v>0</v>
      </c>
      <c r="Y713" s="871">
        <v>0</v>
      </c>
      <c r="Z713" s="871">
        <v>0</v>
      </c>
      <c r="AA713" s="871">
        <v>0</v>
      </c>
      <c r="AB713" s="871">
        <v>0</v>
      </c>
      <c r="AC713" s="871">
        <v>0</v>
      </c>
      <c r="AD713" s="871">
        <v>0</v>
      </c>
      <c r="AE713" s="871">
        <v>0</v>
      </c>
      <c r="AF713" s="871">
        <v>31262</v>
      </c>
      <c r="AG713" s="871">
        <v>31888</v>
      </c>
      <c r="AH713" s="871">
        <v>32525</v>
      </c>
      <c r="AI713" s="871">
        <v>33176</v>
      </c>
      <c r="AJ713" s="871">
        <v>33839</v>
      </c>
      <c r="AK713" s="871">
        <v>34516</v>
      </c>
      <c r="AL713" s="871">
        <v>35207</v>
      </c>
      <c r="AM713" s="871">
        <v>35911</v>
      </c>
      <c r="AN713" s="871">
        <v>36629</v>
      </c>
      <c r="AO713" s="871">
        <v>37361</v>
      </c>
      <c r="AP713" s="871">
        <v>38109</v>
      </c>
      <c r="AQ713" s="871">
        <v>39400</v>
      </c>
      <c r="AR713" s="871">
        <v>40800</v>
      </c>
      <c r="AS713" s="871">
        <v>42200</v>
      </c>
      <c r="AT713" s="871">
        <v>43600</v>
      </c>
      <c r="AU713" s="871">
        <v>45000</v>
      </c>
      <c r="AV713" s="871">
        <v>46400</v>
      </c>
      <c r="AW713" s="871">
        <v>47800</v>
      </c>
      <c r="AX713" s="871">
        <v>49200</v>
      </c>
      <c r="AY713" s="871">
        <v>50600</v>
      </c>
      <c r="AZ713" s="871">
        <v>52000</v>
      </c>
      <c r="BA713" s="871">
        <v>53400</v>
      </c>
      <c r="BB713" s="871">
        <v>54800</v>
      </c>
      <c r="BC713" s="871">
        <v>56200</v>
      </c>
      <c r="BD713" s="871">
        <v>57600</v>
      </c>
      <c r="BE713" s="871">
        <v>59000</v>
      </c>
      <c r="BF713" s="871">
        <v>60400</v>
      </c>
      <c r="BG713" s="871">
        <v>61800</v>
      </c>
      <c r="BH713" s="871">
        <v>63200</v>
      </c>
      <c r="BI713" s="871">
        <v>64600</v>
      </c>
      <c r="BJ713" s="871">
        <v>66000</v>
      </c>
      <c r="BK713" s="871">
        <v>67400</v>
      </c>
      <c r="BL713" s="871">
        <v>68800</v>
      </c>
      <c r="BM713" s="871">
        <v>70200</v>
      </c>
      <c r="BN713" s="871">
        <v>71600</v>
      </c>
      <c r="BO713" s="871">
        <v>73000</v>
      </c>
      <c r="BP713" s="871">
        <v>74400</v>
      </c>
      <c r="BQ713" s="871">
        <v>75800</v>
      </c>
      <c r="BR713" s="871">
        <v>77200</v>
      </c>
      <c r="BS713" s="871">
        <v>78600</v>
      </c>
      <c r="BT713" s="871">
        <v>80000</v>
      </c>
      <c r="BU713" s="871">
        <v>81400</v>
      </c>
      <c r="BV713" s="871">
        <v>82800</v>
      </c>
      <c r="BW713" s="871">
        <v>84200</v>
      </c>
      <c r="BX713" s="871">
        <v>85600</v>
      </c>
      <c r="BY713" s="871">
        <v>87000</v>
      </c>
      <c r="BZ713" s="871">
        <v>88400</v>
      </c>
      <c r="CA713" s="871">
        <v>89800</v>
      </c>
      <c r="CB713" s="871">
        <v>91200</v>
      </c>
      <c r="CC713" s="871">
        <v>92600</v>
      </c>
      <c r="CD713" s="871">
        <v>94000</v>
      </c>
      <c r="CE713" s="871">
        <v>95400</v>
      </c>
      <c r="CF713" s="871">
        <v>96800</v>
      </c>
      <c r="CG713" s="871">
        <v>98200</v>
      </c>
      <c r="CH713" s="871">
        <v>99600</v>
      </c>
      <c r="CI713" s="871">
        <v>101000</v>
      </c>
      <c r="CJ713" s="871">
        <v>102400</v>
      </c>
      <c r="CK713" s="871">
        <v>103800</v>
      </c>
      <c r="CL713" s="871">
        <v>105200</v>
      </c>
      <c r="CM713" s="871">
        <v>106600</v>
      </c>
      <c r="CN713" s="871">
        <v>108000</v>
      </c>
      <c r="CO713" s="871">
        <v>109400</v>
      </c>
      <c r="CP713" s="871">
        <v>110800</v>
      </c>
      <c r="CQ713" s="871">
        <v>112200</v>
      </c>
      <c r="CR713" s="871">
        <v>113600</v>
      </c>
      <c r="CS713" s="871">
        <v>115000</v>
      </c>
      <c r="CT713" s="871">
        <v>116400</v>
      </c>
      <c r="CU713" s="871">
        <v>117800</v>
      </c>
      <c r="CV713" s="871">
        <v>119200</v>
      </c>
      <c r="CW713" s="871">
        <v>120600</v>
      </c>
      <c r="CX713" s="871">
        <v>122000</v>
      </c>
      <c r="CY713" s="871">
        <v>123400</v>
      </c>
      <c r="CZ713" s="871">
        <v>124800</v>
      </c>
      <c r="DA713" s="871">
        <v>126200</v>
      </c>
      <c r="DB713" s="871">
        <v>127600</v>
      </c>
      <c r="DC713" s="871">
        <v>129000</v>
      </c>
      <c r="DD713" s="871">
        <v>130400</v>
      </c>
      <c r="DE713" s="871">
        <v>131800</v>
      </c>
      <c r="DF713" s="871">
        <v>133200</v>
      </c>
      <c r="DG713" s="871">
        <v>134600</v>
      </c>
      <c r="DH713" s="871">
        <v>136000</v>
      </c>
      <c r="DI713" s="871">
        <v>137400</v>
      </c>
      <c r="DJ713" s="871">
        <v>138800</v>
      </c>
      <c r="DK713" s="871">
        <v>140200</v>
      </c>
      <c r="DL713" s="871">
        <v>141600</v>
      </c>
      <c r="DM713" s="871">
        <v>143000</v>
      </c>
      <c r="DN713" s="871">
        <v>144400</v>
      </c>
      <c r="DO713" s="871">
        <v>145800</v>
      </c>
      <c r="DP713" s="871">
        <v>147200</v>
      </c>
      <c r="DQ713" s="871">
        <v>148600</v>
      </c>
      <c r="DR713" s="871">
        <v>150000</v>
      </c>
      <c r="DS713" s="871">
        <v>151400</v>
      </c>
      <c r="DT713" s="871">
        <v>152800</v>
      </c>
      <c r="DU713" s="871">
        <v>154200</v>
      </c>
      <c r="DV713" s="871">
        <v>155600</v>
      </c>
      <c r="DW713" s="871">
        <v>0</v>
      </c>
    </row>
    <row r="714" spans="12:127" hidden="1">
      <c r="L714" s="870" t="s">
        <v>1060</v>
      </c>
      <c r="M714" s="870" t="s">
        <v>1382</v>
      </c>
      <c r="N714" s="870" t="s">
        <v>97</v>
      </c>
      <c r="O714" s="871">
        <v>2</v>
      </c>
      <c r="P714" s="780" t="str">
        <f t="shared" si="22"/>
        <v>IWT060202</v>
      </c>
      <c r="Q714" s="871">
        <v>0</v>
      </c>
      <c r="R714" s="871">
        <v>0</v>
      </c>
      <c r="S714" s="871">
        <v>0</v>
      </c>
      <c r="T714" s="871">
        <v>0</v>
      </c>
      <c r="U714" s="871">
        <v>0</v>
      </c>
      <c r="V714" s="871">
        <v>0</v>
      </c>
      <c r="W714" s="871">
        <v>0</v>
      </c>
      <c r="X714" s="871">
        <v>0</v>
      </c>
      <c r="Y714" s="871">
        <v>0</v>
      </c>
      <c r="Z714" s="871">
        <v>0</v>
      </c>
      <c r="AA714" s="871">
        <v>0</v>
      </c>
      <c r="AB714" s="871">
        <v>0</v>
      </c>
      <c r="AC714" s="871">
        <v>0</v>
      </c>
      <c r="AD714" s="871">
        <v>0</v>
      </c>
      <c r="AE714" s="871">
        <v>30876</v>
      </c>
      <c r="AF714" s="871">
        <v>31493</v>
      </c>
      <c r="AG714" s="871">
        <v>32123</v>
      </c>
      <c r="AH714" s="871">
        <v>32766</v>
      </c>
      <c r="AI714" s="871">
        <v>33421</v>
      </c>
      <c r="AJ714" s="871">
        <v>34089</v>
      </c>
      <c r="AK714" s="871">
        <v>34771</v>
      </c>
      <c r="AL714" s="871">
        <v>35467</v>
      </c>
      <c r="AM714" s="871">
        <v>36176</v>
      </c>
      <c r="AN714" s="871">
        <v>36899</v>
      </c>
      <c r="AO714" s="871">
        <v>37637</v>
      </c>
      <c r="AP714" s="871">
        <v>38390</v>
      </c>
      <c r="AQ714" s="871">
        <v>39400</v>
      </c>
      <c r="AR714" s="871">
        <v>40800</v>
      </c>
      <c r="AS714" s="871">
        <v>42200</v>
      </c>
      <c r="AT714" s="871">
        <v>43600</v>
      </c>
      <c r="AU714" s="871">
        <v>45000</v>
      </c>
      <c r="AV714" s="871">
        <v>46400</v>
      </c>
      <c r="AW714" s="871">
        <v>47800</v>
      </c>
      <c r="AX714" s="871">
        <v>49200</v>
      </c>
      <c r="AY714" s="871">
        <v>50600</v>
      </c>
      <c r="AZ714" s="871">
        <v>52000</v>
      </c>
      <c r="BA714" s="871">
        <v>53400</v>
      </c>
      <c r="BB714" s="871">
        <v>54800</v>
      </c>
      <c r="BC714" s="871">
        <v>56200</v>
      </c>
      <c r="BD714" s="871">
        <v>57600</v>
      </c>
      <c r="BE714" s="871">
        <v>59000</v>
      </c>
      <c r="BF714" s="871">
        <v>60400</v>
      </c>
      <c r="BG714" s="871">
        <v>61800</v>
      </c>
      <c r="BH714" s="871">
        <v>63200</v>
      </c>
      <c r="BI714" s="871">
        <v>64600</v>
      </c>
      <c r="BJ714" s="871">
        <v>66000</v>
      </c>
      <c r="BK714" s="871">
        <v>67400</v>
      </c>
      <c r="BL714" s="871">
        <v>68800</v>
      </c>
      <c r="BM714" s="871">
        <v>70200</v>
      </c>
      <c r="BN714" s="871">
        <v>71600</v>
      </c>
      <c r="BO714" s="871">
        <v>73000</v>
      </c>
      <c r="BP714" s="871">
        <v>74400</v>
      </c>
      <c r="BQ714" s="871">
        <v>75800</v>
      </c>
      <c r="BR714" s="871">
        <v>77200</v>
      </c>
      <c r="BS714" s="871">
        <v>78600</v>
      </c>
      <c r="BT714" s="871">
        <v>80000</v>
      </c>
      <c r="BU714" s="871">
        <v>81400</v>
      </c>
      <c r="BV714" s="871">
        <v>82800</v>
      </c>
      <c r="BW714" s="871">
        <v>84200</v>
      </c>
      <c r="BX714" s="871">
        <v>85600</v>
      </c>
      <c r="BY714" s="871">
        <v>87000</v>
      </c>
      <c r="BZ714" s="871">
        <v>88400</v>
      </c>
      <c r="CA714" s="871">
        <v>89800</v>
      </c>
      <c r="CB714" s="871">
        <v>91200</v>
      </c>
      <c r="CC714" s="871">
        <v>92600</v>
      </c>
      <c r="CD714" s="871">
        <v>94000</v>
      </c>
      <c r="CE714" s="871">
        <v>95400</v>
      </c>
      <c r="CF714" s="871">
        <v>96800</v>
      </c>
      <c r="CG714" s="871">
        <v>98200</v>
      </c>
      <c r="CH714" s="871">
        <v>99600</v>
      </c>
      <c r="CI714" s="871">
        <v>101000</v>
      </c>
      <c r="CJ714" s="871">
        <v>102400</v>
      </c>
      <c r="CK714" s="871">
        <v>103800</v>
      </c>
      <c r="CL714" s="871">
        <v>105200</v>
      </c>
      <c r="CM714" s="871">
        <v>106600</v>
      </c>
      <c r="CN714" s="871">
        <v>108000</v>
      </c>
      <c r="CO714" s="871">
        <v>109400</v>
      </c>
      <c r="CP714" s="871">
        <v>110800</v>
      </c>
      <c r="CQ714" s="871">
        <v>112200</v>
      </c>
      <c r="CR714" s="871">
        <v>113600</v>
      </c>
      <c r="CS714" s="871">
        <v>115000</v>
      </c>
      <c r="CT714" s="871">
        <v>116400</v>
      </c>
      <c r="CU714" s="871">
        <v>117800</v>
      </c>
      <c r="CV714" s="871">
        <v>119200</v>
      </c>
      <c r="CW714" s="871">
        <v>120600</v>
      </c>
      <c r="CX714" s="871">
        <v>122000</v>
      </c>
      <c r="CY714" s="871">
        <v>123400</v>
      </c>
      <c r="CZ714" s="871">
        <v>124800</v>
      </c>
      <c r="DA714" s="871">
        <v>126200</v>
      </c>
      <c r="DB714" s="871">
        <v>127600</v>
      </c>
      <c r="DC714" s="871">
        <v>129000</v>
      </c>
      <c r="DD714" s="871">
        <v>130400</v>
      </c>
      <c r="DE714" s="871">
        <v>131800</v>
      </c>
      <c r="DF714" s="871">
        <v>133200</v>
      </c>
      <c r="DG714" s="871">
        <v>134600</v>
      </c>
      <c r="DH714" s="871">
        <v>136000</v>
      </c>
      <c r="DI714" s="871">
        <v>137400</v>
      </c>
      <c r="DJ714" s="871">
        <v>138800</v>
      </c>
      <c r="DK714" s="871">
        <v>140200</v>
      </c>
      <c r="DL714" s="871">
        <v>141600</v>
      </c>
      <c r="DM714" s="871">
        <v>143000</v>
      </c>
      <c r="DN714" s="871">
        <v>144400</v>
      </c>
      <c r="DO714" s="871">
        <v>145800</v>
      </c>
      <c r="DP714" s="871">
        <v>147200</v>
      </c>
      <c r="DQ714" s="871">
        <v>148600</v>
      </c>
      <c r="DR714" s="871">
        <v>150000</v>
      </c>
      <c r="DS714" s="871">
        <v>151400</v>
      </c>
      <c r="DT714" s="871">
        <v>152800</v>
      </c>
      <c r="DU714" s="871">
        <v>154200</v>
      </c>
      <c r="DV714" s="871">
        <v>0</v>
      </c>
      <c r="DW714" s="871">
        <v>0</v>
      </c>
    </row>
    <row r="715" spans="12:127" hidden="1">
      <c r="L715" s="870" t="s">
        <v>1060</v>
      </c>
      <c r="M715" s="870" t="s">
        <v>1382</v>
      </c>
      <c r="N715" s="870" t="s">
        <v>97</v>
      </c>
      <c r="O715" s="871">
        <v>3</v>
      </c>
      <c r="P715" s="780" t="str">
        <f t="shared" si="22"/>
        <v>IWT060203</v>
      </c>
      <c r="Q715" s="871">
        <v>0</v>
      </c>
      <c r="R715" s="871">
        <v>0</v>
      </c>
      <c r="S715" s="871">
        <v>0</v>
      </c>
      <c r="T715" s="871">
        <v>0</v>
      </c>
      <c r="U715" s="871">
        <v>0</v>
      </c>
      <c r="V715" s="871">
        <v>0</v>
      </c>
      <c r="W715" s="871">
        <v>0</v>
      </c>
      <c r="X715" s="871">
        <v>0</v>
      </c>
      <c r="Y715" s="871">
        <v>0</v>
      </c>
      <c r="Z715" s="871">
        <v>0</v>
      </c>
      <c r="AA715" s="871">
        <v>0</v>
      </c>
      <c r="AB715" s="871">
        <v>0</v>
      </c>
      <c r="AC715" s="871">
        <v>0</v>
      </c>
      <c r="AD715" s="871">
        <v>30490</v>
      </c>
      <c r="AE715" s="871">
        <v>31099</v>
      </c>
      <c r="AF715" s="871">
        <v>31721</v>
      </c>
      <c r="AG715" s="871">
        <v>32356</v>
      </c>
      <c r="AH715" s="871">
        <v>33003</v>
      </c>
      <c r="AI715" s="871">
        <v>33663</v>
      </c>
      <c r="AJ715" s="871">
        <v>34336</v>
      </c>
      <c r="AK715" s="871">
        <v>35023</v>
      </c>
      <c r="AL715" s="871">
        <v>35723</v>
      </c>
      <c r="AM715" s="871">
        <v>36438</v>
      </c>
      <c r="AN715" s="871">
        <v>37167</v>
      </c>
      <c r="AO715" s="871">
        <v>37910</v>
      </c>
      <c r="AP715" s="871">
        <v>38668</v>
      </c>
      <c r="AQ715" s="871">
        <v>39441</v>
      </c>
      <c r="AR715" s="871">
        <v>40800</v>
      </c>
      <c r="AS715" s="871">
        <v>42200</v>
      </c>
      <c r="AT715" s="871">
        <v>43600</v>
      </c>
      <c r="AU715" s="871">
        <v>45000</v>
      </c>
      <c r="AV715" s="871">
        <v>46400</v>
      </c>
      <c r="AW715" s="871">
        <v>47800</v>
      </c>
      <c r="AX715" s="871">
        <v>49200</v>
      </c>
      <c r="AY715" s="871">
        <v>50600</v>
      </c>
      <c r="AZ715" s="871">
        <v>52000</v>
      </c>
      <c r="BA715" s="871">
        <v>53400</v>
      </c>
      <c r="BB715" s="871">
        <v>54800</v>
      </c>
      <c r="BC715" s="871">
        <v>56200</v>
      </c>
      <c r="BD715" s="871">
        <v>57600</v>
      </c>
      <c r="BE715" s="871">
        <v>59000</v>
      </c>
      <c r="BF715" s="871">
        <v>60400</v>
      </c>
      <c r="BG715" s="871">
        <v>61800</v>
      </c>
      <c r="BH715" s="871">
        <v>63200</v>
      </c>
      <c r="BI715" s="871">
        <v>64600</v>
      </c>
      <c r="BJ715" s="871">
        <v>66000</v>
      </c>
      <c r="BK715" s="871">
        <v>67400</v>
      </c>
      <c r="BL715" s="871">
        <v>68800</v>
      </c>
      <c r="BM715" s="871">
        <v>70200</v>
      </c>
      <c r="BN715" s="871">
        <v>71600</v>
      </c>
      <c r="BO715" s="871">
        <v>73000</v>
      </c>
      <c r="BP715" s="871">
        <v>74400</v>
      </c>
      <c r="BQ715" s="871">
        <v>75800</v>
      </c>
      <c r="BR715" s="871">
        <v>77200</v>
      </c>
      <c r="BS715" s="871">
        <v>78600</v>
      </c>
      <c r="BT715" s="871">
        <v>80000</v>
      </c>
      <c r="BU715" s="871">
        <v>81400</v>
      </c>
      <c r="BV715" s="871">
        <v>82800</v>
      </c>
      <c r="BW715" s="871">
        <v>84200</v>
      </c>
      <c r="BX715" s="871">
        <v>85600</v>
      </c>
      <c r="BY715" s="871">
        <v>87000</v>
      </c>
      <c r="BZ715" s="871">
        <v>88400</v>
      </c>
      <c r="CA715" s="871">
        <v>89800</v>
      </c>
      <c r="CB715" s="871">
        <v>91200</v>
      </c>
      <c r="CC715" s="871">
        <v>92600</v>
      </c>
      <c r="CD715" s="871">
        <v>94000</v>
      </c>
      <c r="CE715" s="871">
        <v>95400</v>
      </c>
      <c r="CF715" s="871">
        <v>96800</v>
      </c>
      <c r="CG715" s="871">
        <v>98200</v>
      </c>
      <c r="CH715" s="871">
        <v>99600</v>
      </c>
      <c r="CI715" s="871">
        <v>101000</v>
      </c>
      <c r="CJ715" s="871">
        <v>102400</v>
      </c>
      <c r="CK715" s="871">
        <v>103800</v>
      </c>
      <c r="CL715" s="871">
        <v>105200</v>
      </c>
      <c r="CM715" s="871">
        <v>106600</v>
      </c>
      <c r="CN715" s="871">
        <v>108000</v>
      </c>
      <c r="CO715" s="871">
        <v>109400</v>
      </c>
      <c r="CP715" s="871">
        <v>110800</v>
      </c>
      <c r="CQ715" s="871">
        <v>112200</v>
      </c>
      <c r="CR715" s="871">
        <v>113600</v>
      </c>
      <c r="CS715" s="871">
        <v>115000</v>
      </c>
      <c r="CT715" s="871">
        <v>116400</v>
      </c>
      <c r="CU715" s="871">
        <v>117800</v>
      </c>
      <c r="CV715" s="871">
        <v>119200</v>
      </c>
      <c r="CW715" s="871">
        <v>120600</v>
      </c>
      <c r="CX715" s="871">
        <v>122000</v>
      </c>
      <c r="CY715" s="871">
        <v>123400</v>
      </c>
      <c r="CZ715" s="871">
        <v>124800</v>
      </c>
      <c r="DA715" s="871">
        <v>126200</v>
      </c>
      <c r="DB715" s="871">
        <v>127600</v>
      </c>
      <c r="DC715" s="871">
        <v>129000</v>
      </c>
      <c r="DD715" s="871">
        <v>130400</v>
      </c>
      <c r="DE715" s="871">
        <v>131800</v>
      </c>
      <c r="DF715" s="871">
        <v>133200</v>
      </c>
      <c r="DG715" s="871">
        <v>134600</v>
      </c>
      <c r="DH715" s="871">
        <v>136000</v>
      </c>
      <c r="DI715" s="871">
        <v>137400</v>
      </c>
      <c r="DJ715" s="871">
        <v>138800</v>
      </c>
      <c r="DK715" s="871">
        <v>140200</v>
      </c>
      <c r="DL715" s="871">
        <v>141600</v>
      </c>
      <c r="DM715" s="871">
        <v>143000</v>
      </c>
      <c r="DN715" s="871">
        <v>144400</v>
      </c>
      <c r="DO715" s="871">
        <v>145800</v>
      </c>
      <c r="DP715" s="871">
        <v>147200</v>
      </c>
      <c r="DQ715" s="871">
        <v>148600</v>
      </c>
      <c r="DR715" s="871">
        <v>150000</v>
      </c>
      <c r="DS715" s="871">
        <v>151400</v>
      </c>
      <c r="DT715" s="871">
        <v>152800</v>
      </c>
      <c r="DU715" s="871">
        <v>0</v>
      </c>
      <c r="DV715" s="871">
        <v>0</v>
      </c>
      <c r="DW715" s="871">
        <v>0</v>
      </c>
    </row>
    <row r="716" spans="12:127" hidden="1">
      <c r="L716" s="870" t="s">
        <v>1060</v>
      </c>
      <c r="M716" s="870" t="s">
        <v>1382</v>
      </c>
      <c r="N716" s="870" t="s">
        <v>97</v>
      </c>
      <c r="O716" s="871">
        <v>4</v>
      </c>
      <c r="P716" s="780" t="str">
        <f t="shared" si="22"/>
        <v>IWT060204</v>
      </c>
      <c r="Q716" s="871">
        <v>0</v>
      </c>
      <c r="R716" s="871">
        <v>0</v>
      </c>
      <c r="S716" s="871">
        <v>0</v>
      </c>
      <c r="T716" s="871">
        <v>0</v>
      </c>
      <c r="U716" s="871">
        <v>0</v>
      </c>
      <c r="V716" s="871">
        <v>0</v>
      </c>
      <c r="W716" s="871">
        <v>0</v>
      </c>
      <c r="X716" s="871">
        <v>0</v>
      </c>
      <c r="Y716" s="871">
        <v>0</v>
      </c>
      <c r="Z716" s="871">
        <v>0</v>
      </c>
      <c r="AA716" s="871">
        <v>0</v>
      </c>
      <c r="AB716" s="871">
        <v>0</v>
      </c>
      <c r="AC716" s="871">
        <v>30104</v>
      </c>
      <c r="AD716" s="871">
        <v>30706</v>
      </c>
      <c r="AE716" s="871">
        <v>31320</v>
      </c>
      <c r="AF716" s="871">
        <v>31946</v>
      </c>
      <c r="AG716" s="871">
        <v>32585</v>
      </c>
      <c r="AH716" s="871">
        <v>33237</v>
      </c>
      <c r="AI716" s="871">
        <v>33902</v>
      </c>
      <c r="AJ716" s="871">
        <v>34580</v>
      </c>
      <c r="AK716" s="871">
        <v>35271</v>
      </c>
      <c r="AL716" s="871">
        <v>35977</v>
      </c>
      <c r="AM716" s="871">
        <v>36696</v>
      </c>
      <c r="AN716" s="871">
        <v>37430</v>
      </c>
      <c r="AO716" s="871">
        <v>38179</v>
      </c>
      <c r="AP716" s="871">
        <v>38942</v>
      </c>
      <c r="AQ716" s="871">
        <v>39721</v>
      </c>
      <c r="AR716" s="871">
        <v>40800</v>
      </c>
      <c r="AS716" s="871">
        <v>42200</v>
      </c>
      <c r="AT716" s="871">
        <v>43600</v>
      </c>
      <c r="AU716" s="871">
        <v>45000</v>
      </c>
      <c r="AV716" s="871">
        <v>46400</v>
      </c>
      <c r="AW716" s="871">
        <v>47800</v>
      </c>
      <c r="AX716" s="871">
        <v>49200</v>
      </c>
      <c r="AY716" s="871">
        <v>50600</v>
      </c>
      <c r="AZ716" s="871">
        <v>52000</v>
      </c>
      <c r="BA716" s="871">
        <v>53400</v>
      </c>
      <c r="BB716" s="871">
        <v>54800</v>
      </c>
      <c r="BC716" s="871">
        <v>56200</v>
      </c>
      <c r="BD716" s="871">
        <v>57600</v>
      </c>
      <c r="BE716" s="871">
        <v>59000</v>
      </c>
      <c r="BF716" s="871">
        <v>60400</v>
      </c>
      <c r="BG716" s="871">
        <v>61800</v>
      </c>
      <c r="BH716" s="871">
        <v>63200</v>
      </c>
      <c r="BI716" s="871">
        <v>64600</v>
      </c>
      <c r="BJ716" s="871">
        <v>66000</v>
      </c>
      <c r="BK716" s="871">
        <v>67400</v>
      </c>
      <c r="BL716" s="871">
        <v>68800</v>
      </c>
      <c r="BM716" s="871">
        <v>70200</v>
      </c>
      <c r="BN716" s="871">
        <v>71600</v>
      </c>
      <c r="BO716" s="871">
        <v>73000</v>
      </c>
      <c r="BP716" s="871">
        <v>74400</v>
      </c>
      <c r="BQ716" s="871">
        <v>75800</v>
      </c>
      <c r="BR716" s="871">
        <v>77200</v>
      </c>
      <c r="BS716" s="871">
        <v>78600</v>
      </c>
      <c r="BT716" s="871">
        <v>80000</v>
      </c>
      <c r="BU716" s="871">
        <v>81400</v>
      </c>
      <c r="BV716" s="871">
        <v>82800</v>
      </c>
      <c r="BW716" s="871">
        <v>84200</v>
      </c>
      <c r="BX716" s="871">
        <v>85600</v>
      </c>
      <c r="BY716" s="871">
        <v>87000</v>
      </c>
      <c r="BZ716" s="871">
        <v>88400</v>
      </c>
      <c r="CA716" s="871">
        <v>89800</v>
      </c>
      <c r="CB716" s="871">
        <v>91200</v>
      </c>
      <c r="CC716" s="871">
        <v>92600</v>
      </c>
      <c r="CD716" s="871">
        <v>94000</v>
      </c>
      <c r="CE716" s="871">
        <v>95400</v>
      </c>
      <c r="CF716" s="871">
        <v>96800</v>
      </c>
      <c r="CG716" s="871">
        <v>98200</v>
      </c>
      <c r="CH716" s="871">
        <v>99600</v>
      </c>
      <c r="CI716" s="871">
        <v>101000</v>
      </c>
      <c r="CJ716" s="871">
        <v>102400</v>
      </c>
      <c r="CK716" s="871">
        <v>103800</v>
      </c>
      <c r="CL716" s="871">
        <v>105200</v>
      </c>
      <c r="CM716" s="871">
        <v>106600</v>
      </c>
      <c r="CN716" s="871">
        <v>108000</v>
      </c>
      <c r="CO716" s="871">
        <v>109400</v>
      </c>
      <c r="CP716" s="871">
        <v>110800</v>
      </c>
      <c r="CQ716" s="871">
        <v>112200</v>
      </c>
      <c r="CR716" s="871">
        <v>113600</v>
      </c>
      <c r="CS716" s="871">
        <v>115000</v>
      </c>
      <c r="CT716" s="871">
        <v>116400</v>
      </c>
      <c r="CU716" s="871">
        <v>117800</v>
      </c>
      <c r="CV716" s="871">
        <v>119200</v>
      </c>
      <c r="CW716" s="871">
        <v>120600</v>
      </c>
      <c r="CX716" s="871">
        <v>122000</v>
      </c>
      <c r="CY716" s="871">
        <v>123400</v>
      </c>
      <c r="CZ716" s="871">
        <v>124800</v>
      </c>
      <c r="DA716" s="871">
        <v>126200</v>
      </c>
      <c r="DB716" s="871">
        <v>127600</v>
      </c>
      <c r="DC716" s="871">
        <v>129000</v>
      </c>
      <c r="DD716" s="871">
        <v>130400</v>
      </c>
      <c r="DE716" s="871">
        <v>131800</v>
      </c>
      <c r="DF716" s="871">
        <v>133200</v>
      </c>
      <c r="DG716" s="871">
        <v>134600</v>
      </c>
      <c r="DH716" s="871">
        <v>136000</v>
      </c>
      <c r="DI716" s="871">
        <v>137400</v>
      </c>
      <c r="DJ716" s="871">
        <v>138800</v>
      </c>
      <c r="DK716" s="871">
        <v>140200</v>
      </c>
      <c r="DL716" s="871">
        <v>141600</v>
      </c>
      <c r="DM716" s="871">
        <v>143000</v>
      </c>
      <c r="DN716" s="871">
        <v>144400</v>
      </c>
      <c r="DO716" s="871">
        <v>145800</v>
      </c>
      <c r="DP716" s="871">
        <v>147200</v>
      </c>
      <c r="DQ716" s="871">
        <v>148600</v>
      </c>
      <c r="DR716" s="871">
        <v>150000</v>
      </c>
      <c r="DS716" s="871">
        <v>151400</v>
      </c>
      <c r="DT716" s="871">
        <v>0</v>
      </c>
      <c r="DU716" s="871">
        <v>0</v>
      </c>
      <c r="DV716" s="871">
        <v>0</v>
      </c>
      <c r="DW716" s="871">
        <v>0</v>
      </c>
    </row>
    <row r="717" spans="12:127" hidden="1">
      <c r="L717" s="870" t="s">
        <v>1060</v>
      </c>
      <c r="M717" s="870" t="s">
        <v>1382</v>
      </c>
      <c r="N717" s="870" t="s">
        <v>97</v>
      </c>
      <c r="O717" s="871">
        <v>5</v>
      </c>
      <c r="P717" s="780" t="str">
        <f t="shared" si="22"/>
        <v>IWT060205</v>
      </c>
      <c r="Q717" s="871">
        <v>0</v>
      </c>
      <c r="R717" s="871">
        <v>0</v>
      </c>
      <c r="S717" s="871">
        <v>0</v>
      </c>
      <c r="T717" s="871">
        <v>0</v>
      </c>
      <c r="U717" s="871">
        <v>0</v>
      </c>
      <c r="V717" s="871">
        <v>0</v>
      </c>
      <c r="W717" s="871">
        <v>0</v>
      </c>
      <c r="X717" s="871">
        <v>0</v>
      </c>
      <c r="Y717" s="871">
        <v>0</v>
      </c>
      <c r="Z717" s="871">
        <v>0</v>
      </c>
      <c r="AA717" s="871">
        <v>0</v>
      </c>
      <c r="AB717" s="871">
        <v>29718</v>
      </c>
      <c r="AC717" s="871">
        <v>30313</v>
      </c>
      <c r="AD717" s="871">
        <v>30919</v>
      </c>
      <c r="AE717" s="871">
        <v>31537</v>
      </c>
      <c r="AF717" s="871">
        <v>32168</v>
      </c>
      <c r="AG717" s="871">
        <v>32812</v>
      </c>
      <c r="AH717" s="871">
        <v>33468</v>
      </c>
      <c r="AI717" s="871">
        <v>34137</v>
      </c>
      <c r="AJ717" s="871">
        <v>34820</v>
      </c>
      <c r="AK717" s="871">
        <v>35516</v>
      </c>
      <c r="AL717" s="871">
        <v>36227</v>
      </c>
      <c r="AM717" s="871">
        <v>36951</v>
      </c>
      <c r="AN717" s="871">
        <v>37690</v>
      </c>
      <c r="AO717" s="871">
        <v>38444</v>
      </c>
      <c r="AP717" s="871">
        <v>39213</v>
      </c>
      <c r="AQ717" s="871">
        <v>39997</v>
      </c>
      <c r="AR717" s="871">
        <v>40800</v>
      </c>
      <c r="AS717" s="871">
        <v>42200</v>
      </c>
      <c r="AT717" s="871">
        <v>43600</v>
      </c>
      <c r="AU717" s="871">
        <v>45000</v>
      </c>
      <c r="AV717" s="871">
        <v>46400</v>
      </c>
      <c r="AW717" s="871">
        <v>47800</v>
      </c>
      <c r="AX717" s="871">
        <v>49200</v>
      </c>
      <c r="AY717" s="871">
        <v>50600</v>
      </c>
      <c r="AZ717" s="871">
        <v>52000</v>
      </c>
      <c r="BA717" s="871">
        <v>53400</v>
      </c>
      <c r="BB717" s="871">
        <v>54800</v>
      </c>
      <c r="BC717" s="871">
        <v>56200</v>
      </c>
      <c r="BD717" s="871">
        <v>57600</v>
      </c>
      <c r="BE717" s="871">
        <v>59000</v>
      </c>
      <c r="BF717" s="871">
        <v>60400</v>
      </c>
      <c r="BG717" s="871">
        <v>61800</v>
      </c>
      <c r="BH717" s="871">
        <v>63200</v>
      </c>
      <c r="BI717" s="871">
        <v>64600</v>
      </c>
      <c r="BJ717" s="871">
        <v>66000</v>
      </c>
      <c r="BK717" s="871">
        <v>67400</v>
      </c>
      <c r="BL717" s="871">
        <v>68800</v>
      </c>
      <c r="BM717" s="871">
        <v>70200</v>
      </c>
      <c r="BN717" s="871">
        <v>71600</v>
      </c>
      <c r="BO717" s="871">
        <v>73000</v>
      </c>
      <c r="BP717" s="871">
        <v>74400</v>
      </c>
      <c r="BQ717" s="871">
        <v>75800</v>
      </c>
      <c r="BR717" s="871">
        <v>77200</v>
      </c>
      <c r="BS717" s="871">
        <v>78600</v>
      </c>
      <c r="BT717" s="871">
        <v>80000</v>
      </c>
      <c r="BU717" s="871">
        <v>81400</v>
      </c>
      <c r="BV717" s="871">
        <v>82800</v>
      </c>
      <c r="BW717" s="871">
        <v>84200</v>
      </c>
      <c r="BX717" s="871">
        <v>85600</v>
      </c>
      <c r="BY717" s="871">
        <v>87000</v>
      </c>
      <c r="BZ717" s="871">
        <v>88400</v>
      </c>
      <c r="CA717" s="871">
        <v>89800</v>
      </c>
      <c r="CB717" s="871">
        <v>91200</v>
      </c>
      <c r="CC717" s="871">
        <v>92600</v>
      </c>
      <c r="CD717" s="871">
        <v>94000</v>
      </c>
      <c r="CE717" s="871">
        <v>95400</v>
      </c>
      <c r="CF717" s="871">
        <v>96800</v>
      </c>
      <c r="CG717" s="871">
        <v>98200</v>
      </c>
      <c r="CH717" s="871">
        <v>99600</v>
      </c>
      <c r="CI717" s="871">
        <v>101000</v>
      </c>
      <c r="CJ717" s="871">
        <v>102400</v>
      </c>
      <c r="CK717" s="871">
        <v>103800</v>
      </c>
      <c r="CL717" s="871">
        <v>105200</v>
      </c>
      <c r="CM717" s="871">
        <v>106600</v>
      </c>
      <c r="CN717" s="871">
        <v>108000</v>
      </c>
      <c r="CO717" s="871">
        <v>109400</v>
      </c>
      <c r="CP717" s="871">
        <v>110800</v>
      </c>
      <c r="CQ717" s="871">
        <v>112200</v>
      </c>
      <c r="CR717" s="871">
        <v>113600</v>
      </c>
      <c r="CS717" s="871">
        <v>115000</v>
      </c>
      <c r="CT717" s="871">
        <v>116400</v>
      </c>
      <c r="CU717" s="871">
        <v>117800</v>
      </c>
      <c r="CV717" s="871">
        <v>119200</v>
      </c>
      <c r="CW717" s="871">
        <v>120600</v>
      </c>
      <c r="CX717" s="871">
        <v>122000</v>
      </c>
      <c r="CY717" s="871">
        <v>123400</v>
      </c>
      <c r="CZ717" s="871">
        <v>124800</v>
      </c>
      <c r="DA717" s="871">
        <v>126200</v>
      </c>
      <c r="DB717" s="871">
        <v>127600</v>
      </c>
      <c r="DC717" s="871">
        <v>129000</v>
      </c>
      <c r="DD717" s="871">
        <v>130400</v>
      </c>
      <c r="DE717" s="871">
        <v>131800</v>
      </c>
      <c r="DF717" s="871">
        <v>133200</v>
      </c>
      <c r="DG717" s="871">
        <v>134600</v>
      </c>
      <c r="DH717" s="871">
        <v>136000</v>
      </c>
      <c r="DI717" s="871">
        <v>137400</v>
      </c>
      <c r="DJ717" s="871">
        <v>138800</v>
      </c>
      <c r="DK717" s="871">
        <v>140200</v>
      </c>
      <c r="DL717" s="871">
        <v>141600</v>
      </c>
      <c r="DM717" s="871">
        <v>143000</v>
      </c>
      <c r="DN717" s="871">
        <v>144400</v>
      </c>
      <c r="DO717" s="871">
        <v>145800</v>
      </c>
      <c r="DP717" s="871">
        <v>147200</v>
      </c>
      <c r="DQ717" s="871">
        <v>148600</v>
      </c>
      <c r="DR717" s="871">
        <v>150000</v>
      </c>
      <c r="DS717" s="871">
        <v>0</v>
      </c>
      <c r="DT717" s="871">
        <v>0</v>
      </c>
      <c r="DU717" s="871">
        <v>0</v>
      </c>
      <c r="DV717" s="871">
        <v>0</v>
      </c>
      <c r="DW717" s="871">
        <v>0</v>
      </c>
    </row>
    <row r="718" spans="12:127" hidden="1">
      <c r="L718" s="870" t="s">
        <v>1060</v>
      </c>
      <c r="M718" s="870" t="s">
        <v>1382</v>
      </c>
      <c r="N718" s="870" t="s">
        <v>97</v>
      </c>
      <c r="O718" s="871">
        <v>6</v>
      </c>
      <c r="P718" s="780" t="str">
        <f t="shared" si="22"/>
        <v>IWT060206</v>
      </c>
      <c r="Q718" s="871">
        <v>0</v>
      </c>
      <c r="R718" s="871">
        <v>0</v>
      </c>
      <c r="S718" s="871">
        <v>0</v>
      </c>
      <c r="T718" s="871">
        <v>0</v>
      </c>
      <c r="U718" s="871">
        <v>0</v>
      </c>
      <c r="V718" s="871">
        <v>0</v>
      </c>
      <c r="W718" s="871">
        <v>0</v>
      </c>
      <c r="X718" s="871">
        <v>0</v>
      </c>
      <c r="Y718" s="871">
        <v>0</v>
      </c>
      <c r="Z718" s="871">
        <v>0</v>
      </c>
      <c r="AA718" s="871">
        <v>29333</v>
      </c>
      <c r="AB718" s="871">
        <v>29920</v>
      </c>
      <c r="AC718" s="871">
        <v>30519</v>
      </c>
      <c r="AD718" s="871">
        <v>31129</v>
      </c>
      <c r="AE718" s="871">
        <v>31751</v>
      </c>
      <c r="AF718" s="871">
        <v>32386</v>
      </c>
      <c r="AG718" s="871">
        <v>33034</v>
      </c>
      <c r="AH718" s="871">
        <v>33695</v>
      </c>
      <c r="AI718" s="871">
        <v>34369</v>
      </c>
      <c r="AJ718" s="871">
        <v>35056</v>
      </c>
      <c r="AK718" s="871">
        <v>35757</v>
      </c>
      <c r="AL718" s="871">
        <v>36472</v>
      </c>
      <c r="AM718" s="871">
        <v>37202</v>
      </c>
      <c r="AN718" s="871">
        <v>37946</v>
      </c>
      <c r="AO718" s="871">
        <v>38705</v>
      </c>
      <c r="AP718" s="871">
        <v>39479</v>
      </c>
      <c r="AQ718" s="871">
        <v>40269</v>
      </c>
      <c r="AR718" s="871">
        <v>41074</v>
      </c>
      <c r="AS718" s="871">
        <v>42200</v>
      </c>
      <c r="AT718" s="871">
        <v>43600</v>
      </c>
      <c r="AU718" s="871">
        <v>45000</v>
      </c>
      <c r="AV718" s="871">
        <v>46400</v>
      </c>
      <c r="AW718" s="871">
        <v>47800</v>
      </c>
      <c r="AX718" s="871">
        <v>49200</v>
      </c>
      <c r="AY718" s="871">
        <v>50600</v>
      </c>
      <c r="AZ718" s="871">
        <v>52000</v>
      </c>
      <c r="BA718" s="871">
        <v>53400</v>
      </c>
      <c r="BB718" s="871">
        <v>54800</v>
      </c>
      <c r="BC718" s="871">
        <v>56200</v>
      </c>
      <c r="BD718" s="871">
        <v>57600</v>
      </c>
      <c r="BE718" s="871">
        <v>59000</v>
      </c>
      <c r="BF718" s="871">
        <v>60400</v>
      </c>
      <c r="BG718" s="871">
        <v>61800</v>
      </c>
      <c r="BH718" s="871">
        <v>63200</v>
      </c>
      <c r="BI718" s="871">
        <v>64600</v>
      </c>
      <c r="BJ718" s="871">
        <v>66000</v>
      </c>
      <c r="BK718" s="871">
        <v>67400</v>
      </c>
      <c r="BL718" s="871">
        <v>68800</v>
      </c>
      <c r="BM718" s="871">
        <v>70200</v>
      </c>
      <c r="BN718" s="871">
        <v>71600</v>
      </c>
      <c r="BO718" s="871">
        <v>73000</v>
      </c>
      <c r="BP718" s="871">
        <v>74400</v>
      </c>
      <c r="BQ718" s="871">
        <v>75800</v>
      </c>
      <c r="BR718" s="871">
        <v>77200</v>
      </c>
      <c r="BS718" s="871">
        <v>78600</v>
      </c>
      <c r="BT718" s="871">
        <v>80000</v>
      </c>
      <c r="BU718" s="871">
        <v>81400</v>
      </c>
      <c r="BV718" s="871">
        <v>82800</v>
      </c>
      <c r="BW718" s="871">
        <v>84200</v>
      </c>
      <c r="BX718" s="871">
        <v>85600</v>
      </c>
      <c r="BY718" s="871">
        <v>87000</v>
      </c>
      <c r="BZ718" s="871">
        <v>88400</v>
      </c>
      <c r="CA718" s="871">
        <v>89800</v>
      </c>
      <c r="CB718" s="871">
        <v>91200</v>
      </c>
      <c r="CC718" s="871">
        <v>92600</v>
      </c>
      <c r="CD718" s="871">
        <v>94000</v>
      </c>
      <c r="CE718" s="871">
        <v>95400</v>
      </c>
      <c r="CF718" s="871">
        <v>96800</v>
      </c>
      <c r="CG718" s="871">
        <v>98200</v>
      </c>
      <c r="CH718" s="871">
        <v>99600</v>
      </c>
      <c r="CI718" s="871">
        <v>101000</v>
      </c>
      <c r="CJ718" s="871">
        <v>102400</v>
      </c>
      <c r="CK718" s="871">
        <v>103800</v>
      </c>
      <c r="CL718" s="871">
        <v>105200</v>
      </c>
      <c r="CM718" s="871">
        <v>106600</v>
      </c>
      <c r="CN718" s="871">
        <v>108000</v>
      </c>
      <c r="CO718" s="871">
        <v>109400</v>
      </c>
      <c r="CP718" s="871">
        <v>110800</v>
      </c>
      <c r="CQ718" s="871">
        <v>112200</v>
      </c>
      <c r="CR718" s="871">
        <v>113600</v>
      </c>
      <c r="CS718" s="871">
        <v>115000</v>
      </c>
      <c r="CT718" s="871">
        <v>116400</v>
      </c>
      <c r="CU718" s="871">
        <v>117800</v>
      </c>
      <c r="CV718" s="871">
        <v>119200</v>
      </c>
      <c r="CW718" s="871">
        <v>120600</v>
      </c>
      <c r="CX718" s="871">
        <v>122000</v>
      </c>
      <c r="CY718" s="871">
        <v>123400</v>
      </c>
      <c r="CZ718" s="871">
        <v>124800</v>
      </c>
      <c r="DA718" s="871">
        <v>126200</v>
      </c>
      <c r="DB718" s="871">
        <v>127600</v>
      </c>
      <c r="DC718" s="871">
        <v>129000</v>
      </c>
      <c r="DD718" s="871">
        <v>130400</v>
      </c>
      <c r="DE718" s="871">
        <v>131800</v>
      </c>
      <c r="DF718" s="871">
        <v>133200</v>
      </c>
      <c r="DG718" s="871">
        <v>134600</v>
      </c>
      <c r="DH718" s="871">
        <v>136000</v>
      </c>
      <c r="DI718" s="871">
        <v>137400</v>
      </c>
      <c r="DJ718" s="871">
        <v>138800</v>
      </c>
      <c r="DK718" s="871">
        <v>140200</v>
      </c>
      <c r="DL718" s="871">
        <v>141600</v>
      </c>
      <c r="DM718" s="871">
        <v>143000</v>
      </c>
      <c r="DN718" s="871">
        <v>144400</v>
      </c>
      <c r="DO718" s="871">
        <v>145800</v>
      </c>
      <c r="DP718" s="871">
        <v>147200</v>
      </c>
      <c r="DQ718" s="871">
        <v>148600</v>
      </c>
      <c r="DR718" s="871">
        <v>0</v>
      </c>
      <c r="DS718" s="871">
        <v>0</v>
      </c>
      <c r="DT718" s="871">
        <v>0</v>
      </c>
      <c r="DU718" s="871">
        <v>0</v>
      </c>
      <c r="DV718" s="871">
        <v>0</v>
      </c>
      <c r="DW718" s="871">
        <v>0</v>
      </c>
    </row>
    <row r="719" spans="12:127" hidden="1">
      <c r="L719" s="870" t="s">
        <v>1060</v>
      </c>
      <c r="M719" s="870" t="s">
        <v>1382</v>
      </c>
      <c r="N719" s="870" t="s">
        <v>97</v>
      </c>
      <c r="O719" s="871">
        <v>7</v>
      </c>
      <c r="P719" s="780" t="str">
        <f t="shared" si="22"/>
        <v>IWT060207</v>
      </c>
      <c r="Q719" s="871">
        <v>0</v>
      </c>
      <c r="R719" s="871">
        <v>0</v>
      </c>
      <c r="S719" s="871">
        <v>0</v>
      </c>
      <c r="T719" s="871">
        <v>0</v>
      </c>
      <c r="U719" s="871">
        <v>0</v>
      </c>
      <c r="V719" s="871">
        <v>0</v>
      </c>
      <c r="W719" s="871">
        <v>0</v>
      </c>
      <c r="X719" s="871">
        <v>0</v>
      </c>
      <c r="Y719" s="871">
        <v>0</v>
      </c>
      <c r="Z719" s="871">
        <v>28949</v>
      </c>
      <c r="AA719" s="871">
        <v>29528</v>
      </c>
      <c r="AB719" s="871">
        <v>30118</v>
      </c>
      <c r="AC719" s="871">
        <v>30721</v>
      </c>
      <c r="AD719" s="871">
        <v>31335</v>
      </c>
      <c r="AE719" s="871">
        <v>31962</v>
      </c>
      <c r="AF719" s="871">
        <v>32601</v>
      </c>
      <c r="AG719" s="871">
        <v>33253</v>
      </c>
      <c r="AH719" s="871">
        <v>33918</v>
      </c>
      <c r="AI719" s="871">
        <v>34597</v>
      </c>
      <c r="AJ719" s="871">
        <v>35289</v>
      </c>
      <c r="AK719" s="871">
        <v>35994</v>
      </c>
      <c r="AL719" s="871">
        <v>36714</v>
      </c>
      <c r="AM719" s="871">
        <v>37448</v>
      </c>
      <c r="AN719" s="871">
        <v>38197</v>
      </c>
      <c r="AO719" s="871">
        <v>38961</v>
      </c>
      <c r="AP719" s="871">
        <v>39741</v>
      </c>
      <c r="AQ719" s="871">
        <v>40535</v>
      </c>
      <c r="AR719" s="871">
        <v>41346</v>
      </c>
      <c r="AS719" s="871">
        <v>42200</v>
      </c>
      <c r="AT719" s="871">
        <v>43600</v>
      </c>
      <c r="AU719" s="871">
        <v>45000</v>
      </c>
      <c r="AV719" s="871">
        <v>46400</v>
      </c>
      <c r="AW719" s="871">
        <v>47800</v>
      </c>
      <c r="AX719" s="871">
        <v>49200</v>
      </c>
      <c r="AY719" s="871">
        <v>50600</v>
      </c>
      <c r="AZ719" s="871">
        <v>52000</v>
      </c>
      <c r="BA719" s="871">
        <v>53400</v>
      </c>
      <c r="BB719" s="871">
        <v>54800</v>
      </c>
      <c r="BC719" s="871">
        <v>56200</v>
      </c>
      <c r="BD719" s="871">
        <v>57600</v>
      </c>
      <c r="BE719" s="871">
        <v>59000</v>
      </c>
      <c r="BF719" s="871">
        <v>60400</v>
      </c>
      <c r="BG719" s="871">
        <v>61800</v>
      </c>
      <c r="BH719" s="871">
        <v>63200</v>
      </c>
      <c r="BI719" s="871">
        <v>64600</v>
      </c>
      <c r="BJ719" s="871">
        <v>66000</v>
      </c>
      <c r="BK719" s="871">
        <v>67400</v>
      </c>
      <c r="BL719" s="871">
        <v>68800</v>
      </c>
      <c r="BM719" s="871">
        <v>70200</v>
      </c>
      <c r="BN719" s="871">
        <v>71600</v>
      </c>
      <c r="BO719" s="871">
        <v>73000</v>
      </c>
      <c r="BP719" s="871">
        <v>74400</v>
      </c>
      <c r="BQ719" s="871">
        <v>75800</v>
      </c>
      <c r="BR719" s="871">
        <v>77200</v>
      </c>
      <c r="BS719" s="871">
        <v>78600</v>
      </c>
      <c r="BT719" s="871">
        <v>80000</v>
      </c>
      <c r="BU719" s="871">
        <v>81400</v>
      </c>
      <c r="BV719" s="871">
        <v>82800</v>
      </c>
      <c r="BW719" s="871">
        <v>84200</v>
      </c>
      <c r="BX719" s="871">
        <v>85600</v>
      </c>
      <c r="BY719" s="871">
        <v>87000</v>
      </c>
      <c r="BZ719" s="871">
        <v>88400</v>
      </c>
      <c r="CA719" s="871">
        <v>89800</v>
      </c>
      <c r="CB719" s="871">
        <v>91200</v>
      </c>
      <c r="CC719" s="871">
        <v>92600</v>
      </c>
      <c r="CD719" s="871">
        <v>94000</v>
      </c>
      <c r="CE719" s="871">
        <v>95400</v>
      </c>
      <c r="CF719" s="871">
        <v>96800</v>
      </c>
      <c r="CG719" s="871">
        <v>98200</v>
      </c>
      <c r="CH719" s="871">
        <v>99600</v>
      </c>
      <c r="CI719" s="871">
        <v>101000</v>
      </c>
      <c r="CJ719" s="871">
        <v>102400</v>
      </c>
      <c r="CK719" s="871">
        <v>103800</v>
      </c>
      <c r="CL719" s="871">
        <v>105200</v>
      </c>
      <c r="CM719" s="871">
        <v>106600</v>
      </c>
      <c r="CN719" s="871">
        <v>108000</v>
      </c>
      <c r="CO719" s="871">
        <v>109400</v>
      </c>
      <c r="CP719" s="871">
        <v>110800</v>
      </c>
      <c r="CQ719" s="871">
        <v>112200</v>
      </c>
      <c r="CR719" s="871">
        <v>113600</v>
      </c>
      <c r="CS719" s="871">
        <v>115000</v>
      </c>
      <c r="CT719" s="871">
        <v>116400</v>
      </c>
      <c r="CU719" s="871">
        <v>117800</v>
      </c>
      <c r="CV719" s="871">
        <v>119200</v>
      </c>
      <c r="CW719" s="871">
        <v>120600</v>
      </c>
      <c r="CX719" s="871">
        <v>122000</v>
      </c>
      <c r="CY719" s="871">
        <v>123400</v>
      </c>
      <c r="CZ719" s="871">
        <v>124800</v>
      </c>
      <c r="DA719" s="871">
        <v>126200</v>
      </c>
      <c r="DB719" s="871">
        <v>127600</v>
      </c>
      <c r="DC719" s="871">
        <v>129000</v>
      </c>
      <c r="DD719" s="871">
        <v>130400</v>
      </c>
      <c r="DE719" s="871">
        <v>131800</v>
      </c>
      <c r="DF719" s="871">
        <v>133200</v>
      </c>
      <c r="DG719" s="871">
        <v>134600</v>
      </c>
      <c r="DH719" s="871">
        <v>136000</v>
      </c>
      <c r="DI719" s="871">
        <v>137400</v>
      </c>
      <c r="DJ719" s="871">
        <v>138800</v>
      </c>
      <c r="DK719" s="871">
        <v>140200</v>
      </c>
      <c r="DL719" s="871">
        <v>141600</v>
      </c>
      <c r="DM719" s="871">
        <v>143000</v>
      </c>
      <c r="DN719" s="871">
        <v>144400</v>
      </c>
      <c r="DO719" s="871">
        <v>145800</v>
      </c>
      <c r="DP719" s="871">
        <v>147200</v>
      </c>
      <c r="DQ719" s="871">
        <v>0</v>
      </c>
      <c r="DR719" s="871">
        <v>0</v>
      </c>
      <c r="DS719" s="871">
        <v>0</v>
      </c>
      <c r="DT719" s="871">
        <v>0</v>
      </c>
      <c r="DU719" s="871">
        <v>0</v>
      </c>
      <c r="DV719" s="871">
        <v>0</v>
      </c>
      <c r="DW719" s="871">
        <v>0</v>
      </c>
    </row>
    <row r="720" spans="12:127" hidden="1">
      <c r="L720" s="870" t="s">
        <v>1060</v>
      </c>
      <c r="M720" s="870" t="s">
        <v>1382</v>
      </c>
      <c r="N720" s="870" t="s">
        <v>97</v>
      </c>
      <c r="O720" s="871">
        <v>8</v>
      </c>
      <c r="P720" s="780" t="str">
        <f t="shared" si="22"/>
        <v>IWT060208</v>
      </c>
      <c r="Q720" s="871">
        <v>0</v>
      </c>
      <c r="R720" s="871">
        <v>0</v>
      </c>
      <c r="S720" s="871">
        <v>0</v>
      </c>
      <c r="T720" s="871">
        <v>0</v>
      </c>
      <c r="U720" s="871">
        <v>0</v>
      </c>
      <c r="V720" s="871">
        <v>0</v>
      </c>
      <c r="W720" s="871">
        <v>0</v>
      </c>
      <c r="X720" s="871">
        <v>0</v>
      </c>
      <c r="Y720" s="871">
        <v>28626.400000000001</v>
      </c>
      <c r="Z720" s="871">
        <v>29136</v>
      </c>
      <c r="AA720" s="871">
        <v>29719</v>
      </c>
      <c r="AB720" s="871">
        <v>30313</v>
      </c>
      <c r="AC720" s="871">
        <v>30919</v>
      </c>
      <c r="AD720" s="871">
        <v>31538</v>
      </c>
      <c r="AE720" s="871">
        <v>32169</v>
      </c>
      <c r="AF720" s="871">
        <v>32812</v>
      </c>
      <c r="AG720" s="871">
        <v>33468</v>
      </c>
      <c r="AH720" s="871">
        <v>34138</v>
      </c>
      <c r="AI720" s="871">
        <v>34820</v>
      </c>
      <c r="AJ720" s="871">
        <v>35517</v>
      </c>
      <c r="AK720" s="871">
        <v>36227</v>
      </c>
      <c r="AL720" s="871">
        <v>36952</v>
      </c>
      <c r="AM720" s="871">
        <v>37691</v>
      </c>
      <c r="AN720" s="871">
        <v>38444</v>
      </c>
      <c r="AO720" s="871">
        <v>39213</v>
      </c>
      <c r="AP720" s="871">
        <v>39998</v>
      </c>
      <c r="AQ720" s="871">
        <v>40798</v>
      </c>
      <c r="AR720" s="871">
        <v>41613</v>
      </c>
      <c r="AS720" s="871">
        <v>42446</v>
      </c>
      <c r="AT720" s="871">
        <v>43600</v>
      </c>
      <c r="AU720" s="871">
        <v>45000</v>
      </c>
      <c r="AV720" s="871">
        <v>46400</v>
      </c>
      <c r="AW720" s="871">
        <v>47800</v>
      </c>
      <c r="AX720" s="871">
        <v>49200</v>
      </c>
      <c r="AY720" s="871">
        <v>50600</v>
      </c>
      <c r="AZ720" s="871">
        <v>52000</v>
      </c>
      <c r="BA720" s="871">
        <v>53400</v>
      </c>
      <c r="BB720" s="871">
        <v>54800</v>
      </c>
      <c r="BC720" s="871">
        <v>56200</v>
      </c>
      <c r="BD720" s="871">
        <v>57600</v>
      </c>
      <c r="BE720" s="871">
        <v>59000</v>
      </c>
      <c r="BF720" s="871">
        <v>60400</v>
      </c>
      <c r="BG720" s="871">
        <v>61800</v>
      </c>
      <c r="BH720" s="871">
        <v>63200</v>
      </c>
      <c r="BI720" s="871">
        <v>64600</v>
      </c>
      <c r="BJ720" s="871">
        <v>66000</v>
      </c>
      <c r="BK720" s="871">
        <v>67400</v>
      </c>
      <c r="BL720" s="871">
        <v>68800</v>
      </c>
      <c r="BM720" s="871">
        <v>70200</v>
      </c>
      <c r="BN720" s="871">
        <v>71600</v>
      </c>
      <c r="BO720" s="871">
        <v>73000</v>
      </c>
      <c r="BP720" s="871">
        <v>74400</v>
      </c>
      <c r="BQ720" s="871">
        <v>75800</v>
      </c>
      <c r="BR720" s="871">
        <v>77200</v>
      </c>
      <c r="BS720" s="871">
        <v>78600</v>
      </c>
      <c r="BT720" s="871">
        <v>80000</v>
      </c>
      <c r="BU720" s="871">
        <v>81400</v>
      </c>
      <c r="BV720" s="871">
        <v>82800</v>
      </c>
      <c r="BW720" s="871">
        <v>84200</v>
      </c>
      <c r="BX720" s="871">
        <v>85600</v>
      </c>
      <c r="BY720" s="871">
        <v>87000</v>
      </c>
      <c r="BZ720" s="871">
        <v>88400</v>
      </c>
      <c r="CA720" s="871">
        <v>89800</v>
      </c>
      <c r="CB720" s="871">
        <v>91200</v>
      </c>
      <c r="CC720" s="871">
        <v>92600</v>
      </c>
      <c r="CD720" s="871">
        <v>94000</v>
      </c>
      <c r="CE720" s="871">
        <v>95400</v>
      </c>
      <c r="CF720" s="871">
        <v>96800</v>
      </c>
      <c r="CG720" s="871">
        <v>98200</v>
      </c>
      <c r="CH720" s="871">
        <v>99600</v>
      </c>
      <c r="CI720" s="871">
        <v>101000</v>
      </c>
      <c r="CJ720" s="871">
        <v>102400</v>
      </c>
      <c r="CK720" s="871">
        <v>103800</v>
      </c>
      <c r="CL720" s="871">
        <v>105200</v>
      </c>
      <c r="CM720" s="871">
        <v>106600</v>
      </c>
      <c r="CN720" s="871">
        <v>108000</v>
      </c>
      <c r="CO720" s="871">
        <v>109400</v>
      </c>
      <c r="CP720" s="871">
        <v>110800</v>
      </c>
      <c r="CQ720" s="871">
        <v>112200</v>
      </c>
      <c r="CR720" s="871">
        <v>113600</v>
      </c>
      <c r="CS720" s="871">
        <v>115000</v>
      </c>
      <c r="CT720" s="871">
        <v>116400</v>
      </c>
      <c r="CU720" s="871">
        <v>117800</v>
      </c>
      <c r="CV720" s="871">
        <v>119200</v>
      </c>
      <c r="CW720" s="871">
        <v>120600</v>
      </c>
      <c r="CX720" s="871">
        <v>122000</v>
      </c>
      <c r="CY720" s="871">
        <v>123400</v>
      </c>
      <c r="CZ720" s="871">
        <v>124800</v>
      </c>
      <c r="DA720" s="871">
        <v>126200</v>
      </c>
      <c r="DB720" s="871">
        <v>127600</v>
      </c>
      <c r="DC720" s="871">
        <v>129000</v>
      </c>
      <c r="DD720" s="871">
        <v>130400</v>
      </c>
      <c r="DE720" s="871">
        <v>131800</v>
      </c>
      <c r="DF720" s="871">
        <v>133200</v>
      </c>
      <c r="DG720" s="871">
        <v>134600</v>
      </c>
      <c r="DH720" s="871">
        <v>136000</v>
      </c>
      <c r="DI720" s="871">
        <v>137400</v>
      </c>
      <c r="DJ720" s="871">
        <v>138800</v>
      </c>
      <c r="DK720" s="871">
        <v>140200</v>
      </c>
      <c r="DL720" s="871">
        <v>141600</v>
      </c>
      <c r="DM720" s="871">
        <v>143000</v>
      </c>
      <c r="DN720" s="871">
        <v>144400</v>
      </c>
      <c r="DO720" s="871">
        <v>145800</v>
      </c>
      <c r="DP720" s="871">
        <v>0</v>
      </c>
      <c r="DQ720" s="871">
        <v>0</v>
      </c>
      <c r="DR720" s="871">
        <v>0</v>
      </c>
      <c r="DS720" s="871">
        <v>0</v>
      </c>
      <c r="DT720" s="871">
        <v>0</v>
      </c>
      <c r="DU720" s="871">
        <v>0</v>
      </c>
      <c r="DV720" s="871">
        <v>0</v>
      </c>
      <c r="DW720" s="871">
        <v>0</v>
      </c>
    </row>
    <row r="721" spans="12:127" hidden="1">
      <c r="L721" s="870" t="s">
        <v>1060</v>
      </c>
      <c r="M721" s="870" t="s">
        <v>1382</v>
      </c>
      <c r="N721" s="870" t="s">
        <v>97</v>
      </c>
      <c r="O721" s="871">
        <v>9</v>
      </c>
      <c r="P721" s="780" t="str">
        <f t="shared" si="22"/>
        <v>IWT060209</v>
      </c>
      <c r="Q721" s="871">
        <v>0</v>
      </c>
      <c r="R721" s="871">
        <v>0</v>
      </c>
      <c r="S721" s="871">
        <v>0</v>
      </c>
      <c r="T721" s="871">
        <v>0</v>
      </c>
      <c r="U721" s="871">
        <v>0</v>
      </c>
      <c r="V721" s="871">
        <v>0</v>
      </c>
      <c r="W721" s="871">
        <v>0</v>
      </c>
      <c r="X721" s="871">
        <v>28810.799999999999</v>
      </c>
      <c r="Y721" s="871">
        <v>28810.799999999999</v>
      </c>
      <c r="Z721" s="871">
        <v>29320</v>
      </c>
      <c r="AA721" s="871">
        <v>29906</v>
      </c>
      <c r="AB721" s="871">
        <v>30504</v>
      </c>
      <c r="AC721" s="871">
        <v>31114</v>
      </c>
      <c r="AD721" s="871">
        <v>31737</v>
      </c>
      <c r="AE721" s="871">
        <v>32371</v>
      </c>
      <c r="AF721" s="871">
        <v>33019</v>
      </c>
      <c r="AG721" s="871">
        <v>33679</v>
      </c>
      <c r="AH721" s="871">
        <v>34353</v>
      </c>
      <c r="AI721" s="871">
        <v>35040</v>
      </c>
      <c r="AJ721" s="871">
        <v>35741</v>
      </c>
      <c r="AK721" s="871">
        <v>36455</v>
      </c>
      <c r="AL721" s="871">
        <v>37184</v>
      </c>
      <c r="AM721" s="871">
        <v>37928</v>
      </c>
      <c r="AN721" s="871">
        <v>38687</v>
      </c>
      <c r="AO721" s="871">
        <v>39460</v>
      </c>
      <c r="AP721" s="871">
        <v>40250</v>
      </c>
      <c r="AQ721" s="871">
        <v>41055</v>
      </c>
      <c r="AR721" s="871">
        <v>41876</v>
      </c>
      <c r="AS721" s="871">
        <v>42713</v>
      </c>
      <c r="AT721" s="871">
        <v>43600</v>
      </c>
      <c r="AU721" s="871">
        <v>45000</v>
      </c>
      <c r="AV721" s="871">
        <v>46400</v>
      </c>
      <c r="AW721" s="871">
        <v>47800</v>
      </c>
      <c r="AX721" s="871">
        <v>49200</v>
      </c>
      <c r="AY721" s="871">
        <v>50600</v>
      </c>
      <c r="AZ721" s="871">
        <v>52000</v>
      </c>
      <c r="BA721" s="871">
        <v>53400</v>
      </c>
      <c r="BB721" s="871">
        <v>54800</v>
      </c>
      <c r="BC721" s="871">
        <v>56200</v>
      </c>
      <c r="BD721" s="871">
        <v>57600</v>
      </c>
      <c r="BE721" s="871">
        <v>59000</v>
      </c>
      <c r="BF721" s="871">
        <v>60400</v>
      </c>
      <c r="BG721" s="871">
        <v>61800</v>
      </c>
      <c r="BH721" s="871">
        <v>63200</v>
      </c>
      <c r="BI721" s="871">
        <v>64600</v>
      </c>
      <c r="BJ721" s="871">
        <v>66000</v>
      </c>
      <c r="BK721" s="871">
        <v>67400</v>
      </c>
      <c r="BL721" s="871">
        <v>68800</v>
      </c>
      <c r="BM721" s="871">
        <v>70200</v>
      </c>
      <c r="BN721" s="871">
        <v>71600</v>
      </c>
      <c r="BO721" s="871">
        <v>73000</v>
      </c>
      <c r="BP721" s="871">
        <v>74400</v>
      </c>
      <c r="BQ721" s="871">
        <v>75800</v>
      </c>
      <c r="BR721" s="871">
        <v>77200</v>
      </c>
      <c r="BS721" s="871">
        <v>78600</v>
      </c>
      <c r="BT721" s="871">
        <v>80000</v>
      </c>
      <c r="BU721" s="871">
        <v>81400</v>
      </c>
      <c r="BV721" s="871">
        <v>82800</v>
      </c>
      <c r="BW721" s="871">
        <v>84200</v>
      </c>
      <c r="BX721" s="871">
        <v>85600</v>
      </c>
      <c r="BY721" s="871">
        <v>87000</v>
      </c>
      <c r="BZ721" s="871">
        <v>88400</v>
      </c>
      <c r="CA721" s="871">
        <v>89800</v>
      </c>
      <c r="CB721" s="871">
        <v>91200</v>
      </c>
      <c r="CC721" s="871">
        <v>92600</v>
      </c>
      <c r="CD721" s="871">
        <v>94000</v>
      </c>
      <c r="CE721" s="871">
        <v>95400</v>
      </c>
      <c r="CF721" s="871">
        <v>96800</v>
      </c>
      <c r="CG721" s="871">
        <v>98200</v>
      </c>
      <c r="CH721" s="871">
        <v>99600</v>
      </c>
      <c r="CI721" s="871">
        <v>101000</v>
      </c>
      <c r="CJ721" s="871">
        <v>102400</v>
      </c>
      <c r="CK721" s="871">
        <v>103800</v>
      </c>
      <c r="CL721" s="871">
        <v>105200</v>
      </c>
      <c r="CM721" s="871">
        <v>106600</v>
      </c>
      <c r="CN721" s="871">
        <v>108000</v>
      </c>
      <c r="CO721" s="871">
        <v>109400</v>
      </c>
      <c r="CP721" s="871">
        <v>110800</v>
      </c>
      <c r="CQ721" s="871">
        <v>112200</v>
      </c>
      <c r="CR721" s="871">
        <v>113600</v>
      </c>
      <c r="CS721" s="871">
        <v>115000</v>
      </c>
      <c r="CT721" s="871">
        <v>116400</v>
      </c>
      <c r="CU721" s="871">
        <v>117800</v>
      </c>
      <c r="CV721" s="871">
        <v>119200</v>
      </c>
      <c r="CW721" s="871">
        <v>120600</v>
      </c>
      <c r="CX721" s="871">
        <v>122000</v>
      </c>
      <c r="CY721" s="871">
        <v>123400</v>
      </c>
      <c r="CZ721" s="871">
        <v>124800</v>
      </c>
      <c r="DA721" s="871">
        <v>126200</v>
      </c>
      <c r="DB721" s="871">
        <v>127600</v>
      </c>
      <c r="DC721" s="871">
        <v>129000</v>
      </c>
      <c r="DD721" s="871">
        <v>130400</v>
      </c>
      <c r="DE721" s="871">
        <v>131800</v>
      </c>
      <c r="DF721" s="871">
        <v>133200</v>
      </c>
      <c r="DG721" s="871">
        <v>134600</v>
      </c>
      <c r="DH721" s="871">
        <v>136000</v>
      </c>
      <c r="DI721" s="871">
        <v>137400</v>
      </c>
      <c r="DJ721" s="871">
        <v>138800</v>
      </c>
      <c r="DK721" s="871">
        <v>140200</v>
      </c>
      <c r="DL721" s="871">
        <v>141600</v>
      </c>
      <c r="DM721" s="871">
        <v>143000</v>
      </c>
      <c r="DN721" s="871">
        <v>144400</v>
      </c>
      <c r="DO721" s="871">
        <v>0</v>
      </c>
      <c r="DP721" s="871">
        <v>0</v>
      </c>
      <c r="DQ721" s="871">
        <v>0</v>
      </c>
      <c r="DR721" s="871">
        <v>0</v>
      </c>
      <c r="DS721" s="871">
        <v>0</v>
      </c>
      <c r="DT721" s="871">
        <v>0</v>
      </c>
      <c r="DU721" s="871">
        <v>0</v>
      </c>
      <c r="DV721" s="871">
        <v>0</v>
      </c>
      <c r="DW721" s="871">
        <v>0</v>
      </c>
    </row>
    <row r="722" spans="12:127" hidden="1">
      <c r="L722" s="870" t="s">
        <v>1060</v>
      </c>
      <c r="M722" s="870" t="s">
        <v>1382</v>
      </c>
      <c r="N722" s="870" t="s">
        <v>97</v>
      </c>
      <c r="O722" s="871">
        <v>10</v>
      </c>
      <c r="P722" s="780" t="str">
        <f t="shared" si="22"/>
        <v>IWT060210</v>
      </c>
      <c r="Q722" s="871">
        <v>0</v>
      </c>
      <c r="R722" s="871">
        <v>0</v>
      </c>
      <c r="S722" s="871">
        <v>0</v>
      </c>
      <c r="T722" s="871">
        <v>0</v>
      </c>
      <c r="U722" s="871">
        <v>0</v>
      </c>
      <c r="V722" s="871">
        <v>0</v>
      </c>
      <c r="W722" s="871">
        <v>28988.9</v>
      </c>
      <c r="X722" s="871">
        <v>28988.9</v>
      </c>
      <c r="Y722" s="871">
        <v>28988.9</v>
      </c>
      <c r="Z722" s="871">
        <v>29500</v>
      </c>
      <c r="AA722" s="871">
        <v>30090</v>
      </c>
      <c r="AB722" s="871">
        <v>30691</v>
      </c>
      <c r="AC722" s="871">
        <v>31305</v>
      </c>
      <c r="AD722" s="871">
        <v>31931</v>
      </c>
      <c r="AE722" s="871">
        <v>32570</v>
      </c>
      <c r="AF722" s="871">
        <v>33221</v>
      </c>
      <c r="AG722" s="871">
        <v>33886</v>
      </c>
      <c r="AH722" s="871">
        <v>34563</v>
      </c>
      <c r="AI722" s="871">
        <v>35255</v>
      </c>
      <c r="AJ722" s="871">
        <v>35960</v>
      </c>
      <c r="AK722" s="871">
        <v>36679</v>
      </c>
      <c r="AL722" s="871">
        <v>37413</v>
      </c>
      <c r="AM722" s="871">
        <v>38161</v>
      </c>
      <c r="AN722" s="871">
        <v>38924</v>
      </c>
      <c r="AO722" s="871">
        <v>39703</v>
      </c>
      <c r="AP722" s="871">
        <v>40497</v>
      </c>
      <c r="AQ722" s="871">
        <v>41306</v>
      </c>
      <c r="AR722" s="871">
        <v>42133</v>
      </c>
      <c r="AS722" s="871">
        <v>42975</v>
      </c>
      <c r="AT722" s="871">
        <v>43835</v>
      </c>
      <c r="AU722" s="871">
        <v>45000</v>
      </c>
      <c r="AV722" s="871">
        <v>46400</v>
      </c>
      <c r="AW722" s="871">
        <v>47800</v>
      </c>
      <c r="AX722" s="871">
        <v>49200</v>
      </c>
      <c r="AY722" s="871">
        <v>50600</v>
      </c>
      <c r="AZ722" s="871">
        <v>52000</v>
      </c>
      <c r="BA722" s="871">
        <v>53400</v>
      </c>
      <c r="BB722" s="871">
        <v>54800</v>
      </c>
      <c r="BC722" s="871">
        <v>56200</v>
      </c>
      <c r="BD722" s="871">
        <v>57600</v>
      </c>
      <c r="BE722" s="871">
        <v>59000</v>
      </c>
      <c r="BF722" s="871">
        <v>60400</v>
      </c>
      <c r="BG722" s="871">
        <v>61800</v>
      </c>
      <c r="BH722" s="871">
        <v>63200</v>
      </c>
      <c r="BI722" s="871">
        <v>64600</v>
      </c>
      <c r="BJ722" s="871">
        <v>66000</v>
      </c>
      <c r="BK722" s="871">
        <v>67400</v>
      </c>
      <c r="BL722" s="871">
        <v>68800</v>
      </c>
      <c r="BM722" s="871">
        <v>70200</v>
      </c>
      <c r="BN722" s="871">
        <v>71600</v>
      </c>
      <c r="BO722" s="871">
        <v>73000</v>
      </c>
      <c r="BP722" s="871">
        <v>74400</v>
      </c>
      <c r="BQ722" s="871">
        <v>75800</v>
      </c>
      <c r="BR722" s="871">
        <v>77200</v>
      </c>
      <c r="BS722" s="871">
        <v>78600</v>
      </c>
      <c r="BT722" s="871">
        <v>80000</v>
      </c>
      <c r="BU722" s="871">
        <v>81400</v>
      </c>
      <c r="BV722" s="871">
        <v>82800</v>
      </c>
      <c r="BW722" s="871">
        <v>84200</v>
      </c>
      <c r="BX722" s="871">
        <v>85600</v>
      </c>
      <c r="BY722" s="871">
        <v>87000</v>
      </c>
      <c r="BZ722" s="871">
        <v>88400</v>
      </c>
      <c r="CA722" s="871">
        <v>89800</v>
      </c>
      <c r="CB722" s="871">
        <v>91200</v>
      </c>
      <c r="CC722" s="871">
        <v>92600</v>
      </c>
      <c r="CD722" s="871">
        <v>94000</v>
      </c>
      <c r="CE722" s="871">
        <v>95400</v>
      </c>
      <c r="CF722" s="871">
        <v>96800</v>
      </c>
      <c r="CG722" s="871">
        <v>98200</v>
      </c>
      <c r="CH722" s="871">
        <v>99600</v>
      </c>
      <c r="CI722" s="871">
        <v>101000</v>
      </c>
      <c r="CJ722" s="871">
        <v>102400</v>
      </c>
      <c r="CK722" s="871">
        <v>103800</v>
      </c>
      <c r="CL722" s="871">
        <v>105200</v>
      </c>
      <c r="CM722" s="871">
        <v>106600</v>
      </c>
      <c r="CN722" s="871">
        <v>108000</v>
      </c>
      <c r="CO722" s="871">
        <v>109400</v>
      </c>
      <c r="CP722" s="871">
        <v>110800</v>
      </c>
      <c r="CQ722" s="871">
        <v>112200</v>
      </c>
      <c r="CR722" s="871">
        <v>113600</v>
      </c>
      <c r="CS722" s="871">
        <v>115000</v>
      </c>
      <c r="CT722" s="871">
        <v>116400</v>
      </c>
      <c r="CU722" s="871">
        <v>117800</v>
      </c>
      <c r="CV722" s="871">
        <v>119200</v>
      </c>
      <c r="CW722" s="871">
        <v>120600</v>
      </c>
      <c r="CX722" s="871">
        <v>122000</v>
      </c>
      <c r="CY722" s="871">
        <v>123400</v>
      </c>
      <c r="CZ722" s="871">
        <v>124800</v>
      </c>
      <c r="DA722" s="871">
        <v>126200</v>
      </c>
      <c r="DB722" s="871">
        <v>127600</v>
      </c>
      <c r="DC722" s="871">
        <v>129000</v>
      </c>
      <c r="DD722" s="871">
        <v>130400</v>
      </c>
      <c r="DE722" s="871">
        <v>131800</v>
      </c>
      <c r="DF722" s="871">
        <v>133200</v>
      </c>
      <c r="DG722" s="871">
        <v>134600</v>
      </c>
      <c r="DH722" s="871">
        <v>136000</v>
      </c>
      <c r="DI722" s="871">
        <v>137400</v>
      </c>
      <c r="DJ722" s="871">
        <v>138800</v>
      </c>
      <c r="DK722" s="871">
        <v>140200</v>
      </c>
      <c r="DL722" s="871">
        <v>141600</v>
      </c>
      <c r="DM722" s="871">
        <v>143000</v>
      </c>
      <c r="DN722" s="871">
        <v>0</v>
      </c>
      <c r="DO722" s="871">
        <v>0</v>
      </c>
      <c r="DP722" s="871">
        <v>0</v>
      </c>
      <c r="DQ722" s="871">
        <v>0</v>
      </c>
      <c r="DR722" s="871">
        <v>0</v>
      </c>
      <c r="DS722" s="871">
        <v>0</v>
      </c>
      <c r="DT722" s="871">
        <v>0</v>
      </c>
      <c r="DU722" s="871">
        <v>0</v>
      </c>
      <c r="DV722" s="871">
        <v>0</v>
      </c>
      <c r="DW722" s="871">
        <v>0</v>
      </c>
    </row>
    <row r="723" spans="12:127" hidden="1">
      <c r="L723" s="870" t="s">
        <v>1060</v>
      </c>
      <c r="M723" s="870" t="s">
        <v>1382</v>
      </c>
      <c r="N723" s="870" t="s">
        <v>97</v>
      </c>
      <c r="O723" s="871">
        <v>11</v>
      </c>
      <c r="P723" s="780" t="str">
        <f t="shared" si="22"/>
        <v>IWT060211</v>
      </c>
      <c r="Q723" s="871">
        <v>0</v>
      </c>
      <c r="R723" s="871">
        <v>0</v>
      </c>
      <c r="S723" s="871">
        <v>0</v>
      </c>
      <c r="T723" s="871">
        <v>0</v>
      </c>
      <c r="U723" s="871">
        <v>0</v>
      </c>
      <c r="V723" s="871">
        <v>29160.6</v>
      </c>
      <c r="W723" s="871">
        <v>29160.6</v>
      </c>
      <c r="X723" s="871">
        <v>29160.6</v>
      </c>
      <c r="Y723" s="871">
        <v>29160.6</v>
      </c>
      <c r="Z723" s="871">
        <v>29675</v>
      </c>
      <c r="AA723" s="871">
        <v>30269</v>
      </c>
      <c r="AB723" s="871">
        <v>30874</v>
      </c>
      <c r="AC723" s="871">
        <v>31492</v>
      </c>
      <c r="AD723" s="871">
        <v>32122</v>
      </c>
      <c r="AE723" s="871">
        <v>32764</v>
      </c>
      <c r="AF723" s="871">
        <v>33419</v>
      </c>
      <c r="AG723" s="871">
        <v>34088</v>
      </c>
      <c r="AH723" s="871">
        <v>34770</v>
      </c>
      <c r="AI723" s="871">
        <v>35465</v>
      </c>
      <c r="AJ723" s="871">
        <v>36174</v>
      </c>
      <c r="AK723" s="871">
        <v>36898</v>
      </c>
      <c r="AL723" s="871">
        <v>37636</v>
      </c>
      <c r="AM723" s="871">
        <v>38388</v>
      </c>
      <c r="AN723" s="871">
        <v>39156</v>
      </c>
      <c r="AO723" s="871">
        <v>39939</v>
      </c>
      <c r="AP723" s="871">
        <v>40738</v>
      </c>
      <c r="AQ723" s="871">
        <v>41553</v>
      </c>
      <c r="AR723" s="871">
        <v>42384</v>
      </c>
      <c r="AS723" s="871">
        <v>43232</v>
      </c>
      <c r="AT723" s="871">
        <v>44096</v>
      </c>
      <c r="AU723" s="871">
        <v>45000</v>
      </c>
      <c r="AV723" s="871">
        <v>46400</v>
      </c>
      <c r="AW723" s="871">
        <v>47800</v>
      </c>
      <c r="AX723" s="871">
        <v>49200</v>
      </c>
      <c r="AY723" s="871">
        <v>50600</v>
      </c>
      <c r="AZ723" s="871">
        <v>52000</v>
      </c>
      <c r="BA723" s="871">
        <v>53400</v>
      </c>
      <c r="BB723" s="871">
        <v>54800</v>
      </c>
      <c r="BC723" s="871">
        <v>56200</v>
      </c>
      <c r="BD723" s="871">
        <v>57600</v>
      </c>
      <c r="BE723" s="871">
        <v>59000</v>
      </c>
      <c r="BF723" s="871">
        <v>60400</v>
      </c>
      <c r="BG723" s="871">
        <v>61800</v>
      </c>
      <c r="BH723" s="871">
        <v>63200</v>
      </c>
      <c r="BI723" s="871">
        <v>64600</v>
      </c>
      <c r="BJ723" s="871">
        <v>66000</v>
      </c>
      <c r="BK723" s="871">
        <v>67400</v>
      </c>
      <c r="BL723" s="871">
        <v>68800</v>
      </c>
      <c r="BM723" s="871">
        <v>70200</v>
      </c>
      <c r="BN723" s="871">
        <v>71600</v>
      </c>
      <c r="BO723" s="871">
        <v>73000</v>
      </c>
      <c r="BP723" s="871">
        <v>74400</v>
      </c>
      <c r="BQ723" s="871">
        <v>75800</v>
      </c>
      <c r="BR723" s="871">
        <v>77200</v>
      </c>
      <c r="BS723" s="871">
        <v>78600</v>
      </c>
      <c r="BT723" s="871">
        <v>80000</v>
      </c>
      <c r="BU723" s="871">
        <v>81400</v>
      </c>
      <c r="BV723" s="871">
        <v>82800</v>
      </c>
      <c r="BW723" s="871">
        <v>84200</v>
      </c>
      <c r="BX723" s="871">
        <v>85600</v>
      </c>
      <c r="BY723" s="871">
        <v>87000</v>
      </c>
      <c r="BZ723" s="871">
        <v>88400</v>
      </c>
      <c r="CA723" s="871">
        <v>89800</v>
      </c>
      <c r="CB723" s="871">
        <v>91200</v>
      </c>
      <c r="CC723" s="871">
        <v>92600</v>
      </c>
      <c r="CD723" s="871">
        <v>94000</v>
      </c>
      <c r="CE723" s="871">
        <v>95400</v>
      </c>
      <c r="CF723" s="871">
        <v>96800</v>
      </c>
      <c r="CG723" s="871">
        <v>98200</v>
      </c>
      <c r="CH723" s="871">
        <v>99600</v>
      </c>
      <c r="CI723" s="871">
        <v>101000</v>
      </c>
      <c r="CJ723" s="871">
        <v>102400</v>
      </c>
      <c r="CK723" s="871">
        <v>103800</v>
      </c>
      <c r="CL723" s="871">
        <v>105200</v>
      </c>
      <c r="CM723" s="871">
        <v>106600</v>
      </c>
      <c r="CN723" s="871">
        <v>108000</v>
      </c>
      <c r="CO723" s="871">
        <v>109400</v>
      </c>
      <c r="CP723" s="871">
        <v>110800</v>
      </c>
      <c r="CQ723" s="871">
        <v>112200</v>
      </c>
      <c r="CR723" s="871">
        <v>113600</v>
      </c>
      <c r="CS723" s="871">
        <v>115000</v>
      </c>
      <c r="CT723" s="871">
        <v>116400</v>
      </c>
      <c r="CU723" s="871">
        <v>117800</v>
      </c>
      <c r="CV723" s="871">
        <v>119200</v>
      </c>
      <c r="CW723" s="871">
        <v>120600</v>
      </c>
      <c r="CX723" s="871">
        <v>122000</v>
      </c>
      <c r="CY723" s="871">
        <v>123400</v>
      </c>
      <c r="CZ723" s="871">
        <v>124800</v>
      </c>
      <c r="DA723" s="871">
        <v>126200</v>
      </c>
      <c r="DB723" s="871">
        <v>127600</v>
      </c>
      <c r="DC723" s="871">
        <v>129000</v>
      </c>
      <c r="DD723" s="871">
        <v>130400</v>
      </c>
      <c r="DE723" s="871">
        <v>131800</v>
      </c>
      <c r="DF723" s="871">
        <v>133200</v>
      </c>
      <c r="DG723" s="871">
        <v>134600</v>
      </c>
      <c r="DH723" s="871">
        <v>136000</v>
      </c>
      <c r="DI723" s="871">
        <v>137400</v>
      </c>
      <c r="DJ723" s="871">
        <v>138800</v>
      </c>
      <c r="DK723" s="871">
        <v>140205</v>
      </c>
      <c r="DL723" s="871">
        <v>141600</v>
      </c>
      <c r="DM723" s="871">
        <v>0</v>
      </c>
      <c r="DN723" s="871">
        <v>0</v>
      </c>
      <c r="DO723" s="871">
        <v>0</v>
      </c>
      <c r="DP723" s="871">
        <v>0</v>
      </c>
      <c r="DQ723" s="871">
        <v>0</v>
      </c>
      <c r="DR723" s="871">
        <v>0</v>
      </c>
      <c r="DS723" s="871">
        <v>0</v>
      </c>
      <c r="DT723" s="871">
        <v>0</v>
      </c>
      <c r="DU723" s="871">
        <v>0</v>
      </c>
      <c r="DV723" s="871">
        <v>0</v>
      </c>
      <c r="DW723" s="871">
        <v>0</v>
      </c>
    </row>
    <row r="724" spans="12:127" hidden="1">
      <c r="L724" s="870" t="s">
        <v>1060</v>
      </c>
      <c r="M724" s="870" t="s">
        <v>1382</v>
      </c>
      <c r="N724" s="870" t="s">
        <v>97</v>
      </c>
      <c r="O724" s="871">
        <v>12</v>
      </c>
      <c r="P724" s="780" t="str">
        <f t="shared" si="22"/>
        <v>IWT060212</v>
      </c>
      <c r="Q724" s="871">
        <v>0</v>
      </c>
      <c r="R724" s="871">
        <v>0</v>
      </c>
      <c r="S724" s="871">
        <v>0</v>
      </c>
      <c r="T724" s="871">
        <v>0</v>
      </c>
      <c r="U724" s="871">
        <v>27035</v>
      </c>
      <c r="V724" s="871">
        <v>29326</v>
      </c>
      <c r="W724" s="871">
        <v>29326</v>
      </c>
      <c r="X724" s="871">
        <v>29326</v>
      </c>
      <c r="Y724" s="871">
        <v>29326</v>
      </c>
      <c r="Z724" s="871">
        <v>29847</v>
      </c>
      <c r="AA724" s="871">
        <v>30444</v>
      </c>
      <c r="AB724" s="871">
        <v>31053</v>
      </c>
      <c r="AC724" s="871">
        <v>31674</v>
      </c>
      <c r="AD724" s="871">
        <v>32308</v>
      </c>
      <c r="AE724" s="871">
        <v>32954</v>
      </c>
      <c r="AF724" s="871">
        <v>33613</v>
      </c>
      <c r="AG724" s="871">
        <v>34285</v>
      </c>
      <c r="AH724" s="871">
        <v>34971</v>
      </c>
      <c r="AI724" s="871">
        <v>35670</v>
      </c>
      <c r="AJ724" s="871">
        <v>36384</v>
      </c>
      <c r="AK724" s="871">
        <v>37111</v>
      </c>
      <c r="AL724" s="871">
        <v>37854</v>
      </c>
      <c r="AM724" s="871">
        <v>38611</v>
      </c>
      <c r="AN724" s="871">
        <v>39383</v>
      </c>
      <c r="AO724" s="871">
        <v>40171</v>
      </c>
      <c r="AP724" s="871">
        <v>40974</v>
      </c>
      <c r="AQ724" s="871">
        <v>41793</v>
      </c>
      <c r="AR724" s="871">
        <v>42629</v>
      </c>
      <c r="AS724" s="871">
        <v>43482</v>
      </c>
      <c r="AT724" s="871">
        <v>44352</v>
      </c>
      <c r="AU724" s="871">
        <v>45238</v>
      </c>
      <c r="AV724" s="871">
        <v>46400</v>
      </c>
      <c r="AW724" s="871">
        <v>47800</v>
      </c>
      <c r="AX724" s="871">
        <v>49200</v>
      </c>
      <c r="AY724" s="871">
        <v>50600</v>
      </c>
      <c r="AZ724" s="871">
        <v>52000</v>
      </c>
      <c r="BA724" s="871">
        <v>53400</v>
      </c>
      <c r="BB724" s="871">
        <v>54800</v>
      </c>
      <c r="BC724" s="871">
        <v>56200</v>
      </c>
      <c r="BD724" s="871">
        <v>57600</v>
      </c>
      <c r="BE724" s="871">
        <v>59000</v>
      </c>
      <c r="BF724" s="871">
        <v>60400</v>
      </c>
      <c r="BG724" s="871">
        <v>61800</v>
      </c>
      <c r="BH724" s="871">
        <v>63200</v>
      </c>
      <c r="BI724" s="871">
        <v>64600</v>
      </c>
      <c r="BJ724" s="871">
        <v>66000</v>
      </c>
      <c r="BK724" s="871">
        <v>67400</v>
      </c>
      <c r="BL724" s="871">
        <v>68800</v>
      </c>
      <c r="BM724" s="871">
        <v>70200</v>
      </c>
      <c r="BN724" s="871">
        <v>71600</v>
      </c>
      <c r="BO724" s="871">
        <v>73000</v>
      </c>
      <c r="BP724" s="871">
        <v>74400</v>
      </c>
      <c r="BQ724" s="871">
        <v>75800</v>
      </c>
      <c r="BR724" s="871">
        <v>77200</v>
      </c>
      <c r="BS724" s="871">
        <v>78600</v>
      </c>
      <c r="BT724" s="871">
        <v>80000</v>
      </c>
      <c r="BU724" s="871">
        <v>81400</v>
      </c>
      <c r="BV724" s="871">
        <v>82800</v>
      </c>
      <c r="BW724" s="871">
        <v>84200</v>
      </c>
      <c r="BX724" s="871">
        <v>85600</v>
      </c>
      <c r="BY724" s="871">
        <v>87000</v>
      </c>
      <c r="BZ724" s="871">
        <v>88400</v>
      </c>
      <c r="CA724" s="871">
        <v>89800</v>
      </c>
      <c r="CB724" s="871">
        <v>91200</v>
      </c>
      <c r="CC724" s="871">
        <v>92600</v>
      </c>
      <c r="CD724" s="871">
        <v>94000</v>
      </c>
      <c r="CE724" s="871">
        <v>95400</v>
      </c>
      <c r="CF724" s="871">
        <v>96800</v>
      </c>
      <c r="CG724" s="871">
        <v>98200</v>
      </c>
      <c r="CH724" s="871">
        <v>99600</v>
      </c>
      <c r="CI724" s="871">
        <v>101000</v>
      </c>
      <c r="CJ724" s="871">
        <v>102400</v>
      </c>
      <c r="CK724" s="871">
        <v>103800</v>
      </c>
      <c r="CL724" s="871">
        <v>105200</v>
      </c>
      <c r="CM724" s="871">
        <v>106600</v>
      </c>
      <c r="CN724" s="871">
        <v>108000</v>
      </c>
      <c r="CO724" s="871">
        <v>109400</v>
      </c>
      <c r="CP724" s="871">
        <v>110800</v>
      </c>
      <c r="CQ724" s="871">
        <v>112200</v>
      </c>
      <c r="CR724" s="871">
        <v>113600</v>
      </c>
      <c r="CS724" s="871">
        <v>115000</v>
      </c>
      <c r="CT724" s="871">
        <v>116400</v>
      </c>
      <c r="CU724" s="871">
        <v>117800</v>
      </c>
      <c r="CV724" s="871">
        <v>119200</v>
      </c>
      <c r="CW724" s="871">
        <v>120600</v>
      </c>
      <c r="CX724" s="871">
        <v>122000</v>
      </c>
      <c r="CY724" s="871">
        <v>123400</v>
      </c>
      <c r="CZ724" s="871">
        <v>124800</v>
      </c>
      <c r="DA724" s="871">
        <v>126200</v>
      </c>
      <c r="DB724" s="871">
        <v>127600</v>
      </c>
      <c r="DC724" s="871">
        <v>129000</v>
      </c>
      <c r="DD724" s="871">
        <v>130400</v>
      </c>
      <c r="DE724" s="871">
        <v>131800</v>
      </c>
      <c r="DF724" s="871">
        <v>133200</v>
      </c>
      <c r="DG724" s="871">
        <v>134600</v>
      </c>
      <c r="DH724" s="871">
        <v>136000</v>
      </c>
      <c r="DI724" s="871">
        <v>137400</v>
      </c>
      <c r="DJ724" s="871">
        <v>138819</v>
      </c>
      <c r="DK724" s="871">
        <v>140200</v>
      </c>
      <c r="DL724" s="871">
        <v>0</v>
      </c>
      <c r="DM724" s="871">
        <v>0</v>
      </c>
      <c r="DN724" s="871">
        <v>0</v>
      </c>
      <c r="DO724" s="871">
        <v>0</v>
      </c>
      <c r="DP724" s="871">
        <v>0</v>
      </c>
      <c r="DQ724" s="871">
        <v>0</v>
      </c>
      <c r="DR724" s="871">
        <v>0</v>
      </c>
      <c r="DS724" s="871">
        <v>0</v>
      </c>
      <c r="DT724" s="871">
        <v>0</v>
      </c>
      <c r="DU724" s="871">
        <v>0</v>
      </c>
      <c r="DV724" s="871">
        <v>0</v>
      </c>
      <c r="DW724" s="871">
        <v>0</v>
      </c>
    </row>
    <row r="725" spans="12:127" hidden="1">
      <c r="L725" s="870" t="s">
        <v>1060</v>
      </c>
      <c r="M725" s="870" t="s">
        <v>1382</v>
      </c>
      <c r="N725" s="870" t="s">
        <v>97</v>
      </c>
      <c r="O725" s="871">
        <v>13</v>
      </c>
      <c r="P725" s="780" t="str">
        <f t="shared" si="22"/>
        <v>IWT060213</v>
      </c>
      <c r="Q725" s="871">
        <v>0</v>
      </c>
      <c r="R725" s="871">
        <v>0</v>
      </c>
      <c r="S725" s="871">
        <v>0</v>
      </c>
      <c r="T725" s="871">
        <v>26653</v>
      </c>
      <c r="U725" s="871">
        <v>27187</v>
      </c>
      <c r="V725" s="871">
        <v>29491.3</v>
      </c>
      <c r="W725" s="871">
        <v>29491.3</v>
      </c>
      <c r="X725" s="871">
        <v>29491.3</v>
      </c>
      <c r="Y725" s="871">
        <v>29491.3</v>
      </c>
      <c r="Z725" s="871">
        <v>30015</v>
      </c>
      <c r="AA725" s="871">
        <v>30615</v>
      </c>
      <c r="AB725" s="871">
        <v>31227</v>
      </c>
      <c r="AC725" s="871">
        <v>31852</v>
      </c>
      <c r="AD725" s="871">
        <v>32489</v>
      </c>
      <c r="AE725" s="871">
        <v>33139</v>
      </c>
      <c r="AF725" s="871">
        <v>33802</v>
      </c>
      <c r="AG725" s="871">
        <v>34478</v>
      </c>
      <c r="AH725" s="871">
        <v>35167</v>
      </c>
      <c r="AI725" s="871">
        <v>35871</v>
      </c>
      <c r="AJ725" s="871">
        <v>36588</v>
      </c>
      <c r="AK725" s="871">
        <v>37320</v>
      </c>
      <c r="AL725" s="871">
        <v>38066</v>
      </c>
      <c r="AM725" s="871">
        <v>38827</v>
      </c>
      <c r="AN725" s="871">
        <v>39604</v>
      </c>
      <c r="AO725" s="871">
        <v>40396</v>
      </c>
      <c r="AP725" s="871">
        <v>41204</v>
      </c>
      <c r="AQ725" s="871">
        <v>42028</v>
      </c>
      <c r="AR725" s="871">
        <v>42869</v>
      </c>
      <c r="AS725" s="871">
        <v>43726</v>
      </c>
      <c r="AT725" s="871">
        <v>44601</v>
      </c>
      <c r="AU725" s="871">
        <v>45493</v>
      </c>
      <c r="AV725" s="871">
        <v>46402</v>
      </c>
      <c r="AW725" s="871">
        <v>47800</v>
      </c>
      <c r="AX725" s="871">
        <v>49200</v>
      </c>
      <c r="AY725" s="871">
        <v>50600</v>
      </c>
      <c r="AZ725" s="871">
        <v>52000</v>
      </c>
      <c r="BA725" s="871">
        <v>53400</v>
      </c>
      <c r="BB725" s="871">
        <v>54800</v>
      </c>
      <c r="BC725" s="871">
        <v>56200</v>
      </c>
      <c r="BD725" s="871">
        <v>57600</v>
      </c>
      <c r="BE725" s="871">
        <v>59000</v>
      </c>
      <c r="BF725" s="871">
        <v>60400</v>
      </c>
      <c r="BG725" s="871">
        <v>61800</v>
      </c>
      <c r="BH725" s="871">
        <v>63200</v>
      </c>
      <c r="BI725" s="871">
        <v>64600</v>
      </c>
      <c r="BJ725" s="871">
        <v>66000</v>
      </c>
      <c r="BK725" s="871">
        <v>67400</v>
      </c>
      <c r="BL725" s="871">
        <v>68800</v>
      </c>
      <c r="BM725" s="871">
        <v>70200</v>
      </c>
      <c r="BN725" s="871">
        <v>71600</v>
      </c>
      <c r="BO725" s="871">
        <v>73000</v>
      </c>
      <c r="BP725" s="871">
        <v>74400</v>
      </c>
      <c r="BQ725" s="871">
        <v>75800</v>
      </c>
      <c r="BR725" s="871">
        <v>77200</v>
      </c>
      <c r="BS725" s="871">
        <v>78600</v>
      </c>
      <c r="BT725" s="871">
        <v>80000</v>
      </c>
      <c r="BU725" s="871">
        <v>81400</v>
      </c>
      <c r="BV725" s="871">
        <v>82800</v>
      </c>
      <c r="BW725" s="871">
        <v>84200</v>
      </c>
      <c r="BX725" s="871">
        <v>85600</v>
      </c>
      <c r="BY725" s="871">
        <v>87000</v>
      </c>
      <c r="BZ725" s="871">
        <v>88400</v>
      </c>
      <c r="CA725" s="871">
        <v>89800</v>
      </c>
      <c r="CB725" s="871">
        <v>91200</v>
      </c>
      <c r="CC725" s="871">
        <v>92600</v>
      </c>
      <c r="CD725" s="871">
        <v>94000</v>
      </c>
      <c r="CE725" s="871">
        <v>95400</v>
      </c>
      <c r="CF725" s="871">
        <v>96800</v>
      </c>
      <c r="CG725" s="871">
        <v>98200</v>
      </c>
      <c r="CH725" s="871">
        <v>99600</v>
      </c>
      <c r="CI725" s="871">
        <v>101000</v>
      </c>
      <c r="CJ725" s="871">
        <v>102400</v>
      </c>
      <c r="CK725" s="871">
        <v>103800</v>
      </c>
      <c r="CL725" s="871">
        <v>105200</v>
      </c>
      <c r="CM725" s="871">
        <v>106600</v>
      </c>
      <c r="CN725" s="871">
        <v>108000</v>
      </c>
      <c r="CO725" s="871">
        <v>109400</v>
      </c>
      <c r="CP725" s="871">
        <v>110800</v>
      </c>
      <c r="CQ725" s="871">
        <v>112200</v>
      </c>
      <c r="CR725" s="871">
        <v>113600</v>
      </c>
      <c r="CS725" s="871">
        <v>115000</v>
      </c>
      <c r="CT725" s="871">
        <v>116400</v>
      </c>
      <c r="CU725" s="871">
        <v>117800</v>
      </c>
      <c r="CV725" s="871">
        <v>119200</v>
      </c>
      <c r="CW725" s="871">
        <v>120600</v>
      </c>
      <c r="CX725" s="871">
        <v>122000</v>
      </c>
      <c r="CY725" s="871">
        <v>123400</v>
      </c>
      <c r="CZ725" s="871">
        <v>124800</v>
      </c>
      <c r="DA725" s="871">
        <v>126200</v>
      </c>
      <c r="DB725" s="871">
        <v>127600</v>
      </c>
      <c r="DC725" s="871">
        <v>129000</v>
      </c>
      <c r="DD725" s="871">
        <v>130400</v>
      </c>
      <c r="DE725" s="871">
        <v>131800</v>
      </c>
      <c r="DF725" s="871">
        <v>133200</v>
      </c>
      <c r="DG725" s="871">
        <v>134600</v>
      </c>
      <c r="DH725" s="871">
        <v>136000</v>
      </c>
      <c r="DI725" s="871">
        <v>137432</v>
      </c>
      <c r="DJ725" s="871">
        <v>138800</v>
      </c>
      <c r="DK725" s="871">
        <v>0</v>
      </c>
      <c r="DL725" s="871">
        <v>0</v>
      </c>
      <c r="DM725" s="871">
        <v>0</v>
      </c>
      <c r="DN725" s="871">
        <v>0</v>
      </c>
      <c r="DO725" s="871">
        <v>0</v>
      </c>
      <c r="DP725" s="871">
        <v>0</v>
      </c>
      <c r="DQ725" s="871">
        <v>0</v>
      </c>
      <c r="DR725" s="871">
        <v>0</v>
      </c>
      <c r="DS725" s="871">
        <v>0</v>
      </c>
      <c r="DT725" s="871">
        <v>0</v>
      </c>
      <c r="DU725" s="871">
        <v>0</v>
      </c>
      <c r="DV725" s="871">
        <v>0</v>
      </c>
      <c r="DW725" s="871">
        <v>0</v>
      </c>
    </row>
    <row r="726" spans="12:127" hidden="1">
      <c r="L726" s="870" t="s">
        <v>1060</v>
      </c>
      <c r="M726" s="870" t="s">
        <v>1382</v>
      </c>
      <c r="N726" s="870" t="s">
        <v>97</v>
      </c>
      <c r="O726" s="871">
        <v>14</v>
      </c>
      <c r="P726" s="780" t="str">
        <f t="shared" si="22"/>
        <v>IWT060214</v>
      </c>
      <c r="Q726" s="871">
        <v>0</v>
      </c>
      <c r="R726" s="871">
        <v>0</v>
      </c>
      <c r="S726" s="871">
        <v>26273</v>
      </c>
      <c r="T726" s="871">
        <v>26798</v>
      </c>
      <c r="U726" s="871">
        <v>27334</v>
      </c>
      <c r="V726" s="871">
        <v>29656.7</v>
      </c>
      <c r="W726" s="871">
        <v>29656.7</v>
      </c>
      <c r="X726" s="871">
        <v>29656.7</v>
      </c>
      <c r="Y726" s="871">
        <v>29656.7</v>
      </c>
      <c r="Z726" s="871">
        <v>30178</v>
      </c>
      <c r="AA726" s="871">
        <v>30782</v>
      </c>
      <c r="AB726" s="871">
        <v>31397</v>
      </c>
      <c r="AC726" s="871">
        <v>32025</v>
      </c>
      <c r="AD726" s="871">
        <v>32666</v>
      </c>
      <c r="AE726" s="871">
        <v>33319</v>
      </c>
      <c r="AF726" s="871">
        <v>33985</v>
      </c>
      <c r="AG726" s="871">
        <v>34665</v>
      </c>
      <c r="AH726" s="871">
        <v>35358</v>
      </c>
      <c r="AI726" s="871">
        <v>36066</v>
      </c>
      <c r="AJ726" s="871">
        <v>36787</v>
      </c>
      <c r="AK726" s="871">
        <v>37523</v>
      </c>
      <c r="AL726" s="871">
        <v>38273</v>
      </c>
      <c r="AM726" s="871">
        <v>39038</v>
      </c>
      <c r="AN726" s="871">
        <v>39819</v>
      </c>
      <c r="AO726" s="871">
        <v>40616</v>
      </c>
      <c r="AP726" s="871">
        <v>41428</v>
      </c>
      <c r="AQ726" s="871">
        <v>42257</v>
      </c>
      <c r="AR726" s="871">
        <v>43102</v>
      </c>
      <c r="AS726" s="871">
        <v>43964</v>
      </c>
      <c r="AT726" s="871">
        <v>44843</v>
      </c>
      <c r="AU726" s="871">
        <v>45740</v>
      </c>
      <c r="AV726" s="871">
        <v>46654</v>
      </c>
      <c r="AW726" s="871">
        <v>47800</v>
      </c>
      <c r="AX726" s="871">
        <v>49200</v>
      </c>
      <c r="AY726" s="871">
        <v>50600</v>
      </c>
      <c r="AZ726" s="871">
        <v>52000</v>
      </c>
      <c r="BA726" s="871">
        <v>53400</v>
      </c>
      <c r="BB726" s="871">
        <v>54800</v>
      </c>
      <c r="BC726" s="871">
        <v>56200</v>
      </c>
      <c r="BD726" s="871">
        <v>57600</v>
      </c>
      <c r="BE726" s="871">
        <v>59000</v>
      </c>
      <c r="BF726" s="871">
        <v>60400</v>
      </c>
      <c r="BG726" s="871">
        <v>61800</v>
      </c>
      <c r="BH726" s="871">
        <v>63200</v>
      </c>
      <c r="BI726" s="871">
        <v>64600</v>
      </c>
      <c r="BJ726" s="871">
        <v>66000</v>
      </c>
      <c r="BK726" s="871">
        <v>67400</v>
      </c>
      <c r="BL726" s="871">
        <v>68800</v>
      </c>
      <c r="BM726" s="871">
        <v>70200</v>
      </c>
      <c r="BN726" s="871">
        <v>71600</v>
      </c>
      <c r="BO726" s="871">
        <v>73000</v>
      </c>
      <c r="BP726" s="871">
        <v>74400</v>
      </c>
      <c r="BQ726" s="871">
        <v>75800</v>
      </c>
      <c r="BR726" s="871">
        <v>77200</v>
      </c>
      <c r="BS726" s="871">
        <v>78600</v>
      </c>
      <c r="BT726" s="871">
        <v>80000</v>
      </c>
      <c r="BU726" s="871">
        <v>81400</v>
      </c>
      <c r="BV726" s="871">
        <v>82800</v>
      </c>
      <c r="BW726" s="871">
        <v>84200</v>
      </c>
      <c r="BX726" s="871">
        <v>85600</v>
      </c>
      <c r="BY726" s="871">
        <v>87000</v>
      </c>
      <c r="BZ726" s="871">
        <v>88400</v>
      </c>
      <c r="CA726" s="871">
        <v>89800</v>
      </c>
      <c r="CB726" s="871">
        <v>91200</v>
      </c>
      <c r="CC726" s="871">
        <v>92600</v>
      </c>
      <c r="CD726" s="871">
        <v>94000</v>
      </c>
      <c r="CE726" s="871">
        <v>95400</v>
      </c>
      <c r="CF726" s="871">
        <v>96800</v>
      </c>
      <c r="CG726" s="871">
        <v>98200</v>
      </c>
      <c r="CH726" s="871">
        <v>99600</v>
      </c>
      <c r="CI726" s="871">
        <v>101000</v>
      </c>
      <c r="CJ726" s="871">
        <v>102400</v>
      </c>
      <c r="CK726" s="871">
        <v>103800</v>
      </c>
      <c r="CL726" s="871">
        <v>105200</v>
      </c>
      <c r="CM726" s="871">
        <v>106600</v>
      </c>
      <c r="CN726" s="871">
        <v>108000</v>
      </c>
      <c r="CO726" s="871">
        <v>109400</v>
      </c>
      <c r="CP726" s="871">
        <v>110800</v>
      </c>
      <c r="CQ726" s="871">
        <v>112200</v>
      </c>
      <c r="CR726" s="871">
        <v>113600</v>
      </c>
      <c r="CS726" s="871">
        <v>115000</v>
      </c>
      <c r="CT726" s="871">
        <v>116400</v>
      </c>
      <c r="CU726" s="871">
        <v>117800</v>
      </c>
      <c r="CV726" s="871">
        <v>119200</v>
      </c>
      <c r="CW726" s="871">
        <v>120600</v>
      </c>
      <c r="CX726" s="871">
        <v>122000</v>
      </c>
      <c r="CY726" s="871">
        <v>123400</v>
      </c>
      <c r="CZ726" s="871">
        <v>124800</v>
      </c>
      <c r="DA726" s="871">
        <v>126200</v>
      </c>
      <c r="DB726" s="871">
        <v>127600</v>
      </c>
      <c r="DC726" s="871">
        <v>129000</v>
      </c>
      <c r="DD726" s="871">
        <v>130400</v>
      </c>
      <c r="DE726" s="871">
        <v>131800</v>
      </c>
      <c r="DF726" s="871">
        <v>133200</v>
      </c>
      <c r="DG726" s="871">
        <v>134600</v>
      </c>
      <c r="DH726" s="871">
        <v>136046</v>
      </c>
      <c r="DI726" s="871">
        <v>137400</v>
      </c>
      <c r="DJ726" s="871">
        <v>0</v>
      </c>
      <c r="DK726" s="871">
        <v>0</v>
      </c>
      <c r="DL726" s="871">
        <v>0</v>
      </c>
      <c r="DM726" s="871">
        <v>0</v>
      </c>
      <c r="DN726" s="871">
        <v>0</v>
      </c>
      <c r="DO726" s="871">
        <v>0</v>
      </c>
      <c r="DP726" s="871">
        <v>0</v>
      </c>
      <c r="DQ726" s="871">
        <v>0</v>
      </c>
      <c r="DR726" s="871">
        <v>0</v>
      </c>
      <c r="DS726" s="871">
        <v>0</v>
      </c>
      <c r="DT726" s="871">
        <v>0</v>
      </c>
      <c r="DU726" s="871">
        <v>0</v>
      </c>
      <c r="DV726" s="871">
        <v>0</v>
      </c>
      <c r="DW726" s="871">
        <v>0</v>
      </c>
    </row>
    <row r="727" spans="12:127" hidden="1">
      <c r="L727" s="870" t="s">
        <v>1060</v>
      </c>
      <c r="M727" s="870" t="s">
        <v>1382</v>
      </c>
      <c r="N727" s="870" t="s">
        <v>97</v>
      </c>
      <c r="O727" s="871">
        <v>15</v>
      </c>
      <c r="P727" s="780" t="str">
        <f t="shared" si="22"/>
        <v>IWT060215</v>
      </c>
      <c r="Q727" s="871">
        <v>0</v>
      </c>
      <c r="R727" s="871">
        <v>25893</v>
      </c>
      <c r="S727" s="871">
        <v>26411</v>
      </c>
      <c r="T727" s="871">
        <v>26939</v>
      </c>
      <c r="U727" s="871">
        <v>27478</v>
      </c>
      <c r="V727" s="871">
        <v>29809.3</v>
      </c>
      <c r="W727" s="871">
        <v>29809.3</v>
      </c>
      <c r="X727" s="871">
        <v>29809.3</v>
      </c>
      <c r="Y727" s="871">
        <v>29809.3</v>
      </c>
      <c r="Z727" s="871">
        <v>30337</v>
      </c>
      <c r="AA727" s="871">
        <v>30943</v>
      </c>
      <c r="AB727" s="871">
        <v>31562</v>
      </c>
      <c r="AC727" s="871">
        <v>32193</v>
      </c>
      <c r="AD727" s="871">
        <v>32837</v>
      </c>
      <c r="AE727" s="871">
        <v>33494</v>
      </c>
      <c r="AF727" s="871">
        <v>34164</v>
      </c>
      <c r="AG727" s="871">
        <v>34847</v>
      </c>
      <c r="AH727" s="871">
        <v>35544</v>
      </c>
      <c r="AI727" s="871">
        <v>36255</v>
      </c>
      <c r="AJ727" s="871">
        <v>36980</v>
      </c>
      <c r="AK727" s="871">
        <v>37720</v>
      </c>
      <c r="AL727" s="871">
        <v>38474</v>
      </c>
      <c r="AM727" s="871">
        <v>39244</v>
      </c>
      <c r="AN727" s="871">
        <v>40028</v>
      </c>
      <c r="AO727" s="871">
        <v>40829</v>
      </c>
      <c r="AP727" s="871">
        <v>41646</v>
      </c>
      <c r="AQ727" s="871">
        <v>42478</v>
      </c>
      <c r="AR727" s="871">
        <v>43328</v>
      </c>
      <c r="AS727" s="871">
        <v>44195</v>
      </c>
      <c r="AT727" s="871">
        <v>45078</v>
      </c>
      <c r="AU727" s="871">
        <v>45980</v>
      </c>
      <c r="AV727" s="871">
        <v>46900</v>
      </c>
      <c r="AW727" s="871">
        <v>47837</v>
      </c>
      <c r="AX727" s="871">
        <v>49200</v>
      </c>
      <c r="AY727" s="871">
        <v>50600</v>
      </c>
      <c r="AZ727" s="871">
        <v>52000</v>
      </c>
      <c r="BA727" s="871">
        <v>53400</v>
      </c>
      <c r="BB727" s="871">
        <v>54800</v>
      </c>
      <c r="BC727" s="871">
        <v>56200</v>
      </c>
      <c r="BD727" s="871">
        <v>57600</v>
      </c>
      <c r="BE727" s="871">
        <v>59000</v>
      </c>
      <c r="BF727" s="871">
        <v>60400</v>
      </c>
      <c r="BG727" s="871">
        <v>61800</v>
      </c>
      <c r="BH727" s="871">
        <v>63200</v>
      </c>
      <c r="BI727" s="871">
        <v>64600</v>
      </c>
      <c r="BJ727" s="871">
        <v>66000</v>
      </c>
      <c r="BK727" s="871">
        <v>67400</v>
      </c>
      <c r="BL727" s="871">
        <v>68800</v>
      </c>
      <c r="BM727" s="871">
        <v>70200</v>
      </c>
      <c r="BN727" s="871">
        <v>71600</v>
      </c>
      <c r="BO727" s="871">
        <v>73000</v>
      </c>
      <c r="BP727" s="871">
        <v>74400</v>
      </c>
      <c r="BQ727" s="871">
        <v>75800</v>
      </c>
      <c r="BR727" s="871">
        <v>77200</v>
      </c>
      <c r="BS727" s="871">
        <v>78600</v>
      </c>
      <c r="BT727" s="871">
        <v>80000</v>
      </c>
      <c r="BU727" s="871">
        <v>81400</v>
      </c>
      <c r="BV727" s="871">
        <v>82800</v>
      </c>
      <c r="BW727" s="871">
        <v>84200</v>
      </c>
      <c r="BX727" s="871">
        <v>85600</v>
      </c>
      <c r="BY727" s="871">
        <v>87000</v>
      </c>
      <c r="BZ727" s="871">
        <v>88400</v>
      </c>
      <c r="CA727" s="871">
        <v>89800</v>
      </c>
      <c r="CB727" s="871">
        <v>91200</v>
      </c>
      <c r="CC727" s="871">
        <v>92600</v>
      </c>
      <c r="CD727" s="871">
        <v>94000</v>
      </c>
      <c r="CE727" s="871">
        <v>95400</v>
      </c>
      <c r="CF727" s="871">
        <v>96800</v>
      </c>
      <c r="CG727" s="871">
        <v>98200</v>
      </c>
      <c r="CH727" s="871">
        <v>99600</v>
      </c>
      <c r="CI727" s="871">
        <v>101000</v>
      </c>
      <c r="CJ727" s="871">
        <v>102400</v>
      </c>
      <c r="CK727" s="871">
        <v>103800</v>
      </c>
      <c r="CL727" s="871">
        <v>105200</v>
      </c>
      <c r="CM727" s="871">
        <v>106600</v>
      </c>
      <c r="CN727" s="871">
        <v>108000</v>
      </c>
      <c r="CO727" s="871">
        <v>109400</v>
      </c>
      <c r="CP727" s="871">
        <v>110800</v>
      </c>
      <c r="CQ727" s="871">
        <v>112200</v>
      </c>
      <c r="CR727" s="871">
        <v>113600</v>
      </c>
      <c r="CS727" s="871">
        <v>115000</v>
      </c>
      <c r="CT727" s="871">
        <v>116400</v>
      </c>
      <c r="CU727" s="871">
        <v>117800</v>
      </c>
      <c r="CV727" s="871">
        <v>119200</v>
      </c>
      <c r="CW727" s="871">
        <v>120600</v>
      </c>
      <c r="CX727" s="871">
        <v>122000</v>
      </c>
      <c r="CY727" s="871">
        <v>123400</v>
      </c>
      <c r="CZ727" s="871">
        <v>124800</v>
      </c>
      <c r="DA727" s="871">
        <v>126200</v>
      </c>
      <c r="DB727" s="871">
        <v>127600</v>
      </c>
      <c r="DC727" s="871">
        <v>129000</v>
      </c>
      <c r="DD727" s="871">
        <v>130400</v>
      </c>
      <c r="DE727" s="871">
        <v>131800</v>
      </c>
      <c r="DF727" s="871">
        <v>133200</v>
      </c>
      <c r="DG727" s="871">
        <v>134660</v>
      </c>
      <c r="DH727" s="871">
        <v>136000</v>
      </c>
      <c r="DI727" s="871">
        <v>0</v>
      </c>
      <c r="DJ727" s="871">
        <v>0</v>
      </c>
      <c r="DK727" s="871">
        <v>0</v>
      </c>
      <c r="DL727" s="871">
        <v>0</v>
      </c>
      <c r="DM727" s="871">
        <v>0</v>
      </c>
      <c r="DN727" s="871">
        <v>0</v>
      </c>
      <c r="DO727" s="871">
        <v>0</v>
      </c>
      <c r="DP727" s="871">
        <v>0</v>
      </c>
      <c r="DQ727" s="871">
        <v>0</v>
      </c>
      <c r="DR727" s="871">
        <v>0</v>
      </c>
      <c r="DS727" s="871">
        <v>0</v>
      </c>
      <c r="DT727" s="871">
        <v>0</v>
      </c>
      <c r="DU727" s="871">
        <v>0</v>
      </c>
      <c r="DV727" s="871">
        <v>0</v>
      </c>
      <c r="DW727" s="871">
        <v>0</v>
      </c>
    </row>
    <row r="728" spans="12:127" hidden="1">
      <c r="L728" s="870" t="s">
        <v>1060</v>
      </c>
      <c r="M728" s="870" t="s">
        <v>1382</v>
      </c>
      <c r="N728" s="870" t="s">
        <v>97</v>
      </c>
      <c r="O728" s="871">
        <v>16</v>
      </c>
      <c r="P728" s="780" t="str">
        <f t="shared" si="22"/>
        <v>IWT060216</v>
      </c>
      <c r="Q728" s="871">
        <v>25514</v>
      </c>
      <c r="R728" s="871">
        <v>26024</v>
      </c>
      <c r="S728" s="871">
        <v>26545</v>
      </c>
      <c r="T728" s="871">
        <v>27076</v>
      </c>
      <c r="U728" s="871">
        <v>27617</v>
      </c>
      <c r="V728" s="871">
        <v>29962</v>
      </c>
      <c r="W728" s="871">
        <v>29962</v>
      </c>
      <c r="X728" s="871">
        <v>29962</v>
      </c>
      <c r="Y728" s="871">
        <v>29962</v>
      </c>
      <c r="Z728" s="871">
        <v>30490</v>
      </c>
      <c r="AA728" s="871">
        <v>31100</v>
      </c>
      <c r="AB728" s="871">
        <v>31722</v>
      </c>
      <c r="AC728" s="871">
        <v>32357</v>
      </c>
      <c r="AD728" s="871">
        <v>33004</v>
      </c>
      <c r="AE728" s="871">
        <v>33664</v>
      </c>
      <c r="AF728" s="871">
        <v>34337</v>
      </c>
      <c r="AG728" s="871">
        <v>35024</v>
      </c>
      <c r="AH728" s="871">
        <v>35724</v>
      </c>
      <c r="AI728" s="871">
        <v>36439</v>
      </c>
      <c r="AJ728" s="871">
        <v>37168</v>
      </c>
      <c r="AK728" s="871">
        <v>37911</v>
      </c>
      <c r="AL728" s="871">
        <v>38669</v>
      </c>
      <c r="AM728" s="871">
        <v>39442</v>
      </c>
      <c r="AN728" s="871">
        <v>40231</v>
      </c>
      <c r="AO728" s="871">
        <v>41036</v>
      </c>
      <c r="AP728" s="871">
        <v>41857</v>
      </c>
      <c r="AQ728" s="871">
        <v>42694</v>
      </c>
      <c r="AR728" s="871">
        <v>43548</v>
      </c>
      <c r="AS728" s="871">
        <v>44419</v>
      </c>
      <c r="AT728" s="871">
        <v>45307</v>
      </c>
      <c r="AU728" s="871">
        <v>46213</v>
      </c>
      <c r="AV728" s="871">
        <v>47137</v>
      </c>
      <c r="AW728" s="871">
        <v>48080</v>
      </c>
      <c r="AX728" s="871">
        <v>49200</v>
      </c>
      <c r="AY728" s="871">
        <v>50600</v>
      </c>
      <c r="AZ728" s="871">
        <v>52000</v>
      </c>
      <c r="BA728" s="871">
        <v>53400</v>
      </c>
      <c r="BB728" s="871">
        <v>54800</v>
      </c>
      <c r="BC728" s="871">
        <v>56200</v>
      </c>
      <c r="BD728" s="871">
        <v>57600</v>
      </c>
      <c r="BE728" s="871">
        <v>59000</v>
      </c>
      <c r="BF728" s="871">
        <v>60400</v>
      </c>
      <c r="BG728" s="871">
        <v>61800</v>
      </c>
      <c r="BH728" s="871">
        <v>63200</v>
      </c>
      <c r="BI728" s="871">
        <v>64600</v>
      </c>
      <c r="BJ728" s="871">
        <v>66000</v>
      </c>
      <c r="BK728" s="871">
        <v>67400</v>
      </c>
      <c r="BL728" s="871">
        <v>68800</v>
      </c>
      <c r="BM728" s="871">
        <v>70200</v>
      </c>
      <c r="BN728" s="871">
        <v>71600</v>
      </c>
      <c r="BO728" s="871">
        <v>73000</v>
      </c>
      <c r="BP728" s="871">
        <v>74400</v>
      </c>
      <c r="BQ728" s="871">
        <v>75800</v>
      </c>
      <c r="BR728" s="871">
        <v>77200</v>
      </c>
      <c r="BS728" s="871">
        <v>78600</v>
      </c>
      <c r="BT728" s="871">
        <v>80000</v>
      </c>
      <c r="BU728" s="871">
        <v>81400</v>
      </c>
      <c r="BV728" s="871">
        <v>82800</v>
      </c>
      <c r="BW728" s="871">
        <v>84200</v>
      </c>
      <c r="BX728" s="871">
        <v>85600</v>
      </c>
      <c r="BY728" s="871">
        <v>87000</v>
      </c>
      <c r="BZ728" s="871">
        <v>88400</v>
      </c>
      <c r="CA728" s="871">
        <v>89800</v>
      </c>
      <c r="CB728" s="871">
        <v>91200</v>
      </c>
      <c r="CC728" s="871">
        <v>92600</v>
      </c>
      <c r="CD728" s="871">
        <v>94000</v>
      </c>
      <c r="CE728" s="871">
        <v>95400</v>
      </c>
      <c r="CF728" s="871">
        <v>96800</v>
      </c>
      <c r="CG728" s="871">
        <v>98200</v>
      </c>
      <c r="CH728" s="871">
        <v>99600</v>
      </c>
      <c r="CI728" s="871">
        <v>101000</v>
      </c>
      <c r="CJ728" s="871">
        <v>102400</v>
      </c>
      <c r="CK728" s="871">
        <v>103800</v>
      </c>
      <c r="CL728" s="871">
        <v>105200</v>
      </c>
      <c r="CM728" s="871">
        <v>106600</v>
      </c>
      <c r="CN728" s="871">
        <v>108000</v>
      </c>
      <c r="CO728" s="871">
        <v>109400</v>
      </c>
      <c r="CP728" s="871">
        <v>110800</v>
      </c>
      <c r="CQ728" s="871">
        <v>112200</v>
      </c>
      <c r="CR728" s="871">
        <v>113600</v>
      </c>
      <c r="CS728" s="871">
        <v>115000</v>
      </c>
      <c r="CT728" s="871">
        <v>116400</v>
      </c>
      <c r="CU728" s="871">
        <v>117800</v>
      </c>
      <c r="CV728" s="871">
        <v>119200</v>
      </c>
      <c r="CW728" s="871">
        <v>120600</v>
      </c>
      <c r="CX728" s="871">
        <v>122000</v>
      </c>
      <c r="CY728" s="871">
        <v>123400</v>
      </c>
      <c r="CZ728" s="871">
        <v>124800</v>
      </c>
      <c r="DA728" s="871">
        <v>126200</v>
      </c>
      <c r="DB728" s="871">
        <v>127600</v>
      </c>
      <c r="DC728" s="871">
        <v>129000</v>
      </c>
      <c r="DD728" s="871">
        <v>130400</v>
      </c>
      <c r="DE728" s="871">
        <v>131801</v>
      </c>
      <c r="DF728" s="871">
        <v>133274</v>
      </c>
      <c r="DG728" s="871">
        <v>134600</v>
      </c>
      <c r="DH728" s="871">
        <v>0</v>
      </c>
      <c r="DI728" s="871">
        <v>0</v>
      </c>
      <c r="DJ728" s="871">
        <v>0</v>
      </c>
      <c r="DK728" s="871">
        <v>0</v>
      </c>
      <c r="DL728" s="871">
        <v>0</v>
      </c>
      <c r="DM728" s="871">
        <v>0</v>
      </c>
      <c r="DN728" s="871">
        <v>0</v>
      </c>
      <c r="DO728" s="871">
        <v>0</v>
      </c>
      <c r="DP728" s="871">
        <v>0</v>
      </c>
      <c r="DQ728" s="871">
        <v>0</v>
      </c>
      <c r="DR728" s="871">
        <v>0</v>
      </c>
      <c r="DS728" s="871">
        <v>0</v>
      </c>
      <c r="DT728" s="871">
        <v>0</v>
      </c>
      <c r="DU728" s="871">
        <v>0</v>
      </c>
      <c r="DV728" s="871">
        <v>0</v>
      </c>
      <c r="DW728" s="871">
        <v>0</v>
      </c>
    </row>
    <row r="729" spans="12:127" hidden="1">
      <c r="L729" s="870" t="s">
        <v>1060</v>
      </c>
      <c r="M729" s="870" t="s">
        <v>1382</v>
      </c>
      <c r="N729" s="870" t="s">
        <v>97</v>
      </c>
      <c r="O729" s="871">
        <v>17</v>
      </c>
      <c r="P729" s="780" t="str">
        <f t="shared" si="22"/>
        <v>IWT060217</v>
      </c>
      <c r="Q729" s="871">
        <v>25639</v>
      </c>
      <c r="R729" s="871">
        <v>26152</v>
      </c>
      <c r="S729" s="871">
        <v>26675</v>
      </c>
      <c r="T729" s="871">
        <v>27208</v>
      </c>
      <c r="U729" s="871">
        <v>27752</v>
      </c>
      <c r="V729" s="871">
        <v>30108.2</v>
      </c>
      <c r="W729" s="871">
        <v>30108.2</v>
      </c>
      <c r="X729" s="871">
        <v>30108.2</v>
      </c>
      <c r="Y729" s="871">
        <v>30108.2</v>
      </c>
      <c r="Z729" s="871">
        <v>30639</v>
      </c>
      <c r="AA729" s="871">
        <v>31252</v>
      </c>
      <c r="AB729" s="871">
        <v>31877</v>
      </c>
      <c r="AC729" s="871">
        <v>32515</v>
      </c>
      <c r="AD729" s="871">
        <v>33165</v>
      </c>
      <c r="AE729" s="871">
        <v>33828</v>
      </c>
      <c r="AF729" s="871">
        <v>34505</v>
      </c>
      <c r="AG729" s="871">
        <v>35195</v>
      </c>
      <c r="AH729" s="871">
        <v>35899</v>
      </c>
      <c r="AI729" s="871">
        <v>36617</v>
      </c>
      <c r="AJ729" s="871">
        <v>37349</v>
      </c>
      <c r="AK729" s="871">
        <v>38096</v>
      </c>
      <c r="AL729" s="871">
        <v>38858</v>
      </c>
      <c r="AM729" s="871">
        <v>39635</v>
      </c>
      <c r="AN729" s="871">
        <v>40428</v>
      </c>
      <c r="AO729" s="871">
        <v>41236</v>
      </c>
      <c r="AP729" s="871">
        <v>42061</v>
      </c>
      <c r="AQ729" s="871">
        <v>42902</v>
      </c>
      <c r="AR729" s="871">
        <v>43760</v>
      </c>
      <c r="AS729" s="871">
        <v>44635</v>
      </c>
      <c r="AT729" s="871">
        <v>45528</v>
      </c>
      <c r="AU729" s="871">
        <v>46439</v>
      </c>
      <c r="AV729" s="871">
        <v>47368</v>
      </c>
      <c r="AW729" s="871">
        <v>48315</v>
      </c>
      <c r="AX729" s="871">
        <v>49280</v>
      </c>
      <c r="AY729" s="871">
        <v>50600</v>
      </c>
      <c r="AZ729" s="871">
        <v>52000</v>
      </c>
      <c r="BA729" s="871">
        <v>53400</v>
      </c>
      <c r="BB729" s="871">
        <v>54800</v>
      </c>
      <c r="BC729" s="871">
        <v>56200</v>
      </c>
      <c r="BD729" s="871">
        <v>57600</v>
      </c>
      <c r="BE729" s="871">
        <v>59000</v>
      </c>
      <c r="BF729" s="871">
        <v>60400</v>
      </c>
      <c r="BG729" s="871">
        <v>61800</v>
      </c>
      <c r="BH729" s="871">
        <v>63200</v>
      </c>
      <c r="BI729" s="871">
        <v>64600</v>
      </c>
      <c r="BJ729" s="871">
        <v>66000</v>
      </c>
      <c r="BK729" s="871">
        <v>67400</v>
      </c>
      <c r="BL729" s="871">
        <v>68800</v>
      </c>
      <c r="BM729" s="871">
        <v>70200</v>
      </c>
      <c r="BN729" s="871">
        <v>71600</v>
      </c>
      <c r="BO729" s="871">
        <v>73000</v>
      </c>
      <c r="BP729" s="871">
        <v>74400</v>
      </c>
      <c r="BQ729" s="871">
        <v>75800</v>
      </c>
      <c r="BR729" s="871">
        <v>77200</v>
      </c>
      <c r="BS729" s="871">
        <v>78600</v>
      </c>
      <c r="BT729" s="871">
        <v>80000</v>
      </c>
      <c r="BU729" s="871">
        <v>81400</v>
      </c>
      <c r="BV729" s="871">
        <v>82800</v>
      </c>
      <c r="BW729" s="871">
        <v>84200</v>
      </c>
      <c r="BX729" s="871">
        <v>85600</v>
      </c>
      <c r="BY729" s="871">
        <v>87000</v>
      </c>
      <c r="BZ729" s="871">
        <v>88400</v>
      </c>
      <c r="CA729" s="871">
        <v>89800</v>
      </c>
      <c r="CB729" s="871">
        <v>91200</v>
      </c>
      <c r="CC729" s="871">
        <v>92600</v>
      </c>
      <c r="CD729" s="871">
        <v>94000</v>
      </c>
      <c r="CE729" s="871">
        <v>95400</v>
      </c>
      <c r="CF729" s="871">
        <v>96800</v>
      </c>
      <c r="CG729" s="871">
        <v>98200</v>
      </c>
      <c r="CH729" s="871">
        <v>99600</v>
      </c>
      <c r="CI729" s="871">
        <v>101000</v>
      </c>
      <c r="CJ729" s="871">
        <v>102400</v>
      </c>
      <c r="CK729" s="871">
        <v>103800</v>
      </c>
      <c r="CL729" s="871">
        <v>105200</v>
      </c>
      <c r="CM729" s="871">
        <v>106600</v>
      </c>
      <c r="CN729" s="871">
        <v>108000</v>
      </c>
      <c r="CO729" s="871">
        <v>109400</v>
      </c>
      <c r="CP729" s="871">
        <v>110800</v>
      </c>
      <c r="CQ729" s="871">
        <v>112200</v>
      </c>
      <c r="CR729" s="871">
        <v>113600</v>
      </c>
      <c r="CS729" s="871">
        <v>115000</v>
      </c>
      <c r="CT729" s="871">
        <v>116400</v>
      </c>
      <c r="CU729" s="871">
        <v>117800</v>
      </c>
      <c r="CV729" s="871">
        <v>119200</v>
      </c>
      <c r="CW729" s="871">
        <v>120600</v>
      </c>
      <c r="CX729" s="871">
        <v>122000</v>
      </c>
      <c r="CY729" s="871">
        <v>123400</v>
      </c>
      <c r="CZ729" s="871">
        <v>124800</v>
      </c>
      <c r="DA729" s="871">
        <v>126200</v>
      </c>
      <c r="DB729" s="871">
        <v>127600</v>
      </c>
      <c r="DC729" s="871">
        <v>129000</v>
      </c>
      <c r="DD729" s="871">
        <v>130417</v>
      </c>
      <c r="DE729" s="871">
        <v>131888</v>
      </c>
      <c r="DF729" s="871">
        <v>133200</v>
      </c>
      <c r="DG729" s="871">
        <v>0</v>
      </c>
      <c r="DH729" s="871">
        <v>0</v>
      </c>
      <c r="DI729" s="871">
        <v>0</v>
      </c>
      <c r="DJ729" s="871">
        <v>0</v>
      </c>
      <c r="DK729" s="871">
        <v>0</v>
      </c>
      <c r="DL729" s="871">
        <v>0</v>
      </c>
      <c r="DM729" s="871">
        <v>0</v>
      </c>
      <c r="DN729" s="871">
        <v>0</v>
      </c>
      <c r="DO729" s="871">
        <v>0</v>
      </c>
      <c r="DP729" s="871">
        <v>0</v>
      </c>
      <c r="DQ729" s="871">
        <v>0</v>
      </c>
      <c r="DR729" s="871">
        <v>0</v>
      </c>
      <c r="DS729" s="871">
        <v>0</v>
      </c>
      <c r="DT729" s="871">
        <v>0</v>
      </c>
      <c r="DU729" s="871">
        <v>0</v>
      </c>
      <c r="DV729" s="871">
        <v>0</v>
      </c>
      <c r="DW729" s="871">
        <v>0</v>
      </c>
    </row>
    <row r="730" spans="12:127" hidden="1">
      <c r="L730" s="870" t="s">
        <v>1060</v>
      </c>
      <c r="M730" s="870" t="s">
        <v>1382</v>
      </c>
      <c r="N730" s="870" t="s">
        <v>97</v>
      </c>
      <c r="O730" s="871">
        <v>18</v>
      </c>
      <c r="P730" s="780" t="str">
        <f t="shared" si="22"/>
        <v>IWT060218</v>
      </c>
      <c r="Q730" s="871">
        <v>25759</v>
      </c>
      <c r="R730" s="871">
        <v>26275</v>
      </c>
      <c r="S730" s="871">
        <v>26800</v>
      </c>
      <c r="T730" s="871">
        <v>27336</v>
      </c>
      <c r="U730" s="871">
        <v>27883</v>
      </c>
      <c r="V730" s="871">
        <v>30248.2</v>
      </c>
      <c r="W730" s="871">
        <v>30248.2</v>
      </c>
      <c r="X730" s="871">
        <v>30248.2</v>
      </c>
      <c r="Y730" s="871">
        <v>30248.2</v>
      </c>
      <c r="Z730" s="871">
        <v>30783</v>
      </c>
      <c r="AA730" s="871">
        <v>31399</v>
      </c>
      <c r="AB730" s="871">
        <v>32027</v>
      </c>
      <c r="AC730" s="871">
        <v>32667</v>
      </c>
      <c r="AD730" s="871">
        <v>33321</v>
      </c>
      <c r="AE730" s="871">
        <v>33987</v>
      </c>
      <c r="AF730" s="871">
        <v>34667</v>
      </c>
      <c r="AG730" s="871">
        <v>35360</v>
      </c>
      <c r="AH730" s="871">
        <v>36067</v>
      </c>
      <c r="AI730" s="871">
        <v>36789</v>
      </c>
      <c r="AJ730" s="871">
        <v>37524</v>
      </c>
      <c r="AK730" s="871">
        <v>38275</v>
      </c>
      <c r="AL730" s="871">
        <v>39040</v>
      </c>
      <c r="AM730" s="871">
        <v>39821</v>
      </c>
      <c r="AN730" s="871">
        <v>40618</v>
      </c>
      <c r="AO730" s="871">
        <v>41430</v>
      </c>
      <c r="AP730" s="871">
        <v>42259</v>
      </c>
      <c r="AQ730" s="871">
        <v>43104</v>
      </c>
      <c r="AR730" s="871">
        <v>43966</v>
      </c>
      <c r="AS730" s="871">
        <v>44845</v>
      </c>
      <c r="AT730" s="871">
        <v>45742</v>
      </c>
      <c r="AU730" s="871">
        <v>46657</v>
      </c>
      <c r="AV730" s="871">
        <v>47590</v>
      </c>
      <c r="AW730" s="871">
        <v>48542</v>
      </c>
      <c r="AX730" s="871">
        <v>49512</v>
      </c>
      <c r="AY730" s="871">
        <v>50600</v>
      </c>
      <c r="AZ730" s="871">
        <v>52000</v>
      </c>
      <c r="BA730" s="871">
        <v>53400</v>
      </c>
      <c r="BB730" s="871">
        <v>54800</v>
      </c>
      <c r="BC730" s="871">
        <v>56200</v>
      </c>
      <c r="BD730" s="871">
        <v>57600</v>
      </c>
      <c r="BE730" s="871">
        <v>59000</v>
      </c>
      <c r="BF730" s="871">
        <v>60400</v>
      </c>
      <c r="BG730" s="871">
        <v>61800</v>
      </c>
      <c r="BH730" s="871">
        <v>63200</v>
      </c>
      <c r="BI730" s="871">
        <v>64600</v>
      </c>
      <c r="BJ730" s="871">
        <v>66000</v>
      </c>
      <c r="BK730" s="871">
        <v>67400</v>
      </c>
      <c r="BL730" s="871">
        <v>68800</v>
      </c>
      <c r="BM730" s="871">
        <v>70200</v>
      </c>
      <c r="BN730" s="871">
        <v>71600</v>
      </c>
      <c r="BO730" s="871">
        <v>73000</v>
      </c>
      <c r="BP730" s="871">
        <v>74400</v>
      </c>
      <c r="BQ730" s="871">
        <v>75800</v>
      </c>
      <c r="BR730" s="871">
        <v>77200</v>
      </c>
      <c r="BS730" s="871">
        <v>78600</v>
      </c>
      <c r="BT730" s="871">
        <v>80000</v>
      </c>
      <c r="BU730" s="871">
        <v>81400</v>
      </c>
      <c r="BV730" s="871">
        <v>82800</v>
      </c>
      <c r="BW730" s="871">
        <v>84200</v>
      </c>
      <c r="BX730" s="871">
        <v>85600</v>
      </c>
      <c r="BY730" s="871">
        <v>87000</v>
      </c>
      <c r="BZ730" s="871">
        <v>88400</v>
      </c>
      <c r="CA730" s="871">
        <v>89800</v>
      </c>
      <c r="CB730" s="871">
        <v>91200</v>
      </c>
      <c r="CC730" s="871">
        <v>92600</v>
      </c>
      <c r="CD730" s="871">
        <v>94000</v>
      </c>
      <c r="CE730" s="871">
        <v>95400</v>
      </c>
      <c r="CF730" s="871">
        <v>96800</v>
      </c>
      <c r="CG730" s="871">
        <v>98200</v>
      </c>
      <c r="CH730" s="871">
        <v>99600</v>
      </c>
      <c r="CI730" s="871">
        <v>101000</v>
      </c>
      <c r="CJ730" s="871">
        <v>102400</v>
      </c>
      <c r="CK730" s="871">
        <v>103800</v>
      </c>
      <c r="CL730" s="871">
        <v>105200</v>
      </c>
      <c r="CM730" s="871">
        <v>106600</v>
      </c>
      <c r="CN730" s="871">
        <v>108000</v>
      </c>
      <c r="CO730" s="871">
        <v>109400</v>
      </c>
      <c r="CP730" s="871">
        <v>110800</v>
      </c>
      <c r="CQ730" s="871">
        <v>112200</v>
      </c>
      <c r="CR730" s="871">
        <v>113600</v>
      </c>
      <c r="CS730" s="871">
        <v>115000</v>
      </c>
      <c r="CT730" s="871">
        <v>116400</v>
      </c>
      <c r="CU730" s="871">
        <v>117800</v>
      </c>
      <c r="CV730" s="871">
        <v>119200</v>
      </c>
      <c r="CW730" s="871">
        <v>120600</v>
      </c>
      <c r="CX730" s="871">
        <v>122000</v>
      </c>
      <c r="CY730" s="871">
        <v>123400</v>
      </c>
      <c r="CZ730" s="871">
        <v>124800</v>
      </c>
      <c r="DA730" s="871">
        <v>126200</v>
      </c>
      <c r="DB730" s="871">
        <v>127600</v>
      </c>
      <c r="DC730" s="871">
        <v>129032</v>
      </c>
      <c r="DD730" s="871">
        <v>130501</v>
      </c>
      <c r="DE730" s="871">
        <v>131800</v>
      </c>
      <c r="DF730" s="871">
        <v>0</v>
      </c>
      <c r="DG730" s="871">
        <v>0</v>
      </c>
      <c r="DH730" s="871">
        <v>0</v>
      </c>
      <c r="DI730" s="871">
        <v>0</v>
      </c>
      <c r="DJ730" s="871">
        <v>0</v>
      </c>
      <c r="DK730" s="871">
        <v>0</v>
      </c>
      <c r="DL730" s="871">
        <v>0</v>
      </c>
      <c r="DM730" s="871">
        <v>0</v>
      </c>
      <c r="DN730" s="871">
        <v>0</v>
      </c>
      <c r="DO730" s="871">
        <v>0</v>
      </c>
      <c r="DP730" s="871">
        <v>0</v>
      </c>
      <c r="DQ730" s="871">
        <v>0</v>
      </c>
      <c r="DR730" s="871">
        <v>0</v>
      </c>
      <c r="DS730" s="871">
        <v>0</v>
      </c>
      <c r="DT730" s="871">
        <v>0</v>
      </c>
      <c r="DU730" s="871">
        <v>0</v>
      </c>
      <c r="DV730" s="871">
        <v>0</v>
      </c>
      <c r="DW730" s="871">
        <v>0</v>
      </c>
    </row>
    <row r="731" spans="12:127" hidden="1">
      <c r="L731" s="870" t="s">
        <v>1060</v>
      </c>
      <c r="M731" s="870" t="s">
        <v>1382</v>
      </c>
      <c r="N731" s="870" t="s">
        <v>97</v>
      </c>
      <c r="O731" s="871">
        <v>19</v>
      </c>
      <c r="P731" s="780" t="str">
        <f t="shared" si="22"/>
        <v>IWT060219</v>
      </c>
      <c r="Q731" s="871">
        <v>25876</v>
      </c>
      <c r="R731" s="871">
        <v>26393</v>
      </c>
      <c r="S731" s="871">
        <v>26921</v>
      </c>
      <c r="T731" s="871">
        <v>27459</v>
      </c>
      <c r="U731" s="871">
        <v>28008</v>
      </c>
      <c r="V731" s="871">
        <v>30388.1</v>
      </c>
      <c r="W731" s="871">
        <v>30388.1</v>
      </c>
      <c r="X731" s="871">
        <v>30388.1</v>
      </c>
      <c r="Y731" s="871">
        <v>30388.1</v>
      </c>
      <c r="Z731" s="871">
        <v>30922</v>
      </c>
      <c r="AA731" s="871">
        <v>31540</v>
      </c>
      <c r="AB731" s="871">
        <v>32171</v>
      </c>
      <c r="AC731" s="871">
        <v>32814</v>
      </c>
      <c r="AD731" s="871">
        <v>33471</v>
      </c>
      <c r="AE731" s="871">
        <v>34140</v>
      </c>
      <c r="AF731" s="871">
        <v>34823</v>
      </c>
      <c r="AG731" s="871">
        <v>35519</v>
      </c>
      <c r="AH731" s="871">
        <v>36230</v>
      </c>
      <c r="AI731" s="871">
        <v>36954</v>
      </c>
      <c r="AJ731" s="871">
        <v>37693</v>
      </c>
      <c r="AK731" s="871">
        <v>38447</v>
      </c>
      <c r="AL731" s="871">
        <v>39216</v>
      </c>
      <c r="AM731" s="871">
        <v>40001</v>
      </c>
      <c r="AN731" s="871">
        <v>40801</v>
      </c>
      <c r="AO731" s="871">
        <v>41617</v>
      </c>
      <c r="AP731" s="871">
        <v>42449</v>
      </c>
      <c r="AQ731" s="871">
        <v>43298</v>
      </c>
      <c r="AR731" s="871">
        <v>44164</v>
      </c>
      <c r="AS731" s="871">
        <v>45047</v>
      </c>
      <c r="AT731" s="871">
        <v>45948</v>
      </c>
      <c r="AU731" s="871">
        <v>46867</v>
      </c>
      <c r="AV731" s="871">
        <v>47804</v>
      </c>
      <c r="AW731" s="871">
        <v>48760</v>
      </c>
      <c r="AX731" s="871">
        <v>49736</v>
      </c>
      <c r="AY731" s="871">
        <v>50729</v>
      </c>
      <c r="AZ731" s="871">
        <v>52000</v>
      </c>
      <c r="BA731" s="871">
        <v>53400</v>
      </c>
      <c r="BB731" s="871">
        <v>54800</v>
      </c>
      <c r="BC731" s="871">
        <v>56200</v>
      </c>
      <c r="BD731" s="871">
        <v>57600</v>
      </c>
      <c r="BE731" s="871">
        <v>59000</v>
      </c>
      <c r="BF731" s="871">
        <v>60400</v>
      </c>
      <c r="BG731" s="871">
        <v>61800</v>
      </c>
      <c r="BH731" s="871">
        <v>63200</v>
      </c>
      <c r="BI731" s="871">
        <v>64600</v>
      </c>
      <c r="BJ731" s="871">
        <v>66000</v>
      </c>
      <c r="BK731" s="871">
        <v>67400</v>
      </c>
      <c r="BL731" s="871">
        <v>68800</v>
      </c>
      <c r="BM731" s="871">
        <v>70200</v>
      </c>
      <c r="BN731" s="871">
        <v>71600</v>
      </c>
      <c r="BO731" s="871">
        <v>73000</v>
      </c>
      <c r="BP731" s="871">
        <v>74400</v>
      </c>
      <c r="BQ731" s="871">
        <v>75800</v>
      </c>
      <c r="BR731" s="871">
        <v>77200</v>
      </c>
      <c r="BS731" s="871">
        <v>78600</v>
      </c>
      <c r="BT731" s="871">
        <v>80000</v>
      </c>
      <c r="BU731" s="871">
        <v>81400</v>
      </c>
      <c r="BV731" s="871">
        <v>82800</v>
      </c>
      <c r="BW731" s="871">
        <v>84200</v>
      </c>
      <c r="BX731" s="871">
        <v>85600</v>
      </c>
      <c r="BY731" s="871">
        <v>87000</v>
      </c>
      <c r="BZ731" s="871">
        <v>88400</v>
      </c>
      <c r="CA731" s="871">
        <v>89800</v>
      </c>
      <c r="CB731" s="871">
        <v>91200</v>
      </c>
      <c r="CC731" s="871">
        <v>92600</v>
      </c>
      <c r="CD731" s="871">
        <v>94000</v>
      </c>
      <c r="CE731" s="871">
        <v>95400</v>
      </c>
      <c r="CF731" s="871">
        <v>96800</v>
      </c>
      <c r="CG731" s="871">
        <v>98200</v>
      </c>
      <c r="CH731" s="871">
        <v>99600</v>
      </c>
      <c r="CI731" s="871">
        <v>101000</v>
      </c>
      <c r="CJ731" s="871">
        <v>102400</v>
      </c>
      <c r="CK731" s="871">
        <v>103800</v>
      </c>
      <c r="CL731" s="871">
        <v>105200</v>
      </c>
      <c r="CM731" s="871">
        <v>106600</v>
      </c>
      <c r="CN731" s="871">
        <v>108000</v>
      </c>
      <c r="CO731" s="871">
        <v>109400</v>
      </c>
      <c r="CP731" s="871">
        <v>110800</v>
      </c>
      <c r="CQ731" s="871">
        <v>112200</v>
      </c>
      <c r="CR731" s="871">
        <v>113600</v>
      </c>
      <c r="CS731" s="871">
        <v>115000</v>
      </c>
      <c r="CT731" s="871">
        <v>116400</v>
      </c>
      <c r="CU731" s="871">
        <v>117800</v>
      </c>
      <c r="CV731" s="871">
        <v>119200</v>
      </c>
      <c r="CW731" s="871">
        <v>120600</v>
      </c>
      <c r="CX731" s="871">
        <v>122000</v>
      </c>
      <c r="CY731" s="871">
        <v>123400</v>
      </c>
      <c r="CZ731" s="871">
        <v>124800</v>
      </c>
      <c r="DA731" s="871">
        <v>126200</v>
      </c>
      <c r="DB731" s="871">
        <v>127648</v>
      </c>
      <c r="DC731" s="871">
        <v>129115</v>
      </c>
      <c r="DD731" s="871">
        <v>130400</v>
      </c>
      <c r="DE731" s="871">
        <v>0</v>
      </c>
      <c r="DF731" s="871">
        <v>0</v>
      </c>
      <c r="DG731" s="871">
        <v>0</v>
      </c>
      <c r="DH731" s="871">
        <v>0</v>
      </c>
      <c r="DI731" s="871">
        <v>0</v>
      </c>
      <c r="DJ731" s="871">
        <v>0</v>
      </c>
      <c r="DK731" s="871">
        <v>0</v>
      </c>
      <c r="DL731" s="871">
        <v>0</v>
      </c>
      <c r="DM731" s="871">
        <v>0</v>
      </c>
      <c r="DN731" s="871">
        <v>0</v>
      </c>
      <c r="DO731" s="871">
        <v>0</v>
      </c>
      <c r="DP731" s="871">
        <v>0</v>
      </c>
      <c r="DQ731" s="871">
        <v>0</v>
      </c>
      <c r="DR731" s="871">
        <v>0</v>
      </c>
      <c r="DS731" s="871">
        <v>0</v>
      </c>
      <c r="DT731" s="871">
        <v>0</v>
      </c>
      <c r="DU731" s="871">
        <v>0</v>
      </c>
      <c r="DV731" s="871">
        <v>0</v>
      </c>
      <c r="DW731" s="871">
        <v>0</v>
      </c>
    </row>
    <row r="732" spans="12:127" hidden="1">
      <c r="L732" s="870" t="s">
        <v>1060</v>
      </c>
      <c r="M732" s="870" t="s">
        <v>1382</v>
      </c>
      <c r="N732" s="870" t="s">
        <v>97</v>
      </c>
      <c r="O732" s="871">
        <v>20</v>
      </c>
      <c r="P732" s="780" t="str">
        <f t="shared" si="22"/>
        <v>IWT060220</v>
      </c>
      <c r="Q732" s="871">
        <v>25987</v>
      </c>
      <c r="R732" s="871">
        <v>26507</v>
      </c>
      <c r="S732" s="871">
        <v>27037</v>
      </c>
      <c r="T732" s="871">
        <v>27578</v>
      </c>
      <c r="U732" s="871">
        <v>28130</v>
      </c>
      <c r="V732" s="871">
        <v>30515.3</v>
      </c>
      <c r="W732" s="871">
        <v>30515.3</v>
      </c>
      <c r="X732" s="871">
        <v>30515.3</v>
      </c>
      <c r="Y732" s="871">
        <v>30515.3</v>
      </c>
      <c r="Z732" s="871">
        <v>31055</v>
      </c>
      <c r="AA732" s="871">
        <v>31676</v>
      </c>
      <c r="AB732" s="871">
        <v>32310</v>
      </c>
      <c r="AC732" s="871">
        <v>32956</v>
      </c>
      <c r="AD732" s="871">
        <v>33615</v>
      </c>
      <c r="AE732" s="871">
        <v>34288</v>
      </c>
      <c r="AF732" s="871">
        <v>34973</v>
      </c>
      <c r="AG732" s="871">
        <v>35673</v>
      </c>
      <c r="AH732" s="871">
        <v>36386</v>
      </c>
      <c r="AI732" s="871">
        <v>37114</v>
      </c>
      <c r="AJ732" s="871">
        <v>37856</v>
      </c>
      <c r="AK732" s="871">
        <v>38613</v>
      </c>
      <c r="AL732" s="871">
        <v>39386</v>
      </c>
      <c r="AM732" s="871">
        <v>40173</v>
      </c>
      <c r="AN732" s="871">
        <v>40977</v>
      </c>
      <c r="AO732" s="871">
        <v>41796</v>
      </c>
      <c r="AP732" s="871">
        <v>42632</v>
      </c>
      <c r="AQ732" s="871">
        <v>43485</v>
      </c>
      <c r="AR732" s="871">
        <v>44355</v>
      </c>
      <c r="AS732" s="871">
        <v>45242</v>
      </c>
      <c r="AT732" s="871">
        <v>46146</v>
      </c>
      <c r="AU732" s="871">
        <v>47069</v>
      </c>
      <c r="AV732" s="871">
        <v>48011</v>
      </c>
      <c r="AW732" s="871">
        <v>48971</v>
      </c>
      <c r="AX732" s="871">
        <v>49950</v>
      </c>
      <c r="AY732" s="871">
        <v>50949</v>
      </c>
      <c r="AZ732" s="871">
        <v>52000</v>
      </c>
      <c r="BA732" s="871">
        <v>53400</v>
      </c>
      <c r="BB732" s="871">
        <v>54800</v>
      </c>
      <c r="BC732" s="871">
        <v>56200</v>
      </c>
      <c r="BD732" s="871">
        <v>57600</v>
      </c>
      <c r="BE732" s="871">
        <v>59000</v>
      </c>
      <c r="BF732" s="871">
        <v>60400</v>
      </c>
      <c r="BG732" s="871">
        <v>61800</v>
      </c>
      <c r="BH732" s="871">
        <v>63200</v>
      </c>
      <c r="BI732" s="871">
        <v>64600</v>
      </c>
      <c r="BJ732" s="871">
        <v>66000</v>
      </c>
      <c r="BK732" s="871">
        <v>67400</v>
      </c>
      <c r="BL732" s="871">
        <v>68800</v>
      </c>
      <c r="BM732" s="871">
        <v>70200</v>
      </c>
      <c r="BN732" s="871">
        <v>71600</v>
      </c>
      <c r="BO732" s="871">
        <v>73000</v>
      </c>
      <c r="BP732" s="871">
        <v>74400</v>
      </c>
      <c r="BQ732" s="871">
        <v>75800</v>
      </c>
      <c r="BR732" s="871">
        <v>77200</v>
      </c>
      <c r="BS732" s="871">
        <v>78600</v>
      </c>
      <c r="BT732" s="871">
        <v>80000</v>
      </c>
      <c r="BU732" s="871">
        <v>81400</v>
      </c>
      <c r="BV732" s="871">
        <v>82800</v>
      </c>
      <c r="BW732" s="871">
        <v>84200</v>
      </c>
      <c r="BX732" s="871">
        <v>85600</v>
      </c>
      <c r="BY732" s="871">
        <v>87000</v>
      </c>
      <c r="BZ732" s="871">
        <v>88400</v>
      </c>
      <c r="CA732" s="871">
        <v>89800</v>
      </c>
      <c r="CB732" s="871">
        <v>91200</v>
      </c>
      <c r="CC732" s="871">
        <v>92600</v>
      </c>
      <c r="CD732" s="871">
        <v>94000</v>
      </c>
      <c r="CE732" s="871">
        <v>95400</v>
      </c>
      <c r="CF732" s="871">
        <v>96800</v>
      </c>
      <c r="CG732" s="871">
        <v>98200</v>
      </c>
      <c r="CH732" s="871">
        <v>99600</v>
      </c>
      <c r="CI732" s="871">
        <v>101000</v>
      </c>
      <c r="CJ732" s="871">
        <v>102400</v>
      </c>
      <c r="CK732" s="871">
        <v>103800</v>
      </c>
      <c r="CL732" s="871">
        <v>105200</v>
      </c>
      <c r="CM732" s="871">
        <v>106600</v>
      </c>
      <c r="CN732" s="871">
        <v>108000</v>
      </c>
      <c r="CO732" s="871">
        <v>109400</v>
      </c>
      <c r="CP732" s="871">
        <v>110800</v>
      </c>
      <c r="CQ732" s="871">
        <v>112200</v>
      </c>
      <c r="CR732" s="871">
        <v>113600</v>
      </c>
      <c r="CS732" s="871">
        <v>115000</v>
      </c>
      <c r="CT732" s="871">
        <v>116400</v>
      </c>
      <c r="CU732" s="871">
        <v>117800</v>
      </c>
      <c r="CV732" s="871">
        <v>119200</v>
      </c>
      <c r="CW732" s="871">
        <v>120600</v>
      </c>
      <c r="CX732" s="871">
        <v>122000</v>
      </c>
      <c r="CY732" s="871">
        <v>123400</v>
      </c>
      <c r="CZ732" s="871">
        <v>124800</v>
      </c>
      <c r="DA732" s="871">
        <v>126264</v>
      </c>
      <c r="DB732" s="871">
        <v>127729</v>
      </c>
      <c r="DC732" s="871">
        <v>129000</v>
      </c>
      <c r="DD732" s="871">
        <v>0</v>
      </c>
      <c r="DE732" s="871">
        <v>0</v>
      </c>
      <c r="DF732" s="871">
        <v>0</v>
      </c>
      <c r="DG732" s="871">
        <v>0</v>
      </c>
      <c r="DH732" s="871">
        <v>0</v>
      </c>
      <c r="DI732" s="871">
        <v>0</v>
      </c>
      <c r="DJ732" s="871">
        <v>0</v>
      </c>
      <c r="DK732" s="871">
        <v>0</v>
      </c>
      <c r="DL732" s="871">
        <v>0</v>
      </c>
      <c r="DM732" s="871">
        <v>0</v>
      </c>
      <c r="DN732" s="871">
        <v>0</v>
      </c>
      <c r="DO732" s="871">
        <v>0</v>
      </c>
      <c r="DP732" s="871">
        <v>0</v>
      </c>
      <c r="DQ732" s="871">
        <v>0</v>
      </c>
      <c r="DR732" s="871">
        <v>0</v>
      </c>
      <c r="DS732" s="871">
        <v>0</v>
      </c>
      <c r="DT732" s="871">
        <v>0</v>
      </c>
      <c r="DU732" s="871">
        <v>0</v>
      </c>
      <c r="DV732" s="871">
        <v>0</v>
      </c>
      <c r="DW732" s="871">
        <v>0</v>
      </c>
    </row>
    <row r="733" spans="12:127" hidden="1">
      <c r="L733" s="870" t="s">
        <v>1060</v>
      </c>
      <c r="M733" s="870" t="s">
        <v>1382</v>
      </c>
      <c r="N733" s="870" t="s">
        <v>97</v>
      </c>
      <c r="O733" s="871">
        <v>21</v>
      </c>
      <c r="P733" s="780" t="str">
        <f t="shared" si="22"/>
        <v>IWT060221</v>
      </c>
      <c r="Q733" s="871">
        <v>26094</v>
      </c>
      <c r="R733" s="871">
        <v>26616</v>
      </c>
      <c r="S733" s="871">
        <v>27149</v>
      </c>
      <c r="T733" s="871">
        <v>27692</v>
      </c>
      <c r="U733" s="871">
        <v>28246</v>
      </c>
      <c r="V733" s="871">
        <v>30642.5</v>
      </c>
      <c r="W733" s="871">
        <v>30642.5</v>
      </c>
      <c r="X733" s="871">
        <v>30642.5</v>
      </c>
      <c r="Y733" s="871">
        <v>30642.5</v>
      </c>
      <c r="Z733" s="871">
        <v>31183</v>
      </c>
      <c r="AA733" s="871">
        <v>31807</v>
      </c>
      <c r="AB733" s="871">
        <v>32443</v>
      </c>
      <c r="AC733" s="871">
        <v>33092</v>
      </c>
      <c r="AD733" s="871">
        <v>33754</v>
      </c>
      <c r="AE733" s="871">
        <v>34429</v>
      </c>
      <c r="AF733" s="871">
        <v>35117</v>
      </c>
      <c r="AG733" s="871">
        <v>35820</v>
      </c>
      <c r="AH733" s="871">
        <v>36536</v>
      </c>
      <c r="AI733" s="871">
        <v>37267</v>
      </c>
      <c r="AJ733" s="871">
        <v>38012</v>
      </c>
      <c r="AK733" s="871">
        <v>38773</v>
      </c>
      <c r="AL733" s="871">
        <v>39548</v>
      </c>
      <c r="AM733" s="871">
        <v>40339</v>
      </c>
      <c r="AN733" s="871">
        <v>41146</v>
      </c>
      <c r="AO733" s="871">
        <v>41969</v>
      </c>
      <c r="AP733" s="871">
        <v>42808</v>
      </c>
      <c r="AQ733" s="871">
        <v>43664</v>
      </c>
      <c r="AR733" s="871">
        <v>44537</v>
      </c>
      <c r="AS733" s="871">
        <v>45428</v>
      </c>
      <c r="AT733" s="871">
        <v>46337</v>
      </c>
      <c r="AU733" s="871">
        <v>47263</v>
      </c>
      <c r="AV733" s="871">
        <v>48209</v>
      </c>
      <c r="AW733" s="871">
        <v>49173</v>
      </c>
      <c r="AX733" s="871">
        <v>50156</v>
      </c>
      <c r="AY733" s="871">
        <v>51159</v>
      </c>
      <c r="AZ733" s="871">
        <v>52182</v>
      </c>
      <c r="BA733" s="871">
        <v>53400</v>
      </c>
      <c r="BB733" s="871">
        <v>54800</v>
      </c>
      <c r="BC733" s="871">
        <v>56200</v>
      </c>
      <c r="BD733" s="871">
        <v>57600</v>
      </c>
      <c r="BE733" s="871">
        <v>59000</v>
      </c>
      <c r="BF733" s="871">
        <v>60400</v>
      </c>
      <c r="BG733" s="871">
        <v>61800</v>
      </c>
      <c r="BH733" s="871">
        <v>63200</v>
      </c>
      <c r="BI733" s="871">
        <v>64600</v>
      </c>
      <c r="BJ733" s="871">
        <v>66000</v>
      </c>
      <c r="BK733" s="871">
        <v>67400</v>
      </c>
      <c r="BL733" s="871">
        <v>68800</v>
      </c>
      <c r="BM733" s="871">
        <v>70200</v>
      </c>
      <c r="BN733" s="871">
        <v>71600</v>
      </c>
      <c r="BO733" s="871">
        <v>73000</v>
      </c>
      <c r="BP733" s="871">
        <v>74400</v>
      </c>
      <c r="BQ733" s="871">
        <v>75800</v>
      </c>
      <c r="BR733" s="871">
        <v>77200</v>
      </c>
      <c r="BS733" s="871">
        <v>78600</v>
      </c>
      <c r="BT733" s="871">
        <v>80000</v>
      </c>
      <c r="BU733" s="871">
        <v>81400</v>
      </c>
      <c r="BV733" s="871">
        <v>82800</v>
      </c>
      <c r="BW733" s="871">
        <v>84200</v>
      </c>
      <c r="BX733" s="871">
        <v>85600</v>
      </c>
      <c r="BY733" s="871">
        <v>87000</v>
      </c>
      <c r="BZ733" s="871">
        <v>88400</v>
      </c>
      <c r="CA733" s="871">
        <v>89800</v>
      </c>
      <c r="CB733" s="871">
        <v>91200</v>
      </c>
      <c r="CC733" s="871">
        <v>92600</v>
      </c>
      <c r="CD733" s="871">
        <v>94000</v>
      </c>
      <c r="CE733" s="871">
        <v>95400</v>
      </c>
      <c r="CF733" s="871">
        <v>96800</v>
      </c>
      <c r="CG733" s="871">
        <v>98200</v>
      </c>
      <c r="CH733" s="871">
        <v>99600</v>
      </c>
      <c r="CI733" s="871">
        <v>101000</v>
      </c>
      <c r="CJ733" s="871">
        <v>102400</v>
      </c>
      <c r="CK733" s="871">
        <v>103800</v>
      </c>
      <c r="CL733" s="871">
        <v>105200</v>
      </c>
      <c r="CM733" s="871">
        <v>106600</v>
      </c>
      <c r="CN733" s="871">
        <v>108000</v>
      </c>
      <c r="CO733" s="871">
        <v>109400</v>
      </c>
      <c r="CP733" s="871">
        <v>110800</v>
      </c>
      <c r="CQ733" s="871">
        <v>112200</v>
      </c>
      <c r="CR733" s="871">
        <v>113600</v>
      </c>
      <c r="CS733" s="871">
        <v>115000</v>
      </c>
      <c r="CT733" s="871">
        <v>116400</v>
      </c>
      <c r="CU733" s="871">
        <v>117800</v>
      </c>
      <c r="CV733" s="871">
        <v>119200</v>
      </c>
      <c r="CW733" s="871">
        <v>120600</v>
      </c>
      <c r="CX733" s="871">
        <v>122000</v>
      </c>
      <c r="CY733" s="871">
        <v>123400</v>
      </c>
      <c r="CZ733" s="871">
        <v>124879</v>
      </c>
      <c r="DA733" s="871">
        <v>126343</v>
      </c>
      <c r="DB733" s="871">
        <v>127600</v>
      </c>
      <c r="DC733" s="871">
        <v>0</v>
      </c>
      <c r="DD733" s="871">
        <v>0</v>
      </c>
      <c r="DE733" s="871">
        <v>0</v>
      </c>
      <c r="DF733" s="871">
        <v>0</v>
      </c>
      <c r="DG733" s="871">
        <v>0</v>
      </c>
      <c r="DH733" s="871">
        <v>0</v>
      </c>
      <c r="DI733" s="871">
        <v>0</v>
      </c>
      <c r="DJ733" s="871">
        <v>0</v>
      </c>
      <c r="DK733" s="871">
        <v>0</v>
      </c>
      <c r="DL733" s="871">
        <v>0</v>
      </c>
      <c r="DM733" s="871">
        <v>0</v>
      </c>
      <c r="DN733" s="871">
        <v>0</v>
      </c>
      <c r="DO733" s="871">
        <v>0</v>
      </c>
      <c r="DP733" s="871">
        <v>0</v>
      </c>
      <c r="DQ733" s="871">
        <v>0</v>
      </c>
      <c r="DR733" s="871">
        <v>0</v>
      </c>
      <c r="DS733" s="871">
        <v>0</v>
      </c>
      <c r="DT733" s="871">
        <v>0</v>
      </c>
      <c r="DU733" s="871">
        <v>0</v>
      </c>
      <c r="DV733" s="871">
        <v>0</v>
      </c>
      <c r="DW733" s="871">
        <v>0</v>
      </c>
    </row>
    <row r="734" spans="12:127" hidden="1">
      <c r="L734" s="870" t="s">
        <v>1060</v>
      </c>
      <c r="M734" s="870" t="s">
        <v>1382</v>
      </c>
      <c r="N734" s="870" t="s">
        <v>97</v>
      </c>
      <c r="O734" s="871">
        <v>22</v>
      </c>
      <c r="P734" s="780" t="str">
        <f t="shared" si="22"/>
        <v>IWT060222</v>
      </c>
      <c r="Q734" s="871">
        <v>26197</v>
      </c>
      <c r="R734" s="871">
        <v>26721</v>
      </c>
      <c r="S734" s="871">
        <v>27255</v>
      </c>
      <c r="T734" s="871">
        <v>27801</v>
      </c>
      <c r="U734" s="871">
        <v>28357</v>
      </c>
      <c r="V734" s="871">
        <v>30763.3</v>
      </c>
      <c r="W734" s="871">
        <v>30763.3</v>
      </c>
      <c r="X734" s="871">
        <v>30763.3</v>
      </c>
      <c r="Y734" s="871">
        <v>30763.3</v>
      </c>
      <c r="Z734" s="871">
        <v>31306</v>
      </c>
      <c r="AA734" s="871">
        <v>31932</v>
      </c>
      <c r="AB734" s="871">
        <v>32571</v>
      </c>
      <c r="AC734" s="871">
        <v>33222</v>
      </c>
      <c r="AD734" s="871">
        <v>33886</v>
      </c>
      <c r="AE734" s="871">
        <v>34564</v>
      </c>
      <c r="AF734" s="871">
        <v>35256</v>
      </c>
      <c r="AG734" s="871">
        <v>35961</v>
      </c>
      <c r="AH734" s="871">
        <v>36680</v>
      </c>
      <c r="AI734" s="871">
        <v>37413</v>
      </c>
      <c r="AJ734" s="871">
        <v>38162</v>
      </c>
      <c r="AK734" s="871">
        <v>38925</v>
      </c>
      <c r="AL734" s="871">
        <v>39703</v>
      </c>
      <c r="AM734" s="871">
        <v>40497</v>
      </c>
      <c r="AN734" s="871">
        <v>41307</v>
      </c>
      <c r="AO734" s="871">
        <v>42134</v>
      </c>
      <c r="AP734" s="871">
        <v>42976</v>
      </c>
      <c r="AQ734" s="871">
        <v>43836</v>
      </c>
      <c r="AR734" s="871">
        <v>44712</v>
      </c>
      <c r="AS734" s="871">
        <v>45607</v>
      </c>
      <c r="AT734" s="871">
        <v>46519</v>
      </c>
      <c r="AU734" s="871">
        <v>47449</v>
      </c>
      <c r="AV734" s="871">
        <v>48398</v>
      </c>
      <c r="AW734" s="871">
        <v>49366</v>
      </c>
      <c r="AX734" s="871">
        <v>50353</v>
      </c>
      <c r="AY734" s="871">
        <v>51361</v>
      </c>
      <c r="AZ734" s="871">
        <v>52387</v>
      </c>
      <c r="BA734" s="871">
        <v>53433</v>
      </c>
      <c r="BB734" s="871">
        <v>54800</v>
      </c>
      <c r="BC734" s="871">
        <v>56200</v>
      </c>
      <c r="BD734" s="871">
        <v>57600</v>
      </c>
      <c r="BE734" s="871">
        <v>59000</v>
      </c>
      <c r="BF734" s="871">
        <v>60400</v>
      </c>
      <c r="BG734" s="871">
        <v>61800</v>
      </c>
      <c r="BH734" s="871">
        <v>63200</v>
      </c>
      <c r="BI734" s="871">
        <v>64600</v>
      </c>
      <c r="BJ734" s="871">
        <v>66000</v>
      </c>
      <c r="BK734" s="871">
        <v>67400</v>
      </c>
      <c r="BL734" s="871">
        <v>68800</v>
      </c>
      <c r="BM734" s="871">
        <v>70200</v>
      </c>
      <c r="BN734" s="871">
        <v>71600</v>
      </c>
      <c r="BO734" s="871">
        <v>73000</v>
      </c>
      <c r="BP734" s="871">
        <v>74400</v>
      </c>
      <c r="BQ734" s="871">
        <v>75800</v>
      </c>
      <c r="BR734" s="871">
        <v>77200</v>
      </c>
      <c r="BS734" s="871">
        <v>78600</v>
      </c>
      <c r="BT734" s="871">
        <v>80000</v>
      </c>
      <c r="BU734" s="871">
        <v>81400</v>
      </c>
      <c r="BV734" s="871">
        <v>82800</v>
      </c>
      <c r="BW734" s="871">
        <v>84200</v>
      </c>
      <c r="BX734" s="871">
        <v>85600</v>
      </c>
      <c r="BY734" s="871">
        <v>87000</v>
      </c>
      <c r="BZ734" s="871">
        <v>88400</v>
      </c>
      <c r="CA734" s="871">
        <v>89800</v>
      </c>
      <c r="CB734" s="871">
        <v>91200</v>
      </c>
      <c r="CC734" s="871">
        <v>92600</v>
      </c>
      <c r="CD734" s="871">
        <v>94000</v>
      </c>
      <c r="CE734" s="871">
        <v>95400</v>
      </c>
      <c r="CF734" s="871">
        <v>96800</v>
      </c>
      <c r="CG734" s="871">
        <v>98200</v>
      </c>
      <c r="CH734" s="871">
        <v>99600</v>
      </c>
      <c r="CI734" s="871">
        <v>101000</v>
      </c>
      <c r="CJ734" s="871">
        <v>102400</v>
      </c>
      <c r="CK734" s="871">
        <v>103800</v>
      </c>
      <c r="CL734" s="871">
        <v>105200</v>
      </c>
      <c r="CM734" s="871">
        <v>106600</v>
      </c>
      <c r="CN734" s="871">
        <v>108000</v>
      </c>
      <c r="CO734" s="871">
        <v>109400</v>
      </c>
      <c r="CP734" s="871">
        <v>110800</v>
      </c>
      <c r="CQ734" s="871">
        <v>112200</v>
      </c>
      <c r="CR734" s="871">
        <v>113600</v>
      </c>
      <c r="CS734" s="871">
        <v>115000</v>
      </c>
      <c r="CT734" s="871">
        <v>116400</v>
      </c>
      <c r="CU734" s="871">
        <v>117800</v>
      </c>
      <c r="CV734" s="871">
        <v>119200</v>
      </c>
      <c r="CW734" s="871">
        <v>120600</v>
      </c>
      <c r="CX734" s="871">
        <v>122000</v>
      </c>
      <c r="CY734" s="871">
        <v>123495</v>
      </c>
      <c r="CZ734" s="871">
        <v>124957</v>
      </c>
      <c r="DA734" s="871">
        <v>126200</v>
      </c>
      <c r="DB734" s="871">
        <v>0</v>
      </c>
      <c r="DC734" s="871">
        <v>0</v>
      </c>
      <c r="DD734" s="871">
        <v>0</v>
      </c>
      <c r="DE734" s="871">
        <v>0</v>
      </c>
      <c r="DF734" s="871">
        <v>0</v>
      </c>
      <c r="DG734" s="871">
        <v>0</v>
      </c>
      <c r="DH734" s="871">
        <v>0</v>
      </c>
      <c r="DI734" s="871">
        <v>0</v>
      </c>
      <c r="DJ734" s="871">
        <v>0</v>
      </c>
      <c r="DK734" s="871">
        <v>0</v>
      </c>
      <c r="DL734" s="871">
        <v>0</v>
      </c>
      <c r="DM734" s="871">
        <v>0</v>
      </c>
      <c r="DN734" s="871">
        <v>0</v>
      </c>
      <c r="DO734" s="871">
        <v>0</v>
      </c>
      <c r="DP734" s="871">
        <v>0</v>
      </c>
      <c r="DQ734" s="871">
        <v>0</v>
      </c>
      <c r="DR734" s="871">
        <v>0</v>
      </c>
      <c r="DS734" s="871">
        <v>0</v>
      </c>
      <c r="DT734" s="871">
        <v>0</v>
      </c>
      <c r="DU734" s="871">
        <v>0</v>
      </c>
      <c r="DV734" s="871">
        <v>0</v>
      </c>
      <c r="DW734" s="871">
        <v>0</v>
      </c>
    </row>
    <row r="735" spans="12:127" hidden="1">
      <c r="L735" s="870" t="s">
        <v>1060</v>
      </c>
      <c r="M735" s="870" t="s">
        <v>1382</v>
      </c>
      <c r="N735" s="870" t="s">
        <v>97</v>
      </c>
      <c r="O735" s="871">
        <v>23</v>
      </c>
      <c r="P735" s="780" t="str">
        <f t="shared" si="22"/>
        <v>IWT060223</v>
      </c>
      <c r="Q735" s="871">
        <v>26295</v>
      </c>
      <c r="R735" s="871">
        <v>26821</v>
      </c>
      <c r="S735" s="871">
        <v>27357</v>
      </c>
      <c r="T735" s="871">
        <v>27904</v>
      </c>
      <c r="U735" s="871">
        <v>28462</v>
      </c>
      <c r="V735" s="871">
        <v>30877.8</v>
      </c>
      <c r="W735" s="871">
        <v>30877.8</v>
      </c>
      <c r="X735" s="871">
        <v>30877.8</v>
      </c>
      <c r="Y735" s="871">
        <v>30877.8</v>
      </c>
      <c r="Z735" s="871">
        <v>31423</v>
      </c>
      <c r="AA735" s="871">
        <v>32051</v>
      </c>
      <c r="AB735" s="871">
        <v>32692</v>
      </c>
      <c r="AC735" s="871">
        <v>33346</v>
      </c>
      <c r="AD735" s="871">
        <v>34013</v>
      </c>
      <c r="AE735" s="871">
        <v>34693</v>
      </c>
      <c r="AF735" s="871">
        <v>35387</v>
      </c>
      <c r="AG735" s="871">
        <v>36095</v>
      </c>
      <c r="AH735" s="871">
        <v>36817</v>
      </c>
      <c r="AI735" s="871">
        <v>37553</v>
      </c>
      <c r="AJ735" s="871">
        <v>38304</v>
      </c>
      <c r="AK735" s="871">
        <v>39070</v>
      </c>
      <c r="AL735" s="871">
        <v>39852</v>
      </c>
      <c r="AM735" s="871">
        <v>40649</v>
      </c>
      <c r="AN735" s="871">
        <v>41462</v>
      </c>
      <c r="AO735" s="871">
        <v>42291</v>
      </c>
      <c r="AP735" s="871">
        <v>43137</v>
      </c>
      <c r="AQ735" s="871">
        <v>43999</v>
      </c>
      <c r="AR735" s="871">
        <v>44879</v>
      </c>
      <c r="AS735" s="871">
        <v>45777</v>
      </c>
      <c r="AT735" s="871">
        <v>46692</v>
      </c>
      <c r="AU735" s="871">
        <v>47626</v>
      </c>
      <c r="AV735" s="871">
        <v>48579</v>
      </c>
      <c r="AW735" s="871">
        <v>49550</v>
      </c>
      <c r="AX735" s="871">
        <v>50541</v>
      </c>
      <c r="AY735" s="871">
        <v>51552</v>
      </c>
      <c r="AZ735" s="871">
        <v>52583</v>
      </c>
      <c r="BA735" s="871">
        <v>53634</v>
      </c>
      <c r="BB735" s="871">
        <v>54800</v>
      </c>
      <c r="BC735" s="871">
        <v>56200</v>
      </c>
      <c r="BD735" s="871">
        <v>57600</v>
      </c>
      <c r="BE735" s="871">
        <v>59000</v>
      </c>
      <c r="BF735" s="871">
        <v>60400</v>
      </c>
      <c r="BG735" s="871">
        <v>61800</v>
      </c>
      <c r="BH735" s="871">
        <v>63200</v>
      </c>
      <c r="BI735" s="871">
        <v>64600</v>
      </c>
      <c r="BJ735" s="871">
        <v>66000</v>
      </c>
      <c r="BK735" s="871">
        <v>67400</v>
      </c>
      <c r="BL735" s="871">
        <v>68800</v>
      </c>
      <c r="BM735" s="871">
        <v>70200</v>
      </c>
      <c r="BN735" s="871">
        <v>71600</v>
      </c>
      <c r="BO735" s="871">
        <v>73000</v>
      </c>
      <c r="BP735" s="871">
        <v>74400</v>
      </c>
      <c r="BQ735" s="871">
        <v>75800</v>
      </c>
      <c r="BR735" s="871">
        <v>77200</v>
      </c>
      <c r="BS735" s="871">
        <v>78600</v>
      </c>
      <c r="BT735" s="871">
        <v>80000</v>
      </c>
      <c r="BU735" s="871">
        <v>81400</v>
      </c>
      <c r="BV735" s="871">
        <v>82800</v>
      </c>
      <c r="BW735" s="871">
        <v>84200</v>
      </c>
      <c r="BX735" s="871">
        <v>85600</v>
      </c>
      <c r="BY735" s="871">
        <v>87000</v>
      </c>
      <c r="BZ735" s="871">
        <v>88400</v>
      </c>
      <c r="CA735" s="871">
        <v>89800</v>
      </c>
      <c r="CB735" s="871">
        <v>91200</v>
      </c>
      <c r="CC735" s="871">
        <v>92600</v>
      </c>
      <c r="CD735" s="871">
        <v>94000</v>
      </c>
      <c r="CE735" s="871">
        <v>95400</v>
      </c>
      <c r="CF735" s="871">
        <v>96800</v>
      </c>
      <c r="CG735" s="871">
        <v>98200</v>
      </c>
      <c r="CH735" s="871">
        <v>99600</v>
      </c>
      <c r="CI735" s="871">
        <v>101000</v>
      </c>
      <c r="CJ735" s="871">
        <v>102400</v>
      </c>
      <c r="CK735" s="871">
        <v>103800</v>
      </c>
      <c r="CL735" s="871">
        <v>105200</v>
      </c>
      <c r="CM735" s="871">
        <v>106600</v>
      </c>
      <c r="CN735" s="871">
        <v>108000</v>
      </c>
      <c r="CO735" s="871">
        <v>109400</v>
      </c>
      <c r="CP735" s="871">
        <v>110800</v>
      </c>
      <c r="CQ735" s="871">
        <v>112200</v>
      </c>
      <c r="CR735" s="871">
        <v>113600</v>
      </c>
      <c r="CS735" s="871">
        <v>115000</v>
      </c>
      <c r="CT735" s="871">
        <v>116400</v>
      </c>
      <c r="CU735" s="871">
        <v>117800</v>
      </c>
      <c r="CV735" s="871">
        <v>119200</v>
      </c>
      <c r="CW735" s="871">
        <v>120619</v>
      </c>
      <c r="CX735" s="871">
        <v>122111</v>
      </c>
      <c r="CY735" s="871">
        <v>123570</v>
      </c>
      <c r="CZ735" s="871">
        <v>124800</v>
      </c>
      <c r="DA735" s="871">
        <v>0</v>
      </c>
      <c r="DB735" s="871">
        <v>0</v>
      </c>
      <c r="DC735" s="871">
        <v>0</v>
      </c>
      <c r="DD735" s="871">
        <v>0</v>
      </c>
      <c r="DE735" s="871">
        <v>0</v>
      </c>
      <c r="DF735" s="871">
        <v>0</v>
      </c>
      <c r="DG735" s="871">
        <v>0</v>
      </c>
      <c r="DH735" s="871">
        <v>0</v>
      </c>
      <c r="DI735" s="871">
        <v>0</v>
      </c>
      <c r="DJ735" s="871">
        <v>0</v>
      </c>
      <c r="DK735" s="871">
        <v>0</v>
      </c>
      <c r="DL735" s="871">
        <v>0</v>
      </c>
      <c r="DM735" s="871">
        <v>0</v>
      </c>
      <c r="DN735" s="871">
        <v>0</v>
      </c>
      <c r="DO735" s="871">
        <v>0</v>
      </c>
      <c r="DP735" s="871">
        <v>0</v>
      </c>
      <c r="DQ735" s="871">
        <v>0</v>
      </c>
      <c r="DR735" s="871">
        <v>0</v>
      </c>
      <c r="DS735" s="871">
        <v>0</v>
      </c>
      <c r="DT735" s="871">
        <v>0</v>
      </c>
      <c r="DU735" s="871">
        <v>0</v>
      </c>
      <c r="DV735" s="871">
        <v>0</v>
      </c>
      <c r="DW735" s="871">
        <v>0</v>
      </c>
    </row>
    <row r="736" spans="12:127" hidden="1">
      <c r="L736" s="870" t="s">
        <v>1060</v>
      </c>
      <c r="M736" s="870" t="s">
        <v>1382</v>
      </c>
      <c r="N736" s="870" t="s">
        <v>97</v>
      </c>
      <c r="O736" s="871">
        <v>24</v>
      </c>
      <c r="P736" s="780" t="str">
        <f t="shared" si="22"/>
        <v>IWT060224</v>
      </c>
      <c r="Q736" s="871">
        <v>26388</v>
      </c>
      <c r="R736" s="871">
        <v>26916</v>
      </c>
      <c r="S736" s="871">
        <v>27454</v>
      </c>
      <c r="T736" s="871">
        <v>28003</v>
      </c>
      <c r="U736" s="871">
        <v>28563</v>
      </c>
      <c r="V736" s="871">
        <v>30985.9</v>
      </c>
      <c r="W736" s="871">
        <v>30985.9</v>
      </c>
      <c r="X736" s="871">
        <v>30985.9</v>
      </c>
      <c r="Y736" s="871">
        <v>30985.9</v>
      </c>
      <c r="Z736" s="871">
        <v>31534</v>
      </c>
      <c r="AA736" s="871">
        <v>32165</v>
      </c>
      <c r="AB736" s="871">
        <v>32808</v>
      </c>
      <c r="AC736" s="871">
        <v>33464</v>
      </c>
      <c r="AD736" s="871">
        <v>34133</v>
      </c>
      <c r="AE736" s="871">
        <v>34816</v>
      </c>
      <c r="AF736" s="871">
        <v>35512</v>
      </c>
      <c r="AG736" s="871">
        <v>36222</v>
      </c>
      <c r="AH736" s="871">
        <v>36947</v>
      </c>
      <c r="AI736" s="871">
        <v>37686</v>
      </c>
      <c r="AJ736" s="871">
        <v>38440</v>
      </c>
      <c r="AK736" s="871">
        <v>39208</v>
      </c>
      <c r="AL736" s="871">
        <v>39993</v>
      </c>
      <c r="AM736" s="871">
        <v>40792</v>
      </c>
      <c r="AN736" s="871">
        <v>41608</v>
      </c>
      <c r="AO736" s="871">
        <v>42440</v>
      </c>
      <c r="AP736" s="871">
        <v>43289</v>
      </c>
      <c r="AQ736" s="871">
        <v>44155</v>
      </c>
      <c r="AR736" s="871">
        <v>45038</v>
      </c>
      <c r="AS736" s="871">
        <v>45939</v>
      </c>
      <c r="AT736" s="871">
        <v>46858</v>
      </c>
      <c r="AU736" s="871">
        <v>47795</v>
      </c>
      <c r="AV736" s="871">
        <v>48751</v>
      </c>
      <c r="AW736" s="871">
        <v>49726</v>
      </c>
      <c r="AX736" s="871">
        <v>50720</v>
      </c>
      <c r="AY736" s="871">
        <v>51734</v>
      </c>
      <c r="AZ736" s="871">
        <v>52769</v>
      </c>
      <c r="BA736" s="871">
        <v>53824</v>
      </c>
      <c r="BB736" s="871">
        <v>54898</v>
      </c>
      <c r="BC736" s="871">
        <v>56200</v>
      </c>
      <c r="BD736" s="871">
        <v>57600</v>
      </c>
      <c r="BE736" s="871">
        <v>59000</v>
      </c>
      <c r="BF736" s="871">
        <v>60400</v>
      </c>
      <c r="BG736" s="871">
        <v>61800</v>
      </c>
      <c r="BH736" s="871">
        <v>63200</v>
      </c>
      <c r="BI736" s="871">
        <v>64600</v>
      </c>
      <c r="BJ736" s="871">
        <v>66000</v>
      </c>
      <c r="BK736" s="871">
        <v>67400</v>
      </c>
      <c r="BL736" s="871">
        <v>68800</v>
      </c>
      <c r="BM736" s="871">
        <v>70200</v>
      </c>
      <c r="BN736" s="871">
        <v>71600</v>
      </c>
      <c r="BO736" s="871">
        <v>73000</v>
      </c>
      <c r="BP736" s="871">
        <v>74400</v>
      </c>
      <c r="BQ736" s="871">
        <v>75800</v>
      </c>
      <c r="BR736" s="871">
        <v>77200</v>
      </c>
      <c r="BS736" s="871">
        <v>78600</v>
      </c>
      <c r="BT736" s="871">
        <v>80000</v>
      </c>
      <c r="BU736" s="871">
        <v>81400</v>
      </c>
      <c r="BV736" s="871">
        <v>82800</v>
      </c>
      <c r="BW736" s="871">
        <v>84200</v>
      </c>
      <c r="BX736" s="871">
        <v>85600</v>
      </c>
      <c r="BY736" s="871">
        <v>87000</v>
      </c>
      <c r="BZ736" s="871">
        <v>88400</v>
      </c>
      <c r="CA736" s="871">
        <v>89800</v>
      </c>
      <c r="CB736" s="871">
        <v>91200</v>
      </c>
      <c r="CC736" s="871">
        <v>92600</v>
      </c>
      <c r="CD736" s="871">
        <v>94000</v>
      </c>
      <c r="CE736" s="871">
        <v>95400</v>
      </c>
      <c r="CF736" s="871">
        <v>96800</v>
      </c>
      <c r="CG736" s="871">
        <v>98200</v>
      </c>
      <c r="CH736" s="871">
        <v>99600</v>
      </c>
      <c r="CI736" s="871">
        <v>101000</v>
      </c>
      <c r="CJ736" s="871">
        <v>102400</v>
      </c>
      <c r="CK736" s="871">
        <v>103800</v>
      </c>
      <c r="CL736" s="871">
        <v>105200</v>
      </c>
      <c r="CM736" s="871">
        <v>106600</v>
      </c>
      <c r="CN736" s="871">
        <v>108000</v>
      </c>
      <c r="CO736" s="871">
        <v>109400</v>
      </c>
      <c r="CP736" s="871">
        <v>110800</v>
      </c>
      <c r="CQ736" s="871">
        <v>112200</v>
      </c>
      <c r="CR736" s="871">
        <v>113600</v>
      </c>
      <c r="CS736" s="871">
        <v>115000</v>
      </c>
      <c r="CT736" s="871">
        <v>116400</v>
      </c>
      <c r="CU736" s="871">
        <v>117800</v>
      </c>
      <c r="CV736" s="871">
        <v>119237</v>
      </c>
      <c r="CW736" s="871">
        <v>120727</v>
      </c>
      <c r="CX736" s="871">
        <v>122184</v>
      </c>
      <c r="CY736" s="871">
        <v>123400</v>
      </c>
      <c r="CZ736" s="871">
        <v>0</v>
      </c>
      <c r="DA736" s="871">
        <v>0</v>
      </c>
      <c r="DB736" s="871">
        <v>0</v>
      </c>
      <c r="DC736" s="871">
        <v>0</v>
      </c>
      <c r="DD736" s="871">
        <v>0</v>
      </c>
      <c r="DE736" s="871">
        <v>0</v>
      </c>
      <c r="DF736" s="871">
        <v>0</v>
      </c>
      <c r="DG736" s="871">
        <v>0</v>
      </c>
      <c r="DH736" s="871">
        <v>0</v>
      </c>
      <c r="DI736" s="871">
        <v>0</v>
      </c>
      <c r="DJ736" s="871">
        <v>0</v>
      </c>
      <c r="DK736" s="871">
        <v>0</v>
      </c>
      <c r="DL736" s="871">
        <v>0</v>
      </c>
      <c r="DM736" s="871">
        <v>0</v>
      </c>
      <c r="DN736" s="871">
        <v>0</v>
      </c>
      <c r="DO736" s="871">
        <v>0</v>
      </c>
      <c r="DP736" s="871">
        <v>0</v>
      </c>
      <c r="DQ736" s="871">
        <v>0</v>
      </c>
      <c r="DR736" s="871">
        <v>0</v>
      </c>
      <c r="DS736" s="871">
        <v>0</v>
      </c>
      <c r="DT736" s="871">
        <v>0</v>
      </c>
      <c r="DU736" s="871">
        <v>0</v>
      </c>
      <c r="DV736" s="871">
        <v>0</v>
      </c>
      <c r="DW736" s="871">
        <v>0</v>
      </c>
    </row>
    <row r="737" spans="12:127" hidden="1">
      <c r="L737" s="870" t="s">
        <v>1060</v>
      </c>
      <c r="M737" s="870" t="s">
        <v>1382</v>
      </c>
      <c r="N737" s="870" t="s">
        <v>97</v>
      </c>
      <c r="O737" s="871">
        <v>25</v>
      </c>
      <c r="P737" s="780" t="str">
        <f t="shared" si="22"/>
        <v>IWT060225</v>
      </c>
      <c r="Q737" s="871">
        <v>26476</v>
      </c>
      <c r="R737" s="871">
        <v>27006</v>
      </c>
      <c r="S737" s="871">
        <v>27546</v>
      </c>
      <c r="T737" s="871">
        <v>28097</v>
      </c>
      <c r="U737" s="871">
        <v>28659</v>
      </c>
      <c r="V737" s="871">
        <v>31094</v>
      </c>
      <c r="W737" s="871">
        <v>31094</v>
      </c>
      <c r="X737" s="871">
        <v>31094</v>
      </c>
      <c r="Y737" s="871">
        <v>31094</v>
      </c>
      <c r="Z737" s="871">
        <v>31639</v>
      </c>
      <c r="AA737" s="871">
        <v>32272</v>
      </c>
      <c r="AB737" s="871">
        <v>32917</v>
      </c>
      <c r="AC737" s="871">
        <v>33576</v>
      </c>
      <c r="AD737" s="871">
        <v>34247</v>
      </c>
      <c r="AE737" s="871">
        <v>34932</v>
      </c>
      <c r="AF737" s="871">
        <v>35631</v>
      </c>
      <c r="AG737" s="871">
        <v>36343</v>
      </c>
      <c r="AH737" s="871">
        <v>37070</v>
      </c>
      <c r="AI737" s="871">
        <v>37812</v>
      </c>
      <c r="AJ737" s="871">
        <v>38568</v>
      </c>
      <c r="AK737" s="871">
        <v>39339</v>
      </c>
      <c r="AL737" s="871">
        <v>40126</v>
      </c>
      <c r="AM737" s="871">
        <v>40929</v>
      </c>
      <c r="AN737" s="871">
        <v>41747</v>
      </c>
      <c r="AO737" s="871">
        <v>42582</v>
      </c>
      <c r="AP737" s="871">
        <v>43434</v>
      </c>
      <c r="AQ737" s="871">
        <v>44302</v>
      </c>
      <c r="AR737" s="871">
        <v>45188</v>
      </c>
      <c r="AS737" s="871">
        <v>46092</v>
      </c>
      <c r="AT737" s="871">
        <v>47014</v>
      </c>
      <c r="AU737" s="871">
        <v>47954</v>
      </c>
      <c r="AV737" s="871">
        <v>48913</v>
      </c>
      <c r="AW737" s="871">
        <v>49892</v>
      </c>
      <c r="AX737" s="871">
        <v>50890</v>
      </c>
      <c r="AY737" s="871">
        <v>51907</v>
      </c>
      <c r="AZ737" s="871">
        <v>52945</v>
      </c>
      <c r="BA737" s="871">
        <v>54004</v>
      </c>
      <c r="BB737" s="871">
        <v>55083</v>
      </c>
      <c r="BC737" s="871">
        <v>56200</v>
      </c>
      <c r="BD737" s="871">
        <v>57600</v>
      </c>
      <c r="BE737" s="871">
        <v>59000</v>
      </c>
      <c r="BF737" s="871">
        <v>60400</v>
      </c>
      <c r="BG737" s="871">
        <v>61800</v>
      </c>
      <c r="BH737" s="871">
        <v>63200</v>
      </c>
      <c r="BI737" s="871">
        <v>64600</v>
      </c>
      <c r="BJ737" s="871">
        <v>66000</v>
      </c>
      <c r="BK737" s="871">
        <v>67400</v>
      </c>
      <c r="BL737" s="871">
        <v>68800</v>
      </c>
      <c r="BM737" s="871">
        <v>70200</v>
      </c>
      <c r="BN737" s="871">
        <v>71600</v>
      </c>
      <c r="BO737" s="871">
        <v>73000</v>
      </c>
      <c r="BP737" s="871">
        <v>74400</v>
      </c>
      <c r="BQ737" s="871">
        <v>75800</v>
      </c>
      <c r="BR737" s="871">
        <v>77200</v>
      </c>
      <c r="BS737" s="871">
        <v>78600</v>
      </c>
      <c r="BT737" s="871">
        <v>80000</v>
      </c>
      <c r="BU737" s="871">
        <v>81400</v>
      </c>
      <c r="BV737" s="871">
        <v>82800</v>
      </c>
      <c r="BW737" s="871">
        <v>84200</v>
      </c>
      <c r="BX737" s="871">
        <v>85600</v>
      </c>
      <c r="BY737" s="871">
        <v>87000</v>
      </c>
      <c r="BZ737" s="871">
        <v>88400</v>
      </c>
      <c r="CA737" s="871">
        <v>89800</v>
      </c>
      <c r="CB737" s="871">
        <v>91200</v>
      </c>
      <c r="CC737" s="871">
        <v>92600</v>
      </c>
      <c r="CD737" s="871">
        <v>94000</v>
      </c>
      <c r="CE737" s="871">
        <v>95400</v>
      </c>
      <c r="CF737" s="871">
        <v>96800</v>
      </c>
      <c r="CG737" s="871">
        <v>98200</v>
      </c>
      <c r="CH737" s="871">
        <v>99600</v>
      </c>
      <c r="CI737" s="871">
        <v>101000</v>
      </c>
      <c r="CJ737" s="871">
        <v>102400</v>
      </c>
      <c r="CK737" s="871">
        <v>103800</v>
      </c>
      <c r="CL737" s="871">
        <v>105200</v>
      </c>
      <c r="CM737" s="871">
        <v>106600</v>
      </c>
      <c r="CN737" s="871">
        <v>108000</v>
      </c>
      <c r="CO737" s="871">
        <v>109400</v>
      </c>
      <c r="CP737" s="871">
        <v>110800</v>
      </c>
      <c r="CQ737" s="871">
        <v>112200</v>
      </c>
      <c r="CR737" s="871">
        <v>113600</v>
      </c>
      <c r="CS737" s="871">
        <v>115000</v>
      </c>
      <c r="CT737" s="871">
        <v>116400</v>
      </c>
      <c r="CU737" s="871">
        <v>117856</v>
      </c>
      <c r="CV737" s="871">
        <v>119342</v>
      </c>
      <c r="CW737" s="871">
        <v>120798</v>
      </c>
      <c r="CX737" s="871">
        <v>122000</v>
      </c>
      <c r="CY737" s="871">
        <v>0</v>
      </c>
      <c r="CZ737" s="871">
        <v>0</v>
      </c>
      <c r="DA737" s="871">
        <v>0</v>
      </c>
      <c r="DB737" s="871">
        <v>0</v>
      </c>
      <c r="DC737" s="871">
        <v>0</v>
      </c>
      <c r="DD737" s="871">
        <v>0</v>
      </c>
      <c r="DE737" s="871">
        <v>0</v>
      </c>
      <c r="DF737" s="871">
        <v>0</v>
      </c>
      <c r="DG737" s="871">
        <v>0</v>
      </c>
      <c r="DH737" s="871">
        <v>0</v>
      </c>
      <c r="DI737" s="871">
        <v>0</v>
      </c>
      <c r="DJ737" s="871">
        <v>0</v>
      </c>
      <c r="DK737" s="871">
        <v>0</v>
      </c>
      <c r="DL737" s="871">
        <v>0</v>
      </c>
      <c r="DM737" s="871">
        <v>0</v>
      </c>
      <c r="DN737" s="871">
        <v>0</v>
      </c>
      <c r="DO737" s="871">
        <v>0</v>
      </c>
      <c r="DP737" s="871">
        <v>0</v>
      </c>
      <c r="DQ737" s="871">
        <v>0</v>
      </c>
      <c r="DR737" s="871">
        <v>0</v>
      </c>
      <c r="DS737" s="871">
        <v>0</v>
      </c>
      <c r="DT737" s="871">
        <v>0</v>
      </c>
      <c r="DU737" s="871">
        <v>0</v>
      </c>
      <c r="DV737" s="871">
        <v>0</v>
      </c>
      <c r="DW737" s="871">
        <v>0</v>
      </c>
    </row>
    <row r="738" spans="12:127" hidden="1">
      <c r="L738" s="870" t="s">
        <v>1060</v>
      </c>
      <c r="M738" s="870" t="s">
        <v>1382</v>
      </c>
      <c r="N738" s="870" t="s">
        <v>97</v>
      </c>
      <c r="O738" s="871">
        <v>26</v>
      </c>
      <c r="P738" s="780" t="str">
        <f t="shared" si="22"/>
        <v>IWT060226</v>
      </c>
      <c r="Q738" s="871">
        <v>26560</v>
      </c>
      <c r="R738" s="871">
        <v>27091</v>
      </c>
      <c r="S738" s="871">
        <v>27633</v>
      </c>
      <c r="T738" s="871">
        <v>28185</v>
      </c>
      <c r="U738" s="871">
        <v>28749</v>
      </c>
      <c r="V738" s="871">
        <v>31189.4</v>
      </c>
      <c r="W738" s="871">
        <v>31189.4</v>
      </c>
      <c r="X738" s="871">
        <v>31189.4</v>
      </c>
      <c r="Y738" s="871">
        <v>31189.4</v>
      </c>
      <c r="Z738" s="871">
        <v>31739</v>
      </c>
      <c r="AA738" s="871">
        <v>32374</v>
      </c>
      <c r="AB738" s="871">
        <v>33021</v>
      </c>
      <c r="AC738" s="871">
        <v>33681</v>
      </c>
      <c r="AD738" s="871">
        <v>34355</v>
      </c>
      <c r="AE738" s="871">
        <v>35042</v>
      </c>
      <c r="AF738" s="871">
        <v>35743</v>
      </c>
      <c r="AG738" s="871">
        <v>36458</v>
      </c>
      <c r="AH738" s="871">
        <v>37187</v>
      </c>
      <c r="AI738" s="871">
        <v>37931</v>
      </c>
      <c r="AJ738" s="871">
        <v>38689</v>
      </c>
      <c r="AK738" s="871">
        <v>39463</v>
      </c>
      <c r="AL738" s="871">
        <v>40252</v>
      </c>
      <c r="AM738" s="871">
        <v>41057</v>
      </c>
      <c r="AN738" s="871">
        <v>41879</v>
      </c>
      <c r="AO738" s="871">
        <v>42716</v>
      </c>
      <c r="AP738" s="871">
        <v>43570</v>
      </c>
      <c r="AQ738" s="871">
        <v>44442</v>
      </c>
      <c r="AR738" s="871">
        <v>45331</v>
      </c>
      <c r="AS738" s="871">
        <v>46237</v>
      </c>
      <c r="AT738" s="871">
        <v>47162</v>
      </c>
      <c r="AU738" s="871">
        <v>48105</v>
      </c>
      <c r="AV738" s="871">
        <v>49067</v>
      </c>
      <c r="AW738" s="871">
        <v>50049</v>
      </c>
      <c r="AX738" s="871">
        <v>51050</v>
      </c>
      <c r="AY738" s="871">
        <v>52071</v>
      </c>
      <c r="AZ738" s="871">
        <v>53112</v>
      </c>
      <c r="BA738" s="871">
        <v>54174</v>
      </c>
      <c r="BB738" s="871">
        <v>55257</v>
      </c>
      <c r="BC738" s="871">
        <v>56359</v>
      </c>
      <c r="BD738" s="871">
        <v>57600</v>
      </c>
      <c r="BE738" s="871">
        <v>59000</v>
      </c>
      <c r="BF738" s="871">
        <v>60400</v>
      </c>
      <c r="BG738" s="871">
        <v>61800</v>
      </c>
      <c r="BH738" s="871">
        <v>63200</v>
      </c>
      <c r="BI738" s="871">
        <v>64600</v>
      </c>
      <c r="BJ738" s="871">
        <v>66000</v>
      </c>
      <c r="BK738" s="871">
        <v>67400</v>
      </c>
      <c r="BL738" s="871">
        <v>68800</v>
      </c>
      <c r="BM738" s="871">
        <v>70200</v>
      </c>
      <c r="BN738" s="871">
        <v>71600</v>
      </c>
      <c r="BO738" s="871">
        <v>73000</v>
      </c>
      <c r="BP738" s="871">
        <v>74400</v>
      </c>
      <c r="BQ738" s="871">
        <v>75800</v>
      </c>
      <c r="BR738" s="871">
        <v>77200</v>
      </c>
      <c r="BS738" s="871">
        <v>78600</v>
      </c>
      <c r="BT738" s="871">
        <v>80000</v>
      </c>
      <c r="BU738" s="871">
        <v>81400</v>
      </c>
      <c r="BV738" s="871">
        <v>82800</v>
      </c>
      <c r="BW738" s="871">
        <v>84200</v>
      </c>
      <c r="BX738" s="871">
        <v>85600</v>
      </c>
      <c r="BY738" s="871">
        <v>87000</v>
      </c>
      <c r="BZ738" s="871">
        <v>88400</v>
      </c>
      <c r="CA738" s="871">
        <v>89800</v>
      </c>
      <c r="CB738" s="871">
        <v>91200</v>
      </c>
      <c r="CC738" s="871">
        <v>92600</v>
      </c>
      <c r="CD738" s="871">
        <v>94000</v>
      </c>
      <c r="CE738" s="871">
        <v>95400</v>
      </c>
      <c r="CF738" s="871">
        <v>96800</v>
      </c>
      <c r="CG738" s="871">
        <v>98200</v>
      </c>
      <c r="CH738" s="871">
        <v>99600</v>
      </c>
      <c r="CI738" s="871">
        <v>101000</v>
      </c>
      <c r="CJ738" s="871">
        <v>102400</v>
      </c>
      <c r="CK738" s="871">
        <v>103800</v>
      </c>
      <c r="CL738" s="871">
        <v>105200</v>
      </c>
      <c r="CM738" s="871">
        <v>106600</v>
      </c>
      <c r="CN738" s="871">
        <v>108000</v>
      </c>
      <c r="CO738" s="871">
        <v>109400</v>
      </c>
      <c r="CP738" s="871">
        <v>110800</v>
      </c>
      <c r="CQ738" s="871">
        <v>112200</v>
      </c>
      <c r="CR738" s="871">
        <v>113600</v>
      </c>
      <c r="CS738" s="871">
        <v>115000</v>
      </c>
      <c r="CT738" s="871">
        <v>116474</v>
      </c>
      <c r="CU738" s="871">
        <v>117958</v>
      </c>
      <c r="CV738" s="871">
        <v>119412</v>
      </c>
      <c r="CW738" s="871">
        <v>120600</v>
      </c>
      <c r="CX738" s="871">
        <v>0</v>
      </c>
      <c r="CY738" s="871">
        <v>0</v>
      </c>
      <c r="CZ738" s="871">
        <v>0</v>
      </c>
      <c r="DA738" s="871">
        <v>0</v>
      </c>
      <c r="DB738" s="871">
        <v>0</v>
      </c>
      <c r="DC738" s="871">
        <v>0</v>
      </c>
      <c r="DD738" s="871">
        <v>0</v>
      </c>
      <c r="DE738" s="871">
        <v>0</v>
      </c>
      <c r="DF738" s="871">
        <v>0</v>
      </c>
      <c r="DG738" s="871">
        <v>0</v>
      </c>
      <c r="DH738" s="871">
        <v>0</v>
      </c>
      <c r="DI738" s="871">
        <v>0</v>
      </c>
      <c r="DJ738" s="871">
        <v>0</v>
      </c>
      <c r="DK738" s="871">
        <v>0</v>
      </c>
      <c r="DL738" s="871">
        <v>0</v>
      </c>
      <c r="DM738" s="871">
        <v>0</v>
      </c>
      <c r="DN738" s="871">
        <v>0</v>
      </c>
      <c r="DO738" s="871">
        <v>0</v>
      </c>
      <c r="DP738" s="871">
        <v>0</v>
      </c>
      <c r="DQ738" s="871">
        <v>0</v>
      </c>
      <c r="DR738" s="871">
        <v>0</v>
      </c>
      <c r="DS738" s="871">
        <v>0</v>
      </c>
      <c r="DT738" s="871">
        <v>0</v>
      </c>
      <c r="DU738" s="871">
        <v>0</v>
      </c>
      <c r="DV738" s="871">
        <v>0</v>
      </c>
      <c r="DW738" s="871">
        <v>0</v>
      </c>
    </row>
    <row r="739" spans="12:127" hidden="1">
      <c r="L739" s="870" t="s">
        <v>1060</v>
      </c>
      <c r="M739" s="870" t="s">
        <v>1382</v>
      </c>
      <c r="N739" s="870" t="s">
        <v>97</v>
      </c>
      <c r="O739" s="871">
        <v>27</v>
      </c>
      <c r="P739" s="780" t="str">
        <f t="shared" si="22"/>
        <v>IWT060227</v>
      </c>
      <c r="Q739" s="871">
        <v>26638</v>
      </c>
      <c r="R739" s="871">
        <v>27171</v>
      </c>
      <c r="S739" s="871">
        <v>27714</v>
      </c>
      <c r="T739" s="871">
        <v>28269</v>
      </c>
      <c r="U739" s="871">
        <v>28834</v>
      </c>
      <c r="V739" s="871">
        <v>31284.799999999999</v>
      </c>
      <c r="W739" s="871">
        <v>31284.799999999999</v>
      </c>
      <c r="X739" s="871">
        <v>31284.799999999999</v>
      </c>
      <c r="Y739" s="871">
        <v>31284.799999999999</v>
      </c>
      <c r="Z739" s="871">
        <v>31832</v>
      </c>
      <c r="AA739" s="871">
        <v>32469</v>
      </c>
      <c r="AB739" s="871">
        <v>33118</v>
      </c>
      <c r="AC739" s="871">
        <v>33781</v>
      </c>
      <c r="AD739" s="871">
        <v>34456</v>
      </c>
      <c r="AE739" s="871">
        <v>35146</v>
      </c>
      <c r="AF739" s="871">
        <v>35849</v>
      </c>
      <c r="AG739" s="871">
        <v>36565</v>
      </c>
      <c r="AH739" s="871">
        <v>37297</v>
      </c>
      <c r="AI739" s="871">
        <v>38043</v>
      </c>
      <c r="AJ739" s="871">
        <v>38804</v>
      </c>
      <c r="AK739" s="871">
        <v>39580</v>
      </c>
      <c r="AL739" s="871">
        <v>40371</v>
      </c>
      <c r="AM739" s="871">
        <v>41179</v>
      </c>
      <c r="AN739" s="871">
        <v>42002</v>
      </c>
      <c r="AO739" s="871">
        <v>42842</v>
      </c>
      <c r="AP739" s="871">
        <v>43699</v>
      </c>
      <c r="AQ739" s="871">
        <v>44573</v>
      </c>
      <c r="AR739" s="871">
        <v>45465</v>
      </c>
      <c r="AS739" s="871">
        <v>46374</v>
      </c>
      <c r="AT739" s="871">
        <v>47301</v>
      </c>
      <c r="AU739" s="871">
        <v>48247</v>
      </c>
      <c r="AV739" s="871">
        <v>49212</v>
      </c>
      <c r="AW739" s="871">
        <v>50196</v>
      </c>
      <c r="AX739" s="871">
        <v>51200</v>
      </c>
      <c r="AY739" s="871">
        <v>52224</v>
      </c>
      <c r="AZ739" s="871">
        <v>53269</v>
      </c>
      <c r="BA739" s="871">
        <v>54334</v>
      </c>
      <c r="BB739" s="871">
        <v>55421</v>
      </c>
      <c r="BC739" s="871">
        <v>56527</v>
      </c>
      <c r="BD739" s="871">
        <v>57653</v>
      </c>
      <c r="BE739" s="871">
        <v>59000</v>
      </c>
      <c r="BF739" s="871">
        <v>60400</v>
      </c>
      <c r="BG739" s="871">
        <v>61800</v>
      </c>
      <c r="BH739" s="871">
        <v>63200</v>
      </c>
      <c r="BI739" s="871">
        <v>64600</v>
      </c>
      <c r="BJ739" s="871">
        <v>66000</v>
      </c>
      <c r="BK739" s="871">
        <v>67400</v>
      </c>
      <c r="BL739" s="871">
        <v>68800</v>
      </c>
      <c r="BM739" s="871">
        <v>70200</v>
      </c>
      <c r="BN739" s="871">
        <v>71600</v>
      </c>
      <c r="BO739" s="871">
        <v>73000</v>
      </c>
      <c r="BP739" s="871">
        <v>74400</v>
      </c>
      <c r="BQ739" s="871">
        <v>75800</v>
      </c>
      <c r="BR739" s="871">
        <v>77200</v>
      </c>
      <c r="BS739" s="871">
        <v>78600</v>
      </c>
      <c r="BT739" s="871">
        <v>80000</v>
      </c>
      <c r="BU739" s="871">
        <v>81400</v>
      </c>
      <c r="BV739" s="871">
        <v>82800</v>
      </c>
      <c r="BW739" s="871">
        <v>84200</v>
      </c>
      <c r="BX739" s="871">
        <v>85600</v>
      </c>
      <c r="BY739" s="871">
        <v>87000</v>
      </c>
      <c r="BZ739" s="871">
        <v>88400</v>
      </c>
      <c r="CA739" s="871">
        <v>89800</v>
      </c>
      <c r="CB739" s="871">
        <v>91200</v>
      </c>
      <c r="CC739" s="871">
        <v>92600</v>
      </c>
      <c r="CD739" s="871">
        <v>94000</v>
      </c>
      <c r="CE739" s="871">
        <v>95400</v>
      </c>
      <c r="CF739" s="871">
        <v>96800</v>
      </c>
      <c r="CG739" s="871">
        <v>98200</v>
      </c>
      <c r="CH739" s="871">
        <v>99600</v>
      </c>
      <c r="CI739" s="871">
        <v>101000</v>
      </c>
      <c r="CJ739" s="871">
        <v>102400</v>
      </c>
      <c r="CK739" s="871">
        <v>103800</v>
      </c>
      <c r="CL739" s="871">
        <v>105200</v>
      </c>
      <c r="CM739" s="871">
        <v>106600</v>
      </c>
      <c r="CN739" s="871">
        <v>108000</v>
      </c>
      <c r="CO739" s="871">
        <v>109400</v>
      </c>
      <c r="CP739" s="871">
        <v>110800</v>
      </c>
      <c r="CQ739" s="871">
        <v>112200</v>
      </c>
      <c r="CR739" s="871">
        <v>113608</v>
      </c>
      <c r="CS739" s="871">
        <v>115093</v>
      </c>
      <c r="CT739" s="871">
        <v>116574</v>
      </c>
      <c r="CU739" s="871">
        <v>118026</v>
      </c>
      <c r="CV739" s="871">
        <v>119200</v>
      </c>
      <c r="CW739" s="871">
        <v>0</v>
      </c>
      <c r="CX739" s="871">
        <v>0</v>
      </c>
      <c r="CY739" s="871">
        <v>0</v>
      </c>
      <c r="CZ739" s="871">
        <v>0</v>
      </c>
      <c r="DA739" s="871">
        <v>0</v>
      </c>
      <c r="DB739" s="871">
        <v>0</v>
      </c>
      <c r="DC739" s="871">
        <v>0</v>
      </c>
      <c r="DD739" s="871">
        <v>0</v>
      </c>
      <c r="DE739" s="871">
        <v>0</v>
      </c>
      <c r="DF739" s="871">
        <v>0</v>
      </c>
      <c r="DG739" s="871">
        <v>0</v>
      </c>
      <c r="DH739" s="871">
        <v>0</v>
      </c>
      <c r="DI739" s="871">
        <v>0</v>
      </c>
      <c r="DJ739" s="871">
        <v>0</v>
      </c>
      <c r="DK739" s="871">
        <v>0</v>
      </c>
      <c r="DL739" s="871">
        <v>0</v>
      </c>
      <c r="DM739" s="871">
        <v>0</v>
      </c>
      <c r="DN739" s="871">
        <v>0</v>
      </c>
      <c r="DO739" s="871">
        <v>0</v>
      </c>
      <c r="DP739" s="871">
        <v>0</v>
      </c>
      <c r="DQ739" s="871">
        <v>0</v>
      </c>
      <c r="DR739" s="871">
        <v>0</v>
      </c>
      <c r="DS739" s="871">
        <v>0</v>
      </c>
      <c r="DT739" s="871">
        <v>0</v>
      </c>
      <c r="DU739" s="871">
        <v>0</v>
      </c>
      <c r="DV739" s="871">
        <v>0</v>
      </c>
      <c r="DW739" s="871">
        <v>0</v>
      </c>
    </row>
    <row r="740" spans="12:127" hidden="1">
      <c r="L740" s="870" t="s">
        <v>1060</v>
      </c>
      <c r="M740" s="870" t="s">
        <v>1382</v>
      </c>
      <c r="N740" s="870" t="s">
        <v>97</v>
      </c>
      <c r="O740" s="871">
        <v>28</v>
      </c>
      <c r="P740" s="780" t="str">
        <f t="shared" si="22"/>
        <v>IWT060228</v>
      </c>
      <c r="Q740" s="871">
        <v>26712</v>
      </c>
      <c r="R740" s="871">
        <v>27246</v>
      </c>
      <c r="S740" s="871">
        <v>27791</v>
      </c>
      <c r="T740" s="871">
        <v>28347</v>
      </c>
      <c r="U740" s="871">
        <v>28914</v>
      </c>
      <c r="V740" s="871">
        <v>31367.5</v>
      </c>
      <c r="W740" s="871">
        <v>31367.5</v>
      </c>
      <c r="X740" s="871">
        <v>31367.5</v>
      </c>
      <c r="Y740" s="871">
        <v>31367.5</v>
      </c>
      <c r="Z740" s="871">
        <v>31920</v>
      </c>
      <c r="AA740" s="871">
        <v>32559</v>
      </c>
      <c r="AB740" s="871">
        <v>33210</v>
      </c>
      <c r="AC740" s="871">
        <v>33874</v>
      </c>
      <c r="AD740" s="871">
        <v>34552</v>
      </c>
      <c r="AE740" s="871">
        <v>35243</v>
      </c>
      <c r="AF740" s="871">
        <v>35947</v>
      </c>
      <c r="AG740" s="871">
        <v>36666</v>
      </c>
      <c r="AH740" s="871">
        <v>37400</v>
      </c>
      <c r="AI740" s="871">
        <v>38148</v>
      </c>
      <c r="AJ740" s="871">
        <v>38911</v>
      </c>
      <c r="AK740" s="871">
        <v>39689</v>
      </c>
      <c r="AL740" s="871">
        <v>40483</v>
      </c>
      <c r="AM740" s="871">
        <v>41292</v>
      </c>
      <c r="AN740" s="871">
        <v>42118</v>
      </c>
      <c r="AO740" s="871">
        <v>42961</v>
      </c>
      <c r="AP740" s="871">
        <v>43820</v>
      </c>
      <c r="AQ740" s="871">
        <v>44696</v>
      </c>
      <c r="AR740" s="871">
        <v>45590</v>
      </c>
      <c r="AS740" s="871">
        <v>46502</v>
      </c>
      <c r="AT740" s="871">
        <v>47432</v>
      </c>
      <c r="AU740" s="871">
        <v>48380</v>
      </c>
      <c r="AV740" s="871">
        <v>49348</v>
      </c>
      <c r="AW740" s="871">
        <v>50335</v>
      </c>
      <c r="AX740" s="871">
        <v>51342</v>
      </c>
      <c r="AY740" s="871">
        <v>52369</v>
      </c>
      <c r="AZ740" s="871">
        <v>53416</v>
      </c>
      <c r="BA740" s="871">
        <v>54484</v>
      </c>
      <c r="BB740" s="871">
        <v>55574</v>
      </c>
      <c r="BC740" s="871">
        <v>56685</v>
      </c>
      <c r="BD740" s="871">
        <v>57815</v>
      </c>
      <c r="BE740" s="871">
        <v>59000</v>
      </c>
      <c r="BF740" s="871">
        <v>60400</v>
      </c>
      <c r="BG740" s="871">
        <v>61800</v>
      </c>
      <c r="BH740" s="871">
        <v>63200</v>
      </c>
      <c r="BI740" s="871">
        <v>64600</v>
      </c>
      <c r="BJ740" s="871">
        <v>66000</v>
      </c>
      <c r="BK740" s="871">
        <v>67400</v>
      </c>
      <c r="BL740" s="871">
        <v>68800</v>
      </c>
      <c r="BM740" s="871">
        <v>70200</v>
      </c>
      <c r="BN740" s="871">
        <v>71600</v>
      </c>
      <c r="BO740" s="871">
        <v>73000</v>
      </c>
      <c r="BP740" s="871">
        <v>74400</v>
      </c>
      <c r="BQ740" s="871">
        <v>75800</v>
      </c>
      <c r="BR740" s="871">
        <v>77200</v>
      </c>
      <c r="BS740" s="871">
        <v>78600</v>
      </c>
      <c r="BT740" s="871">
        <v>80000</v>
      </c>
      <c r="BU740" s="871">
        <v>81400</v>
      </c>
      <c r="BV740" s="871">
        <v>82800</v>
      </c>
      <c r="BW740" s="871">
        <v>84200</v>
      </c>
      <c r="BX740" s="871">
        <v>85600</v>
      </c>
      <c r="BY740" s="871">
        <v>87000</v>
      </c>
      <c r="BZ740" s="871">
        <v>88400</v>
      </c>
      <c r="CA740" s="871">
        <v>89800</v>
      </c>
      <c r="CB740" s="871">
        <v>91200</v>
      </c>
      <c r="CC740" s="871">
        <v>92600</v>
      </c>
      <c r="CD740" s="871">
        <v>94000</v>
      </c>
      <c r="CE740" s="871">
        <v>95400</v>
      </c>
      <c r="CF740" s="871">
        <v>96800</v>
      </c>
      <c r="CG740" s="871">
        <v>98200</v>
      </c>
      <c r="CH740" s="871">
        <v>99600</v>
      </c>
      <c r="CI740" s="871">
        <v>101000</v>
      </c>
      <c r="CJ740" s="871">
        <v>102400</v>
      </c>
      <c r="CK740" s="871">
        <v>103800</v>
      </c>
      <c r="CL740" s="871">
        <v>105200</v>
      </c>
      <c r="CM740" s="871">
        <v>106600</v>
      </c>
      <c r="CN740" s="871">
        <v>108000</v>
      </c>
      <c r="CO740" s="871">
        <v>109400</v>
      </c>
      <c r="CP740" s="871">
        <v>110800</v>
      </c>
      <c r="CQ740" s="871">
        <v>112230</v>
      </c>
      <c r="CR740" s="871">
        <v>113712</v>
      </c>
      <c r="CS740" s="871">
        <v>115189</v>
      </c>
      <c r="CT740" s="871">
        <v>116639</v>
      </c>
      <c r="CU740" s="871">
        <v>117800</v>
      </c>
      <c r="CV740" s="871">
        <v>0</v>
      </c>
      <c r="CW740" s="871">
        <v>0</v>
      </c>
      <c r="CX740" s="871">
        <v>0</v>
      </c>
      <c r="CY740" s="871">
        <v>0</v>
      </c>
      <c r="CZ740" s="871">
        <v>0</v>
      </c>
      <c r="DA740" s="871">
        <v>0</v>
      </c>
      <c r="DB740" s="871">
        <v>0</v>
      </c>
      <c r="DC740" s="871">
        <v>0</v>
      </c>
      <c r="DD740" s="871">
        <v>0</v>
      </c>
      <c r="DE740" s="871">
        <v>0</v>
      </c>
      <c r="DF740" s="871">
        <v>0</v>
      </c>
      <c r="DG740" s="871">
        <v>0</v>
      </c>
      <c r="DH740" s="871">
        <v>0</v>
      </c>
      <c r="DI740" s="871">
        <v>0</v>
      </c>
      <c r="DJ740" s="871">
        <v>0</v>
      </c>
      <c r="DK740" s="871">
        <v>0</v>
      </c>
      <c r="DL740" s="871">
        <v>0</v>
      </c>
      <c r="DM740" s="871">
        <v>0</v>
      </c>
      <c r="DN740" s="871">
        <v>0</v>
      </c>
      <c r="DO740" s="871">
        <v>0</v>
      </c>
      <c r="DP740" s="871">
        <v>0</v>
      </c>
      <c r="DQ740" s="871">
        <v>0</v>
      </c>
      <c r="DR740" s="871">
        <v>0</v>
      </c>
      <c r="DS740" s="871">
        <v>0</v>
      </c>
      <c r="DT740" s="871">
        <v>0</v>
      </c>
      <c r="DU740" s="871">
        <v>0</v>
      </c>
      <c r="DV740" s="871">
        <v>0</v>
      </c>
      <c r="DW740" s="871">
        <v>0</v>
      </c>
    </row>
    <row r="741" spans="12:127" hidden="1">
      <c r="L741" s="870" t="s">
        <v>1060</v>
      </c>
      <c r="M741" s="870" t="s">
        <v>1382</v>
      </c>
      <c r="N741" s="870" t="s">
        <v>97</v>
      </c>
      <c r="O741" s="871">
        <v>29</v>
      </c>
      <c r="P741" s="780" t="str">
        <f t="shared" si="22"/>
        <v>IWT060229</v>
      </c>
      <c r="Q741" s="871">
        <v>26781</v>
      </c>
      <c r="R741" s="871">
        <v>27316</v>
      </c>
      <c r="S741" s="871">
        <v>27863</v>
      </c>
      <c r="T741" s="871">
        <v>28420</v>
      </c>
      <c r="U741" s="871">
        <v>28988</v>
      </c>
      <c r="V741" s="871">
        <v>31450.2</v>
      </c>
      <c r="W741" s="871">
        <v>31450.2</v>
      </c>
      <c r="X741" s="871">
        <v>31450.2</v>
      </c>
      <c r="Y741" s="871">
        <v>31450.2</v>
      </c>
      <c r="Z741" s="871">
        <v>32002</v>
      </c>
      <c r="AA741" s="871">
        <v>32642</v>
      </c>
      <c r="AB741" s="871">
        <v>33295</v>
      </c>
      <c r="AC741" s="871">
        <v>33961</v>
      </c>
      <c r="AD741" s="871">
        <v>34640</v>
      </c>
      <c r="AE741" s="871">
        <v>35333</v>
      </c>
      <c r="AF741" s="871">
        <v>36040</v>
      </c>
      <c r="AG741" s="871">
        <v>36761</v>
      </c>
      <c r="AH741" s="871">
        <v>37496</v>
      </c>
      <c r="AI741" s="871">
        <v>38246</v>
      </c>
      <c r="AJ741" s="871">
        <v>39011</v>
      </c>
      <c r="AK741" s="871">
        <v>39791</v>
      </c>
      <c r="AL741" s="871">
        <v>40587</v>
      </c>
      <c r="AM741" s="871">
        <v>41398</v>
      </c>
      <c r="AN741" s="871">
        <v>42226</v>
      </c>
      <c r="AO741" s="871">
        <v>43071</v>
      </c>
      <c r="AP741" s="871">
        <v>43932</v>
      </c>
      <c r="AQ741" s="871">
        <v>44811</v>
      </c>
      <c r="AR741" s="871">
        <v>45707</v>
      </c>
      <c r="AS741" s="871">
        <v>46621</v>
      </c>
      <c r="AT741" s="871">
        <v>47554</v>
      </c>
      <c r="AU741" s="871">
        <v>48505</v>
      </c>
      <c r="AV741" s="871">
        <v>49475</v>
      </c>
      <c r="AW741" s="871">
        <v>50464</v>
      </c>
      <c r="AX741" s="871">
        <v>51474</v>
      </c>
      <c r="AY741" s="871">
        <v>52503</v>
      </c>
      <c r="AZ741" s="871">
        <v>53553</v>
      </c>
      <c r="BA741" s="871">
        <v>54624</v>
      </c>
      <c r="BB741" s="871">
        <v>55717</v>
      </c>
      <c r="BC741" s="871">
        <v>56831</v>
      </c>
      <c r="BD741" s="871">
        <v>57965</v>
      </c>
      <c r="BE741" s="871">
        <v>59119</v>
      </c>
      <c r="BF741" s="871">
        <v>60400</v>
      </c>
      <c r="BG741" s="871">
        <v>61800</v>
      </c>
      <c r="BH741" s="871">
        <v>63200</v>
      </c>
      <c r="BI741" s="871">
        <v>64600</v>
      </c>
      <c r="BJ741" s="871">
        <v>66000</v>
      </c>
      <c r="BK741" s="871">
        <v>67400</v>
      </c>
      <c r="BL741" s="871">
        <v>68800</v>
      </c>
      <c r="BM741" s="871">
        <v>70200</v>
      </c>
      <c r="BN741" s="871">
        <v>71600</v>
      </c>
      <c r="BO741" s="871">
        <v>73000</v>
      </c>
      <c r="BP741" s="871">
        <v>74400</v>
      </c>
      <c r="BQ741" s="871">
        <v>75800</v>
      </c>
      <c r="BR741" s="871">
        <v>77200</v>
      </c>
      <c r="BS741" s="871">
        <v>78600</v>
      </c>
      <c r="BT741" s="871">
        <v>80000</v>
      </c>
      <c r="BU741" s="871">
        <v>81400</v>
      </c>
      <c r="BV741" s="871">
        <v>82800</v>
      </c>
      <c r="BW741" s="871">
        <v>84200</v>
      </c>
      <c r="BX741" s="871">
        <v>85600</v>
      </c>
      <c r="BY741" s="871">
        <v>87000</v>
      </c>
      <c r="BZ741" s="871">
        <v>88400</v>
      </c>
      <c r="CA741" s="871">
        <v>89800</v>
      </c>
      <c r="CB741" s="871">
        <v>91200</v>
      </c>
      <c r="CC741" s="871">
        <v>92600</v>
      </c>
      <c r="CD741" s="871">
        <v>94000</v>
      </c>
      <c r="CE741" s="871">
        <v>95400</v>
      </c>
      <c r="CF741" s="871">
        <v>96800</v>
      </c>
      <c r="CG741" s="871">
        <v>98200</v>
      </c>
      <c r="CH741" s="871">
        <v>99600</v>
      </c>
      <c r="CI741" s="871">
        <v>101000</v>
      </c>
      <c r="CJ741" s="871">
        <v>102400</v>
      </c>
      <c r="CK741" s="871">
        <v>103800</v>
      </c>
      <c r="CL741" s="871">
        <v>105200</v>
      </c>
      <c r="CM741" s="871">
        <v>106600</v>
      </c>
      <c r="CN741" s="871">
        <v>108000</v>
      </c>
      <c r="CO741" s="871">
        <v>109400</v>
      </c>
      <c r="CP741" s="871">
        <v>110852</v>
      </c>
      <c r="CQ741" s="871">
        <v>112330</v>
      </c>
      <c r="CR741" s="871">
        <v>113805</v>
      </c>
      <c r="CS741" s="871">
        <v>115253</v>
      </c>
      <c r="CT741" s="871">
        <v>116400</v>
      </c>
      <c r="CU741" s="871">
        <v>0</v>
      </c>
      <c r="CV741" s="871">
        <v>0</v>
      </c>
      <c r="CW741" s="871">
        <v>0</v>
      </c>
      <c r="CX741" s="871">
        <v>0</v>
      </c>
      <c r="CY741" s="871">
        <v>0</v>
      </c>
      <c r="CZ741" s="871">
        <v>0</v>
      </c>
      <c r="DA741" s="871">
        <v>0</v>
      </c>
      <c r="DB741" s="871">
        <v>0</v>
      </c>
      <c r="DC741" s="871">
        <v>0</v>
      </c>
      <c r="DD741" s="871">
        <v>0</v>
      </c>
      <c r="DE741" s="871">
        <v>0</v>
      </c>
      <c r="DF741" s="871">
        <v>0</v>
      </c>
      <c r="DG741" s="871">
        <v>0</v>
      </c>
      <c r="DH741" s="871">
        <v>0</v>
      </c>
      <c r="DI741" s="871">
        <v>0</v>
      </c>
      <c r="DJ741" s="871">
        <v>0</v>
      </c>
      <c r="DK741" s="871">
        <v>0</v>
      </c>
      <c r="DL741" s="871">
        <v>0</v>
      </c>
      <c r="DM741" s="871">
        <v>0</v>
      </c>
      <c r="DN741" s="871">
        <v>0</v>
      </c>
      <c r="DO741" s="871">
        <v>0</v>
      </c>
      <c r="DP741" s="871">
        <v>0</v>
      </c>
      <c r="DQ741" s="871">
        <v>0</v>
      </c>
      <c r="DR741" s="871">
        <v>0</v>
      </c>
      <c r="DS741" s="871">
        <v>0</v>
      </c>
      <c r="DT741" s="871">
        <v>0</v>
      </c>
      <c r="DU741" s="871">
        <v>0</v>
      </c>
      <c r="DV741" s="871">
        <v>0</v>
      </c>
      <c r="DW741" s="871">
        <v>0</v>
      </c>
    </row>
    <row r="742" spans="12:127" hidden="1">
      <c r="L742" s="870" t="s">
        <v>1060</v>
      </c>
      <c r="M742" s="870" t="s">
        <v>1382</v>
      </c>
      <c r="N742" s="870" t="s">
        <v>97</v>
      </c>
      <c r="O742" s="871">
        <v>30</v>
      </c>
      <c r="P742" s="780" t="str">
        <f t="shared" si="22"/>
        <v>IWT060230</v>
      </c>
      <c r="Q742" s="871">
        <v>26845</v>
      </c>
      <c r="R742" s="871">
        <v>27382</v>
      </c>
      <c r="S742" s="871">
        <v>27929</v>
      </c>
      <c r="T742" s="871">
        <v>28488</v>
      </c>
      <c r="U742" s="871">
        <v>29058</v>
      </c>
      <c r="V742" s="871">
        <v>31526.5</v>
      </c>
      <c r="W742" s="871">
        <v>31526.5</v>
      </c>
      <c r="X742" s="871">
        <v>31526.5</v>
      </c>
      <c r="Y742" s="871">
        <v>31526.5</v>
      </c>
      <c r="Z742" s="871">
        <v>32079</v>
      </c>
      <c r="AA742" s="871">
        <v>32720</v>
      </c>
      <c r="AB742" s="871">
        <v>33375</v>
      </c>
      <c r="AC742" s="871">
        <v>34042</v>
      </c>
      <c r="AD742" s="871">
        <v>34723</v>
      </c>
      <c r="AE742" s="871">
        <v>35417</v>
      </c>
      <c r="AF742" s="871">
        <v>36126</v>
      </c>
      <c r="AG742" s="871">
        <v>36848</v>
      </c>
      <c r="AH742" s="871">
        <v>37585</v>
      </c>
      <c r="AI742" s="871">
        <v>38337</v>
      </c>
      <c r="AJ742" s="871">
        <v>39104</v>
      </c>
      <c r="AK742" s="871">
        <v>39886</v>
      </c>
      <c r="AL742" s="871">
        <v>40683</v>
      </c>
      <c r="AM742" s="871">
        <v>41497</v>
      </c>
      <c r="AN742" s="871">
        <v>42327</v>
      </c>
      <c r="AO742" s="871">
        <v>43174</v>
      </c>
      <c r="AP742" s="871">
        <v>44037</v>
      </c>
      <c r="AQ742" s="871">
        <v>44918</v>
      </c>
      <c r="AR742" s="871">
        <v>45816</v>
      </c>
      <c r="AS742" s="871">
        <v>46732</v>
      </c>
      <c r="AT742" s="871">
        <v>47667</v>
      </c>
      <c r="AU742" s="871">
        <v>48620</v>
      </c>
      <c r="AV742" s="871">
        <v>49593</v>
      </c>
      <c r="AW742" s="871">
        <v>50585</v>
      </c>
      <c r="AX742" s="871">
        <v>51596</v>
      </c>
      <c r="AY742" s="871">
        <v>52628</v>
      </c>
      <c r="AZ742" s="871">
        <v>53681</v>
      </c>
      <c r="BA742" s="871">
        <v>54754</v>
      </c>
      <c r="BB742" s="871">
        <v>55849</v>
      </c>
      <c r="BC742" s="871">
        <v>56966</v>
      </c>
      <c r="BD742" s="871">
        <v>58105</v>
      </c>
      <c r="BE742" s="871">
        <v>59262</v>
      </c>
      <c r="BF742" s="871">
        <v>60439</v>
      </c>
      <c r="BG742" s="871">
        <v>61800</v>
      </c>
      <c r="BH742" s="871">
        <v>63200</v>
      </c>
      <c r="BI742" s="871">
        <v>64600</v>
      </c>
      <c r="BJ742" s="871">
        <v>66000</v>
      </c>
      <c r="BK742" s="871">
        <v>67400</v>
      </c>
      <c r="BL742" s="871">
        <v>68800</v>
      </c>
      <c r="BM742" s="871">
        <v>70200</v>
      </c>
      <c r="BN742" s="871">
        <v>71600</v>
      </c>
      <c r="BO742" s="871">
        <v>73000</v>
      </c>
      <c r="BP742" s="871">
        <v>74400</v>
      </c>
      <c r="BQ742" s="871">
        <v>75800</v>
      </c>
      <c r="BR742" s="871">
        <v>77200</v>
      </c>
      <c r="BS742" s="871">
        <v>78600</v>
      </c>
      <c r="BT742" s="871">
        <v>80000</v>
      </c>
      <c r="BU742" s="871">
        <v>81400</v>
      </c>
      <c r="BV742" s="871">
        <v>82800</v>
      </c>
      <c r="BW742" s="871">
        <v>84200</v>
      </c>
      <c r="BX742" s="871">
        <v>85600</v>
      </c>
      <c r="BY742" s="871">
        <v>87000</v>
      </c>
      <c r="BZ742" s="871">
        <v>88400</v>
      </c>
      <c r="CA742" s="871">
        <v>89800</v>
      </c>
      <c r="CB742" s="871">
        <v>91200</v>
      </c>
      <c r="CC742" s="871">
        <v>92600</v>
      </c>
      <c r="CD742" s="871">
        <v>94000</v>
      </c>
      <c r="CE742" s="871">
        <v>95400</v>
      </c>
      <c r="CF742" s="871">
        <v>96800</v>
      </c>
      <c r="CG742" s="871">
        <v>98200</v>
      </c>
      <c r="CH742" s="871">
        <v>99600</v>
      </c>
      <c r="CI742" s="871">
        <v>101000</v>
      </c>
      <c r="CJ742" s="871">
        <v>102400</v>
      </c>
      <c r="CK742" s="871">
        <v>103800</v>
      </c>
      <c r="CL742" s="871">
        <v>105200</v>
      </c>
      <c r="CM742" s="871">
        <v>106600</v>
      </c>
      <c r="CN742" s="871">
        <v>108000</v>
      </c>
      <c r="CO742" s="871">
        <v>109473</v>
      </c>
      <c r="CP742" s="871">
        <v>110949</v>
      </c>
      <c r="CQ742" s="871">
        <v>112421</v>
      </c>
      <c r="CR742" s="871">
        <v>113867</v>
      </c>
      <c r="CS742" s="871">
        <v>115000</v>
      </c>
      <c r="CT742" s="871">
        <v>0</v>
      </c>
      <c r="CU742" s="871">
        <v>0</v>
      </c>
      <c r="CV742" s="871">
        <v>0</v>
      </c>
      <c r="CW742" s="871">
        <v>0</v>
      </c>
      <c r="CX742" s="871">
        <v>0</v>
      </c>
      <c r="CY742" s="871">
        <v>0</v>
      </c>
      <c r="CZ742" s="871">
        <v>0</v>
      </c>
      <c r="DA742" s="871">
        <v>0</v>
      </c>
      <c r="DB742" s="871">
        <v>0</v>
      </c>
      <c r="DC742" s="871">
        <v>0</v>
      </c>
      <c r="DD742" s="871">
        <v>0</v>
      </c>
      <c r="DE742" s="871">
        <v>0</v>
      </c>
      <c r="DF742" s="871">
        <v>0</v>
      </c>
      <c r="DG742" s="871">
        <v>0</v>
      </c>
      <c r="DH742" s="871">
        <v>0</v>
      </c>
      <c r="DI742" s="871">
        <v>0</v>
      </c>
      <c r="DJ742" s="871">
        <v>0</v>
      </c>
      <c r="DK742" s="871">
        <v>0</v>
      </c>
      <c r="DL742" s="871">
        <v>0</v>
      </c>
      <c r="DM742" s="871">
        <v>0</v>
      </c>
      <c r="DN742" s="871">
        <v>0</v>
      </c>
      <c r="DO742" s="871">
        <v>0</v>
      </c>
      <c r="DP742" s="871">
        <v>0</v>
      </c>
      <c r="DQ742" s="871">
        <v>0</v>
      </c>
      <c r="DR742" s="871">
        <v>0</v>
      </c>
      <c r="DS742" s="871">
        <v>0</v>
      </c>
      <c r="DT742" s="871">
        <v>0</v>
      </c>
      <c r="DU742" s="871">
        <v>0</v>
      </c>
      <c r="DV742" s="871">
        <v>0</v>
      </c>
      <c r="DW742" s="871">
        <v>0</v>
      </c>
    </row>
    <row r="743" spans="12:127" hidden="1">
      <c r="L743" s="870" t="s">
        <v>1060</v>
      </c>
      <c r="M743" s="870" t="s">
        <v>1382</v>
      </c>
      <c r="N743" s="870" t="s">
        <v>97</v>
      </c>
      <c r="O743" s="871">
        <v>31</v>
      </c>
      <c r="P743" s="780" t="str">
        <f t="shared" si="22"/>
        <v>IWT060231</v>
      </c>
      <c r="Q743" s="871">
        <v>26904</v>
      </c>
      <c r="R743" s="871">
        <v>27442</v>
      </c>
      <c r="S743" s="871">
        <v>27991</v>
      </c>
      <c r="T743" s="871">
        <v>28551</v>
      </c>
      <c r="U743" s="871">
        <v>29122</v>
      </c>
      <c r="V743" s="871">
        <v>31596.5</v>
      </c>
      <c r="W743" s="871">
        <v>31596.5</v>
      </c>
      <c r="X743" s="871">
        <v>31596.5</v>
      </c>
      <c r="Y743" s="871">
        <v>31596.5</v>
      </c>
      <c r="Z743" s="871">
        <v>32149</v>
      </c>
      <c r="AA743" s="871">
        <v>32792</v>
      </c>
      <c r="AB743" s="871">
        <v>33448</v>
      </c>
      <c r="AC743" s="871">
        <v>34117</v>
      </c>
      <c r="AD743" s="871">
        <v>34799</v>
      </c>
      <c r="AE743" s="871">
        <v>35495</v>
      </c>
      <c r="AF743" s="871">
        <v>36205</v>
      </c>
      <c r="AG743" s="871">
        <v>36929</v>
      </c>
      <c r="AH743" s="871">
        <v>37668</v>
      </c>
      <c r="AI743" s="871">
        <v>38421</v>
      </c>
      <c r="AJ743" s="871">
        <v>39190</v>
      </c>
      <c r="AK743" s="871">
        <v>39974</v>
      </c>
      <c r="AL743" s="871">
        <v>40773</v>
      </c>
      <c r="AM743" s="871">
        <v>41588</v>
      </c>
      <c r="AN743" s="871">
        <v>42420</v>
      </c>
      <c r="AO743" s="871">
        <v>43269</v>
      </c>
      <c r="AP743" s="871">
        <v>44134</v>
      </c>
      <c r="AQ743" s="871">
        <v>45017</v>
      </c>
      <c r="AR743" s="871">
        <v>45917</v>
      </c>
      <c r="AS743" s="871">
        <v>46835</v>
      </c>
      <c r="AT743" s="871">
        <v>47772</v>
      </c>
      <c r="AU743" s="871">
        <v>48727</v>
      </c>
      <c r="AV743" s="871">
        <v>49702</v>
      </c>
      <c r="AW743" s="871">
        <v>50696</v>
      </c>
      <c r="AX743" s="871">
        <v>51710</v>
      </c>
      <c r="AY743" s="871">
        <v>52744</v>
      </c>
      <c r="AZ743" s="871">
        <v>53799</v>
      </c>
      <c r="BA743" s="871">
        <v>54875</v>
      </c>
      <c r="BB743" s="871">
        <v>55972</v>
      </c>
      <c r="BC743" s="871">
        <v>57092</v>
      </c>
      <c r="BD743" s="871">
        <v>58234</v>
      </c>
      <c r="BE743" s="871">
        <v>59395</v>
      </c>
      <c r="BF743" s="871">
        <v>60576</v>
      </c>
      <c r="BG743" s="871">
        <v>61800</v>
      </c>
      <c r="BH743" s="871">
        <v>63200</v>
      </c>
      <c r="BI743" s="871">
        <v>64600</v>
      </c>
      <c r="BJ743" s="871">
        <v>66000</v>
      </c>
      <c r="BK743" s="871">
        <v>67400</v>
      </c>
      <c r="BL743" s="871">
        <v>68800</v>
      </c>
      <c r="BM743" s="871">
        <v>70200</v>
      </c>
      <c r="BN743" s="871">
        <v>71600</v>
      </c>
      <c r="BO743" s="871">
        <v>73000</v>
      </c>
      <c r="BP743" s="871">
        <v>74400</v>
      </c>
      <c r="BQ743" s="871">
        <v>75800</v>
      </c>
      <c r="BR743" s="871">
        <v>77200</v>
      </c>
      <c r="BS743" s="871">
        <v>78600</v>
      </c>
      <c r="BT743" s="871">
        <v>80000</v>
      </c>
      <c r="BU743" s="871">
        <v>81400</v>
      </c>
      <c r="BV743" s="871">
        <v>82800</v>
      </c>
      <c r="BW743" s="871">
        <v>84200</v>
      </c>
      <c r="BX743" s="871">
        <v>85600</v>
      </c>
      <c r="BY743" s="871">
        <v>87000</v>
      </c>
      <c r="BZ743" s="871">
        <v>88400</v>
      </c>
      <c r="CA743" s="871">
        <v>89800</v>
      </c>
      <c r="CB743" s="871">
        <v>91200</v>
      </c>
      <c r="CC743" s="871">
        <v>92600</v>
      </c>
      <c r="CD743" s="871">
        <v>94000</v>
      </c>
      <c r="CE743" s="871">
        <v>95400</v>
      </c>
      <c r="CF743" s="871">
        <v>96800</v>
      </c>
      <c r="CG743" s="871">
        <v>98200</v>
      </c>
      <c r="CH743" s="871">
        <v>99600</v>
      </c>
      <c r="CI743" s="871">
        <v>101000</v>
      </c>
      <c r="CJ743" s="871">
        <v>102400</v>
      </c>
      <c r="CK743" s="871">
        <v>103800</v>
      </c>
      <c r="CL743" s="871">
        <v>105200</v>
      </c>
      <c r="CM743" s="871">
        <v>106621</v>
      </c>
      <c r="CN743" s="871">
        <v>108095</v>
      </c>
      <c r="CO743" s="871">
        <v>109567</v>
      </c>
      <c r="CP743" s="871">
        <v>111037</v>
      </c>
      <c r="CQ743" s="871">
        <v>112481</v>
      </c>
      <c r="CR743" s="871">
        <v>113600</v>
      </c>
      <c r="CS743" s="871">
        <v>0</v>
      </c>
      <c r="CT743" s="871">
        <v>0</v>
      </c>
      <c r="CU743" s="871">
        <v>0</v>
      </c>
      <c r="CV743" s="871">
        <v>0</v>
      </c>
      <c r="CW743" s="871">
        <v>0</v>
      </c>
      <c r="CX743" s="871">
        <v>0</v>
      </c>
      <c r="CY743" s="871">
        <v>0</v>
      </c>
      <c r="CZ743" s="871">
        <v>0</v>
      </c>
      <c r="DA743" s="871">
        <v>0</v>
      </c>
      <c r="DB743" s="871">
        <v>0</v>
      </c>
      <c r="DC743" s="871">
        <v>0</v>
      </c>
      <c r="DD743" s="871">
        <v>0</v>
      </c>
      <c r="DE743" s="871">
        <v>0</v>
      </c>
      <c r="DF743" s="871">
        <v>0</v>
      </c>
      <c r="DG743" s="871">
        <v>0</v>
      </c>
      <c r="DH743" s="871">
        <v>0</v>
      </c>
      <c r="DI743" s="871">
        <v>0</v>
      </c>
      <c r="DJ743" s="871">
        <v>0</v>
      </c>
      <c r="DK743" s="871">
        <v>0</v>
      </c>
      <c r="DL743" s="871">
        <v>0</v>
      </c>
      <c r="DM743" s="871">
        <v>0</v>
      </c>
      <c r="DN743" s="871">
        <v>0</v>
      </c>
      <c r="DO743" s="871">
        <v>0</v>
      </c>
      <c r="DP743" s="871">
        <v>0</v>
      </c>
      <c r="DQ743" s="871">
        <v>0</v>
      </c>
      <c r="DR743" s="871">
        <v>0</v>
      </c>
      <c r="DS743" s="871">
        <v>0</v>
      </c>
      <c r="DT743" s="871">
        <v>0</v>
      </c>
      <c r="DU743" s="871">
        <v>0</v>
      </c>
      <c r="DV743" s="871">
        <v>0</v>
      </c>
      <c r="DW743" s="871">
        <v>0</v>
      </c>
    </row>
    <row r="744" spans="12:127" hidden="1">
      <c r="L744" s="870" t="s">
        <v>1060</v>
      </c>
      <c r="M744" s="870" t="s">
        <v>1382</v>
      </c>
      <c r="N744" s="870" t="s">
        <v>97</v>
      </c>
      <c r="O744" s="871">
        <v>32</v>
      </c>
      <c r="P744" s="780" t="str">
        <f t="shared" si="22"/>
        <v>IWT060232</v>
      </c>
      <c r="Q744" s="871">
        <v>26959</v>
      </c>
      <c r="R744" s="871">
        <v>27498</v>
      </c>
      <c r="S744" s="871">
        <v>28048</v>
      </c>
      <c r="T744" s="871">
        <v>28609</v>
      </c>
      <c r="U744" s="871">
        <v>29181</v>
      </c>
      <c r="V744" s="871">
        <v>31660.1</v>
      </c>
      <c r="W744" s="871">
        <v>31660.1</v>
      </c>
      <c r="X744" s="871">
        <v>31660.1</v>
      </c>
      <c r="Y744" s="871">
        <v>31660.1</v>
      </c>
      <c r="Z744" s="871">
        <v>32215</v>
      </c>
      <c r="AA744" s="871">
        <v>32859</v>
      </c>
      <c r="AB744" s="871">
        <v>33516</v>
      </c>
      <c r="AC744" s="871">
        <v>34186</v>
      </c>
      <c r="AD744" s="871">
        <v>34870</v>
      </c>
      <c r="AE744" s="871">
        <v>35567</v>
      </c>
      <c r="AF744" s="871">
        <v>36279</v>
      </c>
      <c r="AG744" s="871">
        <v>37004</v>
      </c>
      <c r="AH744" s="871">
        <v>37744</v>
      </c>
      <c r="AI744" s="871">
        <v>38499</v>
      </c>
      <c r="AJ744" s="871">
        <v>39269</v>
      </c>
      <c r="AK744" s="871">
        <v>40055</v>
      </c>
      <c r="AL744" s="871">
        <v>40856</v>
      </c>
      <c r="AM744" s="871">
        <v>41673</v>
      </c>
      <c r="AN744" s="871">
        <v>42506</v>
      </c>
      <c r="AO744" s="871">
        <v>43356</v>
      </c>
      <c r="AP744" s="871">
        <v>44224</v>
      </c>
      <c r="AQ744" s="871">
        <v>45108</v>
      </c>
      <c r="AR744" s="871">
        <v>46010</v>
      </c>
      <c r="AS744" s="871">
        <v>46930</v>
      </c>
      <c r="AT744" s="871">
        <v>47869</v>
      </c>
      <c r="AU744" s="871">
        <v>48826</v>
      </c>
      <c r="AV744" s="871">
        <v>49803</v>
      </c>
      <c r="AW744" s="871">
        <v>50799</v>
      </c>
      <c r="AX744" s="871">
        <v>51815</v>
      </c>
      <c r="AY744" s="871">
        <v>52851</v>
      </c>
      <c r="AZ744" s="871">
        <v>53908</v>
      </c>
      <c r="BA744" s="871">
        <v>54986</v>
      </c>
      <c r="BB744" s="871">
        <v>56086</v>
      </c>
      <c r="BC744" s="871">
        <v>57208</v>
      </c>
      <c r="BD744" s="871">
        <v>58352</v>
      </c>
      <c r="BE744" s="871">
        <v>59518</v>
      </c>
      <c r="BF744" s="871">
        <v>60702</v>
      </c>
      <c r="BG744" s="871">
        <v>61905</v>
      </c>
      <c r="BH744" s="871">
        <v>63200</v>
      </c>
      <c r="BI744" s="871">
        <v>64600</v>
      </c>
      <c r="BJ744" s="871">
        <v>66000</v>
      </c>
      <c r="BK744" s="871">
        <v>67400</v>
      </c>
      <c r="BL744" s="871">
        <v>68800</v>
      </c>
      <c r="BM744" s="871">
        <v>70200</v>
      </c>
      <c r="BN744" s="871">
        <v>71600</v>
      </c>
      <c r="BO744" s="871">
        <v>73000</v>
      </c>
      <c r="BP744" s="871">
        <v>74400</v>
      </c>
      <c r="BQ744" s="871">
        <v>75800</v>
      </c>
      <c r="BR744" s="871">
        <v>77200</v>
      </c>
      <c r="BS744" s="871">
        <v>78600</v>
      </c>
      <c r="BT744" s="871">
        <v>80000</v>
      </c>
      <c r="BU744" s="871">
        <v>81400</v>
      </c>
      <c r="BV744" s="871">
        <v>82800</v>
      </c>
      <c r="BW744" s="871">
        <v>84200</v>
      </c>
      <c r="BX744" s="871">
        <v>85600</v>
      </c>
      <c r="BY744" s="871">
        <v>87000</v>
      </c>
      <c r="BZ744" s="871">
        <v>88400</v>
      </c>
      <c r="CA744" s="871">
        <v>89800</v>
      </c>
      <c r="CB744" s="871">
        <v>91200</v>
      </c>
      <c r="CC744" s="871">
        <v>92600</v>
      </c>
      <c r="CD744" s="871">
        <v>94000</v>
      </c>
      <c r="CE744" s="871">
        <v>95400</v>
      </c>
      <c r="CF744" s="871">
        <v>96800</v>
      </c>
      <c r="CG744" s="871">
        <v>98200</v>
      </c>
      <c r="CH744" s="871">
        <v>99600</v>
      </c>
      <c r="CI744" s="871">
        <v>101000</v>
      </c>
      <c r="CJ744" s="871">
        <v>102400</v>
      </c>
      <c r="CK744" s="871">
        <v>103800</v>
      </c>
      <c r="CL744" s="871">
        <v>105246</v>
      </c>
      <c r="CM744" s="871">
        <v>106717</v>
      </c>
      <c r="CN744" s="871">
        <v>108186</v>
      </c>
      <c r="CO744" s="871">
        <v>109652</v>
      </c>
      <c r="CP744" s="871">
        <v>111095</v>
      </c>
      <c r="CQ744" s="871">
        <v>112200</v>
      </c>
      <c r="CR744" s="871">
        <v>0</v>
      </c>
      <c r="CS744" s="871">
        <v>0</v>
      </c>
      <c r="CT744" s="871">
        <v>0</v>
      </c>
      <c r="CU744" s="871">
        <v>0</v>
      </c>
      <c r="CV744" s="871">
        <v>0</v>
      </c>
      <c r="CW744" s="871">
        <v>0</v>
      </c>
      <c r="CX744" s="871">
        <v>0</v>
      </c>
      <c r="CY744" s="871">
        <v>0</v>
      </c>
      <c r="CZ744" s="871">
        <v>0</v>
      </c>
      <c r="DA744" s="871">
        <v>0</v>
      </c>
      <c r="DB744" s="871">
        <v>0</v>
      </c>
      <c r="DC744" s="871">
        <v>0</v>
      </c>
      <c r="DD744" s="871">
        <v>0</v>
      </c>
      <c r="DE744" s="871">
        <v>0</v>
      </c>
      <c r="DF744" s="871">
        <v>0</v>
      </c>
      <c r="DG744" s="871">
        <v>0</v>
      </c>
      <c r="DH744" s="871">
        <v>0</v>
      </c>
      <c r="DI744" s="871">
        <v>0</v>
      </c>
      <c r="DJ744" s="871">
        <v>0</v>
      </c>
      <c r="DK744" s="871">
        <v>0</v>
      </c>
      <c r="DL744" s="871">
        <v>0</v>
      </c>
      <c r="DM744" s="871">
        <v>0</v>
      </c>
      <c r="DN744" s="871">
        <v>0</v>
      </c>
      <c r="DO744" s="871">
        <v>0</v>
      </c>
      <c r="DP744" s="871">
        <v>0</v>
      </c>
      <c r="DQ744" s="871">
        <v>0</v>
      </c>
      <c r="DR744" s="871">
        <v>0</v>
      </c>
      <c r="DS744" s="871">
        <v>0</v>
      </c>
      <c r="DT744" s="871">
        <v>0</v>
      </c>
      <c r="DU744" s="871">
        <v>0</v>
      </c>
      <c r="DV744" s="871">
        <v>0</v>
      </c>
      <c r="DW744" s="871">
        <v>0</v>
      </c>
    </row>
    <row r="745" spans="12:127" hidden="1">
      <c r="L745" s="870" t="s">
        <v>1060</v>
      </c>
      <c r="M745" s="870" t="s">
        <v>1382</v>
      </c>
      <c r="N745" s="870" t="s">
        <v>97</v>
      </c>
      <c r="O745" s="871">
        <v>33</v>
      </c>
      <c r="P745" s="780" t="str">
        <f t="shared" si="22"/>
        <v>IWT060233</v>
      </c>
      <c r="Q745" s="871">
        <v>27009</v>
      </c>
      <c r="R745" s="871">
        <v>27550</v>
      </c>
      <c r="S745" s="871">
        <v>28101</v>
      </c>
      <c r="T745" s="871">
        <v>28663</v>
      </c>
      <c r="U745" s="871">
        <v>29236</v>
      </c>
      <c r="V745" s="871">
        <v>31717.3</v>
      </c>
      <c r="W745" s="871">
        <v>31717.3</v>
      </c>
      <c r="X745" s="871">
        <v>31717.3</v>
      </c>
      <c r="Y745" s="871">
        <v>31717.3</v>
      </c>
      <c r="Z745" s="871">
        <v>32275</v>
      </c>
      <c r="AA745" s="871">
        <v>32920</v>
      </c>
      <c r="AB745" s="871">
        <v>33578</v>
      </c>
      <c r="AC745" s="871">
        <v>34250</v>
      </c>
      <c r="AD745" s="871">
        <v>34935</v>
      </c>
      <c r="AE745" s="871">
        <v>35634</v>
      </c>
      <c r="AF745" s="871">
        <v>36346</v>
      </c>
      <c r="AG745" s="871">
        <v>37073</v>
      </c>
      <c r="AH745" s="871">
        <v>37815</v>
      </c>
      <c r="AI745" s="871">
        <v>38571</v>
      </c>
      <c r="AJ745" s="871">
        <v>39342</v>
      </c>
      <c r="AK745" s="871">
        <v>40129</v>
      </c>
      <c r="AL745" s="871">
        <v>40932</v>
      </c>
      <c r="AM745" s="871">
        <v>41750</v>
      </c>
      <c r="AN745" s="871">
        <v>42585</v>
      </c>
      <c r="AO745" s="871">
        <v>43437</v>
      </c>
      <c r="AP745" s="871">
        <v>44306</v>
      </c>
      <c r="AQ745" s="871">
        <v>45192</v>
      </c>
      <c r="AR745" s="871">
        <v>46096</v>
      </c>
      <c r="AS745" s="871">
        <v>47018</v>
      </c>
      <c r="AT745" s="871">
        <v>47958</v>
      </c>
      <c r="AU745" s="871">
        <v>48917</v>
      </c>
      <c r="AV745" s="871">
        <v>49896</v>
      </c>
      <c r="AW745" s="871">
        <v>50893</v>
      </c>
      <c r="AX745" s="871">
        <v>51911</v>
      </c>
      <c r="AY745" s="871">
        <v>52950</v>
      </c>
      <c r="AZ745" s="871">
        <v>54008</v>
      </c>
      <c r="BA745" s="871">
        <v>55089</v>
      </c>
      <c r="BB745" s="871">
        <v>56190</v>
      </c>
      <c r="BC745" s="871">
        <v>57314</v>
      </c>
      <c r="BD745" s="871">
        <v>58460</v>
      </c>
      <c r="BE745" s="871">
        <v>59630</v>
      </c>
      <c r="BF745" s="871">
        <v>60818</v>
      </c>
      <c r="BG745" s="871">
        <v>62025</v>
      </c>
      <c r="BH745" s="871">
        <v>63250</v>
      </c>
      <c r="BI745" s="871">
        <v>64600</v>
      </c>
      <c r="BJ745" s="871">
        <v>66000</v>
      </c>
      <c r="BK745" s="871">
        <v>67400</v>
      </c>
      <c r="BL745" s="871">
        <v>68800</v>
      </c>
      <c r="BM745" s="871">
        <v>70200</v>
      </c>
      <c r="BN745" s="871">
        <v>71600</v>
      </c>
      <c r="BO745" s="871">
        <v>73000</v>
      </c>
      <c r="BP745" s="871">
        <v>74400</v>
      </c>
      <c r="BQ745" s="871">
        <v>75800</v>
      </c>
      <c r="BR745" s="871">
        <v>77200</v>
      </c>
      <c r="BS745" s="871">
        <v>78600</v>
      </c>
      <c r="BT745" s="871">
        <v>80000</v>
      </c>
      <c r="BU745" s="871">
        <v>81400</v>
      </c>
      <c r="BV745" s="871">
        <v>82800</v>
      </c>
      <c r="BW745" s="871">
        <v>84200</v>
      </c>
      <c r="BX745" s="871">
        <v>85600</v>
      </c>
      <c r="BY745" s="871">
        <v>87000</v>
      </c>
      <c r="BZ745" s="871">
        <v>88400</v>
      </c>
      <c r="CA745" s="871">
        <v>89800</v>
      </c>
      <c r="CB745" s="871">
        <v>91200</v>
      </c>
      <c r="CC745" s="871">
        <v>92600</v>
      </c>
      <c r="CD745" s="871">
        <v>94000</v>
      </c>
      <c r="CE745" s="871">
        <v>95400</v>
      </c>
      <c r="CF745" s="871">
        <v>96800</v>
      </c>
      <c r="CG745" s="871">
        <v>98200</v>
      </c>
      <c r="CH745" s="871">
        <v>99600</v>
      </c>
      <c r="CI745" s="871">
        <v>101000</v>
      </c>
      <c r="CJ745" s="871">
        <v>102403</v>
      </c>
      <c r="CK745" s="871">
        <v>103872</v>
      </c>
      <c r="CL745" s="871">
        <v>105339</v>
      </c>
      <c r="CM745" s="871">
        <v>106805</v>
      </c>
      <c r="CN745" s="871">
        <v>108268</v>
      </c>
      <c r="CO745" s="871">
        <v>109708</v>
      </c>
      <c r="CP745" s="871">
        <v>110800</v>
      </c>
      <c r="CQ745" s="871">
        <v>0</v>
      </c>
      <c r="CR745" s="871">
        <v>0</v>
      </c>
      <c r="CS745" s="871">
        <v>0</v>
      </c>
      <c r="CT745" s="871">
        <v>0</v>
      </c>
      <c r="CU745" s="871">
        <v>0</v>
      </c>
      <c r="CV745" s="871">
        <v>0</v>
      </c>
      <c r="CW745" s="871">
        <v>0</v>
      </c>
      <c r="CX745" s="871">
        <v>0</v>
      </c>
      <c r="CY745" s="871">
        <v>0</v>
      </c>
      <c r="CZ745" s="871">
        <v>0</v>
      </c>
      <c r="DA745" s="871">
        <v>0</v>
      </c>
      <c r="DB745" s="871">
        <v>0</v>
      </c>
      <c r="DC745" s="871">
        <v>0</v>
      </c>
      <c r="DD745" s="871">
        <v>0</v>
      </c>
      <c r="DE745" s="871">
        <v>0</v>
      </c>
      <c r="DF745" s="871">
        <v>0</v>
      </c>
      <c r="DG745" s="871">
        <v>0</v>
      </c>
      <c r="DH745" s="871">
        <v>0</v>
      </c>
      <c r="DI745" s="871">
        <v>0</v>
      </c>
      <c r="DJ745" s="871">
        <v>0</v>
      </c>
      <c r="DK745" s="871">
        <v>0</v>
      </c>
      <c r="DL745" s="871">
        <v>0</v>
      </c>
      <c r="DM745" s="871">
        <v>0</v>
      </c>
      <c r="DN745" s="871">
        <v>0</v>
      </c>
      <c r="DO745" s="871">
        <v>0</v>
      </c>
      <c r="DP745" s="871">
        <v>0</v>
      </c>
      <c r="DQ745" s="871">
        <v>0</v>
      </c>
      <c r="DR745" s="871">
        <v>0</v>
      </c>
      <c r="DS745" s="871">
        <v>0</v>
      </c>
      <c r="DT745" s="871">
        <v>0</v>
      </c>
      <c r="DU745" s="871">
        <v>0</v>
      </c>
      <c r="DV745" s="871">
        <v>0</v>
      </c>
      <c r="DW745" s="871">
        <v>0</v>
      </c>
    </row>
    <row r="746" spans="12:127" hidden="1">
      <c r="L746" s="870" t="s">
        <v>1060</v>
      </c>
      <c r="M746" s="870" t="s">
        <v>1382</v>
      </c>
      <c r="N746" s="870" t="s">
        <v>97</v>
      </c>
      <c r="O746" s="871">
        <v>34</v>
      </c>
      <c r="P746" s="780" t="str">
        <f t="shared" si="22"/>
        <v>IWT060234</v>
      </c>
      <c r="Q746" s="871">
        <v>27056</v>
      </c>
      <c r="R746" s="871">
        <v>27597</v>
      </c>
      <c r="S746" s="871">
        <v>28149</v>
      </c>
      <c r="T746" s="871">
        <v>28712</v>
      </c>
      <c r="U746" s="871">
        <v>29286</v>
      </c>
      <c r="V746" s="871">
        <v>31774.6</v>
      </c>
      <c r="W746" s="871">
        <v>31774.6</v>
      </c>
      <c r="X746" s="871">
        <v>31774.6</v>
      </c>
      <c r="Y746" s="871">
        <v>31774.6</v>
      </c>
      <c r="Z746" s="871">
        <v>32330</v>
      </c>
      <c r="AA746" s="871">
        <v>32976</v>
      </c>
      <c r="AB746" s="871">
        <v>33636</v>
      </c>
      <c r="AC746" s="871">
        <v>34308</v>
      </c>
      <c r="AD746" s="871">
        <v>34995</v>
      </c>
      <c r="AE746" s="871">
        <v>35694</v>
      </c>
      <c r="AF746" s="871">
        <v>36408</v>
      </c>
      <c r="AG746" s="871">
        <v>37137</v>
      </c>
      <c r="AH746" s="871">
        <v>37879</v>
      </c>
      <c r="AI746" s="871">
        <v>38637</v>
      </c>
      <c r="AJ746" s="871">
        <v>39410</v>
      </c>
      <c r="AK746" s="871">
        <v>40198</v>
      </c>
      <c r="AL746" s="871">
        <v>41002</v>
      </c>
      <c r="AM746" s="871">
        <v>41822</v>
      </c>
      <c r="AN746" s="871">
        <v>42658</v>
      </c>
      <c r="AO746" s="871">
        <v>43511</v>
      </c>
      <c r="AP746" s="871">
        <v>44382</v>
      </c>
      <c r="AQ746" s="871">
        <v>45269</v>
      </c>
      <c r="AR746" s="871">
        <v>46175</v>
      </c>
      <c r="AS746" s="871">
        <v>47098</v>
      </c>
      <c r="AT746" s="871">
        <v>48040</v>
      </c>
      <c r="AU746" s="871">
        <v>49001</v>
      </c>
      <c r="AV746" s="871">
        <v>49981</v>
      </c>
      <c r="AW746" s="871">
        <v>50980</v>
      </c>
      <c r="AX746" s="871">
        <v>52000</v>
      </c>
      <c r="AY746" s="871">
        <v>53040</v>
      </c>
      <c r="AZ746" s="871">
        <v>54101</v>
      </c>
      <c r="BA746" s="871">
        <v>55183</v>
      </c>
      <c r="BB746" s="871">
        <v>56286</v>
      </c>
      <c r="BC746" s="871">
        <v>57412</v>
      </c>
      <c r="BD746" s="871">
        <v>58560</v>
      </c>
      <c r="BE746" s="871">
        <v>59731</v>
      </c>
      <c r="BF746" s="871">
        <v>60924</v>
      </c>
      <c r="BG746" s="871">
        <v>62135</v>
      </c>
      <c r="BH746" s="871">
        <v>63363</v>
      </c>
      <c r="BI746" s="871">
        <v>64609</v>
      </c>
      <c r="BJ746" s="871">
        <v>66000</v>
      </c>
      <c r="BK746" s="871">
        <v>67400</v>
      </c>
      <c r="BL746" s="871">
        <v>68800</v>
      </c>
      <c r="BM746" s="871">
        <v>70200</v>
      </c>
      <c r="BN746" s="871">
        <v>71600</v>
      </c>
      <c r="BO746" s="871">
        <v>73000</v>
      </c>
      <c r="BP746" s="871">
        <v>74400</v>
      </c>
      <c r="BQ746" s="871">
        <v>75800</v>
      </c>
      <c r="BR746" s="871">
        <v>77200</v>
      </c>
      <c r="BS746" s="871">
        <v>78600</v>
      </c>
      <c r="BT746" s="871">
        <v>80000</v>
      </c>
      <c r="BU746" s="871">
        <v>81400</v>
      </c>
      <c r="BV746" s="871">
        <v>82800</v>
      </c>
      <c r="BW746" s="871">
        <v>84200</v>
      </c>
      <c r="BX746" s="871">
        <v>85600</v>
      </c>
      <c r="BY746" s="871">
        <v>87000</v>
      </c>
      <c r="BZ746" s="871">
        <v>88400</v>
      </c>
      <c r="CA746" s="871">
        <v>89800</v>
      </c>
      <c r="CB746" s="871">
        <v>91200</v>
      </c>
      <c r="CC746" s="871">
        <v>92600</v>
      </c>
      <c r="CD746" s="871">
        <v>94000</v>
      </c>
      <c r="CE746" s="871">
        <v>95400</v>
      </c>
      <c r="CF746" s="871">
        <v>96800</v>
      </c>
      <c r="CG746" s="871">
        <v>98200</v>
      </c>
      <c r="CH746" s="871">
        <v>99600</v>
      </c>
      <c r="CI746" s="871">
        <v>101032</v>
      </c>
      <c r="CJ746" s="871">
        <v>102497</v>
      </c>
      <c r="CK746" s="871">
        <v>103961</v>
      </c>
      <c r="CL746" s="871">
        <v>105423</v>
      </c>
      <c r="CM746" s="871">
        <v>106884</v>
      </c>
      <c r="CN746" s="871">
        <v>108322</v>
      </c>
      <c r="CO746" s="871">
        <v>109400</v>
      </c>
      <c r="CP746" s="871">
        <v>0</v>
      </c>
      <c r="CQ746" s="871">
        <v>0</v>
      </c>
      <c r="CR746" s="871">
        <v>0</v>
      </c>
      <c r="CS746" s="871">
        <v>0</v>
      </c>
      <c r="CT746" s="871">
        <v>0</v>
      </c>
      <c r="CU746" s="871">
        <v>0</v>
      </c>
      <c r="CV746" s="871">
        <v>0</v>
      </c>
      <c r="CW746" s="871">
        <v>0</v>
      </c>
      <c r="CX746" s="871">
        <v>0</v>
      </c>
      <c r="CY746" s="871">
        <v>0</v>
      </c>
      <c r="CZ746" s="871">
        <v>0</v>
      </c>
      <c r="DA746" s="871">
        <v>0</v>
      </c>
      <c r="DB746" s="871">
        <v>0</v>
      </c>
      <c r="DC746" s="871">
        <v>0</v>
      </c>
      <c r="DD746" s="871">
        <v>0</v>
      </c>
      <c r="DE746" s="871">
        <v>0</v>
      </c>
      <c r="DF746" s="871">
        <v>0</v>
      </c>
      <c r="DG746" s="871">
        <v>0</v>
      </c>
      <c r="DH746" s="871">
        <v>0</v>
      </c>
      <c r="DI746" s="871">
        <v>0</v>
      </c>
      <c r="DJ746" s="871">
        <v>0</v>
      </c>
      <c r="DK746" s="871">
        <v>0</v>
      </c>
      <c r="DL746" s="871">
        <v>0</v>
      </c>
      <c r="DM746" s="871">
        <v>0</v>
      </c>
      <c r="DN746" s="871">
        <v>0</v>
      </c>
      <c r="DO746" s="871">
        <v>0</v>
      </c>
      <c r="DP746" s="871">
        <v>0</v>
      </c>
      <c r="DQ746" s="871">
        <v>0</v>
      </c>
      <c r="DR746" s="871">
        <v>0</v>
      </c>
      <c r="DS746" s="871">
        <v>0</v>
      </c>
      <c r="DT746" s="871">
        <v>0</v>
      </c>
      <c r="DU746" s="871">
        <v>0</v>
      </c>
      <c r="DV746" s="871">
        <v>0</v>
      </c>
      <c r="DW746" s="871">
        <v>0</v>
      </c>
    </row>
    <row r="747" spans="12:127" hidden="1">
      <c r="L747" s="870" t="s">
        <v>1060</v>
      </c>
      <c r="M747" s="870" t="s">
        <v>1382</v>
      </c>
      <c r="N747" s="870" t="s">
        <v>97</v>
      </c>
      <c r="O747" s="871">
        <v>35</v>
      </c>
      <c r="P747" s="780" t="str">
        <f t="shared" si="22"/>
        <v>IWT060235</v>
      </c>
      <c r="Q747" s="871">
        <v>27098</v>
      </c>
      <c r="R747" s="871">
        <v>27640</v>
      </c>
      <c r="S747" s="871">
        <v>28193</v>
      </c>
      <c r="T747" s="871">
        <v>28757</v>
      </c>
      <c r="U747" s="871">
        <v>29332</v>
      </c>
      <c r="V747" s="871">
        <v>31825.4</v>
      </c>
      <c r="W747" s="871">
        <v>31825.4</v>
      </c>
      <c r="X747" s="871">
        <v>31825.4</v>
      </c>
      <c r="Y747" s="871">
        <v>31825.4</v>
      </c>
      <c r="Z747" s="871">
        <v>32380</v>
      </c>
      <c r="AA747" s="871">
        <v>33027</v>
      </c>
      <c r="AB747" s="871">
        <v>33688</v>
      </c>
      <c r="AC747" s="871">
        <v>34361</v>
      </c>
      <c r="AD747" s="871">
        <v>35049</v>
      </c>
      <c r="AE747" s="871">
        <v>35750</v>
      </c>
      <c r="AF747" s="871">
        <v>36465</v>
      </c>
      <c r="AG747" s="871">
        <v>37194</v>
      </c>
      <c r="AH747" s="871">
        <v>37938</v>
      </c>
      <c r="AI747" s="871">
        <v>38697</v>
      </c>
      <c r="AJ747" s="871">
        <v>39470</v>
      </c>
      <c r="AK747" s="871">
        <v>40260</v>
      </c>
      <c r="AL747" s="871">
        <v>41065</v>
      </c>
      <c r="AM747" s="871">
        <v>41886</v>
      </c>
      <c r="AN747" s="871">
        <v>42724</v>
      </c>
      <c r="AO747" s="871">
        <v>43579</v>
      </c>
      <c r="AP747" s="871">
        <v>44450</v>
      </c>
      <c r="AQ747" s="871">
        <v>45339</v>
      </c>
      <c r="AR747" s="871">
        <v>46246</v>
      </c>
      <c r="AS747" s="871">
        <v>47171</v>
      </c>
      <c r="AT747" s="871">
        <v>48114</v>
      </c>
      <c r="AU747" s="871">
        <v>49076</v>
      </c>
      <c r="AV747" s="871">
        <v>50058</v>
      </c>
      <c r="AW747" s="871">
        <v>51059</v>
      </c>
      <c r="AX747" s="871">
        <v>52080</v>
      </c>
      <c r="AY747" s="871">
        <v>53122</v>
      </c>
      <c r="AZ747" s="871">
        <v>54184</v>
      </c>
      <c r="BA747" s="871">
        <v>55268</v>
      </c>
      <c r="BB747" s="871">
        <v>56373</v>
      </c>
      <c r="BC747" s="871">
        <v>57501</v>
      </c>
      <c r="BD747" s="871">
        <v>58651</v>
      </c>
      <c r="BE747" s="871">
        <v>59823</v>
      </c>
      <c r="BF747" s="871">
        <v>61020</v>
      </c>
      <c r="BG747" s="871">
        <v>62235</v>
      </c>
      <c r="BH747" s="871">
        <v>63467</v>
      </c>
      <c r="BI747" s="871">
        <v>64717</v>
      </c>
      <c r="BJ747" s="871">
        <v>66000</v>
      </c>
      <c r="BK747" s="871">
        <v>67400</v>
      </c>
      <c r="BL747" s="871">
        <v>68800</v>
      </c>
      <c r="BM747" s="871">
        <v>70200</v>
      </c>
      <c r="BN747" s="871">
        <v>71600</v>
      </c>
      <c r="BO747" s="871">
        <v>73000</v>
      </c>
      <c r="BP747" s="871">
        <v>74400</v>
      </c>
      <c r="BQ747" s="871">
        <v>75800</v>
      </c>
      <c r="BR747" s="871">
        <v>77200</v>
      </c>
      <c r="BS747" s="871">
        <v>78600</v>
      </c>
      <c r="BT747" s="871">
        <v>80000</v>
      </c>
      <c r="BU747" s="871">
        <v>81400</v>
      </c>
      <c r="BV747" s="871">
        <v>82800</v>
      </c>
      <c r="BW747" s="871">
        <v>84200</v>
      </c>
      <c r="BX747" s="871">
        <v>85600</v>
      </c>
      <c r="BY747" s="871">
        <v>87000</v>
      </c>
      <c r="BZ747" s="871">
        <v>88400</v>
      </c>
      <c r="CA747" s="871">
        <v>89800</v>
      </c>
      <c r="CB747" s="871">
        <v>91200</v>
      </c>
      <c r="CC747" s="871">
        <v>92600</v>
      </c>
      <c r="CD747" s="871">
        <v>94000</v>
      </c>
      <c r="CE747" s="871">
        <v>95400</v>
      </c>
      <c r="CF747" s="871">
        <v>96800</v>
      </c>
      <c r="CG747" s="871">
        <v>98201</v>
      </c>
      <c r="CH747" s="871">
        <v>99661</v>
      </c>
      <c r="CI747" s="871">
        <v>101122</v>
      </c>
      <c r="CJ747" s="871">
        <v>102582</v>
      </c>
      <c r="CK747" s="871">
        <v>104042</v>
      </c>
      <c r="CL747" s="871">
        <v>105499</v>
      </c>
      <c r="CM747" s="871">
        <v>106936</v>
      </c>
      <c r="CN747" s="871">
        <v>108000</v>
      </c>
      <c r="CO747" s="871">
        <v>0</v>
      </c>
      <c r="CP747" s="871">
        <v>0</v>
      </c>
      <c r="CQ747" s="871">
        <v>0</v>
      </c>
      <c r="CR747" s="871">
        <v>0</v>
      </c>
      <c r="CS747" s="871">
        <v>0</v>
      </c>
      <c r="CT747" s="871">
        <v>0</v>
      </c>
      <c r="CU747" s="871">
        <v>0</v>
      </c>
      <c r="CV747" s="871">
        <v>0</v>
      </c>
      <c r="CW747" s="871">
        <v>0</v>
      </c>
      <c r="CX747" s="871">
        <v>0</v>
      </c>
      <c r="CY747" s="871">
        <v>0</v>
      </c>
      <c r="CZ747" s="871">
        <v>0</v>
      </c>
      <c r="DA747" s="871">
        <v>0</v>
      </c>
      <c r="DB747" s="871">
        <v>0</v>
      </c>
      <c r="DC747" s="871">
        <v>0</v>
      </c>
      <c r="DD747" s="871">
        <v>0</v>
      </c>
      <c r="DE747" s="871">
        <v>0</v>
      </c>
      <c r="DF747" s="871">
        <v>0</v>
      </c>
      <c r="DG747" s="871">
        <v>0</v>
      </c>
      <c r="DH747" s="871">
        <v>0</v>
      </c>
      <c r="DI747" s="871">
        <v>0</v>
      </c>
      <c r="DJ747" s="871">
        <v>0</v>
      </c>
      <c r="DK747" s="871">
        <v>0</v>
      </c>
      <c r="DL747" s="871">
        <v>0</v>
      </c>
      <c r="DM747" s="871">
        <v>0</v>
      </c>
      <c r="DN747" s="871">
        <v>0</v>
      </c>
      <c r="DO747" s="871">
        <v>0</v>
      </c>
      <c r="DP747" s="871">
        <v>0</v>
      </c>
      <c r="DQ747" s="871">
        <v>0</v>
      </c>
      <c r="DR747" s="871">
        <v>0</v>
      </c>
      <c r="DS747" s="871">
        <v>0</v>
      </c>
      <c r="DT747" s="871">
        <v>0</v>
      </c>
      <c r="DU747" s="871">
        <v>0</v>
      </c>
      <c r="DV747" s="871">
        <v>0</v>
      </c>
      <c r="DW747" s="871">
        <v>0</v>
      </c>
    </row>
    <row r="748" spans="12:127" hidden="1">
      <c r="L748" s="870" t="s">
        <v>1060</v>
      </c>
      <c r="M748" s="870" t="s">
        <v>1382</v>
      </c>
      <c r="N748" s="870" t="s">
        <v>97</v>
      </c>
      <c r="O748" s="871">
        <v>36</v>
      </c>
      <c r="P748" s="780" t="str">
        <f t="shared" si="22"/>
        <v>IWT060236</v>
      </c>
      <c r="Q748" s="871">
        <v>27137</v>
      </c>
      <c r="R748" s="871">
        <v>27679</v>
      </c>
      <c r="S748" s="871">
        <v>28233</v>
      </c>
      <c r="T748" s="871">
        <v>28798</v>
      </c>
      <c r="U748" s="871">
        <v>29374</v>
      </c>
      <c r="V748" s="871">
        <v>31870</v>
      </c>
      <c r="W748" s="871">
        <v>31870</v>
      </c>
      <c r="X748" s="871">
        <v>31870</v>
      </c>
      <c r="Y748" s="871">
        <v>31870</v>
      </c>
      <c r="Z748" s="871">
        <v>32425</v>
      </c>
      <c r="AA748" s="871">
        <v>33074</v>
      </c>
      <c r="AB748" s="871">
        <v>33735</v>
      </c>
      <c r="AC748" s="871">
        <v>34410</v>
      </c>
      <c r="AD748" s="871">
        <v>35098</v>
      </c>
      <c r="AE748" s="871">
        <v>35800</v>
      </c>
      <c r="AF748" s="871">
        <v>36516</v>
      </c>
      <c r="AG748" s="871">
        <v>37247</v>
      </c>
      <c r="AH748" s="871">
        <v>37992</v>
      </c>
      <c r="AI748" s="871">
        <v>38751</v>
      </c>
      <c r="AJ748" s="871">
        <v>39526</v>
      </c>
      <c r="AK748" s="871">
        <v>40317</v>
      </c>
      <c r="AL748" s="871">
        <v>41123</v>
      </c>
      <c r="AM748" s="871">
        <v>41946</v>
      </c>
      <c r="AN748" s="871">
        <v>42785</v>
      </c>
      <c r="AO748" s="871">
        <v>43640</v>
      </c>
      <c r="AP748" s="871">
        <v>44513</v>
      </c>
      <c r="AQ748" s="871">
        <v>45403</v>
      </c>
      <c r="AR748" s="871">
        <v>46311</v>
      </c>
      <c r="AS748" s="871">
        <v>47238</v>
      </c>
      <c r="AT748" s="871">
        <v>48182</v>
      </c>
      <c r="AU748" s="871">
        <v>49146</v>
      </c>
      <c r="AV748" s="871">
        <v>50129</v>
      </c>
      <c r="AW748" s="871">
        <v>51131</v>
      </c>
      <c r="AX748" s="871">
        <v>52154</v>
      </c>
      <c r="AY748" s="871">
        <v>53197</v>
      </c>
      <c r="AZ748" s="871">
        <v>54261</v>
      </c>
      <c r="BA748" s="871">
        <v>55346</v>
      </c>
      <c r="BB748" s="871">
        <v>56453</v>
      </c>
      <c r="BC748" s="871">
        <v>57582</v>
      </c>
      <c r="BD748" s="871">
        <v>58733</v>
      </c>
      <c r="BE748" s="871">
        <v>59908</v>
      </c>
      <c r="BF748" s="871">
        <v>61106</v>
      </c>
      <c r="BG748" s="871">
        <v>62325</v>
      </c>
      <c r="BH748" s="871">
        <v>63562</v>
      </c>
      <c r="BI748" s="871">
        <v>64815</v>
      </c>
      <c r="BJ748" s="871">
        <v>66085</v>
      </c>
      <c r="BK748" s="871">
        <v>67400</v>
      </c>
      <c r="BL748" s="871">
        <v>68800</v>
      </c>
      <c r="BM748" s="871">
        <v>70200</v>
      </c>
      <c r="BN748" s="871">
        <v>71600</v>
      </c>
      <c r="BO748" s="871">
        <v>73000</v>
      </c>
      <c r="BP748" s="871">
        <v>74400</v>
      </c>
      <c r="BQ748" s="871">
        <v>75800</v>
      </c>
      <c r="BR748" s="871">
        <v>77200</v>
      </c>
      <c r="BS748" s="871">
        <v>78600</v>
      </c>
      <c r="BT748" s="871">
        <v>80000</v>
      </c>
      <c r="BU748" s="871">
        <v>81400</v>
      </c>
      <c r="BV748" s="871">
        <v>82800</v>
      </c>
      <c r="BW748" s="871">
        <v>84200</v>
      </c>
      <c r="BX748" s="871">
        <v>85600</v>
      </c>
      <c r="BY748" s="871">
        <v>87000</v>
      </c>
      <c r="BZ748" s="871">
        <v>88400</v>
      </c>
      <c r="CA748" s="871">
        <v>89800</v>
      </c>
      <c r="CB748" s="871">
        <v>91200</v>
      </c>
      <c r="CC748" s="871">
        <v>92600</v>
      </c>
      <c r="CD748" s="871">
        <v>94000</v>
      </c>
      <c r="CE748" s="871">
        <v>95400</v>
      </c>
      <c r="CF748" s="871">
        <v>96834</v>
      </c>
      <c r="CG748" s="871">
        <v>98291</v>
      </c>
      <c r="CH748" s="871">
        <v>99747</v>
      </c>
      <c r="CI748" s="871">
        <v>101204</v>
      </c>
      <c r="CJ748" s="871">
        <v>102661</v>
      </c>
      <c r="CK748" s="871">
        <v>104115</v>
      </c>
      <c r="CL748" s="871">
        <v>105550</v>
      </c>
      <c r="CM748" s="871">
        <v>106600</v>
      </c>
      <c r="CN748" s="871">
        <v>0</v>
      </c>
      <c r="CO748" s="871">
        <v>0</v>
      </c>
      <c r="CP748" s="871">
        <v>0</v>
      </c>
      <c r="CQ748" s="871">
        <v>0</v>
      </c>
      <c r="CR748" s="871">
        <v>0</v>
      </c>
      <c r="CS748" s="871">
        <v>0</v>
      </c>
      <c r="CT748" s="871">
        <v>0</v>
      </c>
      <c r="CU748" s="871">
        <v>0</v>
      </c>
      <c r="CV748" s="871">
        <v>0</v>
      </c>
      <c r="CW748" s="871">
        <v>0</v>
      </c>
      <c r="CX748" s="871">
        <v>0</v>
      </c>
      <c r="CY748" s="871">
        <v>0</v>
      </c>
      <c r="CZ748" s="871">
        <v>0</v>
      </c>
      <c r="DA748" s="871">
        <v>0</v>
      </c>
      <c r="DB748" s="871">
        <v>0</v>
      </c>
      <c r="DC748" s="871">
        <v>0</v>
      </c>
      <c r="DD748" s="871">
        <v>0</v>
      </c>
      <c r="DE748" s="871">
        <v>0</v>
      </c>
      <c r="DF748" s="871">
        <v>0</v>
      </c>
      <c r="DG748" s="871">
        <v>0</v>
      </c>
      <c r="DH748" s="871">
        <v>0</v>
      </c>
      <c r="DI748" s="871">
        <v>0</v>
      </c>
      <c r="DJ748" s="871">
        <v>0</v>
      </c>
      <c r="DK748" s="871">
        <v>0</v>
      </c>
      <c r="DL748" s="871">
        <v>0</v>
      </c>
      <c r="DM748" s="871">
        <v>0</v>
      </c>
      <c r="DN748" s="871">
        <v>0</v>
      </c>
      <c r="DO748" s="871">
        <v>0</v>
      </c>
      <c r="DP748" s="871">
        <v>0</v>
      </c>
      <c r="DQ748" s="871">
        <v>0</v>
      </c>
      <c r="DR748" s="871">
        <v>0</v>
      </c>
      <c r="DS748" s="871">
        <v>0</v>
      </c>
      <c r="DT748" s="871">
        <v>0</v>
      </c>
      <c r="DU748" s="871">
        <v>0</v>
      </c>
      <c r="DV748" s="871">
        <v>0</v>
      </c>
      <c r="DW748" s="871">
        <v>0</v>
      </c>
    </row>
    <row r="749" spans="12:127" hidden="1">
      <c r="L749" s="870" t="s">
        <v>1060</v>
      </c>
      <c r="M749" s="870" t="s">
        <v>1382</v>
      </c>
      <c r="N749" s="870" t="s">
        <v>97</v>
      </c>
      <c r="O749" s="871">
        <v>37</v>
      </c>
      <c r="P749" s="780" t="str">
        <f t="shared" si="22"/>
        <v>IWT060237</v>
      </c>
      <c r="Q749" s="871">
        <v>27171</v>
      </c>
      <c r="R749" s="871">
        <v>27715</v>
      </c>
      <c r="S749" s="871">
        <v>28269</v>
      </c>
      <c r="T749" s="871">
        <v>28834</v>
      </c>
      <c r="U749" s="871">
        <v>29411</v>
      </c>
      <c r="V749" s="871">
        <v>31914.5</v>
      </c>
      <c r="W749" s="871">
        <v>31914.5</v>
      </c>
      <c r="X749" s="871">
        <v>31914.5</v>
      </c>
      <c r="Y749" s="871">
        <v>31914.5</v>
      </c>
      <c r="Z749" s="871">
        <v>32466</v>
      </c>
      <c r="AA749" s="871">
        <v>33116</v>
      </c>
      <c r="AB749" s="871">
        <v>33778</v>
      </c>
      <c r="AC749" s="871">
        <v>34454</v>
      </c>
      <c r="AD749" s="871">
        <v>35143</v>
      </c>
      <c r="AE749" s="871">
        <v>35845</v>
      </c>
      <c r="AF749" s="871">
        <v>36562</v>
      </c>
      <c r="AG749" s="871">
        <v>37294</v>
      </c>
      <c r="AH749" s="871">
        <v>38039</v>
      </c>
      <c r="AI749" s="871">
        <v>38800</v>
      </c>
      <c r="AJ749" s="871">
        <v>39576</v>
      </c>
      <c r="AK749" s="871">
        <v>40368</v>
      </c>
      <c r="AL749" s="871">
        <v>41175</v>
      </c>
      <c r="AM749" s="871">
        <v>41999</v>
      </c>
      <c r="AN749" s="871">
        <v>42839</v>
      </c>
      <c r="AO749" s="871">
        <v>43695</v>
      </c>
      <c r="AP749" s="871">
        <v>44569</v>
      </c>
      <c r="AQ749" s="871">
        <v>45461</v>
      </c>
      <c r="AR749" s="871">
        <v>46370</v>
      </c>
      <c r="AS749" s="871">
        <v>47297</v>
      </c>
      <c r="AT749" s="871">
        <v>48243</v>
      </c>
      <c r="AU749" s="871">
        <v>49208</v>
      </c>
      <c r="AV749" s="871">
        <v>50192</v>
      </c>
      <c r="AW749" s="871">
        <v>51196</v>
      </c>
      <c r="AX749" s="871">
        <v>52220</v>
      </c>
      <c r="AY749" s="871">
        <v>53264</v>
      </c>
      <c r="AZ749" s="871">
        <v>54329</v>
      </c>
      <c r="BA749" s="871">
        <v>55416</v>
      </c>
      <c r="BB749" s="871">
        <v>56524</v>
      </c>
      <c r="BC749" s="871">
        <v>57655</v>
      </c>
      <c r="BD749" s="871">
        <v>58808</v>
      </c>
      <c r="BE749" s="871">
        <v>59984</v>
      </c>
      <c r="BF749" s="871">
        <v>61183</v>
      </c>
      <c r="BG749" s="871">
        <v>62407</v>
      </c>
      <c r="BH749" s="871">
        <v>63647</v>
      </c>
      <c r="BI749" s="871">
        <v>64904</v>
      </c>
      <c r="BJ749" s="871">
        <v>66178</v>
      </c>
      <c r="BK749" s="871">
        <v>67467</v>
      </c>
      <c r="BL749" s="871">
        <v>68800</v>
      </c>
      <c r="BM749" s="871">
        <v>70200</v>
      </c>
      <c r="BN749" s="871">
        <v>71600</v>
      </c>
      <c r="BO749" s="871">
        <v>73000</v>
      </c>
      <c r="BP749" s="871">
        <v>74400</v>
      </c>
      <c r="BQ749" s="871">
        <v>75800</v>
      </c>
      <c r="BR749" s="871">
        <v>77200</v>
      </c>
      <c r="BS749" s="871">
        <v>78600</v>
      </c>
      <c r="BT749" s="871">
        <v>80000</v>
      </c>
      <c r="BU749" s="871">
        <v>81400</v>
      </c>
      <c r="BV749" s="871">
        <v>82800</v>
      </c>
      <c r="BW749" s="871">
        <v>84200</v>
      </c>
      <c r="BX749" s="871">
        <v>85600</v>
      </c>
      <c r="BY749" s="871">
        <v>87000</v>
      </c>
      <c r="BZ749" s="871">
        <v>88400</v>
      </c>
      <c r="CA749" s="871">
        <v>89800</v>
      </c>
      <c r="CB749" s="871">
        <v>91200</v>
      </c>
      <c r="CC749" s="871">
        <v>92600</v>
      </c>
      <c r="CD749" s="871">
        <v>94016</v>
      </c>
      <c r="CE749" s="871">
        <v>95467</v>
      </c>
      <c r="CF749" s="871">
        <v>96920</v>
      </c>
      <c r="CG749" s="871">
        <v>98373</v>
      </c>
      <c r="CH749" s="871">
        <v>99826</v>
      </c>
      <c r="CI749" s="871">
        <v>101279</v>
      </c>
      <c r="CJ749" s="871">
        <v>102731</v>
      </c>
      <c r="CK749" s="871">
        <v>104164</v>
      </c>
      <c r="CL749" s="871">
        <v>105200</v>
      </c>
      <c r="CM749" s="871">
        <v>0</v>
      </c>
      <c r="CN749" s="871">
        <v>0</v>
      </c>
      <c r="CO749" s="871">
        <v>0</v>
      </c>
      <c r="CP749" s="871">
        <v>0</v>
      </c>
      <c r="CQ749" s="871">
        <v>0</v>
      </c>
      <c r="CR749" s="871">
        <v>0</v>
      </c>
      <c r="CS749" s="871">
        <v>0</v>
      </c>
      <c r="CT749" s="871">
        <v>0</v>
      </c>
      <c r="CU749" s="871">
        <v>0</v>
      </c>
      <c r="CV749" s="871">
        <v>0</v>
      </c>
      <c r="CW749" s="871">
        <v>0</v>
      </c>
      <c r="CX749" s="871">
        <v>0</v>
      </c>
      <c r="CY749" s="871">
        <v>0</v>
      </c>
      <c r="CZ749" s="871">
        <v>0</v>
      </c>
      <c r="DA749" s="871">
        <v>0</v>
      </c>
      <c r="DB749" s="871">
        <v>0</v>
      </c>
      <c r="DC749" s="871">
        <v>0</v>
      </c>
      <c r="DD749" s="871">
        <v>0</v>
      </c>
      <c r="DE749" s="871">
        <v>0</v>
      </c>
      <c r="DF749" s="871">
        <v>0</v>
      </c>
      <c r="DG749" s="871">
        <v>0</v>
      </c>
      <c r="DH749" s="871">
        <v>0</v>
      </c>
      <c r="DI749" s="871">
        <v>0</v>
      </c>
      <c r="DJ749" s="871">
        <v>0</v>
      </c>
      <c r="DK749" s="871">
        <v>0</v>
      </c>
      <c r="DL749" s="871">
        <v>0</v>
      </c>
      <c r="DM749" s="871">
        <v>0</v>
      </c>
      <c r="DN749" s="871">
        <v>0</v>
      </c>
      <c r="DO749" s="871">
        <v>0</v>
      </c>
      <c r="DP749" s="871">
        <v>0</v>
      </c>
      <c r="DQ749" s="871">
        <v>0</v>
      </c>
      <c r="DR749" s="871">
        <v>0</v>
      </c>
      <c r="DS749" s="871">
        <v>0</v>
      </c>
      <c r="DT749" s="871">
        <v>0</v>
      </c>
      <c r="DU749" s="871">
        <v>0</v>
      </c>
      <c r="DV749" s="871">
        <v>0</v>
      </c>
      <c r="DW749" s="871">
        <v>0</v>
      </c>
    </row>
    <row r="750" spans="12:127" hidden="1">
      <c r="L750" s="870" t="s">
        <v>1060</v>
      </c>
      <c r="M750" s="870" t="s">
        <v>1382</v>
      </c>
      <c r="N750" s="870" t="s">
        <v>97</v>
      </c>
      <c r="O750" s="871">
        <v>38</v>
      </c>
      <c r="P750" s="780" t="str">
        <f t="shared" si="22"/>
        <v>IWT060238</v>
      </c>
      <c r="Q750" s="871">
        <v>27203</v>
      </c>
      <c r="R750" s="871">
        <v>27747</v>
      </c>
      <c r="S750" s="871">
        <v>28302</v>
      </c>
      <c r="T750" s="871">
        <v>28868</v>
      </c>
      <c r="U750" s="871">
        <v>29446</v>
      </c>
      <c r="V750" s="871">
        <v>31952.6</v>
      </c>
      <c r="W750" s="871">
        <v>31952.6</v>
      </c>
      <c r="X750" s="871">
        <v>31952.6</v>
      </c>
      <c r="Y750" s="871">
        <v>31952.6</v>
      </c>
      <c r="Z750" s="871">
        <v>32504</v>
      </c>
      <c r="AA750" s="871">
        <v>33154</v>
      </c>
      <c r="AB750" s="871">
        <v>33817</v>
      </c>
      <c r="AC750" s="871">
        <v>34493</v>
      </c>
      <c r="AD750" s="871">
        <v>35183</v>
      </c>
      <c r="AE750" s="871">
        <v>35887</v>
      </c>
      <c r="AF750" s="871">
        <v>36605</v>
      </c>
      <c r="AG750" s="871">
        <v>37337</v>
      </c>
      <c r="AH750" s="871">
        <v>38084</v>
      </c>
      <c r="AI750" s="871">
        <v>38845</v>
      </c>
      <c r="AJ750" s="871">
        <v>39622</v>
      </c>
      <c r="AK750" s="871">
        <v>40415</v>
      </c>
      <c r="AL750" s="871">
        <v>41223</v>
      </c>
      <c r="AM750" s="871">
        <v>42047</v>
      </c>
      <c r="AN750" s="871">
        <v>42888</v>
      </c>
      <c r="AO750" s="871">
        <v>43746</v>
      </c>
      <c r="AP750" s="871">
        <v>44621</v>
      </c>
      <c r="AQ750" s="871">
        <v>45513</v>
      </c>
      <c r="AR750" s="871">
        <v>46424</v>
      </c>
      <c r="AS750" s="871">
        <v>47352</v>
      </c>
      <c r="AT750" s="871">
        <v>48299</v>
      </c>
      <c r="AU750" s="871">
        <v>49265</v>
      </c>
      <c r="AV750" s="871">
        <v>50250</v>
      </c>
      <c r="AW750" s="871">
        <v>51255</v>
      </c>
      <c r="AX750" s="871">
        <v>52280</v>
      </c>
      <c r="AY750" s="871">
        <v>53326</v>
      </c>
      <c r="AZ750" s="871">
        <v>54392</v>
      </c>
      <c r="BA750" s="871">
        <v>55480</v>
      </c>
      <c r="BB750" s="871">
        <v>56590</v>
      </c>
      <c r="BC750" s="871">
        <v>57721</v>
      </c>
      <c r="BD750" s="871">
        <v>58876</v>
      </c>
      <c r="BE750" s="871">
        <v>60053</v>
      </c>
      <c r="BF750" s="871">
        <v>61254</v>
      </c>
      <c r="BG750" s="871">
        <v>62479</v>
      </c>
      <c r="BH750" s="871">
        <v>63724</v>
      </c>
      <c r="BI750" s="871">
        <v>64985</v>
      </c>
      <c r="BJ750" s="871">
        <v>66262</v>
      </c>
      <c r="BK750" s="871">
        <v>67555</v>
      </c>
      <c r="BL750" s="871">
        <v>68863</v>
      </c>
      <c r="BM750" s="871">
        <v>70200</v>
      </c>
      <c r="BN750" s="871">
        <v>71600</v>
      </c>
      <c r="BO750" s="871">
        <v>73000</v>
      </c>
      <c r="BP750" s="871">
        <v>74400</v>
      </c>
      <c r="BQ750" s="871">
        <v>75800</v>
      </c>
      <c r="BR750" s="871">
        <v>77200</v>
      </c>
      <c r="BS750" s="871">
        <v>78600</v>
      </c>
      <c r="BT750" s="871">
        <v>80000</v>
      </c>
      <c r="BU750" s="871">
        <v>81400</v>
      </c>
      <c r="BV750" s="871">
        <v>82800</v>
      </c>
      <c r="BW750" s="871">
        <v>84200</v>
      </c>
      <c r="BX750" s="871">
        <v>85600</v>
      </c>
      <c r="BY750" s="871">
        <v>87000</v>
      </c>
      <c r="BZ750" s="871">
        <v>88400</v>
      </c>
      <c r="CA750" s="871">
        <v>89800</v>
      </c>
      <c r="CB750" s="871">
        <v>91208</v>
      </c>
      <c r="CC750" s="871">
        <v>92653</v>
      </c>
      <c r="CD750" s="871">
        <v>94100</v>
      </c>
      <c r="CE750" s="871">
        <v>95549</v>
      </c>
      <c r="CF750" s="871">
        <v>96998</v>
      </c>
      <c r="CG750" s="871">
        <v>98448</v>
      </c>
      <c r="CH750" s="871">
        <v>99898</v>
      </c>
      <c r="CI750" s="871">
        <v>101347</v>
      </c>
      <c r="CJ750" s="871">
        <v>102777</v>
      </c>
      <c r="CK750" s="871">
        <v>103800</v>
      </c>
      <c r="CL750" s="871">
        <v>0</v>
      </c>
      <c r="CM750" s="871">
        <v>0</v>
      </c>
      <c r="CN750" s="871">
        <v>0</v>
      </c>
      <c r="CO750" s="871">
        <v>0</v>
      </c>
      <c r="CP750" s="871">
        <v>0</v>
      </c>
      <c r="CQ750" s="871">
        <v>0</v>
      </c>
      <c r="CR750" s="871">
        <v>0</v>
      </c>
      <c r="CS750" s="871">
        <v>0</v>
      </c>
      <c r="CT750" s="871">
        <v>0</v>
      </c>
      <c r="CU750" s="871">
        <v>0</v>
      </c>
      <c r="CV750" s="871">
        <v>0</v>
      </c>
      <c r="CW750" s="871">
        <v>0</v>
      </c>
      <c r="CX750" s="871">
        <v>0</v>
      </c>
      <c r="CY750" s="871">
        <v>0</v>
      </c>
      <c r="CZ750" s="871">
        <v>0</v>
      </c>
      <c r="DA750" s="871">
        <v>0</v>
      </c>
      <c r="DB750" s="871">
        <v>0</v>
      </c>
      <c r="DC750" s="871">
        <v>0</v>
      </c>
      <c r="DD750" s="871">
        <v>0</v>
      </c>
      <c r="DE750" s="871">
        <v>0</v>
      </c>
      <c r="DF750" s="871">
        <v>0</v>
      </c>
      <c r="DG750" s="871">
        <v>0</v>
      </c>
      <c r="DH750" s="871">
        <v>0</v>
      </c>
      <c r="DI750" s="871">
        <v>0</v>
      </c>
      <c r="DJ750" s="871">
        <v>0</v>
      </c>
      <c r="DK750" s="871">
        <v>0</v>
      </c>
      <c r="DL750" s="871">
        <v>0</v>
      </c>
      <c r="DM750" s="871">
        <v>0</v>
      </c>
      <c r="DN750" s="871">
        <v>0</v>
      </c>
      <c r="DO750" s="871">
        <v>0</v>
      </c>
      <c r="DP750" s="871">
        <v>0</v>
      </c>
      <c r="DQ750" s="871">
        <v>0</v>
      </c>
      <c r="DR750" s="871">
        <v>0</v>
      </c>
      <c r="DS750" s="871">
        <v>0</v>
      </c>
      <c r="DT750" s="871">
        <v>0</v>
      </c>
      <c r="DU750" s="871">
        <v>0</v>
      </c>
      <c r="DV750" s="871">
        <v>0</v>
      </c>
      <c r="DW750" s="871">
        <v>0</v>
      </c>
    </row>
    <row r="751" spans="12:127" hidden="1">
      <c r="L751" s="870" t="s">
        <v>1060</v>
      </c>
      <c r="M751" s="870" t="s">
        <v>1382</v>
      </c>
      <c r="N751" s="870" t="s">
        <v>97</v>
      </c>
      <c r="O751" s="871">
        <v>39</v>
      </c>
      <c r="P751" s="780" t="str">
        <f t="shared" si="22"/>
        <v>IWT060239</v>
      </c>
      <c r="Q751" s="871">
        <v>27232</v>
      </c>
      <c r="R751" s="871">
        <v>27776</v>
      </c>
      <c r="S751" s="871">
        <v>28332</v>
      </c>
      <c r="T751" s="871">
        <v>28898</v>
      </c>
      <c r="U751" s="871">
        <v>29476</v>
      </c>
      <c r="V751" s="871">
        <v>31984.400000000001</v>
      </c>
      <c r="W751" s="871">
        <v>31984.400000000001</v>
      </c>
      <c r="X751" s="871">
        <v>31984.400000000001</v>
      </c>
      <c r="Y751" s="871">
        <v>31984.400000000001</v>
      </c>
      <c r="Z751" s="871">
        <v>32537</v>
      </c>
      <c r="AA751" s="871">
        <v>33188</v>
      </c>
      <c r="AB751" s="871">
        <v>33852</v>
      </c>
      <c r="AC751" s="871">
        <v>34529</v>
      </c>
      <c r="AD751" s="871">
        <v>35220</v>
      </c>
      <c r="AE751" s="871">
        <v>35924</v>
      </c>
      <c r="AF751" s="871">
        <v>36642</v>
      </c>
      <c r="AG751" s="871">
        <v>37375</v>
      </c>
      <c r="AH751" s="871">
        <v>38123</v>
      </c>
      <c r="AI751" s="871">
        <v>38885</v>
      </c>
      <c r="AJ751" s="871">
        <v>39663</v>
      </c>
      <c r="AK751" s="871">
        <v>40456</v>
      </c>
      <c r="AL751" s="871">
        <v>41265</v>
      </c>
      <c r="AM751" s="871">
        <v>42091</v>
      </c>
      <c r="AN751" s="871">
        <v>42932</v>
      </c>
      <c r="AO751" s="871">
        <v>43791</v>
      </c>
      <c r="AP751" s="871">
        <v>44667</v>
      </c>
      <c r="AQ751" s="871">
        <v>45560</v>
      </c>
      <c r="AR751" s="871">
        <v>46471</v>
      </c>
      <c r="AS751" s="871">
        <v>47401</v>
      </c>
      <c r="AT751" s="871">
        <v>48349</v>
      </c>
      <c r="AU751" s="871">
        <v>49316</v>
      </c>
      <c r="AV751" s="871">
        <v>50302</v>
      </c>
      <c r="AW751" s="871">
        <v>51308</v>
      </c>
      <c r="AX751" s="871">
        <v>52334</v>
      </c>
      <c r="AY751" s="871">
        <v>53381</v>
      </c>
      <c r="AZ751" s="871">
        <v>54448</v>
      </c>
      <c r="BA751" s="871">
        <v>55537</v>
      </c>
      <c r="BB751" s="871">
        <v>56648</v>
      </c>
      <c r="BC751" s="871">
        <v>57781</v>
      </c>
      <c r="BD751" s="871">
        <v>58936</v>
      </c>
      <c r="BE751" s="871">
        <v>60115</v>
      </c>
      <c r="BF751" s="871">
        <v>61317</v>
      </c>
      <c r="BG751" s="871">
        <v>62543</v>
      </c>
      <c r="BH751" s="871">
        <v>63792</v>
      </c>
      <c r="BI751" s="871">
        <v>65057</v>
      </c>
      <c r="BJ751" s="871">
        <v>66338</v>
      </c>
      <c r="BK751" s="871">
        <v>67635</v>
      </c>
      <c r="BL751" s="871">
        <v>68946</v>
      </c>
      <c r="BM751" s="871">
        <v>70271</v>
      </c>
      <c r="BN751" s="871">
        <v>71610</v>
      </c>
      <c r="BO751" s="871">
        <v>73000</v>
      </c>
      <c r="BP751" s="871">
        <v>74400</v>
      </c>
      <c r="BQ751" s="871">
        <v>75800</v>
      </c>
      <c r="BR751" s="871">
        <v>77200</v>
      </c>
      <c r="BS751" s="871">
        <v>78600</v>
      </c>
      <c r="BT751" s="871">
        <v>80000</v>
      </c>
      <c r="BU751" s="871">
        <v>81400</v>
      </c>
      <c r="BV751" s="871">
        <v>82800</v>
      </c>
      <c r="BW751" s="871">
        <v>84200</v>
      </c>
      <c r="BX751" s="871">
        <v>85600</v>
      </c>
      <c r="BY751" s="871">
        <v>87000</v>
      </c>
      <c r="BZ751" s="871">
        <v>88412</v>
      </c>
      <c r="CA751" s="871">
        <v>89850</v>
      </c>
      <c r="CB751" s="871">
        <v>91291</v>
      </c>
      <c r="CC751" s="871">
        <v>92733</v>
      </c>
      <c r="CD751" s="871">
        <v>94178</v>
      </c>
      <c r="CE751" s="871">
        <v>95623</v>
      </c>
      <c r="CF751" s="871">
        <v>97070</v>
      </c>
      <c r="CG751" s="871">
        <v>98516</v>
      </c>
      <c r="CH751" s="871">
        <v>99962</v>
      </c>
      <c r="CI751" s="871">
        <v>101391</v>
      </c>
      <c r="CJ751" s="871">
        <v>102400</v>
      </c>
      <c r="CK751" s="871">
        <v>0</v>
      </c>
      <c r="CL751" s="871">
        <v>0</v>
      </c>
      <c r="CM751" s="871">
        <v>0</v>
      </c>
      <c r="CN751" s="871">
        <v>0</v>
      </c>
      <c r="CO751" s="871">
        <v>0</v>
      </c>
      <c r="CP751" s="871">
        <v>0</v>
      </c>
      <c r="CQ751" s="871">
        <v>0</v>
      </c>
      <c r="CR751" s="871">
        <v>0</v>
      </c>
      <c r="CS751" s="871">
        <v>0</v>
      </c>
      <c r="CT751" s="871">
        <v>0</v>
      </c>
      <c r="CU751" s="871">
        <v>0</v>
      </c>
      <c r="CV751" s="871">
        <v>0</v>
      </c>
      <c r="CW751" s="871">
        <v>0</v>
      </c>
      <c r="CX751" s="871">
        <v>0</v>
      </c>
      <c r="CY751" s="871">
        <v>0</v>
      </c>
      <c r="CZ751" s="871">
        <v>0</v>
      </c>
      <c r="DA751" s="871">
        <v>0</v>
      </c>
      <c r="DB751" s="871">
        <v>0</v>
      </c>
      <c r="DC751" s="871">
        <v>0</v>
      </c>
      <c r="DD751" s="871">
        <v>0</v>
      </c>
      <c r="DE751" s="871">
        <v>0</v>
      </c>
      <c r="DF751" s="871">
        <v>0</v>
      </c>
      <c r="DG751" s="871">
        <v>0</v>
      </c>
      <c r="DH751" s="871">
        <v>0</v>
      </c>
      <c r="DI751" s="871">
        <v>0</v>
      </c>
      <c r="DJ751" s="871">
        <v>0</v>
      </c>
      <c r="DK751" s="871">
        <v>0</v>
      </c>
      <c r="DL751" s="871">
        <v>0</v>
      </c>
      <c r="DM751" s="871">
        <v>0</v>
      </c>
      <c r="DN751" s="871">
        <v>0</v>
      </c>
      <c r="DO751" s="871">
        <v>0</v>
      </c>
      <c r="DP751" s="871">
        <v>0</v>
      </c>
      <c r="DQ751" s="871">
        <v>0</v>
      </c>
      <c r="DR751" s="871">
        <v>0</v>
      </c>
      <c r="DS751" s="871">
        <v>0</v>
      </c>
      <c r="DT751" s="871">
        <v>0</v>
      </c>
      <c r="DU751" s="871">
        <v>0</v>
      </c>
      <c r="DV751" s="871">
        <v>0</v>
      </c>
      <c r="DW751" s="871">
        <v>0</v>
      </c>
    </row>
    <row r="752" spans="12:127" hidden="1">
      <c r="L752" s="870" t="s">
        <v>1060</v>
      </c>
      <c r="M752" s="870" t="s">
        <v>1382</v>
      </c>
      <c r="N752" s="870" t="s">
        <v>97</v>
      </c>
      <c r="O752" s="871">
        <v>40</v>
      </c>
      <c r="P752" s="780" t="str">
        <f t="shared" si="22"/>
        <v>IWT060240</v>
      </c>
      <c r="Q752" s="871">
        <v>27257</v>
      </c>
      <c r="R752" s="871">
        <v>27802</v>
      </c>
      <c r="S752" s="871">
        <v>28358</v>
      </c>
      <c r="T752" s="871">
        <v>28926</v>
      </c>
      <c r="U752" s="871">
        <v>29504</v>
      </c>
      <c r="V752" s="871">
        <v>32016.2</v>
      </c>
      <c r="W752" s="871">
        <v>32016.2</v>
      </c>
      <c r="X752" s="871">
        <v>32016.2</v>
      </c>
      <c r="Y752" s="871">
        <v>32016.2</v>
      </c>
      <c r="Z752" s="871">
        <v>32567</v>
      </c>
      <c r="AA752" s="871">
        <v>33219</v>
      </c>
      <c r="AB752" s="871">
        <v>33883</v>
      </c>
      <c r="AC752" s="871">
        <v>34561</v>
      </c>
      <c r="AD752" s="871">
        <v>35252</v>
      </c>
      <c r="AE752" s="871">
        <v>35957</v>
      </c>
      <c r="AF752" s="871">
        <v>36676</v>
      </c>
      <c r="AG752" s="871">
        <v>37410</v>
      </c>
      <c r="AH752" s="871">
        <v>38158</v>
      </c>
      <c r="AI752" s="871">
        <v>38921</v>
      </c>
      <c r="AJ752" s="871">
        <v>39699</v>
      </c>
      <c r="AK752" s="871">
        <v>40493</v>
      </c>
      <c r="AL752" s="871">
        <v>41303</v>
      </c>
      <c r="AM752" s="871">
        <v>42129</v>
      </c>
      <c r="AN752" s="871">
        <v>42972</v>
      </c>
      <c r="AO752" s="871">
        <v>43831</v>
      </c>
      <c r="AP752" s="871">
        <v>44708</v>
      </c>
      <c r="AQ752" s="871">
        <v>45602</v>
      </c>
      <c r="AR752" s="871">
        <v>46514</v>
      </c>
      <c r="AS752" s="871">
        <v>47444</v>
      </c>
      <c r="AT752" s="871">
        <v>48393</v>
      </c>
      <c r="AU752" s="871">
        <v>49361</v>
      </c>
      <c r="AV752" s="871">
        <v>50348</v>
      </c>
      <c r="AW752" s="871">
        <v>51355</v>
      </c>
      <c r="AX752" s="871">
        <v>52382</v>
      </c>
      <c r="AY752" s="871">
        <v>53430</v>
      </c>
      <c r="AZ752" s="871">
        <v>54498</v>
      </c>
      <c r="BA752" s="871">
        <v>55588</v>
      </c>
      <c r="BB752" s="871">
        <v>56700</v>
      </c>
      <c r="BC752" s="871">
        <v>57834</v>
      </c>
      <c r="BD752" s="871">
        <v>58990</v>
      </c>
      <c r="BE752" s="871">
        <v>60170</v>
      </c>
      <c r="BF752" s="871">
        <v>61373</v>
      </c>
      <c r="BG752" s="871">
        <v>62600</v>
      </c>
      <c r="BH752" s="871">
        <v>63852</v>
      </c>
      <c r="BI752" s="871">
        <v>65122</v>
      </c>
      <c r="BJ752" s="871">
        <v>66407</v>
      </c>
      <c r="BK752" s="871">
        <v>67707</v>
      </c>
      <c r="BL752" s="871">
        <v>69021</v>
      </c>
      <c r="BM752" s="871">
        <v>70350</v>
      </c>
      <c r="BN752" s="871">
        <v>71692</v>
      </c>
      <c r="BO752" s="871">
        <v>73046</v>
      </c>
      <c r="BP752" s="871">
        <v>74412</v>
      </c>
      <c r="BQ752" s="871">
        <v>75800</v>
      </c>
      <c r="BR752" s="871">
        <v>77200</v>
      </c>
      <c r="BS752" s="871">
        <v>78600</v>
      </c>
      <c r="BT752" s="871">
        <v>80000</v>
      </c>
      <c r="BU752" s="871">
        <v>81400</v>
      </c>
      <c r="BV752" s="871">
        <v>82800</v>
      </c>
      <c r="BW752" s="871">
        <v>84205</v>
      </c>
      <c r="BX752" s="871">
        <v>85630</v>
      </c>
      <c r="BY752" s="871">
        <v>87059</v>
      </c>
      <c r="BZ752" s="871">
        <v>88492</v>
      </c>
      <c r="CA752" s="871">
        <v>89928</v>
      </c>
      <c r="CB752" s="871">
        <v>91366</v>
      </c>
      <c r="CC752" s="871">
        <v>92807</v>
      </c>
      <c r="CD752" s="871">
        <v>94249</v>
      </c>
      <c r="CE752" s="871">
        <v>95692</v>
      </c>
      <c r="CF752" s="871">
        <v>97135</v>
      </c>
      <c r="CG752" s="871">
        <v>98578</v>
      </c>
      <c r="CH752" s="871">
        <v>100005</v>
      </c>
      <c r="CI752" s="871">
        <v>101000</v>
      </c>
      <c r="CJ752" s="871">
        <v>0</v>
      </c>
      <c r="CK752" s="871">
        <v>0</v>
      </c>
      <c r="CL752" s="871">
        <v>0</v>
      </c>
      <c r="CM752" s="871">
        <v>0</v>
      </c>
      <c r="CN752" s="871">
        <v>0</v>
      </c>
      <c r="CO752" s="871">
        <v>0</v>
      </c>
      <c r="CP752" s="871">
        <v>0</v>
      </c>
      <c r="CQ752" s="871">
        <v>0</v>
      </c>
      <c r="CR752" s="871">
        <v>0</v>
      </c>
      <c r="CS752" s="871">
        <v>0</v>
      </c>
      <c r="CT752" s="871">
        <v>0</v>
      </c>
      <c r="CU752" s="871">
        <v>0</v>
      </c>
      <c r="CV752" s="871">
        <v>0</v>
      </c>
      <c r="CW752" s="871">
        <v>0</v>
      </c>
      <c r="CX752" s="871">
        <v>0</v>
      </c>
      <c r="CY752" s="871">
        <v>0</v>
      </c>
      <c r="CZ752" s="871">
        <v>0</v>
      </c>
      <c r="DA752" s="871">
        <v>0</v>
      </c>
      <c r="DB752" s="871">
        <v>0</v>
      </c>
      <c r="DC752" s="871">
        <v>0</v>
      </c>
      <c r="DD752" s="871">
        <v>0</v>
      </c>
      <c r="DE752" s="871">
        <v>0</v>
      </c>
      <c r="DF752" s="871">
        <v>0</v>
      </c>
      <c r="DG752" s="871">
        <v>0</v>
      </c>
      <c r="DH752" s="871">
        <v>0</v>
      </c>
      <c r="DI752" s="871">
        <v>0</v>
      </c>
      <c r="DJ752" s="871">
        <v>0</v>
      </c>
      <c r="DK752" s="871">
        <v>0</v>
      </c>
      <c r="DL752" s="871">
        <v>0</v>
      </c>
      <c r="DM752" s="871">
        <v>0</v>
      </c>
      <c r="DN752" s="871">
        <v>0</v>
      </c>
      <c r="DO752" s="871">
        <v>0</v>
      </c>
      <c r="DP752" s="871">
        <v>0</v>
      </c>
      <c r="DQ752" s="871">
        <v>0</v>
      </c>
      <c r="DR752" s="871">
        <v>0</v>
      </c>
      <c r="DS752" s="871">
        <v>0</v>
      </c>
      <c r="DT752" s="871">
        <v>0</v>
      </c>
      <c r="DU752" s="871">
        <v>0</v>
      </c>
      <c r="DV752" s="871">
        <v>0</v>
      </c>
      <c r="DW752" s="871">
        <v>0</v>
      </c>
    </row>
    <row r="753" spans="12:127" hidden="1">
      <c r="L753" s="870" t="s">
        <v>1060</v>
      </c>
      <c r="M753" s="870" t="s">
        <v>1382</v>
      </c>
      <c r="N753" s="870" t="s">
        <v>97</v>
      </c>
      <c r="O753" s="871">
        <v>41</v>
      </c>
      <c r="P753" s="780" t="str">
        <f t="shared" si="22"/>
        <v>IWT060241</v>
      </c>
      <c r="Q753" s="871">
        <v>27281</v>
      </c>
      <c r="R753" s="871">
        <v>27826</v>
      </c>
      <c r="S753" s="871">
        <v>28383</v>
      </c>
      <c r="T753" s="871">
        <v>28950</v>
      </c>
      <c r="U753" s="871">
        <v>29529</v>
      </c>
      <c r="V753" s="871">
        <v>32041.7</v>
      </c>
      <c r="W753" s="871">
        <v>32041.7</v>
      </c>
      <c r="X753" s="871">
        <v>32041.7</v>
      </c>
      <c r="Y753" s="871">
        <v>32041.7</v>
      </c>
      <c r="Z753" s="871">
        <v>32594</v>
      </c>
      <c r="AA753" s="871">
        <v>33246</v>
      </c>
      <c r="AB753" s="871">
        <v>33911</v>
      </c>
      <c r="AC753" s="871">
        <v>34589</v>
      </c>
      <c r="AD753" s="871">
        <v>35281</v>
      </c>
      <c r="AE753" s="871">
        <v>35987</v>
      </c>
      <c r="AF753" s="871">
        <v>36707</v>
      </c>
      <c r="AG753" s="871">
        <v>37441</v>
      </c>
      <c r="AH753" s="871">
        <v>38189</v>
      </c>
      <c r="AI753" s="871">
        <v>38953</v>
      </c>
      <c r="AJ753" s="871">
        <v>39732</v>
      </c>
      <c r="AK753" s="871">
        <v>40527</v>
      </c>
      <c r="AL753" s="871">
        <v>41337</v>
      </c>
      <c r="AM753" s="871">
        <v>42164</v>
      </c>
      <c r="AN753" s="871">
        <v>43008</v>
      </c>
      <c r="AO753" s="871">
        <v>43868</v>
      </c>
      <c r="AP753" s="871">
        <v>44745</v>
      </c>
      <c r="AQ753" s="871">
        <v>45640</v>
      </c>
      <c r="AR753" s="871">
        <v>46553</v>
      </c>
      <c r="AS753" s="871">
        <v>47484</v>
      </c>
      <c r="AT753" s="871">
        <v>48433</v>
      </c>
      <c r="AU753" s="871">
        <v>49402</v>
      </c>
      <c r="AV753" s="871">
        <v>50390</v>
      </c>
      <c r="AW753" s="871">
        <v>51398</v>
      </c>
      <c r="AX753" s="871">
        <v>52426</v>
      </c>
      <c r="AY753" s="871">
        <v>53474</v>
      </c>
      <c r="AZ753" s="871">
        <v>54543</v>
      </c>
      <c r="BA753" s="871">
        <v>55634</v>
      </c>
      <c r="BB753" s="871">
        <v>56747</v>
      </c>
      <c r="BC753" s="871">
        <v>57882</v>
      </c>
      <c r="BD753" s="871">
        <v>59039</v>
      </c>
      <c r="BE753" s="871">
        <v>60220</v>
      </c>
      <c r="BF753" s="871">
        <v>61424</v>
      </c>
      <c r="BG753" s="871">
        <v>62652</v>
      </c>
      <c r="BH753" s="871">
        <v>63905</v>
      </c>
      <c r="BI753" s="871">
        <v>65179</v>
      </c>
      <c r="BJ753" s="871">
        <v>66468</v>
      </c>
      <c r="BK753" s="871">
        <v>67771</v>
      </c>
      <c r="BL753" s="871">
        <v>69089</v>
      </c>
      <c r="BM753" s="871">
        <v>70421</v>
      </c>
      <c r="BN753" s="871">
        <v>71766</v>
      </c>
      <c r="BO753" s="871">
        <v>73122</v>
      </c>
      <c r="BP753" s="871">
        <v>74488</v>
      </c>
      <c r="BQ753" s="871">
        <v>75863</v>
      </c>
      <c r="BR753" s="871">
        <v>77248</v>
      </c>
      <c r="BS753" s="871">
        <v>78642</v>
      </c>
      <c r="BT753" s="871">
        <v>80042</v>
      </c>
      <c r="BU753" s="871">
        <v>81450</v>
      </c>
      <c r="BV753" s="871">
        <v>82864</v>
      </c>
      <c r="BW753" s="871">
        <v>84283</v>
      </c>
      <c r="BX753" s="871">
        <v>85707</v>
      </c>
      <c r="BY753" s="871">
        <v>87134</v>
      </c>
      <c r="BZ753" s="871">
        <v>88566</v>
      </c>
      <c r="CA753" s="871">
        <v>90000</v>
      </c>
      <c r="CB753" s="871">
        <v>91436</v>
      </c>
      <c r="CC753" s="871">
        <v>92874</v>
      </c>
      <c r="CD753" s="871">
        <v>94313</v>
      </c>
      <c r="CE753" s="871">
        <v>95754</v>
      </c>
      <c r="CF753" s="871">
        <v>97194</v>
      </c>
      <c r="CG753" s="871">
        <v>98619</v>
      </c>
      <c r="CH753" s="871">
        <v>99600</v>
      </c>
      <c r="CI753" s="871">
        <v>0</v>
      </c>
      <c r="CJ753" s="871">
        <v>0</v>
      </c>
      <c r="CK753" s="871">
        <v>0</v>
      </c>
      <c r="CL753" s="871">
        <v>0</v>
      </c>
      <c r="CM753" s="871">
        <v>0</v>
      </c>
      <c r="CN753" s="871">
        <v>0</v>
      </c>
      <c r="CO753" s="871">
        <v>0</v>
      </c>
      <c r="CP753" s="871">
        <v>0</v>
      </c>
      <c r="CQ753" s="871">
        <v>0</v>
      </c>
      <c r="CR753" s="871">
        <v>0</v>
      </c>
      <c r="CS753" s="871">
        <v>0</v>
      </c>
      <c r="CT753" s="871">
        <v>0</v>
      </c>
      <c r="CU753" s="871">
        <v>0</v>
      </c>
      <c r="CV753" s="871">
        <v>0</v>
      </c>
      <c r="CW753" s="871">
        <v>0</v>
      </c>
      <c r="CX753" s="871">
        <v>0</v>
      </c>
      <c r="CY753" s="871">
        <v>0</v>
      </c>
      <c r="CZ753" s="871">
        <v>0</v>
      </c>
      <c r="DA753" s="871">
        <v>0</v>
      </c>
      <c r="DB753" s="871">
        <v>0</v>
      </c>
      <c r="DC753" s="871">
        <v>0</v>
      </c>
      <c r="DD753" s="871">
        <v>0</v>
      </c>
      <c r="DE753" s="871">
        <v>0</v>
      </c>
      <c r="DF753" s="871">
        <v>0</v>
      </c>
      <c r="DG753" s="871">
        <v>0</v>
      </c>
      <c r="DH753" s="871">
        <v>0</v>
      </c>
      <c r="DI753" s="871">
        <v>0</v>
      </c>
      <c r="DJ753" s="871">
        <v>0</v>
      </c>
      <c r="DK753" s="871">
        <v>0</v>
      </c>
      <c r="DL753" s="871">
        <v>0</v>
      </c>
      <c r="DM753" s="871">
        <v>0</v>
      </c>
      <c r="DN753" s="871">
        <v>0</v>
      </c>
      <c r="DO753" s="871">
        <v>0</v>
      </c>
      <c r="DP753" s="871">
        <v>0</v>
      </c>
      <c r="DQ753" s="871">
        <v>0</v>
      </c>
      <c r="DR753" s="871">
        <v>0</v>
      </c>
      <c r="DS753" s="871">
        <v>0</v>
      </c>
      <c r="DT753" s="871">
        <v>0</v>
      </c>
      <c r="DU753" s="871">
        <v>0</v>
      </c>
      <c r="DV753" s="871">
        <v>0</v>
      </c>
      <c r="DW753" s="871">
        <v>0</v>
      </c>
    </row>
    <row r="754" spans="12:127" hidden="1">
      <c r="L754" s="870" t="s">
        <v>1060</v>
      </c>
      <c r="M754" s="870" t="s">
        <v>1382</v>
      </c>
      <c r="N754" s="870" t="s">
        <v>97</v>
      </c>
      <c r="O754" s="871">
        <v>42</v>
      </c>
      <c r="P754" s="780" t="str">
        <f t="shared" si="22"/>
        <v>IWT060242</v>
      </c>
      <c r="Q754" s="871">
        <v>27301</v>
      </c>
      <c r="R754" s="871">
        <v>27847</v>
      </c>
      <c r="S754" s="871">
        <v>28404</v>
      </c>
      <c r="T754" s="871">
        <v>28972</v>
      </c>
      <c r="U754" s="871">
        <v>29551</v>
      </c>
      <c r="V754" s="871">
        <v>32067.1</v>
      </c>
      <c r="W754" s="871">
        <v>32067.1</v>
      </c>
      <c r="X754" s="871">
        <v>32067.1</v>
      </c>
      <c r="Y754" s="871">
        <v>32067.1</v>
      </c>
      <c r="Z754" s="871">
        <v>32618</v>
      </c>
      <c r="AA754" s="871">
        <v>33270</v>
      </c>
      <c r="AB754" s="871">
        <v>33935</v>
      </c>
      <c r="AC754" s="871">
        <v>34614</v>
      </c>
      <c r="AD754" s="871">
        <v>35306</v>
      </c>
      <c r="AE754" s="871">
        <v>36013</v>
      </c>
      <c r="AF754" s="871">
        <v>36733</v>
      </c>
      <c r="AG754" s="871">
        <v>37467</v>
      </c>
      <c r="AH754" s="871">
        <v>38217</v>
      </c>
      <c r="AI754" s="871">
        <v>38981</v>
      </c>
      <c r="AJ754" s="871">
        <v>39761</v>
      </c>
      <c r="AK754" s="871">
        <v>40556</v>
      </c>
      <c r="AL754" s="871">
        <v>41367</v>
      </c>
      <c r="AM754" s="871">
        <v>42194</v>
      </c>
      <c r="AN754" s="871">
        <v>43038</v>
      </c>
      <c r="AO754" s="871">
        <v>43899</v>
      </c>
      <c r="AP754" s="871">
        <v>44777</v>
      </c>
      <c r="AQ754" s="871">
        <v>45672</v>
      </c>
      <c r="AR754" s="871">
        <v>46586</v>
      </c>
      <c r="AS754" s="871">
        <v>47518</v>
      </c>
      <c r="AT754" s="871">
        <v>48468</v>
      </c>
      <c r="AU754" s="871">
        <v>49437</v>
      </c>
      <c r="AV754" s="871">
        <v>50426</v>
      </c>
      <c r="AW754" s="871">
        <v>51434</v>
      </c>
      <c r="AX754" s="871">
        <v>52463</v>
      </c>
      <c r="AY754" s="871">
        <v>53512</v>
      </c>
      <c r="AZ754" s="871">
        <v>54582</v>
      </c>
      <c r="BA754" s="871">
        <v>55674</v>
      </c>
      <c r="BB754" s="871">
        <v>56787</v>
      </c>
      <c r="BC754" s="871">
        <v>57923</v>
      </c>
      <c r="BD754" s="871">
        <v>59081</v>
      </c>
      <c r="BE754" s="871">
        <v>60263</v>
      </c>
      <c r="BF754" s="871">
        <v>61468</v>
      </c>
      <c r="BG754" s="871">
        <v>62697</v>
      </c>
      <c r="BH754" s="871">
        <v>63951</v>
      </c>
      <c r="BI754" s="871">
        <v>65229</v>
      </c>
      <c r="BJ754" s="871">
        <v>66522</v>
      </c>
      <c r="BK754" s="871">
        <v>67829</v>
      </c>
      <c r="BL754" s="871">
        <v>69151</v>
      </c>
      <c r="BM754" s="871">
        <v>70485</v>
      </c>
      <c r="BN754" s="871">
        <v>71832</v>
      </c>
      <c r="BO754" s="871">
        <v>73189</v>
      </c>
      <c r="BP754" s="871">
        <v>74557</v>
      </c>
      <c r="BQ754" s="871">
        <v>75934</v>
      </c>
      <c r="BR754" s="871">
        <v>77320</v>
      </c>
      <c r="BS754" s="871">
        <v>78714</v>
      </c>
      <c r="BT754" s="871">
        <v>80115</v>
      </c>
      <c r="BU754" s="871">
        <v>81522</v>
      </c>
      <c r="BV754" s="871">
        <v>82936</v>
      </c>
      <c r="BW754" s="871">
        <v>84354</v>
      </c>
      <c r="BX754" s="871">
        <v>85777</v>
      </c>
      <c r="BY754" s="871">
        <v>87203</v>
      </c>
      <c r="BZ754" s="871">
        <v>88633</v>
      </c>
      <c r="CA754" s="871">
        <v>90065</v>
      </c>
      <c r="CB754" s="871">
        <v>91499</v>
      </c>
      <c r="CC754" s="871">
        <v>92935</v>
      </c>
      <c r="CD754" s="871">
        <v>94372</v>
      </c>
      <c r="CE754" s="871">
        <v>95809</v>
      </c>
      <c r="CF754" s="871">
        <v>97232</v>
      </c>
      <c r="CG754" s="871">
        <v>98200</v>
      </c>
      <c r="CH754" s="871">
        <v>0</v>
      </c>
      <c r="CI754" s="871">
        <v>0</v>
      </c>
      <c r="CJ754" s="871">
        <v>0</v>
      </c>
      <c r="CK754" s="871">
        <v>0</v>
      </c>
      <c r="CL754" s="871">
        <v>0</v>
      </c>
      <c r="CM754" s="871">
        <v>0</v>
      </c>
      <c r="CN754" s="871">
        <v>0</v>
      </c>
      <c r="CO754" s="871">
        <v>0</v>
      </c>
      <c r="CP754" s="871">
        <v>0</v>
      </c>
      <c r="CQ754" s="871">
        <v>0</v>
      </c>
      <c r="CR754" s="871">
        <v>0</v>
      </c>
      <c r="CS754" s="871">
        <v>0</v>
      </c>
      <c r="CT754" s="871">
        <v>0</v>
      </c>
      <c r="CU754" s="871">
        <v>0</v>
      </c>
      <c r="CV754" s="871">
        <v>0</v>
      </c>
      <c r="CW754" s="871">
        <v>0</v>
      </c>
      <c r="CX754" s="871">
        <v>0</v>
      </c>
      <c r="CY754" s="871">
        <v>0</v>
      </c>
      <c r="CZ754" s="871">
        <v>0</v>
      </c>
      <c r="DA754" s="871">
        <v>0</v>
      </c>
      <c r="DB754" s="871">
        <v>0</v>
      </c>
      <c r="DC754" s="871">
        <v>0</v>
      </c>
      <c r="DD754" s="871">
        <v>0</v>
      </c>
      <c r="DE754" s="871">
        <v>0</v>
      </c>
      <c r="DF754" s="871">
        <v>0</v>
      </c>
      <c r="DG754" s="871">
        <v>0</v>
      </c>
      <c r="DH754" s="871">
        <v>0</v>
      </c>
      <c r="DI754" s="871">
        <v>0</v>
      </c>
      <c r="DJ754" s="871">
        <v>0</v>
      </c>
      <c r="DK754" s="871">
        <v>0</v>
      </c>
      <c r="DL754" s="871">
        <v>0</v>
      </c>
      <c r="DM754" s="871">
        <v>0</v>
      </c>
      <c r="DN754" s="871">
        <v>0</v>
      </c>
      <c r="DO754" s="871">
        <v>0</v>
      </c>
      <c r="DP754" s="871">
        <v>0</v>
      </c>
      <c r="DQ754" s="871">
        <v>0</v>
      </c>
      <c r="DR754" s="871">
        <v>0</v>
      </c>
      <c r="DS754" s="871">
        <v>0</v>
      </c>
      <c r="DT754" s="871">
        <v>0</v>
      </c>
      <c r="DU754" s="871">
        <v>0</v>
      </c>
      <c r="DV754" s="871">
        <v>0</v>
      </c>
      <c r="DW754" s="871">
        <v>0</v>
      </c>
    </row>
    <row r="755" spans="12:127" hidden="1">
      <c r="L755" s="870" t="s">
        <v>1060</v>
      </c>
      <c r="M755" s="870" t="s">
        <v>1382</v>
      </c>
      <c r="N755" s="870" t="s">
        <v>97</v>
      </c>
      <c r="O755" s="871">
        <v>43</v>
      </c>
      <c r="P755" s="780" t="str">
        <f t="shared" si="22"/>
        <v>IWT060243</v>
      </c>
      <c r="Q755" s="871">
        <v>27319</v>
      </c>
      <c r="R755" s="871">
        <v>27866</v>
      </c>
      <c r="S755" s="871">
        <v>28423</v>
      </c>
      <c r="T755" s="871">
        <v>28992</v>
      </c>
      <c r="U755" s="871">
        <v>29571</v>
      </c>
      <c r="V755" s="871">
        <v>32092.6</v>
      </c>
      <c r="W755" s="871">
        <v>32092.6</v>
      </c>
      <c r="X755" s="871">
        <v>32092.6</v>
      </c>
      <c r="Y755" s="871">
        <v>32092.6</v>
      </c>
      <c r="Z755" s="871">
        <v>32639</v>
      </c>
      <c r="AA755" s="871">
        <v>33292</v>
      </c>
      <c r="AB755" s="871">
        <v>33958</v>
      </c>
      <c r="AC755" s="871">
        <v>34637</v>
      </c>
      <c r="AD755" s="871">
        <v>35330</v>
      </c>
      <c r="AE755" s="871">
        <v>36036</v>
      </c>
      <c r="AF755" s="871">
        <v>36757</v>
      </c>
      <c r="AG755" s="871">
        <v>37492</v>
      </c>
      <c r="AH755" s="871">
        <v>38242</v>
      </c>
      <c r="AI755" s="871">
        <v>39007</v>
      </c>
      <c r="AJ755" s="871">
        <v>39787</v>
      </c>
      <c r="AK755" s="871">
        <v>40582</v>
      </c>
      <c r="AL755" s="871">
        <v>41394</v>
      </c>
      <c r="AM755" s="871">
        <v>42222</v>
      </c>
      <c r="AN755" s="871">
        <v>43066</v>
      </c>
      <c r="AO755" s="871">
        <v>43928</v>
      </c>
      <c r="AP755" s="871">
        <v>44806</v>
      </c>
      <c r="AQ755" s="871">
        <v>45702</v>
      </c>
      <c r="AR755" s="871">
        <v>46616</v>
      </c>
      <c r="AS755" s="871">
        <v>47549</v>
      </c>
      <c r="AT755" s="871">
        <v>48500</v>
      </c>
      <c r="AU755" s="871">
        <v>49469</v>
      </c>
      <c r="AV755" s="871">
        <v>50459</v>
      </c>
      <c r="AW755" s="871">
        <v>51468</v>
      </c>
      <c r="AX755" s="871">
        <v>52497</v>
      </c>
      <c r="AY755" s="871">
        <v>53547</v>
      </c>
      <c r="AZ755" s="871">
        <v>54618</v>
      </c>
      <c r="BA755" s="871">
        <v>55710</v>
      </c>
      <c r="BB755" s="871">
        <v>56824</v>
      </c>
      <c r="BC755" s="871">
        <v>57961</v>
      </c>
      <c r="BD755" s="871">
        <v>59120</v>
      </c>
      <c r="BE755" s="871">
        <v>60302</v>
      </c>
      <c r="BF755" s="871">
        <v>61508</v>
      </c>
      <c r="BG755" s="871">
        <v>62738</v>
      </c>
      <c r="BH755" s="871">
        <v>63992</v>
      </c>
      <c r="BI755" s="871">
        <v>65272</v>
      </c>
      <c r="BJ755" s="871">
        <v>66569</v>
      </c>
      <c r="BK755" s="871">
        <v>67880</v>
      </c>
      <c r="BL755" s="871">
        <v>69205</v>
      </c>
      <c r="BM755" s="871">
        <v>70543</v>
      </c>
      <c r="BN755" s="871">
        <v>71891</v>
      </c>
      <c r="BO755" s="871">
        <v>73250</v>
      </c>
      <c r="BP755" s="871">
        <v>74620</v>
      </c>
      <c r="BQ755" s="871">
        <v>75998</v>
      </c>
      <c r="BR755" s="871">
        <v>77385</v>
      </c>
      <c r="BS755" s="871">
        <v>78780</v>
      </c>
      <c r="BT755" s="871">
        <v>80181</v>
      </c>
      <c r="BU755" s="871">
        <v>81588</v>
      </c>
      <c r="BV755" s="871">
        <v>83001</v>
      </c>
      <c r="BW755" s="871">
        <v>84419</v>
      </c>
      <c r="BX755" s="871">
        <v>85841</v>
      </c>
      <c r="BY755" s="871">
        <v>87266</v>
      </c>
      <c r="BZ755" s="871">
        <v>88694</v>
      </c>
      <c r="CA755" s="871">
        <v>90124</v>
      </c>
      <c r="CB755" s="871">
        <v>91557</v>
      </c>
      <c r="CC755" s="871">
        <v>92991</v>
      </c>
      <c r="CD755" s="871">
        <v>94425</v>
      </c>
      <c r="CE755" s="871">
        <v>95846</v>
      </c>
      <c r="CF755" s="871">
        <v>96800</v>
      </c>
      <c r="CG755" s="871">
        <v>0</v>
      </c>
      <c r="CH755" s="871">
        <v>0</v>
      </c>
      <c r="CI755" s="871">
        <v>0</v>
      </c>
      <c r="CJ755" s="871">
        <v>0</v>
      </c>
      <c r="CK755" s="871">
        <v>0</v>
      </c>
      <c r="CL755" s="871">
        <v>0</v>
      </c>
      <c r="CM755" s="871">
        <v>0</v>
      </c>
      <c r="CN755" s="871">
        <v>0</v>
      </c>
      <c r="CO755" s="871">
        <v>0</v>
      </c>
      <c r="CP755" s="871">
        <v>0</v>
      </c>
      <c r="CQ755" s="871">
        <v>0</v>
      </c>
      <c r="CR755" s="871">
        <v>0</v>
      </c>
      <c r="CS755" s="871">
        <v>0</v>
      </c>
      <c r="CT755" s="871">
        <v>0</v>
      </c>
      <c r="CU755" s="871">
        <v>0</v>
      </c>
      <c r="CV755" s="871">
        <v>0</v>
      </c>
      <c r="CW755" s="871">
        <v>0</v>
      </c>
      <c r="CX755" s="871">
        <v>0</v>
      </c>
      <c r="CY755" s="871">
        <v>0</v>
      </c>
      <c r="CZ755" s="871">
        <v>0</v>
      </c>
      <c r="DA755" s="871">
        <v>0</v>
      </c>
      <c r="DB755" s="871">
        <v>0</v>
      </c>
      <c r="DC755" s="871">
        <v>0</v>
      </c>
      <c r="DD755" s="871">
        <v>0</v>
      </c>
      <c r="DE755" s="871">
        <v>0</v>
      </c>
      <c r="DF755" s="871">
        <v>0</v>
      </c>
      <c r="DG755" s="871">
        <v>0</v>
      </c>
      <c r="DH755" s="871">
        <v>0</v>
      </c>
      <c r="DI755" s="871">
        <v>0</v>
      </c>
      <c r="DJ755" s="871">
        <v>0</v>
      </c>
      <c r="DK755" s="871">
        <v>0</v>
      </c>
      <c r="DL755" s="871">
        <v>0</v>
      </c>
      <c r="DM755" s="871">
        <v>0</v>
      </c>
      <c r="DN755" s="871">
        <v>0</v>
      </c>
      <c r="DO755" s="871">
        <v>0</v>
      </c>
      <c r="DP755" s="871">
        <v>0</v>
      </c>
      <c r="DQ755" s="871">
        <v>0</v>
      </c>
      <c r="DR755" s="871">
        <v>0</v>
      </c>
      <c r="DS755" s="871">
        <v>0</v>
      </c>
      <c r="DT755" s="871">
        <v>0</v>
      </c>
      <c r="DU755" s="871">
        <v>0</v>
      </c>
      <c r="DV755" s="871">
        <v>0</v>
      </c>
      <c r="DW755" s="871">
        <v>0</v>
      </c>
    </row>
    <row r="756" spans="12:127" hidden="1">
      <c r="L756" s="870" t="s">
        <v>1060</v>
      </c>
      <c r="M756" s="870" t="s">
        <v>1382</v>
      </c>
      <c r="N756" s="870" t="s">
        <v>97</v>
      </c>
      <c r="O756" s="871">
        <v>44</v>
      </c>
      <c r="P756" s="780" t="str">
        <f t="shared" si="22"/>
        <v>IWT060244</v>
      </c>
      <c r="Q756" s="871">
        <v>27336</v>
      </c>
      <c r="R756" s="871">
        <v>27883</v>
      </c>
      <c r="S756" s="871">
        <v>28440</v>
      </c>
      <c r="T756" s="871">
        <v>29009</v>
      </c>
      <c r="U756" s="871">
        <v>29589</v>
      </c>
      <c r="V756" s="871">
        <v>32111.599999999999</v>
      </c>
      <c r="W756" s="871">
        <v>32111.599999999999</v>
      </c>
      <c r="X756" s="871">
        <v>32111.599999999999</v>
      </c>
      <c r="Y756" s="871">
        <v>32111.599999999999</v>
      </c>
      <c r="Z756" s="871">
        <v>32658</v>
      </c>
      <c r="AA756" s="871">
        <v>33311</v>
      </c>
      <c r="AB756" s="871">
        <v>33977</v>
      </c>
      <c r="AC756" s="871">
        <v>34656</v>
      </c>
      <c r="AD756" s="871">
        <v>35350</v>
      </c>
      <c r="AE756" s="871">
        <v>36057</v>
      </c>
      <c r="AF756" s="871">
        <v>36778</v>
      </c>
      <c r="AG756" s="871">
        <v>37513</v>
      </c>
      <c r="AH756" s="871">
        <v>38263</v>
      </c>
      <c r="AI756" s="871">
        <v>39029</v>
      </c>
      <c r="AJ756" s="871">
        <v>39809</v>
      </c>
      <c r="AK756" s="871">
        <v>40605</v>
      </c>
      <c r="AL756" s="871">
        <v>41418</v>
      </c>
      <c r="AM756" s="871">
        <v>42246</v>
      </c>
      <c r="AN756" s="871">
        <v>43091</v>
      </c>
      <c r="AO756" s="871">
        <v>43953</v>
      </c>
      <c r="AP756" s="871">
        <v>44832</v>
      </c>
      <c r="AQ756" s="871">
        <v>45728</v>
      </c>
      <c r="AR756" s="871">
        <v>46643</v>
      </c>
      <c r="AS756" s="871">
        <v>47575</v>
      </c>
      <c r="AT756" s="871">
        <v>48527</v>
      </c>
      <c r="AU756" s="871">
        <v>49497</v>
      </c>
      <c r="AV756" s="871">
        <v>50487</v>
      </c>
      <c r="AW756" s="871">
        <v>51497</v>
      </c>
      <c r="AX756" s="871">
        <v>52527</v>
      </c>
      <c r="AY756" s="871">
        <v>53577</v>
      </c>
      <c r="AZ756" s="871">
        <v>54649</v>
      </c>
      <c r="BA756" s="871">
        <v>55742</v>
      </c>
      <c r="BB756" s="871">
        <v>56856</v>
      </c>
      <c r="BC756" s="871">
        <v>57993</v>
      </c>
      <c r="BD756" s="871">
        <v>59153</v>
      </c>
      <c r="BE756" s="871">
        <v>60336</v>
      </c>
      <c r="BF756" s="871">
        <v>61542</v>
      </c>
      <c r="BG756" s="871">
        <v>62773</v>
      </c>
      <c r="BH756" s="871">
        <v>64028</v>
      </c>
      <c r="BI756" s="871">
        <v>65308</v>
      </c>
      <c r="BJ756" s="871">
        <v>66610</v>
      </c>
      <c r="BK756" s="871">
        <v>67925</v>
      </c>
      <c r="BL756" s="871">
        <v>69253</v>
      </c>
      <c r="BM756" s="871">
        <v>70593</v>
      </c>
      <c r="BN756" s="871">
        <v>71944</v>
      </c>
      <c r="BO756" s="871">
        <v>73305</v>
      </c>
      <c r="BP756" s="871">
        <v>74676</v>
      </c>
      <c r="BQ756" s="871">
        <v>76056</v>
      </c>
      <c r="BR756" s="871">
        <v>77444</v>
      </c>
      <c r="BS756" s="871">
        <v>78839</v>
      </c>
      <c r="BT756" s="871">
        <v>80241</v>
      </c>
      <c r="BU756" s="871">
        <v>81649</v>
      </c>
      <c r="BV756" s="871">
        <v>83061</v>
      </c>
      <c r="BW756" s="871">
        <v>84478</v>
      </c>
      <c r="BX756" s="871">
        <v>85899</v>
      </c>
      <c r="BY756" s="871">
        <v>87323</v>
      </c>
      <c r="BZ756" s="871">
        <v>88750</v>
      </c>
      <c r="CA756" s="871">
        <v>90179</v>
      </c>
      <c r="CB756" s="871">
        <v>91609</v>
      </c>
      <c r="CC756" s="871">
        <v>93041</v>
      </c>
      <c r="CD756" s="871">
        <v>94460</v>
      </c>
      <c r="CE756" s="871">
        <v>95400</v>
      </c>
      <c r="CF756" s="871">
        <v>0</v>
      </c>
      <c r="CG756" s="871">
        <v>0</v>
      </c>
      <c r="CH756" s="871">
        <v>0</v>
      </c>
      <c r="CI756" s="871">
        <v>0</v>
      </c>
      <c r="CJ756" s="871">
        <v>0</v>
      </c>
      <c r="CK756" s="871">
        <v>0</v>
      </c>
      <c r="CL756" s="871">
        <v>0</v>
      </c>
      <c r="CM756" s="871">
        <v>0</v>
      </c>
      <c r="CN756" s="871">
        <v>0</v>
      </c>
      <c r="CO756" s="871">
        <v>0</v>
      </c>
      <c r="CP756" s="871">
        <v>0</v>
      </c>
      <c r="CQ756" s="871">
        <v>0</v>
      </c>
      <c r="CR756" s="871">
        <v>0</v>
      </c>
      <c r="CS756" s="871">
        <v>0</v>
      </c>
      <c r="CT756" s="871">
        <v>0</v>
      </c>
      <c r="CU756" s="871">
        <v>0</v>
      </c>
      <c r="CV756" s="871">
        <v>0</v>
      </c>
      <c r="CW756" s="871">
        <v>0</v>
      </c>
      <c r="CX756" s="871">
        <v>0</v>
      </c>
      <c r="CY756" s="871">
        <v>0</v>
      </c>
      <c r="CZ756" s="871">
        <v>0</v>
      </c>
      <c r="DA756" s="871">
        <v>0</v>
      </c>
      <c r="DB756" s="871">
        <v>0</v>
      </c>
      <c r="DC756" s="871">
        <v>0</v>
      </c>
      <c r="DD756" s="871">
        <v>0</v>
      </c>
      <c r="DE756" s="871">
        <v>0</v>
      </c>
      <c r="DF756" s="871">
        <v>0</v>
      </c>
      <c r="DG756" s="871">
        <v>0</v>
      </c>
      <c r="DH756" s="871">
        <v>0</v>
      </c>
      <c r="DI756" s="871">
        <v>0</v>
      </c>
      <c r="DJ756" s="871">
        <v>0</v>
      </c>
      <c r="DK756" s="871">
        <v>0</v>
      </c>
      <c r="DL756" s="871">
        <v>0</v>
      </c>
      <c r="DM756" s="871">
        <v>0</v>
      </c>
      <c r="DN756" s="871">
        <v>0</v>
      </c>
      <c r="DO756" s="871">
        <v>0</v>
      </c>
      <c r="DP756" s="871">
        <v>0</v>
      </c>
      <c r="DQ756" s="871">
        <v>0</v>
      </c>
      <c r="DR756" s="871">
        <v>0</v>
      </c>
      <c r="DS756" s="871">
        <v>0</v>
      </c>
      <c r="DT756" s="871">
        <v>0</v>
      </c>
      <c r="DU756" s="871">
        <v>0</v>
      </c>
      <c r="DV756" s="871">
        <v>0</v>
      </c>
      <c r="DW756" s="871">
        <v>0</v>
      </c>
    </row>
    <row r="757" spans="12:127" hidden="1">
      <c r="L757" s="870" t="s">
        <v>1060</v>
      </c>
      <c r="M757" s="870" t="s">
        <v>1382</v>
      </c>
      <c r="N757" s="870" t="s">
        <v>97</v>
      </c>
      <c r="O757" s="871">
        <v>45</v>
      </c>
      <c r="P757" s="780" t="str">
        <f t="shared" si="22"/>
        <v>IWT060245</v>
      </c>
      <c r="Q757" s="871">
        <v>27350</v>
      </c>
      <c r="R757" s="871">
        <v>27897</v>
      </c>
      <c r="S757" s="871">
        <v>28455</v>
      </c>
      <c r="T757" s="871">
        <v>29024</v>
      </c>
      <c r="U757" s="871">
        <v>29604</v>
      </c>
      <c r="V757" s="871">
        <v>32130.7</v>
      </c>
      <c r="W757" s="871">
        <v>32130.7</v>
      </c>
      <c r="X757" s="871">
        <v>32130.7</v>
      </c>
      <c r="Y757" s="871">
        <v>32130.7</v>
      </c>
      <c r="Z757" s="871">
        <v>32673</v>
      </c>
      <c r="AA757" s="871">
        <v>33327</v>
      </c>
      <c r="AB757" s="871">
        <v>33993</v>
      </c>
      <c r="AC757" s="871">
        <v>34673</v>
      </c>
      <c r="AD757" s="871">
        <v>35366</v>
      </c>
      <c r="AE757" s="871">
        <v>36074</v>
      </c>
      <c r="AF757" s="871">
        <v>36795</v>
      </c>
      <c r="AG757" s="871">
        <v>37531</v>
      </c>
      <c r="AH757" s="871">
        <v>38282</v>
      </c>
      <c r="AI757" s="871">
        <v>39047</v>
      </c>
      <c r="AJ757" s="871">
        <v>39828</v>
      </c>
      <c r="AK757" s="871">
        <v>40625</v>
      </c>
      <c r="AL757" s="871">
        <v>41437</v>
      </c>
      <c r="AM757" s="871">
        <v>42266</v>
      </c>
      <c r="AN757" s="871">
        <v>43111</v>
      </c>
      <c r="AO757" s="871">
        <v>43973</v>
      </c>
      <c r="AP757" s="871">
        <v>44853</v>
      </c>
      <c r="AQ757" s="871">
        <v>45750</v>
      </c>
      <c r="AR757" s="871">
        <v>46665</v>
      </c>
      <c r="AS757" s="871">
        <v>47598</v>
      </c>
      <c r="AT757" s="871">
        <v>48550</v>
      </c>
      <c r="AU757" s="871">
        <v>49521</v>
      </c>
      <c r="AV757" s="871">
        <v>50511</v>
      </c>
      <c r="AW757" s="871">
        <v>51521</v>
      </c>
      <c r="AX757" s="871">
        <v>52552</v>
      </c>
      <c r="AY757" s="871">
        <v>53603</v>
      </c>
      <c r="AZ757" s="871">
        <v>54675</v>
      </c>
      <c r="BA757" s="871">
        <v>55768</v>
      </c>
      <c r="BB757" s="871">
        <v>56883</v>
      </c>
      <c r="BC757" s="871">
        <v>58021</v>
      </c>
      <c r="BD757" s="871">
        <v>59181</v>
      </c>
      <c r="BE757" s="871">
        <v>60364</v>
      </c>
      <c r="BF757" s="871">
        <v>61571</v>
      </c>
      <c r="BG757" s="871">
        <v>62803</v>
      </c>
      <c r="BH757" s="871">
        <v>64058</v>
      </c>
      <c r="BI757" s="871">
        <v>65339</v>
      </c>
      <c r="BJ757" s="871">
        <v>66645</v>
      </c>
      <c r="BK757" s="871">
        <v>67963</v>
      </c>
      <c r="BL757" s="871">
        <v>69295</v>
      </c>
      <c r="BM757" s="871">
        <v>70637</v>
      </c>
      <c r="BN757" s="871">
        <v>71991</v>
      </c>
      <c r="BO757" s="871">
        <v>73355</v>
      </c>
      <c r="BP757" s="871">
        <v>74728</v>
      </c>
      <c r="BQ757" s="871">
        <v>76109</v>
      </c>
      <c r="BR757" s="871">
        <v>77498</v>
      </c>
      <c r="BS757" s="871">
        <v>78894</v>
      </c>
      <c r="BT757" s="871">
        <v>80296</v>
      </c>
      <c r="BU757" s="871">
        <v>81703</v>
      </c>
      <c r="BV757" s="871">
        <v>83116</v>
      </c>
      <c r="BW757" s="871">
        <v>84532</v>
      </c>
      <c r="BX757" s="871">
        <v>85952</v>
      </c>
      <c r="BY757" s="871">
        <v>87375</v>
      </c>
      <c r="BZ757" s="871">
        <v>88801</v>
      </c>
      <c r="CA757" s="871">
        <v>90228</v>
      </c>
      <c r="CB757" s="871">
        <v>91657</v>
      </c>
      <c r="CC757" s="871">
        <v>93074</v>
      </c>
      <c r="CD757" s="871">
        <v>94000</v>
      </c>
      <c r="CE757" s="871">
        <v>0</v>
      </c>
      <c r="CF757" s="871">
        <v>0</v>
      </c>
      <c r="CG757" s="871">
        <v>0</v>
      </c>
      <c r="CH757" s="871">
        <v>0</v>
      </c>
      <c r="CI757" s="871">
        <v>0</v>
      </c>
      <c r="CJ757" s="871">
        <v>0</v>
      </c>
      <c r="CK757" s="871">
        <v>0</v>
      </c>
      <c r="CL757" s="871">
        <v>0</v>
      </c>
      <c r="CM757" s="871">
        <v>0</v>
      </c>
      <c r="CN757" s="871">
        <v>0</v>
      </c>
      <c r="CO757" s="871">
        <v>0</v>
      </c>
      <c r="CP757" s="871">
        <v>0</v>
      </c>
      <c r="CQ757" s="871">
        <v>0</v>
      </c>
      <c r="CR757" s="871">
        <v>0</v>
      </c>
      <c r="CS757" s="871">
        <v>0</v>
      </c>
      <c r="CT757" s="871">
        <v>0</v>
      </c>
      <c r="CU757" s="871">
        <v>0</v>
      </c>
      <c r="CV757" s="871">
        <v>0</v>
      </c>
      <c r="CW757" s="871">
        <v>0</v>
      </c>
      <c r="CX757" s="871">
        <v>0</v>
      </c>
      <c r="CY757" s="871">
        <v>0</v>
      </c>
      <c r="CZ757" s="871">
        <v>0</v>
      </c>
      <c r="DA757" s="871">
        <v>0</v>
      </c>
      <c r="DB757" s="871">
        <v>0</v>
      </c>
      <c r="DC757" s="871">
        <v>0</v>
      </c>
      <c r="DD757" s="871">
        <v>0</v>
      </c>
      <c r="DE757" s="871">
        <v>0</v>
      </c>
      <c r="DF757" s="871">
        <v>0</v>
      </c>
      <c r="DG757" s="871">
        <v>0</v>
      </c>
      <c r="DH757" s="871">
        <v>0</v>
      </c>
      <c r="DI757" s="871">
        <v>0</v>
      </c>
      <c r="DJ757" s="871">
        <v>0</v>
      </c>
      <c r="DK757" s="871">
        <v>0</v>
      </c>
      <c r="DL757" s="871">
        <v>0</v>
      </c>
      <c r="DM757" s="871">
        <v>0</v>
      </c>
      <c r="DN757" s="871">
        <v>0</v>
      </c>
      <c r="DO757" s="871">
        <v>0</v>
      </c>
      <c r="DP757" s="871">
        <v>0</v>
      </c>
      <c r="DQ757" s="871">
        <v>0</v>
      </c>
      <c r="DR757" s="871">
        <v>0</v>
      </c>
      <c r="DS757" s="871">
        <v>0</v>
      </c>
      <c r="DT757" s="871">
        <v>0</v>
      </c>
      <c r="DU757" s="871">
        <v>0</v>
      </c>
      <c r="DV757" s="871">
        <v>0</v>
      </c>
      <c r="DW757" s="871">
        <v>0</v>
      </c>
    </row>
    <row r="758" spans="12:127" hidden="1">
      <c r="L758" s="870" t="s">
        <v>1060</v>
      </c>
      <c r="M758" s="870" t="s">
        <v>1382</v>
      </c>
      <c r="N758" s="870" t="s">
        <v>97</v>
      </c>
      <c r="O758" s="871">
        <v>46</v>
      </c>
      <c r="P758" s="780" t="str">
        <f t="shared" si="22"/>
        <v>IWT060246</v>
      </c>
      <c r="Q758" s="871">
        <v>27363</v>
      </c>
      <c r="R758" s="871">
        <v>27910</v>
      </c>
      <c r="S758" s="871">
        <v>28468</v>
      </c>
      <c r="T758" s="871">
        <v>29037</v>
      </c>
      <c r="U758" s="871">
        <v>29618</v>
      </c>
      <c r="V758" s="871">
        <v>32143.4</v>
      </c>
      <c r="W758" s="871">
        <v>32143.4</v>
      </c>
      <c r="X758" s="871">
        <v>32143.4</v>
      </c>
      <c r="Y758" s="871">
        <v>32143.4</v>
      </c>
      <c r="Z758" s="871">
        <v>32687</v>
      </c>
      <c r="AA758" s="871">
        <v>33341</v>
      </c>
      <c r="AB758" s="871">
        <v>34008</v>
      </c>
      <c r="AC758" s="871">
        <v>34688</v>
      </c>
      <c r="AD758" s="871">
        <v>35382</v>
      </c>
      <c r="AE758" s="871">
        <v>36089</v>
      </c>
      <c r="AF758" s="871">
        <v>36811</v>
      </c>
      <c r="AG758" s="871">
        <v>37547</v>
      </c>
      <c r="AH758" s="871">
        <v>38298</v>
      </c>
      <c r="AI758" s="871">
        <v>39064</v>
      </c>
      <c r="AJ758" s="871">
        <v>39845</v>
      </c>
      <c r="AK758" s="871">
        <v>40642</v>
      </c>
      <c r="AL758" s="871">
        <v>41455</v>
      </c>
      <c r="AM758" s="871">
        <v>42284</v>
      </c>
      <c r="AN758" s="871">
        <v>43130</v>
      </c>
      <c r="AO758" s="871">
        <v>43992</v>
      </c>
      <c r="AP758" s="871">
        <v>44872</v>
      </c>
      <c r="AQ758" s="871">
        <v>45770</v>
      </c>
      <c r="AR758" s="871">
        <v>46685</v>
      </c>
      <c r="AS758" s="871">
        <v>47619</v>
      </c>
      <c r="AT758" s="871">
        <v>48571</v>
      </c>
      <c r="AU758" s="871">
        <v>49542</v>
      </c>
      <c r="AV758" s="871">
        <v>50533</v>
      </c>
      <c r="AW758" s="871">
        <v>51544</v>
      </c>
      <c r="AX758" s="871">
        <v>52574</v>
      </c>
      <c r="AY758" s="871">
        <v>53626</v>
      </c>
      <c r="AZ758" s="871">
        <v>54698</v>
      </c>
      <c r="BA758" s="871">
        <v>55792</v>
      </c>
      <c r="BB758" s="871">
        <v>56908</v>
      </c>
      <c r="BC758" s="871">
        <v>58046</v>
      </c>
      <c r="BD758" s="871">
        <v>59206</v>
      </c>
      <c r="BE758" s="871">
        <v>60390</v>
      </c>
      <c r="BF758" s="871">
        <v>61598</v>
      </c>
      <c r="BG758" s="871">
        <v>62829</v>
      </c>
      <c r="BH758" s="871">
        <v>64086</v>
      </c>
      <c r="BI758" s="871">
        <v>65367</v>
      </c>
      <c r="BJ758" s="871">
        <v>66674</v>
      </c>
      <c r="BK758" s="871">
        <v>67996</v>
      </c>
      <c r="BL758" s="871">
        <v>69331</v>
      </c>
      <c r="BM758" s="871">
        <v>70677</v>
      </c>
      <c r="BN758" s="871">
        <v>72033</v>
      </c>
      <c r="BO758" s="871">
        <v>73399</v>
      </c>
      <c r="BP758" s="871">
        <v>74774</v>
      </c>
      <c r="BQ758" s="871">
        <v>76156</v>
      </c>
      <c r="BR758" s="871">
        <v>77546</v>
      </c>
      <c r="BS758" s="871">
        <v>78943</v>
      </c>
      <c r="BT758" s="871">
        <v>80345</v>
      </c>
      <c r="BU758" s="871">
        <v>81753</v>
      </c>
      <c r="BV758" s="871">
        <v>83165</v>
      </c>
      <c r="BW758" s="871">
        <v>84581</v>
      </c>
      <c r="BX758" s="871">
        <v>86000</v>
      </c>
      <c r="BY758" s="871">
        <v>87422</v>
      </c>
      <c r="BZ758" s="871">
        <v>88847</v>
      </c>
      <c r="CA758" s="871">
        <v>90272</v>
      </c>
      <c r="CB758" s="871">
        <v>91688</v>
      </c>
      <c r="CC758" s="871">
        <v>92600</v>
      </c>
      <c r="CD758" s="871">
        <v>0</v>
      </c>
      <c r="CE758" s="871">
        <v>0</v>
      </c>
      <c r="CF758" s="871">
        <v>0</v>
      </c>
      <c r="CG758" s="871">
        <v>0</v>
      </c>
      <c r="CH758" s="871">
        <v>0</v>
      </c>
      <c r="CI758" s="871">
        <v>0</v>
      </c>
      <c r="CJ758" s="871">
        <v>0</v>
      </c>
      <c r="CK758" s="871">
        <v>0</v>
      </c>
      <c r="CL758" s="871">
        <v>0</v>
      </c>
      <c r="CM758" s="871">
        <v>0</v>
      </c>
      <c r="CN758" s="871">
        <v>0</v>
      </c>
      <c r="CO758" s="871">
        <v>0</v>
      </c>
      <c r="CP758" s="871">
        <v>0</v>
      </c>
      <c r="CQ758" s="871">
        <v>0</v>
      </c>
      <c r="CR758" s="871">
        <v>0</v>
      </c>
      <c r="CS758" s="871">
        <v>0</v>
      </c>
      <c r="CT758" s="871">
        <v>0</v>
      </c>
      <c r="CU758" s="871">
        <v>0</v>
      </c>
      <c r="CV758" s="871">
        <v>0</v>
      </c>
      <c r="CW758" s="871">
        <v>0</v>
      </c>
      <c r="CX758" s="871">
        <v>0</v>
      </c>
      <c r="CY758" s="871">
        <v>0</v>
      </c>
      <c r="CZ758" s="871">
        <v>0</v>
      </c>
      <c r="DA758" s="871">
        <v>0</v>
      </c>
      <c r="DB758" s="871">
        <v>0</v>
      </c>
      <c r="DC758" s="871">
        <v>0</v>
      </c>
      <c r="DD758" s="871">
        <v>0</v>
      </c>
      <c r="DE758" s="871">
        <v>0</v>
      </c>
      <c r="DF758" s="871">
        <v>0</v>
      </c>
      <c r="DG758" s="871">
        <v>0</v>
      </c>
      <c r="DH758" s="871">
        <v>0</v>
      </c>
      <c r="DI758" s="871">
        <v>0</v>
      </c>
      <c r="DJ758" s="871">
        <v>0</v>
      </c>
      <c r="DK758" s="871">
        <v>0</v>
      </c>
      <c r="DL758" s="871">
        <v>0</v>
      </c>
      <c r="DM758" s="871">
        <v>0</v>
      </c>
      <c r="DN758" s="871">
        <v>0</v>
      </c>
      <c r="DO758" s="871">
        <v>0</v>
      </c>
      <c r="DP758" s="871">
        <v>0</v>
      </c>
      <c r="DQ758" s="871">
        <v>0</v>
      </c>
      <c r="DR758" s="871">
        <v>0</v>
      </c>
      <c r="DS758" s="871">
        <v>0</v>
      </c>
      <c r="DT758" s="871">
        <v>0</v>
      </c>
      <c r="DU758" s="871">
        <v>0</v>
      </c>
      <c r="DV758" s="871">
        <v>0</v>
      </c>
      <c r="DW758" s="871">
        <v>0</v>
      </c>
    </row>
    <row r="759" spans="12:127" hidden="1">
      <c r="L759" s="870" t="s">
        <v>1060</v>
      </c>
      <c r="M759" s="870" t="s">
        <v>1382</v>
      </c>
      <c r="N759" s="870" t="s">
        <v>97</v>
      </c>
      <c r="O759" s="871">
        <v>47</v>
      </c>
      <c r="P759" s="780" t="str">
        <f t="shared" si="22"/>
        <v>IWT060247</v>
      </c>
      <c r="Q759" s="871">
        <v>27374</v>
      </c>
      <c r="R759" s="871">
        <v>27921</v>
      </c>
      <c r="S759" s="871">
        <v>28480</v>
      </c>
      <c r="T759" s="871">
        <v>29049</v>
      </c>
      <c r="U759" s="871">
        <v>29630</v>
      </c>
      <c r="V759" s="871">
        <v>32156.2</v>
      </c>
      <c r="W759" s="871">
        <v>32156.2</v>
      </c>
      <c r="X759" s="871">
        <v>32156.2</v>
      </c>
      <c r="Y759" s="871">
        <v>32156.2</v>
      </c>
      <c r="Z759" s="871">
        <v>32699</v>
      </c>
      <c r="AA759" s="871">
        <v>33353</v>
      </c>
      <c r="AB759" s="871">
        <v>34020</v>
      </c>
      <c r="AC759" s="871">
        <v>34701</v>
      </c>
      <c r="AD759" s="871">
        <v>35395</v>
      </c>
      <c r="AE759" s="871">
        <v>36103</v>
      </c>
      <c r="AF759" s="871">
        <v>36825</v>
      </c>
      <c r="AG759" s="871">
        <v>37561</v>
      </c>
      <c r="AH759" s="871">
        <v>38312</v>
      </c>
      <c r="AI759" s="871">
        <v>39079</v>
      </c>
      <c r="AJ759" s="871">
        <v>39860</v>
      </c>
      <c r="AK759" s="871">
        <v>40657</v>
      </c>
      <c r="AL759" s="871">
        <v>41470</v>
      </c>
      <c r="AM759" s="871">
        <v>42300</v>
      </c>
      <c r="AN759" s="871">
        <v>43146</v>
      </c>
      <c r="AO759" s="871">
        <v>44009</v>
      </c>
      <c r="AP759" s="871">
        <v>44889</v>
      </c>
      <c r="AQ759" s="871">
        <v>45786</v>
      </c>
      <c r="AR759" s="871">
        <v>46702</v>
      </c>
      <c r="AS759" s="871">
        <v>47636</v>
      </c>
      <c r="AT759" s="871">
        <v>48589</v>
      </c>
      <c r="AU759" s="871">
        <v>49560</v>
      </c>
      <c r="AV759" s="871">
        <v>50552</v>
      </c>
      <c r="AW759" s="871">
        <v>51563</v>
      </c>
      <c r="AX759" s="871">
        <v>52594</v>
      </c>
      <c r="AY759" s="871">
        <v>53645</v>
      </c>
      <c r="AZ759" s="871">
        <v>54718</v>
      </c>
      <c r="BA759" s="871">
        <v>55812</v>
      </c>
      <c r="BB759" s="871">
        <v>56928</v>
      </c>
      <c r="BC759" s="871">
        <v>58067</v>
      </c>
      <c r="BD759" s="871">
        <v>59228</v>
      </c>
      <c r="BE759" s="871">
        <v>60412</v>
      </c>
      <c r="BF759" s="871">
        <v>61620</v>
      </c>
      <c r="BG759" s="871">
        <v>62852</v>
      </c>
      <c r="BH759" s="871">
        <v>64109</v>
      </c>
      <c r="BI759" s="871">
        <v>65391</v>
      </c>
      <c r="BJ759" s="871">
        <v>66698</v>
      </c>
      <c r="BK759" s="871">
        <v>68024</v>
      </c>
      <c r="BL759" s="871">
        <v>69362</v>
      </c>
      <c r="BM759" s="871">
        <v>70711</v>
      </c>
      <c r="BN759" s="871">
        <v>72070</v>
      </c>
      <c r="BO759" s="871">
        <v>73438</v>
      </c>
      <c r="BP759" s="871">
        <v>74815</v>
      </c>
      <c r="BQ759" s="871">
        <v>76199</v>
      </c>
      <c r="BR759" s="871">
        <v>77590</v>
      </c>
      <c r="BS759" s="871">
        <v>78988</v>
      </c>
      <c r="BT759" s="871">
        <v>80391</v>
      </c>
      <c r="BU759" s="871">
        <v>81798</v>
      </c>
      <c r="BV759" s="871">
        <v>83210</v>
      </c>
      <c r="BW759" s="871">
        <v>84626</v>
      </c>
      <c r="BX759" s="871">
        <v>86044</v>
      </c>
      <c r="BY759" s="871">
        <v>87465</v>
      </c>
      <c r="BZ759" s="871">
        <v>88888</v>
      </c>
      <c r="CA759" s="871">
        <v>90301</v>
      </c>
      <c r="CB759" s="871">
        <v>91200</v>
      </c>
      <c r="CC759" s="871">
        <v>0</v>
      </c>
      <c r="CD759" s="871">
        <v>0</v>
      </c>
      <c r="CE759" s="871">
        <v>0</v>
      </c>
      <c r="CF759" s="871">
        <v>0</v>
      </c>
      <c r="CG759" s="871">
        <v>0</v>
      </c>
      <c r="CH759" s="871">
        <v>0</v>
      </c>
      <c r="CI759" s="871">
        <v>0</v>
      </c>
      <c r="CJ759" s="871">
        <v>0</v>
      </c>
      <c r="CK759" s="871">
        <v>0</v>
      </c>
      <c r="CL759" s="871">
        <v>0</v>
      </c>
      <c r="CM759" s="871">
        <v>0</v>
      </c>
      <c r="CN759" s="871">
        <v>0</v>
      </c>
      <c r="CO759" s="871">
        <v>0</v>
      </c>
      <c r="CP759" s="871">
        <v>0</v>
      </c>
      <c r="CQ759" s="871">
        <v>0</v>
      </c>
      <c r="CR759" s="871">
        <v>0</v>
      </c>
      <c r="CS759" s="871">
        <v>0</v>
      </c>
      <c r="CT759" s="871">
        <v>0</v>
      </c>
      <c r="CU759" s="871">
        <v>0</v>
      </c>
      <c r="CV759" s="871">
        <v>0</v>
      </c>
      <c r="CW759" s="871">
        <v>0</v>
      </c>
      <c r="CX759" s="871">
        <v>0</v>
      </c>
      <c r="CY759" s="871">
        <v>0</v>
      </c>
      <c r="CZ759" s="871">
        <v>0</v>
      </c>
      <c r="DA759" s="871">
        <v>0</v>
      </c>
      <c r="DB759" s="871">
        <v>0</v>
      </c>
      <c r="DC759" s="871">
        <v>0</v>
      </c>
      <c r="DD759" s="871">
        <v>0</v>
      </c>
      <c r="DE759" s="871">
        <v>0</v>
      </c>
      <c r="DF759" s="871">
        <v>0</v>
      </c>
      <c r="DG759" s="871">
        <v>0</v>
      </c>
      <c r="DH759" s="871">
        <v>0</v>
      </c>
      <c r="DI759" s="871">
        <v>0</v>
      </c>
      <c r="DJ759" s="871">
        <v>0</v>
      </c>
      <c r="DK759" s="871">
        <v>0</v>
      </c>
      <c r="DL759" s="871">
        <v>0</v>
      </c>
      <c r="DM759" s="871">
        <v>0</v>
      </c>
      <c r="DN759" s="871">
        <v>0</v>
      </c>
      <c r="DO759" s="871">
        <v>0</v>
      </c>
      <c r="DP759" s="871">
        <v>0</v>
      </c>
      <c r="DQ759" s="871">
        <v>0</v>
      </c>
      <c r="DR759" s="871">
        <v>0</v>
      </c>
      <c r="DS759" s="871">
        <v>0</v>
      </c>
      <c r="DT759" s="871">
        <v>0</v>
      </c>
      <c r="DU759" s="871">
        <v>0</v>
      </c>
      <c r="DV759" s="871">
        <v>0</v>
      </c>
      <c r="DW759" s="871">
        <v>0</v>
      </c>
    </row>
    <row r="760" spans="12:127" hidden="1">
      <c r="L760" s="870" t="s">
        <v>1060</v>
      </c>
      <c r="M760" s="870" t="s">
        <v>1382</v>
      </c>
      <c r="N760" s="870" t="s">
        <v>97</v>
      </c>
      <c r="O760" s="871">
        <v>48</v>
      </c>
      <c r="P760" s="780" t="str">
        <f t="shared" si="22"/>
        <v>IWT060248</v>
      </c>
      <c r="Q760" s="871">
        <v>27383</v>
      </c>
      <c r="R760" s="871">
        <v>27931</v>
      </c>
      <c r="S760" s="871">
        <v>28489</v>
      </c>
      <c r="T760" s="871">
        <v>29059</v>
      </c>
      <c r="U760" s="871">
        <v>29640</v>
      </c>
      <c r="V760" s="871">
        <v>32168.9</v>
      </c>
      <c r="W760" s="871">
        <v>32168.9</v>
      </c>
      <c r="X760" s="871">
        <v>32168.9</v>
      </c>
      <c r="Y760" s="871">
        <v>32168.9</v>
      </c>
      <c r="Z760" s="871">
        <v>32709</v>
      </c>
      <c r="AA760" s="871">
        <v>33363</v>
      </c>
      <c r="AB760" s="871">
        <v>34031</v>
      </c>
      <c r="AC760" s="871">
        <v>34711</v>
      </c>
      <c r="AD760" s="871">
        <v>35406</v>
      </c>
      <c r="AE760" s="871">
        <v>36114</v>
      </c>
      <c r="AF760" s="871">
        <v>36836</v>
      </c>
      <c r="AG760" s="871">
        <v>37573</v>
      </c>
      <c r="AH760" s="871">
        <v>38324</v>
      </c>
      <c r="AI760" s="871">
        <v>39090</v>
      </c>
      <c r="AJ760" s="871">
        <v>39872</v>
      </c>
      <c r="AK760" s="871">
        <v>40670</v>
      </c>
      <c r="AL760" s="871">
        <v>41483</v>
      </c>
      <c r="AM760" s="871">
        <v>42313</v>
      </c>
      <c r="AN760" s="871">
        <v>43159</v>
      </c>
      <c r="AO760" s="871">
        <v>44022</v>
      </c>
      <c r="AP760" s="871">
        <v>44902</v>
      </c>
      <c r="AQ760" s="871">
        <v>45800</v>
      </c>
      <c r="AR760" s="871">
        <v>46716</v>
      </c>
      <c r="AS760" s="871">
        <v>47651</v>
      </c>
      <c r="AT760" s="871">
        <v>48604</v>
      </c>
      <c r="AU760" s="871">
        <v>49576</v>
      </c>
      <c r="AV760" s="871">
        <v>50567</v>
      </c>
      <c r="AW760" s="871">
        <v>51578</v>
      </c>
      <c r="AX760" s="871">
        <v>52610</v>
      </c>
      <c r="AY760" s="871">
        <v>53662</v>
      </c>
      <c r="AZ760" s="871">
        <v>54735</v>
      </c>
      <c r="BA760" s="871">
        <v>55829</v>
      </c>
      <c r="BB760" s="871">
        <v>56946</v>
      </c>
      <c r="BC760" s="871">
        <v>58084</v>
      </c>
      <c r="BD760" s="871">
        <v>59246</v>
      </c>
      <c r="BE760" s="871">
        <v>60430</v>
      </c>
      <c r="BF760" s="871">
        <v>61639</v>
      </c>
      <c r="BG760" s="871">
        <v>62871</v>
      </c>
      <c r="BH760" s="871">
        <v>64128</v>
      </c>
      <c r="BI760" s="871">
        <v>65410</v>
      </c>
      <c r="BJ760" s="871">
        <v>66718</v>
      </c>
      <c r="BK760" s="871">
        <v>68048</v>
      </c>
      <c r="BL760" s="871">
        <v>69389</v>
      </c>
      <c r="BM760" s="871">
        <v>70741</v>
      </c>
      <c r="BN760" s="871">
        <v>72103</v>
      </c>
      <c r="BO760" s="871">
        <v>73473</v>
      </c>
      <c r="BP760" s="871">
        <v>74852</v>
      </c>
      <c r="BQ760" s="871">
        <v>76238</v>
      </c>
      <c r="BR760" s="871">
        <v>77630</v>
      </c>
      <c r="BS760" s="871">
        <v>79028</v>
      </c>
      <c r="BT760" s="871">
        <v>80431</v>
      </c>
      <c r="BU760" s="871">
        <v>81839</v>
      </c>
      <c r="BV760" s="871">
        <v>83251</v>
      </c>
      <c r="BW760" s="871">
        <v>84666</v>
      </c>
      <c r="BX760" s="871">
        <v>86084</v>
      </c>
      <c r="BY760" s="871">
        <v>87504</v>
      </c>
      <c r="BZ760" s="871">
        <v>88915</v>
      </c>
      <c r="CA760" s="871">
        <v>89800</v>
      </c>
      <c r="CB760" s="871">
        <v>0</v>
      </c>
      <c r="CC760" s="871">
        <v>0</v>
      </c>
      <c r="CD760" s="871">
        <v>0</v>
      </c>
      <c r="CE760" s="871">
        <v>0</v>
      </c>
      <c r="CF760" s="871">
        <v>0</v>
      </c>
      <c r="CG760" s="871">
        <v>0</v>
      </c>
      <c r="CH760" s="871">
        <v>0</v>
      </c>
      <c r="CI760" s="871">
        <v>0</v>
      </c>
      <c r="CJ760" s="871">
        <v>0</v>
      </c>
      <c r="CK760" s="871">
        <v>0</v>
      </c>
      <c r="CL760" s="871">
        <v>0</v>
      </c>
      <c r="CM760" s="871">
        <v>0</v>
      </c>
      <c r="CN760" s="871">
        <v>0</v>
      </c>
      <c r="CO760" s="871">
        <v>0</v>
      </c>
      <c r="CP760" s="871">
        <v>0</v>
      </c>
      <c r="CQ760" s="871">
        <v>0</v>
      </c>
      <c r="CR760" s="871">
        <v>0</v>
      </c>
      <c r="CS760" s="871">
        <v>0</v>
      </c>
      <c r="CT760" s="871">
        <v>0</v>
      </c>
      <c r="CU760" s="871">
        <v>0</v>
      </c>
      <c r="CV760" s="871">
        <v>0</v>
      </c>
      <c r="CW760" s="871">
        <v>0</v>
      </c>
      <c r="CX760" s="871">
        <v>0</v>
      </c>
      <c r="CY760" s="871">
        <v>0</v>
      </c>
      <c r="CZ760" s="871">
        <v>0</v>
      </c>
      <c r="DA760" s="871">
        <v>0</v>
      </c>
      <c r="DB760" s="871">
        <v>0</v>
      </c>
      <c r="DC760" s="871">
        <v>0</v>
      </c>
      <c r="DD760" s="871">
        <v>0</v>
      </c>
      <c r="DE760" s="871">
        <v>0</v>
      </c>
      <c r="DF760" s="871">
        <v>0</v>
      </c>
      <c r="DG760" s="871">
        <v>0</v>
      </c>
      <c r="DH760" s="871">
        <v>0</v>
      </c>
      <c r="DI760" s="871">
        <v>0</v>
      </c>
      <c r="DJ760" s="871">
        <v>0</v>
      </c>
      <c r="DK760" s="871">
        <v>0</v>
      </c>
      <c r="DL760" s="871">
        <v>0</v>
      </c>
      <c r="DM760" s="871">
        <v>0</v>
      </c>
      <c r="DN760" s="871">
        <v>0</v>
      </c>
      <c r="DO760" s="871">
        <v>0</v>
      </c>
      <c r="DP760" s="871">
        <v>0</v>
      </c>
      <c r="DQ760" s="871">
        <v>0</v>
      </c>
      <c r="DR760" s="871">
        <v>0</v>
      </c>
      <c r="DS760" s="871">
        <v>0</v>
      </c>
      <c r="DT760" s="871">
        <v>0</v>
      </c>
      <c r="DU760" s="871">
        <v>0</v>
      </c>
      <c r="DV760" s="871">
        <v>0</v>
      </c>
      <c r="DW760" s="871">
        <v>0</v>
      </c>
    </row>
    <row r="761" spans="12:127" hidden="1">
      <c r="L761" s="870" t="s">
        <v>1060</v>
      </c>
      <c r="M761" s="870" t="s">
        <v>1382</v>
      </c>
      <c r="N761" s="870" t="s">
        <v>97</v>
      </c>
      <c r="O761" s="871">
        <v>49</v>
      </c>
      <c r="P761" s="780" t="str">
        <f t="shared" si="22"/>
        <v>IWT060249</v>
      </c>
      <c r="Q761" s="871">
        <v>27391</v>
      </c>
      <c r="R761" s="871">
        <v>27939</v>
      </c>
      <c r="S761" s="871">
        <v>28498</v>
      </c>
      <c r="T761" s="871">
        <v>29068</v>
      </c>
      <c r="U761" s="871">
        <v>29649</v>
      </c>
      <c r="V761" s="871">
        <v>32181.599999999999</v>
      </c>
      <c r="W761" s="871">
        <v>32181.599999999999</v>
      </c>
      <c r="X761" s="871">
        <v>32181.599999999999</v>
      </c>
      <c r="Y761" s="871">
        <v>32181.599999999999</v>
      </c>
      <c r="Z761" s="871">
        <v>32717</v>
      </c>
      <c r="AA761" s="871">
        <v>33372</v>
      </c>
      <c r="AB761" s="871">
        <v>34039</v>
      </c>
      <c r="AC761" s="871">
        <v>34720</v>
      </c>
      <c r="AD761" s="871">
        <v>35414</v>
      </c>
      <c r="AE761" s="871">
        <v>36123</v>
      </c>
      <c r="AF761" s="871">
        <v>36845</v>
      </c>
      <c r="AG761" s="871">
        <v>37582</v>
      </c>
      <c r="AH761" s="871">
        <v>38334</v>
      </c>
      <c r="AI761" s="871">
        <v>39100</v>
      </c>
      <c r="AJ761" s="871">
        <v>39882</v>
      </c>
      <c r="AK761" s="871">
        <v>40680</v>
      </c>
      <c r="AL761" s="871">
        <v>41493</v>
      </c>
      <c r="AM761" s="871">
        <v>42323</v>
      </c>
      <c r="AN761" s="871">
        <v>43170</v>
      </c>
      <c r="AO761" s="871">
        <v>44033</v>
      </c>
      <c r="AP761" s="871">
        <v>44914</v>
      </c>
      <c r="AQ761" s="871">
        <v>45812</v>
      </c>
      <c r="AR761" s="871">
        <v>46728</v>
      </c>
      <c r="AS761" s="871">
        <v>47663</v>
      </c>
      <c r="AT761" s="871">
        <v>48616</v>
      </c>
      <c r="AU761" s="871">
        <v>49588</v>
      </c>
      <c r="AV761" s="871">
        <v>50580</v>
      </c>
      <c r="AW761" s="871">
        <v>51591</v>
      </c>
      <c r="AX761" s="871">
        <v>52623</v>
      </c>
      <c r="AY761" s="871">
        <v>53675</v>
      </c>
      <c r="AZ761" s="871">
        <v>54748</v>
      </c>
      <c r="BA761" s="871">
        <v>55843</v>
      </c>
      <c r="BB761" s="871">
        <v>56960</v>
      </c>
      <c r="BC761" s="871">
        <v>58099</v>
      </c>
      <c r="BD761" s="871">
        <v>59260</v>
      </c>
      <c r="BE761" s="871">
        <v>60445</v>
      </c>
      <c r="BF761" s="871">
        <v>61654</v>
      </c>
      <c r="BG761" s="871">
        <v>62887</v>
      </c>
      <c r="BH761" s="871">
        <v>64144</v>
      </c>
      <c r="BI761" s="871">
        <v>65426</v>
      </c>
      <c r="BJ761" s="871">
        <v>66734</v>
      </c>
      <c r="BK761" s="871">
        <v>68068</v>
      </c>
      <c r="BL761" s="871">
        <v>69413</v>
      </c>
      <c r="BM761" s="871">
        <v>70768</v>
      </c>
      <c r="BN761" s="871">
        <v>72132</v>
      </c>
      <c r="BO761" s="871">
        <v>73505</v>
      </c>
      <c r="BP761" s="871">
        <v>74885</v>
      </c>
      <c r="BQ761" s="871">
        <v>76272</v>
      </c>
      <c r="BR761" s="871">
        <v>77666</v>
      </c>
      <c r="BS761" s="871">
        <v>79064</v>
      </c>
      <c r="BT761" s="871">
        <v>80468</v>
      </c>
      <c r="BU761" s="871">
        <v>81876</v>
      </c>
      <c r="BV761" s="871">
        <v>83288</v>
      </c>
      <c r="BW761" s="871">
        <v>84703</v>
      </c>
      <c r="BX761" s="871">
        <v>86119</v>
      </c>
      <c r="BY761" s="871">
        <v>87529</v>
      </c>
      <c r="BZ761" s="871">
        <v>88400</v>
      </c>
      <c r="CA761" s="871">
        <v>0</v>
      </c>
      <c r="CB761" s="871">
        <v>0</v>
      </c>
      <c r="CC761" s="871">
        <v>0</v>
      </c>
      <c r="CD761" s="871">
        <v>0</v>
      </c>
      <c r="CE761" s="871">
        <v>0</v>
      </c>
      <c r="CF761" s="871">
        <v>0</v>
      </c>
      <c r="CG761" s="871">
        <v>0</v>
      </c>
      <c r="CH761" s="871">
        <v>0</v>
      </c>
      <c r="CI761" s="871">
        <v>0</v>
      </c>
      <c r="CJ761" s="871">
        <v>0</v>
      </c>
      <c r="CK761" s="871">
        <v>0</v>
      </c>
      <c r="CL761" s="871">
        <v>0</v>
      </c>
      <c r="CM761" s="871">
        <v>0</v>
      </c>
      <c r="CN761" s="871">
        <v>0</v>
      </c>
      <c r="CO761" s="871">
        <v>0</v>
      </c>
      <c r="CP761" s="871">
        <v>0</v>
      </c>
      <c r="CQ761" s="871">
        <v>0</v>
      </c>
      <c r="CR761" s="871">
        <v>0</v>
      </c>
      <c r="CS761" s="871">
        <v>0</v>
      </c>
      <c r="CT761" s="871">
        <v>0</v>
      </c>
      <c r="CU761" s="871">
        <v>0</v>
      </c>
      <c r="CV761" s="871">
        <v>0</v>
      </c>
      <c r="CW761" s="871">
        <v>0</v>
      </c>
      <c r="CX761" s="871">
        <v>0</v>
      </c>
      <c r="CY761" s="871">
        <v>0</v>
      </c>
      <c r="CZ761" s="871">
        <v>0</v>
      </c>
      <c r="DA761" s="871">
        <v>0</v>
      </c>
      <c r="DB761" s="871">
        <v>0</v>
      </c>
      <c r="DC761" s="871">
        <v>0</v>
      </c>
      <c r="DD761" s="871">
        <v>0</v>
      </c>
      <c r="DE761" s="871">
        <v>0</v>
      </c>
      <c r="DF761" s="871">
        <v>0</v>
      </c>
      <c r="DG761" s="871">
        <v>0</v>
      </c>
      <c r="DH761" s="871">
        <v>0</v>
      </c>
      <c r="DI761" s="871">
        <v>0</v>
      </c>
      <c r="DJ761" s="871">
        <v>0</v>
      </c>
      <c r="DK761" s="871">
        <v>0</v>
      </c>
      <c r="DL761" s="871">
        <v>0</v>
      </c>
      <c r="DM761" s="871">
        <v>0</v>
      </c>
      <c r="DN761" s="871">
        <v>0</v>
      </c>
      <c r="DO761" s="871">
        <v>0</v>
      </c>
      <c r="DP761" s="871">
        <v>0</v>
      </c>
      <c r="DQ761" s="871">
        <v>0</v>
      </c>
      <c r="DR761" s="871">
        <v>0</v>
      </c>
      <c r="DS761" s="871">
        <v>0</v>
      </c>
      <c r="DT761" s="871">
        <v>0</v>
      </c>
      <c r="DU761" s="871">
        <v>0</v>
      </c>
      <c r="DV761" s="871">
        <v>0</v>
      </c>
      <c r="DW761" s="871">
        <v>0</v>
      </c>
    </row>
    <row r="762" spans="12:127" hidden="1">
      <c r="L762" s="870" t="s">
        <v>1060</v>
      </c>
      <c r="M762" s="870" t="s">
        <v>1382</v>
      </c>
      <c r="N762" s="870" t="s">
        <v>97</v>
      </c>
      <c r="O762" s="871">
        <v>50</v>
      </c>
      <c r="P762" s="780" t="str">
        <f t="shared" ref="P762:P787" si="23">M762&amp;TEXT(N762,"00")&amp;TEXT(O762,"00")</f>
        <v>IWT060250</v>
      </c>
      <c r="Q762" s="871">
        <v>27399</v>
      </c>
      <c r="R762" s="871">
        <v>27947</v>
      </c>
      <c r="S762" s="871">
        <v>28506</v>
      </c>
      <c r="T762" s="871">
        <v>29076</v>
      </c>
      <c r="U762" s="871">
        <v>29658</v>
      </c>
      <c r="V762" s="871">
        <v>32194.3</v>
      </c>
      <c r="W762" s="871">
        <v>32194.3</v>
      </c>
      <c r="X762" s="871">
        <v>32194.3</v>
      </c>
      <c r="Y762" s="871">
        <v>32194.3</v>
      </c>
      <c r="Z762" s="871">
        <v>32726</v>
      </c>
      <c r="AA762" s="871">
        <v>33380</v>
      </c>
      <c r="AB762" s="871">
        <v>34048</v>
      </c>
      <c r="AC762" s="871">
        <v>34729</v>
      </c>
      <c r="AD762" s="871">
        <v>35423</v>
      </c>
      <c r="AE762" s="871">
        <v>36132</v>
      </c>
      <c r="AF762" s="871">
        <v>36854</v>
      </c>
      <c r="AG762" s="871">
        <v>37591</v>
      </c>
      <c r="AH762" s="871">
        <v>38343</v>
      </c>
      <c r="AI762" s="871">
        <v>39110</v>
      </c>
      <c r="AJ762" s="871">
        <v>39892</v>
      </c>
      <c r="AK762" s="871">
        <v>40690</v>
      </c>
      <c r="AL762" s="871">
        <v>41504</v>
      </c>
      <c r="AM762" s="871">
        <v>42334</v>
      </c>
      <c r="AN762" s="871">
        <v>43180</v>
      </c>
      <c r="AO762" s="871">
        <v>44044</v>
      </c>
      <c r="AP762" s="871">
        <v>44925</v>
      </c>
      <c r="AQ762" s="871">
        <v>45823</v>
      </c>
      <c r="AR762" s="871">
        <v>46740</v>
      </c>
      <c r="AS762" s="871">
        <v>47674</v>
      </c>
      <c r="AT762" s="871">
        <v>48628</v>
      </c>
      <c r="AU762" s="871">
        <v>49600</v>
      </c>
      <c r="AV762" s="871">
        <v>50592</v>
      </c>
      <c r="AW762" s="871">
        <v>51604</v>
      </c>
      <c r="AX762" s="871">
        <v>52636</v>
      </c>
      <c r="AY762" s="871">
        <v>53688</v>
      </c>
      <c r="AZ762" s="871">
        <v>54762</v>
      </c>
      <c r="BA762" s="871">
        <v>55857</v>
      </c>
      <c r="BB762" s="871">
        <v>56974</v>
      </c>
      <c r="BC762" s="871">
        <v>58113</v>
      </c>
      <c r="BD762" s="871">
        <v>59275</v>
      </c>
      <c r="BE762" s="871">
        <v>60460</v>
      </c>
      <c r="BF762" s="871">
        <v>61669</v>
      </c>
      <c r="BG762" s="871">
        <v>62902</v>
      </c>
      <c r="BH762" s="871">
        <v>64159</v>
      </c>
      <c r="BI762" s="871">
        <v>65442</v>
      </c>
      <c r="BJ762" s="871">
        <v>66750</v>
      </c>
      <c r="BK762" s="871">
        <v>68084</v>
      </c>
      <c r="BL762" s="871">
        <v>69432</v>
      </c>
      <c r="BM762" s="871">
        <v>70790</v>
      </c>
      <c r="BN762" s="871">
        <v>72157</v>
      </c>
      <c r="BO762" s="871">
        <v>73532</v>
      </c>
      <c r="BP762" s="871">
        <v>74914</v>
      </c>
      <c r="BQ762" s="871">
        <v>76303</v>
      </c>
      <c r="BR762" s="871">
        <v>77698</v>
      </c>
      <c r="BS762" s="871">
        <v>79097</v>
      </c>
      <c r="BT762" s="871">
        <v>80501</v>
      </c>
      <c r="BU762" s="871">
        <v>81910</v>
      </c>
      <c r="BV762" s="871">
        <v>83321</v>
      </c>
      <c r="BW762" s="871">
        <v>84735</v>
      </c>
      <c r="BX762" s="871">
        <v>86143</v>
      </c>
      <c r="BY762" s="871">
        <v>87000</v>
      </c>
      <c r="BZ762" s="871">
        <v>0</v>
      </c>
      <c r="CA762" s="871">
        <v>0</v>
      </c>
      <c r="CB762" s="871">
        <v>0</v>
      </c>
      <c r="CC762" s="871">
        <v>0</v>
      </c>
      <c r="CD762" s="871">
        <v>0</v>
      </c>
      <c r="CE762" s="871">
        <v>0</v>
      </c>
      <c r="CF762" s="871">
        <v>0</v>
      </c>
      <c r="CG762" s="871">
        <v>0</v>
      </c>
      <c r="CH762" s="871">
        <v>0</v>
      </c>
      <c r="CI762" s="871">
        <v>0</v>
      </c>
      <c r="CJ762" s="871">
        <v>0</v>
      </c>
      <c r="CK762" s="871">
        <v>0</v>
      </c>
      <c r="CL762" s="871">
        <v>0</v>
      </c>
      <c r="CM762" s="871">
        <v>0</v>
      </c>
      <c r="CN762" s="871">
        <v>0</v>
      </c>
      <c r="CO762" s="871">
        <v>0</v>
      </c>
      <c r="CP762" s="871">
        <v>0</v>
      </c>
      <c r="CQ762" s="871">
        <v>0</v>
      </c>
      <c r="CR762" s="871">
        <v>0</v>
      </c>
      <c r="CS762" s="871">
        <v>0</v>
      </c>
      <c r="CT762" s="871">
        <v>0</v>
      </c>
      <c r="CU762" s="871">
        <v>0</v>
      </c>
      <c r="CV762" s="871">
        <v>0</v>
      </c>
      <c r="CW762" s="871">
        <v>0</v>
      </c>
      <c r="CX762" s="871">
        <v>0</v>
      </c>
      <c r="CY762" s="871">
        <v>0</v>
      </c>
      <c r="CZ762" s="871">
        <v>0</v>
      </c>
      <c r="DA762" s="871">
        <v>0</v>
      </c>
      <c r="DB762" s="871">
        <v>0</v>
      </c>
      <c r="DC762" s="871">
        <v>0</v>
      </c>
      <c r="DD762" s="871">
        <v>0</v>
      </c>
      <c r="DE762" s="871">
        <v>0</v>
      </c>
      <c r="DF762" s="871">
        <v>0</v>
      </c>
      <c r="DG762" s="871">
        <v>0</v>
      </c>
      <c r="DH762" s="871">
        <v>0</v>
      </c>
      <c r="DI762" s="871">
        <v>0</v>
      </c>
      <c r="DJ762" s="871">
        <v>0</v>
      </c>
      <c r="DK762" s="871">
        <v>0</v>
      </c>
      <c r="DL762" s="871">
        <v>0</v>
      </c>
      <c r="DM762" s="871">
        <v>0</v>
      </c>
      <c r="DN762" s="871">
        <v>0</v>
      </c>
      <c r="DO762" s="871">
        <v>0</v>
      </c>
      <c r="DP762" s="871">
        <v>0</v>
      </c>
      <c r="DQ762" s="871">
        <v>0</v>
      </c>
      <c r="DR762" s="871">
        <v>0</v>
      </c>
      <c r="DS762" s="871">
        <v>0</v>
      </c>
      <c r="DT762" s="871">
        <v>0</v>
      </c>
      <c r="DU762" s="871">
        <v>0</v>
      </c>
      <c r="DV762" s="871">
        <v>0</v>
      </c>
      <c r="DW762" s="871">
        <v>0</v>
      </c>
    </row>
    <row r="763" spans="12:127" hidden="1">
      <c r="L763" s="870" t="s">
        <v>1060</v>
      </c>
      <c r="M763" s="870" t="s">
        <v>1382</v>
      </c>
      <c r="N763" s="870" t="s">
        <v>97</v>
      </c>
      <c r="O763" s="871">
        <v>51</v>
      </c>
      <c r="P763" s="780" t="str">
        <f t="shared" si="23"/>
        <v>IWT060251</v>
      </c>
      <c r="Q763" s="871">
        <v>27406</v>
      </c>
      <c r="R763" s="871">
        <v>27955</v>
      </c>
      <c r="S763" s="871">
        <v>28514</v>
      </c>
      <c r="T763" s="871">
        <v>29084</v>
      </c>
      <c r="U763" s="871">
        <v>29666</v>
      </c>
      <c r="V763" s="871">
        <v>32207</v>
      </c>
      <c r="W763" s="871">
        <v>32207</v>
      </c>
      <c r="X763" s="871">
        <v>32207</v>
      </c>
      <c r="Y763" s="871">
        <v>32207</v>
      </c>
      <c r="Z763" s="871">
        <v>32732</v>
      </c>
      <c r="AA763" s="871">
        <v>33387</v>
      </c>
      <c r="AB763" s="871">
        <v>34055</v>
      </c>
      <c r="AC763" s="871">
        <v>34736</v>
      </c>
      <c r="AD763" s="871">
        <v>35430</v>
      </c>
      <c r="AE763" s="871">
        <v>36139</v>
      </c>
      <c r="AF763" s="871">
        <v>36862</v>
      </c>
      <c r="AG763" s="871">
        <v>37599</v>
      </c>
      <c r="AH763" s="871">
        <v>38351</v>
      </c>
      <c r="AI763" s="871">
        <v>39118</v>
      </c>
      <c r="AJ763" s="871">
        <v>39900</v>
      </c>
      <c r="AK763" s="871">
        <v>40698</v>
      </c>
      <c r="AL763" s="871">
        <v>41512</v>
      </c>
      <c r="AM763" s="871">
        <v>42342</v>
      </c>
      <c r="AN763" s="871">
        <v>43189</v>
      </c>
      <c r="AO763" s="871">
        <v>44053</v>
      </c>
      <c r="AP763" s="871">
        <v>44934</v>
      </c>
      <c r="AQ763" s="871">
        <v>45833</v>
      </c>
      <c r="AR763" s="871">
        <v>46749</v>
      </c>
      <c r="AS763" s="871">
        <v>47684</v>
      </c>
      <c r="AT763" s="871">
        <v>48638</v>
      </c>
      <c r="AU763" s="871">
        <v>49610</v>
      </c>
      <c r="AV763" s="871">
        <v>50602</v>
      </c>
      <c r="AW763" s="871">
        <v>51614</v>
      </c>
      <c r="AX763" s="871">
        <v>52646</v>
      </c>
      <c r="AY763" s="871">
        <v>53699</v>
      </c>
      <c r="AZ763" s="871">
        <v>54773</v>
      </c>
      <c r="BA763" s="871">
        <v>55868</v>
      </c>
      <c r="BB763" s="871">
        <v>56985</v>
      </c>
      <c r="BC763" s="871">
        <v>58125</v>
      </c>
      <c r="BD763" s="871">
        <v>59287</v>
      </c>
      <c r="BE763" s="871">
        <v>60472</v>
      </c>
      <c r="BF763" s="871">
        <v>61681</v>
      </c>
      <c r="BG763" s="871">
        <v>62914</v>
      </c>
      <c r="BH763" s="871">
        <v>64172</v>
      </c>
      <c r="BI763" s="871">
        <v>65455</v>
      </c>
      <c r="BJ763" s="871">
        <v>66763</v>
      </c>
      <c r="BK763" s="871">
        <v>68097</v>
      </c>
      <c r="BL763" s="871">
        <v>69449</v>
      </c>
      <c r="BM763" s="871">
        <v>70810</v>
      </c>
      <c r="BN763" s="871">
        <v>72179</v>
      </c>
      <c r="BO763" s="871">
        <v>73557</v>
      </c>
      <c r="BP763" s="871">
        <v>74941</v>
      </c>
      <c r="BQ763" s="871">
        <v>76331</v>
      </c>
      <c r="BR763" s="871">
        <v>77726</v>
      </c>
      <c r="BS763" s="871">
        <v>79127</v>
      </c>
      <c r="BT763" s="871">
        <v>80531</v>
      </c>
      <c r="BU763" s="871">
        <v>81940</v>
      </c>
      <c r="BV763" s="871">
        <v>83351</v>
      </c>
      <c r="BW763" s="871">
        <v>84757</v>
      </c>
      <c r="BX763" s="871">
        <v>85600</v>
      </c>
      <c r="BY763" s="871">
        <v>0</v>
      </c>
      <c r="BZ763" s="871">
        <v>0</v>
      </c>
      <c r="CA763" s="871">
        <v>0</v>
      </c>
      <c r="CB763" s="871">
        <v>0</v>
      </c>
      <c r="CC763" s="871">
        <v>0</v>
      </c>
      <c r="CD763" s="871">
        <v>0</v>
      </c>
      <c r="CE763" s="871">
        <v>0</v>
      </c>
      <c r="CF763" s="871">
        <v>0</v>
      </c>
      <c r="CG763" s="871">
        <v>0</v>
      </c>
      <c r="CH763" s="871">
        <v>0</v>
      </c>
      <c r="CI763" s="871">
        <v>0</v>
      </c>
      <c r="CJ763" s="871">
        <v>0</v>
      </c>
      <c r="CK763" s="871">
        <v>0</v>
      </c>
      <c r="CL763" s="871">
        <v>0</v>
      </c>
      <c r="CM763" s="871">
        <v>0</v>
      </c>
      <c r="CN763" s="871">
        <v>0</v>
      </c>
      <c r="CO763" s="871">
        <v>0</v>
      </c>
      <c r="CP763" s="871">
        <v>0</v>
      </c>
      <c r="CQ763" s="871">
        <v>0</v>
      </c>
      <c r="CR763" s="871">
        <v>0</v>
      </c>
      <c r="CS763" s="871">
        <v>0</v>
      </c>
      <c r="CT763" s="871">
        <v>0</v>
      </c>
      <c r="CU763" s="871">
        <v>0</v>
      </c>
      <c r="CV763" s="871">
        <v>0</v>
      </c>
      <c r="CW763" s="871">
        <v>0</v>
      </c>
      <c r="CX763" s="871">
        <v>0</v>
      </c>
      <c r="CY763" s="871">
        <v>0</v>
      </c>
      <c r="CZ763" s="871">
        <v>0</v>
      </c>
      <c r="DA763" s="871">
        <v>0</v>
      </c>
      <c r="DB763" s="871">
        <v>0</v>
      </c>
      <c r="DC763" s="871">
        <v>0</v>
      </c>
      <c r="DD763" s="871">
        <v>0</v>
      </c>
      <c r="DE763" s="871">
        <v>0</v>
      </c>
      <c r="DF763" s="871">
        <v>0</v>
      </c>
      <c r="DG763" s="871">
        <v>0</v>
      </c>
      <c r="DH763" s="871">
        <v>0</v>
      </c>
      <c r="DI763" s="871">
        <v>0</v>
      </c>
      <c r="DJ763" s="871">
        <v>0</v>
      </c>
      <c r="DK763" s="871">
        <v>0</v>
      </c>
      <c r="DL763" s="871">
        <v>0</v>
      </c>
      <c r="DM763" s="871">
        <v>0</v>
      </c>
      <c r="DN763" s="871">
        <v>0</v>
      </c>
      <c r="DO763" s="871">
        <v>0</v>
      </c>
      <c r="DP763" s="871">
        <v>0</v>
      </c>
      <c r="DQ763" s="871">
        <v>0</v>
      </c>
      <c r="DR763" s="871">
        <v>0</v>
      </c>
      <c r="DS763" s="871">
        <v>0</v>
      </c>
      <c r="DT763" s="871">
        <v>0</v>
      </c>
      <c r="DU763" s="871">
        <v>0</v>
      </c>
      <c r="DV763" s="871">
        <v>0</v>
      </c>
      <c r="DW763" s="871">
        <v>0</v>
      </c>
    </row>
    <row r="764" spans="12:127" hidden="1">
      <c r="L764" s="870" t="s">
        <v>1060</v>
      </c>
      <c r="M764" s="870" t="s">
        <v>1382</v>
      </c>
      <c r="N764" s="870" t="s">
        <v>97</v>
      </c>
      <c r="O764" s="871">
        <v>52</v>
      </c>
      <c r="P764" s="780" t="str">
        <f t="shared" si="23"/>
        <v>IWT060252</v>
      </c>
      <c r="Q764" s="871">
        <v>27413</v>
      </c>
      <c r="R764" s="871">
        <v>27961</v>
      </c>
      <c r="S764" s="871">
        <v>28521</v>
      </c>
      <c r="T764" s="871">
        <v>29091</v>
      </c>
      <c r="U764" s="871">
        <v>29673</v>
      </c>
      <c r="V764" s="871">
        <v>32213.4</v>
      </c>
      <c r="W764" s="871">
        <v>32213.4</v>
      </c>
      <c r="X764" s="871">
        <v>32213.4</v>
      </c>
      <c r="Y764" s="871">
        <v>32213.4</v>
      </c>
      <c r="Z764" s="871">
        <v>32738</v>
      </c>
      <c r="AA764" s="871">
        <v>33393</v>
      </c>
      <c r="AB764" s="871">
        <v>34060</v>
      </c>
      <c r="AC764" s="871">
        <v>34742</v>
      </c>
      <c r="AD764" s="871">
        <v>35437</v>
      </c>
      <c r="AE764" s="871">
        <v>36145</v>
      </c>
      <c r="AF764" s="871">
        <v>36868</v>
      </c>
      <c r="AG764" s="871">
        <v>37605</v>
      </c>
      <c r="AH764" s="871">
        <v>38358</v>
      </c>
      <c r="AI764" s="871">
        <v>39125</v>
      </c>
      <c r="AJ764" s="871">
        <v>39907</v>
      </c>
      <c r="AK764" s="871">
        <v>40705</v>
      </c>
      <c r="AL764" s="871">
        <v>41519</v>
      </c>
      <c r="AM764" s="871">
        <v>42350</v>
      </c>
      <c r="AN764" s="871">
        <v>43197</v>
      </c>
      <c r="AO764" s="871">
        <v>44060</v>
      </c>
      <c r="AP764" s="871">
        <v>44942</v>
      </c>
      <c r="AQ764" s="871">
        <v>45840</v>
      </c>
      <c r="AR764" s="871">
        <v>46757</v>
      </c>
      <c r="AS764" s="871">
        <v>47692</v>
      </c>
      <c r="AT764" s="871">
        <v>48646</v>
      </c>
      <c r="AU764" s="871">
        <v>49619</v>
      </c>
      <c r="AV764" s="871">
        <v>50611</v>
      </c>
      <c r="AW764" s="871">
        <v>51623</v>
      </c>
      <c r="AX764" s="871">
        <v>52655</v>
      </c>
      <c r="AY764" s="871">
        <v>53708</v>
      </c>
      <c r="AZ764" s="871">
        <v>54782</v>
      </c>
      <c r="BA764" s="871">
        <v>55877</v>
      </c>
      <c r="BB764" s="871">
        <v>56995</v>
      </c>
      <c r="BC764" s="871">
        <v>58134</v>
      </c>
      <c r="BD764" s="871">
        <v>59296</v>
      </c>
      <c r="BE764" s="871">
        <v>60482</v>
      </c>
      <c r="BF764" s="871">
        <v>61691</v>
      </c>
      <c r="BG764" s="871">
        <v>62924</v>
      </c>
      <c r="BH764" s="871">
        <v>64182</v>
      </c>
      <c r="BI764" s="871">
        <v>65465</v>
      </c>
      <c r="BJ764" s="871">
        <v>66773</v>
      </c>
      <c r="BK764" s="871">
        <v>68107</v>
      </c>
      <c r="BL764" s="871">
        <v>69463</v>
      </c>
      <c r="BM764" s="871">
        <v>70827</v>
      </c>
      <c r="BN764" s="871">
        <v>72199</v>
      </c>
      <c r="BO764" s="871">
        <v>73578</v>
      </c>
      <c r="BP764" s="871">
        <v>74964</v>
      </c>
      <c r="BQ764" s="871">
        <v>76355</v>
      </c>
      <c r="BR764" s="871">
        <v>77752</v>
      </c>
      <c r="BS764" s="871">
        <v>79153</v>
      </c>
      <c r="BT764" s="871">
        <v>80558</v>
      </c>
      <c r="BU764" s="871">
        <v>81967</v>
      </c>
      <c r="BV764" s="871">
        <v>83370</v>
      </c>
      <c r="BW764" s="871">
        <v>84200</v>
      </c>
      <c r="BX764" s="871">
        <v>0</v>
      </c>
      <c r="BY764" s="871">
        <v>0</v>
      </c>
      <c r="BZ764" s="871">
        <v>0</v>
      </c>
      <c r="CA764" s="871">
        <v>0</v>
      </c>
      <c r="CB764" s="871">
        <v>0</v>
      </c>
      <c r="CC764" s="871">
        <v>0</v>
      </c>
      <c r="CD764" s="871">
        <v>0</v>
      </c>
      <c r="CE764" s="871">
        <v>0</v>
      </c>
      <c r="CF764" s="871">
        <v>0</v>
      </c>
      <c r="CG764" s="871">
        <v>0</v>
      </c>
      <c r="CH764" s="871">
        <v>0</v>
      </c>
      <c r="CI764" s="871">
        <v>0</v>
      </c>
      <c r="CJ764" s="871">
        <v>0</v>
      </c>
      <c r="CK764" s="871">
        <v>0</v>
      </c>
      <c r="CL764" s="871">
        <v>0</v>
      </c>
      <c r="CM764" s="871">
        <v>0</v>
      </c>
      <c r="CN764" s="871">
        <v>0</v>
      </c>
      <c r="CO764" s="871">
        <v>0</v>
      </c>
      <c r="CP764" s="871">
        <v>0</v>
      </c>
      <c r="CQ764" s="871">
        <v>0</v>
      </c>
      <c r="CR764" s="871">
        <v>0</v>
      </c>
      <c r="CS764" s="871">
        <v>0</v>
      </c>
      <c r="CT764" s="871">
        <v>0</v>
      </c>
      <c r="CU764" s="871">
        <v>0</v>
      </c>
      <c r="CV764" s="871">
        <v>0</v>
      </c>
      <c r="CW764" s="871">
        <v>0</v>
      </c>
      <c r="CX764" s="871">
        <v>0</v>
      </c>
      <c r="CY764" s="871">
        <v>0</v>
      </c>
      <c r="CZ764" s="871">
        <v>0</v>
      </c>
      <c r="DA764" s="871">
        <v>0</v>
      </c>
      <c r="DB764" s="871">
        <v>0</v>
      </c>
      <c r="DC764" s="871">
        <v>0</v>
      </c>
      <c r="DD764" s="871">
        <v>0</v>
      </c>
      <c r="DE764" s="871">
        <v>0</v>
      </c>
      <c r="DF764" s="871">
        <v>0</v>
      </c>
      <c r="DG764" s="871">
        <v>0</v>
      </c>
      <c r="DH764" s="871">
        <v>0</v>
      </c>
      <c r="DI764" s="871">
        <v>0</v>
      </c>
      <c r="DJ764" s="871">
        <v>0</v>
      </c>
      <c r="DK764" s="871">
        <v>0</v>
      </c>
      <c r="DL764" s="871">
        <v>0</v>
      </c>
      <c r="DM764" s="871">
        <v>0</v>
      </c>
      <c r="DN764" s="871">
        <v>0</v>
      </c>
      <c r="DO764" s="871">
        <v>0</v>
      </c>
      <c r="DP764" s="871">
        <v>0</v>
      </c>
      <c r="DQ764" s="871">
        <v>0</v>
      </c>
      <c r="DR764" s="871">
        <v>0</v>
      </c>
      <c r="DS764" s="871">
        <v>0</v>
      </c>
      <c r="DT764" s="871">
        <v>0</v>
      </c>
      <c r="DU764" s="871">
        <v>0</v>
      </c>
      <c r="DV764" s="871">
        <v>0</v>
      </c>
      <c r="DW764" s="871">
        <v>0</v>
      </c>
    </row>
    <row r="765" spans="12:127" hidden="1">
      <c r="L765" s="870" t="s">
        <v>1060</v>
      </c>
      <c r="M765" s="870" t="s">
        <v>1382</v>
      </c>
      <c r="N765" s="870" t="s">
        <v>97</v>
      </c>
      <c r="O765" s="871">
        <v>53</v>
      </c>
      <c r="P765" s="780" t="str">
        <f t="shared" si="23"/>
        <v>IWT060253</v>
      </c>
      <c r="Q765" s="871">
        <v>27419</v>
      </c>
      <c r="R765" s="871">
        <v>27967</v>
      </c>
      <c r="S765" s="871">
        <v>28527</v>
      </c>
      <c r="T765" s="871">
        <v>29097</v>
      </c>
      <c r="U765" s="871">
        <v>29679</v>
      </c>
      <c r="V765" s="871">
        <v>32219.8</v>
      </c>
      <c r="W765" s="871">
        <v>32219.8</v>
      </c>
      <c r="X765" s="871">
        <v>32219.8</v>
      </c>
      <c r="Y765" s="871">
        <v>32219.8</v>
      </c>
      <c r="Z765" s="871">
        <v>32742</v>
      </c>
      <c r="AA765" s="871">
        <v>33397</v>
      </c>
      <c r="AB765" s="871">
        <v>34065</v>
      </c>
      <c r="AC765" s="871">
        <v>34746</v>
      </c>
      <c r="AD765" s="871">
        <v>35441</v>
      </c>
      <c r="AE765" s="871">
        <v>36150</v>
      </c>
      <c r="AF765" s="871">
        <v>36873</v>
      </c>
      <c r="AG765" s="871">
        <v>37611</v>
      </c>
      <c r="AH765" s="871">
        <v>38363</v>
      </c>
      <c r="AI765" s="871">
        <v>39130</v>
      </c>
      <c r="AJ765" s="871">
        <v>39913</v>
      </c>
      <c r="AK765" s="871">
        <v>40711</v>
      </c>
      <c r="AL765" s="871">
        <v>41525</v>
      </c>
      <c r="AM765" s="871">
        <v>42355</v>
      </c>
      <c r="AN765" s="871">
        <v>43202</v>
      </c>
      <c r="AO765" s="871">
        <v>44066</v>
      </c>
      <c r="AP765" s="871">
        <v>44948</v>
      </c>
      <c r="AQ765" s="871">
        <v>45847</v>
      </c>
      <c r="AR765" s="871">
        <v>46763</v>
      </c>
      <c r="AS765" s="871">
        <v>47699</v>
      </c>
      <c r="AT765" s="871">
        <v>48652</v>
      </c>
      <c r="AU765" s="871">
        <v>49625</v>
      </c>
      <c r="AV765" s="871">
        <v>50618</v>
      </c>
      <c r="AW765" s="871">
        <v>51630</v>
      </c>
      <c r="AX765" s="871">
        <v>52662</v>
      </c>
      <c r="AY765" s="871">
        <v>53715</v>
      </c>
      <c r="AZ765" s="871">
        <v>54789</v>
      </c>
      <c r="BA765" s="871">
        <v>55885</v>
      </c>
      <c r="BB765" s="871">
        <v>57002</v>
      </c>
      <c r="BC765" s="871">
        <v>58142</v>
      </c>
      <c r="BD765" s="871">
        <v>59304</v>
      </c>
      <c r="BE765" s="871">
        <v>60490</v>
      </c>
      <c r="BF765" s="871">
        <v>61699</v>
      </c>
      <c r="BG765" s="871">
        <v>62932</v>
      </c>
      <c r="BH765" s="871">
        <v>64190</v>
      </c>
      <c r="BI765" s="871">
        <v>65473</v>
      </c>
      <c r="BJ765" s="871">
        <v>66781</v>
      </c>
      <c r="BK765" s="871">
        <v>68115</v>
      </c>
      <c r="BL765" s="871">
        <v>69474</v>
      </c>
      <c r="BM765" s="871">
        <v>70841</v>
      </c>
      <c r="BN765" s="871">
        <v>72216</v>
      </c>
      <c r="BO765" s="871">
        <v>73597</v>
      </c>
      <c r="BP765" s="871">
        <v>74984</v>
      </c>
      <c r="BQ765" s="871">
        <v>76377</v>
      </c>
      <c r="BR765" s="871">
        <v>77775</v>
      </c>
      <c r="BS765" s="871">
        <v>79177</v>
      </c>
      <c r="BT765" s="871">
        <v>80582</v>
      </c>
      <c r="BU765" s="871">
        <v>81984</v>
      </c>
      <c r="BV765" s="871">
        <v>82800</v>
      </c>
      <c r="BW765" s="871">
        <v>0</v>
      </c>
      <c r="BX765" s="871">
        <v>0</v>
      </c>
      <c r="BY765" s="871">
        <v>0</v>
      </c>
      <c r="BZ765" s="871">
        <v>0</v>
      </c>
      <c r="CA765" s="871">
        <v>0</v>
      </c>
      <c r="CB765" s="871">
        <v>0</v>
      </c>
      <c r="CC765" s="871">
        <v>0</v>
      </c>
      <c r="CD765" s="871">
        <v>0</v>
      </c>
      <c r="CE765" s="871">
        <v>0</v>
      </c>
      <c r="CF765" s="871">
        <v>0</v>
      </c>
      <c r="CG765" s="871">
        <v>0</v>
      </c>
      <c r="CH765" s="871">
        <v>0</v>
      </c>
      <c r="CI765" s="871">
        <v>0</v>
      </c>
      <c r="CJ765" s="871">
        <v>0</v>
      </c>
      <c r="CK765" s="871">
        <v>0</v>
      </c>
      <c r="CL765" s="871">
        <v>0</v>
      </c>
      <c r="CM765" s="871">
        <v>0</v>
      </c>
      <c r="CN765" s="871">
        <v>0</v>
      </c>
      <c r="CO765" s="871">
        <v>0</v>
      </c>
      <c r="CP765" s="871">
        <v>0</v>
      </c>
      <c r="CQ765" s="871">
        <v>0</v>
      </c>
      <c r="CR765" s="871">
        <v>0</v>
      </c>
      <c r="CS765" s="871">
        <v>0</v>
      </c>
      <c r="CT765" s="871">
        <v>0</v>
      </c>
      <c r="CU765" s="871">
        <v>0</v>
      </c>
      <c r="CV765" s="871">
        <v>0</v>
      </c>
      <c r="CW765" s="871">
        <v>0</v>
      </c>
      <c r="CX765" s="871">
        <v>0</v>
      </c>
      <c r="CY765" s="871">
        <v>0</v>
      </c>
      <c r="CZ765" s="871">
        <v>0</v>
      </c>
      <c r="DA765" s="871">
        <v>0</v>
      </c>
      <c r="DB765" s="871">
        <v>0</v>
      </c>
      <c r="DC765" s="871">
        <v>0</v>
      </c>
      <c r="DD765" s="871">
        <v>0</v>
      </c>
      <c r="DE765" s="871">
        <v>0</v>
      </c>
      <c r="DF765" s="871">
        <v>0</v>
      </c>
      <c r="DG765" s="871">
        <v>0</v>
      </c>
      <c r="DH765" s="871">
        <v>0</v>
      </c>
      <c r="DI765" s="871">
        <v>0</v>
      </c>
      <c r="DJ765" s="871">
        <v>0</v>
      </c>
      <c r="DK765" s="871">
        <v>0</v>
      </c>
      <c r="DL765" s="871">
        <v>0</v>
      </c>
      <c r="DM765" s="871">
        <v>0</v>
      </c>
      <c r="DN765" s="871">
        <v>0</v>
      </c>
      <c r="DO765" s="871">
        <v>0</v>
      </c>
      <c r="DP765" s="871">
        <v>0</v>
      </c>
      <c r="DQ765" s="871">
        <v>0</v>
      </c>
      <c r="DR765" s="871">
        <v>0</v>
      </c>
      <c r="DS765" s="871">
        <v>0</v>
      </c>
      <c r="DT765" s="871">
        <v>0</v>
      </c>
      <c r="DU765" s="871">
        <v>0</v>
      </c>
      <c r="DV765" s="871">
        <v>0</v>
      </c>
      <c r="DW765" s="871">
        <v>0</v>
      </c>
    </row>
    <row r="766" spans="12:127" hidden="1">
      <c r="L766" s="870" t="s">
        <v>1060</v>
      </c>
      <c r="M766" s="870" t="s">
        <v>1382</v>
      </c>
      <c r="N766" s="870" t="s">
        <v>97</v>
      </c>
      <c r="O766" s="871">
        <v>54</v>
      </c>
      <c r="P766" s="780" t="str">
        <f t="shared" si="23"/>
        <v>IWT060254</v>
      </c>
      <c r="Q766" s="871">
        <v>27425</v>
      </c>
      <c r="R766" s="871">
        <v>27973</v>
      </c>
      <c r="S766" s="871">
        <v>28533</v>
      </c>
      <c r="T766" s="871">
        <v>29103</v>
      </c>
      <c r="U766" s="871">
        <v>29685</v>
      </c>
      <c r="V766" s="871">
        <v>32232.5</v>
      </c>
      <c r="W766" s="871">
        <v>32232.5</v>
      </c>
      <c r="X766" s="871">
        <v>32232.5</v>
      </c>
      <c r="Y766" s="871">
        <v>32232.5</v>
      </c>
      <c r="Z766" s="871">
        <v>32746</v>
      </c>
      <c r="AA766" s="871">
        <v>33401</v>
      </c>
      <c r="AB766" s="871">
        <v>34069</v>
      </c>
      <c r="AC766" s="871">
        <v>34750</v>
      </c>
      <c r="AD766" s="871">
        <v>35445</v>
      </c>
      <c r="AE766" s="871">
        <v>36154</v>
      </c>
      <c r="AF766" s="871">
        <v>36877</v>
      </c>
      <c r="AG766" s="871">
        <v>37615</v>
      </c>
      <c r="AH766" s="871">
        <v>38367</v>
      </c>
      <c r="AI766" s="871">
        <v>39134</v>
      </c>
      <c r="AJ766" s="871">
        <v>39917</v>
      </c>
      <c r="AK766" s="871">
        <v>40715</v>
      </c>
      <c r="AL766" s="871">
        <v>41530</v>
      </c>
      <c r="AM766" s="871">
        <v>42360</v>
      </c>
      <c r="AN766" s="871">
        <v>43207</v>
      </c>
      <c r="AO766" s="871">
        <v>44071</v>
      </c>
      <c r="AP766" s="871">
        <v>44953</v>
      </c>
      <c r="AQ766" s="871">
        <v>45852</v>
      </c>
      <c r="AR766" s="871">
        <v>46769</v>
      </c>
      <c r="AS766" s="871">
        <v>47704</v>
      </c>
      <c r="AT766" s="871">
        <v>48658</v>
      </c>
      <c r="AU766" s="871">
        <v>49631</v>
      </c>
      <c r="AV766" s="871">
        <v>50623</v>
      </c>
      <c r="AW766" s="871">
        <v>51635</v>
      </c>
      <c r="AX766" s="871">
        <v>52668</v>
      </c>
      <c r="AY766" s="871">
        <v>53721</v>
      </c>
      <c r="AZ766" s="871">
        <v>54795</v>
      </c>
      <c r="BA766" s="871">
        <v>55891</v>
      </c>
      <c r="BB766" s="871">
        <v>57008</v>
      </c>
      <c r="BC766" s="871">
        <v>58148</v>
      </c>
      <c r="BD766" s="871">
        <v>59310</v>
      </c>
      <c r="BE766" s="871">
        <v>60496</v>
      </c>
      <c r="BF766" s="871">
        <v>61705</v>
      </c>
      <c r="BG766" s="871">
        <v>62938</v>
      </c>
      <c r="BH766" s="871">
        <v>64196</v>
      </c>
      <c r="BI766" s="871">
        <v>65479</v>
      </c>
      <c r="BJ766" s="871">
        <v>66788</v>
      </c>
      <c r="BK766" s="871">
        <v>68122</v>
      </c>
      <c r="BL766" s="871">
        <v>69483</v>
      </c>
      <c r="BM766" s="871">
        <v>70853</v>
      </c>
      <c r="BN766" s="871">
        <v>72230</v>
      </c>
      <c r="BO766" s="871">
        <v>73613</v>
      </c>
      <c r="BP766" s="871">
        <v>75003</v>
      </c>
      <c r="BQ766" s="871">
        <v>76397</v>
      </c>
      <c r="BR766" s="871">
        <v>77796</v>
      </c>
      <c r="BS766" s="871">
        <v>79198</v>
      </c>
      <c r="BT766" s="871">
        <v>80598</v>
      </c>
      <c r="BU766" s="871">
        <v>81400</v>
      </c>
      <c r="BV766" s="871">
        <v>0</v>
      </c>
      <c r="BW766" s="871">
        <v>0</v>
      </c>
      <c r="BX766" s="871">
        <v>0</v>
      </c>
      <c r="BY766" s="871">
        <v>0</v>
      </c>
      <c r="BZ766" s="871">
        <v>0</v>
      </c>
      <c r="CA766" s="871">
        <v>0</v>
      </c>
      <c r="CB766" s="871">
        <v>0</v>
      </c>
      <c r="CC766" s="871">
        <v>0</v>
      </c>
      <c r="CD766" s="871">
        <v>0</v>
      </c>
      <c r="CE766" s="871">
        <v>0</v>
      </c>
      <c r="CF766" s="871">
        <v>0</v>
      </c>
      <c r="CG766" s="871">
        <v>0</v>
      </c>
      <c r="CH766" s="871">
        <v>0</v>
      </c>
      <c r="CI766" s="871">
        <v>0</v>
      </c>
      <c r="CJ766" s="871">
        <v>0</v>
      </c>
      <c r="CK766" s="871">
        <v>0</v>
      </c>
      <c r="CL766" s="871">
        <v>0</v>
      </c>
      <c r="CM766" s="871">
        <v>0</v>
      </c>
      <c r="CN766" s="871">
        <v>0</v>
      </c>
      <c r="CO766" s="871">
        <v>0</v>
      </c>
      <c r="CP766" s="871">
        <v>0</v>
      </c>
      <c r="CQ766" s="871">
        <v>0</v>
      </c>
      <c r="CR766" s="871">
        <v>0</v>
      </c>
      <c r="CS766" s="871">
        <v>0</v>
      </c>
      <c r="CT766" s="871">
        <v>0</v>
      </c>
      <c r="CU766" s="871">
        <v>0</v>
      </c>
      <c r="CV766" s="871">
        <v>0</v>
      </c>
      <c r="CW766" s="871">
        <v>0</v>
      </c>
      <c r="CX766" s="871">
        <v>0</v>
      </c>
      <c r="CY766" s="871">
        <v>0</v>
      </c>
      <c r="CZ766" s="871">
        <v>0</v>
      </c>
      <c r="DA766" s="871">
        <v>0</v>
      </c>
      <c r="DB766" s="871">
        <v>0</v>
      </c>
      <c r="DC766" s="871">
        <v>0</v>
      </c>
      <c r="DD766" s="871">
        <v>0</v>
      </c>
      <c r="DE766" s="871">
        <v>0</v>
      </c>
      <c r="DF766" s="871">
        <v>0</v>
      </c>
      <c r="DG766" s="871">
        <v>0</v>
      </c>
      <c r="DH766" s="871">
        <v>0</v>
      </c>
      <c r="DI766" s="871">
        <v>0</v>
      </c>
      <c r="DJ766" s="871">
        <v>0</v>
      </c>
      <c r="DK766" s="871">
        <v>0</v>
      </c>
      <c r="DL766" s="871">
        <v>0</v>
      </c>
      <c r="DM766" s="871">
        <v>0</v>
      </c>
      <c r="DN766" s="871">
        <v>0</v>
      </c>
      <c r="DO766" s="871">
        <v>0</v>
      </c>
      <c r="DP766" s="871">
        <v>0</v>
      </c>
      <c r="DQ766" s="871">
        <v>0</v>
      </c>
      <c r="DR766" s="871">
        <v>0</v>
      </c>
      <c r="DS766" s="871">
        <v>0</v>
      </c>
      <c r="DT766" s="871">
        <v>0</v>
      </c>
      <c r="DU766" s="871">
        <v>0</v>
      </c>
      <c r="DV766" s="871">
        <v>0</v>
      </c>
      <c r="DW766" s="871">
        <v>0</v>
      </c>
    </row>
    <row r="767" spans="12:127" hidden="1">
      <c r="L767" s="870" t="s">
        <v>1060</v>
      </c>
      <c r="M767" s="870" t="s">
        <v>1382</v>
      </c>
      <c r="N767" s="870" t="s">
        <v>97</v>
      </c>
      <c r="O767" s="871">
        <v>55</v>
      </c>
      <c r="P767" s="780" t="str">
        <f t="shared" si="23"/>
        <v>IWT060255</v>
      </c>
      <c r="Q767" s="871">
        <v>27431</v>
      </c>
      <c r="R767" s="871">
        <v>27980</v>
      </c>
      <c r="S767" s="871">
        <v>28539</v>
      </c>
      <c r="T767" s="871">
        <v>29110</v>
      </c>
      <c r="U767" s="871">
        <v>29692</v>
      </c>
      <c r="V767" s="871">
        <v>32245.200000000001</v>
      </c>
      <c r="W767" s="871">
        <v>32245.200000000001</v>
      </c>
      <c r="X767" s="871">
        <v>32245.200000000001</v>
      </c>
      <c r="Y767" s="871">
        <v>32245.200000000001</v>
      </c>
      <c r="Z767" s="871">
        <v>32751</v>
      </c>
      <c r="AA767" s="871">
        <v>33406</v>
      </c>
      <c r="AB767" s="871">
        <v>34074</v>
      </c>
      <c r="AC767" s="871">
        <v>34755</v>
      </c>
      <c r="AD767" s="871">
        <v>35450</v>
      </c>
      <c r="AE767" s="871">
        <v>36159</v>
      </c>
      <c r="AF767" s="871">
        <v>36882</v>
      </c>
      <c r="AG767" s="871">
        <v>37620</v>
      </c>
      <c r="AH767" s="871">
        <v>38372</v>
      </c>
      <c r="AI767" s="871">
        <v>39140</v>
      </c>
      <c r="AJ767" s="871">
        <v>39922</v>
      </c>
      <c r="AK767" s="871">
        <v>40721</v>
      </c>
      <c r="AL767" s="871">
        <v>41535</v>
      </c>
      <c r="AM767" s="871">
        <v>42366</v>
      </c>
      <c r="AN767" s="871">
        <v>43213</v>
      </c>
      <c r="AO767" s="871">
        <v>44077</v>
      </c>
      <c r="AP767" s="871">
        <v>44959</v>
      </c>
      <c r="AQ767" s="871">
        <v>45858</v>
      </c>
      <c r="AR767" s="871">
        <v>46775</v>
      </c>
      <c r="AS767" s="871">
        <v>47710</v>
      </c>
      <c r="AT767" s="871">
        <v>48664</v>
      </c>
      <c r="AU767" s="871">
        <v>49637</v>
      </c>
      <c r="AV767" s="871">
        <v>50630</v>
      </c>
      <c r="AW767" s="871">
        <v>51642</v>
      </c>
      <c r="AX767" s="871">
        <v>52675</v>
      </c>
      <c r="AY767" s="871">
        <v>53728</v>
      </c>
      <c r="AZ767" s="871">
        <v>54802</v>
      </c>
      <c r="BA767" s="871">
        <v>55898</v>
      </c>
      <c r="BB767" s="871">
        <v>57016</v>
      </c>
      <c r="BC767" s="871">
        <v>58155</v>
      </c>
      <c r="BD767" s="871">
        <v>59318</v>
      </c>
      <c r="BE767" s="871">
        <v>60504</v>
      </c>
      <c r="BF767" s="871">
        <v>61713</v>
      </c>
      <c r="BG767" s="871">
        <v>62946</v>
      </c>
      <c r="BH767" s="871">
        <v>64204</v>
      </c>
      <c r="BI767" s="871">
        <v>65487</v>
      </c>
      <c r="BJ767" s="871">
        <v>66796</v>
      </c>
      <c r="BK767" s="871">
        <v>68130</v>
      </c>
      <c r="BL767" s="871">
        <v>69491</v>
      </c>
      <c r="BM767" s="871">
        <v>70863</v>
      </c>
      <c r="BN767" s="871">
        <v>72242</v>
      </c>
      <c r="BO767" s="871">
        <v>73628</v>
      </c>
      <c r="BP767" s="871">
        <v>75019</v>
      </c>
      <c r="BQ767" s="871">
        <v>76414</v>
      </c>
      <c r="BR767" s="871">
        <v>77814</v>
      </c>
      <c r="BS767" s="871">
        <v>79212</v>
      </c>
      <c r="BT767" s="871">
        <v>80000</v>
      </c>
      <c r="BU767" s="871">
        <v>0</v>
      </c>
      <c r="BV767" s="871">
        <v>0</v>
      </c>
      <c r="BW767" s="871">
        <v>0</v>
      </c>
      <c r="BX767" s="871">
        <v>0</v>
      </c>
      <c r="BY767" s="871">
        <v>0</v>
      </c>
      <c r="BZ767" s="871">
        <v>0</v>
      </c>
      <c r="CA767" s="871">
        <v>0</v>
      </c>
      <c r="CB767" s="871">
        <v>0</v>
      </c>
      <c r="CC767" s="871">
        <v>0</v>
      </c>
      <c r="CD767" s="871">
        <v>0</v>
      </c>
      <c r="CE767" s="871">
        <v>0</v>
      </c>
      <c r="CF767" s="871">
        <v>0</v>
      </c>
      <c r="CG767" s="871">
        <v>0</v>
      </c>
      <c r="CH767" s="871">
        <v>0</v>
      </c>
      <c r="CI767" s="871">
        <v>0</v>
      </c>
      <c r="CJ767" s="871">
        <v>0</v>
      </c>
      <c r="CK767" s="871">
        <v>0</v>
      </c>
      <c r="CL767" s="871">
        <v>0</v>
      </c>
      <c r="CM767" s="871">
        <v>0</v>
      </c>
      <c r="CN767" s="871">
        <v>0</v>
      </c>
      <c r="CO767" s="871">
        <v>0</v>
      </c>
      <c r="CP767" s="871">
        <v>0</v>
      </c>
      <c r="CQ767" s="871">
        <v>0</v>
      </c>
      <c r="CR767" s="871">
        <v>0</v>
      </c>
      <c r="CS767" s="871">
        <v>0</v>
      </c>
      <c r="CT767" s="871">
        <v>0</v>
      </c>
      <c r="CU767" s="871">
        <v>0</v>
      </c>
      <c r="CV767" s="871">
        <v>0</v>
      </c>
      <c r="CW767" s="871">
        <v>0</v>
      </c>
      <c r="CX767" s="871">
        <v>0</v>
      </c>
      <c r="CY767" s="871">
        <v>0</v>
      </c>
      <c r="CZ767" s="871">
        <v>0</v>
      </c>
      <c r="DA767" s="871">
        <v>0</v>
      </c>
      <c r="DB767" s="871">
        <v>0</v>
      </c>
      <c r="DC767" s="871">
        <v>0</v>
      </c>
      <c r="DD767" s="871">
        <v>0</v>
      </c>
      <c r="DE767" s="871">
        <v>0</v>
      </c>
      <c r="DF767" s="871">
        <v>0</v>
      </c>
      <c r="DG767" s="871">
        <v>0</v>
      </c>
      <c r="DH767" s="871">
        <v>0</v>
      </c>
      <c r="DI767" s="871">
        <v>0</v>
      </c>
      <c r="DJ767" s="871">
        <v>0</v>
      </c>
      <c r="DK767" s="871">
        <v>0</v>
      </c>
      <c r="DL767" s="871">
        <v>0</v>
      </c>
      <c r="DM767" s="871">
        <v>0</v>
      </c>
      <c r="DN767" s="871">
        <v>0</v>
      </c>
      <c r="DO767" s="871">
        <v>0</v>
      </c>
      <c r="DP767" s="871">
        <v>0</v>
      </c>
      <c r="DQ767" s="871">
        <v>0</v>
      </c>
      <c r="DR767" s="871">
        <v>0</v>
      </c>
      <c r="DS767" s="871">
        <v>0</v>
      </c>
      <c r="DT767" s="871">
        <v>0</v>
      </c>
      <c r="DU767" s="871">
        <v>0</v>
      </c>
      <c r="DV767" s="871">
        <v>0</v>
      </c>
      <c r="DW767" s="871">
        <v>0</v>
      </c>
    </row>
    <row r="768" spans="12:127" hidden="1">
      <c r="L768" s="870" t="s">
        <v>1060</v>
      </c>
      <c r="M768" s="870" t="s">
        <v>1382</v>
      </c>
      <c r="N768" s="870" t="s">
        <v>97</v>
      </c>
      <c r="O768" s="871">
        <v>56</v>
      </c>
      <c r="P768" s="780" t="str">
        <f t="shared" si="23"/>
        <v>IWT060256</v>
      </c>
      <c r="Q768" s="871">
        <v>27437</v>
      </c>
      <c r="R768" s="871">
        <v>27985</v>
      </c>
      <c r="S768" s="871">
        <v>28545</v>
      </c>
      <c r="T768" s="871">
        <v>29116</v>
      </c>
      <c r="U768" s="871">
        <v>29698</v>
      </c>
      <c r="V768" s="871">
        <v>32251.599999999999</v>
      </c>
      <c r="W768" s="871">
        <v>32251.599999999999</v>
      </c>
      <c r="X768" s="871">
        <v>32251.599999999999</v>
      </c>
      <c r="Y768" s="871">
        <v>32251.599999999999</v>
      </c>
      <c r="Z768" s="871">
        <v>32754</v>
      </c>
      <c r="AA768" s="871">
        <v>33409</v>
      </c>
      <c r="AB768" s="871">
        <v>34077</v>
      </c>
      <c r="AC768" s="871">
        <v>34759</v>
      </c>
      <c r="AD768" s="871">
        <v>35454</v>
      </c>
      <c r="AE768" s="871">
        <v>36163</v>
      </c>
      <c r="AF768" s="871">
        <v>36886</v>
      </c>
      <c r="AG768" s="871">
        <v>37624</v>
      </c>
      <c r="AH768" s="871">
        <v>38377</v>
      </c>
      <c r="AI768" s="871">
        <v>39144</v>
      </c>
      <c r="AJ768" s="871">
        <v>39927</v>
      </c>
      <c r="AK768" s="871">
        <v>40725</v>
      </c>
      <c r="AL768" s="871">
        <v>41540</v>
      </c>
      <c r="AM768" s="871">
        <v>42370</v>
      </c>
      <c r="AN768" s="871">
        <v>43218</v>
      </c>
      <c r="AO768" s="871">
        <v>44082</v>
      </c>
      <c r="AP768" s="871">
        <v>44964</v>
      </c>
      <c r="AQ768" s="871">
        <v>45863</v>
      </c>
      <c r="AR768" s="871">
        <v>46780</v>
      </c>
      <c r="AS768" s="871">
        <v>47715</v>
      </c>
      <c r="AT768" s="871">
        <v>48669</v>
      </c>
      <c r="AU768" s="871">
        <v>49643</v>
      </c>
      <c r="AV768" s="871">
        <v>50635</v>
      </c>
      <c r="AW768" s="871">
        <v>51648</v>
      </c>
      <c r="AX768" s="871">
        <v>52680</v>
      </c>
      <c r="AY768" s="871">
        <v>53734</v>
      </c>
      <c r="AZ768" s="871">
        <v>54808</v>
      </c>
      <c r="BA768" s="871">
        <v>55904</v>
      </c>
      <c r="BB768" s="871">
        <v>57021</v>
      </c>
      <c r="BC768" s="871">
        <v>58161</v>
      </c>
      <c r="BD768" s="871">
        <v>59324</v>
      </c>
      <c r="BE768" s="871">
        <v>60509</v>
      </c>
      <c r="BF768" s="871">
        <v>61719</v>
      </c>
      <c r="BG768" s="871">
        <v>62952</v>
      </c>
      <c r="BH768" s="871">
        <v>64210</v>
      </c>
      <c r="BI768" s="871">
        <v>65493</v>
      </c>
      <c r="BJ768" s="871">
        <v>66801</v>
      </c>
      <c r="BK768" s="871">
        <v>68135</v>
      </c>
      <c r="BL768" s="871">
        <v>69496</v>
      </c>
      <c r="BM768" s="871">
        <v>70871</v>
      </c>
      <c r="BN768" s="871">
        <v>72253</v>
      </c>
      <c r="BO768" s="871">
        <v>73641</v>
      </c>
      <c r="BP768" s="871">
        <v>75033</v>
      </c>
      <c r="BQ768" s="871">
        <v>76429</v>
      </c>
      <c r="BR768" s="871">
        <v>77826</v>
      </c>
      <c r="BS768" s="871">
        <v>78600</v>
      </c>
      <c r="BT768" s="871">
        <v>0</v>
      </c>
      <c r="BU768" s="871">
        <v>0</v>
      </c>
      <c r="BV768" s="871">
        <v>0</v>
      </c>
      <c r="BW768" s="871">
        <v>0</v>
      </c>
      <c r="BX768" s="871">
        <v>0</v>
      </c>
      <c r="BY768" s="871">
        <v>0</v>
      </c>
      <c r="BZ768" s="871">
        <v>0</v>
      </c>
      <c r="CA768" s="871">
        <v>0</v>
      </c>
      <c r="CB768" s="871">
        <v>0</v>
      </c>
      <c r="CC768" s="871">
        <v>0</v>
      </c>
      <c r="CD768" s="871">
        <v>0</v>
      </c>
      <c r="CE768" s="871">
        <v>0</v>
      </c>
      <c r="CF768" s="871">
        <v>0</v>
      </c>
      <c r="CG768" s="871">
        <v>0</v>
      </c>
      <c r="CH768" s="871">
        <v>0</v>
      </c>
      <c r="CI768" s="871">
        <v>0</v>
      </c>
      <c r="CJ768" s="871">
        <v>0</v>
      </c>
      <c r="CK768" s="871">
        <v>0</v>
      </c>
      <c r="CL768" s="871">
        <v>0</v>
      </c>
      <c r="CM768" s="871">
        <v>0</v>
      </c>
      <c r="CN768" s="871">
        <v>0</v>
      </c>
      <c r="CO768" s="871">
        <v>0</v>
      </c>
      <c r="CP768" s="871">
        <v>0</v>
      </c>
      <c r="CQ768" s="871">
        <v>0</v>
      </c>
      <c r="CR768" s="871">
        <v>0</v>
      </c>
      <c r="CS768" s="871">
        <v>0</v>
      </c>
      <c r="CT768" s="871">
        <v>0</v>
      </c>
      <c r="CU768" s="871">
        <v>0</v>
      </c>
      <c r="CV768" s="871">
        <v>0</v>
      </c>
      <c r="CW768" s="871">
        <v>0</v>
      </c>
      <c r="CX768" s="871">
        <v>0</v>
      </c>
      <c r="CY768" s="871">
        <v>0</v>
      </c>
      <c r="CZ768" s="871">
        <v>0</v>
      </c>
      <c r="DA768" s="871">
        <v>0</v>
      </c>
      <c r="DB768" s="871">
        <v>0</v>
      </c>
      <c r="DC768" s="871">
        <v>0</v>
      </c>
      <c r="DD768" s="871">
        <v>0</v>
      </c>
      <c r="DE768" s="871">
        <v>0</v>
      </c>
      <c r="DF768" s="871">
        <v>0</v>
      </c>
      <c r="DG768" s="871">
        <v>0</v>
      </c>
      <c r="DH768" s="871">
        <v>0</v>
      </c>
      <c r="DI768" s="871">
        <v>0</v>
      </c>
      <c r="DJ768" s="871">
        <v>0</v>
      </c>
      <c r="DK768" s="871">
        <v>0</v>
      </c>
      <c r="DL768" s="871">
        <v>0</v>
      </c>
      <c r="DM768" s="871">
        <v>0</v>
      </c>
      <c r="DN768" s="871">
        <v>0</v>
      </c>
      <c r="DO768" s="871">
        <v>0</v>
      </c>
      <c r="DP768" s="871">
        <v>0</v>
      </c>
      <c r="DQ768" s="871">
        <v>0</v>
      </c>
      <c r="DR768" s="871">
        <v>0</v>
      </c>
      <c r="DS768" s="871">
        <v>0</v>
      </c>
      <c r="DT768" s="871">
        <v>0</v>
      </c>
      <c r="DU768" s="871">
        <v>0</v>
      </c>
      <c r="DV768" s="871">
        <v>0</v>
      </c>
      <c r="DW768" s="871">
        <v>0</v>
      </c>
    </row>
    <row r="769" spans="12:127" hidden="1">
      <c r="L769" s="870" t="s">
        <v>1060</v>
      </c>
      <c r="M769" s="870" t="s">
        <v>1382</v>
      </c>
      <c r="N769" s="870" t="s">
        <v>97</v>
      </c>
      <c r="O769" s="871">
        <v>57</v>
      </c>
      <c r="P769" s="780" t="str">
        <f t="shared" si="23"/>
        <v>IWT060257</v>
      </c>
      <c r="Q769" s="871">
        <v>27442</v>
      </c>
      <c r="R769" s="871">
        <v>27991</v>
      </c>
      <c r="S769" s="871">
        <v>28551</v>
      </c>
      <c r="T769" s="871">
        <v>29122</v>
      </c>
      <c r="U769" s="871">
        <v>29705</v>
      </c>
      <c r="V769" s="871">
        <v>32264.3</v>
      </c>
      <c r="W769" s="871">
        <v>32264.3</v>
      </c>
      <c r="X769" s="871">
        <v>32264.3</v>
      </c>
      <c r="Y769" s="871">
        <v>32264.3</v>
      </c>
      <c r="Z769" s="871">
        <v>32757</v>
      </c>
      <c r="AA769" s="871">
        <v>33413</v>
      </c>
      <c r="AB769" s="871">
        <v>34081</v>
      </c>
      <c r="AC769" s="871">
        <v>34762</v>
      </c>
      <c r="AD769" s="871">
        <v>35458</v>
      </c>
      <c r="AE769" s="871">
        <v>36167</v>
      </c>
      <c r="AF769" s="871">
        <v>36890</v>
      </c>
      <c r="AG769" s="871">
        <v>37628</v>
      </c>
      <c r="AH769" s="871">
        <v>38380</v>
      </c>
      <c r="AI769" s="871">
        <v>39148</v>
      </c>
      <c r="AJ769" s="871">
        <v>39931</v>
      </c>
      <c r="AK769" s="871">
        <v>40729</v>
      </c>
      <c r="AL769" s="871">
        <v>41544</v>
      </c>
      <c r="AM769" s="871">
        <v>42375</v>
      </c>
      <c r="AN769" s="871">
        <v>43222</v>
      </c>
      <c r="AO769" s="871">
        <v>44086</v>
      </c>
      <c r="AP769" s="871">
        <v>44968</v>
      </c>
      <c r="AQ769" s="871">
        <v>45867</v>
      </c>
      <c r="AR769" s="871">
        <v>46784</v>
      </c>
      <c r="AS769" s="871">
        <v>47720</v>
      </c>
      <c r="AT769" s="871">
        <v>48674</v>
      </c>
      <c r="AU769" s="871">
        <v>49647</v>
      </c>
      <c r="AV769" s="871">
        <v>50640</v>
      </c>
      <c r="AW769" s="871">
        <v>51653</v>
      </c>
      <c r="AX769" s="871">
        <v>52685</v>
      </c>
      <c r="AY769" s="871">
        <v>53739</v>
      </c>
      <c r="AZ769" s="871">
        <v>54813</v>
      </c>
      <c r="BA769" s="871">
        <v>55909</v>
      </c>
      <c r="BB769" s="871">
        <v>57026</v>
      </c>
      <c r="BC769" s="871">
        <v>58166</v>
      </c>
      <c r="BD769" s="871">
        <v>59329</v>
      </c>
      <c r="BE769" s="871">
        <v>60515</v>
      </c>
      <c r="BF769" s="871">
        <v>61724</v>
      </c>
      <c r="BG769" s="871">
        <v>62957</v>
      </c>
      <c r="BH769" s="871">
        <v>64215</v>
      </c>
      <c r="BI769" s="871">
        <v>65498</v>
      </c>
      <c r="BJ769" s="871">
        <v>66806</v>
      </c>
      <c r="BK769" s="871">
        <v>68140</v>
      </c>
      <c r="BL769" s="871">
        <v>69501</v>
      </c>
      <c r="BM769" s="871">
        <v>70878</v>
      </c>
      <c r="BN769" s="871">
        <v>72262</v>
      </c>
      <c r="BO769" s="871">
        <v>73652</v>
      </c>
      <c r="BP769" s="871">
        <v>75045</v>
      </c>
      <c r="BQ769" s="871">
        <v>76439</v>
      </c>
      <c r="BR769" s="871">
        <v>77200</v>
      </c>
      <c r="BS769" s="871">
        <v>0</v>
      </c>
      <c r="BT769" s="871">
        <v>0</v>
      </c>
      <c r="BU769" s="871">
        <v>0</v>
      </c>
      <c r="BV769" s="871">
        <v>0</v>
      </c>
      <c r="BW769" s="871">
        <v>0</v>
      </c>
      <c r="BX769" s="871">
        <v>0</v>
      </c>
      <c r="BY769" s="871">
        <v>0</v>
      </c>
      <c r="BZ769" s="871">
        <v>0</v>
      </c>
      <c r="CA769" s="871">
        <v>0</v>
      </c>
      <c r="CB769" s="871">
        <v>0</v>
      </c>
      <c r="CC769" s="871">
        <v>0</v>
      </c>
      <c r="CD769" s="871">
        <v>0</v>
      </c>
      <c r="CE769" s="871">
        <v>0</v>
      </c>
      <c r="CF769" s="871">
        <v>0</v>
      </c>
      <c r="CG769" s="871">
        <v>0</v>
      </c>
      <c r="CH769" s="871">
        <v>0</v>
      </c>
      <c r="CI769" s="871">
        <v>0</v>
      </c>
      <c r="CJ769" s="871">
        <v>0</v>
      </c>
      <c r="CK769" s="871">
        <v>0</v>
      </c>
      <c r="CL769" s="871">
        <v>0</v>
      </c>
      <c r="CM769" s="871">
        <v>0</v>
      </c>
      <c r="CN769" s="871">
        <v>0</v>
      </c>
      <c r="CO769" s="871">
        <v>0</v>
      </c>
      <c r="CP769" s="871">
        <v>0</v>
      </c>
      <c r="CQ769" s="871">
        <v>0</v>
      </c>
      <c r="CR769" s="871">
        <v>0</v>
      </c>
      <c r="CS769" s="871">
        <v>0</v>
      </c>
      <c r="CT769" s="871">
        <v>0</v>
      </c>
      <c r="CU769" s="871">
        <v>0</v>
      </c>
      <c r="CV769" s="871">
        <v>0</v>
      </c>
      <c r="CW769" s="871">
        <v>0</v>
      </c>
      <c r="CX769" s="871">
        <v>0</v>
      </c>
      <c r="CY769" s="871">
        <v>0</v>
      </c>
      <c r="CZ769" s="871">
        <v>0</v>
      </c>
      <c r="DA769" s="871">
        <v>0</v>
      </c>
      <c r="DB769" s="871">
        <v>0</v>
      </c>
      <c r="DC769" s="871">
        <v>0</v>
      </c>
      <c r="DD769" s="871">
        <v>0</v>
      </c>
      <c r="DE769" s="871">
        <v>0</v>
      </c>
      <c r="DF769" s="871">
        <v>0</v>
      </c>
      <c r="DG769" s="871">
        <v>0</v>
      </c>
      <c r="DH769" s="871">
        <v>0</v>
      </c>
      <c r="DI769" s="871">
        <v>0</v>
      </c>
      <c r="DJ769" s="871">
        <v>0</v>
      </c>
      <c r="DK769" s="871">
        <v>0</v>
      </c>
      <c r="DL769" s="871">
        <v>0</v>
      </c>
      <c r="DM769" s="871">
        <v>0</v>
      </c>
      <c r="DN769" s="871">
        <v>0</v>
      </c>
      <c r="DO769" s="871">
        <v>0</v>
      </c>
      <c r="DP769" s="871">
        <v>0</v>
      </c>
      <c r="DQ769" s="871">
        <v>0</v>
      </c>
      <c r="DR769" s="871">
        <v>0</v>
      </c>
      <c r="DS769" s="871">
        <v>0</v>
      </c>
      <c r="DT769" s="871">
        <v>0</v>
      </c>
      <c r="DU769" s="871">
        <v>0</v>
      </c>
      <c r="DV769" s="871">
        <v>0</v>
      </c>
      <c r="DW769" s="871">
        <v>0</v>
      </c>
    </row>
    <row r="770" spans="12:127" hidden="1">
      <c r="L770" s="870" t="s">
        <v>1060</v>
      </c>
      <c r="M770" s="870" t="s">
        <v>1382</v>
      </c>
      <c r="N770" s="870" t="s">
        <v>97</v>
      </c>
      <c r="O770" s="871">
        <v>58</v>
      </c>
      <c r="P770" s="780" t="str">
        <f t="shared" si="23"/>
        <v>IWT060258</v>
      </c>
      <c r="Q770" s="871">
        <v>27448</v>
      </c>
      <c r="R770" s="871">
        <v>27997</v>
      </c>
      <c r="S770" s="871">
        <v>28557</v>
      </c>
      <c r="T770" s="871">
        <v>29128</v>
      </c>
      <c r="U770" s="871">
        <v>29711</v>
      </c>
      <c r="V770" s="871">
        <v>32277</v>
      </c>
      <c r="W770" s="871">
        <v>32277</v>
      </c>
      <c r="X770" s="871">
        <v>32277</v>
      </c>
      <c r="Y770" s="871">
        <v>32277</v>
      </c>
      <c r="Z770" s="871">
        <v>32760</v>
      </c>
      <c r="AA770" s="871">
        <v>33415</v>
      </c>
      <c r="AB770" s="871">
        <v>34084</v>
      </c>
      <c r="AC770" s="871">
        <v>34765</v>
      </c>
      <c r="AD770" s="871">
        <v>35461</v>
      </c>
      <c r="AE770" s="871">
        <v>36170</v>
      </c>
      <c r="AF770" s="871">
        <v>36893</v>
      </c>
      <c r="AG770" s="871">
        <v>37631</v>
      </c>
      <c r="AH770" s="871">
        <v>38384</v>
      </c>
      <c r="AI770" s="871">
        <v>39151</v>
      </c>
      <c r="AJ770" s="871">
        <v>39934</v>
      </c>
      <c r="AK770" s="871">
        <v>40733</v>
      </c>
      <c r="AL770" s="871">
        <v>41547</v>
      </c>
      <c r="AM770" s="871">
        <v>42378</v>
      </c>
      <c r="AN770" s="871">
        <v>43226</v>
      </c>
      <c r="AO770" s="871">
        <v>44090</v>
      </c>
      <c r="AP770" s="871">
        <v>44972</v>
      </c>
      <c r="AQ770" s="871">
        <v>45871</v>
      </c>
      <c r="AR770" s="871">
        <v>46788</v>
      </c>
      <c r="AS770" s="871">
        <v>47724</v>
      </c>
      <c r="AT770" s="871">
        <v>48678</v>
      </c>
      <c r="AU770" s="871">
        <v>49651</v>
      </c>
      <c r="AV770" s="871">
        <v>50644</v>
      </c>
      <c r="AW770" s="871">
        <v>51657</v>
      </c>
      <c r="AX770" s="871">
        <v>52690</v>
      </c>
      <c r="AY770" s="871">
        <v>53743</v>
      </c>
      <c r="AZ770" s="871">
        <v>54817</v>
      </c>
      <c r="BA770" s="871">
        <v>55913</v>
      </c>
      <c r="BB770" s="871">
        <v>57031</v>
      </c>
      <c r="BC770" s="871">
        <v>58171</v>
      </c>
      <c r="BD770" s="871">
        <v>59333</v>
      </c>
      <c r="BE770" s="871">
        <v>60519</v>
      </c>
      <c r="BF770" s="871">
        <v>61728</v>
      </c>
      <c r="BG770" s="871">
        <v>62961</v>
      </c>
      <c r="BH770" s="871">
        <v>64219</v>
      </c>
      <c r="BI770" s="871">
        <v>65502</v>
      </c>
      <c r="BJ770" s="871">
        <v>66810</v>
      </c>
      <c r="BK770" s="871">
        <v>68144</v>
      </c>
      <c r="BL770" s="871">
        <v>69504</v>
      </c>
      <c r="BM770" s="871">
        <v>70884</v>
      </c>
      <c r="BN770" s="871">
        <v>72270</v>
      </c>
      <c r="BO770" s="871">
        <v>73661</v>
      </c>
      <c r="BP770" s="871">
        <v>75053</v>
      </c>
      <c r="BQ770" s="871">
        <v>75800</v>
      </c>
      <c r="BR770" s="871">
        <v>0</v>
      </c>
      <c r="BS770" s="871">
        <v>0</v>
      </c>
      <c r="BT770" s="871">
        <v>0</v>
      </c>
      <c r="BU770" s="871">
        <v>0</v>
      </c>
      <c r="BV770" s="871">
        <v>0</v>
      </c>
      <c r="BW770" s="871">
        <v>0</v>
      </c>
      <c r="BX770" s="871">
        <v>0</v>
      </c>
      <c r="BY770" s="871">
        <v>0</v>
      </c>
      <c r="BZ770" s="871">
        <v>0</v>
      </c>
      <c r="CA770" s="871">
        <v>0</v>
      </c>
      <c r="CB770" s="871">
        <v>0</v>
      </c>
      <c r="CC770" s="871">
        <v>0</v>
      </c>
      <c r="CD770" s="871">
        <v>0</v>
      </c>
      <c r="CE770" s="871">
        <v>0</v>
      </c>
      <c r="CF770" s="871">
        <v>0</v>
      </c>
      <c r="CG770" s="871">
        <v>0</v>
      </c>
      <c r="CH770" s="871">
        <v>0</v>
      </c>
      <c r="CI770" s="871">
        <v>0</v>
      </c>
      <c r="CJ770" s="871">
        <v>0</v>
      </c>
      <c r="CK770" s="871">
        <v>0</v>
      </c>
      <c r="CL770" s="871">
        <v>0</v>
      </c>
      <c r="CM770" s="871">
        <v>0</v>
      </c>
      <c r="CN770" s="871">
        <v>0</v>
      </c>
      <c r="CO770" s="871">
        <v>0</v>
      </c>
      <c r="CP770" s="871">
        <v>0</v>
      </c>
      <c r="CQ770" s="871">
        <v>0</v>
      </c>
      <c r="CR770" s="871">
        <v>0</v>
      </c>
      <c r="CS770" s="871">
        <v>0</v>
      </c>
      <c r="CT770" s="871">
        <v>0</v>
      </c>
      <c r="CU770" s="871">
        <v>0</v>
      </c>
      <c r="CV770" s="871">
        <v>0</v>
      </c>
      <c r="CW770" s="871">
        <v>0</v>
      </c>
      <c r="CX770" s="871">
        <v>0</v>
      </c>
      <c r="CY770" s="871">
        <v>0</v>
      </c>
      <c r="CZ770" s="871">
        <v>0</v>
      </c>
      <c r="DA770" s="871">
        <v>0</v>
      </c>
      <c r="DB770" s="871">
        <v>0</v>
      </c>
      <c r="DC770" s="871">
        <v>0</v>
      </c>
      <c r="DD770" s="871">
        <v>0</v>
      </c>
      <c r="DE770" s="871">
        <v>0</v>
      </c>
      <c r="DF770" s="871">
        <v>0</v>
      </c>
      <c r="DG770" s="871">
        <v>0</v>
      </c>
      <c r="DH770" s="871">
        <v>0</v>
      </c>
      <c r="DI770" s="871">
        <v>0</v>
      </c>
      <c r="DJ770" s="871">
        <v>0</v>
      </c>
      <c r="DK770" s="871">
        <v>0</v>
      </c>
      <c r="DL770" s="871">
        <v>0</v>
      </c>
      <c r="DM770" s="871">
        <v>0</v>
      </c>
      <c r="DN770" s="871">
        <v>0</v>
      </c>
      <c r="DO770" s="871">
        <v>0</v>
      </c>
      <c r="DP770" s="871">
        <v>0</v>
      </c>
      <c r="DQ770" s="871">
        <v>0</v>
      </c>
      <c r="DR770" s="871">
        <v>0</v>
      </c>
      <c r="DS770" s="871">
        <v>0</v>
      </c>
      <c r="DT770" s="871">
        <v>0</v>
      </c>
      <c r="DU770" s="871">
        <v>0</v>
      </c>
      <c r="DV770" s="871">
        <v>0</v>
      </c>
      <c r="DW770" s="871">
        <v>0</v>
      </c>
    </row>
    <row r="771" spans="12:127" hidden="1">
      <c r="L771" s="870" t="s">
        <v>1060</v>
      </c>
      <c r="M771" s="870" t="s">
        <v>1382</v>
      </c>
      <c r="N771" s="870" t="s">
        <v>97</v>
      </c>
      <c r="O771" s="871">
        <v>59</v>
      </c>
      <c r="P771" s="780" t="str">
        <f t="shared" si="23"/>
        <v>IWT060259</v>
      </c>
      <c r="Q771" s="871">
        <v>27455</v>
      </c>
      <c r="R771" s="871">
        <v>28004</v>
      </c>
      <c r="S771" s="871">
        <v>28564</v>
      </c>
      <c r="T771" s="871">
        <v>29135</v>
      </c>
      <c r="U771" s="871">
        <v>29718</v>
      </c>
      <c r="V771" s="871">
        <v>32289.7</v>
      </c>
      <c r="W771" s="871">
        <v>32289.7</v>
      </c>
      <c r="X771" s="871">
        <v>32289.7</v>
      </c>
      <c r="Y771" s="871">
        <v>32289.7</v>
      </c>
      <c r="Z771" s="871">
        <v>32763</v>
      </c>
      <c r="AA771" s="871">
        <v>33418</v>
      </c>
      <c r="AB771" s="871">
        <v>34087</v>
      </c>
      <c r="AC771" s="871">
        <v>34768</v>
      </c>
      <c r="AD771" s="871">
        <v>35464</v>
      </c>
      <c r="AE771" s="871">
        <v>36173</v>
      </c>
      <c r="AF771" s="871">
        <v>36896</v>
      </c>
      <c r="AG771" s="871">
        <v>37634</v>
      </c>
      <c r="AH771" s="871">
        <v>38387</v>
      </c>
      <c r="AI771" s="871">
        <v>39154</v>
      </c>
      <c r="AJ771" s="871">
        <v>39937</v>
      </c>
      <c r="AK771" s="871">
        <v>40736</v>
      </c>
      <c r="AL771" s="871">
        <v>41551</v>
      </c>
      <c r="AM771" s="871">
        <v>42382</v>
      </c>
      <c r="AN771" s="871">
        <v>43229</v>
      </c>
      <c r="AO771" s="871">
        <v>44094</v>
      </c>
      <c r="AP771" s="871">
        <v>44975</v>
      </c>
      <c r="AQ771" s="871">
        <v>45875</v>
      </c>
      <c r="AR771" s="871">
        <v>46792</v>
      </c>
      <c r="AS771" s="871">
        <v>47728</v>
      </c>
      <c r="AT771" s="871">
        <v>48682</v>
      </c>
      <c r="AU771" s="871">
        <v>49655</v>
      </c>
      <c r="AV771" s="871">
        <v>50648</v>
      </c>
      <c r="AW771" s="871">
        <v>51661</v>
      </c>
      <c r="AX771" s="871">
        <v>52694</v>
      </c>
      <c r="AY771" s="871">
        <v>53747</v>
      </c>
      <c r="AZ771" s="871">
        <v>54821</v>
      </c>
      <c r="BA771" s="871">
        <v>55917</v>
      </c>
      <c r="BB771" s="871">
        <v>57035</v>
      </c>
      <c r="BC771" s="871">
        <v>58175</v>
      </c>
      <c r="BD771" s="871">
        <v>59337</v>
      </c>
      <c r="BE771" s="871">
        <v>60523</v>
      </c>
      <c r="BF771" s="871">
        <v>61732</v>
      </c>
      <c r="BG771" s="871">
        <v>62965</v>
      </c>
      <c r="BH771" s="871">
        <v>64223</v>
      </c>
      <c r="BI771" s="871">
        <v>65505</v>
      </c>
      <c r="BJ771" s="871">
        <v>66813</v>
      </c>
      <c r="BK771" s="871">
        <v>68146</v>
      </c>
      <c r="BL771" s="871">
        <v>69506</v>
      </c>
      <c r="BM771" s="871">
        <v>70889</v>
      </c>
      <c r="BN771" s="871">
        <v>72277</v>
      </c>
      <c r="BO771" s="871">
        <v>73667</v>
      </c>
      <c r="BP771" s="871">
        <v>74400</v>
      </c>
      <c r="BQ771" s="871">
        <v>0</v>
      </c>
      <c r="BR771" s="871">
        <v>0</v>
      </c>
      <c r="BS771" s="871">
        <v>0</v>
      </c>
      <c r="BT771" s="871">
        <v>0</v>
      </c>
      <c r="BU771" s="871">
        <v>0</v>
      </c>
      <c r="BV771" s="871">
        <v>0</v>
      </c>
      <c r="BW771" s="871">
        <v>0</v>
      </c>
      <c r="BX771" s="871">
        <v>0</v>
      </c>
      <c r="BY771" s="871">
        <v>0</v>
      </c>
      <c r="BZ771" s="871">
        <v>0</v>
      </c>
      <c r="CA771" s="871">
        <v>0</v>
      </c>
      <c r="CB771" s="871">
        <v>0</v>
      </c>
      <c r="CC771" s="871">
        <v>0</v>
      </c>
      <c r="CD771" s="871">
        <v>0</v>
      </c>
      <c r="CE771" s="871">
        <v>0</v>
      </c>
      <c r="CF771" s="871">
        <v>0</v>
      </c>
      <c r="CG771" s="871">
        <v>0</v>
      </c>
      <c r="CH771" s="871">
        <v>0</v>
      </c>
      <c r="CI771" s="871">
        <v>0</v>
      </c>
      <c r="CJ771" s="871">
        <v>0</v>
      </c>
      <c r="CK771" s="871">
        <v>0</v>
      </c>
      <c r="CL771" s="871">
        <v>0</v>
      </c>
      <c r="CM771" s="871">
        <v>0</v>
      </c>
      <c r="CN771" s="871">
        <v>0</v>
      </c>
      <c r="CO771" s="871">
        <v>0</v>
      </c>
      <c r="CP771" s="871">
        <v>0</v>
      </c>
      <c r="CQ771" s="871">
        <v>0</v>
      </c>
      <c r="CR771" s="871">
        <v>0</v>
      </c>
      <c r="CS771" s="871">
        <v>0</v>
      </c>
      <c r="CT771" s="871">
        <v>0</v>
      </c>
      <c r="CU771" s="871">
        <v>0</v>
      </c>
      <c r="CV771" s="871">
        <v>0</v>
      </c>
      <c r="CW771" s="871">
        <v>0</v>
      </c>
      <c r="CX771" s="871">
        <v>0</v>
      </c>
      <c r="CY771" s="871">
        <v>0</v>
      </c>
      <c r="CZ771" s="871">
        <v>0</v>
      </c>
      <c r="DA771" s="871">
        <v>0</v>
      </c>
      <c r="DB771" s="871">
        <v>0</v>
      </c>
      <c r="DC771" s="871">
        <v>0</v>
      </c>
      <c r="DD771" s="871">
        <v>0</v>
      </c>
      <c r="DE771" s="871">
        <v>0</v>
      </c>
      <c r="DF771" s="871">
        <v>0</v>
      </c>
      <c r="DG771" s="871">
        <v>0</v>
      </c>
      <c r="DH771" s="871">
        <v>0</v>
      </c>
      <c r="DI771" s="871">
        <v>0</v>
      </c>
      <c r="DJ771" s="871">
        <v>0</v>
      </c>
      <c r="DK771" s="871">
        <v>0</v>
      </c>
      <c r="DL771" s="871">
        <v>0</v>
      </c>
      <c r="DM771" s="871">
        <v>0</v>
      </c>
      <c r="DN771" s="871">
        <v>0</v>
      </c>
      <c r="DO771" s="871">
        <v>0</v>
      </c>
      <c r="DP771" s="871">
        <v>0</v>
      </c>
      <c r="DQ771" s="871">
        <v>0</v>
      </c>
      <c r="DR771" s="871">
        <v>0</v>
      </c>
      <c r="DS771" s="871">
        <v>0</v>
      </c>
      <c r="DT771" s="871">
        <v>0</v>
      </c>
      <c r="DU771" s="871">
        <v>0</v>
      </c>
      <c r="DV771" s="871">
        <v>0</v>
      </c>
      <c r="DW771" s="871">
        <v>0</v>
      </c>
    </row>
    <row r="772" spans="12:127" hidden="1">
      <c r="L772" s="870" t="s">
        <v>1060</v>
      </c>
      <c r="M772" s="870" t="s">
        <v>1382</v>
      </c>
      <c r="N772" s="870" t="s">
        <v>97</v>
      </c>
      <c r="O772" s="871">
        <v>60</v>
      </c>
      <c r="P772" s="780" t="str">
        <f t="shared" si="23"/>
        <v>IWT060260</v>
      </c>
      <c r="Q772" s="871">
        <v>27462</v>
      </c>
      <c r="R772" s="871">
        <v>28011</v>
      </c>
      <c r="S772" s="871">
        <v>28571</v>
      </c>
      <c r="T772" s="871">
        <v>29143</v>
      </c>
      <c r="U772" s="871">
        <v>29725</v>
      </c>
      <c r="V772" s="871">
        <v>32308.799999999999</v>
      </c>
      <c r="W772" s="871">
        <v>32308.799999999999</v>
      </c>
      <c r="X772" s="871">
        <v>32308.799999999999</v>
      </c>
      <c r="Y772" s="871">
        <v>32308.799999999999</v>
      </c>
      <c r="Z772" s="871">
        <v>32765</v>
      </c>
      <c r="AA772" s="871">
        <v>33421</v>
      </c>
      <c r="AB772" s="871">
        <v>34089</v>
      </c>
      <c r="AC772" s="871">
        <v>34771</v>
      </c>
      <c r="AD772" s="871">
        <v>35466</v>
      </c>
      <c r="AE772" s="871">
        <v>36175</v>
      </c>
      <c r="AF772" s="871">
        <v>36899</v>
      </c>
      <c r="AG772" s="871">
        <v>37637</v>
      </c>
      <c r="AH772" s="871">
        <v>38389</v>
      </c>
      <c r="AI772" s="871">
        <v>39157</v>
      </c>
      <c r="AJ772" s="871">
        <v>39940</v>
      </c>
      <c r="AK772" s="871">
        <v>40739</v>
      </c>
      <c r="AL772" s="871">
        <v>41554</v>
      </c>
      <c r="AM772" s="871">
        <v>42384</v>
      </c>
      <c r="AN772" s="871">
        <v>43232</v>
      </c>
      <c r="AO772" s="871">
        <v>44097</v>
      </c>
      <c r="AP772" s="871">
        <v>44978</v>
      </c>
      <c r="AQ772" s="871">
        <v>45878</v>
      </c>
      <c r="AR772" s="871">
        <v>46795</v>
      </c>
      <c r="AS772" s="871">
        <v>47731</v>
      </c>
      <c r="AT772" s="871">
        <v>48685</v>
      </c>
      <c r="AU772" s="871">
        <v>49658</v>
      </c>
      <c r="AV772" s="871">
        <v>50651</v>
      </c>
      <c r="AW772" s="871">
        <v>51664</v>
      </c>
      <c r="AX772" s="871">
        <v>52697</v>
      </c>
      <c r="AY772" s="871">
        <v>53750</v>
      </c>
      <c r="AZ772" s="871">
        <v>54825</v>
      </c>
      <c r="BA772" s="871">
        <v>55920</v>
      </c>
      <c r="BB772" s="871">
        <v>57038</v>
      </c>
      <c r="BC772" s="871">
        <v>58178</v>
      </c>
      <c r="BD772" s="871">
        <v>59340</v>
      </c>
      <c r="BE772" s="871">
        <v>60526</v>
      </c>
      <c r="BF772" s="871">
        <v>61735</v>
      </c>
      <c r="BG772" s="871">
        <v>62968</v>
      </c>
      <c r="BH772" s="871">
        <v>64226</v>
      </c>
      <c r="BI772" s="871">
        <v>65508</v>
      </c>
      <c r="BJ772" s="871">
        <v>66815</v>
      </c>
      <c r="BK772" s="871">
        <v>68148</v>
      </c>
      <c r="BL772" s="871">
        <v>69507</v>
      </c>
      <c r="BM772" s="871">
        <v>70892</v>
      </c>
      <c r="BN772" s="871">
        <v>72281</v>
      </c>
      <c r="BO772" s="871">
        <v>73000</v>
      </c>
      <c r="BP772" s="871">
        <v>0</v>
      </c>
      <c r="BQ772" s="871">
        <v>0</v>
      </c>
      <c r="BR772" s="871">
        <v>0</v>
      </c>
      <c r="BS772" s="871">
        <v>0</v>
      </c>
      <c r="BT772" s="871">
        <v>0</v>
      </c>
      <c r="BU772" s="871">
        <v>0</v>
      </c>
      <c r="BV772" s="871">
        <v>0</v>
      </c>
      <c r="BW772" s="871">
        <v>0</v>
      </c>
      <c r="BX772" s="871">
        <v>0</v>
      </c>
      <c r="BY772" s="871">
        <v>0</v>
      </c>
      <c r="BZ772" s="871">
        <v>0</v>
      </c>
      <c r="CA772" s="871">
        <v>0</v>
      </c>
      <c r="CB772" s="871">
        <v>0</v>
      </c>
      <c r="CC772" s="871">
        <v>0</v>
      </c>
      <c r="CD772" s="871">
        <v>0</v>
      </c>
      <c r="CE772" s="871">
        <v>0</v>
      </c>
      <c r="CF772" s="871">
        <v>0</v>
      </c>
      <c r="CG772" s="871">
        <v>0</v>
      </c>
      <c r="CH772" s="871">
        <v>0</v>
      </c>
      <c r="CI772" s="871">
        <v>0</v>
      </c>
      <c r="CJ772" s="871">
        <v>0</v>
      </c>
      <c r="CK772" s="871">
        <v>0</v>
      </c>
      <c r="CL772" s="871">
        <v>0</v>
      </c>
      <c r="CM772" s="871">
        <v>0</v>
      </c>
      <c r="CN772" s="871">
        <v>0</v>
      </c>
      <c r="CO772" s="871">
        <v>0</v>
      </c>
      <c r="CP772" s="871">
        <v>0</v>
      </c>
      <c r="CQ772" s="871">
        <v>0</v>
      </c>
      <c r="CR772" s="871">
        <v>0</v>
      </c>
      <c r="CS772" s="871">
        <v>0</v>
      </c>
      <c r="CT772" s="871">
        <v>0</v>
      </c>
      <c r="CU772" s="871">
        <v>0</v>
      </c>
      <c r="CV772" s="871">
        <v>0</v>
      </c>
      <c r="CW772" s="871">
        <v>0</v>
      </c>
      <c r="CX772" s="871">
        <v>0</v>
      </c>
      <c r="CY772" s="871">
        <v>0</v>
      </c>
      <c r="CZ772" s="871">
        <v>0</v>
      </c>
      <c r="DA772" s="871">
        <v>0</v>
      </c>
      <c r="DB772" s="871">
        <v>0</v>
      </c>
      <c r="DC772" s="871">
        <v>0</v>
      </c>
      <c r="DD772" s="871">
        <v>0</v>
      </c>
      <c r="DE772" s="871">
        <v>0</v>
      </c>
      <c r="DF772" s="871">
        <v>0</v>
      </c>
      <c r="DG772" s="871">
        <v>0</v>
      </c>
      <c r="DH772" s="871">
        <v>0</v>
      </c>
      <c r="DI772" s="871">
        <v>0</v>
      </c>
      <c r="DJ772" s="871">
        <v>0</v>
      </c>
      <c r="DK772" s="871">
        <v>0</v>
      </c>
      <c r="DL772" s="871">
        <v>0</v>
      </c>
      <c r="DM772" s="871">
        <v>0</v>
      </c>
      <c r="DN772" s="871">
        <v>0</v>
      </c>
      <c r="DO772" s="871">
        <v>0</v>
      </c>
      <c r="DP772" s="871">
        <v>0</v>
      </c>
      <c r="DQ772" s="871">
        <v>0</v>
      </c>
      <c r="DR772" s="871">
        <v>0</v>
      </c>
      <c r="DS772" s="871">
        <v>0</v>
      </c>
      <c r="DT772" s="871">
        <v>0</v>
      </c>
      <c r="DU772" s="871">
        <v>0</v>
      </c>
      <c r="DV772" s="871">
        <v>0</v>
      </c>
      <c r="DW772" s="871">
        <v>0</v>
      </c>
    </row>
    <row r="773" spans="12:127" hidden="1">
      <c r="L773" s="870" t="s">
        <v>1060</v>
      </c>
      <c r="M773" s="870" t="s">
        <v>1382</v>
      </c>
      <c r="N773" s="870" t="s">
        <v>97</v>
      </c>
      <c r="O773" s="871">
        <v>61</v>
      </c>
      <c r="P773" s="780" t="str">
        <f t="shared" si="23"/>
        <v>IWT060261</v>
      </c>
      <c r="Q773" s="871">
        <v>27470</v>
      </c>
      <c r="R773" s="871">
        <v>28020</v>
      </c>
      <c r="S773" s="871">
        <v>28580</v>
      </c>
      <c r="T773" s="871">
        <v>29152</v>
      </c>
      <c r="U773" s="871">
        <v>29735</v>
      </c>
      <c r="V773" s="871">
        <v>32327.9</v>
      </c>
      <c r="W773" s="871">
        <v>32327.9</v>
      </c>
      <c r="X773" s="871">
        <v>32327.9</v>
      </c>
      <c r="Y773" s="871">
        <v>32327.9</v>
      </c>
      <c r="Z773" s="871">
        <v>32769</v>
      </c>
      <c r="AA773" s="871">
        <v>33424</v>
      </c>
      <c r="AB773" s="871">
        <v>34092</v>
      </c>
      <c r="AC773" s="871">
        <v>34774</v>
      </c>
      <c r="AD773" s="871">
        <v>35470</v>
      </c>
      <c r="AE773" s="871">
        <v>36179</v>
      </c>
      <c r="AF773" s="871">
        <v>36903</v>
      </c>
      <c r="AG773" s="871">
        <v>37641</v>
      </c>
      <c r="AH773" s="871">
        <v>38393</v>
      </c>
      <c r="AI773" s="871">
        <v>39161</v>
      </c>
      <c r="AJ773" s="871">
        <v>39944</v>
      </c>
      <c r="AK773" s="871">
        <v>40743</v>
      </c>
      <c r="AL773" s="871">
        <v>41558</v>
      </c>
      <c r="AM773" s="871">
        <v>42389</v>
      </c>
      <c r="AN773" s="871">
        <v>43236</v>
      </c>
      <c r="AO773" s="871">
        <v>44101</v>
      </c>
      <c r="AP773" s="871">
        <v>44983</v>
      </c>
      <c r="AQ773" s="871">
        <v>45882</v>
      </c>
      <c r="AR773" s="871">
        <v>46800</v>
      </c>
      <c r="AS773" s="871">
        <v>47735</v>
      </c>
      <c r="AT773" s="871">
        <v>48690</v>
      </c>
      <c r="AU773" s="871">
        <v>49663</v>
      </c>
      <c r="AV773" s="871">
        <v>50656</v>
      </c>
      <c r="AW773" s="871">
        <v>51669</v>
      </c>
      <c r="AX773" s="871">
        <v>52702</v>
      </c>
      <c r="AY773" s="871">
        <v>53755</v>
      </c>
      <c r="AZ773" s="871">
        <v>54830</v>
      </c>
      <c r="BA773" s="871">
        <v>55925</v>
      </c>
      <c r="BB773" s="871">
        <v>57043</v>
      </c>
      <c r="BC773" s="871">
        <v>58183</v>
      </c>
      <c r="BD773" s="871">
        <v>59345</v>
      </c>
      <c r="BE773" s="871">
        <v>60531</v>
      </c>
      <c r="BF773" s="871">
        <v>61740</v>
      </c>
      <c r="BG773" s="871">
        <v>62973</v>
      </c>
      <c r="BH773" s="871">
        <v>64230</v>
      </c>
      <c r="BI773" s="871">
        <v>65512</v>
      </c>
      <c r="BJ773" s="871">
        <v>66819</v>
      </c>
      <c r="BK773" s="871">
        <v>68152</v>
      </c>
      <c r="BL773" s="871">
        <v>69510</v>
      </c>
      <c r="BM773" s="871">
        <v>70895</v>
      </c>
      <c r="BN773" s="871">
        <v>71600</v>
      </c>
      <c r="BO773" s="871">
        <v>0</v>
      </c>
      <c r="BP773" s="871">
        <v>0</v>
      </c>
      <c r="BQ773" s="871">
        <v>0</v>
      </c>
      <c r="BR773" s="871">
        <v>0</v>
      </c>
      <c r="BS773" s="871">
        <v>0</v>
      </c>
      <c r="BT773" s="871">
        <v>0</v>
      </c>
      <c r="BU773" s="871">
        <v>0</v>
      </c>
      <c r="BV773" s="871">
        <v>0</v>
      </c>
      <c r="BW773" s="871">
        <v>0</v>
      </c>
      <c r="BX773" s="871">
        <v>0</v>
      </c>
      <c r="BY773" s="871">
        <v>0</v>
      </c>
      <c r="BZ773" s="871">
        <v>0</v>
      </c>
      <c r="CA773" s="871">
        <v>0</v>
      </c>
      <c r="CB773" s="871">
        <v>0</v>
      </c>
      <c r="CC773" s="871">
        <v>0</v>
      </c>
      <c r="CD773" s="871">
        <v>0</v>
      </c>
      <c r="CE773" s="871">
        <v>0</v>
      </c>
      <c r="CF773" s="871">
        <v>0</v>
      </c>
      <c r="CG773" s="871">
        <v>0</v>
      </c>
      <c r="CH773" s="871">
        <v>0</v>
      </c>
      <c r="CI773" s="871">
        <v>0</v>
      </c>
      <c r="CJ773" s="871">
        <v>0</v>
      </c>
      <c r="CK773" s="871">
        <v>0</v>
      </c>
      <c r="CL773" s="871">
        <v>0</v>
      </c>
      <c r="CM773" s="871">
        <v>0</v>
      </c>
      <c r="CN773" s="871">
        <v>0</v>
      </c>
      <c r="CO773" s="871">
        <v>0</v>
      </c>
      <c r="CP773" s="871">
        <v>0</v>
      </c>
      <c r="CQ773" s="871">
        <v>0</v>
      </c>
      <c r="CR773" s="871">
        <v>0</v>
      </c>
      <c r="CS773" s="871">
        <v>0</v>
      </c>
      <c r="CT773" s="871">
        <v>0</v>
      </c>
      <c r="CU773" s="871">
        <v>0</v>
      </c>
      <c r="CV773" s="871">
        <v>0</v>
      </c>
      <c r="CW773" s="871">
        <v>0</v>
      </c>
      <c r="CX773" s="871">
        <v>0</v>
      </c>
      <c r="CY773" s="871">
        <v>0</v>
      </c>
      <c r="CZ773" s="871">
        <v>0</v>
      </c>
      <c r="DA773" s="871">
        <v>0</v>
      </c>
      <c r="DB773" s="871">
        <v>0</v>
      </c>
      <c r="DC773" s="871">
        <v>0</v>
      </c>
      <c r="DD773" s="871">
        <v>0</v>
      </c>
      <c r="DE773" s="871">
        <v>0</v>
      </c>
      <c r="DF773" s="871">
        <v>0</v>
      </c>
      <c r="DG773" s="871">
        <v>0</v>
      </c>
      <c r="DH773" s="871">
        <v>0</v>
      </c>
      <c r="DI773" s="871">
        <v>0</v>
      </c>
      <c r="DJ773" s="871">
        <v>0</v>
      </c>
      <c r="DK773" s="871">
        <v>0</v>
      </c>
      <c r="DL773" s="871">
        <v>0</v>
      </c>
      <c r="DM773" s="871">
        <v>0</v>
      </c>
      <c r="DN773" s="871">
        <v>0</v>
      </c>
      <c r="DO773" s="871">
        <v>0</v>
      </c>
      <c r="DP773" s="871">
        <v>0</v>
      </c>
      <c r="DQ773" s="871">
        <v>0</v>
      </c>
      <c r="DR773" s="871">
        <v>0</v>
      </c>
      <c r="DS773" s="871">
        <v>0</v>
      </c>
      <c r="DT773" s="871">
        <v>0</v>
      </c>
      <c r="DU773" s="871">
        <v>0</v>
      </c>
      <c r="DV773" s="871">
        <v>0</v>
      </c>
      <c r="DW773" s="871">
        <v>0</v>
      </c>
    </row>
    <row r="774" spans="12:127" hidden="1">
      <c r="L774" s="870" t="s">
        <v>1060</v>
      </c>
      <c r="M774" s="870" t="s">
        <v>1382</v>
      </c>
      <c r="N774" s="870" t="s">
        <v>97</v>
      </c>
      <c r="O774" s="871">
        <v>62</v>
      </c>
      <c r="P774" s="780" t="str">
        <f t="shared" si="23"/>
        <v>IWT060262</v>
      </c>
      <c r="Q774" s="871">
        <v>27479</v>
      </c>
      <c r="R774" s="871">
        <v>28029</v>
      </c>
      <c r="S774" s="871">
        <v>28589</v>
      </c>
      <c r="T774" s="871">
        <v>29161</v>
      </c>
      <c r="U774" s="871">
        <v>29744</v>
      </c>
      <c r="V774" s="871">
        <v>32347</v>
      </c>
      <c r="W774" s="871">
        <v>32347</v>
      </c>
      <c r="X774" s="871">
        <v>32347</v>
      </c>
      <c r="Y774" s="871">
        <v>32347</v>
      </c>
      <c r="Z774" s="871">
        <v>32771</v>
      </c>
      <c r="AA774" s="871">
        <v>33426</v>
      </c>
      <c r="AB774" s="871">
        <v>34095</v>
      </c>
      <c r="AC774" s="871">
        <v>34777</v>
      </c>
      <c r="AD774" s="871">
        <v>35472</v>
      </c>
      <c r="AE774" s="871">
        <v>36181</v>
      </c>
      <c r="AF774" s="871">
        <v>36905</v>
      </c>
      <c r="AG774" s="871">
        <v>37643</v>
      </c>
      <c r="AH774" s="871">
        <v>38396</v>
      </c>
      <c r="AI774" s="871">
        <v>39164</v>
      </c>
      <c r="AJ774" s="871">
        <v>39947</v>
      </c>
      <c r="AK774" s="871">
        <v>40746</v>
      </c>
      <c r="AL774" s="871">
        <v>41560</v>
      </c>
      <c r="AM774" s="871">
        <v>42392</v>
      </c>
      <c r="AN774" s="871">
        <v>43239</v>
      </c>
      <c r="AO774" s="871">
        <v>44104</v>
      </c>
      <c r="AP774" s="871">
        <v>44986</v>
      </c>
      <c r="AQ774" s="871">
        <v>45885</v>
      </c>
      <c r="AR774" s="871">
        <v>46803</v>
      </c>
      <c r="AS774" s="871">
        <v>47738</v>
      </c>
      <c r="AT774" s="871">
        <v>48693</v>
      </c>
      <c r="AU774" s="871">
        <v>49666</v>
      </c>
      <c r="AV774" s="871">
        <v>50659</v>
      </c>
      <c r="AW774" s="871">
        <v>51672</v>
      </c>
      <c r="AX774" s="871">
        <v>52705</v>
      </c>
      <c r="AY774" s="871">
        <v>53758</v>
      </c>
      <c r="AZ774" s="871">
        <v>54833</v>
      </c>
      <c r="BA774" s="871">
        <v>55928</v>
      </c>
      <c r="BB774" s="871">
        <v>57046</v>
      </c>
      <c r="BC774" s="871">
        <v>58186</v>
      </c>
      <c r="BD774" s="871">
        <v>59348</v>
      </c>
      <c r="BE774" s="871">
        <v>60533</v>
      </c>
      <c r="BF774" s="871">
        <v>61742</v>
      </c>
      <c r="BG774" s="871">
        <v>62975</v>
      </c>
      <c r="BH774" s="871">
        <v>64232</v>
      </c>
      <c r="BI774" s="871">
        <v>65514</v>
      </c>
      <c r="BJ774" s="871">
        <v>66820</v>
      </c>
      <c r="BK774" s="871">
        <v>68151</v>
      </c>
      <c r="BL774" s="871">
        <v>69508</v>
      </c>
      <c r="BM774" s="871">
        <v>70200</v>
      </c>
      <c r="BN774" s="871">
        <v>0</v>
      </c>
      <c r="BO774" s="871">
        <v>0</v>
      </c>
      <c r="BP774" s="871">
        <v>0</v>
      </c>
      <c r="BQ774" s="871">
        <v>0</v>
      </c>
      <c r="BR774" s="871">
        <v>0</v>
      </c>
      <c r="BS774" s="871">
        <v>0</v>
      </c>
      <c r="BT774" s="871">
        <v>0</v>
      </c>
      <c r="BU774" s="871">
        <v>0</v>
      </c>
      <c r="BV774" s="871">
        <v>0</v>
      </c>
      <c r="BW774" s="871">
        <v>0</v>
      </c>
      <c r="BX774" s="871">
        <v>0</v>
      </c>
      <c r="BY774" s="871">
        <v>0</v>
      </c>
      <c r="BZ774" s="871">
        <v>0</v>
      </c>
      <c r="CA774" s="871">
        <v>0</v>
      </c>
      <c r="CB774" s="871">
        <v>0</v>
      </c>
      <c r="CC774" s="871">
        <v>0</v>
      </c>
      <c r="CD774" s="871">
        <v>0</v>
      </c>
      <c r="CE774" s="871">
        <v>0</v>
      </c>
      <c r="CF774" s="871">
        <v>0</v>
      </c>
      <c r="CG774" s="871">
        <v>0</v>
      </c>
      <c r="CH774" s="871">
        <v>0</v>
      </c>
      <c r="CI774" s="871">
        <v>0</v>
      </c>
      <c r="CJ774" s="871">
        <v>0</v>
      </c>
      <c r="CK774" s="871">
        <v>0</v>
      </c>
      <c r="CL774" s="871">
        <v>0</v>
      </c>
      <c r="CM774" s="871">
        <v>0</v>
      </c>
      <c r="CN774" s="871">
        <v>0</v>
      </c>
      <c r="CO774" s="871">
        <v>0</v>
      </c>
      <c r="CP774" s="871">
        <v>0</v>
      </c>
      <c r="CQ774" s="871">
        <v>0</v>
      </c>
      <c r="CR774" s="871">
        <v>0</v>
      </c>
      <c r="CS774" s="871">
        <v>0</v>
      </c>
      <c r="CT774" s="871">
        <v>0</v>
      </c>
      <c r="CU774" s="871">
        <v>0</v>
      </c>
      <c r="CV774" s="871">
        <v>0</v>
      </c>
      <c r="CW774" s="871">
        <v>0</v>
      </c>
      <c r="CX774" s="871">
        <v>0</v>
      </c>
      <c r="CY774" s="871">
        <v>0</v>
      </c>
      <c r="CZ774" s="871">
        <v>0</v>
      </c>
      <c r="DA774" s="871">
        <v>0</v>
      </c>
      <c r="DB774" s="871">
        <v>0</v>
      </c>
      <c r="DC774" s="871">
        <v>0</v>
      </c>
      <c r="DD774" s="871">
        <v>0</v>
      </c>
      <c r="DE774" s="871">
        <v>0</v>
      </c>
      <c r="DF774" s="871">
        <v>0</v>
      </c>
      <c r="DG774" s="871">
        <v>0</v>
      </c>
      <c r="DH774" s="871">
        <v>0</v>
      </c>
      <c r="DI774" s="871">
        <v>0</v>
      </c>
      <c r="DJ774" s="871">
        <v>0</v>
      </c>
      <c r="DK774" s="871">
        <v>0</v>
      </c>
      <c r="DL774" s="871">
        <v>0</v>
      </c>
      <c r="DM774" s="871">
        <v>0</v>
      </c>
      <c r="DN774" s="871">
        <v>0</v>
      </c>
      <c r="DO774" s="871">
        <v>0</v>
      </c>
      <c r="DP774" s="871">
        <v>0</v>
      </c>
      <c r="DQ774" s="871">
        <v>0</v>
      </c>
      <c r="DR774" s="871">
        <v>0</v>
      </c>
      <c r="DS774" s="871">
        <v>0</v>
      </c>
      <c r="DT774" s="871">
        <v>0</v>
      </c>
      <c r="DU774" s="871">
        <v>0</v>
      </c>
      <c r="DV774" s="871">
        <v>0</v>
      </c>
      <c r="DW774" s="871">
        <v>0</v>
      </c>
    </row>
    <row r="775" spans="12:127" hidden="1">
      <c r="L775" s="870" t="s">
        <v>1060</v>
      </c>
      <c r="M775" s="870" t="s">
        <v>1382</v>
      </c>
      <c r="N775" s="870" t="s">
        <v>97</v>
      </c>
      <c r="O775" s="871">
        <v>63</v>
      </c>
      <c r="P775" s="780" t="str">
        <f t="shared" si="23"/>
        <v>IWT060263</v>
      </c>
      <c r="Q775" s="871">
        <v>27479</v>
      </c>
      <c r="R775" s="871">
        <v>28028</v>
      </c>
      <c r="S775" s="871">
        <v>28589</v>
      </c>
      <c r="T775" s="871">
        <v>29160</v>
      </c>
      <c r="U775" s="871">
        <v>29744</v>
      </c>
      <c r="V775" s="871">
        <v>32366</v>
      </c>
      <c r="W775" s="871">
        <v>32366</v>
      </c>
      <c r="X775" s="871">
        <v>32366</v>
      </c>
      <c r="Y775" s="871">
        <v>32366</v>
      </c>
      <c r="Z775" s="871">
        <v>32760</v>
      </c>
      <c r="AA775" s="871">
        <v>33415</v>
      </c>
      <c r="AB775" s="871">
        <v>34084</v>
      </c>
      <c r="AC775" s="871">
        <v>34765</v>
      </c>
      <c r="AD775" s="871">
        <v>35461</v>
      </c>
      <c r="AE775" s="871">
        <v>36170</v>
      </c>
      <c r="AF775" s="871">
        <v>36893</v>
      </c>
      <c r="AG775" s="871">
        <v>37631</v>
      </c>
      <c r="AH775" s="871">
        <v>38383</v>
      </c>
      <c r="AI775" s="871">
        <v>39151</v>
      </c>
      <c r="AJ775" s="871">
        <v>39934</v>
      </c>
      <c r="AK775" s="871">
        <v>40732</v>
      </c>
      <c r="AL775" s="871">
        <v>41547</v>
      </c>
      <c r="AM775" s="871">
        <v>42378</v>
      </c>
      <c r="AN775" s="871">
        <v>43225</v>
      </c>
      <c r="AO775" s="871">
        <v>44089</v>
      </c>
      <c r="AP775" s="871">
        <v>44971</v>
      </c>
      <c r="AQ775" s="871">
        <v>45870</v>
      </c>
      <c r="AR775" s="871">
        <v>46787</v>
      </c>
      <c r="AS775" s="871">
        <v>47723</v>
      </c>
      <c r="AT775" s="871">
        <v>48677</v>
      </c>
      <c r="AU775" s="871">
        <v>49650</v>
      </c>
      <c r="AV775" s="871">
        <v>50642</v>
      </c>
      <c r="AW775" s="871">
        <v>51655</v>
      </c>
      <c r="AX775" s="871">
        <v>52687</v>
      </c>
      <c r="AY775" s="871">
        <v>53740</v>
      </c>
      <c r="AZ775" s="871">
        <v>54814</v>
      </c>
      <c r="BA775" s="871">
        <v>55909</v>
      </c>
      <c r="BB775" s="871">
        <v>57026</v>
      </c>
      <c r="BC775" s="871">
        <v>58165</v>
      </c>
      <c r="BD775" s="871">
        <v>59327</v>
      </c>
      <c r="BE775" s="871">
        <v>60511</v>
      </c>
      <c r="BF775" s="871">
        <v>61719</v>
      </c>
      <c r="BG775" s="871">
        <v>62951</v>
      </c>
      <c r="BH775" s="871">
        <v>64207</v>
      </c>
      <c r="BI775" s="871">
        <v>65487</v>
      </c>
      <c r="BJ775" s="871">
        <v>66792</v>
      </c>
      <c r="BK775" s="871">
        <v>68122</v>
      </c>
      <c r="BL775" s="871">
        <v>68800</v>
      </c>
      <c r="BM775" s="871">
        <v>0</v>
      </c>
      <c r="BN775" s="871">
        <v>0</v>
      </c>
      <c r="BO775" s="871">
        <v>0</v>
      </c>
      <c r="BP775" s="871">
        <v>0</v>
      </c>
      <c r="BQ775" s="871">
        <v>0</v>
      </c>
      <c r="BR775" s="871">
        <v>0</v>
      </c>
      <c r="BS775" s="871">
        <v>0</v>
      </c>
      <c r="BT775" s="871">
        <v>0</v>
      </c>
      <c r="BU775" s="871">
        <v>0</v>
      </c>
      <c r="BV775" s="871">
        <v>0</v>
      </c>
      <c r="BW775" s="871">
        <v>0</v>
      </c>
      <c r="BX775" s="871">
        <v>0</v>
      </c>
      <c r="BY775" s="871">
        <v>0</v>
      </c>
      <c r="BZ775" s="871">
        <v>0</v>
      </c>
      <c r="CA775" s="871">
        <v>0</v>
      </c>
      <c r="CB775" s="871">
        <v>0</v>
      </c>
      <c r="CC775" s="871">
        <v>0</v>
      </c>
      <c r="CD775" s="871">
        <v>0</v>
      </c>
      <c r="CE775" s="871">
        <v>0</v>
      </c>
      <c r="CF775" s="871">
        <v>0</v>
      </c>
      <c r="CG775" s="871">
        <v>0</v>
      </c>
      <c r="CH775" s="871">
        <v>0</v>
      </c>
      <c r="CI775" s="871">
        <v>0</v>
      </c>
      <c r="CJ775" s="871">
        <v>0</v>
      </c>
      <c r="CK775" s="871">
        <v>0</v>
      </c>
      <c r="CL775" s="871">
        <v>0</v>
      </c>
      <c r="CM775" s="871">
        <v>0</v>
      </c>
      <c r="CN775" s="871">
        <v>0</v>
      </c>
      <c r="CO775" s="871">
        <v>0</v>
      </c>
      <c r="CP775" s="871">
        <v>0</v>
      </c>
      <c r="CQ775" s="871">
        <v>0</v>
      </c>
      <c r="CR775" s="871">
        <v>0</v>
      </c>
      <c r="CS775" s="871">
        <v>0</v>
      </c>
      <c r="CT775" s="871">
        <v>0</v>
      </c>
      <c r="CU775" s="871">
        <v>0</v>
      </c>
      <c r="CV775" s="871">
        <v>0</v>
      </c>
      <c r="CW775" s="871">
        <v>0</v>
      </c>
      <c r="CX775" s="871">
        <v>0</v>
      </c>
      <c r="CY775" s="871">
        <v>0</v>
      </c>
      <c r="CZ775" s="871">
        <v>0</v>
      </c>
      <c r="DA775" s="871">
        <v>0</v>
      </c>
      <c r="DB775" s="871">
        <v>0</v>
      </c>
      <c r="DC775" s="871">
        <v>0</v>
      </c>
      <c r="DD775" s="871">
        <v>0</v>
      </c>
      <c r="DE775" s="871">
        <v>0</v>
      </c>
      <c r="DF775" s="871">
        <v>0</v>
      </c>
      <c r="DG775" s="871">
        <v>0</v>
      </c>
      <c r="DH775" s="871">
        <v>0</v>
      </c>
      <c r="DI775" s="871">
        <v>0</v>
      </c>
      <c r="DJ775" s="871">
        <v>0</v>
      </c>
      <c r="DK775" s="871">
        <v>0</v>
      </c>
      <c r="DL775" s="871">
        <v>0</v>
      </c>
      <c r="DM775" s="871">
        <v>0</v>
      </c>
      <c r="DN775" s="871">
        <v>0</v>
      </c>
      <c r="DO775" s="871">
        <v>0</v>
      </c>
      <c r="DP775" s="871">
        <v>0</v>
      </c>
      <c r="DQ775" s="871">
        <v>0</v>
      </c>
      <c r="DR775" s="871">
        <v>0</v>
      </c>
      <c r="DS775" s="871">
        <v>0</v>
      </c>
      <c r="DT775" s="871">
        <v>0</v>
      </c>
      <c r="DU775" s="871">
        <v>0</v>
      </c>
      <c r="DV775" s="871">
        <v>0</v>
      </c>
      <c r="DW775" s="871">
        <v>0</v>
      </c>
    </row>
    <row r="776" spans="12:127" hidden="1">
      <c r="L776" s="870" t="s">
        <v>1060</v>
      </c>
      <c r="M776" s="870" t="s">
        <v>1382</v>
      </c>
      <c r="N776" s="870" t="s">
        <v>97</v>
      </c>
      <c r="O776" s="871">
        <v>64</v>
      </c>
      <c r="P776" s="780" t="str">
        <f t="shared" si="23"/>
        <v>IWT060264</v>
      </c>
      <c r="Q776" s="871">
        <v>27468</v>
      </c>
      <c r="R776" s="871">
        <v>28018</v>
      </c>
      <c r="S776" s="871">
        <v>28578</v>
      </c>
      <c r="T776" s="871">
        <v>29150</v>
      </c>
      <c r="U776" s="871">
        <v>29732</v>
      </c>
      <c r="V776" s="871">
        <v>32385.1</v>
      </c>
      <c r="W776" s="871">
        <v>32385.1</v>
      </c>
      <c r="X776" s="871">
        <v>32385.1</v>
      </c>
      <c r="Y776" s="871">
        <v>32385.1</v>
      </c>
      <c r="Z776" s="871">
        <v>32736</v>
      </c>
      <c r="AA776" s="871">
        <v>33390</v>
      </c>
      <c r="AB776" s="871">
        <v>34058</v>
      </c>
      <c r="AC776" s="871">
        <v>34739</v>
      </c>
      <c r="AD776" s="871">
        <v>35434</v>
      </c>
      <c r="AE776" s="871">
        <v>36143</v>
      </c>
      <c r="AF776" s="871">
        <v>36866</v>
      </c>
      <c r="AG776" s="871">
        <v>37603</v>
      </c>
      <c r="AH776" s="871">
        <v>38355</v>
      </c>
      <c r="AI776" s="871">
        <v>39122</v>
      </c>
      <c r="AJ776" s="871">
        <v>39904</v>
      </c>
      <c r="AK776" s="871">
        <v>40702</v>
      </c>
      <c r="AL776" s="871">
        <v>41516</v>
      </c>
      <c r="AM776" s="871">
        <v>42346</v>
      </c>
      <c r="AN776" s="871">
        <v>43193</v>
      </c>
      <c r="AO776" s="871">
        <v>44056</v>
      </c>
      <c r="AP776" s="871">
        <v>44937</v>
      </c>
      <c r="AQ776" s="871">
        <v>45836</v>
      </c>
      <c r="AR776" s="871">
        <v>46752</v>
      </c>
      <c r="AS776" s="871">
        <v>47687</v>
      </c>
      <c r="AT776" s="871">
        <v>48640</v>
      </c>
      <c r="AU776" s="871">
        <v>49612</v>
      </c>
      <c r="AV776" s="871">
        <v>50604</v>
      </c>
      <c r="AW776" s="871">
        <v>51615</v>
      </c>
      <c r="AX776" s="871">
        <v>52647</v>
      </c>
      <c r="AY776" s="871">
        <v>53699</v>
      </c>
      <c r="AZ776" s="871">
        <v>54772</v>
      </c>
      <c r="BA776" s="871">
        <v>55866</v>
      </c>
      <c r="BB776" s="871">
        <v>56982</v>
      </c>
      <c r="BC776" s="871">
        <v>58120</v>
      </c>
      <c r="BD776" s="871">
        <v>59281</v>
      </c>
      <c r="BE776" s="871">
        <v>60464</v>
      </c>
      <c r="BF776" s="871">
        <v>61671</v>
      </c>
      <c r="BG776" s="871">
        <v>62901</v>
      </c>
      <c r="BH776" s="871">
        <v>64155</v>
      </c>
      <c r="BI776" s="871">
        <v>65433</v>
      </c>
      <c r="BJ776" s="871">
        <v>66736</v>
      </c>
      <c r="BK776" s="871">
        <v>67400</v>
      </c>
      <c r="BL776" s="871">
        <v>0</v>
      </c>
      <c r="BM776" s="871">
        <v>0</v>
      </c>
      <c r="BN776" s="871">
        <v>0</v>
      </c>
      <c r="BO776" s="871">
        <v>0</v>
      </c>
      <c r="BP776" s="871">
        <v>0</v>
      </c>
      <c r="BQ776" s="871">
        <v>0</v>
      </c>
      <c r="BR776" s="871">
        <v>0</v>
      </c>
      <c r="BS776" s="871">
        <v>0</v>
      </c>
      <c r="BT776" s="871">
        <v>0</v>
      </c>
      <c r="BU776" s="871">
        <v>0</v>
      </c>
      <c r="BV776" s="871">
        <v>0</v>
      </c>
      <c r="BW776" s="871">
        <v>0</v>
      </c>
      <c r="BX776" s="871">
        <v>0</v>
      </c>
      <c r="BY776" s="871">
        <v>0</v>
      </c>
      <c r="BZ776" s="871">
        <v>0</v>
      </c>
      <c r="CA776" s="871">
        <v>0</v>
      </c>
      <c r="CB776" s="871">
        <v>0</v>
      </c>
      <c r="CC776" s="871">
        <v>0</v>
      </c>
      <c r="CD776" s="871">
        <v>0</v>
      </c>
      <c r="CE776" s="871">
        <v>0</v>
      </c>
      <c r="CF776" s="871">
        <v>0</v>
      </c>
      <c r="CG776" s="871">
        <v>0</v>
      </c>
      <c r="CH776" s="871">
        <v>0</v>
      </c>
      <c r="CI776" s="871">
        <v>0</v>
      </c>
      <c r="CJ776" s="871">
        <v>0</v>
      </c>
      <c r="CK776" s="871">
        <v>0</v>
      </c>
      <c r="CL776" s="871">
        <v>0</v>
      </c>
      <c r="CM776" s="871">
        <v>0</v>
      </c>
      <c r="CN776" s="871">
        <v>0</v>
      </c>
      <c r="CO776" s="871">
        <v>0</v>
      </c>
      <c r="CP776" s="871">
        <v>0</v>
      </c>
      <c r="CQ776" s="871">
        <v>0</v>
      </c>
      <c r="CR776" s="871">
        <v>0</v>
      </c>
      <c r="CS776" s="871">
        <v>0</v>
      </c>
      <c r="CT776" s="871">
        <v>0</v>
      </c>
      <c r="CU776" s="871">
        <v>0</v>
      </c>
      <c r="CV776" s="871">
        <v>0</v>
      </c>
      <c r="CW776" s="871">
        <v>0</v>
      </c>
      <c r="CX776" s="871">
        <v>0</v>
      </c>
      <c r="CY776" s="871">
        <v>0</v>
      </c>
      <c r="CZ776" s="871">
        <v>0</v>
      </c>
      <c r="DA776" s="871">
        <v>0</v>
      </c>
      <c r="DB776" s="871">
        <v>0</v>
      </c>
      <c r="DC776" s="871">
        <v>0</v>
      </c>
      <c r="DD776" s="871">
        <v>0</v>
      </c>
      <c r="DE776" s="871">
        <v>0</v>
      </c>
      <c r="DF776" s="871">
        <v>0</v>
      </c>
      <c r="DG776" s="871">
        <v>0</v>
      </c>
      <c r="DH776" s="871">
        <v>0</v>
      </c>
      <c r="DI776" s="871">
        <v>0</v>
      </c>
      <c r="DJ776" s="871">
        <v>0</v>
      </c>
      <c r="DK776" s="871">
        <v>0</v>
      </c>
      <c r="DL776" s="871">
        <v>0</v>
      </c>
      <c r="DM776" s="871">
        <v>0</v>
      </c>
      <c r="DN776" s="871">
        <v>0</v>
      </c>
      <c r="DO776" s="871">
        <v>0</v>
      </c>
      <c r="DP776" s="871">
        <v>0</v>
      </c>
      <c r="DQ776" s="871">
        <v>0</v>
      </c>
      <c r="DR776" s="871">
        <v>0</v>
      </c>
      <c r="DS776" s="871">
        <v>0</v>
      </c>
      <c r="DT776" s="871">
        <v>0</v>
      </c>
      <c r="DU776" s="871">
        <v>0</v>
      </c>
      <c r="DV776" s="871">
        <v>0</v>
      </c>
      <c r="DW776" s="871">
        <v>0</v>
      </c>
    </row>
    <row r="777" spans="12:127" hidden="1">
      <c r="L777" s="870" t="s">
        <v>1060</v>
      </c>
      <c r="M777" s="870" t="s">
        <v>1382</v>
      </c>
      <c r="N777" s="870" t="s">
        <v>97</v>
      </c>
      <c r="O777" s="871">
        <v>65</v>
      </c>
      <c r="P777" s="780" t="str">
        <f t="shared" si="23"/>
        <v>IWT060265</v>
      </c>
      <c r="Q777" s="871">
        <v>27448</v>
      </c>
      <c r="R777" s="871">
        <v>27997</v>
      </c>
      <c r="S777" s="871">
        <v>28557</v>
      </c>
      <c r="T777" s="871">
        <v>29128</v>
      </c>
      <c r="U777" s="871">
        <v>29711</v>
      </c>
      <c r="V777" s="871">
        <v>32404.2</v>
      </c>
      <c r="W777" s="871">
        <v>32404.2</v>
      </c>
      <c r="X777" s="871">
        <v>32404.2</v>
      </c>
      <c r="Y777" s="871">
        <v>32404.2</v>
      </c>
      <c r="Z777" s="871">
        <v>32697</v>
      </c>
      <c r="AA777" s="871">
        <v>33351</v>
      </c>
      <c r="AB777" s="871">
        <v>34018</v>
      </c>
      <c r="AC777" s="871">
        <v>34698</v>
      </c>
      <c r="AD777" s="871">
        <v>35392</v>
      </c>
      <c r="AE777" s="871">
        <v>36100</v>
      </c>
      <c r="AF777" s="871">
        <v>36822</v>
      </c>
      <c r="AG777" s="871">
        <v>37558</v>
      </c>
      <c r="AH777" s="871">
        <v>38309</v>
      </c>
      <c r="AI777" s="871">
        <v>39075</v>
      </c>
      <c r="AJ777" s="871">
        <v>39856</v>
      </c>
      <c r="AK777" s="871">
        <v>40653</v>
      </c>
      <c r="AL777" s="871">
        <v>41466</v>
      </c>
      <c r="AM777" s="871">
        <v>42296</v>
      </c>
      <c r="AN777" s="871">
        <v>43141</v>
      </c>
      <c r="AO777" s="871">
        <v>44004</v>
      </c>
      <c r="AP777" s="871">
        <v>44884</v>
      </c>
      <c r="AQ777" s="871">
        <v>45781</v>
      </c>
      <c r="AR777" s="871">
        <v>46696</v>
      </c>
      <c r="AS777" s="871">
        <v>47630</v>
      </c>
      <c r="AT777" s="871">
        <v>48582</v>
      </c>
      <c r="AU777" s="871">
        <v>49553</v>
      </c>
      <c r="AV777" s="871">
        <v>50543</v>
      </c>
      <c r="AW777" s="871">
        <v>51553</v>
      </c>
      <c r="AX777" s="871">
        <v>52583</v>
      </c>
      <c r="AY777" s="871">
        <v>53634</v>
      </c>
      <c r="AZ777" s="871">
        <v>54706</v>
      </c>
      <c r="BA777" s="871">
        <v>55798</v>
      </c>
      <c r="BB777" s="871">
        <v>56913</v>
      </c>
      <c r="BC777" s="871">
        <v>58049</v>
      </c>
      <c r="BD777" s="871">
        <v>59208</v>
      </c>
      <c r="BE777" s="871">
        <v>60389</v>
      </c>
      <c r="BF777" s="871">
        <v>61594</v>
      </c>
      <c r="BG777" s="871">
        <v>62822</v>
      </c>
      <c r="BH777" s="871">
        <v>64074</v>
      </c>
      <c r="BI777" s="871">
        <v>65350</v>
      </c>
      <c r="BJ777" s="871">
        <v>66000</v>
      </c>
      <c r="BK777" s="871">
        <v>0</v>
      </c>
      <c r="BL777" s="871">
        <v>0</v>
      </c>
      <c r="BM777" s="871">
        <v>0</v>
      </c>
      <c r="BN777" s="871">
        <v>0</v>
      </c>
      <c r="BO777" s="871">
        <v>0</v>
      </c>
      <c r="BP777" s="871">
        <v>0</v>
      </c>
      <c r="BQ777" s="871">
        <v>0</v>
      </c>
      <c r="BR777" s="871">
        <v>0</v>
      </c>
      <c r="BS777" s="871">
        <v>0</v>
      </c>
      <c r="BT777" s="871">
        <v>0</v>
      </c>
      <c r="BU777" s="871">
        <v>0</v>
      </c>
      <c r="BV777" s="871">
        <v>0</v>
      </c>
      <c r="BW777" s="871">
        <v>0</v>
      </c>
      <c r="BX777" s="871">
        <v>0</v>
      </c>
      <c r="BY777" s="871">
        <v>0</v>
      </c>
      <c r="BZ777" s="871">
        <v>0</v>
      </c>
      <c r="CA777" s="871">
        <v>0</v>
      </c>
      <c r="CB777" s="871">
        <v>0</v>
      </c>
      <c r="CC777" s="871">
        <v>0</v>
      </c>
      <c r="CD777" s="871">
        <v>0</v>
      </c>
      <c r="CE777" s="871">
        <v>0</v>
      </c>
      <c r="CF777" s="871">
        <v>0</v>
      </c>
      <c r="CG777" s="871">
        <v>0</v>
      </c>
      <c r="CH777" s="871">
        <v>0</v>
      </c>
      <c r="CI777" s="871">
        <v>0</v>
      </c>
      <c r="CJ777" s="871">
        <v>0</v>
      </c>
      <c r="CK777" s="871">
        <v>0</v>
      </c>
      <c r="CL777" s="871">
        <v>0</v>
      </c>
      <c r="CM777" s="871">
        <v>0</v>
      </c>
      <c r="CN777" s="871">
        <v>0</v>
      </c>
      <c r="CO777" s="871">
        <v>0</v>
      </c>
      <c r="CP777" s="871">
        <v>0</v>
      </c>
      <c r="CQ777" s="871">
        <v>0</v>
      </c>
      <c r="CR777" s="871">
        <v>0</v>
      </c>
      <c r="CS777" s="871">
        <v>0</v>
      </c>
      <c r="CT777" s="871">
        <v>0</v>
      </c>
      <c r="CU777" s="871">
        <v>0</v>
      </c>
      <c r="CV777" s="871">
        <v>0</v>
      </c>
      <c r="CW777" s="871">
        <v>0</v>
      </c>
      <c r="CX777" s="871">
        <v>0</v>
      </c>
      <c r="CY777" s="871">
        <v>0</v>
      </c>
      <c r="CZ777" s="871">
        <v>0</v>
      </c>
      <c r="DA777" s="871">
        <v>0</v>
      </c>
      <c r="DB777" s="871">
        <v>0</v>
      </c>
      <c r="DC777" s="871">
        <v>0</v>
      </c>
      <c r="DD777" s="871">
        <v>0</v>
      </c>
      <c r="DE777" s="871">
        <v>0</v>
      </c>
      <c r="DF777" s="871">
        <v>0</v>
      </c>
      <c r="DG777" s="871">
        <v>0</v>
      </c>
      <c r="DH777" s="871">
        <v>0</v>
      </c>
      <c r="DI777" s="871">
        <v>0</v>
      </c>
      <c r="DJ777" s="871">
        <v>0</v>
      </c>
      <c r="DK777" s="871">
        <v>0</v>
      </c>
      <c r="DL777" s="871">
        <v>0</v>
      </c>
      <c r="DM777" s="871">
        <v>0</v>
      </c>
      <c r="DN777" s="871">
        <v>0</v>
      </c>
      <c r="DO777" s="871">
        <v>0</v>
      </c>
      <c r="DP777" s="871">
        <v>0</v>
      </c>
      <c r="DQ777" s="871">
        <v>0</v>
      </c>
      <c r="DR777" s="871">
        <v>0</v>
      </c>
      <c r="DS777" s="871">
        <v>0</v>
      </c>
      <c r="DT777" s="871">
        <v>0</v>
      </c>
      <c r="DU777" s="871">
        <v>0</v>
      </c>
      <c r="DV777" s="871">
        <v>0</v>
      </c>
      <c r="DW777" s="871">
        <v>0</v>
      </c>
    </row>
    <row r="778" spans="12:127" hidden="1">
      <c r="L778" s="870" t="s">
        <v>1060</v>
      </c>
      <c r="M778" s="870" t="s">
        <v>1382</v>
      </c>
      <c r="N778" s="870" t="s">
        <v>97</v>
      </c>
      <c r="O778" s="871">
        <v>66</v>
      </c>
      <c r="P778" s="780" t="str">
        <f t="shared" si="23"/>
        <v>IWT060266</v>
      </c>
      <c r="Q778" s="871">
        <v>27420</v>
      </c>
      <c r="R778" s="871">
        <v>27968</v>
      </c>
      <c r="S778" s="871">
        <v>28528</v>
      </c>
      <c r="T778" s="871">
        <v>29098</v>
      </c>
      <c r="U778" s="871">
        <v>29680</v>
      </c>
      <c r="V778" s="871">
        <v>32423.3</v>
      </c>
      <c r="W778" s="871">
        <v>32423.3</v>
      </c>
      <c r="X778" s="871">
        <v>32423.3</v>
      </c>
      <c r="Y778" s="871">
        <v>32423.3</v>
      </c>
      <c r="Z778" s="871">
        <v>32644</v>
      </c>
      <c r="AA778" s="871">
        <v>33297</v>
      </c>
      <c r="AB778" s="871">
        <v>33963</v>
      </c>
      <c r="AC778" s="871">
        <v>34642</v>
      </c>
      <c r="AD778" s="871">
        <v>35335</v>
      </c>
      <c r="AE778" s="871">
        <v>36041</v>
      </c>
      <c r="AF778" s="871">
        <v>36762</v>
      </c>
      <c r="AG778" s="871">
        <v>37497</v>
      </c>
      <c r="AH778" s="871">
        <v>38247</v>
      </c>
      <c r="AI778" s="871">
        <v>39012</v>
      </c>
      <c r="AJ778" s="871">
        <v>39792</v>
      </c>
      <c r="AK778" s="871">
        <v>40587</v>
      </c>
      <c r="AL778" s="871">
        <v>41399</v>
      </c>
      <c r="AM778" s="871">
        <v>42227</v>
      </c>
      <c r="AN778" s="871">
        <v>43071</v>
      </c>
      <c r="AO778" s="871">
        <v>43932</v>
      </c>
      <c r="AP778" s="871">
        <v>44811</v>
      </c>
      <c r="AQ778" s="871">
        <v>45706</v>
      </c>
      <c r="AR778" s="871">
        <v>46620</v>
      </c>
      <c r="AS778" s="871">
        <v>47552</v>
      </c>
      <c r="AT778" s="871">
        <v>48503</v>
      </c>
      <c r="AU778" s="871">
        <v>49472</v>
      </c>
      <c r="AV778" s="871">
        <v>50461</v>
      </c>
      <c r="AW778" s="871">
        <v>51469</v>
      </c>
      <c r="AX778" s="871">
        <v>52497</v>
      </c>
      <c r="AY778" s="871">
        <v>53546</v>
      </c>
      <c r="AZ778" s="871">
        <v>54616</v>
      </c>
      <c r="BA778" s="871">
        <v>55707</v>
      </c>
      <c r="BB778" s="871">
        <v>56819</v>
      </c>
      <c r="BC778" s="871">
        <v>57953</v>
      </c>
      <c r="BD778" s="871">
        <v>59109</v>
      </c>
      <c r="BE778" s="871">
        <v>60288</v>
      </c>
      <c r="BF778" s="871">
        <v>61490</v>
      </c>
      <c r="BG778" s="871">
        <v>62715</v>
      </c>
      <c r="BH778" s="871">
        <v>63964</v>
      </c>
      <c r="BI778" s="871">
        <v>64600</v>
      </c>
      <c r="BJ778" s="871">
        <v>0</v>
      </c>
      <c r="BK778" s="871">
        <v>0</v>
      </c>
      <c r="BL778" s="871">
        <v>0</v>
      </c>
      <c r="BM778" s="871">
        <v>0</v>
      </c>
      <c r="BN778" s="871">
        <v>0</v>
      </c>
      <c r="BO778" s="871">
        <v>0</v>
      </c>
      <c r="BP778" s="871">
        <v>0</v>
      </c>
      <c r="BQ778" s="871">
        <v>0</v>
      </c>
      <c r="BR778" s="871">
        <v>0</v>
      </c>
      <c r="BS778" s="871">
        <v>0</v>
      </c>
      <c r="BT778" s="871">
        <v>0</v>
      </c>
      <c r="BU778" s="871">
        <v>0</v>
      </c>
      <c r="BV778" s="871">
        <v>0</v>
      </c>
      <c r="BW778" s="871">
        <v>0</v>
      </c>
      <c r="BX778" s="871">
        <v>0</v>
      </c>
      <c r="BY778" s="871">
        <v>0</v>
      </c>
      <c r="BZ778" s="871">
        <v>0</v>
      </c>
      <c r="CA778" s="871">
        <v>0</v>
      </c>
      <c r="CB778" s="871">
        <v>0</v>
      </c>
      <c r="CC778" s="871">
        <v>0</v>
      </c>
      <c r="CD778" s="871">
        <v>0</v>
      </c>
      <c r="CE778" s="871">
        <v>0</v>
      </c>
      <c r="CF778" s="871">
        <v>0</v>
      </c>
      <c r="CG778" s="871">
        <v>0</v>
      </c>
      <c r="CH778" s="871">
        <v>0</v>
      </c>
      <c r="CI778" s="871">
        <v>0</v>
      </c>
      <c r="CJ778" s="871">
        <v>0</v>
      </c>
      <c r="CK778" s="871">
        <v>0</v>
      </c>
      <c r="CL778" s="871">
        <v>0</v>
      </c>
      <c r="CM778" s="871">
        <v>0</v>
      </c>
      <c r="CN778" s="871">
        <v>0</v>
      </c>
      <c r="CO778" s="871">
        <v>0</v>
      </c>
      <c r="CP778" s="871">
        <v>0</v>
      </c>
      <c r="CQ778" s="871">
        <v>0</v>
      </c>
      <c r="CR778" s="871">
        <v>0</v>
      </c>
      <c r="CS778" s="871">
        <v>0</v>
      </c>
      <c r="CT778" s="871">
        <v>0</v>
      </c>
      <c r="CU778" s="871">
        <v>0</v>
      </c>
      <c r="CV778" s="871">
        <v>0</v>
      </c>
      <c r="CW778" s="871">
        <v>0</v>
      </c>
      <c r="CX778" s="871">
        <v>0</v>
      </c>
      <c r="CY778" s="871">
        <v>0</v>
      </c>
      <c r="CZ778" s="871">
        <v>0</v>
      </c>
      <c r="DA778" s="871">
        <v>0</v>
      </c>
      <c r="DB778" s="871">
        <v>0</v>
      </c>
      <c r="DC778" s="871">
        <v>0</v>
      </c>
      <c r="DD778" s="871">
        <v>0</v>
      </c>
      <c r="DE778" s="871">
        <v>0</v>
      </c>
      <c r="DF778" s="871">
        <v>0</v>
      </c>
      <c r="DG778" s="871">
        <v>0</v>
      </c>
      <c r="DH778" s="871">
        <v>0</v>
      </c>
      <c r="DI778" s="871">
        <v>0</v>
      </c>
      <c r="DJ778" s="871">
        <v>0</v>
      </c>
      <c r="DK778" s="871">
        <v>0</v>
      </c>
      <c r="DL778" s="871">
        <v>0</v>
      </c>
      <c r="DM778" s="871">
        <v>0</v>
      </c>
      <c r="DN778" s="871">
        <v>0</v>
      </c>
      <c r="DO778" s="871">
        <v>0</v>
      </c>
      <c r="DP778" s="871">
        <v>0</v>
      </c>
      <c r="DQ778" s="871">
        <v>0</v>
      </c>
      <c r="DR778" s="871">
        <v>0</v>
      </c>
      <c r="DS778" s="871">
        <v>0</v>
      </c>
      <c r="DT778" s="871">
        <v>0</v>
      </c>
      <c r="DU778" s="871">
        <v>0</v>
      </c>
      <c r="DV778" s="871">
        <v>0</v>
      </c>
      <c r="DW778" s="871">
        <v>0</v>
      </c>
    </row>
    <row r="779" spans="12:127" hidden="1">
      <c r="L779" s="870" t="s">
        <v>1060</v>
      </c>
      <c r="M779" s="870" t="s">
        <v>1382</v>
      </c>
      <c r="N779" s="870" t="s">
        <v>97</v>
      </c>
      <c r="O779" s="871">
        <v>67</v>
      </c>
      <c r="P779" s="780" t="str">
        <f t="shared" si="23"/>
        <v>IWT060267</v>
      </c>
      <c r="Q779" s="871">
        <v>27381</v>
      </c>
      <c r="R779" s="871">
        <v>27929</v>
      </c>
      <c r="S779" s="871">
        <v>28488</v>
      </c>
      <c r="T779" s="871">
        <v>29057</v>
      </c>
      <c r="U779" s="871">
        <v>29639</v>
      </c>
      <c r="V779" s="871">
        <v>32442.400000000001</v>
      </c>
      <c r="W779" s="871">
        <v>32442.400000000001</v>
      </c>
      <c r="X779" s="871">
        <v>32442.400000000001</v>
      </c>
      <c r="Y779" s="871">
        <v>32442.400000000001</v>
      </c>
      <c r="Z779" s="871">
        <v>32575</v>
      </c>
      <c r="AA779" s="871">
        <v>33226</v>
      </c>
      <c r="AB779" s="871">
        <v>33891</v>
      </c>
      <c r="AC779" s="871">
        <v>34568</v>
      </c>
      <c r="AD779" s="871">
        <v>35260</v>
      </c>
      <c r="AE779" s="871">
        <v>35965</v>
      </c>
      <c r="AF779" s="871">
        <v>36684</v>
      </c>
      <c r="AG779" s="871">
        <v>37417</v>
      </c>
      <c r="AH779" s="871">
        <v>38166</v>
      </c>
      <c r="AI779" s="871">
        <v>38929</v>
      </c>
      <c r="AJ779" s="871">
        <v>39707</v>
      </c>
      <c r="AK779" s="871">
        <v>40501</v>
      </c>
      <c r="AL779" s="871">
        <v>41311</v>
      </c>
      <c r="AM779" s="871">
        <v>42137</v>
      </c>
      <c r="AN779" s="871">
        <v>42980</v>
      </c>
      <c r="AO779" s="871">
        <v>43839</v>
      </c>
      <c r="AP779" s="871">
        <v>44715</v>
      </c>
      <c r="AQ779" s="871">
        <v>45609</v>
      </c>
      <c r="AR779" s="871">
        <v>46521</v>
      </c>
      <c r="AS779" s="871">
        <v>47451</v>
      </c>
      <c r="AT779" s="871">
        <v>48399</v>
      </c>
      <c r="AU779" s="871">
        <v>49367</v>
      </c>
      <c r="AV779" s="871">
        <v>50353</v>
      </c>
      <c r="AW779" s="871">
        <v>51359</v>
      </c>
      <c r="AX779" s="871">
        <v>52385</v>
      </c>
      <c r="AY779" s="871">
        <v>53432</v>
      </c>
      <c r="AZ779" s="871">
        <v>54499</v>
      </c>
      <c r="BA779" s="871">
        <v>55587</v>
      </c>
      <c r="BB779" s="871">
        <v>56696</v>
      </c>
      <c r="BC779" s="871">
        <v>57828</v>
      </c>
      <c r="BD779" s="871">
        <v>58981</v>
      </c>
      <c r="BE779" s="871">
        <v>60157</v>
      </c>
      <c r="BF779" s="871">
        <v>61356</v>
      </c>
      <c r="BG779" s="871">
        <v>62577</v>
      </c>
      <c r="BH779" s="871">
        <v>63200</v>
      </c>
      <c r="BI779" s="871">
        <v>0</v>
      </c>
      <c r="BJ779" s="871">
        <v>0</v>
      </c>
      <c r="BK779" s="871">
        <v>0</v>
      </c>
      <c r="BL779" s="871">
        <v>0</v>
      </c>
      <c r="BM779" s="871">
        <v>0</v>
      </c>
      <c r="BN779" s="871">
        <v>0</v>
      </c>
      <c r="BO779" s="871">
        <v>0</v>
      </c>
      <c r="BP779" s="871">
        <v>0</v>
      </c>
      <c r="BQ779" s="871">
        <v>0</v>
      </c>
      <c r="BR779" s="871">
        <v>0</v>
      </c>
      <c r="BS779" s="871">
        <v>0</v>
      </c>
      <c r="BT779" s="871">
        <v>0</v>
      </c>
      <c r="BU779" s="871">
        <v>0</v>
      </c>
      <c r="BV779" s="871">
        <v>0</v>
      </c>
      <c r="BW779" s="871">
        <v>0</v>
      </c>
      <c r="BX779" s="871">
        <v>0</v>
      </c>
      <c r="BY779" s="871">
        <v>0</v>
      </c>
      <c r="BZ779" s="871">
        <v>0</v>
      </c>
      <c r="CA779" s="871">
        <v>0</v>
      </c>
      <c r="CB779" s="871">
        <v>0</v>
      </c>
      <c r="CC779" s="871">
        <v>0</v>
      </c>
      <c r="CD779" s="871">
        <v>0</v>
      </c>
      <c r="CE779" s="871">
        <v>0</v>
      </c>
      <c r="CF779" s="871">
        <v>0</v>
      </c>
      <c r="CG779" s="871">
        <v>0</v>
      </c>
      <c r="CH779" s="871">
        <v>0</v>
      </c>
      <c r="CI779" s="871">
        <v>0</v>
      </c>
      <c r="CJ779" s="871">
        <v>0</v>
      </c>
      <c r="CK779" s="871">
        <v>0</v>
      </c>
      <c r="CL779" s="871">
        <v>0</v>
      </c>
      <c r="CM779" s="871">
        <v>0</v>
      </c>
      <c r="CN779" s="871">
        <v>0</v>
      </c>
      <c r="CO779" s="871">
        <v>0</v>
      </c>
      <c r="CP779" s="871">
        <v>0</v>
      </c>
      <c r="CQ779" s="871">
        <v>0</v>
      </c>
      <c r="CR779" s="871">
        <v>0</v>
      </c>
      <c r="CS779" s="871">
        <v>0</v>
      </c>
      <c r="CT779" s="871">
        <v>0</v>
      </c>
      <c r="CU779" s="871">
        <v>0</v>
      </c>
      <c r="CV779" s="871">
        <v>0</v>
      </c>
      <c r="CW779" s="871">
        <v>0</v>
      </c>
      <c r="CX779" s="871">
        <v>0</v>
      </c>
      <c r="CY779" s="871">
        <v>0</v>
      </c>
      <c r="CZ779" s="871">
        <v>0</v>
      </c>
      <c r="DA779" s="871">
        <v>0</v>
      </c>
      <c r="DB779" s="871">
        <v>0</v>
      </c>
      <c r="DC779" s="871">
        <v>0</v>
      </c>
      <c r="DD779" s="871">
        <v>0</v>
      </c>
      <c r="DE779" s="871">
        <v>0</v>
      </c>
      <c r="DF779" s="871">
        <v>0</v>
      </c>
      <c r="DG779" s="871">
        <v>0</v>
      </c>
      <c r="DH779" s="871">
        <v>0</v>
      </c>
      <c r="DI779" s="871">
        <v>0</v>
      </c>
      <c r="DJ779" s="871">
        <v>0</v>
      </c>
      <c r="DK779" s="871">
        <v>0</v>
      </c>
      <c r="DL779" s="871">
        <v>0</v>
      </c>
      <c r="DM779" s="871">
        <v>0</v>
      </c>
      <c r="DN779" s="871">
        <v>0</v>
      </c>
      <c r="DO779" s="871">
        <v>0</v>
      </c>
      <c r="DP779" s="871">
        <v>0</v>
      </c>
      <c r="DQ779" s="871">
        <v>0</v>
      </c>
      <c r="DR779" s="871">
        <v>0</v>
      </c>
      <c r="DS779" s="871">
        <v>0</v>
      </c>
      <c r="DT779" s="871">
        <v>0</v>
      </c>
      <c r="DU779" s="871">
        <v>0</v>
      </c>
      <c r="DV779" s="871">
        <v>0</v>
      </c>
      <c r="DW779" s="871">
        <v>0</v>
      </c>
    </row>
    <row r="780" spans="12:127" hidden="1">
      <c r="L780" s="870" t="s">
        <v>1060</v>
      </c>
      <c r="M780" s="870" t="s">
        <v>1382</v>
      </c>
      <c r="N780" s="870" t="s">
        <v>97</v>
      </c>
      <c r="O780" s="871">
        <v>68</v>
      </c>
      <c r="P780" s="780" t="str">
        <f t="shared" si="23"/>
        <v>IWT060268</v>
      </c>
      <c r="Q780" s="871">
        <v>27335</v>
      </c>
      <c r="R780" s="871">
        <v>27882</v>
      </c>
      <c r="S780" s="871">
        <v>28439</v>
      </c>
      <c r="T780" s="871">
        <v>29008</v>
      </c>
      <c r="U780" s="871">
        <v>29588</v>
      </c>
      <c r="V780" s="871">
        <v>32461.4</v>
      </c>
      <c r="W780" s="871">
        <v>32461.4</v>
      </c>
      <c r="X780" s="871">
        <v>32461.4</v>
      </c>
      <c r="Y780" s="871">
        <v>32461.4</v>
      </c>
      <c r="Z780" s="871">
        <v>32490</v>
      </c>
      <c r="AA780" s="871">
        <v>33140</v>
      </c>
      <c r="AB780" s="871">
        <v>33803</v>
      </c>
      <c r="AC780" s="871">
        <v>34479</v>
      </c>
      <c r="AD780" s="871">
        <v>35168</v>
      </c>
      <c r="AE780" s="871">
        <v>35872</v>
      </c>
      <c r="AF780" s="871">
        <v>36589</v>
      </c>
      <c r="AG780" s="871">
        <v>37321</v>
      </c>
      <c r="AH780" s="871">
        <v>38067</v>
      </c>
      <c r="AI780" s="871">
        <v>38828</v>
      </c>
      <c r="AJ780" s="871">
        <v>39604</v>
      </c>
      <c r="AK780" s="871">
        <v>40396</v>
      </c>
      <c r="AL780" s="871">
        <v>41204</v>
      </c>
      <c r="AM780" s="871">
        <v>42028</v>
      </c>
      <c r="AN780" s="871">
        <v>42868</v>
      </c>
      <c r="AO780" s="871">
        <v>43725</v>
      </c>
      <c r="AP780" s="871">
        <v>44599</v>
      </c>
      <c r="AQ780" s="871">
        <v>45491</v>
      </c>
      <c r="AR780" s="871">
        <v>46400</v>
      </c>
      <c r="AS780" s="871">
        <v>47327</v>
      </c>
      <c r="AT780" s="871">
        <v>48273</v>
      </c>
      <c r="AU780" s="871">
        <v>49238</v>
      </c>
      <c r="AV780" s="871">
        <v>50222</v>
      </c>
      <c r="AW780" s="871">
        <v>51225</v>
      </c>
      <c r="AX780" s="871">
        <v>52248</v>
      </c>
      <c r="AY780" s="871">
        <v>53292</v>
      </c>
      <c r="AZ780" s="871">
        <v>54356</v>
      </c>
      <c r="BA780" s="871">
        <v>55441</v>
      </c>
      <c r="BB780" s="871">
        <v>56547</v>
      </c>
      <c r="BC780" s="871">
        <v>57675</v>
      </c>
      <c r="BD780" s="871">
        <v>58825</v>
      </c>
      <c r="BE780" s="871">
        <v>59997</v>
      </c>
      <c r="BF780" s="871">
        <v>61191</v>
      </c>
      <c r="BG780" s="871">
        <v>61800</v>
      </c>
      <c r="BH780" s="871">
        <v>0</v>
      </c>
      <c r="BI780" s="871">
        <v>0</v>
      </c>
      <c r="BJ780" s="871">
        <v>0</v>
      </c>
      <c r="BK780" s="871">
        <v>0</v>
      </c>
      <c r="BL780" s="871">
        <v>0</v>
      </c>
      <c r="BM780" s="871">
        <v>0</v>
      </c>
      <c r="BN780" s="871">
        <v>0</v>
      </c>
      <c r="BO780" s="871">
        <v>0</v>
      </c>
      <c r="BP780" s="871">
        <v>0</v>
      </c>
      <c r="BQ780" s="871">
        <v>0</v>
      </c>
      <c r="BR780" s="871">
        <v>0</v>
      </c>
      <c r="BS780" s="871">
        <v>0</v>
      </c>
      <c r="BT780" s="871">
        <v>0</v>
      </c>
      <c r="BU780" s="871">
        <v>0</v>
      </c>
      <c r="BV780" s="871">
        <v>0</v>
      </c>
      <c r="BW780" s="871">
        <v>0</v>
      </c>
      <c r="BX780" s="871">
        <v>0</v>
      </c>
      <c r="BY780" s="871">
        <v>0</v>
      </c>
      <c r="BZ780" s="871">
        <v>0</v>
      </c>
      <c r="CA780" s="871">
        <v>0</v>
      </c>
      <c r="CB780" s="871">
        <v>0</v>
      </c>
      <c r="CC780" s="871">
        <v>0</v>
      </c>
      <c r="CD780" s="871">
        <v>0</v>
      </c>
      <c r="CE780" s="871">
        <v>0</v>
      </c>
      <c r="CF780" s="871">
        <v>0</v>
      </c>
      <c r="CG780" s="871">
        <v>0</v>
      </c>
      <c r="CH780" s="871">
        <v>0</v>
      </c>
      <c r="CI780" s="871">
        <v>0</v>
      </c>
      <c r="CJ780" s="871">
        <v>0</v>
      </c>
      <c r="CK780" s="871">
        <v>0</v>
      </c>
      <c r="CL780" s="871">
        <v>0</v>
      </c>
      <c r="CM780" s="871">
        <v>0</v>
      </c>
      <c r="CN780" s="871">
        <v>0</v>
      </c>
      <c r="CO780" s="871">
        <v>0</v>
      </c>
      <c r="CP780" s="871">
        <v>0</v>
      </c>
      <c r="CQ780" s="871">
        <v>0</v>
      </c>
      <c r="CR780" s="871">
        <v>0</v>
      </c>
      <c r="CS780" s="871">
        <v>0</v>
      </c>
      <c r="CT780" s="871">
        <v>0</v>
      </c>
      <c r="CU780" s="871">
        <v>0</v>
      </c>
      <c r="CV780" s="871">
        <v>0</v>
      </c>
      <c r="CW780" s="871">
        <v>0</v>
      </c>
      <c r="CX780" s="871">
        <v>0</v>
      </c>
      <c r="CY780" s="871">
        <v>0</v>
      </c>
      <c r="CZ780" s="871">
        <v>0</v>
      </c>
      <c r="DA780" s="871">
        <v>0</v>
      </c>
      <c r="DB780" s="871">
        <v>0</v>
      </c>
      <c r="DC780" s="871">
        <v>0</v>
      </c>
      <c r="DD780" s="871">
        <v>0</v>
      </c>
      <c r="DE780" s="871">
        <v>0</v>
      </c>
      <c r="DF780" s="871">
        <v>0</v>
      </c>
      <c r="DG780" s="871">
        <v>0</v>
      </c>
      <c r="DH780" s="871">
        <v>0</v>
      </c>
      <c r="DI780" s="871">
        <v>0</v>
      </c>
      <c r="DJ780" s="871">
        <v>0</v>
      </c>
      <c r="DK780" s="871">
        <v>0</v>
      </c>
      <c r="DL780" s="871">
        <v>0</v>
      </c>
      <c r="DM780" s="871">
        <v>0</v>
      </c>
      <c r="DN780" s="871">
        <v>0</v>
      </c>
      <c r="DO780" s="871">
        <v>0</v>
      </c>
      <c r="DP780" s="871">
        <v>0</v>
      </c>
      <c r="DQ780" s="871">
        <v>0</v>
      </c>
      <c r="DR780" s="871">
        <v>0</v>
      </c>
      <c r="DS780" s="871">
        <v>0</v>
      </c>
      <c r="DT780" s="871">
        <v>0</v>
      </c>
      <c r="DU780" s="871">
        <v>0</v>
      </c>
      <c r="DV780" s="871">
        <v>0</v>
      </c>
      <c r="DW780" s="871">
        <v>0</v>
      </c>
    </row>
    <row r="781" spans="12:127" hidden="1">
      <c r="L781" s="870" t="s">
        <v>1060</v>
      </c>
      <c r="M781" s="870" t="s">
        <v>1382</v>
      </c>
      <c r="N781" s="870" t="s">
        <v>97</v>
      </c>
      <c r="O781" s="871">
        <v>69</v>
      </c>
      <c r="P781" s="780" t="str">
        <f t="shared" si="23"/>
        <v>IWT060269</v>
      </c>
      <c r="Q781" s="871">
        <v>27280</v>
      </c>
      <c r="R781" s="871">
        <v>27826</v>
      </c>
      <c r="S781" s="871">
        <v>28382</v>
      </c>
      <c r="T781" s="871">
        <v>28950</v>
      </c>
      <c r="U781" s="871">
        <v>29529</v>
      </c>
      <c r="V781" s="871">
        <v>32480.5</v>
      </c>
      <c r="W781" s="871">
        <v>32480.5</v>
      </c>
      <c r="X781" s="871">
        <v>32480.5</v>
      </c>
      <c r="Y781" s="871">
        <v>32480.5</v>
      </c>
      <c r="Z781" s="871">
        <v>32480.5</v>
      </c>
      <c r="AA781" s="871">
        <v>33037</v>
      </c>
      <c r="AB781" s="871">
        <v>33697</v>
      </c>
      <c r="AC781" s="871">
        <v>34371</v>
      </c>
      <c r="AD781" s="871">
        <v>35059</v>
      </c>
      <c r="AE781" s="871">
        <v>35760</v>
      </c>
      <c r="AF781" s="871">
        <v>36475</v>
      </c>
      <c r="AG781" s="871">
        <v>37204</v>
      </c>
      <c r="AH781" s="871">
        <v>37948</v>
      </c>
      <c r="AI781" s="871">
        <v>38707</v>
      </c>
      <c r="AJ781" s="871">
        <v>39481</v>
      </c>
      <c r="AK781" s="871">
        <v>40270</v>
      </c>
      <c r="AL781" s="871">
        <v>41075</v>
      </c>
      <c r="AM781" s="871">
        <v>41896</v>
      </c>
      <c r="AN781" s="871">
        <v>42734</v>
      </c>
      <c r="AO781" s="871">
        <v>43588</v>
      </c>
      <c r="AP781" s="871">
        <v>44460</v>
      </c>
      <c r="AQ781" s="871">
        <v>45348</v>
      </c>
      <c r="AR781" s="871">
        <v>46255</v>
      </c>
      <c r="AS781" s="871">
        <v>47179</v>
      </c>
      <c r="AT781" s="871">
        <v>48122</v>
      </c>
      <c r="AU781" s="871">
        <v>49084</v>
      </c>
      <c r="AV781" s="871">
        <v>50064</v>
      </c>
      <c r="AW781" s="871">
        <v>51064</v>
      </c>
      <c r="AX781" s="871">
        <v>52084</v>
      </c>
      <c r="AY781" s="871">
        <v>53124</v>
      </c>
      <c r="AZ781" s="871">
        <v>54185</v>
      </c>
      <c r="BA781" s="871">
        <v>55266</v>
      </c>
      <c r="BB781" s="871">
        <v>56368</v>
      </c>
      <c r="BC781" s="871">
        <v>57492</v>
      </c>
      <c r="BD781" s="871">
        <v>58638</v>
      </c>
      <c r="BE781" s="871">
        <v>59805</v>
      </c>
      <c r="BF781" s="871">
        <v>60400</v>
      </c>
      <c r="BG781" s="871">
        <v>0</v>
      </c>
      <c r="BH781" s="871">
        <v>0</v>
      </c>
      <c r="BI781" s="871">
        <v>0</v>
      </c>
      <c r="BJ781" s="871">
        <v>0</v>
      </c>
      <c r="BK781" s="871">
        <v>0</v>
      </c>
      <c r="BL781" s="871">
        <v>0</v>
      </c>
      <c r="BM781" s="871">
        <v>0</v>
      </c>
      <c r="BN781" s="871">
        <v>0</v>
      </c>
      <c r="BO781" s="871">
        <v>0</v>
      </c>
      <c r="BP781" s="871">
        <v>0</v>
      </c>
      <c r="BQ781" s="871">
        <v>0</v>
      </c>
      <c r="BR781" s="871">
        <v>0</v>
      </c>
      <c r="BS781" s="871">
        <v>0</v>
      </c>
      <c r="BT781" s="871">
        <v>0</v>
      </c>
      <c r="BU781" s="871">
        <v>0</v>
      </c>
      <c r="BV781" s="871">
        <v>0</v>
      </c>
      <c r="BW781" s="871">
        <v>0</v>
      </c>
      <c r="BX781" s="871">
        <v>0</v>
      </c>
      <c r="BY781" s="871">
        <v>0</v>
      </c>
      <c r="BZ781" s="871">
        <v>0</v>
      </c>
      <c r="CA781" s="871">
        <v>0</v>
      </c>
      <c r="CB781" s="871">
        <v>0</v>
      </c>
      <c r="CC781" s="871">
        <v>0</v>
      </c>
      <c r="CD781" s="871">
        <v>0</v>
      </c>
      <c r="CE781" s="871">
        <v>0</v>
      </c>
      <c r="CF781" s="871">
        <v>0</v>
      </c>
      <c r="CG781" s="871">
        <v>0</v>
      </c>
      <c r="CH781" s="871">
        <v>0</v>
      </c>
      <c r="CI781" s="871">
        <v>0</v>
      </c>
      <c r="CJ781" s="871">
        <v>0</v>
      </c>
      <c r="CK781" s="871">
        <v>0</v>
      </c>
      <c r="CL781" s="871">
        <v>0</v>
      </c>
      <c r="CM781" s="871">
        <v>0</v>
      </c>
      <c r="CN781" s="871">
        <v>0</v>
      </c>
      <c r="CO781" s="871">
        <v>0</v>
      </c>
      <c r="CP781" s="871">
        <v>0</v>
      </c>
      <c r="CQ781" s="871">
        <v>0</v>
      </c>
      <c r="CR781" s="871">
        <v>0</v>
      </c>
      <c r="CS781" s="871">
        <v>0</v>
      </c>
      <c r="CT781" s="871">
        <v>0</v>
      </c>
      <c r="CU781" s="871">
        <v>0</v>
      </c>
      <c r="CV781" s="871">
        <v>0</v>
      </c>
      <c r="CW781" s="871">
        <v>0</v>
      </c>
      <c r="CX781" s="871">
        <v>0</v>
      </c>
      <c r="CY781" s="871">
        <v>0</v>
      </c>
      <c r="CZ781" s="871">
        <v>0</v>
      </c>
      <c r="DA781" s="871">
        <v>0</v>
      </c>
      <c r="DB781" s="871">
        <v>0</v>
      </c>
      <c r="DC781" s="871">
        <v>0</v>
      </c>
      <c r="DD781" s="871">
        <v>0</v>
      </c>
      <c r="DE781" s="871">
        <v>0</v>
      </c>
      <c r="DF781" s="871">
        <v>0</v>
      </c>
      <c r="DG781" s="871">
        <v>0</v>
      </c>
      <c r="DH781" s="871">
        <v>0</v>
      </c>
      <c r="DI781" s="871">
        <v>0</v>
      </c>
      <c r="DJ781" s="871">
        <v>0</v>
      </c>
      <c r="DK781" s="871">
        <v>0</v>
      </c>
      <c r="DL781" s="871">
        <v>0</v>
      </c>
      <c r="DM781" s="871">
        <v>0</v>
      </c>
      <c r="DN781" s="871">
        <v>0</v>
      </c>
      <c r="DO781" s="871">
        <v>0</v>
      </c>
      <c r="DP781" s="871">
        <v>0</v>
      </c>
      <c r="DQ781" s="871">
        <v>0</v>
      </c>
      <c r="DR781" s="871">
        <v>0</v>
      </c>
      <c r="DS781" s="871">
        <v>0</v>
      </c>
      <c r="DT781" s="871">
        <v>0</v>
      </c>
      <c r="DU781" s="871">
        <v>0</v>
      </c>
      <c r="DV781" s="871">
        <v>0</v>
      </c>
      <c r="DW781" s="871">
        <v>0</v>
      </c>
    </row>
    <row r="782" spans="12:127" hidden="1">
      <c r="L782" s="870" t="s">
        <v>1060</v>
      </c>
      <c r="M782" s="870" t="s">
        <v>1382</v>
      </c>
      <c r="N782" s="870" t="s">
        <v>97</v>
      </c>
      <c r="O782" s="871">
        <v>70</v>
      </c>
      <c r="P782" s="780" t="str">
        <f t="shared" si="23"/>
        <v>IWT060270</v>
      </c>
      <c r="Q782" s="871">
        <v>27218</v>
      </c>
      <c r="R782" s="871">
        <v>27762</v>
      </c>
      <c r="S782" s="871">
        <v>28317</v>
      </c>
      <c r="T782" s="871">
        <v>28884</v>
      </c>
      <c r="U782" s="871">
        <v>29461</v>
      </c>
      <c r="V782" s="871">
        <v>32499.599999999999</v>
      </c>
      <c r="W782" s="871">
        <v>32499.599999999999</v>
      </c>
      <c r="X782" s="871">
        <v>32499.599999999999</v>
      </c>
      <c r="Y782" s="871">
        <v>32499.599999999999</v>
      </c>
      <c r="Z782" s="871">
        <v>32499.599999999999</v>
      </c>
      <c r="AA782" s="871">
        <v>32917</v>
      </c>
      <c r="AB782" s="871">
        <v>33575</v>
      </c>
      <c r="AC782" s="871">
        <v>34246</v>
      </c>
      <c r="AD782" s="871">
        <v>34931</v>
      </c>
      <c r="AE782" s="871">
        <v>35630</v>
      </c>
      <c r="AF782" s="871">
        <v>36342</v>
      </c>
      <c r="AG782" s="871">
        <v>37069</v>
      </c>
      <c r="AH782" s="871">
        <v>37810</v>
      </c>
      <c r="AI782" s="871">
        <v>38566</v>
      </c>
      <c r="AJ782" s="871">
        <v>39337</v>
      </c>
      <c r="AK782" s="871">
        <v>40124</v>
      </c>
      <c r="AL782" s="871">
        <v>40926</v>
      </c>
      <c r="AM782" s="871">
        <v>41744</v>
      </c>
      <c r="AN782" s="871">
        <v>42579</v>
      </c>
      <c r="AO782" s="871">
        <v>43430</v>
      </c>
      <c r="AP782" s="871">
        <v>44298</v>
      </c>
      <c r="AQ782" s="871">
        <v>45183</v>
      </c>
      <c r="AR782" s="871">
        <v>46086</v>
      </c>
      <c r="AS782" s="871">
        <v>47007</v>
      </c>
      <c r="AT782" s="871">
        <v>47946</v>
      </c>
      <c r="AU782" s="871">
        <v>48904</v>
      </c>
      <c r="AV782" s="871">
        <v>49881</v>
      </c>
      <c r="AW782" s="871">
        <v>50877</v>
      </c>
      <c r="AX782" s="871">
        <v>51893</v>
      </c>
      <c r="AY782" s="871">
        <v>52929</v>
      </c>
      <c r="AZ782" s="871">
        <v>53985</v>
      </c>
      <c r="BA782" s="871">
        <v>55062</v>
      </c>
      <c r="BB782" s="871">
        <v>56160</v>
      </c>
      <c r="BC782" s="871">
        <v>57279</v>
      </c>
      <c r="BD782" s="871">
        <v>58419</v>
      </c>
      <c r="BE782" s="871">
        <v>59000</v>
      </c>
      <c r="BF782" s="871">
        <v>0</v>
      </c>
      <c r="BG782" s="871">
        <v>0</v>
      </c>
      <c r="BH782" s="871">
        <v>0</v>
      </c>
      <c r="BI782" s="871">
        <v>0</v>
      </c>
      <c r="BJ782" s="871">
        <v>0</v>
      </c>
      <c r="BK782" s="871">
        <v>0</v>
      </c>
      <c r="BL782" s="871">
        <v>0</v>
      </c>
      <c r="BM782" s="871">
        <v>0</v>
      </c>
      <c r="BN782" s="871">
        <v>0</v>
      </c>
      <c r="BO782" s="871">
        <v>0</v>
      </c>
      <c r="BP782" s="871">
        <v>0</v>
      </c>
      <c r="BQ782" s="871">
        <v>0</v>
      </c>
      <c r="BR782" s="871">
        <v>0</v>
      </c>
      <c r="BS782" s="871">
        <v>0</v>
      </c>
      <c r="BT782" s="871">
        <v>0</v>
      </c>
      <c r="BU782" s="871">
        <v>0</v>
      </c>
      <c r="BV782" s="871">
        <v>0</v>
      </c>
      <c r="BW782" s="871">
        <v>0</v>
      </c>
      <c r="BX782" s="871">
        <v>0</v>
      </c>
      <c r="BY782" s="871">
        <v>0</v>
      </c>
      <c r="BZ782" s="871">
        <v>0</v>
      </c>
      <c r="CA782" s="871">
        <v>0</v>
      </c>
      <c r="CB782" s="871">
        <v>0</v>
      </c>
      <c r="CC782" s="871">
        <v>0</v>
      </c>
      <c r="CD782" s="871">
        <v>0</v>
      </c>
      <c r="CE782" s="871">
        <v>0</v>
      </c>
      <c r="CF782" s="871">
        <v>0</v>
      </c>
      <c r="CG782" s="871">
        <v>0</v>
      </c>
      <c r="CH782" s="871">
        <v>0</v>
      </c>
      <c r="CI782" s="871">
        <v>0</v>
      </c>
      <c r="CJ782" s="871">
        <v>0</v>
      </c>
      <c r="CK782" s="871">
        <v>0</v>
      </c>
      <c r="CL782" s="871">
        <v>0</v>
      </c>
      <c r="CM782" s="871">
        <v>0</v>
      </c>
      <c r="CN782" s="871">
        <v>0</v>
      </c>
      <c r="CO782" s="871">
        <v>0</v>
      </c>
      <c r="CP782" s="871">
        <v>0</v>
      </c>
      <c r="CQ782" s="871">
        <v>0</v>
      </c>
      <c r="CR782" s="871">
        <v>0</v>
      </c>
      <c r="CS782" s="871">
        <v>0</v>
      </c>
      <c r="CT782" s="871">
        <v>0</v>
      </c>
      <c r="CU782" s="871">
        <v>0</v>
      </c>
      <c r="CV782" s="871">
        <v>0</v>
      </c>
      <c r="CW782" s="871">
        <v>0</v>
      </c>
      <c r="CX782" s="871">
        <v>0</v>
      </c>
      <c r="CY782" s="871">
        <v>0</v>
      </c>
      <c r="CZ782" s="871">
        <v>0</v>
      </c>
      <c r="DA782" s="871">
        <v>0</v>
      </c>
      <c r="DB782" s="871">
        <v>0</v>
      </c>
      <c r="DC782" s="871">
        <v>0</v>
      </c>
      <c r="DD782" s="871">
        <v>0</v>
      </c>
      <c r="DE782" s="871">
        <v>0</v>
      </c>
      <c r="DF782" s="871">
        <v>0</v>
      </c>
      <c r="DG782" s="871">
        <v>0</v>
      </c>
      <c r="DH782" s="871">
        <v>0</v>
      </c>
      <c r="DI782" s="871">
        <v>0</v>
      </c>
      <c r="DJ782" s="871">
        <v>0</v>
      </c>
      <c r="DK782" s="871">
        <v>0</v>
      </c>
      <c r="DL782" s="871">
        <v>0</v>
      </c>
      <c r="DM782" s="871">
        <v>0</v>
      </c>
      <c r="DN782" s="871">
        <v>0</v>
      </c>
      <c r="DO782" s="871">
        <v>0</v>
      </c>
      <c r="DP782" s="871">
        <v>0</v>
      </c>
      <c r="DQ782" s="871">
        <v>0</v>
      </c>
      <c r="DR782" s="871">
        <v>0</v>
      </c>
      <c r="DS782" s="871">
        <v>0</v>
      </c>
      <c r="DT782" s="871">
        <v>0</v>
      </c>
      <c r="DU782" s="871">
        <v>0</v>
      </c>
      <c r="DV782" s="871">
        <v>0</v>
      </c>
      <c r="DW782" s="871">
        <v>0</v>
      </c>
    </row>
    <row r="783" spans="12:127" hidden="1">
      <c r="L783" s="870" t="s">
        <v>1060</v>
      </c>
      <c r="M783" s="870" t="s">
        <v>1382</v>
      </c>
      <c r="N783" s="870" t="s">
        <v>97</v>
      </c>
      <c r="O783" s="871">
        <v>71</v>
      </c>
      <c r="P783" s="780" t="str">
        <f t="shared" si="23"/>
        <v>IWT060271</v>
      </c>
      <c r="Q783" s="871">
        <v>27153</v>
      </c>
      <c r="R783" s="871">
        <v>27696</v>
      </c>
      <c r="S783" s="871">
        <v>28250</v>
      </c>
      <c r="T783" s="871">
        <v>28815</v>
      </c>
      <c r="U783" s="871">
        <v>29391</v>
      </c>
      <c r="V783" s="871">
        <v>32531.4</v>
      </c>
      <c r="W783" s="871">
        <v>32531.4</v>
      </c>
      <c r="X783" s="871">
        <v>32531.4</v>
      </c>
      <c r="Y783" s="871">
        <v>32531.4</v>
      </c>
      <c r="Z783" s="871">
        <v>32531.4</v>
      </c>
      <c r="AA783" s="871">
        <v>32778</v>
      </c>
      <c r="AB783" s="871">
        <v>33434</v>
      </c>
      <c r="AC783" s="871">
        <v>34102</v>
      </c>
      <c r="AD783" s="871">
        <v>34784</v>
      </c>
      <c r="AE783" s="871">
        <v>35480</v>
      </c>
      <c r="AF783" s="871">
        <v>36189</v>
      </c>
      <c r="AG783" s="871">
        <v>36913</v>
      </c>
      <c r="AH783" s="871">
        <v>37651</v>
      </c>
      <c r="AI783" s="871">
        <v>38404</v>
      </c>
      <c r="AJ783" s="871">
        <v>39172</v>
      </c>
      <c r="AK783" s="871">
        <v>39955</v>
      </c>
      <c r="AL783" s="871">
        <v>40754</v>
      </c>
      <c r="AM783" s="871">
        <v>41568</v>
      </c>
      <c r="AN783" s="871">
        <v>42399</v>
      </c>
      <c r="AO783" s="871">
        <v>43247</v>
      </c>
      <c r="AP783" s="871">
        <v>44111</v>
      </c>
      <c r="AQ783" s="871">
        <v>44993</v>
      </c>
      <c r="AR783" s="871">
        <v>45892</v>
      </c>
      <c r="AS783" s="871">
        <v>46809</v>
      </c>
      <c r="AT783" s="871">
        <v>47744</v>
      </c>
      <c r="AU783" s="871">
        <v>48698</v>
      </c>
      <c r="AV783" s="871">
        <v>49670</v>
      </c>
      <c r="AW783" s="871">
        <v>50662</v>
      </c>
      <c r="AX783" s="871">
        <v>51673</v>
      </c>
      <c r="AY783" s="871">
        <v>52704</v>
      </c>
      <c r="AZ783" s="871">
        <v>53755</v>
      </c>
      <c r="BA783" s="871">
        <v>54827</v>
      </c>
      <c r="BB783" s="871">
        <v>55919</v>
      </c>
      <c r="BC783" s="871">
        <v>57032</v>
      </c>
      <c r="BD783" s="871">
        <v>57600</v>
      </c>
      <c r="BE783" s="871">
        <v>0</v>
      </c>
      <c r="BF783" s="871">
        <v>0</v>
      </c>
      <c r="BG783" s="871">
        <v>0</v>
      </c>
      <c r="BH783" s="871">
        <v>0</v>
      </c>
      <c r="BI783" s="871">
        <v>0</v>
      </c>
      <c r="BJ783" s="871">
        <v>0</v>
      </c>
      <c r="BK783" s="871">
        <v>0</v>
      </c>
      <c r="BL783" s="871">
        <v>0</v>
      </c>
      <c r="BM783" s="871">
        <v>0</v>
      </c>
      <c r="BN783" s="871">
        <v>0</v>
      </c>
      <c r="BO783" s="871">
        <v>0</v>
      </c>
      <c r="BP783" s="871">
        <v>0</v>
      </c>
      <c r="BQ783" s="871">
        <v>0</v>
      </c>
      <c r="BR783" s="871">
        <v>0</v>
      </c>
      <c r="BS783" s="871">
        <v>0</v>
      </c>
      <c r="BT783" s="871">
        <v>0</v>
      </c>
      <c r="BU783" s="871">
        <v>0</v>
      </c>
      <c r="BV783" s="871">
        <v>0</v>
      </c>
      <c r="BW783" s="871">
        <v>0</v>
      </c>
      <c r="BX783" s="871">
        <v>0</v>
      </c>
      <c r="BY783" s="871">
        <v>0</v>
      </c>
      <c r="BZ783" s="871">
        <v>0</v>
      </c>
      <c r="CA783" s="871">
        <v>0</v>
      </c>
      <c r="CB783" s="871">
        <v>0</v>
      </c>
      <c r="CC783" s="871">
        <v>0</v>
      </c>
      <c r="CD783" s="871">
        <v>0</v>
      </c>
      <c r="CE783" s="871">
        <v>0</v>
      </c>
      <c r="CF783" s="871">
        <v>0</v>
      </c>
      <c r="CG783" s="871">
        <v>0</v>
      </c>
      <c r="CH783" s="871">
        <v>0</v>
      </c>
      <c r="CI783" s="871">
        <v>0</v>
      </c>
      <c r="CJ783" s="871">
        <v>0</v>
      </c>
      <c r="CK783" s="871">
        <v>0</v>
      </c>
      <c r="CL783" s="871">
        <v>0</v>
      </c>
      <c r="CM783" s="871">
        <v>0</v>
      </c>
      <c r="CN783" s="871">
        <v>0</v>
      </c>
      <c r="CO783" s="871">
        <v>0</v>
      </c>
      <c r="CP783" s="871">
        <v>0</v>
      </c>
      <c r="CQ783" s="871">
        <v>0</v>
      </c>
      <c r="CR783" s="871">
        <v>0</v>
      </c>
      <c r="CS783" s="871">
        <v>0</v>
      </c>
      <c r="CT783" s="871">
        <v>0</v>
      </c>
      <c r="CU783" s="871">
        <v>0</v>
      </c>
      <c r="CV783" s="871">
        <v>0</v>
      </c>
      <c r="CW783" s="871">
        <v>0</v>
      </c>
      <c r="CX783" s="871">
        <v>0</v>
      </c>
      <c r="CY783" s="871">
        <v>0</v>
      </c>
      <c r="CZ783" s="871">
        <v>0</v>
      </c>
      <c r="DA783" s="871">
        <v>0</v>
      </c>
      <c r="DB783" s="871">
        <v>0</v>
      </c>
      <c r="DC783" s="871">
        <v>0</v>
      </c>
      <c r="DD783" s="871">
        <v>0</v>
      </c>
      <c r="DE783" s="871">
        <v>0</v>
      </c>
      <c r="DF783" s="871">
        <v>0</v>
      </c>
      <c r="DG783" s="871">
        <v>0</v>
      </c>
      <c r="DH783" s="871">
        <v>0</v>
      </c>
      <c r="DI783" s="871">
        <v>0</v>
      </c>
      <c r="DJ783" s="871">
        <v>0</v>
      </c>
      <c r="DK783" s="871">
        <v>0</v>
      </c>
      <c r="DL783" s="871">
        <v>0</v>
      </c>
      <c r="DM783" s="871">
        <v>0</v>
      </c>
      <c r="DN783" s="871">
        <v>0</v>
      </c>
      <c r="DO783" s="871">
        <v>0</v>
      </c>
      <c r="DP783" s="871">
        <v>0</v>
      </c>
      <c r="DQ783" s="871">
        <v>0</v>
      </c>
      <c r="DR783" s="871">
        <v>0</v>
      </c>
      <c r="DS783" s="871">
        <v>0</v>
      </c>
      <c r="DT783" s="871">
        <v>0</v>
      </c>
      <c r="DU783" s="871">
        <v>0</v>
      </c>
      <c r="DV783" s="871">
        <v>0</v>
      </c>
      <c r="DW783" s="871">
        <v>0</v>
      </c>
    </row>
    <row r="784" spans="12:127" hidden="1">
      <c r="L784" s="870" t="s">
        <v>1060</v>
      </c>
      <c r="M784" s="870" t="s">
        <v>1382</v>
      </c>
      <c r="N784" s="870" t="s">
        <v>97</v>
      </c>
      <c r="O784" s="871">
        <v>72</v>
      </c>
      <c r="P784" s="780" t="str">
        <f t="shared" si="23"/>
        <v>IWT060272</v>
      </c>
      <c r="Q784" s="871">
        <v>27086</v>
      </c>
      <c r="R784" s="871">
        <v>27628</v>
      </c>
      <c r="S784" s="871">
        <v>28180</v>
      </c>
      <c r="T784" s="871">
        <v>28744</v>
      </c>
      <c r="U784" s="871">
        <v>29318</v>
      </c>
      <c r="V784" s="871">
        <v>32563.200000000001</v>
      </c>
      <c r="W784" s="871">
        <v>32563.200000000001</v>
      </c>
      <c r="X784" s="871">
        <v>32563.200000000001</v>
      </c>
      <c r="Y784" s="871">
        <v>32563.200000000001</v>
      </c>
      <c r="Z784" s="871">
        <v>32563.200000000001</v>
      </c>
      <c r="AA784" s="871">
        <v>32621</v>
      </c>
      <c r="AB784" s="871">
        <v>33273</v>
      </c>
      <c r="AC784" s="871">
        <v>33938</v>
      </c>
      <c r="AD784" s="871">
        <v>34617</v>
      </c>
      <c r="AE784" s="871">
        <v>35309</v>
      </c>
      <c r="AF784" s="871">
        <v>36015</v>
      </c>
      <c r="AG784" s="871">
        <v>36735</v>
      </c>
      <c r="AH784" s="871">
        <v>37470</v>
      </c>
      <c r="AI784" s="871">
        <v>38219</v>
      </c>
      <c r="AJ784" s="871">
        <v>38983</v>
      </c>
      <c r="AK784" s="871">
        <v>39762</v>
      </c>
      <c r="AL784" s="871">
        <v>40557</v>
      </c>
      <c r="AM784" s="871">
        <v>41368</v>
      </c>
      <c r="AN784" s="871">
        <v>42195</v>
      </c>
      <c r="AO784" s="871">
        <v>43038</v>
      </c>
      <c r="AP784" s="871">
        <v>43898</v>
      </c>
      <c r="AQ784" s="871">
        <v>44775</v>
      </c>
      <c r="AR784" s="871">
        <v>45670</v>
      </c>
      <c r="AS784" s="871">
        <v>46582</v>
      </c>
      <c r="AT784" s="871">
        <v>47513</v>
      </c>
      <c r="AU784" s="871">
        <v>48462</v>
      </c>
      <c r="AV784" s="871">
        <v>49429</v>
      </c>
      <c r="AW784" s="871">
        <v>50416</v>
      </c>
      <c r="AX784" s="871">
        <v>51422</v>
      </c>
      <c r="AY784" s="871">
        <v>52448</v>
      </c>
      <c r="AZ784" s="871">
        <v>53494</v>
      </c>
      <c r="BA784" s="871">
        <v>54560</v>
      </c>
      <c r="BB784" s="871">
        <v>55646</v>
      </c>
      <c r="BC784" s="871">
        <v>56200</v>
      </c>
      <c r="BD784" s="871">
        <v>0</v>
      </c>
      <c r="BE784" s="871">
        <v>0</v>
      </c>
      <c r="BF784" s="871">
        <v>0</v>
      </c>
      <c r="BG784" s="871">
        <v>0</v>
      </c>
      <c r="BH784" s="871">
        <v>0</v>
      </c>
      <c r="BI784" s="871">
        <v>0</v>
      </c>
      <c r="BJ784" s="871">
        <v>0</v>
      </c>
      <c r="BK784" s="871">
        <v>0</v>
      </c>
      <c r="BL784" s="871">
        <v>0</v>
      </c>
      <c r="BM784" s="871">
        <v>0</v>
      </c>
      <c r="BN784" s="871">
        <v>0</v>
      </c>
      <c r="BO784" s="871">
        <v>0</v>
      </c>
      <c r="BP784" s="871">
        <v>0</v>
      </c>
      <c r="BQ784" s="871">
        <v>0</v>
      </c>
      <c r="BR784" s="871">
        <v>0</v>
      </c>
      <c r="BS784" s="871">
        <v>0</v>
      </c>
      <c r="BT784" s="871">
        <v>0</v>
      </c>
      <c r="BU784" s="871">
        <v>0</v>
      </c>
      <c r="BV784" s="871">
        <v>0</v>
      </c>
      <c r="BW784" s="871">
        <v>0</v>
      </c>
      <c r="BX784" s="871">
        <v>0</v>
      </c>
      <c r="BY784" s="871">
        <v>0</v>
      </c>
      <c r="BZ784" s="871">
        <v>0</v>
      </c>
      <c r="CA784" s="871">
        <v>0</v>
      </c>
      <c r="CB784" s="871">
        <v>0</v>
      </c>
      <c r="CC784" s="871">
        <v>0</v>
      </c>
      <c r="CD784" s="871">
        <v>0</v>
      </c>
      <c r="CE784" s="871">
        <v>0</v>
      </c>
      <c r="CF784" s="871">
        <v>0</v>
      </c>
      <c r="CG784" s="871">
        <v>0</v>
      </c>
      <c r="CH784" s="871">
        <v>0</v>
      </c>
      <c r="CI784" s="871">
        <v>0</v>
      </c>
      <c r="CJ784" s="871">
        <v>0</v>
      </c>
      <c r="CK784" s="871">
        <v>0</v>
      </c>
      <c r="CL784" s="871">
        <v>0</v>
      </c>
      <c r="CM784" s="871">
        <v>0</v>
      </c>
      <c r="CN784" s="871">
        <v>0</v>
      </c>
      <c r="CO784" s="871">
        <v>0</v>
      </c>
      <c r="CP784" s="871">
        <v>0</v>
      </c>
      <c r="CQ784" s="871">
        <v>0</v>
      </c>
      <c r="CR784" s="871">
        <v>0</v>
      </c>
      <c r="CS784" s="871">
        <v>0</v>
      </c>
      <c r="CT784" s="871">
        <v>0</v>
      </c>
      <c r="CU784" s="871">
        <v>0</v>
      </c>
      <c r="CV784" s="871">
        <v>0</v>
      </c>
      <c r="CW784" s="871">
        <v>0</v>
      </c>
      <c r="CX784" s="871">
        <v>0</v>
      </c>
      <c r="CY784" s="871">
        <v>0</v>
      </c>
      <c r="CZ784" s="871">
        <v>0</v>
      </c>
      <c r="DA784" s="871">
        <v>0</v>
      </c>
      <c r="DB784" s="871">
        <v>0</v>
      </c>
      <c r="DC784" s="871">
        <v>0</v>
      </c>
      <c r="DD784" s="871">
        <v>0</v>
      </c>
      <c r="DE784" s="871">
        <v>0</v>
      </c>
      <c r="DF784" s="871">
        <v>0</v>
      </c>
      <c r="DG784" s="871">
        <v>0</v>
      </c>
      <c r="DH784" s="871">
        <v>0</v>
      </c>
      <c r="DI784" s="871">
        <v>0</v>
      </c>
      <c r="DJ784" s="871">
        <v>0</v>
      </c>
      <c r="DK784" s="871">
        <v>0</v>
      </c>
      <c r="DL784" s="871">
        <v>0</v>
      </c>
      <c r="DM784" s="871">
        <v>0</v>
      </c>
      <c r="DN784" s="871">
        <v>0</v>
      </c>
      <c r="DO784" s="871">
        <v>0</v>
      </c>
      <c r="DP784" s="871">
        <v>0</v>
      </c>
      <c r="DQ784" s="871">
        <v>0</v>
      </c>
      <c r="DR784" s="871">
        <v>0</v>
      </c>
      <c r="DS784" s="871">
        <v>0</v>
      </c>
      <c r="DT784" s="871">
        <v>0</v>
      </c>
      <c r="DU784" s="871">
        <v>0</v>
      </c>
      <c r="DV784" s="871">
        <v>0</v>
      </c>
      <c r="DW784" s="871">
        <v>0</v>
      </c>
    </row>
    <row r="785" spans="12:127" hidden="1">
      <c r="L785" s="870" t="s">
        <v>1060</v>
      </c>
      <c r="M785" s="870" t="s">
        <v>1382</v>
      </c>
      <c r="N785" s="870" t="s">
        <v>97</v>
      </c>
      <c r="O785" s="871">
        <v>73</v>
      </c>
      <c r="P785" s="780" t="str">
        <f t="shared" si="23"/>
        <v>IWT060273</v>
      </c>
      <c r="Q785" s="871">
        <v>27017</v>
      </c>
      <c r="R785" s="871">
        <v>27557</v>
      </c>
      <c r="S785" s="871">
        <v>28108</v>
      </c>
      <c r="T785" s="871">
        <v>28670</v>
      </c>
      <c r="U785" s="871">
        <v>29244</v>
      </c>
      <c r="V785" s="871">
        <v>32595</v>
      </c>
      <c r="W785" s="871">
        <v>32595</v>
      </c>
      <c r="X785" s="871">
        <v>32595</v>
      </c>
      <c r="Y785" s="871">
        <v>32595</v>
      </c>
      <c r="Z785" s="871">
        <v>32595</v>
      </c>
      <c r="AA785" s="871">
        <v>32595</v>
      </c>
      <c r="AB785" s="871">
        <v>33093</v>
      </c>
      <c r="AC785" s="871">
        <v>33755</v>
      </c>
      <c r="AD785" s="871">
        <v>34430</v>
      </c>
      <c r="AE785" s="871">
        <v>35118</v>
      </c>
      <c r="AF785" s="871">
        <v>35820</v>
      </c>
      <c r="AG785" s="871">
        <v>36537</v>
      </c>
      <c r="AH785" s="871">
        <v>37267</v>
      </c>
      <c r="AI785" s="871">
        <v>38012</v>
      </c>
      <c r="AJ785" s="871">
        <v>38772</v>
      </c>
      <c r="AK785" s="871">
        <v>39547</v>
      </c>
      <c r="AL785" s="871">
        <v>40338</v>
      </c>
      <c r="AM785" s="871">
        <v>41144</v>
      </c>
      <c r="AN785" s="871">
        <v>41967</v>
      </c>
      <c r="AO785" s="871">
        <v>42805</v>
      </c>
      <c r="AP785" s="871">
        <v>43661</v>
      </c>
      <c r="AQ785" s="871">
        <v>44533</v>
      </c>
      <c r="AR785" s="871">
        <v>45423</v>
      </c>
      <c r="AS785" s="871">
        <v>46330</v>
      </c>
      <c r="AT785" s="871">
        <v>47255</v>
      </c>
      <c r="AU785" s="871">
        <v>48199</v>
      </c>
      <c r="AV785" s="871">
        <v>49161</v>
      </c>
      <c r="AW785" s="871">
        <v>50142</v>
      </c>
      <c r="AX785" s="871">
        <v>51142</v>
      </c>
      <c r="AY785" s="871">
        <v>52162</v>
      </c>
      <c r="AZ785" s="871">
        <v>53201</v>
      </c>
      <c r="BA785" s="871">
        <v>54260</v>
      </c>
      <c r="BB785" s="871">
        <v>54800</v>
      </c>
      <c r="BC785" s="871">
        <v>0</v>
      </c>
      <c r="BD785" s="871">
        <v>0</v>
      </c>
      <c r="BE785" s="871">
        <v>0</v>
      </c>
      <c r="BF785" s="871">
        <v>0</v>
      </c>
      <c r="BG785" s="871">
        <v>0</v>
      </c>
      <c r="BH785" s="871">
        <v>0</v>
      </c>
      <c r="BI785" s="871">
        <v>0</v>
      </c>
      <c r="BJ785" s="871">
        <v>0</v>
      </c>
      <c r="BK785" s="871">
        <v>0</v>
      </c>
      <c r="BL785" s="871">
        <v>0</v>
      </c>
      <c r="BM785" s="871">
        <v>0</v>
      </c>
      <c r="BN785" s="871">
        <v>0</v>
      </c>
      <c r="BO785" s="871">
        <v>0</v>
      </c>
      <c r="BP785" s="871">
        <v>0</v>
      </c>
      <c r="BQ785" s="871">
        <v>0</v>
      </c>
      <c r="BR785" s="871">
        <v>0</v>
      </c>
      <c r="BS785" s="871">
        <v>0</v>
      </c>
      <c r="BT785" s="871">
        <v>0</v>
      </c>
      <c r="BU785" s="871">
        <v>0</v>
      </c>
      <c r="BV785" s="871">
        <v>0</v>
      </c>
      <c r="BW785" s="871">
        <v>0</v>
      </c>
      <c r="BX785" s="871">
        <v>0</v>
      </c>
      <c r="BY785" s="871">
        <v>0</v>
      </c>
      <c r="BZ785" s="871">
        <v>0</v>
      </c>
      <c r="CA785" s="871">
        <v>0</v>
      </c>
      <c r="CB785" s="871">
        <v>0</v>
      </c>
      <c r="CC785" s="871">
        <v>0</v>
      </c>
      <c r="CD785" s="871">
        <v>0</v>
      </c>
      <c r="CE785" s="871">
        <v>0</v>
      </c>
      <c r="CF785" s="871">
        <v>0</v>
      </c>
      <c r="CG785" s="871">
        <v>0</v>
      </c>
      <c r="CH785" s="871">
        <v>0</v>
      </c>
      <c r="CI785" s="871">
        <v>0</v>
      </c>
      <c r="CJ785" s="871">
        <v>0</v>
      </c>
      <c r="CK785" s="871">
        <v>0</v>
      </c>
      <c r="CL785" s="871">
        <v>0</v>
      </c>
      <c r="CM785" s="871">
        <v>0</v>
      </c>
      <c r="CN785" s="871">
        <v>0</v>
      </c>
      <c r="CO785" s="871">
        <v>0</v>
      </c>
      <c r="CP785" s="871">
        <v>0</v>
      </c>
      <c r="CQ785" s="871">
        <v>0</v>
      </c>
      <c r="CR785" s="871">
        <v>0</v>
      </c>
      <c r="CS785" s="871">
        <v>0</v>
      </c>
      <c r="CT785" s="871">
        <v>0</v>
      </c>
      <c r="CU785" s="871">
        <v>0</v>
      </c>
      <c r="CV785" s="871">
        <v>0</v>
      </c>
      <c r="CW785" s="871">
        <v>0</v>
      </c>
      <c r="CX785" s="871">
        <v>0</v>
      </c>
      <c r="CY785" s="871">
        <v>0</v>
      </c>
      <c r="CZ785" s="871">
        <v>0</v>
      </c>
      <c r="DA785" s="871">
        <v>0</v>
      </c>
      <c r="DB785" s="871">
        <v>0</v>
      </c>
      <c r="DC785" s="871">
        <v>0</v>
      </c>
      <c r="DD785" s="871">
        <v>0</v>
      </c>
      <c r="DE785" s="871">
        <v>0</v>
      </c>
      <c r="DF785" s="871">
        <v>0</v>
      </c>
      <c r="DG785" s="871">
        <v>0</v>
      </c>
      <c r="DH785" s="871">
        <v>0</v>
      </c>
      <c r="DI785" s="871">
        <v>0</v>
      </c>
      <c r="DJ785" s="871">
        <v>0</v>
      </c>
      <c r="DK785" s="871">
        <v>0</v>
      </c>
      <c r="DL785" s="871">
        <v>0</v>
      </c>
      <c r="DM785" s="871">
        <v>0</v>
      </c>
      <c r="DN785" s="871">
        <v>0</v>
      </c>
      <c r="DO785" s="871">
        <v>0</v>
      </c>
      <c r="DP785" s="871">
        <v>0</v>
      </c>
      <c r="DQ785" s="871">
        <v>0</v>
      </c>
      <c r="DR785" s="871">
        <v>0</v>
      </c>
      <c r="DS785" s="871">
        <v>0</v>
      </c>
      <c r="DT785" s="871">
        <v>0</v>
      </c>
      <c r="DU785" s="871">
        <v>0</v>
      </c>
      <c r="DV785" s="871">
        <v>0</v>
      </c>
      <c r="DW785" s="871">
        <v>0</v>
      </c>
    </row>
    <row r="786" spans="12:127" hidden="1">
      <c r="L786" s="870" t="s">
        <v>1060</v>
      </c>
      <c r="M786" s="870" t="s">
        <v>1382</v>
      </c>
      <c r="N786" s="870" t="s">
        <v>97</v>
      </c>
      <c r="O786" s="871">
        <v>74</v>
      </c>
      <c r="P786" s="780" t="str">
        <f t="shared" si="23"/>
        <v>IWT060274</v>
      </c>
      <c r="Q786" s="871">
        <v>26949</v>
      </c>
      <c r="R786" s="871">
        <v>27488</v>
      </c>
      <c r="S786" s="871">
        <v>28037</v>
      </c>
      <c r="T786" s="871">
        <v>28598</v>
      </c>
      <c r="U786" s="871">
        <v>29170</v>
      </c>
      <c r="V786" s="871">
        <v>32626.799999999999</v>
      </c>
      <c r="W786" s="871">
        <v>32626.799999999999</v>
      </c>
      <c r="X786" s="871">
        <v>32626.799999999999</v>
      </c>
      <c r="Y786" s="871">
        <v>32626.799999999999</v>
      </c>
      <c r="Z786" s="871">
        <v>32626.799999999999</v>
      </c>
      <c r="AA786" s="871">
        <v>32626.799999999999</v>
      </c>
      <c r="AB786" s="871">
        <v>32893</v>
      </c>
      <c r="AC786" s="871">
        <v>33551</v>
      </c>
      <c r="AD786" s="871">
        <v>34222</v>
      </c>
      <c r="AE786" s="871">
        <v>34906</v>
      </c>
      <c r="AF786" s="871">
        <v>35604</v>
      </c>
      <c r="AG786" s="871">
        <v>36316</v>
      </c>
      <c r="AH786" s="871">
        <v>37042</v>
      </c>
      <c r="AI786" s="871">
        <v>37782</v>
      </c>
      <c r="AJ786" s="871">
        <v>38538</v>
      </c>
      <c r="AK786" s="871">
        <v>39308</v>
      </c>
      <c r="AL786" s="871">
        <v>40094</v>
      </c>
      <c r="AM786" s="871">
        <v>40895</v>
      </c>
      <c r="AN786" s="871">
        <v>41712</v>
      </c>
      <c r="AO786" s="871">
        <v>42546</v>
      </c>
      <c r="AP786" s="871">
        <v>43396</v>
      </c>
      <c r="AQ786" s="871">
        <v>44263</v>
      </c>
      <c r="AR786" s="871">
        <v>45147</v>
      </c>
      <c r="AS786" s="871">
        <v>46048</v>
      </c>
      <c r="AT786" s="871">
        <v>46968</v>
      </c>
      <c r="AU786" s="871">
        <v>47905</v>
      </c>
      <c r="AV786" s="871">
        <v>48861</v>
      </c>
      <c r="AW786" s="871">
        <v>49836</v>
      </c>
      <c r="AX786" s="871">
        <v>50829</v>
      </c>
      <c r="AY786" s="871">
        <v>51842</v>
      </c>
      <c r="AZ786" s="871">
        <v>52874</v>
      </c>
      <c r="BA786" s="871">
        <v>53400</v>
      </c>
      <c r="BB786" s="871">
        <v>0</v>
      </c>
      <c r="BC786" s="871">
        <v>0</v>
      </c>
      <c r="BD786" s="871">
        <v>0</v>
      </c>
      <c r="BE786" s="871">
        <v>0</v>
      </c>
      <c r="BF786" s="871">
        <v>0</v>
      </c>
      <c r="BG786" s="871">
        <v>0</v>
      </c>
      <c r="BH786" s="871">
        <v>0</v>
      </c>
      <c r="BI786" s="871">
        <v>0</v>
      </c>
      <c r="BJ786" s="871">
        <v>0</v>
      </c>
      <c r="BK786" s="871">
        <v>0</v>
      </c>
      <c r="BL786" s="871">
        <v>0</v>
      </c>
      <c r="BM786" s="871">
        <v>0</v>
      </c>
      <c r="BN786" s="871">
        <v>0</v>
      </c>
      <c r="BO786" s="871">
        <v>0</v>
      </c>
      <c r="BP786" s="871">
        <v>0</v>
      </c>
      <c r="BQ786" s="871">
        <v>0</v>
      </c>
      <c r="BR786" s="871">
        <v>0</v>
      </c>
      <c r="BS786" s="871">
        <v>0</v>
      </c>
      <c r="BT786" s="871">
        <v>0</v>
      </c>
      <c r="BU786" s="871">
        <v>0</v>
      </c>
      <c r="BV786" s="871">
        <v>0</v>
      </c>
      <c r="BW786" s="871">
        <v>0</v>
      </c>
      <c r="BX786" s="871">
        <v>0</v>
      </c>
      <c r="BY786" s="871">
        <v>0</v>
      </c>
      <c r="BZ786" s="871">
        <v>0</v>
      </c>
      <c r="CA786" s="871">
        <v>0</v>
      </c>
      <c r="CB786" s="871">
        <v>0</v>
      </c>
      <c r="CC786" s="871">
        <v>0</v>
      </c>
      <c r="CD786" s="871">
        <v>0</v>
      </c>
      <c r="CE786" s="871">
        <v>0</v>
      </c>
      <c r="CF786" s="871">
        <v>0</v>
      </c>
      <c r="CG786" s="871">
        <v>0</v>
      </c>
      <c r="CH786" s="871">
        <v>0</v>
      </c>
      <c r="CI786" s="871">
        <v>0</v>
      </c>
      <c r="CJ786" s="871">
        <v>0</v>
      </c>
      <c r="CK786" s="871">
        <v>0</v>
      </c>
      <c r="CL786" s="871">
        <v>0</v>
      </c>
      <c r="CM786" s="871">
        <v>0</v>
      </c>
      <c r="CN786" s="871">
        <v>0</v>
      </c>
      <c r="CO786" s="871">
        <v>0</v>
      </c>
      <c r="CP786" s="871">
        <v>0</v>
      </c>
      <c r="CQ786" s="871">
        <v>0</v>
      </c>
      <c r="CR786" s="871">
        <v>0</v>
      </c>
      <c r="CS786" s="871">
        <v>0</v>
      </c>
      <c r="CT786" s="871">
        <v>0</v>
      </c>
      <c r="CU786" s="871">
        <v>0</v>
      </c>
      <c r="CV786" s="871">
        <v>0</v>
      </c>
      <c r="CW786" s="871">
        <v>0</v>
      </c>
      <c r="CX786" s="871">
        <v>0</v>
      </c>
      <c r="CY786" s="871">
        <v>0</v>
      </c>
      <c r="CZ786" s="871">
        <v>0</v>
      </c>
      <c r="DA786" s="871">
        <v>0</v>
      </c>
      <c r="DB786" s="871">
        <v>0</v>
      </c>
      <c r="DC786" s="871">
        <v>0</v>
      </c>
      <c r="DD786" s="871">
        <v>0</v>
      </c>
      <c r="DE786" s="871">
        <v>0</v>
      </c>
      <c r="DF786" s="871">
        <v>0</v>
      </c>
      <c r="DG786" s="871">
        <v>0</v>
      </c>
      <c r="DH786" s="871">
        <v>0</v>
      </c>
      <c r="DI786" s="871">
        <v>0</v>
      </c>
      <c r="DJ786" s="871">
        <v>0</v>
      </c>
      <c r="DK786" s="871">
        <v>0</v>
      </c>
      <c r="DL786" s="871">
        <v>0</v>
      </c>
      <c r="DM786" s="871">
        <v>0</v>
      </c>
      <c r="DN786" s="871">
        <v>0</v>
      </c>
      <c r="DO786" s="871">
        <v>0</v>
      </c>
      <c r="DP786" s="871">
        <v>0</v>
      </c>
      <c r="DQ786" s="871">
        <v>0</v>
      </c>
      <c r="DR786" s="871">
        <v>0</v>
      </c>
      <c r="DS786" s="871">
        <v>0</v>
      </c>
      <c r="DT786" s="871">
        <v>0</v>
      </c>
      <c r="DU786" s="871">
        <v>0</v>
      </c>
      <c r="DV786" s="871">
        <v>0</v>
      </c>
      <c r="DW786" s="871">
        <v>0</v>
      </c>
    </row>
    <row r="787" spans="12:127" hidden="1">
      <c r="L787" s="870" t="s">
        <v>1060</v>
      </c>
      <c r="M787" s="870" t="s">
        <v>1382</v>
      </c>
      <c r="N787" s="870" t="s">
        <v>97</v>
      </c>
      <c r="O787" s="871">
        <v>75</v>
      </c>
      <c r="P787" s="780" t="str">
        <f t="shared" si="23"/>
        <v>IWT060275</v>
      </c>
      <c r="Q787" s="871">
        <v>26889</v>
      </c>
      <c r="R787" s="871">
        <v>27427</v>
      </c>
      <c r="S787" s="871">
        <v>27976</v>
      </c>
      <c r="T787" s="871">
        <v>28535</v>
      </c>
      <c r="U787" s="871">
        <v>29106</v>
      </c>
      <c r="V787" s="871">
        <v>32658.6</v>
      </c>
      <c r="W787" s="871">
        <v>32658.6</v>
      </c>
      <c r="X787" s="871">
        <v>32658.6</v>
      </c>
      <c r="Y787" s="871">
        <v>32658.6</v>
      </c>
      <c r="Z787" s="871">
        <v>32658.6</v>
      </c>
      <c r="AA787" s="871">
        <v>32658.6</v>
      </c>
      <c r="AB787" s="871">
        <v>32671</v>
      </c>
      <c r="AC787" s="871">
        <v>33324</v>
      </c>
      <c r="AD787" s="871">
        <v>33990</v>
      </c>
      <c r="AE787" s="871">
        <v>34670</v>
      </c>
      <c r="AF787" s="871">
        <v>35363</v>
      </c>
      <c r="AG787" s="871">
        <v>36070</v>
      </c>
      <c r="AH787" s="871">
        <v>36791</v>
      </c>
      <c r="AI787" s="871">
        <v>37527</v>
      </c>
      <c r="AJ787" s="871">
        <v>38277</v>
      </c>
      <c r="AK787" s="871">
        <v>39042</v>
      </c>
      <c r="AL787" s="871">
        <v>39822</v>
      </c>
      <c r="AM787" s="871">
        <v>40618</v>
      </c>
      <c r="AN787" s="871">
        <v>41430</v>
      </c>
      <c r="AO787" s="871">
        <v>42258</v>
      </c>
      <c r="AP787" s="871">
        <v>43102</v>
      </c>
      <c r="AQ787" s="871">
        <v>43963</v>
      </c>
      <c r="AR787" s="871">
        <v>44841</v>
      </c>
      <c r="AS787" s="871">
        <v>45736</v>
      </c>
      <c r="AT787" s="871">
        <v>46649</v>
      </c>
      <c r="AU787" s="871">
        <v>47580</v>
      </c>
      <c r="AV787" s="871">
        <v>48529</v>
      </c>
      <c r="AW787" s="871">
        <v>49497</v>
      </c>
      <c r="AX787" s="871">
        <v>50483</v>
      </c>
      <c r="AY787" s="871">
        <v>51488</v>
      </c>
      <c r="AZ787" s="871">
        <v>52000</v>
      </c>
      <c r="BA787" s="871">
        <v>0</v>
      </c>
      <c r="BB787" s="871">
        <v>0</v>
      </c>
      <c r="BC787" s="871">
        <v>0</v>
      </c>
      <c r="BD787" s="871">
        <v>0</v>
      </c>
      <c r="BE787" s="871">
        <v>0</v>
      </c>
      <c r="BF787" s="871">
        <v>0</v>
      </c>
      <c r="BG787" s="871">
        <v>0</v>
      </c>
      <c r="BH787" s="871">
        <v>0</v>
      </c>
      <c r="BI787" s="871">
        <v>0</v>
      </c>
      <c r="BJ787" s="871">
        <v>0</v>
      </c>
      <c r="BK787" s="871">
        <v>0</v>
      </c>
      <c r="BL787" s="871">
        <v>0</v>
      </c>
      <c r="BM787" s="871">
        <v>0</v>
      </c>
      <c r="BN787" s="871">
        <v>0</v>
      </c>
      <c r="BO787" s="871">
        <v>0</v>
      </c>
      <c r="BP787" s="871">
        <v>0</v>
      </c>
      <c r="BQ787" s="871">
        <v>0</v>
      </c>
      <c r="BR787" s="871">
        <v>0</v>
      </c>
      <c r="BS787" s="871">
        <v>0</v>
      </c>
      <c r="BT787" s="871">
        <v>0</v>
      </c>
      <c r="BU787" s="871">
        <v>0</v>
      </c>
      <c r="BV787" s="871">
        <v>0</v>
      </c>
      <c r="BW787" s="871">
        <v>0</v>
      </c>
      <c r="BX787" s="871">
        <v>0</v>
      </c>
      <c r="BY787" s="871">
        <v>0</v>
      </c>
      <c r="BZ787" s="871">
        <v>0</v>
      </c>
      <c r="CA787" s="871">
        <v>0</v>
      </c>
      <c r="CB787" s="871">
        <v>0</v>
      </c>
      <c r="CC787" s="871">
        <v>0</v>
      </c>
      <c r="CD787" s="871">
        <v>0</v>
      </c>
      <c r="CE787" s="871">
        <v>0</v>
      </c>
      <c r="CF787" s="871">
        <v>0</v>
      </c>
      <c r="CG787" s="871">
        <v>0</v>
      </c>
      <c r="CH787" s="871">
        <v>0</v>
      </c>
      <c r="CI787" s="871">
        <v>0</v>
      </c>
      <c r="CJ787" s="871">
        <v>0</v>
      </c>
      <c r="CK787" s="871">
        <v>0</v>
      </c>
      <c r="CL787" s="871">
        <v>0</v>
      </c>
      <c r="CM787" s="871">
        <v>0</v>
      </c>
      <c r="CN787" s="871">
        <v>0</v>
      </c>
      <c r="CO787" s="871">
        <v>0</v>
      </c>
      <c r="CP787" s="871">
        <v>0</v>
      </c>
      <c r="CQ787" s="871">
        <v>0</v>
      </c>
      <c r="CR787" s="871">
        <v>0</v>
      </c>
      <c r="CS787" s="871">
        <v>0</v>
      </c>
      <c r="CT787" s="871">
        <v>0</v>
      </c>
      <c r="CU787" s="871">
        <v>0</v>
      </c>
      <c r="CV787" s="871">
        <v>0</v>
      </c>
      <c r="CW787" s="871">
        <v>0</v>
      </c>
      <c r="CX787" s="871">
        <v>0</v>
      </c>
      <c r="CY787" s="871">
        <v>0</v>
      </c>
      <c r="CZ787" s="871">
        <v>0</v>
      </c>
      <c r="DA787" s="871">
        <v>0</v>
      </c>
      <c r="DB787" s="871">
        <v>0</v>
      </c>
      <c r="DC787" s="871">
        <v>0</v>
      </c>
      <c r="DD787" s="871">
        <v>0</v>
      </c>
      <c r="DE787" s="871">
        <v>0</v>
      </c>
      <c r="DF787" s="871">
        <v>0</v>
      </c>
      <c r="DG787" s="871">
        <v>0</v>
      </c>
      <c r="DH787" s="871">
        <v>0</v>
      </c>
      <c r="DI787" s="871">
        <v>0</v>
      </c>
      <c r="DJ787" s="871">
        <v>0</v>
      </c>
      <c r="DK787" s="871">
        <v>0</v>
      </c>
      <c r="DL787" s="871">
        <v>0</v>
      </c>
      <c r="DM787" s="871">
        <v>0</v>
      </c>
      <c r="DN787" s="871">
        <v>0</v>
      </c>
      <c r="DO787" s="871">
        <v>0</v>
      </c>
      <c r="DP787" s="871">
        <v>0</v>
      </c>
      <c r="DQ787" s="871">
        <v>0</v>
      </c>
      <c r="DR787" s="871">
        <v>0</v>
      </c>
      <c r="DS787" s="871">
        <v>0</v>
      </c>
      <c r="DT787" s="871">
        <v>0</v>
      </c>
      <c r="DU787" s="871">
        <v>0</v>
      </c>
      <c r="DV787" s="871">
        <v>0</v>
      </c>
      <c r="DW787" s="871">
        <v>0</v>
      </c>
    </row>
  </sheetData>
  <sheetProtection password="F4D4" sheet="1" objects="1" scenarios="1"/>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theme="4" tint="0.39997558519241921"/>
  </sheetPr>
  <dimension ref="A1:BB1134"/>
  <sheetViews>
    <sheetView showGridLines="0" view="pageBreakPreview" topLeftCell="A19" zoomScale="130" zoomScaleNormal="130" zoomScaleSheetLayoutView="130" workbookViewId="0">
      <selection activeCell="L28" sqref="L28:N28"/>
    </sheetView>
  </sheetViews>
  <sheetFormatPr defaultColWidth="0" defaultRowHeight="14.25" zeroHeight="1"/>
  <cols>
    <col min="1" max="1" width="0.6640625" style="555" customWidth="1"/>
    <col min="2" max="23" width="5.33203125" style="555" customWidth="1"/>
    <col min="24" max="24" width="0.6640625" style="555" customWidth="1"/>
    <col min="25" max="25" width="1.1640625" style="555" customWidth="1"/>
    <col min="26" max="26" width="4.33203125" style="555" customWidth="1"/>
    <col min="27" max="27" width="15.83203125" style="555" customWidth="1"/>
    <col min="28" max="28" width="17.83203125" style="555" customWidth="1"/>
    <col min="29" max="29" width="1.83203125" style="555" customWidth="1"/>
    <col min="30" max="30" width="15.83203125" style="555" hidden="1" customWidth="1"/>
    <col min="31" max="31" width="1.83203125" style="555" hidden="1" customWidth="1"/>
    <col min="32" max="33" width="15.83203125" style="555" hidden="1" customWidth="1"/>
    <col min="34" max="34" width="1.83203125" style="555" hidden="1" customWidth="1"/>
    <col min="35" max="39" width="15.83203125" style="555" hidden="1" customWidth="1"/>
    <col min="40" max="54" width="9.33203125" style="555" hidden="1" customWidth="1"/>
    <col min="55" max="16384" width="0" style="555" hidden="1"/>
  </cols>
  <sheetData>
    <row r="1" spans="1:25" ht="3.95" customHeight="1"/>
    <row r="2" spans="1:25" ht="17.25" customHeight="1">
      <c r="A2" s="556" t="str">
        <f ca="1">OP!$D$53</f>
        <v/>
      </c>
      <c r="B2" s="1156" t="str">
        <f>輸入頁!B2</f>
        <v>富邦人壽好吉利利率變動型增額終身壽險專案試算表</v>
      </c>
      <c r="C2" s="1156"/>
      <c r="D2" s="1156"/>
      <c r="E2" s="1156"/>
      <c r="F2" s="1156"/>
      <c r="G2" s="1156"/>
      <c r="H2" s="1156"/>
      <c r="I2" s="1156"/>
      <c r="J2" s="1156"/>
      <c r="K2" s="1156"/>
      <c r="L2" s="1156"/>
      <c r="M2" s="1156"/>
      <c r="N2" s="1156"/>
      <c r="O2" s="1156"/>
      <c r="P2" s="1156"/>
      <c r="Q2" s="1156"/>
      <c r="R2" s="1156"/>
      <c r="S2" s="1156"/>
      <c r="T2" s="1156"/>
      <c r="U2" s="1156"/>
      <c r="V2" s="1156"/>
      <c r="W2" s="1156"/>
      <c r="Y2" s="557"/>
    </row>
    <row r="3" spans="1:25" ht="3" hidden="1" customHeight="1">
      <c r="A3" s="558"/>
    </row>
    <row r="4" spans="1:25" ht="12" customHeight="1">
      <c r="A4" s="558"/>
      <c r="B4" s="1190" t="s">
        <v>1067</v>
      </c>
      <c r="C4" s="1190"/>
      <c r="D4" s="1191" t="str">
        <f>OP!$C$73</f>
        <v>陳○祥</v>
      </c>
      <c r="E4" s="1191"/>
      <c r="F4" s="1192"/>
      <c r="G4" s="1192"/>
      <c r="H4" s="1191"/>
      <c r="I4" s="1191"/>
      <c r="J4" s="1193" t="s">
        <v>1068</v>
      </c>
      <c r="K4" s="1193"/>
      <c r="L4" s="1194">
        <f ca="1">輸入頁!O6</f>
        <v>33</v>
      </c>
      <c r="M4" s="1194"/>
      <c r="N4" s="1195" t="s">
        <v>1069</v>
      </c>
      <c r="O4" s="1195"/>
      <c r="P4" s="559" t="str">
        <f>輸入頁!K4</f>
        <v>男</v>
      </c>
      <c r="Q4" s="1196" t="str">
        <f>OP!D49</f>
        <v/>
      </c>
      <c r="R4" s="1196"/>
      <c r="S4" s="1196"/>
      <c r="T4" s="1196"/>
      <c r="U4" s="1196"/>
      <c r="V4" s="1196"/>
      <c r="W4" s="1196"/>
    </row>
    <row r="5" spans="1:25" ht="12" customHeight="1">
      <c r="A5" s="558"/>
      <c r="B5" s="1197" t="s">
        <v>1070</v>
      </c>
      <c r="C5" s="1197"/>
      <c r="D5" s="1197" t="s">
        <v>1071</v>
      </c>
      <c r="E5" s="1197"/>
      <c r="F5" s="1197"/>
      <c r="G5" s="1197"/>
      <c r="H5" s="1197"/>
      <c r="I5" s="1197"/>
      <c r="J5" s="1197"/>
      <c r="K5" s="1197"/>
      <c r="L5" s="1197"/>
      <c r="M5" s="1197"/>
      <c r="N5" s="1197"/>
      <c r="O5" s="1197" t="s">
        <v>1072</v>
      </c>
      <c r="P5" s="1197"/>
      <c r="Q5" s="1197" t="s">
        <v>1073</v>
      </c>
      <c r="R5" s="1197"/>
      <c r="S5" s="1197" t="str">
        <f>OP!C32&amp;"保費/元"</f>
        <v>年繳保費/元</v>
      </c>
      <c r="T5" s="1197"/>
      <c r="U5" s="1197"/>
      <c r="V5" s="1197"/>
      <c r="W5" s="1197"/>
    </row>
    <row r="6" spans="1:25" ht="12" customHeight="1">
      <c r="A6" s="558">
        <v>1</v>
      </c>
      <c r="B6" s="1198" t="str">
        <f ca="1">IF($A$2=1,"",OP!$C$73)</f>
        <v>陳○祥</v>
      </c>
      <c r="C6" s="1199"/>
      <c r="D6" s="1200" t="str">
        <f ca="1">IF($A$2=1,"",OP!$C$23&amp;IF(OP!$C$24&gt;1,"(繳費"&amp;OP!$C$24&amp;"年)","(躉繳)"))</f>
        <v>富邦人壽好吉利利率變動型增額終身壽險(繳費6年)</v>
      </c>
      <c r="E6" s="1201"/>
      <c r="F6" s="1201"/>
      <c r="G6" s="1201"/>
      <c r="H6" s="1201"/>
      <c r="I6" s="1201"/>
      <c r="J6" s="1201"/>
      <c r="K6" s="1201"/>
      <c r="L6" s="1201"/>
      <c r="M6" s="1201"/>
      <c r="N6" s="1202"/>
      <c r="O6" s="1203" t="str">
        <f ca="1">IF($A$2=1,"",OP!$C$22)</f>
        <v>IWT</v>
      </c>
      <c r="P6" s="1203"/>
      <c r="Q6" s="1204">
        <f ca="1">IF($A$2=1,"",OP!$C$28)</f>
        <v>34</v>
      </c>
      <c r="R6" s="1204"/>
      <c r="S6" s="1205">
        <f ca="1">IF($A$2=1,"",OP!C35)</f>
        <v>170238</v>
      </c>
      <c r="T6" s="1205"/>
      <c r="U6" s="1205"/>
      <c r="V6" s="1205"/>
      <c r="W6" s="1205"/>
    </row>
    <row r="7" spans="1:25" s="568" customFormat="1" ht="12" customHeight="1">
      <c r="A7" s="560"/>
      <c r="B7" s="561" t="str">
        <f ca="1">IF(OR($A$2=1),"","本保件符合保費折扣條件："&amp;OP!K9)</f>
        <v>本保件符合保費折扣條件：繳費方式 1%折扣及高保額 1.0%折扣</v>
      </c>
      <c r="C7" s="562"/>
      <c r="D7" s="563"/>
      <c r="E7" s="563"/>
      <c r="F7" s="563"/>
      <c r="G7" s="563"/>
      <c r="H7" s="563"/>
      <c r="I7" s="563"/>
      <c r="J7" s="563"/>
      <c r="K7" s="563"/>
      <c r="L7" s="563"/>
      <c r="M7" s="564"/>
      <c r="N7" s="564"/>
      <c r="O7" s="565"/>
      <c r="P7" s="565"/>
      <c r="Q7" s="565"/>
      <c r="R7" s="566"/>
      <c r="S7" s="566"/>
      <c r="T7" s="566"/>
      <c r="U7" s="566"/>
      <c r="V7" s="566"/>
      <c r="W7" s="567"/>
    </row>
    <row r="8" spans="1:25" s="568" customFormat="1" ht="12" customHeight="1">
      <c r="A8" s="560"/>
      <c r="B8" s="569" t="str">
        <f ca="1">IF(OR($A$2=1,AND(OP!$C$46=0,OP!$C$47=0)),"","主約"&amp;輸入頁!$E$15&amp;"總保費 "&amp;TEXT(OP!$C$35,"#,##0 元")&amp;"，"&amp;IF(OP!$C$46&gt;0,"首期折扣後保費 "&amp;TEXT(OP!$C$48,"#,##0 元"),"首期保費 "&amp;TEXT(OP!$C$48,"#,##0 元"))&amp;"，"&amp;IF(OP!$C$47&gt;0,"續期折扣後保費 "&amp;TEXT(OP!$C$49,"#,##0 元 "),"續期保費 "&amp;TEXT(OP!$C$49,"#,##0 元 ")))</f>
        <v xml:space="preserve">主約總保費 170,238 元，首期折扣後保費 166,833 元，續期折扣後保費 166,833 元 </v>
      </c>
      <c r="C8" s="562"/>
      <c r="D8" s="563"/>
      <c r="E8" s="563"/>
      <c r="F8" s="563"/>
      <c r="G8" s="563"/>
      <c r="H8" s="563"/>
      <c r="I8" s="563"/>
      <c r="J8" s="563"/>
      <c r="K8" s="563"/>
      <c r="L8" s="563"/>
      <c r="M8" s="564"/>
      <c r="N8" s="564"/>
      <c r="O8" s="565"/>
      <c r="P8" s="565"/>
      <c r="Q8" s="565"/>
      <c r="R8" s="566"/>
      <c r="S8" s="566"/>
      <c r="T8" s="566"/>
      <c r="U8" s="566"/>
      <c r="V8" s="566"/>
      <c r="W8" s="570"/>
    </row>
    <row r="9" spans="1:25" ht="12.95" hidden="1" customHeight="1">
      <c r="A9" s="558"/>
      <c r="B9" s="1206"/>
      <c r="C9" s="1206"/>
      <c r="D9" s="1206"/>
      <c r="E9" s="1206"/>
      <c r="F9" s="1206"/>
      <c r="G9" s="1206"/>
      <c r="H9" s="1206"/>
      <c r="I9" s="1206"/>
      <c r="J9" s="1206"/>
      <c r="K9" s="1206"/>
      <c r="L9" s="1206"/>
      <c r="M9" s="1206"/>
      <c r="N9" s="1206"/>
      <c r="O9" s="1206"/>
      <c r="P9" s="1206"/>
      <c r="Q9" s="1206"/>
      <c r="R9" s="1206"/>
      <c r="S9" s="1206"/>
      <c r="T9" s="1206"/>
      <c r="U9" s="1206"/>
      <c r="V9" s="1206"/>
      <c r="W9" s="1206"/>
    </row>
    <row r="10" spans="1:25" ht="12.95" hidden="1" customHeight="1">
      <c r="A10" s="558"/>
      <c r="B10" s="571"/>
      <c r="C10" s="572"/>
      <c r="D10" s="572"/>
      <c r="E10" s="572"/>
      <c r="F10" s="572"/>
      <c r="G10" s="572"/>
      <c r="H10" s="572"/>
      <c r="I10" s="572"/>
      <c r="J10" s="572"/>
      <c r="K10" s="572"/>
      <c r="L10" s="572"/>
      <c r="M10" s="572"/>
      <c r="N10" s="572"/>
      <c r="O10" s="572"/>
      <c r="P10" s="572"/>
      <c r="Q10" s="572"/>
      <c r="R10" s="572"/>
      <c r="S10" s="573"/>
      <c r="T10" s="574"/>
      <c r="U10" s="574"/>
      <c r="V10" s="574"/>
      <c r="W10" s="574"/>
    </row>
    <row r="11" spans="1:25" ht="15.75" customHeight="1">
      <c r="B11" s="1207" t="s">
        <v>1074</v>
      </c>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575"/>
    </row>
    <row r="12" spans="1:25" ht="2.25" hidden="1" customHeight="1">
      <c r="B12" s="576"/>
      <c r="C12" s="577"/>
      <c r="D12" s="578"/>
      <c r="E12" s="578"/>
      <c r="F12" s="578"/>
      <c r="G12" s="578"/>
      <c r="H12" s="578"/>
      <c r="I12" s="578"/>
      <c r="J12" s="579"/>
      <c r="K12" s="571"/>
      <c r="L12" s="580"/>
      <c r="M12" s="580"/>
      <c r="N12" s="578"/>
      <c r="O12" s="578"/>
      <c r="P12" s="581"/>
      <c r="Q12" s="571"/>
      <c r="R12" s="582"/>
      <c r="S12" s="583"/>
      <c r="T12" s="584"/>
      <c r="U12" s="584"/>
      <c r="V12" s="584"/>
      <c r="W12" s="571"/>
      <c r="X12" s="575"/>
    </row>
    <row r="13" spans="1:25" ht="48" hidden="1" customHeight="1">
      <c r="B13" s="1208" t="s">
        <v>1075</v>
      </c>
      <c r="C13" s="1209"/>
      <c r="D13" s="1209"/>
      <c r="E13" s="1210" t="s">
        <v>1076</v>
      </c>
      <c r="F13" s="1211"/>
      <c r="G13" s="1211"/>
      <c r="H13" s="1211"/>
      <c r="I13" s="1211"/>
      <c r="J13" s="1211"/>
      <c r="K13" s="1211"/>
      <c r="L13" s="1211"/>
      <c r="M13" s="1211"/>
      <c r="N13" s="1211"/>
      <c r="O13" s="1211"/>
      <c r="P13" s="1211"/>
      <c r="Q13" s="1211"/>
      <c r="R13" s="1211"/>
      <c r="S13" s="1211"/>
      <c r="T13" s="1211"/>
      <c r="U13" s="1211"/>
      <c r="V13" s="1211"/>
      <c r="W13" s="1212"/>
      <c r="X13" s="575"/>
    </row>
    <row r="14" spans="1:25" ht="11.25" hidden="1" customHeight="1">
      <c r="B14" s="585"/>
      <c r="C14" s="586"/>
      <c r="D14" s="586"/>
      <c r="E14" s="586"/>
      <c r="F14" s="586"/>
      <c r="G14" s="586"/>
      <c r="H14" s="586"/>
      <c r="I14" s="586"/>
      <c r="J14" s="587"/>
      <c r="K14" s="588"/>
      <c r="L14" s="589"/>
      <c r="M14" s="589"/>
      <c r="N14" s="586"/>
      <c r="O14" s="586"/>
      <c r="P14" s="590"/>
      <c r="Q14" s="588"/>
      <c r="R14" s="591"/>
      <c r="S14" s="592"/>
      <c r="T14" s="593"/>
      <c r="U14" s="593"/>
      <c r="V14" s="593"/>
      <c r="W14" s="588"/>
      <c r="X14" s="575"/>
    </row>
    <row r="15" spans="1:25" ht="12" hidden="1" customHeight="1">
      <c r="B15" s="1213" t="str">
        <f ca="1">RDATA!$H$1</f>
        <v/>
      </c>
      <c r="C15" s="1213"/>
      <c r="D15" s="1213"/>
      <c r="E15" s="1213"/>
      <c r="F15" s="1213"/>
      <c r="G15" s="1213"/>
      <c r="H15" s="1213"/>
      <c r="I15" s="1213"/>
      <c r="J15" s="1213"/>
      <c r="K15" s="1213"/>
      <c r="L15" s="1213"/>
      <c r="M15" s="1213"/>
      <c r="N15" s="1213"/>
      <c r="O15" s="1213"/>
      <c r="P15" s="1213"/>
      <c r="Q15" s="1213"/>
      <c r="R15" s="1213"/>
      <c r="S15" s="1213"/>
      <c r="T15" s="1213"/>
      <c r="U15" s="1213"/>
      <c r="V15" s="1213"/>
      <c r="W15" s="1213"/>
      <c r="X15" s="575"/>
    </row>
    <row r="16" spans="1:25" ht="12" customHeight="1">
      <c r="B16" s="594" t="str">
        <f ca="1">輸入頁!$D$20&amp;TEXT(輸入頁!$E$20,"0.00%")</f>
        <v>106 / 6 宣告利率：2.69%</v>
      </c>
      <c r="C16" s="595"/>
      <c r="D16" s="596"/>
      <c r="E16" s="596"/>
      <c r="F16" s="595"/>
      <c r="G16" s="595"/>
      <c r="H16" s="596"/>
      <c r="I16" s="596"/>
      <c r="J16" s="597"/>
      <c r="K16" s="597"/>
      <c r="L16" s="598"/>
      <c r="M16" s="598"/>
      <c r="N16" s="599"/>
      <c r="O16" s="599"/>
      <c r="P16" s="600"/>
      <c r="Q16" s="601"/>
      <c r="R16" s="602"/>
      <c r="S16" s="603"/>
      <c r="T16" s="604"/>
      <c r="U16" s="604"/>
      <c r="V16" s="604"/>
      <c r="W16" s="605" t="s">
        <v>1077</v>
      </c>
      <c r="X16" s="606"/>
    </row>
    <row r="17" spans="2:37" ht="14.25" customHeight="1">
      <c r="B17" s="1214" t="s">
        <v>1078</v>
      </c>
      <c r="C17" s="1215" t="s">
        <v>1079</v>
      </c>
      <c r="D17" s="1216" t="str">
        <f ca="1">"年度實繳保費"&amp;IF(OP!$D$5&lt;16,"
已扣除增值回饋分享金
(預估值)","")</f>
        <v>年度實繳保費</v>
      </c>
      <c r="E17" s="1216"/>
      <c r="F17" s="1216" t="str">
        <f ca="1">"累積實繳保費"&amp;IF(OP!$D$5&lt;16,"
已扣除增值回饋分享金
(預估值)","")</f>
        <v>累積實繳保費</v>
      </c>
      <c r="G17" s="1216"/>
      <c r="H17" s="1216"/>
      <c r="I17" s="1217" t="str">
        <f ca="1">"宣告利率假設"&amp;TEXT(輸入頁!$E$20,"0.00%")</f>
        <v>宣告利率假設2.69%</v>
      </c>
      <c r="J17" s="1217"/>
      <c r="K17" s="1217"/>
      <c r="L17" s="1217"/>
      <c r="M17" s="1217"/>
      <c r="N17" s="1217"/>
      <c r="O17" s="1217"/>
      <c r="P17" s="1217"/>
      <c r="Q17" s="1217"/>
      <c r="R17" s="1218" t="str">
        <f>"年度末
身故/完全殘廢
可領總金額
(含增額繳清保險金額之身故/完全殘廢保障"&amp;IF(輸入頁!$E$18="購買增額繳清保險","","及( C )")&amp;")
(預估值)"</f>
        <v>年度末
身故/完全殘廢
可領總金額
(含增額繳清保險金額之身故/完全殘廢保障及( C ))
(預估值)</v>
      </c>
      <c r="S17" s="1218"/>
      <c r="T17" s="1218"/>
      <c r="U17" s="1218" t="str">
        <f>"年度末
解約可領總金額
(含增額繳清保險金額之解約金"&amp;IF(輸入頁!$E$18="購買增額繳清保險","","及( C )")&amp;")
(預估值)"</f>
        <v>年度末
解約可領總金額
(含增額繳清保險金額之解約金及( C ))
(預估值)</v>
      </c>
      <c r="V17" s="1218"/>
      <c r="W17" s="1218"/>
      <c r="X17" s="607"/>
      <c r="Y17" s="607"/>
      <c r="Z17" s="575"/>
    </row>
    <row r="18" spans="2:37" ht="38.25" customHeight="1">
      <c r="B18" s="1214"/>
      <c r="C18" s="1215"/>
      <c r="D18" s="1216"/>
      <c r="E18" s="1216"/>
      <c r="F18" s="1216"/>
      <c r="G18" s="1216"/>
      <c r="H18" s="1216"/>
      <c r="I18" s="1217" t="str">
        <f ca="1">"1~6年 僅購買增額繳清保險金額；7年後"&amp;IF(輸入頁!$E$18=計算!$P$5,輸入頁!$E$18&amp;"金額",輸入頁!$E$18)&amp;IF(OP!$D$5&lt;16,"
(16歲前限抵繳保費後儲存生息
至16歲時一次購買增額繳清保險金額)","")</f>
        <v>1~6年 僅購買增額繳清保險金額；7年後儲存生息</v>
      </c>
      <c r="J18" s="1217"/>
      <c r="K18" s="1217"/>
      <c r="L18" s="1217"/>
      <c r="M18" s="1217"/>
      <c r="N18" s="1217"/>
      <c r="O18" s="1217"/>
      <c r="P18" s="1217"/>
      <c r="Q18" s="1217"/>
      <c r="R18" s="1218"/>
      <c r="S18" s="1218"/>
      <c r="T18" s="1218"/>
      <c r="U18" s="1218"/>
      <c r="V18" s="1218"/>
      <c r="W18" s="1218"/>
      <c r="X18" s="607"/>
      <c r="Y18" s="607"/>
      <c r="Z18" s="575"/>
      <c r="AJ18" s="608" t="str">
        <f ca="1">IF(OP!$D$5&lt;15,"16歲前無保額以現金給付累計年度增值回饋分享金顯示","")</f>
        <v/>
      </c>
      <c r="AK18" s="608" t="str">
        <f ca="1">IF(OP!$D$5&lt;15,"16歲前無保額以儲存生息累計年度增值回饋分享金顯示","")</f>
        <v/>
      </c>
    </row>
    <row r="19" spans="2:37" ht="39" customHeight="1">
      <c r="B19" s="1214"/>
      <c r="C19" s="1215"/>
      <c r="D19" s="1216"/>
      <c r="E19" s="1216"/>
      <c r="F19" s="1216"/>
      <c r="G19" s="1216"/>
      <c r="H19" s="1216"/>
      <c r="I19" s="1219" t="str">
        <f>"年度末
增值回饋分享金"&amp;IF(輸入頁!$E$18="現金給付","
( C )
(預估值)","
(預估值)")</f>
        <v>年度末
增值回饋分享金
(預估值)</v>
      </c>
      <c r="J19" s="1219"/>
      <c r="K19" s="1219"/>
      <c r="L19" s="1219" t="str">
        <f>IF(輸入頁!$E$18="現金給付","年度末
累積已領
增值回饋分享金
(預估值)",IF(輸入頁!$E$18="儲存生息","年度末
累積增值回饋分享金
( C )
(預估值)",""))</f>
        <v>年度末
累積增值回饋分享金
( C )
(預估值)</v>
      </c>
      <c r="M19" s="1219"/>
      <c r="N19" s="1219"/>
      <c r="O19" s="1219" t="str">
        <f>"年度末
累積增額繳清保險金額
(預估值)"</f>
        <v>年度末
累積增額繳清保險金額
(預估值)</v>
      </c>
      <c r="P19" s="1219"/>
      <c r="Q19" s="1219"/>
      <c r="R19" s="1218"/>
      <c r="S19" s="1218"/>
      <c r="T19" s="1218"/>
      <c r="U19" s="1218"/>
      <c r="V19" s="1218"/>
      <c r="W19" s="1218"/>
      <c r="X19" s="607"/>
      <c r="Y19" s="607"/>
      <c r="Z19" s="609" t="s">
        <v>1078</v>
      </c>
      <c r="AA19" s="610" t="str">
        <f>計算!$D$9</f>
        <v>期末保單價值準備金</v>
      </c>
      <c r="AB19" s="610" t="s">
        <v>1329</v>
      </c>
      <c r="AC19" s="611"/>
      <c r="AD19" s="612" t="s">
        <v>1080</v>
      </c>
      <c r="AE19" s="613"/>
      <c r="AF19" s="612" t="s">
        <v>1081</v>
      </c>
      <c r="AG19" s="612" t="s">
        <v>1082</v>
      </c>
      <c r="AH19" s="613"/>
      <c r="AI19" s="612" t="str">
        <f>"年度末增額繳清保險金額(預估值)
"</f>
        <v xml:space="preserve">年度末增額繳清保險金額(預估值)
</v>
      </c>
      <c r="AJ19" s="612" t="str">
        <f>"年度末增額繳清保險金額身故/完全殘廢保障
( D )"</f>
        <v>年度末增額繳清保險金額身故/完全殘廢保障
( D )</v>
      </c>
      <c r="AK19" s="612" t="str">
        <f>"年度末增額繳清保險金額解約金
( E )"</f>
        <v>年度末增額繳清保險金額解約金
( E )</v>
      </c>
    </row>
    <row r="20" spans="2:37" s="622" customFormat="1" ht="11.25" customHeight="1">
      <c r="B20" s="864">
        <v>1</v>
      </c>
      <c r="C20" s="864">
        <f ca="1">IF($A$2=1,"",輸入頁!O6)</f>
        <v>33</v>
      </c>
      <c r="D20" s="1220">
        <f t="shared" ref="D20:D51" ca="1" si="0">IF(OR($A$2=1,$B20="",VLOOKUP($B20,TOV,3,0)=0),"",VLOOKUP($B20,TOV,3,0))</f>
        <v>166833</v>
      </c>
      <c r="E20" s="1220"/>
      <c r="F20" s="1220">
        <f t="shared" ref="F20:F51" ca="1" si="1">IF(OR($A$2=1,$B20="",VLOOKUP($B20,TOV,4,0)=0),"",VLOOKUP($B20,TOV,4,0))</f>
        <v>166833</v>
      </c>
      <c r="G20" s="1220"/>
      <c r="H20" s="1220"/>
      <c r="I20" s="1220">
        <f t="shared" ref="I20:I51" ca="1" si="2">IF(OR($A$2=1,$B20="",VLOOKUP($B20,TOV,10,0)=0),"",VLOOKUP($B20,TOV,10,0))</f>
        <v>727</v>
      </c>
      <c r="J20" s="1220"/>
      <c r="K20" s="1220"/>
      <c r="L20" s="1220" t="str">
        <f t="shared" ref="L20:L51" ca="1" si="3">IF(OR($A$2=1,$B20="",VLOOKUP($B20,TOV,11,0)=0),"",VLOOKUP($B20,TOV,11,0))</f>
        <v/>
      </c>
      <c r="M20" s="1220"/>
      <c r="N20" s="1220"/>
      <c r="O20" s="1220">
        <f t="shared" ref="O20:O51" ca="1" si="4">IF(OR($A$2=1,$B20="",VLOOKUP($B20,TOV,13,0)=0),"",VLOOKUP($B20,TOV,13,0))</f>
        <v>268</v>
      </c>
      <c r="P20" s="1220"/>
      <c r="Q20" s="1220"/>
      <c r="R20" s="1220">
        <f t="shared" ref="R20:R51" ca="1" si="5">IF(OR($A$2=1,$B20="",VLOOKUP($B20,TOV,20,0)=0),"",VLOOKUP($B20,TOV,20,0))</f>
        <v>181179</v>
      </c>
      <c r="S20" s="1220"/>
      <c r="T20" s="1220"/>
      <c r="U20" s="1220">
        <f t="shared" ref="U20:U51" ca="1" si="6">IF(OR($A$2=1,$B20="",VLOOKUP($B20,TOV,21,0)=0),"",VLOOKUP($B20,TOV,21,0))</f>
        <v>79743</v>
      </c>
      <c r="V20" s="1220"/>
      <c r="W20" s="1220"/>
      <c r="X20" s="614"/>
      <c r="Y20" s="615"/>
      <c r="Z20" s="616">
        <f>IF($B20="","",$B20)</f>
        <v>1</v>
      </c>
      <c r="AA20" s="617">
        <f t="shared" ref="AA20:AA74" ca="1" si="7">IF($C20="","",VLOOKUP($B20,more1,3,0))</f>
        <v>105366</v>
      </c>
      <c r="AB20" s="618">
        <f ca="1">IF($B20="","",VLOOKUP(OP!$C$55,PVFB,$B20+2,0))</f>
        <v>27109</v>
      </c>
      <c r="AC20" s="619"/>
      <c r="AD20" s="620">
        <f ca="1">IF(OR($A$2=1,B20=""),"",VLOOKUP(OP!$C$55,PA,$B20+1,0)*OP!$C$28)</f>
        <v>37604</v>
      </c>
      <c r="AE20" s="619"/>
      <c r="AF20" s="620">
        <f ca="1">IF(OR($A$2=1,B20=""),"",VLOOKUP(OP!$C$55,DIE,$B20+1,0)*OP!$C$28)</f>
        <v>180451.59999999998</v>
      </c>
      <c r="AG20" s="620">
        <f ca="1">IF(OR($A$2=1,B20=""),"",VLOOKUP(OP!$C$55,CV,$B20+1,0)*OP!$C$28)</f>
        <v>79016</v>
      </c>
      <c r="AH20" s="615"/>
      <c r="AI20" s="620">
        <f ca="1">IF(OR($A$2=1,B20="",AND($B20&gt;=計算!$P$4,$C20&lt;15),ISERROR(VLOOKUP($B20,MORE_PV,4,0))),"",VLOOKUP($B20,MORE_PV,4,0))</f>
        <v>268</v>
      </c>
      <c r="AJ20" s="621">
        <f t="shared" ref="AJ20:AJ51" ca="1" si="8">IF(OR($A$2=1,B20=""),"",VLOOKUP($B20,MORE_PV,8,0))</f>
        <v>727</v>
      </c>
      <c r="AK20" s="621">
        <f t="shared" ref="AK20:AK51" ca="1" si="9">IF(OR($A$2=1,B20=""),"",ROUND(VLOOKUP($B20,MORE_PV,7,0),0))</f>
        <v>727</v>
      </c>
    </row>
    <row r="21" spans="2:37" s="622" customFormat="1" ht="11.25" customHeight="1">
      <c r="B21" s="864">
        <v>2</v>
      </c>
      <c r="C21" s="864">
        <f ca="1">IF(OR($A$2=1,MAX($C$20:C20)&gt;=110),"",C20+(B21-B20))</f>
        <v>34</v>
      </c>
      <c r="D21" s="1220">
        <f t="shared" ca="1" si="0"/>
        <v>166833</v>
      </c>
      <c r="E21" s="1220"/>
      <c r="F21" s="1220">
        <f t="shared" ca="1" si="1"/>
        <v>333666</v>
      </c>
      <c r="G21" s="1220"/>
      <c r="H21" s="1220"/>
      <c r="I21" s="1220">
        <f t="shared" ca="1" si="2"/>
        <v>1941</v>
      </c>
      <c r="J21" s="1220"/>
      <c r="K21" s="1220"/>
      <c r="L21" s="1220" t="str">
        <f t="shared" ca="1" si="3"/>
        <v/>
      </c>
      <c r="M21" s="1220"/>
      <c r="N21" s="1220"/>
      <c r="O21" s="1220">
        <f t="shared" ca="1" si="4"/>
        <v>970</v>
      </c>
      <c r="P21" s="1220"/>
      <c r="Q21" s="1220"/>
      <c r="R21" s="1220">
        <f t="shared" ca="1" si="5"/>
        <v>363585</v>
      </c>
      <c r="S21" s="1220"/>
      <c r="T21" s="1220"/>
      <c r="U21" s="1220">
        <f t="shared" ca="1" si="6"/>
        <v>227184</v>
      </c>
      <c r="V21" s="1220"/>
      <c r="W21" s="1220"/>
      <c r="X21" s="614"/>
      <c r="Y21" s="615"/>
      <c r="Z21" s="616">
        <f t="shared" ref="Z21:Z74" si="10">IF($B21="","",$B21)</f>
        <v>2</v>
      </c>
      <c r="AA21" s="617">
        <f t="shared" ca="1" si="7"/>
        <v>280636</v>
      </c>
      <c r="AB21" s="618">
        <f ca="1">IF($B21="","",VLOOKUP(OP!$C$55,PVFB,$B21+2,0))</f>
        <v>27651</v>
      </c>
      <c r="AC21" s="619"/>
      <c r="AD21" s="620">
        <f ca="1">IF(OR($A$2=1,B21=""),"",VLOOKUP(OP!$C$55,PA,$B21+1,0)*OP!$C$28)</f>
        <v>100266</v>
      </c>
      <c r="AE21" s="619"/>
      <c r="AF21" s="620">
        <f ca="1">IF(OR($A$2=1,B21=""),"",VLOOKUP(OP!$C$55,DIE,$B21+1,0)*OP!$C$28)</f>
        <v>360903.19999999995</v>
      </c>
      <c r="AG21" s="620">
        <f ca="1">IF(OR($A$2=1,B21=""),"",VLOOKUP(OP!$C$55,CV,$B21+1,0)*OP!$C$28)</f>
        <v>224502</v>
      </c>
      <c r="AH21" s="615"/>
      <c r="AI21" s="620">
        <f ca="1">IF(OR($A$2=1,B21="",AND($B21&gt;=計算!$P$4,$C21&lt;15),ISERROR(VLOOKUP($B21,MORE_PV,4,0))),"",VLOOKUP($B21,MORE_PV,4,0))</f>
        <v>702</v>
      </c>
      <c r="AJ21" s="621">
        <f t="shared" ca="1" si="8"/>
        <v>2682</v>
      </c>
      <c r="AK21" s="621">
        <f t="shared" ca="1" si="9"/>
        <v>2682</v>
      </c>
    </row>
    <row r="22" spans="2:37" s="622" customFormat="1" ht="11.25" customHeight="1">
      <c r="B22" s="864">
        <v>3</v>
      </c>
      <c r="C22" s="864">
        <f ca="1">IF(OR($A$2=1,MAX($C$20:C21)&gt;=110),"",C21+(B22-B21))</f>
        <v>35</v>
      </c>
      <c r="D22" s="1220">
        <f t="shared" ca="1" si="0"/>
        <v>166833</v>
      </c>
      <c r="E22" s="1220"/>
      <c r="F22" s="1220">
        <f t="shared" ca="1" si="1"/>
        <v>500499</v>
      </c>
      <c r="G22" s="1220"/>
      <c r="H22" s="1220"/>
      <c r="I22" s="1220">
        <f t="shared" ca="1" si="2"/>
        <v>3189</v>
      </c>
      <c r="J22" s="1220"/>
      <c r="K22" s="1220"/>
      <c r="L22" s="1220" t="str">
        <f t="shared" ca="1" si="3"/>
        <v/>
      </c>
      <c r="M22" s="1220"/>
      <c r="N22" s="1220"/>
      <c r="O22" s="1220">
        <f t="shared" ca="1" si="4"/>
        <v>2101</v>
      </c>
      <c r="P22" s="1220"/>
      <c r="Q22" s="1220"/>
      <c r="R22" s="1220">
        <f t="shared" ca="1" si="5"/>
        <v>547284</v>
      </c>
      <c r="S22" s="1220"/>
      <c r="T22" s="1220"/>
      <c r="U22" s="1220">
        <f t="shared" ca="1" si="6"/>
        <v>396450</v>
      </c>
      <c r="V22" s="1220"/>
      <c r="W22" s="1220"/>
      <c r="X22" s="614"/>
      <c r="Y22" s="615"/>
      <c r="Z22" s="616">
        <f t="shared" si="10"/>
        <v>3</v>
      </c>
      <c r="AA22" s="617">
        <f t="shared" ca="1" si="7"/>
        <v>459442</v>
      </c>
      <c r="AB22" s="618">
        <f ca="1">IF($B22="","",VLOOKUP(OP!$C$55,PVFB,$B22+2,0))</f>
        <v>28204</v>
      </c>
      <c r="AC22" s="619"/>
      <c r="AD22" s="620">
        <f ca="1">IF(OR($A$2=1,B22=""),"",VLOOKUP(OP!$C$55,PA,$B22+1,0)*OP!$C$28)</f>
        <v>161704</v>
      </c>
      <c r="AE22" s="619"/>
      <c r="AF22" s="620">
        <f ca="1">IF(OR($A$2=1,B22=""),"",VLOOKUP(OP!$C$55,DIE,$B22+1,0)*OP!$C$28)</f>
        <v>541358.19999999995</v>
      </c>
      <c r="AG22" s="620">
        <f ca="1">IF(OR($A$2=1,B22=""),"",VLOOKUP(OP!$C$55,CV,$B22+1,0)*OP!$C$28)</f>
        <v>390524</v>
      </c>
      <c r="AH22" s="615"/>
      <c r="AI22" s="620">
        <f ca="1">IF(OR($A$2=1,B22="",AND($B22&gt;=計算!$P$4,$C22&lt;15),ISERROR(VLOOKUP($B22,MORE_PV,4,0))),"",VLOOKUP($B22,MORE_PV,4,0))</f>
        <v>1131</v>
      </c>
      <c r="AJ22" s="621">
        <f t="shared" ca="1" si="8"/>
        <v>5926</v>
      </c>
      <c r="AK22" s="621">
        <f t="shared" ca="1" si="9"/>
        <v>5926</v>
      </c>
    </row>
    <row r="23" spans="2:37" s="622" customFormat="1" ht="11.25" customHeight="1">
      <c r="B23" s="864">
        <v>4</v>
      </c>
      <c r="C23" s="864">
        <f ca="1">IF(OR($A$2=1,MAX($C$20:C22)&gt;=110),"",C22+(B23-B22))</f>
        <v>36</v>
      </c>
      <c r="D23" s="1220">
        <f t="shared" ca="1" si="0"/>
        <v>166833</v>
      </c>
      <c r="E23" s="1220"/>
      <c r="F23" s="1220">
        <f t="shared" ca="1" si="1"/>
        <v>667332</v>
      </c>
      <c r="G23" s="1220"/>
      <c r="H23" s="1220"/>
      <c r="I23" s="1220">
        <f t="shared" ca="1" si="2"/>
        <v>4470</v>
      </c>
      <c r="J23" s="1220"/>
      <c r="K23" s="1220"/>
      <c r="L23" s="1220" t="str">
        <f t="shared" ca="1" si="3"/>
        <v/>
      </c>
      <c r="M23" s="1220"/>
      <c r="N23" s="1220"/>
      <c r="O23" s="1220">
        <f t="shared" ca="1" si="4"/>
        <v>3655</v>
      </c>
      <c r="P23" s="1220"/>
      <c r="Q23" s="1220"/>
      <c r="R23" s="1220">
        <f t="shared" ca="1" si="5"/>
        <v>732325</v>
      </c>
      <c r="S23" s="1220"/>
      <c r="T23" s="1220"/>
      <c r="U23" s="1220">
        <f t="shared" ca="1" si="6"/>
        <v>588107</v>
      </c>
      <c r="V23" s="1220"/>
      <c r="W23" s="1220"/>
      <c r="X23" s="614"/>
      <c r="Y23" s="615"/>
      <c r="Z23" s="616">
        <f t="shared" si="10"/>
        <v>4</v>
      </c>
      <c r="AA23" s="617">
        <f t="shared" ca="1" si="7"/>
        <v>641784</v>
      </c>
      <c r="AB23" s="618">
        <f ca="1">IF($B23="","",VLOOKUP(OP!$C$55,PVFB,$B23+2,0))</f>
        <v>28769</v>
      </c>
      <c r="AC23" s="619"/>
      <c r="AD23" s="620">
        <f ca="1">IF(OR($A$2=1,B23=""),"",VLOOKUP(OP!$C$55,PA,$B23+1,0)*OP!$C$28)</f>
        <v>221884</v>
      </c>
      <c r="AE23" s="619"/>
      <c r="AF23" s="620">
        <f ca="1">IF(OR($A$2=1,B23=""),"",VLOOKUP(OP!$C$55,DIE,$B23+1,0)*OP!$C$28)</f>
        <v>721809.8</v>
      </c>
      <c r="AG23" s="620">
        <f ca="1">IF(OR($A$2=1,B23=""),"",VLOOKUP(OP!$C$55,CV,$B23+1,0)*OP!$C$28)</f>
        <v>577592</v>
      </c>
      <c r="AH23" s="615"/>
      <c r="AI23" s="620">
        <f ca="1">IF(OR($A$2=1,B23="",AND($B23&gt;=計算!$P$4,$C23&lt;15),ISERROR(VLOOKUP($B23,MORE_PV,4,0))),"",VLOOKUP($B23,MORE_PV,4,0))</f>
        <v>1554</v>
      </c>
      <c r="AJ23" s="621">
        <f t="shared" ca="1" si="8"/>
        <v>10515</v>
      </c>
      <c r="AK23" s="621">
        <f t="shared" ca="1" si="9"/>
        <v>10515</v>
      </c>
    </row>
    <row r="24" spans="2:37" s="622" customFormat="1" ht="11.25" customHeight="1">
      <c r="B24" s="864">
        <v>5</v>
      </c>
      <c r="C24" s="864">
        <f ca="1">IF(OR($A$2=1,MAX($C$20:C23)&gt;=110),"",C23+(B24-B23))</f>
        <v>37</v>
      </c>
      <c r="D24" s="1220">
        <f t="shared" ca="1" si="0"/>
        <v>166833</v>
      </c>
      <c r="E24" s="1220"/>
      <c r="F24" s="1220">
        <f t="shared" ca="1" si="1"/>
        <v>834165</v>
      </c>
      <c r="G24" s="1220"/>
      <c r="H24" s="1220"/>
      <c r="I24" s="1220">
        <f t="shared" ca="1" si="2"/>
        <v>5786</v>
      </c>
      <c r="J24" s="1220"/>
      <c r="K24" s="1220"/>
      <c r="L24" s="1220" t="str">
        <f t="shared" ca="1" si="3"/>
        <v/>
      </c>
      <c r="M24" s="1220"/>
      <c r="N24" s="1220"/>
      <c r="O24" s="1220">
        <f t="shared" ca="1" si="4"/>
        <v>5627</v>
      </c>
      <c r="P24" s="1220"/>
      <c r="Q24" s="1220"/>
      <c r="R24" s="1220">
        <f t="shared" ca="1" si="5"/>
        <v>918773</v>
      </c>
      <c r="S24" s="1220"/>
      <c r="T24" s="1220"/>
      <c r="U24" s="1220">
        <f t="shared" ca="1" si="6"/>
        <v>802932</v>
      </c>
      <c r="V24" s="1220"/>
      <c r="W24" s="1220"/>
      <c r="X24" s="614"/>
      <c r="Y24" s="615"/>
      <c r="Z24" s="616">
        <f t="shared" si="10"/>
        <v>5</v>
      </c>
      <c r="AA24" s="617">
        <f t="shared" ca="1" si="7"/>
        <v>827798</v>
      </c>
      <c r="AB24" s="618">
        <f ca="1">IF($B24="","",VLOOKUP(OP!$C$55,PVFB,$B24+2,0))</f>
        <v>29344</v>
      </c>
      <c r="AC24" s="619"/>
      <c r="AD24" s="620">
        <f ca="1">IF(OR($A$2=1,B24=""),"",VLOOKUP(OP!$C$55,PA,$B24+1,0)*OP!$C$28)</f>
        <v>280942</v>
      </c>
      <c r="AE24" s="619"/>
      <c r="AF24" s="620">
        <f ca="1">IF(OR($A$2=1,B24=""),"",VLOOKUP(OP!$C$55,DIE,$B24+1,0)*OP!$C$28)</f>
        <v>902261.39999999991</v>
      </c>
      <c r="AG24" s="620">
        <f ca="1">IF(OR($A$2=1,B24=""),"",VLOOKUP(OP!$C$55,CV,$B24+1,0)*OP!$C$28)</f>
        <v>786420</v>
      </c>
      <c r="AH24" s="615"/>
      <c r="AI24" s="620">
        <f ca="1">IF(OR($A$2=1,B24="",AND($B24&gt;=計算!$P$4,$C24&lt;15),ISERROR(VLOOKUP($B24,MORE_PV,4,0))),"",VLOOKUP($B24,MORE_PV,4,0))</f>
        <v>1972</v>
      </c>
      <c r="AJ24" s="621">
        <f t="shared" ca="1" si="8"/>
        <v>16512</v>
      </c>
      <c r="AK24" s="621">
        <f t="shared" ca="1" si="9"/>
        <v>16512</v>
      </c>
    </row>
    <row r="25" spans="2:37" s="622" customFormat="1" ht="11.25" customHeight="1">
      <c r="B25" s="864">
        <v>6</v>
      </c>
      <c r="C25" s="864">
        <f ca="1">IF(OR($A$2=1,MAX($C$20:C24)&gt;=110),"",C24+(B25-B24))</f>
        <v>38</v>
      </c>
      <c r="D25" s="1220">
        <f t="shared" ca="1" si="0"/>
        <v>166833</v>
      </c>
      <c r="E25" s="1220"/>
      <c r="F25" s="1220">
        <f t="shared" ca="1" si="1"/>
        <v>1000998</v>
      </c>
      <c r="G25" s="1220"/>
      <c r="H25" s="1220"/>
      <c r="I25" s="1220">
        <f t="shared" ca="1" si="2"/>
        <v>7137</v>
      </c>
      <c r="J25" s="1220"/>
      <c r="K25" s="1220"/>
      <c r="L25" s="1220" t="str">
        <f t="shared" ca="1" si="3"/>
        <v/>
      </c>
      <c r="M25" s="1220"/>
      <c r="N25" s="1220"/>
      <c r="O25" s="1220">
        <f t="shared" ca="1" si="4"/>
        <v>8012</v>
      </c>
      <c r="P25" s="1220"/>
      <c r="Q25" s="1220"/>
      <c r="R25" s="1220">
        <f t="shared" ca="1" si="5"/>
        <v>1108227</v>
      </c>
      <c r="S25" s="1220"/>
      <c r="T25" s="1220"/>
      <c r="U25" s="1220">
        <f t="shared" ca="1" si="6"/>
        <v>1031295</v>
      </c>
      <c r="V25" s="1220"/>
      <c r="W25" s="1220"/>
      <c r="X25" s="614"/>
      <c r="Y25" s="615"/>
      <c r="Z25" s="616">
        <f t="shared" si="10"/>
        <v>6</v>
      </c>
      <c r="AA25" s="617">
        <f t="shared" ca="1" si="7"/>
        <v>1017484</v>
      </c>
      <c r="AB25" s="618">
        <f ca="1">IF($B25="","",VLOOKUP(OP!$C$55,PVFB,$B25+2,0))</f>
        <v>29926</v>
      </c>
      <c r="AC25" s="619"/>
      <c r="AD25" s="620">
        <f ca="1">IF(OR($A$2=1,B25=""),"",VLOOKUP(OP!$C$55,PA,$B25+1,0)*OP!$C$28)</f>
        <v>0</v>
      </c>
      <c r="AE25" s="619"/>
      <c r="AF25" s="620">
        <f ca="1">IF(OR($A$2=1,B25=""),"",VLOOKUP(OP!$C$55,DIE,$B25+1,0)*OP!$C$28)</f>
        <v>1082713</v>
      </c>
      <c r="AG25" s="620">
        <f ca="1">IF(OR($A$2=1,B25=""),"",VLOOKUP(OP!$C$55,CV,$B25+1,0)*OP!$C$28)</f>
        <v>1007318</v>
      </c>
      <c r="AH25" s="615"/>
      <c r="AI25" s="620">
        <f ca="1">IF(OR($A$2=1,B25="",AND($B25&gt;=計算!$P$4,$C25&lt;15),ISERROR(VLOOKUP($B25,MORE_PV,4,0))),"",VLOOKUP($B25,MORE_PV,4,0))</f>
        <v>2385</v>
      </c>
      <c r="AJ25" s="621">
        <f t="shared" ca="1" si="8"/>
        <v>25514</v>
      </c>
      <c r="AK25" s="621">
        <f t="shared" ca="1" si="9"/>
        <v>23977</v>
      </c>
    </row>
    <row r="26" spans="2:37" s="622" customFormat="1" ht="11.25" customHeight="1">
      <c r="B26" s="864">
        <v>7</v>
      </c>
      <c r="C26" s="864">
        <f ca="1">IF(OR($A$2=1,MAX($C$20:C25)&gt;=110),"",C25+(B26-B25))</f>
        <v>39</v>
      </c>
      <c r="D26" s="1220" t="str">
        <f t="shared" ca="1" si="0"/>
        <v/>
      </c>
      <c r="E26" s="1220"/>
      <c r="F26" s="1220">
        <f t="shared" ca="1" si="1"/>
        <v>1000998</v>
      </c>
      <c r="G26" s="1220"/>
      <c r="H26" s="1220"/>
      <c r="I26" s="1220">
        <f t="shared" ca="1" si="2"/>
        <v>7329</v>
      </c>
      <c r="J26" s="1220"/>
      <c r="K26" s="1220"/>
      <c r="L26" s="1220">
        <f t="shared" ca="1" si="3"/>
        <v>7329</v>
      </c>
      <c r="M26" s="1220"/>
      <c r="N26" s="1220"/>
      <c r="O26" s="1220">
        <f t="shared" ca="1" si="4"/>
        <v>8012</v>
      </c>
      <c r="P26" s="1220"/>
      <c r="Q26" s="1220"/>
      <c r="R26" s="1220">
        <f t="shared" ca="1" si="5"/>
        <v>1115556</v>
      </c>
      <c r="S26" s="1220"/>
      <c r="T26" s="1220"/>
      <c r="U26" s="1220">
        <f t="shared" ca="1" si="6"/>
        <v>1069531</v>
      </c>
      <c r="V26" s="1220"/>
      <c r="W26" s="1220"/>
      <c r="X26" s="614"/>
      <c r="Y26" s="615"/>
      <c r="Z26" s="616">
        <f t="shared" si="10"/>
        <v>7</v>
      </c>
      <c r="AA26" s="617">
        <f t="shared" ca="1" si="7"/>
        <v>1037748</v>
      </c>
      <c r="AB26" s="618">
        <f ca="1">IF($B26="","",VLOOKUP(OP!$C$55,PVFB,$B26+2,0))</f>
        <v>30522</v>
      </c>
      <c r="AC26" s="619"/>
      <c r="AD26" s="620">
        <f ca="1">IF(OR($A$2=1,B26=""),"",VLOOKUP(OP!$C$55,PA,$B26+1,0)*OP!$C$28)</f>
        <v>0</v>
      </c>
      <c r="AE26" s="619"/>
      <c r="AF26" s="620">
        <f ca="1">IF(OR($A$2=1,B26=""),"",VLOOKUP(OP!$C$55,DIE,$B26+1,0)*OP!$C$28)</f>
        <v>1082713</v>
      </c>
      <c r="AG26" s="620">
        <f ca="1">IF(OR($A$2=1,B26=""),"",VLOOKUP(OP!$C$55,CV,$B26+1,0)*OP!$C$28)</f>
        <v>1037748</v>
      </c>
      <c r="AH26" s="615"/>
      <c r="AI26" s="620">
        <f ca="1">IF(OR($A$2=1,B26="",AND($B26&gt;=計算!$P$4,$C26&lt;15),ISERROR(VLOOKUP($B26,MORE_PV,4,0))),"",VLOOKUP($B26,MORE_PV,4,0))</f>
        <v>0</v>
      </c>
      <c r="AJ26" s="621">
        <f t="shared" ca="1" si="8"/>
        <v>25514</v>
      </c>
      <c r="AK26" s="621">
        <f t="shared" ca="1" si="9"/>
        <v>24454</v>
      </c>
    </row>
    <row r="27" spans="2:37" s="622" customFormat="1" ht="11.25" customHeight="1">
      <c r="B27" s="864">
        <v>8</v>
      </c>
      <c r="C27" s="864">
        <f ca="1">IF(OR($A$2=1,MAX($C$20:C26)&gt;=110),"",C26+(B27-B26))</f>
        <v>40</v>
      </c>
      <c r="D27" s="1220" t="str">
        <f t="shared" ca="1" si="0"/>
        <v/>
      </c>
      <c r="E27" s="1220"/>
      <c r="F27" s="1220">
        <f t="shared" ca="1" si="1"/>
        <v>1000998</v>
      </c>
      <c r="G27" s="1220"/>
      <c r="H27" s="1220"/>
      <c r="I27" s="1220">
        <f t="shared" ca="1" si="2"/>
        <v>7475</v>
      </c>
      <c r="J27" s="1220"/>
      <c r="K27" s="1220"/>
      <c r="L27" s="1220">
        <f t="shared" ca="1" si="3"/>
        <v>15004</v>
      </c>
      <c r="M27" s="1220"/>
      <c r="N27" s="1220"/>
      <c r="O27" s="1220">
        <f t="shared" ca="1" si="4"/>
        <v>8012</v>
      </c>
      <c r="P27" s="1220"/>
      <c r="Q27" s="1220"/>
      <c r="R27" s="1220">
        <f t="shared" ca="1" si="5"/>
        <v>1123231</v>
      </c>
      <c r="S27" s="1220"/>
      <c r="T27" s="1220"/>
      <c r="U27" s="1220">
        <f t="shared" ca="1" si="6"/>
        <v>1098365</v>
      </c>
      <c r="V27" s="1220"/>
      <c r="W27" s="1220"/>
      <c r="X27" s="614"/>
      <c r="Y27" s="615"/>
      <c r="Z27" s="616">
        <f t="shared" si="10"/>
        <v>8</v>
      </c>
      <c r="AA27" s="617">
        <f t="shared" ca="1" si="7"/>
        <v>1058420</v>
      </c>
      <c r="AB27" s="618">
        <f ca="1">IF($B27="","",VLOOKUP(OP!$C$55,PVFB,$B27+2,0))</f>
        <v>31130</v>
      </c>
      <c r="AC27" s="619"/>
      <c r="AD27" s="620">
        <f ca="1">IF(OR($A$2=1,B27=""),"",VLOOKUP(OP!$C$55,PA,$B27+1,0)*OP!$C$28)</f>
        <v>0</v>
      </c>
      <c r="AE27" s="619"/>
      <c r="AF27" s="620">
        <f ca="1">IF(OR($A$2=1,B27=""),"",VLOOKUP(OP!$C$55,DIE,$B27+1,0)*OP!$C$28)</f>
        <v>1082713</v>
      </c>
      <c r="AG27" s="620">
        <f ca="1">IF(OR($A$2=1,B27=""),"",VLOOKUP(OP!$C$55,CV,$B27+1,0)*OP!$C$28)</f>
        <v>1058420</v>
      </c>
      <c r="AH27" s="615"/>
      <c r="AI27" s="620">
        <f ca="1">IF(OR($A$2=1,B27="",AND($B27&gt;=計算!$P$4,$C27&lt;15),ISERROR(VLOOKUP($B27,MORE_PV,4,0))),"",VLOOKUP($B27,MORE_PV,4,0))</f>
        <v>0</v>
      </c>
      <c r="AJ27" s="621">
        <f t="shared" ca="1" si="8"/>
        <v>25514</v>
      </c>
      <c r="AK27" s="621">
        <f t="shared" ca="1" si="9"/>
        <v>24941</v>
      </c>
    </row>
    <row r="28" spans="2:37" s="622" customFormat="1" ht="11.25" customHeight="1">
      <c r="B28" s="864">
        <v>9</v>
      </c>
      <c r="C28" s="864">
        <f ca="1">IF(OR($A$2=1,MAX($C$20:C27)&gt;=110),"",C27+(B28-B27))</f>
        <v>41</v>
      </c>
      <c r="D28" s="1220" t="str">
        <f t="shared" ca="1" si="0"/>
        <v/>
      </c>
      <c r="E28" s="1220"/>
      <c r="F28" s="1220">
        <f t="shared" ca="1" si="1"/>
        <v>1000998</v>
      </c>
      <c r="G28" s="1220"/>
      <c r="H28" s="1220"/>
      <c r="I28" s="1220">
        <f t="shared" ca="1" si="2"/>
        <v>7625</v>
      </c>
      <c r="J28" s="1220"/>
      <c r="K28" s="1220"/>
      <c r="L28" s="1220">
        <f t="shared" ca="1" si="3"/>
        <v>23038</v>
      </c>
      <c r="M28" s="1220"/>
      <c r="N28" s="1220"/>
      <c r="O28" s="1220">
        <f t="shared" ca="1" si="4"/>
        <v>8012</v>
      </c>
      <c r="P28" s="1220"/>
      <c r="Q28" s="1220"/>
      <c r="R28" s="1220">
        <f t="shared" ca="1" si="5"/>
        <v>1131265</v>
      </c>
      <c r="S28" s="1220"/>
      <c r="T28" s="1220"/>
      <c r="U28" s="1220">
        <f t="shared" ca="1" si="6"/>
        <v>1128011</v>
      </c>
      <c r="V28" s="1220"/>
      <c r="W28" s="1220"/>
      <c r="X28" s="614"/>
      <c r="Y28" s="615"/>
      <c r="Z28" s="616">
        <f t="shared" si="10"/>
        <v>9</v>
      </c>
      <c r="AA28" s="617">
        <f t="shared" ca="1" si="7"/>
        <v>1079534</v>
      </c>
      <c r="AB28" s="618">
        <f ca="1">IF($B28="","",VLOOKUP(OP!$C$55,PVFB,$B28+2,0))</f>
        <v>31751</v>
      </c>
      <c r="AC28" s="619"/>
      <c r="AD28" s="620">
        <f ca="1">IF(OR($A$2=1,B28=""),"",VLOOKUP(OP!$C$55,PA,$B28+1,0)*OP!$C$28)</f>
        <v>0</v>
      </c>
      <c r="AE28" s="619"/>
      <c r="AF28" s="620">
        <f ca="1">IF(OR($A$2=1,B28=""),"",VLOOKUP(OP!$C$55,DIE,$B28+1,0)*OP!$C$28)</f>
        <v>1082713</v>
      </c>
      <c r="AG28" s="620">
        <f ca="1">IF(OR($A$2=1,B28=""),"",VLOOKUP(OP!$C$55,CV,$B28+1,0)*OP!$C$28)</f>
        <v>1079534</v>
      </c>
      <c r="AH28" s="615"/>
      <c r="AI28" s="620">
        <f ca="1">IF(OR($A$2=1,B28="",AND($B28&gt;=計算!$P$4,$C28&lt;15),ISERROR(VLOOKUP($B28,MORE_PV,4,0))),"",VLOOKUP($B28,MORE_PV,4,0))</f>
        <v>0</v>
      </c>
      <c r="AJ28" s="621">
        <f t="shared" ca="1" si="8"/>
        <v>25514</v>
      </c>
      <c r="AK28" s="621">
        <f t="shared" ca="1" si="9"/>
        <v>25439</v>
      </c>
    </row>
    <row r="29" spans="2:37" s="622" customFormat="1" ht="11.25" customHeight="1">
      <c r="B29" s="864">
        <v>10</v>
      </c>
      <c r="C29" s="864">
        <f ca="1">IF(OR($A$2=1,MAX($C$20:C28)&gt;=110),"",C28+(B29-B28))</f>
        <v>42</v>
      </c>
      <c r="D29" s="1220" t="str">
        <f t="shared" ca="1" si="0"/>
        <v/>
      </c>
      <c r="E29" s="1220"/>
      <c r="F29" s="1220">
        <f t="shared" ca="1" si="1"/>
        <v>1000998</v>
      </c>
      <c r="G29" s="1220"/>
      <c r="H29" s="1220"/>
      <c r="I29" s="1220">
        <f t="shared" ca="1" si="2"/>
        <v>7777</v>
      </c>
      <c r="J29" s="1220"/>
      <c r="K29" s="1220"/>
      <c r="L29" s="1220">
        <f t="shared" ca="1" si="3"/>
        <v>31442</v>
      </c>
      <c r="M29" s="1220"/>
      <c r="N29" s="1220"/>
      <c r="O29" s="1220">
        <f t="shared" ca="1" si="4"/>
        <v>8012</v>
      </c>
      <c r="P29" s="1220"/>
      <c r="Q29" s="1220"/>
      <c r="R29" s="1220">
        <f t="shared" ca="1" si="5"/>
        <v>1158514</v>
      </c>
      <c r="S29" s="1220"/>
      <c r="T29" s="1220"/>
      <c r="U29" s="1220">
        <f t="shared" ca="1" si="6"/>
        <v>1158514</v>
      </c>
      <c r="V29" s="1220"/>
      <c r="W29" s="1220"/>
      <c r="X29" s="614"/>
      <c r="Y29" s="615"/>
      <c r="Z29" s="616">
        <f t="shared" si="10"/>
        <v>10</v>
      </c>
      <c r="AA29" s="617">
        <f t="shared" ca="1" si="7"/>
        <v>1101124</v>
      </c>
      <c r="AB29" s="618">
        <f ca="1">IF($B29="","",VLOOKUP(OP!$C$55,PVFB,$B29+2,0))</f>
        <v>32386</v>
      </c>
      <c r="AC29" s="619"/>
      <c r="AD29" s="620">
        <f ca="1">IF(OR($A$2=1,B29=""),"",VLOOKUP(OP!$C$55,PA,$B29+1,0)*OP!$C$28)</f>
        <v>0</v>
      </c>
      <c r="AE29" s="619"/>
      <c r="AF29" s="620">
        <f ca="1">IF(OR($A$2=1,B29=""),"",VLOOKUP(OP!$C$55,DIE,$B29+1,0)*OP!$C$28)</f>
        <v>1101124</v>
      </c>
      <c r="AG29" s="620">
        <f ca="1">IF(OR($A$2=1,B29=""),"",VLOOKUP(OP!$C$55,CV,$B29+1,0)*OP!$C$28)</f>
        <v>1101124</v>
      </c>
      <c r="AH29" s="615"/>
      <c r="AI29" s="620">
        <f ca="1">IF(OR($A$2=1,B29="",AND($B29&gt;=計算!$P$4,$C29&lt;15),ISERROR(VLOOKUP($B29,MORE_PV,4,0))),"",VLOOKUP($B29,MORE_PV,4,0))</f>
        <v>0</v>
      </c>
      <c r="AJ29" s="621">
        <f t="shared" ca="1" si="8"/>
        <v>25948</v>
      </c>
      <c r="AK29" s="621">
        <f t="shared" ca="1" si="9"/>
        <v>25948</v>
      </c>
    </row>
    <row r="30" spans="2:37" s="622" customFormat="1" ht="11.25" customHeight="1">
      <c r="B30" s="864">
        <v>11</v>
      </c>
      <c r="C30" s="864">
        <f ca="1">IF(OR($A$2=1,MAX($C$20:C29)&gt;=110),"",C29+(B30-B29))</f>
        <v>43</v>
      </c>
      <c r="D30" s="1220" t="str">
        <f t="shared" ca="1" si="0"/>
        <v/>
      </c>
      <c r="E30" s="1220"/>
      <c r="F30" s="1220">
        <f t="shared" ca="1" si="1"/>
        <v>1000998</v>
      </c>
      <c r="G30" s="1220"/>
      <c r="H30" s="1220"/>
      <c r="I30" s="1220">
        <f t="shared" ca="1" si="2"/>
        <v>7933</v>
      </c>
      <c r="J30" s="1220"/>
      <c r="K30" s="1220"/>
      <c r="L30" s="1220">
        <f t="shared" ca="1" si="3"/>
        <v>40234</v>
      </c>
      <c r="M30" s="1220"/>
      <c r="N30" s="1220"/>
      <c r="O30" s="1220">
        <f t="shared" ca="1" si="4"/>
        <v>8012</v>
      </c>
      <c r="P30" s="1220"/>
      <c r="Q30" s="1220"/>
      <c r="R30" s="1220">
        <f t="shared" ca="1" si="5"/>
        <v>1189857</v>
      </c>
      <c r="S30" s="1220"/>
      <c r="T30" s="1220"/>
      <c r="U30" s="1220">
        <f t="shared" ca="1" si="6"/>
        <v>1189857</v>
      </c>
      <c r="V30" s="1220"/>
      <c r="W30" s="1220"/>
      <c r="X30" s="614"/>
      <c r="Y30" s="615"/>
      <c r="Z30" s="616">
        <f t="shared" si="10"/>
        <v>11</v>
      </c>
      <c r="AA30" s="617">
        <f t="shared" ca="1" si="7"/>
        <v>1123156</v>
      </c>
      <c r="AB30" s="618">
        <f ca="1">IF($B30="","",VLOOKUP(OP!$C$55,PVFB,$B30+2,0))</f>
        <v>33034</v>
      </c>
      <c r="AC30" s="619"/>
      <c r="AD30" s="620">
        <f ca="1">IF(OR($A$2=1,B30=""),"",VLOOKUP(OP!$C$55,PA,$B30+1,0)*OP!$C$28)</f>
        <v>0</v>
      </c>
      <c r="AE30" s="619"/>
      <c r="AF30" s="620">
        <f ca="1">IF(OR($A$2=1,B30=""),"",VLOOKUP(OP!$C$55,DIE,$B30+1,0)*OP!$C$28)</f>
        <v>1123156</v>
      </c>
      <c r="AG30" s="620">
        <f ca="1">IF(OR($A$2=1,B30=""),"",VLOOKUP(OP!$C$55,CV,$B30+1,0)*OP!$C$28)</f>
        <v>1123156</v>
      </c>
      <c r="AH30" s="615"/>
      <c r="AI30" s="620">
        <f ca="1">IF(OR($A$2=1,B30="",AND($B30&gt;=計算!$P$4,$C30&lt;15),ISERROR(VLOOKUP($B30,MORE_PV,4,0))),"",VLOOKUP($B30,MORE_PV,4,0))</f>
        <v>0</v>
      </c>
      <c r="AJ30" s="621">
        <f t="shared" ca="1" si="8"/>
        <v>26467</v>
      </c>
      <c r="AK30" s="621">
        <f t="shared" ca="1" si="9"/>
        <v>26467</v>
      </c>
    </row>
    <row r="31" spans="2:37" s="622" customFormat="1" ht="11.25" customHeight="1">
      <c r="B31" s="864">
        <v>12</v>
      </c>
      <c r="C31" s="864">
        <f ca="1">IF(OR($A$2=1,MAX($C$20:C30)&gt;=110),"",C30+(B31-B30))</f>
        <v>44</v>
      </c>
      <c r="D31" s="1220" t="str">
        <f t="shared" ca="1" si="0"/>
        <v/>
      </c>
      <c r="E31" s="1220"/>
      <c r="F31" s="1220">
        <f t="shared" ca="1" si="1"/>
        <v>1000998</v>
      </c>
      <c r="G31" s="1220"/>
      <c r="H31" s="1220"/>
      <c r="I31" s="1220">
        <f t="shared" ca="1" si="2"/>
        <v>8091</v>
      </c>
      <c r="J31" s="1220"/>
      <c r="K31" s="1220"/>
      <c r="L31" s="1220">
        <f t="shared" ca="1" si="3"/>
        <v>49421</v>
      </c>
      <c r="M31" s="1220"/>
      <c r="N31" s="1220"/>
      <c r="O31" s="1220">
        <f t="shared" ca="1" si="4"/>
        <v>8012</v>
      </c>
      <c r="P31" s="1220"/>
      <c r="Q31" s="1220"/>
      <c r="R31" s="1220">
        <f t="shared" ca="1" si="5"/>
        <v>1222047</v>
      </c>
      <c r="S31" s="1220"/>
      <c r="T31" s="1220"/>
      <c r="U31" s="1220">
        <f t="shared" ca="1" si="6"/>
        <v>1222047</v>
      </c>
      <c r="V31" s="1220"/>
      <c r="W31" s="1220"/>
      <c r="X31" s="614"/>
      <c r="Y31" s="615"/>
      <c r="Z31" s="616">
        <f t="shared" si="10"/>
        <v>12</v>
      </c>
      <c r="AA31" s="617">
        <f t="shared" ca="1" si="7"/>
        <v>1145630</v>
      </c>
      <c r="AB31" s="618">
        <f ca="1">IF($B31="","",VLOOKUP(OP!$C$55,PVFB,$B31+2,0))</f>
        <v>33695</v>
      </c>
      <c r="AC31" s="619"/>
      <c r="AD31" s="620">
        <f ca="1">IF(OR($A$2=1,B31=""),"",VLOOKUP(OP!$C$55,PA,$B31+1,0)*OP!$C$28)</f>
        <v>0</v>
      </c>
      <c r="AE31" s="619"/>
      <c r="AF31" s="620">
        <f ca="1">IF(OR($A$2=1,B31=""),"",VLOOKUP(OP!$C$55,DIE,$B31+1,0)*OP!$C$28)</f>
        <v>1145630</v>
      </c>
      <c r="AG31" s="620">
        <f ca="1">IF(OR($A$2=1,B31=""),"",VLOOKUP(OP!$C$55,CV,$B31+1,0)*OP!$C$28)</f>
        <v>1145630</v>
      </c>
      <c r="AH31" s="615"/>
      <c r="AI31" s="620">
        <f ca="1">IF(OR($A$2=1,B31="",AND($B31&gt;=計算!$P$4,$C31&lt;15),ISERROR(VLOOKUP($B31,MORE_PV,4,0))),"",VLOOKUP($B31,MORE_PV,4,0))</f>
        <v>0</v>
      </c>
      <c r="AJ31" s="621">
        <f t="shared" ca="1" si="8"/>
        <v>26996</v>
      </c>
      <c r="AK31" s="621">
        <f t="shared" ca="1" si="9"/>
        <v>26996</v>
      </c>
    </row>
    <row r="32" spans="2:37" s="622" customFormat="1" ht="11.25" customHeight="1">
      <c r="B32" s="864">
        <v>13</v>
      </c>
      <c r="C32" s="864">
        <f ca="1">IF(OR($A$2=1,MAX($C$20:C31)&gt;=110),"",C31+(B32-B31))</f>
        <v>45</v>
      </c>
      <c r="D32" s="1220" t="str">
        <f t="shared" ca="1" si="0"/>
        <v/>
      </c>
      <c r="E32" s="1220"/>
      <c r="F32" s="1220">
        <f t="shared" ca="1" si="1"/>
        <v>1000998</v>
      </c>
      <c r="G32" s="1220"/>
      <c r="H32" s="1220"/>
      <c r="I32" s="1220">
        <f t="shared" ca="1" si="2"/>
        <v>8253</v>
      </c>
      <c r="J32" s="1220"/>
      <c r="K32" s="1220"/>
      <c r="L32" s="1220">
        <f t="shared" ca="1" si="3"/>
        <v>59020</v>
      </c>
      <c r="M32" s="1220"/>
      <c r="N32" s="1220"/>
      <c r="O32" s="1220">
        <f t="shared" ca="1" si="4"/>
        <v>8012</v>
      </c>
      <c r="P32" s="1220"/>
      <c r="Q32" s="1220"/>
      <c r="R32" s="1220">
        <f t="shared" ca="1" si="5"/>
        <v>1255102</v>
      </c>
      <c r="S32" s="1220"/>
      <c r="T32" s="1220"/>
      <c r="U32" s="1220">
        <f t="shared" ca="1" si="6"/>
        <v>1255102</v>
      </c>
      <c r="V32" s="1220"/>
      <c r="W32" s="1220"/>
      <c r="X32" s="614"/>
      <c r="Y32" s="615"/>
      <c r="Z32" s="616">
        <f t="shared" si="10"/>
        <v>13</v>
      </c>
      <c r="AA32" s="617">
        <f t="shared" ca="1" si="7"/>
        <v>1168546</v>
      </c>
      <c r="AB32" s="618">
        <f ca="1">IF($B32="","",VLOOKUP(OP!$C$55,PVFB,$B32+2,0))</f>
        <v>34369</v>
      </c>
      <c r="AC32" s="619"/>
      <c r="AD32" s="620">
        <f ca="1">IF(OR($A$2=1,B32=""),"",VLOOKUP(OP!$C$55,PA,$B32+1,0)*OP!$C$28)</f>
        <v>0</v>
      </c>
      <c r="AE32" s="619"/>
      <c r="AF32" s="620">
        <f ca="1">IF(OR($A$2=1,B32=""),"",VLOOKUP(OP!$C$55,DIE,$B32+1,0)*OP!$C$28)</f>
        <v>1168546</v>
      </c>
      <c r="AG32" s="620">
        <f ca="1">IF(OR($A$2=1,B32=""),"",VLOOKUP(OP!$C$55,CV,$B32+1,0)*OP!$C$28)</f>
        <v>1168546</v>
      </c>
      <c r="AH32" s="615"/>
      <c r="AI32" s="620">
        <f ca="1">IF(OR($A$2=1,B32="",AND($B32&gt;=計算!$P$4,$C32&lt;15),ISERROR(VLOOKUP($B32,MORE_PV,4,0))),"",VLOOKUP($B32,MORE_PV,4,0))</f>
        <v>0</v>
      </c>
      <c r="AJ32" s="621">
        <f t="shared" ca="1" si="8"/>
        <v>27536</v>
      </c>
      <c r="AK32" s="621">
        <f t="shared" ca="1" si="9"/>
        <v>27536</v>
      </c>
    </row>
    <row r="33" spans="2:37" s="622" customFormat="1" ht="11.25" customHeight="1">
      <c r="B33" s="864">
        <v>14</v>
      </c>
      <c r="C33" s="864">
        <f ca="1">IF(OR($A$2=1,MAX($C$20:C32)&gt;=110),"",C32+(B33-B32))</f>
        <v>46</v>
      </c>
      <c r="D33" s="1220" t="str">
        <f t="shared" ca="1" si="0"/>
        <v/>
      </c>
      <c r="E33" s="1220"/>
      <c r="F33" s="1220">
        <f t="shared" ca="1" si="1"/>
        <v>1000998</v>
      </c>
      <c r="G33" s="1220"/>
      <c r="H33" s="1220"/>
      <c r="I33" s="1220">
        <f t="shared" ca="1" si="2"/>
        <v>8418</v>
      </c>
      <c r="J33" s="1220"/>
      <c r="K33" s="1220"/>
      <c r="L33" s="1220">
        <f t="shared" ca="1" si="3"/>
        <v>69045</v>
      </c>
      <c r="M33" s="1220"/>
      <c r="N33" s="1220"/>
      <c r="O33" s="1220">
        <f t="shared" ca="1" si="4"/>
        <v>8012</v>
      </c>
      <c r="P33" s="1220"/>
      <c r="Q33" s="1220"/>
      <c r="R33" s="1220">
        <f t="shared" ca="1" si="5"/>
        <v>1289036</v>
      </c>
      <c r="S33" s="1220"/>
      <c r="T33" s="1220"/>
      <c r="U33" s="1220">
        <f t="shared" ca="1" si="6"/>
        <v>1289036</v>
      </c>
      <c r="V33" s="1220"/>
      <c r="W33" s="1220"/>
      <c r="X33" s="614"/>
      <c r="Y33" s="615"/>
      <c r="Z33" s="616">
        <f t="shared" si="10"/>
        <v>14</v>
      </c>
      <c r="AA33" s="617">
        <f t="shared" ca="1" si="7"/>
        <v>1191904</v>
      </c>
      <c r="AB33" s="618">
        <f ca="1">IF($B33="","",VLOOKUP(OP!$C$55,PVFB,$B33+2,0))</f>
        <v>35056</v>
      </c>
      <c r="AC33" s="619"/>
      <c r="AD33" s="620">
        <f ca="1">IF(OR($A$2=1,B33=""),"",VLOOKUP(OP!$C$55,PA,$B33+1,0)*OP!$C$28)</f>
        <v>0</v>
      </c>
      <c r="AE33" s="619"/>
      <c r="AF33" s="620">
        <f ca="1">IF(OR($A$2=1,B33=""),"",VLOOKUP(OP!$C$55,DIE,$B33+1,0)*OP!$C$28)</f>
        <v>1191904</v>
      </c>
      <c r="AG33" s="620">
        <f ca="1">IF(OR($A$2=1,B33=""),"",VLOOKUP(OP!$C$55,CV,$B33+1,0)*OP!$C$28)</f>
        <v>1191904</v>
      </c>
      <c r="AH33" s="615"/>
      <c r="AI33" s="620">
        <f ca="1">IF(OR($A$2=1,B33="",AND($B33&gt;=計算!$P$4,$C33&lt;15),ISERROR(VLOOKUP($B33,MORE_PV,4,0))),"",VLOOKUP($B33,MORE_PV,4,0))</f>
        <v>0</v>
      </c>
      <c r="AJ33" s="621">
        <f t="shared" ca="1" si="8"/>
        <v>28087</v>
      </c>
      <c r="AK33" s="621">
        <f t="shared" ca="1" si="9"/>
        <v>28087</v>
      </c>
    </row>
    <row r="34" spans="2:37" s="622" customFormat="1" ht="11.25" customHeight="1">
      <c r="B34" s="864">
        <v>15</v>
      </c>
      <c r="C34" s="864">
        <f ca="1">IF(OR($A$2=1,MAX($C$20:C33)&gt;=110),"",C33+(B34-B33))</f>
        <v>47</v>
      </c>
      <c r="D34" s="1220" t="str">
        <f t="shared" ca="1" si="0"/>
        <v/>
      </c>
      <c r="E34" s="1220"/>
      <c r="F34" s="1220">
        <f t="shared" ca="1" si="1"/>
        <v>1000998</v>
      </c>
      <c r="G34" s="1220"/>
      <c r="H34" s="1220"/>
      <c r="I34" s="1220">
        <f t="shared" ca="1" si="2"/>
        <v>8587</v>
      </c>
      <c r="J34" s="1220"/>
      <c r="K34" s="1220"/>
      <c r="L34" s="1220">
        <f t="shared" ca="1" si="3"/>
        <v>79518</v>
      </c>
      <c r="M34" s="1220"/>
      <c r="N34" s="1220"/>
      <c r="O34" s="1220">
        <f t="shared" ca="1" si="4"/>
        <v>8012</v>
      </c>
      <c r="P34" s="1220"/>
      <c r="Q34" s="1220"/>
      <c r="R34" s="1220">
        <f t="shared" ca="1" si="5"/>
        <v>1323905</v>
      </c>
      <c r="S34" s="1220"/>
      <c r="T34" s="1220"/>
      <c r="U34" s="1220">
        <f t="shared" ca="1" si="6"/>
        <v>1323905</v>
      </c>
      <c r="V34" s="1220"/>
      <c r="W34" s="1220"/>
      <c r="X34" s="614"/>
      <c r="Y34" s="615"/>
      <c r="Z34" s="616">
        <f t="shared" si="10"/>
        <v>15</v>
      </c>
      <c r="AA34" s="617">
        <f t="shared" ca="1" si="7"/>
        <v>1215738</v>
      </c>
      <c r="AB34" s="618">
        <f ca="1">IF($B34="","",VLOOKUP(OP!$C$55,PVFB,$B34+2,0))</f>
        <v>35757</v>
      </c>
      <c r="AC34" s="619"/>
      <c r="AD34" s="620">
        <f ca="1">IF(OR($A$2=1,B34=""),"",VLOOKUP(OP!$C$55,PA,$B34+1,0)*OP!$C$28)</f>
        <v>0</v>
      </c>
      <c r="AE34" s="619"/>
      <c r="AF34" s="620">
        <f ca="1">IF(OR($A$2=1,B34=""),"",VLOOKUP(OP!$C$55,DIE,$B34+1,0)*OP!$C$28)</f>
        <v>1215738</v>
      </c>
      <c r="AG34" s="620">
        <f ca="1">IF(OR($A$2=1,B34=""),"",VLOOKUP(OP!$C$55,CV,$B34+1,0)*OP!$C$28)</f>
        <v>1215738</v>
      </c>
      <c r="AH34" s="615"/>
      <c r="AI34" s="620">
        <f ca="1">IF(OR($A$2=1,B34="",AND($B34&gt;=計算!$P$4,$C34&lt;15),ISERROR(VLOOKUP($B34,MORE_PV,4,0))),"",VLOOKUP($B34,MORE_PV,4,0))</f>
        <v>0</v>
      </c>
      <c r="AJ34" s="621">
        <f t="shared" ca="1" si="8"/>
        <v>28649</v>
      </c>
      <c r="AK34" s="621">
        <f t="shared" ca="1" si="9"/>
        <v>28649</v>
      </c>
    </row>
    <row r="35" spans="2:37" s="622" customFormat="1" ht="11.25" customHeight="1">
      <c r="B35" s="864">
        <v>16</v>
      </c>
      <c r="C35" s="864">
        <f ca="1">IF(OR($A$2=1,MAX($C$20:C34)&gt;=110),"",C34+(B35-B34))</f>
        <v>48</v>
      </c>
      <c r="D35" s="1220" t="str">
        <f t="shared" ca="1" si="0"/>
        <v/>
      </c>
      <c r="E35" s="1220"/>
      <c r="F35" s="1220">
        <f t="shared" ca="1" si="1"/>
        <v>1000998</v>
      </c>
      <c r="G35" s="1220"/>
      <c r="H35" s="1220"/>
      <c r="I35" s="1220">
        <f t="shared" ca="1" si="2"/>
        <v>8758</v>
      </c>
      <c r="J35" s="1220"/>
      <c r="K35" s="1220"/>
      <c r="L35" s="1220">
        <f t="shared" ca="1" si="3"/>
        <v>90442</v>
      </c>
      <c r="M35" s="1220"/>
      <c r="N35" s="1220"/>
      <c r="O35" s="1220">
        <f t="shared" ca="1" si="4"/>
        <v>8012</v>
      </c>
      <c r="P35" s="1220"/>
      <c r="Q35" s="1220"/>
      <c r="R35" s="1220">
        <f t="shared" ca="1" si="5"/>
        <v>1359711</v>
      </c>
      <c r="S35" s="1220"/>
      <c r="T35" s="1220"/>
      <c r="U35" s="1220">
        <f t="shared" ca="1" si="6"/>
        <v>1359711</v>
      </c>
      <c r="V35" s="1220"/>
      <c r="W35" s="1220"/>
      <c r="X35" s="614"/>
      <c r="Y35" s="615"/>
      <c r="Z35" s="616">
        <f t="shared" si="10"/>
        <v>16</v>
      </c>
      <c r="AA35" s="617">
        <f t="shared" ca="1" si="7"/>
        <v>1240048</v>
      </c>
      <c r="AB35" s="618">
        <f ca="1">IF($B35="","",VLOOKUP(OP!$C$55,PVFB,$B35+2,0))</f>
        <v>36472</v>
      </c>
      <c r="AC35" s="619"/>
      <c r="AD35" s="620">
        <f ca="1">IF(OR($A$2=1,B35=""),"",VLOOKUP(OP!$C$55,PA,$B35+1,0)*OP!$C$28)</f>
        <v>0</v>
      </c>
      <c r="AE35" s="619"/>
      <c r="AF35" s="620">
        <f ca="1">IF(OR($A$2=1,B35=""),"",VLOOKUP(OP!$C$55,DIE,$B35+1,0)*OP!$C$28)</f>
        <v>1240048</v>
      </c>
      <c r="AG35" s="620">
        <f ca="1">IF(OR($A$2=1,B35=""),"",VLOOKUP(OP!$C$55,CV,$B35+1,0)*OP!$C$28)</f>
        <v>1240048</v>
      </c>
      <c r="AH35" s="615"/>
      <c r="AI35" s="620">
        <f ca="1">IF(OR($A$2=1,B35="",AND($B35&gt;=計算!$P$4,$C35&lt;15),ISERROR(VLOOKUP($B35,MORE_PV,4,0))),"",VLOOKUP($B35,MORE_PV,4,0))</f>
        <v>0</v>
      </c>
      <c r="AJ35" s="621">
        <f t="shared" ca="1" si="8"/>
        <v>29221</v>
      </c>
      <c r="AK35" s="621">
        <f t="shared" ca="1" si="9"/>
        <v>29221</v>
      </c>
    </row>
    <row r="36" spans="2:37" s="622" customFormat="1" ht="11.25" customHeight="1">
      <c r="B36" s="864">
        <v>17</v>
      </c>
      <c r="C36" s="864">
        <f ca="1">IF(OR($A$2=1,MAX($C$20:C35)&gt;=110),"",C35+(B36-B35))</f>
        <v>49</v>
      </c>
      <c r="D36" s="1220" t="str">
        <f t="shared" ca="1" si="0"/>
        <v/>
      </c>
      <c r="E36" s="1220"/>
      <c r="F36" s="1220">
        <f t="shared" ca="1" si="1"/>
        <v>1000998</v>
      </c>
      <c r="G36" s="1220"/>
      <c r="H36" s="1220"/>
      <c r="I36" s="1220">
        <f t="shared" ca="1" si="2"/>
        <v>8934</v>
      </c>
      <c r="J36" s="1220"/>
      <c r="K36" s="1220"/>
      <c r="L36" s="1220">
        <f t="shared" ca="1" si="3"/>
        <v>101839</v>
      </c>
      <c r="M36" s="1220"/>
      <c r="N36" s="1220"/>
      <c r="O36" s="1220">
        <f t="shared" ca="1" si="4"/>
        <v>8012</v>
      </c>
      <c r="P36" s="1220"/>
      <c r="Q36" s="1220"/>
      <c r="R36" s="1220">
        <f t="shared" ca="1" si="5"/>
        <v>1396513</v>
      </c>
      <c r="S36" s="1220"/>
      <c r="T36" s="1220"/>
      <c r="U36" s="1220">
        <f t="shared" ca="1" si="6"/>
        <v>1396513</v>
      </c>
      <c r="V36" s="1220"/>
      <c r="W36" s="1220"/>
      <c r="X36" s="614"/>
      <c r="Y36" s="615"/>
      <c r="Z36" s="616">
        <f t="shared" si="10"/>
        <v>17</v>
      </c>
      <c r="AA36" s="617">
        <f t="shared" ca="1" si="7"/>
        <v>1264868</v>
      </c>
      <c r="AB36" s="618">
        <f ca="1">IF($B36="","",VLOOKUP(OP!$C$55,PVFB,$B36+2,0))</f>
        <v>37202</v>
      </c>
      <c r="AC36" s="619"/>
      <c r="AD36" s="620">
        <f ca="1">IF(OR($A$2=1,B36=""),"",VLOOKUP(OP!$C$55,PA,$B36+1,0)*OP!$C$28)</f>
        <v>0</v>
      </c>
      <c r="AE36" s="619"/>
      <c r="AF36" s="620">
        <f ca="1">IF(OR($A$2=1,B36=""),"",VLOOKUP(OP!$C$55,DIE,$B36+1,0)*OP!$C$28)</f>
        <v>1264868</v>
      </c>
      <c r="AG36" s="620">
        <f ca="1">IF(OR($A$2=1,B36=""),"",VLOOKUP(OP!$C$55,CV,$B36+1,0)*OP!$C$28)</f>
        <v>1264868</v>
      </c>
      <c r="AH36" s="615"/>
      <c r="AI36" s="620">
        <f ca="1">IF(OR($A$2=1,B36="",AND($B36&gt;=計算!$P$4,$C36&lt;15),ISERROR(VLOOKUP($B36,MORE_PV,4,0))),"",VLOOKUP($B36,MORE_PV,4,0))</f>
        <v>0</v>
      </c>
      <c r="AJ36" s="621">
        <f t="shared" ca="1" si="8"/>
        <v>29806</v>
      </c>
      <c r="AK36" s="621">
        <f t="shared" ca="1" si="9"/>
        <v>29806</v>
      </c>
    </row>
    <row r="37" spans="2:37" s="622" customFormat="1" ht="11.25" customHeight="1">
      <c r="B37" s="864">
        <v>18</v>
      </c>
      <c r="C37" s="864">
        <f ca="1">IF(OR($A$2=1,MAX($C$20:C36)&gt;=110),"",C36+(B37-B36))</f>
        <v>50</v>
      </c>
      <c r="D37" s="1220" t="str">
        <f t="shared" ca="1" si="0"/>
        <v/>
      </c>
      <c r="E37" s="1220"/>
      <c r="F37" s="1220">
        <f t="shared" ca="1" si="1"/>
        <v>1000998</v>
      </c>
      <c r="G37" s="1220"/>
      <c r="H37" s="1220"/>
      <c r="I37" s="1220">
        <f t="shared" ca="1" si="2"/>
        <v>9112</v>
      </c>
      <c r="J37" s="1220"/>
      <c r="K37" s="1220"/>
      <c r="L37" s="1220">
        <f t="shared" ca="1" si="3"/>
        <v>113724</v>
      </c>
      <c r="M37" s="1220"/>
      <c r="N37" s="1220"/>
      <c r="O37" s="1220">
        <f t="shared" ca="1" si="4"/>
        <v>8012</v>
      </c>
      <c r="P37" s="1220"/>
      <c r="Q37" s="1220"/>
      <c r="R37" s="1220">
        <f t="shared" ca="1" si="5"/>
        <v>1434290</v>
      </c>
      <c r="S37" s="1220"/>
      <c r="T37" s="1220"/>
      <c r="U37" s="1220">
        <f t="shared" ca="1" si="6"/>
        <v>1434290</v>
      </c>
      <c r="V37" s="1220"/>
      <c r="W37" s="1220"/>
      <c r="X37" s="614"/>
      <c r="Y37" s="615"/>
      <c r="Z37" s="616">
        <f t="shared" si="10"/>
        <v>18</v>
      </c>
      <c r="AA37" s="617">
        <f t="shared" ca="1" si="7"/>
        <v>1290164</v>
      </c>
      <c r="AB37" s="618">
        <f ca="1">IF($B37="","",VLOOKUP(OP!$C$55,PVFB,$B37+2,0))</f>
        <v>37946</v>
      </c>
      <c r="AC37" s="619"/>
      <c r="AD37" s="620">
        <f ca="1">IF(OR($A$2=1,B37=""),"",VLOOKUP(OP!$C$55,PA,$B37+1,0)*OP!$C$28)</f>
        <v>0</v>
      </c>
      <c r="AE37" s="619"/>
      <c r="AF37" s="620">
        <f ca="1">IF(OR($A$2=1,B37=""),"",VLOOKUP(OP!$C$55,DIE,$B37+1,0)*OP!$C$28)</f>
        <v>1290164</v>
      </c>
      <c r="AG37" s="620">
        <f ca="1">IF(OR($A$2=1,B37=""),"",VLOOKUP(OP!$C$55,CV,$B37+1,0)*OP!$C$28)</f>
        <v>1290164</v>
      </c>
      <c r="AH37" s="615"/>
      <c r="AI37" s="620">
        <f ca="1">IF(OR($A$2=1,B37="",AND($B37&gt;=計算!$P$4,$C37&lt;15),ISERROR(VLOOKUP($B37,MORE_PV,4,0))),"",VLOOKUP($B37,MORE_PV,4,0))</f>
        <v>0</v>
      </c>
      <c r="AJ37" s="621">
        <f t="shared" ca="1" si="8"/>
        <v>30402</v>
      </c>
      <c r="AK37" s="621">
        <f t="shared" ca="1" si="9"/>
        <v>30402</v>
      </c>
    </row>
    <row r="38" spans="2:37" s="622" customFormat="1" ht="11.25" customHeight="1">
      <c r="B38" s="864">
        <v>19</v>
      </c>
      <c r="C38" s="864">
        <f ca="1">IF(OR($A$2=1,MAX($C$20:C37)&gt;=110),"",C37+(B38-B37))</f>
        <v>51</v>
      </c>
      <c r="D38" s="1220" t="str">
        <f t="shared" ca="1" si="0"/>
        <v/>
      </c>
      <c r="E38" s="1220"/>
      <c r="F38" s="1220">
        <f t="shared" ca="1" si="1"/>
        <v>1000998</v>
      </c>
      <c r="G38" s="1220"/>
      <c r="H38" s="1220"/>
      <c r="I38" s="1220">
        <f t="shared" ca="1" si="2"/>
        <v>9294</v>
      </c>
      <c r="J38" s="1220"/>
      <c r="K38" s="1220"/>
      <c r="L38" s="1220">
        <f t="shared" ca="1" si="3"/>
        <v>126124</v>
      </c>
      <c r="M38" s="1220"/>
      <c r="N38" s="1220"/>
      <c r="O38" s="1220">
        <f t="shared" ca="1" si="4"/>
        <v>8012</v>
      </c>
      <c r="P38" s="1220"/>
      <c r="Q38" s="1220"/>
      <c r="R38" s="1220">
        <f t="shared" ca="1" si="5"/>
        <v>1473104</v>
      </c>
      <c r="S38" s="1220"/>
      <c r="T38" s="1220"/>
      <c r="U38" s="1220">
        <f t="shared" ca="1" si="6"/>
        <v>1473104</v>
      </c>
      <c r="V38" s="1220"/>
      <c r="W38" s="1220"/>
      <c r="X38" s="614"/>
      <c r="Y38" s="615"/>
      <c r="Z38" s="616">
        <f t="shared" si="10"/>
        <v>19</v>
      </c>
      <c r="AA38" s="617">
        <f t="shared" ca="1" si="7"/>
        <v>1315970</v>
      </c>
      <c r="AB38" s="618">
        <f ca="1">IF($B38="","",VLOOKUP(OP!$C$55,PVFB,$B38+2,0))</f>
        <v>38705</v>
      </c>
      <c r="AC38" s="619"/>
      <c r="AD38" s="620">
        <f ca="1">IF(OR($A$2=1,B38=""),"",VLOOKUP(OP!$C$55,PA,$B38+1,0)*OP!$C$28)</f>
        <v>0</v>
      </c>
      <c r="AE38" s="619"/>
      <c r="AF38" s="620">
        <f ca="1">IF(OR($A$2=1,B38=""),"",VLOOKUP(OP!$C$55,DIE,$B38+1,0)*OP!$C$28)</f>
        <v>1315970</v>
      </c>
      <c r="AG38" s="620">
        <f ca="1">IF(OR($A$2=1,B38=""),"",VLOOKUP(OP!$C$55,CV,$B38+1,0)*OP!$C$28)</f>
        <v>1315970</v>
      </c>
      <c r="AH38" s="615"/>
      <c r="AI38" s="620">
        <f ca="1">IF(OR($A$2=1,B38="",AND($B38&gt;=計算!$P$4,$C38&lt;15),ISERROR(VLOOKUP($B38,MORE_PV,4,0))),"",VLOOKUP($B38,MORE_PV,4,0))</f>
        <v>0</v>
      </c>
      <c r="AJ38" s="621">
        <f t="shared" ca="1" si="8"/>
        <v>31010</v>
      </c>
      <c r="AK38" s="621">
        <f t="shared" ca="1" si="9"/>
        <v>31010</v>
      </c>
    </row>
    <row r="39" spans="2:37" s="622" customFormat="1" ht="11.25" customHeight="1">
      <c r="B39" s="864">
        <v>20</v>
      </c>
      <c r="C39" s="864">
        <f ca="1">IF(OR($A$2=1,MAX($C$20:C38)&gt;=110),"",C38+(B39-B38))</f>
        <v>52</v>
      </c>
      <c r="D39" s="1220" t="str">
        <f t="shared" ca="1" si="0"/>
        <v/>
      </c>
      <c r="E39" s="1220"/>
      <c r="F39" s="1220">
        <f t="shared" ca="1" si="1"/>
        <v>1000998</v>
      </c>
      <c r="G39" s="1220"/>
      <c r="H39" s="1220"/>
      <c r="I39" s="1220">
        <f t="shared" ca="1" si="2"/>
        <v>9480</v>
      </c>
      <c r="J39" s="1220"/>
      <c r="K39" s="1220"/>
      <c r="L39" s="1220">
        <f t="shared" ca="1" si="3"/>
        <v>139039</v>
      </c>
      <c r="M39" s="1220"/>
      <c r="N39" s="1220"/>
      <c r="O39" s="1220">
        <f t="shared" ca="1" si="4"/>
        <v>8012</v>
      </c>
      <c r="P39" s="1220"/>
      <c r="Q39" s="1220"/>
      <c r="R39" s="1220">
        <f t="shared" ca="1" si="5"/>
        <v>1512956</v>
      </c>
      <c r="S39" s="1220"/>
      <c r="T39" s="1220"/>
      <c r="U39" s="1220">
        <f t="shared" ca="1" si="6"/>
        <v>1512956</v>
      </c>
      <c r="V39" s="1220"/>
      <c r="W39" s="1220"/>
      <c r="X39" s="614"/>
      <c r="Y39" s="615"/>
      <c r="Z39" s="616">
        <f t="shared" si="10"/>
        <v>20</v>
      </c>
      <c r="AA39" s="617">
        <f t="shared" ca="1" si="7"/>
        <v>1342286</v>
      </c>
      <c r="AB39" s="618">
        <f ca="1">IF($B39="","",VLOOKUP(OP!$C$55,PVFB,$B39+2,0))</f>
        <v>39479</v>
      </c>
      <c r="AC39" s="619"/>
      <c r="AD39" s="620">
        <f ca="1">IF(OR($A$2=1,B39=""),"",VLOOKUP(OP!$C$55,PA,$B39+1,0)*OP!$C$28)</f>
        <v>0</v>
      </c>
      <c r="AE39" s="619"/>
      <c r="AF39" s="620">
        <f ca="1">IF(OR($A$2=1,B39=""),"",VLOOKUP(OP!$C$55,DIE,$B39+1,0)*OP!$C$28)</f>
        <v>1342286</v>
      </c>
      <c r="AG39" s="620">
        <f ca="1">IF(OR($A$2=1,B39=""),"",VLOOKUP(OP!$C$55,CV,$B39+1,0)*OP!$C$28)</f>
        <v>1342286</v>
      </c>
      <c r="AH39" s="615"/>
      <c r="AI39" s="620">
        <f ca="1">IF(OR($A$2=1,B39="",AND($B39&gt;=計算!$P$4,$C39&lt;15),ISERROR(VLOOKUP($B39,MORE_PV,4,0))),"",VLOOKUP($B39,MORE_PV,4,0))</f>
        <v>0</v>
      </c>
      <c r="AJ39" s="621">
        <f t="shared" ca="1" si="8"/>
        <v>31631</v>
      </c>
      <c r="AK39" s="621">
        <f t="shared" ca="1" si="9"/>
        <v>31631</v>
      </c>
    </row>
    <row r="40" spans="2:37" s="622" customFormat="1" ht="11.25" customHeight="1">
      <c r="B40" s="865">
        <f ca="1">IF(OR(C39&gt;=110,C39=""),"",IF(C39+1&gt;110,111-$C$20,B39+1))</f>
        <v>21</v>
      </c>
      <c r="C40" s="864">
        <f ca="1">IF(OR($A$2=1,MAX($C$20:C39)&gt;=110),"",C39+(B40-B39))</f>
        <v>53</v>
      </c>
      <c r="D40" s="1220" t="str">
        <f t="shared" ca="1" si="0"/>
        <v/>
      </c>
      <c r="E40" s="1220"/>
      <c r="F40" s="1220">
        <f t="shared" ca="1" si="1"/>
        <v>1000998</v>
      </c>
      <c r="G40" s="1220"/>
      <c r="H40" s="1220"/>
      <c r="I40" s="1220">
        <f t="shared" ca="1" si="2"/>
        <v>9670</v>
      </c>
      <c r="J40" s="1220"/>
      <c r="K40" s="1220"/>
      <c r="L40" s="1220">
        <f t="shared" ca="1" si="3"/>
        <v>152496</v>
      </c>
      <c r="M40" s="1220"/>
      <c r="N40" s="1220"/>
      <c r="O40" s="1220">
        <f t="shared" ca="1" si="4"/>
        <v>8012</v>
      </c>
      <c r="P40" s="1220"/>
      <c r="Q40" s="1220"/>
      <c r="R40" s="1220">
        <f t="shared" ca="1" si="5"/>
        <v>1553871</v>
      </c>
      <c r="S40" s="1220"/>
      <c r="T40" s="1220"/>
      <c r="U40" s="1220">
        <f t="shared" ca="1" si="6"/>
        <v>1553871</v>
      </c>
      <c r="V40" s="1220"/>
      <c r="W40" s="1220"/>
      <c r="X40" s="614"/>
      <c r="Y40" s="615"/>
      <c r="Z40" s="616">
        <f t="shared" ca="1" si="10"/>
        <v>21</v>
      </c>
      <c r="AA40" s="617">
        <f t="shared" ca="1" si="7"/>
        <v>1369112</v>
      </c>
      <c r="AB40" s="618">
        <f ca="1">IF($B40="","",VLOOKUP(OP!$C$55,PVFB,$B40+2,0))</f>
        <v>40268</v>
      </c>
      <c r="AC40" s="619"/>
      <c r="AD40" s="620">
        <f ca="1">IF(OR($A$2=1,B40=""),"",VLOOKUP(OP!$C$55,PA,$B40+1,0)*OP!$C$28)</f>
        <v>0</v>
      </c>
      <c r="AE40" s="619"/>
      <c r="AF40" s="620">
        <f ca="1">IF(OR($A$2=1,B40=""),"",VLOOKUP(OP!$C$55,DIE,$B40+1,0)*OP!$C$28)</f>
        <v>1369112</v>
      </c>
      <c r="AG40" s="620">
        <f ca="1">IF(OR($A$2=1,B40=""),"",VLOOKUP(OP!$C$55,CV,$B40+1,0)*OP!$C$28)</f>
        <v>1369112</v>
      </c>
      <c r="AH40" s="615"/>
      <c r="AI40" s="620">
        <f ca="1">IF(OR($A$2=1,B40="",AND($B40&gt;=計算!$P$4,$C40&lt;15),ISERROR(VLOOKUP($B40,MORE_PV,4,0))),"",VLOOKUP($B40,MORE_PV,4,0))</f>
        <v>0</v>
      </c>
      <c r="AJ40" s="621">
        <f t="shared" ca="1" si="8"/>
        <v>32263</v>
      </c>
      <c r="AK40" s="621">
        <f t="shared" ca="1" si="9"/>
        <v>32263</v>
      </c>
    </row>
    <row r="41" spans="2:37" s="622" customFormat="1" ht="11.25" customHeight="1">
      <c r="B41" s="865">
        <f t="shared" ref="B41:B49" ca="1" si="11">IF(OR(C40&gt;=110,C40=""),"",IF(C40+1&gt;110,111-$C$20,B40+1))</f>
        <v>22</v>
      </c>
      <c r="C41" s="864">
        <f ca="1">IF(OR($A$2=1,MAX($C$20:C40)&gt;=110),"",C40+(B41-B40))</f>
        <v>54</v>
      </c>
      <c r="D41" s="1220" t="str">
        <f t="shared" ca="1" si="0"/>
        <v/>
      </c>
      <c r="E41" s="1220"/>
      <c r="F41" s="1220">
        <f t="shared" ca="1" si="1"/>
        <v>1000998</v>
      </c>
      <c r="G41" s="1220"/>
      <c r="H41" s="1220"/>
      <c r="I41" s="1220">
        <f t="shared" ca="1" si="2"/>
        <v>9863</v>
      </c>
      <c r="J41" s="1220"/>
      <c r="K41" s="1220"/>
      <c r="L41" s="1220">
        <f t="shared" ca="1" si="3"/>
        <v>166512</v>
      </c>
      <c r="M41" s="1220"/>
      <c r="N41" s="1220"/>
      <c r="O41" s="1220">
        <f t="shared" ca="1" si="4"/>
        <v>8012</v>
      </c>
      <c r="P41" s="1220"/>
      <c r="Q41" s="1220"/>
      <c r="R41" s="1220">
        <f t="shared" ca="1" si="5"/>
        <v>1595936</v>
      </c>
      <c r="S41" s="1220"/>
      <c r="T41" s="1220"/>
      <c r="U41" s="1220">
        <f t="shared" ca="1" si="6"/>
        <v>1595936</v>
      </c>
      <c r="V41" s="1220"/>
      <c r="W41" s="1220"/>
      <c r="X41" s="614"/>
      <c r="Y41" s="615"/>
      <c r="Z41" s="616">
        <f t="shared" ca="1" si="10"/>
        <v>22</v>
      </c>
      <c r="AA41" s="617">
        <f t="shared" ca="1" si="7"/>
        <v>1396516</v>
      </c>
      <c r="AB41" s="618">
        <f ca="1">IF($B41="","",VLOOKUP(OP!$C$55,PVFB,$B41+2,0))</f>
        <v>41074</v>
      </c>
      <c r="AC41" s="619"/>
      <c r="AD41" s="620">
        <f ca="1">IF(OR($A$2=1,B41=""),"",VLOOKUP(OP!$C$55,PA,$B41+1,0)*OP!$C$28)</f>
        <v>0</v>
      </c>
      <c r="AE41" s="619"/>
      <c r="AF41" s="620">
        <f ca="1">IF(OR($A$2=1,B41=""),"",VLOOKUP(OP!$C$55,DIE,$B41+1,0)*OP!$C$28)</f>
        <v>1396516</v>
      </c>
      <c r="AG41" s="620">
        <f ca="1">IF(OR($A$2=1,B41=""),"",VLOOKUP(OP!$C$55,CV,$B41+1,0)*OP!$C$28)</f>
        <v>1396516</v>
      </c>
      <c r="AH41" s="615"/>
      <c r="AI41" s="620">
        <f ca="1">IF(OR($A$2=1,B41="",AND($B41&gt;=計算!$P$4,$C41&lt;15),ISERROR(VLOOKUP($B41,MORE_PV,4,0))),"",VLOOKUP($B41,MORE_PV,4,0))</f>
        <v>0</v>
      </c>
      <c r="AJ41" s="621">
        <f t="shared" ca="1" si="8"/>
        <v>32908</v>
      </c>
      <c r="AK41" s="621">
        <f t="shared" ca="1" si="9"/>
        <v>32908</v>
      </c>
    </row>
    <row r="42" spans="2:37" s="622" customFormat="1" ht="11.25" customHeight="1">
      <c r="B42" s="865">
        <f t="shared" ca="1" si="11"/>
        <v>23</v>
      </c>
      <c r="C42" s="864">
        <f ca="1">IF(OR($A$2=1,MAX($C$20:C41)&gt;=110),"",C41+(B42-B41))</f>
        <v>55</v>
      </c>
      <c r="D42" s="1220" t="str">
        <f t="shared" ca="1" si="0"/>
        <v/>
      </c>
      <c r="E42" s="1220"/>
      <c r="F42" s="1220">
        <f t="shared" ca="1" si="1"/>
        <v>1000998</v>
      </c>
      <c r="G42" s="1220"/>
      <c r="H42" s="1220"/>
      <c r="I42" s="1220">
        <f t="shared" ca="1" si="2"/>
        <v>10061</v>
      </c>
      <c r="J42" s="1220"/>
      <c r="K42" s="1220"/>
      <c r="L42" s="1220">
        <f t="shared" ca="1" si="3"/>
        <v>181120</v>
      </c>
      <c r="M42" s="1220"/>
      <c r="N42" s="1220"/>
      <c r="O42" s="1220">
        <f t="shared" ca="1" si="4"/>
        <v>8012</v>
      </c>
      <c r="P42" s="1220"/>
      <c r="Q42" s="1220"/>
      <c r="R42" s="1220">
        <f t="shared" ca="1" si="5"/>
        <v>1639116</v>
      </c>
      <c r="S42" s="1220"/>
      <c r="T42" s="1220"/>
      <c r="U42" s="1220">
        <f t="shared" ca="1" si="6"/>
        <v>1639116</v>
      </c>
      <c r="V42" s="1220"/>
      <c r="W42" s="1220"/>
      <c r="X42" s="614"/>
      <c r="Y42" s="615"/>
      <c r="Z42" s="616">
        <f t="shared" ca="1" si="10"/>
        <v>23</v>
      </c>
      <c r="AA42" s="617">
        <f t="shared" ca="1" si="7"/>
        <v>1424430</v>
      </c>
      <c r="AB42" s="618">
        <f ca="1">IF($B42="","",VLOOKUP(OP!$C$55,PVFB,$B42+2,0))</f>
        <v>41895</v>
      </c>
      <c r="AC42" s="619"/>
      <c r="AD42" s="620">
        <f ca="1">IF(OR($A$2=1,B42=""),"",VLOOKUP(OP!$C$55,PA,$B42+1,0)*OP!$C$28)</f>
        <v>0</v>
      </c>
      <c r="AE42" s="619"/>
      <c r="AF42" s="620">
        <f ca="1">IF(OR($A$2=1,B42=""),"",VLOOKUP(OP!$C$55,DIE,$B42+1,0)*OP!$C$28)</f>
        <v>1424430</v>
      </c>
      <c r="AG42" s="620">
        <f ca="1">IF(OR($A$2=1,B42=""),"",VLOOKUP(OP!$C$55,CV,$B42+1,0)*OP!$C$28)</f>
        <v>1424430</v>
      </c>
      <c r="AH42" s="615"/>
      <c r="AI42" s="620">
        <f ca="1">IF(OR($A$2=1,B42="",AND($B42&gt;=計算!$P$4,$C42&lt;15),ISERROR(VLOOKUP($B42,MORE_PV,4,0))),"",VLOOKUP($B42,MORE_PV,4,0))</f>
        <v>0</v>
      </c>
      <c r="AJ42" s="621">
        <f t="shared" ca="1" si="8"/>
        <v>33566</v>
      </c>
      <c r="AK42" s="621">
        <f t="shared" ca="1" si="9"/>
        <v>33566</v>
      </c>
    </row>
    <row r="43" spans="2:37" s="622" customFormat="1" ht="11.25" customHeight="1">
      <c r="B43" s="865">
        <f t="shared" ca="1" si="11"/>
        <v>24</v>
      </c>
      <c r="C43" s="864">
        <f ca="1">IF(OR($A$2=1,MAX($C$20:C42)&gt;=110),"",C42+(B43-B42))</f>
        <v>56</v>
      </c>
      <c r="D43" s="1220" t="str">
        <f t="shared" ca="1" si="0"/>
        <v/>
      </c>
      <c r="E43" s="1220"/>
      <c r="F43" s="1220">
        <f t="shared" ca="1" si="1"/>
        <v>1000998</v>
      </c>
      <c r="G43" s="1220"/>
      <c r="H43" s="1220"/>
      <c r="I43" s="1220">
        <f t="shared" ca="1" si="2"/>
        <v>10261</v>
      </c>
      <c r="J43" s="1220"/>
      <c r="K43" s="1220"/>
      <c r="L43" s="1220">
        <f t="shared" ca="1" si="3"/>
        <v>196314</v>
      </c>
      <c r="M43" s="1220"/>
      <c r="N43" s="1220"/>
      <c r="O43" s="1220">
        <f t="shared" ca="1" si="4"/>
        <v>8012</v>
      </c>
      <c r="P43" s="1220"/>
      <c r="Q43" s="1220"/>
      <c r="R43" s="1220">
        <f t="shared" ca="1" si="5"/>
        <v>1683474</v>
      </c>
      <c r="S43" s="1220"/>
      <c r="T43" s="1220"/>
      <c r="U43" s="1220">
        <f t="shared" ca="1" si="6"/>
        <v>1683474</v>
      </c>
      <c r="V43" s="1220"/>
      <c r="W43" s="1220"/>
      <c r="X43" s="614"/>
      <c r="Y43" s="615"/>
      <c r="Z43" s="616">
        <f t="shared" ca="1" si="10"/>
        <v>24</v>
      </c>
      <c r="AA43" s="617">
        <f t="shared" ca="1" si="7"/>
        <v>1452922</v>
      </c>
      <c r="AB43" s="618">
        <f ca="1">IF($B43="","",VLOOKUP(OP!$C$55,PVFB,$B43+2,0))</f>
        <v>42733</v>
      </c>
      <c r="AC43" s="619"/>
      <c r="AD43" s="620">
        <f ca="1">IF(OR($A$2=1,B43=""),"",VLOOKUP(OP!$C$55,PA,$B43+1,0)*OP!$C$28)</f>
        <v>0</v>
      </c>
      <c r="AE43" s="619"/>
      <c r="AF43" s="620">
        <f ca="1">IF(OR($A$2=1,B43=""),"",VLOOKUP(OP!$C$55,DIE,$B43+1,0)*OP!$C$28)</f>
        <v>1452922</v>
      </c>
      <c r="AG43" s="620">
        <f ca="1">IF(OR($A$2=1,B43=""),"",VLOOKUP(OP!$C$55,CV,$B43+1,0)*OP!$C$28)</f>
        <v>1452922</v>
      </c>
      <c r="AH43" s="615"/>
      <c r="AI43" s="620">
        <f ca="1">IF(OR($A$2=1,B43="",AND($B43&gt;=計算!$P$4,$C43&lt;15),ISERROR(VLOOKUP($B43,MORE_PV,4,0))),"",VLOOKUP($B43,MORE_PV,4,0))</f>
        <v>0</v>
      </c>
      <c r="AJ43" s="621">
        <f t="shared" ca="1" si="8"/>
        <v>34238</v>
      </c>
      <c r="AK43" s="621">
        <f t="shared" ca="1" si="9"/>
        <v>34238</v>
      </c>
    </row>
    <row r="44" spans="2:37" s="622" customFormat="1" ht="11.25" customHeight="1">
      <c r="B44" s="865">
        <f t="shared" ca="1" si="11"/>
        <v>25</v>
      </c>
      <c r="C44" s="864">
        <f ca="1">IF(OR($A$2=1,MAX($C$20:C43)&gt;=110),"",C43+(B44-B43))</f>
        <v>57</v>
      </c>
      <c r="D44" s="1220" t="str">
        <f t="shared" ca="1" si="0"/>
        <v/>
      </c>
      <c r="E44" s="1220"/>
      <c r="F44" s="1220">
        <f t="shared" ca="1" si="1"/>
        <v>1000998</v>
      </c>
      <c r="G44" s="1220"/>
      <c r="H44" s="1220"/>
      <c r="I44" s="1220">
        <f t="shared" ca="1" si="2"/>
        <v>10467</v>
      </c>
      <c r="J44" s="1220"/>
      <c r="K44" s="1220"/>
      <c r="L44" s="1220">
        <f t="shared" ca="1" si="3"/>
        <v>212127</v>
      </c>
      <c r="M44" s="1220"/>
      <c r="N44" s="1220"/>
      <c r="O44" s="1220">
        <f t="shared" ca="1" si="4"/>
        <v>8012</v>
      </c>
      <c r="P44" s="1220"/>
      <c r="Q44" s="1220"/>
      <c r="R44" s="1220">
        <f t="shared" ca="1" si="5"/>
        <v>1729042</v>
      </c>
      <c r="S44" s="1220"/>
      <c r="T44" s="1220"/>
      <c r="U44" s="1220">
        <f t="shared" ca="1" si="6"/>
        <v>1729042</v>
      </c>
      <c r="V44" s="1220"/>
      <c r="W44" s="1220"/>
      <c r="X44" s="614"/>
      <c r="Y44" s="615"/>
      <c r="Z44" s="616">
        <f t="shared" ca="1" si="10"/>
        <v>25</v>
      </c>
      <c r="AA44" s="617">
        <f t="shared" ca="1" si="7"/>
        <v>1481992</v>
      </c>
      <c r="AB44" s="618">
        <f ca="1">IF($B44="","",VLOOKUP(OP!$C$55,PVFB,$B44+2,0))</f>
        <v>43588</v>
      </c>
      <c r="AC44" s="619"/>
      <c r="AD44" s="620">
        <f ca="1">IF(OR($A$2=1,B44=""),"",VLOOKUP(OP!$C$55,PA,$B44+1,0)*OP!$C$28)</f>
        <v>0</v>
      </c>
      <c r="AE44" s="619"/>
      <c r="AF44" s="620">
        <f ca="1">IF(OR($A$2=1,B44=""),"",VLOOKUP(OP!$C$55,DIE,$B44+1,0)*OP!$C$28)</f>
        <v>1481992</v>
      </c>
      <c r="AG44" s="620">
        <f ca="1">IF(OR($A$2=1,B44=""),"",VLOOKUP(OP!$C$55,CV,$B44+1,0)*OP!$C$28)</f>
        <v>1481992</v>
      </c>
      <c r="AH44" s="615"/>
      <c r="AI44" s="620">
        <f ca="1">IF(OR($A$2=1,B44="",AND($B44&gt;=計算!$P$4,$C44&lt;15),ISERROR(VLOOKUP($B44,MORE_PV,4,0))),"",VLOOKUP($B44,MORE_PV,4,0))</f>
        <v>0</v>
      </c>
      <c r="AJ44" s="621">
        <f t="shared" ca="1" si="8"/>
        <v>34923</v>
      </c>
      <c r="AK44" s="621">
        <f t="shared" ca="1" si="9"/>
        <v>34923</v>
      </c>
    </row>
    <row r="45" spans="2:37" s="622" customFormat="1" ht="11.25" customHeight="1">
      <c r="B45" s="865">
        <f t="shared" ca="1" si="11"/>
        <v>26</v>
      </c>
      <c r="C45" s="864">
        <f ca="1">IF(OR($A$2=1,MAX($C$20:C44)&gt;=110),"",C44+(B45-B44))</f>
        <v>58</v>
      </c>
      <c r="D45" s="1220" t="str">
        <f t="shared" ca="1" si="0"/>
        <v/>
      </c>
      <c r="E45" s="1220"/>
      <c r="F45" s="1220">
        <f t="shared" ca="1" si="1"/>
        <v>1000998</v>
      </c>
      <c r="G45" s="1220"/>
      <c r="H45" s="1220"/>
      <c r="I45" s="1220">
        <f t="shared" ca="1" si="2"/>
        <v>10676</v>
      </c>
      <c r="J45" s="1220"/>
      <c r="K45" s="1220"/>
      <c r="L45" s="1220">
        <f t="shared" ca="1" si="3"/>
        <v>228580</v>
      </c>
      <c r="M45" s="1220"/>
      <c r="N45" s="1220"/>
      <c r="O45" s="1220">
        <f t="shared" ca="1" si="4"/>
        <v>8012</v>
      </c>
      <c r="P45" s="1220"/>
      <c r="Q45" s="1220"/>
      <c r="R45" s="1220">
        <f t="shared" ca="1" si="5"/>
        <v>1775807</v>
      </c>
      <c r="S45" s="1220"/>
      <c r="T45" s="1220"/>
      <c r="U45" s="1220">
        <f t="shared" ca="1" si="6"/>
        <v>1775807</v>
      </c>
      <c r="V45" s="1220"/>
      <c r="W45" s="1220"/>
      <c r="X45" s="614"/>
      <c r="Y45" s="615"/>
      <c r="Z45" s="616">
        <f t="shared" ca="1" si="10"/>
        <v>26</v>
      </c>
      <c r="AA45" s="617">
        <f t="shared" ca="1" si="7"/>
        <v>1511606</v>
      </c>
      <c r="AB45" s="618">
        <f ca="1">IF($B45="","",VLOOKUP(OP!$C$55,PVFB,$B45+2,0))</f>
        <v>44459</v>
      </c>
      <c r="AC45" s="619"/>
      <c r="AD45" s="620">
        <f ca="1">IF(OR($A$2=1,B45=""),"",VLOOKUP(OP!$C$55,PA,$B45+1,0)*OP!$C$28)</f>
        <v>0</v>
      </c>
      <c r="AE45" s="619"/>
      <c r="AF45" s="620">
        <f ca="1">IF(OR($A$2=1,B45=""),"",VLOOKUP(OP!$C$55,DIE,$B45+1,0)*OP!$C$28)</f>
        <v>1511606</v>
      </c>
      <c r="AG45" s="620">
        <f ca="1">IF(OR($A$2=1,B45=""),"",VLOOKUP(OP!$C$55,CV,$B45+1,0)*OP!$C$28)</f>
        <v>1511606</v>
      </c>
      <c r="AH45" s="615"/>
      <c r="AI45" s="620">
        <f ca="1">IF(OR($A$2=1,B45="",AND($B45&gt;=計算!$P$4,$C45&lt;15),ISERROR(VLOOKUP($B45,MORE_PV,4,0))),"",VLOOKUP($B45,MORE_PV,4,0))</f>
        <v>0</v>
      </c>
      <c r="AJ45" s="621">
        <f t="shared" ca="1" si="8"/>
        <v>35621</v>
      </c>
      <c r="AK45" s="621">
        <f t="shared" ca="1" si="9"/>
        <v>35621</v>
      </c>
    </row>
    <row r="46" spans="2:37" s="622" customFormat="1" ht="11.25" customHeight="1">
      <c r="B46" s="865">
        <f t="shared" ca="1" si="11"/>
        <v>27</v>
      </c>
      <c r="C46" s="864">
        <f ca="1">IF(OR($A$2=1,MAX($C$20:C45)&gt;=110),"",C45+(B46-B45))</f>
        <v>59</v>
      </c>
      <c r="D46" s="1220" t="str">
        <f t="shared" ca="1" si="0"/>
        <v/>
      </c>
      <c r="E46" s="1220"/>
      <c r="F46" s="1220">
        <f t="shared" ca="1" si="1"/>
        <v>1000998</v>
      </c>
      <c r="G46" s="1220"/>
      <c r="H46" s="1220"/>
      <c r="I46" s="1220">
        <f t="shared" ca="1" si="2"/>
        <v>10890</v>
      </c>
      <c r="J46" s="1220"/>
      <c r="K46" s="1220"/>
      <c r="L46" s="1220">
        <f t="shared" ca="1" si="3"/>
        <v>245712</v>
      </c>
      <c r="M46" s="1220"/>
      <c r="N46" s="1220"/>
      <c r="O46" s="1220">
        <f t="shared" ca="1" si="4"/>
        <v>8012</v>
      </c>
      <c r="P46" s="1220"/>
      <c r="Q46" s="1220"/>
      <c r="R46" s="1220">
        <f t="shared" ca="1" si="5"/>
        <v>1823877</v>
      </c>
      <c r="S46" s="1220"/>
      <c r="T46" s="1220"/>
      <c r="U46" s="1220">
        <f t="shared" ca="1" si="6"/>
        <v>1823877</v>
      </c>
      <c r="V46" s="1220"/>
      <c r="W46" s="1220"/>
      <c r="X46" s="614"/>
      <c r="Y46" s="615"/>
      <c r="Z46" s="616">
        <f t="shared" ca="1" si="10"/>
        <v>27</v>
      </c>
      <c r="AA46" s="617">
        <f t="shared" ca="1" si="7"/>
        <v>1541832</v>
      </c>
      <c r="AB46" s="618">
        <f ca="1">IF($B46="","",VLOOKUP(OP!$C$55,PVFB,$B46+2,0))</f>
        <v>45348</v>
      </c>
      <c r="AC46" s="619"/>
      <c r="AD46" s="620">
        <f ca="1">IF(OR($A$2=1,B46=""),"",VLOOKUP(OP!$C$55,PA,$B46+1,0)*OP!$C$28)</f>
        <v>0</v>
      </c>
      <c r="AE46" s="619"/>
      <c r="AF46" s="620">
        <f ca="1">IF(OR($A$2=1,B46=""),"",VLOOKUP(OP!$C$55,DIE,$B46+1,0)*OP!$C$28)</f>
        <v>1541832</v>
      </c>
      <c r="AG46" s="620">
        <f ca="1">IF(OR($A$2=1,B46=""),"",VLOOKUP(OP!$C$55,CV,$B46+1,0)*OP!$C$28)</f>
        <v>1541832</v>
      </c>
      <c r="AH46" s="615"/>
      <c r="AI46" s="620">
        <f ca="1">IF(OR($A$2=1,B46="",AND($B46&gt;=計算!$P$4,$C46&lt;15),ISERROR(VLOOKUP($B46,MORE_PV,4,0))),"",VLOOKUP($B46,MORE_PV,4,0))</f>
        <v>0</v>
      </c>
      <c r="AJ46" s="621">
        <f t="shared" ca="1" si="8"/>
        <v>36333</v>
      </c>
      <c r="AK46" s="621">
        <f t="shared" ca="1" si="9"/>
        <v>36333</v>
      </c>
    </row>
    <row r="47" spans="2:37" s="622" customFormat="1" ht="11.25" customHeight="1">
      <c r="B47" s="865">
        <f t="shared" ca="1" si="11"/>
        <v>28</v>
      </c>
      <c r="C47" s="864">
        <f ca="1">IF(OR($A$2=1,MAX($C$20:C46)&gt;=110),"",C46+(B47-B46))</f>
        <v>60</v>
      </c>
      <c r="D47" s="1220" t="str">
        <f t="shared" ca="1" si="0"/>
        <v/>
      </c>
      <c r="E47" s="1220"/>
      <c r="F47" s="1220">
        <f t="shared" ca="1" si="1"/>
        <v>1000998</v>
      </c>
      <c r="G47" s="1220"/>
      <c r="H47" s="1220"/>
      <c r="I47" s="1220">
        <f t="shared" ca="1" si="2"/>
        <v>11107</v>
      </c>
      <c r="J47" s="1220"/>
      <c r="K47" s="1220"/>
      <c r="L47" s="1220">
        <f t="shared" ca="1" si="3"/>
        <v>263511</v>
      </c>
      <c r="M47" s="1220"/>
      <c r="N47" s="1220"/>
      <c r="O47" s="1220">
        <f t="shared" ca="1" si="4"/>
        <v>8012</v>
      </c>
      <c r="P47" s="1220"/>
      <c r="Q47" s="1220"/>
      <c r="R47" s="1220">
        <f t="shared" ca="1" si="5"/>
        <v>1873241</v>
      </c>
      <c r="S47" s="1220"/>
      <c r="T47" s="1220"/>
      <c r="U47" s="1220">
        <f t="shared" ca="1" si="6"/>
        <v>1873241</v>
      </c>
      <c r="V47" s="1220"/>
      <c r="W47" s="1220"/>
      <c r="X47" s="614"/>
      <c r="Y47" s="615"/>
      <c r="Z47" s="616">
        <f t="shared" ca="1" si="10"/>
        <v>28</v>
      </c>
      <c r="AA47" s="617">
        <f t="shared" ca="1" si="7"/>
        <v>1572670</v>
      </c>
      <c r="AB47" s="618">
        <f ca="1">IF($B47="","",VLOOKUP(OP!$C$55,PVFB,$B47+2,0))</f>
        <v>46255</v>
      </c>
      <c r="AC47" s="619"/>
      <c r="AD47" s="620">
        <f ca="1">IF(OR($A$2=1,B47=""),"",VLOOKUP(OP!$C$55,PA,$B47+1,0)*OP!$C$28)</f>
        <v>0</v>
      </c>
      <c r="AE47" s="619"/>
      <c r="AF47" s="620">
        <f ca="1">IF(OR($A$2=1,B47=""),"",VLOOKUP(OP!$C$55,DIE,$B47+1,0)*OP!$C$28)</f>
        <v>1572670</v>
      </c>
      <c r="AG47" s="620">
        <f ca="1">IF(OR($A$2=1,B47=""),"",VLOOKUP(OP!$C$55,CV,$B47+1,0)*OP!$C$28)</f>
        <v>1572670</v>
      </c>
      <c r="AH47" s="615"/>
      <c r="AI47" s="620">
        <f ca="1">IF(OR($A$2=1,B47="",AND($B47&gt;=計算!$P$4,$C47&lt;15),ISERROR(VLOOKUP($B47,MORE_PV,4,0))),"",VLOOKUP($B47,MORE_PV,4,0))</f>
        <v>0</v>
      </c>
      <c r="AJ47" s="621">
        <f t="shared" ca="1" si="8"/>
        <v>37060</v>
      </c>
      <c r="AK47" s="621">
        <f t="shared" ca="1" si="9"/>
        <v>37060</v>
      </c>
    </row>
    <row r="48" spans="2:37" s="622" customFormat="1" ht="11.25" customHeight="1">
      <c r="B48" s="865">
        <f t="shared" ca="1" si="11"/>
        <v>29</v>
      </c>
      <c r="C48" s="864">
        <f ca="1">IF(OR($A$2=1,MAX($C$20:C47)&gt;=110),"",C47+(B48-B47))</f>
        <v>61</v>
      </c>
      <c r="D48" s="1220" t="str">
        <f t="shared" ca="1" si="0"/>
        <v/>
      </c>
      <c r="E48" s="1220"/>
      <c r="F48" s="1220">
        <f t="shared" ca="1" si="1"/>
        <v>1000998</v>
      </c>
      <c r="G48" s="1220"/>
      <c r="H48" s="1220"/>
      <c r="I48" s="1220">
        <f t="shared" ca="1" si="2"/>
        <v>11329</v>
      </c>
      <c r="J48" s="1220"/>
      <c r="K48" s="1220"/>
      <c r="L48" s="1220">
        <f t="shared" ca="1" si="3"/>
        <v>282017</v>
      </c>
      <c r="M48" s="1220"/>
      <c r="N48" s="1220"/>
      <c r="O48" s="1220">
        <f t="shared" ca="1" si="4"/>
        <v>8012</v>
      </c>
      <c r="P48" s="1220"/>
      <c r="Q48" s="1220"/>
      <c r="R48" s="1220">
        <f t="shared" ca="1" si="5"/>
        <v>1923938</v>
      </c>
      <c r="S48" s="1220"/>
      <c r="T48" s="1220"/>
      <c r="U48" s="1220">
        <f t="shared" ca="1" si="6"/>
        <v>1923938</v>
      </c>
      <c r="V48" s="1220"/>
      <c r="W48" s="1220"/>
      <c r="X48" s="614"/>
      <c r="Y48" s="615"/>
      <c r="Z48" s="616">
        <f t="shared" ca="1" si="10"/>
        <v>29</v>
      </c>
      <c r="AA48" s="617">
        <f t="shared" ca="1" si="7"/>
        <v>1604120</v>
      </c>
      <c r="AB48" s="618">
        <f ca="1">IF($B48="","",VLOOKUP(OP!$C$55,PVFB,$B48+2,0))</f>
        <v>47180</v>
      </c>
      <c r="AC48" s="619"/>
      <c r="AD48" s="620">
        <f ca="1">IF(OR($A$2=1,B48=""),"",VLOOKUP(OP!$C$55,PA,$B48+1,0)*OP!$C$28)</f>
        <v>0</v>
      </c>
      <c r="AE48" s="619"/>
      <c r="AF48" s="620">
        <f ca="1">IF(OR($A$2=1,B48=""),"",VLOOKUP(OP!$C$55,DIE,$B48+1,0)*OP!$C$28)</f>
        <v>1604120</v>
      </c>
      <c r="AG48" s="620">
        <f ca="1">IF(OR($A$2=1,B48=""),"",VLOOKUP(OP!$C$55,CV,$B48+1,0)*OP!$C$28)</f>
        <v>1604120</v>
      </c>
      <c r="AH48" s="615"/>
      <c r="AI48" s="620">
        <f ca="1">IF(OR($A$2=1,B48="",AND($B48&gt;=計算!$P$4,$C48&lt;15),ISERROR(VLOOKUP($B48,MORE_PV,4,0))),"",VLOOKUP($B48,MORE_PV,4,0))</f>
        <v>0</v>
      </c>
      <c r="AJ48" s="621">
        <f t="shared" ca="1" si="8"/>
        <v>37801</v>
      </c>
      <c r="AK48" s="621">
        <f t="shared" ca="1" si="9"/>
        <v>37801</v>
      </c>
    </row>
    <row r="49" spans="2:37" s="622" customFormat="1" ht="11.25" customHeight="1">
      <c r="B49" s="865">
        <f t="shared" ca="1" si="11"/>
        <v>30</v>
      </c>
      <c r="C49" s="864">
        <f ca="1">IF(OR($A$2=1,MAX($C$20:C48)&gt;=110),"",C48+(B49-B48))</f>
        <v>62</v>
      </c>
      <c r="D49" s="1220" t="str">
        <f t="shared" ca="1" si="0"/>
        <v/>
      </c>
      <c r="E49" s="1220"/>
      <c r="F49" s="1220">
        <f t="shared" ca="1" si="1"/>
        <v>1000998</v>
      </c>
      <c r="G49" s="1220"/>
      <c r="H49" s="1220"/>
      <c r="I49" s="1220">
        <f t="shared" ca="1" si="2"/>
        <v>11556</v>
      </c>
      <c r="J49" s="1220"/>
      <c r="K49" s="1220"/>
      <c r="L49" s="1220">
        <f t="shared" ca="1" si="3"/>
        <v>301253</v>
      </c>
      <c r="M49" s="1220"/>
      <c r="N49" s="1220"/>
      <c r="O49" s="1220">
        <f t="shared" ca="1" si="4"/>
        <v>8012</v>
      </c>
      <c r="P49" s="1220"/>
      <c r="Q49" s="1220"/>
      <c r="R49" s="1220">
        <f t="shared" ca="1" si="5"/>
        <v>1976026</v>
      </c>
      <c r="S49" s="1220"/>
      <c r="T49" s="1220"/>
      <c r="U49" s="1220">
        <f t="shared" ca="1" si="6"/>
        <v>1976026</v>
      </c>
      <c r="V49" s="1220"/>
      <c r="W49" s="1220"/>
      <c r="X49" s="614"/>
      <c r="Y49" s="615"/>
      <c r="Z49" s="616">
        <f t="shared" ca="1" si="10"/>
        <v>30</v>
      </c>
      <c r="AA49" s="617">
        <f t="shared" ca="1" si="7"/>
        <v>1636216</v>
      </c>
      <c r="AB49" s="618">
        <f ca="1">IF($B49="","",VLOOKUP(OP!$C$55,PVFB,$B49+2,0))</f>
        <v>48124</v>
      </c>
      <c r="AC49" s="619"/>
      <c r="AD49" s="620">
        <f ca="1">IF(OR($A$2=1,B49=""),"",VLOOKUP(OP!$C$55,PA,$B49+1,0)*OP!$C$28)</f>
        <v>0</v>
      </c>
      <c r="AE49" s="619"/>
      <c r="AF49" s="620">
        <f ca="1">IF(OR($A$2=1,B49=""),"",VLOOKUP(OP!$C$55,DIE,$B49+1,0)*OP!$C$28)</f>
        <v>1636216</v>
      </c>
      <c r="AG49" s="620">
        <f ca="1">IF(OR($A$2=1,B49=""),"",VLOOKUP(OP!$C$55,CV,$B49+1,0)*OP!$C$28)</f>
        <v>1636216</v>
      </c>
      <c r="AH49" s="615"/>
      <c r="AI49" s="620">
        <f ca="1">IF(OR($A$2=1,B49="",AND($B49&gt;=計算!$P$4,$C49&lt;15),ISERROR(VLOOKUP($B49,MORE_PV,4,0))),"",VLOOKUP($B49,MORE_PV,4,0))</f>
        <v>0</v>
      </c>
      <c r="AJ49" s="621">
        <f t="shared" ca="1" si="8"/>
        <v>38557</v>
      </c>
      <c r="AK49" s="621">
        <f t="shared" ca="1" si="9"/>
        <v>38557</v>
      </c>
    </row>
    <row r="50" spans="2:37" s="622" customFormat="1" ht="11.25" customHeight="1">
      <c r="B50" s="865">
        <f ca="1">IF(OR(C49&gt;=110,C49=""),"",IF(C49+1&gt;110,111-$C$20,B49+1))</f>
        <v>31</v>
      </c>
      <c r="C50" s="864">
        <f ca="1">IF(OR($A$2=1,MAX($C$20:C49)&gt;=110),"",C49+(B50-B49))</f>
        <v>63</v>
      </c>
      <c r="D50" s="1220" t="str">
        <f t="shared" ca="1" si="0"/>
        <v/>
      </c>
      <c r="E50" s="1220"/>
      <c r="F50" s="1220">
        <f t="shared" ca="1" si="1"/>
        <v>1000998</v>
      </c>
      <c r="G50" s="1220"/>
      <c r="H50" s="1220"/>
      <c r="I50" s="1220">
        <f t="shared" ca="1" si="2"/>
        <v>11787</v>
      </c>
      <c r="J50" s="1220"/>
      <c r="K50" s="1220"/>
      <c r="L50" s="1220">
        <f t="shared" ca="1" si="3"/>
        <v>321267</v>
      </c>
      <c r="M50" s="1220"/>
      <c r="N50" s="1220"/>
      <c r="O50" s="1220">
        <f t="shared" ca="1" si="4"/>
        <v>8012</v>
      </c>
      <c r="P50" s="1220"/>
      <c r="Q50" s="1220"/>
      <c r="R50" s="1220">
        <f t="shared" ca="1" si="5"/>
        <v>2029519</v>
      </c>
      <c r="S50" s="1220"/>
      <c r="T50" s="1220"/>
      <c r="U50" s="1220">
        <f t="shared" ca="1" si="6"/>
        <v>2029519</v>
      </c>
      <c r="V50" s="1220"/>
      <c r="W50" s="1220"/>
      <c r="X50" s="614"/>
      <c r="Y50" s="615"/>
      <c r="Z50" s="616">
        <f t="shared" ca="1" si="10"/>
        <v>31</v>
      </c>
      <c r="AA50" s="617">
        <f t="shared" ca="1" si="7"/>
        <v>1668924</v>
      </c>
      <c r="AB50" s="618">
        <f ca="1">IF($B50="","",VLOOKUP(OP!$C$55,PVFB,$B50+2,0))</f>
        <v>49086</v>
      </c>
      <c r="AC50" s="619"/>
      <c r="AD50" s="620">
        <f ca="1">IF(OR($A$2=1,B50=""),"",VLOOKUP(OP!$C$55,PA,$B50+1,0)*OP!$C$28)</f>
        <v>0</v>
      </c>
      <c r="AE50" s="619"/>
      <c r="AF50" s="620">
        <f ca="1">IF(OR($A$2=1,B50=""),"",VLOOKUP(OP!$C$55,DIE,$B50+1,0)*OP!$C$28)</f>
        <v>1668924</v>
      </c>
      <c r="AG50" s="620">
        <f ca="1">IF(OR($A$2=1,B50=""),"",VLOOKUP(OP!$C$55,CV,$B50+1,0)*OP!$C$28)</f>
        <v>1668924</v>
      </c>
      <c r="AH50" s="615"/>
      <c r="AI50" s="620">
        <f ca="1">IF(OR($A$2=1,B50="",AND($B50&gt;=計算!$P$4,$C50&lt;15),ISERROR(VLOOKUP($B50,MORE_PV,4,0))),"",VLOOKUP($B50,MORE_PV,4,0))</f>
        <v>0</v>
      </c>
      <c r="AJ50" s="621">
        <f t="shared" ca="1" si="8"/>
        <v>39328</v>
      </c>
      <c r="AK50" s="621">
        <f t="shared" ca="1" si="9"/>
        <v>39328</v>
      </c>
    </row>
    <row r="51" spans="2:37" s="622" customFormat="1" ht="11.25" customHeight="1">
      <c r="B51" s="865">
        <f ca="1">IF(OR(C50&gt;=110,C50=""),"",IF(C50+1&gt;110,111-$C$20,B50+1))</f>
        <v>32</v>
      </c>
      <c r="C51" s="864">
        <f ca="1">IF(OR($A$2=1,MAX($C$20:C50)&gt;=110),"",C50+(B51-B50))</f>
        <v>64</v>
      </c>
      <c r="D51" s="1220" t="str">
        <f t="shared" ca="1" si="0"/>
        <v/>
      </c>
      <c r="E51" s="1220"/>
      <c r="F51" s="1220">
        <f t="shared" ca="1" si="1"/>
        <v>1000998</v>
      </c>
      <c r="G51" s="1220"/>
      <c r="H51" s="1220"/>
      <c r="I51" s="1220">
        <f t="shared" ca="1" si="2"/>
        <v>12023</v>
      </c>
      <c r="J51" s="1220"/>
      <c r="K51" s="1220"/>
      <c r="L51" s="1220">
        <f t="shared" ca="1" si="3"/>
        <v>342039</v>
      </c>
      <c r="M51" s="1220"/>
      <c r="N51" s="1220"/>
      <c r="O51" s="1220">
        <f t="shared" ca="1" si="4"/>
        <v>8012</v>
      </c>
      <c r="P51" s="1220"/>
      <c r="Q51" s="1220"/>
      <c r="R51" s="1220">
        <f t="shared" ca="1" si="5"/>
        <v>2084465</v>
      </c>
      <c r="S51" s="1220"/>
      <c r="T51" s="1220"/>
      <c r="U51" s="1220">
        <f t="shared" ca="1" si="6"/>
        <v>2084465</v>
      </c>
      <c r="V51" s="1220"/>
      <c r="W51" s="1220"/>
      <c r="X51" s="614"/>
      <c r="Y51" s="615"/>
      <c r="Z51" s="616">
        <f t="shared" ca="1" si="10"/>
        <v>32</v>
      </c>
      <c r="AA51" s="617">
        <f t="shared" ca="1" si="7"/>
        <v>1702312</v>
      </c>
      <c r="AB51" s="618">
        <f ca="1">IF($B51="","",VLOOKUP(OP!$C$55,PVFB,$B51+2,0))</f>
        <v>50068</v>
      </c>
      <c r="AC51" s="619"/>
      <c r="AD51" s="620">
        <f ca="1">IF(OR($A$2=1,B51=""),"",VLOOKUP(OP!$C$55,PA,$B51+1,0)*OP!$C$28)</f>
        <v>0</v>
      </c>
      <c r="AE51" s="619"/>
      <c r="AF51" s="620">
        <f ca="1">IF(OR($A$2=1,B51=""),"",VLOOKUP(OP!$C$55,DIE,$B51+1,0)*OP!$C$28)</f>
        <v>1702312</v>
      </c>
      <c r="AG51" s="620">
        <f ca="1">IF(OR($A$2=1,B51=""),"",VLOOKUP(OP!$C$55,CV,$B51+1,0)*OP!$C$28)</f>
        <v>1702312</v>
      </c>
      <c r="AH51" s="615"/>
      <c r="AI51" s="620">
        <f ca="1">IF(OR($A$2=1,B51="",AND($B51&gt;=計算!$P$4,$C51&lt;15),ISERROR(VLOOKUP($B51,MORE_PV,4,0))),"",VLOOKUP($B51,MORE_PV,4,0))</f>
        <v>0</v>
      </c>
      <c r="AJ51" s="621">
        <f t="shared" ca="1" si="8"/>
        <v>40114</v>
      </c>
      <c r="AK51" s="621">
        <f t="shared" ca="1" si="9"/>
        <v>40114</v>
      </c>
    </row>
    <row r="52" spans="2:37" s="622" customFormat="1" ht="11.25" customHeight="1">
      <c r="B52" s="865">
        <f ca="1">IF(OR(C51&gt;=110,C51=""),"",IF(C51+1&gt;110,111-$C$20,B51+1))</f>
        <v>33</v>
      </c>
      <c r="C52" s="864">
        <f ca="1">IF(OR($A$2=1,MAX($C$20:C51)&gt;=110),"",C51+(B52-B51))</f>
        <v>65</v>
      </c>
      <c r="D52" s="1220" t="str">
        <f t="shared" ref="D52:D76" ca="1" si="12">IF(OR($A$2=1,$B52="",VLOOKUP($B52,TOV,3,0)=0),"",VLOOKUP($B52,TOV,3,0))</f>
        <v/>
      </c>
      <c r="E52" s="1220"/>
      <c r="F52" s="1220">
        <f t="shared" ref="F52:F76" ca="1" si="13">IF(OR($A$2=1,$B52="",VLOOKUP($B52,TOV,4,0)=0),"",VLOOKUP($B52,TOV,4,0))</f>
        <v>1000998</v>
      </c>
      <c r="G52" s="1220"/>
      <c r="H52" s="1220"/>
      <c r="I52" s="1220">
        <f t="shared" ref="I52:I76" ca="1" si="14">IF(OR($A$2=1,$B52="",VLOOKUP($B52,TOV,10,0)=0),"",VLOOKUP($B52,TOV,10,0))</f>
        <v>12263</v>
      </c>
      <c r="J52" s="1220"/>
      <c r="K52" s="1220"/>
      <c r="L52" s="1220">
        <f t="shared" ref="L52:L76" ca="1" si="15">IF(OR($A$2=1,$B52="",VLOOKUP($B52,TOV,11,0)=0),"",VLOOKUP($B52,TOV,11,0))</f>
        <v>363617</v>
      </c>
      <c r="M52" s="1220"/>
      <c r="N52" s="1220"/>
      <c r="O52" s="1220">
        <f t="shared" ref="O52:O76" ca="1" si="16">IF(OR($A$2=1,$B52="",VLOOKUP($B52,TOV,13,0)=0),"",VLOOKUP($B52,TOV,13,0))</f>
        <v>8012</v>
      </c>
      <c r="P52" s="1220"/>
      <c r="Q52" s="1220"/>
      <c r="R52" s="1220">
        <f t="shared" ref="R52:R76" ca="1" si="17">IF(OR($A$2=1,$B52="",VLOOKUP($B52,TOV,20,0)=0),"",VLOOKUP($B52,TOV,20,0))</f>
        <v>2140879</v>
      </c>
      <c r="S52" s="1220"/>
      <c r="T52" s="1220"/>
      <c r="U52" s="1220">
        <f t="shared" ref="U52:U76" ca="1" si="18">IF(OR($A$2=1,$B52="",VLOOKUP($B52,TOV,21,0)=0),"",VLOOKUP($B52,TOV,21,0))</f>
        <v>2140879</v>
      </c>
      <c r="V52" s="1220"/>
      <c r="W52" s="1220"/>
      <c r="X52" s="614"/>
      <c r="Y52" s="615"/>
      <c r="Z52" s="616">
        <f t="shared" ca="1" si="10"/>
        <v>33</v>
      </c>
      <c r="AA52" s="617">
        <f t="shared" ca="1" si="7"/>
        <v>1736346</v>
      </c>
      <c r="AB52" s="618">
        <f ca="1">IF($B52="","",VLOOKUP(OP!$C$55,PVFB,$B52+2,0))</f>
        <v>51069</v>
      </c>
      <c r="AC52" s="619"/>
      <c r="AD52" s="620">
        <f ca="1">IF(OR($A$2=1,B52=""),"",VLOOKUP(OP!$C$55,PA,$B52+1,0)*OP!$C$28)</f>
        <v>0</v>
      </c>
      <c r="AE52" s="619"/>
      <c r="AF52" s="620">
        <f ca="1">IF(OR($A$2=1,B52=""),"",VLOOKUP(OP!$C$55,DIE,$B52+1,0)*OP!$C$28)</f>
        <v>1736346</v>
      </c>
      <c r="AG52" s="620">
        <f ca="1">IF(OR($A$2=1,B52=""),"",VLOOKUP(OP!$C$55,CV,$B52+1,0)*OP!$C$28)</f>
        <v>1736346</v>
      </c>
      <c r="AH52" s="615"/>
      <c r="AI52" s="620">
        <f ca="1">IF(OR($A$2=1,B52="",AND($B52&gt;=計算!$P$4,$C52&lt;15),ISERROR(VLOOKUP($B52,MORE_PV,4,0))),"",VLOOKUP($B52,MORE_PV,4,0))</f>
        <v>0</v>
      </c>
      <c r="AJ52" s="621">
        <f t="shared" ref="AJ52:AJ74" ca="1" si="19">IF(OR($A$2=1,B52=""),"",VLOOKUP($B52,MORE_PV,8,0))</f>
        <v>40916</v>
      </c>
      <c r="AK52" s="621">
        <f t="shared" ref="AK52:AK74" ca="1" si="20">IF(OR($A$2=1,B52=""),"",ROUND(VLOOKUP($B52,MORE_PV,7,0),0))</f>
        <v>40916</v>
      </c>
    </row>
    <row r="53" spans="2:37" s="622" customFormat="1" ht="11.25" customHeight="1">
      <c r="B53" s="865">
        <f ca="1">IF(OR(C52&gt;=110,C52=""),"",IF(C52+1&gt;110,111-$C$20,B52+1))</f>
        <v>34</v>
      </c>
      <c r="C53" s="864">
        <f ca="1">IF(OR($A$2=1,MAX($C$20:C52)&gt;=110),"",C52+(B53-B52))</f>
        <v>66</v>
      </c>
      <c r="D53" s="1220" t="str">
        <f t="shared" ca="1" si="12"/>
        <v/>
      </c>
      <c r="E53" s="1220"/>
      <c r="F53" s="1220">
        <f t="shared" ca="1" si="13"/>
        <v>1000998</v>
      </c>
      <c r="G53" s="1220"/>
      <c r="H53" s="1220"/>
      <c r="I53" s="1220">
        <f t="shared" ca="1" si="14"/>
        <v>12509</v>
      </c>
      <c r="J53" s="1220"/>
      <c r="K53" s="1220"/>
      <c r="L53" s="1220">
        <f t="shared" ca="1" si="15"/>
        <v>386029</v>
      </c>
      <c r="M53" s="1220"/>
      <c r="N53" s="1220"/>
      <c r="O53" s="1220">
        <f t="shared" ca="1" si="16"/>
        <v>8012</v>
      </c>
      <c r="P53" s="1220"/>
      <c r="Q53" s="1220"/>
      <c r="R53" s="1220">
        <f t="shared" ca="1" si="17"/>
        <v>2198858</v>
      </c>
      <c r="S53" s="1220"/>
      <c r="T53" s="1220"/>
      <c r="U53" s="1220">
        <f t="shared" ca="1" si="18"/>
        <v>2198858</v>
      </c>
      <c r="V53" s="1220"/>
      <c r="W53" s="1220"/>
      <c r="X53" s="614"/>
      <c r="Y53" s="615"/>
      <c r="Z53" s="616">
        <f t="shared" ca="1" si="10"/>
        <v>34</v>
      </c>
      <c r="AA53" s="617">
        <f t="shared" ca="1" si="7"/>
        <v>1771094</v>
      </c>
      <c r="AB53" s="618">
        <f ca="1">IF($B53="","",VLOOKUP(OP!$C$55,PVFB,$B53+2,0))</f>
        <v>52091</v>
      </c>
      <c r="AC53" s="619"/>
      <c r="AD53" s="620">
        <f ca="1">IF(OR($A$2=1,B53=""),"",VLOOKUP(OP!$C$55,PA,$B53+1,0)*OP!$C$28)</f>
        <v>0</v>
      </c>
      <c r="AE53" s="619"/>
      <c r="AF53" s="620">
        <f ca="1">IF(OR($A$2=1,B53=""),"",VLOOKUP(OP!$C$55,DIE,$B53+1,0)*OP!$C$28)</f>
        <v>1771094</v>
      </c>
      <c r="AG53" s="620">
        <f ca="1">IF(OR($A$2=1,B53=""),"",VLOOKUP(OP!$C$55,CV,$B53+1,0)*OP!$C$28)</f>
        <v>1771094</v>
      </c>
      <c r="AH53" s="615"/>
      <c r="AI53" s="620">
        <f ca="1">IF(OR($A$2=1,B53="",AND($B53&gt;=計算!$P$4,$C53&lt;15),ISERROR(VLOOKUP($B53,MORE_PV,4,0))),"",VLOOKUP($B53,MORE_PV,4,0))</f>
        <v>0</v>
      </c>
      <c r="AJ53" s="621">
        <f t="shared" ca="1" si="19"/>
        <v>41735</v>
      </c>
      <c r="AK53" s="621">
        <f t="shared" ca="1" si="20"/>
        <v>41735</v>
      </c>
    </row>
    <row r="54" spans="2:37" s="622" customFormat="1" ht="11.25" customHeight="1">
      <c r="B54" s="865">
        <f ca="1">IF(OR(C53&gt;=110,C53=""),"",IF(C53+1&gt;110,111-$C$20,B53+1))</f>
        <v>35</v>
      </c>
      <c r="C54" s="864">
        <f ca="1">IF(OR($A$2=1,MAX($C$20:C53)&gt;=110),"",C53+(B54-B53))</f>
        <v>67</v>
      </c>
      <c r="D54" s="1220" t="str">
        <f t="shared" ca="1" si="12"/>
        <v/>
      </c>
      <c r="E54" s="1220"/>
      <c r="F54" s="1220">
        <f t="shared" ca="1" si="13"/>
        <v>1000998</v>
      </c>
      <c r="G54" s="1220"/>
      <c r="H54" s="1220"/>
      <c r="I54" s="1220">
        <f t="shared" ca="1" si="14"/>
        <v>12759</v>
      </c>
      <c r="J54" s="1220"/>
      <c r="K54" s="1220"/>
      <c r="L54" s="1220">
        <f t="shared" ca="1" si="15"/>
        <v>409330</v>
      </c>
      <c r="M54" s="1220"/>
      <c r="N54" s="1220"/>
      <c r="O54" s="1220">
        <f t="shared" ca="1" si="16"/>
        <v>8012</v>
      </c>
      <c r="P54" s="1220"/>
      <c r="Q54" s="1220"/>
      <c r="R54" s="1220">
        <f t="shared" ca="1" si="17"/>
        <v>2258422</v>
      </c>
      <c r="S54" s="1220"/>
      <c r="T54" s="1220"/>
      <c r="U54" s="1220">
        <f t="shared" ca="1" si="18"/>
        <v>2258422</v>
      </c>
      <c r="V54" s="1220"/>
      <c r="W54" s="1220"/>
      <c r="X54" s="614"/>
      <c r="Y54" s="615"/>
      <c r="Z54" s="616">
        <f t="shared" ca="1" si="10"/>
        <v>35</v>
      </c>
      <c r="AA54" s="617">
        <f t="shared" ca="1" si="7"/>
        <v>1806522</v>
      </c>
      <c r="AB54" s="618">
        <f ca="1">IF($B54="","",VLOOKUP(OP!$C$55,PVFB,$B54+2,0))</f>
        <v>53133</v>
      </c>
      <c r="AC54" s="619"/>
      <c r="AD54" s="620">
        <f ca="1">IF(OR($A$2=1,B54=""),"",VLOOKUP(OP!$C$55,PA,$B54+1,0)*OP!$C$28)</f>
        <v>0</v>
      </c>
      <c r="AE54" s="619"/>
      <c r="AF54" s="620">
        <f ca="1">IF(OR($A$2=1,B54=""),"",VLOOKUP(OP!$C$55,DIE,$B54+1,0)*OP!$C$28)</f>
        <v>1806522</v>
      </c>
      <c r="AG54" s="620">
        <f ca="1">IF(OR($A$2=1,B54=""),"",VLOOKUP(OP!$C$55,CV,$B54+1,0)*OP!$C$28)</f>
        <v>1806522</v>
      </c>
      <c r="AH54" s="615"/>
      <c r="AI54" s="620">
        <f ca="1">IF(OR($A$2=1,B54="",AND($B54&gt;=計算!$P$4,$C54&lt;15),ISERROR(VLOOKUP($B54,MORE_PV,4,0))),"",VLOOKUP($B54,MORE_PV,4,0))</f>
        <v>0</v>
      </c>
      <c r="AJ54" s="621">
        <f t="shared" ca="1" si="19"/>
        <v>42570</v>
      </c>
      <c r="AK54" s="621">
        <f t="shared" ca="1" si="20"/>
        <v>42570</v>
      </c>
    </row>
    <row r="55" spans="2:37" s="622" customFormat="1" ht="11.25" customHeight="1">
      <c r="B55" s="865">
        <f t="shared" ref="B55:B74" ca="1" si="21">IF(OR(C54&gt;=110,C54=""),"",IF(C54+1&gt;110,111-$C$20,B54+1))</f>
        <v>36</v>
      </c>
      <c r="C55" s="864">
        <f ca="1">IF(OR($A$2=1,MAX($C$20:C54)&gt;=110),"",C54+(B55-B54))</f>
        <v>68</v>
      </c>
      <c r="D55" s="1220" t="str">
        <f t="shared" ca="1" si="12"/>
        <v/>
      </c>
      <c r="E55" s="1220"/>
      <c r="F55" s="1220">
        <f t="shared" ca="1" si="13"/>
        <v>1000998</v>
      </c>
      <c r="G55" s="1220"/>
      <c r="H55" s="1220"/>
      <c r="I55" s="1220">
        <f t="shared" ca="1" si="14"/>
        <v>13014</v>
      </c>
      <c r="J55" s="1220"/>
      <c r="K55" s="1220"/>
      <c r="L55" s="1220">
        <f t="shared" ca="1" si="15"/>
        <v>433492</v>
      </c>
      <c r="M55" s="1220"/>
      <c r="N55" s="1220"/>
      <c r="O55" s="1220">
        <f t="shared" ca="1" si="16"/>
        <v>8012</v>
      </c>
      <c r="P55" s="1220"/>
      <c r="Q55" s="1220"/>
      <c r="R55" s="1220">
        <f t="shared" ca="1" si="17"/>
        <v>2319543</v>
      </c>
      <c r="S55" s="1220"/>
      <c r="T55" s="1220"/>
      <c r="U55" s="1220">
        <f t="shared" ca="1" si="18"/>
        <v>2319543</v>
      </c>
      <c r="V55" s="1220"/>
      <c r="W55" s="1220"/>
      <c r="X55" s="614"/>
      <c r="Y55" s="615"/>
      <c r="Z55" s="616">
        <f t="shared" ca="1" si="10"/>
        <v>36</v>
      </c>
      <c r="AA55" s="617">
        <f t="shared" ca="1" si="7"/>
        <v>1842630</v>
      </c>
      <c r="AB55" s="618">
        <f ca="1">IF($B55="","",VLOOKUP(OP!$C$55,PVFB,$B55+2,0))</f>
        <v>54195</v>
      </c>
      <c r="AC55" s="619"/>
      <c r="AD55" s="620">
        <f ca="1">IF(OR($A$2=1,B55=""),"",VLOOKUP(OP!$C$55,PA,$B55+1,0)*OP!$C$28)</f>
        <v>0</v>
      </c>
      <c r="AE55" s="619"/>
      <c r="AF55" s="620">
        <f ca="1">IF(OR($A$2=1,B55=""),"",VLOOKUP(OP!$C$55,DIE,$B55+1,0)*OP!$C$28)</f>
        <v>1842630</v>
      </c>
      <c r="AG55" s="620">
        <f ca="1">IF(OR($A$2=1,B55=""),"",VLOOKUP(OP!$C$55,CV,$B55+1,0)*OP!$C$28)</f>
        <v>1842630</v>
      </c>
      <c r="AH55" s="615"/>
      <c r="AI55" s="620">
        <f ca="1">IF(OR($A$2=1,B55="",AND($B55&gt;=計算!$P$4,$C55&lt;15),ISERROR(VLOOKUP($B55,MORE_PV,4,0))),"",VLOOKUP($B55,MORE_PV,4,0))</f>
        <v>0</v>
      </c>
      <c r="AJ55" s="621">
        <f t="shared" ca="1" si="19"/>
        <v>43421</v>
      </c>
      <c r="AK55" s="621">
        <f t="shared" ca="1" si="20"/>
        <v>43421</v>
      </c>
    </row>
    <row r="56" spans="2:37" s="622" customFormat="1" ht="11.25" customHeight="1">
      <c r="B56" s="865">
        <f t="shared" ca="1" si="21"/>
        <v>37</v>
      </c>
      <c r="C56" s="864">
        <f ca="1">IF(OR($A$2=1,MAX($C$20:C55)&gt;=110),"",C55+(B56-B55))</f>
        <v>69</v>
      </c>
      <c r="D56" s="1220" t="str">
        <f t="shared" ca="1" si="12"/>
        <v/>
      </c>
      <c r="E56" s="1220"/>
      <c r="F56" s="1220">
        <f t="shared" ca="1" si="13"/>
        <v>1000998</v>
      </c>
      <c r="G56" s="1220"/>
      <c r="H56" s="1220"/>
      <c r="I56" s="1220">
        <f t="shared" ca="1" si="14"/>
        <v>13274</v>
      </c>
      <c r="J56" s="1220"/>
      <c r="K56" s="1220"/>
      <c r="L56" s="1220">
        <f t="shared" ca="1" si="15"/>
        <v>458572</v>
      </c>
      <c r="M56" s="1220"/>
      <c r="N56" s="1220"/>
      <c r="O56" s="1220">
        <f t="shared" ca="1" si="16"/>
        <v>8012</v>
      </c>
      <c r="P56" s="1220"/>
      <c r="Q56" s="1220"/>
      <c r="R56" s="1220">
        <f t="shared" ca="1" si="17"/>
        <v>2382348</v>
      </c>
      <c r="S56" s="1220"/>
      <c r="T56" s="1220"/>
      <c r="U56" s="1220">
        <f t="shared" ca="1" si="18"/>
        <v>2382348</v>
      </c>
      <c r="V56" s="1220"/>
      <c r="W56" s="1220"/>
      <c r="X56" s="614"/>
      <c r="Y56" s="615"/>
      <c r="Z56" s="616">
        <f t="shared" ca="1" si="10"/>
        <v>37</v>
      </c>
      <c r="AA56" s="617">
        <f t="shared" ca="1" si="7"/>
        <v>1879486</v>
      </c>
      <c r="AB56" s="618">
        <f ca="1">IF($B56="","",VLOOKUP(OP!$C$55,PVFB,$B56+2,0))</f>
        <v>55279</v>
      </c>
      <c r="AC56" s="619"/>
      <c r="AD56" s="620">
        <f ca="1">IF(OR($A$2=1,B56=""),"",VLOOKUP(OP!$C$55,PA,$B56+1,0)*OP!$C$28)</f>
        <v>0</v>
      </c>
      <c r="AE56" s="619"/>
      <c r="AF56" s="620">
        <f ca="1">IF(OR($A$2=1,B56=""),"",VLOOKUP(OP!$C$55,DIE,$B56+1,0)*OP!$C$28)</f>
        <v>1879486</v>
      </c>
      <c r="AG56" s="620">
        <f ca="1">IF(OR($A$2=1,B56=""),"",VLOOKUP(OP!$C$55,CV,$B56+1,0)*OP!$C$28)</f>
        <v>1879486</v>
      </c>
      <c r="AH56" s="615"/>
      <c r="AI56" s="620">
        <f ca="1">IF(OR($A$2=1,B56="",AND($B56&gt;=計算!$P$4,$C56&lt;15),ISERROR(VLOOKUP($B56,MORE_PV,4,0))),"",VLOOKUP($B56,MORE_PV,4,0))</f>
        <v>0</v>
      </c>
      <c r="AJ56" s="621">
        <f t="shared" ca="1" si="19"/>
        <v>44290</v>
      </c>
      <c r="AK56" s="621">
        <f t="shared" ca="1" si="20"/>
        <v>44290</v>
      </c>
    </row>
    <row r="57" spans="2:37" s="622" customFormat="1" ht="11.25" customHeight="1">
      <c r="B57" s="865">
        <f t="shared" ca="1" si="21"/>
        <v>38</v>
      </c>
      <c r="C57" s="864">
        <f ca="1">IF(OR($A$2=1,MAX($C$20:C56)&gt;=110),"",C56+(B57-B56))</f>
        <v>70</v>
      </c>
      <c r="D57" s="1220" t="str">
        <f t="shared" ca="1" si="12"/>
        <v/>
      </c>
      <c r="E57" s="1220"/>
      <c r="F57" s="1220">
        <f t="shared" ca="1" si="13"/>
        <v>1000998</v>
      </c>
      <c r="G57" s="1220"/>
      <c r="H57" s="1220"/>
      <c r="I57" s="1220">
        <f t="shared" ca="1" si="14"/>
        <v>13540</v>
      </c>
      <c r="J57" s="1220"/>
      <c r="K57" s="1220"/>
      <c r="L57" s="1220">
        <f t="shared" ca="1" si="15"/>
        <v>484601</v>
      </c>
      <c r="M57" s="1220"/>
      <c r="N57" s="1220"/>
      <c r="O57" s="1220">
        <f t="shared" ca="1" si="16"/>
        <v>8012</v>
      </c>
      <c r="P57" s="1220"/>
      <c r="Q57" s="1220"/>
      <c r="R57" s="1220">
        <f t="shared" ca="1" si="17"/>
        <v>2446867</v>
      </c>
      <c r="S57" s="1220"/>
      <c r="T57" s="1220"/>
      <c r="U57" s="1220">
        <f t="shared" ca="1" si="18"/>
        <v>2446867</v>
      </c>
      <c r="V57" s="1220"/>
      <c r="W57" s="1220"/>
      <c r="X57" s="614"/>
      <c r="Y57" s="615"/>
      <c r="Z57" s="616">
        <f t="shared" ca="1" si="10"/>
        <v>38</v>
      </c>
      <c r="AA57" s="617">
        <f t="shared" ca="1" si="7"/>
        <v>1917090</v>
      </c>
      <c r="AB57" s="618">
        <f ca="1">IF($B57="","",VLOOKUP(OP!$C$55,PVFB,$B57+2,0))</f>
        <v>56385</v>
      </c>
      <c r="AC57" s="619"/>
      <c r="AD57" s="620">
        <f ca="1">IF(OR($A$2=1,B57=""),"",VLOOKUP(OP!$C$55,PA,$B57+1,0)*OP!$C$28)</f>
        <v>0</v>
      </c>
      <c r="AE57" s="619"/>
      <c r="AF57" s="620">
        <f ca="1">IF(OR($A$2=1,B57=""),"",VLOOKUP(OP!$C$55,DIE,$B57+1,0)*OP!$C$28)</f>
        <v>1917090</v>
      </c>
      <c r="AG57" s="620">
        <f ca="1">IF(OR($A$2=1,B57=""),"",VLOOKUP(OP!$C$55,CV,$B57+1,0)*OP!$C$28)</f>
        <v>1917090</v>
      </c>
      <c r="AH57" s="615"/>
      <c r="AI57" s="620">
        <f ca="1">IF(OR($A$2=1,B57="",AND($B57&gt;=計算!$P$4,$C57&lt;15),ISERROR(VLOOKUP($B57,MORE_PV,4,0))),"",VLOOKUP($B57,MORE_PV,4,0))</f>
        <v>0</v>
      </c>
      <c r="AJ57" s="621">
        <f t="shared" ca="1" si="19"/>
        <v>45176</v>
      </c>
      <c r="AK57" s="621">
        <f t="shared" ca="1" si="20"/>
        <v>45176</v>
      </c>
    </row>
    <row r="58" spans="2:37" s="622" customFormat="1" ht="11.25" customHeight="1">
      <c r="B58" s="865">
        <f t="shared" ca="1" si="21"/>
        <v>39</v>
      </c>
      <c r="C58" s="864">
        <f ca="1">IF(OR($A$2=1,MAX($C$20:C57)&gt;=110),"",C57+(B58-B57))</f>
        <v>71</v>
      </c>
      <c r="D58" s="1220" t="str">
        <f t="shared" ca="1" si="12"/>
        <v/>
      </c>
      <c r="E58" s="1220"/>
      <c r="F58" s="1220">
        <f t="shared" ca="1" si="13"/>
        <v>1000998</v>
      </c>
      <c r="G58" s="1220"/>
      <c r="H58" s="1220"/>
      <c r="I58" s="1220">
        <f t="shared" ca="1" si="14"/>
        <v>13810</v>
      </c>
      <c r="J58" s="1220"/>
      <c r="K58" s="1220"/>
      <c r="L58" s="1220">
        <f t="shared" ca="1" si="15"/>
        <v>511645</v>
      </c>
      <c r="M58" s="1220"/>
      <c r="N58" s="1220"/>
      <c r="O58" s="1220">
        <f t="shared" ca="1" si="16"/>
        <v>8012</v>
      </c>
      <c r="P58" s="1220"/>
      <c r="Q58" s="1220"/>
      <c r="R58" s="1220">
        <f t="shared" ca="1" si="17"/>
        <v>2513132</v>
      </c>
      <c r="S58" s="1220"/>
      <c r="T58" s="1220"/>
      <c r="U58" s="1220">
        <f t="shared" ca="1" si="18"/>
        <v>2513132</v>
      </c>
      <c r="V58" s="1220"/>
      <c r="W58" s="1220"/>
      <c r="X58" s="614"/>
      <c r="Y58" s="615"/>
      <c r="Z58" s="616">
        <f t="shared" ca="1" si="10"/>
        <v>39</v>
      </c>
      <c r="AA58" s="617">
        <f t="shared" ca="1" si="7"/>
        <v>1955408</v>
      </c>
      <c r="AB58" s="618">
        <f ca="1">IF($B58="","",VLOOKUP(OP!$C$55,PVFB,$B58+2,0))</f>
        <v>57512</v>
      </c>
      <c r="AC58" s="619"/>
      <c r="AD58" s="620">
        <f ca="1">IF(OR($A$2=1,B58=""),"",VLOOKUP(OP!$C$55,PA,$B58+1,0)*OP!$C$28)</f>
        <v>0</v>
      </c>
      <c r="AE58" s="619"/>
      <c r="AF58" s="620">
        <f ca="1">IF(OR($A$2=1,B58=""),"",VLOOKUP(OP!$C$55,DIE,$B58+1,0)*OP!$C$28)</f>
        <v>1955408</v>
      </c>
      <c r="AG58" s="620">
        <f ca="1">IF(OR($A$2=1,B58=""),"",VLOOKUP(OP!$C$55,CV,$B58+1,0)*OP!$C$28)</f>
        <v>1955408</v>
      </c>
      <c r="AH58" s="615"/>
      <c r="AI58" s="620">
        <f ca="1">IF(OR($A$2=1,B58="",AND($B58&gt;=計算!$P$4,$C58&lt;15),ISERROR(VLOOKUP($B58,MORE_PV,4,0))),"",VLOOKUP($B58,MORE_PV,4,0))</f>
        <v>0</v>
      </c>
      <c r="AJ58" s="621">
        <f t="shared" ca="1" si="19"/>
        <v>46079</v>
      </c>
      <c r="AK58" s="621">
        <f t="shared" ca="1" si="20"/>
        <v>46079</v>
      </c>
    </row>
    <row r="59" spans="2:37" s="622" customFormat="1" ht="11.25" customHeight="1">
      <c r="B59" s="865">
        <f t="shared" ca="1" si="21"/>
        <v>40</v>
      </c>
      <c r="C59" s="864">
        <f ca="1">IF(OR($A$2=1,MAX($C$20:C58)&gt;=110),"",C58+(B59-B58))</f>
        <v>72</v>
      </c>
      <c r="D59" s="1220" t="str">
        <f t="shared" ca="1" si="12"/>
        <v/>
      </c>
      <c r="E59" s="1220"/>
      <c r="F59" s="1220">
        <f t="shared" ca="1" si="13"/>
        <v>1000998</v>
      </c>
      <c r="G59" s="1220"/>
      <c r="H59" s="1220"/>
      <c r="I59" s="1220">
        <f t="shared" ca="1" si="14"/>
        <v>14086</v>
      </c>
      <c r="J59" s="1220"/>
      <c r="K59" s="1220"/>
      <c r="L59" s="1220">
        <f t="shared" ca="1" si="15"/>
        <v>539665</v>
      </c>
      <c r="M59" s="1220"/>
      <c r="N59" s="1220"/>
      <c r="O59" s="1220">
        <f t="shared" ca="1" si="16"/>
        <v>8012</v>
      </c>
      <c r="P59" s="1220"/>
      <c r="Q59" s="1220"/>
      <c r="R59" s="1220">
        <f t="shared" ca="1" si="17"/>
        <v>2581173</v>
      </c>
      <c r="S59" s="1220"/>
      <c r="T59" s="1220"/>
      <c r="U59" s="1220">
        <f t="shared" ca="1" si="18"/>
        <v>2581173</v>
      </c>
      <c r="V59" s="1220"/>
      <c r="W59" s="1220"/>
      <c r="X59" s="614"/>
      <c r="Y59" s="615"/>
      <c r="Z59" s="616">
        <f t="shared" ca="1" si="10"/>
        <v>40</v>
      </c>
      <c r="AA59" s="617">
        <f t="shared" ca="1" si="7"/>
        <v>1994508</v>
      </c>
      <c r="AB59" s="618">
        <f ca="1">IF($B59="","",VLOOKUP(OP!$C$55,PVFB,$B59+2,0))</f>
        <v>58662</v>
      </c>
      <c r="AC59" s="619"/>
      <c r="AD59" s="620">
        <f ca="1">IF(OR($A$2=1,B59=""),"",VLOOKUP(OP!$C$55,PA,$B59+1,0)*OP!$C$28)</f>
        <v>0</v>
      </c>
      <c r="AE59" s="619"/>
      <c r="AF59" s="620">
        <f ca="1">IF(OR($A$2=1,B59=""),"",VLOOKUP(OP!$C$55,DIE,$B59+1,0)*OP!$C$28)</f>
        <v>1994508</v>
      </c>
      <c r="AG59" s="620">
        <f ca="1">IF(OR($A$2=1,B59=""),"",VLOOKUP(OP!$C$55,CV,$B59+1,0)*OP!$C$28)</f>
        <v>1994508</v>
      </c>
      <c r="AH59" s="615"/>
      <c r="AI59" s="620">
        <f ca="1">IF(OR($A$2=1,B59="",AND($B59&gt;=計算!$P$4,$C59&lt;15),ISERROR(VLOOKUP($B59,MORE_PV,4,0))),"",VLOOKUP($B59,MORE_PV,4,0))</f>
        <v>0</v>
      </c>
      <c r="AJ59" s="621">
        <f t="shared" ca="1" si="19"/>
        <v>47000</v>
      </c>
      <c r="AK59" s="621">
        <f t="shared" ca="1" si="20"/>
        <v>47000</v>
      </c>
    </row>
    <row r="60" spans="2:37" s="622" customFormat="1" ht="11.25" customHeight="1">
      <c r="B60" s="865">
        <f t="shared" ca="1" si="21"/>
        <v>41</v>
      </c>
      <c r="C60" s="864">
        <f ca="1">IF(OR($A$2=1,MAX($C$20:C59)&gt;=110),"",C59+(B60-B59))</f>
        <v>73</v>
      </c>
      <c r="D60" s="1220" t="str">
        <f t="shared" ca="1" si="12"/>
        <v/>
      </c>
      <c r="E60" s="1220"/>
      <c r="F60" s="1220">
        <f t="shared" ca="1" si="13"/>
        <v>1000998</v>
      </c>
      <c r="G60" s="1220"/>
      <c r="H60" s="1220"/>
      <c r="I60" s="1220">
        <f t="shared" ca="1" si="14"/>
        <v>14368</v>
      </c>
      <c r="J60" s="1220"/>
      <c r="K60" s="1220"/>
      <c r="L60" s="1220">
        <f t="shared" ca="1" si="15"/>
        <v>568730</v>
      </c>
      <c r="M60" s="1220"/>
      <c r="N60" s="1220"/>
      <c r="O60" s="1220">
        <f t="shared" ca="1" si="16"/>
        <v>8012</v>
      </c>
      <c r="P60" s="1220"/>
      <c r="Q60" s="1220"/>
      <c r="R60" s="1220">
        <f t="shared" ca="1" si="17"/>
        <v>2651060</v>
      </c>
      <c r="S60" s="1220"/>
      <c r="T60" s="1220"/>
      <c r="U60" s="1220">
        <f t="shared" ca="1" si="18"/>
        <v>2651060</v>
      </c>
      <c r="V60" s="1220"/>
      <c r="W60" s="1220"/>
      <c r="X60" s="614"/>
      <c r="Y60" s="615"/>
      <c r="Z60" s="616">
        <f t="shared" ca="1" si="10"/>
        <v>41</v>
      </c>
      <c r="AA60" s="617">
        <f t="shared" ca="1" si="7"/>
        <v>2034390</v>
      </c>
      <c r="AB60" s="618">
        <f ca="1">IF($B60="","",VLOOKUP(OP!$C$55,PVFB,$B60+2,0))</f>
        <v>59835</v>
      </c>
      <c r="AC60" s="619"/>
      <c r="AD60" s="620">
        <f ca="1">IF(OR($A$2=1,B60=""),"",VLOOKUP(OP!$C$55,PA,$B60+1,0)*OP!$C$28)</f>
        <v>0</v>
      </c>
      <c r="AE60" s="619"/>
      <c r="AF60" s="620">
        <f ca="1">IF(OR($A$2=1,B60=""),"",VLOOKUP(OP!$C$55,DIE,$B60+1,0)*OP!$C$28)</f>
        <v>2034390</v>
      </c>
      <c r="AG60" s="620">
        <f ca="1">IF(OR($A$2=1,B60=""),"",VLOOKUP(OP!$C$55,CV,$B60+1,0)*OP!$C$28)</f>
        <v>2034390</v>
      </c>
      <c r="AH60" s="615"/>
      <c r="AI60" s="620">
        <f ca="1">IF(OR($A$2=1,B60="",AND($B60&gt;=計算!$P$4,$C60&lt;15),ISERROR(VLOOKUP($B60,MORE_PV,4,0))),"",VLOOKUP($B60,MORE_PV,4,0))</f>
        <v>0</v>
      </c>
      <c r="AJ60" s="621">
        <f t="shared" ca="1" si="19"/>
        <v>47940</v>
      </c>
      <c r="AK60" s="621">
        <f t="shared" ca="1" si="20"/>
        <v>47940</v>
      </c>
    </row>
    <row r="61" spans="2:37" s="622" customFormat="1" ht="11.25" customHeight="1">
      <c r="B61" s="865">
        <f t="shared" ca="1" si="21"/>
        <v>42</v>
      </c>
      <c r="C61" s="864">
        <f ca="1">IF(OR($A$2=1,MAX($C$20:C60)&gt;=110),"",C60+(B61-B60))</f>
        <v>74</v>
      </c>
      <c r="D61" s="1220" t="str">
        <f t="shared" ca="1" si="12"/>
        <v/>
      </c>
      <c r="E61" s="1220"/>
      <c r="F61" s="1220">
        <f t="shared" ca="1" si="13"/>
        <v>1000998</v>
      </c>
      <c r="G61" s="1220"/>
      <c r="H61" s="1220"/>
      <c r="I61" s="1220">
        <f t="shared" ca="1" si="14"/>
        <v>14655</v>
      </c>
      <c r="J61" s="1220"/>
      <c r="K61" s="1220"/>
      <c r="L61" s="1220">
        <f t="shared" ca="1" si="15"/>
        <v>598874</v>
      </c>
      <c r="M61" s="1220"/>
      <c r="N61" s="1220"/>
      <c r="O61" s="1220">
        <f t="shared" ca="1" si="16"/>
        <v>8012</v>
      </c>
      <c r="P61" s="1220"/>
      <c r="Q61" s="1220"/>
      <c r="R61" s="1220">
        <f t="shared" ca="1" si="17"/>
        <v>2722861</v>
      </c>
      <c r="S61" s="1220"/>
      <c r="T61" s="1220"/>
      <c r="U61" s="1220">
        <f t="shared" ca="1" si="18"/>
        <v>2722861</v>
      </c>
      <c r="V61" s="1220"/>
      <c r="W61" s="1220"/>
      <c r="X61" s="614"/>
      <c r="Y61" s="615"/>
      <c r="Z61" s="616">
        <f t="shared" ca="1" si="10"/>
        <v>42</v>
      </c>
      <c r="AA61" s="617">
        <f t="shared" ca="1" si="7"/>
        <v>2075088</v>
      </c>
      <c r="AB61" s="618">
        <f ca="1">IF($B61="","",VLOOKUP(OP!$C$55,PVFB,$B61+2,0))</f>
        <v>61032</v>
      </c>
      <c r="AC61" s="619"/>
      <c r="AD61" s="620">
        <f ca="1">IF(OR($A$2=1,B61=""),"",VLOOKUP(OP!$C$55,PA,$B61+1,0)*OP!$C$28)</f>
        <v>0</v>
      </c>
      <c r="AE61" s="619"/>
      <c r="AF61" s="620">
        <f ca="1">IF(OR($A$2=1,B61=""),"",VLOOKUP(OP!$C$55,DIE,$B61+1,0)*OP!$C$28)</f>
        <v>2075088</v>
      </c>
      <c r="AG61" s="620">
        <f ca="1">IF(OR($A$2=1,B61=""),"",VLOOKUP(OP!$C$55,CV,$B61+1,0)*OP!$C$28)</f>
        <v>2075088</v>
      </c>
      <c r="AH61" s="615"/>
      <c r="AI61" s="620">
        <f ca="1">IF(OR($A$2=1,B61="",AND($B61&gt;=計算!$P$4,$C61&lt;15),ISERROR(VLOOKUP($B61,MORE_PV,4,0))),"",VLOOKUP($B61,MORE_PV,4,0))</f>
        <v>0</v>
      </c>
      <c r="AJ61" s="621">
        <f t="shared" ca="1" si="19"/>
        <v>48899</v>
      </c>
      <c r="AK61" s="621">
        <f t="shared" ca="1" si="20"/>
        <v>48899</v>
      </c>
    </row>
    <row r="62" spans="2:37" s="622" customFormat="1" ht="11.25" customHeight="1">
      <c r="B62" s="865">
        <f t="shared" ca="1" si="21"/>
        <v>43</v>
      </c>
      <c r="C62" s="864">
        <f ca="1">IF(OR($A$2=1,MAX($C$20:C61)&gt;=110),"",C61+(B62-B61))</f>
        <v>75</v>
      </c>
      <c r="D62" s="1220" t="str">
        <f t="shared" ca="1" si="12"/>
        <v/>
      </c>
      <c r="E62" s="1220"/>
      <c r="F62" s="1220">
        <f t="shared" ca="1" si="13"/>
        <v>1000998</v>
      </c>
      <c r="G62" s="1220"/>
      <c r="H62" s="1220"/>
      <c r="I62" s="1220">
        <f t="shared" ca="1" si="14"/>
        <v>14947</v>
      </c>
      <c r="J62" s="1220"/>
      <c r="K62" s="1220"/>
      <c r="L62" s="1220">
        <f t="shared" ca="1" si="15"/>
        <v>630176</v>
      </c>
      <c r="M62" s="1220"/>
      <c r="N62" s="1220"/>
      <c r="O62" s="1220">
        <f t="shared" ca="1" si="16"/>
        <v>8012</v>
      </c>
      <c r="P62" s="1220"/>
      <c r="Q62" s="1220"/>
      <c r="R62" s="1220">
        <f t="shared" ca="1" si="17"/>
        <v>2796411</v>
      </c>
      <c r="S62" s="1220"/>
      <c r="T62" s="1220"/>
      <c r="U62" s="1220">
        <f t="shared" ca="1" si="18"/>
        <v>2796411</v>
      </c>
      <c r="V62" s="1220"/>
      <c r="W62" s="1220"/>
      <c r="X62" s="614"/>
      <c r="Y62" s="615"/>
      <c r="Z62" s="616">
        <f t="shared" ca="1" si="10"/>
        <v>43</v>
      </c>
      <c r="AA62" s="617">
        <f t="shared" ca="1" si="7"/>
        <v>2116364</v>
      </c>
      <c r="AB62" s="618">
        <f ca="1">IF($B62="","",VLOOKUP(OP!$C$55,PVFB,$B62+2,0))</f>
        <v>62246</v>
      </c>
      <c r="AC62" s="619"/>
      <c r="AD62" s="620">
        <f ca="1">IF(OR($A$2=1,B62=""),"",VLOOKUP(OP!$C$55,PA,$B62+1,0)*OP!$C$28)</f>
        <v>0</v>
      </c>
      <c r="AE62" s="619"/>
      <c r="AF62" s="620">
        <f ca="1">IF(OR($A$2=1,B62=""),"",VLOOKUP(OP!$C$55,DIE,$B62+1,0)*OP!$C$28)</f>
        <v>2116364</v>
      </c>
      <c r="AG62" s="620">
        <f ca="1">IF(OR($A$2=1,B62=""),"",VLOOKUP(OP!$C$55,CV,$B62+1,0)*OP!$C$28)</f>
        <v>2116364</v>
      </c>
      <c r="AH62" s="615"/>
      <c r="AI62" s="620">
        <f ca="1">IF(OR($A$2=1,B62="",AND($B62&gt;=計算!$P$4,$C62&lt;15),ISERROR(VLOOKUP($B62,MORE_PV,4,0))),"",VLOOKUP($B62,MORE_PV,4,0))</f>
        <v>0</v>
      </c>
      <c r="AJ62" s="621">
        <f t="shared" ca="1" si="19"/>
        <v>49871</v>
      </c>
      <c r="AK62" s="621">
        <f t="shared" ca="1" si="20"/>
        <v>49871</v>
      </c>
    </row>
    <row r="63" spans="2:37" s="622" customFormat="1" ht="11.25" customHeight="1">
      <c r="B63" s="865">
        <f t="shared" ca="1" si="21"/>
        <v>44</v>
      </c>
      <c r="C63" s="864">
        <f ca="1">IF(OR($A$2=1,MAX($C$20:C62)&gt;=110),"",C62+(B63-B62))</f>
        <v>76</v>
      </c>
      <c r="D63" s="1220" t="str">
        <f t="shared" ca="1" si="12"/>
        <v/>
      </c>
      <c r="E63" s="1220"/>
      <c r="F63" s="1220">
        <f t="shared" ca="1" si="13"/>
        <v>1000998</v>
      </c>
      <c r="G63" s="1220"/>
      <c r="H63" s="1220"/>
      <c r="I63" s="1220">
        <f t="shared" ca="1" si="14"/>
        <v>15242</v>
      </c>
      <c r="J63" s="1220"/>
      <c r="K63" s="1220"/>
      <c r="L63" s="1220">
        <f t="shared" ca="1" si="15"/>
        <v>662580</v>
      </c>
      <c r="M63" s="1220"/>
      <c r="N63" s="1220"/>
      <c r="O63" s="1220">
        <f t="shared" ca="1" si="16"/>
        <v>8012</v>
      </c>
      <c r="P63" s="1220"/>
      <c r="Q63" s="1220"/>
      <c r="R63" s="1220">
        <f t="shared" ca="1" si="17"/>
        <v>2871621</v>
      </c>
      <c r="S63" s="1220"/>
      <c r="T63" s="1220"/>
      <c r="U63" s="1220">
        <f t="shared" ca="1" si="18"/>
        <v>2871621</v>
      </c>
      <c r="V63" s="1220"/>
      <c r="W63" s="1220"/>
      <c r="X63" s="614"/>
      <c r="Y63" s="615"/>
      <c r="Z63" s="616">
        <f t="shared" ca="1" si="10"/>
        <v>44</v>
      </c>
      <c r="AA63" s="617">
        <f t="shared" ca="1" si="7"/>
        <v>2158184</v>
      </c>
      <c r="AB63" s="618">
        <f ca="1">IF($B63="","",VLOOKUP(OP!$C$55,PVFB,$B63+2,0))</f>
        <v>63476</v>
      </c>
      <c r="AC63" s="619"/>
      <c r="AD63" s="620">
        <f ca="1">IF(OR($A$2=1,B63=""),"",VLOOKUP(OP!$C$55,PA,$B63+1,0)*OP!$C$28)</f>
        <v>0</v>
      </c>
      <c r="AE63" s="619"/>
      <c r="AF63" s="620">
        <f ca="1">IF(OR($A$2=1,B63=""),"",VLOOKUP(OP!$C$55,DIE,$B63+1,0)*OP!$C$28)</f>
        <v>2158184</v>
      </c>
      <c r="AG63" s="620">
        <f ca="1">IF(OR($A$2=1,B63=""),"",VLOOKUP(OP!$C$55,CV,$B63+1,0)*OP!$C$28)</f>
        <v>2158184</v>
      </c>
      <c r="AH63" s="615"/>
      <c r="AI63" s="620">
        <f ca="1">IF(OR($A$2=1,B63="",AND($B63&gt;=計算!$P$4,$C63&lt;15),ISERROR(VLOOKUP($B63,MORE_PV,4,0))),"",VLOOKUP($B63,MORE_PV,4,0))</f>
        <v>0</v>
      </c>
      <c r="AJ63" s="621">
        <f t="shared" ca="1" si="19"/>
        <v>50857</v>
      </c>
      <c r="AK63" s="621">
        <f t="shared" ca="1" si="20"/>
        <v>50857</v>
      </c>
    </row>
    <row r="64" spans="2:37" s="622" customFormat="1" ht="11.25" customHeight="1">
      <c r="B64" s="865">
        <f t="shared" ca="1" si="21"/>
        <v>45</v>
      </c>
      <c r="C64" s="864">
        <f ca="1">IF(OR($A$2=1,MAX($C$20:C63)&gt;=110),"",C63+(B64-B63))</f>
        <v>77</v>
      </c>
      <c r="D64" s="1220" t="str">
        <f t="shared" ca="1" si="12"/>
        <v/>
      </c>
      <c r="E64" s="1220"/>
      <c r="F64" s="1220">
        <f t="shared" ca="1" si="13"/>
        <v>1000998</v>
      </c>
      <c r="G64" s="1220"/>
      <c r="H64" s="1220"/>
      <c r="I64" s="1220">
        <f t="shared" ca="1" si="14"/>
        <v>15542</v>
      </c>
      <c r="J64" s="1220"/>
      <c r="K64" s="1220"/>
      <c r="L64" s="1220">
        <f t="shared" ca="1" si="15"/>
        <v>696167</v>
      </c>
      <c r="M64" s="1220"/>
      <c r="N64" s="1220"/>
      <c r="O64" s="1220">
        <f t="shared" ca="1" si="16"/>
        <v>8012</v>
      </c>
      <c r="P64" s="1220"/>
      <c r="Q64" s="1220"/>
      <c r="R64" s="1220">
        <f t="shared" ca="1" si="17"/>
        <v>2948535</v>
      </c>
      <c r="S64" s="1220"/>
      <c r="T64" s="1220"/>
      <c r="U64" s="1220">
        <f t="shared" ca="1" si="18"/>
        <v>2948535</v>
      </c>
      <c r="V64" s="1220"/>
      <c r="W64" s="1220"/>
      <c r="X64" s="614"/>
      <c r="Y64" s="615"/>
      <c r="Z64" s="616">
        <f t="shared" ca="1" si="10"/>
        <v>45</v>
      </c>
      <c r="AA64" s="617">
        <f t="shared" ca="1" si="7"/>
        <v>2200514</v>
      </c>
      <c r="AB64" s="618">
        <f ca="1">IF($B64="","",VLOOKUP(OP!$C$55,PVFB,$B64+2,0))</f>
        <v>64721</v>
      </c>
      <c r="AC64" s="619"/>
      <c r="AD64" s="620">
        <f ca="1">IF(OR($A$2=1,B64=""),"",VLOOKUP(OP!$C$55,PA,$B64+1,0)*OP!$C$28)</f>
        <v>0</v>
      </c>
      <c r="AE64" s="619"/>
      <c r="AF64" s="620">
        <f ca="1">IF(OR($A$2=1,B64=""),"",VLOOKUP(OP!$C$55,DIE,$B64+1,0)*OP!$C$28)</f>
        <v>2200514</v>
      </c>
      <c r="AG64" s="620">
        <f ca="1">IF(OR($A$2=1,B64=""),"",VLOOKUP(OP!$C$55,CV,$B64+1,0)*OP!$C$28)</f>
        <v>2200514</v>
      </c>
      <c r="AH64" s="615"/>
      <c r="AI64" s="620">
        <f ca="1">IF(OR($A$2=1,B64="",AND($B64&gt;=計算!$P$4,$C64&lt;15),ISERROR(VLOOKUP($B64,MORE_PV,4,0))),"",VLOOKUP($B64,MORE_PV,4,0))</f>
        <v>0</v>
      </c>
      <c r="AJ64" s="621">
        <f t="shared" ca="1" si="19"/>
        <v>51854</v>
      </c>
      <c r="AK64" s="621">
        <f t="shared" ca="1" si="20"/>
        <v>51854</v>
      </c>
    </row>
    <row r="65" spans="1:37" s="622" customFormat="1" ht="11.25" customHeight="1">
      <c r="B65" s="865">
        <f t="shared" ca="1" si="21"/>
        <v>46</v>
      </c>
      <c r="C65" s="864">
        <f ca="1">IF(OR($A$2=1,MAX($C$20:C64)&gt;=110),"",C64+(B65-B64))</f>
        <v>78</v>
      </c>
      <c r="D65" s="1220" t="str">
        <f t="shared" ca="1" si="12"/>
        <v/>
      </c>
      <c r="E65" s="1220"/>
      <c r="F65" s="1220">
        <f t="shared" ca="1" si="13"/>
        <v>1000998</v>
      </c>
      <c r="G65" s="1220"/>
      <c r="H65" s="1220"/>
      <c r="I65" s="1220">
        <f t="shared" ca="1" si="14"/>
        <v>15844</v>
      </c>
      <c r="J65" s="1220"/>
      <c r="K65" s="1220"/>
      <c r="L65" s="1220">
        <f t="shared" ca="1" si="15"/>
        <v>730971</v>
      </c>
      <c r="M65" s="1220"/>
      <c r="N65" s="1220"/>
      <c r="O65" s="1220">
        <f t="shared" ca="1" si="16"/>
        <v>8012</v>
      </c>
      <c r="P65" s="1220"/>
      <c r="Q65" s="1220"/>
      <c r="R65" s="1220">
        <f t="shared" ca="1" si="17"/>
        <v>3027850</v>
      </c>
      <c r="S65" s="1220"/>
      <c r="T65" s="1220"/>
      <c r="U65" s="1220">
        <f t="shared" ca="1" si="18"/>
        <v>3027189</v>
      </c>
      <c r="V65" s="1220"/>
      <c r="W65" s="1220"/>
      <c r="X65" s="614"/>
      <c r="Y65" s="615"/>
      <c r="Z65" s="616">
        <f t="shared" ca="1" si="10"/>
        <v>46</v>
      </c>
      <c r="AA65" s="617">
        <f t="shared" ca="1" si="7"/>
        <v>2243354</v>
      </c>
      <c r="AB65" s="618">
        <f ca="1">IF($B65="","",VLOOKUP(OP!$C$55,PVFB,$B65+2,0))</f>
        <v>65981</v>
      </c>
      <c r="AC65" s="619"/>
      <c r="AD65" s="620">
        <f ca="1">IF(OR($A$2=1,B65=""),"",VLOOKUP(OP!$C$55,PA,$B65+1,0)*OP!$C$28)</f>
        <v>0</v>
      </c>
      <c r="AE65" s="619"/>
      <c r="AF65" s="620">
        <f ca="1">IF(OR($A$2=1,B65=""),"",VLOOKUP(OP!$C$55,DIE,$B65+1,0)*OP!$C$28)</f>
        <v>2244000</v>
      </c>
      <c r="AG65" s="620">
        <f ca="1">IF(OR($A$2=1,B65=""),"",VLOOKUP(OP!$C$55,CV,$B65+1,0)*OP!$C$28)</f>
        <v>2243354</v>
      </c>
      <c r="AH65" s="615"/>
      <c r="AI65" s="620">
        <f ca="1">IF(OR($A$2=1,B65="",AND($B65&gt;=計算!$P$4,$C65&lt;15),ISERROR(VLOOKUP($B65,MORE_PV,4,0))),"",VLOOKUP($B65,MORE_PV,4,0))</f>
        <v>0</v>
      </c>
      <c r="AJ65" s="621">
        <f t="shared" ca="1" si="19"/>
        <v>52879</v>
      </c>
      <c r="AK65" s="621">
        <f t="shared" ca="1" si="20"/>
        <v>52864</v>
      </c>
    </row>
    <row r="66" spans="1:37" s="622" customFormat="1" ht="11.25" customHeight="1">
      <c r="B66" s="865">
        <f t="shared" ca="1" si="21"/>
        <v>47</v>
      </c>
      <c r="C66" s="864">
        <f ca="1">IF(OR($A$2=1,MAX($C$20:C65)&gt;=110),"",C65+(B66-B65))</f>
        <v>79</v>
      </c>
      <c r="D66" s="1220" t="str">
        <f t="shared" ca="1" si="12"/>
        <v/>
      </c>
      <c r="E66" s="1220"/>
      <c r="F66" s="1220">
        <f t="shared" ca="1" si="13"/>
        <v>1000998</v>
      </c>
      <c r="G66" s="1220"/>
      <c r="H66" s="1220"/>
      <c r="I66" s="1220">
        <f t="shared" ca="1" si="14"/>
        <v>16150</v>
      </c>
      <c r="J66" s="1220"/>
      <c r="K66" s="1220"/>
      <c r="L66" s="1220">
        <f t="shared" ca="1" si="15"/>
        <v>767084</v>
      </c>
      <c r="M66" s="1220"/>
      <c r="N66" s="1220"/>
      <c r="O66" s="1220">
        <f t="shared" ca="1" si="16"/>
        <v>8012</v>
      </c>
      <c r="P66" s="1220"/>
      <c r="Q66" s="1220"/>
      <c r="R66" s="1220">
        <f t="shared" ca="1" si="17"/>
        <v>3112685</v>
      </c>
      <c r="S66" s="1220"/>
      <c r="T66" s="1220"/>
      <c r="U66" s="1220">
        <f t="shared" ca="1" si="18"/>
        <v>3107674</v>
      </c>
      <c r="V66" s="1220"/>
      <c r="W66" s="1220"/>
      <c r="X66" s="614"/>
      <c r="Y66" s="615"/>
      <c r="Z66" s="616">
        <f t="shared" ca="1" si="10"/>
        <v>47</v>
      </c>
      <c r="AA66" s="617">
        <f t="shared" ca="1" si="7"/>
        <v>2286704</v>
      </c>
      <c r="AB66" s="618">
        <f ca="1">IF($B66="","",VLOOKUP(OP!$C$55,PVFB,$B66+2,0))</f>
        <v>67256</v>
      </c>
      <c r="AC66" s="619"/>
      <c r="AD66" s="620">
        <f ca="1">IF(OR($A$2=1,B66=""),"",VLOOKUP(OP!$C$55,PA,$B66+1,0)*OP!$C$28)</f>
        <v>0</v>
      </c>
      <c r="AE66" s="619"/>
      <c r="AF66" s="620">
        <f ca="1">IF(OR($A$2=1,B66=""),"",VLOOKUP(OP!$C$55,DIE,$B66+1,0)*OP!$C$28)</f>
        <v>2291600</v>
      </c>
      <c r="AG66" s="620">
        <f ca="1">IF(OR($A$2=1,B66=""),"",VLOOKUP(OP!$C$55,CV,$B66+1,0)*OP!$C$28)</f>
        <v>2286704</v>
      </c>
      <c r="AH66" s="615"/>
      <c r="AI66" s="620">
        <f ca="1">IF(OR($A$2=1,B66="",AND($B66&gt;=計算!$P$4,$C66&lt;15),ISERROR(VLOOKUP($B66,MORE_PV,4,0))),"",VLOOKUP($B66,MORE_PV,4,0))</f>
        <v>0</v>
      </c>
      <c r="AJ66" s="621">
        <f t="shared" ca="1" si="19"/>
        <v>54001</v>
      </c>
      <c r="AK66" s="621">
        <f t="shared" ca="1" si="20"/>
        <v>53886</v>
      </c>
    </row>
    <row r="67" spans="1:37" s="622" customFormat="1" ht="11.25" customHeight="1">
      <c r="B67" s="865">
        <f t="shared" ca="1" si="21"/>
        <v>48</v>
      </c>
      <c r="C67" s="864">
        <f ca="1">IF(OR($A$2=1,MAX($C$20:C66)&gt;=110),"",C66+(B67-B66))</f>
        <v>80</v>
      </c>
      <c r="D67" s="1220" t="str">
        <f t="shared" ca="1" si="12"/>
        <v/>
      </c>
      <c r="E67" s="1220"/>
      <c r="F67" s="1220">
        <f t="shared" ca="1" si="13"/>
        <v>1000998</v>
      </c>
      <c r="G67" s="1220"/>
      <c r="H67" s="1220"/>
      <c r="I67" s="1220">
        <f t="shared" ca="1" si="14"/>
        <v>16460</v>
      </c>
      <c r="J67" s="1220"/>
      <c r="K67" s="1220"/>
      <c r="L67" s="1220">
        <f t="shared" ca="1" si="15"/>
        <v>804435</v>
      </c>
      <c r="M67" s="1220"/>
      <c r="N67" s="1220"/>
      <c r="O67" s="1220">
        <f t="shared" ca="1" si="16"/>
        <v>8012</v>
      </c>
      <c r="P67" s="1220"/>
      <c r="Q67" s="1220"/>
      <c r="R67" s="1220">
        <f t="shared" ca="1" si="17"/>
        <v>3198758</v>
      </c>
      <c r="S67" s="1220"/>
      <c r="T67" s="1220"/>
      <c r="U67" s="1220">
        <f t="shared" ca="1" si="18"/>
        <v>3189883</v>
      </c>
      <c r="V67" s="1220"/>
      <c r="W67" s="1220"/>
      <c r="X67" s="614"/>
      <c r="Y67" s="615"/>
      <c r="Z67" s="616">
        <f t="shared" ca="1" si="10"/>
        <v>48</v>
      </c>
      <c r="AA67" s="617">
        <f t="shared" ca="1" si="7"/>
        <v>2330530</v>
      </c>
      <c r="AB67" s="618">
        <f ca="1">IF($B67="","",VLOOKUP(OP!$C$55,PVFB,$B67+2,0))</f>
        <v>68545</v>
      </c>
      <c r="AC67" s="619"/>
      <c r="AD67" s="620">
        <f ca="1">IF(OR($A$2=1,B67=""),"",VLOOKUP(OP!$C$55,PA,$B67+1,0)*OP!$C$28)</f>
        <v>0</v>
      </c>
      <c r="AE67" s="619"/>
      <c r="AF67" s="620">
        <f ca="1">IF(OR($A$2=1,B67=""),"",VLOOKUP(OP!$C$55,DIE,$B67+1,0)*OP!$C$28)</f>
        <v>2339200</v>
      </c>
      <c r="AG67" s="620">
        <f ca="1">IF(OR($A$2=1,B67=""),"",VLOOKUP(OP!$C$55,CV,$B67+1,0)*OP!$C$28)</f>
        <v>2330530</v>
      </c>
      <c r="AH67" s="615"/>
      <c r="AI67" s="620">
        <f ca="1">IF(OR($A$2=1,B67="",AND($B67&gt;=計算!$P$4,$C67&lt;15),ISERROR(VLOOKUP($B67,MORE_PV,4,0))),"",VLOOKUP($B67,MORE_PV,4,0))</f>
        <v>0</v>
      </c>
      <c r="AJ67" s="621">
        <f t="shared" ca="1" si="19"/>
        <v>55123</v>
      </c>
      <c r="AK67" s="621">
        <f t="shared" ca="1" si="20"/>
        <v>54918</v>
      </c>
    </row>
    <row r="68" spans="1:37" s="622" customFormat="1" ht="11.25" customHeight="1">
      <c r="B68" s="865">
        <f t="shared" ca="1" si="21"/>
        <v>49</v>
      </c>
      <c r="C68" s="864">
        <f ca="1">IF(OR($A$2=1,MAX($C$20:$C$67)&gt;=110),"",C67+(B68-B67))</f>
        <v>81</v>
      </c>
      <c r="D68" s="1220" t="str">
        <f t="shared" ca="1" si="12"/>
        <v/>
      </c>
      <c r="E68" s="1220"/>
      <c r="F68" s="1220">
        <f t="shared" ca="1" si="13"/>
        <v>1000998</v>
      </c>
      <c r="G68" s="1220"/>
      <c r="H68" s="1220"/>
      <c r="I68" s="1220">
        <f t="shared" ca="1" si="14"/>
        <v>16772</v>
      </c>
      <c r="J68" s="1220"/>
      <c r="K68" s="1220"/>
      <c r="L68" s="1220">
        <f t="shared" ca="1" si="15"/>
        <v>843115</v>
      </c>
      <c r="M68" s="1220"/>
      <c r="N68" s="1220"/>
      <c r="O68" s="1220">
        <f t="shared" ca="1" si="16"/>
        <v>8012</v>
      </c>
      <c r="P68" s="1220"/>
      <c r="Q68" s="1220"/>
      <c r="R68" s="1220">
        <f t="shared" ca="1" si="17"/>
        <v>3286159</v>
      </c>
      <c r="S68" s="1220"/>
      <c r="T68" s="1220"/>
      <c r="U68" s="1220">
        <f t="shared" ca="1" si="18"/>
        <v>3273874</v>
      </c>
      <c r="V68" s="1220"/>
      <c r="W68" s="1220"/>
      <c r="X68" s="614"/>
      <c r="Y68" s="615"/>
      <c r="Z68" s="616">
        <f t="shared" ca="1" si="10"/>
        <v>49</v>
      </c>
      <c r="AA68" s="617">
        <f t="shared" ca="1" si="7"/>
        <v>2374798</v>
      </c>
      <c r="AB68" s="618">
        <f ca="1">IF($B68="","",VLOOKUP(OP!$C$55,PVFB,$B68+2,0))</f>
        <v>69847</v>
      </c>
      <c r="AC68" s="619"/>
      <c r="AD68" s="620">
        <f ca="1">IF(OR($A$2=1,B68=""),"",VLOOKUP(OP!$C$55,PA,$B68+1,0)*OP!$C$28)</f>
        <v>0</v>
      </c>
      <c r="AE68" s="619"/>
      <c r="AF68" s="620">
        <f ca="1">IF(OR($A$2=1,B68=""),"",VLOOKUP(OP!$C$55,DIE,$B68+1,0)*OP!$C$28)</f>
        <v>2386800</v>
      </c>
      <c r="AG68" s="620">
        <f ca="1">IF(OR($A$2=1,B68=""),"",VLOOKUP(OP!$C$55,CV,$B68+1,0)*OP!$C$28)</f>
        <v>2374798</v>
      </c>
      <c r="AH68" s="615"/>
      <c r="AI68" s="620">
        <f ca="1">IF(OR($A$2=1,B68="",AND($B68&gt;=計算!$P$4,$C68&lt;15),ISERROR(VLOOKUP($B68,MORE_PV,4,0))),"",VLOOKUP($B68,MORE_PV,4,0))</f>
        <v>0</v>
      </c>
      <c r="AJ68" s="621">
        <f t="shared" ca="1" si="19"/>
        <v>56244</v>
      </c>
      <c r="AK68" s="621">
        <f t="shared" ca="1" si="20"/>
        <v>55961</v>
      </c>
    </row>
    <row r="69" spans="1:37" s="622" customFormat="1" ht="11.25" customHeight="1">
      <c r="B69" s="865">
        <f t="shared" ca="1" si="21"/>
        <v>50</v>
      </c>
      <c r="C69" s="864">
        <f ca="1">IF(OR($A$2=1,MAX($C$20:$C$67,$C$68:C68)&gt;=110),"",C68+(B69-B68))</f>
        <v>82</v>
      </c>
      <c r="D69" s="1220" t="str">
        <f t="shared" ca="1" si="12"/>
        <v/>
      </c>
      <c r="E69" s="1220"/>
      <c r="F69" s="1220">
        <f t="shared" ca="1" si="13"/>
        <v>1000998</v>
      </c>
      <c r="G69" s="1220"/>
      <c r="H69" s="1220"/>
      <c r="I69" s="1220">
        <f t="shared" ca="1" si="14"/>
        <v>17088</v>
      </c>
      <c r="J69" s="1220"/>
      <c r="K69" s="1220"/>
      <c r="L69" s="1220">
        <f t="shared" ca="1" si="15"/>
        <v>883165</v>
      </c>
      <c r="M69" s="1220"/>
      <c r="N69" s="1220"/>
      <c r="O69" s="1220">
        <f t="shared" ca="1" si="16"/>
        <v>8012</v>
      </c>
      <c r="P69" s="1220"/>
      <c r="Q69" s="1220"/>
      <c r="R69" s="1220">
        <f t="shared" ca="1" si="17"/>
        <v>3374931</v>
      </c>
      <c r="S69" s="1220"/>
      <c r="T69" s="1220"/>
      <c r="U69" s="1220">
        <f t="shared" ca="1" si="18"/>
        <v>3359688</v>
      </c>
      <c r="V69" s="1220"/>
      <c r="W69" s="1220"/>
      <c r="X69" s="614"/>
      <c r="Y69" s="615"/>
      <c r="Z69" s="616">
        <f t="shared" ca="1" si="10"/>
        <v>50</v>
      </c>
      <c r="AA69" s="617">
        <f t="shared" ca="1" si="7"/>
        <v>2419508</v>
      </c>
      <c r="AB69" s="618">
        <f ca="1">IF($B69="","",VLOOKUP(OP!$C$55,PVFB,$B69+2,0))</f>
        <v>71162</v>
      </c>
      <c r="AC69" s="619"/>
      <c r="AD69" s="620">
        <f ca="1">IF(OR($A$2=1,B69=""),"",VLOOKUP(OP!$C$55,PA,$B69+1,0)*OP!$C$28)</f>
        <v>0</v>
      </c>
      <c r="AE69" s="619"/>
      <c r="AF69" s="620">
        <f ca="1">IF(OR($A$2=1,B69=""),"",VLOOKUP(OP!$C$55,DIE,$B69+1,0)*OP!$C$28)</f>
        <v>2434400</v>
      </c>
      <c r="AG69" s="620">
        <f ca="1">IF(OR($A$2=1,B69=""),"",VLOOKUP(OP!$C$55,CV,$B69+1,0)*OP!$C$28)</f>
        <v>2419508</v>
      </c>
      <c r="AH69" s="615"/>
      <c r="AI69" s="620">
        <f ca="1">IF(OR($A$2=1,B69="",AND($B69&gt;=計算!$P$4,$C69&lt;15),ISERROR(VLOOKUP($B69,MORE_PV,4,0))),"",VLOOKUP($B69,MORE_PV,4,0))</f>
        <v>0</v>
      </c>
      <c r="AJ69" s="621">
        <f t="shared" ca="1" si="19"/>
        <v>57366</v>
      </c>
      <c r="AK69" s="621">
        <f t="shared" ca="1" si="20"/>
        <v>57015</v>
      </c>
    </row>
    <row r="70" spans="1:37" s="622" customFormat="1" ht="11.25" customHeight="1">
      <c r="B70" s="865">
        <f t="shared" ca="1" si="21"/>
        <v>51</v>
      </c>
      <c r="C70" s="864">
        <f ca="1">IF(OR($A$2=1,MAX($C$20:$C$67,$C$68:C69)&gt;=110),"",C69+(B70-B69))</f>
        <v>83</v>
      </c>
      <c r="D70" s="1220" t="str">
        <f t="shared" ca="1" si="12"/>
        <v/>
      </c>
      <c r="E70" s="1220"/>
      <c r="F70" s="1220">
        <f t="shared" ca="1" si="13"/>
        <v>1000998</v>
      </c>
      <c r="G70" s="1220"/>
      <c r="H70" s="1220"/>
      <c r="I70" s="1220">
        <f t="shared" ca="1" si="14"/>
        <v>17407</v>
      </c>
      <c r="J70" s="1220"/>
      <c r="K70" s="1220"/>
      <c r="L70" s="1220">
        <f t="shared" ca="1" si="15"/>
        <v>924691</v>
      </c>
      <c r="M70" s="1220"/>
      <c r="N70" s="1220"/>
      <c r="O70" s="1220">
        <f t="shared" ca="1" si="16"/>
        <v>8012</v>
      </c>
      <c r="P70" s="1220"/>
      <c r="Q70" s="1220"/>
      <c r="R70" s="1220">
        <f t="shared" ca="1" si="17"/>
        <v>3465179</v>
      </c>
      <c r="S70" s="1220"/>
      <c r="T70" s="1220"/>
      <c r="U70" s="1220">
        <f t="shared" ca="1" si="18"/>
        <v>3447430</v>
      </c>
      <c r="V70" s="1220"/>
      <c r="W70" s="1220"/>
      <c r="X70" s="614"/>
      <c r="Y70" s="615"/>
      <c r="Z70" s="616">
        <f t="shared" ca="1" si="10"/>
        <v>51</v>
      </c>
      <c r="AA70" s="617">
        <f t="shared" ca="1" si="7"/>
        <v>2464660</v>
      </c>
      <c r="AB70" s="618">
        <f ca="1">IF($B70="","",VLOOKUP(OP!$C$55,PVFB,$B70+2,0))</f>
        <v>72490</v>
      </c>
      <c r="AC70" s="619"/>
      <c r="AD70" s="620">
        <f ca="1">IF(OR($A$2=1,B70=""),"",VLOOKUP(OP!$C$55,PA,$B70+1,0)*OP!$C$28)</f>
        <v>0</v>
      </c>
      <c r="AE70" s="619"/>
      <c r="AF70" s="620">
        <f ca="1">IF(OR($A$2=1,B70=""),"",VLOOKUP(OP!$C$55,DIE,$B70+1,0)*OP!$C$28)</f>
        <v>2482000</v>
      </c>
      <c r="AG70" s="620">
        <f ca="1">IF(OR($A$2=1,B70=""),"",VLOOKUP(OP!$C$55,CV,$B70+1,0)*OP!$C$28)</f>
        <v>2464660</v>
      </c>
      <c r="AH70" s="615"/>
      <c r="AI70" s="620">
        <f ca="1">IF(OR($A$2=1,B70="",AND($B70&gt;=計算!$P$4,$C70&lt;15),ISERROR(VLOOKUP($B70,MORE_PV,4,0))),"",VLOOKUP($B70,MORE_PV,4,0))</f>
        <v>0</v>
      </c>
      <c r="AJ70" s="621">
        <f t="shared" ca="1" si="19"/>
        <v>58488</v>
      </c>
      <c r="AK70" s="621">
        <f t="shared" ca="1" si="20"/>
        <v>58079</v>
      </c>
    </row>
    <row r="71" spans="1:37" s="622" customFormat="1" ht="11.25" customHeight="1">
      <c r="B71" s="865">
        <f t="shared" ca="1" si="21"/>
        <v>52</v>
      </c>
      <c r="C71" s="864">
        <f ca="1">IF(OR($A$2=1,MAX($C$20:$C$67,$C$68:C70)&gt;=110),"",C70+(B71-B70))</f>
        <v>84</v>
      </c>
      <c r="D71" s="1220" t="str">
        <f t="shared" ca="1" si="12"/>
        <v/>
      </c>
      <c r="E71" s="1220"/>
      <c r="F71" s="1220">
        <f t="shared" ca="1" si="13"/>
        <v>1000998</v>
      </c>
      <c r="G71" s="1220"/>
      <c r="H71" s="1220"/>
      <c r="I71" s="1220">
        <f t="shared" ca="1" si="14"/>
        <v>17729</v>
      </c>
      <c r="J71" s="1220"/>
      <c r="K71" s="1220"/>
      <c r="L71" s="1220">
        <f t="shared" ca="1" si="15"/>
        <v>967603</v>
      </c>
      <c r="M71" s="1220"/>
      <c r="N71" s="1220"/>
      <c r="O71" s="1220">
        <f t="shared" ca="1" si="16"/>
        <v>8012</v>
      </c>
      <c r="P71" s="1220"/>
      <c r="Q71" s="1220"/>
      <c r="R71" s="1220">
        <f t="shared" ca="1" si="17"/>
        <v>3556812</v>
      </c>
      <c r="S71" s="1220"/>
      <c r="T71" s="1220"/>
      <c r="U71" s="1220">
        <f t="shared" ca="1" si="18"/>
        <v>3536976</v>
      </c>
      <c r="V71" s="1220"/>
      <c r="W71" s="1220"/>
      <c r="X71" s="614"/>
      <c r="Y71" s="615"/>
      <c r="Z71" s="616">
        <f t="shared" ca="1" si="10"/>
        <v>52</v>
      </c>
      <c r="AA71" s="617">
        <f t="shared" ca="1" si="7"/>
        <v>2510220</v>
      </c>
      <c r="AB71" s="618">
        <f ca="1">IF($B71="","",VLOOKUP(OP!$C$55,PVFB,$B71+2,0))</f>
        <v>73830</v>
      </c>
      <c r="AC71" s="619"/>
      <c r="AD71" s="620">
        <f ca="1">IF(OR($A$2=1,B71=""),"",VLOOKUP(OP!$C$55,PA,$B71+1,0)*OP!$C$28)</f>
        <v>0</v>
      </c>
      <c r="AE71" s="619"/>
      <c r="AF71" s="620">
        <f ca="1">IF(OR($A$2=1,B71=""),"",VLOOKUP(OP!$C$55,DIE,$B71+1,0)*OP!$C$28)</f>
        <v>2529600</v>
      </c>
      <c r="AG71" s="620">
        <f ca="1">IF(OR($A$2=1,B71=""),"",VLOOKUP(OP!$C$55,CV,$B71+1,0)*OP!$C$28)</f>
        <v>2510220</v>
      </c>
      <c r="AH71" s="615"/>
      <c r="AI71" s="620">
        <f ca="1">IF(OR($A$2=1,B71="",AND($B71&gt;=計算!$P$4,$C71&lt;15),ISERROR(VLOOKUP($B71,MORE_PV,4,0))),"",VLOOKUP($B71,MORE_PV,4,0))</f>
        <v>0</v>
      </c>
      <c r="AJ71" s="621">
        <f t="shared" ca="1" si="19"/>
        <v>59609</v>
      </c>
      <c r="AK71" s="621">
        <f t="shared" ca="1" si="20"/>
        <v>59153</v>
      </c>
    </row>
    <row r="72" spans="1:37" s="622" customFormat="1" ht="11.25" customHeight="1">
      <c r="B72" s="865">
        <f t="shared" ca="1" si="21"/>
        <v>53</v>
      </c>
      <c r="C72" s="864">
        <f ca="1">IF(OR($A$2=1,MAX($C$20:$C$67,$C$68:C71)&gt;=110),"",C71+(B72-B71))</f>
        <v>85</v>
      </c>
      <c r="D72" s="1220" t="str">
        <f t="shared" ca="1" si="12"/>
        <v/>
      </c>
      <c r="E72" s="1220"/>
      <c r="F72" s="1220">
        <f t="shared" ca="1" si="13"/>
        <v>1000998</v>
      </c>
      <c r="G72" s="1220"/>
      <c r="H72" s="1220"/>
      <c r="I72" s="1220">
        <f t="shared" ca="1" si="14"/>
        <v>18054</v>
      </c>
      <c r="J72" s="1220"/>
      <c r="K72" s="1220"/>
      <c r="L72" s="1220">
        <f t="shared" ca="1" si="15"/>
        <v>1012009</v>
      </c>
      <c r="M72" s="1220"/>
      <c r="N72" s="1220"/>
      <c r="O72" s="1220">
        <f t="shared" ca="1" si="16"/>
        <v>8012</v>
      </c>
      <c r="P72" s="1220"/>
      <c r="Q72" s="1220"/>
      <c r="R72" s="1220">
        <f t="shared" ca="1" si="17"/>
        <v>3649940</v>
      </c>
      <c r="S72" s="1220"/>
      <c r="T72" s="1220"/>
      <c r="U72" s="1220">
        <f t="shared" ca="1" si="18"/>
        <v>3628433</v>
      </c>
      <c r="V72" s="1220"/>
      <c r="W72" s="1220"/>
      <c r="X72" s="614"/>
      <c r="Y72" s="615"/>
      <c r="Z72" s="616">
        <f t="shared" ca="1" si="10"/>
        <v>53</v>
      </c>
      <c r="AA72" s="617">
        <f t="shared" ca="1" si="7"/>
        <v>2556188</v>
      </c>
      <c r="AB72" s="618">
        <f ca="1">IF($B72="","",VLOOKUP(OP!$C$55,PVFB,$B72+2,0))</f>
        <v>75182</v>
      </c>
      <c r="AC72" s="619"/>
      <c r="AD72" s="620">
        <f ca="1">IF(OR($A$2=1,B72=""),"",VLOOKUP(OP!$C$55,PA,$B72+1,0)*OP!$C$28)</f>
        <v>0</v>
      </c>
      <c r="AE72" s="619"/>
      <c r="AF72" s="620">
        <f ca="1">IF(OR($A$2=1,B72=""),"",VLOOKUP(OP!$C$55,DIE,$B72+1,0)*OP!$C$28)</f>
        <v>2577200</v>
      </c>
      <c r="AG72" s="620">
        <f ca="1">IF(OR($A$2=1,B72=""),"",VLOOKUP(OP!$C$55,CV,$B72+1,0)*OP!$C$28)</f>
        <v>2556188</v>
      </c>
      <c r="AH72" s="615"/>
      <c r="AI72" s="620">
        <f ca="1">IF(OR($A$2=1,B72="",AND($B72&gt;=計算!$P$4,$C72&lt;15),ISERROR(VLOOKUP($B72,MORE_PV,4,0))),"",VLOOKUP($B72,MORE_PV,4,0))</f>
        <v>0</v>
      </c>
      <c r="AJ72" s="621">
        <f t="shared" ca="1" si="19"/>
        <v>60731</v>
      </c>
      <c r="AK72" s="621">
        <f t="shared" ca="1" si="20"/>
        <v>60236</v>
      </c>
    </row>
    <row r="73" spans="1:37" s="622" customFormat="1" ht="11.25" customHeight="1">
      <c r="B73" s="865">
        <f t="shared" ca="1" si="21"/>
        <v>54</v>
      </c>
      <c r="C73" s="864">
        <f ca="1">IF(OR($A$2=1,MAX($C$20:$C$67,$C$68:C72)&gt;=110),"",C72+(B73-B72))</f>
        <v>86</v>
      </c>
      <c r="D73" s="1220" t="str">
        <f t="shared" ca="1" si="12"/>
        <v/>
      </c>
      <c r="E73" s="1220"/>
      <c r="F73" s="1220">
        <f t="shared" ca="1" si="13"/>
        <v>1000998</v>
      </c>
      <c r="G73" s="1220"/>
      <c r="H73" s="1220"/>
      <c r="I73" s="1220">
        <f t="shared" ca="1" si="14"/>
        <v>18380</v>
      </c>
      <c r="J73" s="1220"/>
      <c r="K73" s="1220"/>
      <c r="L73" s="1220">
        <f t="shared" ca="1" si="15"/>
        <v>1057950</v>
      </c>
      <c r="M73" s="1220"/>
      <c r="N73" s="1220"/>
      <c r="O73" s="1220">
        <f t="shared" ca="1" si="16"/>
        <v>8012</v>
      </c>
      <c r="P73" s="1220"/>
      <c r="Q73" s="1220"/>
      <c r="R73" s="1220">
        <f t="shared" ca="1" si="17"/>
        <v>3744603</v>
      </c>
      <c r="S73" s="1220"/>
      <c r="T73" s="1220"/>
      <c r="U73" s="1220">
        <f t="shared" ca="1" si="18"/>
        <v>3721808</v>
      </c>
      <c r="V73" s="1220"/>
      <c r="W73" s="1220"/>
      <c r="X73" s="614"/>
      <c r="Y73" s="615"/>
      <c r="Z73" s="616">
        <f t="shared" ca="1" si="10"/>
        <v>54</v>
      </c>
      <c r="AA73" s="617">
        <f t="shared" ca="1" si="7"/>
        <v>2602530</v>
      </c>
      <c r="AB73" s="618">
        <f ca="1">IF($B73="","",VLOOKUP(OP!$C$55,PVFB,$B73+2,0))</f>
        <v>76545</v>
      </c>
      <c r="AC73" s="619"/>
      <c r="AD73" s="620">
        <f ca="1">IF(OR($A$2=1,B73=""),"",VLOOKUP(OP!$C$55,PA,$B73+1,0)*OP!$C$28)</f>
        <v>0</v>
      </c>
      <c r="AE73" s="619"/>
      <c r="AF73" s="620">
        <f ca="1">IF(OR($A$2=1,B73=""),"",VLOOKUP(OP!$C$55,DIE,$B73+1,0)*OP!$C$28)</f>
        <v>2624800</v>
      </c>
      <c r="AG73" s="620">
        <f ca="1">IF(OR($A$2=1,B73=""),"",VLOOKUP(OP!$C$55,CV,$B73+1,0)*OP!$C$28)</f>
        <v>2602530</v>
      </c>
      <c r="AH73" s="615"/>
      <c r="AI73" s="620">
        <f ca="1">IF(OR($A$2=1,B73="",AND($B73&gt;=計算!$P$4,$C73&lt;15),ISERROR(VLOOKUP($B73,MORE_PV,4,0))),"",VLOOKUP($B73,MORE_PV,4,0))</f>
        <v>0</v>
      </c>
      <c r="AJ73" s="621">
        <f t="shared" ca="1" si="19"/>
        <v>61853</v>
      </c>
      <c r="AK73" s="621">
        <f t="shared" ca="1" si="20"/>
        <v>61328</v>
      </c>
    </row>
    <row r="74" spans="1:37" s="622" customFormat="1" ht="11.25" customHeight="1">
      <c r="B74" s="865">
        <f t="shared" ca="1" si="21"/>
        <v>55</v>
      </c>
      <c r="C74" s="864">
        <f ca="1">IF(OR($A$2=1,MAX($C$20:$C$67,$C$68:C73)&gt;=110),"",C73+(B74-B73))</f>
        <v>87</v>
      </c>
      <c r="D74" s="1220" t="str">
        <f t="shared" ca="1" si="12"/>
        <v/>
      </c>
      <c r="E74" s="1220"/>
      <c r="F74" s="1220">
        <f t="shared" ca="1" si="13"/>
        <v>1000998</v>
      </c>
      <c r="G74" s="1220"/>
      <c r="H74" s="1220"/>
      <c r="I74" s="1220">
        <f t="shared" ca="1" si="14"/>
        <v>18711</v>
      </c>
      <c r="J74" s="1220"/>
      <c r="K74" s="1220"/>
      <c r="L74" s="1220">
        <f t="shared" ca="1" si="15"/>
        <v>1105553</v>
      </c>
      <c r="M74" s="1220"/>
      <c r="N74" s="1220"/>
      <c r="O74" s="1220">
        <f t="shared" ca="1" si="16"/>
        <v>8012</v>
      </c>
      <c r="P74" s="1220"/>
      <c r="Q74" s="1220"/>
      <c r="R74" s="1220">
        <f t="shared" ca="1" si="17"/>
        <v>3840927</v>
      </c>
      <c r="S74" s="1220"/>
      <c r="T74" s="1220"/>
      <c r="U74" s="1220">
        <f t="shared" ca="1" si="18"/>
        <v>3817193</v>
      </c>
      <c r="V74" s="1220"/>
      <c r="W74" s="1220"/>
      <c r="X74" s="614"/>
      <c r="Y74" s="615"/>
      <c r="Z74" s="616">
        <f t="shared" ca="1" si="10"/>
        <v>55</v>
      </c>
      <c r="AA74" s="617">
        <f t="shared" ca="1" si="7"/>
        <v>2649212</v>
      </c>
      <c r="AB74" s="618">
        <f ca="1">IF($B74="","",VLOOKUP(OP!$C$55,PVFB,$B74+2,0))</f>
        <v>77918</v>
      </c>
      <c r="AC74" s="619"/>
      <c r="AD74" s="620">
        <f ca="1">IF(OR($A$2=1,B74=""),"",VLOOKUP(OP!$C$55,PA,$B74+1,0)*OP!$C$28)</f>
        <v>0</v>
      </c>
      <c r="AE74" s="619"/>
      <c r="AF74" s="620">
        <f ca="1">IF(OR($A$2=1,B74=""),"",VLOOKUP(OP!$C$55,DIE,$B74+1,0)*OP!$C$28)</f>
        <v>2672400</v>
      </c>
      <c r="AG74" s="620">
        <f ca="1">IF(OR($A$2=1,B74=""),"",VLOOKUP(OP!$C$55,CV,$B74+1,0)*OP!$C$28)</f>
        <v>2649212</v>
      </c>
      <c r="AH74" s="615"/>
      <c r="AI74" s="620">
        <f ca="1">IF(OR($A$2=1,B74="",AND($B74&gt;=計算!$P$4,$C74&lt;15),ISERROR(VLOOKUP($B74,MORE_PV,4,0))),"",VLOOKUP($B74,MORE_PV,4,0))</f>
        <v>0</v>
      </c>
      <c r="AJ74" s="621">
        <f t="shared" ca="1" si="19"/>
        <v>62974</v>
      </c>
      <c r="AK74" s="621">
        <f t="shared" ca="1" si="20"/>
        <v>62428</v>
      </c>
    </row>
    <row r="75" spans="1:37" s="622" customFormat="1" ht="11.25" customHeight="1">
      <c r="B75" s="866">
        <f ca="1">IF(OR(C74&gt;=110,C74=""),"",IF(C74+1&gt;110,111-$C$20,B74+1))</f>
        <v>56</v>
      </c>
      <c r="C75" s="864">
        <f ca="1">IF(OR($A$2=1,MAX($C$20:$C$67,$C$68:C74)&gt;=110),"",C74+(B75-B74))</f>
        <v>88</v>
      </c>
      <c r="D75" s="1220" t="str">
        <f t="shared" ca="1" si="12"/>
        <v/>
      </c>
      <c r="E75" s="1220"/>
      <c r="F75" s="1220">
        <f t="shared" ca="1" si="13"/>
        <v>1000998</v>
      </c>
      <c r="G75" s="1220"/>
      <c r="H75" s="1220"/>
      <c r="I75" s="1220">
        <f t="shared" ca="1" si="14"/>
        <v>19042</v>
      </c>
      <c r="J75" s="1220"/>
      <c r="K75" s="1220"/>
      <c r="L75" s="1220">
        <f t="shared" ca="1" si="15"/>
        <v>1154704</v>
      </c>
      <c r="M75" s="1220"/>
      <c r="N75" s="1220"/>
      <c r="O75" s="1220">
        <f t="shared" ca="1" si="16"/>
        <v>8012</v>
      </c>
      <c r="P75" s="1220"/>
      <c r="Q75" s="1220"/>
      <c r="R75" s="1220">
        <f t="shared" ca="1" si="17"/>
        <v>3938800</v>
      </c>
      <c r="S75" s="1220"/>
      <c r="T75" s="1220"/>
      <c r="U75" s="1220">
        <f t="shared" ca="1" si="18"/>
        <v>3914509</v>
      </c>
      <c r="V75" s="1220"/>
      <c r="W75" s="1220"/>
      <c r="X75" s="614"/>
      <c r="Y75" s="615"/>
      <c r="Z75" s="616">
        <f ca="1">IF($B75="","",$B75)</f>
        <v>56</v>
      </c>
      <c r="AA75" s="617">
        <f ca="1">IF($C75="","",VLOOKUP($B75,more1,3,0))</f>
        <v>2696268</v>
      </c>
      <c r="AB75" s="618">
        <f ca="1">IF($B75="","",VLOOKUP(OP!$C$55,PVFB,$B75+2,0))</f>
        <v>79302</v>
      </c>
      <c r="AC75" s="619"/>
      <c r="AD75" s="620">
        <f ca="1">IF(OR($A$2=1,B75=""),"",VLOOKUP(OP!$C$55,PA,$B75+1,0)*OP!$C$28)</f>
        <v>0</v>
      </c>
      <c r="AE75" s="619"/>
      <c r="AF75" s="620">
        <f ca="1">IF(OR($A$2=1,B75=""),"",VLOOKUP(OP!$C$55,DIE,$B75+1,0)*OP!$C$28)</f>
        <v>2720000</v>
      </c>
      <c r="AG75" s="620">
        <f ca="1">IF(OR($A$2=1,B75=""),"",VLOOKUP(OP!$C$55,CV,$B75+1,0)*OP!$C$28)</f>
        <v>2696268</v>
      </c>
      <c r="AH75" s="615"/>
      <c r="AI75" s="620">
        <f ca="1">IF(OR($A$2=1,B75="",AND($B75&gt;=計算!$P$4,$C75&lt;15),ISERROR(VLOOKUP($B75,MORE_PV,4,0))),"",VLOOKUP($B75,MORE_PV,4,0))</f>
        <v>0</v>
      </c>
      <c r="AJ75" s="621">
        <f ca="1">IF(OR($A$2=1,B75=""),"",VLOOKUP($B75,MORE_PV,8,0))</f>
        <v>64096</v>
      </c>
      <c r="AK75" s="621">
        <f ca="1">IF(OR($A$2=1,B75=""),"",ROUND(VLOOKUP($B75,MORE_PV,7,0),0))</f>
        <v>63537</v>
      </c>
    </row>
    <row r="76" spans="1:37" s="622" customFormat="1" ht="11.25" customHeight="1">
      <c r="B76" s="866">
        <f ca="1">IF(OR(C75&gt;=110,C75=""),"",IF(C75+1&gt;110,111-$C$20,B75+1))</f>
        <v>57</v>
      </c>
      <c r="C76" s="864">
        <f ca="1">IF(OR($A$2=1,MAX($C$20:$C$67,$C$68:C75)&gt;=110),"",C75+(B76-B75))</f>
        <v>89</v>
      </c>
      <c r="D76" s="1220" t="str">
        <f t="shared" ca="1" si="12"/>
        <v/>
      </c>
      <c r="E76" s="1220"/>
      <c r="F76" s="1220">
        <f t="shared" ca="1" si="13"/>
        <v>1000998</v>
      </c>
      <c r="G76" s="1220"/>
      <c r="H76" s="1220"/>
      <c r="I76" s="1220">
        <f t="shared" ca="1" si="14"/>
        <v>19377</v>
      </c>
      <c r="J76" s="1220"/>
      <c r="K76" s="1220"/>
      <c r="L76" s="1220">
        <f t="shared" ca="1" si="15"/>
        <v>1205529</v>
      </c>
      <c r="M76" s="1220"/>
      <c r="N76" s="1220"/>
      <c r="O76" s="1220">
        <f t="shared" ca="1" si="16"/>
        <v>8012</v>
      </c>
      <c r="P76" s="1220"/>
      <c r="Q76" s="1220"/>
      <c r="R76" s="1220">
        <f t="shared" ca="1" si="17"/>
        <v>4038347</v>
      </c>
      <c r="S76" s="1220"/>
      <c r="T76" s="1220"/>
      <c r="U76" s="1220">
        <f t="shared" ca="1" si="18"/>
        <v>4013847</v>
      </c>
      <c r="V76" s="1220"/>
      <c r="W76" s="1220"/>
      <c r="X76" s="623"/>
      <c r="Y76" s="624"/>
      <c r="Z76" s="616">
        <f ca="1">IF($B76="","",$B76)</f>
        <v>57</v>
      </c>
      <c r="AA76" s="617">
        <f ca="1">IF($C76="","",VLOOKUP($B76,more1,3,0))</f>
        <v>2743664</v>
      </c>
      <c r="AB76" s="618">
        <f ca="1">IF($B76="","",VLOOKUP(OP!$C$55,PVFB,$B76+2,0))</f>
        <v>80696</v>
      </c>
      <c r="AC76" s="619"/>
      <c r="AD76" s="620">
        <f ca="1">IF(OR($A$2=1,B76=""),"",VLOOKUP(OP!$C$55,PA,$B76+1,0)*OP!$C$28)</f>
        <v>0</v>
      </c>
      <c r="AE76" s="619"/>
      <c r="AF76" s="620">
        <f ca="1">IF(OR($A$2=1,B76=""),"",VLOOKUP(OP!$C$55,DIE,$B76+1,0)*OP!$C$28)</f>
        <v>2767600</v>
      </c>
      <c r="AG76" s="620">
        <f ca="1">IF(OR($A$2=1,B76=""),"",VLOOKUP(OP!$C$55,CV,$B76+1,0)*OP!$C$28)</f>
        <v>2743664</v>
      </c>
      <c r="AH76" s="615"/>
      <c r="AI76" s="620">
        <f ca="1">IF(OR($A$2=1,B76="",AND($B76&gt;=計算!$P$4,$C76&lt;15),ISERROR(VLOOKUP($B76,MORE_PV,4,0))),"",VLOOKUP($B76,MORE_PV,4,0))</f>
        <v>0</v>
      </c>
      <c r="AJ76" s="621">
        <f ca="1">IF(OR($A$2=1,B76=""),"",VLOOKUP($B76,MORE_PV,8,0))</f>
        <v>65218</v>
      </c>
      <c r="AK76" s="621">
        <f ca="1">IF(OR($A$2=1,B76=""),"",ROUND(VLOOKUP($B76,MORE_PV,7,0),0))</f>
        <v>64654</v>
      </c>
    </row>
    <row r="77" spans="1:37" s="632" customFormat="1" ht="11.25" customHeight="1">
      <c r="A77" s="625">
        <v>0</v>
      </c>
      <c r="B77" s="1221" t="str">
        <f ca="1">IF(OR($A$2=1),"",IF($R$85="","祝壽保險金："&amp;TEXT(VLOOKUP(OP!$C$55,EXP,OP!$C$57+1,0)*OP!$C$28,"#,##0 元 "),""))</f>
        <v/>
      </c>
      <c r="C77" s="1221"/>
      <c r="D77" s="1221"/>
      <c r="E77" s="1221"/>
      <c r="F77" s="1221"/>
      <c r="G77" s="1221"/>
      <c r="H77" s="1222"/>
      <c r="I77" s="1221" t="str">
        <f ca="1">IF(OR($A$2=1),"",IF($R$85="","增額繳清保險金額祝壽保險金 (預估值) ："&amp;TEXT(VLOOKUP(OP!$C$57,MORE_PV,8,0),"#,##0 元 "),""))</f>
        <v/>
      </c>
      <c r="J77" s="1221"/>
      <c r="K77" s="1221"/>
      <c r="L77" s="1221"/>
      <c r="M77" s="1221"/>
      <c r="N77" s="1221"/>
      <c r="O77" s="1221"/>
      <c r="P77" s="1221"/>
      <c r="Q77" s="1221"/>
      <c r="R77" s="1221"/>
      <c r="S77" s="1221"/>
      <c r="T77" s="1221"/>
      <c r="U77" s="1221"/>
      <c r="V77" s="1221"/>
      <c r="W77" s="1221"/>
      <c r="X77" s="626"/>
      <c r="Y77" s="627"/>
      <c r="Z77" s="628"/>
      <c r="AA77" s="629"/>
      <c r="AB77" s="630"/>
      <c r="AC77" s="631"/>
      <c r="AD77" s="631"/>
      <c r="AE77" s="631"/>
      <c r="AF77" s="631"/>
      <c r="AG77" s="631"/>
      <c r="AH77" s="631"/>
      <c r="AI77" s="631"/>
      <c r="AJ77" s="631"/>
      <c r="AK77" s="631"/>
    </row>
    <row r="78" spans="1:37" s="634" customFormat="1">
      <c r="A78" s="558"/>
      <c r="B78" s="1223" t="s">
        <v>1083</v>
      </c>
      <c r="C78" s="1223"/>
      <c r="D78" s="1223"/>
      <c r="E78" s="1223"/>
      <c r="F78" s="1223"/>
      <c r="G78" s="1223"/>
      <c r="H78" s="1223"/>
      <c r="I78" s="1223"/>
      <c r="J78" s="1223"/>
      <c r="K78" s="1223"/>
      <c r="L78" s="1223"/>
      <c r="M78" s="1223"/>
      <c r="N78" s="1223"/>
      <c r="O78" s="1223"/>
      <c r="P78" s="1223"/>
      <c r="Q78" s="1223"/>
      <c r="R78" s="1223"/>
      <c r="S78" s="1223"/>
      <c r="T78" s="1223"/>
      <c r="U78" s="1223"/>
      <c r="V78" s="1223"/>
      <c r="W78" s="1223"/>
    </row>
    <row r="79" spans="1:37" s="634" customFormat="1" ht="9" hidden="1" customHeight="1">
      <c r="A79" s="558"/>
      <c r="B79" s="633"/>
      <c r="C79" s="633"/>
      <c r="D79" s="633"/>
      <c r="E79" s="633"/>
      <c r="F79" s="633"/>
      <c r="G79" s="633"/>
      <c r="H79" s="633"/>
      <c r="I79" s="633"/>
      <c r="J79" s="633"/>
      <c r="K79" s="633"/>
      <c r="L79" s="633"/>
      <c r="M79" s="633"/>
      <c r="N79" s="633"/>
      <c r="O79" s="633"/>
      <c r="P79" s="633"/>
      <c r="Q79" s="633"/>
      <c r="R79" s="633"/>
      <c r="S79" s="633"/>
      <c r="T79" s="633"/>
      <c r="U79" s="633"/>
      <c r="V79" s="633"/>
      <c r="W79" s="633"/>
    </row>
    <row r="80" spans="1:37" ht="11.25" customHeight="1">
      <c r="A80" s="558"/>
      <c r="B80" s="635"/>
      <c r="C80" s="636"/>
      <c r="D80" s="636"/>
      <c r="E80" s="1224"/>
      <c r="F80" s="1225"/>
      <c r="G80" s="1225"/>
      <c r="H80" s="1225"/>
      <c r="I80" s="1225"/>
      <c r="J80" s="1225"/>
      <c r="K80" s="1225"/>
      <c r="L80" s="1225"/>
      <c r="M80" s="1225"/>
      <c r="N80" s="1225"/>
      <c r="O80" s="1225"/>
      <c r="P80" s="1225"/>
      <c r="R80" s="639"/>
      <c r="S80" s="639"/>
      <c r="T80" s="639"/>
      <c r="U80" s="639"/>
      <c r="V80" s="639"/>
      <c r="W80" s="640" t="str">
        <f ca="1">OP!$C$54&amp;" 試算日："&amp;TEXT(OP!$C$3,"EEMMDD")</f>
        <v>V1.0-1060217 試算日：1060602</v>
      </c>
    </row>
    <row r="81" spans="1:37" ht="12.75" customHeight="1">
      <c r="A81" s="558"/>
      <c r="B81" s="641"/>
      <c r="C81" s="642"/>
      <c r="D81" s="642"/>
      <c r="E81" s="642"/>
      <c r="F81" s="642"/>
      <c r="G81" s="642"/>
      <c r="H81" s="642"/>
      <c r="I81" s="642"/>
      <c r="J81" s="642"/>
      <c r="K81" s="642"/>
      <c r="L81" s="642"/>
      <c r="M81" s="642"/>
      <c r="N81" s="642"/>
      <c r="O81" s="642"/>
      <c r="P81" s="642"/>
      <c r="Q81" s="643"/>
      <c r="R81" s="644"/>
      <c r="S81" s="644"/>
      <c r="T81" s="645"/>
      <c r="U81" s="645"/>
      <c r="V81" s="645"/>
      <c r="W81" s="646" t="s">
        <v>1084</v>
      </c>
    </row>
    <row r="82" spans="1:37">
      <c r="A82" s="558"/>
      <c r="B82" s="1214" t="s">
        <v>1085</v>
      </c>
      <c r="C82" s="1215" t="s">
        <v>1086</v>
      </c>
      <c r="D82" s="1216" t="str">
        <f ca="1">"年度實繳保費"&amp;IF(OP!$D$5&lt;16,"
已扣除增值回饋分享金
(預估值)","")</f>
        <v>年度實繳保費</v>
      </c>
      <c r="E82" s="1216"/>
      <c r="F82" s="1216" t="str">
        <f ca="1">"累積實繳保費"&amp;IF(OP!$D$5&lt;16,"
已扣除增值回饋分享金
(預估值)","")</f>
        <v>累積實繳保費</v>
      </c>
      <c r="G82" s="1216"/>
      <c r="H82" s="1216"/>
      <c r="I82" s="1217" t="str">
        <f ca="1">"宣告利率假設"&amp;TEXT(輸入頁!$E$20,"0.00%")</f>
        <v>宣告利率假設2.69%</v>
      </c>
      <c r="J82" s="1217"/>
      <c r="K82" s="1217"/>
      <c r="L82" s="1217"/>
      <c r="M82" s="1217"/>
      <c r="N82" s="1217"/>
      <c r="O82" s="1217"/>
      <c r="P82" s="1217"/>
      <c r="Q82" s="1217"/>
      <c r="R82" s="1218" t="str">
        <f>"年度末
身故/完全殘廢
可領總金額
(含增額繳清保險金額之身故/完全殘廢保障"&amp;IF(輸入頁!$E$18="購買增額繳清保險","","及( C )")&amp;")
(預估值)"</f>
        <v>年度末
身故/完全殘廢
可領總金額
(含增額繳清保險金額之身故/完全殘廢保障及( C ))
(預估值)</v>
      </c>
      <c r="S82" s="1218"/>
      <c r="T82" s="1218"/>
      <c r="U82" s="1218" t="str">
        <f>"年度末
解約可領總金額
(含增額繳清保險金額之解約金"&amp;IF(輸入頁!$E$18="購買增額繳清保險","","及( C )")&amp;")
(預估值)"</f>
        <v>年度末
解約可領總金額
(含增額繳清保險金額之解約金及( C ))
(預估值)</v>
      </c>
      <c r="V82" s="1218"/>
      <c r="W82" s="1218"/>
      <c r="X82" s="607"/>
      <c r="Y82" s="607"/>
      <c r="Z82" s="575"/>
    </row>
    <row r="83" spans="1:37" ht="45" customHeight="1">
      <c r="A83" s="558"/>
      <c r="B83" s="1214"/>
      <c r="C83" s="1215"/>
      <c r="D83" s="1216"/>
      <c r="E83" s="1216"/>
      <c r="F83" s="1216"/>
      <c r="G83" s="1216"/>
      <c r="H83" s="1216"/>
      <c r="I83" s="1217" t="str">
        <f ca="1">"1~6年 僅購買增額繳清保險金額；7年後"&amp;IF(輸入頁!$E$18=計算!$P$5,輸入頁!$E$18&amp;"金額",輸入頁!$E$18)&amp;IF($C$20&lt;16,"
(16歲前限抵繳保費後儲存生息
至16歲時一次購買增額繳清保險金額)","")</f>
        <v>1~6年 僅購買增額繳清保險金額；7年後儲存生息</v>
      </c>
      <c r="J83" s="1217"/>
      <c r="K83" s="1217"/>
      <c r="L83" s="1217"/>
      <c r="M83" s="1217"/>
      <c r="N83" s="1217"/>
      <c r="O83" s="1217"/>
      <c r="P83" s="1217"/>
      <c r="Q83" s="1217"/>
      <c r="R83" s="1218"/>
      <c r="S83" s="1218"/>
      <c r="T83" s="1218"/>
      <c r="U83" s="1218"/>
      <c r="V83" s="1218"/>
      <c r="W83" s="1218"/>
      <c r="X83" s="607"/>
      <c r="Y83" s="607"/>
      <c r="Z83" s="575"/>
      <c r="AJ83" s="608" t="str">
        <f ca="1">IF(OP!$D$5&lt;15,"16歲前無保額以現金給付累計年度增值回饋分享金顯示","")</f>
        <v/>
      </c>
      <c r="AK83" s="608" t="str">
        <f ca="1">IF(OP!$D$5&lt;15,"16歲前無保額以儲存生息累計年度增值回饋分享金顯示","")</f>
        <v/>
      </c>
    </row>
    <row r="84" spans="1:37" s="647" customFormat="1" ht="44.25" customHeight="1">
      <c r="B84" s="1214"/>
      <c r="C84" s="1215"/>
      <c r="D84" s="1216"/>
      <c r="E84" s="1216"/>
      <c r="F84" s="1216"/>
      <c r="G84" s="1216"/>
      <c r="H84" s="1216"/>
      <c r="I84" s="1219" t="str">
        <f>"年度末
增值回饋分享金"&amp;IF(輸入頁!$E$18="現金給付","
( C )
(預估值)","
(預估值)")</f>
        <v>年度末
增值回饋分享金
(預估值)</v>
      </c>
      <c r="J84" s="1219"/>
      <c r="K84" s="1219"/>
      <c r="L84" s="1219" t="str">
        <f>IF(輸入頁!$E$18="現金給付","年度末
累積已領
增值回饋分享金
(預估值)",IF(輸入頁!$E$18="儲存生息","年度末
累積增值回饋分享金
( C )
(預估值)",""))</f>
        <v>年度末
累積增值回饋分享金
( C )
(預估值)</v>
      </c>
      <c r="M84" s="1219"/>
      <c r="N84" s="1219"/>
      <c r="O84" s="1219" t="str">
        <f>"年度末
累積增額繳清保險金額
(預估值)"</f>
        <v>年度末
累積增額繳清保險金額
(預估值)</v>
      </c>
      <c r="P84" s="1219"/>
      <c r="Q84" s="1219"/>
      <c r="R84" s="1218"/>
      <c r="S84" s="1218"/>
      <c r="T84" s="1218"/>
      <c r="U84" s="1218"/>
      <c r="V84" s="1218"/>
      <c r="W84" s="1218"/>
      <c r="X84" s="607"/>
      <c r="Y84" s="607"/>
      <c r="Z84" s="609" t="s">
        <v>1078</v>
      </c>
      <c r="AA84" s="610" t="str">
        <f>計算!$D$9</f>
        <v>期末保單價值準備金</v>
      </c>
      <c r="AB84" s="610" t="s">
        <v>1329</v>
      </c>
      <c r="AC84" s="611"/>
      <c r="AD84" s="612" t="s">
        <v>1080</v>
      </c>
      <c r="AE84" s="613"/>
      <c r="AF84" s="612" t="s">
        <v>1081</v>
      </c>
      <c r="AG84" s="612" t="s">
        <v>1082</v>
      </c>
      <c r="AH84" s="613"/>
      <c r="AI84" s="612" t="str">
        <f>"年度末增額繳清保險金額(預估值)
"</f>
        <v xml:space="preserve">年度末增額繳清保險金額(預估值)
</v>
      </c>
      <c r="AJ84" s="612" t="str">
        <f>"年度末增額繳清保險金額身故/完全殘廢保障
( D )"</f>
        <v>年度末增額繳清保險金額身故/完全殘廢保障
( D )</v>
      </c>
      <c r="AK84" s="612" t="str">
        <f>"年度末增額繳清保險金額解約金
( E )"</f>
        <v>年度末增額繳清保險金額解約金
( E )</v>
      </c>
    </row>
    <row r="85" spans="1:37" s="622" customFormat="1" ht="10.5" customHeight="1">
      <c r="B85" s="866">
        <f ca="1">IF(OR(C76&gt;=110,C76=""),"",IF(C76+1&gt;110,111-$C$20,B76+1))</f>
        <v>58</v>
      </c>
      <c r="C85" s="864">
        <f ca="1">IF(OR($A$2=1,MAX($C$20:$C$76)&gt;=110),"",C76+(B85-B76))</f>
        <v>90</v>
      </c>
      <c r="D85" s="1220" t="str">
        <f t="shared" ref="D85:D116" ca="1" si="22">IF(OR($A$2=1,$B85="",VLOOKUP($B85,TOV,3,0)=0),"",VLOOKUP($B85,TOV,3,0))</f>
        <v/>
      </c>
      <c r="E85" s="1220"/>
      <c r="F85" s="1220">
        <f t="shared" ref="F85:F116" ca="1" si="23">IF(OR($A$2=1,$B85="",VLOOKUP($B85,TOV,4,0)=0),"",VLOOKUP($B85,TOV,4,0))</f>
        <v>1000998</v>
      </c>
      <c r="G85" s="1220"/>
      <c r="H85" s="1220"/>
      <c r="I85" s="1220">
        <f t="shared" ref="I85:I116" ca="1" si="24">IF(OR($A$2=1,$B85="",VLOOKUP($B85,TOV,10,0)=0),"",VLOOKUP($B85,TOV,10,0))</f>
        <v>19714</v>
      </c>
      <c r="J85" s="1220"/>
      <c r="K85" s="1220"/>
      <c r="L85" s="1220">
        <f t="shared" ref="L85:L116" ca="1" si="25">IF(OR($A$2=1,$B85="",VLOOKUP($B85,TOV,11,0)=0),"",VLOOKUP($B85,TOV,11,0))</f>
        <v>1258075</v>
      </c>
      <c r="M85" s="1220"/>
      <c r="N85" s="1220"/>
      <c r="O85" s="1220">
        <f t="shared" ref="O85:O116" ca="1" si="26">IF(OR($A$2=1,$B85="",VLOOKUP($B85,TOV,13,0)=0),"",VLOOKUP($B85,TOV,13,0))</f>
        <v>8012</v>
      </c>
      <c r="P85" s="1220"/>
      <c r="Q85" s="1220"/>
      <c r="R85" s="1220">
        <f t="shared" ref="R85:R116" ca="1" si="27">IF(OR($A$2=1,$B85="",VLOOKUP($B85,TOV,20,0)=0),"",VLOOKUP($B85,TOV,20,0))</f>
        <v>4139614</v>
      </c>
      <c r="S85" s="1220"/>
      <c r="T85" s="1220"/>
      <c r="U85" s="1220">
        <f t="shared" ref="U85:U116" ca="1" si="28">IF(OR($A$2=1,$B85="",VLOOKUP($B85,TOV,21,0)=0),"",VLOOKUP($B85,TOV,21,0))</f>
        <v>4115149</v>
      </c>
      <c r="V85" s="1220"/>
      <c r="W85" s="1220"/>
      <c r="X85" s="623"/>
      <c r="Y85" s="624"/>
      <c r="Z85" s="616">
        <f t="shared" ref="Z85:Z138" ca="1" si="29">IF($B85="","",$B85)</f>
        <v>58</v>
      </c>
      <c r="AA85" s="617">
        <f t="shared" ref="AA85:AA138" ca="1" si="30">IF($C85="","",VLOOKUP($B85,more1,3,0))</f>
        <v>2791298</v>
      </c>
      <c r="AB85" s="618">
        <f ca="1">IF($B85="","",VLOOKUP(OP!$C$55,PVFB,$B85+2,0))</f>
        <v>82097</v>
      </c>
      <c r="AC85" s="619"/>
      <c r="AD85" s="620">
        <f ca="1">IF(OR($A$2=1,B85=""),"",VLOOKUP(OP!$C$55,PA,$B85+1,0)*OP!$C$28)</f>
        <v>0</v>
      </c>
      <c r="AE85" s="619"/>
      <c r="AF85" s="620">
        <f ca="1">IF(OR($A$2=1,B85=""),"",VLOOKUP(OP!$C$55,DIE,$B85+1,0)*OP!$C$28)</f>
        <v>2815200</v>
      </c>
      <c r="AG85" s="620">
        <f ca="1">IF(OR($A$2=1,B85=""),"",VLOOKUP(OP!$C$55,CV,$B85+1,0)*OP!$C$28)</f>
        <v>2791298</v>
      </c>
      <c r="AH85" s="615"/>
      <c r="AI85" s="620">
        <f ca="1">IF(OR($A$2=1,B85="",AND($B85&gt;=計算!$P$4,$C85&lt;15),ISERROR(VLOOKUP($B85,MORE_PV,4,0))),"",VLOOKUP($B85,MORE_PV,4,0))</f>
        <v>0</v>
      </c>
      <c r="AJ85" s="621">
        <f t="shared" ref="AJ85:AJ114" ca="1" si="31">IF(OR($A$2=1,B85=""),"",VLOOKUP($B85,MORE_PV,8,0))</f>
        <v>66339</v>
      </c>
      <c r="AK85" s="621">
        <f t="shared" ref="AK85:AK114" ca="1" si="32">IF(OR($A$2=1,B85=""),"",ROUND(VLOOKUP($B85,MORE_PV,7,0),0))</f>
        <v>65776</v>
      </c>
    </row>
    <row r="86" spans="1:37" s="622" customFormat="1" ht="10.5" customHeight="1">
      <c r="B86" s="866">
        <f t="shared" ref="B86:B138" ca="1" si="33">IF(OR(C85&gt;=110,C85=""),"",IF(C85+1&gt;110,111-$C$20,B85+1))</f>
        <v>59</v>
      </c>
      <c r="C86" s="864">
        <f ca="1">IF(OR($A$2=1,MAX($C$20:$C$76,$C$85:C85)&gt;=110),"",C85+(B86-B85))</f>
        <v>91</v>
      </c>
      <c r="D86" s="1220" t="str">
        <f t="shared" ca="1" si="22"/>
        <v/>
      </c>
      <c r="E86" s="1220"/>
      <c r="F86" s="1220">
        <f t="shared" ca="1" si="23"/>
        <v>1000998</v>
      </c>
      <c r="G86" s="1220"/>
      <c r="H86" s="1220"/>
      <c r="I86" s="1220">
        <f t="shared" ca="1" si="24"/>
        <v>20052</v>
      </c>
      <c r="J86" s="1220"/>
      <c r="K86" s="1220"/>
      <c r="L86" s="1220">
        <f t="shared" ca="1" si="25"/>
        <v>1312485</v>
      </c>
      <c r="M86" s="1220"/>
      <c r="N86" s="1220"/>
      <c r="O86" s="1220">
        <f t="shared" ca="1" si="26"/>
        <v>8012</v>
      </c>
      <c r="P86" s="1220"/>
      <c r="Q86" s="1220"/>
      <c r="R86" s="1220">
        <f t="shared" ca="1" si="27"/>
        <v>4242746</v>
      </c>
      <c r="S86" s="1220"/>
      <c r="T86" s="1220"/>
      <c r="U86" s="1220">
        <f t="shared" ca="1" si="28"/>
        <v>4218524</v>
      </c>
      <c r="V86" s="1220"/>
      <c r="W86" s="1220"/>
      <c r="X86" s="623"/>
      <c r="Y86" s="624"/>
      <c r="Z86" s="616">
        <f t="shared" ca="1" si="29"/>
        <v>59</v>
      </c>
      <c r="AA86" s="617">
        <f t="shared" ca="1" si="30"/>
        <v>2839136</v>
      </c>
      <c r="AB86" s="618">
        <f ca="1">IF($B86="","",VLOOKUP(OP!$C$55,PVFB,$B86+2,0))</f>
        <v>83504</v>
      </c>
      <c r="AC86" s="619"/>
      <c r="AD86" s="620">
        <f ca="1">IF(OR($A$2=1,B86=""),"",VLOOKUP(OP!$C$55,PA,$B86+1,0)*OP!$C$28)</f>
        <v>0</v>
      </c>
      <c r="AE86" s="619"/>
      <c r="AF86" s="620">
        <f ca="1">IF(OR($A$2=1,B86=""),"",VLOOKUP(OP!$C$55,DIE,$B86+1,0)*OP!$C$28)</f>
        <v>2862800</v>
      </c>
      <c r="AG86" s="620">
        <f ca="1">IF(OR($A$2=1,B86=""),"",VLOOKUP(OP!$C$55,CV,$B86+1,0)*OP!$C$28)</f>
        <v>2839136</v>
      </c>
      <c r="AH86" s="615"/>
      <c r="AI86" s="620">
        <f ca="1">IF(OR($A$2=1,B86="",AND($B86&gt;=計算!$P$4,$C86&lt;15),ISERROR(VLOOKUP($B86,MORE_PV,4,0))),"",VLOOKUP($B86,MORE_PV,4,0))</f>
        <v>0</v>
      </c>
      <c r="AJ86" s="621">
        <f t="shared" ca="1" si="31"/>
        <v>67461</v>
      </c>
      <c r="AK86" s="621">
        <f t="shared" ca="1" si="32"/>
        <v>66903</v>
      </c>
    </row>
    <row r="87" spans="1:37" s="622" customFormat="1" ht="10.5" customHeight="1">
      <c r="B87" s="866">
        <f t="shared" ca="1" si="33"/>
        <v>60</v>
      </c>
      <c r="C87" s="864">
        <f ca="1">IF(OR($A$2=1,MAX($C$20:$C$76,$C$85:C86)&gt;=110),"",C86+(B87-B86))</f>
        <v>92</v>
      </c>
      <c r="D87" s="1220" t="str">
        <f t="shared" ca="1" si="22"/>
        <v/>
      </c>
      <c r="E87" s="1220"/>
      <c r="F87" s="1220">
        <f t="shared" ca="1" si="23"/>
        <v>1000998</v>
      </c>
      <c r="G87" s="1220"/>
      <c r="H87" s="1220"/>
      <c r="I87" s="1220">
        <f t="shared" ca="1" si="24"/>
        <v>20391</v>
      </c>
      <c r="J87" s="1220"/>
      <c r="K87" s="1220"/>
      <c r="L87" s="1220">
        <f t="shared" ca="1" si="25"/>
        <v>1368621</v>
      </c>
      <c r="M87" s="1220"/>
      <c r="N87" s="1220"/>
      <c r="O87" s="1220">
        <f t="shared" ca="1" si="26"/>
        <v>8012</v>
      </c>
      <c r="P87" s="1220"/>
      <c r="Q87" s="1220"/>
      <c r="R87" s="1220">
        <f t="shared" ca="1" si="27"/>
        <v>4347604</v>
      </c>
      <c r="S87" s="1220"/>
      <c r="T87" s="1220"/>
      <c r="U87" s="1220">
        <f t="shared" ca="1" si="28"/>
        <v>4323869</v>
      </c>
      <c r="V87" s="1220"/>
      <c r="W87" s="1220"/>
      <c r="X87" s="623"/>
      <c r="Y87" s="624"/>
      <c r="Z87" s="616">
        <f t="shared" ca="1" si="29"/>
        <v>60</v>
      </c>
      <c r="AA87" s="617">
        <f t="shared" ca="1" si="30"/>
        <v>2887212</v>
      </c>
      <c r="AB87" s="618">
        <f ca="1">IF($B87="","",VLOOKUP(OP!$C$55,PVFB,$B87+2,0))</f>
        <v>84918</v>
      </c>
      <c r="AC87" s="619"/>
      <c r="AD87" s="620">
        <f ca="1">IF(OR($A$2=1,B87=""),"",VLOOKUP(OP!$C$55,PA,$B87+1,0)*OP!$C$28)</f>
        <v>0</v>
      </c>
      <c r="AE87" s="619"/>
      <c r="AF87" s="620">
        <f ca="1">IF(OR($A$2=1,B87=""),"",VLOOKUP(OP!$C$55,DIE,$B87+1,0)*OP!$C$28)</f>
        <v>2910400</v>
      </c>
      <c r="AG87" s="620">
        <f ca="1">IF(OR($A$2=1,B87=""),"",VLOOKUP(OP!$C$55,CV,$B87+1,0)*OP!$C$28)</f>
        <v>2887212</v>
      </c>
      <c r="AH87" s="615"/>
      <c r="AI87" s="620">
        <f ca="1">IF(OR($A$2=1,B87="",AND($B87&gt;=計算!$P$4,$C87&lt;15),ISERROR(VLOOKUP($B87,MORE_PV,4,0))),"",VLOOKUP($B87,MORE_PV,4,0))</f>
        <v>0</v>
      </c>
      <c r="AJ87" s="621">
        <f t="shared" ca="1" si="31"/>
        <v>68583</v>
      </c>
      <c r="AK87" s="621">
        <f t="shared" ca="1" si="32"/>
        <v>68036</v>
      </c>
    </row>
    <row r="88" spans="1:37" s="622" customFormat="1" ht="10.5" customHeight="1">
      <c r="B88" s="866">
        <f t="shared" ca="1" si="33"/>
        <v>61</v>
      </c>
      <c r="C88" s="864">
        <f ca="1">IF(OR($A$2=1,MAX($C$20:$C$76,$C$85:C87)&gt;=110),"",C87+(B88-B87))</f>
        <v>93</v>
      </c>
      <c r="D88" s="1220" t="str">
        <f t="shared" ca="1" si="22"/>
        <v/>
      </c>
      <c r="E88" s="1220"/>
      <c r="F88" s="1220">
        <f t="shared" ca="1" si="23"/>
        <v>1000998</v>
      </c>
      <c r="G88" s="1220"/>
      <c r="H88" s="1220"/>
      <c r="I88" s="1220">
        <f t="shared" ca="1" si="24"/>
        <v>20732</v>
      </c>
      <c r="J88" s="1220"/>
      <c r="K88" s="1220"/>
      <c r="L88" s="1220">
        <f t="shared" ca="1" si="25"/>
        <v>1426626</v>
      </c>
      <c r="M88" s="1220"/>
      <c r="N88" s="1220"/>
      <c r="O88" s="1220">
        <f t="shared" ca="1" si="26"/>
        <v>8012</v>
      </c>
      <c r="P88" s="1220"/>
      <c r="Q88" s="1220"/>
      <c r="R88" s="1220">
        <f t="shared" ca="1" si="27"/>
        <v>4454330</v>
      </c>
      <c r="S88" s="1220"/>
      <c r="T88" s="1220"/>
      <c r="U88" s="1220">
        <f t="shared" ca="1" si="28"/>
        <v>4431327</v>
      </c>
      <c r="V88" s="1220"/>
      <c r="W88" s="1220"/>
      <c r="X88" s="623"/>
      <c r="Y88" s="624"/>
      <c r="Z88" s="616">
        <f t="shared" ca="1" si="29"/>
        <v>61</v>
      </c>
      <c r="AA88" s="617">
        <f t="shared" ca="1" si="30"/>
        <v>2935526</v>
      </c>
      <c r="AB88" s="618">
        <f ca="1">IF($B88="","",VLOOKUP(OP!$C$55,PVFB,$B88+2,0))</f>
        <v>86339</v>
      </c>
      <c r="AC88" s="619"/>
      <c r="AD88" s="620">
        <f ca="1">IF(OR($A$2=1,B88=""),"",VLOOKUP(OP!$C$55,PA,$B88+1,0)*OP!$C$28)</f>
        <v>0</v>
      </c>
      <c r="AE88" s="619"/>
      <c r="AF88" s="620">
        <f ca="1">IF(OR($A$2=1,B88=""),"",VLOOKUP(OP!$C$55,DIE,$B88+1,0)*OP!$C$28)</f>
        <v>2958000</v>
      </c>
      <c r="AG88" s="620">
        <f ca="1">IF(OR($A$2=1,B88=""),"",VLOOKUP(OP!$C$55,CV,$B88+1,0)*OP!$C$28)</f>
        <v>2935526</v>
      </c>
      <c r="AH88" s="615"/>
      <c r="AI88" s="620">
        <f ca="1">IF(OR($A$2=1,B88="",AND($B88&gt;=計算!$P$4,$C88&lt;15),ISERROR(VLOOKUP($B88,MORE_PV,4,0))),"",VLOOKUP($B88,MORE_PV,4,0))</f>
        <v>0</v>
      </c>
      <c r="AJ88" s="621">
        <f t="shared" ca="1" si="31"/>
        <v>69704</v>
      </c>
      <c r="AK88" s="621">
        <f t="shared" ca="1" si="32"/>
        <v>69175</v>
      </c>
    </row>
    <row r="89" spans="1:37" s="622" customFormat="1" ht="10.5" customHeight="1">
      <c r="B89" s="866">
        <f t="shared" ca="1" si="33"/>
        <v>62</v>
      </c>
      <c r="C89" s="864">
        <f ca="1">IF(OR($A$2=1,MAX($C$20:$C$76,$C$85:C88)&gt;=110),"",C88+(B89-B88))</f>
        <v>94</v>
      </c>
      <c r="D89" s="1220" t="str">
        <f t="shared" ca="1" si="22"/>
        <v/>
      </c>
      <c r="E89" s="1220"/>
      <c r="F89" s="1220">
        <f t="shared" ca="1" si="23"/>
        <v>1000998</v>
      </c>
      <c r="G89" s="1220"/>
      <c r="H89" s="1220"/>
      <c r="I89" s="1220">
        <f t="shared" ca="1" si="24"/>
        <v>21075</v>
      </c>
      <c r="J89" s="1220"/>
      <c r="K89" s="1220"/>
      <c r="L89" s="1220">
        <f t="shared" ca="1" si="25"/>
        <v>1486554</v>
      </c>
      <c r="M89" s="1220"/>
      <c r="N89" s="1220"/>
      <c r="O89" s="1220">
        <f t="shared" ca="1" si="26"/>
        <v>8012</v>
      </c>
      <c r="P89" s="1220"/>
      <c r="Q89" s="1220"/>
      <c r="R89" s="1220">
        <f t="shared" ca="1" si="27"/>
        <v>4562980</v>
      </c>
      <c r="S89" s="1220"/>
      <c r="T89" s="1220"/>
      <c r="U89" s="1220">
        <f t="shared" ca="1" si="28"/>
        <v>4540881</v>
      </c>
      <c r="V89" s="1220"/>
      <c r="W89" s="1220"/>
      <c r="X89" s="623"/>
      <c r="Y89" s="624"/>
      <c r="Z89" s="616">
        <f t="shared" ca="1" si="29"/>
        <v>62</v>
      </c>
      <c r="AA89" s="617">
        <f t="shared" ca="1" si="30"/>
        <v>2984010</v>
      </c>
      <c r="AB89" s="618">
        <f ca="1">IF($B89="","",VLOOKUP(OP!$C$55,PVFB,$B89+2,0))</f>
        <v>87765</v>
      </c>
      <c r="AC89" s="619"/>
      <c r="AD89" s="620">
        <f ca="1">IF(OR($A$2=1,B89=""),"",VLOOKUP(OP!$C$55,PA,$B89+1,0)*OP!$C$28)</f>
        <v>0</v>
      </c>
      <c r="AE89" s="619"/>
      <c r="AF89" s="620">
        <f ca="1">IF(OR($A$2=1,B89=""),"",VLOOKUP(OP!$C$55,DIE,$B89+1,0)*OP!$C$28)</f>
        <v>3005600</v>
      </c>
      <c r="AG89" s="620">
        <f ca="1">IF(OR($A$2=1,B89=""),"",VLOOKUP(OP!$C$55,CV,$B89+1,0)*OP!$C$28)</f>
        <v>2984010</v>
      </c>
      <c r="AH89" s="615"/>
      <c r="AI89" s="620">
        <f ca="1">IF(OR($A$2=1,B89="",AND($B89&gt;=計算!$P$4,$C89&lt;15),ISERROR(VLOOKUP($B89,MORE_PV,4,0))),"",VLOOKUP($B89,MORE_PV,4,0))</f>
        <v>0</v>
      </c>
      <c r="AJ89" s="621">
        <f t="shared" ca="1" si="31"/>
        <v>70826</v>
      </c>
      <c r="AK89" s="621">
        <f t="shared" ca="1" si="32"/>
        <v>70317</v>
      </c>
    </row>
    <row r="90" spans="1:37" s="622" customFormat="1" ht="10.5" customHeight="1">
      <c r="B90" s="866">
        <f t="shared" ca="1" si="33"/>
        <v>63</v>
      </c>
      <c r="C90" s="864">
        <f ca="1">IF(OR($A$2=1,MAX($C$20:$C$76,$C$85:C89)&gt;=110),"",C89+(B90-B89))</f>
        <v>95</v>
      </c>
      <c r="D90" s="1220" t="str">
        <f t="shared" ca="1" si="22"/>
        <v/>
      </c>
      <c r="E90" s="1220"/>
      <c r="F90" s="1220">
        <f t="shared" ca="1" si="23"/>
        <v>1000998</v>
      </c>
      <c r="G90" s="1220"/>
      <c r="H90" s="1220"/>
      <c r="I90" s="1220">
        <f t="shared" ca="1" si="24"/>
        <v>21418</v>
      </c>
      <c r="J90" s="1220"/>
      <c r="K90" s="1220"/>
      <c r="L90" s="1220">
        <f t="shared" ca="1" si="25"/>
        <v>1548570</v>
      </c>
      <c r="M90" s="1220"/>
      <c r="N90" s="1220"/>
      <c r="O90" s="1220">
        <f t="shared" ca="1" si="26"/>
        <v>8012</v>
      </c>
      <c r="P90" s="1220"/>
      <c r="Q90" s="1220"/>
      <c r="R90" s="1220">
        <f t="shared" ca="1" si="27"/>
        <v>4673718</v>
      </c>
      <c r="S90" s="1220"/>
      <c r="T90" s="1220"/>
      <c r="U90" s="1220">
        <f t="shared" ca="1" si="28"/>
        <v>4652698</v>
      </c>
      <c r="V90" s="1220"/>
      <c r="W90" s="1220"/>
      <c r="X90" s="623"/>
      <c r="Y90" s="624"/>
      <c r="Z90" s="616">
        <f t="shared" ca="1" si="29"/>
        <v>63</v>
      </c>
      <c r="AA90" s="617">
        <f t="shared" ca="1" si="30"/>
        <v>3032664</v>
      </c>
      <c r="AB90" s="618">
        <f ca="1">IF($B90="","",VLOOKUP(OP!$C$55,PVFB,$B90+2,0))</f>
        <v>89196</v>
      </c>
      <c r="AC90" s="619"/>
      <c r="AD90" s="620">
        <f ca="1">IF(OR($A$2=1,B90=""),"",VLOOKUP(OP!$C$55,PA,$B90+1,0)*OP!$C$28)</f>
        <v>0</v>
      </c>
      <c r="AE90" s="619"/>
      <c r="AF90" s="620">
        <f ca="1">IF(OR($A$2=1,B90=""),"",VLOOKUP(OP!$C$55,DIE,$B90+1,0)*OP!$C$28)</f>
        <v>3053200</v>
      </c>
      <c r="AG90" s="620">
        <f ca="1">IF(OR($A$2=1,B90=""),"",VLOOKUP(OP!$C$55,CV,$B90+1,0)*OP!$C$28)</f>
        <v>3032664</v>
      </c>
      <c r="AH90" s="615"/>
      <c r="AI90" s="620">
        <f ca="1">IF(OR($A$2=1,B90="",AND($B90&gt;=計算!$P$4,$C90&lt;15),ISERROR(VLOOKUP($B90,MORE_PV,4,0))),"",VLOOKUP($B90,MORE_PV,4,0))</f>
        <v>0</v>
      </c>
      <c r="AJ90" s="621">
        <f t="shared" ca="1" si="31"/>
        <v>71948</v>
      </c>
      <c r="AK90" s="621">
        <f t="shared" ca="1" si="32"/>
        <v>71464</v>
      </c>
    </row>
    <row r="91" spans="1:37" s="622" customFormat="1" ht="10.5" customHeight="1">
      <c r="B91" s="866">
        <f t="shared" ca="1" si="33"/>
        <v>64</v>
      </c>
      <c r="C91" s="864">
        <f ca="1">IF(OR($A$2=1,MAX($C$20:$C$76,$C$85:C90)&gt;=110),"",C90+(B91-B90))</f>
        <v>96</v>
      </c>
      <c r="D91" s="1220" t="str">
        <f t="shared" ca="1" si="22"/>
        <v/>
      </c>
      <c r="E91" s="1220"/>
      <c r="F91" s="1220">
        <f t="shared" ca="1" si="23"/>
        <v>1000998</v>
      </c>
      <c r="G91" s="1220"/>
      <c r="H91" s="1220"/>
      <c r="I91" s="1220">
        <f t="shared" ca="1" si="24"/>
        <v>21763</v>
      </c>
      <c r="J91" s="1220"/>
      <c r="K91" s="1220"/>
      <c r="L91" s="1220">
        <f t="shared" ca="1" si="25"/>
        <v>1612507</v>
      </c>
      <c r="M91" s="1220"/>
      <c r="N91" s="1220"/>
      <c r="O91" s="1220">
        <f t="shared" ca="1" si="26"/>
        <v>8012</v>
      </c>
      <c r="P91" s="1220"/>
      <c r="Q91" s="1220"/>
      <c r="R91" s="1220">
        <f t="shared" ca="1" si="27"/>
        <v>4786376</v>
      </c>
      <c r="S91" s="1220"/>
      <c r="T91" s="1220"/>
      <c r="U91" s="1220">
        <f t="shared" ca="1" si="28"/>
        <v>4766609</v>
      </c>
      <c r="V91" s="1220"/>
      <c r="W91" s="1220"/>
      <c r="X91" s="623"/>
      <c r="Y91" s="624"/>
      <c r="Z91" s="616">
        <f t="shared" ca="1" si="29"/>
        <v>64</v>
      </c>
      <c r="AA91" s="617">
        <f t="shared" ca="1" si="30"/>
        <v>3081488</v>
      </c>
      <c r="AB91" s="618">
        <f ca="1">IF($B91="","",VLOOKUP(OP!$C$55,PVFB,$B91+2,0))</f>
        <v>90632</v>
      </c>
      <c r="AC91" s="619"/>
      <c r="AD91" s="620">
        <f ca="1">IF(OR($A$2=1,B91=""),"",VLOOKUP(OP!$C$55,PA,$B91+1,0)*OP!$C$28)</f>
        <v>0</v>
      </c>
      <c r="AE91" s="619"/>
      <c r="AF91" s="620">
        <f ca="1">IF(OR($A$2=1,B91=""),"",VLOOKUP(OP!$C$55,DIE,$B91+1,0)*OP!$C$28)</f>
        <v>3100800</v>
      </c>
      <c r="AG91" s="620">
        <f ca="1">IF(OR($A$2=1,B91=""),"",VLOOKUP(OP!$C$55,CV,$B91+1,0)*OP!$C$28)</f>
        <v>3081488</v>
      </c>
      <c r="AH91" s="615"/>
      <c r="AI91" s="620">
        <f ca="1">IF(OR($A$2=1,B91="",AND($B91&gt;=計算!$P$4,$C91&lt;15),ISERROR(VLOOKUP($B91,MORE_PV,4,0))),"",VLOOKUP($B91,MORE_PV,4,0))</f>
        <v>0</v>
      </c>
      <c r="AJ91" s="621">
        <f t="shared" ca="1" si="31"/>
        <v>73069</v>
      </c>
      <c r="AK91" s="621">
        <f t="shared" ca="1" si="32"/>
        <v>72614</v>
      </c>
    </row>
    <row r="92" spans="1:37" s="622" customFormat="1" ht="10.5" customHeight="1">
      <c r="B92" s="866">
        <f t="shared" ca="1" si="33"/>
        <v>65</v>
      </c>
      <c r="C92" s="864">
        <f ca="1">IF(OR($A$2=1,MAX($C$20:$C$76,$C$85:C91)&gt;=110),"",C91+(B92-B91))</f>
        <v>97</v>
      </c>
      <c r="D92" s="1220" t="str">
        <f t="shared" ca="1" si="22"/>
        <v/>
      </c>
      <c r="E92" s="1220"/>
      <c r="F92" s="1220">
        <f t="shared" ca="1" si="23"/>
        <v>1000998</v>
      </c>
      <c r="G92" s="1220"/>
      <c r="H92" s="1220"/>
      <c r="I92" s="1220">
        <f t="shared" ca="1" si="24"/>
        <v>22109</v>
      </c>
      <c r="J92" s="1220"/>
      <c r="K92" s="1220"/>
      <c r="L92" s="1220">
        <f t="shared" ca="1" si="25"/>
        <v>1678531</v>
      </c>
      <c r="M92" s="1220"/>
      <c r="N92" s="1220"/>
      <c r="O92" s="1220">
        <f t="shared" ca="1" si="26"/>
        <v>8012</v>
      </c>
      <c r="P92" s="1220"/>
      <c r="Q92" s="1220"/>
      <c r="R92" s="1220">
        <f t="shared" ca="1" si="27"/>
        <v>4901122</v>
      </c>
      <c r="S92" s="1220"/>
      <c r="T92" s="1220"/>
      <c r="U92" s="1220">
        <f t="shared" ca="1" si="28"/>
        <v>4882747</v>
      </c>
      <c r="V92" s="1220"/>
      <c r="W92" s="1220"/>
      <c r="X92" s="623"/>
      <c r="Y92" s="624"/>
      <c r="Z92" s="616">
        <f t="shared" ca="1" si="29"/>
        <v>65</v>
      </c>
      <c r="AA92" s="617">
        <f t="shared" ca="1" si="30"/>
        <v>3130448</v>
      </c>
      <c r="AB92" s="618">
        <f ca="1">IF($B92="","",VLOOKUP(OP!$C$55,PVFB,$B92+2,0))</f>
        <v>92072</v>
      </c>
      <c r="AC92" s="619"/>
      <c r="AD92" s="620">
        <f ca="1">IF(OR($A$2=1,B92=""),"",VLOOKUP(OP!$C$55,PA,$B92+1,0)*OP!$C$28)</f>
        <v>0</v>
      </c>
      <c r="AE92" s="619"/>
      <c r="AF92" s="620">
        <f ca="1">IF(OR($A$2=1,B92=""),"",VLOOKUP(OP!$C$55,DIE,$B92+1,0)*OP!$C$28)</f>
        <v>3148400</v>
      </c>
      <c r="AG92" s="620">
        <f ca="1">IF(OR($A$2=1,B92=""),"",VLOOKUP(OP!$C$55,CV,$B92+1,0)*OP!$C$28)</f>
        <v>3130448</v>
      </c>
      <c r="AH92" s="615"/>
      <c r="AI92" s="620">
        <f ca="1">IF(OR($A$2=1,B92="",AND($B92&gt;=計算!$P$4,$C92&lt;15),ISERROR(VLOOKUP($B92,MORE_PV,4,0))),"",VLOOKUP($B92,MORE_PV,4,0))</f>
        <v>0</v>
      </c>
      <c r="AJ92" s="621">
        <f t="shared" ca="1" si="31"/>
        <v>74191</v>
      </c>
      <c r="AK92" s="621">
        <f t="shared" ca="1" si="32"/>
        <v>73768</v>
      </c>
    </row>
    <row r="93" spans="1:37" s="622" customFormat="1" ht="10.5" customHeight="1">
      <c r="B93" s="866">
        <f t="shared" ca="1" si="33"/>
        <v>66</v>
      </c>
      <c r="C93" s="864">
        <f ca="1">IF(OR($A$2=1,MAX($C$20:$C$76,$C$85:C92)&gt;=110),"",C92+(B93-B92))</f>
        <v>98</v>
      </c>
      <c r="D93" s="1220" t="str">
        <f t="shared" ca="1" si="22"/>
        <v/>
      </c>
      <c r="E93" s="1220"/>
      <c r="F93" s="1220">
        <f t="shared" ca="1" si="23"/>
        <v>1000998</v>
      </c>
      <c r="G93" s="1220"/>
      <c r="H93" s="1220"/>
      <c r="I93" s="1220">
        <f t="shared" ca="1" si="24"/>
        <v>22456</v>
      </c>
      <c r="J93" s="1220"/>
      <c r="K93" s="1220"/>
      <c r="L93" s="1220">
        <f t="shared" ca="1" si="25"/>
        <v>1746701</v>
      </c>
      <c r="M93" s="1220"/>
      <c r="N93" s="1220"/>
      <c r="O93" s="1220">
        <f t="shared" ca="1" si="26"/>
        <v>8012</v>
      </c>
      <c r="P93" s="1220"/>
      <c r="Q93" s="1220"/>
      <c r="R93" s="1220">
        <f t="shared" ca="1" si="27"/>
        <v>5018014</v>
      </c>
      <c r="S93" s="1220"/>
      <c r="T93" s="1220"/>
      <c r="U93" s="1220">
        <f t="shared" ca="1" si="28"/>
        <v>5001170</v>
      </c>
      <c r="V93" s="1220"/>
      <c r="W93" s="1220"/>
      <c r="X93" s="623"/>
      <c r="Y93" s="624"/>
      <c r="Z93" s="616">
        <f t="shared" ca="1" si="29"/>
        <v>66</v>
      </c>
      <c r="AA93" s="617">
        <f t="shared" ca="1" si="30"/>
        <v>3179544</v>
      </c>
      <c r="AB93" s="618">
        <f ca="1">IF($B93="","",VLOOKUP(OP!$C$55,PVFB,$B93+2,0))</f>
        <v>93516</v>
      </c>
      <c r="AC93" s="619"/>
      <c r="AD93" s="620">
        <f ca="1">IF(OR($A$2=1,B93=""),"",VLOOKUP(OP!$C$55,PA,$B93+1,0)*OP!$C$28)</f>
        <v>0</v>
      </c>
      <c r="AE93" s="619"/>
      <c r="AF93" s="620">
        <f ca="1">IF(OR($A$2=1,B93=""),"",VLOOKUP(OP!$C$55,DIE,$B93+1,0)*OP!$C$28)</f>
        <v>3196000</v>
      </c>
      <c r="AG93" s="620">
        <f ca="1">IF(OR($A$2=1,B93=""),"",VLOOKUP(OP!$C$55,CV,$B93+1,0)*OP!$C$28)</f>
        <v>3179544</v>
      </c>
      <c r="AH93" s="615"/>
      <c r="AI93" s="620">
        <f ca="1">IF(OR($A$2=1,B93="",AND($B93&gt;=計算!$P$4,$C93&lt;15),ISERROR(VLOOKUP($B93,MORE_PV,4,0))),"",VLOOKUP($B93,MORE_PV,4,0))</f>
        <v>0</v>
      </c>
      <c r="AJ93" s="621">
        <f t="shared" ca="1" si="31"/>
        <v>75313</v>
      </c>
      <c r="AK93" s="621">
        <f t="shared" ca="1" si="32"/>
        <v>74925</v>
      </c>
    </row>
    <row r="94" spans="1:37" s="622" customFormat="1" ht="10.5" customHeight="1">
      <c r="B94" s="866">
        <f t="shared" ca="1" si="33"/>
        <v>67</v>
      </c>
      <c r="C94" s="864">
        <f ca="1">IF(OR($A$2=1,MAX($C$20:$C$76,$C$85:C93)&gt;=110),"",C93+(B94-B93))</f>
        <v>99</v>
      </c>
      <c r="D94" s="1220" t="str">
        <f t="shared" ca="1" si="22"/>
        <v/>
      </c>
      <c r="E94" s="1220"/>
      <c r="F94" s="1220">
        <f t="shared" ca="1" si="23"/>
        <v>1000998</v>
      </c>
      <c r="G94" s="1220"/>
      <c r="H94" s="1220"/>
      <c r="I94" s="1220">
        <f t="shared" ca="1" si="24"/>
        <v>22803</v>
      </c>
      <c r="J94" s="1220"/>
      <c r="K94" s="1220"/>
      <c r="L94" s="1220">
        <f t="shared" ca="1" si="25"/>
        <v>1817206</v>
      </c>
      <c r="M94" s="1220"/>
      <c r="N94" s="1220"/>
      <c r="O94" s="1220">
        <f t="shared" ca="1" si="26"/>
        <v>8012</v>
      </c>
      <c r="P94" s="1220"/>
      <c r="Q94" s="1220"/>
      <c r="R94" s="1220">
        <f t="shared" ca="1" si="27"/>
        <v>5137240</v>
      </c>
      <c r="S94" s="1220"/>
      <c r="T94" s="1220"/>
      <c r="U94" s="1220">
        <f t="shared" ca="1" si="28"/>
        <v>5122032</v>
      </c>
      <c r="V94" s="1220"/>
      <c r="W94" s="1220"/>
      <c r="X94" s="623"/>
      <c r="Y94" s="624"/>
      <c r="Z94" s="616">
        <f t="shared" ca="1" si="29"/>
        <v>67</v>
      </c>
      <c r="AA94" s="617">
        <f t="shared" ca="1" si="30"/>
        <v>3228742</v>
      </c>
      <c r="AB94" s="618">
        <f ca="1">IF($B94="","",VLOOKUP(OP!$C$55,PVFB,$B94+2,0))</f>
        <v>94963</v>
      </c>
      <c r="AC94" s="619"/>
      <c r="AD94" s="620">
        <f ca="1">IF(OR($A$2=1,B94=""),"",VLOOKUP(OP!$C$55,PA,$B94+1,0)*OP!$C$28)</f>
        <v>0</v>
      </c>
      <c r="AE94" s="619"/>
      <c r="AF94" s="620">
        <f ca="1">IF(OR($A$2=1,B94=""),"",VLOOKUP(OP!$C$55,DIE,$B94+1,0)*OP!$C$28)</f>
        <v>3243600</v>
      </c>
      <c r="AG94" s="620">
        <f ca="1">IF(OR($A$2=1,B94=""),"",VLOOKUP(OP!$C$55,CV,$B94+1,0)*OP!$C$28)</f>
        <v>3228742</v>
      </c>
      <c r="AH94" s="615"/>
      <c r="AI94" s="620">
        <f ca="1">IF(OR($A$2=1,B94="",AND($B94&gt;=計算!$P$4,$C94&lt;15),ISERROR(VLOOKUP($B94,MORE_PV,4,0))),"",VLOOKUP($B94,MORE_PV,4,0))</f>
        <v>0</v>
      </c>
      <c r="AJ94" s="621">
        <f t="shared" ca="1" si="31"/>
        <v>76434</v>
      </c>
      <c r="AK94" s="621">
        <f t="shared" ca="1" si="32"/>
        <v>76084</v>
      </c>
    </row>
    <row r="95" spans="1:37" s="622" customFormat="1" ht="10.5" customHeight="1">
      <c r="B95" s="866">
        <f t="shared" ca="1" si="33"/>
        <v>68</v>
      </c>
      <c r="C95" s="864">
        <f ca="1">IF(OR($A$2=1,MAX($C$20:$C$76,$C$85:C94)&gt;=110),"",C94+(B95-B94))</f>
        <v>100</v>
      </c>
      <c r="D95" s="1220" t="str">
        <f t="shared" ca="1" si="22"/>
        <v/>
      </c>
      <c r="E95" s="1220"/>
      <c r="F95" s="1220">
        <f t="shared" ca="1" si="23"/>
        <v>1000998</v>
      </c>
      <c r="G95" s="1220"/>
      <c r="H95" s="1220"/>
      <c r="I95" s="1220">
        <f t="shared" ca="1" si="24"/>
        <v>23151</v>
      </c>
      <c r="J95" s="1220"/>
      <c r="K95" s="1220"/>
      <c r="L95" s="1220">
        <f t="shared" ca="1" si="25"/>
        <v>1889847</v>
      </c>
      <c r="M95" s="1220"/>
      <c r="N95" s="1220"/>
      <c r="O95" s="1220">
        <f t="shared" ca="1" si="26"/>
        <v>8012</v>
      </c>
      <c r="P95" s="1220"/>
      <c r="Q95" s="1220"/>
      <c r="R95" s="1220">
        <f t="shared" ca="1" si="27"/>
        <v>5258603</v>
      </c>
      <c r="S95" s="1220"/>
      <c r="T95" s="1220"/>
      <c r="U95" s="1220">
        <f t="shared" ca="1" si="28"/>
        <v>5245135</v>
      </c>
      <c r="V95" s="1220"/>
      <c r="W95" s="1220"/>
      <c r="X95" s="623"/>
      <c r="Y95" s="624"/>
      <c r="Z95" s="616">
        <f t="shared" ca="1" si="29"/>
        <v>68</v>
      </c>
      <c r="AA95" s="617">
        <f t="shared" ca="1" si="30"/>
        <v>3278042</v>
      </c>
      <c r="AB95" s="618">
        <f ca="1">IF($B95="","",VLOOKUP(OP!$C$55,PVFB,$B95+2,0))</f>
        <v>96413</v>
      </c>
      <c r="AC95" s="619"/>
      <c r="AD95" s="620">
        <f ca="1">IF(OR($A$2=1,B95=""),"",VLOOKUP(OP!$C$55,PA,$B95+1,0)*OP!$C$28)</f>
        <v>0</v>
      </c>
      <c r="AE95" s="619"/>
      <c r="AF95" s="620">
        <f ca="1">IF(OR($A$2=1,B95=""),"",VLOOKUP(OP!$C$55,DIE,$B95+1,0)*OP!$C$28)</f>
        <v>3291200</v>
      </c>
      <c r="AG95" s="620">
        <f ca="1">IF(OR($A$2=1,B95=""),"",VLOOKUP(OP!$C$55,CV,$B95+1,0)*OP!$C$28)</f>
        <v>3278042</v>
      </c>
      <c r="AH95" s="615"/>
      <c r="AI95" s="620">
        <f ca="1">IF(OR($A$2=1,B95="",AND($B95&gt;=計算!$P$4,$C95&lt;15),ISERROR(VLOOKUP($B95,MORE_PV,4,0))),"",VLOOKUP($B95,MORE_PV,4,0))</f>
        <v>0</v>
      </c>
      <c r="AJ95" s="621">
        <f t="shared" ca="1" si="31"/>
        <v>77556</v>
      </c>
      <c r="AK95" s="621">
        <f t="shared" ca="1" si="32"/>
        <v>77246</v>
      </c>
    </row>
    <row r="96" spans="1:37" s="622" customFormat="1" ht="10.5" customHeight="1">
      <c r="B96" s="866">
        <f t="shared" ca="1" si="33"/>
        <v>69</v>
      </c>
      <c r="C96" s="864">
        <f ca="1">IF(OR($A$2=1,MAX($C$20:$C$76,$C$85:C95)&gt;=110),"",C95+(B96-B95))</f>
        <v>101</v>
      </c>
      <c r="D96" s="1220" t="str">
        <f t="shared" ca="1" si="22"/>
        <v/>
      </c>
      <c r="E96" s="1220"/>
      <c r="F96" s="1220">
        <f t="shared" ca="1" si="23"/>
        <v>1000998</v>
      </c>
      <c r="G96" s="1220"/>
      <c r="H96" s="1220"/>
      <c r="I96" s="1220">
        <f t="shared" ca="1" si="24"/>
        <v>23500</v>
      </c>
      <c r="J96" s="1220"/>
      <c r="K96" s="1220"/>
      <c r="L96" s="1220">
        <f t="shared" ca="1" si="25"/>
        <v>1964816</v>
      </c>
      <c r="M96" s="1220"/>
      <c r="N96" s="1220"/>
      <c r="O96" s="1220">
        <f t="shared" ca="1" si="26"/>
        <v>8012</v>
      </c>
      <c r="P96" s="1220"/>
      <c r="Q96" s="1220"/>
      <c r="R96" s="1220">
        <f t="shared" ca="1" si="27"/>
        <v>5382294</v>
      </c>
      <c r="S96" s="1220"/>
      <c r="T96" s="1220"/>
      <c r="U96" s="1220">
        <f t="shared" ca="1" si="28"/>
        <v>5370635</v>
      </c>
      <c r="V96" s="1220"/>
      <c r="W96" s="1220"/>
      <c r="X96" s="623"/>
      <c r="Y96" s="624"/>
      <c r="Z96" s="616">
        <f t="shared" ca="1" si="29"/>
        <v>69</v>
      </c>
      <c r="AA96" s="617">
        <f t="shared" ca="1" si="30"/>
        <v>3327410</v>
      </c>
      <c r="AB96" s="618">
        <f ca="1">IF($B96="","",VLOOKUP(OP!$C$55,PVFB,$B96+2,0))</f>
        <v>97865</v>
      </c>
      <c r="AC96" s="619"/>
      <c r="AD96" s="620">
        <f ca="1">IF(OR($A$2=1,B96=""),"",VLOOKUP(OP!$C$55,PA,$B96+1,0)*OP!$C$28)</f>
        <v>0</v>
      </c>
      <c r="AE96" s="619"/>
      <c r="AF96" s="620">
        <f ca="1">IF(OR($A$2=1,B96=""),"",VLOOKUP(OP!$C$55,DIE,$B96+1,0)*OP!$C$28)</f>
        <v>3338800</v>
      </c>
      <c r="AG96" s="620">
        <f ca="1">IF(OR($A$2=1,B96=""),"",VLOOKUP(OP!$C$55,CV,$B96+1,0)*OP!$C$28)</f>
        <v>3327410</v>
      </c>
      <c r="AH96" s="615"/>
      <c r="AI96" s="620">
        <f ca="1">IF(OR($A$2=1,B96="",AND($B96&gt;=計算!$P$4,$C96&lt;15),ISERROR(VLOOKUP($B96,MORE_PV,4,0))),"",VLOOKUP($B96,MORE_PV,4,0))</f>
        <v>0</v>
      </c>
      <c r="AJ96" s="621">
        <f t="shared" ca="1" si="31"/>
        <v>78678</v>
      </c>
      <c r="AK96" s="621">
        <f t="shared" ca="1" si="32"/>
        <v>78409</v>
      </c>
    </row>
    <row r="97" spans="2:37" s="622" customFormat="1" ht="10.5" customHeight="1">
      <c r="B97" s="866">
        <f t="shared" ca="1" si="33"/>
        <v>70</v>
      </c>
      <c r="C97" s="864">
        <f ca="1">IF(OR($A$2=1,MAX($C$20:$C$76,$C$85:C96)&gt;=110),"",C96+(B97-B96))</f>
        <v>102</v>
      </c>
      <c r="D97" s="1220" t="str">
        <f t="shared" ca="1" si="22"/>
        <v/>
      </c>
      <c r="E97" s="1220"/>
      <c r="F97" s="1220">
        <f t="shared" ca="1" si="23"/>
        <v>1000998</v>
      </c>
      <c r="G97" s="1220"/>
      <c r="H97" s="1220"/>
      <c r="I97" s="1220">
        <f t="shared" ca="1" si="24"/>
        <v>23849</v>
      </c>
      <c r="J97" s="1220"/>
      <c r="K97" s="1220"/>
      <c r="L97" s="1220">
        <f t="shared" ca="1" si="25"/>
        <v>2042175</v>
      </c>
      <c r="M97" s="1220"/>
      <c r="N97" s="1220"/>
      <c r="O97" s="1220">
        <f t="shared" ca="1" si="26"/>
        <v>8012</v>
      </c>
      <c r="P97" s="1220"/>
      <c r="Q97" s="1220"/>
      <c r="R97" s="1220">
        <f t="shared" ca="1" si="27"/>
        <v>5508375</v>
      </c>
      <c r="S97" s="1220"/>
      <c r="T97" s="1220"/>
      <c r="U97" s="1220">
        <f t="shared" ca="1" si="28"/>
        <v>5498595</v>
      </c>
      <c r="V97" s="1220"/>
      <c r="W97" s="1220"/>
      <c r="X97" s="623"/>
      <c r="Y97" s="624"/>
      <c r="Z97" s="616">
        <f t="shared" ca="1" si="29"/>
        <v>70</v>
      </c>
      <c r="AA97" s="617">
        <f t="shared" ca="1" si="30"/>
        <v>3376846</v>
      </c>
      <c r="AB97" s="618">
        <f ca="1">IF($B97="","",VLOOKUP(OP!$C$55,PVFB,$B97+2,0))</f>
        <v>99319</v>
      </c>
      <c r="AC97" s="619"/>
      <c r="AD97" s="620">
        <f ca="1">IF(OR($A$2=1,B97=""),"",VLOOKUP(OP!$C$55,PA,$B97+1,0)*OP!$C$28)</f>
        <v>0</v>
      </c>
      <c r="AE97" s="619"/>
      <c r="AF97" s="620">
        <f ca="1">IF(OR($A$2=1,B97=""),"",VLOOKUP(OP!$C$55,DIE,$B97+1,0)*OP!$C$28)</f>
        <v>3386400</v>
      </c>
      <c r="AG97" s="620">
        <f ca="1">IF(OR($A$2=1,B97=""),"",VLOOKUP(OP!$C$55,CV,$B97+1,0)*OP!$C$28)</f>
        <v>3376846</v>
      </c>
      <c r="AH97" s="615"/>
      <c r="AI97" s="620">
        <f ca="1">IF(OR($A$2=1,B97="",AND($B97&gt;=計算!$P$4,$C97&lt;15),ISERROR(VLOOKUP($B97,MORE_PV,4,0))),"",VLOOKUP($B97,MORE_PV,4,0))</f>
        <v>0</v>
      </c>
      <c r="AJ97" s="621">
        <f t="shared" ca="1" si="31"/>
        <v>79800</v>
      </c>
      <c r="AK97" s="621">
        <f t="shared" ca="1" si="32"/>
        <v>79574</v>
      </c>
    </row>
    <row r="98" spans="2:37" s="622" customFormat="1" ht="10.5" customHeight="1">
      <c r="B98" s="866">
        <f t="shared" ca="1" si="33"/>
        <v>71</v>
      </c>
      <c r="C98" s="864">
        <f ca="1">IF(OR($A$2=1,MAX($C$20:$C$76,$C$85:C97)&gt;=110),"",C97+(B98-B97))</f>
        <v>103</v>
      </c>
      <c r="D98" s="1220" t="str">
        <f t="shared" ca="1" si="22"/>
        <v/>
      </c>
      <c r="E98" s="1220"/>
      <c r="F98" s="1220">
        <f t="shared" ca="1" si="23"/>
        <v>1000998</v>
      </c>
      <c r="G98" s="1220"/>
      <c r="H98" s="1220"/>
      <c r="I98" s="1220">
        <f t="shared" ca="1" si="24"/>
        <v>24199</v>
      </c>
      <c r="J98" s="1220"/>
      <c r="K98" s="1220"/>
      <c r="L98" s="1220">
        <f t="shared" ca="1" si="25"/>
        <v>2122145</v>
      </c>
      <c r="M98" s="1220"/>
      <c r="N98" s="1220"/>
      <c r="O98" s="1220">
        <f t="shared" ca="1" si="26"/>
        <v>8012</v>
      </c>
      <c r="P98" s="1220"/>
      <c r="Q98" s="1220"/>
      <c r="R98" s="1220">
        <f t="shared" ca="1" si="27"/>
        <v>5637066</v>
      </c>
      <c r="S98" s="1220"/>
      <c r="T98" s="1220"/>
      <c r="U98" s="1220">
        <f t="shared" ca="1" si="28"/>
        <v>5629201</v>
      </c>
      <c r="V98" s="1220"/>
      <c r="W98" s="1220"/>
      <c r="X98" s="623"/>
      <c r="Y98" s="624"/>
      <c r="Z98" s="616">
        <f t="shared" ca="1" si="29"/>
        <v>71</v>
      </c>
      <c r="AA98" s="617">
        <f t="shared" ca="1" si="30"/>
        <v>3426316</v>
      </c>
      <c r="AB98" s="618">
        <f ca="1">IF($B98="","",VLOOKUP(OP!$C$55,PVFB,$B98+2,0))</f>
        <v>100774</v>
      </c>
      <c r="AC98" s="619"/>
      <c r="AD98" s="620">
        <f ca="1">IF(OR($A$2=1,B98=""),"",VLOOKUP(OP!$C$55,PA,$B98+1,0)*OP!$C$28)</f>
        <v>0</v>
      </c>
      <c r="AE98" s="619"/>
      <c r="AF98" s="620">
        <f ca="1">IF(OR($A$2=1,B98=""),"",VLOOKUP(OP!$C$55,DIE,$B98+1,0)*OP!$C$28)</f>
        <v>3434000</v>
      </c>
      <c r="AG98" s="620">
        <f ca="1">IF(OR($A$2=1,B98=""),"",VLOOKUP(OP!$C$55,CV,$B98+1,0)*OP!$C$28)</f>
        <v>3426316</v>
      </c>
      <c r="AH98" s="615"/>
      <c r="AI98" s="620">
        <f ca="1">IF(OR($A$2=1,B98="",AND($B98&gt;=計算!$P$4,$C98&lt;15),ISERROR(VLOOKUP($B98,MORE_PV,4,0))),"",VLOOKUP($B98,MORE_PV,4,0))</f>
        <v>0</v>
      </c>
      <c r="AJ98" s="621">
        <f t="shared" ca="1" si="31"/>
        <v>80921</v>
      </c>
      <c r="AK98" s="621">
        <f t="shared" ca="1" si="32"/>
        <v>80740</v>
      </c>
    </row>
    <row r="99" spans="2:37" s="622" customFormat="1" ht="10.5" customHeight="1">
      <c r="B99" s="866">
        <f t="shared" ca="1" si="33"/>
        <v>72</v>
      </c>
      <c r="C99" s="864">
        <f ca="1">IF(OR($A$2=1,MAX($C$20:$C$76,$C$85:C98)&gt;=110),"",C98+(B99-B98))</f>
        <v>104</v>
      </c>
      <c r="D99" s="1220" t="str">
        <f t="shared" ca="1" si="22"/>
        <v/>
      </c>
      <c r="E99" s="1220"/>
      <c r="F99" s="1220">
        <f t="shared" ca="1" si="23"/>
        <v>1000998</v>
      </c>
      <c r="G99" s="1220"/>
      <c r="H99" s="1220"/>
      <c r="I99" s="1220">
        <f t="shared" ca="1" si="24"/>
        <v>24548</v>
      </c>
      <c r="J99" s="1220"/>
      <c r="K99" s="1220"/>
      <c r="L99" s="1220">
        <f t="shared" ca="1" si="25"/>
        <v>2204488</v>
      </c>
      <c r="M99" s="1220"/>
      <c r="N99" s="1220"/>
      <c r="O99" s="1220">
        <f t="shared" ca="1" si="26"/>
        <v>8012</v>
      </c>
      <c r="P99" s="1220"/>
      <c r="Q99" s="1220"/>
      <c r="R99" s="1220">
        <f t="shared" ca="1" si="27"/>
        <v>5768131</v>
      </c>
      <c r="S99" s="1220"/>
      <c r="T99" s="1220"/>
      <c r="U99" s="1220">
        <f t="shared" ca="1" si="28"/>
        <v>5762249</v>
      </c>
      <c r="V99" s="1220"/>
      <c r="W99" s="1220"/>
      <c r="X99" s="623"/>
      <c r="Y99" s="624"/>
      <c r="Z99" s="616">
        <f t="shared" ca="1" si="29"/>
        <v>72</v>
      </c>
      <c r="AA99" s="617">
        <f t="shared" ca="1" si="30"/>
        <v>3475854</v>
      </c>
      <c r="AB99" s="618">
        <f ca="1">IF($B99="","",VLOOKUP(OP!$C$55,PVFB,$B99+2,0))</f>
        <v>102231</v>
      </c>
      <c r="AC99" s="619"/>
      <c r="AD99" s="620">
        <f ca="1">IF(OR($A$2=1,B99=""),"",VLOOKUP(OP!$C$55,PA,$B99+1,0)*OP!$C$28)</f>
        <v>0</v>
      </c>
      <c r="AE99" s="619"/>
      <c r="AF99" s="620">
        <f ca="1">IF(OR($A$2=1,B99=""),"",VLOOKUP(OP!$C$55,DIE,$B99+1,0)*OP!$C$28)</f>
        <v>3481600</v>
      </c>
      <c r="AG99" s="620">
        <f ca="1">IF(OR($A$2=1,B99=""),"",VLOOKUP(OP!$C$55,CV,$B99+1,0)*OP!$C$28)</f>
        <v>3475854</v>
      </c>
      <c r="AH99" s="615"/>
      <c r="AI99" s="620">
        <f ca="1">IF(OR($A$2=1,B99="",AND($B99&gt;=計算!$P$4,$C99&lt;15),ISERROR(VLOOKUP($B99,MORE_PV,4,0))),"",VLOOKUP($B99,MORE_PV,4,0))</f>
        <v>0</v>
      </c>
      <c r="AJ99" s="621">
        <f t="shared" ca="1" si="31"/>
        <v>82043</v>
      </c>
      <c r="AK99" s="621">
        <f t="shared" ca="1" si="32"/>
        <v>81907</v>
      </c>
    </row>
    <row r="100" spans="2:37" s="622" customFormat="1" ht="10.5" customHeight="1">
      <c r="B100" s="866">
        <f t="shared" ca="1" si="33"/>
        <v>73</v>
      </c>
      <c r="C100" s="864">
        <f ca="1">IF(OR($A$2=1,MAX($C$20:$C$76,$C$85:C99)&gt;=110),"",C99+(B100-B99))</f>
        <v>105</v>
      </c>
      <c r="D100" s="1220" t="str">
        <f t="shared" ca="1" si="22"/>
        <v/>
      </c>
      <c r="E100" s="1220"/>
      <c r="F100" s="1220">
        <f t="shared" ca="1" si="23"/>
        <v>1000998</v>
      </c>
      <c r="G100" s="1220"/>
      <c r="H100" s="1220"/>
      <c r="I100" s="1220">
        <f t="shared" ca="1" si="24"/>
        <v>24898</v>
      </c>
      <c r="J100" s="1220"/>
      <c r="K100" s="1220"/>
      <c r="L100" s="1220">
        <f t="shared" ca="1" si="25"/>
        <v>2289424</v>
      </c>
      <c r="M100" s="1220"/>
      <c r="N100" s="1220"/>
      <c r="O100" s="1220">
        <f t="shared" ca="1" si="26"/>
        <v>8012</v>
      </c>
      <c r="P100" s="1220"/>
      <c r="Q100" s="1220"/>
      <c r="R100" s="1220">
        <f t="shared" ca="1" si="27"/>
        <v>5901789</v>
      </c>
      <c r="S100" s="1220"/>
      <c r="T100" s="1220"/>
      <c r="U100" s="1220">
        <f t="shared" ca="1" si="28"/>
        <v>5897926</v>
      </c>
      <c r="V100" s="1220"/>
      <c r="W100" s="1220"/>
      <c r="X100" s="623"/>
      <c r="Y100" s="624"/>
      <c r="Z100" s="616">
        <f t="shared" ca="1" si="29"/>
        <v>73</v>
      </c>
      <c r="AA100" s="617">
        <f t="shared" ca="1" si="30"/>
        <v>3525426</v>
      </c>
      <c r="AB100" s="618">
        <f ca="1">IF($B100="","",VLOOKUP(OP!$C$55,PVFB,$B100+2,0))</f>
        <v>103689</v>
      </c>
      <c r="AC100" s="619"/>
      <c r="AD100" s="620">
        <f ca="1">IF(OR($A$2=1,B100=""),"",VLOOKUP(OP!$C$55,PA,$B100+1,0)*OP!$C$28)</f>
        <v>0</v>
      </c>
      <c r="AE100" s="619"/>
      <c r="AF100" s="620">
        <f ca="1">IF(OR($A$2=1,B100=""),"",VLOOKUP(OP!$C$55,DIE,$B100+1,0)*OP!$C$28)</f>
        <v>3529200</v>
      </c>
      <c r="AG100" s="620">
        <f ca="1">IF(OR($A$2=1,B100=""),"",VLOOKUP(OP!$C$55,CV,$B100+1,0)*OP!$C$28)</f>
        <v>3525426</v>
      </c>
      <c r="AH100" s="615"/>
      <c r="AI100" s="620">
        <f ca="1">IF(OR($A$2=1,B100="",AND($B100&gt;=計算!$P$4,$C100&lt;15),ISERROR(VLOOKUP($B100,MORE_PV,4,0))),"",VLOOKUP($B100,MORE_PV,4,0))</f>
        <v>0</v>
      </c>
      <c r="AJ100" s="621">
        <f t="shared" ca="1" si="31"/>
        <v>83165</v>
      </c>
      <c r="AK100" s="621">
        <f t="shared" ca="1" si="32"/>
        <v>83076</v>
      </c>
    </row>
    <row r="101" spans="2:37" s="622" customFormat="1" ht="10.5" customHeight="1">
      <c r="B101" s="866">
        <f t="shared" ca="1" si="33"/>
        <v>74</v>
      </c>
      <c r="C101" s="864">
        <f ca="1">IF(OR($A$2=1,MAX($C$20:$C$76,$C$85:C100)&gt;=110),"",C100+(B101-B100))</f>
        <v>106</v>
      </c>
      <c r="D101" s="1220" t="str">
        <f t="shared" ca="1" si="22"/>
        <v/>
      </c>
      <c r="E101" s="1220"/>
      <c r="F101" s="1220">
        <f t="shared" ca="1" si="23"/>
        <v>1000998</v>
      </c>
      <c r="G101" s="1220"/>
      <c r="H101" s="1220"/>
      <c r="I101" s="1220">
        <f t="shared" ca="1" si="24"/>
        <v>25249</v>
      </c>
      <c r="J101" s="1220"/>
      <c r="K101" s="1220"/>
      <c r="L101" s="1220">
        <f t="shared" ca="1" si="25"/>
        <v>2377024</v>
      </c>
      <c r="M101" s="1220"/>
      <c r="N101" s="1220"/>
      <c r="O101" s="1220">
        <f t="shared" ca="1" si="26"/>
        <v>8012</v>
      </c>
      <c r="P101" s="1220"/>
      <c r="Q101" s="1220"/>
      <c r="R101" s="1220">
        <f t="shared" ca="1" si="27"/>
        <v>6038110</v>
      </c>
      <c r="S101" s="1220"/>
      <c r="T101" s="1220"/>
      <c r="U101" s="1220">
        <f t="shared" ca="1" si="28"/>
        <v>6036370</v>
      </c>
      <c r="V101" s="1220"/>
      <c r="W101" s="1220"/>
      <c r="X101" s="623"/>
      <c r="Y101" s="624"/>
      <c r="Z101" s="616">
        <f t="shared" ca="1" si="29"/>
        <v>74</v>
      </c>
      <c r="AA101" s="617">
        <f t="shared" ca="1" si="30"/>
        <v>3575100</v>
      </c>
      <c r="AB101" s="618">
        <f ca="1">IF($B101="","",VLOOKUP(OP!$C$55,PVFB,$B101+2,0))</f>
        <v>105150</v>
      </c>
      <c r="AC101" s="619"/>
      <c r="AD101" s="620">
        <f ca="1">IF(OR($A$2=1,B101=""),"",VLOOKUP(OP!$C$55,PA,$B101+1,0)*OP!$C$28)</f>
        <v>0</v>
      </c>
      <c r="AE101" s="619"/>
      <c r="AF101" s="620">
        <f ca="1">IF(OR($A$2=1,B101=""),"",VLOOKUP(OP!$C$55,DIE,$B101+1,0)*OP!$C$28)</f>
        <v>3576800</v>
      </c>
      <c r="AG101" s="620">
        <f ca="1">IF(OR($A$2=1,B101=""),"",VLOOKUP(OP!$C$55,CV,$B101+1,0)*OP!$C$28)</f>
        <v>3575100</v>
      </c>
      <c r="AH101" s="615"/>
      <c r="AI101" s="620">
        <f ca="1">IF(OR($A$2=1,B101="",AND($B101&gt;=計算!$P$4,$C101&lt;15),ISERROR(VLOOKUP($B101,MORE_PV,4,0))),"",VLOOKUP($B101,MORE_PV,4,0))</f>
        <v>0</v>
      </c>
      <c r="AJ101" s="621">
        <f t="shared" ca="1" si="31"/>
        <v>84286</v>
      </c>
      <c r="AK101" s="621">
        <f t="shared" ca="1" si="32"/>
        <v>84246</v>
      </c>
    </row>
    <row r="102" spans="2:37" s="622" customFormat="1" ht="10.5" customHeight="1">
      <c r="B102" s="866">
        <f t="shared" ca="1" si="33"/>
        <v>75</v>
      </c>
      <c r="C102" s="864">
        <f ca="1">IF(OR($A$2=1,MAX($C$20:$C$76,$C$85:C101)&gt;=110),"",C101+(B102-B101))</f>
        <v>107</v>
      </c>
      <c r="D102" s="1220" t="str">
        <f t="shared" ca="1" si="22"/>
        <v/>
      </c>
      <c r="E102" s="1220"/>
      <c r="F102" s="1220">
        <f t="shared" ca="1" si="23"/>
        <v>1000998</v>
      </c>
      <c r="G102" s="1220"/>
      <c r="H102" s="1220"/>
      <c r="I102" s="1220">
        <f t="shared" ca="1" si="24"/>
        <v>25602</v>
      </c>
      <c r="J102" s="1220"/>
      <c r="K102" s="1220"/>
      <c r="L102" s="1220">
        <f t="shared" ca="1" si="25"/>
        <v>2467542</v>
      </c>
      <c r="M102" s="1220"/>
      <c r="N102" s="1220"/>
      <c r="O102" s="1220">
        <f t="shared" ca="1" si="26"/>
        <v>8012</v>
      </c>
      <c r="P102" s="1220"/>
      <c r="Q102" s="1220"/>
      <c r="R102" s="1220">
        <f t="shared" ca="1" si="27"/>
        <v>6178011</v>
      </c>
      <c r="S102" s="1220"/>
      <c r="T102" s="1220"/>
      <c r="U102" s="1220">
        <f t="shared" ca="1" si="28"/>
        <v>6178011</v>
      </c>
      <c r="V102" s="1220"/>
      <c r="W102" s="1220"/>
      <c r="X102" s="623"/>
      <c r="Y102" s="624"/>
      <c r="Z102" s="616">
        <f t="shared" ca="1" si="29"/>
        <v>75</v>
      </c>
      <c r="AA102" s="617">
        <f t="shared" ca="1" si="30"/>
        <v>3625046</v>
      </c>
      <c r="AB102" s="618">
        <f ca="1">IF($B102="","",VLOOKUP(OP!$C$55,PVFB,$B102+2,0))</f>
        <v>106619</v>
      </c>
      <c r="AC102" s="619"/>
      <c r="AD102" s="620">
        <f ca="1">IF(OR($A$2=1,B102=""),"",VLOOKUP(OP!$C$55,PA,$B102+1,0)*OP!$C$28)</f>
        <v>0</v>
      </c>
      <c r="AE102" s="619"/>
      <c r="AF102" s="620">
        <f ca="1">IF(OR($A$2=1,B102=""),"",VLOOKUP(OP!$C$55,DIE,$B102+1,0)*OP!$C$28)</f>
        <v>3625046</v>
      </c>
      <c r="AG102" s="620">
        <f ca="1">IF(OR($A$2=1,B102=""),"",VLOOKUP(OP!$C$55,CV,$B102+1,0)*OP!$C$28)</f>
        <v>3625046</v>
      </c>
      <c r="AH102" s="615"/>
      <c r="AI102" s="620">
        <f ca="1">IF(OR($A$2=1,B102="",AND($B102&gt;=計算!$P$4,$C102&lt;15),ISERROR(VLOOKUP($B102,MORE_PV,4,0))),"",VLOOKUP($B102,MORE_PV,4,0))</f>
        <v>0</v>
      </c>
      <c r="AJ102" s="621">
        <f t="shared" ca="1" si="31"/>
        <v>85423</v>
      </c>
      <c r="AK102" s="621">
        <f t="shared" ca="1" si="32"/>
        <v>85423</v>
      </c>
    </row>
    <row r="103" spans="2:37" s="622" customFormat="1" ht="10.5" customHeight="1">
      <c r="B103" s="866">
        <f t="shared" ca="1" si="33"/>
        <v>76</v>
      </c>
      <c r="C103" s="864">
        <f ca="1">IF(OR($A$2=1,MAX($C$20:$C$76,$C$85:C102)&gt;=110),"",C102+(B103-B102))</f>
        <v>108</v>
      </c>
      <c r="D103" s="1220" t="str">
        <f t="shared" ca="1" si="22"/>
        <v/>
      </c>
      <c r="E103" s="1220"/>
      <c r="F103" s="1220">
        <f t="shared" ca="1" si="23"/>
        <v>1000998</v>
      </c>
      <c r="G103" s="1220"/>
      <c r="H103" s="1220"/>
      <c r="I103" s="1220">
        <f t="shared" ca="1" si="24"/>
        <v>25961</v>
      </c>
      <c r="J103" s="1220"/>
      <c r="K103" s="1220"/>
      <c r="L103" s="1220">
        <f t="shared" ca="1" si="25"/>
        <v>2560705</v>
      </c>
      <c r="M103" s="1220"/>
      <c r="N103" s="1220"/>
      <c r="O103" s="1220">
        <f t="shared" ca="1" si="26"/>
        <v>8012</v>
      </c>
      <c r="P103" s="1220"/>
      <c r="Q103" s="1220"/>
      <c r="R103" s="1220">
        <f t="shared" ca="1" si="27"/>
        <v>6323098</v>
      </c>
      <c r="S103" s="1220"/>
      <c r="T103" s="1220"/>
      <c r="U103" s="1220">
        <f t="shared" ca="1" si="28"/>
        <v>6323098</v>
      </c>
      <c r="V103" s="1220"/>
      <c r="W103" s="1220"/>
      <c r="X103" s="623"/>
      <c r="Y103" s="624"/>
      <c r="Z103" s="616">
        <f t="shared" ca="1" si="29"/>
        <v>76</v>
      </c>
      <c r="AA103" s="617">
        <f t="shared" ca="1" si="30"/>
        <v>3675774</v>
      </c>
      <c r="AB103" s="618">
        <f ca="1">IF($B103="","",VLOOKUP(OP!$C$55,PVFB,$B103+2,0))</f>
        <v>108111</v>
      </c>
      <c r="AC103" s="619"/>
      <c r="AD103" s="620">
        <f ca="1">IF(OR($A$2=1,B103=""),"",VLOOKUP(OP!$C$55,PA,$B103+1,0)*OP!$C$28)</f>
        <v>0</v>
      </c>
      <c r="AE103" s="619"/>
      <c r="AF103" s="620">
        <f ca="1">IF(OR($A$2=1,B103=""),"",VLOOKUP(OP!$C$55,DIE,$B103+1,0)*OP!$C$28)</f>
        <v>3675774</v>
      </c>
      <c r="AG103" s="620">
        <f ca="1">IF(OR($A$2=1,B103=""),"",VLOOKUP(OP!$C$55,CV,$B103+1,0)*OP!$C$28)</f>
        <v>3675774</v>
      </c>
      <c r="AH103" s="615"/>
      <c r="AI103" s="620">
        <f ca="1">IF(OR($A$2=1,B103="",AND($B103&gt;=計算!$P$4,$C103&lt;15),ISERROR(VLOOKUP($B103,MORE_PV,4,0))),"",VLOOKUP($B103,MORE_PV,4,0))</f>
        <v>0</v>
      </c>
      <c r="AJ103" s="621">
        <f t="shared" ca="1" si="31"/>
        <v>86619</v>
      </c>
      <c r="AK103" s="621">
        <f t="shared" ca="1" si="32"/>
        <v>86619</v>
      </c>
    </row>
    <row r="104" spans="2:37" s="622" customFormat="1" ht="10.5" customHeight="1">
      <c r="B104" s="866">
        <f t="shared" ca="1" si="33"/>
        <v>77</v>
      </c>
      <c r="C104" s="864">
        <f ca="1">IF(OR($A$2=1,MAX($C$20:$C$76,$C$85:C103)&gt;=110),"",C103+(B104-B103))</f>
        <v>109</v>
      </c>
      <c r="D104" s="1220" t="str">
        <f t="shared" ca="1" si="22"/>
        <v/>
      </c>
      <c r="E104" s="1220"/>
      <c r="F104" s="1220">
        <f t="shared" ca="1" si="23"/>
        <v>1000998</v>
      </c>
      <c r="G104" s="1220"/>
      <c r="H104" s="1220"/>
      <c r="I104" s="1220">
        <f t="shared" ca="1" si="24"/>
        <v>26343</v>
      </c>
      <c r="J104" s="1220"/>
      <c r="K104" s="1220"/>
      <c r="L104" s="1220">
        <f t="shared" ca="1" si="25"/>
        <v>2656787</v>
      </c>
      <c r="M104" s="1220"/>
      <c r="N104" s="1220"/>
      <c r="O104" s="1220">
        <f t="shared" ca="1" si="26"/>
        <v>8012</v>
      </c>
      <c r="P104" s="1220"/>
      <c r="Q104" s="1220"/>
      <c r="R104" s="1220">
        <f t="shared" ca="1" si="27"/>
        <v>6474757</v>
      </c>
      <c r="S104" s="1220"/>
      <c r="T104" s="1220"/>
      <c r="U104" s="1220">
        <f t="shared" ca="1" si="28"/>
        <v>6474757</v>
      </c>
      <c r="V104" s="1220"/>
      <c r="W104" s="1220"/>
      <c r="X104" s="623"/>
      <c r="Y104" s="624"/>
      <c r="Z104" s="616">
        <f t="shared" ca="1" si="29"/>
        <v>77</v>
      </c>
      <c r="AA104" s="617">
        <f t="shared" ca="1" si="30"/>
        <v>3730072</v>
      </c>
      <c r="AB104" s="618">
        <f ca="1">IF($B104="","",VLOOKUP(OP!$C$55,PVFB,$B104+2,0))</f>
        <v>109708</v>
      </c>
      <c r="AC104" s="619"/>
      <c r="AD104" s="620">
        <f ca="1">IF(OR($A$2=1,B104=""),"",VLOOKUP(OP!$C$55,PA,$B104+1,0)*OP!$C$28)</f>
        <v>0</v>
      </c>
      <c r="AE104" s="619"/>
      <c r="AF104" s="620">
        <f ca="1">IF(OR($A$2=1,B104=""),"",VLOOKUP(OP!$C$55,DIE,$B104+1,0)*OP!$C$28)</f>
        <v>3730072</v>
      </c>
      <c r="AG104" s="620">
        <f ca="1">IF(OR($A$2=1,B104=""),"",VLOOKUP(OP!$C$55,CV,$B104+1,0)*OP!$C$28)</f>
        <v>3730072</v>
      </c>
      <c r="AH104" s="615"/>
      <c r="AI104" s="620">
        <f ca="1">IF(OR($A$2=1,B104="",AND($B104&gt;=計算!$P$4,$C104&lt;15),ISERROR(VLOOKUP($B104,MORE_PV,4,0))),"",VLOOKUP($B104,MORE_PV,4,0))</f>
        <v>0</v>
      </c>
      <c r="AJ104" s="621">
        <f t="shared" ca="1" si="31"/>
        <v>87898</v>
      </c>
      <c r="AK104" s="621">
        <f t="shared" ca="1" si="32"/>
        <v>87898</v>
      </c>
    </row>
    <row r="105" spans="2:37" s="622" customFormat="1" ht="10.5" customHeight="1">
      <c r="B105" s="866">
        <f t="shared" ca="1" si="33"/>
        <v>78</v>
      </c>
      <c r="C105" s="864">
        <f ca="1">IF(OR($A$2=1,MAX($C$20:$C$76,$C$85:C104)&gt;=110),"",C104+(B105-B104))</f>
        <v>110</v>
      </c>
      <c r="D105" s="1220" t="str">
        <f t="shared" ca="1" si="22"/>
        <v/>
      </c>
      <c r="E105" s="1220"/>
      <c r="F105" s="1220">
        <f t="shared" ca="1" si="23"/>
        <v>1000998</v>
      </c>
      <c r="G105" s="1220"/>
      <c r="H105" s="1220"/>
      <c r="I105" s="1220">
        <f t="shared" ca="1" si="24"/>
        <v>26607</v>
      </c>
      <c r="J105" s="1220"/>
      <c r="K105" s="1220"/>
      <c r="L105" s="1220">
        <f t="shared" ca="1" si="25"/>
        <v>2755750</v>
      </c>
      <c r="M105" s="1220"/>
      <c r="N105" s="1220"/>
      <c r="O105" s="1220">
        <f t="shared" ca="1" si="26"/>
        <v>8012</v>
      </c>
      <c r="P105" s="1220"/>
      <c r="Q105" s="1220"/>
      <c r="R105" s="1220">
        <f t="shared" ca="1" si="27"/>
        <v>6611723</v>
      </c>
      <c r="S105" s="1220"/>
      <c r="T105" s="1220"/>
      <c r="U105" s="1220">
        <f t="shared" ca="1" si="28"/>
        <v>6611723</v>
      </c>
      <c r="V105" s="1220"/>
      <c r="W105" s="1220"/>
      <c r="X105" s="623"/>
      <c r="Y105" s="624"/>
      <c r="Z105" s="616">
        <f t="shared" ca="1" si="29"/>
        <v>78</v>
      </c>
      <c r="AA105" s="617">
        <f t="shared" ca="1" si="30"/>
        <v>3767200</v>
      </c>
      <c r="AB105" s="618">
        <f ca="1">IF($B105="","",VLOOKUP(OP!$C$55,PVFB,$B105+2,0))</f>
        <v>110800</v>
      </c>
      <c r="AC105" s="619"/>
      <c r="AD105" s="620">
        <f ca="1">IF(OR($A$2=1,B105=""),"",VLOOKUP(OP!$C$55,PA,$B105+1,0)*OP!$C$28)</f>
        <v>0</v>
      </c>
      <c r="AE105" s="619"/>
      <c r="AF105" s="620">
        <f ca="1">IF(OR($A$2=1,B105=""),"",VLOOKUP(OP!$C$55,DIE,$B105+1,0)*OP!$C$28)</f>
        <v>3767200</v>
      </c>
      <c r="AG105" s="620">
        <f ca="1">IF(OR($A$2=1,B105=""),"",VLOOKUP(OP!$C$55,CV,$B105+1,0)*OP!$C$28)</f>
        <v>3767200</v>
      </c>
      <c r="AH105" s="615"/>
      <c r="AI105" s="620">
        <f ca="1">IF(OR($A$2=1,B105="",AND($B105&gt;=計算!$P$4,$C105&lt;15),ISERROR(VLOOKUP($B105,MORE_PV,4,0))),"",VLOOKUP($B105,MORE_PV,4,0))</f>
        <v>0</v>
      </c>
      <c r="AJ105" s="621">
        <f t="shared" ca="1" si="31"/>
        <v>88773</v>
      </c>
      <c r="AK105" s="621">
        <f t="shared" ca="1" si="32"/>
        <v>88773</v>
      </c>
    </row>
    <row r="106" spans="2:37" s="622" customFormat="1" ht="10.5" customHeight="1">
      <c r="B106" s="866" t="str">
        <f t="shared" ca="1" si="33"/>
        <v/>
      </c>
      <c r="C106" s="864" t="str">
        <f ca="1">IF(OR($A$2=1,MAX($C$20:$C$76,$C$85:C105)&gt;=110),"",C105+(B106-B105))</f>
        <v/>
      </c>
      <c r="D106" s="1220" t="str">
        <f t="shared" ca="1" si="22"/>
        <v/>
      </c>
      <c r="E106" s="1220"/>
      <c r="F106" s="1220" t="str">
        <f t="shared" ca="1" si="23"/>
        <v/>
      </c>
      <c r="G106" s="1220"/>
      <c r="H106" s="1220"/>
      <c r="I106" s="1220" t="str">
        <f t="shared" ca="1" si="24"/>
        <v/>
      </c>
      <c r="J106" s="1220"/>
      <c r="K106" s="1220"/>
      <c r="L106" s="1220" t="str">
        <f t="shared" ca="1" si="25"/>
        <v/>
      </c>
      <c r="M106" s="1220"/>
      <c r="N106" s="1220"/>
      <c r="O106" s="1220" t="str">
        <f t="shared" ca="1" si="26"/>
        <v/>
      </c>
      <c r="P106" s="1220"/>
      <c r="Q106" s="1220"/>
      <c r="R106" s="1220" t="str">
        <f t="shared" ca="1" si="27"/>
        <v/>
      </c>
      <c r="S106" s="1220"/>
      <c r="T106" s="1220"/>
      <c r="U106" s="1220" t="str">
        <f t="shared" ca="1" si="28"/>
        <v/>
      </c>
      <c r="V106" s="1220"/>
      <c r="W106" s="1220"/>
      <c r="X106" s="623"/>
      <c r="Y106" s="624"/>
      <c r="Z106" s="616" t="str">
        <f t="shared" ca="1" si="29"/>
        <v/>
      </c>
      <c r="AA106" s="617" t="str">
        <f t="shared" ca="1" si="30"/>
        <v/>
      </c>
      <c r="AB106" s="618" t="str">
        <f ca="1">IF($B106="","",VLOOKUP(OP!$C$55,PVFB,$B106+2,0))</f>
        <v/>
      </c>
      <c r="AC106" s="619"/>
      <c r="AD106" s="620" t="str">
        <f ca="1">IF(OR($A$2=1,B106=""),"",VLOOKUP(OP!$C$55,PA,$B106+1,0)*OP!$C$28)</f>
        <v/>
      </c>
      <c r="AE106" s="619"/>
      <c r="AF106" s="620" t="str">
        <f ca="1">IF(OR($A$2=1,B106=""),"",VLOOKUP(OP!$C$55,DIE,$B106+1,0)*OP!$C$28)</f>
        <v/>
      </c>
      <c r="AG106" s="620" t="str">
        <f ca="1">IF(OR($A$2=1,B106=""),"",VLOOKUP(OP!$C$55,CV,$B106+1,0)*OP!$C$28)</f>
        <v/>
      </c>
      <c r="AH106" s="615"/>
      <c r="AI106" s="620" t="str">
        <f ca="1">IF(OR($A$2=1,B106="",AND($B106&gt;=計算!$P$4,$C106&lt;15),ISERROR(VLOOKUP($B106,MORE_PV,4,0))),"",VLOOKUP($B106,MORE_PV,4,0))</f>
        <v/>
      </c>
      <c r="AJ106" s="621" t="str">
        <f t="shared" ca="1" si="31"/>
        <v/>
      </c>
      <c r="AK106" s="621" t="str">
        <f t="shared" ca="1" si="32"/>
        <v/>
      </c>
    </row>
    <row r="107" spans="2:37" s="622" customFormat="1" ht="10.5" customHeight="1">
      <c r="B107" s="866" t="str">
        <f t="shared" ca="1" si="33"/>
        <v/>
      </c>
      <c r="C107" s="864" t="str">
        <f ca="1">IF(OR($A$2=1,MAX($C$20:$C$76,$C$85:C106)&gt;=110),"",C106+(B107-B106))</f>
        <v/>
      </c>
      <c r="D107" s="1220" t="str">
        <f t="shared" ca="1" si="22"/>
        <v/>
      </c>
      <c r="E107" s="1220"/>
      <c r="F107" s="1220" t="str">
        <f t="shared" ca="1" si="23"/>
        <v/>
      </c>
      <c r="G107" s="1220"/>
      <c r="H107" s="1220"/>
      <c r="I107" s="1220" t="str">
        <f t="shared" ca="1" si="24"/>
        <v/>
      </c>
      <c r="J107" s="1220"/>
      <c r="K107" s="1220"/>
      <c r="L107" s="1220" t="str">
        <f t="shared" ca="1" si="25"/>
        <v/>
      </c>
      <c r="M107" s="1220"/>
      <c r="N107" s="1220"/>
      <c r="O107" s="1220" t="str">
        <f t="shared" ca="1" si="26"/>
        <v/>
      </c>
      <c r="P107" s="1220"/>
      <c r="Q107" s="1220"/>
      <c r="R107" s="1220" t="str">
        <f t="shared" ca="1" si="27"/>
        <v/>
      </c>
      <c r="S107" s="1220"/>
      <c r="T107" s="1220"/>
      <c r="U107" s="1220" t="str">
        <f t="shared" ca="1" si="28"/>
        <v/>
      </c>
      <c r="V107" s="1220"/>
      <c r="W107" s="1220"/>
      <c r="X107" s="623"/>
      <c r="Y107" s="624"/>
      <c r="Z107" s="616" t="str">
        <f t="shared" ca="1" si="29"/>
        <v/>
      </c>
      <c r="AA107" s="617" t="str">
        <f t="shared" ca="1" si="30"/>
        <v/>
      </c>
      <c r="AB107" s="618" t="str">
        <f ca="1">IF($B107="","",VLOOKUP(OP!$C$55,PVFB,$B107+2,0))</f>
        <v/>
      </c>
      <c r="AC107" s="619"/>
      <c r="AD107" s="620" t="str">
        <f ca="1">IF(OR($A$2=1,B107=""),"",VLOOKUP(OP!$C$55,PA,$B107+1,0)*OP!$C$28)</f>
        <v/>
      </c>
      <c r="AE107" s="619"/>
      <c r="AF107" s="620" t="str">
        <f ca="1">IF(OR($A$2=1,B107=""),"",VLOOKUP(OP!$C$55,DIE,$B107+1,0)*OP!$C$28)</f>
        <v/>
      </c>
      <c r="AG107" s="620" t="str">
        <f ca="1">IF(OR($A$2=1,B107=""),"",VLOOKUP(OP!$C$55,CV,$B107+1,0)*OP!$C$28)</f>
        <v/>
      </c>
      <c r="AH107" s="615"/>
      <c r="AI107" s="620" t="str">
        <f ca="1">IF(OR($A$2=1,B107="",AND($B107&gt;=計算!$P$4,$C107&lt;15),ISERROR(VLOOKUP($B107,MORE_PV,4,0))),"",VLOOKUP($B107,MORE_PV,4,0))</f>
        <v/>
      </c>
      <c r="AJ107" s="621" t="str">
        <f t="shared" ca="1" si="31"/>
        <v/>
      </c>
      <c r="AK107" s="621" t="str">
        <f t="shared" ca="1" si="32"/>
        <v/>
      </c>
    </row>
    <row r="108" spans="2:37" s="622" customFormat="1" ht="10.5" customHeight="1">
      <c r="B108" s="866" t="str">
        <f t="shared" ca="1" si="33"/>
        <v/>
      </c>
      <c r="C108" s="864" t="str">
        <f ca="1">IF(OR($A$2=1,MAX($C$20:$C$76,$C$85:C107)&gt;=110),"",C107+(B108-B107))</f>
        <v/>
      </c>
      <c r="D108" s="1220" t="str">
        <f t="shared" ca="1" si="22"/>
        <v/>
      </c>
      <c r="E108" s="1220"/>
      <c r="F108" s="1220" t="str">
        <f t="shared" ca="1" si="23"/>
        <v/>
      </c>
      <c r="G108" s="1220"/>
      <c r="H108" s="1220"/>
      <c r="I108" s="1220" t="str">
        <f t="shared" ca="1" si="24"/>
        <v/>
      </c>
      <c r="J108" s="1220"/>
      <c r="K108" s="1220"/>
      <c r="L108" s="1220" t="str">
        <f t="shared" ca="1" si="25"/>
        <v/>
      </c>
      <c r="M108" s="1220"/>
      <c r="N108" s="1220"/>
      <c r="O108" s="1220" t="str">
        <f t="shared" ca="1" si="26"/>
        <v/>
      </c>
      <c r="P108" s="1220"/>
      <c r="Q108" s="1220"/>
      <c r="R108" s="1220" t="str">
        <f t="shared" ca="1" si="27"/>
        <v/>
      </c>
      <c r="S108" s="1220"/>
      <c r="T108" s="1220"/>
      <c r="U108" s="1220" t="str">
        <f t="shared" ca="1" si="28"/>
        <v/>
      </c>
      <c r="V108" s="1220"/>
      <c r="W108" s="1220"/>
      <c r="X108" s="623"/>
      <c r="Y108" s="624"/>
      <c r="Z108" s="616" t="str">
        <f t="shared" ca="1" si="29"/>
        <v/>
      </c>
      <c r="AA108" s="617" t="str">
        <f t="shared" ca="1" si="30"/>
        <v/>
      </c>
      <c r="AB108" s="618" t="str">
        <f ca="1">IF($B108="","",VLOOKUP(OP!$C$55,PVFB,$B108+2,0))</f>
        <v/>
      </c>
      <c r="AC108" s="619"/>
      <c r="AD108" s="620" t="str">
        <f ca="1">IF(OR($A$2=1,B108=""),"",VLOOKUP(OP!$C$55,PA,$B108+1,0)*OP!$C$28)</f>
        <v/>
      </c>
      <c r="AE108" s="619"/>
      <c r="AF108" s="620" t="str">
        <f ca="1">IF(OR($A$2=1,B108=""),"",VLOOKUP(OP!$C$55,DIE,$B108+1,0)*OP!$C$28)</f>
        <v/>
      </c>
      <c r="AG108" s="620" t="str">
        <f ca="1">IF(OR($A$2=1,B108=""),"",VLOOKUP(OP!$C$55,CV,$B108+1,0)*OP!$C$28)</f>
        <v/>
      </c>
      <c r="AH108" s="615"/>
      <c r="AI108" s="620" t="str">
        <f ca="1">IF(OR($A$2=1,B108="",AND($B108&gt;=計算!$P$4,$C108&lt;15),ISERROR(VLOOKUP($B108,MORE_PV,4,0))),"",VLOOKUP($B108,MORE_PV,4,0))</f>
        <v/>
      </c>
      <c r="AJ108" s="621" t="str">
        <f t="shared" ca="1" si="31"/>
        <v/>
      </c>
      <c r="AK108" s="621" t="str">
        <f t="shared" ca="1" si="32"/>
        <v/>
      </c>
    </row>
    <row r="109" spans="2:37" s="622" customFormat="1" ht="10.5" customHeight="1">
      <c r="B109" s="866" t="str">
        <f t="shared" ca="1" si="33"/>
        <v/>
      </c>
      <c r="C109" s="864" t="str">
        <f ca="1">IF(OR($A$2=1,MAX($C$20:$C$76,$C$85:C108)&gt;=110),"",C108+(B109-B108))</f>
        <v/>
      </c>
      <c r="D109" s="1220" t="str">
        <f t="shared" ca="1" si="22"/>
        <v/>
      </c>
      <c r="E109" s="1220"/>
      <c r="F109" s="1220" t="str">
        <f t="shared" ca="1" si="23"/>
        <v/>
      </c>
      <c r="G109" s="1220"/>
      <c r="H109" s="1220"/>
      <c r="I109" s="1220" t="str">
        <f t="shared" ca="1" si="24"/>
        <v/>
      </c>
      <c r="J109" s="1220"/>
      <c r="K109" s="1220"/>
      <c r="L109" s="1220" t="str">
        <f t="shared" ca="1" si="25"/>
        <v/>
      </c>
      <c r="M109" s="1220"/>
      <c r="N109" s="1220"/>
      <c r="O109" s="1220" t="str">
        <f t="shared" ca="1" si="26"/>
        <v/>
      </c>
      <c r="P109" s="1220"/>
      <c r="Q109" s="1220"/>
      <c r="R109" s="1220" t="str">
        <f t="shared" ca="1" si="27"/>
        <v/>
      </c>
      <c r="S109" s="1220"/>
      <c r="T109" s="1220"/>
      <c r="U109" s="1220" t="str">
        <f t="shared" ca="1" si="28"/>
        <v/>
      </c>
      <c r="V109" s="1220"/>
      <c r="W109" s="1220"/>
      <c r="X109" s="623"/>
      <c r="Y109" s="624"/>
      <c r="Z109" s="616" t="str">
        <f t="shared" ca="1" si="29"/>
        <v/>
      </c>
      <c r="AA109" s="617" t="str">
        <f t="shared" ca="1" si="30"/>
        <v/>
      </c>
      <c r="AB109" s="618" t="str">
        <f ca="1">IF($B109="","",VLOOKUP(OP!$C$55,PVFB,$B109+2,0))</f>
        <v/>
      </c>
      <c r="AC109" s="619"/>
      <c r="AD109" s="620" t="str">
        <f ca="1">IF(OR($A$2=1,B109=""),"",VLOOKUP(OP!$C$55,PA,$B109+1,0)*OP!$C$28)</f>
        <v/>
      </c>
      <c r="AE109" s="619"/>
      <c r="AF109" s="620" t="str">
        <f ca="1">IF(OR($A$2=1,B109=""),"",VLOOKUP(OP!$C$55,DIE,$B109+1,0)*OP!$C$28)</f>
        <v/>
      </c>
      <c r="AG109" s="620" t="str">
        <f ca="1">IF(OR($A$2=1,B109=""),"",VLOOKUP(OP!$C$55,CV,$B109+1,0)*OP!$C$28)</f>
        <v/>
      </c>
      <c r="AH109" s="615"/>
      <c r="AI109" s="620" t="str">
        <f ca="1">IF(OR($A$2=1,B109="",AND($B109&gt;=計算!$P$4,$C109&lt;15),ISERROR(VLOOKUP($B109,MORE_PV,4,0))),"",VLOOKUP($B109,MORE_PV,4,0))</f>
        <v/>
      </c>
      <c r="AJ109" s="621" t="str">
        <f t="shared" ca="1" si="31"/>
        <v/>
      </c>
      <c r="AK109" s="621" t="str">
        <f t="shared" ca="1" si="32"/>
        <v/>
      </c>
    </row>
    <row r="110" spans="2:37" s="622" customFormat="1" ht="10.5" customHeight="1">
      <c r="B110" s="866" t="str">
        <f t="shared" ca="1" si="33"/>
        <v/>
      </c>
      <c r="C110" s="864" t="str">
        <f ca="1">IF(OR($A$2=1,MAX($C$20:$C$76,$C$85:C109)&gt;=110),"",C109+(B110-B109))</f>
        <v/>
      </c>
      <c r="D110" s="1220" t="str">
        <f t="shared" ca="1" si="22"/>
        <v/>
      </c>
      <c r="E110" s="1220"/>
      <c r="F110" s="1220" t="str">
        <f t="shared" ca="1" si="23"/>
        <v/>
      </c>
      <c r="G110" s="1220"/>
      <c r="H110" s="1220"/>
      <c r="I110" s="1220" t="str">
        <f t="shared" ca="1" si="24"/>
        <v/>
      </c>
      <c r="J110" s="1220"/>
      <c r="K110" s="1220"/>
      <c r="L110" s="1220" t="str">
        <f t="shared" ca="1" si="25"/>
        <v/>
      </c>
      <c r="M110" s="1220"/>
      <c r="N110" s="1220"/>
      <c r="O110" s="1220" t="str">
        <f t="shared" ca="1" si="26"/>
        <v/>
      </c>
      <c r="P110" s="1220"/>
      <c r="Q110" s="1220"/>
      <c r="R110" s="1220" t="str">
        <f t="shared" ca="1" si="27"/>
        <v/>
      </c>
      <c r="S110" s="1220"/>
      <c r="T110" s="1220"/>
      <c r="U110" s="1220" t="str">
        <f t="shared" ca="1" si="28"/>
        <v/>
      </c>
      <c r="V110" s="1220"/>
      <c r="W110" s="1220"/>
      <c r="X110" s="623"/>
      <c r="Y110" s="624"/>
      <c r="Z110" s="616" t="str">
        <f t="shared" ca="1" si="29"/>
        <v/>
      </c>
      <c r="AA110" s="617" t="str">
        <f t="shared" ca="1" si="30"/>
        <v/>
      </c>
      <c r="AB110" s="618" t="str">
        <f ca="1">IF($B110="","",VLOOKUP(OP!$C$55,PVFB,$B110+2,0))</f>
        <v/>
      </c>
      <c r="AC110" s="619"/>
      <c r="AD110" s="620" t="str">
        <f ca="1">IF(OR($A$2=1,B110=""),"",VLOOKUP(OP!$C$55,PA,$B110+1,0)*OP!$C$28)</f>
        <v/>
      </c>
      <c r="AE110" s="619"/>
      <c r="AF110" s="620" t="str">
        <f ca="1">IF(OR($A$2=1,B110=""),"",VLOOKUP(OP!$C$55,DIE,$B110+1,0)*OP!$C$28)</f>
        <v/>
      </c>
      <c r="AG110" s="620" t="str">
        <f ca="1">IF(OR($A$2=1,B110=""),"",VLOOKUP(OP!$C$55,CV,$B110+1,0)*OP!$C$28)</f>
        <v/>
      </c>
      <c r="AH110" s="615"/>
      <c r="AI110" s="620" t="str">
        <f ca="1">IF(OR($A$2=1,B110="",AND($B110&gt;=計算!$P$4,$C110&lt;15),ISERROR(VLOOKUP($B110,MORE_PV,4,0))),"",VLOOKUP($B110,MORE_PV,4,0))</f>
        <v/>
      </c>
      <c r="AJ110" s="621" t="str">
        <f t="shared" ca="1" si="31"/>
        <v/>
      </c>
      <c r="AK110" s="621" t="str">
        <f t="shared" ca="1" si="32"/>
        <v/>
      </c>
    </row>
    <row r="111" spans="2:37" s="622" customFormat="1" ht="10.5" customHeight="1">
      <c r="B111" s="866" t="str">
        <f t="shared" ca="1" si="33"/>
        <v/>
      </c>
      <c r="C111" s="864" t="str">
        <f ca="1">IF(OR($A$2=1,MAX($C$20:$C$76,$C$85:C110)&gt;=110),"",C110+(B111-B110))</f>
        <v/>
      </c>
      <c r="D111" s="1220" t="str">
        <f t="shared" ca="1" si="22"/>
        <v/>
      </c>
      <c r="E111" s="1220"/>
      <c r="F111" s="1220" t="str">
        <f t="shared" ca="1" si="23"/>
        <v/>
      </c>
      <c r="G111" s="1220"/>
      <c r="H111" s="1220"/>
      <c r="I111" s="1220" t="str">
        <f t="shared" ca="1" si="24"/>
        <v/>
      </c>
      <c r="J111" s="1220"/>
      <c r="K111" s="1220"/>
      <c r="L111" s="1220" t="str">
        <f t="shared" ca="1" si="25"/>
        <v/>
      </c>
      <c r="M111" s="1220"/>
      <c r="N111" s="1220"/>
      <c r="O111" s="1220" t="str">
        <f t="shared" ca="1" si="26"/>
        <v/>
      </c>
      <c r="P111" s="1220"/>
      <c r="Q111" s="1220"/>
      <c r="R111" s="1220" t="str">
        <f t="shared" ca="1" si="27"/>
        <v/>
      </c>
      <c r="S111" s="1220"/>
      <c r="T111" s="1220"/>
      <c r="U111" s="1220" t="str">
        <f t="shared" ca="1" si="28"/>
        <v/>
      </c>
      <c r="V111" s="1220"/>
      <c r="W111" s="1220"/>
      <c r="X111" s="623"/>
      <c r="Y111" s="624"/>
      <c r="Z111" s="616" t="str">
        <f t="shared" ca="1" si="29"/>
        <v/>
      </c>
      <c r="AA111" s="617" t="str">
        <f t="shared" ca="1" si="30"/>
        <v/>
      </c>
      <c r="AB111" s="618" t="str">
        <f ca="1">IF($B111="","",VLOOKUP(OP!$C$55,PVFB,$B111+2,0))</f>
        <v/>
      </c>
      <c r="AC111" s="619"/>
      <c r="AD111" s="620" t="str">
        <f ca="1">IF(OR($A$2=1,B111=""),"",VLOOKUP(OP!$C$55,PA,$B111+1,0)*OP!$C$28)</f>
        <v/>
      </c>
      <c r="AE111" s="619"/>
      <c r="AF111" s="620" t="str">
        <f ca="1">IF(OR($A$2=1,B111=""),"",VLOOKUP(OP!$C$55,DIE,$B111+1,0)*OP!$C$28)</f>
        <v/>
      </c>
      <c r="AG111" s="620" t="str">
        <f ca="1">IF(OR($A$2=1,B111=""),"",VLOOKUP(OP!$C$55,CV,$B111+1,0)*OP!$C$28)</f>
        <v/>
      </c>
      <c r="AH111" s="615"/>
      <c r="AI111" s="620" t="str">
        <f ca="1">IF(OR($A$2=1,B111="",AND($B111&gt;=計算!$P$4,$C111&lt;15),ISERROR(VLOOKUP($B111,MORE_PV,4,0))),"",VLOOKUP($B111,MORE_PV,4,0))</f>
        <v/>
      </c>
      <c r="AJ111" s="621" t="str">
        <f t="shared" ca="1" si="31"/>
        <v/>
      </c>
      <c r="AK111" s="621" t="str">
        <f t="shared" ca="1" si="32"/>
        <v/>
      </c>
    </row>
    <row r="112" spans="2:37" s="622" customFormat="1" ht="10.5" customHeight="1">
      <c r="B112" s="866" t="str">
        <f t="shared" ca="1" si="33"/>
        <v/>
      </c>
      <c r="C112" s="864" t="str">
        <f ca="1">IF(OR($A$2=1,MAX($C$20:$C$76,$C$85:C111)&gt;=110),"",C111+(B112-B111))</f>
        <v/>
      </c>
      <c r="D112" s="1220" t="str">
        <f t="shared" ca="1" si="22"/>
        <v/>
      </c>
      <c r="E112" s="1220"/>
      <c r="F112" s="1220" t="str">
        <f t="shared" ca="1" si="23"/>
        <v/>
      </c>
      <c r="G112" s="1220"/>
      <c r="H112" s="1220"/>
      <c r="I112" s="1220" t="str">
        <f t="shared" ca="1" si="24"/>
        <v/>
      </c>
      <c r="J112" s="1220"/>
      <c r="K112" s="1220"/>
      <c r="L112" s="1220" t="str">
        <f t="shared" ca="1" si="25"/>
        <v/>
      </c>
      <c r="M112" s="1220"/>
      <c r="N112" s="1220"/>
      <c r="O112" s="1220" t="str">
        <f t="shared" ca="1" si="26"/>
        <v/>
      </c>
      <c r="P112" s="1220"/>
      <c r="Q112" s="1220"/>
      <c r="R112" s="1220" t="str">
        <f t="shared" ca="1" si="27"/>
        <v/>
      </c>
      <c r="S112" s="1220"/>
      <c r="T112" s="1220"/>
      <c r="U112" s="1220" t="str">
        <f t="shared" ca="1" si="28"/>
        <v/>
      </c>
      <c r="V112" s="1220"/>
      <c r="W112" s="1220"/>
      <c r="X112" s="623"/>
      <c r="Y112" s="624"/>
      <c r="Z112" s="616" t="str">
        <f t="shared" ca="1" si="29"/>
        <v/>
      </c>
      <c r="AA112" s="617" t="str">
        <f t="shared" ca="1" si="30"/>
        <v/>
      </c>
      <c r="AB112" s="618" t="str">
        <f ca="1">IF($B112="","",VLOOKUP(OP!$C$55,PVFB,$B112+2,0))</f>
        <v/>
      </c>
      <c r="AC112" s="619"/>
      <c r="AD112" s="620" t="str">
        <f ca="1">IF(OR($A$2=1,B112=""),"",VLOOKUP(OP!$C$55,PA,$B112+1,0)*OP!$C$28)</f>
        <v/>
      </c>
      <c r="AE112" s="619"/>
      <c r="AF112" s="620" t="str">
        <f ca="1">IF(OR($A$2=1,B112=""),"",VLOOKUP(OP!$C$55,DIE,$B112+1,0)*OP!$C$28)</f>
        <v/>
      </c>
      <c r="AG112" s="620" t="str">
        <f ca="1">IF(OR($A$2=1,B112=""),"",VLOOKUP(OP!$C$55,CV,$B112+1,0)*OP!$C$28)</f>
        <v/>
      </c>
      <c r="AH112" s="615"/>
      <c r="AI112" s="620" t="str">
        <f ca="1">IF(OR($A$2=1,B112="",AND($B112&gt;=計算!$P$4,$C112&lt;15),ISERROR(VLOOKUP($B112,MORE_PV,4,0))),"",VLOOKUP($B112,MORE_PV,4,0))</f>
        <v/>
      </c>
      <c r="AJ112" s="621" t="str">
        <f t="shared" ca="1" si="31"/>
        <v/>
      </c>
      <c r="AK112" s="621" t="str">
        <f t="shared" ca="1" si="32"/>
        <v/>
      </c>
    </row>
    <row r="113" spans="2:37" s="622" customFormat="1" ht="10.5" customHeight="1">
      <c r="B113" s="866" t="str">
        <f t="shared" ca="1" si="33"/>
        <v/>
      </c>
      <c r="C113" s="864" t="str">
        <f ca="1">IF(OR($A$2=1,MAX($C$20:$C$76,$C$85:C112)&gt;=110),"",C112+(B113-B112))</f>
        <v/>
      </c>
      <c r="D113" s="1220" t="str">
        <f t="shared" ca="1" si="22"/>
        <v/>
      </c>
      <c r="E113" s="1220"/>
      <c r="F113" s="1220" t="str">
        <f t="shared" ca="1" si="23"/>
        <v/>
      </c>
      <c r="G113" s="1220"/>
      <c r="H113" s="1220"/>
      <c r="I113" s="1220" t="str">
        <f t="shared" ca="1" si="24"/>
        <v/>
      </c>
      <c r="J113" s="1220"/>
      <c r="K113" s="1220"/>
      <c r="L113" s="1220" t="str">
        <f t="shared" ca="1" si="25"/>
        <v/>
      </c>
      <c r="M113" s="1220"/>
      <c r="N113" s="1220"/>
      <c r="O113" s="1220" t="str">
        <f t="shared" ca="1" si="26"/>
        <v/>
      </c>
      <c r="P113" s="1220"/>
      <c r="Q113" s="1220"/>
      <c r="R113" s="1220" t="str">
        <f t="shared" ca="1" si="27"/>
        <v/>
      </c>
      <c r="S113" s="1220"/>
      <c r="T113" s="1220"/>
      <c r="U113" s="1220" t="str">
        <f t="shared" ca="1" si="28"/>
        <v/>
      </c>
      <c r="V113" s="1220"/>
      <c r="W113" s="1220"/>
      <c r="X113" s="623"/>
      <c r="Y113" s="624"/>
      <c r="Z113" s="616" t="str">
        <f t="shared" ca="1" si="29"/>
        <v/>
      </c>
      <c r="AA113" s="617" t="str">
        <f t="shared" ca="1" si="30"/>
        <v/>
      </c>
      <c r="AB113" s="618" t="str">
        <f ca="1">IF($B113="","",VLOOKUP(OP!$C$55,PVFB,$B113+2,0))</f>
        <v/>
      </c>
      <c r="AC113" s="619"/>
      <c r="AD113" s="620" t="str">
        <f ca="1">IF(OR($A$2=1,B113=""),"",VLOOKUP(OP!$C$55,PA,$B113+1,0)*OP!$C$28)</f>
        <v/>
      </c>
      <c r="AE113" s="619"/>
      <c r="AF113" s="620" t="str">
        <f ca="1">IF(OR($A$2=1,B113=""),"",VLOOKUP(OP!$C$55,DIE,$B113+1,0)*OP!$C$28)</f>
        <v/>
      </c>
      <c r="AG113" s="620" t="str">
        <f ca="1">IF(OR($A$2=1,B113=""),"",VLOOKUP(OP!$C$55,CV,$B113+1,0)*OP!$C$28)</f>
        <v/>
      </c>
      <c r="AH113" s="615"/>
      <c r="AI113" s="620" t="str">
        <f ca="1">IF(OR($A$2=1,B113="",AND($B113&gt;=計算!$P$4,$C113&lt;15),ISERROR(VLOOKUP($B113,MORE_PV,4,0))),"",VLOOKUP($B113,MORE_PV,4,0))</f>
        <v/>
      </c>
      <c r="AJ113" s="621" t="str">
        <f t="shared" ca="1" si="31"/>
        <v/>
      </c>
      <c r="AK113" s="621" t="str">
        <f t="shared" ca="1" si="32"/>
        <v/>
      </c>
    </row>
    <row r="114" spans="2:37" s="622" customFormat="1" ht="10.5" customHeight="1">
      <c r="B114" s="866" t="str">
        <f t="shared" ca="1" si="33"/>
        <v/>
      </c>
      <c r="C114" s="864" t="str">
        <f ca="1">IF(OR($A$2=1,MAX($C$20:$C$76,$C$85:C113)&gt;=110),"",C113+(B114-B113))</f>
        <v/>
      </c>
      <c r="D114" s="1220" t="str">
        <f t="shared" ca="1" si="22"/>
        <v/>
      </c>
      <c r="E114" s="1220"/>
      <c r="F114" s="1220" t="str">
        <f t="shared" ca="1" si="23"/>
        <v/>
      </c>
      <c r="G114" s="1220"/>
      <c r="H114" s="1220"/>
      <c r="I114" s="1220" t="str">
        <f t="shared" ca="1" si="24"/>
        <v/>
      </c>
      <c r="J114" s="1220"/>
      <c r="K114" s="1220"/>
      <c r="L114" s="1220" t="str">
        <f t="shared" ca="1" si="25"/>
        <v/>
      </c>
      <c r="M114" s="1220"/>
      <c r="N114" s="1220"/>
      <c r="O114" s="1220" t="str">
        <f t="shared" ca="1" si="26"/>
        <v/>
      </c>
      <c r="P114" s="1220"/>
      <c r="Q114" s="1220"/>
      <c r="R114" s="1220" t="str">
        <f t="shared" ca="1" si="27"/>
        <v/>
      </c>
      <c r="S114" s="1220"/>
      <c r="T114" s="1220"/>
      <c r="U114" s="1220" t="str">
        <f t="shared" ca="1" si="28"/>
        <v/>
      </c>
      <c r="V114" s="1220"/>
      <c r="W114" s="1220"/>
      <c r="X114" s="623"/>
      <c r="Y114" s="624"/>
      <c r="Z114" s="616" t="str">
        <f t="shared" ca="1" si="29"/>
        <v/>
      </c>
      <c r="AA114" s="617" t="str">
        <f t="shared" ca="1" si="30"/>
        <v/>
      </c>
      <c r="AB114" s="618" t="str">
        <f ca="1">IF($B114="","",VLOOKUP(OP!$C$55,PVFB,$B114+2,0))</f>
        <v/>
      </c>
      <c r="AC114" s="619"/>
      <c r="AD114" s="620" t="str">
        <f ca="1">IF(OR($A$2=1,B114=""),"",VLOOKUP(OP!$C$55,PA,$B114+1,0)*OP!$C$28)</f>
        <v/>
      </c>
      <c r="AE114" s="619"/>
      <c r="AF114" s="620" t="str">
        <f ca="1">IF(OR($A$2=1,B114=""),"",VLOOKUP(OP!$C$55,DIE,$B114+1,0)*OP!$C$28)</f>
        <v/>
      </c>
      <c r="AG114" s="620" t="str">
        <f ca="1">IF(OR($A$2=1,B114=""),"",VLOOKUP(OP!$C$55,CV,$B114+1,0)*OP!$C$28)</f>
        <v/>
      </c>
      <c r="AH114" s="615"/>
      <c r="AI114" s="620" t="str">
        <f ca="1">IF(OR($A$2=1,B114="",AND($B114&gt;=計算!$P$4,$C114&lt;15),ISERROR(VLOOKUP($B114,MORE_PV,4,0))),"",VLOOKUP($B114,MORE_PV,4,0))</f>
        <v/>
      </c>
      <c r="AJ114" s="621" t="str">
        <f t="shared" ca="1" si="31"/>
        <v/>
      </c>
      <c r="AK114" s="621" t="str">
        <f t="shared" ca="1" si="32"/>
        <v/>
      </c>
    </row>
    <row r="115" spans="2:37" s="622" customFormat="1" ht="10.5" customHeight="1">
      <c r="B115" s="866" t="str">
        <f t="shared" ca="1" si="33"/>
        <v/>
      </c>
      <c r="C115" s="864" t="str">
        <f ca="1">IF(OR($A$2=1,MAX($C$20:$C$76,$C$85:C114)&gt;=110),"",C114+(B115-B114))</f>
        <v/>
      </c>
      <c r="D115" s="1220" t="str">
        <f t="shared" ca="1" si="22"/>
        <v/>
      </c>
      <c r="E115" s="1220"/>
      <c r="F115" s="1220" t="str">
        <f t="shared" ca="1" si="23"/>
        <v/>
      </c>
      <c r="G115" s="1220"/>
      <c r="H115" s="1220"/>
      <c r="I115" s="1220" t="str">
        <f t="shared" ca="1" si="24"/>
        <v/>
      </c>
      <c r="J115" s="1220"/>
      <c r="K115" s="1220"/>
      <c r="L115" s="1220" t="str">
        <f t="shared" ca="1" si="25"/>
        <v/>
      </c>
      <c r="M115" s="1220"/>
      <c r="N115" s="1220"/>
      <c r="O115" s="1220" t="str">
        <f t="shared" ca="1" si="26"/>
        <v/>
      </c>
      <c r="P115" s="1220"/>
      <c r="Q115" s="1220"/>
      <c r="R115" s="1220" t="str">
        <f t="shared" ca="1" si="27"/>
        <v/>
      </c>
      <c r="S115" s="1220"/>
      <c r="T115" s="1220"/>
      <c r="U115" s="1220" t="str">
        <f t="shared" ca="1" si="28"/>
        <v/>
      </c>
      <c r="V115" s="1220"/>
      <c r="W115" s="1220"/>
      <c r="X115" s="623"/>
      <c r="Y115" s="624"/>
      <c r="Z115" s="616" t="str">
        <f t="shared" ca="1" si="29"/>
        <v/>
      </c>
      <c r="AA115" s="617" t="str">
        <f t="shared" ca="1" si="30"/>
        <v/>
      </c>
      <c r="AB115" s="618" t="str">
        <f ca="1">IF($B115="","",VLOOKUP(OP!$C$55,PVFB,$B115+2,0))</f>
        <v/>
      </c>
      <c r="AC115" s="619"/>
      <c r="AD115" s="620" t="str">
        <f ca="1">IF(OR($A$2=1,B115=""),"",VLOOKUP(OP!$C$55,PA,$B115+1,0)*OP!$C$28)</f>
        <v/>
      </c>
      <c r="AE115" s="619"/>
      <c r="AF115" s="620" t="str">
        <f ca="1">IF(OR($A$2=1,B115=""),"",VLOOKUP(OP!$C$55,DIE,$B115+1,0)*OP!$C$28)</f>
        <v/>
      </c>
      <c r="AG115" s="620" t="str">
        <f ca="1">IF(OR($A$2=1,B115=""),"",VLOOKUP(OP!$C$55,CV,$B115+1,0)*OP!$C$28)</f>
        <v/>
      </c>
      <c r="AH115" s="615"/>
      <c r="AI115" s="620" t="str">
        <f ca="1">IF(OR($A$2=1,B115="",AND($B115&gt;=計算!$P$4,$C115&lt;15),ISERROR(VLOOKUP($B115,MORE_PV,4,0))),"",VLOOKUP($B115,MORE_PV,4,0))</f>
        <v/>
      </c>
      <c r="AJ115" s="621" t="str">
        <f t="shared" ref="AJ115:AJ138" ca="1" si="34">IF(OR($A$2=1,B115=""),"",VLOOKUP($B115,MORE_PV,8,0))</f>
        <v/>
      </c>
      <c r="AK115" s="621" t="str">
        <f t="shared" ref="AK115:AK138" ca="1" si="35">IF(OR($A$2=1,B115=""),"",ROUND(VLOOKUP($B115,MORE_PV,7,0),0))</f>
        <v/>
      </c>
    </row>
    <row r="116" spans="2:37" s="622" customFormat="1" ht="10.5" customHeight="1">
      <c r="B116" s="866" t="str">
        <f t="shared" ca="1" si="33"/>
        <v/>
      </c>
      <c r="C116" s="864" t="str">
        <f ca="1">IF(OR($A$2=1,MAX($C$20:$C$76,$C$85:C115)&gt;=110),"",C115+(B116-B115))</f>
        <v/>
      </c>
      <c r="D116" s="1220" t="str">
        <f t="shared" ca="1" si="22"/>
        <v/>
      </c>
      <c r="E116" s="1220"/>
      <c r="F116" s="1220" t="str">
        <f t="shared" ca="1" si="23"/>
        <v/>
      </c>
      <c r="G116" s="1220"/>
      <c r="H116" s="1220"/>
      <c r="I116" s="1220" t="str">
        <f t="shared" ca="1" si="24"/>
        <v/>
      </c>
      <c r="J116" s="1220"/>
      <c r="K116" s="1220"/>
      <c r="L116" s="1220" t="str">
        <f t="shared" ca="1" si="25"/>
        <v/>
      </c>
      <c r="M116" s="1220"/>
      <c r="N116" s="1220"/>
      <c r="O116" s="1220" t="str">
        <f t="shared" ca="1" si="26"/>
        <v/>
      </c>
      <c r="P116" s="1220"/>
      <c r="Q116" s="1220"/>
      <c r="R116" s="1220" t="str">
        <f t="shared" ca="1" si="27"/>
        <v/>
      </c>
      <c r="S116" s="1220"/>
      <c r="T116" s="1220"/>
      <c r="U116" s="1220" t="str">
        <f t="shared" ca="1" si="28"/>
        <v/>
      </c>
      <c r="V116" s="1220"/>
      <c r="W116" s="1220"/>
      <c r="X116" s="623"/>
      <c r="Y116" s="624"/>
      <c r="Z116" s="616" t="str">
        <f t="shared" ca="1" si="29"/>
        <v/>
      </c>
      <c r="AA116" s="617" t="str">
        <f t="shared" ca="1" si="30"/>
        <v/>
      </c>
      <c r="AB116" s="618" t="str">
        <f ca="1">IF($B116="","",VLOOKUP(OP!$C$55,PVFB,$B116+2,0))</f>
        <v/>
      </c>
      <c r="AC116" s="619"/>
      <c r="AD116" s="620" t="str">
        <f ca="1">IF(OR($A$2=1,B116=""),"",VLOOKUP(OP!$C$55,PA,$B116+1,0)*OP!$C$28)</f>
        <v/>
      </c>
      <c r="AE116" s="619"/>
      <c r="AF116" s="620" t="str">
        <f ca="1">IF(OR($A$2=1,B116=""),"",VLOOKUP(OP!$C$55,DIE,$B116+1,0)*OP!$C$28)</f>
        <v/>
      </c>
      <c r="AG116" s="620" t="str">
        <f ca="1">IF(OR($A$2=1,B116=""),"",VLOOKUP(OP!$C$55,CV,$B116+1,0)*OP!$C$28)</f>
        <v/>
      </c>
      <c r="AH116" s="615"/>
      <c r="AI116" s="620" t="str">
        <f ca="1">IF(OR($A$2=1,B116="",AND($B116&gt;=計算!$P$4,$C116&lt;15),ISERROR(VLOOKUP($B116,MORE_PV,4,0))),"",VLOOKUP($B116,MORE_PV,4,0))</f>
        <v/>
      </c>
      <c r="AJ116" s="621" t="str">
        <f t="shared" ca="1" si="34"/>
        <v/>
      </c>
      <c r="AK116" s="621" t="str">
        <f t="shared" ca="1" si="35"/>
        <v/>
      </c>
    </row>
    <row r="117" spans="2:37" s="622" customFormat="1" ht="10.5" customHeight="1">
      <c r="B117" s="866" t="str">
        <f t="shared" ca="1" si="33"/>
        <v/>
      </c>
      <c r="C117" s="864" t="str">
        <f ca="1">IF(OR($A$2=1,MAX($C$20:$C$76,$C$85:C116)&gt;=110),"",C116+(B117-B116))</f>
        <v/>
      </c>
      <c r="D117" s="1220" t="str">
        <f t="shared" ref="D117:D138" ca="1" si="36">IF(OR($A$2=1,$B117="",VLOOKUP($B117,TOV,3,0)=0),"",VLOOKUP($B117,TOV,3,0))</f>
        <v/>
      </c>
      <c r="E117" s="1220"/>
      <c r="F117" s="1220" t="str">
        <f t="shared" ref="F117:F138" ca="1" si="37">IF(OR($A$2=1,$B117="",VLOOKUP($B117,TOV,4,0)=0),"",VLOOKUP($B117,TOV,4,0))</f>
        <v/>
      </c>
      <c r="G117" s="1220"/>
      <c r="H117" s="1220"/>
      <c r="I117" s="1220" t="str">
        <f t="shared" ref="I117:I138" ca="1" si="38">IF(OR($A$2=1,$B117="",VLOOKUP($B117,TOV,10,0)=0),"",VLOOKUP($B117,TOV,10,0))</f>
        <v/>
      </c>
      <c r="J117" s="1220"/>
      <c r="K117" s="1220"/>
      <c r="L117" s="1220" t="str">
        <f t="shared" ref="L117:L138" ca="1" si="39">IF(OR($A$2=1,$B117="",VLOOKUP($B117,TOV,11,0)=0),"",VLOOKUP($B117,TOV,11,0))</f>
        <v/>
      </c>
      <c r="M117" s="1220"/>
      <c r="N117" s="1220"/>
      <c r="O117" s="1220" t="str">
        <f t="shared" ref="O117:O138" ca="1" si="40">IF(OR($A$2=1,$B117="",VLOOKUP($B117,TOV,13,0)=0),"",VLOOKUP($B117,TOV,13,0))</f>
        <v/>
      </c>
      <c r="P117" s="1220"/>
      <c r="Q117" s="1220"/>
      <c r="R117" s="1220" t="str">
        <f t="shared" ref="R117:R138" ca="1" si="41">IF(OR($A$2=1,$B117="",VLOOKUP($B117,TOV,20,0)=0),"",VLOOKUP($B117,TOV,20,0))</f>
        <v/>
      </c>
      <c r="S117" s="1220"/>
      <c r="T117" s="1220"/>
      <c r="U117" s="1220" t="str">
        <f t="shared" ref="U117:U138" ca="1" si="42">IF(OR($A$2=1,$B117="",VLOOKUP($B117,TOV,21,0)=0),"",VLOOKUP($B117,TOV,21,0))</f>
        <v/>
      </c>
      <c r="V117" s="1220"/>
      <c r="W117" s="1220"/>
      <c r="X117" s="623"/>
      <c r="Y117" s="624"/>
      <c r="Z117" s="616" t="str">
        <f t="shared" ca="1" si="29"/>
        <v/>
      </c>
      <c r="AA117" s="617" t="str">
        <f t="shared" ca="1" si="30"/>
        <v/>
      </c>
      <c r="AB117" s="618" t="str">
        <f ca="1">IF($B117="","",VLOOKUP(OP!$C$55,PVFB,$B117+2,0))</f>
        <v/>
      </c>
      <c r="AC117" s="619"/>
      <c r="AD117" s="620" t="str">
        <f ca="1">IF(OR($A$2=1,B117=""),"",VLOOKUP(OP!$C$55,PA,$B117+1,0)*OP!$C$28)</f>
        <v/>
      </c>
      <c r="AE117" s="619"/>
      <c r="AF117" s="620" t="str">
        <f ca="1">IF(OR($A$2=1,B117=""),"",VLOOKUP(OP!$C$55,DIE,$B117+1,0)*OP!$C$28)</f>
        <v/>
      </c>
      <c r="AG117" s="620" t="str">
        <f ca="1">IF(OR($A$2=1,B117=""),"",VLOOKUP(OP!$C$55,CV,$B117+1,0)*OP!$C$28)</f>
        <v/>
      </c>
      <c r="AH117" s="615"/>
      <c r="AI117" s="620" t="str">
        <f ca="1">IF(OR($A$2=1,B117="",AND($B117&gt;=計算!$P$4,$C117&lt;15),ISERROR(VLOOKUP($B117,MORE_PV,4,0))),"",VLOOKUP($B117,MORE_PV,4,0))</f>
        <v/>
      </c>
      <c r="AJ117" s="621" t="str">
        <f t="shared" ca="1" si="34"/>
        <v/>
      </c>
      <c r="AK117" s="621" t="str">
        <f t="shared" ca="1" si="35"/>
        <v/>
      </c>
    </row>
    <row r="118" spans="2:37" s="622" customFormat="1" ht="10.5" customHeight="1">
      <c r="B118" s="866" t="str">
        <f t="shared" ca="1" si="33"/>
        <v/>
      </c>
      <c r="C118" s="864" t="str">
        <f ca="1">IF(OR($A$2=1,MAX($C$20:$C$76,$C$85:C117)&gt;=110),"",C117+(B118-B117))</f>
        <v/>
      </c>
      <c r="D118" s="1220" t="str">
        <f t="shared" ca="1" si="36"/>
        <v/>
      </c>
      <c r="E118" s="1220"/>
      <c r="F118" s="1220" t="str">
        <f t="shared" ca="1" si="37"/>
        <v/>
      </c>
      <c r="G118" s="1220"/>
      <c r="H118" s="1220"/>
      <c r="I118" s="1220" t="str">
        <f t="shared" ca="1" si="38"/>
        <v/>
      </c>
      <c r="J118" s="1220"/>
      <c r="K118" s="1220"/>
      <c r="L118" s="1220" t="str">
        <f t="shared" ca="1" si="39"/>
        <v/>
      </c>
      <c r="M118" s="1220"/>
      <c r="N118" s="1220"/>
      <c r="O118" s="1220" t="str">
        <f t="shared" ca="1" si="40"/>
        <v/>
      </c>
      <c r="P118" s="1220"/>
      <c r="Q118" s="1220"/>
      <c r="R118" s="1220" t="str">
        <f t="shared" ca="1" si="41"/>
        <v/>
      </c>
      <c r="S118" s="1220"/>
      <c r="T118" s="1220"/>
      <c r="U118" s="1220" t="str">
        <f t="shared" ca="1" si="42"/>
        <v/>
      </c>
      <c r="V118" s="1220"/>
      <c r="W118" s="1220"/>
      <c r="X118" s="623"/>
      <c r="Y118" s="624"/>
      <c r="Z118" s="616" t="str">
        <f t="shared" ca="1" si="29"/>
        <v/>
      </c>
      <c r="AA118" s="617" t="str">
        <f t="shared" ca="1" si="30"/>
        <v/>
      </c>
      <c r="AB118" s="618" t="str">
        <f ca="1">IF($B118="","",VLOOKUP(OP!$C$55,PVFB,$B118+2,0))</f>
        <v/>
      </c>
      <c r="AC118" s="619"/>
      <c r="AD118" s="620" t="str">
        <f ca="1">IF(OR($A$2=1,B118=""),"",VLOOKUP(OP!$C$55,PA,$B118+1,0)*OP!$C$28)</f>
        <v/>
      </c>
      <c r="AE118" s="619"/>
      <c r="AF118" s="620" t="str">
        <f ca="1">IF(OR($A$2=1,B118=""),"",VLOOKUP(OP!$C$55,DIE,$B118+1,0)*OP!$C$28)</f>
        <v/>
      </c>
      <c r="AG118" s="620" t="str">
        <f ca="1">IF(OR($A$2=1,B118=""),"",VLOOKUP(OP!$C$55,CV,$B118+1,0)*OP!$C$28)</f>
        <v/>
      </c>
      <c r="AH118" s="615"/>
      <c r="AI118" s="620" t="str">
        <f ca="1">IF(OR($A$2=1,B118="",AND($B118&gt;=計算!$P$4,$C118&lt;15),ISERROR(VLOOKUP($B118,MORE_PV,4,0))),"",VLOOKUP($B118,MORE_PV,4,0))</f>
        <v/>
      </c>
      <c r="AJ118" s="621" t="str">
        <f t="shared" ca="1" si="34"/>
        <v/>
      </c>
      <c r="AK118" s="621" t="str">
        <f t="shared" ca="1" si="35"/>
        <v/>
      </c>
    </row>
    <row r="119" spans="2:37" s="622" customFormat="1" ht="10.5" customHeight="1">
      <c r="B119" s="866" t="str">
        <f t="shared" ca="1" si="33"/>
        <v/>
      </c>
      <c r="C119" s="864" t="str">
        <f ca="1">IF(OR($A$2=1,MAX($C$20:$C$76,$C$85:C118)&gt;=110),"",C118+(B119-B118))</f>
        <v/>
      </c>
      <c r="D119" s="1220" t="str">
        <f t="shared" ca="1" si="36"/>
        <v/>
      </c>
      <c r="E119" s="1220"/>
      <c r="F119" s="1220" t="str">
        <f t="shared" ca="1" si="37"/>
        <v/>
      </c>
      <c r="G119" s="1220"/>
      <c r="H119" s="1220"/>
      <c r="I119" s="1220" t="str">
        <f t="shared" ca="1" si="38"/>
        <v/>
      </c>
      <c r="J119" s="1220"/>
      <c r="K119" s="1220"/>
      <c r="L119" s="1220" t="str">
        <f t="shared" ca="1" si="39"/>
        <v/>
      </c>
      <c r="M119" s="1220"/>
      <c r="N119" s="1220"/>
      <c r="O119" s="1220" t="str">
        <f t="shared" ca="1" si="40"/>
        <v/>
      </c>
      <c r="P119" s="1220"/>
      <c r="Q119" s="1220"/>
      <c r="R119" s="1220" t="str">
        <f t="shared" ca="1" si="41"/>
        <v/>
      </c>
      <c r="S119" s="1220"/>
      <c r="T119" s="1220"/>
      <c r="U119" s="1220" t="str">
        <f t="shared" ca="1" si="42"/>
        <v/>
      </c>
      <c r="V119" s="1220"/>
      <c r="W119" s="1220"/>
      <c r="X119" s="623"/>
      <c r="Y119" s="624"/>
      <c r="Z119" s="616" t="str">
        <f t="shared" ca="1" si="29"/>
        <v/>
      </c>
      <c r="AA119" s="617" t="str">
        <f t="shared" ca="1" si="30"/>
        <v/>
      </c>
      <c r="AB119" s="618" t="str">
        <f ca="1">IF($B119="","",VLOOKUP(OP!$C$55,PVFB,$B119+2,0))</f>
        <v/>
      </c>
      <c r="AC119" s="619"/>
      <c r="AD119" s="620" t="str">
        <f ca="1">IF(OR($A$2=1,B119=""),"",VLOOKUP(OP!$C$55,PA,$B119+1,0)*OP!$C$28)</f>
        <v/>
      </c>
      <c r="AE119" s="619"/>
      <c r="AF119" s="620" t="str">
        <f ca="1">IF(OR($A$2=1,B119=""),"",VLOOKUP(OP!$C$55,DIE,$B119+1,0)*OP!$C$28)</f>
        <v/>
      </c>
      <c r="AG119" s="620" t="str">
        <f ca="1">IF(OR($A$2=1,B119=""),"",VLOOKUP(OP!$C$55,CV,$B119+1,0)*OP!$C$28)</f>
        <v/>
      </c>
      <c r="AH119" s="615"/>
      <c r="AI119" s="620" t="str">
        <f ca="1">IF(OR($A$2=1,B119="",AND($B119&gt;=計算!$P$4,$C119&lt;15),ISERROR(VLOOKUP($B119,MORE_PV,4,0))),"",VLOOKUP($B119,MORE_PV,4,0))</f>
        <v/>
      </c>
      <c r="AJ119" s="621" t="str">
        <f t="shared" ca="1" si="34"/>
        <v/>
      </c>
      <c r="AK119" s="621" t="str">
        <f t="shared" ca="1" si="35"/>
        <v/>
      </c>
    </row>
    <row r="120" spans="2:37" s="622" customFormat="1" ht="10.5" customHeight="1">
      <c r="B120" s="866" t="str">
        <f t="shared" ca="1" si="33"/>
        <v/>
      </c>
      <c r="C120" s="864" t="str">
        <f ca="1">IF(OR($A$2=1,MAX($C$20:$C$76,$C$85:C119)&gt;=110),"",C119+(B120-B119))</f>
        <v/>
      </c>
      <c r="D120" s="1220" t="str">
        <f t="shared" ca="1" si="36"/>
        <v/>
      </c>
      <c r="E120" s="1220"/>
      <c r="F120" s="1220" t="str">
        <f t="shared" ca="1" si="37"/>
        <v/>
      </c>
      <c r="G120" s="1220"/>
      <c r="H120" s="1220"/>
      <c r="I120" s="1220" t="str">
        <f t="shared" ca="1" si="38"/>
        <v/>
      </c>
      <c r="J120" s="1220"/>
      <c r="K120" s="1220"/>
      <c r="L120" s="1220" t="str">
        <f t="shared" ca="1" si="39"/>
        <v/>
      </c>
      <c r="M120" s="1220"/>
      <c r="N120" s="1220"/>
      <c r="O120" s="1220" t="str">
        <f t="shared" ca="1" si="40"/>
        <v/>
      </c>
      <c r="P120" s="1220"/>
      <c r="Q120" s="1220"/>
      <c r="R120" s="1220" t="str">
        <f t="shared" ca="1" si="41"/>
        <v/>
      </c>
      <c r="S120" s="1220"/>
      <c r="T120" s="1220"/>
      <c r="U120" s="1220" t="str">
        <f t="shared" ca="1" si="42"/>
        <v/>
      </c>
      <c r="V120" s="1220"/>
      <c r="W120" s="1220"/>
      <c r="X120" s="623"/>
      <c r="Y120" s="624"/>
      <c r="Z120" s="616" t="str">
        <f t="shared" ca="1" si="29"/>
        <v/>
      </c>
      <c r="AA120" s="617" t="str">
        <f t="shared" ca="1" si="30"/>
        <v/>
      </c>
      <c r="AB120" s="618" t="str">
        <f ca="1">IF($B120="","",VLOOKUP(OP!$C$55,PVFB,$B120+2,0))</f>
        <v/>
      </c>
      <c r="AC120" s="619"/>
      <c r="AD120" s="620" t="str">
        <f ca="1">IF(OR($A$2=1,B120=""),"",VLOOKUP(OP!$C$55,PA,$B120+1,0)*OP!$C$28)</f>
        <v/>
      </c>
      <c r="AE120" s="619"/>
      <c r="AF120" s="620" t="str">
        <f ca="1">IF(OR($A$2=1,B120=""),"",VLOOKUP(OP!$C$55,DIE,$B120+1,0)*OP!$C$28)</f>
        <v/>
      </c>
      <c r="AG120" s="620" t="str">
        <f ca="1">IF(OR($A$2=1,B120=""),"",VLOOKUP(OP!$C$55,CV,$B120+1,0)*OP!$C$28)</f>
        <v/>
      </c>
      <c r="AH120" s="615"/>
      <c r="AI120" s="620" t="str">
        <f ca="1">IF(OR($A$2=1,B120="",AND($B120&gt;=計算!$P$4,$C120&lt;15),ISERROR(VLOOKUP($B120,MORE_PV,4,0))),"",VLOOKUP($B120,MORE_PV,4,0))</f>
        <v/>
      </c>
      <c r="AJ120" s="621" t="str">
        <f t="shared" ca="1" si="34"/>
        <v/>
      </c>
      <c r="AK120" s="621" t="str">
        <f t="shared" ca="1" si="35"/>
        <v/>
      </c>
    </row>
    <row r="121" spans="2:37" s="622" customFormat="1" ht="10.5" customHeight="1">
      <c r="B121" s="866" t="str">
        <f t="shared" ca="1" si="33"/>
        <v/>
      </c>
      <c r="C121" s="864" t="str">
        <f ca="1">IF(OR($A$2=1,MAX($C$20:$C$76,$C$85:C120)&gt;=110),"",C120+(B121-B120))</f>
        <v/>
      </c>
      <c r="D121" s="1220" t="str">
        <f t="shared" ca="1" si="36"/>
        <v/>
      </c>
      <c r="E121" s="1220"/>
      <c r="F121" s="1220" t="str">
        <f t="shared" ca="1" si="37"/>
        <v/>
      </c>
      <c r="G121" s="1220"/>
      <c r="H121" s="1220"/>
      <c r="I121" s="1220" t="str">
        <f t="shared" ca="1" si="38"/>
        <v/>
      </c>
      <c r="J121" s="1220"/>
      <c r="K121" s="1220"/>
      <c r="L121" s="1220" t="str">
        <f t="shared" ca="1" si="39"/>
        <v/>
      </c>
      <c r="M121" s="1220"/>
      <c r="N121" s="1220"/>
      <c r="O121" s="1220" t="str">
        <f t="shared" ca="1" si="40"/>
        <v/>
      </c>
      <c r="P121" s="1220"/>
      <c r="Q121" s="1220"/>
      <c r="R121" s="1220" t="str">
        <f t="shared" ca="1" si="41"/>
        <v/>
      </c>
      <c r="S121" s="1220"/>
      <c r="T121" s="1220"/>
      <c r="U121" s="1220" t="str">
        <f t="shared" ca="1" si="42"/>
        <v/>
      </c>
      <c r="V121" s="1220"/>
      <c r="W121" s="1220"/>
      <c r="X121" s="623"/>
      <c r="Y121" s="624"/>
      <c r="Z121" s="616" t="str">
        <f t="shared" ca="1" si="29"/>
        <v/>
      </c>
      <c r="AA121" s="617" t="str">
        <f t="shared" ca="1" si="30"/>
        <v/>
      </c>
      <c r="AB121" s="618" t="str">
        <f ca="1">IF($B121="","",VLOOKUP(OP!$C$55,PVFB,$B121+2,0))</f>
        <v/>
      </c>
      <c r="AC121" s="619"/>
      <c r="AD121" s="620" t="str">
        <f ca="1">IF(OR($A$2=1,B121=""),"",VLOOKUP(OP!$C$55,PA,$B121+1,0)*OP!$C$28)</f>
        <v/>
      </c>
      <c r="AE121" s="619"/>
      <c r="AF121" s="620" t="str">
        <f ca="1">IF(OR($A$2=1,B121=""),"",VLOOKUP(OP!$C$55,DIE,$B121+1,0)*OP!$C$28)</f>
        <v/>
      </c>
      <c r="AG121" s="620" t="str">
        <f ca="1">IF(OR($A$2=1,B121=""),"",VLOOKUP(OP!$C$55,CV,$B121+1,0)*OP!$C$28)</f>
        <v/>
      </c>
      <c r="AH121" s="615"/>
      <c r="AI121" s="620" t="str">
        <f ca="1">IF(OR($A$2=1,B121="",AND($B121&gt;=計算!$P$4,$C121&lt;15),ISERROR(VLOOKUP($B121,MORE_PV,4,0))),"",VLOOKUP($B121,MORE_PV,4,0))</f>
        <v/>
      </c>
      <c r="AJ121" s="621" t="str">
        <f t="shared" ca="1" si="34"/>
        <v/>
      </c>
      <c r="AK121" s="621" t="str">
        <f t="shared" ca="1" si="35"/>
        <v/>
      </c>
    </row>
    <row r="122" spans="2:37" s="622" customFormat="1" ht="10.5" customHeight="1">
      <c r="B122" s="866" t="str">
        <f t="shared" ca="1" si="33"/>
        <v/>
      </c>
      <c r="C122" s="864" t="str">
        <f ca="1">IF(OR($A$2=1,MAX($C$20:$C$76,$C$85:C121)&gt;=110),"",C121+(B122-B121))</f>
        <v/>
      </c>
      <c r="D122" s="1220" t="str">
        <f t="shared" ca="1" si="36"/>
        <v/>
      </c>
      <c r="E122" s="1220"/>
      <c r="F122" s="1220" t="str">
        <f t="shared" ca="1" si="37"/>
        <v/>
      </c>
      <c r="G122" s="1220"/>
      <c r="H122" s="1220"/>
      <c r="I122" s="1220" t="str">
        <f t="shared" ca="1" si="38"/>
        <v/>
      </c>
      <c r="J122" s="1220"/>
      <c r="K122" s="1220"/>
      <c r="L122" s="1220" t="str">
        <f t="shared" ca="1" si="39"/>
        <v/>
      </c>
      <c r="M122" s="1220"/>
      <c r="N122" s="1220"/>
      <c r="O122" s="1220" t="str">
        <f t="shared" ca="1" si="40"/>
        <v/>
      </c>
      <c r="P122" s="1220"/>
      <c r="Q122" s="1220"/>
      <c r="R122" s="1220" t="str">
        <f t="shared" ca="1" si="41"/>
        <v/>
      </c>
      <c r="S122" s="1220"/>
      <c r="T122" s="1220"/>
      <c r="U122" s="1220" t="str">
        <f t="shared" ca="1" si="42"/>
        <v/>
      </c>
      <c r="V122" s="1220"/>
      <c r="W122" s="1220"/>
      <c r="X122" s="623"/>
      <c r="Y122" s="624"/>
      <c r="Z122" s="616" t="str">
        <f t="shared" ca="1" si="29"/>
        <v/>
      </c>
      <c r="AA122" s="617" t="str">
        <f t="shared" ca="1" si="30"/>
        <v/>
      </c>
      <c r="AB122" s="618" t="str">
        <f ca="1">IF($B122="","",VLOOKUP(OP!$C$55,PVFB,$B122+2,0))</f>
        <v/>
      </c>
      <c r="AC122" s="619"/>
      <c r="AD122" s="620" t="str">
        <f ca="1">IF(OR($A$2=1,B122=""),"",VLOOKUP(OP!$C$55,PA,$B122+1,0)*OP!$C$28)</f>
        <v/>
      </c>
      <c r="AE122" s="619"/>
      <c r="AF122" s="620" t="str">
        <f ca="1">IF(OR($A$2=1,B122=""),"",VLOOKUP(OP!$C$55,DIE,$B122+1,0)*OP!$C$28)</f>
        <v/>
      </c>
      <c r="AG122" s="620" t="str">
        <f ca="1">IF(OR($A$2=1,B122=""),"",VLOOKUP(OP!$C$55,CV,$B122+1,0)*OP!$C$28)</f>
        <v/>
      </c>
      <c r="AH122" s="615"/>
      <c r="AI122" s="620" t="str">
        <f ca="1">IF(OR($A$2=1,B122="",AND($B122&gt;=計算!$P$4,$C122&lt;15),ISERROR(VLOOKUP($B122,MORE_PV,4,0))),"",VLOOKUP($B122,MORE_PV,4,0))</f>
        <v/>
      </c>
      <c r="AJ122" s="621" t="str">
        <f t="shared" ca="1" si="34"/>
        <v/>
      </c>
      <c r="AK122" s="621" t="str">
        <f t="shared" ca="1" si="35"/>
        <v/>
      </c>
    </row>
    <row r="123" spans="2:37" s="622" customFormat="1" ht="10.5" customHeight="1">
      <c r="B123" s="866" t="str">
        <f t="shared" ca="1" si="33"/>
        <v/>
      </c>
      <c r="C123" s="864" t="str">
        <f ca="1">IF(OR($A$2=1,MAX($C$20:$C$76,$C$85:C122)&gt;=110),"",C122+(B123-B122))</f>
        <v/>
      </c>
      <c r="D123" s="1220" t="str">
        <f t="shared" ca="1" si="36"/>
        <v/>
      </c>
      <c r="E123" s="1220"/>
      <c r="F123" s="1220" t="str">
        <f t="shared" ca="1" si="37"/>
        <v/>
      </c>
      <c r="G123" s="1220"/>
      <c r="H123" s="1220"/>
      <c r="I123" s="1220" t="str">
        <f t="shared" ca="1" si="38"/>
        <v/>
      </c>
      <c r="J123" s="1220"/>
      <c r="K123" s="1220"/>
      <c r="L123" s="1220" t="str">
        <f t="shared" ca="1" si="39"/>
        <v/>
      </c>
      <c r="M123" s="1220"/>
      <c r="N123" s="1220"/>
      <c r="O123" s="1220" t="str">
        <f t="shared" ca="1" si="40"/>
        <v/>
      </c>
      <c r="P123" s="1220"/>
      <c r="Q123" s="1220"/>
      <c r="R123" s="1220" t="str">
        <f t="shared" ca="1" si="41"/>
        <v/>
      </c>
      <c r="S123" s="1220"/>
      <c r="T123" s="1220"/>
      <c r="U123" s="1220" t="str">
        <f t="shared" ca="1" si="42"/>
        <v/>
      </c>
      <c r="V123" s="1220"/>
      <c r="W123" s="1220"/>
      <c r="X123" s="623"/>
      <c r="Y123" s="624"/>
      <c r="Z123" s="616" t="str">
        <f t="shared" ca="1" si="29"/>
        <v/>
      </c>
      <c r="AA123" s="617" t="str">
        <f t="shared" ca="1" si="30"/>
        <v/>
      </c>
      <c r="AB123" s="618" t="str">
        <f ca="1">IF($B123="","",VLOOKUP(OP!$C$55,PVFB,$B123+2,0))</f>
        <v/>
      </c>
      <c r="AC123" s="619"/>
      <c r="AD123" s="620" t="str">
        <f ca="1">IF(OR($A$2=1,B123=""),"",VLOOKUP(OP!$C$55,PA,$B123+1,0)*OP!$C$28)</f>
        <v/>
      </c>
      <c r="AE123" s="619"/>
      <c r="AF123" s="620" t="str">
        <f ca="1">IF(OR($A$2=1,B123=""),"",VLOOKUP(OP!$C$55,DIE,$B123+1,0)*OP!$C$28)</f>
        <v/>
      </c>
      <c r="AG123" s="620" t="str">
        <f ca="1">IF(OR($A$2=1,B123=""),"",VLOOKUP(OP!$C$55,CV,$B123+1,0)*OP!$C$28)</f>
        <v/>
      </c>
      <c r="AH123" s="615"/>
      <c r="AI123" s="620" t="str">
        <f ca="1">IF(OR($A$2=1,B123="",AND($B123&gt;=計算!$P$4,$C123&lt;15),ISERROR(VLOOKUP($B123,MORE_PV,4,0))),"",VLOOKUP($B123,MORE_PV,4,0))</f>
        <v/>
      </c>
      <c r="AJ123" s="621" t="str">
        <f t="shared" ca="1" si="34"/>
        <v/>
      </c>
      <c r="AK123" s="621" t="str">
        <f t="shared" ca="1" si="35"/>
        <v/>
      </c>
    </row>
    <row r="124" spans="2:37" s="622" customFormat="1" ht="10.5" customHeight="1">
      <c r="B124" s="866" t="str">
        <f t="shared" ca="1" si="33"/>
        <v/>
      </c>
      <c r="C124" s="864" t="str">
        <f ca="1">IF(OR($A$2=1,MAX($C$20:$C$76,$C$85:C123)&gt;=110),"",C123+(B124-B123))</f>
        <v/>
      </c>
      <c r="D124" s="1220" t="str">
        <f t="shared" ca="1" si="36"/>
        <v/>
      </c>
      <c r="E124" s="1220"/>
      <c r="F124" s="1220" t="str">
        <f t="shared" ca="1" si="37"/>
        <v/>
      </c>
      <c r="G124" s="1220"/>
      <c r="H124" s="1220"/>
      <c r="I124" s="1220" t="str">
        <f t="shared" ca="1" si="38"/>
        <v/>
      </c>
      <c r="J124" s="1220"/>
      <c r="K124" s="1220"/>
      <c r="L124" s="1220" t="str">
        <f t="shared" ca="1" si="39"/>
        <v/>
      </c>
      <c r="M124" s="1220"/>
      <c r="N124" s="1220"/>
      <c r="O124" s="1220" t="str">
        <f t="shared" ca="1" si="40"/>
        <v/>
      </c>
      <c r="P124" s="1220"/>
      <c r="Q124" s="1220"/>
      <c r="R124" s="1220" t="str">
        <f t="shared" ca="1" si="41"/>
        <v/>
      </c>
      <c r="S124" s="1220"/>
      <c r="T124" s="1220"/>
      <c r="U124" s="1220" t="str">
        <f t="shared" ca="1" si="42"/>
        <v/>
      </c>
      <c r="V124" s="1220"/>
      <c r="W124" s="1220"/>
      <c r="X124" s="623"/>
      <c r="Y124" s="624"/>
      <c r="Z124" s="616" t="str">
        <f t="shared" ca="1" si="29"/>
        <v/>
      </c>
      <c r="AA124" s="617" t="str">
        <f t="shared" ca="1" si="30"/>
        <v/>
      </c>
      <c r="AB124" s="618" t="str">
        <f ca="1">IF($B124="","",VLOOKUP(OP!$C$55,PVFB,$B124+2,0))</f>
        <v/>
      </c>
      <c r="AC124" s="619"/>
      <c r="AD124" s="620" t="str">
        <f ca="1">IF(OR($A$2=1,B124=""),"",VLOOKUP(OP!$C$55,PA,$B124+1,0)*OP!$C$28)</f>
        <v/>
      </c>
      <c r="AE124" s="619"/>
      <c r="AF124" s="620" t="str">
        <f ca="1">IF(OR($A$2=1,B124=""),"",VLOOKUP(OP!$C$55,DIE,$B124+1,0)*OP!$C$28)</f>
        <v/>
      </c>
      <c r="AG124" s="620" t="str">
        <f ca="1">IF(OR($A$2=1,B124=""),"",VLOOKUP(OP!$C$55,CV,$B124+1,0)*OP!$C$28)</f>
        <v/>
      </c>
      <c r="AH124" s="615"/>
      <c r="AI124" s="620" t="str">
        <f ca="1">IF(OR($A$2=1,B124="",AND($B124&gt;=計算!$P$4,$C124&lt;15),ISERROR(VLOOKUP($B124,MORE_PV,4,0))),"",VLOOKUP($B124,MORE_PV,4,0))</f>
        <v/>
      </c>
      <c r="AJ124" s="621" t="str">
        <f t="shared" ca="1" si="34"/>
        <v/>
      </c>
      <c r="AK124" s="621" t="str">
        <f t="shared" ca="1" si="35"/>
        <v/>
      </c>
    </row>
    <row r="125" spans="2:37" s="622" customFormat="1" ht="10.5" customHeight="1">
      <c r="B125" s="866" t="str">
        <f t="shared" ca="1" si="33"/>
        <v/>
      </c>
      <c r="C125" s="864" t="str">
        <f ca="1">IF(OR($A$2=1,MAX($C$20:$C$76,$C$85:C124)&gt;=110),"",C124+(B125-B124))</f>
        <v/>
      </c>
      <c r="D125" s="1220" t="str">
        <f t="shared" ca="1" si="36"/>
        <v/>
      </c>
      <c r="E125" s="1220"/>
      <c r="F125" s="1220" t="str">
        <f t="shared" ca="1" si="37"/>
        <v/>
      </c>
      <c r="G125" s="1220"/>
      <c r="H125" s="1220"/>
      <c r="I125" s="1220" t="str">
        <f t="shared" ca="1" si="38"/>
        <v/>
      </c>
      <c r="J125" s="1220"/>
      <c r="K125" s="1220"/>
      <c r="L125" s="1220" t="str">
        <f t="shared" ca="1" si="39"/>
        <v/>
      </c>
      <c r="M125" s="1220"/>
      <c r="N125" s="1220"/>
      <c r="O125" s="1220" t="str">
        <f t="shared" ca="1" si="40"/>
        <v/>
      </c>
      <c r="P125" s="1220"/>
      <c r="Q125" s="1220"/>
      <c r="R125" s="1220" t="str">
        <f t="shared" ca="1" si="41"/>
        <v/>
      </c>
      <c r="S125" s="1220"/>
      <c r="T125" s="1220"/>
      <c r="U125" s="1220" t="str">
        <f t="shared" ca="1" si="42"/>
        <v/>
      </c>
      <c r="V125" s="1220"/>
      <c r="W125" s="1220"/>
      <c r="X125" s="623"/>
      <c r="Y125" s="624"/>
      <c r="Z125" s="616" t="str">
        <f t="shared" ca="1" si="29"/>
        <v/>
      </c>
      <c r="AA125" s="617" t="str">
        <f t="shared" ca="1" si="30"/>
        <v/>
      </c>
      <c r="AB125" s="618" t="str">
        <f ca="1">IF($B125="","",VLOOKUP(OP!$C$55,PVFB,$B125+2,0))</f>
        <v/>
      </c>
      <c r="AC125" s="619"/>
      <c r="AD125" s="620" t="str">
        <f ca="1">IF(OR($A$2=1,B125=""),"",VLOOKUP(OP!$C$55,PA,$B125+1,0)*OP!$C$28)</f>
        <v/>
      </c>
      <c r="AE125" s="619"/>
      <c r="AF125" s="620" t="str">
        <f ca="1">IF(OR($A$2=1,B125=""),"",VLOOKUP(OP!$C$55,DIE,$B125+1,0)*OP!$C$28)</f>
        <v/>
      </c>
      <c r="AG125" s="620" t="str">
        <f ca="1">IF(OR($A$2=1,B125=""),"",VLOOKUP(OP!$C$55,CV,$B125+1,0)*OP!$C$28)</f>
        <v/>
      </c>
      <c r="AH125" s="615"/>
      <c r="AI125" s="620" t="str">
        <f ca="1">IF(OR($A$2=1,B125="",AND($B125&gt;=計算!$P$4,$C125&lt;15),ISERROR(VLOOKUP($B125,MORE_PV,4,0))),"",VLOOKUP($B125,MORE_PV,4,0))</f>
        <v/>
      </c>
      <c r="AJ125" s="621" t="str">
        <f t="shared" ca="1" si="34"/>
        <v/>
      </c>
      <c r="AK125" s="621" t="str">
        <f t="shared" ca="1" si="35"/>
        <v/>
      </c>
    </row>
    <row r="126" spans="2:37" s="622" customFormat="1" ht="10.5" customHeight="1">
      <c r="B126" s="866" t="str">
        <f t="shared" ca="1" si="33"/>
        <v/>
      </c>
      <c r="C126" s="864" t="str">
        <f ca="1">IF(OR($A$2=1,MAX($C$20:$C$76,$C$85:C125)&gt;=110),"",C125+(B126-B125))</f>
        <v/>
      </c>
      <c r="D126" s="1220" t="str">
        <f t="shared" ca="1" si="36"/>
        <v/>
      </c>
      <c r="E126" s="1220"/>
      <c r="F126" s="1220" t="str">
        <f t="shared" ca="1" si="37"/>
        <v/>
      </c>
      <c r="G126" s="1220"/>
      <c r="H126" s="1220"/>
      <c r="I126" s="1220" t="str">
        <f t="shared" ca="1" si="38"/>
        <v/>
      </c>
      <c r="J126" s="1220"/>
      <c r="K126" s="1220"/>
      <c r="L126" s="1220" t="str">
        <f t="shared" ca="1" si="39"/>
        <v/>
      </c>
      <c r="M126" s="1220"/>
      <c r="N126" s="1220"/>
      <c r="O126" s="1220" t="str">
        <f t="shared" ca="1" si="40"/>
        <v/>
      </c>
      <c r="P126" s="1220"/>
      <c r="Q126" s="1220"/>
      <c r="R126" s="1220" t="str">
        <f t="shared" ca="1" si="41"/>
        <v/>
      </c>
      <c r="S126" s="1220"/>
      <c r="T126" s="1220"/>
      <c r="U126" s="1220" t="str">
        <f t="shared" ca="1" si="42"/>
        <v/>
      </c>
      <c r="V126" s="1220"/>
      <c r="W126" s="1220"/>
      <c r="X126" s="623"/>
      <c r="Y126" s="624"/>
      <c r="Z126" s="616" t="str">
        <f t="shared" ca="1" si="29"/>
        <v/>
      </c>
      <c r="AA126" s="617" t="str">
        <f t="shared" ca="1" si="30"/>
        <v/>
      </c>
      <c r="AB126" s="618" t="str">
        <f ca="1">IF($B126="","",VLOOKUP(OP!$C$55,PVFB,$B126+2,0))</f>
        <v/>
      </c>
      <c r="AC126" s="619"/>
      <c r="AD126" s="620" t="str">
        <f ca="1">IF(OR($A$2=1,B126=""),"",VLOOKUP(OP!$C$55,PA,$B126+1,0)*OP!$C$28)</f>
        <v/>
      </c>
      <c r="AE126" s="619"/>
      <c r="AF126" s="620" t="str">
        <f ca="1">IF(OR($A$2=1,B126=""),"",VLOOKUP(OP!$C$55,DIE,$B126+1,0)*OP!$C$28)</f>
        <v/>
      </c>
      <c r="AG126" s="620" t="str">
        <f ca="1">IF(OR($A$2=1,B126=""),"",VLOOKUP(OP!$C$55,CV,$B126+1,0)*OP!$C$28)</f>
        <v/>
      </c>
      <c r="AH126" s="615"/>
      <c r="AI126" s="620" t="str">
        <f ca="1">IF(OR($A$2=1,B126="",AND($B126&gt;=計算!$P$4,$C126&lt;15),ISERROR(VLOOKUP($B126,MORE_PV,4,0))),"",VLOOKUP($B126,MORE_PV,4,0))</f>
        <v/>
      </c>
      <c r="AJ126" s="621" t="str">
        <f t="shared" ca="1" si="34"/>
        <v/>
      </c>
      <c r="AK126" s="621" t="str">
        <f t="shared" ca="1" si="35"/>
        <v/>
      </c>
    </row>
    <row r="127" spans="2:37" s="622" customFormat="1" ht="10.5" customHeight="1">
      <c r="B127" s="866" t="str">
        <f t="shared" ca="1" si="33"/>
        <v/>
      </c>
      <c r="C127" s="864" t="str">
        <f ca="1">IF(OR($A$2=1,MAX($C$20:$C$76,$C$85:C126)&gt;=110),"",C126+(B127-B126))</f>
        <v/>
      </c>
      <c r="D127" s="1220" t="str">
        <f t="shared" ca="1" si="36"/>
        <v/>
      </c>
      <c r="E127" s="1220"/>
      <c r="F127" s="1220" t="str">
        <f t="shared" ca="1" si="37"/>
        <v/>
      </c>
      <c r="G127" s="1220"/>
      <c r="H127" s="1220"/>
      <c r="I127" s="1220" t="str">
        <f t="shared" ca="1" si="38"/>
        <v/>
      </c>
      <c r="J127" s="1220"/>
      <c r="K127" s="1220"/>
      <c r="L127" s="1220" t="str">
        <f t="shared" ca="1" si="39"/>
        <v/>
      </c>
      <c r="M127" s="1220"/>
      <c r="N127" s="1220"/>
      <c r="O127" s="1220" t="str">
        <f t="shared" ca="1" si="40"/>
        <v/>
      </c>
      <c r="P127" s="1220"/>
      <c r="Q127" s="1220"/>
      <c r="R127" s="1220" t="str">
        <f t="shared" ca="1" si="41"/>
        <v/>
      </c>
      <c r="S127" s="1220"/>
      <c r="T127" s="1220"/>
      <c r="U127" s="1220" t="str">
        <f t="shared" ca="1" si="42"/>
        <v/>
      </c>
      <c r="V127" s="1220"/>
      <c r="W127" s="1220"/>
      <c r="X127" s="623"/>
      <c r="Y127" s="624"/>
      <c r="Z127" s="616" t="str">
        <f t="shared" ca="1" si="29"/>
        <v/>
      </c>
      <c r="AA127" s="617" t="str">
        <f t="shared" ca="1" si="30"/>
        <v/>
      </c>
      <c r="AB127" s="618" t="str">
        <f ca="1">IF($B127="","",VLOOKUP(OP!$C$55,PVFB,$B127+2,0))</f>
        <v/>
      </c>
      <c r="AC127" s="619"/>
      <c r="AD127" s="620" t="str">
        <f ca="1">IF(OR($A$2=1,B127=""),"",VLOOKUP(OP!$C$55,PA,$B127+1,0)*OP!$C$28)</f>
        <v/>
      </c>
      <c r="AE127" s="619"/>
      <c r="AF127" s="620" t="str">
        <f ca="1">IF(OR($A$2=1,B127=""),"",VLOOKUP(OP!$C$55,DIE,$B127+1,0)*OP!$C$28)</f>
        <v/>
      </c>
      <c r="AG127" s="620" t="str">
        <f ca="1">IF(OR($A$2=1,B127=""),"",VLOOKUP(OP!$C$55,CV,$B127+1,0)*OP!$C$28)</f>
        <v/>
      </c>
      <c r="AH127" s="615"/>
      <c r="AI127" s="620" t="str">
        <f ca="1">IF(OR($A$2=1,B127="",AND($B127&gt;=計算!$P$4,$C127&lt;15),ISERROR(VLOOKUP($B127,MORE_PV,4,0))),"",VLOOKUP($B127,MORE_PV,4,0))</f>
        <v/>
      </c>
      <c r="AJ127" s="621" t="str">
        <f t="shared" ca="1" si="34"/>
        <v/>
      </c>
      <c r="AK127" s="621" t="str">
        <f t="shared" ca="1" si="35"/>
        <v/>
      </c>
    </row>
    <row r="128" spans="2:37" s="622" customFormat="1" ht="10.5" customHeight="1">
      <c r="B128" s="866" t="str">
        <f t="shared" ca="1" si="33"/>
        <v/>
      </c>
      <c r="C128" s="864" t="str">
        <f ca="1">IF(OR($A$2=1,MAX($C$20:$C$76,$C$85:C127)&gt;=110),"",C127+(B128-B127))</f>
        <v/>
      </c>
      <c r="D128" s="1220" t="str">
        <f t="shared" ca="1" si="36"/>
        <v/>
      </c>
      <c r="E128" s="1220"/>
      <c r="F128" s="1220" t="str">
        <f t="shared" ca="1" si="37"/>
        <v/>
      </c>
      <c r="G128" s="1220"/>
      <c r="H128" s="1220"/>
      <c r="I128" s="1220" t="str">
        <f t="shared" ca="1" si="38"/>
        <v/>
      </c>
      <c r="J128" s="1220"/>
      <c r="K128" s="1220"/>
      <c r="L128" s="1220" t="str">
        <f t="shared" ca="1" si="39"/>
        <v/>
      </c>
      <c r="M128" s="1220"/>
      <c r="N128" s="1220"/>
      <c r="O128" s="1220" t="str">
        <f t="shared" ca="1" si="40"/>
        <v/>
      </c>
      <c r="P128" s="1220"/>
      <c r="Q128" s="1220"/>
      <c r="R128" s="1220" t="str">
        <f t="shared" ca="1" si="41"/>
        <v/>
      </c>
      <c r="S128" s="1220"/>
      <c r="T128" s="1220"/>
      <c r="U128" s="1220" t="str">
        <f t="shared" ca="1" si="42"/>
        <v/>
      </c>
      <c r="V128" s="1220"/>
      <c r="W128" s="1220"/>
      <c r="X128" s="623"/>
      <c r="Y128" s="624"/>
      <c r="Z128" s="616" t="str">
        <f t="shared" ca="1" si="29"/>
        <v/>
      </c>
      <c r="AA128" s="617" t="str">
        <f t="shared" ca="1" si="30"/>
        <v/>
      </c>
      <c r="AB128" s="618" t="str">
        <f ca="1">IF($B128="","",VLOOKUP(OP!$C$55,PVFB,$B128+2,0))</f>
        <v/>
      </c>
      <c r="AC128" s="619"/>
      <c r="AD128" s="620" t="str">
        <f ca="1">IF(OR($A$2=1,B128=""),"",VLOOKUP(OP!$C$55,PA,$B128+1,0)*OP!$C$28)</f>
        <v/>
      </c>
      <c r="AE128" s="619"/>
      <c r="AF128" s="620" t="str">
        <f ca="1">IF(OR($A$2=1,B128=""),"",VLOOKUP(OP!$C$55,DIE,$B128+1,0)*OP!$C$28)</f>
        <v/>
      </c>
      <c r="AG128" s="620" t="str">
        <f ca="1">IF(OR($A$2=1,B128=""),"",VLOOKUP(OP!$C$55,CV,$B128+1,0)*OP!$C$28)</f>
        <v/>
      </c>
      <c r="AH128" s="615"/>
      <c r="AI128" s="620" t="str">
        <f ca="1">IF(OR($A$2=1,B128="",AND($B128&gt;=計算!$P$4,$C128&lt;15),ISERROR(VLOOKUP($B128,MORE_PV,4,0))),"",VLOOKUP($B128,MORE_PV,4,0))</f>
        <v/>
      </c>
      <c r="AJ128" s="621" t="str">
        <f t="shared" ca="1" si="34"/>
        <v/>
      </c>
      <c r="AK128" s="621" t="str">
        <f t="shared" ca="1" si="35"/>
        <v/>
      </c>
    </row>
    <row r="129" spans="1:37" s="622" customFormat="1" ht="10.5" customHeight="1">
      <c r="B129" s="866" t="str">
        <f t="shared" ca="1" si="33"/>
        <v/>
      </c>
      <c r="C129" s="864" t="str">
        <f ca="1">IF(OR($A$2=1,MAX($C$20:$C$76,$C$85:C128)&gt;=110),"",C128+(B129-B128))</f>
        <v/>
      </c>
      <c r="D129" s="1220" t="str">
        <f t="shared" ca="1" si="36"/>
        <v/>
      </c>
      <c r="E129" s="1220"/>
      <c r="F129" s="1220" t="str">
        <f t="shared" ca="1" si="37"/>
        <v/>
      </c>
      <c r="G129" s="1220"/>
      <c r="H129" s="1220"/>
      <c r="I129" s="1220" t="str">
        <f t="shared" ca="1" si="38"/>
        <v/>
      </c>
      <c r="J129" s="1220"/>
      <c r="K129" s="1220"/>
      <c r="L129" s="1220" t="str">
        <f t="shared" ca="1" si="39"/>
        <v/>
      </c>
      <c r="M129" s="1220"/>
      <c r="N129" s="1220"/>
      <c r="O129" s="1220" t="str">
        <f t="shared" ca="1" si="40"/>
        <v/>
      </c>
      <c r="P129" s="1220"/>
      <c r="Q129" s="1220"/>
      <c r="R129" s="1220" t="str">
        <f t="shared" ca="1" si="41"/>
        <v/>
      </c>
      <c r="S129" s="1220"/>
      <c r="T129" s="1220"/>
      <c r="U129" s="1220" t="str">
        <f t="shared" ca="1" si="42"/>
        <v/>
      </c>
      <c r="V129" s="1220"/>
      <c r="W129" s="1220"/>
      <c r="X129" s="623"/>
      <c r="Y129" s="624"/>
      <c r="Z129" s="616" t="str">
        <f t="shared" ca="1" si="29"/>
        <v/>
      </c>
      <c r="AA129" s="617" t="str">
        <f t="shared" ca="1" si="30"/>
        <v/>
      </c>
      <c r="AB129" s="618" t="str">
        <f ca="1">IF($B129="","",VLOOKUP(OP!$C$55,PVFB,$B129+2,0))</f>
        <v/>
      </c>
      <c r="AC129" s="619"/>
      <c r="AD129" s="620" t="str">
        <f ca="1">IF(OR($A$2=1,B129=""),"",VLOOKUP(OP!$C$55,PA,$B129+1,0)*OP!$C$28)</f>
        <v/>
      </c>
      <c r="AE129" s="619"/>
      <c r="AF129" s="620" t="str">
        <f ca="1">IF(OR($A$2=1,B129=""),"",VLOOKUP(OP!$C$55,DIE,$B129+1,0)*OP!$C$28)</f>
        <v/>
      </c>
      <c r="AG129" s="620" t="str">
        <f ca="1">IF(OR($A$2=1,B129=""),"",VLOOKUP(OP!$C$55,CV,$B129+1,0)*OP!$C$28)</f>
        <v/>
      </c>
      <c r="AH129" s="615"/>
      <c r="AI129" s="620" t="str">
        <f ca="1">IF(OR($A$2=1,B129="",AND($B129&gt;=計算!$P$4,$C129&lt;15),ISERROR(VLOOKUP($B129,MORE_PV,4,0))),"",VLOOKUP($B129,MORE_PV,4,0))</f>
        <v/>
      </c>
      <c r="AJ129" s="621" t="str">
        <f t="shared" ca="1" si="34"/>
        <v/>
      </c>
      <c r="AK129" s="621" t="str">
        <f t="shared" ca="1" si="35"/>
        <v/>
      </c>
    </row>
    <row r="130" spans="1:37" s="622" customFormat="1" ht="10.5" customHeight="1">
      <c r="B130" s="866" t="str">
        <f t="shared" ca="1" si="33"/>
        <v/>
      </c>
      <c r="C130" s="864" t="str">
        <f ca="1">IF(OR($A$2=1,MAX($C$20:$C$76,$C$85:C129)&gt;=110),"",C129+(B130-B129))</f>
        <v/>
      </c>
      <c r="D130" s="1220" t="str">
        <f t="shared" ca="1" si="36"/>
        <v/>
      </c>
      <c r="E130" s="1220"/>
      <c r="F130" s="1220" t="str">
        <f t="shared" ca="1" si="37"/>
        <v/>
      </c>
      <c r="G130" s="1220"/>
      <c r="H130" s="1220"/>
      <c r="I130" s="1220" t="str">
        <f t="shared" ca="1" si="38"/>
        <v/>
      </c>
      <c r="J130" s="1220"/>
      <c r="K130" s="1220"/>
      <c r="L130" s="1220" t="str">
        <f t="shared" ca="1" si="39"/>
        <v/>
      </c>
      <c r="M130" s="1220"/>
      <c r="N130" s="1220"/>
      <c r="O130" s="1220" t="str">
        <f t="shared" ca="1" si="40"/>
        <v/>
      </c>
      <c r="P130" s="1220"/>
      <c r="Q130" s="1220"/>
      <c r="R130" s="1220" t="str">
        <f t="shared" ca="1" si="41"/>
        <v/>
      </c>
      <c r="S130" s="1220"/>
      <c r="T130" s="1220"/>
      <c r="U130" s="1220" t="str">
        <f t="shared" ca="1" si="42"/>
        <v/>
      </c>
      <c r="V130" s="1220"/>
      <c r="W130" s="1220"/>
      <c r="X130" s="623"/>
      <c r="Y130" s="624"/>
      <c r="Z130" s="616" t="str">
        <f t="shared" ca="1" si="29"/>
        <v/>
      </c>
      <c r="AA130" s="617" t="str">
        <f t="shared" ca="1" si="30"/>
        <v/>
      </c>
      <c r="AB130" s="618" t="str">
        <f ca="1">IF($B130="","",VLOOKUP(OP!$C$55,PVFB,$B130+2,0))</f>
        <v/>
      </c>
      <c r="AC130" s="619"/>
      <c r="AD130" s="620" t="str">
        <f ca="1">IF(OR($A$2=1,B130=""),"",VLOOKUP(OP!$C$55,PA,$B130+1,0)*OP!$C$28)</f>
        <v/>
      </c>
      <c r="AE130" s="619"/>
      <c r="AF130" s="620" t="str">
        <f ca="1">IF(OR($A$2=1,B130=""),"",VLOOKUP(OP!$C$55,DIE,$B130+1,0)*OP!$C$28)</f>
        <v/>
      </c>
      <c r="AG130" s="620" t="str">
        <f ca="1">IF(OR($A$2=1,B130=""),"",VLOOKUP(OP!$C$55,CV,$B130+1,0)*OP!$C$28)</f>
        <v/>
      </c>
      <c r="AH130" s="615"/>
      <c r="AI130" s="620" t="str">
        <f ca="1">IF(OR($A$2=1,B130="",AND($B130&gt;=計算!$P$4,$C130&lt;15),ISERROR(VLOOKUP($B130,MORE_PV,4,0))),"",VLOOKUP($B130,MORE_PV,4,0))</f>
        <v/>
      </c>
      <c r="AJ130" s="621" t="str">
        <f t="shared" ca="1" si="34"/>
        <v/>
      </c>
      <c r="AK130" s="621" t="str">
        <f t="shared" ca="1" si="35"/>
        <v/>
      </c>
    </row>
    <row r="131" spans="1:37" s="622" customFormat="1" ht="10.5" customHeight="1">
      <c r="B131" s="866" t="str">
        <f t="shared" ca="1" si="33"/>
        <v/>
      </c>
      <c r="C131" s="864" t="str">
        <f ca="1">IF(OR($A$2=1,MAX($C$20:$C$76,$C$85:C130)&gt;=110),"",C130+(B131-B130))</f>
        <v/>
      </c>
      <c r="D131" s="1220" t="str">
        <f t="shared" ca="1" si="36"/>
        <v/>
      </c>
      <c r="E131" s="1220"/>
      <c r="F131" s="1220" t="str">
        <f t="shared" ca="1" si="37"/>
        <v/>
      </c>
      <c r="G131" s="1220"/>
      <c r="H131" s="1220"/>
      <c r="I131" s="1220" t="str">
        <f t="shared" ca="1" si="38"/>
        <v/>
      </c>
      <c r="J131" s="1220"/>
      <c r="K131" s="1220"/>
      <c r="L131" s="1220" t="str">
        <f t="shared" ca="1" si="39"/>
        <v/>
      </c>
      <c r="M131" s="1220"/>
      <c r="N131" s="1220"/>
      <c r="O131" s="1220" t="str">
        <f t="shared" ca="1" si="40"/>
        <v/>
      </c>
      <c r="P131" s="1220"/>
      <c r="Q131" s="1220"/>
      <c r="R131" s="1220" t="str">
        <f t="shared" ca="1" si="41"/>
        <v/>
      </c>
      <c r="S131" s="1220"/>
      <c r="T131" s="1220"/>
      <c r="U131" s="1220" t="str">
        <f t="shared" ca="1" si="42"/>
        <v/>
      </c>
      <c r="V131" s="1220"/>
      <c r="W131" s="1220"/>
      <c r="X131" s="623"/>
      <c r="Y131" s="624"/>
      <c r="Z131" s="616" t="str">
        <f t="shared" ca="1" si="29"/>
        <v/>
      </c>
      <c r="AA131" s="617" t="str">
        <f t="shared" ca="1" si="30"/>
        <v/>
      </c>
      <c r="AB131" s="618" t="str">
        <f ca="1">IF($B131="","",VLOOKUP(OP!$C$55,PVFB,$B131+2,0))</f>
        <v/>
      </c>
      <c r="AC131" s="619"/>
      <c r="AD131" s="620" t="str">
        <f ca="1">IF(OR($A$2=1,B131=""),"",VLOOKUP(OP!$C$55,PA,$B131+1,0)*OP!$C$28)</f>
        <v/>
      </c>
      <c r="AE131" s="619"/>
      <c r="AF131" s="620" t="str">
        <f ca="1">IF(OR($A$2=1,B131=""),"",VLOOKUP(OP!$C$55,DIE,$B131+1,0)*OP!$C$28)</f>
        <v/>
      </c>
      <c r="AG131" s="620" t="str">
        <f ca="1">IF(OR($A$2=1,B131=""),"",VLOOKUP(OP!$C$55,CV,$B131+1,0)*OP!$C$28)</f>
        <v/>
      </c>
      <c r="AH131" s="615"/>
      <c r="AI131" s="620" t="str">
        <f ca="1">IF(OR($A$2=1,B131="",AND($B131&gt;=計算!$P$4,$C131&lt;15),ISERROR(VLOOKUP($B131,MORE_PV,4,0))),"",VLOOKUP($B131,MORE_PV,4,0))</f>
        <v/>
      </c>
      <c r="AJ131" s="621" t="str">
        <f t="shared" ca="1" si="34"/>
        <v/>
      </c>
      <c r="AK131" s="621" t="str">
        <f t="shared" ca="1" si="35"/>
        <v/>
      </c>
    </row>
    <row r="132" spans="1:37" s="622" customFormat="1" ht="10.5" customHeight="1">
      <c r="B132" s="866" t="str">
        <f t="shared" ca="1" si="33"/>
        <v/>
      </c>
      <c r="C132" s="864" t="str">
        <f ca="1">IF(OR($A$2=1,MAX($C$20:$C$76,$C$85:C131)&gt;=110),"",C131+(B132-B131))</f>
        <v/>
      </c>
      <c r="D132" s="1220" t="str">
        <f t="shared" ca="1" si="36"/>
        <v/>
      </c>
      <c r="E132" s="1220"/>
      <c r="F132" s="1220" t="str">
        <f t="shared" ca="1" si="37"/>
        <v/>
      </c>
      <c r="G132" s="1220"/>
      <c r="H132" s="1220"/>
      <c r="I132" s="1220" t="str">
        <f t="shared" ca="1" si="38"/>
        <v/>
      </c>
      <c r="J132" s="1220"/>
      <c r="K132" s="1220"/>
      <c r="L132" s="1220" t="str">
        <f t="shared" ca="1" si="39"/>
        <v/>
      </c>
      <c r="M132" s="1220"/>
      <c r="N132" s="1220"/>
      <c r="O132" s="1220" t="str">
        <f t="shared" ca="1" si="40"/>
        <v/>
      </c>
      <c r="P132" s="1220"/>
      <c r="Q132" s="1220"/>
      <c r="R132" s="1220" t="str">
        <f t="shared" ca="1" si="41"/>
        <v/>
      </c>
      <c r="S132" s="1220"/>
      <c r="T132" s="1220"/>
      <c r="U132" s="1220" t="str">
        <f t="shared" ca="1" si="42"/>
        <v/>
      </c>
      <c r="V132" s="1220"/>
      <c r="W132" s="1220"/>
      <c r="X132" s="623"/>
      <c r="Y132" s="624"/>
      <c r="Z132" s="616" t="str">
        <f t="shared" ca="1" si="29"/>
        <v/>
      </c>
      <c r="AA132" s="617" t="str">
        <f t="shared" ca="1" si="30"/>
        <v/>
      </c>
      <c r="AB132" s="618" t="str">
        <f ca="1">IF($B132="","",VLOOKUP(OP!$C$55,PVFB,$B132+2,0))</f>
        <v/>
      </c>
      <c r="AC132" s="619"/>
      <c r="AD132" s="620" t="str">
        <f ca="1">IF(OR($A$2=1,B132=""),"",VLOOKUP(OP!$C$55,PA,$B132+1,0)*OP!$C$28)</f>
        <v/>
      </c>
      <c r="AE132" s="619"/>
      <c r="AF132" s="620" t="str">
        <f ca="1">IF(OR($A$2=1,B132=""),"",VLOOKUP(OP!$C$55,DIE,$B132+1,0)*OP!$C$28)</f>
        <v/>
      </c>
      <c r="AG132" s="620" t="str">
        <f ca="1">IF(OR($A$2=1,B132=""),"",VLOOKUP(OP!$C$55,CV,$B132+1,0)*OP!$C$28)</f>
        <v/>
      </c>
      <c r="AH132" s="615"/>
      <c r="AI132" s="620" t="str">
        <f ca="1">IF(OR($A$2=1,B132="",AND($B132&gt;=計算!$P$4,$C132&lt;15),ISERROR(VLOOKUP($B132,MORE_PV,4,0))),"",VLOOKUP($B132,MORE_PV,4,0))</f>
        <v/>
      </c>
      <c r="AJ132" s="621" t="str">
        <f t="shared" ca="1" si="34"/>
        <v/>
      </c>
      <c r="AK132" s="621" t="str">
        <f t="shared" ca="1" si="35"/>
        <v/>
      </c>
    </row>
    <row r="133" spans="1:37" s="622" customFormat="1" ht="10.5" customHeight="1">
      <c r="B133" s="866" t="str">
        <f t="shared" ca="1" si="33"/>
        <v/>
      </c>
      <c r="C133" s="864" t="str">
        <f ca="1">IF(OR($A$2=1,MAX($C$20:$C$76,$C$85:C132)&gt;=110),"",C132+(B133-B132))</f>
        <v/>
      </c>
      <c r="D133" s="1220" t="str">
        <f t="shared" ca="1" si="36"/>
        <v/>
      </c>
      <c r="E133" s="1220"/>
      <c r="F133" s="1220" t="str">
        <f t="shared" ca="1" si="37"/>
        <v/>
      </c>
      <c r="G133" s="1220"/>
      <c r="H133" s="1220"/>
      <c r="I133" s="1220" t="str">
        <f t="shared" ca="1" si="38"/>
        <v/>
      </c>
      <c r="J133" s="1220"/>
      <c r="K133" s="1220"/>
      <c r="L133" s="1220" t="str">
        <f t="shared" ca="1" si="39"/>
        <v/>
      </c>
      <c r="M133" s="1220"/>
      <c r="N133" s="1220"/>
      <c r="O133" s="1220" t="str">
        <f t="shared" ca="1" si="40"/>
        <v/>
      </c>
      <c r="P133" s="1220"/>
      <c r="Q133" s="1220"/>
      <c r="R133" s="1220" t="str">
        <f t="shared" ca="1" si="41"/>
        <v/>
      </c>
      <c r="S133" s="1220"/>
      <c r="T133" s="1220"/>
      <c r="U133" s="1220" t="str">
        <f t="shared" ca="1" si="42"/>
        <v/>
      </c>
      <c r="V133" s="1220"/>
      <c r="W133" s="1220"/>
      <c r="X133" s="623"/>
      <c r="Y133" s="624"/>
      <c r="Z133" s="616" t="str">
        <f t="shared" ca="1" si="29"/>
        <v/>
      </c>
      <c r="AA133" s="617" t="str">
        <f t="shared" ca="1" si="30"/>
        <v/>
      </c>
      <c r="AB133" s="618" t="str">
        <f ca="1">IF($B133="","",VLOOKUP(OP!$C$55,PVFB,$B133+2,0))</f>
        <v/>
      </c>
      <c r="AC133" s="619"/>
      <c r="AD133" s="620" t="str">
        <f ca="1">IF(OR($A$2=1,B133=""),"",VLOOKUP(OP!$C$55,PA,$B133+1,0)*OP!$C$28)</f>
        <v/>
      </c>
      <c r="AE133" s="619"/>
      <c r="AF133" s="620" t="str">
        <f ca="1">IF(OR($A$2=1,B133=""),"",VLOOKUP(OP!$C$55,DIE,$B133+1,0)*OP!$C$28)</f>
        <v/>
      </c>
      <c r="AG133" s="620" t="str">
        <f ca="1">IF(OR($A$2=1,B133=""),"",VLOOKUP(OP!$C$55,CV,$B133+1,0)*OP!$C$28)</f>
        <v/>
      </c>
      <c r="AH133" s="615"/>
      <c r="AI133" s="620" t="str">
        <f ca="1">IF(OR($A$2=1,B133="",AND($B133&gt;=計算!$P$4,$C133&lt;15),ISERROR(VLOOKUP($B133,MORE_PV,4,0))),"",VLOOKUP($B133,MORE_PV,4,0))</f>
        <v/>
      </c>
      <c r="AJ133" s="621" t="str">
        <f t="shared" ca="1" si="34"/>
        <v/>
      </c>
      <c r="AK133" s="621" t="str">
        <f t="shared" ca="1" si="35"/>
        <v/>
      </c>
    </row>
    <row r="134" spans="1:37" s="622" customFormat="1" ht="10.5" customHeight="1">
      <c r="B134" s="866" t="str">
        <f t="shared" ca="1" si="33"/>
        <v/>
      </c>
      <c r="C134" s="864" t="str">
        <f ca="1">IF(OR($A$2=1,MAX($C$20:$C$76,$C$85:C133)&gt;=110),"",C133+(B134-B133))</f>
        <v/>
      </c>
      <c r="D134" s="1220" t="str">
        <f t="shared" ca="1" si="36"/>
        <v/>
      </c>
      <c r="E134" s="1220"/>
      <c r="F134" s="1220" t="str">
        <f t="shared" ca="1" si="37"/>
        <v/>
      </c>
      <c r="G134" s="1220"/>
      <c r="H134" s="1220"/>
      <c r="I134" s="1220" t="str">
        <f t="shared" ca="1" si="38"/>
        <v/>
      </c>
      <c r="J134" s="1220"/>
      <c r="K134" s="1220"/>
      <c r="L134" s="1220" t="str">
        <f t="shared" ca="1" si="39"/>
        <v/>
      </c>
      <c r="M134" s="1220"/>
      <c r="N134" s="1220"/>
      <c r="O134" s="1220" t="str">
        <f t="shared" ca="1" si="40"/>
        <v/>
      </c>
      <c r="P134" s="1220"/>
      <c r="Q134" s="1220"/>
      <c r="R134" s="1220" t="str">
        <f t="shared" ca="1" si="41"/>
        <v/>
      </c>
      <c r="S134" s="1220"/>
      <c r="T134" s="1220"/>
      <c r="U134" s="1220" t="str">
        <f t="shared" ca="1" si="42"/>
        <v/>
      </c>
      <c r="V134" s="1220"/>
      <c r="W134" s="1220"/>
      <c r="X134" s="623"/>
      <c r="Y134" s="624"/>
      <c r="Z134" s="616" t="str">
        <f t="shared" ca="1" si="29"/>
        <v/>
      </c>
      <c r="AA134" s="617" t="str">
        <f t="shared" ca="1" si="30"/>
        <v/>
      </c>
      <c r="AB134" s="618" t="str">
        <f ca="1">IF($B134="","",VLOOKUP(OP!$C$55,PVFB,$B134+2,0))</f>
        <v/>
      </c>
      <c r="AC134" s="619"/>
      <c r="AD134" s="620" t="str">
        <f ca="1">IF(OR($A$2=1,B134=""),"",VLOOKUP(OP!$C$55,PA,$B134+1,0)*OP!$C$28)</f>
        <v/>
      </c>
      <c r="AE134" s="619"/>
      <c r="AF134" s="620" t="str">
        <f ca="1">IF(OR($A$2=1,B134=""),"",VLOOKUP(OP!$C$55,DIE,$B134+1,0)*OP!$C$28)</f>
        <v/>
      </c>
      <c r="AG134" s="620" t="str">
        <f ca="1">IF(OR($A$2=1,B134=""),"",VLOOKUP(OP!$C$55,CV,$B134+1,0)*OP!$C$28)</f>
        <v/>
      </c>
      <c r="AH134" s="615"/>
      <c r="AI134" s="620" t="str">
        <f ca="1">IF(OR($A$2=1,B134="",AND($B134&gt;=計算!$P$4,$C134&lt;15),ISERROR(VLOOKUP($B134,MORE_PV,4,0))),"",VLOOKUP($B134,MORE_PV,4,0))</f>
        <v/>
      </c>
      <c r="AJ134" s="621" t="str">
        <f t="shared" ca="1" si="34"/>
        <v/>
      </c>
      <c r="AK134" s="621" t="str">
        <f t="shared" ca="1" si="35"/>
        <v/>
      </c>
    </row>
    <row r="135" spans="1:37" s="622" customFormat="1" ht="10.5" customHeight="1">
      <c r="B135" s="866" t="str">
        <f t="shared" ca="1" si="33"/>
        <v/>
      </c>
      <c r="C135" s="864" t="str">
        <f ca="1">IF(OR($A$2=1,MAX($C$20:$C$76,$C$85:C134)&gt;=110),"",C134+(B135-B134))</f>
        <v/>
      </c>
      <c r="D135" s="1220" t="str">
        <f t="shared" ca="1" si="36"/>
        <v/>
      </c>
      <c r="E135" s="1220"/>
      <c r="F135" s="1220" t="str">
        <f t="shared" ca="1" si="37"/>
        <v/>
      </c>
      <c r="G135" s="1220"/>
      <c r="H135" s="1220"/>
      <c r="I135" s="1220" t="str">
        <f t="shared" ca="1" si="38"/>
        <v/>
      </c>
      <c r="J135" s="1220"/>
      <c r="K135" s="1220"/>
      <c r="L135" s="1220" t="str">
        <f t="shared" ca="1" si="39"/>
        <v/>
      </c>
      <c r="M135" s="1220"/>
      <c r="N135" s="1220"/>
      <c r="O135" s="1220" t="str">
        <f t="shared" ca="1" si="40"/>
        <v/>
      </c>
      <c r="P135" s="1220"/>
      <c r="Q135" s="1220"/>
      <c r="R135" s="1220" t="str">
        <f t="shared" ca="1" si="41"/>
        <v/>
      </c>
      <c r="S135" s="1220"/>
      <c r="T135" s="1220"/>
      <c r="U135" s="1220" t="str">
        <f t="shared" ca="1" si="42"/>
        <v/>
      </c>
      <c r="V135" s="1220"/>
      <c r="W135" s="1220"/>
      <c r="X135" s="623"/>
      <c r="Y135" s="624"/>
      <c r="Z135" s="616" t="str">
        <f t="shared" ca="1" si="29"/>
        <v/>
      </c>
      <c r="AA135" s="617" t="str">
        <f t="shared" ca="1" si="30"/>
        <v/>
      </c>
      <c r="AB135" s="618" t="str">
        <f ca="1">IF($B135="","",VLOOKUP(OP!$C$55,PVFB,$B135+2,0))</f>
        <v/>
      </c>
      <c r="AC135" s="619"/>
      <c r="AD135" s="620" t="str">
        <f ca="1">IF(OR($A$2=1,B135=""),"",VLOOKUP(OP!$C$55,PA,$B135+1,0)*OP!$C$28)</f>
        <v/>
      </c>
      <c r="AE135" s="619"/>
      <c r="AF135" s="620" t="str">
        <f ca="1">IF(OR($A$2=1,B135=""),"",VLOOKUP(OP!$C$55,DIE,$B135+1,0)*OP!$C$28)</f>
        <v/>
      </c>
      <c r="AG135" s="620" t="str">
        <f ca="1">IF(OR($A$2=1,B135=""),"",VLOOKUP(OP!$C$55,CV,$B135+1,0)*OP!$C$28)</f>
        <v/>
      </c>
      <c r="AH135" s="615"/>
      <c r="AI135" s="620" t="str">
        <f ca="1">IF(OR($A$2=1,B135="",AND($B135&gt;=計算!$P$4,$C135&lt;15),ISERROR(VLOOKUP($B135,MORE_PV,4,0))),"",VLOOKUP($B135,MORE_PV,4,0))</f>
        <v/>
      </c>
      <c r="AJ135" s="621" t="str">
        <f t="shared" ca="1" si="34"/>
        <v/>
      </c>
      <c r="AK135" s="621" t="str">
        <f t="shared" ca="1" si="35"/>
        <v/>
      </c>
    </row>
    <row r="136" spans="1:37" s="622" customFormat="1" ht="10.5" customHeight="1">
      <c r="B136" s="866" t="str">
        <f t="shared" ca="1" si="33"/>
        <v/>
      </c>
      <c r="C136" s="864" t="str">
        <f ca="1">IF(OR($A$2=1,MAX($C$20:$C$76,$C$85:C135)&gt;=110),"",C135+(B136-B135))</f>
        <v/>
      </c>
      <c r="D136" s="1220" t="str">
        <f t="shared" ca="1" si="36"/>
        <v/>
      </c>
      <c r="E136" s="1220"/>
      <c r="F136" s="1220" t="str">
        <f t="shared" ca="1" si="37"/>
        <v/>
      </c>
      <c r="G136" s="1220"/>
      <c r="H136" s="1220"/>
      <c r="I136" s="1220" t="str">
        <f t="shared" ca="1" si="38"/>
        <v/>
      </c>
      <c r="J136" s="1220"/>
      <c r="K136" s="1220"/>
      <c r="L136" s="1220" t="str">
        <f t="shared" ca="1" si="39"/>
        <v/>
      </c>
      <c r="M136" s="1220"/>
      <c r="N136" s="1220"/>
      <c r="O136" s="1220" t="str">
        <f t="shared" ca="1" si="40"/>
        <v/>
      </c>
      <c r="P136" s="1220"/>
      <c r="Q136" s="1220"/>
      <c r="R136" s="1220" t="str">
        <f t="shared" ca="1" si="41"/>
        <v/>
      </c>
      <c r="S136" s="1220"/>
      <c r="T136" s="1220"/>
      <c r="U136" s="1220" t="str">
        <f t="shared" ca="1" si="42"/>
        <v/>
      </c>
      <c r="V136" s="1220"/>
      <c r="W136" s="1220"/>
      <c r="X136" s="623"/>
      <c r="Y136" s="624"/>
      <c r="Z136" s="616" t="str">
        <f t="shared" ca="1" si="29"/>
        <v/>
      </c>
      <c r="AA136" s="617" t="str">
        <f t="shared" ca="1" si="30"/>
        <v/>
      </c>
      <c r="AB136" s="618" t="str">
        <f ca="1">IF($B136="","",VLOOKUP(OP!$C$55,PVFB,$B136+2,0))</f>
        <v/>
      </c>
      <c r="AC136" s="619"/>
      <c r="AD136" s="620" t="str">
        <f ca="1">IF(OR($A$2=1,B136=""),"",VLOOKUP(OP!$C$55,PA,$B136+1,0)*OP!$C$28)</f>
        <v/>
      </c>
      <c r="AE136" s="619"/>
      <c r="AF136" s="620" t="str">
        <f ca="1">IF(OR($A$2=1,B136=""),"",VLOOKUP(OP!$C$55,DIE,$B136+1,0)*OP!$C$28)</f>
        <v/>
      </c>
      <c r="AG136" s="620" t="str">
        <f ca="1">IF(OR($A$2=1,B136=""),"",VLOOKUP(OP!$C$55,CV,$B136+1,0)*OP!$C$28)</f>
        <v/>
      </c>
      <c r="AH136" s="615"/>
      <c r="AI136" s="620" t="str">
        <f ca="1">IF(OR($A$2=1,B136="",AND($B136&gt;=計算!$P$4,$C136&lt;15),ISERROR(VLOOKUP($B136,MORE_PV,4,0))),"",VLOOKUP($B136,MORE_PV,4,0))</f>
        <v/>
      </c>
      <c r="AJ136" s="621" t="str">
        <f t="shared" ca="1" si="34"/>
        <v/>
      </c>
      <c r="AK136" s="621" t="str">
        <f t="shared" ca="1" si="35"/>
        <v/>
      </c>
    </row>
    <row r="137" spans="1:37" s="622" customFormat="1" ht="10.5" customHeight="1">
      <c r="B137" s="866" t="str">
        <f t="shared" ca="1" si="33"/>
        <v/>
      </c>
      <c r="C137" s="864" t="str">
        <f ca="1">IF(OR($A$2=1,MAX($C$20:$C$76,$C$85:C136)&gt;=110),"",C136+(B137-B136))</f>
        <v/>
      </c>
      <c r="D137" s="1220" t="str">
        <f t="shared" ca="1" si="36"/>
        <v/>
      </c>
      <c r="E137" s="1220"/>
      <c r="F137" s="1220" t="str">
        <f t="shared" ca="1" si="37"/>
        <v/>
      </c>
      <c r="G137" s="1220"/>
      <c r="H137" s="1220"/>
      <c r="I137" s="1220" t="str">
        <f t="shared" ca="1" si="38"/>
        <v/>
      </c>
      <c r="J137" s="1220"/>
      <c r="K137" s="1220"/>
      <c r="L137" s="1220" t="str">
        <f t="shared" ca="1" si="39"/>
        <v/>
      </c>
      <c r="M137" s="1220"/>
      <c r="N137" s="1220"/>
      <c r="O137" s="1220" t="str">
        <f t="shared" ca="1" si="40"/>
        <v/>
      </c>
      <c r="P137" s="1220"/>
      <c r="Q137" s="1220"/>
      <c r="R137" s="1220" t="str">
        <f t="shared" ca="1" si="41"/>
        <v/>
      </c>
      <c r="S137" s="1220"/>
      <c r="T137" s="1220"/>
      <c r="U137" s="1220" t="str">
        <f t="shared" ca="1" si="42"/>
        <v/>
      </c>
      <c r="V137" s="1220"/>
      <c r="W137" s="1220"/>
      <c r="X137" s="623"/>
      <c r="Y137" s="624"/>
      <c r="Z137" s="616" t="str">
        <f t="shared" ca="1" si="29"/>
        <v/>
      </c>
      <c r="AA137" s="617" t="str">
        <f t="shared" ca="1" si="30"/>
        <v/>
      </c>
      <c r="AB137" s="618" t="str">
        <f ca="1">IF($B137="","",VLOOKUP(OP!$C$55,PVFB,$B137+2,0))</f>
        <v/>
      </c>
      <c r="AC137" s="619"/>
      <c r="AD137" s="620" t="str">
        <f ca="1">IF(OR($A$2=1,B137=""),"",VLOOKUP(OP!$C$55,PA,$B137+1,0)*OP!$C$28)</f>
        <v/>
      </c>
      <c r="AE137" s="619"/>
      <c r="AF137" s="620" t="str">
        <f ca="1">IF(OR($A$2=1,B137=""),"",VLOOKUP(OP!$C$55,DIE,$B137+1,0)*OP!$C$28)</f>
        <v/>
      </c>
      <c r="AG137" s="620" t="str">
        <f ca="1">IF(OR($A$2=1,B137=""),"",VLOOKUP(OP!$C$55,CV,$B137+1,0)*OP!$C$28)</f>
        <v/>
      </c>
      <c r="AH137" s="615"/>
      <c r="AI137" s="620" t="str">
        <f ca="1">IF(OR($A$2=1,B137="",AND($B137&gt;=計算!$P$4,$C137&lt;15),ISERROR(VLOOKUP($B137,MORE_PV,4,0))),"",VLOOKUP($B137,MORE_PV,4,0))</f>
        <v/>
      </c>
      <c r="AJ137" s="621" t="str">
        <f t="shared" ca="1" si="34"/>
        <v/>
      </c>
      <c r="AK137" s="621" t="str">
        <f t="shared" ca="1" si="35"/>
        <v/>
      </c>
    </row>
    <row r="138" spans="1:37" s="622" customFormat="1" ht="10.5" customHeight="1">
      <c r="B138" s="866" t="str">
        <f t="shared" ca="1" si="33"/>
        <v/>
      </c>
      <c r="C138" s="864" t="str">
        <f ca="1">IF(OR($A$2=1,MAX($C$20:$C$76,$C$85:C137)&gt;=110),"",C137+(B138-B137))</f>
        <v/>
      </c>
      <c r="D138" s="1220" t="str">
        <f t="shared" ca="1" si="36"/>
        <v/>
      </c>
      <c r="E138" s="1220"/>
      <c r="F138" s="1220" t="str">
        <f t="shared" ca="1" si="37"/>
        <v/>
      </c>
      <c r="G138" s="1220"/>
      <c r="H138" s="1220"/>
      <c r="I138" s="1220" t="str">
        <f t="shared" ca="1" si="38"/>
        <v/>
      </c>
      <c r="J138" s="1220"/>
      <c r="K138" s="1220"/>
      <c r="L138" s="1220" t="str">
        <f t="shared" ca="1" si="39"/>
        <v/>
      </c>
      <c r="M138" s="1220"/>
      <c r="N138" s="1220"/>
      <c r="O138" s="1220" t="str">
        <f t="shared" ca="1" si="40"/>
        <v/>
      </c>
      <c r="P138" s="1220"/>
      <c r="Q138" s="1220"/>
      <c r="R138" s="1220" t="str">
        <f t="shared" ca="1" si="41"/>
        <v/>
      </c>
      <c r="S138" s="1220"/>
      <c r="T138" s="1220"/>
      <c r="U138" s="1220" t="str">
        <f t="shared" ca="1" si="42"/>
        <v/>
      </c>
      <c r="V138" s="1220"/>
      <c r="W138" s="1220"/>
      <c r="X138" s="623"/>
      <c r="Y138" s="624"/>
      <c r="Z138" s="616" t="str">
        <f t="shared" ca="1" si="29"/>
        <v/>
      </c>
      <c r="AA138" s="617" t="str">
        <f t="shared" ca="1" si="30"/>
        <v/>
      </c>
      <c r="AB138" s="618" t="str">
        <f ca="1">IF($B138="","",VLOOKUP(OP!$C$55,PVFB,$B138+2,0))</f>
        <v/>
      </c>
      <c r="AC138" s="619"/>
      <c r="AD138" s="620" t="str">
        <f ca="1">IF(OR($A$2=1,B138=""),"",VLOOKUP(OP!$C$55,PA,$B138+1,0)*OP!$C$28)</f>
        <v/>
      </c>
      <c r="AE138" s="619"/>
      <c r="AF138" s="620" t="str">
        <f ca="1">IF(OR($A$2=1,B138=""),"",VLOOKUP(OP!$C$55,DIE,$B138+1,0)*OP!$C$28)</f>
        <v/>
      </c>
      <c r="AG138" s="620" t="str">
        <f ca="1">IF(OR($A$2=1,B138=""),"",VLOOKUP(OP!$C$55,CV,$B138+1,0)*OP!$C$28)</f>
        <v/>
      </c>
      <c r="AH138" s="615"/>
      <c r="AI138" s="620" t="str">
        <f ca="1">IF(OR($A$2=1,B138="",AND($B138&gt;=計算!$P$4,$C138&lt;15),ISERROR(VLOOKUP($B138,MORE_PV,4,0))),"",VLOOKUP($B138,MORE_PV,4,0))</f>
        <v/>
      </c>
      <c r="AJ138" s="621" t="str">
        <f t="shared" ca="1" si="34"/>
        <v/>
      </c>
      <c r="AK138" s="621" t="str">
        <f t="shared" ca="1" si="35"/>
        <v/>
      </c>
    </row>
    <row r="139" spans="1:37" s="632" customFormat="1" ht="11.85" customHeight="1">
      <c r="A139" s="625">
        <v>0</v>
      </c>
      <c r="B139" s="1226" t="str">
        <f ca="1">IF(OR($A$2=1),"",IF(B77="","祝壽保險金："&amp;TEXT(VLOOKUP(OP!$C$55,EXP,OP!$C$57+1,0)*OP!$C$28,"#,##0 元 "),""))</f>
        <v xml:space="preserve">祝壽保險金：3,767,200 元 </v>
      </c>
      <c r="C139" s="1227"/>
      <c r="D139" s="1227"/>
      <c r="E139" s="1227"/>
      <c r="F139" s="1227"/>
      <c r="G139" s="1227"/>
      <c r="H139" s="1227"/>
      <c r="I139" s="1228" t="str">
        <f ca="1">IF(OR($A$2=1),"",IF($I$77="","增額繳清保險金額祝壽保險金 (預估值) ："&amp;TEXT(VLOOKUP(OP!$C$57,MORE_PV,8,0),"#,##0 元 "),""))</f>
        <v xml:space="preserve">增額繳清保險金額祝壽保險金 (預估值) ：88,773 元 </v>
      </c>
      <c r="J139" s="1228"/>
      <c r="K139" s="1228"/>
      <c r="L139" s="1228"/>
      <c r="M139" s="1228"/>
      <c r="N139" s="1228"/>
      <c r="O139" s="1228"/>
      <c r="P139" s="1228"/>
      <c r="Q139" s="1228"/>
      <c r="R139" s="1228"/>
      <c r="S139" s="1228"/>
      <c r="T139" s="1228"/>
      <c r="U139" s="1228"/>
      <c r="V139" s="1228"/>
      <c r="W139" s="1228"/>
      <c r="X139" s="648"/>
    </row>
    <row r="140" spans="1:37" s="632" customFormat="1" ht="12" customHeight="1">
      <c r="A140" s="625"/>
      <c r="B140" s="166" t="s">
        <v>1055</v>
      </c>
      <c r="C140" s="649"/>
      <c r="D140" s="649"/>
      <c r="E140" s="649"/>
      <c r="F140" s="649"/>
      <c r="G140" s="649"/>
      <c r="H140" s="649"/>
      <c r="I140" s="649"/>
      <c r="J140" s="649"/>
      <c r="K140" s="649"/>
      <c r="L140" s="649"/>
      <c r="M140" s="649"/>
      <c r="N140" s="649"/>
      <c r="O140" s="649"/>
      <c r="P140" s="649"/>
      <c r="Q140" s="649"/>
      <c r="R140" s="649"/>
      <c r="S140" s="649"/>
      <c r="T140" s="649"/>
      <c r="U140" s="649"/>
      <c r="V140" s="649"/>
      <c r="W140" s="649"/>
      <c r="X140" s="648"/>
    </row>
    <row r="141" spans="1:37" s="632" customFormat="1" ht="12" customHeight="1">
      <c r="A141" s="625"/>
      <c r="B141" s="166" t="str">
        <f ca="1">"  假設以「試算表試算日」為保單生效日且宣告利率各年度均以"&amp;TEXT(計算!$G$3,"0.00%")&amp;"為例，並按投保後實際經過日數計算，實際宣告利"</f>
        <v xml:space="preserve">  假設以「試算表試算日」為保單生效日且宣告利率各年度均以2.69%為例，並按投保後實際經過日數計算，實際宣告利</v>
      </c>
      <c r="C141" s="649"/>
      <c r="D141" s="649"/>
      <c r="E141" s="649"/>
      <c r="F141" s="649"/>
      <c r="G141" s="649"/>
      <c r="H141" s="649"/>
      <c r="I141" s="649"/>
      <c r="J141" s="649"/>
      <c r="K141" s="649"/>
      <c r="L141" s="649"/>
      <c r="M141" s="649"/>
      <c r="N141" s="649"/>
      <c r="O141" s="649"/>
      <c r="P141" s="649"/>
      <c r="Q141" s="649"/>
      <c r="R141" s="649"/>
      <c r="S141" s="649"/>
      <c r="T141" s="649"/>
      <c r="U141" s="649"/>
      <c r="V141" s="649"/>
      <c r="W141" s="649"/>
      <c r="X141" s="648"/>
    </row>
    <row r="142" spans="1:37" s="632" customFormat="1" ht="12" customHeight="1">
      <c r="A142" s="625"/>
      <c r="B142" s="166" t="s">
        <v>1340</v>
      </c>
      <c r="C142" s="649"/>
      <c r="D142" s="649"/>
      <c r="E142" s="649"/>
      <c r="F142" s="649"/>
      <c r="G142" s="649"/>
      <c r="H142" s="649"/>
      <c r="I142" s="649"/>
      <c r="J142" s="649"/>
      <c r="K142" s="649"/>
      <c r="L142" s="649"/>
      <c r="M142" s="649"/>
      <c r="N142" s="649"/>
      <c r="O142" s="649"/>
      <c r="P142" s="649"/>
      <c r="Q142" s="649"/>
      <c r="R142" s="649"/>
      <c r="S142" s="649"/>
      <c r="T142" s="649"/>
      <c r="U142" s="649"/>
      <c r="V142" s="649"/>
      <c r="W142" s="649"/>
      <c r="X142" s="648"/>
    </row>
    <row r="143" spans="1:37" s="632" customFormat="1" ht="12" customHeight="1">
      <c r="A143" s="625"/>
      <c r="B143" s="541" t="s">
        <v>936</v>
      </c>
      <c r="C143" s="649"/>
      <c r="D143" s="649"/>
      <c r="E143" s="649"/>
      <c r="F143" s="649"/>
      <c r="G143" s="649"/>
      <c r="H143" s="649"/>
      <c r="I143" s="649"/>
      <c r="J143" s="649"/>
      <c r="K143" s="649"/>
      <c r="L143" s="649"/>
      <c r="M143" s="649"/>
      <c r="N143" s="649"/>
      <c r="O143" s="649"/>
      <c r="P143" s="649"/>
      <c r="Q143" s="649"/>
      <c r="R143" s="649"/>
      <c r="S143" s="649"/>
      <c r="T143" s="649"/>
      <c r="U143" s="649"/>
      <c r="V143" s="649"/>
      <c r="W143" s="649"/>
      <c r="X143" s="648"/>
    </row>
    <row r="144" spans="1:37" s="632" customFormat="1" ht="12" customHeight="1">
      <c r="A144" s="625"/>
      <c r="B144" s="541" t="s">
        <v>937</v>
      </c>
      <c r="C144" s="649"/>
      <c r="D144" s="649"/>
      <c r="E144" s="649"/>
      <c r="F144" s="649"/>
      <c r="G144" s="649"/>
      <c r="H144" s="649"/>
      <c r="I144" s="649"/>
      <c r="J144" s="649"/>
      <c r="K144" s="649"/>
      <c r="L144" s="649"/>
      <c r="M144" s="649"/>
      <c r="N144" s="649"/>
      <c r="O144" s="649"/>
      <c r="P144" s="649"/>
      <c r="Q144" s="649"/>
      <c r="R144" s="649"/>
      <c r="S144" s="649"/>
      <c r="T144" s="649"/>
      <c r="U144" s="649"/>
      <c r="V144" s="649"/>
      <c r="W144" s="649"/>
      <c r="X144" s="648"/>
    </row>
    <row r="145" spans="1:24" s="632" customFormat="1" ht="12" customHeight="1">
      <c r="A145" s="625"/>
      <c r="B145" s="166" t="s">
        <v>1087</v>
      </c>
      <c r="C145" s="649"/>
      <c r="D145" s="649"/>
      <c r="E145" s="649"/>
      <c r="F145" s="649"/>
      <c r="G145" s="649"/>
      <c r="H145" s="649"/>
      <c r="I145" s="649"/>
      <c r="J145" s="649"/>
      <c r="K145" s="649"/>
      <c r="L145" s="649"/>
      <c r="M145" s="649"/>
      <c r="N145" s="649"/>
      <c r="O145" s="649"/>
      <c r="P145" s="649"/>
      <c r="Q145" s="649"/>
      <c r="R145" s="649"/>
      <c r="S145" s="649"/>
      <c r="T145" s="649"/>
      <c r="U145" s="649"/>
      <c r="V145" s="649"/>
      <c r="W145" s="649"/>
      <c r="X145" s="648"/>
    </row>
    <row r="146" spans="1:24" s="619" customFormat="1" ht="12" customHeight="1">
      <c r="A146" s="560"/>
      <c r="B146" s="650" t="s">
        <v>1356</v>
      </c>
      <c r="C146" s="651"/>
      <c r="D146" s="652"/>
      <c r="E146" s="652"/>
      <c r="F146" s="653"/>
      <c r="G146" s="653"/>
      <c r="H146" s="653"/>
      <c r="I146" s="653"/>
      <c r="J146" s="654"/>
      <c r="K146" s="654"/>
      <c r="L146" s="655"/>
      <c r="M146" s="655"/>
      <c r="N146" s="655"/>
      <c r="O146" s="655"/>
      <c r="P146" s="655"/>
      <c r="Q146" s="655"/>
      <c r="R146" s="655"/>
      <c r="S146" s="655"/>
      <c r="T146" s="655"/>
      <c r="U146" s="655"/>
      <c r="V146" s="655"/>
      <c r="W146" s="655"/>
      <c r="X146" s="614"/>
    </row>
    <row r="147" spans="1:24" s="619" customFormat="1" ht="12" customHeight="1">
      <c r="A147" s="560">
        <v>3</v>
      </c>
      <c r="B147" s="656" t="s">
        <v>1088</v>
      </c>
      <c r="C147" s="651"/>
      <c r="D147" s="652"/>
      <c r="E147" s="652"/>
      <c r="F147" s="653"/>
      <c r="G147" s="653"/>
      <c r="H147" s="653"/>
      <c r="I147" s="653"/>
      <c r="J147" s="654"/>
      <c r="K147" s="654"/>
      <c r="L147" s="655"/>
      <c r="M147" s="655"/>
      <c r="N147" s="655"/>
      <c r="O147" s="655"/>
      <c r="P147" s="655"/>
      <c r="Q147" s="655"/>
      <c r="R147" s="655"/>
      <c r="S147" s="655"/>
      <c r="T147" s="655"/>
      <c r="U147" s="655"/>
      <c r="V147" s="655"/>
      <c r="W147" s="655"/>
      <c r="X147" s="614"/>
    </row>
    <row r="148" spans="1:24" s="619" customFormat="1" ht="12" customHeight="1">
      <c r="A148" s="560"/>
      <c r="B148" s="656" t="s">
        <v>1089</v>
      </c>
      <c r="C148" s="651"/>
      <c r="D148" s="652"/>
      <c r="E148" s="652"/>
      <c r="F148" s="653"/>
      <c r="G148" s="653"/>
      <c r="H148" s="653"/>
      <c r="I148" s="653"/>
      <c r="J148" s="654"/>
      <c r="K148" s="654"/>
      <c r="L148" s="655"/>
      <c r="M148" s="655"/>
      <c r="N148" s="655"/>
      <c r="O148" s="655"/>
      <c r="P148" s="655"/>
      <c r="Q148" s="655"/>
      <c r="R148" s="655"/>
      <c r="S148" s="655"/>
      <c r="T148" s="655"/>
      <c r="U148" s="655"/>
      <c r="V148" s="655"/>
      <c r="W148" s="655"/>
      <c r="X148" s="614"/>
    </row>
    <row r="149" spans="1:24" s="619" customFormat="1" ht="12" customHeight="1">
      <c r="A149" s="560">
        <v>4</v>
      </c>
      <c r="B149" s="650" t="s">
        <v>1357</v>
      </c>
      <c r="C149" s="651"/>
      <c r="D149" s="652"/>
      <c r="E149" s="652"/>
      <c r="F149" s="653"/>
      <c r="G149" s="653"/>
      <c r="H149" s="653"/>
      <c r="I149" s="653"/>
      <c r="J149" s="654"/>
      <c r="K149" s="654"/>
      <c r="L149" s="655"/>
      <c r="M149" s="655"/>
      <c r="N149" s="655"/>
      <c r="O149" s="655"/>
      <c r="P149" s="655"/>
      <c r="Q149" s="655"/>
      <c r="R149" s="655"/>
      <c r="S149" s="655"/>
      <c r="T149" s="655"/>
      <c r="U149" s="655"/>
      <c r="V149" s="655"/>
      <c r="W149" s="655"/>
      <c r="X149" s="614"/>
    </row>
    <row r="150" spans="1:24" s="619" customFormat="1" ht="12" customHeight="1">
      <c r="A150" s="560"/>
      <c r="B150" s="650" t="s">
        <v>1090</v>
      </c>
      <c r="C150" s="651"/>
      <c r="D150" s="652"/>
      <c r="E150" s="652"/>
      <c r="F150" s="653"/>
      <c r="G150" s="653"/>
      <c r="H150" s="653"/>
      <c r="I150" s="653"/>
      <c r="J150" s="654"/>
      <c r="K150" s="654"/>
      <c r="L150" s="655"/>
      <c r="M150" s="655"/>
      <c r="N150" s="655"/>
      <c r="O150" s="655"/>
      <c r="P150" s="655"/>
      <c r="Q150" s="655"/>
      <c r="R150" s="655"/>
      <c r="S150" s="655"/>
      <c r="T150" s="655"/>
      <c r="U150" s="655"/>
      <c r="V150" s="655"/>
      <c r="W150" s="655"/>
      <c r="X150" s="614"/>
    </row>
    <row r="151" spans="1:24" s="619" customFormat="1" ht="12" customHeight="1">
      <c r="A151" s="560"/>
      <c r="B151" s="650" t="s">
        <v>1091</v>
      </c>
      <c r="C151" s="651"/>
      <c r="D151" s="652"/>
      <c r="E151" s="652"/>
      <c r="F151" s="653"/>
      <c r="G151" s="653"/>
      <c r="H151" s="653"/>
      <c r="I151" s="653"/>
      <c r="J151" s="654"/>
      <c r="K151" s="654"/>
      <c r="L151" s="655"/>
      <c r="M151" s="655"/>
      <c r="N151" s="655"/>
      <c r="O151" s="655"/>
      <c r="P151" s="655"/>
      <c r="Q151" s="655"/>
      <c r="R151" s="655"/>
      <c r="S151" s="655"/>
      <c r="T151" s="655"/>
      <c r="U151" s="655"/>
      <c r="V151" s="655"/>
      <c r="W151" s="655"/>
      <c r="X151" s="614"/>
    </row>
    <row r="152" spans="1:24" s="619" customFormat="1" ht="12" customHeight="1">
      <c r="A152" s="560"/>
      <c r="B152" s="650" t="s">
        <v>1358</v>
      </c>
      <c r="C152" s="651"/>
      <c r="D152" s="652"/>
      <c r="E152" s="652"/>
      <c r="F152" s="653"/>
      <c r="G152" s="653"/>
      <c r="H152" s="653"/>
      <c r="I152" s="653"/>
      <c r="J152" s="654"/>
      <c r="K152" s="654"/>
      <c r="L152" s="655"/>
      <c r="M152" s="655"/>
      <c r="N152" s="655"/>
      <c r="O152" s="655"/>
      <c r="P152" s="655"/>
      <c r="Q152" s="655"/>
      <c r="R152" s="655"/>
      <c r="S152" s="655"/>
      <c r="T152" s="655"/>
      <c r="U152" s="655"/>
      <c r="V152" s="655"/>
      <c r="W152" s="655"/>
      <c r="X152" s="614"/>
    </row>
    <row r="153" spans="1:24" s="619" customFormat="1" ht="12" customHeight="1">
      <c r="A153" s="560"/>
      <c r="B153" s="650" t="s">
        <v>1359</v>
      </c>
      <c r="C153" s="651"/>
      <c r="D153" s="652"/>
      <c r="E153" s="652"/>
      <c r="F153" s="653"/>
      <c r="G153" s="653"/>
      <c r="H153" s="653"/>
      <c r="I153" s="653"/>
      <c r="J153" s="654"/>
      <c r="K153" s="654"/>
      <c r="L153" s="655"/>
      <c r="M153" s="655"/>
      <c r="N153" s="655"/>
      <c r="O153" s="655"/>
      <c r="P153" s="655"/>
      <c r="Q153" s="655"/>
      <c r="R153" s="655"/>
      <c r="S153" s="655"/>
      <c r="T153" s="655"/>
      <c r="U153" s="655"/>
      <c r="V153" s="655"/>
      <c r="W153" s="655"/>
      <c r="X153" s="614"/>
    </row>
    <row r="154" spans="1:24" s="634" customFormat="1" ht="11.25" customHeight="1">
      <c r="A154" s="558"/>
      <c r="B154" s="1223" t="s">
        <v>1092</v>
      </c>
      <c r="C154" s="1223"/>
      <c r="D154" s="1223"/>
      <c r="E154" s="1223"/>
      <c r="F154" s="1223"/>
      <c r="G154" s="1223"/>
      <c r="H154" s="1223"/>
      <c r="I154" s="1223"/>
      <c r="J154" s="1223"/>
      <c r="K154" s="1223"/>
      <c r="L154" s="1223"/>
      <c r="M154" s="1223"/>
      <c r="N154" s="1223"/>
      <c r="O154" s="1223"/>
      <c r="P154" s="1223"/>
      <c r="Q154" s="1223"/>
      <c r="R154" s="1223"/>
      <c r="S154" s="1223"/>
      <c r="T154" s="1223"/>
      <c r="U154" s="1223"/>
      <c r="V154" s="1223"/>
      <c r="W154" s="1223"/>
    </row>
    <row r="155" spans="1:24" ht="11.25" customHeight="1">
      <c r="A155" s="558"/>
      <c r="B155" s="635"/>
      <c r="C155" s="636"/>
      <c r="D155" s="636"/>
      <c r="E155" s="1224"/>
      <c r="F155" s="1225"/>
      <c r="G155" s="1225"/>
      <c r="H155" s="1225"/>
      <c r="I155" s="1225"/>
      <c r="J155" s="1225"/>
      <c r="K155" s="1225"/>
      <c r="L155" s="1225"/>
      <c r="M155" s="1225"/>
      <c r="N155" s="1225"/>
      <c r="O155" s="1225"/>
      <c r="P155" s="1225"/>
      <c r="R155" s="639"/>
      <c r="S155" s="639"/>
      <c r="T155" s="639"/>
      <c r="U155" s="639"/>
      <c r="V155" s="639"/>
      <c r="W155" s="640" t="str">
        <f ca="1">OP!$C$54&amp;" 試算日："&amp;TEXT(OP!$C$3,"EEMMDD")</f>
        <v>V1.0-1060217 試算日：1060602</v>
      </c>
    </row>
    <row r="156" spans="1:24" ht="11.25" customHeight="1">
      <c r="A156" s="558"/>
      <c r="B156" s="635"/>
      <c r="C156" s="636"/>
      <c r="D156" s="636"/>
      <c r="E156" s="637"/>
      <c r="F156" s="638"/>
      <c r="G156" s="638"/>
      <c r="H156" s="638"/>
      <c r="I156" s="638"/>
      <c r="J156" s="638"/>
      <c r="K156" s="638"/>
      <c r="L156" s="638"/>
      <c r="M156" s="638"/>
      <c r="N156" s="638"/>
      <c r="O156" s="638"/>
      <c r="P156" s="638"/>
      <c r="R156" s="639"/>
      <c r="S156" s="639"/>
      <c r="T156" s="639"/>
      <c r="U156" s="639"/>
      <c r="V156" s="639"/>
      <c r="W156" s="640"/>
    </row>
    <row r="157" spans="1:24" ht="11.25" hidden="1" customHeight="1">
      <c r="A157" s="558"/>
      <c r="B157" s="787"/>
      <c r="C157" s="788"/>
      <c r="D157" s="788"/>
      <c r="E157" s="789"/>
      <c r="F157" s="790"/>
      <c r="G157" s="790"/>
      <c r="H157" s="790"/>
      <c r="I157" s="790"/>
      <c r="J157" s="790"/>
      <c r="K157" s="790"/>
      <c r="L157" s="790"/>
      <c r="M157" s="790"/>
      <c r="N157" s="790"/>
      <c r="O157" s="790"/>
      <c r="P157" s="790"/>
      <c r="Q157" s="764"/>
      <c r="R157" s="791"/>
      <c r="S157" s="791"/>
      <c r="T157" s="791"/>
      <c r="U157" s="792"/>
      <c r="V157" s="812"/>
      <c r="W157" s="812"/>
    </row>
    <row r="158" spans="1:24" ht="11.25" customHeight="1">
      <c r="A158" s="558"/>
      <c r="B158" s="1177" t="s">
        <v>1362</v>
      </c>
      <c r="C158" s="1177"/>
      <c r="D158" s="1177"/>
      <c r="E158" s="1177"/>
      <c r="F158" s="1177"/>
      <c r="G158" s="1177"/>
      <c r="H158" s="1177"/>
      <c r="I158" s="1177"/>
      <c r="J158" s="1177"/>
      <c r="K158" s="1177"/>
      <c r="L158" s="1177"/>
      <c r="M158" s="1177"/>
      <c r="N158" s="1177"/>
      <c r="O158" s="1177"/>
      <c r="P158" s="1177"/>
      <c r="Q158" s="1177"/>
      <c r="R158" s="1177"/>
      <c r="S158" s="1177"/>
      <c r="T158" s="1177"/>
      <c r="U158" s="1177"/>
      <c r="V158" s="1177"/>
      <c r="W158" s="1177"/>
    </row>
    <row r="159" spans="1:24" ht="11.25" customHeight="1">
      <c r="A159" s="558"/>
      <c r="B159" s="793" t="str">
        <f>"增值回饋分享金給付方式："&amp;IF(輸入頁!$E$18=計算!$P$5,輸入頁!$E$18&amp;"金額",輸入頁!$E$18)</f>
        <v>增值回饋分享金給付方式：儲存生息</v>
      </c>
      <c r="C159" s="794"/>
      <c r="D159" s="794"/>
      <c r="E159" s="794"/>
      <c r="F159" s="794"/>
      <c r="G159" s="794"/>
      <c r="H159" s="794"/>
      <c r="I159" s="794"/>
      <c r="J159" s="794"/>
      <c r="K159" s="794"/>
      <c r="L159" s="794"/>
      <c r="M159" s="794"/>
      <c r="N159" s="794"/>
      <c r="O159" s="794"/>
      <c r="P159" s="794"/>
      <c r="Q159" s="794"/>
      <c r="R159" s="794"/>
      <c r="S159" s="794"/>
      <c r="T159" s="794"/>
      <c r="U159" s="794"/>
      <c r="V159" s="812"/>
      <c r="W159" s="812"/>
    </row>
    <row r="160" spans="1:24" ht="11.25" customHeight="1">
      <c r="A160" s="558"/>
      <c r="B160" s="793" t="str">
        <f ca="1">"指定保險金比例："&amp;TEXT(輸入頁!$G$25,"0%")&amp;"，"&amp;輸入頁!$F$27&amp;TEXT(輸入頁!$G$27,"0.00%")&amp;"，"&amp;輸入頁!$F$29&amp;輸入頁!$G$29&amp;"年"</f>
        <v>指定保險金比例：20%，假設分期定期保險金預定利率：2.00%，分期定期保險金給付期間：20年</v>
      </c>
      <c r="C160" s="795"/>
      <c r="D160" s="796"/>
      <c r="E160" s="796"/>
      <c r="F160" s="795"/>
      <c r="G160" s="795"/>
      <c r="H160" s="796"/>
      <c r="I160" s="796"/>
      <c r="J160" s="797"/>
      <c r="K160" s="797"/>
      <c r="L160" s="798"/>
      <c r="M160" s="798"/>
      <c r="N160" s="799"/>
      <c r="O160" s="799"/>
      <c r="P160" s="800"/>
      <c r="Q160" s="801"/>
      <c r="R160" s="802"/>
      <c r="S160" s="803"/>
      <c r="T160" s="804"/>
      <c r="U160" s="764"/>
      <c r="V160" s="812"/>
      <c r="W160" s="805" t="s">
        <v>1290</v>
      </c>
    </row>
    <row r="161" spans="1:23" ht="11.25" customHeight="1">
      <c r="A161" s="558"/>
      <c r="B161" s="1178" t="s">
        <v>1405</v>
      </c>
      <c r="C161" s="1178" t="s">
        <v>1406</v>
      </c>
      <c r="D161" s="1179" t="s">
        <v>1291</v>
      </c>
      <c r="E161" s="1179"/>
      <c r="F161" s="1179"/>
      <c r="G161" s="1179"/>
      <c r="H161" s="1179"/>
      <c r="I161" s="1179"/>
      <c r="J161" s="1179"/>
      <c r="K161" s="1179"/>
      <c r="L161" s="1179"/>
      <c r="M161" s="1180" t="s">
        <v>1405</v>
      </c>
      <c r="N161" s="1180" t="s">
        <v>1406</v>
      </c>
      <c r="O161" s="1181" t="s">
        <v>1291</v>
      </c>
      <c r="P161" s="1181"/>
      <c r="Q161" s="1181"/>
      <c r="R161" s="1181"/>
      <c r="S161" s="1181"/>
      <c r="T161" s="1181"/>
      <c r="U161" s="1181"/>
      <c r="V161" s="1181"/>
      <c r="W161" s="1181"/>
    </row>
    <row r="162" spans="1:23" ht="35.25" customHeight="1">
      <c r="A162" s="558"/>
      <c r="B162" s="1178"/>
      <c r="C162" s="1178"/>
      <c r="D162" s="1178" t="str">
        <f>總表!$Y$3</f>
        <v>ㄧ次給付
(預估值)</v>
      </c>
      <c r="E162" s="1178"/>
      <c r="F162" s="1178"/>
      <c r="G162" s="1178"/>
      <c r="H162" s="1178"/>
      <c r="I162" s="1178" t="str">
        <f>總表!$Z$3</f>
        <v>分期給付(年)
給付20年
(預估值)</v>
      </c>
      <c r="J162" s="1178"/>
      <c r="K162" s="1178"/>
      <c r="L162" s="1178"/>
      <c r="M162" s="1180"/>
      <c r="N162" s="1180"/>
      <c r="O162" s="1180" t="str">
        <f>總表!$Y$3</f>
        <v>ㄧ次給付
(預估值)</v>
      </c>
      <c r="P162" s="1180"/>
      <c r="Q162" s="1180"/>
      <c r="R162" s="1180"/>
      <c r="S162" s="1180"/>
      <c r="T162" s="1180" t="str">
        <f>總表!$Z$3</f>
        <v>分期給付(年)
給付20年
(預估值)</v>
      </c>
      <c r="U162" s="1180"/>
      <c r="V162" s="1180"/>
      <c r="W162" s="1180"/>
    </row>
    <row r="163" spans="1:23" ht="11.25" customHeight="1">
      <c r="A163" s="558"/>
      <c r="B163" s="867">
        <v>1</v>
      </c>
      <c r="C163" s="867">
        <f ca="1">IF($A$2=1,"",OP!$D$5)</f>
        <v>33</v>
      </c>
      <c r="D163" s="1229">
        <f ca="1">IF(OR($A$2=1,ISERROR(VLOOKUP($B163,TOV,24,0))),"",VLOOKUP($B163,TOV,24,0))</f>
        <v>181179</v>
      </c>
      <c r="E163" s="1229"/>
      <c r="F163" s="1229"/>
      <c r="G163" s="1229"/>
      <c r="H163" s="1229"/>
      <c r="I163" s="1229">
        <f t="shared" ref="I163:I194" ca="1" si="43">IF(OR($A$2=1,ISERROR(VLOOKUP($B163,TOV,25,0))),"",VLOOKUP($B163,TOV,25,0))</f>
        <v>0</v>
      </c>
      <c r="J163" s="1229"/>
      <c r="K163" s="1229"/>
      <c r="L163" s="1229"/>
      <c r="M163" s="868">
        <f ca="1">IF(OR(C218&gt;=110,C218=""),"",IF(C218+1&gt;110,111-$C$16,B218+1))</f>
        <v>57</v>
      </c>
      <c r="N163" s="867">
        <f ca="1">IF(OR($A$2=1,MAX($C$163:$C$218)&gt;=110),"",C218+(M163-B218))</f>
        <v>89</v>
      </c>
      <c r="O163" s="1229">
        <f t="shared" ref="O163:O194" ca="1" si="44">IF(OR($A$2=1,ISERROR(VLOOKUP($M163,TOV,24,0))),"",VLOOKUP($M163,TOV,24,0))</f>
        <v>3471783.4</v>
      </c>
      <c r="P163" s="1229"/>
      <c r="Q163" s="1229"/>
      <c r="R163" s="1229"/>
      <c r="S163" s="1229"/>
      <c r="T163" s="1229">
        <f t="shared" ref="T163:T194" ca="1" si="45">IF(OR($A$2=1,ISERROR(VLOOKUP($M163,TOV,25,0))),"",VLOOKUP($M163,TOV,25,0))</f>
        <v>33969.774887499712</v>
      </c>
      <c r="U163" s="1229"/>
      <c r="V163" s="1229"/>
      <c r="W163" s="1229"/>
    </row>
    <row r="164" spans="1:23" ht="11.25" customHeight="1">
      <c r="A164" s="558"/>
      <c r="B164" s="863">
        <f ca="1">IF(OR(C163&gt;=110,C163=""),"",IF(C163+1&gt;110,111-$C$16,B163+1))</f>
        <v>2</v>
      </c>
      <c r="C164" s="862">
        <f ca="1">IF(OR($A$2=1,MAX($C163:C$163)&gt;=110),"",C163+(B164-B163))</f>
        <v>34</v>
      </c>
      <c r="D164" s="1229">
        <f t="shared" ref="D164:D218" ca="1" si="46">IF(OR($A$2=1,ISERROR(VLOOKUP($B164,TOV,24,0))),"",VLOOKUP($B164,TOV,24,0))</f>
        <v>363585</v>
      </c>
      <c r="E164" s="1229"/>
      <c r="F164" s="1229"/>
      <c r="G164" s="1229"/>
      <c r="H164" s="1229"/>
      <c r="I164" s="1229">
        <f t="shared" ca="1" si="43"/>
        <v>0</v>
      </c>
      <c r="J164" s="1229"/>
      <c r="K164" s="1229"/>
      <c r="L164" s="1229"/>
      <c r="M164" s="863">
        <f ca="1">IF(OR(N163&gt;=110,N163=""),"",IF(N163+1&gt;110,111-$C$16,M163+1))</f>
        <v>58</v>
      </c>
      <c r="N164" s="867">
        <f ca="1">IF(OR($A$2=1,MAX($C$163:$C$218,$N$163:N163)&gt;=110),"",N163+(M164-M163))</f>
        <v>90</v>
      </c>
      <c r="O164" s="1229">
        <f t="shared" ca="1" si="44"/>
        <v>3563306.2</v>
      </c>
      <c r="P164" s="1229"/>
      <c r="Q164" s="1229"/>
      <c r="R164" s="1229"/>
      <c r="S164" s="1229"/>
      <c r="T164" s="1229">
        <f t="shared" ca="1" si="45"/>
        <v>34554.013409809966</v>
      </c>
      <c r="U164" s="1229"/>
      <c r="V164" s="1229"/>
      <c r="W164" s="1229"/>
    </row>
    <row r="165" spans="1:23" ht="11.25" customHeight="1">
      <c r="A165" s="558"/>
      <c r="B165" s="863">
        <f t="shared" ref="B165:B218" ca="1" si="47">IF(OR(C164&gt;=110,C164=""),"",IF(C164+1&gt;110,111-$C$16,B164+1))</f>
        <v>3</v>
      </c>
      <c r="C165" s="862">
        <f ca="1">IF(OR($A$2=1,MAX($C$163:C164)&gt;=110),"",C164+(B165-B164))</f>
        <v>35</v>
      </c>
      <c r="D165" s="1229">
        <f t="shared" ca="1" si="46"/>
        <v>547284</v>
      </c>
      <c r="E165" s="1229"/>
      <c r="F165" s="1229"/>
      <c r="G165" s="1229"/>
      <c r="H165" s="1229"/>
      <c r="I165" s="1229">
        <f t="shared" ca="1" si="43"/>
        <v>0</v>
      </c>
      <c r="J165" s="1229"/>
      <c r="K165" s="1229"/>
      <c r="L165" s="1229"/>
      <c r="M165" s="863">
        <f t="shared" ref="M165:M217" ca="1" si="48">IF(OR(N164&gt;=110,N164=""),"",IF(N164+1&gt;110,111-$C$16,M164+1))</f>
        <v>59</v>
      </c>
      <c r="N165" s="867">
        <f ca="1">IF(OR($A$2=1,MAX($C$163:$C$218,$N$163:N164)&gt;=110),"",N164+(M165-M164))</f>
        <v>91</v>
      </c>
      <c r="O165" s="1229">
        <f t="shared" ca="1" si="44"/>
        <v>3656693.8000000003</v>
      </c>
      <c r="P165" s="1229"/>
      <c r="Q165" s="1229"/>
      <c r="R165" s="1229"/>
      <c r="S165" s="1229"/>
      <c r="T165" s="1229">
        <f t="shared" ca="1" si="45"/>
        <v>35138.263923633574</v>
      </c>
      <c r="U165" s="1229"/>
      <c r="V165" s="1229"/>
      <c r="W165" s="1229"/>
    </row>
    <row r="166" spans="1:23" ht="11.25" customHeight="1">
      <c r="A166" s="558"/>
      <c r="B166" s="863">
        <f t="shared" ca="1" si="47"/>
        <v>4</v>
      </c>
      <c r="C166" s="862">
        <f ca="1">IF(OR($A$2=1,MAX($C$163:C165)&gt;=110),"",C165+(B166-B165))</f>
        <v>36</v>
      </c>
      <c r="D166" s="1229">
        <f t="shared" ca="1" si="46"/>
        <v>732325</v>
      </c>
      <c r="E166" s="1229"/>
      <c r="F166" s="1229"/>
      <c r="G166" s="1229"/>
      <c r="H166" s="1229"/>
      <c r="I166" s="1229">
        <f t="shared" ca="1" si="43"/>
        <v>0</v>
      </c>
      <c r="J166" s="1229"/>
      <c r="K166" s="1229"/>
      <c r="L166" s="1229"/>
      <c r="M166" s="863">
        <f t="shared" ca="1" si="48"/>
        <v>60</v>
      </c>
      <c r="N166" s="867">
        <f ca="1">IF(OR($A$2=1,MAX($C$163:$C$218,$N$163:N165)&gt;=110),"",N165+(M166-M165))</f>
        <v>92</v>
      </c>
      <c r="O166" s="1229">
        <f t="shared" ca="1" si="44"/>
        <v>3751807.4</v>
      </c>
      <c r="P166" s="1229"/>
      <c r="Q166" s="1229"/>
      <c r="R166" s="1229"/>
      <c r="S166" s="1229"/>
      <c r="T166" s="1229">
        <f t="shared" ca="1" si="45"/>
        <v>35722.514437457176</v>
      </c>
      <c r="U166" s="1229"/>
      <c r="V166" s="1229"/>
      <c r="W166" s="1229"/>
    </row>
    <row r="167" spans="1:23" ht="11.25" customHeight="1">
      <c r="A167" s="558"/>
      <c r="B167" s="863">
        <f t="shared" ca="1" si="47"/>
        <v>5</v>
      </c>
      <c r="C167" s="862">
        <f ca="1">IF(OR($A$2=1,MAX($C$163:C166)&gt;=110),"",C166+(B167-B166))</f>
        <v>37</v>
      </c>
      <c r="D167" s="1229">
        <f t="shared" ca="1" si="46"/>
        <v>918773</v>
      </c>
      <c r="E167" s="1229"/>
      <c r="F167" s="1229"/>
      <c r="G167" s="1229"/>
      <c r="H167" s="1229"/>
      <c r="I167" s="1229">
        <f t="shared" ca="1" si="43"/>
        <v>0</v>
      </c>
      <c r="J167" s="1229"/>
      <c r="K167" s="1229"/>
      <c r="L167" s="1229"/>
      <c r="M167" s="863">
        <f t="shared" ca="1" si="48"/>
        <v>61</v>
      </c>
      <c r="N167" s="867">
        <f ca="1">IF(OR($A$2=1,MAX($C$163:$C$218,$N$163:N166)&gt;=110),"",N166+(M167-M166))</f>
        <v>93</v>
      </c>
      <c r="O167" s="1229">
        <f t="shared" ca="1" si="44"/>
        <v>3848789.2</v>
      </c>
      <c r="P167" s="1229"/>
      <c r="Q167" s="1229"/>
      <c r="R167" s="1229"/>
      <c r="S167" s="1229"/>
      <c r="T167" s="1229">
        <f t="shared" ca="1" si="45"/>
        <v>36306.752959767429</v>
      </c>
      <c r="U167" s="1229"/>
      <c r="V167" s="1229"/>
      <c r="W167" s="1229"/>
    </row>
    <row r="168" spans="1:23" ht="11.25" customHeight="1">
      <c r="A168" s="558"/>
      <c r="B168" s="863">
        <f t="shared" ca="1" si="47"/>
        <v>6</v>
      </c>
      <c r="C168" s="862">
        <f ca="1">IF(OR($A$2=1,MAX($C$163:C167)&gt;=110),"",C167+(B168-B167))</f>
        <v>38</v>
      </c>
      <c r="D168" s="1229">
        <f t="shared" ca="1" si="46"/>
        <v>1108227</v>
      </c>
      <c r="E168" s="1229"/>
      <c r="F168" s="1229"/>
      <c r="G168" s="1229"/>
      <c r="H168" s="1229"/>
      <c r="I168" s="1229">
        <f t="shared" ca="1" si="43"/>
        <v>0</v>
      </c>
      <c r="J168" s="1229"/>
      <c r="K168" s="1229"/>
      <c r="L168" s="1229"/>
      <c r="M168" s="863">
        <f t="shared" ca="1" si="48"/>
        <v>62</v>
      </c>
      <c r="N168" s="867">
        <f ca="1">IF(OR($A$2=1,MAX($C$163:$C$218,$N$163:N167)&gt;=110),"",N167+(M168-M167))</f>
        <v>94</v>
      </c>
      <c r="O168" s="1229">
        <f t="shared" ca="1" si="44"/>
        <v>3947694.8000000003</v>
      </c>
      <c r="P168" s="1229"/>
      <c r="Q168" s="1229"/>
      <c r="R168" s="1229"/>
      <c r="S168" s="1229"/>
      <c r="T168" s="1229">
        <f t="shared" ca="1" si="45"/>
        <v>36891.003473591038</v>
      </c>
      <c r="U168" s="1229"/>
      <c r="V168" s="1229"/>
      <c r="W168" s="1229"/>
    </row>
    <row r="169" spans="1:23" ht="11.25" customHeight="1">
      <c r="A169" s="558"/>
      <c r="B169" s="863">
        <f t="shared" ca="1" si="47"/>
        <v>7</v>
      </c>
      <c r="C169" s="862">
        <f ca="1">IF(OR($A$2=1,MAX($C$163:C168)&gt;=110),"",C168+(B169-B168))</f>
        <v>39</v>
      </c>
      <c r="D169" s="1229">
        <f t="shared" ca="1" si="46"/>
        <v>1115556</v>
      </c>
      <c r="E169" s="1229"/>
      <c r="F169" s="1229"/>
      <c r="G169" s="1229"/>
      <c r="H169" s="1229"/>
      <c r="I169" s="1229">
        <f t="shared" ca="1" si="43"/>
        <v>0</v>
      </c>
      <c r="J169" s="1229"/>
      <c r="K169" s="1229"/>
      <c r="L169" s="1229"/>
      <c r="M169" s="863">
        <f t="shared" ca="1" si="48"/>
        <v>63</v>
      </c>
      <c r="N169" s="867">
        <f ca="1">IF(OR($A$2=1,MAX($C$163:$C$218,$N$163:N168)&gt;=110),"",N168+(M169-M168))</f>
        <v>95</v>
      </c>
      <c r="O169" s="1229">
        <f t="shared" ca="1" si="44"/>
        <v>4048688.4</v>
      </c>
      <c r="P169" s="1229"/>
      <c r="Q169" s="1229"/>
      <c r="R169" s="1229"/>
      <c r="S169" s="1229"/>
      <c r="T169" s="1229">
        <f t="shared" ca="1" si="45"/>
        <v>37475.253987414631</v>
      </c>
      <c r="U169" s="1229"/>
      <c r="V169" s="1229"/>
      <c r="W169" s="1229"/>
    </row>
    <row r="170" spans="1:23" ht="11.25" customHeight="1">
      <c r="A170" s="558"/>
      <c r="B170" s="863">
        <f t="shared" ca="1" si="47"/>
        <v>8</v>
      </c>
      <c r="C170" s="862">
        <f ca="1">IF(OR($A$2=1,MAX($C$163:C169)&gt;=110),"",C169+(B170-B169))</f>
        <v>40</v>
      </c>
      <c r="D170" s="1229">
        <f t="shared" ca="1" si="46"/>
        <v>1123231</v>
      </c>
      <c r="E170" s="1229"/>
      <c r="F170" s="1229"/>
      <c r="G170" s="1229"/>
      <c r="H170" s="1229"/>
      <c r="I170" s="1229">
        <f t="shared" ca="1" si="43"/>
        <v>0</v>
      </c>
      <c r="J170" s="1229"/>
      <c r="K170" s="1229"/>
      <c r="L170" s="1229"/>
      <c r="M170" s="863">
        <f t="shared" ca="1" si="48"/>
        <v>64</v>
      </c>
      <c r="N170" s="867">
        <f ca="1">IF(OR($A$2=1,MAX($C$163:$C$218,$N$163:N169)&gt;=110),"",N169+(M170-M169))</f>
        <v>96</v>
      </c>
      <c r="O170" s="1229">
        <f t="shared" ca="1" si="44"/>
        <v>4151602.2</v>
      </c>
      <c r="P170" s="1229"/>
      <c r="Q170" s="1229"/>
      <c r="R170" s="1229"/>
      <c r="S170" s="1229"/>
      <c r="T170" s="1229">
        <f t="shared" ca="1" si="45"/>
        <v>38059.492509724885</v>
      </c>
      <c r="U170" s="1229"/>
      <c r="V170" s="1229"/>
      <c r="W170" s="1229"/>
    </row>
    <row r="171" spans="1:23" ht="11.25" customHeight="1">
      <c r="A171" s="558"/>
      <c r="B171" s="863">
        <f t="shared" ca="1" si="47"/>
        <v>9</v>
      </c>
      <c r="C171" s="862">
        <f ca="1">IF(OR($A$2=1,MAX($C$163:C170)&gt;=110),"",C170+(B171-B170))</f>
        <v>41</v>
      </c>
      <c r="D171" s="1229">
        <f t="shared" ca="1" si="46"/>
        <v>1131265</v>
      </c>
      <c r="E171" s="1229"/>
      <c r="F171" s="1229"/>
      <c r="G171" s="1229"/>
      <c r="H171" s="1229"/>
      <c r="I171" s="1229">
        <f t="shared" ca="1" si="43"/>
        <v>0</v>
      </c>
      <c r="J171" s="1229"/>
      <c r="K171" s="1229"/>
      <c r="L171" s="1229"/>
      <c r="M171" s="863">
        <f t="shared" ca="1" si="48"/>
        <v>65</v>
      </c>
      <c r="N171" s="867">
        <f ca="1">IF(OR($A$2=1,MAX($C$163:$C$218,$N$163:N170)&gt;=110),"",N170+(M171-M170))</f>
        <v>97</v>
      </c>
      <c r="O171" s="1229">
        <f t="shared" ca="1" si="44"/>
        <v>4256603.8000000007</v>
      </c>
      <c r="P171" s="1229"/>
      <c r="Q171" s="1229"/>
      <c r="R171" s="1229"/>
      <c r="S171" s="1229"/>
      <c r="T171" s="1229">
        <f t="shared" ca="1" si="45"/>
        <v>38643.743023548494</v>
      </c>
      <c r="U171" s="1229"/>
      <c r="V171" s="1229"/>
      <c r="W171" s="1229"/>
    </row>
    <row r="172" spans="1:23" ht="11.25" customHeight="1">
      <c r="A172" s="558"/>
      <c r="B172" s="863">
        <f t="shared" ca="1" si="47"/>
        <v>10</v>
      </c>
      <c r="C172" s="862">
        <f ca="1">IF(OR($A$2=1,MAX($C$163:C171)&gt;=110),"",C171+(B172-B171))</f>
        <v>42</v>
      </c>
      <c r="D172" s="1229">
        <f t="shared" ca="1" si="46"/>
        <v>1158514</v>
      </c>
      <c r="E172" s="1229"/>
      <c r="F172" s="1229"/>
      <c r="G172" s="1229"/>
      <c r="H172" s="1229"/>
      <c r="I172" s="1229">
        <f t="shared" ca="1" si="43"/>
        <v>0</v>
      </c>
      <c r="J172" s="1229"/>
      <c r="K172" s="1229"/>
      <c r="L172" s="1229"/>
      <c r="M172" s="863">
        <f t="shared" ca="1" si="48"/>
        <v>66</v>
      </c>
      <c r="N172" s="867">
        <f ca="1">IF(OR($A$2=1,MAX($C$163:$C$218,$N$163:N171)&gt;=110),"",N171+(M172-M171))</f>
        <v>98</v>
      </c>
      <c r="O172" s="1229">
        <f t="shared" ca="1" si="44"/>
        <v>4363751.4000000004</v>
      </c>
      <c r="P172" s="1229"/>
      <c r="Q172" s="1229"/>
      <c r="R172" s="1229"/>
      <c r="S172" s="1229"/>
      <c r="T172" s="1229">
        <f t="shared" ca="1" si="45"/>
        <v>39227.993537372102</v>
      </c>
      <c r="U172" s="1229"/>
      <c r="V172" s="1229"/>
      <c r="W172" s="1229"/>
    </row>
    <row r="173" spans="1:23" ht="11.25" customHeight="1">
      <c r="A173" s="558"/>
      <c r="B173" s="863">
        <f t="shared" ca="1" si="47"/>
        <v>11</v>
      </c>
      <c r="C173" s="862">
        <f ca="1">IF(OR($A$2=1,MAX($C$163:C172)&gt;=110),"",C172+(B173-B172))</f>
        <v>43</v>
      </c>
      <c r="D173" s="1229">
        <f t="shared" ca="1" si="46"/>
        <v>1189857</v>
      </c>
      <c r="E173" s="1229"/>
      <c r="F173" s="1229"/>
      <c r="G173" s="1229"/>
      <c r="H173" s="1229"/>
      <c r="I173" s="1229">
        <f t="shared" ca="1" si="43"/>
        <v>0</v>
      </c>
      <c r="J173" s="1229"/>
      <c r="K173" s="1229"/>
      <c r="L173" s="1229"/>
      <c r="M173" s="863">
        <f t="shared" ca="1" si="48"/>
        <v>67</v>
      </c>
      <c r="N173" s="867">
        <f ca="1">IF(OR($A$2=1,MAX($C$163:$C$218,$N$163:N172)&gt;=110),"",N172+(M173-M172))</f>
        <v>99</v>
      </c>
      <c r="O173" s="1229">
        <f t="shared" ca="1" si="44"/>
        <v>4473233.2</v>
      </c>
      <c r="P173" s="1229"/>
      <c r="Q173" s="1229"/>
      <c r="R173" s="1229"/>
      <c r="S173" s="1229"/>
      <c r="T173" s="1229">
        <f t="shared" ca="1" si="45"/>
        <v>39812.232059682348</v>
      </c>
      <c r="U173" s="1229"/>
      <c r="V173" s="1229"/>
      <c r="W173" s="1229"/>
    </row>
    <row r="174" spans="1:23" ht="11.25" customHeight="1">
      <c r="A174" s="558"/>
      <c r="B174" s="863">
        <f t="shared" ca="1" si="47"/>
        <v>12</v>
      </c>
      <c r="C174" s="862">
        <f ca="1">IF(OR($A$2=1,MAX($C$163:C173)&gt;=110),"",C173+(B174-B173))</f>
        <v>44</v>
      </c>
      <c r="D174" s="1229">
        <f t="shared" ca="1" si="46"/>
        <v>1222047</v>
      </c>
      <c r="E174" s="1229"/>
      <c r="F174" s="1229"/>
      <c r="G174" s="1229"/>
      <c r="H174" s="1229"/>
      <c r="I174" s="1229">
        <f t="shared" ca="1" si="43"/>
        <v>0</v>
      </c>
      <c r="J174" s="1229"/>
      <c r="K174" s="1229"/>
      <c r="L174" s="1229"/>
      <c r="M174" s="863">
        <f t="shared" ca="1" si="48"/>
        <v>68</v>
      </c>
      <c r="N174" s="867">
        <f ca="1">IF(OR($A$2=1,MAX($C$163:$C$218,$N$163:N173)&gt;=110),"",N173+(M174-M173))</f>
        <v>100</v>
      </c>
      <c r="O174" s="1229">
        <f t="shared" ca="1" si="44"/>
        <v>4584851.8000000007</v>
      </c>
      <c r="P174" s="1229"/>
      <c r="Q174" s="1229"/>
      <c r="R174" s="1229"/>
      <c r="S174" s="1229"/>
      <c r="T174" s="1229">
        <f t="shared" ca="1" si="45"/>
        <v>40396.482573505957</v>
      </c>
      <c r="U174" s="1229"/>
      <c r="V174" s="1229"/>
      <c r="W174" s="1229"/>
    </row>
    <row r="175" spans="1:23" ht="11.25" customHeight="1">
      <c r="A175" s="558"/>
      <c r="B175" s="863">
        <f t="shared" ca="1" si="47"/>
        <v>13</v>
      </c>
      <c r="C175" s="862">
        <f ca="1">IF(OR($A$2=1,MAX($C$163:C174)&gt;=110),"",C174+(B175-B174))</f>
        <v>45</v>
      </c>
      <c r="D175" s="1229">
        <f t="shared" ca="1" si="46"/>
        <v>1255102</v>
      </c>
      <c r="E175" s="1229"/>
      <c r="F175" s="1229"/>
      <c r="G175" s="1229"/>
      <c r="H175" s="1229"/>
      <c r="I175" s="1229">
        <f t="shared" ca="1" si="43"/>
        <v>0</v>
      </c>
      <c r="J175" s="1229"/>
      <c r="K175" s="1229"/>
      <c r="L175" s="1229"/>
      <c r="M175" s="863">
        <f t="shared" ca="1" si="48"/>
        <v>69</v>
      </c>
      <c r="N175" s="867">
        <f ca="1">IF(OR($A$2=1,MAX($C$163:$C$218,$N$163:N174)&gt;=110),"",N174+(M175-M174))</f>
        <v>101</v>
      </c>
      <c r="O175" s="1229">
        <f t="shared" ca="1" si="44"/>
        <v>4698798.4000000004</v>
      </c>
      <c r="P175" s="1229"/>
      <c r="Q175" s="1229"/>
      <c r="R175" s="1229"/>
      <c r="S175" s="1229"/>
      <c r="T175" s="1229">
        <f t="shared" ca="1" si="45"/>
        <v>40980.733087329565</v>
      </c>
      <c r="U175" s="1229"/>
      <c r="V175" s="1229"/>
      <c r="W175" s="1229"/>
    </row>
    <row r="176" spans="1:23" ht="11.25" customHeight="1">
      <c r="A176" s="558"/>
      <c r="B176" s="863">
        <f t="shared" ca="1" si="47"/>
        <v>14</v>
      </c>
      <c r="C176" s="862">
        <f ca="1">IF(OR($A$2=1,MAX($C$163:C175)&gt;=110),"",C175+(B176-B175))</f>
        <v>46</v>
      </c>
      <c r="D176" s="1229">
        <f t="shared" ca="1" si="46"/>
        <v>1289036</v>
      </c>
      <c r="E176" s="1229"/>
      <c r="F176" s="1229"/>
      <c r="G176" s="1229"/>
      <c r="H176" s="1229"/>
      <c r="I176" s="1229">
        <f t="shared" ca="1" si="43"/>
        <v>0</v>
      </c>
      <c r="J176" s="1229"/>
      <c r="K176" s="1229"/>
      <c r="L176" s="1229"/>
      <c r="M176" s="863">
        <f t="shared" ca="1" si="48"/>
        <v>70</v>
      </c>
      <c r="N176" s="867">
        <f ca="1">IF(OR($A$2=1,MAX($C$163:$C$218,$N$163:N175)&gt;=110),"",N175+(M176-M175))</f>
        <v>102</v>
      </c>
      <c r="O176" s="1229">
        <f t="shared" ca="1" si="44"/>
        <v>4815135</v>
      </c>
      <c r="P176" s="1229"/>
      <c r="Q176" s="1229"/>
      <c r="R176" s="1229"/>
      <c r="S176" s="1229"/>
      <c r="T176" s="1229">
        <f t="shared" ca="1" si="45"/>
        <v>41564.983601153166</v>
      </c>
      <c r="U176" s="1229"/>
      <c r="V176" s="1229"/>
      <c r="W176" s="1229"/>
    </row>
    <row r="177" spans="1:23" ht="11.25" customHeight="1">
      <c r="A177" s="558"/>
      <c r="B177" s="863">
        <f t="shared" ca="1" si="47"/>
        <v>15</v>
      </c>
      <c r="C177" s="862">
        <f ca="1">IF(OR($A$2=1,MAX($C$163:C176)&gt;=110),"",C176+(B177-B176))</f>
        <v>47</v>
      </c>
      <c r="D177" s="1229">
        <f t="shared" ca="1" si="46"/>
        <v>1323905</v>
      </c>
      <c r="E177" s="1229"/>
      <c r="F177" s="1229"/>
      <c r="G177" s="1229"/>
      <c r="H177" s="1229"/>
      <c r="I177" s="1229">
        <f t="shared" ca="1" si="43"/>
        <v>0</v>
      </c>
      <c r="J177" s="1229"/>
      <c r="K177" s="1229"/>
      <c r="L177" s="1229"/>
      <c r="M177" s="863">
        <f t="shared" ca="1" si="48"/>
        <v>71</v>
      </c>
      <c r="N177" s="867">
        <f ca="1">IF(OR($A$2=1,MAX($C$163:$C$218,$N$163:N176)&gt;=110),"",N176+(M177-M176))</f>
        <v>103</v>
      </c>
      <c r="O177" s="1229">
        <f t="shared" ca="1" si="44"/>
        <v>4934081.8000000007</v>
      </c>
      <c r="P177" s="1229"/>
      <c r="Q177" s="1229"/>
      <c r="R177" s="1229"/>
      <c r="S177" s="1229"/>
      <c r="T177" s="1229">
        <f t="shared" ca="1" si="45"/>
        <v>42149.22212346342</v>
      </c>
      <c r="U177" s="1229"/>
      <c r="V177" s="1229"/>
      <c r="W177" s="1229"/>
    </row>
    <row r="178" spans="1:23" ht="11.25" customHeight="1">
      <c r="A178" s="558"/>
      <c r="B178" s="863">
        <f t="shared" ca="1" si="47"/>
        <v>16</v>
      </c>
      <c r="C178" s="862">
        <f ca="1">IF(OR($A$2=1,MAX($C$163:C177)&gt;=110),"",C177+(B178-B177))</f>
        <v>48</v>
      </c>
      <c r="D178" s="1229">
        <f t="shared" ca="1" si="46"/>
        <v>1359711</v>
      </c>
      <c r="E178" s="1229"/>
      <c r="F178" s="1229"/>
      <c r="G178" s="1229"/>
      <c r="H178" s="1229"/>
      <c r="I178" s="1229">
        <f t="shared" ca="1" si="43"/>
        <v>0</v>
      </c>
      <c r="J178" s="1229"/>
      <c r="K178" s="1229"/>
      <c r="L178" s="1229"/>
      <c r="M178" s="863">
        <f t="shared" ca="1" si="48"/>
        <v>72</v>
      </c>
      <c r="N178" s="867">
        <f ca="1">IF(OR($A$2=1,MAX($C$163:$C$218,$N$163:N177)&gt;=110),"",N177+(M178-M177))</f>
        <v>104</v>
      </c>
      <c r="O178" s="1229">
        <f t="shared" ca="1" si="44"/>
        <v>5055402.4000000004</v>
      </c>
      <c r="P178" s="1229"/>
      <c r="Q178" s="1229"/>
      <c r="R178" s="1229"/>
      <c r="S178" s="1229"/>
      <c r="T178" s="1229">
        <f t="shared" ca="1" si="45"/>
        <v>42733.472637287028</v>
      </c>
      <c r="U178" s="1229"/>
      <c r="V178" s="1229"/>
      <c r="W178" s="1229"/>
    </row>
    <row r="179" spans="1:23" ht="11.25" customHeight="1">
      <c r="A179" s="558"/>
      <c r="B179" s="863">
        <f t="shared" ca="1" si="47"/>
        <v>17</v>
      </c>
      <c r="C179" s="862">
        <f ca="1">IF(OR($A$2=1,MAX($C$163:C178)&gt;=110),"",C178+(B179-B178))</f>
        <v>49</v>
      </c>
      <c r="D179" s="1229">
        <f t="shared" ca="1" si="46"/>
        <v>1396513</v>
      </c>
      <c r="E179" s="1229"/>
      <c r="F179" s="1229"/>
      <c r="G179" s="1229"/>
      <c r="H179" s="1229"/>
      <c r="I179" s="1229">
        <f t="shared" ca="1" si="43"/>
        <v>0</v>
      </c>
      <c r="J179" s="1229"/>
      <c r="K179" s="1229"/>
      <c r="L179" s="1229"/>
      <c r="M179" s="863">
        <f t="shared" ca="1" si="48"/>
        <v>73</v>
      </c>
      <c r="N179" s="867">
        <f ca="1">IF(OR($A$2=1,MAX($C$163:$C$218,$N$163:N178)&gt;=110),"",N178+(M179-M178))</f>
        <v>105</v>
      </c>
      <c r="O179" s="1229">
        <f t="shared" ca="1" si="44"/>
        <v>5179316</v>
      </c>
      <c r="P179" s="1229"/>
      <c r="Q179" s="1229"/>
      <c r="R179" s="1229"/>
      <c r="S179" s="1229"/>
      <c r="T179" s="1229">
        <f t="shared" ca="1" si="45"/>
        <v>43317.723151110629</v>
      </c>
      <c r="U179" s="1229"/>
      <c r="V179" s="1229"/>
      <c r="W179" s="1229"/>
    </row>
    <row r="180" spans="1:23" ht="11.25" customHeight="1">
      <c r="A180" s="558"/>
      <c r="B180" s="863">
        <f t="shared" ca="1" si="47"/>
        <v>18</v>
      </c>
      <c r="C180" s="862">
        <f ca="1">IF(OR($A$2=1,MAX($C$163:C179)&gt;=110),"",C179+(B180-B179))</f>
        <v>50</v>
      </c>
      <c r="D180" s="1229">
        <f t="shared" ca="1" si="46"/>
        <v>1434290</v>
      </c>
      <c r="E180" s="1229"/>
      <c r="F180" s="1229"/>
      <c r="G180" s="1229"/>
      <c r="H180" s="1229"/>
      <c r="I180" s="1229">
        <f t="shared" ca="1" si="43"/>
        <v>0</v>
      </c>
      <c r="J180" s="1229"/>
      <c r="K180" s="1229"/>
      <c r="L180" s="1229"/>
      <c r="M180" s="863">
        <f t="shared" ca="1" si="48"/>
        <v>74</v>
      </c>
      <c r="N180" s="867">
        <f ca="1">IF(OR($A$2=1,MAX($C$163:$C$218,$N$163:N179)&gt;=110),"",N179+(M180-M179))</f>
        <v>106</v>
      </c>
      <c r="O180" s="1229">
        <f t="shared" ca="1" si="44"/>
        <v>5305892.8000000007</v>
      </c>
      <c r="P180" s="1229"/>
      <c r="Q180" s="1229"/>
      <c r="R180" s="1229"/>
      <c r="S180" s="1229"/>
      <c r="T180" s="1229">
        <f t="shared" ca="1" si="45"/>
        <v>43901.961673420883</v>
      </c>
      <c r="U180" s="1229"/>
      <c r="V180" s="1229"/>
      <c r="W180" s="1229"/>
    </row>
    <row r="181" spans="1:23" ht="11.25" customHeight="1">
      <c r="A181" s="558"/>
      <c r="B181" s="863">
        <f t="shared" ca="1" si="47"/>
        <v>19</v>
      </c>
      <c r="C181" s="862">
        <f ca="1">IF(OR($A$2=1,MAX($C$163:C180)&gt;=110),"",C180+(B181-B180))</f>
        <v>51</v>
      </c>
      <c r="D181" s="1229">
        <f t="shared" ca="1" si="46"/>
        <v>1473104</v>
      </c>
      <c r="E181" s="1229"/>
      <c r="F181" s="1229"/>
      <c r="G181" s="1229"/>
      <c r="H181" s="1229"/>
      <c r="I181" s="1229">
        <f t="shared" ca="1" si="43"/>
        <v>0</v>
      </c>
      <c r="J181" s="1229"/>
      <c r="K181" s="1229"/>
      <c r="L181" s="1229"/>
      <c r="M181" s="863">
        <f t="shared" ca="1" si="48"/>
        <v>75</v>
      </c>
      <c r="N181" s="867">
        <f ca="1">IF(OR($A$2=1,MAX($C$163:$C$218,$N$163:N180)&gt;=110),"",N180+(M181-M180))</f>
        <v>107</v>
      </c>
      <c r="O181" s="1229">
        <f t="shared" ca="1" si="44"/>
        <v>5435917.2000000002</v>
      </c>
      <c r="P181" s="1229"/>
      <c r="Q181" s="1229"/>
      <c r="R181" s="1229"/>
      <c r="S181" s="1229"/>
      <c r="T181" s="1229">
        <f t="shared" ca="1" si="45"/>
        <v>44494.138577574056</v>
      </c>
      <c r="U181" s="1229"/>
      <c r="V181" s="1229"/>
      <c r="W181" s="1229"/>
    </row>
    <row r="182" spans="1:23" ht="11.25" customHeight="1">
      <c r="A182" s="558"/>
      <c r="B182" s="863">
        <f t="shared" ca="1" si="47"/>
        <v>20</v>
      </c>
      <c r="C182" s="862">
        <f ca="1">IF(OR($A$2=1,MAX($C$163:C181)&gt;=110),"",C181+(B182-B181))</f>
        <v>52</v>
      </c>
      <c r="D182" s="1229">
        <f t="shared" ca="1" si="46"/>
        <v>1512956</v>
      </c>
      <c r="E182" s="1229"/>
      <c r="F182" s="1229"/>
      <c r="G182" s="1229"/>
      <c r="H182" s="1229"/>
      <c r="I182" s="1229">
        <f t="shared" ca="1" si="43"/>
        <v>0</v>
      </c>
      <c r="J182" s="1229"/>
      <c r="K182" s="1229"/>
      <c r="L182" s="1229"/>
      <c r="M182" s="863">
        <f t="shared" ca="1" si="48"/>
        <v>76</v>
      </c>
      <c r="N182" s="867">
        <f ca="1">IF(OR($A$2=1,MAX($C$163:$C$218,$N$163:N181)&gt;=110),"",N181+(M182-M181))</f>
        <v>108</v>
      </c>
      <c r="O182" s="1229">
        <f t="shared" ca="1" si="44"/>
        <v>5570619.4000000004</v>
      </c>
      <c r="P182" s="1229"/>
      <c r="Q182" s="1229"/>
      <c r="R182" s="1229"/>
      <c r="S182" s="1229"/>
      <c r="T182" s="1229">
        <f t="shared" ca="1" si="45"/>
        <v>45116.785917169662</v>
      </c>
      <c r="U182" s="1229"/>
      <c r="V182" s="1229"/>
      <c r="W182" s="1229"/>
    </row>
    <row r="183" spans="1:23" ht="11.25" customHeight="1">
      <c r="A183" s="558"/>
      <c r="B183" s="863">
        <f t="shared" ca="1" si="47"/>
        <v>21</v>
      </c>
      <c r="C183" s="862">
        <f ca="1">IF(OR($A$2=1,MAX($C$163:C182)&gt;=110),"",C182+(B183-B182))</f>
        <v>53</v>
      </c>
      <c r="D183" s="1229">
        <f t="shared" ca="1" si="46"/>
        <v>1553871</v>
      </c>
      <c r="E183" s="1229"/>
      <c r="F183" s="1229"/>
      <c r="G183" s="1229"/>
      <c r="H183" s="1229"/>
      <c r="I183" s="1229">
        <f t="shared" ca="1" si="43"/>
        <v>0</v>
      </c>
      <c r="J183" s="1229"/>
      <c r="K183" s="1229"/>
      <c r="L183" s="1229"/>
      <c r="M183" s="863">
        <f t="shared" ca="1" si="48"/>
        <v>77</v>
      </c>
      <c r="N183" s="867">
        <f ca="1">IF(OR($A$2=1,MAX($C$163:$C$218,$N$163:N182)&gt;=110),"",N182+(M183-M182))</f>
        <v>109</v>
      </c>
      <c r="O183" s="1229">
        <f t="shared" ca="1" si="44"/>
        <v>5711163</v>
      </c>
      <c r="P183" s="1229"/>
      <c r="Q183" s="1229"/>
      <c r="R183" s="1229"/>
      <c r="S183" s="1229"/>
      <c r="T183" s="1229">
        <f t="shared" ca="1" si="45"/>
        <v>45783.238255061668</v>
      </c>
      <c r="U183" s="1229"/>
      <c r="V183" s="1229"/>
      <c r="W183" s="1229"/>
    </row>
    <row r="184" spans="1:23" ht="11.25" customHeight="1">
      <c r="A184" s="558"/>
      <c r="B184" s="863">
        <f t="shared" ca="1" si="47"/>
        <v>22</v>
      </c>
      <c r="C184" s="862">
        <f ca="1">IF(OR($A$2=1,MAX($C$163:C183)&gt;=110),"",C183+(B184-B183))</f>
        <v>54</v>
      </c>
      <c r="D184" s="1229">
        <f t="shared" ca="1" si="46"/>
        <v>1595936</v>
      </c>
      <c r="E184" s="1229"/>
      <c r="F184" s="1229"/>
      <c r="G184" s="1229"/>
      <c r="H184" s="1229"/>
      <c r="I184" s="1229">
        <f t="shared" ca="1" si="43"/>
        <v>0</v>
      </c>
      <c r="J184" s="1229"/>
      <c r="K184" s="1229"/>
      <c r="L184" s="1229"/>
      <c r="M184" s="863">
        <f t="shared" ca="1" si="48"/>
        <v>78</v>
      </c>
      <c r="N184" s="867">
        <f ca="1">IF(OR($A$2=1,MAX($C$163:$C$218,$N$163:N183)&gt;=110),"",N183+(M184-M183))</f>
        <v>110</v>
      </c>
      <c r="O184" s="1229">
        <f t="shared" ca="1" si="44"/>
        <v>5840528.4000000004</v>
      </c>
      <c r="P184" s="1229"/>
      <c r="Q184" s="1229"/>
      <c r="R184" s="1229"/>
      <c r="S184" s="1229"/>
      <c r="T184" s="1229">
        <f t="shared" ca="1" si="45"/>
        <v>46238.951737201947</v>
      </c>
      <c r="U184" s="1229"/>
      <c r="V184" s="1229"/>
      <c r="W184" s="1229"/>
    </row>
    <row r="185" spans="1:23" ht="11.25" customHeight="1">
      <c r="A185" s="558"/>
      <c r="B185" s="863">
        <f t="shared" ca="1" si="47"/>
        <v>23</v>
      </c>
      <c r="C185" s="862">
        <f ca="1">IF(OR($A$2=1,MAX($C$163:C184)&gt;=110),"",C184+(B185-B184))</f>
        <v>55</v>
      </c>
      <c r="D185" s="1229">
        <f t="shared" ca="1" si="46"/>
        <v>1639116</v>
      </c>
      <c r="E185" s="1229"/>
      <c r="F185" s="1229"/>
      <c r="G185" s="1229"/>
      <c r="H185" s="1229"/>
      <c r="I185" s="1229">
        <f t="shared" ca="1" si="43"/>
        <v>0</v>
      </c>
      <c r="J185" s="1229"/>
      <c r="K185" s="1229"/>
      <c r="L185" s="1229"/>
      <c r="M185" s="863" t="str">
        <f t="shared" ca="1" si="48"/>
        <v/>
      </c>
      <c r="N185" s="867" t="str">
        <f ca="1">IF(OR($A$2=1,MAX($C$163:$C$218,$N$163:N184)&gt;=110),"",N184+(M185-M184))</f>
        <v/>
      </c>
      <c r="O185" s="1229" t="str">
        <f t="shared" ca="1" si="44"/>
        <v/>
      </c>
      <c r="P185" s="1229"/>
      <c r="Q185" s="1229"/>
      <c r="R185" s="1229"/>
      <c r="S185" s="1229"/>
      <c r="T185" s="1229" t="str">
        <f t="shared" ca="1" si="45"/>
        <v/>
      </c>
      <c r="U185" s="1229"/>
      <c r="V185" s="1229"/>
      <c r="W185" s="1229"/>
    </row>
    <row r="186" spans="1:23" ht="11.25" customHeight="1">
      <c r="A186" s="558"/>
      <c r="B186" s="863">
        <f t="shared" ca="1" si="47"/>
        <v>24</v>
      </c>
      <c r="C186" s="862">
        <f ca="1">IF(OR($A$2=1,MAX($C$163:C185)&gt;=110),"",C185+(B186-B185))</f>
        <v>56</v>
      </c>
      <c r="D186" s="1229">
        <f t="shared" ca="1" si="46"/>
        <v>1683474</v>
      </c>
      <c r="E186" s="1229"/>
      <c r="F186" s="1229"/>
      <c r="G186" s="1229"/>
      <c r="H186" s="1229"/>
      <c r="I186" s="1229">
        <f t="shared" ca="1" si="43"/>
        <v>0</v>
      </c>
      <c r="J186" s="1229"/>
      <c r="K186" s="1229"/>
      <c r="L186" s="1229"/>
      <c r="M186" s="863" t="str">
        <f t="shared" ca="1" si="48"/>
        <v/>
      </c>
      <c r="N186" s="867" t="str">
        <f ca="1">IF(OR($A$2=1,MAX($C$163:$C$218,$N$163:N185)&gt;=110),"",N185+(M186-M185))</f>
        <v/>
      </c>
      <c r="O186" s="1229" t="str">
        <f t="shared" ca="1" si="44"/>
        <v/>
      </c>
      <c r="P186" s="1229"/>
      <c r="Q186" s="1229"/>
      <c r="R186" s="1229"/>
      <c r="S186" s="1229"/>
      <c r="T186" s="1229" t="str">
        <f t="shared" ca="1" si="45"/>
        <v/>
      </c>
      <c r="U186" s="1229"/>
      <c r="V186" s="1229"/>
      <c r="W186" s="1229"/>
    </row>
    <row r="187" spans="1:23" ht="11.25" customHeight="1">
      <c r="A187" s="558"/>
      <c r="B187" s="863">
        <f t="shared" ca="1" si="47"/>
        <v>25</v>
      </c>
      <c r="C187" s="862">
        <f ca="1">IF(OR($A$2=1,MAX($C$163:C186)&gt;=110),"",C186+(B187-B186))</f>
        <v>57</v>
      </c>
      <c r="D187" s="1229">
        <f t="shared" ca="1" si="46"/>
        <v>1729042</v>
      </c>
      <c r="E187" s="1229"/>
      <c r="F187" s="1229"/>
      <c r="G187" s="1229"/>
      <c r="H187" s="1229"/>
      <c r="I187" s="1229">
        <f t="shared" ca="1" si="43"/>
        <v>0</v>
      </c>
      <c r="J187" s="1229"/>
      <c r="K187" s="1229"/>
      <c r="L187" s="1229"/>
      <c r="M187" s="863" t="str">
        <f t="shared" ca="1" si="48"/>
        <v/>
      </c>
      <c r="N187" s="867" t="str">
        <f ca="1">IF(OR($A$2=1,MAX($C$163:$C$218,$N$163:N186)&gt;=110),"",N186+(M187-M186))</f>
        <v/>
      </c>
      <c r="O187" s="1229" t="str">
        <f t="shared" ca="1" si="44"/>
        <v/>
      </c>
      <c r="P187" s="1229"/>
      <c r="Q187" s="1229"/>
      <c r="R187" s="1229"/>
      <c r="S187" s="1229"/>
      <c r="T187" s="1229" t="str">
        <f t="shared" ca="1" si="45"/>
        <v/>
      </c>
      <c r="U187" s="1229"/>
      <c r="V187" s="1229"/>
      <c r="W187" s="1229"/>
    </row>
    <row r="188" spans="1:23" ht="11.25" customHeight="1">
      <c r="A188" s="558"/>
      <c r="B188" s="863">
        <f t="shared" ca="1" si="47"/>
        <v>26</v>
      </c>
      <c r="C188" s="862">
        <f ca="1">IF(OR($A$2=1,MAX($C$163:C187)&gt;=110),"",C187+(B188-B187))</f>
        <v>58</v>
      </c>
      <c r="D188" s="1229">
        <f t="shared" ca="1" si="46"/>
        <v>1775807</v>
      </c>
      <c r="E188" s="1229"/>
      <c r="F188" s="1229"/>
      <c r="G188" s="1229"/>
      <c r="H188" s="1229"/>
      <c r="I188" s="1229">
        <f t="shared" ca="1" si="43"/>
        <v>0</v>
      </c>
      <c r="J188" s="1229"/>
      <c r="K188" s="1229"/>
      <c r="L188" s="1229"/>
      <c r="M188" s="863" t="str">
        <f t="shared" ca="1" si="48"/>
        <v/>
      </c>
      <c r="N188" s="867" t="str">
        <f ca="1">IF(OR($A$2=1,MAX($C$163:$C$218,$N$163:N187)&gt;=110),"",N187+(M188-M187))</f>
        <v/>
      </c>
      <c r="O188" s="1229" t="str">
        <f t="shared" ca="1" si="44"/>
        <v/>
      </c>
      <c r="P188" s="1229"/>
      <c r="Q188" s="1229"/>
      <c r="R188" s="1229"/>
      <c r="S188" s="1229"/>
      <c r="T188" s="1229" t="str">
        <f t="shared" ca="1" si="45"/>
        <v/>
      </c>
      <c r="U188" s="1229"/>
      <c r="V188" s="1229"/>
      <c r="W188" s="1229"/>
    </row>
    <row r="189" spans="1:23" ht="11.25" customHeight="1">
      <c r="A189" s="558"/>
      <c r="B189" s="863">
        <f t="shared" ca="1" si="47"/>
        <v>27</v>
      </c>
      <c r="C189" s="862">
        <f ca="1">IF(OR($A$2=1,MAX($C$163:C188)&gt;=110),"",C188+(B189-B188))</f>
        <v>59</v>
      </c>
      <c r="D189" s="1229">
        <f t="shared" ca="1" si="46"/>
        <v>1823877</v>
      </c>
      <c r="E189" s="1229"/>
      <c r="F189" s="1229"/>
      <c r="G189" s="1229"/>
      <c r="H189" s="1229"/>
      <c r="I189" s="1229">
        <f t="shared" ca="1" si="43"/>
        <v>0</v>
      </c>
      <c r="J189" s="1229"/>
      <c r="K189" s="1229"/>
      <c r="L189" s="1229"/>
      <c r="M189" s="863" t="str">
        <f t="shared" ca="1" si="48"/>
        <v/>
      </c>
      <c r="N189" s="867" t="str">
        <f ca="1">IF(OR($A$2=1,MAX($C$163:$C$218,$N$163:N188)&gt;=110),"",N188+(M189-M188))</f>
        <v/>
      </c>
      <c r="O189" s="1229" t="str">
        <f t="shared" ca="1" si="44"/>
        <v/>
      </c>
      <c r="P189" s="1229"/>
      <c r="Q189" s="1229"/>
      <c r="R189" s="1229"/>
      <c r="S189" s="1229"/>
      <c r="T189" s="1229" t="str">
        <f t="shared" ca="1" si="45"/>
        <v/>
      </c>
      <c r="U189" s="1229"/>
      <c r="V189" s="1229"/>
      <c r="W189" s="1229"/>
    </row>
    <row r="190" spans="1:23" ht="11.25" customHeight="1">
      <c r="A190" s="558"/>
      <c r="B190" s="863">
        <f t="shared" ca="1" si="47"/>
        <v>28</v>
      </c>
      <c r="C190" s="862">
        <f ca="1">IF(OR($A$2=1,MAX($C$163:C189)&gt;=110),"",C189+(B190-B189))</f>
        <v>60</v>
      </c>
      <c r="D190" s="1229">
        <f t="shared" ca="1" si="46"/>
        <v>1873241</v>
      </c>
      <c r="E190" s="1229"/>
      <c r="F190" s="1229"/>
      <c r="G190" s="1229"/>
      <c r="H190" s="1229"/>
      <c r="I190" s="1229">
        <f t="shared" ca="1" si="43"/>
        <v>0</v>
      </c>
      <c r="J190" s="1229"/>
      <c r="K190" s="1229"/>
      <c r="L190" s="1229"/>
      <c r="M190" s="863" t="str">
        <f t="shared" ca="1" si="48"/>
        <v/>
      </c>
      <c r="N190" s="867" t="str">
        <f ca="1">IF(OR($A$2=1,MAX($C$163:$C$218,$N$163:N189)&gt;=110),"",N189+(M190-M189))</f>
        <v/>
      </c>
      <c r="O190" s="1229" t="str">
        <f t="shared" ca="1" si="44"/>
        <v/>
      </c>
      <c r="P190" s="1229"/>
      <c r="Q190" s="1229"/>
      <c r="R190" s="1229"/>
      <c r="S190" s="1229"/>
      <c r="T190" s="1229" t="str">
        <f t="shared" ca="1" si="45"/>
        <v/>
      </c>
      <c r="U190" s="1229"/>
      <c r="V190" s="1229"/>
      <c r="W190" s="1229"/>
    </row>
    <row r="191" spans="1:23" ht="11.25" customHeight="1">
      <c r="A191" s="558"/>
      <c r="B191" s="863">
        <f t="shared" ca="1" si="47"/>
        <v>29</v>
      </c>
      <c r="C191" s="862">
        <f ca="1">IF(OR($A$2=1,MAX($C$163:C190)&gt;=110),"",C190+(B191-B190))</f>
        <v>61</v>
      </c>
      <c r="D191" s="1229">
        <f t="shared" ca="1" si="46"/>
        <v>1923938</v>
      </c>
      <c r="E191" s="1229"/>
      <c r="F191" s="1229"/>
      <c r="G191" s="1229"/>
      <c r="H191" s="1229"/>
      <c r="I191" s="1229">
        <f t="shared" ca="1" si="43"/>
        <v>0</v>
      </c>
      <c r="J191" s="1229"/>
      <c r="K191" s="1229"/>
      <c r="L191" s="1229"/>
      <c r="M191" s="863" t="str">
        <f t="shared" ca="1" si="48"/>
        <v/>
      </c>
      <c r="N191" s="867" t="str">
        <f ca="1">IF(OR($A$2=1,MAX($C$163:$C$218,$N$163:N190)&gt;=110),"",N190+(M191-M190))</f>
        <v/>
      </c>
      <c r="O191" s="1229" t="str">
        <f t="shared" ca="1" si="44"/>
        <v/>
      </c>
      <c r="P191" s="1229"/>
      <c r="Q191" s="1229"/>
      <c r="R191" s="1229"/>
      <c r="S191" s="1229"/>
      <c r="T191" s="1229" t="str">
        <f t="shared" ca="1" si="45"/>
        <v/>
      </c>
      <c r="U191" s="1229"/>
      <c r="V191" s="1229"/>
      <c r="W191" s="1229"/>
    </row>
    <row r="192" spans="1:23" ht="11.25" customHeight="1">
      <c r="A192" s="558"/>
      <c r="B192" s="863">
        <f t="shared" ca="1" si="47"/>
        <v>30</v>
      </c>
      <c r="C192" s="862">
        <f ca="1">IF(OR($A$2=1,MAX($C$163:C191)&gt;=110),"",C191+(B192-B191))</f>
        <v>62</v>
      </c>
      <c r="D192" s="1229">
        <f t="shared" ca="1" si="46"/>
        <v>1641071.4000000001</v>
      </c>
      <c r="E192" s="1229"/>
      <c r="F192" s="1229"/>
      <c r="G192" s="1229"/>
      <c r="H192" s="1229"/>
      <c r="I192" s="1229">
        <f t="shared" ca="1" si="43"/>
        <v>20083.062800950349</v>
      </c>
      <c r="J192" s="1229"/>
      <c r="K192" s="1229"/>
      <c r="L192" s="1229"/>
      <c r="M192" s="863" t="str">
        <f t="shared" ca="1" si="48"/>
        <v/>
      </c>
      <c r="N192" s="867" t="str">
        <f ca="1">IF(OR($A$2=1,MAX($C$163:$C$218,$N$163:N191)&gt;=110),"",N191+(M192-M191))</f>
        <v/>
      </c>
      <c r="O192" s="1229" t="str">
        <f t="shared" ca="1" si="44"/>
        <v/>
      </c>
      <c r="P192" s="1229"/>
      <c r="Q192" s="1229"/>
      <c r="R192" s="1229"/>
      <c r="S192" s="1229"/>
      <c r="T192" s="1229" t="str">
        <f t="shared" ca="1" si="45"/>
        <v/>
      </c>
      <c r="U192" s="1229"/>
      <c r="V192" s="1229"/>
      <c r="W192" s="1229"/>
    </row>
    <row r="193" spans="1:23" ht="11.25" customHeight="1">
      <c r="A193" s="558"/>
      <c r="B193" s="863">
        <f t="shared" ca="1" si="47"/>
        <v>31</v>
      </c>
      <c r="C193" s="862">
        <f ca="1">IF(OR($A$2=1,MAX($C$163:C192)&gt;=110),"",C192+(B193-B192))</f>
        <v>63</v>
      </c>
      <c r="D193" s="1229">
        <f t="shared" ca="1" si="46"/>
        <v>1687868.6</v>
      </c>
      <c r="E193" s="1229"/>
      <c r="F193" s="1229"/>
      <c r="G193" s="1229"/>
      <c r="H193" s="1229"/>
      <c r="I193" s="1229">
        <f t="shared" ca="1" si="43"/>
        <v>20484.526676659483</v>
      </c>
      <c r="J193" s="1229"/>
      <c r="K193" s="1229"/>
      <c r="L193" s="1229"/>
      <c r="M193" s="863" t="str">
        <f t="shared" ca="1" si="48"/>
        <v/>
      </c>
      <c r="N193" s="867" t="str">
        <f ca="1">IF(OR($A$2=1,MAX($C$163:$C$218,$N$163:N192)&gt;=110),"",N192+(M193-M192))</f>
        <v/>
      </c>
      <c r="O193" s="1229" t="str">
        <f t="shared" ca="1" si="44"/>
        <v/>
      </c>
      <c r="P193" s="1229"/>
      <c r="Q193" s="1229"/>
      <c r="R193" s="1229"/>
      <c r="S193" s="1229"/>
      <c r="T193" s="1229" t="str">
        <f t="shared" ca="1" si="45"/>
        <v/>
      </c>
      <c r="U193" s="1229"/>
      <c r="V193" s="1229"/>
      <c r="W193" s="1229"/>
    </row>
    <row r="194" spans="1:23" ht="11.25" customHeight="1">
      <c r="A194" s="558"/>
      <c r="B194" s="863">
        <f t="shared" ca="1" si="47"/>
        <v>32</v>
      </c>
      <c r="C194" s="862">
        <f ca="1">IF(OR($A$2=1,MAX($C$163:C193)&gt;=110),"",C193+(B194-B193))</f>
        <v>64</v>
      </c>
      <c r="D194" s="1229">
        <f t="shared" ca="1" si="46"/>
        <v>1735979.8</v>
      </c>
      <c r="E194" s="1229"/>
      <c r="F194" s="1229"/>
      <c r="G194" s="1229"/>
      <c r="H194" s="1229"/>
      <c r="I194" s="1229">
        <f t="shared" ca="1" si="43"/>
        <v>20894.324654152359</v>
      </c>
      <c r="J194" s="1229"/>
      <c r="K194" s="1229"/>
      <c r="L194" s="1229"/>
      <c r="M194" s="863" t="str">
        <f t="shared" ca="1" si="48"/>
        <v/>
      </c>
      <c r="N194" s="867" t="str">
        <f ca="1">IF(OR($A$2=1,MAX($C$163:$C$218,$N$163:N193)&gt;=110),"",N193+(M194-M193))</f>
        <v/>
      </c>
      <c r="O194" s="1229" t="str">
        <f t="shared" ca="1" si="44"/>
        <v/>
      </c>
      <c r="P194" s="1229"/>
      <c r="Q194" s="1229"/>
      <c r="R194" s="1229"/>
      <c r="S194" s="1229"/>
      <c r="T194" s="1229" t="str">
        <f t="shared" ca="1" si="45"/>
        <v/>
      </c>
      <c r="U194" s="1229"/>
      <c r="V194" s="1229"/>
      <c r="W194" s="1229"/>
    </row>
    <row r="195" spans="1:23" ht="11.25" customHeight="1">
      <c r="A195" s="558"/>
      <c r="B195" s="863">
        <f t="shared" ca="1" si="47"/>
        <v>33</v>
      </c>
      <c r="C195" s="862">
        <f ca="1">IF(OR($A$2=1,MAX($C$163:C194)&gt;=110),"",C194+(B195-B194))</f>
        <v>65</v>
      </c>
      <c r="D195" s="1229">
        <f t="shared" ca="1" si="46"/>
        <v>1785426.6</v>
      </c>
      <c r="E195" s="1229"/>
      <c r="F195" s="1229"/>
      <c r="G195" s="1229"/>
      <c r="H195" s="1229"/>
      <c r="I195" s="1229">
        <f t="shared" ref="I195:I218" ca="1" si="49">IF(OR($A$2=1,ISERROR(VLOOKUP($B195,TOV,25,0))),"",VLOOKUP($B195,TOV,25,0))</f>
        <v>21312.061013488168</v>
      </c>
      <c r="J195" s="1229"/>
      <c r="K195" s="1229"/>
      <c r="L195" s="1229"/>
      <c r="M195" s="863" t="str">
        <f t="shared" ca="1" si="48"/>
        <v/>
      </c>
      <c r="N195" s="867" t="str">
        <f ca="1">IF(OR($A$2=1,MAX($C$163:$C$218,$N$163:N194)&gt;=110),"",N194+(M195-M194))</f>
        <v/>
      </c>
      <c r="O195" s="1229" t="str">
        <f t="shared" ref="O195:O217" ca="1" si="50">IF(OR($A$2=1,ISERROR(VLOOKUP($M195,TOV,24,0))),"",VLOOKUP($M195,TOV,24,0))</f>
        <v/>
      </c>
      <c r="P195" s="1229"/>
      <c r="Q195" s="1229"/>
      <c r="R195" s="1229"/>
      <c r="S195" s="1229"/>
      <c r="T195" s="1229" t="str">
        <f t="shared" ref="T195:T217" ca="1" si="51">IF(OR($A$2=1,ISERROR(VLOOKUP($M195,TOV,25,0))),"",VLOOKUP($M195,TOV,25,0))</f>
        <v/>
      </c>
      <c r="U195" s="1229"/>
      <c r="V195" s="1229"/>
      <c r="W195" s="1229"/>
    </row>
    <row r="196" spans="1:23" ht="11.25" customHeight="1">
      <c r="A196" s="558"/>
      <c r="B196" s="863">
        <f t="shared" ca="1" si="47"/>
        <v>34</v>
      </c>
      <c r="C196" s="862">
        <f ca="1">IF(OR($A$2=1,MAX($C$163:C195)&gt;=110),"",C195+(B196-B195))</f>
        <v>66</v>
      </c>
      <c r="D196" s="1229">
        <f t="shared" ca="1" si="46"/>
        <v>1836292.2000000002</v>
      </c>
      <c r="E196" s="1229"/>
      <c r="F196" s="1229"/>
      <c r="G196" s="1229"/>
      <c r="H196" s="1229"/>
      <c r="I196" s="1229">
        <f t="shared" ca="1" si="49"/>
        <v>21738.5631690886</v>
      </c>
      <c r="J196" s="1229"/>
      <c r="K196" s="1229"/>
      <c r="L196" s="1229"/>
      <c r="M196" s="863" t="str">
        <f t="shared" ca="1" si="48"/>
        <v/>
      </c>
      <c r="N196" s="867" t="str">
        <f ca="1">IF(OR($A$2=1,MAX($C$163:$C$218,$N$163:N195)&gt;=110),"",N195+(M196-M195))</f>
        <v/>
      </c>
      <c r="O196" s="1229" t="str">
        <f t="shared" ca="1" si="50"/>
        <v/>
      </c>
      <c r="P196" s="1229"/>
      <c r="Q196" s="1229"/>
      <c r="R196" s="1229"/>
      <c r="S196" s="1229"/>
      <c r="T196" s="1229" t="str">
        <f t="shared" ca="1" si="51"/>
        <v/>
      </c>
      <c r="U196" s="1229"/>
      <c r="V196" s="1229"/>
      <c r="W196" s="1229"/>
    </row>
    <row r="197" spans="1:23" ht="11.25" customHeight="1">
      <c r="A197" s="558"/>
      <c r="B197" s="863">
        <f t="shared" ca="1" si="47"/>
        <v>35</v>
      </c>
      <c r="C197" s="862">
        <f ca="1">IF(OR($A$2=1,MAX($C$163:C196)&gt;=110),"",C196+(B197-B196))</f>
        <v>67</v>
      </c>
      <c r="D197" s="1229">
        <f t="shared" ca="1" si="46"/>
        <v>1888603.6</v>
      </c>
      <c r="E197" s="1229"/>
      <c r="F197" s="1229"/>
      <c r="G197" s="1229"/>
      <c r="H197" s="1229"/>
      <c r="I197" s="1229">
        <f t="shared" ca="1" si="49"/>
        <v>22173.411417986128</v>
      </c>
      <c r="J197" s="1229"/>
      <c r="K197" s="1229"/>
      <c r="L197" s="1229"/>
      <c r="M197" s="863" t="str">
        <f t="shared" ca="1" si="48"/>
        <v/>
      </c>
      <c r="N197" s="867" t="str">
        <f ca="1">IF(OR($A$2=1,MAX($C$163:$C$218,$N$163:N196)&gt;=110),"",N196+(M197-M196))</f>
        <v/>
      </c>
      <c r="O197" s="1229" t="str">
        <f t="shared" ca="1" si="50"/>
        <v/>
      </c>
      <c r="P197" s="1229"/>
      <c r="Q197" s="1229"/>
      <c r="R197" s="1229"/>
      <c r="S197" s="1229"/>
      <c r="T197" s="1229" t="str">
        <f t="shared" ca="1" si="51"/>
        <v/>
      </c>
      <c r="U197" s="1229"/>
      <c r="V197" s="1229"/>
      <c r="W197" s="1229"/>
    </row>
    <row r="198" spans="1:23" ht="11.25" customHeight="1">
      <c r="A198" s="558"/>
      <c r="B198" s="863">
        <f t="shared" ca="1" si="47"/>
        <v>36</v>
      </c>
      <c r="C198" s="862">
        <f ca="1">IF(OR($A$2=1,MAX($C$163:C197)&gt;=110),"",C197+(B198-B197))</f>
        <v>68</v>
      </c>
      <c r="D198" s="1229">
        <f t="shared" ca="1" si="46"/>
        <v>1942332.8</v>
      </c>
      <c r="E198" s="1229"/>
      <c r="F198" s="1229"/>
      <c r="G198" s="1229"/>
      <c r="H198" s="1229"/>
      <c r="I198" s="1229">
        <f t="shared" ca="1" si="49"/>
        <v>22616.605760180755</v>
      </c>
      <c r="J198" s="1229"/>
      <c r="K198" s="1229"/>
      <c r="L198" s="1229"/>
      <c r="M198" s="863" t="str">
        <f t="shared" ca="1" si="48"/>
        <v/>
      </c>
      <c r="N198" s="867" t="str">
        <f ca="1">IF(OR($A$2=1,MAX($C$163:$C$218,$N$163:N197)&gt;=110),"",N197+(M198-M197))</f>
        <v/>
      </c>
      <c r="O198" s="1229" t="str">
        <f t="shared" ca="1" si="50"/>
        <v/>
      </c>
      <c r="P198" s="1229"/>
      <c r="Q198" s="1229"/>
      <c r="R198" s="1229"/>
      <c r="S198" s="1229"/>
      <c r="T198" s="1229" t="str">
        <f t="shared" ca="1" si="51"/>
        <v/>
      </c>
      <c r="U198" s="1229"/>
      <c r="V198" s="1229"/>
      <c r="W198" s="1229"/>
    </row>
    <row r="199" spans="1:23" ht="11.25" customHeight="1">
      <c r="A199" s="558"/>
      <c r="B199" s="863">
        <f t="shared" ca="1" si="47"/>
        <v>37</v>
      </c>
      <c r="C199" s="862">
        <f ca="1">IF(OR($A$2=1,MAX($C$163:C198)&gt;=110),"",C198+(B199-B198))</f>
        <v>69</v>
      </c>
      <c r="D199" s="1229">
        <f t="shared" ca="1" si="46"/>
        <v>1997592.8</v>
      </c>
      <c r="E199" s="1229"/>
      <c r="F199" s="1229"/>
      <c r="G199" s="1229"/>
      <c r="H199" s="1229"/>
      <c r="I199" s="1229">
        <f t="shared" ca="1" si="49"/>
        <v>23068.985601607536</v>
      </c>
      <c r="J199" s="1229"/>
      <c r="K199" s="1229"/>
      <c r="L199" s="1229"/>
      <c r="M199" s="863" t="str">
        <f t="shared" ca="1" si="48"/>
        <v/>
      </c>
      <c r="N199" s="867" t="str">
        <f ca="1">IF(OR($A$2=1,MAX($C$163:$C$218,$N$163:N198)&gt;=110),"",N198+(M199-M198))</f>
        <v/>
      </c>
      <c r="O199" s="1229" t="str">
        <f t="shared" ca="1" si="50"/>
        <v/>
      </c>
      <c r="P199" s="1229"/>
      <c r="Q199" s="1229"/>
      <c r="R199" s="1229"/>
      <c r="S199" s="1229"/>
      <c r="T199" s="1229" t="str">
        <f t="shared" ca="1" si="51"/>
        <v/>
      </c>
      <c r="U199" s="1229"/>
      <c r="V199" s="1229"/>
      <c r="W199" s="1229"/>
    </row>
    <row r="200" spans="1:23" ht="11.25" customHeight="1">
      <c r="A200" s="558"/>
      <c r="B200" s="863">
        <f t="shared" ca="1" si="47"/>
        <v>38</v>
      </c>
      <c r="C200" s="862">
        <f ca="1">IF(OR($A$2=1,MAX($C$163:C199)&gt;=110),"",C199+(B200-B199))</f>
        <v>70</v>
      </c>
      <c r="D200" s="1229">
        <f t="shared" ca="1" si="46"/>
        <v>2054413.8</v>
      </c>
      <c r="E200" s="1229"/>
      <c r="F200" s="1229"/>
      <c r="G200" s="1229"/>
      <c r="H200" s="1229"/>
      <c r="I200" s="1229">
        <f t="shared" ca="1" si="49"/>
        <v>23530.538950753107</v>
      </c>
      <c r="J200" s="1229"/>
      <c r="K200" s="1229"/>
      <c r="L200" s="1229"/>
      <c r="M200" s="863" t="str">
        <f t="shared" ca="1" si="48"/>
        <v/>
      </c>
      <c r="N200" s="867" t="str">
        <f ca="1">IF(OR($A$2=1,MAX($C$163:$C$218,$N$163:N199)&gt;=110),"",N199+(M200-M199))</f>
        <v/>
      </c>
      <c r="O200" s="1229" t="str">
        <f t="shared" ca="1" si="50"/>
        <v/>
      </c>
      <c r="P200" s="1229"/>
      <c r="Q200" s="1229"/>
      <c r="R200" s="1229"/>
      <c r="S200" s="1229"/>
      <c r="T200" s="1229" t="str">
        <f t="shared" ca="1" si="51"/>
        <v/>
      </c>
      <c r="U200" s="1229"/>
      <c r="V200" s="1229"/>
      <c r="W200" s="1229"/>
    </row>
    <row r="201" spans="1:23" ht="11.25" customHeight="1">
      <c r="A201" s="558"/>
      <c r="B201" s="863">
        <f t="shared" ca="1" si="47"/>
        <v>39</v>
      </c>
      <c r="C201" s="862">
        <f ca="1">IF(OR($A$2=1,MAX($C$163:C200)&gt;=110),"",C200+(B201-B200))</f>
        <v>71</v>
      </c>
      <c r="D201" s="1229">
        <f t="shared" ca="1" si="46"/>
        <v>2112834.6</v>
      </c>
      <c r="E201" s="1229"/>
      <c r="F201" s="1229"/>
      <c r="G201" s="1229"/>
      <c r="H201" s="1229"/>
      <c r="I201" s="1229">
        <f t="shared" ca="1" si="49"/>
        <v>24000.858096163305</v>
      </c>
      <c r="J201" s="1229"/>
      <c r="K201" s="1229"/>
      <c r="L201" s="1229"/>
      <c r="M201" s="863" t="str">
        <f t="shared" ca="1" si="48"/>
        <v/>
      </c>
      <c r="N201" s="867" t="str">
        <f ca="1">IF(OR($A$2=1,MAX($C$163:$C$218,$N$163:N200)&gt;=110),"",N200+(M201-M200))</f>
        <v/>
      </c>
      <c r="O201" s="1229" t="str">
        <f t="shared" ca="1" si="50"/>
        <v/>
      </c>
      <c r="P201" s="1229"/>
      <c r="Q201" s="1229"/>
      <c r="R201" s="1229"/>
      <c r="S201" s="1229"/>
      <c r="T201" s="1229" t="str">
        <f t="shared" ca="1" si="51"/>
        <v/>
      </c>
      <c r="U201" s="1229"/>
      <c r="V201" s="1229"/>
      <c r="W201" s="1229"/>
    </row>
    <row r="202" spans="1:23" ht="11.25" customHeight="1">
      <c r="A202" s="558"/>
      <c r="B202" s="863">
        <f t="shared" ca="1" si="47"/>
        <v>40</v>
      </c>
      <c r="C202" s="862">
        <f ca="1">IF(OR($A$2=1,MAX($C$163:C201)&gt;=110),"",C201+(B202-B201))</f>
        <v>72</v>
      </c>
      <c r="D202" s="1229">
        <f t="shared" ca="1" si="46"/>
        <v>2172871.4000000004</v>
      </c>
      <c r="E202" s="1229"/>
      <c r="F202" s="1229"/>
      <c r="G202" s="1229"/>
      <c r="H202" s="1229"/>
      <c r="I202" s="1229">
        <f t="shared" ca="1" si="49"/>
        <v>24480.770452259825</v>
      </c>
      <c r="J202" s="1229"/>
      <c r="K202" s="1229"/>
      <c r="L202" s="1229"/>
      <c r="M202" s="863" t="str">
        <f t="shared" ca="1" si="48"/>
        <v/>
      </c>
      <c r="N202" s="867" t="str">
        <f ca="1">IF(OR($A$2=1,MAX($C$163:$C$218,$N$163:N201)&gt;=110),"",N201+(M202-M201))</f>
        <v/>
      </c>
      <c r="O202" s="1229" t="str">
        <f t="shared" ca="1" si="50"/>
        <v/>
      </c>
      <c r="P202" s="1229"/>
      <c r="Q202" s="1229"/>
      <c r="R202" s="1229"/>
      <c r="S202" s="1229"/>
      <c r="T202" s="1229" t="str">
        <f t="shared" ca="1" si="51"/>
        <v/>
      </c>
      <c r="U202" s="1229"/>
      <c r="V202" s="1229"/>
      <c r="W202" s="1229"/>
    </row>
    <row r="203" spans="1:23" ht="11.25" customHeight="1">
      <c r="A203" s="558"/>
      <c r="B203" s="863">
        <f t="shared" ca="1" si="47"/>
        <v>41</v>
      </c>
      <c r="C203" s="862">
        <f ca="1">IF(OR($A$2=1,MAX($C$163:C202)&gt;=110),"",C202+(B203-B202))</f>
        <v>73</v>
      </c>
      <c r="D203" s="1229">
        <f t="shared" ca="1" si="46"/>
        <v>2234594</v>
      </c>
      <c r="E203" s="1229"/>
      <c r="F203" s="1229"/>
      <c r="G203" s="1229"/>
      <c r="H203" s="1229"/>
      <c r="I203" s="1229">
        <f t="shared" ca="1" si="49"/>
        <v>24970.288010556018</v>
      </c>
      <c r="J203" s="1229"/>
      <c r="K203" s="1229"/>
      <c r="L203" s="1229"/>
      <c r="M203" s="863" t="str">
        <f t="shared" ca="1" si="48"/>
        <v/>
      </c>
      <c r="N203" s="867" t="str">
        <f ca="1">IF(OR($A$2=1,MAX($C$163:$C$218,$N$163:N202)&gt;=110),"",N202+(M203-M202))</f>
        <v/>
      </c>
      <c r="O203" s="1229" t="str">
        <f t="shared" ca="1" si="50"/>
        <v/>
      </c>
      <c r="P203" s="1229"/>
      <c r="Q203" s="1229"/>
      <c r="R203" s="1229"/>
      <c r="S203" s="1229"/>
      <c r="T203" s="1229" t="str">
        <f t="shared" ca="1" si="51"/>
        <v/>
      </c>
      <c r="U203" s="1229"/>
      <c r="V203" s="1229"/>
      <c r="W203" s="1229"/>
    </row>
    <row r="204" spans="1:23" ht="11.25" customHeight="1">
      <c r="A204" s="558"/>
      <c r="B204" s="863">
        <f t="shared" ca="1" si="47"/>
        <v>42</v>
      </c>
      <c r="C204" s="862">
        <f ca="1">IF(OR($A$2=1,MAX($C$163:C203)&gt;=110),"",C203+(B204-B203))</f>
        <v>74</v>
      </c>
      <c r="D204" s="1229">
        <f t="shared" ca="1" si="46"/>
        <v>2298063.6</v>
      </c>
      <c r="E204" s="1229"/>
      <c r="F204" s="1229"/>
      <c r="G204" s="1229"/>
      <c r="H204" s="1229"/>
      <c r="I204" s="1229">
        <f t="shared" ca="1" si="49"/>
        <v>25469.818482506063</v>
      </c>
      <c r="J204" s="1229"/>
      <c r="K204" s="1229"/>
      <c r="L204" s="1229"/>
      <c r="M204" s="863" t="str">
        <f t="shared" ca="1" si="48"/>
        <v/>
      </c>
      <c r="N204" s="867" t="str">
        <f ca="1">IF(OR($A$2=1,MAX($C$163:$C$218,$N$163:N203)&gt;=110),"",N203+(M204-M203))</f>
        <v/>
      </c>
      <c r="O204" s="1229" t="str">
        <f t="shared" ca="1" si="50"/>
        <v/>
      </c>
      <c r="P204" s="1229"/>
      <c r="Q204" s="1229"/>
      <c r="R204" s="1229"/>
      <c r="S204" s="1229"/>
      <c r="T204" s="1229" t="str">
        <f t="shared" ca="1" si="51"/>
        <v/>
      </c>
      <c r="U204" s="1229"/>
      <c r="V204" s="1229"/>
      <c r="W204" s="1229"/>
    </row>
    <row r="205" spans="1:23" ht="11.25" customHeight="1">
      <c r="A205" s="558"/>
      <c r="B205" s="863">
        <f t="shared" ca="1" si="47"/>
        <v>43</v>
      </c>
      <c r="C205" s="862">
        <f ca="1">IF(OR($A$2=1,MAX($C$163:C204)&gt;=110),"",C204+(B205-B204))</f>
        <v>75</v>
      </c>
      <c r="D205" s="1229">
        <f t="shared" ca="1" si="46"/>
        <v>2363164</v>
      </c>
      <c r="E205" s="1229"/>
      <c r="F205" s="1229"/>
      <c r="G205" s="1229"/>
      <c r="H205" s="1229"/>
      <c r="I205" s="1229">
        <f t="shared" ca="1" si="49"/>
        <v>25976.435938850624</v>
      </c>
      <c r="J205" s="1229"/>
      <c r="K205" s="1229"/>
      <c r="L205" s="1229"/>
      <c r="M205" s="863" t="str">
        <f t="shared" ca="1" si="48"/>
        <v/>
      </c>
      <c r="N205" s="867" t="str">
        <f ca="1">IF(OR($A$2=1,MAX($C$163:$C$218,$N$163:N204)&gt;=110),"",N204+(M205-M204))</f>
        <v/>
      </c>
      <c r="O205" s="1229" t="str">
        <f t="shared" ca="1" si="50"/>
        <v/>
      </c>
      <c r="P205" s="1229"/>
      <c r="Q205" s="1229"/>
      <c r="R205" s="1229"/>
      <c r="S205" s="1229"/>
      <c r="T205" s="1229" t="str">
        <f t="shared" ca="1" si="51"/>
        <v/>
      </c>
      <c r="U205" s="1229"/>
      <c r="V205" s="1229"/>
      <c r="W205" s="1229"/>
    </row>
    <row r="206" spans="1:23" ht="11.25" customHeight="1">
      <c r="A206" s="558"/>
      <c r="B206" s="863">
        <f t="shared" ca="1" si="47"/>
        <v>44</v>
      </c>
      <c r="C206" s="862">
        <f ca="1">IF(OR($A$2=1,MAX($C$163:C205)&gt;=110),"",C205+(B206-B205))</f>
        <v>76</v>
      </c>
      <c r="D206" s="1229">
        <f t="shared" ca="1" si="46"/>
        <v>2429812.7999999998</v>
      </c>
      <c r="E206" s="1229"/>
      <c r="F206" s="1229"/>
      <c r="G206" s="1229"/>
      <c r="H206" s="1229"/>
      <c r="I206" s="1229">
        <f t="shared" ca="1" si="49"/>
        <v>26489.744659648892</v>
      </c>
      <c r="J206" s="1229"/>
      <c r="K206" s="1229"/>
      <c r="L206" s="1229"/>
      <c r="M206" s="863" t="str">
        <f t="shared" ca="1" si="48"/>
        <v/>
      </c>
      <c r="N206" s="867" t="str">
        <f ca="1">IF(OR($A$2=1,MAX($C$163:$C$218,$N$163:N205)&gt;=110),"",N205+(M206-M205))</f>
        <v/>
      </c>
      <c r="O206" s="1229" t="str">
        <f t="shared" ca="1" si="50"/>
        <v/>
      </c>
      <c r="P206" s="1229"/>
      <c r="Q206" s="1229"/>
      <c r="R206" s="1229"/>
      <c r="S206" s="1229"/>
      <c r="T206" s="1229" t="str">
        <f t="shared" ca="1" si="51"/>
        <v/>
      </c>
      <c r="U206" s="1229"/>
      <c r="V206" s="1229"/>
      <c r="W206" s="1229"/>
    </row>
    <row r="207" spans="1:23" ht="11.25" customHeight="1">
      <c r="A207" s="558"/>
      <c r="B207" s="863">
        <f t="shared" ca="1" si="47"/>
        <v>45</v>
      </c>
      <c r="C207" s="862">
        <f ca="1">IF(OR($A$2=1,MAX($C$163:C206)&gt;=110),"",C206+(B207-B206))</f>
        <v>77</v>
      </c>
      <c r="D207" s="1229">
        <f t="shared" ca="1" si="46"/>
        <v>2498061.4000000004</v>
      </c>
      <c r="E207" s="1229"/>
      <c r="F207" s="1229"/>
      <c r="G207" s="1229"/>
      <c r="H207" s="1229"/>
      <c r="I207" s="1229">
        <f t="shared" ca="1" si="49"/>
        <v>27009.300958906631</v>
      </c>
      <c r="J207" s="1229"/>
      <c r="K207" s="1229"/>
      <c r="L207" s="1229"/>
      <c r="M207" s="863" t="str">
        <f t="shared" ca="1" si="48"/>
        <v/>
      </c>
      <c r="N207" s="867" t="str">
        <f ca="1">IF(OR($A$2=1,MAX($C$163:$C$218,$N$163:N206)&gt;=110),"",N206+(M207-M206))</f>
        <v/>
      </c>
      <c r="O207" s="1229" t="str">
        <f t="shared" ca="1" si="50"/>
        <v/>
      </c>
      <c r="P207" s="1229"/>
      <c r="Q207" s="1229"/>
      <c r="R207" s="1229"/>
      <c r="S207" s="1229"/>
      <c r="T207" s="1229" t="str">
        <f t="shared" ca="1" si="51"/>
        <v/>
      </c>
      <c r="U207" s="1229"/>
      <c r="V207" s="1229"/>
      <c r="W207" s="1229"/>
    </row>
    <row r="208" spans="1:23" ht="11.25" customHeight="1">
      <c r="A208" s="558"/>
      <c r="B208" s="863">
        <f t="shared" ca="1" si="47"/>
        <v>46</v>
      </c>
      <c r="C208" s="862">
        <f ca="1">IF(OR($A$2=1,MAX($C$163:C207)&gt;=110),"",C207+(B208-B207))</f>
        <v>78</v>
      </c>
      <c r="D208" s="1229">
        <f t="shared" ca="1" si="46"/>
        <v>2568474.2000000002</v>
      </c>
      <c r="E208" s="1229"/>
      <c r="F208" s="1229"/>
      <c r="G208" s="1229"/>
      <c r="H208" s="1229"/>
      <c r="I208" s="1229">
        <f t="shared" ca="1" si="49"/>
        <v>27543.055209980121</v>
      </c>
      <c r="J208" s="1229"/>
      <c r="K208" s="1229"/>
      <c r="L208" s="1229"/>
      <c r="M208" s="863" t="str">
        <f t="shared" ca="1" si="48"/>
        <v/>
      </c>
      <c r="N208" s="867" t="str">
        <f ca="1">IF(OR($A$2=1,MAX($C$163:$C$218,$N$163:N207)&gt;=110),"",N207+(M208-M207))</f>
        <v/>
      </c>
      <c r="O208" s="1229" t="str">
        <f t="shared" ca="1" si="50"/>
        <v/>
      </c>
      <c r="P208" s="1229"/>
      <c r="Q208" s="1229"/>
      <c r="R208" s="1229"/>
      <c r="S208" s="1229"/>
      <c r="T208" s="1229" t="str">
        <f t="shared" ca="1" si="51"/>
        <v/>
      </c>
      <c r="U208" s="1229"/>
      <c r="V208" s="1229"/>
      <c r="W208" s="1229"/>
    </row>
    <row r="209" spans="1:23" ht="11.25" customHeight="1">
      <c r="A209" s="558"/>
      <c r="B209" s="863">
        <f t="shared" ca="1" si="47"/>
        <v>47</v>
      </c>
      <c r="C209" s="862">
        <f ca="1">IF(OR($A$2=1,MAX($C$163:C208)&gt;=110),"",C208+(B209-B208))</f>
        <v>79</v>
      </c>
      <c r="D209" s="1229">
        <f t="shared" ca="1" si="46"/>
        <v>2643564.7999999998</v>
      </c>
      <c r="E209" s="1229"/>
      <c r="F209" s="1229"/>
      <c r="G209" s="1229"/>
      <c r="H209" s="1229"/>
      <c r="I209" s="1229">
        <f t="shared" ca="1" si="49"/>
        <v>28127.305723803725</v>
      </c>
      <c r="J209" s="1229"/>
      <c r="K209" s="1229"/>
      <c r="L209" s="1229"/>
      <c r="M209" s="863" t="str">
        <f t="shared" ca="1" si="48"/>
        <v/>
      </c>
      <c r="N209" s="867" t="str">
        <f ca="1">IF(OR($A$2=1,MAX($C$163:$C$218,$N$163:N208)&gt;=110),"",N208+(M209-M208))</f>
        <v/>
      </c>
      <c r="O209" s="1229" t="str">
        <f t="shared" ca="1" si="50"/>
        <v/>
      </c>
      <c r="P209" s="1229"/>
      <c r="Q209" s="1229"/>
      <c r="R209" s="1229"/>
      <c r="S209" s="1229"/>
      <c r="T209" s="1229" t="str">
        <f t="shared" ca="1" si="51"/>
        <v/>
      </c>
      <c r="U209" s="1229"/>
      <c r="V209" s="1229"/>
      <c r="W209" s="1229"/>
    </row>
    <row r="210" spans="1:23" ht="11.25" customHeight="1">
      <c r="A210" s="558"/>
      <c r="B210" s="863">
        <f t="shared" ca="1" si="47"/>
        <v>48</v>
      </c>
      <c r="C210" s="862">
        <f ca="1">IF(OR($A$2=1,MAX($C$163:C209)&gt;=110),"",C209+(B210-B209))</f>
        <v>80</v>
      </c>
      <c r="D210" s="1229">
        <f t="shared" ca="1" si="46"/>
        <v>2719893.4000000004</v>
      </c>
      <c r="E210" s="1229"/>
      <c r="F210" s="1229"/>
      <c r="G210" s="1229"/>
      <c r="H210" s="1229"/>
      <c r="I210" s="1229">
        <f t="shared" ca="1" si="49"/>
        <v>28711.55623762733</v>
      </c>
      <c r="J210" s="1229"/>
      <c r="K210" s="1229"/>
      <c r="L210" s="1229"/>
      <c r="M210" s="863" t="str">
        <f t="shared" ca="1" si="48"/>
        <v/>
      </c>
      <c r="N210" s="867" t="str">
        <f ca="1">IF(OR($A$2=1,MAX($C$163:$C$218,$N$163:N209)&gt;=110),"",N209+(M210-M209))</f>
        <v/>
      </c>
      <c r="O210" s="1229" t="str">
        <f t="shared" ca="1" si="50"/>
        <v/>
      </c>
      <c r="P210" s="1229"/>
      <c r="Q210" s="1229"/>
      <c r="R210" s="1229"/>
      <c r="S210" s="1229"/>
      <c r="T210" s="1229" t="str">
        <f t="shared" ca="1" si="51"/>
        <v/>
      </c>
      <c r="U210" s="1229"/>
      <c r="V210" s="1229"/>
      <c r="W210" s="1229"/>
    </row>
    <row r="211" spans="1:23" ht="11.25" customHeight="1">
      <c r="A211" s="558"/>
      <c r="B211" s="863">
        <f t="shared" ca="1" si="47"/>
        <v>49</v>
      </c>
      <c r="C211" s="862">
        <f ca="1">IF(OR($A$2=1,MAX($C$163:C210)&gt;=110),"",C210+(B211-B210))</f>
        <v>81</v>
      </c>
      <c r="D211" s="1229">
        <f t="shared" ca="1" si="46"/>
        <v>2797550.2</v>
      </c>
      <c r="E211" s="1229"/>
      <c r="F211" s="1229"/>
      <c r="G211" s="1229"/>
      <c r="H211" s="1229"/>
      <c r="I211" s="1229">
        <f t="shared" ca="1" si="49"/>
        <v>29295.79475993758</v>
      </c>
      <c r="J211" s="1229"/>
      <c r="K211" s="1229"/>
      <c r="L211" s="1229"/>
      <c r="M211" s="863" t="str">
        <f t="shared" ca="1" si="48"/>
        <v/>
      </c>
      <c r="N211" s="867" t="str">
        <f ca="1">IF(OR($A$2=1,MAX($C$163:$C$218,$N$163:N210)&gt;=110),"",N210+(M211-M210))</f>
        <v/>
      </c>
      <c r="O211" s="1229" t="str">
        <f t="shared" ca="1" si="50"/>
        <v/>
      </c>
      <c r="P211" s="1229"/>
      <c r="Q211" s="1229"/>
      <c r="R211" s="1229"/>
      <c r="S211" s="1229"/>
      <c r="T211" s="1229" t="str">
        <f t="shared" ca="1" si="51"/>
        <v/>
      </c>
      <c r="U211" s="1229"/>
      <c r="V211" s="1229"/>
      <c r="W211" s="1229"/>
    </row>
    <row r="212" spans="1:23" ht="11.25" customHeight="1">
      <c r="A212" s="558"/>
      <c r="B212" s="863">
        <f t="shared" ca="1" si="47"/>
        <v>50</v>
      </c>
      <c r="C212" s="862">
        <f ca="1">IF(OR($A$2=1,MAX($C$163:C211)&gt;=110),"",C211+(B212-B211))</f>
        <v>82</v>
      </c>
      <c r="D212" s="1229">
        <f t="shared" ca="1" si="46"/>
        <v>2876577.8</v>
      </c>
      <c r="E212" s="1229"/>
      <c r="F212" s="1229"/>
      <c r="G212" s="1229"/>
      <c r="H212" s="1229"/>
      <c r="I212" s="1229">
        <f t="shared" ca="1" si="49"/>
        <v>29880.045273761185</v>
      </c>
      <c r="J212" s="1229"/>
      <c r="K212" s="1229"/>
      <c r="L212" s="1229"/>
      <c r="M212" s="863" t="str">
        <f t="shared" ca="1" si="48"/>
        <v/>
      </c>
      <c r="N212" s="867" t="str">
        <f ca="1">IF(OR($A$2=1,MAX($C$163:$C$218,$N$163:N211)&gt;=110),"",N211+(M212-M211))</f>
        <v/>
      </c>
      <c r="O212" s="1229" t="str">
        <f t="shared" ca="1" si="50"/>
        <v/>
      </c>
      <c r="P212" s="1229"/>
      <c r="Q212" s="1229"/>
      <c r="R212" s="1229"/>
      <c r="S212" s="1229"/>
      <c r="T212" s="1229" t="str">
        <f t="shared" ca="1" si="51"/>
        <v/>
      </c>
      <c r="U212" s="1229"/>
      <c r="V212" s="1229"/>
      <c r="W212" s="1229"/>
    </row>
    <row r="213" spans="1:23" ht="11.25" customHeight="1">
      <c r="A213" s="558"/>
      <c r="B213" s="863">
        <f t="shared" ca="1" si="47"/>
        <v>51</v>
      </c>
      <c r="C213" s="862">
        <f ca="1">IF(OR($A$2=1,MAX($C$163:C212)&gt;=110),"",C212+(B213-B212))</f>
        <v>83</v>
      </c>
      <c r="D213" s="1229">
        <f t="shared" ca="1" si="46"/>
        <v>2957081.4000000004</v>
      </c>
      <c r="E213" s="1229"/>
      <c r="F213" s="1229"/>
      <c r="G213" s="1229"/>
      <c r="H213" s="1229"/>
      <c r="I213" s="1229">
        <f t="shared" ca="1" si="49"/>
        <v>30464.295787584793</v>
      </c>
      <c r="J213" s="1229"/>
      <c r="K213" s="1229"/>
      <c r="L213" s="1229"/>
      <c r="M213" s="863" t="str">
        <f t="shared" ca="1" si="48"/>
        <v/>
      </c>
      <c r="N213" s="867" t="str">
        <f ca="1">IF(OR($A$2=1,MAX($C$163:$C$218,$N$163:N212)&gt;=110),"",N212+(M213-M212))</f>
        <v/>
      </c>
      <c r="O213" s="1229" t="str">
        <f t="shared" ca="1" si="50"/>
        <v/>
      </c>
      <c r="P213" s="1229"/>
      <c r="Q213" s="1229"/>
      <c r="R213" s="1229"/>
      <c r="S213" s="1229"/>
      <c r="T213" s="1229" t="str">
        <f t="shared" ca="1" si="51"/>
        <v/>
      </c>
      <c r="U213" s="1229"/>
      <c r="V213" s="1229"/>
      <c r="W213" s="1229"/>
    </row>
    <row r="214" spans="1:23" ht="11.25" customHeight="1">
      <c r="A214" s="558"/>
      <c r="B214" s="863">
        <f t="shared" ca="1" si="47"/>
        <v>52</v>
      </c>
      <c r="C214" s="862">
        <f ca="1">IF(OR($A$2=1,MAX($C$163:C213)&gt;=110),"",C213+(B214-B213))</f>
        <v>84</v>
      </c>
      <c r="D214" s="1229">
        <f t="shared" ca="1" si="46"/>
        <v>3038970.2</v>
      </c>
      <c r="E214" s="1229"/>
      <c r="F214" s="1229"/>
      <c r="G214" s="1229"/>
      <c r="H214" s="1229"/>
      <c r="I214" s="1229">
        <f t="shared" ca="1" si="49"/>
        <v>31048.534309895043</v>
      </c>
      <c r="J214" s="1229"/>
      <c r="K214" s="1229"/>
      <c r="L214" s="1229"/>
      <c r="M214" s="863" t="str">
        <f t="shared" ca="1" si="48"/>
        <v/>
      </c>
      <c r="N214" s="867" t="str">
        <f ca="1">IF(OR($A$2=1,MAX($C$163:$C$218,$N$163:N213)&gt;=110),"",N213+(M214-M213))</f>
        <v/>
      </c>
      <c r="O214" s="1229" t="str">
        <f t="shared" ca="1" si="50"/>
        <v/>
      </c>
      <c r="P214" s="1229"/>
      <c r="Q214" s="1229"/>
      <c r="R214" s="1229"/>
      <c r="S214" s="1229"/>
      <c r="T214" s="1229" t="str">
        <f t="shared" ca="1" si="51"/>
        <v/>
      </c>
      <c r="U214" s="1229"/>
      <c r="V214" s="1229"/>
      <c r="W214" s="1229"/>
    </row>
    <row r="215" spans="1:23" ht="11.25" customHeight="1">
      <c r="A215" s="558"/>
      <c r="B215" s="863">
        <f t="shared" ca="1" si="47"/>
        <v>53</v>
      </c>
      <c r="C215" s="862">
        <f ca="1">IF(OR($A$2=1,MAX($C$163:C214)&gt;=110),"",C214+(B215-B214))</f>
        <v>85</v>
      </c>
      <c r="D215" s="1229">
        <f t="shared" ca="1" si="46"/>
        <v>3122353.8000000003</v>
      </c>
      <c r="E215" s="1229"/>
      <c r="F215" s="1229"/>
      <c r="G215" s="1229"/>
      <c r="H215" s="1229"/>
      <c r="I215" s="1229">
        <f t="shared" ca="1" si="49"/>
        <v>31632.784823718652</v>
      </c>
      <c r="J215" s="1229"/>
      <c r="K215" s="1229"/>
      <c r="L215" s="1229"/>
      <c r="M215" s="863" t="str">
        <f t="shared" ca="1" si="48"/>
        <v/>
      </c>
      <c r="N215" s="867" t="str">
        <f ca="1">IF(OR($A$2=1,MAX($C$163:$C$218,$N$163:N214)&gt;=110),"",N214+(M215-M214))</f>
        <v/>
      </c>
      <c r="O215" s="1229" t="str">
        <f t="shared" ca="1" si="50"/>
        <v/>
      </c>
      <c r="P215" s="1229"/>
      <c r="Q215" s="1229"/>
      <c r="R215" s="1229"/>
      <c r="S215" s="1229"/>
      <c r="T215" s="1229" t="str">
        <f t="shared" ca="1" si="51"/>
        <v/>
      </c>
      <c r="U215" s="1229"/>
      <c r="V215" s="1229"/>
      <c r="W215" s="1229"/>
    </row>
    <row r="216" spans="1:23" ht="11.25" customHeight="1">
      <c r="A216" s="558"/>
      <c r="B216" s="863">
        <f t="shared" ca="1" si="47"/>
        <v>54</v>
      </c>
      <c r="C216" s="862">
        <f ca="1">IF(OR($A$2=1,MAX($C$163:C215)&gt;=110),"",C215+(B216-B215))</f>
        <v>86</v>
      </c>
      <c r="D216" s="1229">
        <f t="shared" ca="1" si="46"/>
        <v>3207272.4</v>
      </c>
      <c r="E216" s="1229"/>
      <c r="F216" s="1229"/>
      <c r="G216" s="1229"/>
      <c r="H216" s="1229"/>
      <c r="I216" s="1229">
        <f t="shared" ca="1" si="49"/>
        <v>32217.035337542253</v>
      </c>
      <c r="J216" s="1229"/>
      <c r="K216" s="1229"/>
      <c r="L216" s="1229"/>
      <c r="M216" s="863" t="str">
        <f t="shared" ca="1" si="48"/>
        <v/>
      </c>
      <c r="N216" s="867" t="str">
        <f ca="1">IF(OR($A$2=1,MAX($C$163:$C$218,$N$163:N215)&gt;=110),"",N215+(M216-M215))</f>
        <v/>
      </c>
      <c r="O216" s="1229" t="str">
        <f t="shared" ca="1" si="50"/>
        <v/>
      </c>
      <c r="P216" s="1229"/>
      <c r="Q216" s="1229"/>
      <c r="R216" s="1229"/>
      <c r="S216" s="1229"/>
      <c r="T216" s="1229" t="str">
        <f t="shared" ca="1" si="51"/>
        <v/>
      </c>
      <c r="U216" s="1229"/>
      <c r="V216" s="1229"/>
      <c r="W216" s="1229"/>
    </row>
    <row r="217" spans="1:23" ht="11.25" customHeight="1">
      <c r="A217" s="558"/>
      <c r="B217" s="863">
        <f t="shared" ca="1" si="47"/>
        <v>55</v>
      </c>
      <c r="C217" s="862">
        <f ca="1">IF(OR($A$2=1,MAX($C$163:C216)&gt;=110),"",C216+(B217-B216))</f>
        <v>87</v>
      </c>
      <c r="D217" s="1229">
        <f t="shared" ca="1" si="46"/>
        <v>3293852.2</v>
      </c>
      <c r="E217" s="1229"/>
      <c r="F217" s="1229"/>
      <c r="G217" s="1229"/>
      <c r="H217" s="1229"/>
      <c r="I217" s="1229">
        <f t="shared" ca="1" si="49"/>
        <v>32801.273859852503</v>
      </c>
      <c r="J217" s="1229"/>
      <c r="K217" s="1229"/>
      <c r="L217" s="1229"/>
      <c r="M217" s="863" t="str">
        <f t="shared" ca="1" si="48"/>
        <v/>
      </c>
      <c r="N217" s="867" t="str">
        <f ca="1">IF(OR($A$2=1,MAX($C$163:$C$218,$N$163:N216)&gt;=110),"",N216+(M217-M216))</f>
        <v/>
      </c>
      <c r="O217" s="1229" t="str">
        <f t="shared" ca="1" si="50"/>
        <v/>
      </c>
      <c r="P217" s="1229"/>
      <c r="Q217" s="1229"/>
      <c r="R217" s="1229"/>
      <c r="S217" s="1229"/>
      <c r="T217" s="1229" t="str">
        <f t="shared" ca="1" si="51"/>
        <v/>
      </c>
      <c r="U217" s="1229"/>
      <c r="V217" s="1229"/>
      <c r="W217" s="1229"/>
    </row>
    <row r="218" spans="1:23" ht="11.25" customHeight="1">
      <c r="A218" s="558"/>
      <c r="B218" s="863">
        <f t="shared" ca="1" si="47"/>
        <v>56</v>
      </c>
      <c r="C218" s="862">
        <f ca="1">IF(OR($A$2=1,MAX($C$163:C217)&gt;=110),"",C217+(B218-B217))</f>
        <v>88</v>
      </c>
      <c r="D218" s="1229">
        <f t="shared" ca="1" si="46"/>
        <v>3381980.8000000003</v>
      </c>
      <c r="E218" s="1229"/>
      <c r="F218" s="1229"/>
      <c r="G218" s="1229"/>
      <c r="H218" s="1229"/>
      <c r="I218" s="1229">
        <f t="shared" ca="1" si="49"/>
        <v>33385.524373676111</v>
      </c>
      <c r="J218" s="1229"/>
      <c r="K218" s="1229"/>
      <c r="L218" s="1229"/>
      <c r="M218" s="1185"/>
      <c r="N218" s="1185"/>
      <c r="O218" s="1185"/>
      <c r="P218" s="1185"/>
      <c r="Q218" s="1185"/>
      <c r="R218" s="1185"/>
      <c r="S218" s="1185"/>
      <c r="T218" s="1185"/>
      <c r="U218" s="1185"/>
      <c r="V218" s="1185"/>
      <c r="W218" s="1185"/>
    </row>
    <row r="219" spans="1:23" ht="12" customHeight="1">
      <c r="A219" s="558"/>
      <c r="B219" s="825" t="s">
        <v>1342</v>
      </c>
      <c r="C219" s="807"/>
      <c r="D219" s="808"/>
      <c r="E219" s="808"/>
      <c r="F219" s="808"/>
      <c r="G219" s="808"/>
      <c r="H219" s="808"/>
      <c r="I219" s="808"/>
      <c r="J219" s="808"/>
      <c r="K219" s="808"/>
      <c r="L219" s="809"/>
      <c r="M219" s="809"/>
      <c r="N219" s="809"/>
      <c r="O219" s="809"/>
      <c r="P219" s="809"/>
      <c r="Q219" s="809"/>
      <c r="R219" s="809"/>
      <c r="S219" s="809"/>
      <c r="T219" s="809"/>
      <c r="U219" s="809"/>
      <c r="V219" s="812"/>
      <c r="W219" s="812"/>
    </row>
    <row r="220" spans="1:23" ht="12" customHeight="1">
      <c r="A220" s="558"/>
      <c r="B220" s="825" t="s">
        <v>932</v>
      </c>
      <c r="C220" s="807"/>
      <c r="D220" s="808"/>
      <c r="E220" s="808"/>
      <c r="F220" s="808"/>
      <c r="G220" s="808"/>
      <c r="H220" s="808"/>
      <c r="I220" s="808"/>
      <c r="J220" s="808"/>
      <c r="K220" s="808"/>
      <c r="L220" s="809"/>
      <c r="M220" s="809"/>
      <c r="N220" s="809"/>
      <c r="O220" s="809"/>
      <c r="P220" s="809"/>
      <c r="Q220" s="809"/>
      <c r="R220" s="809"/>
      <c r="S220" s="809"/>
      <c r="T220" s="809"/>
      <c r="U220" s="809"/>
      <c r="V220" s="812"/>
      <c r="W220" s="812"/>
    </row>
    <row r="221" spans="1:23" ht="12" customHeight="1">
      <c r="A221" s="558"/>
      <c r="B221" s="825" t="s">
        <v>1287</v>
      </c>
      <c r="C221" s="807"/>
      <c r="D221" s="808"/>
      <c r="E221" s="808"/>
      <c r="F221" s="808"/>
      <c r="G221" s="808"/>
      <c r="H221" s="808"/>
      <c r="I221" s="808"/>
      <c r="J221" s="808"/>
      <c r="K221" s="808"/>
      <c r="L221" s="809"/>
      <c r="M221" s="809"/>
      <c r="N221" s="809"/>
      <c r="O221" s="809"/>
      <c r="P221" s="809"/>
      <c r="Q221" s="809"/>
      <c r="R221" s="809"/>
      <c r="S221" s="809"/>
      <c r="T221" s="809"/>
      <c r="U221" s="809"/>
      <c r="V221" s="812"/>
      <c r="W221" s="812"/>
    </row>
    <row r="222" spans="1:23" ht="12" customHeight="1">
      <c r="A222" s="558"/>
      <c r="B222" s="825" t="s">
        <v>1288</v>
      </c>
      <c r="C222" s="807"/>
      <c r="D222" s="808"/>
      <c r="E222" s="808"/>
      <c r="F222" s="808"/>
      <c r="G222" s="808"/>
      <c r="H222" s="808"/>
      <c r="I222" s="808"/>
      <c r="J222" s="808"/>
      <c r="K222" s="808"/>
      <c r="L222" s="809"/>
      <c r="M222" s="809"/>
      <c r="N222" s="809"/>
      <c r="O222" s="809"/>
      <c r="P222" s="809"/>
      <c r="Q222" s="809"/>
      <c r="R222" s="809"/>
      <c r="S222" s="809"/>
      <c r="T222" s="809"/>
      <c r="U222" s="809"/>
      <c r="V222" s="812"/>
      <c r="W222" s="812"/>
    </row>
    <row r="223" spans="1:23" ht="12" customHeight="1">
      <c r="A223" s="558"/>
      <c r="B223" s="825" t="s">
        <v>1331</v>
      </c>
      <c r="C223" s="790"/>
      <c r="D223" s="790"/>
      <c r="E223" s="790"/>
      <c r="F223" s="790"/>
      <c r="G223" s="764"/>
      <c r="H223" s="791"/>
      <c r="I223" s="791"/>
      <c r="J223" s="791"/>
      <c r="K223" s="792"/>
      <c r="L223" s="764"/>
      <c r="M223" s="764"/>
      <c r="N223" s="764"/>
      <c r="O223" s="764"/>
      <c r="P223" s="764"/>
      <c r="Q223" s="764"/>
      <c r="R223" s="764"/>
      <c r="S223" s="764"/>
      <c r="T223" s="764"/>
      <c r="U223" s="764"/>
      <c r="V223" s="812"/>
      <c r="W223" s="812"/>
    </row>
    <row r="224" spans="1:23" ht="12" customHeight="1">
      <c r="A224" s="558"/>
      <c r="B224" s="825" t="s">
        <v>1339</v>
      </c>
      <c r="C224" s="790"/>
      <c r="D224" s="790"/>
      <c r="E224" s="790"/>
      <c r="F224" s="790"/>
      <c r="G224" s="764"/>
      <c r="H224" s="791"/>
      <c r="I224" s="791"/>
      <c r="J224" s="791"/>
      <c r="K224" s="792"/>
      <c r="L224" s="764"/>
      <c r="M224" s="764"/>
      <c r="N224" s="764"/>
      <c r="O224" s="764"/>
      <c r="P224" s="764"/>
      <c r="Q224" s="764"/>
      <c r="R224" s="764"/>
      <c r="S224" s="764"/>
      <c r="T224" s="764"/>
      <c r="U224" s="764"/>
      <c r="V224" s="812"/>
      <c r="W224" s="812"/>
    </row>
    <row r="225" spans="1:23" ht="12" customHeight="1">
      <c r="A225" s="558"/>
      <c r="B225" s="826" t="s">
        <v>936</v>
      </c>
      <c r="C225" s="790"/>
      <c r="D225" s="790"/>
      <c r="E225" s="790"/>
      <c r="F225" s="790"/>
      <c r="G225" s="764"/>
      <c r="H225" s="791"/>
      <c r="I225" s="791"/>
      <c r="J225" s="791"/>
      <c r="K225" s="792"/>
      <c r="L225" s="764"/>
      <c r="M225" s="764"/>
      <c r="N225" s="764"/>
      <c r="O225" s="764"/>
      <c r="P225" s="764"/>
      <c r="Q225" s="764"/>
      <c r="R225" s="764"/>
      <c r="S225" s="764"/>
      <c r="T225" s="764"/>
      <c r="U225" s="764"/>
      <c r="V225" s="812"/>
      <c r="W225" s="812"/>
    </row>
    <row r="226" spans="1:23" ht="12" customHeight="1">
      <c r="A226" s="558"/>
      <c r="B226" s="826" t="s">
        <v>937</v>
      </c>
      <c r="C226" s="790"/>
      <c r="D226" s="790"/>
      <c r="E226" s="790"/>
      <c r="F226" s="790"/>
      <c r="G226" s="764"/>
      <c r="H226" s="791"/>
      <c r="I226" s="791"/>
      <c r="J226" s="791"/>
      <c r="K226" s="792"/>
      <c r="L226" s="764"/>
      <c r="M226" s="764"/>
      <c r="N226" s="764"/>
      <c r="O226" s="764"/>
      <c r="P226" s="764"/>
      <c r="Q226" s="764"/>
      <c r="R226" s="764"/>
      <c r="S226" s="764"/>
      <c r="T226" s="764"/>
      <c r="U226" s="764"/>
      <c r="V226" s="812"/>
      <c r="W226" s="812"/>
    </row>
    <row r="227" spans="1:23" ht="12" customHeight="1">
      <c r="A227" s="558"/>
      <c r="B227" s="825" t="s">
        <v>1341</v>
      </c>
      <c r="C227" s="790"/>
      <c r="D227" s="790"/>
      <c r="E227" s="790"/>
      <c r="F227" s="790"/>
      <c r="G227" s="764"/>
      <c r="H227" s="791"/>
      <c r="I227" s="791"/>
      <c r="J227" s="791"/>
      <c r="K227" s="792"/>
      <c r="L227" s="764"/>
      <c r="M227" s="764"/>
      <c r="N227" s="764"/>
      <c r="O227" s="764"/>
      <c r="P227" s="764"/>
      <c r="Q227" s="764"/>
      <c r="R227" s="764"/>
      <c r="S227" s="764"/>
      <c r="T227" s="764"/>
      <c r="U227" s="764"/>
      <c r="V227" s="812"/>
      <c r="W227" s="812"/>
    </row>
    <row r="228" spans="1:23" ht="12" customHeight="1">
      <c r="A228" s="558"/>
      <c r="B228" s="825" t="s">
        <v>1343</v>
      </c>
      <c r="C228" s="790"/>
      <c r="D228" s="790"/>
      <c r="E228" s="790"/>
      <c r="F228" s="790"/>
      <c r="G228" s="764"/>
      <c r="H228" s="791"/>
      <c r="I228" s="791"/>
      <c r="J228" s="791"/>
      <c r="K228" s="792"/>
      <c r="L228" s="764"/>
      <c r="M228" s="764"/>
      <c r="N228" s="764"/>
      <c r="O228" s="764"/>
      <c r="P228" s="764"/>
      <c r="Q228" s="764"/>
      <c r="R228" s="764"/>
      <c r="S228" s="764"/>
      <c r="T228" s="764"/>
      <c r="U228" s="764"/>
      <c r="V228" s="812"/>
      <c r="W228" s="812"/>
    </row>
    <row r="229" spans="1:23" ht="12" customHeight="1">
      <c r="A229" s="558"/>
      <c r="B229" s="806"/>
      <c r="C229" s="790"/>
      <c r="D229" s="790"/>
      <c r="E229" s="790"/>
      <c r="F229" s="790"/>
      <c r="G229" s="764"/>
      <c r="H229" s="791"/>
      <c r="I229" s="791"/>
      <c r="J229" s="791"/>
      <c r="K229" s="792"/>
      <c r="L229" s="764"/>
      <c r="M229" s="764"/>
      <c r="N229" s="764"/>
      <c r="O229" s="764"/>
      <c r="P229" s="764"/>
      <c r="Q229" s="764"/>
      <c r="R229" s="764"/>
      <c r="S229" s="764"/>
      <c r="T229" s="764"/>
      <c r="U229" s="764"/>
      <c r="V229" s="812"/>
      <c r="W229" s="812"/>
    </row>
    <row r="230" spans="1:23" ht="12" customHeight="1">
      <c r="A230" s="558"/>
      <c r="B230" s="1186" t="s">
        <v>1292</v>
      </c>
      <c r="C230" s="1186"/>
      <c r="D230" s="1186"/>
      <c r="E230" s="1186"/>
      <c r="F230" s="1186"/>
      <c r="G230" s="1186"/>
      <c r="H230" s="1186"/>
      <c r="I230" s="1186"/>
      <c r="J230" s="1186"/>
      <c r="K230" s="1186"/>
      <c r="L230" s="1186"/>
      <c r="M230" s="1186"/>
      <c r="N230" s="1186"/>
      <c r="O230" s="1186"/>
      <c r="P230" s="1186"/>
      <c r="Q230" s="1186"/>
      <c r="R230" s="1186"/>
      <c r="S230" s="1186"/>
      <c r="T230" s="1186"/>
      <c r="U230" s="1186"/>
      <c r="V230" s="1186"/>
      <c r="W230" s="1186"/>
    </row>
    <row r="231" spans="1:23" ht="12" customHeight="1">
      <c r="A231" s="558"/>
      <c r="B231" s="810"/>
      <c r="C231" s="811"/>
      <c r="D231" s="811"/>
      <c r="E231" s="1187"/>
      <c r="F231" s="1188"/>
      <c r="G231" s="1188"/>
      <c r="H231" s="1188"/>
      <c r="I231" s="1188"/>
      <c r="J231" s="1188"/>
      <c r="K231" s="1188"/>
      <c r="L231" s="1188"/>
      <c r="M231" s="1188"/>
      <c r="N231" s="1188"/>
      <c r="O231" s="1188"/>
      <c r="P231" s="1188"/>
      <c r="Q231" s="764"/>
      <c r="R231" s="764"/>
      <c r="S231" s="1189" t="str">
        <f ca="1">OP!$C$54&amp;" 試算日："&amp;TEXT(OP!$C$3,"EEMMDD")</f>
        <v>V1.0-1060217 試算日：1060602</v>
      </c>
      <c r="T231" s="1189"/>
      <c r="U231" s="1189"/>
      <c r="V231" s="1189"/>
      <c r="W231" s="1189"/>
    </row>
    <row r="232" spans="1:23" ht="11.25" customHeight="1">
      <c r="A232" s="558"/>
      <c r="B232" s="635"/>
      <c r="C232" s="636"/>
      <c r="D232" s="636"/>
      <c r="E232" s="637"/>
      <c r="F232" s="638"/>
      <c r="G232" s="638"/>
      <c r="H232" s="638"/>
      <c r="I232" s="638"/>
      <c r="J232" s="638"/>
      <c r="K232" s="638"/>
      <c r="L232" s="638"/>
      <c r="M232" s="638"/>
      <c r="N232" s="638"/>
      <c r="O232" s="638"/>
      <c r="P232" s="638"/>
      <c r="R232" s="639"/>
      <c r="S232" s="639"/>
      <c r="T232" s="639"/>
      <c r="U232" s="639"/>
      <c r="V232" s="639"/>
      <c r="W232" s="640"/>
    </row>
    <row r="233" spans="1:23" ht="19.5" customHeight="1">
      <c r="A233" s="558"/>
      <c r="B233" s="1153" t="str">
        <f>輸入頁!B2&amp;" 主約給付說明"</f>
        <v>富邦人壽好吉利利率變動型增額終身壽險專案試算表 主約給付說明</v>
      </c>
      <c r="C233" s="1154"/>
      <c r="D233" s="1154"/>
      <c r="E233" s="1154"/>
      <c r="F233" s="1154"/>
      <c r="G233" s="1154"/>
      <c r="H233" s="1154"/>
      <c r="I233" s="1154"/>
      <c r="J233" s="1154"/>
      <c r="K233" s="1154"/>
      <c r="L233" s="1154"/>
      <c r="M233" s="1154"/>
      <c r="N233" s="1154"/>
      <c r="O233" s="1154"/>
      <c r="P233" s="1154"/>
      <c r="Q233" s="1154"/>
      <c r="R233" s="1154"/>
      <c r="S233" s="1154"/>
      <c r="T233" s="1154"/>
      <c r="U233" s="1154"/>
      <c r="V233" s="1154"/>
      <c r="W233" s="1155"/>
    </row>
    <row r="234" spans="1:23" s="658" customFormat="1" ht="3.75" hidden="1" customHeight="1">
      <c r="A234" s="657"/>
      <c r="B234" s="242"/>
      <c r="C234" s="242"/>
      <c r="D234" s="242"/>
      <c r="E234" s="242"/>
      <c r="F234" s="242"/>
      <c r="G234" s="242"/>
      <c r="H234" s="242"/>
      <c r="I234" s="242"/>
      <c r="J234" s="242"/>
      <c r="K234" s="242"/>
      <c r="L234" s="242"/>
      <c r="M234" s="242"/>
      <c r="N234" s="242"/>
      <c r="O234" s="242"/>
      <c r="P234" s="242"/>
      <c r="Q234" s="242"/>
      <c r="R234" s="242"/>
      <c r="S234" s="242"/>
      <c r="T234" s="242"/>
      <c r="U234" s="242"/>
      <c r="V234" s="242"/>
      <c r="W234" s="242"/>
    </row>
    <row r="235" spans="1:23" s="571" customFormat="1" ht="15" customHeight="1">
      <c r="A235" s="659">
        <v>1</v>
      </c>
      <c r="B235" s="165" t="s">
        <v>1374</v>
      </c>
      <c r="D235" s="660"/>
      <c r="E235" s="660"/>
      <c r="F235" s="660"/>
      <c r="G235" s="660"/>
      <c r="H235" s="660"/>
      <c r="I235" s="660"/>
      <c r="J235" s="660"/>
      <c r="K235" s="660"/>
      <c r="L235" s="660"/>
      <c r="M235" s="660"/>
      <c r="N235" s="660"/>
      <c r="O235" s="660"/>
      <c r="P235" s="660"/>
      <c r="Q235" s="660"/>
      <c r="R235" s="660"/>
      <c r="S235" s="660"/>
      <c r="T235" s="660"/>
      <c r="U235" s="660"/>
      <c r="V235" s="660"/>
      <c r="W235" s="660"/>
    </row>
    <row r="236" spans="1:23" s="571" customFormat="1" ht="15" customHeight="1">
      <c r="A236" s="659">
        <v>2</v>
      </c>
      <c r="B236" s="165" t="s">
        <v>1379</v>
      </c>
      <c r="D236" s="660"/>
      <c r="E236" s="660"/>
      <c r="F236" s="660"/>
      <c r="G236" s="660"/>
      <c r="H236" s="660"/>
      <c r="I236" s="660"/>
      <c r="J236" s="660"/>
      <c r="K236" s="660"/>
      <c r="L236" s="660"/>
      <c r="M236" s="660"/>
      <c r="N236" s="660"/>
      <c r="O236" s="660"/>
      <c r="P236" s="660"/>
      <c r="Q236" s="660"/>
      <c r="R236" s="660"/>
      <c r="S236" s="660"/>
      <c r="T236" s="660"/>
      <c r="U236" s="660"/>
      <c r="V236" s="660"/>
      <c r="W236" s="660"/>
    </row>
    <row r="237" spans="1:23" s="571" customFormat="1" ht="15" customHeight="1">
      <c r="A237" s="659">
        <v>3</v>
      </c>
      <c r="B237" s="165" t="s">
        <v>1344</v>
      </c>
      <c r="D237" s="660"/>
      <c r="E237" s="660"/>
      <c r="F237" s="660"/>
      <c r="G237" s="660"/>
      <c r="H237" s="660"/>
      <c r="I237" s="660"/>
      <c r="J237" s="660"/>
      <c r="K237" s="660"/>
      <c r="L237" s="660"/>
      <c r="M237" s="660"/>
      <c r="N237" s="660"/>
      <c r="O237" s="660"/>
      <c r="P237" s="660"/>
      <c r="Q237" s="660"/>
      <c r="R237" s="660"/>
      <c r="S237" s="660"/>
      <c r="T237" s="660"/>
      <c r="U237" s="660"/>
      <c r="V237" s="660"/>
      <c r="W237" s="660"/>
    </row>
    <row r="238" spans="1:23" s="571" customFormat="1" ht="15" customHeight="1">
      <c r="A238" s="659">
        <v>4</v>
      </c>
      <c r="B238" s="165" t="s">
        <v>1293</v>
      </c>
      <c r="D238" s="660"/>
      <c r="E238" s="660"/>
      <c r="F238" s="660"/>
      <c r="G238" s="660"/>
      <c r="H238" s="660"/>
      <c r="I238" s="660"/>
      <c r="J238" s="660"/>
      <c r="K238" s="660"/>
      <c r="L238" s="660"/>
      <c r="M238" s="660"/>
      <c r="N238" s="660"/>
      <c r="O238" s="660"/>
      <c r="P238" s="660"/>
      <c r="Q238" s="660"/>
      <c r="R238" s="660"/>
      <c r="S238" s="660"/>
      <c r="T238" s="660"/>
      <c r="U238" s="660"/>
      <c r="V238" s="660"/>
      <c r="W238" s="660"/>
    </row>
    <row r="239" spans="1:23" s="571" customFormat="1" ht="15" customHeight="1">
      <c r="A239" s="659">
        <v>5</v>
      </c>
      <c r="B239" s="322" t="s">
        <v>330</v>
      </c>
      <c r="D239" s="660"/>
      <c r="E239" s="660"/>
      <c r="F239" s="660"/>
      <c r="G239" s="660"/>
      <c r="H239" s="660"/>
      <c r="I239" s="660"/>
      <c r="J239" s="660"/>
      <c r="K239" s="660"/>
      <c r="L239" s="660"/>
      <c r="M239" s="660"/>
      <c r="N239" s="660"/>
      <c r="O239" s="660"/>
      <c r="P239" s="660"/>
      <c r="Q239" s="660"/>
      <c r="R239" s="660"/>
      <c r="S239" s="660"/>
      <c r="T239" s="660"/>
      <c r="U239" s="660"/>
      <c r="V239" s="660"/>
      <c r="W239" s="660"/>
    </row>
    <row r="240" spans="1:23" s="571" customFormat="1" ht="15" customHeight="1">
      <c r="A240" s="659">
        <v>6</v>
      </c>
      <c r="B240" s="321" t="s">
        <v>336</v>
      </c>
      <c r="D240" s="660"/>
      <c r="E240" s="660"/>
      <c r="F240" s="660"/>
      <c r="G240" s="660"/>
      <c r="H240" s="660"/>
      <c r="I240" s="660"/>
      <c r="J240" s="660"/>
      <c r="K240" s="660"/>
      <c r="L240" s="660"/>
      <c r="M240" s="660"/>
      <c r="N240" s="660"/>
      <c r="O240" s="660"/>
      <c r="P240" s="660"/>
      <c r="Q240" s="660"/>
      <c r="R240" s="660"/>
      <c r="S240" s="660"/>
      <c r="T240" s="660"/>
      <c r="U240" s="660"/>
      <c r="V240" s="660"/>
      <c r="W240" s="660"/>
    </row>
    <row r="241" spans="1:23" s="571" customFormat="1" ht="15" customHeight="1">
      <c r="A241" s="659">
        <v>7</v>
      </c>
      <c r="B241" s="321" t="s">
        <v>1294</v>
      </c>
      <c r="D241" s="660"/>
      <c r="E241" s="660"/>
      <c r="F241" s="660"/>
      <c r="G241" s="660"/>
      <c r="H241" s="660"/>
      <c r="I241" s="660"/>
      <c r="J241" s="660"/>
      <c r="K241" s="660"/>
      <c r="L241" s="660"/>
      <c r="M241" s="660"/>
      <c r="N241" s="660"/>
      <c r="O241" s="660"/>
      <c r="P241" s="660"/>
      <c r="Q241" s="660"/>
      <c r="R241" s="660"/>
      <c r="S241" s="660"/>
      <c r="T241" s="660"/>
      <c r="U241" s="660"/>
      <c r="V241" s="660"/>
      <c r="W241" s="660"/>
    </row>
    <row r="242" spans="1:23" s="571" customFormat="1" ht="15" customHeight="1">
      <c r="A242" s="659">
        <v>8</v>
      </c>
      <c r="B242" s="165" t="s">
        <v>1295</v>
      </c>
      <c r="D242" s="660"/>
      <c r="E242" s="660"/>
      <c r="F242" s="660"/>
      <c r="G242" s="660"/>
      <c r="H242" s="660"/>
      <c r="I242" s="660"/>
      <c r="J242" s="660"/>
      <c r="K242" s="660"/>
      <c r="L242" s="660"/>
      <c r="M242" s="660"/>
      <c r="N242" s="660"/>
      <c r="O242" s="660"/>
      <c r="P242" s="660"/>
      <c r="Q242" s="660"/>
      <c r="R242" s="660"/>
      <c r="S242" s="660"/>
      <c r="T242" s="660"/>
      <c r="U242" s="660"/>
      <c r="V242" s="660"/>
      <c r="W242" s="660"/>
    </row>
    <row r="243" spans="1:23" s="571" customFormat="1" ht="15" customHeight="1">
      <c r="A243" s="659">
        <v>9</v>
      </c>
      <c r="B243" s="165" t="s">
        <v>1376</v>
      </c>
      <c r="D243" s="660"/>
      <c r="E243" s="660"/>
      <c r="F243" s="660"/>
      <c r="G243" s="660"/>
      <c r="H243" s="660"/>
      <c r="I243" s="660"/>
      <c r="J243" s="660"/>
      <c r="K243" s="660"/>
      <c r="L243" s="660"/>
      <c r="M243" s="660"/>
      <c r="N243" s="660"/>
      <c r="O243" s="660"/>
      <c r="P243" s="660"/>
      <c r="Q243" s="660"/>
      <c r="R243" s="660"/>
      <c r="S243" s="660"/>
      <c r="T243" s="660"/>
      <c r="U243" s="660"/>
      <c r="V243" s="660"/>
      <c r="W243" s="660"/>
    </row>
    <row r="244" spans="1:23" s="571" customFormat="1" ht="15" customHeight="1">
      <c r="A244" s="659">
        <v>10</v>
      </c>
      <c r="B244" s="165" t="s">
        <v>1296</v>
      </c>
      <c r="D244" s="660"/>
      <c r="E244" s="660"/>
      <c r="F244" s="660"/>
      <c r="G244" s="660"/>
      <c r="H244" s="660"/>
      <c r="I244" s="660"/>
      <c r="J244" s="660"/>
      <c r="K244" s="660"/>
      <c r="L244" s="660"/>
      <c r="M244" s="660"/>
      <c r="N244" s="660"/>
      <c r="O244" s="660"/>
      <c r="P244" s="660"/>
      <c r="Q244" s="660"/>
      <c r="R244" s="660"/>
      <c r="S244" s="660"/>
      <c r="T244" s="660"/>
      <c r="U244" s="660"/>
      <c r="V244" s="660"/>
      <c r="W244" s="660"/>
    </row>
    <row r="245" spans="1:23" s="571" customFormat="1" ht="15" customHeight="1">
      <c r="A245" s="659">
        <v>11</v>
      </c>
      <c r="B245" s="165" t="s">
        <v>1297</v>
      </c>
      <c r="D245" s="660"/>
      <c r="E245" s="660"/>
      <c r="F245" s="660"/>
      <c r="G245" s="660"/>
      <c r="H245" s="660"/>
      <c r="I245" s="660"/>
      <c r="J245" s="660"/>
      <c r="K245" s="660"/>
      <c r="L245" s="660"/>
      <c r="M245" s="660"/>
      <c r="N245" s="660"/>
      <c r="O245" s="660"/>
      <c r="P245" s="660"/>
      <c r="Q245" s="660"/>
      <c r="R245" s="660"/>
      <c r="S245" s="660"/>
      <c r="T245" s="660"/>
      <c r="U245" s="660"/>
      <c r="V245" s="660"/>
      <c r="W245" s="660"/>
    </row>
    <row r="246" spans="1:23" s="571" customFormat="1" ht="15" customHeight="1">
      <c r="A246" s="659">
        <v>12</v>
      </c>
      <c r="B246" s="828" t="s">
        <v>1377</v>
      </c>
      <c r="D246" s="660"/>
      <c r="E246" s="660"/>
      <c r="F246" s="660"/>
      <c r="G246" s="660"/>
      <c r="H246" s="660"/>
      <c r="I246" s="660"/>
      <c r="J246" s="660"/>
      <c r="K246" s="660"/>
      <c r="L246" s="660"/>
      <c r="M246" s="660"/>
      <c r="N246" s="660"/>
      <c r="O246" s="660"/>
      <c r="P246" s="660"/>
      <c r="Q246" s="660"/>
      <c r="R246" s="660"/>
      <c r="S246" s="660"/>
      <c r="T246" s="660"/>
      <c r="U246" s="660"/>
      <c r="V246" s="660"/>
      <c r="W246" s="660"/>
    </row>
    <row r="247" spans="1:23" s="571" customFormat="1" ht="15" customHeight="1">
      <c r="A247" s="659">
        <v>13</v>
      </c>
      <c r="B247" s="828" t="s">
        <v>1378</v>
      </c>
      <c r="D247" s="660"/>
      <c r="E247" s="660"/>
      <c r="F247" s="660"/>
      <c r="G247" s="660"/>
      <c r="H247" s="660"/>
      <c r="I247" s="660"/>
      <c r="J247" s="660"/>
      <c r="K247" s="660"/>
      <c r="L247" s="660"/>
      <c r="M247" s="660"/>
      <c r="N247" s="660"/>
      <c r="O247" s="660"/>
      <c r="P247" s="660"/>
      <c r="Q247" s="660"/>
      <c r="R247" s="660"/>
      <c r="S247" s="660"/>
      <c r="T247" s="660"/>
      <c r="U247" s="660"/>
      <c r="V247" s="660"/>
      <c r="W247" s="660"/>
    </row>
    <row r="248" spans="1:23" s="571" customFormat="1" ht="15" customHeight="1">
      <c r="A248" s="659">
        <v>14</v>
      </c>
      <c r="B248" s="165" t="s">
        <v>1345</v>
      </c>
      <c r="D248" s="660"/>
      <c r="E248" s="660"/>
      <c r="F248" s="660"/>
      <c r="G248" s="660"/>
      <c r="H248" s="660"/>
      <c r="I248" s="660"/>
      <c r="J248" s="660"/>
      <c r="K248" s="660"/>
      <c r="L248" s="660"/>
      <c r="M248" s="660"/>
      <c r="N248" s="660"/>
      <c r="O248" s="660"/>
      <c r="P248" s="660"/>
      <c r="Q248" s="660"/>
      <c r="R248" s="660"/>
      <c r="S248" s="660"/>
      <c r="T248" s="660"/>
      <c r="U248" s="660"/>
      <c r="V248" s="660"/>
      <c r="W248" s="660"/>
    </row>
    <row r="249" spans="1:23" s="571" customFormat="1" ht="15" customHeight="1">
      <c r="A249" s="659">
        <v>15</v>
      </c>
      <c r="B249" s="165" t="s">
        <v>1298</v>
      </c>
      <c r="D249" s="660"/>
      <c r="E249" s="660"/>
      <c r="F249" s="660"/>
      <c r="G249" s="660"/>
      <c r="H249" s="660"/>
      <c r="I249" s="660"/>
      <c r="J249" s="660"/>
      <c r="K249" s="660"/>
      <c r="L249" s="660"/>
      <c r="M249" s="660"/>
      <c r="N249" s="660"/>
      <c r="O249" s="660"/>
      <c r="P249" s="660"/>
      <c r="Q249" s="660"/>
      <c r="R249" s="660"/>
      <c r="S249" s="660"/>
      <c r="T249" s="660"/>
      <c r="U249" s="660"/>
      <c r="V249" s="660"/>
      <c r="W249" s="660"/>
    </row>
    <row r="250" spans="1:23" s="571" customFormat="1" ht="15" customHeight="1">
      <c r="A250" s="659">
        <v>16</v>
      </c>
      <c r="B250" s="165" t="s">
        <v>1299</v>
      </c>
      <c r="D250" s="660"/>
      <c r="E250" s="660"/>
      <c r="F250" s="660"/>
      <c r="G250" s="660"/>
      <c r="H250" s="660"/>
      <c r="I250" s="660"/>
      <c r="J250" s="660"/>
      <c r="K250" s="660"/>
      <c r="L250" s="660"/>
      <c r="M250" s="660"/>
      <c r="N250" s="660"/>
      <c r="O250" s="660"/>
      <c r="P250" s="660"/>
      <c r="Q250" s="660"/>
      <c r="R250" s="660"/>
      <c r="S250" s="660"/>
      <c r="T250" s="660"/>
      <c r="U250" s="660"/>
      <c r="V250" s="660"/>
      <c r="W250" s="660"/>
    </row>
    <row r="251" spans="1:23" s="571" customFormat="1" ht="15" customHeight="1">
      <c r="A251" s="659"/>
      <c r="B251" s="165" t="s">
        <v>1346</v>
      </c>
      <c r="D251" s="660"/>
      <c r="E251" s="660"/>
      <c r="F251" s="660"/>
      <c r="G251" s="660"/>
      <c r="H251" s="660"/>
      <c r="I251" s="660"/>
      <c r="J251" s="660"/>
      <c r="K251" s="660"/>
      <c r="L251" s="660"/>
      <c r="M251" s="660"/>
      <c r="N251" s="660"/>
      <c r="O251" s="660"/>
      <c r="P251" s="660"/>
      <c r="Q251" s="660"/>
      <c r="R251" s="660"/>
      <c r="S251" s="660"/>
      <c r="T251" s="660"/>
      <c r="U251" s="660"/>
      <c r="V251" s="660"/>
      <c r="W251" s="660"/>
    </row>
    <row r="252" spans="1:23" s="571" customFormat="1" ht="15" customHeight="1">
      <c r="A252" s="659"/>
      <c r="B252" s="321" t="s">
        <v>1347</v>
      </c>
      <c r="D252" s="660"/>
      <c r="E252" s="660"/>
      <c r="F252" s="660"/>
      <c r="G252" s="660"/>
      <c r="H252" s="660"/>
      <c r="I252" s="660"/>
      <c r="J252" s="660"/>
      <c r="K252" s="660"/>
      <c r="L252" s="660"/>
      <c r="M252" s="660"/>
      <c r="N252" s="660"/>
      <c r="O252" s="660"/>
      <c r="P252" s="660"/>
      <c r="Q252" s="660"/>
      <c r="R252" s="660"/>
      <c r="S252" s="660"/>
      <c r="T252" s="660"/>
      <c r="U252" s="660"/>
      <c r="V252" s="660"/>
      <c r="W252" s="660"/>
    </row>
    <row r="253" spans="1:23" s="571" customFormat="1" ht="15" customHeight="1">
      <c r="A253" s="659"/>
      <c r="B253" s="165" t="s">
        <v>1348</v>
      </c>
      <c r="D253" s="660"/>
      <c r="E253" s="660"/>
      <c r="F253" s="660"/>
      <c r="G253" s="660"/>
      <c r="H253" s="660"/>
      <c r="I253" s="660"/>
      <c r="J253" s="660"/>
      <c r="K253" s="660"/>
      <c r="L253" s="660"/>
      <c r="M253" s="660"/>
      <c r="N253" s="660"/>
      <c r="O253" s="660"/>
      <c r="P253" s="660"/>
      <c r="Q253" s="660"/>
      <c r="R253" s="660"/>
      <c r="S253" s="660"/>
      <c r="T253" s="660"/>
      <c r="U253" s="660"/>
      <c r="V253" s="660"/>
      <c r="W253" s="660"/>
    </row>
    <row r="254" spans="1:23" s="571" customFormat="1" ht="15" customHeight="1">
      <c r="A254" s="659"/>
      <c r="B254" s="165" t="s">
        <v>1300</v>
      </c>
      <c r="D254" s="660"/>
      <c r="E254" s="660"/>
      <c r="F254" s="660"/>
      <c r="G254" s="660"/>
      <c r="H254" s="660"/>
      <c r="I254" s="660"/>
      <c r="J254" s="660"/>
      <c r="K254" s="660"/>
      <c r="L254" s="660"/>
      <c r="M254" s="660"/>
      <c r="N254" s="660"/>
      <c r="O254" s="660"/>
      <c r="P254" s="660"/>
      <c r="Q254" s="660"/>
      <c r="R254" s="660"/>
      <c r="S254" s="660"/>
      <c r="T254" s="660"/>
      <c r="U254" s="660"/>
      <c r="V254" s="660"/>
      <c r="W254" s="660"/>
    </row>
    <row r="255" spans="1:23" s="571" customFormat="1" ht="15" customHeight="1">
      <c r="A255" s="659"/>
      <c r="B255" s="165" t="s">
        <v>1301</v>
      </c>
      <c r="D255" s="660"/>
      <c r="E255" s="660"/>
      <c r="F255" s="660"/>
      <c r="G255" s="660"/>
      <c r="H255" s="660"/>
      <c r="I255" s="660"/>
      <c r="J255" s="660"/>
      <c r="K255" s="660"/>
      <c r="L255" s="660"/>
      <c r="M255" s="660"/>
      <c r="N255" s="660"/>
      <c r="O255" s="660"/>
      <c r="P255" s="660"/>
      <c r="Q255" s="660"/>
      <c r="R255" s="660"/>
      <c r="S255" s="660"/>
      <c r="T255" s="660"/>
      <c r="U255" s="660"/>
      <c r="V255" s="660"/>
      <c r="W255" s="660"/>
    </row>
    <row r="256" spans="1:23" s="571" customFormat="1" ht="15" customHeight="1">
      <c r="A256" s="659"/>
      <c r="B256" s="165" t="s">
        <v>1349</v>
      </c>
      <c r="D256" s="660"/>
      <c r="E256" s="660"/>
      <c r="F256" s="660"/>
      <c r="G256" s="660"/>
      <c r="H256" s="660"/>
      <c r="I256" s="660"/>
      <c r="J256" s="660"/>
      <c r="K256" s="660"/>
      <c r="L256" s="660"/>
      <c r="M256" s="660"/>
      <c r="N256" s="660"/>
      <c r="O256" s="660"/>
      <c r="P256" s="660"/>
      <c r="Q256" s="660"/>
      <c r="R256" s="660"/>
      <c r="S256" s="660"/>
      <c r="T256" s="660"/>
      <c r="U256" s="660"/>
      <c r="V256" s="660"/>
      <c r="W256" s="660"/>
    </row>
    <row r="257" spans="1:23" s="571" customFormat="1" ht="15" customHeight="1">
      <c r="A257" s="659"/>
      <c r="B257" s="165" t="s">
        <v>1350</v>
      </c>
      <c r="D257" s="660"/>
      <c r="E257" s="660"/>
      <c r="F257" s="660"/>
      <c r="G257" s="660"/>
      <c r="H257" s="660"/>
      <c r="I257" s="660"/>
      <c r="J257" s="660"/>
      <c r="K257" s="660"/>
      <c r="L257" s="660"/>
      <c r="M257" s="660"/>
      <c r="N257" s="660"/>
      <c r="O257" s="660"/>
      <c r="P257" s="660"/>
      <c r="Q257" s="660"/>
      <c r="R257" s="660"/>
      <c r="S257" s="660"/>
      <c r="T257" s="660"/>
      <c r="U257" s="660"/>
      <c r="V257" s="660"/>
      <c r="W257" s="660"/>
    </row>
    <row r="258" spans="1:23" s="571" customFormat="1" ht="15" customHeight="1">
      <c r="A258" s="659"/>
      <c r="B258" s="165" t="s">
        <v>1302</v>
      </c>
      <c r="D258" s="660"/>
      <c r="E258" s="660"/>
      <c r="F258" s="660"/>
      <c r="G258" s="660"/>
      <c r="H258" s="660"/>
      <c r="I258" s="660"/>
      <c r="J258" s="660"/>
      <c r="K258" s="660"/>
      <c r="L258" s="660"/>
      <c r="M258" s="660"/>
      <c r="N258" s="660"/>
      <c r="O258" s="660"/>
      <c r="P258" s="660"/>
      <c r="Q258" s="660"/>
      <c r="R258" s="660"/>
      <c r="S258" s="660"/>
      <c r="T258" s="660"/>
      <c r="U258" s="660"/>
      <c r="V258" s="660"/>
      <c r="W258" s="660"/>
    </row>
    <row r="259" spans="1:23" s="571" customFormat="1" ht="15" customHeight="1">
      <c r="A259" s="659"/>
      <c r="B259" s="165" t="s">
        <v>1351</v>
      </c>
      <c r="D259" s="660"/>
      <c r="E259" s="660"/>
      <c r="F259" s="660"/>
      <c r="G259" s="660"/>
      <c r="H259" s="660"/>
      <c r="I259" s="660"/>
      <c r="J259" s="660"/>
      <c r="K259" s="660"/>
      <c r="L259" s="660"/>
      <c r="M259" s="660"/>
      <c r="N259" s="660"/>
      <c r="O259" s="660"/>
      <c r="P259" s="660"/>
      <c r="Q259" s="660"/>
      <c r="R259" s="660"/>
      <c r="S259" s="660"/>
      <c r="T259" s="660"/>
      <c r="U259" s="660"/>
      <c r="V259" s="660"/>
      <c r="W259" s="660"/>
    </row>
    <row r="260" spans="1:23" s="571" customFormat="1" ht="15" customHeight="1">
      <c r="A260" s="659"/>
      <c r="B260" s="165" t="s">
        <v>1364</v>
      </c>
      <c r="D260" s="660"/>
      <c r="E260" s="660"/>
      <c r="F260" s="660"/>
      <c r="G260" s="660"/>
      <c r="H260" s="660"/>
      <c r="I260" s="660"/>
      <c r="J260" s="660"/>
      <c r="K260" s="660"/>
      <c r="L260" s="660"/>
      <c r="M260" s="660"/>
      <c r="N260" s="660"/>
      <c r="O260" s="660"/>
      <c r="P260" s="660"/>
      <c r="Q260" s="660"/>
      <c r="R260" s="660"/>
      <c r="S260" s="660"/>
      <c r="T260" s="660"/>
      <c r="U260" s="660"/>
      <c r="V260" s="660"/>
      <c r="W260" s="660"/>
    </row>
    <row r="261" spans="1:23" s="571" customFormat="1" ht="15" customHeight="1">
      <c r="A261" s="659"/>
      <c r="B261" s="165" t="s">
        <v>1365</v>
      </c>
      <c r="D261" s="660"/>
      <c r="E261" s="660"/>
      <c r="F261" s="660"/>
      <c r="G261" s="660"/>
      <c r="H261" s="660"/>
      <c r="I261" s="660"/>
      <c r="J261" s="660"/>
      <c r="K261" s="660"/>
      <c r="L261" s="660"/>
      <c r="M261" s="660"/>
      <c r="N261" s="660"/>
      <c r="O261" s="660"/>
      <c r="P261" s="660"/>
      <c r="Q261" s="660"/>
      <c r="R261" s="660"/>
      <c r="S261" s="660"/>
      <c r="T261" s="660"/>
      <c r="U261" s="660"/>
      <c r="V261" s="660"/>
      <c r="W261" s="660"/>
    </row>
    <row r="262" spans="1:23" s="571" customFormat="1" ht="15" customHeight="1">
      <c r="A262" s="659"/>
      <c r="B262" s="165" t="s">
        <v>1366</v>
      </c>
      <c r="D262" s="660"/>
      <c r="E262" s="660"/>
      <c r="F262" s="660"/>
      <c r="G262" s="660"/>
      <c r="H262" s="660"/>
      <c r="I262" s="660"/>
      <c r="J262" s="660"/>
      <c r="K262" s="660"/>
      <c r="L262" s="660"/>
      <c r="M262" s="660"/>
      <c r="N262" s="660"/>
      <c r="O262" s="660"/>
      <c r="P262" s="660"/>
      <c r="Q262" s="660"/>
      <c r="R262" s="660"/>
      <c r="S262" s="660"/>
      <c r="T262" s="660"/>
      <c r="U262" s="660"/>
      <c r="V262" s="660"/>
      <c r="W262" s="660"/>
    </row>
    <row r="263" spans="1:23" s="571" customFormat="1" ht="15" customHeight="1">
      <c r="A263" s="659"/>
      <c r="B263" s="165" t="s">
        <v>1367</v>
      </c>
      <c r="D263" s="660"/>
      <c r="E263" s="660"/>
      <c r="F263" s="660"/>
      <c r="G263" s="660"/>
      <c r="H263" s="660"/>
      <c r="I263" s="660"/>
      <c r="J263" s="660"/>
      <c r="K263" s="660"/>
      <c r="L263" s="660"/>
      <c r="M263" s="660"/>
      <c r="N263" s="660"/>
      <c r="O263" s="660"/>
      <c r="P263" s="660"/>
      <c r="Q263" s="660"/>
      <c r="R263" s="660"/>
      <c r="S263" s="660"/>
      <c r="T263" s="660"/>
      <c r="U263" s="660"/>
      <c r="V263" s="660"/>
      <c r="W263" s="660"/>
    </row>
    <row r="264" spans="1:23" s="571" customFormat="1" ht="15" customHeight="1">
      <c r="A264" s="659"/>
      <c r="B264" s="165" t="s">
        <v>1368</v>
      </c>
      <c r="D264" s="660"/>
      <c r="E264" s="660"/>
      <c r="F264" s="660"/>
      <c r="G264" s="660"/>
      <c r="H264" s="660"/>
      <c r="I264" s="660"/>
      <c r="J264" s="660"/>
      <c r="K264" s="660"/>
      <c r="L264" s="660"/>
      <c r="M264" s="660"/>
      <c r="N264" s="660"/>
      <c r="O264" s="660"/>
      <c r="P264" s="660"/>
      <c r="Q264" s="660"/>
      <c r="R264" s="660"/>
      <c r="S264" s="660"/>
      <c r="T264" s="660"/>
      <c r="U264" s="660"/>
      <c r="V264" s="660"/>
      <c r="W264" s="660"/>
    </row>
    <row r="265" spans="1:23" s="571" customFormat="1" ht="15" customHeight="1">
      <c r="A265" s="659"/>
      <c r="B265" s="165" t="s">
        <v>1352</v>
      </c>
      <c r="D265" s="660"/>
      <c r="E265" s="660"/>
      <c r="F265" s="660"/>
      <c r="G265" s="660"/>
      <c r="H265" s="660"/>
      <c r="I265" s="660"/>
      <c r="J265" s="660"/>
      <c r="K265" s="660"/>
      <c r="L265" s="660"/>
      <c r="M265" s="660"/>
      <c r="N265" s="660"/>
      <c r="O265" s="660"/>
      <c r="P265" s="660"/>
      <c r="Q265" s="660"/>
      <c r="R265" s="660"/>
      <c r="S265" s="660"/>
      <c r="T265" s="660"/>
      <c r="U265" s="660"/>
      <c r="V265" s="660"/>
      <c r="W265" s="660"/>
    </row>
    <row r="266" spans="1:23" s="571" customFormat="1" ht="15" customHeight="1">
      <c r="A266" s="659"/>
      <c r="B266" s="165" t="s">
        <v>1303</v>
      </c>
      <c r="D266" s="660"/>
      <c r="E266" s="660"/>
      <c r="F266" s="660"/>
      <c r="G266" s="660"/>
      <c r="H266" s="660"/>
      <c r="I266" s="660"/>
      <c r="J266" s="660"/>
      <c r="K266" s="660"/>
      <c r="L266" s="660"/>
      <c r="M266" s="660"/>
      <c r="N266" s="660"/>
      <c r="O266" s="660"/>
      <c r="P266" s="660"/>
      <c r="Q266" s="660"/>
      <c r="R266" s="660"/>
      <c r="S266" s="660"/>
      <c r="T266" s="660"/>
      <c r="U266" s="660"/>
      <c r="V266" s="660"/>
      <c r="W266" s="660"/>
    </row>
    <row r="267" spans="1:23" s="571" customFormat="1" ht="15" customHeight="1">
      <c r="A267" s="659"/>
      <c r="B267" s="165" t="s">
        <v>1353</v>
      </c>
      <c r="D267" s="660"/>
      <c r="E267" s="660"/>
      <c r="F267" s="660"/>
      <c r="G267" s="660"/>
      <c r="H267" s="660"/>
      <c r="I267" s="660"/>
      <c r="J267" s="660"/>
      <c r="K267" s="660"/>
      <c r="L267" s="660"/>
      <c r="M267" s="660"/>
      <c r="N267" s="660"/>
      <c r="O267" s="660"/>
      <c r="P267" s="660"/>
      <c r="Q267" s="660"/>
      <c r="R267" s="660"/>
      <c r="S267" s="660"/>
      <c r="T267" s="660"/>
      <c r="U267" s="660"/>
      <c r="V267" s="660"/>
      <c r="W267" s="660"/>
    </row>
    <row r="268" spans="1:23" s="571" customFormat="1" ht="15" customHeight="1">
      <c r="A268" s="659"/>
      <c r="B268" s="165" t="s">
        <v>1354</v>
      </c>
      <c r="D268" s="660"/>
      <c r="E268" s="660"/>
      <c r="F268" s="660"/>
      <c r="G268" s="660"/>
      <c r="H268" s="660"/>
      <c r="I268" s="660"/>
      <c r="J268" s="660"/>
      <c r="K268" s="660"/>
      <c r="L268" s="660"/>
      <c r="M268" s="660"/>
      <c r="N268" s="660"/>
      <c r="O268" s="660"/>
      <c r="P268" s="660"/>
      <c r="Q268" s="660"/>
      <c r="R268" s="660"/>
      <c r="S268" s="660"/>
      <c r="T268" s="660"/>
      <c r="U268" s="660"/>
      <c r="V268" s="660"/>
      <c r="W268" s="660"/>
    </row>
    <row r="269" spans="1:23" s="571" customFormat="1" ht="15" customHeight="1">
      <c r="A269" s="659"/>
      <c r="B269" s="165" t="s">
        <v>1369</v>
      </c>
      <c r="D269" s="660"/>
      <c r="E269" s="660"/>
      <c r="F269" s="660"/>
      <c r="G269" s="660"/>
      <c r="H269" s="660"/>
      <c r="I269" s="660"/>
      <c r="J269" s="660"/>
      <c r="K269" s="660"/>
      <c r="L269" s="660"/>
      <c r="M269" s="660"/>
      <c r="N269" s="660"/>
      <c r="O269" s="660"/>
      <c r="P269" s="660"/>
      <c r="Q269" s="660"/>
      <c r="R269" s="660"/>
      <c r="S269" s="660"/>
      <c r="T269" s="660"/>
      <c r="U269" s="660"/>
      <c r="V269" s="660"/>
      <c r="W269" s="660"/>
    </row>
    <row r="270" spans="1:23" s="571" customFormat="1" ht="15" customHeight="1">
      <c r="A270" s="659"/>
      <c r="B270" s="165" t="s">
        <v>1355</v>
      </c>
      <c r="D270" s="660"/>
      <c r="E270" s="660"/>
      <c r="F270" s="660"/>
      <c r="G270" s="660"/>
      <c r="H270" s="660"/>
      <c r="I270" s="660"/>
      <c r="J270" s="660"/>
      <c r="K270" s="660"/>
      <c r="L270" s="660"/>
      <c r="M270" s="660"/>
      <c r="N270" s="660"/>
      <c r="O270" s="660"/>
      <c r="P270" s="660"/>
      <c r="Q270" s="660"/>
      <c r="R270" s="660"/>
      <c r="S270" s="660"/>
      <c r="T270" s="660"/>
      <c r="U270" s="660"/>
      <c r="V270" s="660"/>
      <c r="W270" s="660"/>
    </row>
    <row r="271" spans="1:23" s="571" customFormat="1" ht="15" customHeight="1">
      <c r="A271" s="659"/>
      <c r="B271" s="165" t="s">
        <v>1304</v>
      </c>
      <c r="D271" s="660"/>
      <c r="E271" s="660"/>
      <c r="F271" s="660"/>
      <c r="G271" s="660"/>
      <c r="H271" s="660"/>
      <c r="I271" s="660"/>
      <c r="J271" s="660"/>
      <c r="K271" s="660"/>
      <c r="L271" s="660"/>
      <c r="M271" s="660"/>
      <c r="N271" s="660"/>
      <c r="O271" s="660"/>
      <c r="P271" s="660"/>
      <c r="Q271" s="660"/>
      <c r="R271" s="660"/>
      <c r="S271" s="660"/>
      <c r="T271" s="660"/>
      <c r="U271" s="660"/>
      <c r="V271" s="660"/>
      <c r="W271" s="660"/>
    </row>
    <row r="272" spans="1:23" s="571" customFormat="1" ht="15" customHeight="1">
      <c r="A272" s="659"/>
      <c r="B272" s="165" t="s">
        <v>1332</v>
      </c>
      <c r="D272" s="660"/>
      <c r="E272" s="660"/>
      <c r="F272" s="660"/>
      <c r="G272" s="660"/>
      <c r="H272" s="660"/>
      <c r="I272" s="660"/>
      <c r="J272" s="660"/>
      <c r="K272" s="660"/>
      <c r="L272" s="660"/>
      <c r="M272" s="660"/>
      <c r="N272" s="660"/>
      <c r="O272" s="660"/>
      <c r="P272" s="660"/>
      <c r="Q272" s="660"/>
      <c r="R272" s="660"/>
      <c r="S272" s="660"/>
      <c r="T272" s="660"/>
      <c r="U272" s="660"/>
      <c r="V272" s="660"/>
      <c r="W272" s="660"/>
    </row>
    <row r="273" spans="1:23" s="571" customFormat="1" ht="15" customHeight="1">
      <c r="A273" s="659"/>
      <c r="B273" s="165" t="s">
        <v>1333</v>
      </c>
      <c r="D273" s="660"/>
      <c r="E273" s="660"/>
      <c r="F273" s="660"/>
      <c r="G273" s="660"/>
      <c r="H273" s="660"/>
      <c r="I273" s="660"/>
      <c r="J273" s="660"/>
      <c r="K273" s="660"/>
      <c r="L273" s="660"/>
      <c r="M273" s="660"/>
      <c r="N273" s="660"/>
      <c r="O273" s="660"/>
      <c r="P273" s="660"/>
      <c r="Q273" s="660"/>
      <c r="R273" s="660"/>
      <c r="S273" s="660"/>
      <c r="T273" s="660"/>
      <c r="U273" s="660"/>
      <c r="V273" s="660"/>
      <c r="W273" s="660"/>
    </row>
    <row r="274" spans="1:23" s="571" customFormat="1" ht="15" customHeight="1">
      <c r="A274" s="659"/>
      <c r="B274" s="165" t="s">
        <v>1334</v>
      </c>
      <c r="D274" s="660"/>
      <c r="E274" s="660"/>
      <c r="F274" s="660"/>
      <c r="G274" s="660"/>
      <c r="H274" s="660"/>
      <c r="I274" s="660"/>
      <c r="J274" s="660"/>
      <c r="K274" s="660"/>
      <c r="L274" s="660"/>
      <c r="M274" s="660"/>
      <c r="N274" s="660"/>
      <c r="O274" s="660"/>
      <c r="P274" s="660"/>
      <c r="Q274" s="660"/>
      <c r="R274" s="660"/>
      <c r="S274" s="660"/>
      <c r="T274" s="660"/>
      <c r="U274" s="660"/>
      <c r="V274" s="660"/>
      <c r="W274" s="660"/>
    </row>
    <row r="275" spans="1:23" s="571" customFormat="1" ht="15" customHeight="1">
      <c r="A275" s="659"/>
      <c r="B275" s="827" t="s">
        <v>1335</v>
      </c>
      <c r="D275" s="660"/>
      <c r="E275" s="660"/>
      <c r="F275" s="660"/>
      <c r="G275" s="660"/>
      <c r="H275" s="660"/>
      <c r="I275" s="660"/>
      <c r="J275" s="660"/>
      <c r="K275" s="660"/>
      <c r="L275" s="660"/>
      <c r="M275" s="660"/>
      <c r="N275" s="660"/>
      <c r="O275" s="660"/>
      <c r="P275" s="660"/>
      <c r="Q275" s="660"/>
      <c r="R275" s="660"/>
      <c r="S275" s="660"/>
      <c r="T275" s="660"/>
      <c r="U275" s="660"/>
      <c r="V275" s="660"/>
      <c r="W275" s="660"/>
    </row>
    <row r="276" spans="1:23" s="571" customFormat="1" ht="15" customHeight="1">
      <c r="A276" s="659"/>
      <c r="B276" s="827" t="s">
        <v>1336</v>
      </c>
      <c r="D276" s="660"/>
      <c r="E276" s="660"/>
      <c r="F276" s="660"/>
      <c r="G276" s="660"/>
      <c r="H276" s="660"/>
      <c r="I276" s="660"/>
      <c r="J276" s="660"/>
      <c r="K276" s="660"/>
      <c r="L276" s="660"/>
      <c r="M276" s="660"/>
      <c r="N276" s="660"/>
      <c r="O276" s="660"/>
      <c r="P276" s="660"/>
      <c r="Q276" s="660"/>
      <c r="R276" s="660"/>
      <c r="S276" s="660"/>
      <c r="T276" s="660"/>
      <c r="U276" s="660"/>
      <c r="V276" s="660"/>
      <c r="W276" s="660"/>
    </row>
    <row r="277" spans="1:23" s="571" customFormat="1" ht="15" customHeight="1">
      <c r="A277" s="659"/>
      <c r="B277" s="827" t="str">
        <f>"  計算分期定期保險金之指定保險金如低於"&amp;IF(PY!$D$29="新臺幣","新臺幣(下同)","")&amp;PY!$B$43&amp;"本公司將"</f>
        <v xml:space="preserve">  計算分期定期保險金之指定保險金如低於新臺幣(下同)二十萬元或每年給付之分期定期保險金低於二萬元者，本公司將</v>
      </c>
      <c r="D277" s="660"/>
      <c r="E277" s="660"/>
      <c r="F277" s="660"/>
      <c r="G277" s="660"/>
      <c r="H277" s="660"/>
      <c r="I277" s="660"/>
      <c r="J277" s="660"/>
      <c r="K277" s="660"/>
      <c r="L277" s="660"/>
      <c r="M277" s="660"/>
      <c r="N277" s="660"/>
      <c r="O277" s="660"/>
      <c r="P277" s="660"/>
      <c r="Q277" s="660"/>
      <c r="R277" s="660"/>
      <c r="S277" s="660"/>
      <c r="T277" s="660"/>
      <c r="U277" s="660"/>
      <c r="V277" s="660"/>
      <c r="W277" s="660"/>
    </row>
    <row r="278" spans="1:23" s="571" customFormat="1" ht="15" customHeight="1">
      <c r="A278" s="659"/>
      <c r="B278" s="827" t="s">
        <v>1337</v>
      </c>
      <c r="D278" s="660"/>
      <c r="E278" s="660"/>
      <c r="F278" s="660"/>
      <c r="G278" s="660"/>
      <c r="H278" s="660"/>
      <c r="I278" s="660"/>
      <c r="J278" s="660"/>
      <c r="K278" s="660"/>
      <c r="L278" s="660"/>
      <c r="M278" s="660"/>
      <c r="N278" s="660"/>
      <c r="O278" s="660"/>
      <c r="P278" s="660"/>
      <c r="Q278" s="660"/>
      <c r="R278" s="660"/>
      <c r="S278" s="660"/>
      <c r="T278" s="660"/>
      <c r="U278" s="660"/>
      <c r="V278" s="660"/>
      <c r="W278" s="660"/>
    </row>
    <row r="279" spans="1:23" s="571" customFormat="1" ht="15" customHeight="1">
      <c r="A279" s="659"/>
      <c r="B279" s="827" t="s">
        <v>1338</v>
      </c>
      <c r="D279" s="660"/>
      <c r="E279" s="660"/>
      <c r="F279" s="660"/>
      <c r="G279" s="660"/>
      <c r="H279" s="660"/>
      <c r="I279" s="660"/>
      <c r="J279" s="660"/>
      <c r="K279" s="660"/>
      <c r="L279" s="660"/>
      <c r="M279" s="660"/>
      <c r="N279" s="660"/>
      <c r="O279" s="660"/>
      <c r="P279" s="660"/>
      <c r="Q279" s="660"/>
      <c r="R279" s="660"/>
      <c r="S279" s="660"/>
      <c r="T279" s="660"/>
      <c r="U279" s="660"/>
      <c r="V279" s="660"/>
      <c r="W279" s="660"/>
    </row>
    <row r="280" spans="1:23" s="571" customFormat="1" ht="15" customHeight="1">
      <c r="A280" s="659"/>
      <c r="B280" s="165" t="s">
        <v>1305</v>
      </c>
      <c r="D280" s="660"/>
      <c r="E280" s="660"/>
      <c r="F280" s="660"/>
      <c r="G280" s="660"/>
      <c r="H280" s="660"/>
      <c r="I280" s="660"/>
      <c r="J280" s="660"/>
      <c r="K280" s="660"/>
      <c r="L280" s="660"/>
      <c r="M280" s="660"/>
      <c r="N280" s="660"/>
      <c r="O280" s="660"/>
      <c r="P280" s="660"/>
      <c r="Q280" s="660"/>
      <c r="R280" s="660"/>
      <c r="S280" s="660"/>
      <c r="T280" s="660"/>
      <c r="U280" s="660"/>
      <c r="V280" s="660"/>
      <c r="W280" s="660"/>
    </row>
    <row r="281" spans="1:23" s="571" customFormat="1" ht="15" customHeight="1">
      <c r="A281" s="659"/>
      <c r="B281" s="165" t="s">
        <v>1306</v>
      </c>
      <c r="D281" s="660"/>
      <c r="E281" s="660"/>
      <c r="F281" s="660"/>
      <c r="G281" s="660"/>
      <c r="H281" s="660"/>
      <c r="I281" s="660"/>
      <c r="J281" s="660"/>
      <c r="K281" s="660"/>
      <c r="L281" s="660"/>
      <c r="M281" s="660"/>
      <c r="N281" s="660"/>
      <c r="O281" s="660"/>
      <c r="P281" s="660"/>
      <c r="Q281" s="660"/>
      <c r="R281" s="660"/>
      <c r="S281" s="660"/>
      <c r="T281" s="660"/>
      <c r="U281" s="660"/>
      <c r="V281" s="660"/>
      <c r="W281" s="660"/>
    </row>
    <row r="282" spans="1:23" s="571" customFormat="1" ht="15" customHeight="1">
      <c r="A282" s="659"/>
      <c r="B282" s="165"/>
      <c r="D282" s="660"/>
      <c r="E282" s="660"/>
      <c r="F282" s="660"/>
      <c r="G282" s="660"/>
      <c r="H282" s="660"/>
      <c r="I282" s="660"/>
      <c r="J282" s="660"/>
      <c r="K282" s="660"/>
      <c r="L282" s="660"/>
      <c r="M282" s="660"/>
      <c r="N282" s="660"/>
      <c r="O282" s="660"/>
      <c r="P282" s="660"/>
      <c r="Q282" s="660"/>
      <c r="R282" s="660"/>
      <c r="S282" s="660"/>
      <c r="T282" s="660"/>
      <c r="U282" s="660"/>
      <c r="V282" s="660"/>
      <c r="W282" s="660"/>
    </row>
    <row r="283" spans="1:23" s="571" customFormat="1" ht="15" customHeight="1">
      <c r="A283" s="659"/>
      <c r="B283" s="165"/>
      <c r="D283" s="660"/>
      <c r="E283" s="660"/>
      <c r="F283" s="660"/>
      <c r="G283" s="660"/>
      <c r="H283" s="660"/>
      <c r="I283" s="660"/>
      <c r="J283" s="660"/>
      <c r="K283" s="660"/>
      <c r="L283" s="660"/>
      <c r="M283" s="660"/>
      <c r="N283" s="660"/>
      <c r="O283" s="660"/>
      <c r="P283" s="660"/>
      <c r="Q283" s="660"/>
      <c r="R283" s="660"/>
      <c r="S283" s="660"/>
      <c r="T283" s="660"/>
      <c r="U283" s="660"/>
      <c r="V283" s="660"/>
      <c r="W283" s="660"/>
    </row>
    <row r="284" spans="1:23" s="571" customFormat="1" ht="15" customHeight="1">
      <c r="A284" s="659"/>
      <c r="B284" s="165"/>
      <c r="D284" s="660"/>
      <c r="E284" s="660"/>
      <c r="F284" s="660"/>
      <c r="G284" s="660"/>
      <c r="H284" s="660"/>
      <c r="I284" s="660"/>
      <c r="J284" s="660"/>
      <c r="K284" s="660"/>
      <c r="L284" s="660"/>
      <c r="M284" s="660"/>
      <c r="N284" s="660"/>
      <c r="O284" s="660"/>
      <c r="P284" s="660"/>
      <c r="Q284" s="660"/>
      <c r="R284" s="660"/>
      <c r="S284" s="660"/>
      <c r="T284" s="660"/>
      <c r="U284" s="660"/>
      <c r="V284" s="660"/>
      <c r="W284" s="660"/>
    </row>
    <row r="285" spans="1:23" s="571" customFormat="1" ht="15" customHeight="1">
      <c r="A285" s="659"/>
      <c r="B285" s="165"/>
      <c r="D285" s="660"/>
      <c r="E285" s="660"/>
      <c r="F285" s="660"/>
      <c r="G285" s="660"/>
      <c r="H285" s="660"/>
      <c r="I285" s="660"/>
      <c r="J285" s="660"/>
      <c r="K285" s="660"/>
      <c r="L285" s="660"/>
      <c r="M285" s="660"/>
      <c r="N285" s="660"/>
      <c r="O285" s="660"/>
      <c r="P285" s="660"/>
      <c r="Q285" s="660"/>
      <c r="R285" s="660"/>
      <c r="S285" s="660"/>
      <c r="T285" s="660"/>
      <c r="U285" s="660"/>
      <c r="V285" s="660"/>
      <c r="W285" s="660"/>
    </row>
    <row r="286" spans="1:23" s="571" customFormat="1" ht="15" customHeight="1">
      <c r="A286" s="659"/>
      <c r="B286" s="165"/>
      <c r="D286" s="660"/>
      <c r="E286" s="660"/>
      <c r="F286" s="660"/>
      <c r="G286" s="660"/>
      <c r="H286" s="660"/>
      <c r="I286" s="660"/>
      <c r="J286" s="660"/>
      <c r="K286" s="660"/>
      <c r="L286" s="660"/>
      <c r="M286" s="660"/>
      <c r="N286" s="660"/>
      <c r="O286" s="660"/>
      <c r="P286" s="660"/>
      <c r="Q286" s="660"/>
      <c r="R286" s="660"/>
      <c r="S286" s="660"/>
      <c r="T286" s="660"/>
      <c r="U286" s="660"/>
      <c r="V286" s="660"/>
      <c r="W286" s="660"/>
    </row>
    <row r="287" spans="1:23" s="571" customFormat="1" ht="15" customHeight="1">
      <c r="A287" s="659"/>
      <c r="B287" s="165"/>
      <c r="D287" s="660"/>
      <c r="E287" s="660"/>
      <c r="F287" s="660"/>
      <c r="G287" s="660"/>
      <c r="H287" s="660"/>
      <c r="I287" s="660"/>
      <c r="J287" s="660"/>
      <c r="K287" s="660"/>
      <c r="L287" s="660"/>
      <c r="M287" s="660"/>
      <c r="N287" s="660"/>
      <c r="O287" s="660"/>
      <c r="P287" s="660"/>
      <c r="Q287" s="660"/>
      <c r="R287" s="660"/>
      <c r="S287" s="660"/>
      <c r="T287" s="660"/>
      <c r="U287" s="660"/>
      <c r="V287" s="660"/>
      <c r="W287" s="660"/>
    </row>
    <row r="288" spans="1:23" s="571" customFormat="1" ht="15" customHeight="1">
      <c r="A288" s="659"/>
      <c r="B288" s="165"/>
      <c r="D288" s="660"/>
      <c r="E288" s="660"/>
      <c r="F288" s="660"/>
      <c r="G288" s="660"/>
      <c r="H288" s="660"/>
      <c r="I288" s="660"/>
      <c r="J288" s="660"/>
      <c r="K288" s="660"/>
      <c r="L288" s="660"/>
      <c r="M288" s="660"/>
      <c r="N288" s="660"/>
      <c r="O288" s="660"/>
      <c r="P288" s="660"/>
      <c r="Q288" s="660"/>
      <c r="R288" s="660"/>
      <c r="S288" s="660"/>
      <c r="T288" s="660"/>
      <c r="U288" s="660"/>
      <c r="V288" s="660"/>
      <c r="W288" s="660"/>
    </row>
    <row r="289" spans="1:23" s="571" customFormat="1" ht="15" customHeight="1">
      <c r="A289" s="659"/>
      <c r="B289" s="165"/>
      <c r="D289" s="660"/>
      <c r="E289" s="660"/>
      <c r="F289" s="660"/>
      <c r="G289" s="660"/>
      <c r="H289" s="660"/>
      <c r="I289" s="660"/>
      <c r="J289" s="660"/>
      <c r="K289" s="660"/>
      <c r="L289" s="660"/>
      <c r="M289" s="660"/>
      <c r="N289" s="660"/>
      <c r="O289" s="660"/>
      <c r="P289" s="660"/>
      <c r="Q289" s="660"/>
      <c r="R289" s="660"/>
      <c r="S289" s="660"/>
      <c r="T289" s="660"/>
      <c r="U289" s="660"/>
      <c r="V289" s="660"/>
      <c r="W289" s="660"/>
    </row>
    <row r="290" spans="1:23" s="571" customFormat="1" ht="15" customHeight="1">
      <c r="A290" s="659"/>
      <c r="B290" s="1186" t="s">
        <v>1289</v>
      </c>
      <c r="C290" s="1186"/>
      <c r="D290" s="1186"/>
      <c r="E290" s="1186"/>
      <c r="F290" s="1186"/>
      <c r="G290" s="1186"/>
      <c r="H290" s="1186"/>
      <c r="I290" s="1186"/>
      <c r="J290" s="1186"/>
      <c r="K290" s="1186"/>
      <c r="L290" s="1186"/>
      <c r="M290" s="1186"/>
      <c r="N290" s="1186"/>
      <c r="O290" s="1186"/>
      <c r="P290" s="1186"/>
      <c r="Q290" s="1186"/>
      <c r="R290" s="1186"/>
      <c r="S290" s="1186"/>
      <c r="T290" s="1186"/>
      <c r="U290" s="1186"/>
      <c r="V290" s="1186"/>
      <c r="W290" s="1186"/>
    </row>
    <row r="291" spans="1:23" s="571" customFormat="1" ht="15" customHeight="1">
      <c r="A291" s="659"/>
      <c r="B291" s="810"/>
      <c r="C291" s="811"/>
      <c r="D291" s="811"/>
      <c r="E291" s="1187"/>
      <c r="F291" s="1188"/>
      <c r="G291" s="1188"/>
      <c r="H291" s="1188"/>
      <c r="I291" s="1188"/>
      <c r="J291" s="1188"/>
      <c r="K291" s="1188"/>
      <c r="L291" s="1188"/>
      <c r="M291" s="1188"/>
      <c r="N291" s="1188"/>
      <c r="O291" s="1188"/>
      <c r="P291" s="1188"/>
      <c r="Q291" s="764"/>
      <c r="R291" s="764"/>
      <c r="S291" s="1189" t="str">
        <f ca="1">OP!$C$54&amp;" 試算日："&amp;TEXT(OP!$C$3,"EEMMDD")</f>
        <v>V1.0-1060217 試算日：1060602</v>
      </c>
      <c r="T291" s="1189"/>
      <c r="U291" s="1189"/>
      <c r="V291" s="1189"/>
      <c r="W291" s="1189"/>
    </row>
    <row r="292" spans="1:23" s="571" customFormat="1" ht="15" customHeight="1">
      <c r="A292" s="659"/>
      <c r="B292" s="165"/>
      <c r="D292" s="660"/>
      <c r="E292" s="660"/>
      <c r="F292" s="660"/>
      <c r="G292" s="660"/>
      <c r="H292" s="660"/>
      <c r="I292" s="660"/>
      <c r="J292" s="660"/>
      <c r="K292" s="660"/>
      <c r="L292" s="660"/>
      <c r="M292" s="660"/>
      <c r="N292" s="660"/>
      <c r="O292" s="660"/>
      <c r="P292" s="660"/>
      <c r="Q292" s="660"/>
      <c r="R292" s="660"/>
      <c r="S292" s="660"/>
      <c r="T292" s="660"/>
      <c r="U292" s="660"/>
      <c r="V292" s="660"/>
      <c r="W292" s="660"/>
    </row>
    <row r="293" spans="1:23" s="571" customFormat="1" ht="15" customHeight="1">
      <c r="A293" s="659">
        <v>18</v>
      </c>
      <c r="B293" s="661" t="s">
        <v>1093</v>
      </c>
      <c r="C293" s="662"/>
      <c r="D293" s="600"/>
      <c r="E293" s="663"/>
      <c r="F293" s="663"/>
      <c r="G293" s="663"/>
      <c r="H293" s="663"/>
      <c r="I293" s="663"/>
      <c r="J293" s="663"/>
      <c r="K293" s="663"/>
      <c r="L293" s="663"/>
      <c r="M293" s="663"/>
      <c r="N293" s="663"/>
      <c r="O293" s="663"/>
      <c r="P293" s="663"/>
      <c r="Q293" s="663"/>
      <c r="R293" s="663"/>
      <c r="S293" s="663"/>
      <c r="T293" s="663"/>
      <c r="U293" s="663"/>
      <c r="V293" s="663"/>
      <c r="W293" s="664" t="str">
        <f>"繳費期間： "&amp;IF(OP!C24=1,"躉繳",IF(OP!$C$24&lt;&gt;1,OP!$C$24&amp;" 年期",""))</f>
        <v>繳費期間： 6 年期</v>
      </c>
    </row>
    <row r="294" spans="1:23" s="571" customFormat="1" ht="15" customHeight="1">
      <c r="A294" s="659">
        <v>19</v>
      </c>
      <c r="B294" s="665"/>
      <c r="C294" s="662" t="s">
        <v>80</v>
      </c>
      <c r="D294" s="600"/>
      <c r="E294" s="663"/>
      <c r="F294" s="663"/>
      <c r="G294" s="663"/>
      <c r="H294" s="663"/>
      <c r="I294" s="663"/>
      <c r="J294" s="663"/>
      <c r="K294" s="663"/>
      <c r="L294" s="663"/>
      <c r="M294" s="663"/>
      <c r="N294" s="663"/>
      <c r="O294" s="663"/>
      <c r="P294" s="663"/>
      <c r="Q294" s="663"/>
      <c r="R294" s="663"/>
      <c r="S294" s="663"/>
      <c r="T294" s="663"/>
      <c r="U294" s="663"/>
      <c r="V294" s="663"/>
    </row>
    <row r="295" spans="1:23" s="571" customFormat="1" ht="15" customHeight="1">
      <c r="A295" s="659">
        <v>20</v>
      </c>
      <c r="B295" s="665"/>
      <c r="C295" s="662" t="s">
        <v>75</v>
      </c>
      <c r="D295" s="600"/>
      <c r="E295" s="663"/>
      <c r="F295" s="663"/>
      <c r="G295" s="663"/>
      <c r="H295" s="663"/>
      <c r="I295" s="663"/>
      <c r="J295" s="663"/>
      <c r="K295" s="663"/>
      <c r="L295" s="663"/>
      <c r="M295" s="663"/>
      <c r="N295" s="663"/>
      <c r="O295" s="663"/>
      <c r="P295" s="663"/>
      <c r="Q295" s="663"/>
      <c r="R295" s="663"/>
      <c r="S295" s="663"/>
      <c r="T295" s="663"/>
      <c r="U295" s="663"/>
      <c r="V295" s="663"/>
      <c r="W295" s="663"/>
    </row>
    <row r="296" spans="1:23" s="571" customFormat="1" ht="15" customHeight="1">
      <c r="A296" s="659"/>
      <c r="B296" s="666"/>
      <c r="L296" s="667"/>
      <c r="M296" s="667"/>
      <c r="N296" s="667"/>
      <c r="O296" s="667"/>
      <c r="P296" s="667"/>
      <c r="Q296" s="667"/>
      <c r="R296" s="667"/>
      <c r="S296" s="667"/>
      <c r="T296" s="667"/>
      <c r="U296" s="667"/>
      <c r="V296" s="667"/>
      <c r="W296" s="667"/>
    </row>
    <row r="297" spans="1:23" s="601" customFormat="1" ht="15" customHeight="1">
      <c r="A297" s="668"/>
      <c r="D297" s="1144" t="str">
        <f>揭露!C6</f>
        <v>保單年度</v>
      </c>
      <c r="E297" s="1144"/>
      <c r="F297" s="1144"/>
      <c r="G297" s="1144"/>
      <c r="H297" s="1138" t="str">
        <f>揭露!D6</f>
        <v>5歲男性</v>
      </c>
      <c r="I297" s="1138"/>
      <c r="J297" s="1138" t="str">
        <f>揭露!E6</f>
        <v>35歲男性</v>
      </c>
      <c r="K297" s="1138"/>
      <c r="L297" s="1138" t="str">
        <f>揭露!F6</f>
        <v>65歲男性</v>
      </c>
      <c r="M297" s="1138"/>
      <c r="N297" s="1138" t="str">
        <f>揭露!G6</f>
        <v>5歲女性</v>
      </c>
      <c r="O297" s="1138"/>
      <c r="P297" s="1138" t="str">
        <f>揭露!H6</f>
        <v>35歲女性</v>
      </c>
      <c r="Q297" s="1138"/>
      <c r="R297" s="1138" t="str">
        <f>揭露!I6</f>
        <v>65歲女性</v>
      </c>
      <c r="S297" s="1138"/>
    </row>
    <row r="298" spans="1:23" s="601" customFormat="1" ht="15" customHeight="1">
      <c r="A298" s="668"/>
      <c r="D298" s="1144">
        <f>揭露!C7</f>
        <v>5</v>
      </c>
      <c r="E298" s="1144"/>
      <c r="F298" s="1144"/>
      <c r="G298" s="1144"/>
      <c r="H298" s="1138" t="str">
        <f>揭露!D7</f>
        <v>89.30%</v>
      </c>
      <c r="I298" s="1138"/>
      <c r="J298" s="1138" t="str">
        <f>揭露!E7</f>
        <v>89.23%</v>
      </c>
      <c r="K298" s="1138"/>
      <c r="L298" s="1138" t="str">
        <f>揭露!F7</f>
        <v>88.20%</v>
      </c>
      <c r="M298" s="1138"/>
      <c r="N298" s="1138" t="str">
        <f>揭露!G7</f>
        <v>89.29%</v>
      </c>
      <c r="O298" s="1138"/>
      <c r="P298" s="1138" t="str">
        <f>揭露!H7</f>
        <v>89.27%</v>
      </c>
      <c r="Q298" s="1138"/>
      <c r="R298" s="1138" t="str">
        <f>揭露!I7</f>
        <v>88.60%</v>
      </c>
      <c r="S298" s="1138"/>
    </row>
    <row r="299" spans="1:23" s="601" customFormat="1" ht="15" customHeight="1">
      <c r="A299" s="668"/>
      <c r="D299" s="1144">
        <f>揭露!C8</f>
        <v>10</v>
      </c>
      <c r="E299" s="1144"/>
      <c r="F299" s="1144"/>
      <c r="G299" s="1144"/>
      <c r="H299" s="1138" t="str">
        <f>揭露!D8</f>
        <v>98.92%</v>
      </c>
      <c r="I299" s="1138"/>
      <c r="J299" s="1138" t="str">
        <f>揭露!E8</f>
        <v>98.84%</v>
      </c>
      <c r="K299" s="1138"/>
      <c r="L299" s="1138" t="str">
        <f>揭露!F8</f>
        <v>97.49%</v>
      </c>
      <c r="M299" s="1138"/>
      <c r="N299" s="1138" t="str">
        <f>揭露!G8</f>
        <v>98.92%</v>
      </c>
      <c r="O299" s="1138"/>
      <c r="P299" s="1138" t="str">
        <f>揭露!H8</f>
        <v>98.89%</v>
      </c>
      <c r="Q299" s="1138"/>
      <c r="R299" s="1138" t="str">
        <f>揭露!I8</f>
        <v>98.08%</v>
      </c>
      <c r="S299" s="1138"/>
    </row>
    <row r="300" spans="1:23" s="601" customFormat="1" ht="15" customHeight="1">
      <c r="A300" s="668"/>
      <c r="D300" s="1144">
        <f>揭露!C9</f>
        <v>15</v>
      </c>
      <c r="E300" s="1144"/>
      <c r="F300" s="1144"/>
      <c r="G300" s="1144"/>
      <c r="H300" s="1138" t="str">
        <f>揭露!D9</f>
        <v>103.10%</v>
      </c>
      <c r="I300" s="1138"/>
      <c r="J300" s="1138" t="str">
        <f>揭露!E9</f>
        <v>103.02%</v>
      </c>
      <c r="K300" s="1138"/>
      <c r="L300" s="1138" t="str">
        <f>揭露!F9</f>
        <v>101.61%</v>
      </c>
      <c r="M300" s="1138"/>
      <c r="N300" s="1138" t="str">
        <f>揭露!G9</f>
        <v>103.10%</v>
      </c>
      <c r="O300" s="1138"/>
      <c r="P300" s="1138" t="str">
        <f>揭露!H9</f>
        <v>103.07%</v>
      </c>
      <c r="Q300" s="1138"/>
      <c r="R300" s="1138" t="str">
        <f>揭露!I9</f>
        <v>102.22%</v>
      </c>
      <c r="S300" s="1138"/>
    </row>
    <row r="301" spans="1:23" s="601" customFormat="1" ht="15" customHeight="1">
      <c r="A301" s="668"/>
      <c r="D301" s="1144">
        <f>揭露!C10</f>
        <v>20</v>
      </c>
      <c r="E301" s="1144"/>
      <c r="F301" s="1144"/>
      <c r="G301" s="1144"/>
      <c r="H301" s="1138" t="str">
        <f>揭露!D10</f>
        <v>107.45%</v>
      </c>
      <c r="I301" s="1138"/>
      <c r="J301" s="1138" t="str">
        <f>揭露!E10</f>
        <v>107.36%</v>
      </c>
      <c r="K301" s="1138"/>
      <c r="L301" s="1138" t="str">
        <f>揭露!F10</f>
        <v>105.90%</v>
      </c>
      <c r="M301" s="1138"/>
      <c r="N301" s="1138" t="str">
        <f>揭露!G10</f>
        <v>107.45%</v>
      </c>
      <c r="O301" s="1138"/>
      <c r="P301" s="1138" t="str">
        <f>揭露!H10</f>
        <v>107.41%</v>
      </c>
      <c r="Q301" s="1138"/>
      <c r="R301" s="1138" t="str">
        <f>揭露!I10</f>
        <v>106.53%</v>
      </c>
      <c r="S301" s="1138"/>
      <c r="T301" s="669"/>
      <c r="U301" s="669"/>
      <c r="V301" s="669"/>
      <c r="W301" s="669"/>
    </row>
    <row r="302" spans="1:23" s="673" customFormat="1" ht="15" customHeight="1">
      <c r="A302" s="670"/>
      <c r="B302" s="671"/>
      <c r="C302" s="672" t="str">
        <f>"依據上表顯示「"&amp;PDN1_&amp;"」於早期解約對保戶是不利的。"</f>
        <v>依據上表顯示「富邦人壽好吉利利率變動型增額終身壽險」於早期解約對保戶是不利的。</v>
      </c>
      <c r="E302" s="674"/>
      <c r="F302" s="674"/>
      <c r="G302" s="674"/>
      <c r="H302" s="675"/>
      <c r="I302" s="675"/>
      <c r="J302" s="675"/>
      <c r="K302" s="675"/>
      <c r="L302" s="675"/>
      <c r="M302" s="675"/>
      <c r="N302" s="675"/>
      <c r="O302" s="675"/>
      <c r="P302" s="675"/>
      <c r="Q302" s="675"/>
      <c r="R302" s="675"/>
      <c r="S302" s="675"/>
      <c r="T302" s="676"/>
      <c r="U302" s="676"/>
      <c r="V302" s="676"/>
      <c r="W302" s="676"/>
    </row>
    <row r="303" spans="1:23" s="673" customFormat="1" ht="15" customHeight="1">
      <c r="A303" s="670"/>
      <c r="B303" s="671"/>
      <c r="C303" s="672"/>
      <c r="E303" s="674"/>
      <c r="F303" s="674"/>
      <c r="G303" s="674"/>
      <c r="H303" s="675"/>
      <c r="I303" s="675"/>
      <c r="J303" s="675"/>
      <c r="K303" s="675"/>
      <c r="L303" s="675"/>
      <c r="M303" s="675"/>
      <c r="N303" s="675"/>
      <c r="O303" s="675"/>
      <c r="P303" s="675"/>
      <c r="Q303" s="675"/>
      <c r="R303" s="675"/>
      <c r="S303" s="675"/>
      <c r="T303" s="676"/>
      <c r="U303" s="676"/>
      <c r="V303" s="676"/>
      <c r="W303" s="676"/>
    </row>
    <row r="304" spans="1:23" s="673" customFormat="1" ht="15" customHeight="1">
      <c r="A304" s="670"/>
      <c r="B304" s="671"/>
      <c r="C304" s="672"/>
      <c r="E304" s="674"/>
      <c r="F304" s="674"/>
      <c r="G304" s="674"/>
      <c r="H304" s="675"/>
      <c r="I304" s="675"/>
      <c r="J304" s="675"/>
      <c r="K304" s="675"/>
      <c r="L304" s="675"/>
      <c r="M304" s="675"/>
      <c r="N304" s="675"/>
      <c r="O304" s="675"/>
      <c r="P304" s="675"/>
      <c r="Q304" s="675"/>
      <c r="R304" s="675"/>
      <c r="S304" s="675"/>
      <c r="T304" s="676"/>
      <c r="U304" s="676"/>
      <c r="V304" s="676"/>
      <c r="W304" s="676"/>
    </row>
    <row r="305" spans="1:23" s="673" customFormat="1" ht="15" customHeight="1">
      <c r="A305" s="670"/>
      <c r="B305" s="671"/>
      <c r="C305" s="672"/>
      <c r="E305" s="674"/>
      <c r="F305" s="674"/>
      <c r="G305" s="674"/>
      <c r="H305" s="675"/>
      <c r="I305" s="675"/>
      <c r="J305" s="675"/>
      <c r="K305" s="675"/>
      <c r="L305" s="675"/>
      <c r="M305" s="675"/>
      <c r="N305" s="675"/>
      <c r="O305" s="675"/>
      <c r="P305" s="675"/>
      <c r="Q305" s="675"/>
      <c r="R305" s="675"/>
      <c r="S305" s="675"/>
      <c r="T305" s="676"/>
      <c r="U305" s="676"/>
      <c r="V305" s="676"/>
      <c r="W305" s="676"/>
    </row>
    <row r="306" spans="1:23" s="673" customFormat="1" ht="15" customHeight="1">
      <c r="A306" s="670"/>
      <c r="B306" s="671"/>
      <c r="C306" s="672"/>
      <c r="E306" s="674"/>
      <c r="F306" s="674"/>
      <c r="G306" s="674"/>
      <c r="H306" s="675"/>
      <c r="I306" s="675"/>
      <c r="J306" s="675"/>
      <c r="K306" s="675"/>
      <c r="L306" s="675"/>
      <c r="M306" s="675"/>
      <c r="N306" s="675"/>
      <c r="O306" s="675"/>
      <c r="P306" s="675"/>
      <c r="Q306" s="675"/>
      <c r="R306" s="675"/>
      <c r="S306" s="675"/>
      <c r="T306" s="676"/>
      <c r="U306" s="676"/>
      <c r="V306" s="676"/>
      <c r="W306" s="676"/>
    </row>
    <row r="307" spans="1:23" s="673" customFormat="1" ht="15" customHeight="1">
      <c r="A307" s="670"/>
      <c r="B307" s="671"/>
      <c r="C307" s="672"/>
      <c r="E307" s="674"/>
      <c r="F307" s="674"/>
      <c r="G307" s="674"/>
      <c r="H307" s="675"/>
      <c r="I307" s="675"/>
      <c r="J307" s="675"/>
      <c r="K307" s="675"/>
      <c r="L307" s="675"/>
      <c r="M307" s="675"/>
      <c r="N307" s="675"/>
      <c r="O307" s="675"/>
      <c r="P307" s="675"/>
      <c r="Q307" s="675"/>
      <c r="R307" s="675"/>
      <c r="S307" s="675"/>
      <c r="T307" s="676"/>
      <c r="U307" s="676"/>
      <c r="V307" s="676"/>
      <c r="W307" s="676"/>
    </row>
    <row r="308" spans="1:23" s="673" customFormat="1" ht="15" customHeight="1">
      <c r="A308" s="670"/>
      <c r="B308" s="671"/>
      <c r="C308" s="672"/>
      <c r="E308" s="674"/>
      <c r="F308" s="674"/>
      <c r="G308" s="674"/>
      <c r="H308" s="675"/>
      <c r="I308" s="675"/>
      <c r="J308" s="675"/>
      <c r="K308" s="675"/>
      <c r="L308" s="675"/>
      <c r="M308" s="675"/>
      <c r="N308" s="675"/>
      <c r="O308" s="675"/>
      <c r="P308" s="675"/>
      <c r="Q308" s="675"/>
      <c r="R308" s="675"/>
      <c r="S308" s="675"/>
      <c r="T308" s="676"/>
      <c r="U308" s="676"/>
      <c r="V308" s="676"/>
      <c r="W308" s="676"/>
    </row>
    <row r="309" spans="1:23" s="673" customFormat="1" ht="15" customHeight="1">
      <c r="A309" s="670"/>
      <c r="B309" s="671"/>
      <c r="C309" s="672"/>
      <c r="E309" s="674"/>
      <c r="F309" s="674"/>
      <c r="G309" s="674"/>
      <c r="H309" s="675"/>
      <c r="I309" s="675"/>
      <c r="J309" s="675"/>
      <c r="K309" s="675"/>
      <c r="L309" s="675"/>
      <c r="M309" s="675"/>
      <c r="N309" s="675"/>
      <c r="O309" s="675"/>
      <c r="P309" s="675"/>
      <c r="Q309" s="675"/>
      <c r="R309" s="675"/>
      <c r="S309" s="675"/>
      <c r="T309" s="676"/>
      <c r="U309" s="676"/>
      <c r="V309" s="676"/>
      <c r="W309" s="676"/>
    </row>
    <row r="310" spans="1:23" s="673" customFormat="1" ht="15" customHeight="1">
      <c r="A310" s="670"/>
      <c r="B310" s="671"/>
      <c r="C310" s="672"/>
      <c r="E310" s="674"/>
      <c r="F310" s="674"/>
      <c r="G310" s="674"/>
      <c r="H310" s="675"/>
      <c r="I310" s="675"/>
      <c r="J310" s="675"/>
      <c r="K310" s="675"/>
      <c r="L310" s="675"/>
      <c r="M310" s="675"/>
      <c r="N310" s="675"/>
      <c r="O310" s="675"/>
      <c r="P310" s="675"/>
      <c r="Q310" s="675"/>
      <c r="R310" s="675"/>
      <c r="S310" s="675"/>
      <c r="T310" s="676"/>
      <c r="U310" s="676"/>
      <c r="V310" s="676"/>
      <c r="W310" s="676"/>
    </row>
    <row r="311" spans="1:23" s="673" customFormat="1" ht="15" customHeight="1">
      <c r="A311" s="670"/>
      <c r="B311" s="671"/>
      <c r="C311" s="672"/>
      <c r="E311" s="674"/>
      <c r="F311" s="674"/>
      <c r="G311" s="674"/>
      <c r="H311" s="675"/>
      <c r="I311" s="675"/>
      <c r="J311" s="675"/>
      <c r="K311" s="675"/>
      <c r="L311" s="675"/>
      <c r="M311" s="675"/>
      <c r="N311" s="675"/>
      <c r="O311" s="675"/>
      <c r="P311" s="675"/>
      <c r="Q311" s="675"/>
      <c r="R311" s="675"/>
      <c r="S311" s="675"/>
      <c r="T311" s="676"/>
      <c r="U311" s="676"/>
      <c r="V311" s="676"/>
      <c r="W311" s="676"/>
    </row>
    <row r="312" spans="1:23" s="673" customFormat="1" ht="15" customHeight="1">
      <c r="A312" s="670"/>
      <c r="B312" s="671"/>
      <c r="C312" s="672"/>
      <c r="E312" s="674"/>
      <c r="F312" s="674"/>
      <c r="G312" s="674"/>
      <c r="H312" s="675"/>
      <c r="I312" s="675"/>
      <c r="J312" s="675"/>
      <c r="K312" s="675"/>
      <c r="L312" s="675"/>
      <c r="M312" s="675"/>
      <c r="N312" s="675"/>
      <c r="O312" s="675"/>
      <c r="P312" s="675"/>
      <c r="Q312" s="675"/>
      <c r="R312" s="675"/>
      <c r="S312" s="675"/>
      <c r="T312" s="676"/>
      <c r="U312" s="676"/>
      <c r="V312" s="676"/>
      <c r="W312" s="676"/>
    </row>
    <row r="313" spans="1:23" s="673" customFormat="1" ht="15" customHeight="1">
      <c r="A313" s="670"/>
      <c r="B313" s="671"/>
      <c r="C313" s="672"/>
      <c r="E313" s="674"/>
      <c r="F313" s="674"/>
      <c r="G313" s="674"/>
      <c r="H313" s="675"/>
      <c r="I313" s="675"/>
      <c r="J313" s="675"/>
      <c r="K313" s="675"/>
      <c r="L313" s="675"/>
      <c r="M313" s="675"/>
      <c r="N313" s="675"/>
      <c r="O313" s="675"/>
      <c r="P313" s="675"/>
      <c r="Q313" s="675"/>
      <c r="R313" s="675"/>
      <c r="S313" s="675"/>
      <c r="T313" s="676"/>
      <c r="U313" s="676"/>
      <c r="V313" s="676"/>
      <c r="W313" s="676"/>
    </row>
    <row r="314" spans="1:23" s="673" customFormat="1" ht="15" customHeight="1">
      <c r="A314" s="670"/>
      <c r="B314" s="671"/>
      <c r="C314" s="672"/>
      <c r="E314" s="674"/>
      <c r="F314" s="674"/>
      <c r="G314" s="674"/>
      <c r="H314" s="675"/>
      <c r="I314" s="675"/>
      <c r="J314" s="675"/>
      <c r="K314" s="675"/>
      <c r="L314" s="675"/>
      <c r="M314" s="675"/>
      <c r="N314" s="675"/>
      <c r="O314" s="675"/>
      <c r="P314" s="675"/>
      <c r="Q314" s="675"/>
      <c r="R314" s="675"/>
      <c r="S314" s="675"/>
      <c r="T314" s="676"/>
      <c r="U314" s="676"/>
      <c r="V314" s="676"/>
      <c r="W314" s="676"/>
    </row>
    <row r="315" spans="1:23" s="673" customFormat="1" ht="15" customHeight="1">
      <c r="A315" s="670"/>
      <c r="B315" s="671"/>
      <c r="C315" s="672"/>
      <c r="E315" s="674"/>
      <c r="F315" s="674"/>
      <c r="G315" s="674"/>
      <c r="H315" s="675"/>
      <c r="I315" s="675"/>
      <c r="J315" s="675"/>
      <c r="K315" s="675"/>
      <c r="L315" s="675"/>
      <c r="M315" s="675"/>
      <c r="N315" s="675"/>
      <c r="O315" s="675"/>
      <c r="P315" s="675"/>
      <c r="Q315" s="675"/>
      <c r="R315" s="675"/>
      <c r="S315" s="675"/>
      <c r="T315" s="676"/>
      <c r="U315" s="676"/>
      <c r="V315" s="676"/>
      <c r="W315" s="676"/>
    </row>
    <row r="316" spans="1:23" s="673" customFormat="1" ht="15" customHeight="1">
      <c r="A316" s="670"/>
      <c r="B316" s="671"/>
      <c r="C316" s="672"/>
      <c r="E316" s="674"/>
      <c r="F316" s="674"/>
      <c r="G316" s="674"/>
      <c r="H316" s="675"/>
      <c r="I316" s="675"/>
      <c r="J316" s="675"/>
      <c r="K316" s="675"/>
      <c r="L316" s="675"/>
      <c r="M316" s="675"/>
      <c r="N316" s="675"/>
      <c r="O316" s="675"/>
      <c r="P316" s="675"/>
      <c r="Q316" s="675"/>
      <c r="R316" s="675"/>
      <c r="S316" s="675"/>
      <c r="T316" s="676"/>
      <c r="U316" s="676"/>
      <c r="V316" s="676"/>
      <c r="W316" s="676"/>
    </row>
    <row r="317" spans="1:23" s="673" customFormat="1" ht="15" customHeight="1">
      <c r="A317" s="670"/>
      <c r="B317" s="671"/>
      <c r="C317" s="672"/>
      <c r="E317" s="674"/>
      <c r="F317" s="674"/>
      <c r="G317" s="674"/>
      <c r="H317" s="675"/>
      <c r="I317" s="675"/>
      <c r="J317" s="675"/>
      <c r="K317" s="675"/>
      <c r="L317" s="675"/>
      <c r="M317" s="675"/>
      <c r="N317" s="675"/>
      <c r="O317" s="675"/>
      <c r="P317" s="675"/>
      <c r="Q317" s="675"/>
      <c r="R317" s="675"/>
      <c r="S317" s="675"/>
      <c r="T317" s="676"/>
      <c r="U317" s="676"/>
      <c r="V317" s="676"/>
      <c r="W317" s="676"/>
    </row>
    <row r="318" spans="1:23" s="673" customFormat="1" ht="15" customHeight="1">
      <c r="A318" s="670"/>
      <c r="B318" s="671"/>
      <c r="C318" s="672"/>
      <c r="E318" s="674"/>
      <c r="F318" s="674"/>
      <c r="G318" s="674"/>
      <c r="H318" s="675"/>
      <c r="I318" s="675"/>
      <c r="J318" s="675"/>
      <c r="K318" s="675"/>
      <c r="L318" s="675"/>
      <c r="M318" s="675"/>
      <c r="N318" s="675"/>
      <c r="O318" s="675"/>
      <c r="P318" s="675"/>
      <c r="Q318" s="675"/>
      <c r="R318" s="675"/>
      <c r="S318" s="675"/>
      <c r="T318" s="676"/>
      <c r="U318" s="676"/>
      <c r="V318" s="676"/>
      <c r="W318" s="676"/>
    </row>
    <row r="319" spans="1:23" s="673" customFormat="1" ht="15" customHeight="1">
      <c r="A319" s="670"/>
      <c r="B319" s="671"/>
      <c r="C319" s="672"/>
      <c r="E319" s="674"/>
      <c r="F319" s="674"/>
      <c r="G319" s="674"/>
      <c r="H319" s="675"/>
      <c r="I319" s="675"/>
      <c r="J319" s="675"/>
      <c r="K319" s="675"/>
      <c r="L319" s="675"/>
      <c r="M319" s="675"/>
      <c r="N319" s="675"/>
      <c r="O319" s="675"/>
      <c r="P319" s="675"/>
      <c r="Q319" s="675"/>
      <c r="R319" s="675"/>
      <c r="S319" s="675"/>
      <c r="T319" s="676"/>
      <c r="U319" s="676"/>
      <c r="V319" s="676"/>
      <c r="W319" s="676"/>
    </row>
    <row r="320" spans="1:23" s="673" customFormat="1" ht="15" customHeight="1">
      <c r="A320" s="670"/>
      <c r="B320" s="671"/>
      <c r="C320" s="672"/>
      <c r="E320" s="674"/>
      <c r="F320" s="674"/>
      <c r="G320" s="674"/>
      <c r="H320" s="675"/>
      <c r="I320" s="675"/>
      <c r="J320" s="675"/>
      <c r="K320" s="675"/>
      <c r="L320" s="675"/>
      <c r="M320" s="675"/>
      <c r="N320" s="675"/>
      <c r="O320" s="675"/>
      <c r="P320" s="675"/>
      <c r="Q320" s="675"/>
      <c r="R320" s="675"/>
      <c r="S320" s="675"/>
      <c r="T320" s="676"/>
      <c r="U320" s="676"/>
      <c r="V320" s="676"/>
      <c r="W320" s="676"/>
    </row>
    <row r="321" spans="1:23" s="673" customFormat="1" ht="15" customHeight="1">
      <c r="A321" s="670"/>
      <c r="B321" s="671"/>
      <c r="C321" s="672"/>
      <c r="E321" s="674"/>
      <c r="F321" s="674"/>
      <c r="G321" s="674"/>
      <c r="H321" s="675"/>
      <c r="I321" s="675"/>
      <c r="J321" s="675"/>
      <c r="K321" s="675"/>
      <c r="L321" s="675"/>
      <c r="M321" s="675"/>
      <c r="N321" s="675"/>
      <c r="O321" s="675"/>
      <c r="P321" s="675"/>
      <c r="Q321" s="675"/>
      <c r="R321" s="675"/>
      <c r="S321" s="675"/>
      <c r="T321" s="676"/>
      <c r="U321" s="676"/>
      <c r="V321" s="676"/>
      <c r="W321" s="676"/>
    </row>
    <row r="322" spans="1:23" s="673" customFormat="1" ht="15" customHeight="1">
      <c r="A322" s="670"/>
      <c r="B322" s="671"/>
      <c r="C322" s="672"/>
      <c r="E322" s="674"/>
      <c r="F322" s="674"/>
      <c r="G322" s="674"/>
      <c r="H322" s="675"/>
      <c r="I322" s="675"/>
      <c r="J322" s="675"/>
      <c r="K322" s="675"/>
      <c r="L322" s="675"/>
      <c r="M322" s="675"/>
      <c r="N322" s="675"/>
      <c r="O322" s="675"/>
      <c r="P322" s="675"/>
      <c r="Q322" s="675"/>
      <c r="R322" s="675"/>
      <c r="S322" s="675"/>
      <c r="T322" s="676"/>
      <c r="U322" s="676"/>
      <c r="V322" s="676"/>
      <c r="W322" s="676"/>
    </row>
    <row r="323" spans="1:23" s="673" customFormat="1" ht="15" customHeight="1">
      <c r="A323" s="670"/>
      <c r="B323" s="671"/>
      <c r="C323" s="672"/>
      <c r="E323" s="674"/>
      <c r="F323" s="674"/>
      <c r="G323" s="674"/>
      <c r="H323" s="675"/>
      <c r="I323" s="675"/>
      <c r="J323" s="675"/>
      <c r="K323" s="675"/>
      <c r="L323" s="675"/>
      <c r="M323" s="675"/>
      <c r="N323" s="675"/>
      <c r="O323" s="675"/>
      <c r="P323" s="675"/>
      <c r="Q323" s="675"/>
      <c r="R323" s="675"/>
      <c r="S323" s="675"/>
      <c r="T323" s="676"/>
      <c r="U323" s="676"/>
      <c r="V323" s="676"/>
      <c r="W323" s="676"/>
    </row>
    <row r="324" spans="1:23" s="673" customFormat="1" ht="15" customHeight="1">
      <c r="A324" s="670"/>
      <c r="B324" s="671"/>
      <c r="C324" s="672"/>
      <c r="E324" s="674"/>
      <c r="F324" s="674"/>
      <c r="G324" s="674"/>
      <c r="H324" s="675"/>
      <c r="I324" s="675"/>
      <c r="J324" s="675"/>
      <c r="K324" s="675"/>
      <c r="L324" s="675"/>
      <c r="M324" s="675"/>
      <c r="N324" s="675"/>
      <c r="O324" s="675"/>
      <c r="P324" s="675"/>
      <c r="Q324" s="675"/>
      <c r="R324" s="675"/>
      <c r="S324" s="675"/>
      <c r="T324" s="676"/>
      <c r="U324" s="676"/>
      <c r="V324" s="676"/>
      <c r="W324" s="676"/>
    </row>
    <row r="325" spans="1:23" s="673" customFormat="1" ht="15" customHeight="1">
      <c r="A325" s="670"/>
      <c r="B325" s="671"/>
      <c r="C325" s="672"/>
      <c r="E325" s="674"/>
      <c r="F325" s="674"/>
      <c r="G325" s="674"/>
      <c r="H325" s="675"/>
      <c r="I325" s="675"/>
      <c r="J325" s="675"/>
      <c r="K325" s="675"/>
      <c r="L325" s="675"/>
      <c r="M325" s="675"/>
      <c r="N325" s="675"/>
      <c r="O325" s="675"/>
      <c r="P325" s="675"/>
      <c r="Q325" s="675"/>
      <c r="R325" s="675"/>
      <c r="S325" s="675"/>
      <c r="T325" s="676"/>
      <c r="U325" s="676"/>
      <c r="V325" s="676"/>
      <c r="W325" s="676"/>
    </row>
    <row r="326" spans="1:23" s="673" customFormat="1" ht="15" customHeight="1">
      <c r="A326" s="670"/>
      <c r="B326" s="672" t="s">
        <v>1094</v>
      </c>
      <c r="C326" s="677"/>
      <c r="E326" s="674"/>
      <c r="F326" s="674"/>
      <c r="G326" s="674"/>
      <c r="H326" s="675"/>
      <c r="I326" s="675"/>
      <c r="J326" s="675"/>
      <c r="K326" s="675"/>
      <c r="L326" s="675"/>
      <c r="M326" s="675"/>
      <c r="N326" s="675"/>
      <c r="O326" s="675"/>
      <c r="P326" s="675"/>
      <c r="Q326" s="675"/>
      <c r="R326" s="675"/>
      <c r="S326" s="675"/>
      <c r="T326" s="676"/>
      <c r="U326" s="676"/>
      <c r="V326" s="676"/>
      <c r="W326" s="676"/>
    </row>
    <row r="327" spans="1:23" s="673" customFormat="1" ht="15" customHeight="1">
      <c r="A327" s="670"/>
      <c r="B327" s="678" t="s">
        <v>86</v>
      </c>
      <c r="C327" s="677"/>
      <c r="E327" s="674"/>
      <c r="F327" s="674"/>
      <c r="G327" s="674"/>
      <c r="H327" s="675"/>
      <c r="I327" s="675"/>
      <c r="J327" s="675"/>
      <c r="K327" s="675"/>
      <c r="L327" s="675"/>
      <c r="M327" s="675"/>
      <c r="N327" s="675"/>
      <c r="O327" s="675"/>
      <c r="P327" s="675"/>
      <c r="Q327" s="675"/>
      <c r="R327" s="675"/>
      <c r="S327" s="675"/>
      <c r="T327" s="676"/>
      <c r="U327" s="676"/>
      <c r="V327" s="676"/>
      <c r="W327" s="676"/>
    </row>
    <row r="328" spans="1:23" s="673" customFormat="1" ht="15" customHeight="1">
      <c r="A328" s="670"/>
      <c r="B328" s="678" t="s">
        <v>69</v>
      </c>
      <c r="D328" s="677"/>
      <c r="E328" s="674"/>
      <c r="F328" s="674"/>
      <c r="G328" s="674"/>
      <c r="H328" s="675"/>
      <c r="I328" s="675"/>
      <c r="J328" s="675"/>
      <c r="K328" s="675"/>
      <c r="L328" s="675"/>
      <c r="M328" s="675"/>
      <c r="N328" s="675"/>
      <c r="O328" s="675"/>
      <c r="P328" s="675"/>
      <c r="Q328" s="675"/>
      <c r="R328" s="675"/>
      <c r="S328" s="675"/>
      <c r="T328" s="676"/>
      <c r="U328" s="676"/>
      <c r="V328" s="676"/>
      <c r="W328" s="676"/>
    </row>
    <row r="329" spans="1:23" s="673" customFormat="1" ht="15" customHeight="1">
      <c r="A329" s="670"/>
      <c r="B329" s="666" t="s">
        <v>1095</v>
      </c>
      <c r="D329" s="677"/>
      <c r="E329" s="674"/>
      <c r="F329" s="674"/>
      <c r="G329" s="674"/>
      <c r="H329" s="675"/>
      <c r="I329" s="675"/>
      <c r="J329" s="675"/>
      <c r="K329" s="675"/>
      <c r="L329" s="675"/>
      <c r="M329" s="675"/>
      <c r="N329" s="675"/>
      <c r="O329" s="675"/>
      <c r="P329" s="675"/>
      <c r="Q329" s="675"/>
      <c r="R329" s="675"/>
      <c r="S329" s="675"/>
      <c r="T329" s="676"/>
      <c r="U329" s="676"/>
      <c r="V329" s="676"/>
      <c r="W329" s="676"/>
    </row>
    <row r="330" spans="1:23" s="673" customFormat="1" ht="15" customHeight="1">
      <c r="A330" s="670"/>
      <c r="B330" s="666" t="s">
        <v>1096</v>
      </c>
      <c r="D330" s="677"/>
      <c r="E330" s="674"/>
      <c r="F330" s="674"/>
      <c r="G330" s="674"/>
      <c r="H330" s="675"/>
      <c r="I330" s="675"/>
      <c r="J330" s="675"/>
      <c r="K330" s="675"/>
      <c r="L330" s="675"/>
      <c r="M330" s="675"/>
      <c r="N330" s="675"/>
      <c r="O330" s="675"/>
      <c r="P330" s="675"/>
      <c r="Q330" s="675"/>
      <c r="R330" s="675"/>
      <c r="S330" s="675"/>
      <c r="T330" s="676"/>
      <c r="U330" s="676"/>
      <c r="V330" s="676"/>
      <c r="W330" s="676"/>
    </row>
    <row r="331" spans="1:23" s="673" customFormat="1" ht="15" customHeight="1">
      <c r="A331" s="670"/>
      <c r="B331" s="666" t="s">
        <v>1097</v>
      </c>
      <c r="D331" s="677"/>
      <c r="E331" s="674"/>
      <c r="F331" s="674"/>
      <c r="G331" s="674"/>
      <c r="H331" s="675"/>
      <c r="I331" s="675"/>
      <c r="J331" s="675"/>
      <c r="K331" s="675"/>
      <c r="L331" s="675"/>
      <c r="M331" s="675"/>
      <c r="N331" s="675"/>
      <c r="O331" s="675"/>
      <c r="P331" s="675"/>
      <c r="Q331" s="675"/>
      <c r="R331" s="675"/>
      <c r="S331" s="675"/>
      <c r="T331" s="676"/>
      <c r="U331" s="676"/>
      <c r="V331" s="676"/>
      <c r="W331" s="676"/>
    </row>
    <row r="332" spans="1:23" s="673" customFormat="1" ht="15" customHeight="1">
      <c r="A332" s="670"/>
      <c r="B332" s="678" t="s">
        <v>1098</v>
      </c>
      <c r="D332" s="677"/>
      <c r="E332" s="674"/>
      <c r="F332" s="674"/>
      <c r="G332" s="674"/>
      <c r="H332" s="675"/>
      <c r="I332" s="675"/>
      <c r="J332" s="675"/>
      <c r="K332" s="675"/>
      <c r="L332" s="675"/>
      <c r="M332" s="675"/>
      <c r="N332" s="675"/>
      <c r="O332" s="675"/>
      <c r="P332" s="675"/>
      <c r="Q332" s="675"/>
      <c r="R332" s="675"/>
      <c r="S332" s="675"/>
      <c r="T332" s="676"/>
      <c r="U332" s="676"/>
      <c r="V332" s="676"/>
      <c r="W332" s="676"/>
    </row>
    <row r="333" spans="1:23" s="673" customFormat="1" ht="15" customHeight="1">
      <c r="A333" s="670"/>
      <c r="B333" s="679" t="s">
        <v>1099</v>
      </c>
      <c r="D333" s="677"/>
      <c r="E333" s="674"/>
      <c r="F333" s="674"/>
      <c r="G333" s="674"/>
      <c r="H333" s="675"/>
      <c r="I333" s="675"/>
      <c r="J333" s="675"/>
      <c r="K333" s="675"/>
      <c r="L333" s="675"/>
      <c r="M333" s="675"/>
      <c r="N333" s="675"/>
      <c r="O333" s="675"/>
      <c r="P333" s="675"/>
      <c r="Q333" s="675"/>
      <c r="R333" s="675"/>
      <c r="S333" s="675"/>
      <c r="T333" s="676"/>
      <c r="U333" s="676"/>
      <c r="V333" s="676"/>
      <c r="W333" s="676"/>
    </row>
    <row r="334" spans="1:23" s="673" customFormat="1" ht="15" customHeight="1">
      <c r="A334" s="670"/>
      <c r="B334" s="679" t="s">
        <v>1100</v>
      </c>
      <c r="D334" s="677"/>
      <c r="E334" s="674"/>
      <c r="F334" s="674"/>
      <c r="G334" s="674"/>
      <c r="H334" s="675"/>
      <c r="I334" s="675"/>
      <c r="J334" s="675"/>
      <c r="K334" s="675"/>
      <c r="L334" s="675"/>
      <c r="M334" s="675"/>
      <c r="N334" s="675"/>
      <c r="O334" s="675"/>
      <c r="P334" s="675"/>
      <c r="Q334" s="675"/>
      <c r="R334" s="675"/>
      <c r="S334" s="675"/>
      <c r="T334" s="676"/>
      <c r="U334" s="676"/>
      <c r="V334" s="676"/>
      <c r="W334" s="676"/>
    </row>
    <row r="335" spans="1:23" s="673" customFormat="1" ht="15" customHeight="1">
      <c r="A335" s="670"/>
      <c r="B335" s="679" t="s">
        <v>1101</v>
      </c>
      <c r="D335" s="677"/>
      <c r="E335" s="674"/>
      <c r="F335" s="674"/>
      <c r="G335" s="674"/>
      <c r="H335" s="675"/>
      <c r="I335" s="675"/>
      <c r="J335" s="675"/>
      <c r="K335" s="675"/>
      <c r="L335" s="675"/>
      <c r="M335" s="675"/>
      <c r="N335" s="675"/>
      <c r="O335" s="675"/>
      <c r="P335" s="675"/>
      <c r="Q335" s="675"/>
      <c r="R335" s="675"/>
      <c r="S335" s="675"/>
      <c r="T335" s="676"/>
      <c r="U335" s="676"/>
      <c r="V335" s="676"/>
      <c r="W335" s="676"/>
    </row>
    <row r="336" spans="1:23" s="673" customFormat="1" ht="15" customHeight="1">
      <c r="A336" s="670"/>
      <c r="B336" s="679" t="s">
        <v>1102</v>
      </c>
      <c r="D336" s="677"/>
      <c r="E336" s="674"/>
      <c r="F336" s="674"/>
      <c r="G336" s="674"/>
      <c r="H336" s="675"/>
      <c r="I336" s="675"/>
      <c r="J336" s="675"/>
      <c r="K336" s="675"/>
      <c r="L336" s="675"/>
      <c r="M336" s="675"/>
      <c r="N336" s="675"/>
      <c r="O336" s="675"/>
      <c r="P336" s="675"/>
      <c r="Q336" s="675"/>
      <c r="R336" s="675"/>
      <c r="S336" s="675"/>
      <c r="T336" s="676"/>
      <c r="U336" s="676"/>
      <c r="V336" s="676"/>
      <c r="W336" s="676"/>
    </row>
    <row r="337" spans="1:23" s="673" customFormat="1" ht="15" customHeight="1">
      <c r="A337" s="670"/>
      <c r="B337" s="679" t="s">
        <v>1103</v>
      </c>
      <c r="D337" s="677"/>
      <c r="E337" s="674"/>
      <c r="F337" s="674"/>
      <c r="G337" s="674"/>
      <c r="H337" s="675"/>
      <c r="I337" s="675"/>
      <c r="J337" s="675"/>
      <c r="K337" s="675"/>
      <c r="L337" s="675"/>
      <c r="M337" s="675"/>
      <c r="N337" s="675"/>
      <c r="O337" s="675"/>
      <c r="P337" s="675"/>
      <c r="Q337" s="675"/>
      <c r="R337" s="675"/>
      <c r="S337" s="675"/>
      <c r="T337" s="676"/>
      <c r="U337" s="676"/>
      <c r="V337" s="676"/>
      <c r="W337" s="676"/>
    </row>
    <row r="338" spans="1:23" s="673" customFormat="1" ht="15" customHeight="1">
      <c r="A338" s="670"/>
      <c r="B338" s="679" t="s">
        <v>1104</v>
      </c>
      <c r="D338" s="677"/>
      <c r="E338" s="674"/>
      <c r="F338" s="674"/>
      <c r="G338" s="674"/>
      <c r="H338" s="675"/>
      <c r="I338" s="675"/>
      <c r="J338" s="675"/>
      <c r="K338" s="675"/>
      <c r="L338" s="675"/>
      <c r="M338" s="675"/>
      <c r="N338" s="675"/>
      <c r="O338" s="675"/>
      <c r="P338" s="675"/>
      <c r="Q338" s="675"/>
      <c r="R338" s="675"/>
      <c r="S338" s="675"/>
      <c r="T338" s="676"/>
      <c r="U338" s="676"/>
      <c r="V338" s="676"/>
      <c r="W338" s="676"/>
    </row>
    <row r="339" spans="1:23" s="673" customFormat="1" ht="15" customHeight="1">
      <c r="A339" s="670"/>
      <c r="B339" s="679" t="s">
        <v>1105</v>
      </c>
      <c r="D339" s="677"/>
      <c r="E339" s="674"/>
      <c r="F339" s="674"/>
      <c r="G339" s="674"/>
      <c r="H339" s="675"/>
      <c r="I339" s="675"/>
      <c r="J339" s="675"/>
      <c r="K339" s="675"/>
      <c r="L339" s="675"/>
      <c r="M339" s="675"/>
      <c r="N339" s="675"/>
      <c r="O339" s="675"/>
      <c r="P339" s="675"/>
      <c r="Q339" s="675"/>
      <c r="R339" s="675"/>
      <c r="S339" s="675"/>
      <c r="T339" s="676"/>
      <c r="U339" s="676"/>
      <c r="V339" s="676"/>
      <c r="W339" s="676"/>
    </row>
    <row r="340" spans="1:23" s="673" customFormat="1" ht="15" customHeight="1">
      <c r="A340" s="670"/>
      <c r="B340" s="662" t="s">
        <v>1106</v>
      </c>
      <c r="D340" s="674"/>
      <c r="E340" s="674"/>
      <c r="F340" s="674"/>
      <c r="G340" s="674"/>
      <c r="H340" s="675"/>
      <c r="I340" s="675"/>
      <c r="J340" s="675"/>
      <c r="K340" s="675"/>
      <c r="L340" s="675"/>
      <c r="M340" s="675"/>
      <c r="N340" s="675"/>
      <c r="O340" s="675"/>
      <c r="P340" s="675"/>
      <c r="Q340" s="675"/>
      <c r="R340" s="675"/>
      <c r="S340" s="675"/>
      <c r="T340" s="676"/>
      <c r="U340" s="676"/>
      <c r="V340" s="676"/>
      <c r="W340" s="676"/>
    </row>
    <row r="341" spans="1:23" ht="15" customHeight="1">
      <c r="B341" s="662" t="s">
        <v>1107</v>
      </c>
      <c r="C341" s="660"/>
      <c r="D341" s="660"/>
      <c r="E341" s="660"/>
      <c r="F341" s="660"/>
      <c r="G341" s="660"/>
      <c r="H341" s="660"/>
      <c r="I341" s="660"/>
      <c r="J341" s="660"/>
      <c r="K341" s="660"/>
      <c r="L341" s="660"/>
      <c r="M341" s="660"/>
      <c r="N341" s="660"/>
      <c r="O341" s="660"/>
      <c r="P341" s="660"/>
      <c r="Q341" s="660"/>
      <c r="R341" s="660"/>
      <c r="S341" s="660"/>
      <c r="T341" s="660"/>
      <c r="U341" s="660"/>
      <c r="V341" s="660"/>
      <c r="W341" s="660"/>
    </row>
    <row r="342" spans="1:23" ht="15" customHeight="1">
      <c r="B342" s="662" t="s">
        <v>1108</v>
      </c>
      <c r="C342" s="571"/>
      <c r="D342" s="660"/>
      <c r="E342" s="660"/>
      <c r="F342" s="660"/>
      <c r="G342" s="660"/>
      <c r="H342" s="660"/>
      <c r="I342" s="660"/>
      <c r="J342" s="660"/>
      <c r="K342" s="660"/>
      <c r="L342" s="660"/>
      <c r="M342" s="660"/>
      <c r="N342" s="660"/>
      <c r="O342" s="660"/>
      <c r="P342" s="660"/>
      <c r="Q342" s="660"/>
      <c r="R342" s="660"/>
      <c r="S342" s="660"/>
      <c r="T342" s="660"/>
      <c r="U342" s="660"/>
      <c r="V342" s="660"/>
      <c r="W342" s="660"/>
    </row>
    <row r="343" spans="1:23" ht="15" customHeight="1">
      <c r="B343" s="662" t="s">
        <v>1109</v>
      </c>
      <c r="C343" s="571"/>
      <c r="D343" s="660"/>
      <c r="E343" s="660"/>
      <c r="F343" s="660"/>
      <c r="G343" s="660"/>
      <c r="H343" s="660"/>
      <c r="I343" s="660"/>
      <c r="J343" s="660"/>
      <c r="K343" s="660"/>
      <c r="L343" s="660"/>
      <c r="M343" s="660"/>
      <c r="N343" s="660"/>
      <c r="O343" s="660"/>
      <c r="P343" s="660"/>
      <c r="Q343" s="660"/>
      <c r="R343" s="660"/>
      <c r="S343" s="660"/>
      <c r="T343" s="660"/>
      <c r="U343" s="660"/>
      <c r="V343" s="660"/>
      <c r="W343" s="660"/>
    </row>
    <row r="344" spans="1:23" ht="15" customHeight="1">
      <c r="B344" s="662" t="s">
        <v>337</v>
      </c>
      <c r="C344" s="680"/>
      <c r="D344" s="660"/>
      <c r="E344" s="660"/>
      <c r="F344" s="660"/>
      <c r="G344" s="660"/>
      <c r="H344" s="660"/>
      <c r="I344" s="660"/>
      <c r="J344" s="660"/>
      <c r="K344" s="660"/>
      <c r="L344" s="660"/>
      <c r="M344" s="660"/>
      <c r="N344" s="660"/>
      <c r="O344" s="660"/>
      <c r="P344" s="660"/>
      <c r="Q344" s="660"/>
      <c r="R344" s="660"/>
      <c r="S344" s="660"/>
      <c r="T344" s="660"/>
      <c r="U344" s="660"/>
      <c r="V344" s="660"/>
      <c r="W344" s="660"/>
    </row>
    <row r="345" spans="1:23" ht="15" customHeight="1">
      <c r="B345" s="662" t="s">
        <v>338</v>
      </c>
      <c r="C345" s="680"/>
      <c r="D345" s="660"/>
      <c r="E345" s="660"/>
      <c r="F345" s="660"/>
      <c r="G345" s="660"/>
      <c r="H345" s="660"/>
      <c r="I345" s="660"/>
      <c r="J345" s="660"/>
      <c r="K345" s="660"/>
      <c r="L345" s="660"/>
      <c r="M345" s="660"/>
      <c r="N345" s="660"/>
      <c r="O345" s="660"/>
      <c r="P345" s="660"/>
      <c r="Q345" s="660"/>
      <c r="R345" s="660"/>
      <c r="S345" s="660"/>
      <c r="T345" s="660"/>
      <c r="U345" s="660"/>
      <c r="V345" s="660"/>
      <c r="W345" s="660"/>
    </row>
    <row r="346" spans="1:23" ht="15" customHeight="1">
      <c r="B346" s="237" t="s">
        <v>1381</v>
      </c>
      <c r="C346" s="680"/>
      <c r="D346" s="660"/>
      <c r="E346" s="660"/>
      <c r="F346" s="660"/>
      <c r="G346" s="660"/>
      <c r="H346" s="660"/>
      <c r="I346" s="660"/>
      <c r="J346" s="660"/>
      <c r="K346" s="660"/>
      <c r="L346" s="660"/>
      <c r="M346" s="660"/>
      <c r="N346" s="660"/>
      <c r="O346" s="660"/>
      <c r="P346" s="660"/>
      <c r="Q346" s="660"/>
      <c r="R346" s="660"/>
      <c r="S346" s="660"/>
      <c r="T346" s="660"/>
      <c r="U346" s="660"/>
      <c r="V346" s="660"/>
      <c r="W346" s="660"/>
    </row>
    <row r="347" spans="1:23" ht="15" customHeight="1">
      <c r="B347" s="237" t="s">
        <v>1307</v>
      </c>
      <c r="C347" s="643"/>
      <c r="D347" s="681"/>
      <c r="E347" s="681"/>
      <c r="F347" s="681"/>
      <c r="G347" s="681"/>
      <c r="H347" s="681"/>
      <c r="I347" s="681"/>
      <c r="J347" s="681"/>
      <c r="K347" s="681"/>
      <c r="L347" s="681"/>
      <c r="M347" s="681"/>
      <c r="N347" s="681"/>
      <c r="O347" s="681"/>
      <c r="P347" s="681"/>
      <c r="Q347" s="681"/>
      <c r="R347" s="681"/>
      <c r="S347" s="681"/>
      <c r="T347" s="681"/>
      <c r="U347" s="681"/>
      <c r="V347" s="681"/>
      <c r="W347" s="681"/>
    </row>
    <row r="348" spans="1:23" ht="15" customHeight="1">
      <c r="B348" s="237" t="s">
        <v>1308</v>
      </c>
      <c r="C348" s="643"/>
      <c r="D348" s="681"/>
      <c r="E348" s="681"/>
      <c r="F348" s="681"/>
      <c r="G348" s="681"/>
      <c r="H348" s="681"/>
      <c r="I348" s="681"/>
      <c r="J348" s="681"/>
      <c r="K348" s="681"/>
      <c r="L348" s="681"/>
      <c r="M348" s="681"/>
      <c r="N348" s="681"/>
      <c r="O348" s="681"/>
      <c r="P348" s="681"/>
      <c r="Q348" s="681"/>
      <c r="R348" s="681"/>
      <c r="S348" s="681"/>
      <c r="T348" s="681"/>
      <c r="U348" s="681"/>
      <c r="V348" s="681"/>
      <c r="W348" s="681"/>
    </row>
    <row r="349" spans="1:23" ht="15" customHeight="1">
      <c r="B349" s="1223" t="s">
        <v>1110</v>
      </c>
      <c r="C349" s="1223"/>
      <c r="D349" s="1223"/>
      <c r="E349" s="1223"/>
      <c r="F349" s="1223"/>
      <c r="G349" s="1223"/>
      <c r="H349" s="1223"/>
      <c r="I349" s="1223"/>
      <c r="J349" s="1223"/>
      <c r="K349" s="1223"/>
      <c r="L349" s="1223"/>
      <c r="M349" s="1223"/>
      <c r="N349" s="1223"/>
      <c r="O349" s="1223"/>
      <c r="P349" s="1223"/>
      <c r="Q349" s="1223"/>
      <c r="R349" s="1223"/>
      <c r="S349" s="1223"/>
      <c r="T349" s="1223"/>
      <c r="U349" s="1223"/>
      <c r="V349" s="1223"/>
      <c r="W349" s="1223"/>
    </row>
    <row r="350" spans="1:23" ht="15" customHeight="1">
      <c r="B350" s="682"/>
      <c r="C350" s="683"/>
      <c r="D350" s="683"/>
      <c r="E350" s="1230"/>
      <c r="F350" s="1231"/>
      <c r="G350" s="1231"/>
      <c r="H350" s="1231"/>
      <c r="I350" s="1231"/>
      <c r="J350" s="1231"/>
      <c r="K350" s="1231"/>
      <c r="L350" s="1231"/>
      <c r="M350" s="1231"/>
      <c r="N350" s="1231"/>
      <c r="O350" s="1231"/>
      <c r="P350" s="1231"/>
      <c r="R350" s="639"/>
      <c r="S350" s="639"/>
      <c r="T350" s="639"/>
      <c r="U350" s="639"/>
      <c r="V350" s="639"/>
      <c r="W350" s="640" t="str">
        <f ca="1">OP!$C$54&amp;" 試算日："&amp;TEXT(OP!$C$3,"EEMMDD")</f>
        <v>V1.0-1060217 試算日：1060602</v>
      </c>
    </row>
    <row r="351" spans="1:23"/>
    <row r="352" spans="1:23"/>
    <row r="353" spans="1:23"/>
    <row r="354" spans="1:23" ht="25.5">
      <c r="A354" s="555">
        <v>1</v>
      </c>
      <c r="B354" s="1232" t="str">
        <f>VLOOKUP(A354,PI,2,0)</f>
        <v>富邦人壽保險股份有限公司履行個人資料保護法告知說明書</v>
      </c>
      <c r="C354" s="1232"/>
      <c r="D354" s="1232"/>
      <c r="E354" s="1232"/>
      <c r="F354" s="1232"/>
      <c r="G354" s="1232"/>
      <c r="H354" s="1232"/>
      <c r="I354" s="1232"/>
      <c r="J354" s="1232"/>
      <c r="K354" s="1232"/>
      <c r="L354" s="1232"/>
      <c r="M354" s="1232"/>
      <c r="N354" s="1232"/>
      <c r="O354" s="1232"/>
      <c r="P354" s="1232"/>
      <c r="Q354" s="1232"/>
      <c r="R354" s="1232"/>
      <c r="S354" s="1232"/>
      <c r="T354" s="1232"/>
      <c r="U354" s="1232"/>
      <c r="V354" s="1232"/>
      <c r="W354" s="1232"/>
    </row>
    <row r="355" spans="1:23" ht="16.5">
      <c r="A355" s="555">
        <v>2</v>
      </c>
      <c r="B355" s="684" t="str">
        <f>IF(ISERROR(VLOOKUP(A355,PI,2,0)),"",VLOOKUP(A355,PI,2,0))</f>
        <v xml:space="preserve"> </v>
      </c>
    </row>
    <row r="356" spans="1:23" ht="16.5">
      <c r="A356" s="555">
        <v>3</v>
      </c>
      <c r="C356" s="684" t="str">
        <f t="shared" ref="C356:C396" si="52">IF(ISERROR(VLOOKUP(A356,PI,2,0)),"",VLOOKUP(A356,PI,2,0))</f>
        <v>富邦人壽保險股份有限公司（下稱本公司）依據個人資料保護法（以下稱個資法）</v>
      </c>
    </row>
    <row r="357" spans="1:23" ht="16.5">
      <c r="A357" s="555">
        <v>4</v>
      </c>
      <c r="C357" s="684" t="str">
        <f t="shared" si="52"/>
        <v>規定，向 台端告知下列事項，請 台端詳閱：</v>
      </c>
    </row>
    <row r="358" spans="1:23" ht="16.5">
      <c r="A358" s="555">
        <v>5</v>
      </c>
      <c r="C358" s="684" t="str">
        <f t="shared" si="52"/>
        <v>一、蒐集之目的：</v>
      </c>
    </row>
    <row r="359" spans="1:23" ht="16.5">
      <c r="A359" s="555">
        <v>6</v>
      </c>
      <c r="C359" s="684" t="str">
        <f t="shared" si="52"/>
        <v>（一）人身保險（００一）</v>
      </c>
    </row>
    <row r="360" spans="1:23" ht="16.5">
      <c r="A360" s="555">
        <v>7</v>
      </c>
      <c r="C360" s="684" t="str">
        <f t="shared" si="52"/>
        <v>（二）其他經營合於營業登記項目或組織章程所定之業務（一八一）</v>
      </c>
    </row>
    <row r="361" spans="1:23" ht="16.5">
      <c r="A361" s="555">
        <v>8</v>
      </c>
      <c r="C361" s="684" t="str">
        <f t="shared" si="52"/>
        <v>二、蒐集之個人資料類別：</v>
      </c>
    </row>
    <row r="362" spans="1:23" ht="16.5">
      <c r="A362" s="555">
        <v>9</v>
      </c>
      <c r="C362" s="684" t="str">
        <f t="shared" si="52"/>
        <v>（一）姓名。</v>
      </c>
    </row>
    <row r="363" spans="1:23" ht="16.5">
      <c r="A363" s="555">
        <v>10</v>
      </c>
      <c r="C363" s="684" t="str">
        <f t="shared" si="52"/>
        <v>（二）身分證統一編號。</v>
      </c>
    </row>
    <row r="364" spans="1:23" ht="16.5">
      <c r="A364" s="555">
        <v>11</v>
      </c>
      <c r="C364" s="684" t="str">
        <f t="shared" si="52"/>
        <v>（三）地址。</v>
      </c>
    </row>
    <row r="365" spans="1:23" ht="16.5">
      <c r="A365" s="555">
        <v>12</v>
      </c>
      <c r="C365" s="684" t="str">
        <f t="shared" si="52"/>
        <v>（四）病歷、醫療、健康檢查 。</v>
      </c>
    </row>
    <row r="366" spans="1:23" ht="16.5">
      <c r="A366" s="555">
        <v>13</v>
      </c>
      <c r="C366" s="684" t="str">
        <f t="shared" si="52"/>
        <v>（五）要保書、要保文件等其他基於保險契約所提供之個人資料。</v>
      </c>
    </row>
    <row r="367" spans="1:23" ht="16.5">
      <c r="A367" s="555">
        <v>14</v>
      </c>
      <c r="C367" s="684" t="str">
        <f t="shared" si="52"/>
        <v>三、個人資料利用之期間、地區、對象、方式：</v>
      </c>
    </row>
    <row r="368" spans="1:23" ht="16.5">
      <c r="A368" s="555">
        <v>15</v>
      </c>
      <c r="C368" s="684" t="str">
        <f t="shared" si="52"/>
        <v>（一）期間：因執行業務所必須及依法令規定要求之期間。</v>
      </c>
    </row>
    <row r="369" spans="1:3" ht="16.5">
      <c r="A369" s="555">
        <v>16</v>
      </c>
      <c r="C369" s="684" t="str">
        <f t="shared" si="52"/>
        <v>（二）對象：本公司、本公司的委外服務或委外業務之廠商、中華民國人壽保險</v>
      </c>
    </row>
    <row r="370" spans="1:3" ht="16.5">
      <c r="A370" s="555">
        <v>17</v>
      </c>
      <c r="C370" s="684" t="str">
        <f t="shared" si="52"/>
        <v xml:space="preserve">      商業同業公會、財團法人保險事業發展中心、財團法人金融消費評議中心、</v>
      </c>
    </row>
    <row r="371" spans="1:3" ht="16.5">
      <c r="A371" s="555">
        <v>18</v>
      </c>
      <c r="C371" s="684" t="str">
        <f t="shared" si="52"/>
        <v xml:space="preserve">      與本公司有再保業務往來之公司、本公司所屬金控公司、本公司之共同行</v>
      </c>
    </row>
    <row r="372" spans="1:3" ht="16.5">
      <c r="A372" s="555">
        <v>19</v>
      </c>
      <c r="C372" s="684" t="str">
        <f t="shared" si="52"/>
        <v xml:space="preserve">      銷對象、依法有調查權機關或金融監理機關。</v>
      </c>
    </row>
    <row r="373" spans="1:3" ht="16.5">
      <c r="A373" s="555">
        <v>20</v>
      </c>
      <c r="C373" s="684" t="str">
        <f t="shared" si="52"/>
        <v>（三）地區：上述對象所在之地區。</v>
      </c>
    </row>
    <row r="374" spans="1:3" ht="16.5">
      <c r="A374" s="555">
        <v>21</v>
      </c>
      <c r="C374" s="684" t="str">
        <f t="shared" si="52"/>
        <v>（四）方式：合於法令規定之利用方式。</v>
      </c>
    </row>
    <row r="375" spans="1:3" ht="16.5">
      <c r="A375" s="555">
        <v>22</v>
      </c>
      <c r="C375" s="684" t="str">
        <f t="shared" si="52"/>
        <v>四、依據個資法第三條規定，台端就本公司保有 台端之個人資料得行使之權利及</v>
      </c>
    </row>
    <row r="376" spans="1:3" ht="16.5">
      <c r="A376" s="555">
        <v>23</v>
      </c>
      <c r="C376" s="684" t="str">
        <f t="shared" si="52"/>
        <v xml:space="preserve">    方式：</v>
      </c>
    </row>
    <row r="377" spans="1:3" ht="16.5">
      <c r="A377" s="555">
        <v>24</v>
      </c>
      <c r="C377" s="684" t="str">
        <f t="shared" si="52"/>
        <v>（一）得向本公司行使之權利：</v>
      </c>
    </row>
    <row r="378" spans="1:3" ht="16.5">
      <c r="A378" s="555">
        <v>25</v>
      </c>
      <c r="C378" s="684" t="str">
        <f t="shared" si="52"/>
        <v xml:space="preserve">      1.向本公司查詢、請求閱覽或請求製給複製本。</v>
      </c>
    </row>
    <row r="379" spans="1:3" ht="16.5">
      <c r="A379" s="555">
        <v>26</v>
      </c>
      <c r="C379" s="684" t="str">
        <f t="shared" si="52"/>
        <v xml:space="preserve">      2.向本公司請求補充或更正。</v>
      </c>
    </row>
    <row r="380" spans="1:3" ht="16.5">
      <c r="A380" s="555">
        <v>27</v>
      </c>
      <c r="C380" s="684" t="str">
        <f t="shared" si="52"/>
        <v xml:space="preserve">      3.向本公司請求停止蒐集、處理或利用及請求刪除。</v>
      </c>
    </row>
    <row r="381" spans="1:3" ht="16.5">
      <c r="A381" s="555">
        <v>28</v>
      </c>
      <c r="C381" s="684" t="str">
        <f t="shared" si="52"/>
        <v>（二）行使權利之方式：</v>
      </c>
    </row>
    <row r="382" spans="1:3" ht="16.5">
      <c r="A382" s="555">
        <v>29</v>
      </c>
      <c r="C382" s="684" t="str">
        <f t="shared" si="52"/>
        <v xml:space="preserve">      您可以透過書面（包含電子郵件、傳真、電子文件）或致電本公司客戶服</v>
      </c>
    </row>
    <row r="383" spans="1:3" ht="16.5">
      <c r="A383" s="555">
        <v>30</v>
      </c>
      <c r="C383" s="684" t="str">
        <f t="shared" si="52"/>
        <v xml:space="preserve">      務專線（電話：0809-000-550）之方式行使權利。</v>
      </c>
    </row>
    <row r="384" spans="1:3" ht="16.5">
      <c r="A384" s="555">
        <v>31</v>
      </c>
      <c r="C384" s="684" t="str">
        <f t="shared" si="52"/>
        <v>五、台端不提供個人資料所致權益之影響：</v>
      </c>
    </row>
    <row r="385" spans="1:3" ht="16.5">
      <c r="A385" s="555">
        <v>32</v>
      </c>
      <c r="C385" s="684" t="str">
        <f t="shared" si="52"/>
        <v xml:space="preserve">    台端若未能提供相關個人資料時，本公司將可能延後或無法進行必要之審核</v>
      </c>
    </row>
    <row r="386" spans="1:3" ht="16.5">
      <c r="A386" s="555">
        <v>33</v>
      </c>
      <c r="C386" s="684" t="str">
        <f t="shared" si="52"/>
        <v xml:space="preserve">    及處理作業，因此可能婉謝承保、遲延或無法承保。</v>
      </c>
    </row>
    <row r="387" spans="1:3" ht="16.5">
      <c r="A387" s="555">
        <v>34</v>
      </c>
      <c r="C387" s="684" t="str">
        <f t="shared" si="52"/>
        <v/>
      </c>
    </row>
    <row r="388" spans="1:3" ht="16.5">
      <c r="A388" s="555">
        <v>35</v>
      </c>
      <c r="C388" s="684" t="str">
        <f t="shared" si="52"/>
        <v/>
      </c>
    </row>
    <row r="389" spans="1:3" ht="16.5">
      <c r="A389" s="555">
        <v>36</v>
      </c>
      <c r="C389" s="684" t="str">
        <f t="shared" si="52"/>
        <v/>
      </c>
    </row>
    <row r="390" spans="1:3" ht="16.5">
      <c r="A390" s="555">
        <v>37</v>
      </c>
      <c r="C390" s="684" t="str">
        <f t="shared" si="52"/>
        <v/>
      </c>
    </row>
    <row r="391" spans="1:3" ht="16.5">
      <c r="A391" s="555">
        <v>38</v>
      </c>
      <c r="C391" s="684" t="str">
        <f t="shared" si="52"/>
        <v/>
      </c>
    </row>
    <row r="392" spans="1:3" ht="16.5">
      <c r="A392" s="555">
        <v>39</v>
      </c>
      <c r="C392" s="684" t="str">
        <f t="shared" si="52"/>
        <v/>
      </c>
    </row>
    <row r="393" spans="1:3" ht="16.5">
      <c r="A393" s="555">
        <v>40</v>
      </c>
      <c r="C393" s="684" t="str">
        <f t="shared" si="52"/>
        <v/>
      </c>
    </row>
    <row r="394" spans="1:3" ht="16.5">
      <c r="A394" s="555">
        <v>41</v>
      </c>
      <c r="C394" s="684" t="str">
        <f t="shared" si="52"/>
        <v/>
      </c>
    </row>
    <row r="395" spans="1:3" ht="16.5">
      <c r="A395" s="555">
        <v>42</v>
      </c>
      <c r="C395" s="684" t="str">
        <f t="shared" si="52"/>
        <v/>
      </c>
    </row>
    <row r="396" spans="1:3" ht="16.5">
      <c r="A396" s="555">
        <v>42</v>
      </c>
      <c r="C396" s="684" t="str">
        <f t="shared" si="52"/>
        <v/>
      </c>
    </row>
    <row r="397" spans="1:3">
      <c r="A397" s="555">
        <v>43</v>
      </c>
    </row>
    <row r="398" spans="1:3">
      <c r="A398" s="555">
        <v>44</v>
      </c>
    </row>
    <row r="399" spans="1:3">
      <c r="A399" s="555">
        <v>45</v>
      </c>
    </row>
    <row r="400" spans="1:3">
      <c r="A400" s="555">
        <v>46</v>
      </c>
    </row>
    <row r="401" spans="1:23" hidden="1">
      <c r="A401" s="555">
        <v>47</v>
      </c>
    </row>
    <row r="402" spans="1:23" hidden="1">
      <c r="A402" s="555">
        <v>48</v>
      </c>
    </row>
    <row r="403" spans="1:23" hidden="1"/>
    <row r="404" spans="1:23" ht="15" hidden="1" customHeight="1"/>
    <row r="405" spans="1:23" hidden="1"/>
    <row r="406" spans="1:23" hidden="1"/>
    <row r="407" spans="1:23"/>
    <row r="408" spans="1:23"/>
    <row r="409" spans="1:23">
      <c r="W409" s="685" t="str">
        <f>OP!B69&amp;OP!C69</f>
        <v>適用通路：業務、服展、北富銀</v>
      </c>
    </row>
    <row r="410" spans="1:23" hidden="1"/>
    <row r="411" spans="1:23" hidden="1"/>
    <row r="412" spans="1:23" hidden="1"/>
    <row r="413" spans="1:23" hidden="1"/>
    <row r="414" spans="1:23" hidden="1"/>
    <row r="415" spans="1:23" hidden="1"/>
    <row r="416" spans="1:23"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sheetData>
  <sheetProtection password="F4D4" sheet="1" formatCells="0"/>
  <mergeCells count="1110">
    <mergeCell ref="D215:H215"/>
    <mergeCell ref="I215:L215"/>
    <mergeCell ref="O215:S215"/>
    <mergeCell ref="T215:W215"/>
    <mergeCell ref="D216:H216"/>
    <mergeCell ref="I216:L216"/>
    <mergeCell ref="O216:S216"/>
    <mergeCell ref="T216:W216"/>
    <mergeCell ref="D217:H217"/>
    <mergeCell ref="I217:L217"/>
    <mergeCell ref="O217:S217"/>
    <mergeCell ref="T217:W217"/>
    <mergeCell ref="B290:W290"/>
    <mergeCell ref="E291:P291"/>
    <mergeCell ref="S291:W291"/>
    <mergeCell ref="D218:H218"/>
    <mergeCell ref="I218:L218"/>
    <mergeCell ref="M218:W218"/>
    <mergeCell ref="B230:W230"/>
    <mergeCell ref="E231:P231"/>
    <mergeCell ref="S231:W231"/>
    <mergeCell ref="D210:H210"/>
    <mergeCell ref="I210:L210"/>
    <mergeCell ref="O210:S210"/>
    <mergeCell ref="T210:W210"/>
    <mergeCell ref="D211:H211"/>
    <mergeCell ref="I211:L211"/>
    <mergeCell ref="O211:S211"/>
    <mergeCell ref="T211:W211"/>
    <mergeCell ref="D212:H212"/>
    <mergeCell ref="I212:L212"/>
    <mergeCell ref="O212:S212"/>
    <mergeCell ref="T212:W212"/>
    <mergeCell ref="D213:H213"/>
    <mergeCell ref="I213:L213"/>
    <mergeCell ref="O213:S213"/>
    <mergeCell ref="T213:W213"/>
    <mergeCell ref="D214:H214"/>
    <mergeCell ref="I214:L214"/>
    <mergeCell ref="O214:S214"/>
    <mergeCell ref="T214:W214"/>
    <mergeCell ref="D205:H205"/>
    <mergeCell ref="I205:L205"/>
    <mergeCell ref="O205:S205"/>
    <mergeCell ref="T205:W205"/>
    <mergeCell ref="D206:H206"/>
    <mergeCell ref="I206:L206"/>
    <mergeCell ref="O206:S206"/>
    <mergeCell ref="T206:W206"/>
    <mergeCell ref="D207:H207"/>
    <mergeCell ref="I207:L207"/>
    <mergeCell ref="O207:S207"/>
    <mergeCell ref="T207:W207"/>
    <mergeCell ref="D208:H208"/>
    <mergeCell ref="I208:L208"/>
    <mergeCell ref="O208:S208"/>
    <mergeCell ref="T208:W208"/>
    <mergeCell ref="D209:H209"/>
    <mergeCell ref="I209:L209"/>
    <mergeCell ref="O209:S209"/>
    <mergeCell ref="T209:W209"/>
    <mergeCell ref="D200:H200"/>
    <mergeCell ref="I200:L200"/>
    <mergeCell ref="O200:S200"/>
    <mergeCell ref="T200:W200"/>
    <mergeCell ref="D201:H201"/>
    <mergeCell ref="I201:L201"/>
    <mergeCell ref="O201:S201"/>
    <mergeCell ref="T201:W201"/>
    <mergeCell ref="D202:H202"/>
    <mergeCell ref="I202:L202"/>
    <mergeCell ref="O202:S202"/>
    <mergeCell ref="T202:W202"/>
    <mergeCell ref="D203:H203"/>
    <mergeCell ref="I203:L203"/>
    <mergeCell ref="O203:S203"/>
    <mergeCell ref="T203:W203"/>
    <mergeCell ref="D204:H204"/>
    <mergeCell ref="I204:L204"/>
    <mergeCell ref="O204:S204"/>
    <mergeCell ref="T204:W204"/>
    <mergeCell ref="D195:H195"/>
    <mergeCell ref="I195:L195"/>
    <mergeCell ref="O195:S195"/>
    <mergeCell ref="T195:W195"/>
    <mergeCell ref="D196:H196"/>
    <mergeCell ref="I196:L196"/>
    <mergeCell ref="O196:S196"/>
    <mergeCell ref="T196:W196"/>
    <mergeCell ref="D197:H197"/>
    <mergeCell ref="I197:L197"/>
    <mergeCell ref="O197:S197"/>
    <mergeCell ref="T197:W197"/>
    <mergeCell ref="D198:H198"/>
    <mergeCell ref="I198:L198"/>
    <mergeCell ref="O198:S198"/>
    <mergeCell ref="T198:W198"/>
    <mergeCell ref="D199:H199"/>
    <mergeCell ref="I199:L199"/>
    <mergeCell ref="O199:S199"/>
    <mergeCell ref="T199:W199"/>
    <mergeCell ref="D190:H190"/>
    <mergeCell ref="I190:L190"/>
    <mergeCell ref="O190:S190"/>
    <mergeCell ref="T190:W190"/>
    <mergeCell ref="D191:H191"/>
    <mergeCell ref="I191:L191"/>
    <mergeCell ref="O191:S191"/>
    <mergeCell ref="T191:W191"/>
    <mergeCell ref="D192:H192"/>
    <mergeCell ref="I192:L192"/>
    <mergeCell ref="O192:S192"/>
    <mergeCell ref="T192:W192"/>
    <mergeCell ref="D193:H193"/>
    <mergeCell ref="I193:L193"/>
    <mergeCell ref="O193:S193"/>
    <mergeCell ref="T193:W193"/>
    <mergeCell ref="D194:H194"/>
    <mergeCell ref="I194:L194"/>
    <mergeCell ref="O194:S194"/>
    <mergeCell ref="T194:W194"/>
    <mergeCell ref="D185:H185"/>
    <mergeCell ref="I185:L185"/>
    <mergeCell ref="O185:S185"/>
    <mergeCell ref="T185:W185"/>
    <mergeCell ref="D186:H186"/>
    <mergeCell ref="I186:L186"/>
    <mergeCell ref="O186:S186"/>
    <mergeCell ref="T186:W186"/>
    <mergeCell ref="D187:H187"/>
    <mergeCell ref="I187:L187"/>
    <mergeCell ref="O187:S187"/>
    <mergeCell ref="T187:W187"/>
    <mergeCell ref="D188:H188"/>
    <mergeCell ref="I188:L188"/>
    <mergeCell ref="O188:S188"/>
    <mergeCell ref="T188:W188"/>
    <mergeCell ref="D189:H189"/>
    <mergeCell ref="I189:L189"/>
    <mergeCell ref="O189:S189"/>
    <mergeCell ref="T189:W189"/>
    <mergeCell ref="D180:H180"/>
    <mergeCell ref="I180:L180"/>
    <mergeCell ref="O180:S180"/>
    <mergeCell ref="T180:W180"/>
    <mergeCell ref="D181:H181"/>
    <mergeCell ref="I181:L181"/>
    <mergeCell ref="O181:S181"/>
    <mergeCell ref="T181:W181"/>
    <mergeCell ref="D182:H182"/>
    <mergeCell ref="I182:L182"/>
    <mergeCell ref="O182:S182"/>
    <mergeCell ref="T182:W182"/>
    <mergeCell ref="D183:H183"/>
    <mergeCell ref="I183:L183"/>
    <mergeCell ref="O183:S183"/>
    <mergeCell ref="T183:W183"/>
    <mergeCell ref="D184:H184"/>
    <mergeCell ref="I184:L184"/>
    <mergeCell ref="O184:S184"/>
    <mergeCell ref="T184:W184"/>
    <mergeCell ref="D175:H175"/>
    <mergeCell ref="I175:L175"/>
    <mergeCell ref="O175:S175"/>
    <mergeCell ref="T175:W175"/>
    <mergeCell ref="D176:H176"/>
    <mergeCell ref="I176:L176"/>
    <mergeCell ref="O176:S176"/>
    <mergeCell ref="T176:W176"/>
    <mergeCell ref="D177:H177"/>
    <mergeCell ref="I177:L177"/>
    <mergeCell ref="O177:S177"/>
    <mergeCell ref="T177:W177"/>
    <mergeCell ref="D178:H178"/>
    <mergeCell ref="I178:L178"/>
    <mergeCell ref="O178:S178"/>
    <mergeCell ref="T178:W178"/>
    <mergeCell ref="D179:H179"/>
    <mergeCell ref="I179:L179"/>
    <mergeCell ref="O179:S179"/>
    <mergeCell ref="T179:W179"/>
    <mergeCell ref="O170:S170"/>
    <mergeCell ref="T170:W170"/>
    <mergeCell ref="D171:H171"/>
    <mergeCell ref="I171:L171"/>
    <mergeCell ref="O171:S171"/>
    <mergeCell ref="T171:W171"/>
    <mergeCell ref="D172:H172"/>
    <mergeCell ref="I172:L172"/>
    <mergeCell ref="O172:S172"/>
    <mergeCell ref="T172:W172"/>
    <mergeCell ref="D173:H173"/>
    <mergeCell ref="I173:L173"/>
    <mergeCell ref="O173:S173"/>
    <mergeCell ref="T173:W173"/>
    <mergeCell ref="D174:H174"/>
    <mergeCell ref="I174:L174"/>
    <mergeCell ref="O174:S174"/>
    <mergeCell ref="T174:W174"/>
    <mergeCell ref="O165:S165"/>
    <mergeCell ref="T165:W165"/>
    <mergeCell ref="B349:W349"/>
    <mergeCell ref="E350:P350"/>
    <mergeCell ref="O162:S162"/>
    <mergeCell ref="T162:W162"/>
    <mergeCell ref="D163:H163"/>
    <mergeCell ref="I163:L163"/>
    <mergeCell ref="O163:S163"/>
    <mergeCell ref="T163:W163"/>
    <mergeCell ref="D164:H164"/>
    <mergeCell ref="I164:L164"/>
    <mergeCell ref="B354:W354"/>
    <mergeCell ref="B158:W158"/>
    <mergeCell ref="B161:B162"/>
    <mergeCell ref="C161:C162"/>
    <mergeCell ref="D161:L161"/>
    <mergeCell ref="M161:M162"/>
    <mergeCell ref="N161:N162"/>
    <mergeCell ref="O161:W161"/>
    <mergeCell ref="D162:H162"/>
    <mergeCell ref="I162:L162"/>
    <mergeCell ref="D168:H168"/>
    <mergeCell ref="I168:L168"/>
    <mergeCell ref="O168:S168"/>
    <mergeCell ref="T168:W168"/>
    <mergeCell ref="D169:H169"/>
    <mergeCell ref="I169:L169"/>
    <mergeCell ref="O169:S169"/>
    <mergeCell ref="T169:W169"/>
    <mergeCell ref="D170:H170"/>
    <mergeCell ref="I170:L170"/>
    <mergeCell ref="J300:K300"/>
    <mergeCell ref="L300:M300"/>
    <mergeCell ref="N300:O300"/>
    <mergeCell ref="P300:Q300"/>
    <mergeCell ref="J299:K299"/>
    <mergeCell ref="L299:M299"/>
    <mergeCell ref="N299:O299"/>
    <mergeCell ref="P299:Q299"/>
    <mergeCell ref="R300:S300"/>
    <mergeCell ref="D299:G299"/>
    <mergeCell ref="H299:I299"/>
    <mergeCell ref="D301:G301"/>
    <mergeCell ref="H301:I301"/>
    <mergeCell ref="J301:K301"/>
    <mergeCell ref="L301:M301"/>
    <mergeCell ref="N301:O301"/>
    <mergeCell ref="D300:G300"/>
    <mergeCell ref="H300:I300"/>
    <mergeCell ref="P301:Q301"/>
    <mergeCell ref="R301:S301"/>
    <mergeCell ref="B139:H139"/>
    <mergeCell ref="I139:W139"/>
    <mergeCell ref="B154:W154"/>
    <mergeCell ref="E155:P155"/>
    <mergeCell ref="B233:W233"/>
    <mergeCell ref="D297:G297"/>
    <mergeCell ref="H297:I297"/>
    <mergeCell ref="J297:K297"/>
    <mergeCell ref="L297:M297"/>
    <mergeCell ref="N297:O297"/>
    <mergeCell ref="P297:Q297"/>
    <mergeCell ref="R297:S297"/>
    <mergeCell ref="R298:S298"/>
    <mergeCell ref="R299:S299"/>
    <mergeCell ref="D298:G298"/>
    <mergeCell ref="H298:I298"/>
    <mergeCell ref="J298:K298"/>
    <mergeCell ref="L298:M298"/>
    <mergeCell ref="N298:O298"/>
    <mergeCell ref="P298:Q298"/>
    <mergeCell ref="D166:H166"/>
    <mergeCell ref="I166:L166"/>
    <mergeCell ref="O166:S166"/>
    <mergeCell ref="T166:W166"/>
    <mergeCell ref="D167:H167"/>
    <mergeCell ref="I167:L167"/>
    <mergeCell ref="O167:S167"/>
    <mergeCell ref="T167:W167"/>
    <mergeCell ref="O164:S164"/>
    <mergeCell ref="T164:W164"/>
    <mergeCell ref="D165:H165"/>
    <mergeCell ref="I165:L165"/>
    <mergeCell ref="I137:K137"/>
    <mergeCell ref="L137:N137"/>
    <mergeCell ref="O137:Q137"/>
    <mergeCell ref="R137:T137"/>
    <mergeCell ref="U135:W135"/>
    <mergeCell ref="D136:E136"/>
    <mergeCell ref="F136:H136"/>
    <mergeCell ref="I136:K136"/>
    <mergeCell ref="L136:N136"/>
    <mergeCell ref="O136:Q136"/>
    <mergeCell ref="U137:W137"/>
    <mergeCell ref="D138:E138"/>
    <mergeCell ref="F138:H138"/>
    <mergeCell ref="I138:K138"/>
    <mergeCell ref="L138:N138"/>
    <mergeCell ref="O138:Q138"/>
    <mergeCell ref="R138:T138"/>
    <mergeCell ref="U138:W138"/>
    <mergeCell ref="D137:E137"/>
    <mergeCell ref="F137:H137"/>
    <mergeCell ref="D134:E134"/>
    <mergeCell ref="F134:H134"/>
    <mergeCell ref="I134:K134"/>
    <mergeCell ref="L134:N134"/>
    <mergeCell ref="O134:Q134"/>
    <mergeCell ref="R134:T134"/>
    <mergeCell ref="U134:W134"/>
    <mergeCell ref="D133:E133"/>
    <mergeCell ref="F133:H133"/>
    <mergeCell ref="R136:T136"/>
    <mergeCell ref="U136:W136"/>
    <mergeCell ref="D135:E135"/>
    <mergeCell ref="F135:H135"/>
    <mergeCell ref="I135:K135"/>
    <mergeCell ref="L135:N135"/>
    <mergeCell ref="O135:Q135"/>
    <mergeCell ref="R135:T135"/>
    <mergeCell ref="R132:T132"/>
    <mergeCell ref="U132:W132"/>
    <mergeCell ref="D131:E131"/>
    <mergeCell ref="F131:H131"/>
    <mergeCell ref="I131:K131"/>
    <mergeCell ref="L131:N131"/>
    <mergeCell ref="O131:Q131"/>
    <mergeCell ref="R131:T131"/>
    <mergeCell ref="I133:K133"/>
    <mergeCell ref="L133:N133"/>
    <mergeCell ref="O133:Q133"/>
    <mergeCell ref="R133:T133"/>
    <mergeCell ref="U131:W131"/>
    <mergeCell ref="D132:E132"/>
    <mergeCell ref="F132:H132"/>
    <mergeCell ref="I132:K132"/>
    <mergeCell ref="L132:N132"/>
    <mergeCell ref="O132:Q132"/>
    <mergeCell ref="U133:W133"/>
    <mergeCell ref="I129:K129"/>
    <mergeCell ref="L129:N129"/>
    <mergeCell ref="O129:Q129"/>
    <mergeCell ref="R129:T129"/>
    <mergeCell ref="U127:W127"/>
    <mergeCell ref="D128:E128"/>
    <mergeCell ref="F128:H128"/>
    <mergeCell ref="I128:K128"/>
    <mergeCell ref="L128:N128"/>
    <mergeCell ref="O128:Q128"/>
    <mergeCell ref="U129:W129"/>
    <mergeCell ref="D130:E130"/>
    <mergeCell ref="F130:H130"/>
    <mergeCell ref="I130:K130"/>
    <mergeCell ref="L130:N130"/>
    <mergeCell ref="O130:Q130"/>
    <mergeCell ref="R130:T130"/>
    <mergeCell ref="U130:W130"/>
    <mergeCell ref="D129:E129"/>
    <mergeCell ref="F129:H129"/>
    <mergeCell ref="D126:E126"/>
    <mergeCell ref="F126:H126"/>
    <mergeCell ref="I126:K126"/>
    <mergeCell ref="L126:N126"/>
    <mergeCell ref="O126:Q126"/>
    <mergeCell ref="R126:T126"/>
    <mergeCell ref="U126:W126"/>
    <mergeCell ref="D125:E125"/>
    <mergeCell ref="F125:H125"/>
    <mergeCell ref="R128:T128"/>
    <mergeCell ref="U128:W128"/>
    <mergeCell ref="D127:E127"/>
    <mergeCell ref="F127:H127"/>
    <mergeCell ref="I127:K127"/>
    <mergeCell ref="L127:N127"/>
    <mergeCell ref="O127:Q127"/>
    <mergeCell ref="R127:T127"/>
    <mergeCell ref="R124:T124"/>
    <mergeCell ref="U124:W124"/>
    <mergeCell ref="D123:E123"/>
    <mergeCell ref="F123:H123"/>
    <mergeCell ref="I123:K123"/>
    <mergeCell ref="L123:N123"/>
    <mergeCell ref="O123:Q123"/>
    <mergeCell ref="R123:T123"/>
    <mergeCell ref="I125:K125"/>
    <mergeCell ref="L125:N125"/>
    <mergeCell ref="O125:Q125"/>
    <mergeCell ref="R125:T125"/>
    <mergeCell ref="U123:W123"/>
    <mergeCell ref="D124:E124"/>
    <mergeCell ref="F124:H124"/>
    <mergeCell ref="I124:K124"/>
    <mergeCell ref="L124:N124"/>
    <mergeCell ref="O124:Q124"/>
    <mergeCell ref="U125:W125"/>
    <mergeCell ref="I121:K121"/>
    <mergeCell ref="L121:N121"/>
    <mergeCell ref="O121:Q121"/>
    <mergeCell ref="R121:T121"/>
    <mergeCell ref="U119:W119"/>
    <mergeCell ref="D120:E120"/>
    <mergeCell ref="F120:H120"/>
    <mergeCell ref="I120:K120"/>
    <mergeCell ref="L120:N120"/>
    <mergeCell ref="O120:Q120"/>
    <mergeCell ref="U121:W121"/>
    <mergeCell ref="D122:E122"/>
    <mergeCell ref="F122:H122"/>
    <mergeCell ref="I122:K122"/>
    <mergeCell ref="L122:N122"/>
    <mergeCell ref="O122:Q122"/>
    <mergeCell ref="R122:T122"/>
    <mergeCell ref="U122:W122"/>
    <mergeCell ref="D121:E121"/>
    <mergeCell ref="F121:H121"/>
    <mergeCell ref="D118:E118"/>
    <mergeCell ref="F118:H118"/>
    <mergeCell ref="I118:K118"/>
    <mergeCell ref="L118:N118"/>
    <mergeCell ref="O118:Q118"/>
    <mergeCell ref="R118:T118"/>
    <mergeCell ref="U118:W118"/>
    <mergeCell ref="D117:E117"/>
    <mergeCell ref="F117:H117"/>
    <mergeCell ref="R120:T120"/>
    <mergeCell ref="U120:W120"/>
    <mergeCell ref="D119:E119"/>
    <mergeCell ref="F119:H119"/>
    <mergeCell ref="I119:K119"/>
    <mergeCell ref="L119:N119"/>
    <mergeCell ref="O119:Q119"/>
    <mergeCell ref="R119:T119"/>
    <mergeCell ref="R116:T116"/>
    <mergeCell ref="U116:W116"/>
    <mergeCell ref="D115:E115"/>
    <mergeCell ref="F115:H115"/>
    <mergeCell ref="I115:K115"/>
    <mergeCell ref="L115:N115"/>
    <mergeCell ref="O115:Q115"/>
    <mergeCell ref="R115:T115"/>
    <mergeCell ref="I117:K117"/>
    <mergeCell ref="L117:N117"/>
    <mergeCell ref="O117:Q117"/>
    <mergeCell ref="R117:T117"/>
    <mergeCell ref="U115:W115"/>
    <mergeCell ref="D116:E116"/>
    <mergeCell ref="F116:H116"/>
    <mergeCell ref="I116:K116"/>
    <mergeCell ref="L116:N116"/>
    <mergeCell ref="O116:Q116"/>
    <mergeCell ref="U117:W117"/>
    <mergeCell ref="I113:K113"/>
    <mergeCell ref="L113:N113"/>
    <mergeCell ref="O113:Q113"/>
    <mergeCell ref="R113:T113"/>
    <mergeCell ref="U111:W111"/>
    <mergeCell ref="D112:E112"/>
    <mergeCell ref="F112:H112"/>
    <mergeCell ref="I112:K112"/>
    <mergeCell ref="L112:N112"/>
    <mergeCell ref="O112:Q112"/>
    <mergeCell ref="U113:W113"/>
    <mergeCell ref="D114:E114"/>
    <mergeCell ref="F114:H114"/>
    <mergeCell ref="I114:K114"/>
    <mergeCell ref="L114:N114"/>
    <mergeCell ref="O114:Q114"/>
    <mergeCell ref="R114:T114"/>
    <mergeCell ref="U114:W114"/>
    <mergeCell ref="D113:E113"/>
    <mergeCell ref="F113:H113"/>
    <mergeCell ref="D110:E110"/>
    <mergeCell ref="F110:H110"/>
    <mergeCell ref="I110:K110"/>
    <mergeCell ref="L110:N110"/>
    <mergeCell ref="O110:Q110"/>
    <mergeCell ref="R110:T110"/>
    <mergeCell ref="U110:W110"/>
    <mergeCell ref="D109:E109"/>
    <mergeCell ref="F109:H109"/>
    <mergeCell ref="R112:T112"/>
    <mergeCell ref="U112:W112"/>
    <mergeCell ref="D111:E111"/>
    <mergeCell ref="F111:H111"/>
    <mergeCell ref="I111:K111"/>
    <mergeCell ref="L111:N111"/>
    <mergeCell ref="O111:Q111"/>
    <mergeCell ref="R111:T111"/>
    <mergeCell ref="R108:T108"/>
    <mergeCell ref="U108:W108"/>
    <mergeCell ref="D107:E107"/>
    <mergeCell ref="F107:H107"/>
    <mergeCell ref="I107:K107"/>
    <mergeCell ref="L107:N107"/>
    <mergeCell ref="O107:Q107"/>
    <mergeCell ref="R107:T107"/>
    <mergeCell ref="I109:K109"/>
    <mergeCell ref="L109:N109"/>
    <mergeCell ref="O109:Q109"/>
    <mergeCell ref="R109:T109"/>
    <mergeCell ref="U107:W107"/>
    <mergeCell ref="D108:E108"/>
    <mergeCell ref="F108:H108"/>
    <mergeCell ref="I108:K108"/>
    <mergeCell ref="L108:N108"/>
    <mergeCell ref="O108:Q108"/>
    <mergeCell ref="U109:W109"/>
    <mergeCell ref="I105:K105"/>
    <mergeCell ref="L105:N105"/>
    <mergeCell ref="O105:Q105"/>
    <mergeCell ref="R105:T105"/>
    <mergeCell ref="U103:W103"/>
    <mergeCell ref="D104:E104"/>
    <mergeCell ref="F104:H104"/>
    <mergeCell ref="I104:K104"/>
    <mergeCell ref="L104:N104"/>
    <mergeCell ref="O104:Q104"/>
    <mergeCell ref="U105:W105"/>
    <mergeCell ref="D106:E106"/>
    <mergeCell ref="F106:H106"/>
    <mergeCell ref="I106:K106"/>
    <mergeCell ref="L106:N106"/>
    <mergeCell ref="O106:Q106"/>
    <mergeCell ref="R106:T106"/>
    <mergeCell ref="U106:W106"/>
    <mergeCell ref="D105:E105"/>
    <mergeCell ref="F105:H105"/>
    <mergeCell ref="D102:E102"/>
    <mergeCell ref="F102:H102"/>
    <mergeCell ref="I102:K102"/>
    <mergeCell ref="L102:N102"/>
    <mergeCell ref="O102:Q102"/>
    <mergeCell ref="R102:T102"/>
    <mergeCell ref="U102:W102"/>
    <mergeCell ref="D101:E101"/>
    <mergeCell ref="F101:H101"/>
    <mergeCell ref="R104:T104"/>
    <mergeCell ref="U104:W104"/>
    <mergeCell ref="D103:E103"/>
    <mergeCell ref="F103:H103"/>
    <mergeCell ref="I103:K103"/>
    <mergeCell ref="L103:N103"/>
    <mergeCell ref="O103:Q103"/>
    <mergeCell ref="R103:T103"/>
    <mergeCell ref="R100:T100"/>
    <mergeCell ref="U100:W100"/>
    <mergeCell ref="D99:E99"/>
    <mergeCell ref="F99:H99"/>
    <mergeCell ref="I99:K99"/>
    <mergeCell ref="L99:N99"/>
    <mergeCell ref="O99:Q99"/>
    <mergeCell ref="R99:T99"/>
    <mergeCell ref="I101:K101"/>
    <mergeCell ref="L101:N101"/>
    <mergeCell ref="O101:Q101"/>
    <mergeCell ref="R101:T101"/>
    <mergeCell ref="U99:W99"/>
    <mergeCell ref="D100:E100"/>
    <mergeCell ref="F100:H100"/>
    <mergeCell ref="I100:K100"/>
    <mergeCell ref="L100:N100"/>
    <mergeCell ref="O100:Q100"/>
    <mergeCell ref="U101:W101"/>
    <mergeCell ref="I97:K97"/>
    <mergeCell ref="L97:N97"/>
    <mergeCell ref="O97:Q97"/>
    <mergeCell ref="R97:T97"/>
    <mergeCell ref="U95:W95"/>
    <mergeCell ref="D96:E96"/>
    <mergeCell ref="F96:H96"/>
    <mergeCell ref="I96:K96"/>
    <mergeCell ref="L96:N96"/>
    <mergeCell ref="O96:Q96"/>
    <mergeCell ref="U97:W97"/>
    <mergeCell ref="D98:E98"/>
    <mergeCell ref="F98:H98"/>
    <mergeCell ref="I98:K98"/>
    <mergeCell ref="L98:N98"/>
    <mergeCell ref="O98:Q98"/>
    <mergeCell ref="R98:T98"/>
    <mergeCell ref="U98:W98"/>
    <mergeCell ref="D97:E97"/>
    <mergeCell ref="F97:H97"/>
    <mergeCell ref="D94:E94"/>
    <mergeCell ref="F94:H94"/>
    <mergeCell ref="I94:K94"/>
    <mergeCell ref="L94:N94"/>
    <mergeCell ref="O94:Q94"/>
    <mergeCell ref="R94:T94"/>
    <mergeCell ref="U94:W94"/>
    <mergeCell ref="D93:E93"/>
    <mergeCell ref="F93:H93"/>
    <mergeCell ref="R96:T96"/>
    <mergeCell ref="U96:W96"/>
    <mergeCell ref="D95:E95"/>
    <mergeCell ref="F95:H95"/>
    <mergeCell ref="I95:K95"/>
    <mergeCell ref="L95:N95"/>
    <mergeCell ref="O95:Q95"/>
    <mergeCell ref="R95:T95"/>
    <mergeCell ref="R92:T92"/>
    <mergeCell ref="U92:W92"/>
    <mergeCell ref="D91:E91"/>
    <mergeCell ref="F91:H91"/>
    <mergeCell ref="I91:K91"/>
    <mergeCell ref="L91:N91"/>
    <mergeCell ref="O91:Q91"/>
    <mergeCell ref="R91:T91"/>
    <mergeCell ref="I93:K93"/>
    <mergeCell ref="L93:N93"/>
    <mergeCell ref="O93:Q93"/>
    <mergeCell ref="R93:T93"/>
    <mergeCell ref="U91:W91"/>
    <mergeCell ref="D92:E92"/>
    <mergeCell ref="F92:H92"/>
    <mergeCell ref="I92:K92"/>
    <mergeCell ref="L92:N92"/>
    <mergeCell ref="O92:Q92"/>
    <mergeCell ref="U93:W93"/>
    <mergeCell ref="I89:K89"/>
    <mergeCell ref="L89:N89"/>
    <mergeCell ref="O89:Q89"/>
    <mergeCell ref="R89:T89"/>
    <mergeCell ref="U87:W87"/>
    <mergeCell ref="D88:E88"/>
    <mergeCell ref="F88:H88"/>
    <mergeCell ref="I88:K88"/>
    <mergeCell ref="L88:N88"/>
    <mergeCell ref="O88:Q88"/>
    <mergeCell ref="U89:W89"/>
    <mergeCell ref="D90:E90"/>
    <mergeCell ref="F90:H90"/>
    <mergeCell ref="I90:K90"/>
    <mergeCell ref="L90:N90"/>
    <mergeCell ref="O90:Q90"/>
    <mergeCell ref="R90:T90"/>
    <mergeCell ref="U90:W90"/>
    <mergeCell ref="D89:E89"/>
    <mergeCell ref="F89:H89"/>
    <mergeCell ref="D86:E86"/>
    <mergeCell ref="F86:H86"/>
    <mergeCell ref="I86:K86"/>
    <mergeCell ref="L86:N86"/>
    <mergeCell ref="O86:Q86"/>
    <mergeCell ref="R86:T86"/>
    <mergeCell ref="U86:W86"/>
    <mergeCell ref="D85:E85"/>
    <mergeCell ref="F85:H85"/>
    <mergeCell ref="R88:T88"/>
    <mergeCell ref="U88:W88"/>
    <mergeCell ref="D87:E87"/>
    <mergeCell ref="F87:H87"/>
    <mergeCell ref="I87:K87"/>
    <mergeCell ref="L87:N87"/>
    <mergeCell ref="O87:Q87"/>
    <mergeCell ref="R87:T87"/>
    <mergeCell ref="B78:W78"/>
    <mergeCell ref="E80:P80"/>
    <mergeCell ref="B82:B84"/>
    <mergeCell ref="C82:C84"/>
    <mergeCell ref="D82:E84"/>
    <mergeCell ref="F82:H84"/>
    <mergeCell ref="I82:Q82"/>
    <mergeCell ref="I85:K85"/>
    <mergeCell ref="L85:N85"/>
    <mergeCell ref="O85:Q85"/>
    <mergeCell ref="R85:T85"/>
    <mergeCell ref="R82:T84"/>
    <mergeCell ref="U82:W84"/>
    <mergeCell ref="I83:Q83"/>
    <mergeCell ref="I84:K84"/>
    <mergeCell ref="L84:N84"/>
    <mergeCell ref="O84:Q84"/>
    <mergeCell ref="U85:W85"/>
    <mergeCell ref="D75:E75"/>
    <mergeCell ref="F75:H75"/>
    <mergeCell ref="I75:K75"/>
    <mergeCell ref="L75:N75"/>
    <mergeCell ref="O75:Q75"/>
    <mergeCell ref="R75:T75"/>
    <mergeCell ref="U75:W75"/>
    <mergeCell ref="D74:E74"/>
    <mergeCell ref="F74:H74"/>
    <mergeCell ref="D76:E76"/>
    <mergeCell ref="F76:H76"/>
    <mergeCell ref="I76:K76"/>
    <mergeCell ref="L76:N76"/>
    <mergeCell ref="O76:Q76"/>
    <mergeCell ref="R76:T76"/>
    <mergeCell ref="U76:W76"/>
    <mergeCell ref="B77:H77"/>
    <mergeCell ref="I77:W77"/>
    <mergeCell ref="R73:T73"/>
    <mergeCell ref="U73:W73"/>
    <mergeCell ref="D72:E72"/>
    <mergeCell ref="F72:H72"/>
    <mergeCell ref="I72:K72"/>
    <mergeCell ref="L72:N72"/>
    <mergeCell ref="O72:Q72"/>
    <mergeCell ref="R72:T72"/>
    <mergeCell ref="I74:K74"/>
    <mergeCell ref="L74:N74"/>
    <mergeCell ref="O74:Q74"/>
    <mergeCell ref="R74:T74"/>
    <mergeCell ref="U72:W72"/>
    <mergeCell ref="D73:E73"/>
    <mergeCell ref="F73:H73"/>
    <mergeCell ref="I73:K73"/>
    <mergeCell ref="L73:N73"/>
    <mergeCell ref="O73:Q73"/>
    <mergeCell ref="U74:W74"/>
    <mergeCell ref="I70:K70"/>
    <mergeCell ref="L70:N70"/>
    <mergeCell ref="O70:Q70"/>
    <mergeCell ref="R70:T70"/>
    <mergeCell ref="U68:W68"/>
    <mergeCell ref="D69:E69"/>
    <mergeCell ref="F69:H69"/>
    <mergeCell ref="I69:K69"/>
    <mergeCell ref="L69:N69"/>
    <mergeCell ref="O69:Q69"/>
    <mergeCell ref="U70:W70"/>
    <mergeCell ref="D71:E71"/>
    <mergeCell ref="F71:H71"/>
    <mergeCell ref="I71:K71"/>
    <mergeCell ref="L71:N71"/>
    <mergeCell ref="O71:Q71"/>
    <mergeCell ref="R71:T71"/>
    <mergeCell ref="U71:W71"/>
    <mergeCell ref="D70:E70"/>
    <mergeCell ref="F70:H70"/>
    <mergeCell ref="D67:E67"/>
    <mergeCell ref="F67:H67"/>
    <mergeCell ref="I67:K67"/>
    <mergeCell ref="L67:N67"/>
    <mergeCell ref="O67:Q67"/>
    <mergeCell ref="R67:T67"/>
    <mergeCell ref="U67:W67"/>
    <mergeCell ref="D66:E66"/>
    <mergeCell ref="F66:H66"/>
    <mergeCell ref="R69:T69"/>
    <mergeCell ref="U69:W69"/>
    <mergeCell ref="D68:E68"/>
    <mergeCell ref="F68:H68"/>
    <mergeCell ref="I68:K68"/>
    <mergeCell ref="L68:N68"/>
    <mergeCell ref="O68:Q68"/>
    <mergeCell ref="R68:T68"/>
    <mergeCell ref="R65:T65"/>
    <mergeCell ref="U65:W65"/>
    <mergeCell ref="D64:E64"/>
    <mergeCell ref="F64:H64"/>
    <mergeCell ref="I64:K64"/>
    <mergeCell ref="L64:N64"/>
    <mergeCell ref="O64:Q64"/>
    <mergeCell ref="R64:T64"/>
    <mergeCell ref="I66:K66"/>
    <mergeCell ref="L66:N66"/>
    <mergeCell ref="O66:Q66"/>
    <mergeCell ref="R66:T66"/>
    <mergeCell ref="U64:W64"/>
    <mergeCell ref="D65:E65"/>
    <mergeCell ref="F65:H65"/>
    <mergeCell ref="I65:K65"/>
    <mergeCell ref="L65:N65"/>
    <mergeCell ref="O65:Q65"/>
    <mergeCell ref="U66:W66"/>
    <mergeCell ref="I62:K62"/>
    <mergeCell ref="L62:N62"/>
    <mergeCell ref="O62:Q62"/>
    <mergeCell ref="R62:T62"/>
    <mergeCell ref="U60:W60"/>
    <mergeCell ref="D61:E61"/>
    <mergeCell ref="F61:H61"/>
    <mergeCell ref="I61:K61"/>
    <mergeCell ref="L61:N61"/>
    <mergeCell ref="O61:Q61"/>
    <mergeCell ref="U62:W62"/>
    <mergeCell ref="D63:E63"/>
    <mergeCell ref="F63:H63"/>
    <mergeCell ref="I63:K63"/>
    <mergeCell ref="L63:N63"/>
    <mergeCell ref="O63:Q63"/>
    <mergeCell ref="R63:T63"/>
    <mergeCell ref="U63:W63"/>
    <mergeCell ref="D62:E62"/>
    <mergeCell ref="F62:H62"/>
    <mergeCell ref="D59:E59"/>
    <mergeCell ref="F59:H59"/>
    <mergeCell ref="I59:K59"/>
    <mergeCell ref="L59:N59"/>
    <mergeCell ref="O59:Q59"/>
    <mergeCell ref="R59:T59"/>
    <mergeCell ref="U59:W59"/>
    <mergeCell ref="D58:E58"/>
    <mergeCell ref="F58:H58"/>
    <mergeCell ref="R61:T61"/>
    <mergeCell ref="U61:W61"/>
    <mergeCell ref="D60:E60"/>
    <mergeCell ref="F60:H60"/>
    <mergeCell ref="I60:K60"/>
    <mergeCell ref="L60:N60"/>
    <mergeCell ref="O60:Q60"/>
    <mergeCell ref="R60:T60"/>
    <mergeCell ref="R57:T57"/>
    <mergeCell ref="U57:W57"/>
    <mergeCell ref="D56:E56"/>
    <mergeCell ref="F56:H56"/>
    <mergeCell ref="I56:K56"/>
    <mergeCell ref="L56:N56"/>
    <mergeCell ref="O56:Q56"/>
    <mergeCell ref="R56:T56"/>
    <mergeCell ref="I58:K58"/>
    <mergeCell ref="L58:N58"/>
    <mergeCell ref="O58:Q58"/>
    <mergeCell ref="R58:T58"/>
    <mergeCell ref="U56:W56"/>
    <mergeCell ref="D57:E57"/>
    <mergeCell ref="F57:H57"/>
    <mergeCell ref="I57:K57"/>
    <mergeCell ref="L57:N57"/>
    <mergeCell ref="O57:Q57"/>
    <mergeCell ref="U58:W58"/>
    <mergeCell ref="I54:K54"/>
    <mergeCell ref="L54:N54"/>
    <mergeCell ref="O54:Q54"/>
    <mergeCell ref="R54:T54"/>
    <mergeCell ref="U52:W52"/>
    <mergeCell ref="D53:E53"/>
    <mergeCell ref="F53:H53"/>
    <mergeCell ref="I53:K53"/>
    <mergeCell ref="L53:N53"/>
    <mergeCell ref="O53:Q53"/>
    <mergeCell ref="U54:W54"/>
    <mergeCell ref="D55:E55"/>
    <mergeCell ref="F55:H55"/>
    <mergeCell ref="I55:K55"/>
    <mergeCell ref="L55:N55"/>
    <mergeCell ref="O55:Q55"/>
    <mergeCell ref="R55:T55"/>
    <mergeCell ref="U55:W55"/>
    <mergeCell ref="D54:E54"/>
    <mergeCell ref="F54:H54"/>
    <mergeCell ref="D51:E51"/>
    <mergeCell ref="F51:H51"/>
    <mergeCell ref="I51:K51"/>
    <mergeCell ref="L51:N51"/>
    <mergeCell ref="O51:Q51"/>
    <mergeCell ref="R51:T51"/>
    <mergeCell ref="U51:W51"/>
    <mergeCell ref="D50:E50"/>
    <mergeCell ref="F50:H50"/>
    <mergeCell ref="R53:T53"/>
    <mergeCell ref="U53:W53"/>
    <mergeCell ref="D52:E52"/>
    <mergeCell ref="F52:H52"/>
    <mergeCell ref="I52:K52"/>
    <mergeCell ref="L52:N52"/>
    <mergeCell ref="O52:Q52"/>
    <mergeCell ref="R52:T52"/>
    <mergeCell ref="R49:T49"/>
    <mergeCell ref="U49:W49"/>
    <mergeCell ref="D48:E48"/>
    <mergeCell ref="F48:H48"/>
    <mergeCell ref="I48:K48"/>
    <mergeCell ref="L48:N48"/>
    <mergeCell ref="O48:Q48"/>
    <mergeCell ref="R48:T48"/>
    <mergeCell ref="I50:K50"/>
    <mergeCell ref="L50:N50"/>
    <mergeCell ref="O50:Q50"/>
    <mergeCell ref="R50:T50"/>
    <mergeCell ref="U48:W48"/>
    <mergeCell ref="D49:E49"/>
    <mergeCell ref="F49:H49"/>
    <mergeCell ref="I49:K49"/>
    <mergeCell ref="L49:N49"/>
    <mergeCell ref="O49:Q49"/>
    <mergeCell ref="U50:W50"/>
    <mergeCell ref="I46:K46"/>
    <mergeCell ref="L46:N46"/>
    <mergeCell ref="O46:Q46"/>
    <mergeCell ref="R46:T46"/>
    <mergeCell ref="U44:W44"/>
    <mergeCell ref="D45:E45"/>
    <mergeCell ref="F45:H45"/>
    <mergeCell ref="I45:K45"/>
    <mergeCell ref="L45:N45"/>
    <mergeCell ref="O45:Q45"/>
    <mergeCell ref="U46:W46"/>
    <mergeCell ref="D47:E47"/>
    <mergeCell ref="F47:H47"/>
    <mergeCell ref="I47:K47"/>
    <mergeCell ref="L47:N47"/>
    <mergeCell ref="O47:Q47"/>
    <mergeCell ref="R47:T47"/>
    <mergeCell ref="U47:W47"/>
    <mergeCell ref="D46:E46"/>
    <mergeCell ref="F46:H46"/>
    <mergeCell ref="D43:E43"/>
    <mergeCell ref="F43:H43"/>
    <mergeCell ref="I43:K43"/>
    <mergeCell ref="L43:N43"/>
    <mergeCell ref="O43:Q43"/>
    <mergeCell ref="R43:T43"/>
    <mergeCell ref="U43:W43"/>
    <mergeCell ref="D42:E42"/>
    <mergeCell ref="F42:H42"/>
    <mergeCell ref="R45:T45"/>
    <mergeCell ref="U45:W45"/>
    <mergeCell ref="D44:E44"/>
    <mergeCell ref="F44:H44"/>
    <mergeCell ref="I44:K44"/>
    <mergeCell ref="L44:N44"/>
    <mergeCell ref="O44:Q44"/>
    <mergeCell ref="R44:T44"/>
    <mergeCell ref="R41:T41"/>
    <mergeCell ref="U41:W41"/>
    <mergeCell ref="D40:E40"/>
    <mergeCell ref="F40:H40"/>
    <mergeCell ref="I40:K40"/>
    <mergeCell ref="L40:N40"/>
    <mergeCell ref="O40:Q40"/>
    <mergeCell ref="R40:T40"/>
    <mergeCell ref="I42:K42"/>
    <mergeCell ref="L42:N42"/>
    <mergeCell ref="O42:Q42"/>
    <mergeCell ref="R42:T42"/>
    <mergeCell ref="U40:W40"/>
    <mergeCell ref="D41:E41"/>
    <mergeCell ref="F41:H41"/>
    <mergeCell ref="I41:K41"/>
    <mergeCell ref="L41:N41"/>
    <mergeCell ref="O41:Q41"/>
    <mergeCell ref="U42:W42"/>
    <mergeCell ref="I38:K38"/>
    <mergeCell ref="L38:N38"/>
    <mergeCell ref="O38:Q38"/>
    <mergeCell ref="R38:T38"/>
    <mergeCell ref="U36:W36"/>
    <mergeCell ref="D37:E37"/>
    <mergeCell ref="F37:H37"/>
    <mergeCell ref="I37:K37"/>
    <mergeCell ref="L37:N37"/>
    <mergeCell ref="O37:Q37"/>
    <mergeCell ref="U38:W38"/>
    <mergeCell ref="D39:E39"/>
    <mergeCell ref="F39:H39"/>
    <mergeCell ref="I39:K39"/>
    <mergeCell ref="L39:N39"/>
    <mergeCell ref="O39:Q39"/>
    <mergeCell ref="R39:T39"/>
    <mergeCell ref="U39:W39"/>
    <mergeCell ref="D38:E38"/>
    <mergeCell ref="F38:H38"/>
    <mergeCell ref="D35:E35"/>
    <mergeCell ref="F35:H35"/>
    <mergeCell ref="I35:K35"/>
    <mergeCell ref="L35:N35"/>
    <mergeCell ref="O35:Q35"/>
    <mergeCell ref="R35:T35"/>
    <mergeCell ref="U35:W35"/>
    <mergeCell ref="D34:E34"/>
    <mergeCell ref="F34:H34"/>
    <mergeCell ref="R37:T37"/>
    <mergeCell ref="U37:W37"/>
    <mergeCell ref="D36:E36"/>
    <mergeCell ref="F36:H36"/>
    <mergeCell ref="I36:K36"/>
    <mergeCell ref="L36:N36"/>
    <mergeCell ref="O36:Q36"/>
    <mergeCell ref="R36:T36"/>
    <mergeCell ref="R33:T33"/>
    <mergeCell ref="U33:W33"/>
    <mergeCell ref="D32:E32"/>
    <mergeCell ref="F32:H32"/>
    <mergeCell ref="I32:K32"/>
    <mergeCell ref="L32:N32"/>
    <mergeCell ref="O32:Q32"/>
    <mergeCell ref="R32:T32"/>
    <mergeCell ref="I34:K34"/>
    <mergeCell ref="L34:N34"/>
    <mergeCell ref="O34:Q34"/>
    <mergeCell ref="R34:T34"/>
    <mergeCell ref="U32:W32"/>
    <mergeCell ref="D33:E33"/>
    <mergeCell ref="F33:H33"/>
    <mergeCell ref="I33:K33"/>
    <mergeCell ref="L33:N33"/>
    <mergeCell ref="O33:Q33"/>
    <mergeCell ref="U34:W34"/>
    <mergeCell ref="I30:K30"/>
    <mergeCell ref="L30:N30"/>
    <mergeCell ref="O30:Q30"/>
    <mergeCell ref="R30:T30"/>
    <mergeCell ref="U28:W28"/>
    <mergeCell ref="D29:E29"/>
    <mergeCell ref="F29:H29"/>
    <mergeCell ref="I29:K29"/>
    <mergeCell ref="L29:N29"/>
    <mergeCell ref="O29:Q29"/>
    <mergeCell ref="U30:W30"/>
    <mergeCell ref="D31:E31"/>
    <mergeCell ref="F31:H31"/>
    <mergeCell ref="I31:K31"/>
    <mergeCell ref="L31:N31"/>
    <mergeCell ref="O31:Q31"/>
    <mergeCell ref="R31:T31"/>
    <mergeCell ref="U31:W31"/>
    <mergeCell ref="D30:E30"/>
    <mergeCell ref="F30:H30"/>
    <mergeCell ref="D27:E27"/>
    <mergeCell ref="F27:H27"/>
    <mergeCell ref="I27:K27"/>
    <mergeCell ref="L27:N27"/>
    <mergeCell ref="O27:Q27"/>
    <mergeCell ref="R27:T27"/>
    <mergeCell ref="U27:W27"/>
    <mergeCell ref="D26:E26"/>
    <mergeCell ref="F26:H26"/>
    <mergeCell ref="R29:T29"/>
    <mergeCell ref="U29:W29"/>
    <mergeCell ref="D28:E28"/>
    <mergeCell ref="F28:H28"/>
    <mergeCell ref="I28:K28"/>
    <mergeCell ref="L28:N28"/>
    <mergeCell ref="O28:Q28"/>
    <mergeCell ref="R28:T28"/>
    <mergeCell ref="R25:T25"/>
    <mergeCell ref="U25:W25"/>
    <mergeCell ref="D24:E24"/>
    <mergeCell ref="F24:H24"/>
    <mergeCell ref="I24:K24"/>
    <mergeCell ref="L24:N24"/>
    <mergeCell ref="O24:Q24"/>
    <mergeCell ref="R24:T24"/>
    <mergeCell ref="I26:K26"/>
    <mergeCell ref="L26:N26"/>
    <mergeCell ref="O26:Q26"/>
    <mergeCell ref="R26:T26"/>
    <mergeCell ref="U24:W24"/>
    <mergeCell ref="D25:E25"/>
    <mergeCell ref="F25:H25"/>
    <mergeCell ref="I25:K25"/>
    <mergeCell ref="L25:N25"/>
    <mergeCell ref="O25:Q25"/>
    <mergeCell ref="U26:W26"/>
    <mergeCell ref="I22:K22"/>
    <mergeCell ref="L22:N22"/>
    <mergeCell ref="O22:Q22"/>
    <mergeCell ref="R22:T22"/>
    <mergeCell ref="U20:W20"/>
    <mergeCell ref="D21:E21"/>
    <mergeCell ref="F21:H21"/>
    <mergeCell ref="I21:K21"/>
    <mergeCell ref="L21:N21"/>
    <mergeCell ref="O21:Q21"/>
    <mergeCell ref="U22:W22"/>
    <mergeCell ref="D23:E23"/>
    <mergeCell ref="F23:H23"/>
    <mergeCell ref="I23:K23"/>
    <mergeCell ref="L23:N23"/>
    <mergeCell ref="O23:Q23"/>
    <mergeCell ref="R23:T23"/>
    <mergeCell ref="U23:W23"/>
    <mergeCell ref="D22:E22"/>
    <mergeCell ref="F22:H22"/>
    <mergeCell ref="B9:W9"/>
    <mergeCell ref="B11:W11"/>
    <mergeCell ref="B13:D13"/>
    <mergeCell ref="E13:W13"/>
    <mergeCell ref="B15:W15"/>
    <mergeCell ref="B17:B19"/>
    <mergeCell ref="C17:C19"/>
    <mergeCell ref="D17:E19"/>
    <mergeCell ref="F17:H19"/>
    <mergeCell ref="I17:Q17"/>
    <mergeCell ref="R17:T19"/>
    <mergeCell ref="U17:W19"/>
    <mergeCell ref="I18:Q18"/>
    <mergeCell ref="I19:K19"/>
    <mergeCell ref="L19:N19"/>
    <mergeCell ref="O19:Q19"/>
    <mergeCell ref="R21:T21"/>
    <mergeCell ref="U21:W21"/>
    <mergeCell ref="D20:E20"/>
    <mergeCell ref="F20:H20"/>
    <mergeCell ref="I20:K20"/>
    <mergeCell ref="L20:N20"/>
    <mergeCell ref="O20:Q20"/>
    <mergeCell ref="R20:T20"/>
    <mergeCell ref="B2:W2"/>
    <mergeCell ref="B4:C4"/>
    <mergeCell ref="D4:E4"/>
    <mergeCell ref="F4:G4"/>
    <mergeCell ref="H4:I4"/>
    <mergeCell ref="J4:K4"/>
    <mergeCell ref="L4:M4"/>
    <mergeCell ref="N4:O4"/>
    <mergeCell ref="Q4:W4"/>
    <mergeCell ref="B5:C5"/>
    <mergeCell ref="D5:N5"/>
    <mergeCell ref="O5:P5"/>
    <mergeCell ref="Q5:R5"/>
    <mergeCell ref="S5:W5"/>
    <mergeCell ref="B6:C6"/>
    <mergeCell ref="D6:N6"/>
    <mergeCell ref="O6:P6"/>
    <mergeCell ref="Q6:R6"/>
    <mergeCell ref="S6:W6"/>
  </mergeCells>
  <phoneticPr fontId="4" type="noConversion"/>
  <conditionalFormatting sqref="B344:B345 B334:B342 B327:B331">
    <cfRule type="expression" dxfId="16" priority="20" stopIfTrue="1">
      <formula>#REF!=0</formula>
    </cfRule>
  </conditionalFormatting>
  <conditionalFormatting sqref="C344:C348 D341:W348 C341">
    <cfRule type="expression" dxfId="15" priority="21" stopIfTrue="1">
      <formula>$A$233=0</formula>
    </cfRule>
  </conditionalFormatting>
  <conditionalFormatting sqref="B85:B138 B40:B76">
    <cfRule type="expression" dxfId="14" priority="22" stopIfTrue="1">
      <formula>$A$53=1</formula>
    </cfRule>
  </conditionalFormatting>
  <conditionalFormatting sqref="O7:O8 Q6 R7:R8 S6:S8">
    <cfRule type="expression" dxfId="13" priority="19" stopIfTrue="1">
      <formula>#REF!=1</formula>
    </cfRule>
  </conditionalFormatting>
  <conditionalFormatting sqref="B149:B151">
    <cfRule type="expression" dxfId="12" priority="18" stopIfTrue="1">
      <formula>$A$50=1</formula>
    </cfRule>
  </conditionalFormatting>
  <conditionalFormatting sqref="B146">
    <cfRule type="expression" dxfId="11" priority="17" stopIfTrue="1">
      <formula>$A$50=1</formula>
    </cfRule>
  </conditionalFormatting>
  <conditionalFormatting sqref="B147:B148">
    <cfRule type="expression" dxfId="10" priority="16" stopIfTrue="1">
      <formula>$A$52=1</formula>
    </cfRule>
  </conditionalFormatting>
  <conditionalFormatting sqref="B152:B153">
    <cfRule type="expression" dxfId="9" priority="15" stopIfTrue="1">
      <formula>$A$50=1</formula>
    </cfRule>
  </conditionalFormatting>
  <conditionalFormatting sqref="B143:B144">
    <cfRule type="expression" dxfId="8" priority="13" stopIfTrue="1">
      <formula>$A$49=1</formula>
    </cfRule>
  </conditionalFormatting>
  <conditionalFormatting sqref="B229">
    <cfRule type="expression" dxfId="7" priority="12" stopIfTrue="1">
      <formula>$A$49=1</formula>
    </cfRule>
  </conditionalFormatting>
  <conditionalFormatting sqref="B164:B218">
    <cfRule type="expression" dxfId="6" priority="11" stopIfTrue="1">
      <formula>$A$49=1</formula>
    </cfRule>
  </conditionalFormatting>
  <conditionalFormatting sqref="M163:M217">
    <cfRule type="expression" dxfId="5" priority="10" stopIfTrue="1">
      <formula>$A$49=1</formula>
    </cfRule>
  </conditionalFormatting>
  <conditionalFormatting sqref="B223:B224 B227:B228">
    <cfRule type="expression" dxfId="4" priority="4" stopIfTrue="1">
      <formula>$A$49=1</formula>
    </cfRule>
  </conditionalFormatting>
  <conditionalFormatting sqref="B225:B226">
    <cfRule type="expression" dxfId="3" priority="3" stopIfTrue="1">
      <formula>$A$49=1</formula>
    </cfRule>
  </conditionalFormatting>
  <conditionalFormatting sqref="B346:B348">
    <cfRule type="expression" dxfId="2" priority="6" stopIfTrue="1">
      <formula>#REF!=0</formula>
    </cfRule>
  </conditionalFormatting>
  <conditionalFormatting sqref="B221:B222">
    <cfRule type="expression" dxfId="1" priority="1" stopIfTrue="1">
      <formula>$A$49=1</formula>
    </cfRule>
  </conditionalFormatting>
  <conditionalFormatting sqref="B219:B220">
    <cfRule type="expression" dxfId="0" priority="2" stopIfTrue="1">
      <formula>$A$49=1</formula>
    </cfRule>
  </conditionalFormatting>
  <printOptions horizontalCentered="1" verticalCentered="1"/>
  <pageMargins left="0.19685039370078741" right="0.19685039370078741" top="0.19685039370078741" bottom="0.19685039370078741" header="0.51181102362204722" footer="0.19685039370078741"/>
  <pageSetup paperSize="9" fitToHeight="4" orientation="portrait" r:id="rId1"/>
  <headerFooter alignWithMargins="0">
    <oddFooter>&amp;L第&amp;P頁/共&amp;N頁</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33"/>
  <sheetViews>
    <sheetView workbookViewId="0">
      <selection activeCell="C4" sqref="C4"/>
    </sheetView>
  </sheetViews>
  <sheetFormatPr defaultRowHeight="16.5"/>
  <cols>
    <col min="1" max="2" width="7.5" style="874" customWidth="1"/>
    <col min="3" max="3" width="12.83203125" style="874" customWidth="1"/>
    <col min="4" max="4" width="10" style="874" hidden="1" customWidth="1"/>
    <col min="5" max="5" width="14.1640625" style="874" customWidth="1"/>
    <col min="6" max="6" width="12.1640625" style="874" customWidth="1"/>
    <col min="7" max="7" width="10.6640625" style="874" customWidth="1"/>
    <col min="8" max="8" width="12.33203125" style="874" customWidth="1"/>
    <col min="9" max="9" width="14.1640625" style="874" customWidth="1"/>
    <col min="10" max="10" width="12.1640625" style="874" customWidth="1"/>
    <col min="11" max="11" width="10.6640625" style="874" customWidth="1"/>
    <col min="12" max="12" width="5.83203125" style="901" customWidth="1"/>
    <col min="13" max="13" width="12.83203125" style="874" hidden="1" customWidth="1"/>
    <col min="14" max="14" width="12.1640625" style="874" hidden="1" customWidth="1"/>
    <col min="15" max="15" width="10.1640625" style="874" hidden="1" customWidth="1"/>
    <col min="16" max="16" width="10.33203125" style="902" hidden="1" customWidth="1"/>
    <col min="17" max="29" width="10.1640625" style="902" hidden="1" customWidth="1"/>
    <col min="30" max="70" width="9.33203125" style="902" hidden="1" customWidth="1"/>
    <col min="71" max="16384" width="9.33203125" style="922"/>
  </cols>
  <sheetData>
    <row r="1" spans="1:70" ht="21.75" customHeight="1">
      <c r="A1" s="1239" t="str">
        <f ca="1">"6IWT " &amp; 輸入頁!O7 &amp; "歲" &amp; 輸入頁!K4 &amp; "性 " &amp; "保額" &amp; TEXT(輸入頁!J39,"###0") &amp; "萬(預定利率2.0%)"</f>
        <v>6IWT 33歲男性 保額34萬(預定利率2.0%)</v>
      </c>
      <c r="B1" s="1240"/>
      <c r="C1" s="1241"/>
      <c r="D1" s="1241"/>
      <c r="E1" s="1241"/>
      <c r="F1" s="1241"/>
      <c r="G1" s="1242"/>
      <c r="H1" s="1240" t="str">
        <f ca="1">"宣告利率" &amp; TEXT(輸入頁!E20*100,"##.00") &amp; "%"</f>
        <v>宣告利率2.69%</v>
      </c>
      <c r="I1" s="1243"/>
      <c r="J1" s="1243"/>
      <c r="K1" s="1244"/>
      <c r="L1" s="872"/>
      <c r="M1" s="873"/>
      <c r="N1" s="873"/>
    </row>
    <row r="2" spans="1:70" ht="21.75" customHeight="1" thickBot="1">
      <c r="A2" s="1233" t="str">
        <f>OP!$K$9</f>
        <v>繳費方式 1%折扣及高保額 1.0%折扣</v>
      </c>
      <c r="B2" s="1234"/>
      <c r="C2" s="1235"/>
      <c r="D2" s="1235"/>
      <c r="E2" s="1235"/>
      <c r="F2" s="1235"/>
      <c r="G2" s="1236"/>
      <c r="H2" s="1234" t="str">
        <f>輸入頁!E18</f>
        <v>儲存生息</v>
      </c>
      <c r="I2" s="1237"/>
      <c r="J2" s="1237"/>
      <c r="K2" s="1238"/>
      <c r="L2" s="872"/>
      <c r="M2" s="873">
        <f>IF(H2="現金給付",1,0)</f>
        <v>0</v>
      </c>
      <c r="N2" s="873"/>
      <c r="P2" s="902">
        <v>6</v>
      </c>
      <c r="Q2" s="902">
        <f t="shared" ref="Q2:BR2" si="0">P2+1</f>
        <v>7</v>
      </c>
      <c r="R2" s="902">
        <f t="shared" si="0"/>
        <v>8</v>
      </c>
      <c r="S2" s="902">
        <f t="shared" si="0"/>
        <v>9</v>
      </c>
      <c r="T2" s="902">
        <f t="shared" si="0"/>
        <v>10</v>
      </c>
      <c r="U2" s="902">
        <f t="shared" si="0"/>
        <v>11</v>
      </c>
      <c r="V2" s="902">
        <f t="shared" si="0"/>
        <v>12</v>
      </c>
      <c r="W2" s="902">
        <f t="shared" si="0"/>
        <v>13</v>
      </c>
      <c r="X2" s="902">
        <f t="shared" si="0"/>
        <v>14</v>
      </c>
      <c r="Y2" s="902">
        <f t="shared" si="0"/>
        <v>15</v>
      </c>
      <c r="Z2" s="902">
        <f t="shared" si="0"/>
        <v>16</v>
      </c>
      <c r="AA2" s="902">
        <f t="shared" si="0"/>
        <v>17</v>
      </c>
      <c r="AB2" s="902">
        <f t="shared" si="0"/>
        <v>18</v>
      </c>
      <c r="AC2" s="902">
        <f t="shared" si="0"/>
        <v>19</v>
      </c>
      <c r="AD2" s="902">
        <f t="shared" si="0"/>
        <v>20</v>
      </c>
      <c r="AE2" s="902">
        <f t="shared" si="0"/>
        <v>21</v>
      </c>
      <c r="AF2" s="902">
        <f t="shared" si="0"/>
        <v>22</v>
      </c>
      <c r="AG2" s="902">
        <f t="shared" si="0"/>
        <v>23</v>
      </c>
      <c r="AH2" s="902">
        <f t="shared" si="0"/>
        <v>24</v>
      </c>
      <c r="AI2" s="902">
        <f t="shared" si="0"/>
        <v>25</v>
      </c>
      <c r="AJ2" s="902">
        <f t="shared" si="0"/>
        <v>26</v>
      </c>
      <c r="AK2" s="902">
        <f t="shared" si="0"/>
        <v>27</v>
      </c>
      <c r="AL2" s="902">
        <f t="shared" si="0"/>
        <v>28</v>
      </c>
      <c r="AM2" s="902">
        <f t="shared" si="0"/>
        <v>29</v>
      </c>
      <c r="AN2" s="902">
        <f t="shared" si="0"/>
        <v>30</v>
      </c>
      <c r="AO2" s="902">
        <f t="shared" si="0"/>
        <v>31</v>
      </c>
      <c r="AP2" s="902">
        <f t="shared" si="0"/>
        <v>32</v>
      </c>
      <c r="AQ2" s="902">
        <f t="shared" si="0"/>
        <v>33</v>
      </c>
      <c r="AR2" s="902">
        <f t="shared" si="0"/>
        <v>34</v>
      </c>
      <c r="AS2" s="902">
        <f t="shared" si="0"/>
        <v>35</v>
      </c>
      <c r="AT2" s="902">
        <f t="shared" si="0"/>
        <v>36</v>
      </c>
      <c r="AU2" s="902">
        <f t="shared" si="0"/>
        <v>37</v>
      </c>
      <c r="AV2" s="902">
        <f t="shared" si="0"/>
        <v>38</v>
      </c>
      <c r="AW2" s="902">
        <f t="shared" si="0"/>
        <v>39</v>
      </c>
      <c r="AX2" s="902">
        <f t="shared" si="0"/>
        <v>40</v>
      </c>
      <c r="AY2" s="902">
        <f t="shared" si="0"/>
        <v>41</v>
      </c>
      <c r="AZ2" s="902">
        <f t="shared" si="0"/>
        <v>42</v>
      </c>
      <c r="BA2" s="902">
        <f t="shared" si="0"/>
        <v>43</v>
      </c>
      <c r="BB2" s="902">
        <f t="shared" si="0"/>
        <v>44</v>
      </c>
      <c r="BC2" s="902">
        <f t="shared" si="0"/>
        <v>45</v>
      </c>
      <c r="BD2" s="902">
        <f t="shared" si="0"/>
        <v>46</v>
      </c>
      <c r="BE2" s="902">
        <f t="shared" si="0"/>
        <v>47</v>
      </c>
      <c r="BF2" s="902">
        <f t="shared" si="0"/>
        <v>48</v>
      </c>
      <c r="BG2" s="902">
        <f t="shared" si="0"/>
        <v>49</v>
      </c>
      <c r="BH2" s="902">
        <f t="shared" si="0"/>
        <v>50</v>
      </c>
      <c r="BI2" s="902">
        <f t="shared" si="0"/>
        <v>51</v>
      </c>
      <c r="BJ2" s="902">
        <f t="shared" si="0"/>
        <v>52</v>
      </c>
      <c r="BK2" s="902">
        <f t="shared" si="0"/>
        <v>53</v>
      </c>
      <c r="BL2" s="902">
        <f t="shared" si="0"/>
        <v>54</v>
      </c>
      <c r="BM2" s="902">
        <f t="shared" si="0"/>
        <v>55</v>
      </c>
      <c r="BN2" s="902">
        <f t="shared" si="0"/>
        <v>56</v>
      </c>
      <c r="BO2" s="902">
        <f t="shared" si="0"/>
        <v>57</v>
      </c>
      <c r="BP2" s="902">
        <f t="shared" si="0"/>
        <v>58</v>
      </c>
      <c r="BQ2" s="902">
        <f t="shared" si="0"/>
        <v>59</v>
      </c>
      <c r="BR2" s="902">
        <f t="shared" si="0"/>
        <v>60</v>
      </c>
    </row>
    <row r="3" spans="1:70" ht="17.25" thickBot="1">
      <c r="A3" s="904" t="s">
        <v>79</v>
      </c>
      <c r="B3" s="875" t="s">
        <v>925</v>
      </c>
      <c r="C3" s="875" t="s">
        <v>1326</v>
      </c>
      <c r="D3" s="875" t="s">
        <v>1408</v>
      </c>
      <c r="E3" s="875" t="s">
        <v>1409</v>
      </c>
      <c r="F3" s="876" t="s">
        <v>1410</v>
      </c>
      <c r="G3" s="877" t="s">
        <v>1411</v>
      </c>
      <c r="H3" s="878" t="s">
        <v>1421</v>
      </c>
      <c r="I3" s="878" t="s">
        <v>1412</v>
      </c>
      <c r="J3" s="876" t="s">
        <v>1413</v>
      </c>
      <c r="K3" s="877" t="s">
        <v>1414</v>
      </c>
      <c r="L3" s="879"/>
      <c r="M3" s="873"/>
      <c r="N3" s="873"/>
      <c r="P3" s="903">
        <f t="shared" ref="P3:P8" ca="1" si="1">-C4</f>
        <v>-166833</v>
      </c>
      <c r="Q3" s="903">
        <f t="shared" ref="Q3:BR7" ca="1" si="2">P3</f>
        <v>-166833</v>
      </c>
      <c r="R3" s="903">
        <f t="shared" ca="1" si="2"/>
        <v>-166833</v>
      </c>
      <c r="S3" s="903">
        <f t="shared" ca="1" si="2"/>
        <v>-166833</v>
      </c>
      <c r="T3" s="903">
        <f t="shared" ca="1" si="2"/>
        <v>-166833</v>
      </c>
      <c r="U3" s="903">
        <f t="shared" ca="1" si="2"/>
        <v>-166833</v>
      </c>
      <c r="V3" s="903">
        <f t="shared" ca="1" si="2"/>
        <v>-166833</v>
      </c>
      <c r="W3" s="903">
        <f t="shared" ca="1" si="2"/>
        <v>-166833</v>
      </c>
      <c r="X3" s="903">
        <f t="shared" ca="1" si="2"/>
        <v>-166833</v>
      </c>
      <c r="Y3" s="903">
        <f t="shared" ca="1" si="2"/>
        <v>-166833</v>
      </c>
      <c r="Z3" s="903">
        <f t="shared" ca="1" si="2"/>
        <v>-166833</v>
      </c>
      <c r="AA3" s="903">
        <f t="shared" ca="1" si="2"/>
        <v>-166833</v>
      </c>
      <c r="AB3" s="903">
        <f t="shared" ca="1" si="2"/>
        <v>-166833</v>
      </c>
      <c r="AC3" s="903">
        <f t="shared" ca="1" si="2"/>
        <v>-166833</v>
      </c>
      <c r="AD3" s="903">
        <f t="shared" ca="1" si="2"/>
        <v>-166833</v>
      </c>
      <c r="AE3" s="903">
        <f t="shared" ca="1" si="2"/>
        <v>-166833</v>
      </c>
      <c r="AF3" s="903">
        <f t="shared" ca="1" si="2"/>
        <v>-166833</v>
      </c>
      <c r="AG3" s="903">
        <f t="shared" ca="1" si="2"/>
        <v>-166833</v>
      </c>
      <c r="AH3" s="903">
        <f t="shared" ca="1" si="2"/>
        <v>-166833</v>
      </c>
      <c r="AI3" s="903">
        <f t="shared" ca="1" si="2"/>
        <v>-166833</v>
      </c>
      <c r="AJ3" s="903">
        <f t="shared" ca="1" si="2"/>
        <v>-166833</v>
      </c>
      <c r="AK3" s="903">
        <f t="shared" ca="1" si="2"/>
        <v>-166833</v>
      </c>
      <c r="AL3" s="903">
        <f t="shared" ca="1" si="2"/>
        <v>-166833</v>
      </c>
      <c r="AM3" s="903">
        <f t="shared" ca="1" si="2"/>
        <v>-166833</v>
      </c>
      <c r="AN3" s="903">
        <f t="shared" ca="1" si="2"/>
        <v>-166833</v>
      </c>
      <c r="AO3" s="903">
        <f t="shared" ca="1" si="2"/>
        <v>-166833</v>
      </c>
      <c r="AP3" s="903">
        <f t="shared" ca="1" si="2"/>
        <v>-166833</v>
      </c>
      <c r="AQ3" s="903">
        <f t="shared" ca="1" si="2"/>
        <v>-166833</v>
      </c>
      <c r="AR3" s="903">
        <f t="shared" ca="1" si="2"/>
        <v>-166833</v>
      </c>
      <c r="AS3" s="903">
        <f t="shared" ca="1" si="2"/>
        <v>-166833</v>
      </c>
      <c r="AT3" s="903">
        <f t="shared" ca="1" si="2"/>
        <v>-166833</v>
      </c>
      <c r="AU3" s="903">
        <f t="shared" ca="1" si="2"/>
        <v>-166833</v>
      </c>
      <c r="AV3" s="903">
        <f t="shared" ca="1" si="2"/>
        <v>-166833</v>
      </c>
      <c r="AW3" s="903">
        <f t="shared" ca="1" si="2"/>
        <v>-166833</v>
      </c>
      <c r="AX3" s="903">
        <f t="shared" ca="1" si="2"/>
        <v>-166833</v>
      </c>
      <c r="AY3" s="903">
        <f t="shared" ca="1" si="2"/>
        <v>-166833</v>
      </c>
      <c r="AZ3" s="903">
        <f t="shared" ca="1" si="2"/>
        <v>-166833</v>
      </c>
      <c r="BA3" s="903">
        <f t="shared" ca="1" si="2"/>
        <v>-166833</v>
      </c>
      <c r="BB3" s="903">
        <f t="shared" ca="1" si="2"/>
        <v>-166833</v>
      </c>
      <c r="BC3" s="903">
        <f t="shared" ca="1" si="2"/>
        <v>-166833</v>
      </c>
      <c r="BD3" s="903">
        <f t="shared" ca="1" si="2"/>
        <v>-166833</v>
      </c>
      <c r="BE3" s="903">
        <f t="shared" ca="1" si="2"/>
        <v>-166833</v>
      </c>
      <c r="BF3" s="903">
        <f t="shared" ca="1" si="2"/>
        <v>-166833</v>
      </c>
      <c r="BG3" s="903">
        <f t="shared" ca="1" si="2"/>
        <v>-166833</v>
      </c>
      <c r="BH3" s="903">
        <f t="shared" ca="1" si="2"/>
        <v>-166833</v>
      </c>
      <c r="BI3" s="903">
        <f t="shared" ca="1" si="2"/>
        <v>-166833</v>
      </c>
      <c r="BJ3" s="903">
        <f t="shared" ca="1" si="2"/>
        <v>-166833</v>
      </c>
      <c r="BK3" s="903">
        <f t="shared" ca="1" si="2"/>
        <v>-166833</v>
      </c>
      <c r="BL3" s="903">
        <f t="shared" ca="1" si="2"/>
        <v>-166833</v>
      </c>
      <c r="BM3" s="903">
        <f t="shared" ca="1" si="2"/>
        <v>-166833</v>
      </c>
      <c r="BN3" s="903">
        <f t="shared" ca="1" si="2"/>
        <v>-166833</v>
      </c>
      <c r="BO3" s="903">
        <f t="shared" ca="1" si="2"/>
        <v>-166833</v>
      </c>
      <c r="BP3" s="903">
        <f t="shared" ca="1" si="2"/>
        <v>-166833</v>
      </c>
      <c r="BQ3" s="903">
        <f t="shared" ca="1" si="2"/>
        <v>-166833</v>
      </c>
      <c r="BR3" s="903">
        <f t="shared" ca="1" si="2"/>
        <v>-166833</v>
      </c>
    </row>
    <row r="4" spans="1:70">
      <c r="A4" s="905">
        <v>1</v>
      </c>
      <c r="B4" s="923">
        <f ca="1">列印頁!C18</f>
        <v>33</v>
      </c>
      <c r="C4" s="924">
        <f ca="1">列印頁!D18</f>
        <v>166833</v>
      </c>
      <c r="D4" s="924">
        <v>0</v>
      </c>
      <c r="E4" s="924">
        <f ca="1">列印頁!P18</f>
        <v>79016</v>
      </c>
      <c r="F4" s="880"/>
      <c r="G4" s="881"/>
      <c r="H4" s="925">
        <v>0</v>
      </c>
      <c r="I4" s="925">
        <f ca="1">'列印頁-簡'!U20</f>
        <v>79743</v>
      </c>
      <c r="J4" s="880"/>
      <c r="K4" s="881"/>
      <c r="L4" s="882"/>
      <c r="N4" s="883">
        <f ca="1">E4</f>
        <v>79016</v>
      </c>
      <c r="P4" s="903">
        <f t="shared" ca="1" si="1"/>
        <v>-166833</v>
      </c>
      <c r="Q4" s="903">
        <f t="shared" ca="1" si="2"/>
        <v>-166833</v>
      </c>
      <c r="R4" s="903">
        <f t="shared" ca="1" si="2"/>
        <v>-166833</v>
      </c>
      <c r="S4" s="903">
        <f t="shared" ca="1" si="2"/>
        <v>-166833</v>
      </c>
      <c r="T4" s="903">
        <f t="shared" ca="1" si="2"/>
        <v>-166833</v>
      </c>
      <c r="U4" s="903">
        <f t="shared" ca="1" si="2"/>
        <v>-166833</v>
      </c>
      <c r="V4" s="903">
        <f t="shared" ca="1" si="2"/>
        <v>-166833</v>
      </c>
      <c r="W4" s="903">
        <f t="shared" ca="1" si="2"/>
        <v>-166833</v>
      </c>
      <c r="X4" s="903">
        <f t="shared" ca="1" si="2"/>
        <v>-166833</v>
      </c>
      <c r="Y4" s="903">
        <f t="shared" ca="1" si="2"/>
        <v>-166833</v>
      </c>
      <c r="Z4" s="903">
        <f t="shared" ca="1" si="2"/>
        <v>-166833</v>
      </c>
      <c r="AA4" s="903">
        <f t="shared" ca="1" si="2"/>
        <v>-166833</v>
      </c>
      <c r="AB4" s="903">
        <f t="shared" ca="1" si="2"/>
        <v>-166833</v>
      </c>
      <c r="AC4" s="903">
        <f t="shared" ca="1" si="2"/>
        <v>-166833</v>
      </c>
      <c r="AD4" s="903">
        <f t="shared" ca="1" si="2"/>
        <v>-166833</v>
      </c>
      <c r="AE4" s="903">
        <f t="shared" ca="1" si="2"/>
        <v>-166833</v>
      </c>
      <c r="AF4" s="903">
        <f t="shared" ca="1" si="2"/>
        <v>-166833</v>
      </c>
      <c r="AG4" s="903">
        <f t="shared" ca="1" si="2"/>
        <v>-166833</v>
      </c>
      <c r="AH4" s="903">
        <f t="shared" ca="1" si="2"/>
        <v>-166833</v>
      </c>
      <c r="AI4" s="903">
        <f t="shared" ca="1" si="2"/>
        <v>-166833</v>
      </c>
      <c r="AJ4" s="903">
        <f t="shared" ca="1" si="2"/>
        <v>-166833</v>
      </c>
      <c r="AK4" s="903">
        <f t="shared" ca="1" si="2"/>
        <v>-166833</v>
      </c>
      <c r="AL4" s="903">
        <f t="shared" ca="1" si="2"/>
        <v>-166833</v>
      </c>
      <c r="AM4" s="903">
        <f t="shared" ca="1" si="2"/>
        <v>-166833</v>
      </c>
      <c r="AN4" s="903">
        <f t="shared" ca="1" si="2"/>
        <v>-166833</v>
      </c>
      <c r="AO4" s="903">
        <f t="shared" ca="1" si="2"/>
        <v>-166833</v>
      </c>
      <c r="AP4" s="903">
        <f t="shared" ca="1" si="2"/>
        <v>-166833</v>
      </c>
      <c r="AQ4" s="903">
        <f t="shared" ca="1" si="2"/>
        <v>-166833</v>
      </c>
      <c r="AR4" s="903">
        <f t="shared" ca="1" si="2"/>
        <v>-166833</v>
      </c>
      <c r="AS4" s="903">
        <f t="shared" ca="1" si="2"/>
        <v>-166833</v>
      </c>
      <c r="AT4" s="903">
        <f t="shared" ca="1" si="2"/>
        <v>-166833</v>
      </c>
      <c r="AU4" s="903">
        <f t="shared" ca="1" si="2"/>
        <v>-166833</v>
      </c>
      <c r="AV4" s="903">
        <f t="shared" ca="1" si="2"/>
        <v>-166833</v>
      </c>
      <c r="AW4" s="903">
        <f t="shared" ca="1" si="2"/>
        <v>-166833</v>
      </c>
      <c r="AX4" s="903">
        <f t="shared" ca="1" si="2"/>
        <v>-166833</v>
      </c>
      <c r="AY4" s="903">
        <f t="shared" ca="1" si="2"/>
        <v>-166833</v>
      </c>
      <c r="AZ4" s="903">
        <f t="shared" ca="1" si="2"/>
        <v>-166833</v>
      </c>
      <c r="BA4" s="903">
        <f t="shared" ca="1" si="2"/>
        <v>-166833</v>
      </c>
      <c r="BB4" s="903">
        <f t="shared" ca="1" si="2"/>
        <v>-166833</v>
      </c>
      <c r="BC4" s="903">
        <f t="shared" ca="1" si="2"/>
        <v>-166833</v>
      </c>
      <c r="BD4" s="903">
        <f t="shared" ca="1" si="2"/>
        <v>-166833</v>
      </c>
      <c r="BE4" s="903">
        <f t="shared" ca="1" si="2"/>
        <v>-166833</v>
      </c>
      <c r="BF4" s="903">
        <f t="shared" ca="1" si="2"/>
        <v>-166833</v>
      </c>
      <c r="BG4" s="903">
        <f t="shared" ca="1" si="2"/>
        <v>-166833</v>
      </c>
      <c r="BH4" s="903">
        <f t="shared" ca="1" si="2"/>
        <v>-166833</v>
      </c>
      <c r="BI4" s="903">
        <f t="shared" ca="1" si="2"/>
        <v>-166833</v>
      </c>
      <c r="BJ4" s="903">
        <f t="shared" ca="1" si="2"/>
        <v>-166833</v>
      </c>
      <c r="BK4" s="903">
        <f t="shared" ca="1" si="2"/>
        <v>-166833</v>
      </c>
      <c r="BL4" s="903">
        <f t="shared" ca="1" si="2"/>
        <v>-166833</v>
      </c>
      <c r="BM4" s="903">
        <f t="shared" ca="1" si="2"/>
        <v>-166833</v>
      </c>
      <c r="BN4" s="903">
        <f t="shared" ca="1" si="2"/>
        <v>-166833</v>
      </c>
      <c r="BO4" s="903">
        <f t="shared" ca="1" si="2"/>
        <v>-166833</v>
      </c>
      <c r="BP4" s="903">
        <f t="shared" ca="1" si="2"/>
        <v>-166833</v>
      </c>
      <c r="BQ4" s="903">
        <f t="shared" ca="1" si="2"/>
        <v>-166833</v>
      </c>
      <c r="BR4" s="903">
        <f t="shared" ca="1" si="2"/>
        <v>-166833</v>
      </c>
    </row>
    <row r="5" spans="1:70">
      <c r="A5" s="906">
        <f t="shared" ref="A5:B20" si="3">A4+1</f>
        <v>2</v>
      </c>
      <c r="B5" s="884">
        <f t="shared" ca="1" si="3"/>
        <v>34</v>
      </c>
      <c r="C5" s="926">
        <f ca="1">列印頁!D19</f>
        <v>166833</v>
      </c>
      <c r="D5" s="926">
        <v>0</v>
      </c>
      <c r="E5" s="926">
        <f ca="1">列印頁!P19</f>
        <v>224502</v>
      </c>
      <c r="F5" s="885"/>
      <c r="G5" s="886"/>
      <c r="H5" s="927">
        <v>0</v>
      </c>
      <c r="I5" s="927">
        <f ca="1">'列印頁-簡'!U21</f>
        <v>227184</v>
      </c>
      <c r="J5" s="885"/>
      <c r="K5" s="886"/>
      <c r="L5" s="882"/>
      <c r="N5" s="883">
        <f t="shared" ref="N5:N63" ca="1" si="4">E5</f>
        <v>224502</v>
      </c>
      <c r="P5" s="903">
        <f t="shared" ca="1" si="1"/>
        <v>-166833</v>
      </c>
      <c r="Q5" s="903">
        <f t="shared" ca="1" si="2"/>
        <v>-166833</v>
      </c>
      <c r="R5" s="903">
        <f t="shared" ca="1" si="2"/>
        <v>-166833</v>
      </c>
      <c r="S5" s="903">
        <f t="shared" ca="1" si="2"/>
        <v>-166833</v>
      </c>
      <c r="T5" s="903">
        <f t="shared" ca="1" si="2"/>
        <v>-166833</v>
      </c>
      <c r="U5" s="903">
        <f t="shared" ca="1" si="2"/>
        <v>-166833</v>
      </c>
      <c r="V5" s="903">
        <f t="shared" ca="1" si="2"/>
        <v>-166833</v>
      </c>
      <c r="W5" s="903">
        <f t="shared" ca="1" si="2"/>
        <v>-166833</v>
      </c>
      <c r="X5" s="903">
        <f t="shared" ca="1" si="2"/>
        <v>-166833</v>
      </c>
      <c r="Y5" s="903">
        <f t="shared" ca="1" si="2"/>
        <v>-166833</v>
      </c>
      <c r="Z5" s="903">
        <f t="shared" ca="1" si="2"/>
        <v>-166833</v>
      </c>
      <c r="AA5" s="903">
        <f t="shared" ca="1" si="2"/>
        <v>-166833</v>
      </c>
      <c r="AB5" s="903">
        <f t="shared" ca="1" si="2"/>
        <v>-166833</v>
      </c>
      <c r="AC5" s="903">
        <f t="shared" ca="1" si="2"/>
        <v>-166833</v>
      </c>
      <c r="AD5" s="903">
        <f t="shared" ca="1" si="2"/>
        <v>-166833</v>
      </c>
      <c r="AE5" s="903">
        <f t="shared" ca="1" si="2"/>
        <v>-166833</v>
      </c>
      <c r="AF5" s="903">
        <f t="shared" ca="1" si="2"/>
        <v>-166833</v>
      </c>
      <c r="AG5" s="903">
        <f t="shared" ca="1" si="2"/>
        <v>-166833</v>
      </c>
      <c r="AH5" s="903">
        <f t="shared" ca="1" si="2"/>
        <v>-166833</v>
      </c>
      <c r="AI5" s="903">
        <f t="shared" ca="1" si="2"/>
        <v>-166833</v>
      </c>
      <c r="AJ5" s="903">
        <f t="shared" ca="1" si="2"/>
        <v>-166833</v>
      </c>
      <c r="AK5" s="903">
        <f t="shared" ca="1" si="2"/>
        <v>-166833</v>
      </c>
      <c r="AL5" s="903">
        <f t="shared" ca="1" si="2"/>
        <v>-166833</v>
      </c>
      <c r="AM5" s="903">
        <f t="shared" ca="1" si="2"/>
        <v>-166833</v>
      </c>
      <c r="AN5" s="903">
        <f t="shared" ca="1" si="2"/>
        <v>-166833</v>
      </c>
      <c r="AO5" s="903">
        <f t="shared" ca="1" si="2"/>
        <v>-166833</v>
      </c>
      <c r="AP5" s="903">
        <f t="shared" ca="1" si="2"/>
        <v>-166833</v>
      </c>
      <c r="AQ5" s="903">
        <f t="shared" ca="1" si="2"/>
        <v>-166833</v>
      </c>
      <c r="AR5" s="903">
        <f t="shared" ca="1" si="2"/>
        <v>-166833</v>
      </c>
      <c r="AS5" s="903">
        <f t="shared" ca="1" si="2"/>
        <v>-166833</v>
      </c>
      <c r="AT5" s="903">
        <f t="shared" ca="1" si="2"/>
        <v>-166833</v>
      </c>
      <c r="AU5" s="903">
        <f t="shared" ca="1" si="2"/>
        <v>-166833</v>
      </c>
      <c r="AV5" s="903">
        <f t="shared" ca="1" si="2"/>
        <v>-166833</v>
      </c>
      <c r="AW5" s="903">
        <f t="shared" ca="1" si="2"/>
        <v>-166833</v>
      </c>
      <c r="AX5" s="903">
        <f t="shared" ca="1" si="2"/>
        <v>-166833</v>
      </c>
      <c r="AY5" s="903">
        <f t="shared" ca="1" si="2"/>
        <v>-166833</v>
      </c>
      <c r="AZ5" s="903">
        <f t="shared" ca="1" si="2"/>
        <v>-166833</v>
      </c>
      <c r="BA5" s="903">
        <f t="shared" ca="1" si="2"/>
        <v>-166833</v>
      </c>
      <c r="BB5" s="903">
        <f t="shared" ca="1" si="2"/>
        <v>-166833</v>
      </c>
      <c r="BC5" s="903">
        <f t="shared" ca="1" si="2"/>
        <v>-166833</v>
      </c>
      <c r="BD5" s="903">
        <f t="shared" ca="1" si="2"/>
        <v>-166833</v>
      </c>
      <c r="BE5" s="903">
        <f t="shared" ca="1" si="2"/>
        <v>-166833</v>
      </c>
      <c r="BF5" s="903">
        <f t="shared" ca="1" si="2"/>
        <v>-166833</v>
      </c>
      <c r="BG5" s="903">
        <f t="shared" ca="1" si="2"/>
        <v>-166833</v>
      </c>
      <c r="BH5" s="903">
        <f t="shared" ca="1" si="2"/>
        <v>-166833</v>
      </c>
      <c r="BI5" s="903">
        <f t="shared" ca="1" si="2"/>
        <v>-166833</v>
      </c>
      <c r="BJ5" s="903">
        <f t="shared" ca="1" si="2"/>
        <v>-166833</v>
      </c>
      <c r="BK5" s="903">
        <f t="shared" ca="1" si="2"/>
        <v>-166833</v>
      </c>
      <c r="BL5" s="903">
        <f t="shared" ca="1" si="2"/>
        <v>-166833</v>
      </c>
      <c r="BM5" s="903">
        <f t="shared" ca="1" si="2"/>
        <v>-166833</v>
      </c>
      <c r="BN5" s="903">
        <f t="shared" ca="1" si="2"/>
        <v>-166833</v>
      </c>
      <c r="BO5" s="903">
        <f t="shared" ca="1" si="2"/>
        <v>-166833</v>
      </c>
      <c r="BP5" s="903">
        <f t="shared" ca="1" si="2"/>
        <v>-166833</v>
      </c>
      <c r="BQ5" s="903">
        <f t="shared" ca="1" si="2"/>
        <v>-166833</v>
      </c>
      <c r="BR5" s="903">
        <f t="shared" ca="1" si="2"/>
        <v>-166833</v>
      </c>
    </row>
    <row r="6" spans="1:70">
      <c r="A6" s="906">
        <f t="shared" si="3"/>
        <v>3</v>
      </c>
      <c r="B6" s="884">
        <f t="shared" ca="1" si="3"/>
        <v>35</v>
      </c>
      <c r="C6" s="926">
        <f ca="1">列印頁!D20</f>
        <v>166833</v>
      </c>
      <c r="D6" s="926">
        <v>0</v>
      </c>
      <c r="E6" s="926">
        <f ca="1">列印頁!P20</f>
        <v>390524</v>
      </c>
      <c r="F6" s="885"/>
      <c r="G6" s="886"/>
      <c r="H6" s="927">
        <v>0</v>
      </c>
      <c r="I6" s="927">
        <f ca="1">'列印頁-簡'!U22</f>
        <v>396450</v>
      </c>
      <c r="J6" s="885"/>
      <c r="K6" s="886"/>
      <c r="L6" s="882"/>
      <c r="N6" s="883">
        <f t="shared" ca="1" si="4"/>
        <v>390524</v>
      </c>
      <c r="P6" s="903">
        <f t="shared" ca="1" si="1"/>
        <v>-166833</v>
      </c>
      <c r="Q6" s="903">
        <f t="shared" ca="1" si="2"/>
        <v>-166833</v>
      </c>
      <c r="R6" s="903">
        <f t="shared" ca="1" si="2"/>
        <v>-166833</v>
      </c>
      <c r="S6" s="903">
        <f t="shared" ca="1" si="2"/>
        <v>-166833</v>
      </c>
      <c r="T6" s="903">
        <f t="shared" ca="1" si="2"/>
        <v>-166833</v>
      </c>
      <c r="U6" s="903">
        <f t="shared" ca="1" si="2"/>
        <v>-166833</v>
      </c>
      <c r="V6" s="903">
        <f t="shared" ca="1" si="2"/>
        <v>-166833</v>
      </c>
      <c r="W6" s="903">
        <f t="shared" ca="1" si="2"/>
        <v>-166833</v>
      </c>
      <c r="X6" s="903">
        <f t="shared" ca="1" si="2"/>
        <v>-166833</v>
      </c>
      <c r="Y6" s="903">
        <f t="shared" ca="1" si="2"/>
        <v>-166833</v>
      </c>
      <c r="Z6" s="903">
        <f t="shared" ca="1" si="2"/>
        <v>-166833</v>
      </c>
      <c r="AA6" s="903">
        <f t="shared" ca="1" si="2"/>
        <v>-166833</v>
      </c>
      <c r="AB6" s="903">
        <f t="shared" ca="1" si="2"/>
        <v>-166833</v>
      </c>
      <c r="AC6" s="903">
        <f t="shared" ca="1" si="2"/>
        <v>-166833</v>
      </c>
      <c r="AD6" s="903">
        <f t="shared" ca="1" si="2"/>
        <v>-166833</v>
      </c>
      <c r="AE6" s="903">
        <f t="shared" ca="1" si="2"/>
        <v>-166833</v>
      </c>
      <c r="AF6" s="903">
        <f t="shared" ca="1" si="2"/>
        <v>-166833</v>
      </c>
      <c r="AG6" s="903">
        <f t="shared" ca="1" si="2"/>
        <v>-166833</v>
      </c>
      <c r="AH6" s="903">
        <f t="shared" ca="1" si="2"/>
        <v>-166833</v>
      </c>
      <c r="AI6" s="903">
        <f t="shared" ca="1" si="2"/>
        <v>-166833</v>
      </c>
      <c r="AJ6" s="903">
        <f t="shared" ca="1" si="2"/>
        <v>-166833</v>
      </c>
      <c r="AK6" s="903">
        <f t="shared" ca="1" si="2"/>
        <v>-166833</v>
      </c>
      <c r="AL6" s="903">
        <f t="shared" ca="1" si="2"/>
        <v>-166833</v>
      </c>
      <c r="AM6" s="903">
        <f t="shared" ca="1" si="2"/>
        <v>-166833</v>
      </c>
      <c r="AN6" s="903">
        <f t="shared" ca="1" si="2"/>
        <v>-166833</v>
      </c>
      <c r="AO6" s="903">
        <f t="shared" ca="1" si="2"/>
        <v>-166833</v>
      </c>
      <c r="AP6" s="903">
        <f t="shared" ca="1" si="2"/>
        <v>-166833</v>
      </c>
      <c r="AQ6" s="903">
        <f t="shared" ca="1" si="2"/>
        <v>-166833</v>
      </c>
      <c r="AR6" s="903">
        <f t="shared" ca="1" si="2"/>
        <v>-166833</v>
      </c>
      <c r="AS6" s="903">
        <f t="shared" ca="1" si="2"/>
        <v>-166833</v>
      </c>
      <c r="AT6" s="903">
        <f t="shared" ca="1" si="2"/>
        <v>-166833</v>
      </c>
      <c r="AU6" s="903">
        <f t="shared" ca="1" si="2"/>
        <v>-166833</v>
      </c>
      <c r="AV6" s="903">
        <f t="shared" ca="1" si="2"/>
        <v>-166833</v>
      </c>
      <c r="AW6" s="903">
        <f t="shared" ca="1" si="2"/>
        <v>-166833</v>
      </c>
      <c r="AX6" s="903">
        <f t="shared" ca="1" si="2"/>
        <v>-166833</v>
      </c>
      <c r="AY6" s="903">
        <f t="shared" ca="1" si="2"/>
        <v>-166833</v>
      </c>
      <c r="AZ6" s="903">
        <f t="shared" ca="1" si="2"/>
        <v>-166833</v>
      </c>
      <c r="BA6" s="903">
        <f t="shared" ca="1" si="2"/>
        <v>-166833</v>
      </c>
      <c r="BB6" s="903">
        <f t="shared" ca="1" si="2"/>
        <v>-166833</v>
      </c>
      <c r="BC6" s="903">
        <f t="shared" ca="1" si="2"/>
        <v>-166833</v>
      </c>
      <c r="BD6" s="903">
        <f t="shared" ca="1" si="2"/>
        <v>-166833</v>
      </c>
      <c r="BE6" s="903">
        <f t="shared" ca="1" si="2"/>
        <v>-166833</v>
      </c>
      <c r="BF6" s="903">
        <f t="shared" ca="1" si="2"/>
        <v>-166833</v>
      </c>
      <c r="BG6" s="903">
        <f t="shared" ca="1" si="2"/>
        <v>-166833</v>
      </c>
      <c r="BH6" s="903">
        <f t="shared" ca="1" si="2"/>
        <v>-166833</v>
      </c>
      <c r="BI6" s="903">
        <f t="shared" ca="1" si="2"/>
        <v>-166833</v>
      </c>
      <c r="BJ6" s="903">
        <f t="shared" ca="1" si="2"/>
        <v>-166833</v>
      </c>
      <c r="BK6" s="903">
        <f t="shared" ca="1" si="2"/>
        <v>-166833</v>
      </c>
      <c r="BL6" s="903">
        <f t="shared" ca="1" si="2"/>
        <v>-166833</v>
      </c>
      <c r="BM6" s="903">
        <f t="shared" ca="1" si="2"/>
        <v>-166833</v>
      </c>
      <c r="BN6" s="903">
        <f t="shared" ca="1" si="2"/>
        <v>-166833</v>
      </c>
      <c r="BO6" s="903">
        <f t="shared" ca="1" si="2"/>
        <v>-166833</v>
      </c>
      <c r="BP6" s="903">
        <f t="shared" ca="1" si="2"/>
        <v>-166833</v>
      </c>
      <c r="BQ6" s="903">
        <f t="shared" ca="1" si="2"/>
        <v>-166833</v>
      </c>
      <c r="BR6" s="903">
        <f t="shared" ca="1" si="2"/>
        <v>-166833</v>
      </c>
    </row>
    <row r="7" spans="1:70">
      <c r="A7" s="906">
        <f t="shared" si="3"/>
        <v>4</v>
      </c>
      <c r="B7" s="884">
        <f t="shared" ca="1" si="3"/>
        <v>36</v>
      </c>
      <c r="C7" s="926">
        <f ca="1">列印頁!D21</f>
        <v>166833</v>
      </c>
      <c r="D7" s="926">
        <v>0</v>
      </c>
      <c r="E7" s="926">
        <f ca="1">列印頁!P21</f>
        <v>577592</v>
      </c>
      <c r="F7" s="885"/>
      <c r="G7" s="886"/>
      <c r="H7" s="927">
        <v>0</v>
      </c>
      <c r="I7" s="927">
        <f ca="1">'列印頁-簡'!U23</f>
        <v>588107</v>
      </c>
      <c r="J7" s="885"/>
      <c r="K7" s="886"/>
      <c r="L7" s="882"/>
      <c r="N7" s="883">
        <f t="shared" ca="1" si="4"/>
        <v>577592</v>
      </c>
      <c r="P7" s="903">
        <f t="shared" ca="1" si="1"/>
        <v>-166833</v>
      </c>
      <c r="Q7" s="903">
        <f t="shared" ca="1" si="2"/>
        <v>-166833</v>
      </c>
      <c r="R7" s="903">
        <f t="shared" ca="1" si="2"/>
        <v>-166833</v>
      </c>
      <c r="S7" s="903">
        <f t="shared" ca="1" si="2"/>
        <v>-166833</v>
      </c>
      <c r="T7" s="903">
        <f t="shared" ca="1" si="2"/>
        <v>-166833</v>
      </c>
      <c r="U7" s="903">
        <f t="shared" ca="1" si="2"/>
        <v>-166833</v>
      </c>
      <c r="V7" s="903">
        <f t="shared" ca="1" si="2"/>
        <v>-166833</v>
      </c>
      <c r="W7" s="903">
        <f t="shared" ca="1" si="2"/>
        <v>-166833</v>
      </c>
      <c r="X7" s="903">
        <f t="shared" ca="1" si="2"/>
        <v>-166833</v>
      </c>
      <c r="Y7" s="903">
        <f t="shared" ca="1" si="2"/>
        <v>-166833</v>
      </c>
      <c r="Z7" s="903">
        <f t="shared" ca="1" si="2"/>
        <v>-166833</v>
      </c>
      <c r="AA7" s="903">
        <f t="shared" ca="1" si="2"/>
        <v>-166833</v>
      </c>
      <c r="AB7" s="903">
        <f t="shared" ca="1" si="2"/>
        <v>-166833</v>
      </c>
      <c r="AC7" s="903">
        <f t="shared" ca="1" si="2"/>
        <v>-166833</v>
      </c>
      <c r="AD7" s="903">
        <f t="shared" ca="1" si="2"/>
        <v>-166833</v>
      </c>
      <c r="AE7" s="903">
        <f t="shared" ca="1" si="2"/>
        <v>-166833</v>
      </c>
      <c r="AF7" s="903">
        <f t="shared" ca="1" si="2"/>
        <v>-166833</v>
      </c>
      <c r="AG7" s="903">
        <f t="shared" ca="1" si="2"/>
        <v>-166833</v>
      </c>
      <c r="AH7" s="903">
        <f t="shared" ca="1" si="2"/>
        <v>-166833</v>
      </c>
      <c r="AI7" s="903">
        <f t="shared" ca="1" si="2"/>
        <v>-166833</v>
      </c>
      <c r="AJ7" s="903">
        <f t="shared" ca="1" si="2"/>
        <v>-166833</v>
      </c>
      <c r="AK7" s="903">
        <f t="shared" ca="1" si="2"/>
        <v>-166833</v>
      </c>
      <c r="AL7" s="903">
        <f t="shared" ca="1" si="2"/>
        <v>-166833</v>
      </c>
      <c r="AM7" s="903">
        <f t="shared" ca="1" si="2"/>
        <v>-166833</v>
      </c>
      <c r="AN7" s="903">
        <f t="shared" ca="1" si="2"/>
        <v>-166833</v>
      </c>
      <c r="AO7" s="903">
        <f t="shared" ca="1" si="2"/>
        <v>-166833</v>
      </c>
      <c r="AP7" s="903">
        <f t="shared" ca="1" si="2"/>
        <v>-166833</v>
      </c>
      <c r="AQ7" s="903">
        <f t="shared" ca="1" si="2"/>
        <v>-166833</v>
      </c>
      <c r="AR7" s="903">
        <f t="shared" ca="1" si="2"/>
        <v>-166833</v>
      </c>
      <c r="AS7" s="903">
        <f t="shared" ca="1" si="2"/>
        <v>-166833</v>
      </c>
      <c r="AT7" s="903">
        <f t="shared" ca="1" si="2"/>
        <v>-166833</v>
      </c>
      <c r="AU7" s="903">
        <f t="shared" ca="1" si="2"/>
        <v>-166833</v>
      </c>
      <c r="AV7" s="903">
        <f t="shared" ca="1" si="2"/>
        <v>-166833</v>
      </c>
      <c r="AW7" s="903">
        <f t="shared" ca="1" si="2"/>
        <v>-166833</v>
      </c>
      <c r="AX7" s="903">
        <f t="shared" ca="1" si="2"/>
        <v>-166833</v>
      </c>
      <c r="AY7" s="903">
        <f t="shared" ca="1" si="2"/>
        <v>-166833</v>
      </c>
      <c r="AZ7" s="903">
        <f t="shared" ca="1" si="2"/>
        <v>-166833</v>
      </c>
      <c r="BA7" s="903">
        <f t="shared" ca="1" si="2"/>
        <v>-166833</v>
      </c>
      <c r="BB7" s="903">
        <f t="shared" ca="1" si="2"/>
        <v>-166833</v>
      </c>
      <c r="BC7" s="903">
        <f t="shared" ca="1" si="2"/>
        <v>-166833</v>
      </c>
      <c r="BD7" s="903">
        <f t="shared" ref="BD7:BR7" ca="1" si="5">BC7</f>
        <v>-166833</v>
      </c>
      <c r="BE7" s="903">
        <f t="shared" ca="1" si="5"/>
        <v>-166833</v>
      </c>
      <c r="BF7" s="903">
        <f t="shared" ca="1" si="5"/>
        <v>-166833</v>
      </c>
      <c r="BG7" s="903">
        <f t="shared" ca="1" si="5"/>
        <v>-166833</v>
      </c>
      <c r="BH7" s="903">
        <f t="shared" ca="1" si="5"/>
        <v>-166833</v>
      </c>
      <c r="BI7" s="903">
        <f t="shared" ca="1" si="5"/>
        <v>-166833</v>
      </c>
      <c r="BJ7" s="903">
        <f t="shared" ca="1" si="5"/>
        <v>-166833</v>
      </c>
      <c r="BK7" s="903">
        <f t="shared" ca="1" si="5"/>
        <v>-166833</v>
      </c>
      <c r="BL7" s="903">
        <f t="shared" ca="1" si="5"/>
        <v>-166833</v>
      </c>
      <c r="BM7" s="903">
        <f t="shared" ca="1" si="5"/>
        <v>-166833</v>
      </c>
      <c r="BN7" s="903">
        <f t="shared" ca="1" si="5"/>
        <v>-166833</v>
      </c>
      <c r="BO7" s="903">
        <f t="shared" ca="1" si="5"/>
        <v>-166833</v>
      </c>
      <c r="BP7" s="903">
        <f t="shared" ca="1" si="5"/>
        <v>-166833</v>
      </c>
      <c r="BQ7" s="903">
        <f t="shared" ca="1" si="5"/>
        <v>-166833</v>
      </c>
      <c r="BR7" s="903">
        <f t="shared" ca="1" si="5"/>
        <v>-166833</v>
      </c>
    </row>
    <row r="8" spans="1:70">
      <c r="A8" s="906">
        <f t="shared" si="3"/>
        <v>5</v>
      </c>
      <c r="B8" s="884">
        <f t="shared" ca="1" si="3"/>
        <v>37</v>
      </c>
      <c r="C8" s="926">
        <f ca="1">列印頁!D22</f>
        <v>166833</v>
      </c>
      <c r="D8" s="926">
        <v>0</v>
      </c>
      <c r="E8" s="926">
        <f ca="1">列印頁!P22</f>
        <v>786420</v>
      </c>
      <c r="F8" s="885"/>
      <c r="G8" s="886"/>
      <c r="H8" s="927">
        <v>0</v>
      </c>
      <c r="I8" s="927">
        <f ca="1">'列印頁-簡'!U24</f>
        <v>802932</v>
      </c>
      <c r="J8" s="885"/>
      <c r="K8" s="886"/>
      <c r="L8" s="882"/>
      <c r="N8" s="883">
        <f t="shared" ca="1" si="4"/>
        <v>786420</v>
      </c>
      <c r="P8" s="903">
        <f t="shared" ca="1" si="1"/>
        <v>-166833</v>
      </c>
      <c r="Q8" s="903">
        <f t="shared" ref="Q8:BR8" ca="1" si="6">P8</f>
        <v>-166833</v>
      </c>
      <c r="R8" s="903">
        <f t="shared" ca="1" si="6"/>
        <v>-166833</v>
      </c>
      <c r="S8" s="903">
        <f t="shared" ca="1" si="6"/>
        <v>-166833</v>
      </c>
      <c r="T8" s="903">
        <f t="shared" ca="1" si="6"/>
        <v>-166833</v>
      </c>
      <c r="U8" s="903">
        <f t="shared" ca="1" si="6"/>
        <v>-166833</v>
      </c>
      <c r="V8" s="903">
        <f t="shared" ca="1" si="6"/>
        <v>-166833</v>
      </c>
      <c r="W8" s="903">
        <f t="shared" ca="1" si="6"/>
        <v>-166833</v>
      </c>
      <c r="X8" s="903">
        <f t="shared" ca="1" si="6"/>
        <v>-166833</v>
      </c>
      <c r="Y8" s="903">
        <f t="shared" ca="1" si="6"/>
        <v>-166833</v>
      </c>
      <c r="Z8" s="903">
        <f t="shared" ca="1" si="6"/>
        <v>-166833</v>
      </c>
      <c r="AA8" s="903">
        <f t="shared" ca="1" si="6"/>
        <v>-166833</v>
      </c>
      <c r="AB8" s="903">
        <f t="shared" ca="1" si="6"/>
        <v>-166833</v>
      </c>
      <c r="AC8" s="903">
        <f t="shared" ca="1" si="6"/>
        <v>-166833</v>
      </c>
      <c r="AD8" s="903">
        <f t="shared" ca="1" si="6"/>
        <v>-166833</v>
      </c>
      <c r="AE8" s="903">
        <f t="shared" ca="1" si="6"/>
        <v>-166833</v>
      </c>
      <c r="AF8" s="903">
        <f t="shared" ca="1" si="6"/>
        <v>-166833</v>
      </c>
      <c r="AG8" s="903">
        <f t="shared" ca="1" si="6"/>
        <v>-166833</v>
      </c>
      <c r="AH8" s="903">
        <f t="shared" ca="1" si="6"/>
        <v>-166833</v>
      </c>
      <c r="AI8" s="903">
        <f t="shared" ca="1" si="6"/>
        <v>-166833</v>
      </c>
      <c r="AJ8" s="903">
        <f t="shared" ca="1" si="6"/>
        <v>-166833</v>
      </c>
      <c r="AK8" s="903">
        <f t="shared" ca="1" si="6"/>
        <v>-166833</v>
      </c>
      <c r="AL8" s="903">
        <f t="shared" ca="1" si="6"/>
        <v>-166833</v>
      </c>
      <c r="AM8" s="903">
        <f t="shared" ca="1" si="6"/>
        <v>-166833</v>
      </c>
      <c r="AN8" s="903">
        <f t="shared" ca="1" si="6"/>
        <v>-166833</v>
      </c>
      <c r="AO8" s="903">
        <f t="shared" ca="1" si="6"/>
        <v>-166833</v>
      </c>
      <c r="AP8" s="903">
        <f t="shared" ca="1" si="6"/>
        <v>-166833</v>
      </c>
      <c r="AQ8" s="903">
        <f t="shared" ca="1" si="6"/>
        <v>-166833</v>
      </c>
      <c r="AR8" s="903">
        <f t="shared" ca="1" si="6"/>
        <v>-166833</v>
      </c>
      <c r="AS8" s="903">
        <f t="shared" ca="1" si="6"/>
        <v>-166833</v>
      </c>
      <c r="AT8" s="903">
        <f t="shared" ca="1" si="6"/>
        <v>-166833</v>
      </c>
      <c r="AU8" s="903">
        <f t="shared" ca="1" si="6"/>
        <v>-166833</v>
      </c>
      <c r="AV8" s="903">
        <f t="shared" ca="1" si="6"/>
        <v>-166833</v>
      </c>
      <c r="AW8" s="903">
        <f t="shared" ca="1" si="6"/>
        <v>-166833</v>
      </c>
      <c r="AX8" s="903">
        <f t="shared" ca="1" si="6"/>
        <v>-166833</v>
      </c>
      <c r="AY8" s="903">
        <f t="shared" ca="1" si="6"/>
        <v>-166833</v>
      </c>
      <c r="AZ8" s="903">
        <f t="shared" ca="1" si="6"/>
        <v>-166833</v>
      </c>
      <c r="BA8" s="903">
        <f t="shared" ca="1" si="6"/>
        <v>-166833</v>
      </c>
      <c r="BB8" s="903">
        <f t="shared" ca="1" si="6"/>
        <v>-166833</v>
      </c>
      <c r="BC8" s="903">
        <f t="shared" ca="1" si="6"/>
        <v>-166833</v>
      </c>
      <c r="BD8" s="903">
        <f t="shared" ca="1" si="6"/>
        <v>-166833</v>
      </c>
      <c r="BE8" s="903">
        <f t="shared" ca="1" si="6"/>
        <v>-166833</v>
      </c>
      <c r="BF8" s="903">
        <f t="shared" ca="1" si="6"/>
        <v>-166833</v>
      </c>
      <c r="BG8" s="903">
        <f t="shared" ca="1" si="6"/>
        <v>-166833</v>
      </c>
      <c r="BH8" s="903">
        <f t="shared" ca="1" si="6"/>
        <v>-166833</v>
      </c>
      <c r="BI8" s="903">
        <f t="shared" ca="1" si="6"/>
        <v>-166833</v>
      </c>
      <c r="BJ8" s="903">
        <f t="shared" ca="1" si="6"/>
        <v>-166833</v>
      </c>
      <c r="BK8" s="903">
        <f t="shared" ca="1" si="6"/>
        <v>-166833</v>
      </c>
      <c r="BL8" s="903">
        <f t="shared" ca="1" si="6"/>
        <v>-166833</v>
      </c>
      <c r="BM8" s="903">
        <f t="shared" ca="1" si="6"/>
        <v>-166833</v>
      </c>
      <c r="BN8" s="903">
        <f t="shared" ca="1" si="6"/>
        <v>-166833</v>
      </c>
      <c r="BO8" s="903">
        <f t="shared" ca="1" si="6"/>
        <v>-166833</v>
      </c>
      <c r="BP8" s="903">
        <f t="shared" ca="1" si="6"/>
        <v>-166833</v>
      </c>
      <c r="BQ8" s="903">
        <f t="shared" ca="1" si="6"/>
        <v>-166833</v>
      </c>
      <c r="BR8" s="903">
        <f t="shared" ca="1" si="6"/>
        <v>-166833</v>
      </c>
    </row>
    <row r="9" spans="1:70">
      <c r="A9" s="907">
        <f t="shared" si="3"/>
        <v>6</v>
      </c>
      <c r="B9" s="887">
        <f t="shared" ca="1" si="3"/>
        <v>38</v>
      </c>
      <c r="C9" s="928">
        <f ca="1">列印頁!D23</f>
        <v>166833</v>
      </c>
      <c r="D9" s="928">
        <v>0</v>
      </c>
      <c r="E9" s="928">
        <f ca="1">列印頁!P23</f>
        <v>1007318</v>
      </c>
      <c r="F9" s="888">
        <f ca="1">(E9-$C$10)/$C$10</f>
        <v>6.3136989284693877E-3</v>
      </c>
      <c r="G9" s="889">
        <f t="shared" ref="G9:G63" ca="1" si="7">M9</f>
        <v>1.7985131903335283E-3</v>
      </c>
      <c r="H9" s="929">
        <v>0</v>
      </c>
      <c r="I9" s="929">
        <f ca="1">'列印頁-簡'!U25</f>
        <v>1031295</v>
      </c>
      <c r="J9" s="888">
        <f ca="1">(I9+SUM($H$4:$H8)-$C$10)/$C$10</f>
        <v>3.0266793739847631E-2</v>
      </c>
      <c r="K9" s="889">
        <f t="shared" ref="K9:K63" ca="1" si="8">M78</f>
        <v>8.5254776674283939E-3</v>
      </c>
      <c r="L9" s="882"/>
      <c r="M9" s="890">
        <f ca="1">P64</f>
        <v>1.7985131903335283E-3</v>
      </c>
      <c r="N9" s="883">
        <f t="shared" ca="1" si="4"/>
        <v>1007318</v>
      </c>
      <c r="P9" s="902">
        <f ca="1">N9</f>
        <v>1007318</v>
      </c>
      <c r="Q9" s="903">
        <f t="shared" ref="Q9:AV9" si="9">$D9</f>
        <v>0</v>
      </c>
      <c r="R9" s="903">
        <f t="shared" si="9"/>
        <v>0</v>
      </c>
      <c r="S9" s="903">
        <f t="shared" si="9"/>
        <v>0</v>
      </c>
      <c r="T9" s="903">
        <f t="shared" si="9"/>
        <v>0</v>
      </c>
      <c r="U9" s="903">
        <f t="shared" si="9"/>
        <v>0</v>
      </c>
      <c r="V9" s="903">
        <f t="shared" si="9"/>
        <v>0</v>
      </c>
      <c r="W9" s="903">
        <f t="shared" si="9"/>
        <v>0</v>
      </c>
      <c r="X9" s="903">
        <f t="shared" si="9"/>
        <v>0</v>
      </c>
      <c r="Y9" s="903">
        <f t="shared" si="9"/>
        <v>0</v>
      </c>
      <c r="Z9" s="903">
        <f t="shared" si="9"/>
        <v>0</v>
      </c>
      <c r="AA9" s="903">
        <f t="shared" si="9"/>
        <v>0</v>
      </c>
      <c r="AB9" s="903">
        <f t="shared" si="9"/>
        <v>0</v>
      </c>
      <c r="AC9" s="903">
        <f t="shared" si="9"/>
        <v>0</v>
      </c>
      <c r="AD9" s="903">
        <f t="shared" si="9"/>
        <v>0</v>
      </c>
      <c r="AE9" s="903">
        <f t="shared" si="9"/>
        <v>0</v>
      </c>
      <c r="AF9" s="903">
        <f t="shared" si="9"/>
        <v>0</v>
      </c>
      <c r="AG9" s="903">
        <f t="shared" si="9"/>
        <v>0</v>
      </c>
      <c r="AH9" s="903">
        <f t="shared" si="9"/>
        <v>0</v>
      </c>
      <c r="AI9" s="903">
        <f t="shared" si="9"/>
        <v>0</v>
      </c>
      <c r="AJ9" s="903">
        <f t="shared" si="9"/>
        <v>0</v>
      </c>
      <c r="AK9" s="903">
        <f t="shared" si="9"/>
        <v>0</v>
      </c>
      <c r="AL9" s="903">
        <f t="shared" si="9"/>
        <v>0</v>
      </c>
      <c r="AM9" s="903">
        <f t="shared" si="9"/>
        <v>0</v>
      </c>
      <c r="AN9" s="903">
        <f t="shared" si="9"/>
        <v>0</v>
      </c>
      <c r="AO9" s="903">
        <f t="shared" si="9"/>
        <v>0</v>
      </c>
      <c r="AP9" s="903">
        <f t="shared" si="9"/>
        <v>0</v>
      </c>
      <c r="AQ9" s="903">
        <f t="shared" si="9"/>
        <v>0</v>
      </c>
      <c r="AR9" s="903">
        <f t="shared" si="9"/>
        <v>0</v>
      </c>
      <c r="AS9" s="903">
        <f t="shared" si="9"/>
        <v>0</v>
      </c>
      <c r="AT9" s="903">
        <f t="shared" si="9"/>
        <v>0</v>
      </c>
      <c r="AU9" s="903">
        <f t="shared" si="9"/>
        <v>0</v>
      </c>
      <c r="AV9" s="903">
        <f t="shared" si="9"/>
        <v>0</v>
      </c>
      <c r="AW9" s="903">
        <f t="shared" ref="AW9:BR9" si="10">$D9</f>
        <v>0</v>
      </c>
      <c r="AX9" s="903">
        <f t="shared" si="10"/>
        <v>0</v>
      </c>
      <c r="AY9" s="903">
        <f t="shared" si="10"/>
        <v>0</v>
      </c>
      <c r="AZ9" s="903">
        <f t="shared" si="10"/>
        <v>0</v>
      </c>
      <c r="BA9" s="903">
        <f t="shared" si="10"/>
        <v>0</v>
      </c>
      <c r="BB9" s="903">
        <f t="shared" si="10"/>
        <v>0</v>
      </c>
      <c r="BC9" s="903">
        <f t="shared" si="10"/>
        <v>0</v>
      </c>
      <c r="BD9" s="903">
        <f t="shared" si="10"/>
        <v>0</v>
      </c>
      <c r="BE9" s="903">
        <f t="shared" si="10"/>
        <v>0</v>
      </c>
      <c r="BF9" s="903">
        <f t="shared" si="10"/>
        <v>0</v>
      </c>
      <c r="BG9" s="903">
        <f t="shared" si="10"/>
        <v>0</v>
      </c>
      <c r="BH9" s="903">
        <f t="shared" si="10"/>
        <v>0</v>
      </c>
      <c r="BI9" s="903">
        <f t="shared" si="10"/>
        <v>0</v>
      </c>
      <c r="BJ9" s="903">
        <f t="shared" si="10"/>
        <v>0</v>
      </c>
      <c r="BK9" s="903">
        <f t="shared" si="10"/>
        <v>0</v>
      </c>
      <c r="BL9" s="903">
        <f t="shared" si="10"/>
        <v>0</v>
      </c>
      <c r="BM9" s="903">
        <f t="shared" si="10"/>
        <v>0</v>
      </c>
      <c r="BN9" s="903">
        <f t="shared" si="10"/>
        <v>0</v>
      </c>
      <c r="BO9" s="903">
        <f t="shared" si="10"/>
        <v>0</v>
      </c>
      <c r="BP9" s="903">
        <f t="shared" si="10"/>
        <v>0</v>
      </c>
      <c r="BQ9" s="903">
        <f t="shared" si="10"/>
        <v>0</v>
      </c>
      <c r="BR9" s="903">
        <f t="shared" si="10"/>
        <v>0</v>
      </c>
    </row>
    <row r="10" spans="1:70">
      <c r="A10" s="906">
        <f t="shared" si="3"/>
        <v>7</v>
      </c>
      <c r="B10" s="884">
        <f t="shared" ca="1" si="3"/>
        <v>39</v>
      </c>
      <c r="C10" s="891">
        <f ca="1">SUM(C4:C9)</f>
        <v>1000998</v>
      </c>
      <c r="D10" s="892">
        <v>0</v>
      </c>
      <c r="E10" s="926">
        <f ca="1">列印頁!P24</f>
        <v>1037748</v>
      </c>
      <c r="F10" s="885">
        <f t="shared" ref="F10:F63" ca="1" si="11">(E10-$C$10)/$C$10</f>
        <v>3.6713360066653482E-2</v>
      </c>
      <c r="G10" s="886">
        <f t="shared" ca="1" si="7"/>
        <v>8.023649887059392E-3</v>
      </c>
      <c r="H10" s="927">
        <f>IF($M$2=0,0,'列印頁-簡'!I26)</f>
        <v>0</v>
      </c>
      <c r="I10" s="927">
        <f ca="1">'列印頁-簡'!U26</f>
        <v>1069531</v>
      </c>
      <c r="J10" s="885">
        <f ca="1">(I10+SUM($H$4:$H9)-$C$10)/$C$10</f>
        <v>6.8464672257087425E-2</v>
      </c>
      <c r="K10" s="886">
        <f t="shared" ca="1" si="8"/>
        <v>1.4754433304077885E-2</v>
      </c>
      <c r="L10" s="882"/>
      <c r="M10" s="890">
        <f ca="1">Q64</f>
        <v>8.023649887059392E-3</v>
      </c>
      <c r="N10" s="883">
        <f t="shared" ca="1" si="4"/>
        <v>1037748</v>
      </c>
      <c r="Q10" s="903">
        <f ca="1">N10</f>
        <v>1037748</v>
      </c>
      <c r="R10" s="903">
        <f t="shared" ref="R10:AW10" si="12">$D10</f>
        <v>0</v>
      </c>
      <c r="S10" s="903">
        <f t="shared" si="12"/>
        <v>0</v>
      </c>
      <c r="T10" s="903">
        <f t="shared" si="12"/>
        <v>0</v>
      </c>
      <c r="U10" s="903">
        <f t="shared" si="12"/>
        <v>0</v>
      </c>
      <c r="V10" s="903">
        <f t="shared" si="12"/>
        <v>0</v>
      </c>
      <c r="W10" s="903">
        <f t="shared" si="12"/>
        <v>0</v>
      </c>
      <c r="X10" s="903">
        <f t="shared" si="12"/>
        <v>0</v>
      </c>
      <c r="Y10" s="903">
        <f t="shared" si="12"/>
        <v>0</v>
      </c>
      <c r="Z10" s="903">
        <f t="shared" si="12"/>
        <v>0</v>
      </c>
      <c r="AA10" s="903">
        <f t="shared" si="12"/>
        <v>0</v>
      </c>
      <c r="AB10" s="903">
        <f t="shared" si="12"/>
        <v>0</v>
      </c>
      <c r="AC10" s="903">
        <f t="shared" si="12"/>
        <v>0</v>
      </c>
      <c r="AD10" s="903">
        <f t="shared" si="12"/>
        <v>0</v>
      </c>
      <c r="AE10" s="903">
        <f t="shared" si="12"/>
        <v>0</v>
      </c>
      <c r="AF10" s="903">
        <f t="shared" si="12"/>
        <v>0</v>
      </c>
      <c r="AG10" s="903">
        <f t="shared" si="12"/>
        <v>0</v>
      </c>
      <c r="AH10" s="903">
        <f t="shared" si="12"/>
        <v>0</v>
      </c>
      <c r="AI10" s="903">
        <f t="shared" si="12"/>
        <v>0</v>
      </c>
      <c r="AJ10" s="903">
        <f t="shared" si="12"/>
        <v>0</v>
      </c>
      <c r="AK10" s="903">
        <f t="shared" si="12"/>
        <v>0</v>
      </c>
      <c r="AL10" s="903">
        <f t="shared" si="12"/>
        <v>0</v>
      </c>
      <c r="AM10" s="903">
        <f t="shared" si="12"/>
        <v>0</v>
      </c>
      <c r="AN10" s="903">
        <f t="shared" si="12"/>
        <v>0</v>
      </c>
      <c r="AO10" s="903">
        <f t="shared" si="12"/>
        <v>0</v>
      </c>
      <c r="AP10" s="903">
        <f t="shared" si="12"/>
        <v>0</v>
      </c>
      <c r="AQ10" s="903">
        <f t="shared" si="12"/>
        <v>0</v>
      </c>
      <c r="AR10" s="903">
        <f t="shared" si="12"/>
        <v>0</v>
      </c>
      <c r="AS10" s="903">
        <f t="shared" si="12"/>
        <v>0</v>
      </c>
      <c r="AT10" s="903">
        <f t="shared" si="12"/>
        <v>0</v>
      </c>
      <c r="AU10" s="903">
        <f t="shared" si="12"/>
        <v>0</v>
      </c>
      <c r="AV10" s="903">
        <f t="shared" si="12"/>
        <v>0</v>
      </c>
      <c r="AW10" s="903">
        <f t="shared" si="12"/>
        <v>0</v>
      </c>
      <c r="AX10" s="903">
        <f t="shared" ref="AX10:BR10" si="13">$D10</f>
        <v>0</v>
      </c>
      <c r="AY10" s="903">
        <f t="shared" si="13"/>
        <v>0</v>
      </c>
      <c r="AZ10" s="903">
        <f t="shared" si="13"/>
        <v>0</v>
      </c>
      <c r="BA10" s="903">
        <f t="shared" si="13"/>
        <v>0</v>
      </c>
      <c r="BB10" s="903">
        <f t="shared" si="13"/>
        <v>0</v>
      </c>
      <c r="BC10" s="903">
        <f t="shared" si="13"/>
        <v>0</v>
      </c>
      <c r="BD10" s="903">
        <f t="shared" si="13"/>
        <v>0</v>
      </c>
      <c r="BE10" s="903">
        <f t="shared" si="13"/>
        <v>0</v>
      </c>
      <c r="BF10" s="903">
        <f t="shared" si="13"/>
        <v>0</v>
      </c>
      <c r="BG10" s="903">
        <f t="shared" si="13"/>
        <v>0</v>
      </c>
      <c r="BH10" s="903">
        <f t="shared" si="13"/>
        <v>0</v>
      </c>
      <c r="BI10" s="903">
        <f t="shared" si="13"/>
        <v>0</v>
      </c>
      <c r="BJ10" s="903">
        <f t="shared" si="13"/>
        <v>0</v>
      </c>
      <c r="BK10" s="903">
        <f t="shared" si="13"/>
        <v>0</v>
      </c>
      <c r="BL10" s="903">
        <f t="shared" si="13"/>
        <v>0</v>
      </c>
      <c r="BM10" s="903">
        <f t="shared" si="13"/>
        <v>0</v>
      </c>
      <c r="BN10" s="903">
        <f t="shared" si="13"/>
        <v>0</v>
      </c>
      <c r="BO10" s="903">
        <f t="shared" si="13"/>
        <v>0</v>
      </c>
      <c r="BP10" s="903">
        <f t="shared" si="13"/>
        <v>0</v>
      </c>
      <c r="BQ10" s="903">
        <f t="shared" si="13"/>
        <v>0</v>
      </c>
      <c r="BR10" s="903">
        <f t="shared" si="13"/>
        <v>0</v>
      </c>
    </row>
    <row r="11" spans="1:70">
      <c r="A11" s="906">
        <f t="shared" si="3"/>
        <v>8</v>
      </c>
      <c r="B11" s="884">
        <f t="shared" ca="1" si="3"/>
        <v>40</v>
      </c>
      <c r="C11" s="892"/>
      <c r="D11" s="892">
        <v>0</v>
      </c>
      <c r="E11" s="926">
        <f ca="1">列印頁!P25</f>
        <v>1058420</v>
      </c>
      <c r="F11" s="885">
        <f t="shared" ca="1" si="11"/>
        <v>5.7364749979520437E-2</v>
      </c>
      <c r="G11" s="886">
        <f t="shared" ca="1" si="7"/>
        <v>1.0165968850297302E-2</v>
      </c>
      <c r="H11" s="927">
        <f>IF($M$2=0,0,'列印頁-簡'!I27)</f>
        <v>0</v>
      </c>
      <c r="I11" s="927">
        <f ca="1">'列印頁-簡'!U27</f>
        <v>1098365</v>
      </c>
      <c r="J11" s="885">
        <f ca="1">(I11+SUM($H$4:$H10)-$C$10)/$C$10</f>
        <v>9.7269924615233996E-2</v>
      </c>
      <c r="K11" s="886">
        <f t="shared" ca="1" si="8"/>
        <v>1.6944414071134339E-2</v>
      </c>
      <c r="L11" s="882"/>
      <c r="M11" s="890">
        <f ca="1">R64</f>
        <v>1.0165968850297302E-2</v>
      </c>
      <c r="N11" s="883">
        <f t="shared" ca="1" si="4"/>
        <v>1058420</v>
      </c>
      <c r="Q11" s="903"/>
      <c r="R11" s="903">
        <f ca="1">N11</f>
        <v>1058420</v>
      </c>
      <c r="S11" s="903">
        <f t="shared" ref="S11:AX11" si="14">$D11</f>
        <v>0</v>
      </c>
      <c r="T11" s="903">
        <f t="shared" si="14"/>
        <v>0</v>
      </c>
      <c r="U11" s="903">
        <f t="shared" si="14"/>
        <v>0</v>
      </c>
      <c r="V11" s="903">
        <f t="shared" si="14"/>
        <v>0</v>
      </c>
      <c r="W11" s="903">
        <f t="shared" si="14"/>
        <v>0</v>
      </c>
      <c r="X11" s="903">
        <f t="shared" si="14"/>
        <v>0</v>
      </c>
      <c r="Y11" s="903">
        <f t="shared" si="14"/>
        <v>0</v>
      </c>
      <c r="Z11" s="903">
        <f t="shared" si="14"/>
        <v>0</v>
      </c>
      <c r="AA11" s="903">
        <f t="shared" si="14"/>
        <v>0</v>
      </c>
      <c r="AB11" s="903">
        <f t="shared" si="14"/>
        <v>0</v>
      </c>
      <c r="AC11" s="903">
        <f t="shared" si="14"/>
        <v>0</v>
      </c>
      <c r="AD11" s="903">
        <f t="shared" si="14"/>
        <v>0</v>
      </c>
      <c r="AE11" s="903">
        <f t="shared" si="14"/>
        <v>0</v>
      </c>
      <c r="AF11" s="903">
        <f t="shared" si="14"/>
        <v>0</v>
      </c>
      <c r="AG11" s="903">
        <f t="shared" si="14"/>
        <v>0</v>
      </c>
      <c r="AH11" s="903">
        <f t="shared" si="14"/>
        <v>0</v>
      </c>
      <c r="AI11" s="903">
        <f t="shared" si="14"/>
        <v>0</v>
      </c>
      <c r="AJ11" s="903">
        <f t="shared" si="14"/>
        <v>0</v>
      </c>
      <c r="AK11" s="903">
        <f t="shared" si="14"/>
        <v>0</v>
      </c>
      <c r="AL11" s="903">
        <f t="shared" si="14"/>
        <v>0</v>
      </c>
      <c r="AM11" s="903">
        <f t="shared" si="14"/>
        <v>0</v>
      </c>
      <c r="AN11" s="903">
        <f t="shared" si="14"/>
        <v>0</v>
      </c>
      <c r="AO11" s="903">
        <f t="shared" si="14"/>
        <v>0</v>
      </c>
      <c r="AP11" s="903">
        <f t="shared" si="14"/>
        <v>0</v>
      </c>
      <c r="AQ11" s="903">
        <f t="shared" si="14"/>
        <v>0</v>
      </c>
      <c r="AR11" s="903">
        <f t="shared" si="14"/>
        <v>0</v>
      </c>
      <c r="AS11" s="903">
        <f t="shared" si="14"/>
        <v>0</v>
      </c>
      <c r="AT11" s="903">
        <f t="shared" si="14"/>
        <v>0</v>
      </c>
      <c r="AU11" s="903">
        <f t="shared" si="14"/>
        <v>0</v>
      </c>
      <c r="AV11" s="903">
        <f t="shared" si="14"/>
        <v>0</v>
      </c>
      <c r="AW11" s="903">
        <f t="shared" si="14"/>
        <v>0</v>
      </c>
      <c r="AX11" s="903">
        <f t="shared" si="14"/>
        <v>0</v>
      </c>
      <c r="AY11" s="903">
        <f t="shared" ref="AY11:BR11" si="15">$D11</f>
        <v>0</v>
      </c>
      <c r="AZ11" s="903">
        <f t="shared" si="15"/>
        <v>0</v>
      </c>
      <c r="BA11" s="903">
        <f t="shared" si="15"/>
        <v>0</v>
      </c>
      <c r="BB11" s="903">
        <f t="shared" si="15"/>
        <v>0</v>
      </c>
      <c r="BC11" s="903">
        <f t="shared" si="15"/>
        <v>0</v>
      </c>
      <c r="BD11" s="903">
        <f t="shared" si="15"/>
        <v>0</v>
      </c>
      <c r="BE11" s="903">
        <f t="shared" si="15"/>
        <v>0</v>
      </c>
      <c r="BF11" s="903">
        <f t="shared" si="15"/>
        <v>0</v>
      </c>
      <c r="BG11" s="903">
        <f t="shared" si="15"/>
        <v>0</v>
      </c>
      <c r="BH11" s="903">
        <f t="shared" si="15"/>
        <v>0</v>
      </c>
      <c r="BI11" s="903">
        <f t="shared" si="15"/>
        <v>0</v>
      </c>
      <c r="BJ11" s="903">
        <f t="shared" si="15"/>
        <v>0</v>
      </c>
      <c r="BK11" s="903">
        <f t="shared" si="15"/>
        <v>0</v>
      </c>
      <c r="BL11" s="903">
        <f t="shared" si="15"/>
        <v>0</v>
      </c>
      <c r="BM11" s="903">
        <f t="shared" si="15"/>
        <v>0</v>
      </c>
      <c r="BN11" s="903">
        <f t="shared" si="15"/>
        <v>0</v>
      </c>
      <c r="BO11" s="903">
        <f t="shared" si="15"/>
        <v>0</v>
      </c>
      <c r="BP11" s="903">
        <f t="shared" si="15"/>
        <v>0</v>
      </c>
      <c r="BQ11" s="903">
        <f t="shared" si="15"/>
        <v>0</v>
      </c>
      <c r="BR11" s="903">
        <f t="shared" si="15"/>
        <v>0</v>
      </c>
    </row>
    <row r="12" spans="1:70">
      <c r="A12" s="906">
        <f t="shared" si="3"/>
        <v>9</v>
      </c>
      <c r="B12" s="884">
        <f t="shared" ca="1" si="3"/>
        <v>41</v>
      </c>
      <c r="C12" s="892"/>
      <c r="D12" s="892">
        <v>0</v>
      </c>
      <c r="E12" s="926">
        <f ca="1">列印頁!P26</f>
        <v>1079534</v>
      </c>
      <c r="F12" s="885">
        <f t="shared" ca="1" si="11"/>
        <v>7.8457699216182245E-2</v>
      </c>
      <c r="G12" s="886">
        <f t="shared" ca="1" si="7"/>
        <v>1.165759106490416E-2</v>
      </c>
      <c r="H12" s="927">
        <f>IF($M$2=0,0,'列印頁-簡'!I28)</f>
        <v>0</v>
      </c>
      <c r="I12" s="927">
        <f ca="1">'列印頁-簡'!U28</f>
        <v>1128011</v>
      </c>
      <c r="J12" s="885">
        <f ca="1">(I12+SUM($H$4:$H11)-$C$10)/$C$10</f>
        <v>0.12688636740532949</v>
      </c>
      <c r="K12" s="886">
        <f t="shared" ca="1" si="8"/>
        <v>1.8471590472290522E-2</v>
      </c>
      <c r="L12" s="882"/>
      <c r="M12" s="890">
        <f ca="1">S64</f>
        <v>1.165759106490416E-2</v>
      </c>
      <c r="N12" s="883">
        <f t="shared" ca="1" si="4"/>
        <v>1079534</v>
      </c>
      <c r="Q12" s="903"/>
      <c r="R12" s="903"/>
      <c r="S12" s="903">
        <f ca="1">N12</f>
        <v>1079534</v>
      </c>
      <c r="T12" s="903">
        <f t="shared" ref="T12:AY12" si="16">$D12</f>
        <v>0</v>
      </c>
      <c r="U12" s="903">
        <f t="shared" si="16"/>
        <v>0</v>
      </c>
      <c r="V12" s="903">
        <f t="shared" si="16"/>
        <v>0</v>
      </c>
      <c r="W12" s="903">
        <f t="shared" si="16"/>
        <v>0</v>
      </c>
      <c r="X12" s="903">
        <f t="shared" si="16"/>
        <v>0</v>
      </c>
      <c r="Y12" s="903">
        <f t="shared" si="16"/>
        <v>0</v>
      </c>
      <c r="Z12" s="903">
        <f t="shared" si="16"/>
        <v>0</v>
      </c>
      <c r="AA12" s="903">
        <f t="shared" si="16"/>
        <v>0</v>
      </c>
      <c r="AB12" s="903">
        <f t="shared" si="16"/>
        <v>0</v>
      </c>
      <c r="AC12" s="903">
        <f t="shared" si="16"/>
        <v>0</v>
      </c>
      <c r="AD12" s="903">
        <f t="shared" si="16"/>
        <v>0</v>
      </c>
      <c r="AE12" s="903">
        <f t="shared" si="16"/>
        <v>0</v>
      </c>
      <c r="AF12" s="903">
        <f t="shared" si="16"/>
        <v>0</v>
      </c>
      <c r="AG12" s="903">
        <f t="shared" si="16"/>
        <v>0</v>
      </c>
      <c r="AH12" s="903">
        <f t="shared" si="16"/>
        <v>0</v>
      </c>
      <c r="AI12" s="903">
        <f t="shared" si="16"/>
        <v>0</v>
      </c>
      <c r="AJ12" s="903">
        <f t="shared" si="16"/>
        <v>0</v>
      </c>
      <c r="AK12" s="903">
        <f t="shared" si="16"/>
        <v>0</v>
      </c>
      <c r="AL12" s="903">
        <f t="shared" si="16"/>
        <v>0</v>
      </c>
      <c r="AM12" s="903">
        <f t="shared" si="16"/>
        <v>0</v>
      </c>
      <c r="AN12" s="903">
        <f t="shared" si="16"/>
        <v>0</v>
      </c>
      <c r="AO12" s="903">
        <f t="shared" si="16"/>
        <v>0</v>
      </c>
      <c r="AP12" s="903">
        <f t="shared" si="16"/>
        <v>0</v>
      </c>
      <c r="AQ12" s="903">
        <f t="shared" si="16"/>
        <v>0</v>
      </c>
      <c r="AR12" s="903">
        <f t="shared" si="16"/>
        <v>0</v>
      </c>
      <c r="AS12" s="903">
        <f t="shared" si="16"/>
        <v>0</v>
      </c>
      <c r="AT12" s="903">
        <f t="shared" si="16"/>
        <v>0</v>
      </c>
      <c r="AU12" s="903">
        <f t="shared" si="16"/>
        <v>0</v>
      </c>
      <c r="AV12" s="903">
        <f t="shared" si="16"/>
        <v>0</v>
      </c>
      <c r="AW12" s="903">
        <f t="shared" si="16"/>
        <v>0</v>
      </c>
      <c r="AX12" s="903">
        <f t="shared" si="16"/>
        <v>0</v>
      </c>
      <c r="AY12" s="903">
        <f t="shared" si="16"/>
        <v>0</v>
      </c>
      <c r="AZ12" s="903">
        <f t="shared" ref="AZ12:BR12" si="17">$D12</f>
        <v>0</v>
      </c>
      <c r="BA12" s="903">
        <f t="shared" si="17"/>
        <v>0</v>
      </c>
      <c r="BB12" s="903">
        <f t="shared" si="17"/>
        <v>0</v>
      </c>
      <c r="BC12" s="903">
        <f t="shared" si="17"/>
        <v>0</v>
      </c>
      <c r="BD12" s="903">
        <f t="shared" si="17"/>
        <v>0</v>
      </c>
      <c r="BE12" s="903">
        <f t="shared" si="17"/>
        <v>0</v>
      </c>
      <c r="BF12" s="903">
        <f t="shared" si="17"/>
        <v>0</v>
      </c>
      <c r="BG12" s="903">
        <f t="shared" si="17"/>
        <v>0</v>
      </c>
      <c r="BH12" s="903">
        <f t="shared" si="17"/>
        <v>0</v>
      </c>
      <c r="BI12" s="903">
        <f t="shared" si="17"/>
        <v>0</v>
      </c>
      <c r="BJ12" s="903">
        <f t="shared" si="17"/>
        <v>0</v>
      </c>
      <c r="BK12" s="903">
        <f t="shared" si="17"/>
        <v>0</v>
      </c>
      <c r="BL12" s="903">
        <f t="shared" si="17"/>
        <v>0</v>
      </c>
      <c r="BM12" s="903">
        <f t="shared" si="17"/>
        <v>0</v>
      </c>
      <c r="BN12" s="903">
        <f t="shared" si="17"/>
        <v>0</v>
      </c>
      <c r="BO12" s="903">
        <f t="shared" si="17"/>
        <v>0</v>
      </c>
      <c r="BP12" s="903">
        <f t="shared" si="17"/>
        <v>0</v>
      </c>
      <c r="BQ12" s="903">
        <f t="shared" si="17"/>
        <v>0</v>
      </c>
      <c r="BR12" s="903">
        <f t="shared" si="17"/>
        <v>0</v>
      </c>
    </row>
    <row r="13" spans="1:70">
      <c r="A13" s="908">
        <f t="shared" si="3"/>
        <v>10</v>
      </c>
      <c r="B13" s="893">
        <f t="shared" ca="1" si="3"/>
        <v>42</v>
      </c>
      <c r="C13" s="898"/>
      <c r="D13" s="932">
        <v>0</v>
      </c>
      <c r="E13" s="932">
        <f ca="1">列印頁!P27</f>
        <v>1101124</v>
      </c>
      <c r="F13" s="894">
        <f t="shared" ca="1" si="11"/>
        <v>0.10002617387846929</v>
      </c>
      <c r="G13" s="895">
        <f t="shared" ca="1" si="7"/>
        <v>1.2760666391673059E-2</v>
      </c>
      <c r="H13" s="933">
        <f>IF($M$2=0,0,'列印頁-簡'!I29)</f>
        <v>0</v>
      </c>
      <c r="I13" s="933">
        <f ca="1">'列印頁-簡'!U29</f>
        <v>1158514</v>
      </c>
      <c r="J13" s="894">
        <f ca="1">(I13+SUM($H$4:$H12)-$C$10)/$C$10</f>
        <v>0.15735895576214937</v>
      </c>
      <c r="K13" s="895">
        <f t="shared" ca="1" si="8"/>
        <v>1.9601796289990148E-2</v>
      </c>
      <c r="L13" s="882"/>
      <c r="M13" s="890">
        <f ca="1">T64</f>
        <v>1.2760666391673059E-2</v>
      </c>
      <c r="N13" s="883">
        <f t="shared" ca="1" si="4"/>
        <v>1101124</v>
      </c>
      <c r="Q13" s="903"/>
      <c r="R13" s="903"/>
      <c r="S13" s="903"/>
      <c r="T13" s="903">
        <f ca="1">N13</f>
        <v>1101124</v>
      </c>
      <c r="U13" s="903">
        <f t="shared" ref="U13:AZ13" si="18">$D13</f>
        <v>0</v>
      </c>
      <c r="V13" s="903">
        <f t="shared" si="18"/>
        <v>0</v>
      </c>
      <c r="W13" s="903">
        <f t="shared" si="18"/>
        <v>0</v>
      </c>
      <c r="X13" s="903">
        <f t="shared" si="18"/>
        <v>0</v>
      </c>
      <c r="Y13" s="903">
        <f t="shared" si="18"/>
        <v>0</v>
      </c>
      <c r="Z13" s="903">
        <f t="shared" si="18"/>
        <v>0</v>
      </c>
      <c r="AA13" s="903">
        <f t="shared" si="18"/>
        <v>0</v>
      </c>
      <c r="AB13" s="903">
        <f t="shared" si="18"/>
        <v>0</v>
      </c>
      <c r="AC13" s="903">
        <f t="shared" si="18"/>
        <v>0</v>
      </c>
      <c r="AD13" s="903">
        <f t="shared" si="18"/>
        <v>0</v>
      </c>
      <c r="AE13" s="903">
        <f t="shared" si="18"/>
        <v>0</v>
      </c>
      <c r="AF13" s="903">
        <f t="shared" si="18"/>
        <v>0</v>
      </c>
      <c r="AG13" s="903">
        <f t="shared" si="18"/>
        <v>0</v>
      </c>
      <c r="AH13" s="903">
        <f t="shared" si="18"/>
        <v>0</v>
      </c>
      <c r="AI13" s="903">
        <f t="shared" si="18"/>
        <v>0</v>
      </c>
      <c r="AJ13" s="903">
        <f t="shared" si="18"/>
        <v>0</v>
      </c>
      <c r="AK13" s="903">
        <f t="shared" si="18"/>
        <v>0</v>
      </c>
      <c r="AL13" s="903">
        <f t="shared" si="18"/>
        <v>0</v>
      </c>
      <c r="AM13" s="903">
        <f t="shared" si="18"/>
        <v>0</v>
      </c>
      <c r="AN13" s="903">
        <f t="shared" si="18"/>
        <v>0</v>
      </c>
      <c r="AO13" s="903">
        <f t="shared" si="18"/>
        <v>0</v>
      </c>
      <c r="AP13" s="903">
        <f t="shared" si="18"/>
        <v>0</v>
      </c>
      <c r="AQ13" s="903">
        <f t="shared" si="18"/>
        <v>0</v>
      </c>
      <c r="AR13" s="903">
        <f t="shared" si="18"/>
        <v>0</v>
      </c>
      <c r="AS13" s="903">
        <f t="shared" si="18"/>
        <v>0</v>
      </c>
      <c r="AT13" s="903">
        <f t="shared" si="18"/>
        <v>0</v>
      </c>
      <c r="AU13" s="903">
        <f t="shared" si="18"/>
        <v>0</v>
      </c>
      <c r="AV13" s="903">
        <f t="shared" si="18"/>
        <v>0</v>
      </c>
      <c r="AW13" s="903">
        <f t="shared" si="18"/>
        <v>0</v>
      </c>
      <c r="AX13" s="903">
        <f t="shared" si="18"/>
        <v>0</v>
      </c>
      <c r="AY13" s="903">
        <f t="shared" si="18"/>
        <v>0</v>
      </c>
      <c r="AZ13" s="903">
        <f t="shared" si="18"/>
        <v>0</v>
      </c>
      <c r="BA13" s="903">
        <f t="shared" ref="BA13:BR13" si="19">$D13</f>
        <v>0</v>
      </c>
      <c r="BB13" s="903">
        <f t="shared" si="19"/>
        <v>0</v>
      </c>
      <c r="BC13" s="903">
        <f t="shared" si="19"/>
        <v>0</v>
      </c>
      <c r="BD13" s="903">
        <f t="shared" si="19"/>
        <v>0</v>
      </c>
      <c r="BE13" s="903">
        <f t="shared" si="19"/>
        <v>0</v>
      </c>
      <c r="BF13" s="903">
        <f t="shared" si="19"/>
        <v>0</v>
      </c>
      <c r="BG13" s="903">
        <f t="shared" si="19"/>
        <v>0</v>
      </c>
      <c r="BH13" s="903">
        <f t="shared" si="19"/>
        <v>0</v>
      </c>
      <c r="BI13" s="903">
        <f t="shared" si="19"/>
        <v>0</v>
      </c>
      <c r="BJ13" s="903">
        <f t="shared" si="19"/>
        <v>0</v>
      </c>
      <c r="BK13" s="903">
        <f t="shared" si="19"/>
        <v>0</v>
      </c>
      <c r="BL13" s="903">
        <f t="shared" si="19"/>
        <v>0</v>
      </c>
      <c r="BM13" s="903">
        <f t="shared" si="19"/>
        <v>0</v>
      </c>
      <c r="BN13" s="903">
        <f t="shared" si="19"/>
        <v>0</v>
      </c>
      <c r="BO13" s="903">
        <f t="shared" si="19"/>
        <v>0</v>
      </c>
      <c r="BP13" s="903">
        <f t="shared" si="19"/>
        <v>0</v>
      </c>
      <c r="BQ13" s="903">
        <f t="shared" si="19"/>
        <v>0</v>
      </c>
      <c r="BR13" s="903">
        <f t="shared" si="19"/>
        <v>0</v>
      </c>
    </row>
    <row r="14" spans="1:70">
      <c r="A14" s="914">
        <f t="shared" si="3"/>
        <v>11</v>
      </c>
      <c r="B14" s="915">
        <f t="shared" ca="1" si="3"/>
        <v>43</v>
      </c>
      <c r="C14" s="896"/>
      <c r="D14" s="930">
        <v>0</v>
      </c>
      <c r="E14" s="930">
        <f ca="1">列印頁!P28</f>
        <v>1123156</v>
      </c>
      <c r="F14" s="916">
        <f t="shared" ca="1" si="11"/>
        <v>0.12203620786455117</v>
      </c>
      <c r="G14" s="917">
        <f t="shared" ca="1" si="7"/>
        <v>1.3606885272027247E-2</v>
      </c>
      <c r="H14" s="931">
        <f>IF($M$2=0,0,'列印頁-簡'!I30)</f>
        <v>0</v>
      </c>
      <c r="I14" s="931">
        <f ca="1">'列印頁-簡'!U30</f>
        <v>1189857</v>
      </c>
      <c r="J14" s="916">
        <f ca="1">(I14+SUM($H$4:$H13)-$C$10)/$C$10</f>
        <v>0.1886707066347785</v>
      </c>
      <c r="K14" s="917">
        <f t="shared" ca="1" si="8"/>
        <v>2.0469858690298492E-2</v>
      </c>
      <c r="L14" s="882"/>
      <c r="M14" s="890">
        <f ca="1">U64</f>
        <v>1.3606885272027247E-2</v>
      </c>
      <c r="N14" s="883">
        <f t="shared" ca="1" si="4"/>
        <v>1123156</v>
      </c>
      <c r="Q14" s="903"/>
      <c r="R14" s="903"/>
      <c r="S14" s="903"/>
      <c r="T14" s="903"/>
      <c r="U14" s="903">
        <f ca="1">N14</f>
        <v>1123156</v>
      </c>
      <c r="V14" s="903">
        <f t="shared" ref="V14:BA14" si="20">$D14</f>
        <v>0</v>
      </c>
      <c r="W14" s="903">
        <f t="shared" si="20"/>
        <v>0</v>
      </c>
      <c r="X14" s="903">
        <f t="shared" si="20"/>
        <v>0</v>
      </c>
      <c r="Y14" s="903">
        <f t="shared" si="20"/>
        <v>0</v>
      </c>
      <c r="Z14" s="903">
        <f t="shared" si="20"/>
        <v>0</v>
      </c>
      <c r="AA14" s="903">
        <f t="shared" si="20"/>
        <v>0</v>
      </c>
      <c r="AB14" s="903">
        <f t="shared" si="20"/>
        <v>0</v>
      </c>
      <c r="AC14" s="903">
        <f t="shared" si="20"/>
        <v>0</v>
      </c>
      <c r="AD14" s="903">
        <f t="shared" si="20"/>
        <v>0</v>
      </c>
      <c r="AE14" s="903">
        <f t="shared" si="20"/>
        <v>0</v>
      </c>
      <c r="AF14" s="903">
        <f t="shared" si="20"/>
        <v>0</v>
      </c>
      <c r="AG14" s="903">
        <f t="shared" si="20"/>
        <v>0</v>
      </c>
      <c r="AH14" s="903">
        <f t="shared" si="20"/>
        <v>0</v>
      </c>
      <c r="AI14" s="903">
        <f t="shared" si="20"/>
        <v>0</v>
      </c>
      <c r="AJ14" s="903">
        <f t="shared" si="20"/>
        <v>0</v>
      </c>
      <c r="AK14" s="903">
        <f t="shared" si="20"/>
        <v>0</v>
      </c>
      <c r="AL14" s="903">
        <f t="shared" si="20"/>
        <v>0</v>
      </c>
      <c r="AM14" s="903">
        <f t="shared" si="20"/>
        <v>0</v>
      </c>
      <c r="AN14" s="903">
        <f t="shared" si="20"/>
        <v>0</v>
      </c>
      <c r="AO14" s="903">
        <f t="shared" si="20"/>
        <v>0</v>
      </c>
      <c r="AP14" s="903">
        <f t="shared" si="20"/>
        <v>0</v>
      </c>
      <c r="AQ14" s="903">
        <f t="shared" si="20"/>
        <v>0</v>
      </c>
      <c r="AR14" s="903">
        <f t="shared" si="20"/>
        <v>0</v>
      </c>
      <c r="AS14" s="903">
        <f t="shared" si="20"/>
        <v>0</v>
      </c>
      <c r="AT14" s="903">
        <f t="shared" si="20"/>
        <v>0</v>
      </c>
      <c r="AU14" s="903">
        <f t="shared" si="20"/>
        <v>0</v>
      </c>
      <c r="AV14" s="903">
        <f t="shared" si="20"/>
        <v>0</v>
      </c>
      <c r="AW14" s="903">
        <f t="shared" si="20"/>
        <v>0</v>
      </c>
      <c r="AX14" s="903">
        <f t="shared" si="20"/>
        <v>0</v>
      </c>
      <c r="AY14" s="903">
        <f t="shared" si="20"/>
        <v>0</v>
      </c>
      <c r="AZ14" s="903">
        <f t="shared" si="20"/>
        <v>0</v>
      </c>
      <c r="BA14" s="903">
        <f t="shared" si="20"/>
        <v>0</v>
      </c>
      <c r="BB14" s="903">
        <f t="shared" ref="BB14:BR14" si="21">$D14</f>
        <v>0</v>
      </c>
      <c r="BC14" s="903">
        <f t="shared" si="21"/>
        <v>0</v>
      </c>
      <c r="BD14" s="903">
        <f t="shared" si="21"/>
        <v>0</v>
      </c>
      <c r="BE14" s="903">
        <f t="shared" si="21"/>
        <v>0</v>
      </c>
      <c r="BF14" s="903">
        <f t="shared" si="21"/>
        <v>0</v>
      </c>
      <c r="BG14" s="903">
        <f t="shared" si="21"/>
        <v>0</v>
      </c>
      <c r="BH14" s="903">
        <f t="shared" si="21"/>
        <v>0</v>
      </c>
      <c r="BI14" s="903">
        <f t="shared" si="21"/>
        <v>0</v>
      </c>
      <c r="BJ14" s="903">
        <f t="shared" si="21"/>
        <v>0</v>
      </c>
      <c r="BK14" s="903">
        <f t="shared" si="21"/>
        <v>0</v>
      </c>
      <c r="BL14" s="903">
        <f t="shared" si="21"/>
        <v>0</v>
      </c>
      <c r="BM14" s="903">
        <f t="shared" si="21"/>
        <v>0</v>
      </c>
      <c r="BN14" s="903">
        <f t="shared" si="21"/>
        <v>0</v>
      </c>
      <c r="BO14" s="903">
        <f t="shared" si="21"/>
        <v>0</v>
      </c>
      <c r="BP14" s="903">
        <f t="shared" si="21"/>
        <v>0</v>
      </c>
      <c r="BQ14" s="903">
        <f t="shared" si="21"/>
        <v>0</v>
      </c>
      <c r="BR14" s="903">
        <f t="shared" si="21"/>
        <v>0</v>
      </c>
    </row>
    <row r="15" spans="1:70">
      <c r="A15" s="914">
        <f t="shared" si="3"/>
        <v>12</v>
      </c>
      <c r="B15" s="915">
        <f t="shared" ca="1" si="3"/>
        <v>44</v>
      </c>
      <c r="C15" s="896"/>
      <c r="D15" s="930">
        <v>0</v>
      </c>
      <c r="E15" s="930">
        <f ca="1">列印頁!P29</f>
        <v>1145630</v>
      </c>
      <c r="F15" s="916">
        <f t="shared" ca="1" si="11"/>
        <v>0.14448780117442792</v>
      </c>
      <c r="G15" s="917">
        <f t="shared" ca="1" si="7"/>
        <v>1.4276121991378954E-2</v>
      </c>
      <c r="H15" s="931">
        <f>IF($M$2=0,0,'列印頁-簡'!I31)</f>
        <v>0</v>
      </c>
      <c r="I15" s="931">
        <f ca="1">'列印頁-簡'!U31</f>
        <v>1222047</v>
      </c>
      <c r="J15" s="916">
        <f ca="1">(I15+SUM($H$4:$H14)-$C$10)/$C$10</f>
        <v>0.22082861304418192</v>
      </c>
      <c r="K15" s="917">
        <f t="shared" ca="1" si="8"/>
        <v>2.1156556097163159E-2</v>
      </c>
      <c r="L15" s="882"/>
      <c r="M15" s="890">
        <f ca="1">V64</f>
        <v>1.4276121991378954E-2</v>
      </c>
      <c r="N15" s="883">
        <f t="shared" ca="1" si="4"/>
        <v>1145630</v>
      </c>
      <c r="Q15" s="903"/>
      <c r="R15" s="903"/>
      <c r="S15" s="903"/>
      <c r="T15" s="903"/>
      <c r="U15" s="903"/>
      <c r="V15" s="903">
        <f ca="1">N15</f>
        <v>1145630</v>
      </c>
      <c r="W15" s="903">
        <f t="shared" ref="W15:BR15" si="22">$D15</f>
        <v>0</v>
      </c>
      <c r="X15" s="903">
        <f t="shared" si="22"/>
        <v>0</v>
      </c>
      <c r="Y15" s="903">
        <f t="shared" si="22"/>
        <v>0</v>
      </c>
      <c r="Z15" s="903">
        <f t="shared" si="22"/>
        <v>0</v>
      </c>
      <c r="AA15" s="903">
        <f t="shared" si="22"/>
        <v>0</v>
      </c>
      <c r="AB15" s="903">
        <f t="shared" si="22"/>
        <v>0</v>
      </c>
      <c r="AC15" s="903">
        <f t="shared" si="22"/>
        <v>0</v>
      </c>
      <c r="AD15" s="903">
        <f t="shared" si="22"/>
        <v>0</v>
      </c>
      <c r="AE15" s="903">
        <f t="shared" si="22"/>
        <v>0</v>
      </c>
      <c r="AF15" s="903">
        <f t="shared" si="22"/>
        <v>0</v>
      </c>
      <c r="AG15" s="903">
        <f t="shared" si="22"/>
        <v>0</v>
      </c>
      <c r="AH15" s="903">
        <f t="shared" si="22"/>
        <v>0</v>
      </c>
      <c r="AI15" s="903">
        <f t="shared" si="22"/>
        <v>0</v>
      </c>
      <c r="AJ15" s="903">
        <f t="shared" si="22"/>
        <v>0</v>
      </c>
      <c r="AK15" s="903">
        <f t="shared" si="22"/>
        <v>0</v>
      </c>
      <c r="AL15" s="903">
        <f t="shared" si="22"/>
        <v>0</v>
      </c>
      <c r="AM15" s="903">
        <f t="shared" si="22"/>
        <v>0</v>
      </c>
      <c r="AN15" s="903">
        <f t="shared" si="22"/>
        <v>0</v>
      </c>
      <c r="AO15" s="903">
        <f t="shared" si="22"/>
        <v>0</v>
      </c>
      <c r="AP15" s="903">
        <f t="shared" si="22"/>
        <v>0</v>
      </c>
      <c r="AQ15" s="903">
        <f t="shared" si="22"/>
        <v>0</v>
      </c>
      <c r="AR15" s="903">
        <f t="shared" si="22"/>
        <v>0</v>
      </c>
      <c r="AS15" s="903">
        <f t="shared" si="22"/>
        <v>0</v>
      </c>
      <c r="AT15" s="903">
        <f t="shared" si="22"/>
        <v>0</v>
      </c>
      <c r="AU15" s="903">
        <f t="shared" si="22"/>
        <v>0</v>
      </c>
      <c r="AV15" s="903">
        <f t="shared" si="22"/>
        <v>0</v>
      </c>
      <c r="AW15" s="903">
        <f t="shared" si="22"/>
        <v>0</v>
      </c>
      <c r="AX15" s="903">
        <f t="shared" si="22"/>
        <v>0</v>
      </c>
      <c r="AY15" s="903">
        <f t="shared" si="22"/>
        <v>0</v>
      </c>
      <c r="AZ15" s="903">
        <f t="shared" si="22"/>
        <v>0</v>
      </c>
      <c r="BA15" s="903">
        <f t="shared" si="22"/>
        <v>0</v>
      </c>
      <c r="BB15" s="903">
        <f t="shared" si="22"/>
        <v>0</v>
      </c>
      <c r="BC15" s="903">
        <f t="shared" si="22"/>
        <v>0</v>
      </c>
      <c r="BD15" s="903">
        <f t="shared" si="22"/>
        <v>0</v>
      </c>
      <c r="BE15" s="903">
        <f t="shared" si="22"/>
        <v>0</v>
      </c>
      <c r="BF15" s="903">
        <f t="shared" si="22"/>
        <v>0</v>
      </c>
      <c r="BG15" s="903">
        <f t="shared" si="22"/>
        <v>0</v>
      </c>
      <c r="BH15" s="903">
        <f t="shared" si="22"/>
        <v>0</v>
      </c>
      <c r="BI15" s="903">
        <f t="shared" si="22"/>
        <v>0</v>
      </c>
      <c r="BJ15" s="903">
        <f t="shared" si="22"/>
        <v>0</v>
      </c>
      <c r="BK15" s="903">
        <f t="shared" si="22"/>
        <v>0</v>
      </c>
      <c r="BL15" s="903">
        <f t="shared" si="22"/>
        <v>0</v>
      </c>
      <c r="BM15" s="903">
        <f t="shared" si="22"/>
        <v>0</v>
      </c>
      <c r="BN15" s="903">
        <f t="shared" si="22"/>
        <v>0</v>
      </c>
      <c r="BO15" s="903">
        <f t="shared" si="22"/>
        <v>0</v>
      </c>
      <c r="BP15" s="903">
        <f t="shared" si="22"/>
        <v>0</v>
      </c>
      <c r="BQ15" s="903">
        <f t="shared" si="22"/>
        <v>0</v>
      </c>
      <c r="BR15" s="903">
        <f t="shared" si="22"/>
        <v>0</v>
      </c>
    </row>
    <row r="16" spans="1:70">
      <c r="A16" s="914">
        <f t="shared" si="3"/>
        <v>13</v>
      </c>
      <c r="B16" s="915">
        <f t="shared" ca="1" si="3"/>
        <v>45</v>
      </c>
      <c r="C16" s="896"/>
      <c r="D16" s="930">
        <v>0</v>
      </c>
      <c r="E16" s="930">
        <f ca="1">列印頁!P30</f>
        <v>1168546</v>
      </c>
      <c r="F16" s="916">
        <f t="shared" ca="1" si="11"/>
        <v>0.1673809538080995</v>
      </c>
      <c r="G16" s="917">
        <f t="shared" ca="1" si="7"/>
        <v>1.4817973663252992E-2</v>
      </c>
      <c r="H16" s="931">
        <f>IF($M$2=0,0,'列印頁-簡'!I32)</f>
        <v>0</v>
      </c>
      <c r="I16" s="931">
        <f ca="1">'列印頁-簡'!U32</f>
        <v>1255102</v>
      </c>
      <c r="J16" s="916">
        <f ca="1">(I16+SUM($H$4:$H15)-$C$10)/$C$10</f>
        <v>0.25385065704426985</v>
      </c>
      <c r="K16" s="917">
        <f t="shared" ca="1" si="8"/>
        <v>2.1712992028837697E-2</v>
      </c>
      <c r="L16" s="882"/>
      <c r="M16" s="890">
        <f ca="1">W64</f>
        <v>1.4817973663252992E-2</v>
      </c>
      <c r="N16" s="883">
        <f t="shared" ca="1" si="4"/>
        <v>1168546</v>
      </c>
      <c r="Q16" s="903"/>
      <c r="R16" s="903"/>
      <c r="S16" s="903"/>
      <c r="T16" s="903"/>
      <c r="U16" s="903"/>
      <c r="V16" s="903"/>
      <c r="W16" s="903">
        <f ca="1">N16</f>
        <v>1168546</v>
      </c>
      <c r="X16" s="903">
        <f t="shared" ref="X16:BR16" si="23">$D16</f>
        <v>0</v>
      </c>
      <c r="Y16" s="903">
        <f t="shared" si="23"/>
        <v>0</v>
      </c>
      <c r="Z16" s="903">
        <f t="shared" si="23"/>
        <v>0</v>
      </c>
      <c r="AA16" s="903">
        <f t="shared" si="23"/>
        <v>0</v>
      </c>
      <c r="AB16" s="903">
        <f t="shared" si="23"/>
        <v>0</v>
      </c>
      <c r="AC16" s="903">
        <f t="shared" si="23"/>
        <v>0</v>
      </c>
      <c r="AD16" s="903">
        <f t="shared" si="23"/>
        <v>0</v>
      </c>
      <c r="AE16" s="903">
        <f t="shared" si="23"/>
        <v>0</v>
      </c>
      <c r="AF16" s="903">
        <f t="shared" si="23"/>
        <v>0</v>
      </c>
      <c r="AG16" s="903">
        <f t="shared" si="23"/>
        <v>0</v>
      </c>
      <c r="AH16" s="903">
        <f t="shared" si="23"/>
        <v>0</v>
      </c>
      <c r="AI16" s="903">
        <f t="shared" si="23"/>
        <v>0</v>
      </c>
      <c r="AJ16" s="903">
        <f t="shared" si="23"/>
        <v>0</v>
      </c>
      <c r="AK16" s="903">
        <f t="shared" si="23"/>
        <v>0</v>
      </c>
      <c r="AL16" s="903">
        <f t="shared" si="23"/>
        <v>0</v>
      </c>
      <c r="AM16" s="903">
        <f t="shared" si="23"/>
        <v>0</v>
      </c>
      <c r="AN16" s="903">
        <f t="shared" si="23"/>
        <v>0</v>
      </c>
      <c r="AO16" s="903">
        <f t="shared" si="23"/>
        <v>0</v>
      </c>
      <c r="AP16" s="903">
        <f t="shared" si="23"/>
        <v>0</v>
      </c>
      <c r="AQ16" s="903">
        <f t="shared" si="23"/>
        <v>0</v>
      </c>
      <c r="AR16" s="903">
        <f t="shared" si="23"/>
        <v>0</v>
      </c>
      <c r="AS16" s="903">
        <f t="shared" si="23"/>
        <v>0</v>
      </c>
      <c r="AT16" s="903">
        <f t="shared" si="23"/>
        <v>0</v>
      </c>
      <c r="AU16" s="903">
        <f t="shared" si="23"/>
        <v>0</v>
      </c>
      <c r="AV16" s="903">
        <f t="shared" si="23"/>
        <v>0</v>
      </c>
      <c r="AW16" s="903">
        <f t="shared" si="23"/>
        <v>0</v>
      </c>
      <c r="AX16" s="903">
        <f t="shared" si="23"/>
        <v>0</v>
      </c>
      <c r="AY16" s="903">
        <f t="shared" si="23"/>
        <v>0</v>
      </c>
      <c r="AZ16" s="903">
        <f t="shared" si="23"/>
        <v>0</v>
      </c>
      <c r="BA16" s="903">
        <f t="shared" si="23"/>
        <v>0</v>
      </c>
      <c r="BB16" s="903">
        <f t="shared" si="23"/>
        <v>0</v>
      </c>
      <c r="BC16" s="903">
        <f t="shared" si="23"/>
        <v>0</v>
      </c>
      <c r="BD16" s="903">
        <f t="shared" si="23"/>
        <v>0</v>
      </c>
      <c r="BE16" s="903">
        <f t="shared" si="23"/>
        <v>0</v>
      </c>
      <c r="BF16" s="903">
        <f t="shared" si="23"/>
        <v>0</v>
      </c>
      <c r="BG16" s="903">
        <f t="shared" si="23"/>
        <v>0</v>
      </c>
      <c r="BH16" s="903">
        <f t="shared" si="23"/>
        <v>0</v>
      </c>
      <c r="BI16" s="903">
        <f t="shared" si="23"/>
        <v>0</v>
      </c>
      <c r="BJ16" s="903">
        <f t="shared" si="23"/>
        <v>0</v>
      </c>
      <c r="BK16" s="903">
        <f t="shared" si="23"/>
        <v>0</v>
      </c>
      <c r="BL16" s="903">
        <f t="shared" si="23"/>
        <v>0</v>
      </c>
      <c r="BM16" s="903">
        <f t="shared" si="23"/>
        <v>0</v>
      </c>
      <c r="BN16" s="903">
        <f t="shared" si="23"/>
        <v>0</v>
      </c>
      <c r="BO16" s="903">
        <f t="shared" si="23"/>
        <v>0</v>
      </c>
      <c r="BP16" s="903">
        <f t="shared" si="23"/>
        <v>0</v>
      </c>
      <c r="BQ16" s="903">
        <f t="shared" si="23"/>
        <v>0</v>
      </c>
      <c r="BR16" s="903">
        <f t="shared" si="23"/>
        <v>0</v>
      </c>
    </row>
    <row r="17" spans="1:70">
      <c r="A17" s="914">
        <f t="shared" si="3"/>
        <v>14</v>
      </c>
      <c r="B17" s="915">
        <f t="shared" ca="1" si="3"/>
        <v>46</v>
      </c>
      <c r="C17" s="896"/>
      <c r="D17" s="930">
        <v>0</v>
      </c>
      <c r="E17" s="930">
        <f ca="1">列印頁!P31</f>
        <v>1191904</v>
      </c>
      <c r="F17" s="916">
        <f t="shared" ca="1" si="11"/>
        <v>0.19071566576556598</v>
      </c>
      <c r="G17" s="917">
        <f t="shared" ca="1" si="7"/>
        <v>1.5264888273612387E-2</v>
      </c>
      <c r="H17" s="931">
        <f>IF($M$2=0,0,'列印頁-簡'!I33)</f>
        <v>0</v>
      </c>
      <c r="I17" s="931">
        <f ca="1">'列印頁-簡'!U33</f>
        <v>1289036</v>
      </c>
      <c r="J17" s="916">
        <f ca="1">(I17+SUM($H$4:$H16)-$C$10)/$C$10</f>
        <v>0.28775082467697238</v>
      </c>
      <c r="K17" s="917">
        <f t="shared" ca="1" si="8"/>
        <v>2.2172309907734888E-2</v>
      </c>
      <c r="L17" s="882"/>
      <c r="M17" s="890">
        <f ca="1">X64</f>
        <v>1.5264888273612387E-2</v>
      </c>
      <c r="N17" s="883">
        <f t="shared" ca="1" si="4"/>
        <v>1191904</v>
      </c>
      <c r="Q17" s="903"/>
      <c r="R17" s="903"/>
      <c r="S17" s="903"/>
      <c r="T17" s="903"/>
      <c r="U17" s="903"/>
      <c r="V17" s="903"/>
      <c r="W17" s="903"/>
      <c r="X17" s="903">
        <f ca="1">N17</f>
        <v>1191904</v>
      </c>
      <c r="Y17" s="903">
        <f t="shared" ref="Y17:BR17" si="24">$D17</f>
        <v>0</v>
      </c>
      <c r="Z17" s="903">
        <f t="shared" si="24"/>
        <v>0</v>
      </c>
      <c r="AA17" s="903">
        <f t="shared" si="24"/>
        <v>0</v>
      </c>
      <c r="AB17" s="903">
        <f t="shared" si="24"/>
        <v>0</v>
      </c>
      <c r="AC17" s="903">
        <f t="shared" si="24"/>
        <v>0</v>
      </c>
      <c r="AD17" s="903">
        <f t="shared" si="24"/>
        <v>0</v>
      </c>
      <c r="AE17" s="903">
        <f t="shared" si="24"/>
        <v>0</v>
      </c>
      <c r="AF17" s="903">
        <f t="shared" si="24"/>
        <v>0</v>
      </c>
      <c r="AG17" s="903">
        <f t="shared" si="24"/>
        <v>0</v>
      </c>
      <c r="AH17" s="903">
        <f t="shared" si="24"/>
        <v>0</v>
      </c>
      <c r="AI17" s="903">
        <f t="shared" si="24"/>
        <v>0</v>
      </c>
      <c r="AJ17" s="903">
        <f t="shared" si="24"/>
        <v>0</v>
      </c>
      <c r="AK17" s="903">
        <f t="shared" si="24"/>
        <v>0</v>
      </c>
      <c r="AL17" s="903">
        <f t="shared" si="24"/>
        <v>0</v>
      </c>
      <c r="AM17" s="903">
        <f t="shared" si="24"/>
        <v>0</v>
      </c>
      <c r="AN17" s="903">
        <f t="shared" si="24"/>
        <v>0</v>
      </c>
      <c r="AO17" s="903">
        <f t="shared" si="24"/>
        <v>0</v>
      </c>
      <c r="AP17" s="903">
        <f t="shared" si="24"/>
        <v>0</v>
      </c>
      <c r="AQ17" s="903">
        <f t="shared" si="24"/>
        <v>0</v>
      </c>
      <c r="AR17" s="903">
        <f t="shared" si="24"/>
        <v>0</v>
      </c>
      <c r="AS17" s="903">
        <f t="shared" si="24"/>
        <v>0</v>
      </c>
      <c r="AT17" s="903">
        <f t="shared" si="24"/>
        <v>0</v>
      </c>
      <c r="AU17" s="903">
        <f t="shared" si="24"/>
        <v>0</v>
      </c>
      <c r="AV17" s="903">
        <f t="shared" si="24"/>
        <v>0</v>
      </c>
      <c r="AW17" s="903">
        <f t="shared" si="24"/>
        <v>0</v>
      </c>
      <c r="AX17" s="903">
        <f t="shared" si="24"/>
        <v>0</v>
      </c>
      <c r="AY17" s="903">
        <f t="shared" si="24"/>
        <v>0</v>
      </c>
      <c r="AZ17" s="903">
        <f t="shared" si="24"/>
        <v>0</v>
      </c>
      <c r="BA17" s="903">
        <f t="shared" si="24"/>
        <v>0</v>
      </c>
      <c r="BB17" s="903">
        <f t="shared" si="24"/>
        <v>0</v>
      </c>
      <c r="BC17" s="903">
        <f t="shared" si="24"/>
        <v>0</v>
      </c>
      <c r="BD17" s="903">
        <f t="shared" si="24"/>
        <v>0</v>
      </c>
      <c r="BE17" s="903">
        <f t="shared" si="24"/>
        <v>0</v>
      </c>
      <c r="BF17" s="903">
        <f t="shared" si="24"/>
        <v>0</v>
      </c>
      <c r="BG17" s="903">
        <f t="shared" si="24"/>
        <v>0</v>
      </c>
      <c r="BH17" s="903">
        <f t="shared" si="24"/>
        <v>0</v>
      </c>
      <c r="BI17" s="903">
        <f t="shared" si="24"/>
        <v>0</v>
      </c>
      <c r="BJ17" s="903">
        <f t="shared" si="24"/>
        <v>0</v>
      </c>
      <c r="BK17" s="903">
        <f t="shared" si="24"/>
        <v>0</v>
      </c>
      <c r="BL17" s="903">
        <f t="shared" si="24"/>
        <v>0</v>
      </c>
      <c r="BM17" s="903">
        <f t="shared" si="24"/>
        <v>0</v>
      </c>
      <c r="BN17" s="903">
        <f t="shared" si="24"/>
        <v>0</v>
      </c>
      <c r="BO17" s="903">
        <f t="shared" si="24"/>
        <v>0</v>
      </c>
      <c r="BP17" s="903">
        <f t="shared" si="24"/>
        <v>0</v>
      </c>
      <c r="BQ17" s="903">
        <f t="shared" si="24"/>
        <v>0</v>
      </c>
      <c r="BR17" s="903">
        <f t="shared" si="24"/>
        <v>0</v>
      </c>
    </row>
    <row r="18" spans="1:70">
      <c r="A18" s="918">
        <f t="shared" si="3"/>
        <v>15</v>
      </c>
      <c r="B18" s="919">
        <f t="shared" ca="1" si="3"/>
        <v>47</v>
      </c>
      <c r="C18" s="896"/>
      <c r="D18" s="934">
        <v>0</v>
      </c>
      <c r="E18" s="934">
        <f ca="1">列印頁!P32</f>
        <v>1215738</v>
      </c>
      <c r="F18" s="920">
        <f t="shared" ca="1" si="11"/>
        <v>0.21452590314865763</v>
      </c>
      <c r="G18" s="921">
        <f t="shared" ca="1" si="7"/>
        <v>1.5641267461740327E-2</v>
      </c>
      <c r="H18" s="935">
        <f>IF($M$2=0,0,'列印頁-簡'!I34)</f>
        <v>0</v>
      </c>
      <c r="I18" s="935">
        <f ca="1">'列印頁-簡'!U34</f>
        <v>1323905</v>
      </c>
      <c r="J18" s="920">
        <f ca="1">(I18+SUM($H$4:$H17)-$C$10)/$C$10</f>
        <v>0.3225850601100102</v>
      </c>
      <c r="K18" s="921">
        <f t="shared" ca="1" si="8"/>
        <v>2.2559707552536556E-2</v>
      </c>
      <c r="L18" s="882"/>
      <c r="M18" s="890">
        <f ca="1">Y64</f>
        <v>1.5641267461740327E-2</v>
      </c>
      <c r="N18" s="883">
        <f t="shared" ca="1" si="4"/>
        <v>1215738</v>
      </c>
      <c r="Q18" s="903"/>
      <c r="R18" s="903"/>
      <c r="S18" s="903"/>
      <c r="T18" s="903"/>
      <c r="U18" s="903"/>
      <c r="V18" s="903"/>
      <c r="W18" s="903"/>
      <c r="X18" s="903"/>
      <c r="Y18" s="903">
        <f ca="1">N18</f>
        <v>1215738</v>
      </c>
      <c r="Z18" s="903">
        <f t="shared" ref="Z18:BR18" si="25">$D18</f>
        <v>0</v>
      </c>
      <c r="AA18" s="903">
        <f t="shared" si="25"/>
        <v>0</v>
      </c>
      <c r="AB18" s="903">
        <f t="shared" si="25"/>
        <v>0</v>
      </c>
      <c r="AC18" s="903">
        <f t="shared" si="25"/>
        <v>0</v>
      </c>
      <c r="AD18" s="903">
        <f t="shared" si="25"/>
        <v>0</v>
      </c>
      <c r="AE18" s="903">
        <f t="shared" si="25"/>
        <v>0</v>
      </c>
      <c r="AF18" s="903">
        <f t="shared" si="25"/>
        <v>0</v>
      </c>
      <c r="AG18" s="903">
        <f t="shared" si="25"/>
        <v>0</v>
      </c>
      <c r="AH18" s="903">
        <f t="shared" si="25"/>
        <v>0</v>
      </c>
      <c r="AI18" s="903">
        <f t="shared" si="25"/>
        <v>0</v>
      </c>
      <c r="AJ18" s="903">
        <f t="shared" si="25"/>
        <v>0</v>
      </c>
      <c r="AK18" s="903">
        <f t="shared" si="25"/>
        <v>0</v>
      </c>
      <c r="AL18" s="903">
        <f t="shared" si="25"/>
        <v>0</v>
      </c>
      <c r="AM18" s="903">
        <f t="shared" si="25"/>
        <v>0</v>
      </c>
      <c r="AN18" s="903">
        <f t="shared" si="25"/>
        <v>0</v>
      </c>
      <c r="AO18" s="903">
        <f t="shared" si="25"/>
        <v>0</v>
      </c>
      <c r="AP18" s="903">
        <f t="shared" si="25"/>
        <v>0</v>
      </c>
      <c r="AQ18" s="903">
        <f t="shared" si="25"/>
        <v>0</v>
      </c>
      <c r="AR18" s="903">
        <f t="shared" si="25"/>
        <v>0</v>
      </c>
      <c r="AS18" s="903">
        <f t="shared" si="25"/>
        <v>0</v>
      </c>
      <c r="AT18" s="903">
        <f t="shared" si="25"/>
        <v>0</v>
      </c>
      <c r="AU18" s="903">
        <f t="shared" si="25"/>
        <v>0</v>
      </c>
      <c r="AV18" s="903">
        <f t="shared" si="25"/>
        <v>0</v>
      </c>
      <c r="AW18" s="903">
        <f t="shared" si="25"/>
        <v>0</v>
      </c>
      <c r="AX18" s="903">
        <f t="shared" si="25"/>
        <v>0</v>
      </c>
      <c r="AY18" s="903">
        <f t="shared" si="25"/>
        <v>0</v>
      </c>
      <c r="AZ18" s="903">
        <f t="shared" si="25"/>
        <v>0</v>
      </c>
      <c r="BA18" s="903">
        <f t="shared" si="25"/>
        <v>0</v>
      </c>
      <c r="BB18" s="903">
        <f t="shared" si="25"/>
        <v>0</v>
      </c>
      <c r="BC18" s="903">
        <f t="shared" si="25"/>
        <v>0</v>
      </c>
      <c r="BD18" s="903">
        <f t="shared" si="25"/>
        <v>0</v>
      </c>
      <c r="BE18" s="903">
        <f t="shared" si="25"/>
        <v>0</v>
      </c>
      <c r="BF18" s="903">
        <f t="shared" si="25"/>
        <v>0</v>
      </c>
      <c r="BG18" s="903">
        <f t="shared" si="25"/>
        <v>0</v>
      </c>
      <c r="BH18" s="903">
        <f t="shared" si="25"/>
        <v>0</v>
      </c>
      <c r="BI18" s="903">
        <f t="shared" si="25"/>
        <v>0</v>
      </c>
      <c r="BJ18" s="903">
        <f t="shared" si="25"/>
        <v>0</v>
      </c>
      <c r="BK18" s="903">
        <f t="shared" si="25"/>
        <v>0</v>
      </c>
      <c r="BL18" s="903">
        <f t="shared" si="25"/>
        <v>0</v>
      </c>
      <c r="BM18" s="903">
        <f t="shared" si="25"/>
        <v>0</v>
      </c>
      <c r="BN18" s="903">
        <f t="shared" si="25"/>
        <v>0</v>
      </c>
      <c r="BO18" s="903">
        <f t="shared" si="25"/>
        <v>0</v>
      </c>
      <c r="BP18" s="903">
        <f t="shared" si="25"/>
        <v>0</v>
      </c>
      <c r="BQ18" s="903">
        <f t="shared" si="25"/>
        <v>0</v>
      </c>
      <c r="BR18" s="903">
        <f t="shared" si="25"/>
        <v>0</v>
      </c>
    </row>
    <row r="19" spans="1:70">
      <c r="A19" s="914">
        <f t="shared" si="3"/>
        <v>16</v>
      </c>
      <c r="B19" s="915">
        <f t="shared" ca="1" si="3"/>
        <v>48</v>
      </c>
      <c r="C19" s="896"/>
      <c r="D19" s="930">
        <v>0</v>
      </c>
      <c r="E19" s="930">
        <f ca="1">列印頁!P33</f>
        <v>1240048</v>
      </c>
      <c r="F19" s="916">
        <f t="shared" ca="1" si="11"/>
        <v>0.23881166595737455</v>
      </c>
      <c r="G19" s="917">
        <f t="shared" ca="1" si="7"/>
        <v>1.5962121110793204E-2</v>
      </c>
      <c r="H19" s="931">
        <f>IF($M$2=0,0,'列印頁-簡'!I35)</f>
        <v>0</v>
      </c>
      <c r="I19" s="931">
        <f ca="1">'列印頁-簡'!U35</f>
        <v>1359711</v>
      </c>
      <c r="J19" s="916">
        <f ca="1">(I19+SUM($H$4:$H18)-$C$10)/$C$10</f>
        <v>0.35835536134937335</v>
      </c>
      <c r="K19" s="917">
        <f t="shared" ca="1" si="8"/>
        <v>2.2889731835542992E-2</v>
      </c>
      <c r="L19" s="882"/>
      <c r="M19" s="890">
        <f ca="1">Z64</f>
        <v>1.5962121110793204E-2</v>
      </c>
      <c r="N19" s="883">
        <f t="shared" ca="1" si="4"/>
        <v>1240048</v>
      </c>
      <c r="Q19" s="903"/>
      <c r="R19" s="903"/>
      <c r="S19" s="903"/>
      <c r="T19" s="903"/>
      <c r="U19" s="903"/>
      <c r="V19" s="903"/>
      <c r="W19" s="903"/>
      <c r="X19" s="903"/>
      <c r="Y19" s="903"/>
      <c r="Z19" s="903">
        <f ca="1">N19</f>
        <v>1240048</v>
      </c>
      <c r="AA19" s="903">
        <f t="shared" ref="AA19:BR19" si="26">$D19</f>
        <v>0</v>
      </c>
      <c r="AB19" s="903">
        <f t="shared" si="26"/>
        <v>0</v>
      </c>
      <c r="AC19" s="903">
        <f t="shared" si="26"/>
        <v>0</v>
      </c>
      <c r="AD19" s="903">
        <f t="shared" si="26"/>
        <v>0</v>
      </c>
      <c r="AE19" s="903">
        <f t="shared" si="26"/>
        <v>0</v>
      </c>
      <c r="AF19" s="903">
        <f t="shared" si="26"/>
        <v>0</v>
      </c>
      <c r="AG19" s="903">
        <f t="shared" si="26"/>
        <v>0</v>
      </c>
      <c r="AH19" s="903">
        <f t="shared" si="26"/>
        <v>0</v>
      </c>
      <c r="AI19" s="903">
        <f t="shared" si="26"/>
        <v>0</v>
      </c>
      <c r="AJ19" s="903">
        <f t="shared" si="26"/>
        <v>0</v>
      </c>
      <c r="AK19" s="903">
        <f t="shared" si="26"/>
        <v>0</v>
      </c>
      <c r="AL19" s="903">
        <f t="shared" si="26"/>
        <v>0</v>
      </c>
      <c r="AM19" s="903">
        <f t="shared" si="26"/>
        <v>0</v>
      </c>
      <c r="AN19" s="903">
        <f t="shared" si="26"/>
        <v>0</v>
      </c>
      <c r="AO19" s="903">
        <f t="shared" si="26"/>
        <v>0</v>
      </c>
      <c r="AP19" s="903">
        <f t="shared" si="26"/>
        <v>0</v>
      </c>
      <c r="AQ19" s="903">
        <f t="shared" si="26"/>
        <v>0</v>
      </c>
      <c r="AR19" s="903">
        <f t="shared" si="26"/>
        <v>0</v>
      </c>
      <c r="AS19" s="903">
        <f t="shared" si="26"/>
        <v>0</v>
      </c>
      <c r="AT19" s="903">
        <f t="shared" si="26"/>
        <v>0</v>
      </c>
      <c r="AU19" s="903">
        <f t="shared" si="26"/>
        <v>0</v>
      </c>
      <c r="AV19" s="903">
        <f t="shared" si="26"/>
        <v>0</v>
      </c>
      <c r="AW19" s="903">
        <f t="shared" si="26"/>
        <v>0</v>
      </c>
      <c r="AX19" s="903">
        <f t="shared" si="26"/>
        <v>0</v>
      </c>
      <c r="AY19" s="903">
        <f t="shared" si="26"/>
        <v>0</v>
      </c>
      <c r="AZ19" s="903">
        <f t="shared" si="26"/>
        <v>0</v>
      </c>
      <c r="BA19" s="903">
        <f t="shared" si="26"/>
        <v>0</v>
      </c>
      <c r="BB19" s="903">
        <f t="shared" si="26"/>
        <v>0</v>
      </c>
      <c r="BC19" s="903">
        <f t="shared" si="26"/>
        <v>0</v>
      </c>
      <c r="BD19" s="903">
        <f t="shared" si="26"/>
        <v>0</v>
      </c>
      <c r="BE19" s="903">
        <f t="shared" si="26"/>
        <v>0</v>
      </c>
      <c r="BF19" s="903">
        <f t="shared" si="26"/>
        <v>0</v>
      </c>
      <c r="BG19" s="903">
        <f t="shared" si="26"/>
        <v>0</v>
      </c>
      <c r="BH19" s="903">
        <f t="shared" si="26"/>
        <v>0</v>
      </c>
      <c r="BI19" s="903">
        <f t="shared" si="26"/>
        <v>0</v>
      </c>
      <c r="BJ19" s="903">
        <f t="shared" si="26"/>
        <v>0</v>
      </c>
      <c r="BK19" s="903">
        <f t="shared" si="26"/>
        <v>0</v>
      </c>
      <c r="BL19" s="903">
        <f t="shared" si="26"/>
        <v>0</v>
      </c>
      <c r="BM19" s="903">
        <f t="shared" si="26"/>
        <v>0</v>
      </c>
      <c r="BN19" s="903">
        <f t="shared" si="26"/>
        <v>0</v>
      </c>
      <c r="BO19" s="903">
        <f t="shared" si="26"/>
        <v>0</v>
      </c>
      <c r="BP19" s="903">
        <f t="shared" si="26"/>
        <v>0</v>
      </c>
      <c r="BQ19" s="903">
        <f t="shared" si="26"/>
        <v>0</v>
      </c>
      <c r="BR19" s="903">
        <f t="shared" si="26"/>
        <v>0</v>
      </c>
    </row>
    <row r="20" spans="1:70">
      <c r="A20" s="914">
        <f t="shared" si="3"/>
        <v>17</v>
      </c>
      <c r="B20" s="915">
        <f t="shared" ca="1" si="3"/>
        <v>49</v>
      </c>
      <c r="C20" s="896"/>
      <c r="D20" s="930">
        <v>0</v>
      </c>
      <c r="E20" s="930">
        <f ca="1">列印頁!P34</f>
        <v>1264868</v>
      </c>
      <c r="F20" s="916">
        <f t="shared" ca="1" si="11"/>
        <v>0.26360692029354704</v>
      </c>
      <c r="G20" s="917">
        <f t="shared" ca="1" si="7"/>
        <v>1.6240243036582447E-2</v>
      </c>
      <c r="H20" s="931">
        <f>IF($M$2=0,0,'列印頁-簡'!I36)</f>
        <v>0</v>
      </c>
      <c r="I20" s="931">
        <f ca="1">'列印頁-簡'!U36</f>
        <v>1396513</v>
      </c>
      <c r="J20" s="916">
        <f ca="1">(I20+SUM($H$4:$H19)-$C$10)/$C$10</f>
        <v>0.39512066957176739</v>
      </c>
      <c r="K20" s="917">
        <f t="shared" ca="1" si="8"/>
        <v>2.317589694662936E-2</v>
      </c>
      <c r="L20" s="882"/>
      <c r="M20" s="890">
        <f ca="1">AA64</f>
        <v>1.6240243036582447E-2</v>
      </c>
      <c r="N20" s="883">
        <f t="shared" ca="1" si="4"/>
        <v>1264868</v>
      </c>
      <c r="Q20" s="903"/>
      <c r="R20" s="903"/>
      <c r="S20" s="903"/>
      <c r="T20" s="903"/>
      <c r="U20" s="903"/>
      <c r="V20" s="903"/>
      <c r="W20" s="903"/>
      <c r="X20" s="903"/>
      <c r="Y20" s="903"/>
      <c r="Z20" s="903"/>
      <c r="AA20" s="903">
        <f ca="1">N20</f>
        <v>1264868</v>
      </c>
      <c r="AB20" s="903">
        <f t="shared" ref="AB20:BR20" si="27">$D20</f>
        <v>0</v>
      </c>
      <c r="AC20" s="903">
        <f t="shared" si="27"/>
        <v>0</v>
      </c>
      <c r="AD20" s="903">
        <f t="shared" si="27"/>
        <v>0</v>
      </c>
      <c r="AE20" s="903">
        <f t="shared" si="27"/>
        <v>0</v>
      </c>
      <c r="AF20" s="903">
        <f t="shared" si="27"/>
        <v>0</v>
      </c>
      <c r="AG20" s="903">
        <f t="shared" si="27"/>
        <v>0</v>
      </c>
      <c r="AH20" s="903">
        <f t="shared" si="27"/>
        <v>0</v>
      </c>
      <c r="AI20" s="903">
        <f t="shared" si="27"/>
        <v>0</v>
      </c>
      <c r="AJ20" s="903">
        <f t="shared" si="27"/>
        <v>0</v>
      </c>
      <c r="AK20" s="903">
        <f t="shared" si="27"/>
        <v>0</v>
      </c>
      <c r="AL20" s="903">
        <f t="shared" si="27"/>
        <v>0</v>
      </c>
      <c r="AM20" s="903">
        <f t="shared" si="27"/>
        <v>0</v>
      </c>
      <c r="AN20" s="903">
        <f t="shared" si="27"/>
        <v>0</v>
      </c>
      <c r="AO20" s="903">
        <f t="shared" si="27"/>
        <v>0</v>
      </c>
      <c r="AP20" s="903">
        <f t="shared" si="27"/>
        <v>0</v>
      </c>
      <c r="AQ20" s="903">
        <f t="shared" si="27"/>
        <v>0</v>
      </c>
      <c r="AR20" s="903">
        <f t="shared" si="27"/>
        <v>0</v>
      </c>
      <c r="AS20" s="903">
        <f t="shared" si="27"/>
        <v>0</v>
      </c>
      <c r="AT20" s="903">
        <f t="shared" si="27"/>
        <v>0</v>
      </c>
      <c r="AU20" s="903">
        <f t="shared" si="27"/>
        <v>0</v>
      </c>
      <c r="AV20" s="903">
        <f t="shared" si="27"/>
        <v>0</v>
      </c>
      <c r="AW20" s="903">
        <f t="shared" si="27"/>
        <v>0</v>
      </c>
      <c r="AX20" s="903">
        <f t="shared" si="27"/>
        <v>0</v>
      </c>
      <c r="AY20" s="903">
        <f t="shared" si="27"/>
        <v>0</v>
      </c>
      <c r="AZ20" s="903">
        <f t="shared" si="27"/>
        <v>0</v>
      </c>
      <c r="BA20" s="903">
        <f t="shared" si="27"/>
        <v>0</v>
      </c>
      <c r="BB20" s="903">
        <f t="shared" si="27"/>
        <v>0</v>
      </c>
      <c r="BC20" s="903">
        <f t="shared" si="27"/>
        <v>0</v>
      </c>
      <c r="BD20" s="903">
        <f t="shared" si="27"/>
        <v>0</v>
      </c>
      <c r="BE20" s="903">
        <f t="shared" si="27"/>
        <v>0</v>
      </c>
      <c r="BF20" s="903">
        <f t="shared" si="27"/>
        <v>0</v>
      </c>
      <c r="BG20" s="903">
        <f t="shared" si="27"/>
        <v>0</v>
      </c>
      <c r="BH20" s="903">
        <f t="shared" si="27"/>
        <v>0</v>
      </c>
      <c r="BI20" s="903">
        <f t="shared" si="27"/>
        <v>0</v>
      </c>
      <c r="BJ20" s="903">
        <f t="shared" si="27"/>
        <v>0</v>
      </c>
      <c r="BK20" s="903">
        <f t="shared" si="27"/>
        <v>0</v>
      </c>
      <c r="BL20" s="903">
        <f t="shared" si="27"/>
        <v>0</v>
      </c>
      <c r="BM20" s="903">
        <f t="shared" si="27"/>
        <v>0</v>
      </c>
      <c r="BN20" s="903">
        <f t="shared" si="27"/>
        <v>0</v>
      </c>
      <c r="BO20" s="903">
        <f t="shared" si="27"/>
        <v>0</v>
      </c>
      <c r="BP20" s="903">
        <f t="shared" si="27"/>
        <v>0</v>
      </c>
      <c r="BQ20" s="903">
        <f t="shared" si="27"/>
        <v>0</v>
      </c>
      <c r="BR20" s="903">
        <f t="shared" si="27"/>
        <v>0</v>
      </c>
    </row>
    <row r="21" spans="1:70">
      <c r="A21" s="914">
        <f t="shared" ref="A21:B36" si="28">A20+1</f>
        <v>18</v>
      </c>
      <c r="B21" s="915">
        <f t="shared" ca="1" si="28"/>
        <v>50</v>
      </c>
      <c r="C21" s="896"/>
      <c r="D21" s="930">
        <v>0</v>
      </c>
      <c r="E21" s="930">
        <f ca="1">列印頁!P35</f>
        <v>1290164</v>
      </c>
      <c r="F21" s="916">
        <f t="shared" ca="1" si="11"/>
        <v>0.28887770005534474</v>
      </c>
      <c r="G21" s="917">
        <f t="shared" ca="1" si="7"/>
        <v>1.6481583154226209E-2</v>
      </c>
      <c r="H21" s="931">
        <f>IF($M$2=0,0,'列印頁-簡'!I37)</f>
        <v>0</v>
      </c>
      <c r="I21" s="931">
        <f ca="1">'列印頁-簡'!U37</f>
        <v>1434290</v>
      </c>
      <c r="J21" s="916">
        <f ca="1">(I21+SUM($H$4:$H20)-$C$10)/$C$10</f>
        <v>0.43286000571429711</v>
      </c>
      <c r="K21" s="917">
        <f t="shared" ca="1" si="8"/>
        <v>2.3424381676200978E-2</v>
      </c>
      <c r="L21" s="882"/>
      <c r="M21" s="890">
        <f ca="1">AB64</f>
        <v>1.6481583154226209E-2</v>
      </c>
      <c r="N21" s="883">
        <f t="shared" ca="1" si="4"/>
        <v>1290164</v>
      </c>
      <c r="Q21" s="903"/>
      <c r="R21" s="903"/>
      <c r="S21" s="903"/>
      <c r="T21" s="903"/>
      <c r="U21" s="903"/>
      <c r="V21" s="903"/>
      <c r="W21" s="903"/>
      <c r="X21" s="903"/>
      <c r="Y21" s="903"/>
      <c r="Z21" s="903"/>
      <c r="AA21" s="903"/>
      <c r="AB21" s="903">
        <f ca="1">N21</f>
        <v>1290164</v>
      </c>
      <c r="AC21" s="903">
        <f t="shared" ref="AC21:BR21" si="29">$D21</f>
        <v>0</v>
      </c>
      <c r="AD21" s="903">
        <f t="shared" si="29"/>
        <v>0</v>
      </c>
      <c r="AE21" s="903">
        <f t="shared" si="29"/>
        <v>0</v>
      </c>
      <c r="AF21" s="903">
        <f t="shared" si="29"/>
        <v>0</v>
      </c>
      <c r="AG21" s="903">
        <f t="shared" si="29"/>
        <v>0</v>
      </c>
      <c r="AH21" s="903">
        <f t="shared" si="29"/>
        <v>0</v>
      </c>
      <c r="AI21" s="903">
        <f t="shared" si="29"/>
        <v>0</v>
      </c>
      <c r="AJ21" s="903">
        <f t="shared" si="29"/>
        <v>0</v>
      </c>
      <c r="AK21" s="903">
        <f t="shared" si="29"/>
        <v>0</v>
      </c>
      <c r="AL21" s="903">
        <f t="shared" si="29"/>
        <v>0</v>
      </c>
      <c r="AM21" s="903">
        <f t="shared" si="29"/>
        <v>0</v>
      </c>
      <c r="AN21" s="903">
        <f t="shared" si="29"/>
        <v>0</v>
      </c>
      <c r="AO21" s="903">
        <f t="shared" si="29"/>
        <v>0</v>
      </c>
      <c r="AP21" s="903">
        <f t="shared" si="29"/>
        <v>0</v>
      </c>
      <c r="AQ21" s="903">
        <f t="shared" si="29"/>
        <v>0</v>
      </c>
      <c r="AR21" s="903">
        <f t="shared" si="29"/>
        <v>0</v>
      </c>
      <c r="AS21" s="903">
        <f t="shared" si="29"/>
        <v>0</v>
      </c>
      <c r="AT21" s="903">
        <f t="shared" si="29"/>
        <v>0</v>
      </c>
      <c r="AU21" s="903">
        <f t="shared" si="29"/>
        <v>0</v>
      </c>
      <c r="AV21" s="903">
        <f t="shared" si="29"/>
        <v>0</v>
      </c>
      <c r="AW21" s="903">
        <f t="shared" si="29"/>
        <v>0</v>
      </c>
      <c r="AX21" s="903">
        <f t="shared" si="29"/>
        <v>0</v>
      </c>
      <c r="AY21" s="903">
        <f t="shared" si="29"/>
        <v>0</v>
      </c>
      <c r="AZ21" s="903">
        <f t="shared" si="29"/>
        <v>0</v>
      </c>
      <c r="BA21" s="903">
        <f t="shared" si="29"/>
        <v>0</v>
      </c>
      <c r="BB21" s="903">
        <f t="shared" si="29"/>
        <v>0</v>
      </c>
      <c r="BC21" s="903">
        <f t="shared" si="29"/>
        <v>0</v>
      </c>
      <c r="BD21" s="903">
        <f t="shared" si="29"/>
        <v>0</v>
      </c>
      <c r="BE21" s="903">
        <f t="shared" si="29"/>
        <v>0</v>
      </c>
      <c r="BF21" s="903">
        <f t="shared" si="29"/>
        <v>0</v>
      </c>
      <c r="BG21" s="903">
        <f t="shared" si="29"/>
        <v>0</v>
      </c>
      <c r="BH21" s="903">
        <f t="shared" si="29"/>
        <v>0</v>
      </c>
      <c r="BI21" s="903">
        <f t="shared" si="29"/>
        <v>0</v>
      </c>
      <c r="BJ21" s="903">
        <f t="shared" si="29"/>
        <v>0</v>
      </c>
      <c r="BK21" s="903">
        <f t="shared" si="29"/>
        <v>0</v>
      </c>
      <c r="BL21" s="903">
        <f t="shared" si="29"/>
        <v>0</v>
      </c>
      <c r="BM21" s="903">
        <f t="shared" si="29"/>
        <v>0</v>
      </c>
      <c r="BN21" s="903">
        <f t="shared" si="29"/>
        <v>0</v>
      </c>
      <c r="BO21" s="903">
        <f t="shared" si="29"/>
        <v>0</v>
      </c>
      <c r="BP21" s="903">
        <f t="shared" si="29"/>
        <v>0</v>
      </c>
      <c r="BQ21" s="903">
        <f t="shared" si="29"/>
        <v>0</v>
      </c>
      <c r="BR21" s="903">
        <f t="shared" si="29"/>
        <v>0</v>
      </c>
    </row>
    <row r="22" spans="1:70">
      <c r="A22" s="914">
        <f t="shared" si="28"/>
        <v>19</v>
      </c>
      <c r="B22" s="915">
        <f t="shared" ca="1" si="28"/>
        <v>51</v>
      </c>
      <c r="C22" s="896"/>
      <c r="D22" s="930">
        <v>0</v>
      </c>
      <c r="E22" s="930">
        <f ca="1">列印頁!P36</f>
        <v>1315970</v>
      </c>
      <c r="F22" s="916">
        <f t="shared" ca="1" si="11"/>
        <v>0.31465797134459811</v>
      </c>
      <c r="G22" s="917">
        <f t="shared" ca="1" si="7"/>
        <v>1.6693984339829937E-2</v>
      </c>
      <c r="H22" s="931">
        <f>IF($M$2=0,0,'列印頁-簡'!I38)</f>
        <v>0</v>
      </c>
      <c r="I22" s="931">
        <f ca="1">'列印頁-簡'!U38</f>
        <v>1473104</v>
      </c>
      <c r="J22" s="916">
        <f ca="1">(I22+SUM($H$4:$H21)-$C$10)/$C$10</f>
        <v>0.47163530796265329</v>
      </c>
      <c r="K22" s="917">
        <f t="shared" ca="1" si="8"/>
        <v>2.3643543388331967E-2</v>
      </c>
      <c r="L22" s="882"/>
      <c r="M22" s="890">
        <f ca="1">AC64</f>
        <v>1.6693984339829937E-2</v>
      </c>
      <c r="N22" s="883">
        <f t="shared" ca="1" si="4"/>
        <v>1315970</v>
      </c>
      <c r="Q22" s="903"/>
      <c r="R22" s="903"/>
      <c r="S22" s="903"/>
      <c r="T22" s="903"/>
      <c r="U22" s="903"/>
      <c r="V22" s="903"/>
      <c r="W22" s="903"/>
      <c r="X22" s="903"/>
      <c r="Y22" s="903"/>
      <c r="Z22" s="903"/>
      <c r="AA22" s="903"/>
      <c r="AB22" s="903"/>
      <c r="AC22" s="903">
        <f ca="1">N22</f>
        <v>1315970</v>
      </c>
      <c r="AD22" s="903">
        <f t="shared" ref="AD22:BR22" si="30">$D22</f>
        <v>0</v>
      </c>
      <c r="AE22" s="903">
        <f t="shared" si="30"/>
        <v>0</v>
      </c>
      <c r="AF22" s="903">
        <f t="shared" si="30"/>
        <v>0</v>
      </c>
      <c r="AG22" s="903">
        <f t="shared" si="30"/>
        <v>0</v>
      </c>
      <c r="AH22" s="903">
        <f t="shared" si="30"/>
        <v>0</v>
      </c>
      <c r="AI22" s="903">
        <f t="shared" si="30"/>
        <v>0</v>
      </c>
      <c r="AJ22" s="903">
        <f t="shared" si="30"/>
        <v>0</v>
      </c>
      <c r="AK22" s="903">
        <f t="shared" si="30"/>
        <v>0</v>
      </c>
      <c r="AL22" s="903">
        <f t="shared" si="30"/>
        <v>0</v>
      </c>
      <c r="AM22" s="903">
        <f t="shared" si="30"/>
        <v>0</v>
      </c>
      <c r="AN22" s="903">
        <f t="shared" si="30"/>
        <v>0</v>
      </c>
      <c r="AO22" s="903">
        <f t="shared" si="30"/>
        <v>0</v>
      </c>
      <c r="AP22" s="903">
        <f t="shared" si="30"/>
        <v>0</v>
      </c>
      <c r="AQ22" s="903">
        <f t="shared" si="30"/>
        <v>0</v>
      </c>
      <c r="AR22" s="903">
        <f t="shared" si="30"/>
        <v>0</v>
      </c>
      <c r="AS22" s="903">
        <f t="shared" si="30"/>
        <v>0</v>
      </c>
      <c r="AT22" s="903">
        <f t="shared" si="30"/>
        <v>0</v>
      </c>
      <c r="AU22" s="903">
        <f t="shared" si="30"/>
        <v>0</v>
      </c>
      <c r="AV22" s="903">
        <f t="shared" si="30"/>
        <v>0</v>
      </c>
      <c r="AW22" s="903">
        <f t="shared" si="30"/>
        <v>0</v>
      </c>
      <c r="AX22" s="903">
        <f t="shared" si="30"/>
        <v>0</v>
      </c>
      <c r="AY22" s="903">
        <f t="shared" si="30"/>
        <v>0</v>
      </c>
      <c r="AZ22" s="903">
        <f t="shared" si="30"/>
        <v>0</v>
      </c>
      <c r="BA22" s="903">
        <f t="shared" si="30"/>
        <v>0</v>
      </c>
      <c r="BB22" s="903">
        <f t="shared" si="30"/>
        <v>0</v>
      </c>
      <c r="BC22" s="903">
        <f t="shared" si="30"/>
        <v>0</v>
      </c>
      <c r="BD22" s="903">
        <f t="shared" si="30"/>
        <v>0</v>
      </c>
      <c r="BE22" s="903">
        <f t="shared" si="30"/>
        <v>0</v>
      </c>
      <c r="BF22" s="903">
        <f t="shared" si="30"/>
        <v>0</v>
      </c>
      <c r="BG22" s="903">
        <f t="shared" si="30"/>
        <v>0</v>
      </c>
      <c r="BH22" s="903">
        <f t="shared" si="30"/>
        <v>0</v>
      </c>
      <c r="BI22" s="903">
        <f t="shared" si="30"/>
        <v>0</v>
      </c>
      <c r="BJ22" s="903">
        <f t="shared" si="30"/>
        <v>0</v>
      </c>
      <c r="BK22" s="903">
        <f t="shared" si="30"/>
        <v>0</v>
      </c>
      <c r="BL22" s="903">
        <f t="shared" si="30"/>
        <v>0</v>
      </c>
      <c r="BM22" s="903">
        <f t="shared" si="30"/>
        <v>0</v>
      </c>
      <c r="BN22" s="903">
        <f t="shared" si="30"/>
        <v>0</v>
      </c>
      <c r="BO22" s="903">
        <f t="shared" si="30"/>
        <v>0</v>
      </c>
      <c r="BP22" s="903">
        <f t="shared" si="30"/>
        <v>0</v>
      </c>
      <c r="BQ22" s="903">
        <f t="shared" si="30"/>
        <v>0</v>
      </c>
      <c r="BR22" s="903">
        <f t="shared" si="30"/>
        <v>0</v>
      </c>
    </row>
    <row r="23" spans="1:70">
      <c r="A23" s="908">
        <f t="shared" si="28"/>
        <v>20</v>
      </c>
      <c r="B23" s="893">
        <f t="shared" ca="1" si="28"/>
        <v>52</v>
      </c>
      <c r="C23" s="898"/>
      <c r="D23" s="932">
        <v>0</v>
      </c>
      <c r="E23" s="932">
        <f ca="1">列印頁!P37</f>
        <v>1342286</v>
      </c>
      <c r="F23" s="894">
        <f t="shared" ca="1" si="11"/>
        <v>0.34094773416130703</v>
      </c>
      <c r="G23" s="895">
        <f t="shared" ca="1" si="7"/>
        <v>1.6881941846354165E-2</v>
      </c>
      <c r="H23" s="933">
        <f>IF($M$2=0,0,'列印頁-簡'!I39)</f>
        <v>0</v>
      </c>
      <c r="I23" s="933">
        <f ca="1">'列印頁-簡'!U39</f>
        <v>1512956</v>
      </c>
      <c r="J23" s="894">
        <f ca="1">(I23+SUM($H$4:$H22)-$C$10)/$C$10</f>
        <v>0.51144757531983076</v>
      </c>
      <c r="K23" s="895">
        <f t="shared" ca="1" si="8"/>
        <v>2.3837311223803503E-2</v>
      </c>
      <c r="L23" s="882"/>
      <c r="M23" s="890">
        <f ca="1">AD64</f>
        <v>1.6881941846354165E-2</v>
      </c>
      <c r="N23" s="883">
        <f t="shared" ca="1" si="4"/>
        <v>1342286</v>
      </c>
      <c r="Q23" s="903"/>
      <c r="R23" s="903"/>
      <c r="S23" s="903"/>
      <c r="T23" s="903"/>
      <c r="U23" s="903"/>
      <c r="V23" s="903"/>
      <c r="W23" s="903"/>
      <c r="X23" s="903"/>
      <c r="Y23" s="903"/>
      <c r="Z23" s="903"/>
      <c r="AA23" s="903"/>
      <c r="AB23" s="903"/>
      <c r="AC23" s="903"/>
      <c r="AD23" s="903">
        <f ca="1">N23</f>
        <v>1342286</v>
      </c>
      <c r="AE23" s="903">
        <f t="shared" ref="AE23:BR23" si="31">$D23</f>
        <v>0</v>
      </c>
      <c r="AF23" s="903">
        <f t="shared" si="31"/>
        <v>0</v>
      </c>
      <c r="AG23" s="903">
        <f t="shared" si="31"/>
        <v>0</v>
      </c>
      <c r="AH23" s="903">
        <f t="shared" si="31"/>
        <v>0</v>
      </c>
      <c r="AI23" s="903">
        <f t="shared" si="31"/>
        <v>0</v>
      </c>
      <c r="AJ23" s="903">
        <f t="shared" si="31"/>
        <v>0</v>
      </c>
      <c r="AK23" s="903">
        <f t="shared" si="31"/>
        <v>0</v>
      </c>
      <c r="AL23" s="903">
        <f t="shared" si="31"/>
        <v>0</v>
      </c>
      <c r="AM23" s="903">
        <f t="shared" si="31"/>
        <v>0</v>
      </c>
      <c r="AN23" s="903">
        <f t="shared" si="31"/>
        <v>0</v>
      </c>
      <c r="AO23" s="903">
        <f t="shared" si="31"/>
        <v>0</v>
      </c>
      <c r="AP23" s="903">
        <f t="shared" si="31"/>
        <v>0</v>
      </c>
      <c r="AQ23" s="903">
        <f t="shared" si="31"/>
        <v>0</v>
      </c>
      <c r="AR23" s="903">
        <f t="shared" si="31"/>
        <v>0</v>
      </c>
      <c r="AS23" s="903">
        <f t="shared" si="31"/>
        <v>0</v>
      </c>
      <c r="AT23" s="903">
        <f t="shared" si="31"/>
        <v>0</v>
      </c>
      <c r="AU23" s="903">
        <f t="shared" si="31"/>
        <v>0</v>
      </c>
      <c r="AV23" s="903">
        <f t="shared" si="31"/>
        <v>0</v>
      </c>
      <c r="AW23" s="903">
        <f t="shared" si="31"/>
        <v>0</v>
      </c>
      <c r="AX23" s="903">
        <f t="shared" si="31"/>
        <v>0</v>
      </c>
      <c r="AY23" s="903">
        <f t="shared" si="31"/>
        <v>0</v>
      </c>
      <c r="AZ23" s="903">
        <f t="shared" si="31"/>
        <v>0</v>
      </c>
      <c r="BA23" s="903">
        <f t="shared" si="31"/>
        <v>0</v>
      </c>
      <c r="BB23" s="903">
        <f t="shared" si="31"/>
        <v>0</v>
      </c>
      <c r="BC23" s="903">
        <f t="shared" si="31"/>
        <v>0</v>
      </c>
      <c r="BD23" s="903">
        <f t="shared" si="31"/>
        <v>0</v>
      </c>
      <c r="BE23" s="903">
        <f t="shared" si="31"/>
        <v>0</v>
      </c>
      <c r="BF23" s="903">
        <f t="shared" si="31"/>
        <v>0</v>
      </c>
      <c r="BG23" s="903">
        <f t="shared" si="31"/>
        <v>0</v>
      </c>
      <c r="BH23" s="903">
        <f t="shared" si="31"/>
        <v>0</v>
      </c>
      <c r="BI23" s="903">
        <f t="shared" si="31"/>
        <v>0</v>
      </c>
      <c r="BJ23" s="903">
        <f t="shared" si="31"/>
        <v>0</v>
      </c>
      <c r="BK23" s="903">
        <f t="shared" si="31"/>
        <v>0</v>
      </c>
      <c r="BL23" s="903">
        <f t="shared" si="31"/>
        <v>0</v>
      </c>
      <c r="BM23" s="903">
        <f t="shared" si="31"/>
        <v>0</v>
      </c>
      <c r="BN23" s="903">
        <f t="shared" si="31"/>
        <v>0</v>
      </c>
      <c r="BO23" s="903">
        <f t="shared" si="31"/>
        <v>0</v>
      </c>
      <c r="BP23" s="903">
        <f t="shared" si="31"/>
        <v>0</v>
      </c>
      <c r="BQ23" s="903">
        <f t="shared" si="31"/>
        <v>0</v>
      </c>
      <c r="BR23" s="903">
        <f t="shared" si="31"/>
        <v>0</v>
      </c>
    </row>
    <row r="24" spans="1:70">
      <c r="A24" s="914">
        <f t="shared" si="28"/>
        <v>21</v>
      </c>
      <c r="B24" s="915">
        <f t="shared" ca="1" si="28"/>
        <v>53</v>
      </c>
      <c r="C24" s="896"/>
      <c r="D24" s="930">
        <v>0</v>
      </c>
      <c r="E24" s="930">
        <f ca="1">列印頁!P38</f>
        <v>1369112</v>
      </c>
      <c r="F24" s="916">
        <f t="shared" ca="1" si="11"/>
        <v>0.36774698850547155</v>
      </c>
      <c r="G24" s="917">
        <f t="shared" ca="1" si="7"/>
        <v>1.7049006679439316E-2</v>
      </c>
      <c r="H24" s="931">
        <f>IF($M$2=0,0,'列印頁-簡'!I40)</f>
        <v>0</v>
      </c>
      <c r="I24" s="931">
        <f ca="1">'列印頁-簡'!U40</f>
        <v>1553871</v>
      </c>
      <c r="J24" s="916">
        <f ca="1">(I24+SUM($H$4:$H23)-$C$10)/$C$10</f>
        <v>0.55232178286070499</v>
      </c>
      <c r="K24" s="917">
        <f t="shared" ca="1" si="8"/>
        <v>2.400969789704499E-2</v>
      </c>
      <c r="L24" s="882"/>
      <c r="M24" s="890">
        <f ca="1">AE64</f>
        <v>1.7049006679439316E-2</v>
      </c>
      <c r="N24" s="883">
        <f t="shared" ca="1" si="4"/>
        <v>1369112</v>
      </c>
      <c r="P24" s="897"/>
      <c r="Q24" s="903"/>
      <c r="R24" s="903"/>
      <c r="S24" s="903"/>
      <c r="T24" s="903"/>
      <c r="U24" s="903"/>
      <c r="V24" s="903"/>
      <c r="W24" s="903"/>
      <c r="X24" s="903"/>
      <c r="Y24" s="903"/>
      <c r="Z24" s="903"/>
      <c r="AA24" s="903"/>
      <c r="AB24" s="903"/>
      <c r="AC24" s="903"/>
      <c r="AD24" s="903"/>
      <c r="AE24" s="903">
        <f ca="1">N24</f>
        <v>1369112</v>
      </c>
      <c r="AF24" s="903">
        <f t="shared" ref="AF24:BR24" si="32">$D24</f>
        <v>0</v>
      </c>
      <c r="AG24" s="903">
        <f t="shared" si="32"/>
        <v>0</v>
      </c>
      <c r="AH24" s="903">
        <f t="shared" si="32"/>
        <v>0</v>
      </c>
      <c r="AI24" s="903">
        <f t="shared" si="32"/>
        <v>0</v>
      </c>
      <c r="AJ24" s="903">
        <f t="shared" si="32"/>
        <v>0</v>
      </c>
      <c r="AK24" s="903">
        <f t="shared" si="32"/>
        <v>0</v>
      </c>
      <c r="AL24" s="903">
        <f t="shared" si="32"/>
        <v>0</v>
      </c>
      <c r="AM24" s="903">
        <f t="shared" si="32"/>
        <v>0</v>
      </c>
      <c r="AN24" s="903">
        <f t="shared" si="32"/>
        <v>0</v>
      </c>
      <c r="AO24" s="903">
        <f t="shared" si="32"/>
        <v>0</v>
      </c>
      <c r="AP24" s="903">
        <f t="shared" si="32"/>
        <v>0</v>
      </c>
      <c r="AQ24" s="903">
        <f t="shared" si="32"/>
        <v>0</v>
      </c>
      <c r="AR24" s="903">
        <f t="shared" si="32"/>
        <v>0</v>
      </c>
      <c r="AS24" s="903">
        <f t="shared" si="32"/>
        <v>0</v>
      </c>
      <c r="AT24" s="903">
        <f t="shared" si="32"/>
        <v>0</v>
      </c>
      <c r="AU24" s="903">
        <f t="shared" si="32"/>
        <v>0</v>
      </c>
      <c r="AV24" s="903">
        <f t="shared" si="32"/>
        <v>0</v>
      </c>
      <c r="AW24" s="903">
        <f t="shared" si="32"/>
        <v>0</v>
      </c>
      <c r="AX24" s="903">
        <f t="shared" si="32"/>
        <v>0</v>
      </c>
      <c r="AY24" s="903">
        <f t="shared" si="32"/>
        <v>0</v>
      </c>
      <c r="AZ24" s="903">
        <f t="shared" si="32"/>
        <v>0</v>
      </c>
      <c r="BA24" s="903">
        <f t="shared" si="32"/>
        <v>0</v>
      </c>
      <c r="BB24" s="903">
        <f t="shared" si="32"/>
        <v>0</v>
      </c>
      <c r="BC24" s="903">
        <f t="shared" si="32"/>
        <v>0</v>
      </c>
      <c r="BD24" s="903">
        <f t="shared" si="32"/>
        <v>0</v>
      </c>
      <c r="BE24" s="903">
        <f t="shared" si="32"/>
        <v>0</v>
      </c>
      <c r="BF24" s="903">
        <f t="shared" si="32"/>
        <v>0</v>
      </c>
      <c r="BG24" s="903">
        <f t="shared" si="32"/>
        <v>0</v>
      </c>
      <c r="BH24" s="903">
        <f t="shared" si="32"/>
        <v>0</v>
      </c>
      <c r="BI24" s="903">
        <f t="shared" si="32"/>
        <v>0</v>
      </c>
      <c r="BJ24" s="903">
        <f t="shared" si="32"/>
        <v>0</v>
      </c>
      <c r="BK24" s="903">
        <f t="shared" si="32"/>
        <v>0</v>
      </c>
      <c r="BL24" s="903">
        <f t="shared" si="32"/>
        <v>0</v>
      </c>
      <c r="BM24" s="903">
        <f t="shared" si="32"/>
        <v>0</v>
      </c>
      <c r="BN24" s="903">
        <f t="shared" si="32"/>
        <v>0</v>
      </c>
      <c r="BO24" s="903">
        <f t="shared" si="32"/>
        <v>0</v>
      </c>
      <c r="BP24" s="903">
        <f t="shared" si="32"/>
        <v>0</v>
      </c>
      <c r="BQ24" s="903">
        <f t="shared" si="32"/>
        <v>0</v>
      </c>
      <c r="BR24" s="903">
        <f t="shared" si="32"/>
        <v>0</v>
      </c>
    </row>
    <row r="25" spans="1:70">
      <c r="A25" s="914">
        <f t="shared" si="28"/>
        <v>22</v>
      </c>
      <c r="B25" s="915">
        <f t="shared" ca="1" si="28"/>
        <v>54</v>
      </c>
      <c r="C25" s="896"/>
      <c r="D25" s="930">
        <v>0</v>
      </c>
      <c r="E25" s="930">
        <f ca="1">列印頁!P39</f>
        <v>1396516</v>
      </c>
      <c r="F25" s="916">
        <f t="shared" ca="1" si="11"/>
        <v>0.39512366658075243</v>
      </c>
      <c r="G25" s="917">
        <f t="shared" ca="1" si="7"/>
        <v>1.7200559719537933E-2</v>
      </c>
      <c r="H25" s="931">
        <f>IF($M$2=0,0,'列印頁-簡'!I41)</f>
        <v>0</v>
      </c>
      <c r="I25" s="931">
        <f ca="1">'列印頁-簡'!U41</f>
        <v>1595936</v>
      </c>
      <c r="J25" s="916">
        <f ca="1">(I25+SUM($H$4:$H24)-$C$10)/$C$10</f>
        <v>0.59434484384584185</v>
      </c>
      <c r="K25" s="917">
        <f t="shared" ca="1" si="8"/>
        <v>2.4165914749610051E-2</v>
      </c>
      <c r="L25" s="882"/>
      <c r="M25" s="890">
        <f ca="1">AF64</f>
        <v>1.7200559719537933E-2</v>
      </c>
      <c r="N25" s="883">
        <f t="shared" ca="1" si="4"/>
        <v>1396516</v>
      </c>
      <c r="Q25" s="903"/>
      <c r="R25" s="903"/>
      <c r="S25" s="903"/>
      <c r="T25" s="903"/>
      <c r="U25" s="903"/>
      <c r="V25" s="903"/>
      <c r="W25" s="903"/>
      <c r="X25" s="903"/>
      <c r="Y25" s="903"/>
      <c r="Z25" s="903"/>
      <c r="AA25" s="903"/>
      <c r="AB25" s="903"/>
      <c r="AC25" s="903"/>
      <c r="AD25" s="903"/>
      <c r="AE25" s="903"/>
      <c r="AF25" s="903">
        <f ca="1">N25</f>
        <v>1396516</v>
      </c>
      <c r="AG25" s="903">
        <f t="shared" ref="AG25:BR25" si="33">$D25</f>
        <v>0</v>
      </c>
      <c r="AH25" s="903">
        <f t="shared" si="33"/>
        <v>0</v>
      </c>
      <c r="AI25" s="903">
        <f t="shared" si="33"/>
        <v>0</v>
      </c>
      <c r="AJ25" s="903">
        <f t="shared" si="33"/>
        <v>0</v>
      </c>
      <c r="AK25" s="903">
        <f t="shared" si="33"/>
        <v>0</v>
      </c>
      <c r="AL25" s="903">
        <f t="shared" si="33"/>
        <v>0</v>
      </c>
      <c r="AM25" s="903">
        <f t="shared" si="33"/>
        <v>0</v>
      </c>
      <c r="AN25" s="903">
        <f t="shared" si="33"/>
        <v>0</v>
      </c>
      <c r="AO25" s="903">
        <f t="shared" si="33"/>
        <v>0</v>
      </c>
      <c r="AP25" s="903">
        <f t="shared" si="33"/>
        <v>0</v>
      </c>
      <c r="AQ25" s="903">
        <f t="shared" si="33"/>
        <v>0</v>
      </c>
      <c r="AR25" s="903">
        <f t="shared" si="33"/>
        <v>0</v>
      </c>
      <c r="AS25" s="903">
        <f t="shared" si="33"/>
        <v>0</v>
      </c>
      <c r="AT25" s="903">
        <f t="shared" si="33"/>
        <v>0</v>
      </c>
      <c r="AU25" s="903">
        <f t="shared" si="33"/>
        <v>0</v>
      </c>
      <c r="AV25" s="903">
        <f t="shared" si="33"/>
        <v>0</v>
      </c>
      <c r="AW25" s="903">
        <f t="shared" si="33"/>
        <v>0</v>
      </c>
      <c r="AX25" s="903">
        <f t="shared" si="33"/>
        <v>0</v>
      </c>
      <c r="AY25" s="903">
        <f t="shared" si="33"/>
        <v>0</v>
      </c>
      <c r="AZ25" s="903">
        <f t="shared" si="33"/>
        <v>0</v>
      </c>
      <c r="BA25" s="903">
        <f t="shared" si="33"/>
        <v>0</v>
      </c>
      <c r="BB25" s="903">
        <f t="shared" si="33"/>
        <v>0</v>
      </c>
      <c r="BC25" s="903">
        <f t="shared" si="33"/>
        <v>0</v>
      </c>
      <c r="BD25" s="903">
        <f t="shared" si="33"/>
        <v>0</v>
      </c>
      <c r="BE25" s="903">
        <f t="shared" si="33"/>
        <v>0</v>
      </c>
      <c r="BF25" s="903">
        <f t="shared" si="33"/>
        <v>0</v>
      </c>
      <c r="BG25" s="903">
        <f t="shared" si="33"/>
        <v>0</v>
      </c>
      <c r="BH25" s="903">
        <f t="shared" si="33"/>
        <v>0</v>
      </c>
      <c r="BI25" s="903">
        <f t="shared" si="33"/>
        <v>0</v>
      </c>
      <c r="BJ25" s="903">
        <f t="shared" si="33"/>
        <v>0</v>
      </c>
      <c r="BK25" s="903">
        <f t="shared" si="33"/>
        <v>0</v>
      </c>
      <c r="BL25" s="903">
        <f t="shared" si="33"/>
        <v>0</v>
      </c>
      <c r="BM25" s="903">
        <f t="shared" si="33"/>
        <v>0</v>
      </c>
      <c r="BN25" s="903">
        <f t="shared" si="33"/>
        <v>0</v>
      </c>
      <c r="BO25" s="903">
        <f t="shared" si="33"/>
        <v>0</v>
      </c>
      <c r="BP25" s="903">
        <f t="shared" si="33"/>
        <v>0</v>
      </c>
      <c r="BQ25" s="903">
        <f t="shared" si="33"/>
        <v>0</v>
      </c>
      <c r="BR25" s="903">
        <f t="shared" si="33"/>
        <v>0</v>
      </c>
    </row>
    <row r="26" spans="1:70">
      <c r="A26" s="914">
        <f t="shared" si="28"/>
        <v>23</v>
      </c>
      <c r="B26" s="915">
        <f t="shared" ca="1" si="28"/>
        <v>55</v>
      </c>
      <c r="C26" s="896"/>
      <c r="D26" s="930">
        <v>0</v>
      </c>
      <c r="E26" s="930">
        <f ca="1">列印頁!P40</f>
        <v>1424430</v>
      </c>
      <c r="F26" s="916">
        <f t="shared" ca="1" si="11"/>
        <v>0.42300983618348886</v>
      </c>
      <c r="G26" s="917">
        <f t="shared" ca="1" si="7"/>
        <v>1.7336040801555486E-2</v>
      </c>
      <c r="H26" s="931">
        <f>IF($M$2=0,0,'列印頁-簡'!I42)</f>
        <v>0</v>
      </c>
      <c r="I26" s="931">
        <f ca="1">'列印頁-簡'!U42</f>
        <v>1639116</v>
      </c>
      <c r="J26" s="916">
        <f ca="1">(I26+SUM($H$4:$H25)-$C$10)/$C$10</f>
        <v>0.63748179317041598</v>
      </c>
      <c r="K26" s="917">
        <f t="shared" ca="1" si="8"/>
        <v>2.4306238531377478E-2</v>
      </c>
      <c r="L26" s="882"/>
      <c r="M26" s="890">
        <f ca="1">AG64</f>
        <v>1.7336040801555486E-2</v>
      </c>
      <c r="N26" s="883">
        <f t="shared" ca="1" si="4"/>
        <v>1424430</v>
      </c>
      <c r="Q26" s="903"/>
      <c r="R26" s="903"/>
      <c r="S26" s="903"/>
      <c r="T26" s="903"/>
      <c r="U26" s="903"/>
      <c r="V26" s="903"/>
      <c r="W26" s="903"/>
      <c r="X26" s="903"/>
      <c r="Y26" s="903"/>
      <c r="Z26" s="903"/>
      <c r="AA26" s="903"/>
      <c r="AB26" s="903"/>
      <c r="AC26" s="903"/>
      <c r="AD26" s="903"/>
      <c r="AE26" s="903"/>
      <c r="AF26" s="903"/>
      <c r="AG26" s="903">
        <f ca="1">N26</f>
        <v>1424430</v>
      </c>
      <c r="AH26" s="903">
        <f t="shared" ref="AH26:BR26" si="34">$D26</f>
        <v>0</v>
      </c>
      <c r="AI26" s="903">
        <f t="shared" si="34"/>
        <v>0</v>
      </c>
      <c r="AJ26" s="903">
        <f t="shared" si="34"/>
        <v>0</v>
      </c>
      <c r="AK26" s="903">
        <f t="shared" si="34"/>
        <v>0</v>
      </c>
      <c r="AL26" s="903">
        <f t="shared" si="34"/>
        <v>0</v>
      </c>
      <c r="AM26" s="903">
        <f t="shared" si="34"/>
        <v>0</v>
      </c>
      <c r="AN26" s="903">
        <f t="shared" si="34"/>
        <v>0</v>
      </c>
      <c r="AO26" s="903">
        <f t="shared" si="34"/>
        <v>0</v>
      </c>
      <c r="AP26" s="903">
        <f t="shared" si="34"/>
        <v>0</v>
      </c>
      <c r="AQ26" s="903">
        <f t="shared" si="34"/>
        <v>0</v>
      </c>
      <c r="AR26" s="903">
        <f t="shared" si="34"/>
        <v>0</v>
      </c>
      <c r="AS26" s="903">
        <f t="shared" si="34"/>
        <v>0</v>
      </c>
      <c r="AT26" s="903">
        <f t="shared" si="34"/>
        <v>0</v>
      </c>
      <c r="AU26" s="903">
        <f t="shared" si="34"/>
        <v>0</v>
      </c>
      <c r="AV26" s="903">
        <f t="shared" si="34"/>
        <v>0</v>
      </c>
      <c r="AW26" s="903">
        <f t="shared" si="34"/>
        <v>0</v>
      </c>
      <c r="AX26" s="903">
        <f t="shared" si="34"/>
        <v>0</v>
      </c>
      <c r="AY26" s="903">
        <f t="shared" si="34"/>
        <v>0</v>
      </c>
      <c r="AZ26" s="903">
        <f t="shared" si="34"/>
        <v>0</v>
      </c>
      <c r="BA26" s="903">
        <f t="shared" si="34"/>
        <v>0</v>
      </c>
      <c r="BB26" s="903">
        <f t="shared" si="34"/>
        <v>0</v>
      </c>
      <c r="BC26" s="903">
        <f t="shared" si="34"/>
        <v>0</v>
      </c>
      <c r="BD26" s="903">
        <f t="shared" si="34"/>
        <v>0</v>
      </c>
      <c r="BE26" s="903">
        <f t="shared" si="34"/>
        <v>0</v>
      </c>
      <c r="BF26" s="903">
        <f t="shared" si="34"/>
        <v>0</v>
      </c>
      <c r="BG26" s="903">
        <f t="shared" si="34"/>
        <v>0</v>
      </c>
      <c r="BH26" s="903">
        <f t="shared" si="34"/>
        <v>0</v>
      </c>
      <c r="BI26" s="903">
        <f t="shared" si="34"/>
        <v>0</v>
      </c>
      <c r="BJ26" s="903">
        <f t="shared" si="34"/>
        <v>0</v>
      </c>
      <c r="BK26" s="903">
        <f t="shared" si="34"/>
        <v>0</v>
      </c>
      <c r="BL26" s="903">
        <f t="shared" si="34"/>
        <v>0</v>
      </c>
      <c r="BM26" s="903">
        <f t="shared" si="34"/>
        <v>0</v>
      </c>
      <c r="BN26" s="903">
        <f t="shared" si="34"/>
        <v>0</v>
      </c>
      <c r="BO26" s="903">
        <f t="shared" si="34"/>
        <v>0</v>
      </c>
      <c r="BP26" s="903">
        <f t="shared" si="34"/>
        <v>0</v>
      </c>
      <c r="BQ26" s="903">
        <f t="shared" si="34"/>
        <v>0</v>
      </c>
      <c r="BR26" s="903">
        <f t="shared" si="34"/>
        <v>0</v>
      </c>
    </row>
    <row r="27" spans="1:70">
      <c r="A27" s="914">
        <f t="shared" si="28"/>
        <v>24</v>
      </c>
      <c r="B27" s="915">
        <f t="shared" ca="1" si="28"/>
        <v>56</v>
      </c>
      <c r="C27" s="896"/>
      <c r="D27" s="930">
        <v>0</v>
      </c>
      <c r="E27" s="930">
        <f ca="1">列印頁!P41</f>
        <v>1452922</v>
      </c>
      <c r="F27" s="916">
        <f t="shared" ca="1" si="11"/>
        <v>0.45147342951734171</v>
      </c>
      <c r="G27" s="917">
        <f t="shared" ca="1" si="7"/>
        <v>1.7459613097272397E-2</v>
      </c>
      <c r="H27" s="931">
        <f>IF($M$2=0,0,'列印頁-簡'!I43)</f>
        <v>0</v>
      </c>
      <c r="I27" s="931">
        <f ca="1">'列印頁-簡'!U43</f>
        <v>1683474</v>
      </c>
      <c r="J27" s="916">
        <f ca="1">(I27+SUM($H$4:$H26)-$C$10)/$C$10</f>
        <v>0.68179556802311292</v>
      </c>
      <c r="K27" s="917">
        <f t="shared" ca="1" si="8"/>
        <v>2.4433839574151905E-2</v>
      </c>
      <c r="L27" s="882"/>
      <c r="M27" s="890">
        <f ca="1">AH64</f>
        <v>1.7459613097272397E-2</v>
      </c>
      <c r="N27" s="883">
        <f t="shared" ca="1" si="4"/>
        <v>1452922</v>
      </c>
      <c r="Q27" s="903"/>
      <c r="R27" s="903"/>
      <c r="S27" s="903"/>
      <c r="T27" s="903"/>
      <c r="U27" s="903"/>
      <c r="V27" s="903"/>
      <c r="W27" s="903"/>
      <c r="X27" s="903"/>
      <c r="Y27" s="903"/>
      <c r="Z27" s="903"/>
      <c r="AA27" s="903"/>
      <c r="AB27" s="903"/>
      <c r="AC27" s="903"/>
      <c r="AD27" s="903"/>
      <c r="AE27" s="903"/>
      <c r="AF27" s="903"/>
      <c r="AG27" s="903"/>
      <c r="AH27" s="903">
        <f ca="1">N27</f>
        <v>1452922</v>
      </c>
      <c r="AI27" s="903">
        <f t="shared" ref="AI27:BR27" si="35">$D27</f>
        <v>0</v>
      </c>
      <c r="AJ27" s="903">
        <f t="shared" si="35"/>
        <v>0</v>
      </c>
      <c r="AK27" s="903">
        <f t="shared" si="35"/>
        <v>0</v>
      </c>
      <c r="AL27" s="903">
        <f t="shared" si="35"/>
        <v>0</v>
      </c>
      <c r="AM27" s="903">
        <f t="shared" si="35"/>
        <v>0</v>
      </c>
      <c r="AN27" s="903">
        <f t="shared" si="35"/>
        <v>0</v>
      </c>
      <c r="AO27" s="903">
        <f t="shared" si="35"/>
        <v>0</v>
      </c>
      <c r="AP27" s="903">
        <f t="shared" si="35"/>
        <v>0</v>
      </c>
      <c r="AQ27" s="903">
        <f t="shared" si="35"/>
        <v>0</v>
      </c>
      <c r="AR27" s="903">
        <f t="shared" si="35"/>
        <v>0</v>
      </c>
      <c r="AS27" s="903">
        <f t="shared" si="35"/>
        <v>0</v>
      </c>
      <c r="AT27" s="903">
        <f t="shared" si="35"/>
        <v>0</v>
      </c>
      <c r="AU27" s="903">
        <f t="shared" si="35"/>
        <v>0</v>
      </c>
      <c r="AV27" s="903">
        <f t="shared" si="35"/>
        <v>0</v>
      </c>
      <c r="AW27" s="903">
        <f t="shared" si="35"/>
        <v>0</v>
      </c>
      <c r="AX27" s="903">
        <f t="shared" si="35"/>
        <v>0</v>
      </c>
      <c r="AY27" s="903">
        <f t="shared" si="35"/>
        <v>0</v>
      </c>
      <c r="AZ27" s="903">
        <f t="shared" si="35"/>
        <v>0</v>
      </c>
      <c r="BA27" s="903">
        <f t="shared" si="35"/>
        <v>0</v>
      </c>
      <c r="BB27" s="903">
        <f t="shared" si="35"/>
        <v>0</v>
      </c>
      <c r="BC27" s="903">
        <f t="shared" si="35"/>
        <v>0</v>
      </c>
      <c r="BD27" s="903">
        <f t="shared" si="35"/>
        <v>0</v>
      </c>
      <c r="BE27" s="903">
        <f t="shared" si="35"/>
        <v>0</v>
      </c>
      <c r="BF27" s="903">
        <f t="shared" si="35"/>
        <v>0</v>
      </c>
      <c r="BG27" s="903">
        <f t="shared" si="35"/>
        <v>0</v>
      </c>
      <c r="BH27" s="903">
        <f t="shared" si="35"/>
        <v>0</v>
      </c>
      <c r="BI27" s="903">
        <f t="shared" si="35"/>
        <v>0</v>
      </c>
      <c r="BJ27" s="903">
        <f t="shared" si="35"/>
        <v>0</v>
      </c>
      <c r="BK27" s="903">
        <f t="shared" si="35"/>
        <v>0</v>
      </c>
      <c r="BL27" s="903">
        <f t="shared" si="35"/>
        <v>0</v>
      </c>
      <c r="BM27" s="903">
        <f t="shared" si="35"/>
        <v>0</v>
      </c>
      <c r="BN27" s="903">
        <f t="shared" si="35"/>
        <v>0</v>
      </c>
      <c r="BO27" s="903">
        <f t="shared" si="35"/>
        <v>0</v>
      </c>
      <c r="BP27" s="903">
        <f t="shared" si="35"/>
        <v>0</v>
      </c>
      <c r="BQ27" s="903">
        <f t="shared" si="35"/>
        <v>0</v>
      </c>
      <c r="BR27" s="903">
        <f t="shared" si="35"/>
        <v>0</v>
      </c>
    </row>
    <row r="28" spans="1:70">
      <c r="A28" s="918">
        <f t="shared" si="28"/>
        <v>25</v>
      </c>
      <c r="B28" s="919">
        <f t="shared" ca="1" si="28"/>
        <v>57</v>
      </c>
      <c r="C28" s="896"/>
      <c r="D28" s="934">
        <v>0</v>
      </c>
      <c r="E28" s="934">
        <f ca="1">列印頁!P42</f>
        <v>1481992</v>
      </c>
      <c r="F28" s="920">
        <f t="shared" ca="1" si="11"/>
        <v>0.48051444658231085</v>
      </c>
      <c r="G28" s="921">
        <f t="shared" ca="1" si="7"/>
        <v>1.7572483456013366E-2</v>
      </c>
      <c r="H28" s="935">
        <f>IF($M$2=0,0,'列印頁-簡'!I44)</f>
        <v>0</v>
      </c>
      <c r="I28" s="935">
        <f ca="1">'列印頁-簡'!U44</f>
        <v>1729042</v>
      </c>
      <c r="J28" s="920">
        <f ca="1">(I28+SUM($H$4:$H27)-$C$10)/$C$10</f>
        <v>0.72731813649977317</v>
      </c>
      <c r="K28" s="921">
        <f t="shared" ca="1" si="8"/>
        <v>2.4550397072515606E-2</v>
      </c>
      <c r="L28" s="882"/>
      <c r="M28" s="890">
        <f ca="1">AI64</f>
        <v>1.7572483456013366E-2</v>
      </c>
      <c r="N28" s="883">
        <f t="shared" ca="1" si="4"/>
        <v>1481992</v>
      </c>
      <c r="Q28" s="903"/>
      <c r="R28" s="903"/>
      <c r="S28" s="903"/>
      <c r="T28" s="903"/>
      <c r="U28" s="903"/>
      <c r="V28" s="903"/>
      <c r="W28" s="903"/>
      <c r="X28" s="903"/>
      <c r="Y28" s="903"/>
      <c r="Z28" s="903"/>
      <c r="AA28" s="903"/>
      <c r="AB28" s="903"/>
      <c r="AC28" s="903"/>
      <c r="AD28" s="903"/>
      <c r="AE28" s="903"/>
      <c r="AF28" s="903"/>
      <c r="AG28" s="903"/>
      <c r="AH28" s="903"/>
      <c r="AI28" s="903">
        <f ca="1">N28</f>
        <v>1481992</v>
      </c>
      <c r="AJ28" s="903">
        <f t="shared" ref="AJ28:BR28" si="36">$D28</f>
        <v>0</v>
      </c>
      <c r="AK28" s="903">
        <f t="shared" si="36"/>
        <v>0</v>
      </c>
      <c r="AL28" s="903">
        <f t="shared" si="36"/>
        <v>0</v>
      </c>
      <c r="AM28" s="903">
        <f t="shared" si="36"/>
        <v>0</v>
      </c>
      <c r="AN28" s="903">
        <f t="shared" si="36"/>
        <v>0</v>
      </c>
      <c r="AO28" s="903">
        <f t="shared" si="36"/>
        <v>0</v>
      </c>
      <c r="AP28" s="903">
        <f t="shared" si="36"/>
        <v>0</v>
      </c>
      <c r="AQ28" s="903">
        <f t="shared" si="36"/>
        <v>0</v>
      </c>
      <c r="AR28" s="903">
        <f t="shared" si="36"/>
        <v>0</v>
      </c>
      <c r="AS28" s="903">
        <f t="shared" si="36"/>
        <v>0</v>
      </c>
      <c r="AT28" s="903">
        <f t="shared" si="36"/>
        <v>0</v>
      </c>
      <c r="AU28" s="903">
        <f t="shared" si="36"/>
        <v>0</v>
      </c>
      <c r="AV28" s="903">
        <f t="shared" si="36"/>
        <v>0</v>
      </c>
      <c r="AW28" s="903">
        <f t="shared" si="36"/>
        <v>0</v>
      </c>
      <c r="AX28" s="903">
        <f t="shared" si="36"/>
        <v>0</v>
      </c>
      <c r="AY28" s="903">
        <f t="shared" si="36"/>
        <v>0</v>
      </c>
      <c r="AZ28" s="903">
        <f t="shared" si="36"/>
        <v>0</v>
      </c>
      <c r="BA28" s="903">
        <f t="shared" si="36"/>
        <v>0</v>
      </c>
      <c r="BB28" s="903">
        <f t="shared" si="36"/>
        <v>0</v>
      </c>
      <c r="BC28" s="903">
        <f t="shared" si="36"/>
        <v>0</v>
      </c>
      <c r="BD28" s="903">
        <f t="shared" si="36"/>
        <v>0</v>
      </c>
      <c r="BE28" s="903">
        <f t="shared" si="36"/>
        <v>0</v>
      </c>
      <c r="BF28" s="903">
        <f t="shared" si="36"/>
        <v>0</v>
      </c>
      <c r="BG28" s="903">
        <f t="shared" si="36"/>
        <v>0</v>
      </c>
      <c r="BH28" s="903">
        <f t="shared" si="36"/>
        <v>0</v>
      </c>
      <c r="BI28" s="903">
        <f t="shared" si="36"/>
        <v>0</v>
      </c>
      <c r="BJ28" s="903">
        <f t="shared" si="36"/>
        <v>0</v>
      </c>
      <c r="BK28" s="903">
        <f t="shared" si="36"/>
        <v>0</v>
      </c>
      <c r="BL28" s="903">
        <f t="shared" si="36"/>
        <v>0</v>
      </c>
      <c r="BM28" s="903">
        <f t="shared" si="36"/>
        <v>0</v>
      </c>
      <c r="BN28" s="903">
        <f t="shared" si="36"/>
        <v>0</v>
      </c>
      <c r="BO28" s="903">
        <f t="shared" si="36"/>
        <v>0</v>
      </c>
      <c r="BP28" s="903">
        <f t="shared" si="36"/>
        <v>0</v>
      </c>
      <c r="BQ28" s="903">
        <f t="shared" si="36"/>
        <v>0</v>
      </c>
      <c r="BR28" s="903">
        <f t="shared" si="36"/>
        <v>0</v>
      </c>
    </row>
    <row r="29" spans="1:70">
      <c r="A29" s="914">
        <f t="shared" si="28"/>
        <v>26</v>
      </c>
      <c r="B29" s="915">
        <f t="shared" ca="1" si="28"/>
        <v>58</v>
      </c>
      <c r="C29" s="896"/>
      <c r="D29" s="930">
        <v>0</v>
      </c>
      <c r="E29" s="930">
        <f ca="1">列印頁!P43</f>
        <v>1511606</v>
      </c>
      <c r="F29" s="916">
        <f t="shared" ca="1" si="11"/>
        <v>0.51009892127656598</v>
      </c>
      <c r="G29" s="917">
        <f t="shared" ca="1" si="7"/>
        <v>1.7674702364002925E-2</v>
      </c>
      <c r="H29" s="931">
        <f>IF($M$2=0,0,'列印頁-簡'!I45)</f>
        <v>0</v>
      </c>
      <c r="I29" s="931">
        <f ca="1">'列印頁-簡'!U45</f>
        <v>1775807</v>
      </c>
      <c r="J29" s="916">
        <f ca="1">(I29+SUM($H$4:$H28)-$C$10)/$C$10</f>
        <v>0.77403651156146169</v>
      </c>
      <c r="K29" s="917">
        <f t="shared" ca="1" si="8"/>
        <v>2.4656182945459681E-2</v>
      </c>
      <c r="L29" s="882"/>
      <c r="M29" s="890">
        <f ca="1">AJ64</f>
        <v>1.7674702364002925E-2</v>
      </c>
      <c r="N29" s="883">
        <f t="shared" ca="1" si="4"/>
        <v>1511606</v>
      </c>
      <c r="Q29" s="903"/>
      <c r="R29" s="903"/>
      <c r="S29" s="903"/>
      <c r="T29" s="903"/>
      <c r="U29" s="903"/>
      <c r="V29" s="903"/>
      <c r="W29" s="903"/>
      <c r="X29" s="903"/>
      <c r="Y29" s="903"/>
      <c r="Z29" s="903"/>
      <c r="AA29" s="903"/>
      <c r="AB29" s="903"/>
      <c r="AC29" s="903"/>
      <c r="AD29" s="903"/>
      <c r="AE29" s="903"/>
      <c r="AF29" s="903"/>
      <c r="AG29" s="903"/>
      <c r="AH29" s="903"/>
      <c r="AI29" s="903"/>
      <c r="AJ29" s="903">
        <f ca="1">N29</f>
        <v>1511606</v>
      </c>
      <c r="AK29" s="903">
        <f t="shared" ref="AK29:BR29" si="37">$D29</f>
        <v>0</v>
      </c>
      <c r="AL29" s="903">
        <f t="shared" si="37"/>
        <v>0</v>
      </c>
      <c r="AM29" s="903">
        <f t="shared" si="37"/>
        <v>0</v>
      </c>
      <c r="AN29" s="903">
        <f t="shared" si="37"/>
        <v>0</v>
      </c>
      <c r="AO29" s="903">
        <f t="shared" si="37"/>
        <v>0</v>
      </c>
      <c r="AP29" s="903">
        <f t="shared" si="37"/>
        <v>0</v>
      </c>
      <c r="AQ29" s="903">
        <f t="shared" si="37"/>
        <v>0</v>
      </c>
      <c r="AR29" s="903">
        <f t="shared" si="37"/>
        <v>0</v>
      </c>
      <c r="AS29" s="903">
        <f t="shared" si="37"/>
        <v>0</v>
      </c>
      <c r="AT29" s="903">
        <f t="shared" si="37"/>
        <v>0</v>
      </c>
      <c r="AU29" s="903">
        <f t="shared" si="37"/>
        <v>0</v>
      </c>
      <c r="AV29" s="903">
        <f t="shared" si="37"/>
        <v>0</v>
      </c>
      <c r="AW29" s="903">
        <f t="shared" si="37"/>
        <v>0</v>
      </c>
      <c r="AX29" s="903">
        <f t="shared" si="37"/>
        <v>0</v>
      </c>
      <c r="AY29" s="903">
        <f t="shared" si="37"/>
        <v>0</v>
      </c>
      <c r="AZ29" s="903">
        <f t="shared" si="37"/>
        <v>0</v>
      </c>
      <c r="BA29" s="903">
        <f t="shared" si="37"/>
        <v>0</v>
      </c>
      <c r="BB29" s="903">
        <f t="shared" si="37"/>
        <v>0</v>
      </c>
      <c r="BC29" s="903">
        <f t="shared" si="37"/>
        <v>0</v>
      </c>
      <c r="BD29" s="903">
        <f t="shared" si="37"/>
        <v>0</v>
      </c>
      <c r="BE29" s="903">
        <f t="shared" si="37"/>
        <v>0</v>
      </c>
      <c r="BF29" s="903">
        <f t="shared" si="37"/>
        <v>0</v>
      </c>
      <c r="BG29" s="903">
        <f t="shared" si="37"/>
        <v>0</v>
      </c>
      <c r="BH29" s="903">
        <f t="shared" si="37"/>
        <v>0</v>
      </c>
      <c r="BI29" s="903">
        <f t="shared" si="37"/>
        <v>0</v>
      </c>
      <c r="BJ29" s="903">
        <f t="shared" si="37"/>
        <v>0</v>
      </c>
      <c r="BK29" s="903">
        <f t="shared" si="37"/>
        <v>0</v>
      </c>
      <c r="BL29" s="903">
        <f t="shared" si="37"/>
        <v>0</v>
      </c>
      <c r="BM29" s="903">
        <f t="shared" si="37"/>
        <v>0</v>
      </c>
      <c r="BN29" s="903">
        <f t="shared" si="37"/>
        <v>0</v>
      </c>
      <c r="BO29" s="903">
        <f t="shared" si="37"/>
        <v>0</v>
      </c>
      <c r="BP29" s="903">
        <f t="shared" si="37"/>
        <v>0</v>
      </c>
      <c r="BQ29" s="903">
        <f t="shared" si="37"/>
        <v>0</v>
      </c>
      <c r="BR29" s="903">
        <f t="shared" si="37"/>
        <v>0</v>
      </c>
    </row>
    <row r="30" spans="1:70">
      <c r="A30" s="914">
        <f t="shared" si="28"/>
        <v>27</v>
      </c>
      <c r="B30" s="915">
        <f t="shared" ca="1" si="28"/>
        <v>59</v>
      </c>
      <c r="C30" s="896"/>
      <c r="D30" s="930">
        <v>0</v>
      </c>
      <c r="E30" s="930">
        <f ca="1">列印頁!P44</f>
        <v>1541832</v>
      </c>
      <c r="F30" s="916">
        <f t="shared" ca="1" si="11"/>
        <v>0.54029478580376789</v>
      </c>
      <c r="G30" s="917">
        <f t="shared" ca="1" si="7"/>
        <v>1.7769146250804502E-2</v>
      </c>
      <c r="H30" s="931">
        <f>IF($M$2=0,0,'列印頁-簡'!I46)</f>
        <v>0</v>
      </c>
      <c r="I30" s="931">
        <f ca="1">'列印頁-簡'!U46</f>
        <v>1823877</v>
      </c>
      <c r="J30" s="916">
        <f ca="1">(I30+SUM($H$4:$H29)-$C$10)/$C$10</f>
        <v>0.82205858553163946</v>
      </c>
      <c r="K30" s="917">
        <f t="shared" ca="1" si="8"/>
        <v>2.4754284898072632E-2</v>
      </c>
      <c r="L30" s="882"/>
      <c r="M30" s="890">
        <f ca="1">AK64</f>
        <v>1.7769146250804502E-2</v>
      </c>
      <c r="N30" s="883">
        <f t="shared" ca="1" si="4"/>
        <v>1541832</v>
      </c>
      <c r="Q30" s="903"/>
      <c r="R30" s="903"/>
      <c r="S30" s="903"/>
      <c r="T30" s="903"/>
      <c r="U30" s="903"/>
      <c r="V30" s="903"/>
      <c r="W30" s="903"/>
      <c r="X30" s="903"/>
      <c r="Y30" s="903"/>
      <c r="Z30" s="903"/>
      <c r="AA30" s="903"/>
      <c r="AB30" s="903"/>
      <c r="AC30" s="903"/>
      <c r="AD30" s="903"/>
      <c r="AE30" s="903"/>
      <c r="AF30" s="903"/>
      <c r="AG30" s="903"/>
      <c r="AH30" s="903"/>
      <c r="AI30" s="903"/>
      <c r="AJ30" s="903"/>
      <c r="AK30" s="903">
        <f ca="1">N30</f>
        <v>1541832</v>
      </c>
      <c r="AL30" s="903">
        <f t="shared" ref="AL30:BR30" si="38">$D30</f>
        <v>0</v>
      </c>
      <c r="AM30" s="903">
        <f t="shared" si="38"/>
        <v>0</v>
      </c>
      <c r="AN30" s="903">
        <f t="shared" si="38"/>
        <v>0</v>
      </c>
      <c r="AO30" s="903">
        <f t="shared" si="38"/>
        <v>0</v>
      </c>
      <c r="AP30" s="903">
        <f t="shared" si="38"/>
        <v>0</v>
      </c>
      <c r="AQ30" s="903">
        <f t="shared" si="38"/>
        <v>0</v>
      </c>
      <c r="AR30" s="903">
        <f t="shared" si="38"/>
        <v>0</v>
      </c>
      <c r="AS30" s="903">
        <f t="shared" si="38"/>
        <v>0</v>
      </c>
      <c r="AT30" s="903">
        <f t="shared" si="38"/>
        <v>0</v>
      </c>
      <c r="AU30" s="903">
        <f t="shared" si="38"/>
        <v>0</v>
      </c>
      <c r="AV30" s="903">
        <f t="shared" si="38"/>
        <v>0</v>
      </c>
      <c r="AW30" s="903">
        <f t="shared" si="38"/>
        <v>0</v>
      </c>
      <c r="AX30" s="903">
        <f t="shared" si="38"/>
        <v>0</v>
      </c>
      <c r="AY30" s="903">
        <f t="shared" si="38"/>
        <v>0</v>
      </c>
      <c r="AZ30" s="903">
        <f t="shared" si="38"/>
        <v>0</v>
      </c>
      <c r="BA30" s="903">
        <f t="shared" si="38"/>
        <v>0</v>
      </c>
      <c r="BB30" s="903">
        <f t="shared" si="38"/>
        <v>0</v>
      </c>
      <c r="BC30" s="903">
        <f t="shared" si="38"/>
        <v>0</v>
      </c>
      <c r="BD30" s="903">
        <f t="shared" si="38"/>
        <v>0</v>
      </c>
      <c r="BE30" s="903">
        <f t="shared" si="38"/>
        <v>0</v>
      </c>
      <c r="BF30" s="903">
        <f t="shared" si="38"/>
        <v>0</v>
      </c>
      <c r="BG30" s="903">
        <f t="shared" si="38"/>
        <v>0</v>
      </c>
      <c r="BH30" s="903">
        <f t="shared" si="38"/>
        <v>0</v>
      </c>
      <c r="BI30" s="903">
        <f t="shared" si="38"/>
        <v>0</v>
      </c>
      <c r="BJ30" s="903">
        <f t="shared" si="38"/>
        <v>0</v>
      </c>
      <c r="BK30" s="903">
        <f t="shared" si="38"/>
        <v>0</v>
      </c>
      <c r="BL30" s="903">
        <f t="shared" si="38"/>
        <v>0</v>
      </c>
      <c r="BM30" s="903">
        <f t="shared" si="38"/>
        <v>0</v>
      </c>
      <c r="BN30" s="903">
        <f t="shared" si="38"/>
        <v>0</v>
      </c>
      <c r="BO30" s="903">
        <f t="shared" si="38"/>
        <v>0</v>
      </c>
      <c r="BP30" s="903">
        <f t="shared" si="38"/>
        <v>0</v>
      </c>
      <c r="BQ30" s="903">
        <f t="shared" si="38"/>
        <v>0</v>
      </c>
      <c r="BR30" s="903">
        <f t="shared" si="38"/>
        <v>0</v>
      </c>
    </row>
    <row r="31" spans="1:70">
      <c r="A31" s="914">
        <f t="shared" si="28"/>
        <v>28</v>
      </c>
      <c r="B31" s="915">
        <f t="shared" ca="1" si="28"/>
        <v>60</v>
      </c>
      <c r="C31" s="896"/>
      <c r="D31" s="930">
        <v>0</v>
      </c>
      <c r="E31" s="930">
        <f ca="1">列印頁!P45</f>
        <v>1572670</v>
      </c>
      <c r="F31" s="916">
        <f t="shared" ca="1" si="11"/>
        <v>0.57110204016391641</v>
      </c>
      <c r="G31" s="917">
        <f t="shared" ca="1" si="7"/>
        <v>1.7856397068058083E-2</v>
      </c>
      <c r="H31" s="931">
        <f>IF($M$2=0,0,'列印頁-簡'!I47)</f>
        <v>0</v>
      </c>
      <c r="I31" s="931">
        <f ca="1">'列印頁-簡'!U47</f>
        <v>1873241</v>
      </c>
      <c r="J31" s="916">
        <f ca="1">(I31+SUM($H$4:$H30)-$C$10)/$C$10</f>
        <v>0.87137336937736143</v>
      </c>
      <c r="K31" s="917">
        <f t="shared" ca="1" si="8"/>
        <v>2.4844566779439026E-2</v>
      </c>
      <c r="L31" s="882"/>
      <c r="M31" s="890">
        <f ca="1">AL64</f>
        <v>1.7856397068058083E-2</v>
      </c>
      <c r="N31" s="883">
        <f t="shared" ca="1" si="4"/>
        <v>1572670</v>
      </c>
      <c r="Q31" s="903"/>
      <c r="R31" s="903"/>
      <c r="S31" s="903"/>
      <c r="T31" s="903"/>
      <c r="U31" s="903"/>
      <c r="V31" s="903"/>
      <c r="W31" s="903"/>
      <c r="X31" s="903"/>
      <c r="Y31" s="903"/>
      <c r="Z31" s="903"/>
      <c r="AA31" s="903"/>
      <c r="AB31" s="903"/>
      <c r="AC31" s="903"/>
      <c r="AD31" s="903"/>
      <c r="AE31" s="903"/>
      <c r="AF31" s="903"/>
      <c r="AG31" s="903"/>
      <c r="AH31" s="903"/>
      <c r="AI31" s="903"/>
      <c r="AJ31" s="903"/>
      <c r="AK31" s="903"/>
      <c r="AL31" s="903">
        <f ca="1">N31</f>
        <v>1572670</v>
      </c>
      <c r="AM31" s="903">
        <f t="shared" ref="AM31:BR31" si="39">$D31</f>
        <v>0</v>
      </c>
      <c r="AN31" s="903">
        <f t="shared" si="39"/>
        <v>0</v>
      </c>
      <c r="AO31" s="903">
        <f t="shared" si="39"/>
        <v>0</v>
      </c>
      <c r="AP31" s="903">
        <f t="shared" si="39"/>
        <v>0</v>
      </c>
      <c r="AQ31" s="903">
        <f t="shared" si="39"/>
        <v>0</v>
      </c>
      <c r="AR31" s="903">
        <f t="shared" si="39"/>
        <v>0</v>
      </c>
      <c r="AS31" s="903">
        <f t="shared" si="39"/>
        <v>0</v>
      </c>
      <c r="AT31" s="903">
        <f t="shared" si="39"/>
        <v>0</v>
      </c>
      <c r="AU31" s="903">
        <f t="shared" si="39"/>
        <v>0</v>
      </c>
      <c r="AV31" s="903">
        <f t="shared" si="39"/>
        <v>0</v>
      </c>
      <c r="AW31" s="903">
        <f t="shared" si="39"/>
        <v>0</v>
      </c>
      <c r="AX31" s="903">
        <f t="shared" si="39"/>
        <v>0</v>
      </c>
      <c r="AY31" s="903">
        <f t="shared" si="39"/>
        <v>0</v>
      </c>
      <c r="AZ31" s="903">
        <f t="shared" si="39"/>
        <v>0</v>
      </c>
      <c r="BA31" s="903">
        <f t="shared" si="39"/>
        <v>0</v>
      </c>
      <c r="BB31" s="903">
        <f t="shared" si="39"/>
        <v>0</v>
      </c>
      <c r="BC31" s="903">
        <f t="shared" si="39"/>
        <v>0</v>
      </c>
      <c r="BD31" s="903">
        <f t="shared" si="39"/>
        <v>0</v>
      </c>
      <c r="BE31" s="903">
        <f t="shared" si="39"/>
        <v>0</v>
      </c>
      <c r="BF31" s="903">
        <f t="shared" si="39"/>
        <v>0</v>
      </c>
      <c r="BG31" s="903">
        <f t="shared" si="39"/>
        <v>0</v>
      </c>
      <c r="BH31" s="903">
        <f t="shared" si="39"/>
        <v>0</v>
      </c>
      <c r="BI31" s="903">
        <f t="shared" si="39"/>
        <v>0</v>
      </c>
      <c r="BJ31" s="903">
        <f t="shared" si="39"/>
        <v>0</v>
      </c>
      <c r="BK31" s="903">
        <f t="shared" si="39"/>
        <v>0</v>
      </c>
      <c r="BL31" s="903">
        <f t="shared" si="39"/>
        <v>0</v>
      </c>
      <c r="BM31" s="903">
        <f t="shared" si="39"/>
        <v>0</v>
      </c>
      <c r="BN31" s="903">
        <f t="shared" si="39"/>
        <v>0</v>
      </c>
      <c r="BO31" s="903">
        <f t="shared" si="39"/>
        <v>0</v>
      </c>
      <c r="BP31" s="903">
        <f t="shared" si="39"/>
        <v>0</v>
      </c>
      <c r="BQ31" s="903">
        <f t="shared" si="39"/>
        <v>0</v>
      </c>
      <c r="BR31" s="903">
        <f t="shared" si="39"/>
        <v>0</v>
      </c>
    </row>
    <row r="32" spans="1:70">
      <c r="A32" s="914">
        <f t="shared" si="28"/>
        <v>29</v>
      </c>
      <c r="B32" s="915">
        <f t="shared" ca="1" si="28"/>
        <v>61</v>
      </c>
      <c r="C32" s="896"/>
      <c r="D32" s="930">
        <v>0</v>
      </c>
      <c r="E32" s="930">
        <f ca="1">列印頁!P46</f>
        <v>1604120</v>
      </c>
      <c r="F32" s="916">
        <f t="shared" ca="1" si="11"/>
        <v>0.60252068435701167</v>
      </c>
      <c r="G32" s="917">
        <f t="shared" ca="1" si="7"/>
        <v>1.7936967200469667E-2</v>
      </c>
      <c r="H32" s="931">
        <f>IF($M$2=0,0,'列印頁-簡'!I48)</f>
        <v>0</v>
      </c>
      <c r="I32" s="931">
        <f ca="1">'列印頁-簡'!U48</f>
        <v>1923938</v>
      </c>
      <c r="J32" s="916">
        <f ca="1">(I32+SUM($H$4:$H31)-$C$10)/$C$10</f>
        <v>0.92201982421543305</v>
      </c>
      <c r="K32" s="917">
        <f t="shared" ca="1" si="8"/>
        <v>2.4927998253528205E-2</v>
      </c>
      <c r="L32" s="882"/>
      <c r="M32" s="890">
        <f ca="1">AM64</f>
        <v>1.7936967200469667E-2</v>
      </c>
      <c r="N32" s="883">
        <f t="shared" ca="1" si="4"/>
        <v>1604120</v>
      </c>
      <c r="Q32" s="903"/>
      <c r="R32" s="903"/>
      <c r="S32" s="903"/>
      <c r="T32" s="903"/>
      <c r="U32" s="903"/>
      <c r="V32" s="903"/>
      <c r="W32" s="903"/>
      <c r="X32" s="903"/>
      <c r="Y32" s="903"/>
      <c r="Z32" s="903"/>
      <c r="AA32" s="903"/>
      <c r="AB32" s="903"/>
      <c r="AC32" s="903"/>
      <c r="AD32" s="903"/>
      <c r="AE32" s="903"/>
      <c r="AF32" s="903"/>
      <c r="AG32" s="903"/>
      <c r="AH32" s="903"/>
      <c r="AI32" s="903"/>
      <c r="AJ32" s="903"/>
      <c r="AK32" s="903"/>
      <c r="AL32" s="903"/>
      <c r="AM32" s="903">
        <f ca="1">N32</f>
        <v>1604120</v>
      </c>
      <c r="AN32" s="903">
        <f t="shared" ref="AN32:BR32" si="40">$D32</f>
        <v>0</v>
      </c>
      <c r="AO32" s="903">
        <f t="shared" si="40"/>
        <v>0</v>
      </c>
      <c r="AP32" s="903">
        <f t="shared" si="40"/>
        <v>0</v>
      </c>
      <c r="AQ32" s="903">
        <f t="shared" si="40"/>
        <v>0</v>
      </c>
      <c r="AR32" s="903">
        <f t="shared" si="40"/>
        <v>0</v>
      </c>
      <c r="AS32" s="903">
        <f t="shared" si="40"/>
        <v>0</v>
      </c>
      <c r="AT32" s="903">
        <f t="shared" si="40"/>
        <v>0</v>
      </c>
      <c r="AU32" s="903">
        <f t="shared" si="40"/>
        <v>0</v>
      </c>
      <c r="AV32" s="903">
        <f t="shared" si="40"/>
        <v>0</v>
      </c>
      <c r="AW32" s="903">
        <f t="shared" si="40"/>
        <v>0</v>
      </c>
      <c r="AX32" s="903">
        <f t="shared" si="40"/>
        <v>0</v>
      </c>
      <c r="AY32" s="903">
        <f t="shared" si="40"/>
        <v>0</v>
      </c>
      <c r="AZ32" s="903">
        <f t="shared" si="40"/>
        <v>0</v>
      </c>
      <c r="BA32" s="903">
        <f t="shared" si="40"/>
        <v>0</v>
      </c>
      <c r="BB32" s="903">
        <f t="shared" si="40"/>
        <v>0</v>
      </c>
      <c r="BC32" s="903">
        <f t="shared" si="40"/>
        <v>0</v>
      </c>
      <c r="BD32" s="903">
        <f t="shared" si="40"/>
        <v>0</v>
      </c>
      <c r="BE32" s="903">
        <f t="shared" si="40"/>
        <v>0</v>
      </c>
      <c r="BF32" s="903">
        <f t="shared" si="40"/>
        <v>0</v>
      </c>
      <c r="BG32" s="903">
        <f t="shared" si="40"/>
        <v>0</v>
      </c>
      <c r="BH32" s="903">
        <f t="shared" si="40"/>
        <v>0</v>
      </c>
      <c r="BI32" s="903">
        <f t="shared" si="40"/>
        <v>0</v>
      </c>
      <c r="BJ32" s="903">
        <f t="shared" si="40"/>
        <v>0</v>
      </c>
      <c r="BK32" s="903">
        <f t="shared" si="40"/>
        <v>0</v>
      </c>
      <c r="BL32" s="903">
        <f t="shared" si="40"/>
        <v>0</v>
      </c>
      <c r="BM32" s="903">
        <f t="shared" si="40"/>
        <v>0</v>
      </c>
      <c r="BN32" s="903">
        <f t="shared" si="40"/>
        <v>0</v>
      </c>
      <c r="BO32" s="903">
        <f t="shared" si="40"/>
        <v>0</v>
      </c>
      <c r="BP32" s="903">
        <f t="shared" si="40"/>
        <v>0</v>
      </c>
      <c r="BQ32" s="903">
        <f t="shared" si="40"/>
        <v>0</v>
      </c>
      <c r="BR32" s="903">
        <f t="shared" si="40"/>
        <v>0</v>
      </c>
    </row>
    <row r="33" spans="1:70">
      <c r="A33" s="908">
        <f t="shared" si="28"/>
        <v>30</v>
      </c>
      <c r="B33" s="893">
        <f t="shared" ca="1" si="28"/>
        <v>62</v>
      </c>
      <c r="C33" s="898"/>
      <c r="D33" s="932">
        <v>0</v>
      </c>
      <c r="E33" s="932">
        <f ca="1">列印頁!P47</f>
        <v>1636216</v>
      </c>
      <c r="F33" s="894">
        <f t="shared" ca="1" si="11"/>
        <v>0.63458468448488403</v>
      </c>
      <c r="G33" s="895">
        <f t="shared" ca="1" si="7"/>
        <v>1.8012079212685661E-2</v>
      </c>
      <c r="H33" s="933">
        <f>IF($M$2=0,0,'列印頁-簡'!I49)</f>
        <v>0</v>
      </c>
      <c r="I33" s="933">
        <f ca="1">'列印頁-簡'!U49</f>
        <v>1976026</v>
      </c>
      <c r="J33" s="894">
        <f ca="1">(I33+SUM($H$4:$H32)-$C$10)/$C$10</f>
        <v>0.9740558922195649</v>
      </c>
      <c r="K33" s="895">
        <f t="shared" ca="1" si="8"/>
        <v>2.5005739644609282E-2</v>
      </c>
      <c r="L33" s="882"/>
      <c r="M33" s="890">
        <f ca="1">AN64</f>
        <v>1.8012079212685661E-2</v>
      </c>
      <c r="N33" s="883">
        <f t="shared" ca="1" si="4"/>
        <v>1636216</v>
      </c>
      <c r="Q33" s="903"/>
      <c r="R33" s="903"/>
      <c r="S33" s="903"/>
      <c r="T33" s="903"/>
      <c r="U33" s="903"/>
      <c r="V33" s="903"/>
      <c r="W33" s="903"/>
      <c r="X33" s="903"/>
      <c r="Y33" s="903"/>
      <c r="Z33" s="903"/>
      <c r="AA33" s="903"/>
      <c r="AB33" s="903"/>
      <c r="AC33" s="903"/>
      <c r="AD33" s="903"/>
      <c r="AE33" s="903"/>
      <c r="AF33" s="903"/>
      <c r="AG33" s="903"/>
      <c r="AH33" s="903"/>
      <c r="AI33" s="903"/>
      <c r="AJ33" s="903"/>
      <c r="AK33" s="903"/>
      <c r="AL33" s="903"/>
      <c r="AM33" s="903"/>
      <c r="AN33" s="903">
        <f ca="1">N33</f>
        <v>1636216</v>
      </c>
      <c r="AO33" s="903">
        <f t="shared" ref="AO33:BR33" si="41">$D33</f>
        <v>0</v>
      </c>
      <c r="AP33" s="903">
        <f t="shared" si="41"/>
        <v>0</v>
      </c>
      <c r="AQ33" s="903">
        <f t="shared" si="41"/>
        <v>0</v>
      </c>
      <c r="AR33" s="903">
        <f t="shared" si="41"/>
        <v>0</v>
      </c>
      <c r="AS33" s="903">
        <f t="shared" si="41"/>
        <v>0</v>
      </c>
      <c r="AT33" s="903">
        <f t="shared" si="41"/>
        <v>0</v>
      </c>
      <c r="AU33" s="903">
        <f t="shared" si="41"/>
        <v>0</v>
      </c>
      <c r="AV33" s="903">
        <f t="shared" si="41"/>
        <v>0</v>
      </c>
      <c r="AW33" s="903">
        <f t="shared" si="41"/>
        <v>0</v>
      </c>
      <c r="AX33" s="903">
        <f t="shared" si="41"/>
        <v>0</v>
      </c>
      <c r="AY33" s="903">
        <f t="shared" si="41"/>
        <v>0</v>
      </c>
      <c r="AZ33" s="903">
        <f t="shared" si="41"/>
        <v>0</v>
      </c>
      <c r="BA33" s="903">
        <f t="shared" si="41"/>
        <v>0</v>
      </c>
      <c r="BB33" s="903">
        <f t="shared" si="41"/>
        <v>0</v>
      </c>
      <c r="BC33" s="903">
        <f t="shared" si="41"/>
        <v>0</v>
      </c>
      <c r="BD33" s="903">
        <f t="shared" si="41"/>
        <v>0</v>
      </c>
      <c r="BE33" s="903">
        <f t="shared" si="41"/>
        <v>0</v>
      </c>
      <c r="BF33" s="903">
        <f t="shared" si="41"/>
        <v>0</v>
      </c>
      <c r="BG33" s="903">
        <f t="shared" si="41"/>
        <v>0</v>
      </c>
      <c r="BH33" s="903">
        <f t="shared" si="41"/>
        <v>0</v>
      </c>
      <c r="BI33" s="903">
        <f t="shared" si="41"/>
        <v>0</v>
      </c>
      <c r="BJ33" s="903">
        <f t="shared" si="41"/>
        <v>0</v>
      </c>
      <c r="BK33" s="903">
        <f t="shared" si="41"/>
        <v>0</v>
      </c>
      <c r="BL33" s="903">
        <f t="shared" si="41"/>
        <v>0</v>
      </c>
      <c r="BM33" s="903">
        <f t="shared" si="41"/>
        <v>0</v>
      </c>
      <c r="BN33" s="903">
        <f t="shared" si="41"/>
        <v>0</v>
      </c>
      <c r="BO33" s="903">
        <f t="shared" si="41"/>
        <v>0</v>
      </c>
      <c r="BP33" s="903">
        <f t="shared" si="41"/>
        <v>0</v>
      </c>
      <c r="BQ33" s="903">
        <f t="shared" si="41"/>
        <v>0</v>
      </c>
      <c r="BR33" s="903">
        <f t="shared" si="41"/>
        <v>0</v>
      </c>
    </row>
    <row r="34" spans="1:70">
      <c r="A34" s="914">
        <f t="shared" si="28"/>
        <v>31</v>
      </c>
      <c r="B34" s="915">
        <f t="shared" ca="1" si="28"/>
        <v>63</v>
      </c>
      <c r="C34" s="896"/>
      <c r="D34" s="930">
        <v>0</v>
      </c>
      <c r="E34" s="930">
        <f ca="1">列印頁!P48</f>
        <v>1668924</v>
      </c>
      <c r="F34" s="916">
        <f t="shared" ca="1" si="11"/>
        <v>0.66726007444570323</v>
      </c>
      <c r="G34" s="917">
        <f t="shared" ca="1" si="7"/>
        <v>1.80812892101756E-2</v>
      </c>
      <c r="H34" s="931">
        <f>IF($M$2=0,0,'列印頁-簡'!I50)</f>
        <v>0</v>
      </c>
      <c r="I34" s="931">
        <f ca="1">'列印頁-簡'!U50</f>
        <v>2029519</v>
      </c>
      <c r="J34" s="916">
        <f ca="1">(I34+SUM($H$4:$H33)-$C$10)/$C$10</f>
        <v>1.0274955594316872</v>
      </c>
      <c r="K34" s="917">
        <f t="shared" ca="1" si="8"/>
        <v>2.5077951851993241E-2</v>
      </c>
      <c r="L34" s="882"/>
      <c r="M34" s="890">
        <f ca="1">AO64</f>
        <v>1.80812892101756E-2</v>
      </c>
      <c r="N34" s="883">
        <f t="shared" ca="1" si="4"/>
        <v>1668924</v>
      </c>
      <c r="Q34" s="903"/>
      <c r="R34" s="903"/>
      <c r="S34" s="903"/>
      <c r="T34" s="903"/>
      <c r="U34" s="903"/>
      <c r="V34" s="903"/>
      <c r="W34" s="903"/>
      <c r="X34" s="903"/>
      <c r="Y34" s="903"/>
      <c r="Z34" s="903"/>
      <c r="AA34" s="903"/>
      <c r="AB34" s="903"/>
      <c r="AC34" s="903"/>
      <c r="AD34" s="903"/>
      <c r="AE34" s="903"/>
      <c r="AF34" s="903"/>
      <c r="AG34" s="903"/>
      <c r="AH34" s="903"/>
      <c r="AI34" s="903"/>
      <c r="AJ34" s="903"/>
      <c r="AK34" s="903"/>
      <c r="AL34" s="903"/>
      <c r="AM34" s="903"/>
      <c r="AN34" s="903"/>
      <c r="AO34" s="903">
        <f ca="1">N34</f>
        <v>1668924</v>
      </c>
      <c r="AP34" s="903">
        <f t="shared" ref="AP34:BR34" si="42">$D34</f>
        <v>0</v>
      </c>
      <c r="AQ34" s="903">
        <f t="shared" si="42"/>
        <v>0</v>
      </c>
      <c r="AR34" s="903">
        <f t="shared" si="42"/>
        <v>0</v>
      </c>
      <c r="AS34" s="903">
        <f t="shared" si="42"/>
        <v>0</v>
      </c>
      <c r="AT34" s="903">
        <f t="shared" si="42"/>
        <v>0</v>
      </c>
      <c r="AU34" s="903">
        <f t="shared" si="42"/>
        <v>0</v>
      </c>
      <c r="AV34" s="903">
        <f t="shared" si="42"/>
        <v>0</v>
      </c>
      <c r="AW34" s="903">
        <f t="shared" si="42"/>
        <v>0</v>
      </c>
      <c r="AX34" s="903">
        <f t="shared" si="42"/>
        <v>0</v>
      </c>
      <c r="AY34" s="903">
        <f t="shared" si="42"/>
        <v>0</v>
      </c>
      <c r="AZ34" s="903">
        <f t="shared" si="42"/>
        <v>0</v>
      </c>
      <c r="BA34" s="903">
        <f t="shared" si="42"/>
        <v>0</v>
      </c>
      <c r="BB34" s="903">
        <f t="shared" si="42"/>
        <v>0</v>
      </c>
      <c r="BC34" s="903">
        <f t="shared" si="42"/>
        <v>0</v>
      </c>
      <c r="BD34" s="903">
        <f t="shared" si="42"/>
        <v>0</v>
      </c>
      <c r="BE34" s="903">
        <f t="shared" si="42"/>
        <v>0</v>
      </c>
      <c r="BF34" s="903">
        <f t="shared" si="42"/>
        <v>0</v>
      </c>
      <c r="BG34" s="903">
        <f t="shared" si="42"/>
        <v>0</v>
      </c>
      <c r="BH34" s="903">
        <f t="shared" si="42"/>
        <v>0</v>
      </c>
      <c r="BI34" s="903">
        <f t="shared" si="42"/>
        <v>0</v>
      </c>
      <c r="BJ34" s="903">
        <f t="shared" si="42"/>
        <v>0</v>
      </c>
      <c r="BK34" s="903">
        <f t="shared" si="42"/>
        <v>0</v>
      </c>
      <c r="BL34" s="903">
        <f t="shared" si="42"/>
        <v>0</v>
      </c>
      <c r="BM34" s="903">
        <f t="shared" si="42"/>
        <v>0</v>
      </c>
      <c r="BN34" s="903">
        <f t="shared" si="42"/>
        <v>0</v>
      </c>
      <c r="BO34" s="903">
        <f t="shared" si="42"/>
        <v>0</v>
      </c>
      <c r="BP34" s="903">
        <f t="shared" si="42"/>
        <v>0</v>
      </c>
      <c r="BQ34" s="903">
        <f t="shared" si="42"/>
        <v>0</v>
      </c>
      <c r="BR34" s="903">
        <f t="shared" si="42"/>
        <v>0</v>
      </c>
    </row>
    <row r="35" spans="1:70">
      <c r="A35" s="914">
        <f t="shared" si="28"/>
        <v>32</v>
      </c>
      <c r="B35" s="915">
        <f t="shared" ca="1" si="28"/>
        <v>64</v>
      </c>
      <c r="C35" s="896"/>
      <c r="D35" s="930">
        <v>0</v>
      </c>
      <c r="E35" s="930">
        <f ca="1">列印頁!P49</f>
        <v>1702312</v>
      </c>
      <c r="F35" s="916">
        <f t="shared" ca="1" si="11"/>
        <v>0.7006147864431298</v>
      </c>
      <c r="G35" s="917">
        <f t="shared" ca="1" si="7"/>
        <v>1.8146348674557444E-2</v>
      </c>
      <c r="H35" s="931">
        <f>IF($M$2=0,0,'列印頁-簡'!I51)</f>
        <v>0</v>
      </c>
      <c r="I35" s="931">
        <f ca="1">'列印頁-簡'!U51</f>
        <v>2084465</v>
      </c>
      <c r="J35" s="916">
        <f ca="1">(I35+SUM($H$4:$H34)-$C$10)/$C$10</f>
        <v>1.0823867779955605</v>
      </c>
      <c r="K35" s="917">
        <f t="shared" ca="1" si="8"/>
        <v>2.5145365725770308E-2</v>
      </c>
      <c r="L35" s="882"/>
      <c r="M35" s="890">
        <f ca="1">AP64</f>
        <v>1.8146348674557444E-2</v>
      </c>
      <c r="N35" s="883">
        <f t="shared" ca="1" si="4"/>
        <v>1702312</v>
      </c>
      <c r="Q35" s="903"/>
      <c r="R35" s="903"/>
      <c r="S35" s="903"/>
      <c r="T35" s="903"/>
      <c r="U35" s="903"/>
      <c r="V35" s="903"/>
      <c r="W35" s="903"/>
      <c r="X35" s="903"/>
      <c r="Y35" s="903"/>
      <c r="Z35" s="903"/>
      <c r="AA35" s="903"/>
      <c r="AB35" s="903"/>
      <c r="AC35" s="903"/>
      <c r="AD35" s="903"/>
      <c r="AE35" s="903"/>
      <c r="AF35" s="903"/>
      <c r="AG35" s="903"/>
      <c r="AH35" s="903"/>
      <c r="AI35" s="903"/>
      <c r="AJ35" s="903"/>
      <c r="AK35" s="903"/>
      <c r="AL35" s="903"/>
      <c r="AM35" s="903"/>
      <c r="AN35" s="903"/>
      <c r="AO35" s="903"/>
      <c r="AP35" s="903">
        <f ca="1">N35</f>
        <v>1702312</v>
      </c>
      <c r="AQ35" s="903">
        <f t="shared" ref="AQ35:BR35" si="43">$D35</f>
        <v>0</v>
      </c>
      <c r="AR35" s="903">
        <f t="shared" si="43"/>
        <v>0</v>
      </c>
      <c r="AS35" s="903">
        <f t="shared" si="43"/>
        <v>0</v>
      </c>
      <c r="AT35" s="903">
        <f t="shared" si="43"/>
        <v>0</v>
      </c>
      <c r="AU35" s="903">
        <f t="shared" si="43"/>
        <v>0</v>
      </c>
      <c r="AV35" s="903">
        <f t="shared" si="43"/>
        <v>0</v>
      </c>
      <c r="AW35" s="903">
        <f t="shared" si="43"/>
        <v>0</v>
      </c>
      <c r="AX35" s="903">
        <f t="shared" si="43"/>
        <v>0</v>
      </c>
      <c r="AY35" s="903">
        <f t="shared" si="43"/>
        <v>0</v>
      </c>
      <c r="AZ35" s="903">
        <f t="shared" si="43"/>
        <v>0</v>
      </c>
      <c r="BA35" s="903">
        <f t="shared" si="43"/>
        <v>0</v>
      </c>
      <c r="BB35" s="903">
        <f t="shared" si="43"/>
        <v>0</v>
      </c>
      <c r="BC35" s="903">
        <f t="shared" si="43"/>
        <v>0</v>
      </c>
      <c r="BD35" s="903">
        <f t="shared" si="43"/>
        <v>0</v>
      </c>
      <c r="BE35" s="903">
        <f t="shared" si="43"/>
        <v>0</v>
      </c>
      <c r="BF35" s="903">
        <f t="shared" si="43"/>
        <v>0</v>
      </c>
      <c r="BG35" s="903">
        <f t="shared" si="43"/>
        <v>0</v>
      </c>
      <c r="BH35" s="903">
        <f t="shared" si="43"/>
        <v>0</v>
      </c>
      <c r="BI35" s="903">
        <f t="shared" si="43"/>
        <v>0</v>
      </c>
      <c r="BJ35" s="903">
        <f t="shared" si="43"/>
        <v>0</v>
      </c>
      <c r="BK35" s="903">
        <f t="shared" si="43"/>
        <v>0</v>
      </c>
      <c r="BL35" s="903">
        <f t="shared" si="43"/>
        <v>0</v>
      </c>
      <c r="BM35" s="903">
        <f t="shared" si="43"/>
        <v>0</v>
      </c>
      <c r="BN35" s="903">
        <f t="shared" si="43"/>
        <v>0</v>
      </c>
      <c r="BO35" s="903">
        <f t="shared" si="43"/>
        <v>0</v>
      </c>
      <c r="BP35" s="903">
        <f t="shared" si="43"/>
        <v>0</v>
      </c>
      <c r="BQ35" s="903">
        <f t="shared" si="43"/>
        <v>0</v>
      </c>
      <c r="BR35" s="903">
        <f t="shared" si="43"/>
        <v>0</v>
      </c>
    </row>
    <row r="36" spans="1:70">
      <c r="A36" s="914">
        <f t="shared" si="28"/>
        <v>33</v>
      </c>
      <c r="B36" s="915">
        <f t="shared" ca="1" si="28"/>
        <v>65</v>
      </c>
      <c r="C36" s="896"/>
      <c r="D36" s="930">
        <v>0</v>
      </c>
      <c r="E36" s="930">
        <f ca="1">列印頁!P50</f>
        <v>1736346</v>
      </c>
      <c r="F36" s="916">
        <f t="shared" ca="1" si="11"/>
        <v>0.73461485437533347</v>
      </c>
      <c r="G36" s="917">
        <f t="shared" ca="1" si="7"/>
        <v>1.8206731353267669E-2</v>
      </c>
      <c r="H36" s="931">
        <f>IF($M$2=0,0,'列印頁-簡'!I52)</f>
        <v>0</v>
      </c>
      <c r="I36" s="931">
        <f ca="1">'列印頁-簡'!U52</f>
        <v>2140879</v>
      </c>
      <c r="J36" s="916">
        <f ca="1">(I36+SUM($H$4:$H35)-$C$10)/$C$10</f>
        <v>1.1387445329561099</v>
      </c>
      <c r="K36" s="917">
        <f t="shared" ca="1" si="8"/>
        <v>2.5208066479199154E-2</v>
      </c>
      <c r="L36" s="882"/>
      <c r="M36" s="890">
        <f ca="1">AQ64</f>
        <v>1.8206731353267669E-2</v>
      </c>
      <c r="N36" s="883">
        <f t="shared" ca="1" si="4"/>
        <v>1736346</v>
      </c>
      <c r="Q36" s="903"/>
      <c r="R36" s="903"/>
      <c r="S36" s="903"/>
      <c r="T36" s="903"/>
      <c r="U36" s="903"/>
      <c r="V36" s="903"/>
      <c r="W36" s="903"/>
      <c r="X36" s="903"/>
      <c r="Y36" s="903"/>
      <c r="Z36" s="903"/>
      <c r="AA36" s="903"/>
      <c r="AB36" s="903"/>
      <c r="AC36" s="903"/>
      <c r="AD36" s="903"/>
      <c r="AE36" s="903"/>
      <c r="AF36" s="903"/>
      <c r="AG36" s="903"/>
      <c r="AH36" s="903"/>
      <c r="AI36" s="903"/>
      <c r="AJ36" s="903"/>
      <c r="AK36" s="903"/>
      <c r="AL36" s="903"/>
      <c r="AM36" s="903"/>
      <c r="AN36" s="903"/>
      <c r="AO36" s="903"/>
      <c r="AP36" s="903"/>
      <c r="AQ36" s="903">
        <f ca="1">N36</f>
        <v>1736346</v>
      </c>
      <c r="AR36" s="903">
        <f t="shared" ref="AR36:BR36" si="44">$D36</f>
        <v>0</v>
      </c>
      <c r="AS36" s="903">
        <f t="shared" si="44"/>
        <v>0</v>
      </c>
      <c r="AT36" s="903">
        <f t="shared" si="44"/>
        <v>0</v>
      </c>
      <c r="AU36" s="903">
        <f t="shared" si="44"/>
        <v>0</v>
      </c>
      <c r="AV36" s="903">
        <f t="shared" si="44"/>
        <v>0</v>
      </c>
      <c r="AW36" s="903">
        <f t="shared" si="44"/>
        <v>0</v>
      </c>
      <c r="AX36" s="903">
        <f t="shared" si="44"/>
        <v>0</v>
      </c>
      <c r="AY36" s="903">
        <f t="shared" si="44"/>
        <v>0</v>
      </c>
      <c r="AZ36" s="903">
        <f t="shared" si="44"/>
        <v>0</v>
      </c>
      <c r="BA36" s="903">
        <f t="shared" si="44"/>
        <v>0</v>
      </c>
      <c r="BB36" s="903">
        <f t="shared" si="44"/>
        <v>0</v>
      </c>
      <c r="BC36" s="903">
        <f t="shared" si="44"/>
        <v>0</v>
      </c>
      <c r="BD36" s="903">
        <f t="shared" si="44"/>
        <v>0</v>
      </c>
      <c r="BE36" s="903">
        <f t="shared" si="44"/>
        <v>0</v>
      </c>
      <c r="BF36" s="903">
        <f t="shared" si="44"/>
        <v>0</v>
      </c>
      <c r="BG36" s="903">
        <f t="shared" si="44"/>
        <v>0</v>
      </c>
      <c r="BH36" s="903">
        <f t="shared" si="44"/>
        <v>0</v>
      </c>
      <c r="BI36" s="903">
        <f t="shared" si="44"/>
        <v>0</v>
      </c>
      <c r="BJ36" s="903">
        <f t="shared" si="44"/>
        <v>0</v>
      </c>
      <c r="BK36" s="903">
        <f t="shared" si="44"/>
        <v>0</v>
      </c>
      <c r="BL36" s="903">
        <f t="shared" si="44"/>
        <v>0</v>
      </c>
      <c r="BM36" s="903">
        <f t="shared" si="44"/>
        <v>0</v>
      </c>
      <c r="BN36" s="903">
        <f t="shared" si="44"/>
        <v>0</v>
      </c>
      <c r="BO36" s="903">
        <f t="shared" si="44"/>
        <v>0</v>
      </c>
      <c r="BP36" s="903">
        <f t="shared" si="44"/>
        <v>0</v>
      </c>
      <c r="BQ36" s="903">
        <f t="shared" si="44"/>
        <v>0</v>
      </c>
      <c r="BR36" s="903">
        <f t="shared" si="44"/>
        <v>0</v>
      </c>
    </row>
    <row r="37" spans="1:70">
      <c r="A37" s="914">
        <f t="shared" ref="A37:B52" si="45">A36+1</f>
        <v>34</v>
      </c>
      <c r="B37" s="915">
        <f t="shared" ca="1" si="45"/>
        <v>66</v>
      </c>
      <c r="C37" s="896"/>
      <c r="D37" s="930">
        <v>0</v>
      </c>
      <c r="E37" s="930">
        <f ca="1">列印頁!P51</f>
        <v>1771094</v>
      </c>
      <c r="F37" s="916">
        <f t="shared" ca="1" si="11"/>
        <v>0.76932821044597488</v>
      </c>
      <c r="G37" s="917">
        <f t="shared" ca="1" si="7"/>
        <v>1.8263901142154593E-2</v>
      </c>
      <c r="H37" s="931">
        <f>IF($M$2=0,0,'列印頁-簡'!I53)</f>
        <v>0</v>
      </c>
      <c r="I37" s="931">
        <f ca="1">'列印頁-簡'!U53</f>
        <v>2198858</v>
      </c>
      <c r="J37" s="916">
        <f ca="1">(I37+SUM($H$4:$H36)-$C$10)/$C$10</f>
        <v>1.1966657276038513</v>
      </c>
      <c r="K37" s="917">
        <f t="shared" ca="1" si="8"/>
        <v>2.5267362834798579E-2</v>
      </c>
      <c r="L37" s="882"/>
      <c r="M37" s="890">
        <f ca="1">AR64</f>
        <v>1.8263901142154593E-2</v>
      </c>
      <c r="N37" s="883">
        <f t="shared" ca="1" si="4"/>
        <v>1771094</v>
      </c>
      <c r="Q37" s="903"/>
      <c r="R37" s="903"/>
      <c r="S37" s="903"/>
      <c r="T37" s="903"/>
      <c r="U37" s="903"/>
      <c r="V37" s="903"/>
      <c r="W37" s="903"/>
      <c r="X37" s="903"/>
      <c r="Y37" s="903"/>
      <c r="Z37" s="903"/>
      <c r="AA37" s="903"/>
      <c r="AB37" s="903"/>
      <c r="AC37" s="903"/>
      <c r="AD37" s="903"/>
      <c r="AE37" s="903"/>
      <c r="AF37" s="903"/>
      <c r="AG37" s="903"/>
      <c r="AH37" s="903"/>
      <c r="AI37" s="903"/>
      <c r="AJ37" s="903"/>
      <c r="AK37" s="903"/>
      <c r="AL37" s="903"/>
      <c r="AM37" s="903"/>
      <c r="AN37" s="903"/>
      <c r="AO37" s="903"/>
      <c r="AP37" s="903"/>
      <c r="AQ37" s="903"/>
      <c r="AR37" s="903">
        <f ca="1">N37</f>
        <v>1771094</v>
      </c>
      <c r="AS37" s="903">
        <f t="shared" ref="AS37:BR37" si="46">$D37</f>
        <v>0</v>
      </c>
      <c r="AT37" s="903">
        <f t="shared" si="46"/>
        <v>0</v>
      </c>
      <c r="AU37" s="903">
        <f t="shared" si="46"/>
        <v>0</v>
      </c>
      <c r="AV37" s="903">
        <f t="shared" si="46"/>
        <v>0</v>
      </c>
      <c r="AW37" s="903">
        <f t="shared" si="46"/>
        <v>0</v>
      </c>
      <c r="AX37" s="903">
        <f t="shared" si="46"/>
        <v>0</v>
      </c>
      <c r="AY37" s="903">
        <f t="shared" si="46"/>
        <v>0</v>
      </c>
      <c r="AZ37" s="903">
        <f t="shared" si="46"/>
        <v>0</v>
      </c>
      <c r="BA37" s="903">
        <f t="shared" si="46"/>
        <v>0</v>
      </c>
      <c r="BB37" s="903">
        <f t="shared" si="46"/>
        <v>0</v>
      </c>
      <c r="BC37" s="903">
        <f t="shared" si="46"/>
        <v>0</v>
      </c>
      <c r="BD37" s="903">
        <f t="shared" si="46"/>
        <v>0</v>
      </c>
      <c r="BE37" s="903">
        <f t="shared" si="46"/>
        <v>0</v>
      </c>
      <c r="BF37" s="903">
        <f t="shared" si="46"/>
        <v>0</v>
      </c>
      <c r="BG37" s="903">
        <f t="shared" si="46"/>
        <v>0</v>
      </c>
      <c r="BH37" s="903">
        <f t="shared" si="46"/>
        <v>0</v>
      </c>
      <c r="BI37" s="903">
        <f t="shared" si="46"/>
        <v>0</v>
      </c>
      <c r="BJ37" s="903">
        <f t="shared" si="46"/>
        <v>0</v>
      </c>
      <c r="BK37" s="903">
        <f t="shared" si="46"/>
        <v>0</v>
      </c>
      <c r="BL37" s="903">
        <f t="shared" si="46"/>
        <v>0</v>
      </c>
      <c r="BM37" s="903">
        <f t="shared" si="46"/>
        <v>0</v>
      </c>
      <c r="BN37" s="903">
        <f t="shared" si="46"/>
        <v>0</v>
      </c>
      <c r="BO37" s="903">
        <f t="shared" si="46"/>
        <v>0</v>
      </c>
      <c r="BP37" s="903">
        <f t="shared" si="46"/>
        <v>0</v>
      </c>
      <c r="BQ37" s="903">
        <f t="shared" si="46"/>
        <v>0</v>
      </c>
      <c r="BR37" s="903">
        <f t="shared" si="46"/>
        <v>0</v>
      </c>
    </row>
    <row r="38" spans="1:70">
      <c r="A38" s="918">
        <f t="shared" si="45"/>
        <v>35</v>
      </c>
      <c r="B38" s="919">
        <f t="shared" ca="1" si="45"/>
        <v>67</v>
      </c>
      <c r="C38" s="896"/>
      <c r="D38" s="934">
        <v>0</v>
      </c>
      <c r="E38" s="934">
        <f ca="1">列印頁!P52</f>
        <v>1806522</v>
      </c>
      <c r="F38" s="920">
        <f t="shared" ca="1" si="11"/>
        <v>0.80472088855322388</v>
      </c>
      <c r="G38" s="921">
        <f t="shared" ca="1" si="7"/>
        <v>1.8317294791608374E-2</v>
      </c>
      <c r="H38" s="935">
        <f>IF($M$2=0,0,'列印頁-簡'!I54)</f>
        <v>0</v>
      </c>
      <c r="I38" s="935">
        <f ca="1">'列印頁-簡'!U54</f>
        <v>2258422</v>
      </c>
      <c r="J38" s="920">
        <f ca="1">(I38+SUM($H$4:$H37)-$C$10)/$C$10</f>
        <v>1.2561703419986854</v>
      </c>
      <c r="K38" s="921">
        <f t="shared" ca="1" si="8"/>
        <v>2.5323227733177633E-2</v>
      </c>
      <c r="L38" s="882"/>
      <c r="M38" s="890">
        <f ca="1">AS64</f>
        <v>1.8317294791608374E-2</v>
      </c>
      <c r="N38" s="883">
        <f t="shared" ca="1" si="4"/>
        <v>1806522</v>
      </c>
      <c r="Q38" s="903"/>
      <c r="R38" s="903"/>
      <c r="S38" s="903"/>
      <c r="T38" s="903"/>
      <c r="U38" s="903"/>
      <c r="V38" s="903"/>
      <c r="W38" s="903"/>
      <c r="X38" s="903"/>
      <c r="Y38" s="903"/>
      <c r="Z38" s="903"/>
      <c r="AA38" s="903"/>
      <c r="AB38" s="903"/>
      <c r="AC38" s="903"/>
      <c r="AD38" s="903"/>
      <c r="AE38" s="903"/>
      <c r="AF38" s="903"/>
      <c r="AG38" s="903"/>
      <c r="AH38" s="903"/>
      <c r="AI38" s="903"/>
      <c r="AJ38" s="903"/>
      <c r="AK38" s="903"/>
      <c r="AL38" s="903"/>
      <c r="AM38" s="903"/>
      <c r="AN38" s="903"/>
      <c r="AO38" s="903"/>
      <c r="AP38" s="903"/>
      <c r="AQ38" s="903"/>
      <c r="AR38" s="903"/>
      <c r="AS38" s="903">
        <f ca="1">N38</f>
        <v>1806522</v>
      </c>
      <c r="AT38" s="903">
        <f t="shared" ref="AT38:BR38" si="47">$D38</f>
        <v>0</v>
      </c>
      <c r="AU38" s="903">
        <f t="shared" si="47"/>
        <v>0</v>
      </c>
      <c r="AV38" s="903">
        <f t="shared" si="47"/>
        <v>0</v>
      </c>
      <c r="AW38" s="903">
        <f t="shared" si="47"/>
        <v>0</v>
      </c>
      <c r="AX38" s="903">
        <f t="shared" si="47"/>
        <v>0</v>
      </c>
      <c r="AY38" s="903">
        <f t="shared" si="47"/>
        <v>0</v>
      </c>
      <c r="AZ38" s="903">
        <f t="shared" si="47"/>
        <v>0</v>
      </c>
      <c r="BA38" s="903">
        <f t="shared" si="47"/>
        <v>0</v>
      </c>
      <c r="BB38" s="903">
        <f t="shared" si="47"/>
        <v>0</v>
      </c>
      <c r="BC38" s="903">
        <f t="shared" si="47"/>
        <v>0</v>
      </c>
      <c r="BD38" s="903">
        <f t="shared" si="47"/>
        <v>0</v>
      </c>
      <c r="BE38" s="903">
        <f t="shared" si="47"/>
        <v>0</v>
      </c>
      <c r="BF38" s="903">
        <f t="shared" si="47"/>
        <v>0</v>
      </c>
      <c r="BG38" s="903">
        <f t="shared" si="47"/>
        <v>0</v>
      </c>
      <c r="BH38" s="903">
        <f t="shared" si="47"/>
        <v>0</v>
      </c>
      <c r="BI38" s="903">
        <f t="shared" si="47"/>
        <v>0</v>
      </c>
      <c r="BJ38" s="903">
        <f t="shared" si="47"/>
        <v>0</v>
      </c>
      <c r="BK38" s="903">
        <f t="shared" si="47"/>
        <v>0</v>
      </c>
      <c r="BL38" s="903">
        <f t="shared" si="47"/>
        <v>0</v>
      </c>
      <c r="BM38" s="903">
        <f t="shared" si="47"/>
        <v>0</v>
      </c>
      <c r="BN38" s="903">
        <f t="shared" si="47"/>
        <v>0</v>
      </c>
      <c r="BO38" s="903">
        <f t="shared" si="47"/>
        <v>0</v>
      </c>
      <c r="BP38" s="903">
        <f t="shared" si="47"/>
        <v>0</v>
      </c>
      <c r="BQ38" s="903">
        <f t="shared" si="47"/>
        <v>0</v>
      </c>
      <c r="BR38" s="903">
        <f t="shared" si="47"/>
        <v>0</v>
      </c>
    </row>
    <row r="39" spans="1:70">
      <c r="A39" s="914">
        <f t="shared" si="45"/>
        <v>36</v>
      </c>
      <c r="B39" s="915">
        <f t="shared" ca="1" si="45"/>
        <v>68</v>
      </c>
      <c r="C39" s="896"/>
      <c r="D39" s="930">
        <v>0</v>
      </c>
      <c r="E39" s="930">
        <f ca="1">列印頁!P53</f>
        <v>1842630</v>
      </c>
      <c r="F39" s="916">
        <f t="shared" ca="1" si="11"/>
        <v>0.84079288869708035</v>
      </c>
      <c r="G39" s="917">
        <f t="shared" ca="1" si="7"/>
        <v>1.8367035674706989E-2</v>
      </c>
      <c r="H39" s="931">
        <f>IF($M$2=0,0,'列印頁-簡'!I55)</f>
        <v>0</v>
      </c>
      <c r="I39" s="931">
        <f ca="1">'列印頁-簡'!U55</f>
        <v>2319543</v>
      </c>
      <c r="J39" s="916">
        <f ca="1">(I39+SUM($H$4:$H38)-$C$10)/$C$10</f>
        <v>1.3172304040567513</v>
      </c>
      <c r="K39" s="917">
        <f t="shared" ca="1" si="8"/>
        <v>2.537502317825302E-2</v>
      </c>
      <c r="L39" s="882"/>
      <c r="M39" s="890">
        <f ca="1">AT64</f>
        <v>1.8367035674706989E-2</v>
      </c>
      <c r="N39" s="883">
        <f t="shared" ca="1" si="4"/>
        <v>1842630</v>
      </c>
      <c r="Q39" s="903"/>
      <c r="R39" s="903"/>
      <c r="S39" s="903"/>
      <c r="T39" s="903"/>
      <c r="U39" s="903"/>
      <c r="V39" s="903"/>
      <c r="W39" s="903"/>
      <c r="X39" s="903"/>
      <c r="Y39" s="903"/>
      <c r="Z39" s="903"/>
      <c r="AA39" s="903"/>
      <c r="AB39" s="903"/>
      <c r="AC39" s="903"/>
      <c r="AD39" s="903"/>
      <c r="AE39" s="903"/>
      <c r="AF39" s="903"/>
      <c r="AG39" s="903"/>
      <c r="AH39" s="903"/>
      <c r="AI39" s="903"/>
      <c r="AJ39" s="903"/>
      <c r="AK39" s="903"/>
      <c r="AL39" s="903"/>
      <c r="AM39" s="903"/>
      <c r="AN39" s="903"/>
      <c r="AO39" s="903"/>
      <c r="AP39" s="903"/>
      <c r="AQ39" s="903"/>
      <c r="AR39" s="903"/>
      <c r="AS39" s="903"/>
      <c r="AT39" s="903">
        <f ca="1">N39</f>
        <v>1842630</v>
      </c>
      <c r="AU39" s="903">
        <f t="shared" ref="AU39:BR39" si="48">$D39</f>
        <v>0</v>
      </c>
      <c r="AV39" s="903">
        <f t="shared" si="48"/>
        <v>0</v>
      </c>
      <c r="AW39" s="903">
        <f t="shared" si="48"/>
        <v>0</v>
      </c>
      <c r="AX39" s="903">
        <f t="shared" si="48"/>
        <v>0</v>
      </c>
      <c r="AY39" s="903">
        <f t="shared" si="48"/>
        <v>0</v>
      </c>
      <c r="AZ39" s="903">
        <f t="shared" si="48"/>
        <v>0</v>
      </c>
      <c r="BA39" s="903">
        <f t="shared" si="48"/>
        <v>0</v>
      </c>
      <c r="BB39" s="903">
        <f t="shared" si="48"/>
        <v>0</v>
      </c>
      <c r="BC39" s="903">
        <f t="shared" si="48"/>
        <v>0</v>
      </c>
      <c r="BD39" s="903">
        <f t="shared" si="48"/>
        <v>0</v>
      </c>
      <c r="BE39" s="903">
        <f t="shared" si="48"/>
        <v>0</v>
      </c>
      <c r="BF39" s="903">
        <f t="shared" si="48"/>
        <v>0</v>
      </c>
      <c r="BG39" s="903">
        <f t="shared" si="48"/>
        <v>0</v>
      </c>
      <c r="BH39" s="903">
        <f t="shared" si="48"/>
        <v>0</v>
      </c>
      <c r="BI39" s="903">
        <f t="shared" si="48"/>
        <v>0</v>
      </c>
      <c r="BJ39" s="903">
        <f t="shared" si="48"/>
        <v>0</v>
      </c>
      <c r="BK39" s="903">
        <f t="shared" si="48"/>
        <v>0</v>
      </c>
      <c r="BL39" s="903">
        <f t="shared" si="48"/>
        <v>0</v>
      </c>
      <c r="BM39" s="903">
        <f t="shared" si="48"/>
        <v>0</v>
      </c>
      <c r="BN39" s="903">
        <f t="shared" si="48"/>
        <v>0</v>
      </c>
      <c r="BO39" s="903">
        <f t="shared" si="48"/>
        <v>0</v>
      </c>
      <c r="BP39" s="903">
        <f t="shared" si="48"/>
        <v>0</v>
      </c>
      <c r="BQ39" s="903">
        <f t="shared" si="48"/>
        <v>0</v>
      </c>
      <c r="BR39" s="903">
        <f t="shared" si="48"/>
        <v>0</v>
      </c>
    </row>
    <row r="40" spans="1:70">
      <c r="A40" s="914">
        <f t="shared" si="45"/>
        <v>37</v>
      </c>
      <c r="B40" s="915">
        <f t="shared" ca="1" si="45"/>
        <v>69</v>
      </c>
      <c r="C40" s="896"/>
      <c r="D40" s="930">
        <v>0</v>
      </c>
      <c r="E40" s="930">
        <f ca="1">列印頁!P54</f>
        <v>1879486</v>
      </c>
      <c r="F40" s="916">
        <f t="shared" ca="1" si="11"/>
        <v>0.87761214308120494</v>
      </c>
      <c r="G40" s="917">
        <f t="shared" ca="1" si="7"/>
        <v>1.8414311741965506E-2</v>
      </c>
      <c r="H40" s="931">
        <f>IF($M$2=0,0,'列印頁-簡'!I56)</f>
        <v>0</v>
      </c>
      <c r="I40" s="931">
        <f ca="1">'列印頁-簡'!U56</f>
        <v>2382348</v>
      </c>
      <c r="J40" s="916">
        <f ca="1">(I40+SUM($H$4:$H39)-$C$10)/$C$10</f>
        <v>1.379972787158416</v>
      </c>
      <c r="K40" s="917">
        <f t="shared" ca="1" si="8"/>
        <v>2.5424196101897056E-2</v>
      </c>
      <c r="L40" s="882"/>
      <c r="M40" s="890">
        <f ca="1">AU64</f>
        <v>1.8414311741965506E-2</v>
      </c>
      <c r="N40" s="883">
        <f t="shared" ca="1" si="4"/>
        <v>1879486</v>
      </c>
      <c r="Q40" s="903"/>
      <c r="R40" s="903"/>
      <c r="S40" s="903"/>
      <c r="T40" s="903"/>
      <c r="U40" s="903"/>
      <c r="V40" s="903"/>
      <c r="W40" s="903"/>
      <c r="X40" s="903"/>
      <c r="Y40" s="903"/>
      <c r="Z40" s="903"/>
      <c r="AA40" s="903"/>
      <c r="AB40" s="903"/>
      <c r="AC40" s="903"/>
      <c r="AD40" s="903"/>
      <c r="AE40" s="903"/>
      <c r="AF40" s="903"/>
      <c r="AG40" s="903"/>
      <c r="AH40" s="903"/>
      <c r="AI40" s="903"/>
      <c r="AJ40" s="903"/>
      <c r="AK40" s="903"/>
      <c r="AL40" s="903"/>
      <c r="AM40" s="903"/>
      <c r="AN40" s="903"/>
      <c r="AO40" s="903"/>
      <c r="AP40" s="903"/>
      <c r="AQ40" s="903"/>
      <c r="AR40" s="903"/>
      <c r="AS40" s="903"/>
      <c r="AT40" s="903"/>
      <c r="AU40" s="903">
        <f ca="1">N40</f>
        <v>1879486</v>
      </c>
      <c r="AV40" s="903">
        <f t="shared" ref="AV40:BR40" si="49">$D40</f>
        <v>0</v>
      </c>
      <c r="AW40" s="903">
        <f t="shared" si="49"/>
        <v>0</v>
      </c>
      <c r="AX40" s="903">
        <f t="shared" si="49"/>
        <v>0</v>
      </c>
      <c r="AY40" s="903">
        <f t="shared" si="49"/>
        <v>0</v>
      </c>
      <c r="AZ40" s="903">
        <f t="shared" si="49"/>
        <v>0</v>
      </c>
      <c r="BA40" s="903">
        <f t="shared" si="49"/>
        <v>0</v>
      </c>
      <c r="BB40" s="903">
        <f t="shared" si="49"/>
        <v>0</v>
      </c>
      <c r="BC40" s="903">
        <f t="shared" si="49"/>
        <v>0</v>
      </c>
      <c r="BD40" s="903">
        <f t="shared" si="49"/>
        <v>0</v>
      </c>
      <c r="BE40" s="903">
        <f t="shared" si="49"/>
        <v>0</v>
      </c>
      <c r="BF40" s="903">
        <f t="shared" si="49"/>
        <v>0</v>
      </c>
      <c r="BG40" s="903">
        <f t="shared" si="49"/>
        <v>0</v>
      </c>
      <c r="BH40" s="903">
        <f t="shared" si="49"/>
        <v>0</v>
      </c>
      <c r="BI40" s="903">
        <f t="shared" si="49"/>
        <v>0</v>
      </c>
      <c r="BJ40" s="903">
        <f t="shared" si="49"/>
        <v>0</v>
      </c>
      <c r="BK40" s="903">
        <f t="shared" si="49"/>
        <v>0</v>
      </c>
      <c r="BL40" s="903">
        <f t="shared" si="49"/>
        <v>0</v>
      </c>
      <c r="BM40" s="903">
        <f t="shared" si="49"/>
        <v>0</v>
      </c>
      <c r="BN40" s="903">
        <f t="shared" si="49"/>
        <v>0</v>
      </c>
      <c r="BO40" s="903">
        <f t="shared" si="49"/>
        <v>0</v>
      </c>
      <c r="BP40" s="903">
        <f t="shared" si="49"/>
        <v>0</v>
      </c>
      <c r="BQ40" s="903">
        <f t="shared" si="49"/>
        <v>0</v>
      </c>
      <c r="BR40" s="903">
        <f t="shared" si="49"/>
        <v>0</v>
      </c>
    </row>
    <row r="41" spans="1:70">
      <c r="A41" s="914">
        <f t="shared" si="45"/>
        <v>38</v>
      </c>
      <c r="B41" s="915">
        <f t="shared" ca="1" si="45"/>
        <v>70</v>
      </c>
      <c r="C41" s="896"/>
      <c r="D41" s="930">
        <v>0</v>
      </c>
      <c r="E41" s="930">
        <f ca="1">列印頁!P55</f>
        <v>1917090</v>
      </c>
      <c r="F41" s="916">
        <f t="shared" ca="1" si="11"/>
        <v>0.91517865170559787</v>
      </c>
      <c r="G41" s="917">
        <f t="shared" ca="1" si="7"/>
        <v>1.8459091755524737E-2</v>
      </c>
      <c r="H41" s="931">
        <f>IF($M$2=0,0,'列印頁-簡'!I57)</f>
        <v>0</v>
      </c>
      <c r="I41" s="931">
        <f ca="1">'列印頁-簡'!U57</f>
        <v>2446867</v>
      </c>
      <c r="J41" s="916">
        <f ca="1">(I41+SUM($H$4:$H40)-$C$10)/$C$10</f>
        <v>1.4444274613935293</v>
      </c>
      <c r="K41" s="917">
        <f t="shared" ca="1" si="8"/>
        <v>2.5470765014528052E-2</v>
      </c>
      <c r="L41" s="882"/>
      <c r="M41" s="890">
        <f ca="1">AV64</f>
        <v>1.8459091755524737E-2</v>
      </c>
      <c r="N41" s="883">
        <f t="shared" ca="1" si="4"/>
        <v>1917090</v>
      </c>
      <c r="Q41" s="903"/>
      <c r="R41" s="903"/>
      <c r="S41" s="903"/>
      <c r="T41" s="903"/>
      <c r="U41" s="903"/>
      <c r="V41" s="903"/>
      <c r="W41" s="903"/>
      <c r="X41" s="903"/>
      <c r="Y41" s="903"/>
      <c r="Z41" s="903"/>
      <c r="AA41" s="903"/>
      <c r="AB41" s="903"/>
      <c r="AC41" s="903"/>
      <c r="AD41" s="903"/>
      <c r="AE41" s="903"/>
      <c r="AF41" s="903"/>
      <c r="AG41" s="903"/>
      <c r="AH41" s="903"/>
      <c r="AI41" s="903"/>
      <c r="AJ41" s="903"/>
      <c r="AK41" s="903"/>
      <c r="AL41" s="903"/>
      <c r="AM41" s="903"/>
      <c r="AN41" s="903"/>
      <c r="AO41" s="903"/>
      <c r="AP41" s="903"/>
      <c r="AQ41" s="903"/>
      <c r="AR41" s="903"/>
      <c r="AS41" s="903"/>
      <c r="AT41" s="903"/>
      <c r="AU41" s="903"/>
      <c r="AV41" s="903">
        <f ca="1">N41</f>
        <v>1917090</v>
      </c>
      <c r="AW41" s="903">
        <f t="shared" ref="AW41:BR41" si="50">$D41</f>
        <v>0</v>
      </c>
      <c r="AX41" s="903">
        <f t="shared" si="50"/>
        <v>0</v>
      </c>
      <c r="AY41" s="903">
        <f t="shared" si="50"/>
        <v>0</v>
      </c>
      <c r="AZ41" s="903">
        <f t="shared" si="50"/>
        <v>0</v>
      </c>
      <c r="BA41" s="903">
        <f t="shared" si="50"/>
        <v>0</v>
      </c>
      <c r="BB41" s="903">
        <f t="shared" si="50"/>
        <v>0</v>
      </c>
      <c r="BC41" s="903">
        <f t="shared" si="50"/>
        <v>0</v>
      </c>
      <c r="BD41" s="903">
        <f t="shared" si="50"/>
        <v>0</v>
      </c>
      <c r="BE41" s="903">
        <f t="shared" si="50"/>
        <v>0</v>
      </c>
      <c r="BF41" s="903">
        <f t="shared" si="50"/>
        <v>0</v>
      </c>
      <c r="BG41" s="903">
        <f t="shared" si="50"/>
        <v>0</v>
      </c>
      <c r="BH41" s="903">
        <f t="shared" si="50"/>
        <v>0</v>
      </c>
      <c r="BI41" s="903">
        <f t="shared" si="50"/>
        <v>0</v>
      </c>
      <c r="BJ41" s="903">
        <f t="shared" si="50"/>
        <v>0</v>
      </c>
      <c r="BK41" s="903">
        <f t="shared" si="50"/>
        <v>0</v>
      </c>
      <c r="BL41" s="903">
        <f t="shared" si="50"/>
        <v>0</v>
      </c>
      <c r="BM41" s="903">
        <f t="shared" si="50"/>
        <v>0</v>
      </c>
      <c r="BN41" s="903">
        <f t="shared" si="50"/>
        <v>0</v>
      </c>
      <c r="BO41" s="903">
        <f t="shared" si="50"/>
        <v>0</v>
      </c>
      <c r="BP41" s="903">
        <f t="shared" si="50"/>
        <v>0</v>
      </c>
      <c r="BQ41" s="903">
        <f t="shared" si="50"/>
        <v>0</v>
      </c>
      <c r="BR41" s="903">
        <f t="shared" si="50"/>
        <v>0</v>
      </c>
    </row>
    <row r="42" spans="1:70">
      <c r="A42" s="914">
        <f t="shared" si="45"/>
        <v>39</v>
      </c>
      <c r="B42" s="915">
        <f t="shared" ca="1" si="45"/>
        <v>71</v>
      </c>
      <c r="C42" s="896"/>
      <c r="D42" s="930">
        <v>0</v>
      </c>
      <c r="E42" s="930">
        <f ca="1">列印頁!P56</f>
        <v>1955408</v>
      </c>
      <c r="F42" s="916">
        <f t="shared" ca="1" si="11"/>
        <v>0.95345844846842853</v>
      </c>
      <c r="G42" s="917">
        <f t="shared" ca="1" si="7"/>
        <v>1.8500876629899299E-2</v>
      </c>
      <c r="H42" s="931">
        <f>IF($M$2=0,0,'列印頁-簡'!I58)</f>
        <v>0</v>
      </c>
      <c r="I42" s="931">
        <f ca="1">'列印頁-簡'!U58</f>
        <v>2513132</v>
      </c>
      <c r="J42" s="916">
        <f ca="1">(I42+SUM($H$4:$H41)-$C$10)/$C$10</f>
        <v>1.5106263948579317</v>
      </c>
      <c r="K42" s="917">
        <f t="shared" ca="1" si="8"/>
        <v>2.5514774487057634E-2</v>
      </c>
      <c r="L42" s="882"/>
      <c r="M42" s="890">
        <f ca="1">AW64</f>
        <v>1.8500876629899299E-2</v>
      </c>
      <c r="N42" s="883">
        <f t="shared" ca="1" si="4"/>
        <v>1955408</v>
      </c>
      <c r="Q42" s="903"/>
      <c r="R42" s="903"/>
      <c r="S42" s="903"/>
      <c r="T42" s="903"/>
      <c r="U42" s="903"/>
      <c r="V42" s="903"/>
      <c r="W42" s="903"/>
      <c r="X42" s="903"/>
      <c r="Y42" s="903"/>
      <c r="Z42" s="903"/>
      <c r="AA42" s="903"/>
      <c r="AB42" s="903"/>
      <c r="AC42" s="903"/>
      <c r="AD42" s="903"/>
      <c r="AE42" s="903"/>
      <c r="AF42" s="903"/>
      <c r="AG42" s="903"/>
      <c r="AH42" s="903"/>
      <c r="AI42" s="903"/>
      <c r="AJ42" s="903"/>
      <c r="AK42" s="903"/>
      <c r="AL42" s="903"/>
      <c r="AM42" s="903"/>
      <c r="AN42" s="903"/>
      <c r="AO42" s="903"/>
      <c r="AP42" s="903"/>
      <c r="AQ42" s="903"/>
      <c r="AR42" s="903"/>
      <c r="AS42" s="903"/>
      <c r="AT42" s="903"/>
      <c r="AU42" s="903"/>
      <c r="AV42" s="903"/>
      <c r="AW42" s="903">
        <f ca="1">N42</f>
        <v>1955408</v>
      </c>
      <c r="AX42" s="903">
        <f t="shared" ref="AX42:BR42" si="51">$D42</f>
        <v>0</v>
      </c>
      <c r="AY42" s="903">
        <f t="shared" si="51"/>
        <v>0</v>
      </c>
      <c r="AZ42" s="903">
        <f t="shared" si="51"/>
        <v>0</v>
      </c>
      <c r="BA42" s="903">
        <f t="shared" si="51"/>
        <v>0</v>
      </c>
      <c r="BB42" s="903">
        <f t="shared" si="51"/>
        <v>0</v>
      </c>
      <c r="BC42" s="903">
        <f t="shared" si="51"/>
        <v>0</v>
      </c>
      <c r="BD42" s="903">
        <f t="shared" si="51"/>
        <v>0</v>
      </c>
      <c r="BE42" s="903">
        <f t="shared" si="51"/>
        <v>0</v>
      </c>
      <c r="BF42" s="903">
        <f t="shared" si="51"/>
        <v>0</v>
      </c>
      <c r="BG42" s="903">
        <f t="shared" si="51"/>
        <v>0</v>
      </c>
      <c r="BH42" s="903">
        <f t="shared" si="51"/>
        <v>0</v>
      </c>
      <c r="BI42" s="903">
        <f t="shared" si="51"/>
        <v>0</v>
      </c>
      <c r="BJ42" s="903">
        <f t="shared" si="51"/>
        <v>0</v>
      </c>
      <c r="BK42" s="903">
        <f t="shared" si="51"/>
        <v>0</v>
      </c>
      <c r="BL42" s="903">
        <f t="shared" si="51"/>
        <v>0</v>
      </c>
      <c r="BM42" s="903">
        <f t="shared" si="51"/>
        <v>0</v>
      </c>
      <c r="BN42" s="903">
        <f t="shared" si="51"/>
        <v>0</v>
      </c>
      <c r="BO42" s="903">
        <f t="shared" si="51"/>
        <v>0</v>
      </c>
      <c r="BP42" s="903">
        <f t="shared" si="51"/>
        <v>0</v>
      </c>
      <c r="BQ42" s="903">
        <f t="shared" si="51"/>
        <v>0</v>
      </c>
      <c r="BR42" s="903">
        <f t="shared" si="51"/>
        <v>0</v>
      </c>
    </row>
    <row r="43" spans="1:70">
      <c r="A43" s="908">
        <f t="shared" si="45"/>
        <v>40</v>
      </c>
      <c r="B43" s="893">
        <f t="shared" ca="1" si="45"/>
        <v>72</v>
      </c>
      <c r="C43" s="898"/>
      <c r="D43" s="932">
        <v>0</v>
      </c>
      <c r="E43" s="932">
        <f ca="1">列印頁!P57</f>
        <v>1994508</v>
      </c>
      <c r="F43" s="894">
        <f t="shared" ca="1" si="11"/>
        <v>0.9925194655733578</v>
      </c>
      <c r="G43" s="895">
        <f t="shared" ca="1" si="7"/>
        <v>1.8540656753996299E-2</v>
      </c>
      <c r="H43" s="933">
        <f>IF($M$2=0,0,'列印頁-簡'!I59)</f>
        <v>0</v>
      </c>
      <c r="I43" s="933">
        <f ca="1">'列印頁-簡'!U59</f>
        <v>2581173</v>
      </c>
      <c r="J43" s="894">
        <f ca="1">(I43+SUM($H$4:$H42)-$C$10)/$C$10</f>
        <v>1.5785995576414737</v>
      </c>
      <c r="K43" s="895">
        <f t="shared" ca="1" si="8"/>
        <v>2.5556246713603681E-2</v>
      </c>
      <c r="L43" s="882"/>
      <c r="M43" s="890">
        <f ca="1">AX64</f>
        <v>1.8540656753996299E-2</v>
      </c>
      <c r="N43" s="883">
        <f t="shared" ca="1" si="4"/>
        <v>1994508</v>
      </c>
      <c r="Q43" s="903"/>
      <c r="R43" s="903"/>
      <c r="S43" s="903"/>
      <c r="T43" s="903"/>
      <c r="U43" s="903"/>
      <c r="V43" s="903"/>
      <c r="W43" s="903"/>
      <c r="X43" s="903"/>
      <c r="Y43" s="903"/>
      <c r="Z43" s="903"/>
      <c r="AA43" s="903"/>
      <c r="AB43" s="903"/>
      <c r="AC43" s="903"/>
      <c r="AD43" s="903"/>
      <c r="AE43" s="903"/>
      <c r="AF43" s="903"/>
      <c r="AG43" s="903"/>
      <c r="AH43" s="903"/>
      <c r="AI43" s="903"/>
      <c r="AJ43" s="903"/>
      <c r="AK43" s="903"/>
      <c r="AL43" s="903"/>
      <c r="AM43" s="903"/>
      <c r="AN43" s="903"/>
      <c r="AO43" s="903"/>
      <c r="AP43" s="903"/>
      <c r="AQ43" s="903"/>
      <c r="AR43" s="903"/>
      <c r="AS43" s="903"/>
      <c r="AT43" s="903"/>
      <c r="AU43" s="903"/>
      <c r="AV43" s="903"/>
      <c r="AW43" s="903"/>
      <c r="AX43" s="903">
        <f ca="1">N43</f>
        <v>1994508</v>
      </c>
      <c r="AY43" s="903">
        <f t="shared" ref="AY43:BR43" si="52">$D43</f>
        <v>0</v>
      </c>
      <c r="AZ43" s="903">
        <f t="shared" si="52"/>
        <v>0</v>
      </c>
      <c r="BA43" s="903">
        <f t="shared" si="52"/>
        <v>0</v>
      </c>
      <c r="BB43" s="903">
        <f t="shared" si="52"/>
        <v>0</v>
      </c>
      <c r="BC43" s="903">
        <f t="shared" si="52"/>
        <v>0</v>
      </c>
      <c r="BD43" s="903">
        <f t="shared" si="52"/>
        <v>0</v>
      </c>
      <c r="BE43" s="903">
        <f t="shared" si="52"/>
        <v>0</v>
      </c>
      <c r="BF43" s="903">
        <f t="shared" si="52"/>
        <v>0</v>
      </c>
      <c r="BG43" s="903">
        <f t="shared" si="52"/>
        <v>0</v>
      </c>
      <c r="BH43" s="903">
        <f t="shared" si="52"/>
        <v>0</v>
      </c>
      <c r="BI43" s="903">
        <f t="shared" si="52"/>
        <v>0</v>
      </c>
      <c r="BJ43" s="903">
        <f t="shared" si="52"/>
        <v>0</v>
      </c>
      <c r="BK43" s="903">
        <f t="shared" si="52"/>
        <v>0</v>
      </c>
      <c r="BL43" s="903">
        <f t="shared" si="52"/>
        <v>0</v>
      </c>
      <c r="BM43" s="903">
        <f t="shared" si="52"/>
        <v>0</v>
      </c>
      <c r="BN43" s="903">
        <f t="shared" si="52"/>
        <v>0</v>
      </c>
      <c r="BO43" s="903">
        <f t="shared" si="52"/>
        <v>0</v>
      </c>
      <c r="BP43" s="903">
        <f t="shared" si="52"/>
        <v>0</v>
      </c>
      <c r="BQ43" s="903">
        <f t="shared" si="52"/>
        <v>0</v>
      </c>
      <c r="BR43" s="903">
        <f t="shared" si="52"/>
        <v>0</v>
      </c>
    </row>
    <row r="44" spans="1:70" hidden="1">
      <c r="A44" s="914">
        <f t="shared" si="45"/>
        <v>41</v>
      </c>
      <c r="B44" s="915">
        <f t="shared" ca="1" si="45"/>
        <v>73</v>
      </c>
      <c r="C44" s="896"/>
      <c r="D44" s="930">
        <v>0</v>
      </c>
      <c r="E44" s="930">
        <f ca="1">列印頁!P58</f>
        <v>2034390</v>
      </c>
      <c r="F44" s="916">
        <f t="shared" ca="1" si="11"/>
        <v>1.0323617030203855</v>
      </c>
      <c r="G44" s="917">
        <f t="shared" ca="1" si="7"/>
        <v>1.8578376691893883E-2</v>
      </c>
      <c r="H44" s="931">
        <f>IF($M$2=0,0,'列印頁-簡'!I60)</f>
        <v>0</v>
      </c>
      <c r="I44" s="931">
        <f ca="1">'列印頁-簡'!U60</f>
        <v>2651060</v>
      </c>
      <c r="J44" s="916">
        <f ca="1">(I44+SUM($H$4:$H43)-$C$10)/$C$10</f>
        <v>1.6484168799538061</v>
      </c>
      <c r="K44" s="917">
        <f t="shared" ca="1" si="8"/>
        <v>2.5595608642893675E-2</v>
      </c>
      <c r="L44" s="882"/>
      <c r="M44" s="890">
        <f ca="1">AY64</f>
        <v>1.8578376691893883E-2</v>
      </c>
      <c r="N44" s="883">
        <f t="shared" ca="1" si="4"/>
        <v>2034390</v>
      </c>
      <c r="Q44" s="903"/>
      <c r="R44" s="903"/>
      <c r="S44" s="903"/>
      <c r="T44" s="903"/>
      <c r="U44" s="903"/>
      <c r="V44" s="903"/>
      <c r="W44" s="903"/>
      <c r="X44" s="903"/>
      <c r="Y44" s="903"/>
      <c r="Z44" s="903"/>
      <c r="AA44" s="903"/>
      <c r="AB44" s="903"/>
      <c r="AC44" s="903"/>
      <c r="AD44" s="903"/>
      <c r="AE44" s="903"/>
      <c r="AF44" s="903"/>
      <c r="AG44" s="903"/>
      <c r="AH44" s="903"/>
      <c r="AI44" s="903"/>
      <c r="AJ44" s="903"/>
      <c r="AK44" s="903"/>
      <c r="AL44" s="903"/>
      <c r="AM44" s="903"/>
      <c r="AN44" s="903"/>
      <c r="AO44" s="903"/>
      <c r="AP44" s="903"/>
      <c r="AQ44" s="903"/>
      <c r="AR44" s="903"/>
      <c r="AS44" s="903"/>
      <c r="AT44" s="903"/>
      <c r="AU44" s="903"/>
      <c r="AV44" s="903"/>
      <c r="AW44" s="903"/>
      <c r="AX44" s="903"/>
      <c r="AY44" s="903">
        <f ca="1">N44</f>
        <v>2034390</v>
      </c>
      <c r="AZ44" s="903">
        <f t="shared" ref="AZ44:BR44" si="53">$D44</f>
        <v>0</v>
      </c>
      <c r="BA44" s="903">
        <f t="shared" si="53"/>
        <v>0</v>
      </c>
      <c r="BB44" s="903">
        <f t="shared" si="53"/>
        <v>0</v>
      </c>
      <c r="BC44" s="903">
        <f t="shared" si="53"/>
        <v>0</v>
      </c>
      <c r="BD44" s="903">
        <f t="shared" si="53"/>
        <v>0</v>
      </c>
      <c r="BE44" s="903">
        <f t="shared" si="53"/>
        <v>0</v>
      </c>
      <c r="BF44" s="903">
        <f t="shared" si="53"/>
        <v>0</v>
      </c>
      <c r="BG44" s="903">
        <f t="shared" si="53"/>
        <v>0</v>
      </c>
      <c r="BH44" s="903">
        <f t="shared" si="53"/>
        <v>0</v>
      </c>
      <c r="BI44" s="903">
        <f t="shared" si="53"/>
        <v>0</v>
      </c>
      <c r="BJ44" s="903">
        <f t="shared" si="53"/>
        <v>0</v>
      </c>
      <c r="BK44" s="903">
        <f t="shared" si="53"/>
        <v>0</v>
      </c>
      <c r="BL44" s="903">
        <f t="shared" si="53"/>
        <v>0</v>
      </c>
      <c r="BM44" s="903">
        <f t="shared" si="53"/>
        <v>0</v>
      </c>
      <c r="BN44" s="903">
        <f t="shared" si="53"/>
        <v>0</v>
      </c>
      <c r="BO44" s="903">
        <f t="shared" si="53"/>
        <v>0</v>
      </c>
      <c r="BP44" s="903">
        <f t="shared" si="53"/>
        <v>0</v>
      </c>
      <c r="BQ44" s="903">
        <f t="shared" si="53"/>
        <v>0</v>
      </c>
      <c r="BR44" s="903">
        <f t="shared" si="53"/>
        <v>0</v>
      </c>
    </row>
    <row r="45" spans="1:70" hidden="1">
      <c r="A45" s="914">
        <f t="shared" si="45"/>
        <v>42</v>
      </c>
      <c r="B45" s="915">
        <f t="shared" ca="1" si="45"/>
        <v>74</v>
      </c>
      <c r="C45" s="896"/>
      <c r="D45" s="930">
        <v>0</v>
      </c>
      <c r="E45" s="930">
        <f ca="1">列印頁!P59</f>
        <v>2075088</v>
      </c>
      <c r="F45" s="916">
        <f t="shared" ca="1" si="11"/>
        <v>1.0730191269113425</v>
      </c>
      <c r="G45" s="917">
        <f t="shared" ca="1" si="7"/>
        <v>1.8614420426921852E-2</v>
      </c>
      <c r="H45" s="931">
        <f>IF($M$2=0,0,'列印頁-簡'!I61)</f>
        <v>0</v>
      </c>
      <c r="I45" s="931">
        <f ca="1">'列印頁-簡'!U61</f>
        <v>2722861</v>
      </c>
      <c r="J45" s="916">
        <f ca="1">(I45+SUM($H$4:$H44)-$C$10)/$C$10</f>
        <v>1.7201462939985894</v>
      </c>
      <c r="K45" s="917">
        <f t="shared" ca="1" si="8"/>
        <v>2.5633189707490622E-2</v>
      </c>
      <c r="L45" s="882"/>
      <c r="M45" s="890">
        <f ca="1">AZ64</f>
        <v>1.8614420426921852E-2</v>
      </c>
      <c r="N45" s="883">
        <f t="shared" ca="1" si="4"/>
        <v>2075088</v>
      </c>
      <c r="Q45" s="903"/>
      <c r="R45" s="903"/>
      <c r="S45" s="903"/>
      <c r="T45" s="903"/>
      <c r="U45" s="903"/>
      <c r="V45" s="903"/>
      <c r="W45" s="903"/>
      <c r="X45" s="903"/>
      <c r="Y45" s="903"/>
      <c r="Z45" s="903"/>
      <c r="AA45" s="903"/>
      <c r="AB45" s="903"/>
      <c r="AC45" s="903"/>
      <c r="AD45" s="903"/>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f ca="1">N45</f>
        <v>2075088</v>
      </c>
      <c r="BA45" s="903">
        <f t="shared" ref="BA45:BR45" si="54">$D45</f>
        <v>0</v>
      </c>
      <c r="BB45" s="903">
        <f t="shared" si="54"/>
        <v>0</v>
      </c>
      <c r="BC45" s="903">
        <f t="shared" si="54"/>
        <v>0</v>
      </c>
      <c r="BD45" s="903">
        <f t="shared" si="54"/>
        <v>0</v>
      </c>
      <c r="BE45" s="903">
        <f t="shared" si="54"/>
        <v>0</v>
      </c>
      <c r="BF45" s="903">
        <f t="shared" si="54"/>
        <v>0</v>
      </c>
      <c r="BG45" s="903">
        <f t="shared" si="54"/>
        <v>0</v>
      </c>
      <c r="BH45" s="903">
        <f t="shared" si="54"/>
        <v>0</v>
      </c>
      <c r="BI45" s="903">
        <f t="shared" si="54"/>
        <v>0</v>
      </c>
      <c r="BJ45" s="903">
        <f t="shared" si="54"/>
        <v>0</v>
      </c>
      <c r="BK45" s="903">
        <f t="shared" si="54"/>
        <v>0</v>
      </c>
      <c r="BL45" s="903">
        <f t="shared" si="54"/>
        <v>0</v>
      </c>
      <c r="BM45" s="903">
        <f t="shared" si="54"/>
        <v>0</v>
      </c>
      <c r="BN45" s="903">
        <f t="shared" si="54"/>
        <v>0</v>
      </c>
      <c r="BO45" s="903">
        <f t="shared" si="54"/>
        <v>0</v>
      </c>
      <c r="BP45" s="903">
        <f t="shared" si="54"/>
        <v>0</v>
      </c>
      <c r="BQ45" s="903">
        <f t="shared" si="54"/>
        <v>0</v>
      </c>
      <c r="BR45" s="903">
        <f t="shared" si="54"/>
        <v>0</v>
      </c>
    </row>
    <row r="46" spans="1:70" hidden="1">
      <c r="A46" s="914">
        <f t="shared" si="45"/>
        <v>43</v>
      </c>
      <c r="B46" s="915">
        <f t="shared" ca="1" si="45"/>
        <v>75</v>
      </c>
      <c r="C46" s="896"/>
      <c r="D46" s="930">
        <v>0</v>
      </c>
      <c r="E46" s="930">
        <f ca="1">列印頁!P60</f>
        <v>2116364</v>
      </c>
      <c r="F46" s="916">
        <f t="shared" ca="1" si="11"/>
        <v>1.1142539745334157</v>
      </c>
      <c r="G46" s="917">
        <f t="shared" ca="1" si="7"/>
        <v>1.8645884889664233E-2</v>
      </c>
      <c r="H46" s="931">
        <f>IF($M$2=0,0,'列印頁-簡'!I62)</f>
        <v>0</v>
      </c>
      <c r="I46" s="931">
        <f ca="1">'列印頁-簡'!U62</f>
        <v>2796411</v>
      </c>
      <c r="J46" s="916">
        <f ca="1">(I46+SUM($H$4:$H45)-$C$10)/$C$10</f>
        <v>1.793622964281647</v>
      </c>
      <c r="K46" s="917">
        <f t="shared" ca="1" si="8"/>
        <v>2.5667150899534752E-2</v>
      </c>
      <c r="L46" s="882"/>
      <c r="M46" s="890">
        <f ca="1">BA64</f>
        <v>1.8645884889664233E-2</v>
      </c>
      <c r="N46" s="883">
        <f t="shared" ca="1" si="4"/>
        <v>2116364</v>
      </c>
      <c r="Q46" s="903"/>
      <c r="R46" s="903"/>
      <c r="S46" s="903"/>
      <c r="T46" s="903"/>
      <c r="U46" s="903"/>
      <c r="V46" s="903"/>
      <c r="W46" s="903"/>
      <c r="X46" s="903"/>
      <c r="Y46" s="903"/>
      <c r="Z46" s="903"/>
      <c r="AA46" s="903"/>
      <c r="AB46" s="903"/>
      <c r="AC46" s="903"/>
      <c r="AD46" s="903"/>
      <c r="AE46" s="903"/>
      <c r="AF46" s="903"/>
      <c r="AG46" s="903"/>
      <c r="AH46" s="903"/>
      <c r="AI46" s="903"/>
      <c r="AJ46" s="903"/>
      <c r="AK46" s="903"/>
      <c r="AL46" s="903"/>
      <c r="AM46" s="903"/>
      <c r="AN46" s="903"/>
      <c r="AO46" s="903"/>
      <c r="AP46" s="903"/>
      <c r="AQ46" s="903"/>
      <c r="AR46" s="903"/>
      <c r="AS46" s="903"/>
      <c r="AT46" s="903"/>
      <c r="AU46" s="903"/>
      <c r="AV46" s="903"/>
      <c r="AW46" s="903"/>
      <c r="AX46" s="903"/>
      <c r="AY46" s="903"/>
      <c r="AZ46" s="903"/>
      <c r="BA46" s="903">
        <f ca="1">N46</f>
        <v>2116364</v>
      </c>
      <c r="BB46" s="903">
        <f t="shared" ref="BB46:BR46" si="55">$D46</f>
        <v>0</v>
      </c>
      <c r="BC46" s="903">
        <f t="shared" si="55"/>
        <v>0</v>
      </c>
      <c r="BD46" s="903">
        <f t="shared" si="55"/>
        <v>0</v>
      </c>
      <c r="BE46" s="903">
        <f t="shared" si="55"/>
        <v>0</v>
      </c>
      <c r="BF46" s="903">
        <f t="shared" si="55"/>
        <v>0</v>
      </c>
      <c r="BG46" s="903">
        <f t="shared" si="55"/>
        <v>0</v>
      </c>
      <c r="BH46" s="903">
        <f t="shared" si="55"/>
        <v>0</v>
      </c>
      <c r="BI46" s="903">
        <f t="shared" si="55"/>
        <v>0</v>
      </c>
      <c r="BJ46" s="903">
        <f t="shared" si="55"/>
        <v>0</v>
      </c>
      <c r="BK46" s="903">
        <f t="shared" si="55"/>
        <v>0</v>
      </c>
      <c r="BL46" s="903">
        <f t="shared" si="55"/>
        <v>0</v>
      </c>
      <c r="BM46" s="903">
        <f t="shared" si="55"/>
        <v>0</v>
      </c>
      <c r="BN46" s="903">
        <f t="shared" si="55"/>
        <v>0</v>
      </c>
      <c r="BO46" s="903">
        <f t="shared" si="55"/>
        <v>0</v>
      </c>
      <c r="BP46" s="903">
        <f t="shared" si="55"/>
        <v>0</v>
      </c>
      <c r="BQ46" s="903">
        <f t="shared" si="55"/>
        <v>0</v>
      </c>
      <c r="BR46" s="903">
        <f t="shared" si="55"/>
        <v>0</v>
      </c>
    </row>
    <row r="47" spans="1:70" hidden="1">
      <c r="A47" s="914">
        <f t="shared" si="45"/>
        <v>44</v>
      </c>
      <c r="B47" s="915">
        <f t="shared" ca="1" si="45"/>
        <v>76</v>
      </c>
      <c r="C47" s="896"/>
      <c r="D47" s="930">
        <v>0</v>
      </c>
      <c r="E47" s="930">
        <f ca="1">列印頁!P61</f>
        <v>2158184</v>
      </c>
      <c r="F47" s="916">
        <f t="shared" ca="1" si="11"/>
        <v>1.1560322797847749</v>
      </c>
      <c r="G47" s="917">
        <f t="shared" ca="1" si="7"/>
        <v>1.8672689262351438E-2</v>
      </c>
      <c r="H47" s="931">
        <f>IF($M$2=0,0,'列印頁-簡'!I63)</f>
        <v>0</v>
      </c>
      <c r="I47" s="931">
        <f ca="1">'列印頁-簡'!U63</f>
        <v>2871621</v>
      </c>
      <c r="J47" s="916">
        <f ca="1">(I47+SUM($H$4:$H46)-$C$10)/$C$10</f>
        <v>1.8687579795364226</v>
      </c>
      <c r="K47" s="917">
        <f t="shared" ca="1" si="8"/>
        <v>2.5696672292343958E-2</v>
      </c>
      <c r="L47" s="882"/>
      <c r="M47" s="890">
        <f ca="1">BB64</f>
        <v>1.8672689262351438E-2</v>
      </c>
      <c r="N47" s="883">
        <f t="shared" ca="1" si="4"/>
        <v>2158184</v>
      </c>
      <c r="Q47" s="903"/>
      <c r="R47" s="903"/>
      <c r="S47" s="903"/>
      <c r="T47" s="903"/>
      <c r="U47" s="903"/>
      <c r="V47" s="903"/>
      <c r="W47" s="903"/>
      <c r="X47" s="903"/>
      <c r="Y47" s="903"/>
      <c r="Z47" s="903"/>
      <c r="AA47" s="903"/>
      <c r="AB47" s="903"/>
      <c r="AC47" s="903"/>
      <c r="AD47" s="903"/>
      <c r="AE47" s="903"/>
      <c r="AF47" s="903"/>
      <c r="AG47" s="903"/>
      <c r="AH47" s="903"/>
      <c r="AI47" s="903"/>
      <c r="AJ47" s="903"/>
      <c r="AK47" s="903"/>
      <c r="AL47" s="903"/>
      <c r="AM47" s="903"/>
      <c r="AN47" s="903"/>
      <c r="AO47" s="903"/>
      <c r="AP47" s="903"/>
      <c r="AQ47" s="903"/>
      <c r="AR47" s="903"/>
      <c r="AS47" s="903"/>
      <c r="AT47" s="903"/>
      <c r="AU47" s="903"/>
      <c r="AV47" s="903"/>
      <c r="AW47" s="903"/>
      <c r="AX47" s="903"/>
      <c r="AY47" s="903"/>
      <c r="AZ47" s="903"/>
      <c r="BA47" s="903"/>
      <c r="BB47" s="903">
        <f ca="1">N47</f>
        <v>2158184</v>
      </c>
      <c r="BC47" s="903">
        <f t="shared" ref="BC47:BR47" si="56">$D47</f>
        <v>0</v>
      </c>
      <c r="BD47" s="903">
        <f t="shared" si="56"/>
        <v>0</v>
      </c>
      <c r="BE47" s="903">
        <f t="shared" si="56"/>
        <v>0</v>
      </c>
      <c r="BF47" s="903">
        <f t="shared" si="56"/>
        <v>0</v>
      </c>
      <c r="BG47" s="903">
        <f t="shared" si="56"/>
        <v>0</v>
      </c>
      <c r="BH47" s="903">
        <f t="shared" si="56"/>
        <v>0</v>
      </c>
      <c r="BI47" s="903">
        <f t="shared" si="56"/>
        <v>0</v>
      </c>
      <c r="BJ47" s="903">
        <f t="shared" si="56"/>
        <v>0</v>
      </c>
      <c r="BK47" s="903">
        <f t="shared" si="56"/>
        <v>0</v>
      </c>
      <c r="BL47" s="903">
        <f t="shared" si="56"/>
        <v>0</v>
      </c>
      <c r="BM47" s="903">
        <f t="shared" si="56"/>
        <v>0</v>
      </c>
      <c r="BN47" s="903">
        <f t="shared" si="56"/>
        <v>0</v>
      </c>
      <c r="BO47" s="903">
        <f t="shared" si="56"/>
        <v>0</v>
      </c>
      <c r="BP47" s="903">
        <f t="shared" si="56"/>
        <v>0</v>
      </c>
      <c r="BQ47" s="903">
        <f t="shared" si="56"/>
        <v>0</v>
      </c>
      <c r="BR47" s="903">
        <f t="shared" si="56"/>
        <v>0</v>
      </c>
    </row>
    <row r="48" spans="1:70">
      <c r="A48" s="918">
        <f t="shared" si="45"/>
        <v>45</v>
      </c>
      <c r="B48" s="919">
        <f t="shared" ca="1" si="45"/>
        <v>77</v>
      </c>
      <c r="C48" s="896"/>
      <c r="D48" s="934">
        <v>0</v>
      </c>
      <c r="E48" s="934">
        <f ca="1">列印頁!P62</f>
        <v>2200514</v>
      </c>
      <c r="F48" s="920">
        <f t="shared" ca="1" si="11"/>
        <v>1.1983200765635895</v>
      </c>
      <c r="G48" s="921">
        <f t="shared" ca="1" si="7"/>
        <v>1.8694792925335157E-2</v>
      </c>
      <c r="H48" s="935">
        <f>IF($M$2=0,0,'列印頁-簡'!I64)</f>
        <v>0</v>
      </c>
      <c r="I48" s="935">
        <f ca="1">'列印頁-簡'!U64</f>
        <v>2948535</v>
      </c>
      <c r="J48" s="920">
        <f ca="1">(I48+SUM($H$4:$H47)-$C$10)/$C$10</f>
        <v>1.9455952958946972</v>
      </c>
      <c r="K48" s="921">
        <f t="shared" ca="1" si="8"/>
        <v>2.5722202900506863E-2</v>
      </c>
      <c r="L48" s="882"/>
      <c r="M48" s="890">
        <f ca="1">BC64</f>
        <v>1.8694792925335157E-2</v>
      </c>
      <c r="N48" s="883">
        <f t="shared" ca="1" si="4"/>
        <v>2200514</v>
      </c>
      <c r="Q48" s="903"/>
      <c r="R48" s="903"/>
      <c r="S48" s="903"/>
      <c r="T48" s="903"/>
      <c r="U48" s="903"/>
      <c r="V48" s="903"/>
      <c r="W48" s="903"/>
      <c r="X48" s="903"/>
      <c r="Y48" s="903"/>
      <c r="Z48" s="903"/>
      <c r="AA48" s="903"/>
      <c r="AB48" s="903"/>
      <c r="AC48" s="903"/>
      <c r="AD48" s="903"/>
      <c r="AE48" s="903"/>
      <c r="AF48" s="903"/>
      <c r="AG48" s="903"/>
      <c r="AH48" s="903"/>
      <c r="AI48" s="903"/>
      <c r="AJ48" s="903"/>
      <c r="AK48" s="903"/>
      <c r="AL48" s="903"/>
      <c r="AM48" s="903"/>
      <c r="AN48" s="903"/>
      <c r="AO48" s="903"/>
      <c r="AP48" s="903"/>
      <c r="AQ48" s="903"/>
      <c r="AR48" s="903"/>
      <c r="AS48" s="903"/>
      <c r="AT48" s="903"/>
      <c r="AU48" s="903"/>
      <c r="AV48" s="903"/>
      <c r="AW48" s="903"/>
      <c r="AX48" s="903"/>
      <c r="AY48" s="903"/>
      <c r="AZ48" s="903"/>
      <c r="BA48" s="903"/>
      <c r="BB48" s="903"/>
      <c r="BC48" s="903">
        <f ca="1">N48</f>
        <v>2200514</v>
      </c>
      <c r="BD48" s="903">
        <f t="shared" ref="BD48:BR48" si="57">$D48</f>
        <v>0</v>
      </c>
      <c r="BE48" s="903">
        <f t="shared" si="57"/>
        <v>0</v>
      </c>
      <c r="BF48" s="903">
        <f t="shared" si="57"/>
        <v>0</v>
      </c>
      <c r="BG48" s="903">
        <f t="shared" si="57"/>
        <v>0</v>
      </c>
      <c r="BH48" s="903">
        <f t="shared" si="57"/>
        <v>0</v>
      </c>
      <c r="BI48" s="903">
        <f t="shared" si="57"/>
        <v>0</v>
      </c>
      <c r="BJ48" s="903">
        <f t="shared" si="57"/>
        <v>0</v>
      </c>
      <c r="BK48" s="903">
        <f t="shared" si="57"/>
        <v>0</v>
      </c>
      <c r="BL48" s="903">
        <f t="shared" si="57"/>
        <v>0</v>
      </c>
      <c r="BM48" s="903">
        <f t="shared" si="57"/>
        <v>0</v>
      </c>
      <c r="BN48" s="903">
        <f t="shared" si="57"/>
        <v>0</v>
      </c>
      <c r="BO48" s="903">
        <f t="shared" si="57"/>
        <v>0</v>
      </c>
      <c r="BP48" s="903">
        <f t="shared" si="57"/>
        <v>0</v>
      </c>
      <c r="BQ48" s="903">
        <f t="shared" si="57"/>
        <v>0</v>
      </c>
      <c r="BR48" s="903">
        <f t="shared" si="57"/>
        <v>0</v>
      </c>
    </row>
    <row r="49" spans="1:70" hidden="1">
      <c r="A49" s="914">
        <f t="shared" si="45"/>
        <v>46</v>
      </c>
      <c r="B49" s="915">
        <f t="shared" ca="1" si="45"/>
        <v>78</v>
      </c>
      <c r="C49" s="896"/>
      <c r="D49" s="930">
        <v>0</v>
      </c>
      <c r="E49" s="930">
        <f ca="1">列印頁!P63</f>
        <v>2243354</v>
      </c>
      <c r="F49" s="916">
        <f t="shared" ca="1" si="11"/>
        <v>1.2411173648698599</v>
      </c>
      <c r="G49" s="917">
        <f t="shared" ca="1" si="7"/>
        <v>1.8712543270307247E-2</v>
      </c>
      <c r="H49" s="931">
        <f>IF($M$2=0,0,'列印頁-簡'!I65)</f>
        <v>0</v>
      </c>
      <c r="I49" s="931">
        <f ca="1">'列印頁-簡'!U65</f>
        <v>3027189</v>
      </c>
      <c r="J49" s="916">
        <f ca="1">(I49+SUM($H$4:$H48)-$C$10)/$C$10</f>
        <v>2.0241708774642908</v>
      </c>
      <c r="K49" s="917">
        <f t="shared" ca="1" si="8"/>
        <v>2.5744073351489094E-2</v>
      </c>
      <c r="L49" s="882"/>
      <c r="M49" s="890">
        <f ca="1">BD64</f>
        <v>1.8712543270307247E-2</v>
      </c>
      <c r="N49" s="883">
        <f t="shared" ca="1" si="4"/>
        <v>2243354</v>
      </c>
      <c r="Q49" s="903"/>
      <c r="R49" s="903"/>
      <c r="S49" s="903"/>
      <c r="T49" s="903"/>
      <c r="U49" s="903"/>
      <c r="V49" s="903"/>
      <c r="W49" s="903"/>
      <c r="X49" s="903"/>
      <c r="Y49" s="903"/>
      <c r="Z49" s="903"/>
      <c r="AA49" s="903"/>
      <c r="AB49" s="903"/>
      <c r="AC49" s="903"/>
      <c r="AD49" s="903"/>
      <c r="AE49" s="903"/>
      <c r="AF49" s="903"/>
      <c r="AG49" s="903"/>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f ca="1">N49</f>
        <v>2243354</v>
      </c>
      <c r="BE49" s="903">
        <f t="shared" ref="BE49:BR49" si="58">$D49</f>
        <v>0</v>
      </c>
      <c r="BF49" s="903">
        <f t="shared" si="58"/>
        <v>0</v>
      </c>
      <c r="BG49" s="903">
        <f t="shared" si="58"/>
        <v>0</v>
      </c>
      <c r="BH49" s="903">
        <f t="shared" si="58"/>
        <v>0</v>
      </c>
      <c r="BI49" s="903">
        <f t="shared" si="58"/>
        <v>0</v>
      </c>
      <c r="BJ49" s="903">
        <f t="shared" si="58"/>
        <v>0</v>
      </c>
      <c r="BK49" s="903">
        <f t="shared" si="58"/>
        <v>0</v>
      </c>
      <c r="BL49" s="903">
        <f t="shared" si="58"/>
        <v>0</v>
      </c>
      <c r="BM49" s="903">
        <f t="shared" si="58"/>
        <v>0</v>
      </c>
      <c r="BN49" s="903">
        <f t="shared" si="58"/>
        <v>0</v>
      </c>
      <c r="BO49" s="903">
        <f t="shared" si="58"/>
        <v>0</v>
      </c>
      <c r="BP49" s="903">
        <f t="shared" si="58"/>
        <v>0</v>
      </c>
      <c r="BQ49" s="903">
        <f t="shared" si="58"/>
        <v>0</v>
      </c>
      <c r="BR49" s="903">
        <f t="shared" si="58"/>
        <v>0</v>
      </c>
    </row>
    <row r="50" spans="1:70" hidden="1">
      <c r="A50" s="914">
        <f t="shared" si="45"/>
        <v>47</v>
      </c>
      <c r="B50" s="915">
        <f t="shared" ca="1" si="45"/>
        <v>79</v>
      </c>
      <c r="C50" s="896"/>
      <c r="D50" s="930">
        <v>0</v>
      </c>
      <c r="E50" s="930">
        <f ca="1">列印頁!P64</f>
        <v>2286704</v>
      </c>
      <c r="F50" s="916">
        <f t="shared" ca="1" si="11"/>
        <v>1.2844241447035858</v>
      </c>
      <c r="G50" s="917">
        <f t="shared" ca="1" si="7"/>
        <v>1.8726257440806027E-2</v>
      </c>
      <c r="H50" s="931">
        <f>IF($M$2=0,0,'列印頁-簡'!I66)</f>
        <v>0</v>
      </c>
      <c r="I50" s="931">
        <f ca="1">'列印頁-簡'!U66</f>
        <v>3107674</v>
      </c>
      <c r="J50" s="916">
        <f ca="1">(I50+SUM($H$4:$H49)-$C$10)/$C$10</f>
        <v>2.1045756335177495</v>
      </c>
      <c r="K50" s="917">
        <f t="shared" ca="1" si="8"/>
        <v>2.5762984766316555E-2</v>
      </c>
      <c r="L50" s="882"/>
      <c r="M50" s="890">
        <f ca="1">BE64</f>
        <v>1.8726257440806027E-2</v>
      </c>
      <c r="N50" s="883">
        <f t="shared" ca="1" si="4"/>
        <v>2286704</v>
      </c>
      <c r="Q50" s="903"/>
      <c r="R50" s="903"/>
      <c r="S50" s="903"/>
      <c r="T50" s="903"/>
      <c r="U50" s="903"/>
      <c r="V50" s="903"/>
      <c r="W50" s="903"/>
      <c r="X50" s="903"/>
      <c r="Y50" s="903"/>
      <c r="Z50" s="903"/>
      <c r="AA50" s="903"/>
      <c r="AB50" s="903"/>
      <c r="AC50" s="903"/>
      <c r="AD50" s="903"/>
      <c r="AE50" s="903"/>
      <c r="AF50" s="903"/>
      <c r="AG50" s="903"/>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f ca="1">N50</f>
        <v>2286704</v>
      </c>
      <c r="BF50" s="903">
        <f t="shared" ref="BF50:BR50" si="59">$D50</f>
        <v>0</v>
      </c>
      <c r="BG50" s="903">
        <f t="shared" si="59"/>
        <v>0</v>
      </c>
      <c r="BH50" s="903">
        <f t="shared" si="59"/>
        <v>0</v>
      </c>
      <c r="BI50" s="903">
        <f t="shared" si="59"/>
        <v>0</v>
      </c>
      <c r="BJ50" s="903">
        <f t="shared" si="59"/>
        <v>0</v>
      </c>
      <c r="BK50" s="903">
        <f t="shared" si="59"/>
        <v>0</v>
      </c>
      <c r="BL50" s="903">
        <f t="shared" si="59"/>
        <v>0</v>
      </c>
      <c r="BM50" s="903">
        <f t="shared" si="59"/>
        <v>0</v>
      </c>
      <c r="BN50" s="903">
        <f t="shared" si="59"/>
        <v>0</v>
      </c>
      <c r="BO50" s="903">
        <f t="shared" si="59"/>
        <v>0</v>
      </c>
      <c r="BP50" s="903">
        <f t="shared" si="59"/>
        <v>0</v>
      </c>
      <c r="BQ50" s="903">
        <f t="shared" si="59"/>
        <v>0</v>
      </c>
      <c r="BR50" s="903">
        <f t="shared" si="59"/>
        <v>0</v>
      </c>
    </row>
    <row r="51" spans="1:70" hidden="1">
      <c r="A51" s="914">
        <f t="shared" si="45"/>
        <v>48</v>
      </c>
      <c r="B51" s="915">
        <f t="shared" ca="1" si="45"/>
        <v>80</v>
      </c>
      <c r="C51" s="896"/>
      <c r="D51" s="930">
        <v>0</v>
      </c>
      <c r="E51" s="930">
        <f ca="1">列印頁!P65</f>
        <v>2330530</v>
      </c>
      <c r="F51" s="916">
        <f t="shared" ca="1" si="11"/>
        <v>1.3282064499629369</v>
      </c>
      <c r="G51" s="917">
        <f t="shared" ca="1" si="7"/>
        <v>1.8735899297295244E-2</v>
      </c>
      <c r="H51" s="931">
        <f>IF($M$2=0,0,'列印頁-簡'!I67)</f>
        <v>0</v>
      </c>
      <c r="I51" s="931">
        <f ca="1">'列印頁-簡'!U67</f>
        <v>3189883</v>
      </c>
      <c r="J51" s="916">
        <f ca="1">(I51+SUM($H$4:$H50)-$C$10)/$C$10</f>
        <v>2.1867026707346069</v>
      </c>
      <c r="K51" s="917">
        <f t="shared" ca="1" si="8"/>
        <v>2.5778132266053522E-2</v>
      </c>
      <c r="L51" s="882"/>
      <c r="M51" s="890">
        <f ca="1">BF64</f>
        <v>1.8735899297295244E-2</v>
      </c>
      <c r="N51" s="883">
        <f t="shared" ca="1" si="4"/>
        <v>2330530</v>
      </c>
      <c r="Q51" s="903"/>
      <c r="R51" s="903"/>
      <c r="S51" s="903"/>
      <c r="T51" s="903"/>
      <c r="U51" s="903"/>
      <c r="V51" s="903"/>
      <c r="W51" s="903"/>
      <c r="X51" s="903"/>
      <c r="Y51" s="903"/>
      <c r="Z51" s="903"/>
      <c r="AA51" s="903"/>
      <c r="AB51" s="903"/>
      <c r="AC51" s="903"/>
      <c r="AD51" s="903"/>
      <c r="AE51" s="903"/>
      <c r="AF51" s="903"/>
      <c r="AG51" s="903"/>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f ca="1">N51</f>
        <v>2330530</v>
      </c>
      <c r="BG51" s="903">
        <f t="shared" ref="BG51:BR51" si="60">$D51</f>
        <v>0</v>
      </c>
      <c r="BH51" s="903">
        <f t="shared" si="60"/>
        <v>0</v>
      </c>
      <c r="BI51" s="903">
        <f t="shared" si="60"/>
        <v>0</v>
      </c>
      <c r="BJ51" s="903">
        <f t="shared" si="60"/>
        <v>0</v>
      </c>
      <c r="BK51" s="903">
        <f t="shared" si="60"/>
        <v>0</v>
      </c>
      <c r="BL51" s="903">
        <f t="shared" si="60"/>
        <v>0</v>
      </c>
      <c r="BM51" s="903">
        <f t="shared" si="60"/>
        <v>0</v>
      </c>
      <c r="BN51" s="903">
        <f t="shared" si="60"/>
        <v>0</v>
      </c>
      <c r="BO51" s="903">
        <f t="shared" si="60"/>
        <v>0</v>
      </c>
      <c r="BP51" s="903">
        <f t="shared" si="60"/>
        <v>0</v>
      </c>
      <c r="BQ51" s="903">
        <f t="shared" si="60"/>
        <v>0</v>
      </c>
      <c r="BR51" s="903">
        <f t="shared" si="60"/>
        <v>0</v>
      </c>
    </row>
    <row r="52" spans="1:70" hidden="1">
      <c r="A52" s="914">
        <f t="shared" si="45"/>
        <v>49</v>
      </c>
      <c r="B52" s="915">
        <f t="shared" ca="1" si="45"/>
        <v>81</v>
      </c>
      <c r="C52" s="896"/>
      <c r="D52" s="930">
        <v>0</v>
      </c>
      <c r="E52" s="930">
        <f ca="1">列印頁!P66</f>
        <v>2374798</v>
      </c>
      <c r="F52" s="916">
        <f t="shared" ca="1" si="11"/>
        <v>1.372430314546083</v>
      </c>
      <c r="G52" s="917">
        <f t="shared" ca="1" si="7"/>
        <v>1.8741460337564853E-2</v>
      </c>
      <c r="H52" s="931">
        <f>IF($M$2=0,0,'列印頁-簡'!I68)</f>
        <v>0</v>
      </c>
      <c r="I52" s="931">
        <f ca="1">'列印頁-簡'!U68</f>
        <v>3273874</v>
      </c>
      <c r="J52" s="916">
        <f ca="1">(I52+SUM($H$4:$H51)-$C$10)/$C$10</f>
        <v>2.2706099312885741</v>
      </c>
      <c r="K52" s="917">
        <f t="shared" ca="1" si="8"/>
        <v>2.5789987646430923E-2</v>
      </c>
      <c r="L52" s="882"/>
      <c r="M52" s="890">
        <f ca="1">BG64</f>
        <v>1.8741460337564853E-2</v>
      </c>
      <c r="N52" s="883">
        <f t="shared" ca="1" si="4"/>
        <v>2374798</v>
      </c>
      <c r="Q52" s="903"/>
      <c r="R52" s="903"/>
      <c r="S52" s="903"/>
      <c r="T52" s="903"/>
      <c r="U52" s="903"/>
      <c r="V52" s="903"/>
      <c r="W52" s="903"/>
      <c r="X52" s="903"/>
      <c r="Y52" s="903"/>
      <c r="Z52" s="903"/>
      <c r="AA52" s="903"/>
      <c r="AB52" s="903"/>
      <c r="AC52" s="903"/>
      <c r="AD52" s="903"/>
      <c r="AE52" s="903"/>
      <c r="AF52" s="903"/>
      <c r="AG52" s="903"/>
      <c r="AH52" s="903"/>
      <c r="AI52" s="903"/>
      <c r="AJ52" s="903"/>
      <c r="AK52" s="903"/>
      <c r="AL52" s="903"/>
      <c r="AM52" s="903"/>
      <c r="AN52" s="903"/>
      <c r="AO52" s="903"/>
      <c r="AP52" s="903"/>
      <c r="AQ52" s="903"/>
      <c r="AR52" s="903"/>
      <c r="AS52" s="903"/>
      <c r="AT52" s="903"/>
      <c r="AU52" s="903"/>
      <c r="AV52" s="903"/>
      <c r="AW52" s="903"/>
      <c r="AX52" s="903"/>
      <c r="AY52" s="903"/>
      <c r="AZ52" s="903"/>
      <c r="BA52" s="903"/>
      <c r="BB52" s="903"/>
      <c r="BC52" s="903"/>
      <c r="BD52" s="903"/>
      <c r="BE52" s="903"/>
      <c r="BF52" s="903"/>
      <c r="BG52" s="903">
        <f ca="1">N52</f>
        <v>2374798</v>
      </c>
      <c r="BH52" s="903">
        <f t="shared" ref="BH52:BR52" si="61">$D52</f>
        <v>0</v>
      </c>
      <c r="BI52" s="903">
        <f t="shared" si="61"/>
        <v>0</v>
      </c>
      <c r="BJ52" s="903">
        <f t="shared" si="61"/>
        <v>0</v>
      </c>
      <c r="BK52" s="903">
        <f t="shared" si="61"/>
        <v>0</v>
      </c>
      <c r="BL52" s="903">
        <f t="shared" si="61"/>
        <v>0</v>
      </c>
      <c r="BM52" s="903">
        <f t="shared" si="61"/>
        <v>0</v>
      </c>
      <c r="BN52" s="903">
        <f t="shared" si="61"/>
        <v>0</v>
      </c>
      <c r="BO52" s="903">
        <f t="shared" si="61"/>
        <v>0</v>
      </c>
      <c r="BP52" s="903">
        <f t="shared" si="61"/>
        <v>0</v>
      </c>
      <c r="BQ52" s="903">
        <f t="shared" si="61"/>
        <v>0</v>
      </c>
      <c r="BR52" s="903">
        <f t="shared" si="61"/>
        <v>0</v>
      </c>
    </row>
    <row r="53" spans="1:70">
      <c r="A53" s="908">
        <f t="shared" ref="A53:B63" si="62">A52+1</f>
        <v>50</v>
      </c>
      <c r="B53" s="893">
        <f t="shared" ca="1" si="62"/>
        <v>82</v>
      </c>
      <c r="C53" s="898"/>
      <c r="D53" s="932">
        <v>0</v>
      </c>
      <c r="E53" s="932">
        <f ca="1">列印頁!P67</f>
        <v>2419508</v>
      </c>
      <c r="F53" s="894">
        <f t="shared" ca="1" si="11"/>
        <v>1.4170957384530238</v>
      </c>
      <c r="G53" s="895">
        <f t="shared" ca="1" si="7"/>
        <v>1.8743256197534697E-2</v>
      </c>
      <c r="H53" s="933">
        <f>IF($M$2=0,0,'列印頁-簡'!I69)</f>
        <v>0</v>
      </c>
      <c r="I53" s="933">
        <f ca="1">'列印頁-簡'!U69</f>
        <v>3359688</v>
      </c>
      <c r="J53" s="894">
        <f ca="1">(I53+SUM($H$4:$H52)-$C$10)/$C$10</f>
        <v>2.356338374302446</v>
      </c>
      <c r="K53" s="895">
        <f t="shared" ca="1" si="8"/>
        <v>2.5798851425124614E-2</v>
      </c>
      <c r="L53" s="882"/>
      <c r="M53" s="890">
        <f ca="1">BH64</f>
        <v>1.8743256197534697E-2</v>
      </c>
      <c r="N53" s="883">
        <f t="shared" ca="1" si="4"/>
        <v>2419508</v>
      </c>
      <c r="Q53" s="903"/>
      <c r="R53" s="903"/>
      <c r="S53" s="903"/>
      <c r="T53" s="903"/>
      <c r="U53" s="903"/>
      <c r="V53" s="903"/>
      <c r="W53" s="903"/>
      <c r="X53" s="903"/>
      <c r="Y53" s="903"/>
      <c r="Z53" s="903"/>
      <c r="AA53" s="903"/>
      <c r="AB53" s="903"/>
      <c r="AC53" s="903"/>
      <c r="AD53" s="903"/>
      <c r="AE53" s="903"/>
      <c r="AF53" s="903"/>
      <c r="AG53" s="903"/>
      <c r="AH53" s="903"/>
      <c r="AI53" s="903"/>
      <c r="AJ53" s="903"/>
      <c r="AK53" s="903"/>
      <c r="AL53" s="903"/>
      <c r="AM53" s="903"/>
      <c r="AN53" s="903"/>
      <c r="AO53" s="903"/>
      <c r="AP53" s="903"/>
      <c r="AQ53" s="903"/>
      <c r="AR53" s="903"/>
      <c r="AS53" s="903"/>
      <c r="AT53" s="903"/>
      <c r="AU53" s="903"/>
      <c r="AV53" s="903"/>
      <c r="AW53" s="903"/>
      <c r="AX53" s="903"/>
      <c r="AY53" s="903"/>
      <c r="AZ53" s="903"/>
      <c r="BA53" s="903"/>
      <c r="BB53" s="903"/>
      <c r="BC53" s="903"/>
      <c r="BD53" s="903"/>
      <c r="BE53" s="903"/>
      <c r="BF53" s="903"/>
      <c r="BG53" s="903"/>
      <c r="BH53" s="903">
        <f ca="1">N53</f>
        <v>2419508</v>
      </c>
      <c r="BI53" s="903">
        <f t="shared" ref="BI53:BR53" si="63">$D53</f>
        <v>0</v>
      </c>
      <c r="BJ53" s="903">
        <f t="shared" si="63"/>
        <v>0</v>
      </c>
      <c r="BK53" s="903">
        <f t="shared" si="63"/>
        <v>0</v>
      </c>
      <c r="BL53" s="903">
        <f t="shared" si="63"/>
        <v>0</v>
      </c>
      <c r="BM53" s="903">
        <f t="shared" si="63"/>
        <v>0</v>
      </c>
      <c r="BN53" s="903">
        <f t="shared" si="63"/>
        <v>0</v>
      </c>
      <c r="BO53" s="903">
        <f t="shared" si="63"/>
        <v>0</v>
      </c>
      <c r="BP53" s="903">
        <f t="shared" si="63"/>
        <v>0</v>
      </c>
      <c r="BQ53" s="903">
        <f t="shared" si="63"/>
        <v>0</v>
      </c>
      <c r="BR53" s="903">
        <f t="shared" si="63"/>
        <v>0</v>
      </c>
    </row>
    <row r="54" spans="1:70" hidden="1">
      <c r="A54" s="914">
        <f t="shared" si="62"/>
        <v>51</v>
      </c>
      <c r="B54" s="915">
        <f t="shared" ca="1" si="62"/>
        <v>83</v>
      </c>
      <c r="C54" s="896"/>
      <c r="D54" s="930">
        <v>0</v>
      </c>
      <c r="E54" s="930">
        <f ca="1">列印頁!P68</f>
        <v>2464660</v>
      </c>
      <c r="F54" s="916">
        <f t="shared" ca="1" si="11"/>
        <v>1.4622027216837596</v>
      </c>
      <c r="G54" s="917">
        <f t="shared" ca="1" si="7"/>
        <v>1.8741575308409697E-2</v>
      </c>
      <c r="H54" s="931">
        <f>IF($M$2=0,0,'列印頁-簡'!I70)</f>
        <v>0</v>
      </c>
      <c r="I54" s="931">
        <f ca="1">'列印頁-簡'!U70</f>
        <v>3447430</v>
      </c>
      <c r="J54" s="916">
        <f ca="1">(I54+SUM($H$4:$H53)-$C$10)/$C$10</f>
        <v>2.4439928950906995</v>
      </c>
      <c r="K54" s="917">
        <f t="shared" ca="1" si="8"/>
        <v>2.5805381962043183E-2</v>
      </c>
      <c r="L54" s="899"/>
      <c r="M54" s="890">
        <f ca="1">BI64</f>
        <v>1.8741575308409697E-2</v>
      </c>
      <c r="N54" s="883">
        <f t="shared" ca="1" si="4"/>
        <v>2464660</v>
      </c>
      <c r="Q54" s="903"/>
      <c r="R54" s="903"/>
      <c r="S54" s="903"/>
      <c r="T54" s="903"/>
      <c r="U54" s="903"/>
      <c r="V54" s="903"/>
      <c r="W54" s="903"/>
      <c r="X54" s="903"/>
      <c r="Y54" s="903"/>
      <c r="Z54" s="903"/>
      <c r="AA54" s="903"/>
      <c r="AB54" s="903"/>
      <c r="AC54" s="903"/>
      <c r="AD54" s="903"/>
      <c r="AE54" s="903"/>
      <c r="AF54" s="903"/>
      <c r="AG54" s="903"/>
      <c r="AH54" s="903"/>
      <c r="AI54" s="903"/>
      <c r="AJ54" s="903"/>
      <c r="AK54" s="903"/>
      <c r="AL54" s="903"/>
      <c r="AM54" s="903"/>
      <c r="AN54" s="903"/>
      <c r="AO54" s="903"/>
      <c r="AP54" s="903"/>
      <c r="AQ54" s="903"/>
      <c r="AR54" s="903"/>
      <c r="AS54" s="903"/>
      <c r="AT54" s="903"/>
      <c r="AU54" s="903"/>
      <c r="AV54" s="903"/>
      <c r="AW54" s="903"/>
      <c r="AX54" s="903"/>
      <c r="AY54" s="903"/>
      <c r="AZ54" s="903"/>
      <c r="BA54" s="903"/>
      <c r="BB54" s="903"/>
      <c r="BC54" s="903"/>
      <c r="BD54" s="903"/>
      <c r="BE54" s="903"/>
      <c r="BF54" s="903"/>
      <c r="BG54" s="903"/>
      <c r="BH54" s="903"/>
      <c r="BI54" s="903">
        <f ca="1">N54</f>
        <v>2464660</v>
      </c>
      <c r="BJ54" s="903">
        <f t="shared" ref="BJ54:BR54" si="64">$D54</f>
        <v>0</v>
      </c>
      <c r="BK54" s="903">
        <f t="shared" si="64"/>
        <v>0</v>
      </c>
      <c r="BL54" s="903">
        <f t="shared" si="64"/>
        <v>0</v>
      </c>
      <c r="BM54" s="903">
        <f t="shared" si="64"/>
        <v>0</v>
      </c>
      <c r="BN54" s="903">
        <f t="shared" si="64"/>
        <v>0</v>
      </c>
      <c r="BO54" s="903">
        <f t="shared" si="64"/>
        <v>0</v>
      </c>
      <c r="BP54" s="903">
        <f t="shared" si="64"/>
        <v>0</v>
      </c>
      <c r="BQ54" s="903">
        <f t="shared" si="64"/>
        <v>0</v>
      </c>
      <c r="BR54" s="903">
        <f t="shared" si="64"/>
        <v>0</v>
      </c>
    </row>
    <row r="55" spans="1:70" hidden="1">
      <c r="A55" s="914">
        <f t="shared" si="62"/>
        <v>52</v>
      </c>
      <c r="B55" s="915">
        <f t="shared" ca="1" si="62"/>
        <v>84</v>
      </c>
      <c r="C55" s="896"/>
      <c r="D55" s="930">
        <v>0</v>
      </c>
      <c r="E55" s="930">
        <f ca="1">列印頁!P69</f>
        <v>2510220</v>
      </c>
      <c r="F55" s="916">
        <f t="shared" ca="1" si="11"/>
        <v>1.5077172981364597</v>
      </c>
      <c r="G55" s="917">
        <f t="shared" ca="1" si="7"/>
        <v>1.8736403216088382E-2</v>
      </c>
      <c r="H55" s="931">
        <f>IF($M$2=0,0,'列印頁-簡'!I71)</f>
        <v>0</v>
      </c>
      <c r="I55" s="931">
        <f ca="1">'列印頁-簡'!U71</f>
        <v>3536976</v>
      </c>
      <c r="J55" s="916">
        <f ca="1">(I55+SUM($H$4:$H54)-$C$10)/$C$10</f>
        <v>2.5334496172819527</v>
      </c>
      <c r="K55" s="917">
        <f t="shared" ca="1" si="8"/>
        <v>2.5808797360546976E-2</v>
      </c>
      <c r="L55" s="899"/>
      <c r="M55" s="890">
        <f ca="1">BJ64</f>
        <v>1.8736403216088382E-2</v>
      </c>
      <c r="N55" s="883">
        <f t="shared" ca="1" si="4"/>
        <v>2510220</v>
      </c>
      <c r="Q55" s="903"/>
      <c r="R55" s="903"/>
      <c r="S55" s="903"/>
      <c r="T55" s="903"/>
      <c r="U55" s="903"/>
      <c r="V55" s="903"/>
      <c r="W55" s="903"/>
      <c r="X55" s="903"/>
      <c r="Y55" s="903"/>
      <c r="Z55" s="903"/>
      <c r="AA55" s="903"/>
      <c r="AB55" s="903"/>
      <c r="AC55" s="903"/>
      <c r="AD55" s="903"/>
      <c r="AE55" s="903"/>
      <c r="AF55" s="903"/>
      <c r="AG55" s="903"/>
      <c r="AH55" s="903"/>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903"/>
      <c r="BE55" s="903"/>
      <c r="BF55" s="903"/>
      <c r="BG55" s="903"/>
      <c r="BH55" s="903"/>
      <c r="BI55" s="903"/>
      <c r="BJ55" s="903">
        <f ca="1">N55</f>
        <v>2510220</v>
      </c>
      <c r="BK55" s="903">
        <f t="shared" ref="BK55:BR55" si="65">$D55</f>
        <v>0</v>
      </c>
      <c r="BL55" s="903">
        <f t="shared" si="65"/>
        <v>0</v>
      </c>
      <c r="BM55" s="903">
        <f t="shared" si="65"/>
        <v>0</v>
      </c>
      <c r="BN55" s="903">
        <f t="shared" si="65"/>
        <v>0</v>
      </c>
      <c r="BO55" s="903">
        <f t="shared" si="65"/>
        <v>0</v>
      </c>
      <c r="BP55" s="903">
        <f t="shared" si="65"/>
        <v>0</v>
      </c>
      <c r="BQ55" s="903">
        <f t="shared" si="65"/>
        <v>0</v>
      </c>
      <c r="BR55" s="903">
        <f t="shared" si="65"/>
        <v>0</v>
      </c>
    </row>
    <row r="56" spans="1:70" hidden="1">
      <c r="A56" s="914">
        <f t="shared" si="62"/>
        <v>53</v>
      </c>
      <c r="B56" s="915">
        <f t="shared" ca="1" si="62"/>
        <v>85</v>
      </c>
      <c r="C56" s="896"/>
      <c r="D56" s="930">
        <v>0</v>
      </c>
      <c r="E56" s="930">
        <f ca="1">列印頁!P70</f>
        <v>2556188</v>
      </c>
      <c r="F56" s="916">
        <f t="shared" ca="1" si="11"/>
        <v>1.5536394678111245</v>
      </c>
      <c r="G56" s="917">
        <f t="shared" ca="1" si="7"/>
        <v>1.8728013185584036E-2</v>
      </c>
      <c r="H56" s="931">
        <f>IF($M$2=0,0,'列印頁-簡'!I72)</f>
        <v>0</v>
      </c>
      <c r="I56" s="931">
        <f ca="1">'列印頁-簡'!U72</f>
        <v>3628433</v>
      </c>
      <c r="J56" s="916">
        <f ca="1">(I56+SUM($H$4:$H55)-$C$10)/$C$10</f>
        <v>2.6248154341966718</v>
      </c>
      <c r="K56" s="917">
        <f t="shared" ca="1" si="8"/>
        <v>2.5809758334940147E-2</v>
      </c>
      <c r="L56" s="899"/>
      <c r="M56" s="890">
        <f ca="1">BK64</f>
        <v>1.8728013185584036E-2</v>
      </c>
      <c r="N56" s="883">
        <f t="shared" ca="1" si="4"/>
        <v>2556188</v>
      </c>
      <c r="Q56" s="903"/>
      <c r="R56" s="903"/>
      <c r="S56" s="903"/>
      <c r="T56" s="903"/>
      <c r="U56" s="903"/>
      <c r="V56" s="903"/>
      <c r="W56" s="903"/>
      <c r="X56" s="903"/>
      <c r="Y56" s="903"/>
      <c r="Z56" s="903"/>
      <c r="AA56" s="903"/>
      <c r="AB56" s="903"/>
      <c r="AC56" s="903"/>
      <c r="AD56" s="903"/>
      <c r="AE56" s="903"/>
      <c r="AF56" s="903"/>
      <c r="AG56" s="903"/>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f ca="1">N56</f>
        <v>2556188</v>
      </c>
      <c r="BL56" s="903">
        <f t="shared" ref="BL56:BR56" si="66">$D56</f>
        <v>0</v>
      </c>
      <c r="BM56" s="903">
        <f t="shared" si="66"/>
        <v>0</v>
      </c>
      <c r="BN56" s="903">
        <f t="shared" si="66"/>
        <v>0</v>
      </c>
      <c r="BO56" s="903">
        <f t="shared" si="66"/>
        <v>0</v>
      </c>
      <c r="BP56" s="903">
        <f t="shared" si="66"/>
        <v>0</v>
      </c>
      <c r="BQ56" s="903">
        <f t="shared" si="66"/>
        <v>0</v>
      </c>
      <c r="BR56" s="903">
        <f t="shared" si="66"/>
        <v>0</v>
      </c>
    </row>
    <row r="57" spans="1:70" hidden="1">
      <c r="A57" s="914">
        <f t="shared" si="62"/>
        <v>54</v>
      </c>
      <c r="B57" s="915">
        <f t="shared" ca="1" si="62"/>
        <v>86</v>
      </c>
      <c r="C57" s="896"/>
      <c r="D57" s="930">
        <v>0</v>
      </c>
      <c r="E57" s="930">
        <f ca="1">列印頁!P71</f>
        <v>2602530</v>
      </c>
      <c r="F57" s="916">
        <f t="shared" ca="1" si="11"/>
        <v>1.5999352646059233</v>
      </c>
      <c r="G57" s="917">
        <f t="shared" ca="1" si="7"/>
        <v>1.8716397302524834E-2</v>
      </c>
      <c r="H57" s="931">
        <f>IF($M$2=0,0,'列印頁-簡'!I73)</f>
        <v>0</v>
      </c>
      <c r="I57" s="931">
        <f ca="1">'列印頁-簡'!U73</f>
        <v>3721808</v>
      </c>
      <c r="J57" s="916">
        <f ca="1">(I57+SUM($H$4:$H56)-$C$10)/$C$10</f>
        <v>2.7180973388558218</v>
      </c>
      <c r="K57" s="917">
        <f t="shared" ca="1" si="8"/>
        <v>2.5808294202521953E-2</v>
      </c>
      <c r="L57" s="899"/>
      <c r="M57" s="890">
        <f ca="1">BL64</f>
        <v>1.8716397302524834E-2</v>
      </c>
      <c r="N57" s="883">
        <f t="shared" ca="1" si="4"/>
        <v>2602530</v>
      </c>
      <c r="Q57" s="903"/>
      <c r="R57" s="903"/>
      <c r="S57" s="903"/>
      <c r="T57" s="903"/>
      <c r="U57" s="903"/>
      <c r="V57" s="903"/>
      <c r="W57" s="903"/>
      <c r="X57" s="903"/>
      <c r="Y57" s="903"/>
      <c r="Z57" s="903"/>
      <c r="AA57" s="903"/>
      <c r="AB57" s="903"/>
      <c r="AC57" s="903"/>
      <c r="AD57" s="903"/>
      <c r="AE57" s="903"/>
      <c r="AF57" s="903"/>
      <c r="AG57" s="903"/>
      <c r="AH57" s="903"/>
      <c r="AI57" s="903"/>
      <c r="AJ57" s="903"/>
      <c r="AK57" s="903"/>
      <c r="AL57" s="903"/>
      <c r="AM57" s="903"/>
      <c r="AN57" s="903"/>
      <c r="AO57" s="903"/>
      <c r="AP57" s="903"/>
      <c r="AQ57" s="903"/>
      <c r="AR57" s="903"/>
      <c r="AS57" s="903"/>
      <c r="AT57" s="903"/>
      <c r="AU57" s="903"/>
      <c r="AV57" s="903"/>
      <c r="AW57" s="903"/>
      <c r="AX57" s="903"/>
      <c r="AY57" s="903"/>
      <c r="AZ57" s="903"/>
      <c r="BA57" s="903"/>
      <c r="BB57" s="903"/>
      <c r="BC57" s="903"/>
      <c r="BD57" s="903"/>
      <c r="BE57" s="903"/>
      <c r="BF57" s="903"/>
      <c r="BG57" s="903"/>
      <c r="BH57" s="903"/>
      <c r="BI57" s="903"/>
      <c r="BJ57" s="903"/>
      <c r="BK57" s="903"/>
      <c r="BL57" s="903">
        <f ca="1">N57</f>
        <v>2602530</v>
      </c>
      <c r="BM57" s="903">
        <f t="shared" ref="BM57:BR57" si="67">$D57</f>
        <v>0</v>
      </c>
      <c r="BN57" s="903">
        <f t="shared" si="67"/>
        <v>0</v>
      </c>
      <c r="BO57" s="903">
        <f t="shared" si="67"/>
        <v>0</v>
      </c>
      <c r="BP57" s="903">
        <f t="shared" si="67"/>
        <v>0</v>
      </c>
      <c r="BQ57" s="903">
        <f t="shared" si="67"/>
        <v>0</v>
      </c>
      <c r="BR57" s="903">
        <f t="shared" si="67"/>
        <v>0</v>
      </c>
    </row>
    <row r="58" spans="1:70">
      <c r="A58" s="918">
        <f t="shared" si="62"/>
        <v>55</v>
      </c>
      <c r="B58" s="919">
        <f t="shared" ca="1" si="62"/>
        <v>87</v>
      </c>
      <c r="C58" s="896"/>
      <c r="D58" s="934">
        <v>0</v>
      </c>
      <c r="E58" s="934">
        <f ca="1">列印頁!P72</f>
        <v>2649212</v>
      </c>
      <c r="F58" s="920">
        <f t="shared" ca="1" si="11"/>
        <v>1.6465707224190258</v>
      </c>
      <c r="G58" s="921">
        <f t="shared" ca="1" si="7"/>
        <v>1.8701564409043137E-2</v>
      </c>
      <c r="H58" s="935">
        <f>IF($M$2=0,0,'列印頁-簡'!I74)</f>
        <v>0</v>
      </c>
      <c r="I58" s="935">
        <f ca="1">'列印頁-簡'!U74</f>
        <v>3817193</v>
      </c>
      <c r="J58" s="920">
        <f ca="1">(I58+SUM($H$4:$H57)-$C$10)/$C$10</f>
        <v>2.813387239534944</v>
      </c>
      <c r="K58" s="921">
        <f t="shared" ca="1" si="8"/>
        <v>2.5804877385985581E-2</v>
      </c>
      <c r="L58" s="899"/>
      <c r="M58" s="890">
        <f ca="1">BM64</f>
        <v>1.8701564409043137E-2</v>
      </c>
      <c r="N58" s="883">
        <f t="shared" ca="1" si="4"/>
        <v>2649212</v>
      </c>
      <c r="Q58" s="903"/>
      <c r="R58" s="903"/>
      <c r="S58" s="903"/>
      <c r="T58" s="903"/>
      <c r="U58" s="903"/>
      <c r="V58" s="903"/>
      <c r="W58" s="903"/>
      <c r="X58" s="903"/>
      <c r="Y58" s="903"/>
      <c r="Z58" s="903"/>
      <c r="AA58" s="903"/>
      <c r="AB58" s="903"/>
      <c r="AC58" s="903"/>
      <c r="AD58" s="903"/>
      <c r="AE58" s="903"/>
      <c r="AF58" s="903"/>
      <c r="AG58" s="903"/>
      <c r="AH58" s="903"/>
      <c r="AI58" s="903"/>
      <c r="AJ58" s="903"/>
      <c r="AK58" s="903"/>
      <c r="AL58" s="903"/>
      <c r="AM58" s="903"/>
      <c r="AN58" s="903"/>
      <c r="AO58" s="903"/>
      <c r="AP58" s="903"/>
      <c r="AQ58" s="903"/>
      <c r="AR58" s="903"/>
      <c r="AS58" s="903"/>
      <c r="AT58" s="903"/>
      <c r="AU58" s="903"/>
      <c r="AV58" s="903"/>
      <c r="AW58" s="903"/>
      <c r="AX58" s="903"/>
      <c r="AY58" s="903"/>
      <c r="AZ58" s="903"/>
      <c r="BA58" s="903"/>
      <c r="BB58" s="903"/>
      <c r="BC58" s="903"/>
      <c r="BD58" s="903"/>
      <c r="BE58" s="903"/>
      <c r="BF58" s="903"/>
      <c r="BG58" s="903"/>
      <c r="BH58" s="903"/>
      <c r="BI58" s="903"/>
      <c r="BJ58" s="903"/>
      <c r="BK58" s="903"/>
      <c r="BL58" s="903"/>
      <c r="BM58" s="903">
        <f ca="1">N58</f>
        <v>2649212</v>
      </c>
      <c r="BN58" s="903">
        <f>$D58</f>
        <v>0</v>
      </c>
      <c r="BO58" s="903">
        <f>$D58</f>
        <v>0</v>
      </c>
      <c r="BP58" s="903">
        <f>$D58</f>
        <v>0</v>
      </c>
      <c r="BQ58" s="903">
        <f>$D58</f>
        <v>0</v>
      </c>
      <c r="BR58" s="903">
        <f>$D58</f>
        <v>0</v>
      </c>
    </row>
    <row r="59" spans="1:70" hidden="1">
      <c r="A59" s="914">
        <f t="shared" si="62"/>
        <v>56</v>
      </c>
      <c r="B59" s="915">
        <f t="shared" ca="1" si="62"/>
        <v>88</v>
      </c>
      <c r="C59" s="896"/>
      <c r="D59" s="930">
        <v>0</v>
      </c>
      <c r="E59" s="930">
        <f ca="1">列印頁!P79</f>
        <v>2696268</v>
      </c>
      <c r="F59" s="916">
        <f t="shared" ca="1" si="11"/>
        <v>1.6935798073522625</v>
      </c>
      <c r="G59" s="917">
        <f t="shared" ca="1" si="7"/>
        <v>1.8684017136542774E-2</v>
      </c>
      <c r="H59" s="931">
        <f>IF($M$2=0,0,'列印頁-簡'!I75)</f>
        <v>0</v>
      </c>
      <c r="I59" s="931">
        <f ca="1">'列印頁-簡'!U75</f>
        <v>3914509</v>
      </c>
      <c r="J59" s="916">
        <f ca="1">(I59+SUM($H$4:$H58)-$C$10)/$C$10</f>
        <v>2.9106062149974328</v>
      </c>
      <c r="K59" s="917">
        <f t="shared" ca="1" si="8"/>
        <v>2.5799076142310584E-2</v>
      </c>
      <c r="L59" s="899"/>
      <c r="M59" s="890">
        <f ca="1">BN64</f>
        <v>1.8684017136542774E-2</v>
      </c>
      <c r="N59" s="883">
        <f t="shared" ca="1" si="4"/>
        <v>2696268</v>
      </c>
      <c r="Q59" s="903"/>
      <c r="R59" s="903"/>
      <c r="S59" s="903"/>
      <c r="T59" s="903"/>
      <c r="U59" s="903"/>
      <c r="V59" s="903"/>
      <c r="W59" s="903"/>
      <c r="X59" s="903"/>
      <c r="Y59" s="903"/>
      <c r="Z59" s="903"/>
      <c r="AA59" s="903"/>
      <c r="AB59" s="903"/>
      <c r="AC59" s="903"/>
      <c r="AD59" s="903"/>
      <c r="AE59" s="903"/>
      <c r="AF59" s="903"/>
      <c r="AG59" s="903"/>
      <c r="AH59" s="903"/>
      <c r="AI59" s="903"/>
      <c r="AJ59" s="903"/>
      <c r="AK59" s="903"/>
      <c r="AL59" s="903"/>
      <c r="AM59" s="903"/>
      <c r="AN59" s="903"/>
      <c r="AO59" s="903"/>
      <c r="AP59" s="903"/>
      <c r="AQ59" s="903"/>
      <c r="AR59" s="903"/>
      <c r="AS59" s="903"/>
      <c r="AT59" s="903"/>
      <c r="AU59" s="903"/>
      <c r="AV59" s="903"/>
      <c r="AW59" s="903"/>
      <c r="AX59" s="903"/>
      <c r="AY59" s="903"/>
      <c r="AZ59" s="903"/>
      <c r="BA59" s="903"/>
      <c r="BB59" s="903"/>
      <c r="BC59" s="903"/>
      <c r="BD59" s="903"/>
      <c r="BE59" s="903"/>
      <c r="BF59" s="903"/>
      <c r="BG59" s="903"/>
      <c r="BH59" s="903"/>
      <c r="BI59" s="903"/>
      <c r="BJ59" s="903"/>
      <c r="BK59" s="903"/>
      <c r="BL59" s="903"/>
      <c r="BM59" s="903"/>
      <c r="BN59" s="903">
        <f ca="1">N59</f>
        <v>2696268</v>
      </c>
      <c r="BO59" s="903">
        <f>$D59</f>
        <v>0</v>
      </c>
      <c r="BP59" s="903">
        <f>$D59</f>
        <v>0</v>
      </c>
      <c r="BQ59" s="903">
        <f>$D59</f>
        <v>0</v>
      </c>
      <c r="BR59" s="903">
        <f>$D59</f>
        <v>0</v>
      </c>
    </row>
    <row r="60" spans="1:70" hidden="1">
      <c r="A60" s="914">
        <f t="shared" si="62"/>
        <v>57</v>
      </c>
      <c r="B60" s="915">
        <f t="shared" ca="1" si="62"/>
        <v>89</v>
      </c>
      <c r="C60" s="896"/>
      <c r="D60" s="930">
        <v>0</v>
      </c>
      <c r="E60" s="930">
        <f ca="1">列印頁!P80</f>
        <v>2743664</v>
      </c>
      <c r="F60" s="916">
        <f t="shared" ca="1" si="11"/>
        <v>1.7409285533038028</v>
      </c>
      <c r="G60" s="917">
        <f t="shared" ca="1" si="7"/>
        <v>1.8663739315222472E-2</v>
      </c>
      <c r="H60" s="931">
        <f>IF($M$2=0,0,'列印頁-簡'!I76)</f>
        <v>0</v>
      </c>
      <c r="I60" s="931">
        <f ca="1">'列印頁-簡'!U76</f>
        <v>4013847</v>
      </c>
      <c r="J60" s="916">
        <f ca="1">(I60+SUM($H$4:$H59)-$C$10)/$C$10</f>
        <v>3.0098451745158332</v>
      </c>
      <c r="K60" s="917">
        <f t="shared" ca="1" si="8"/>
        <v>2.5791338283033705E-2</v>
      </c>
      <c r="L60" s="899"/>
      <c r="M60" s="890">
        <f ca="1">BO64</f>
        <v>1.8663739315222472E-2</v>
      </c>
      <c r="N60" s="883">
        <f t="shared" ca="1" si="4"/>
        <v>2743664</v>
      </c>
      <c r="Q60" s="903"/>
      <c r="R60" s="903"/>
      <c r="S60" s="903"/>
      <c r="T60" s="903"/>
      <c r="U60" s="903"/>
      <c r="V60" s="903"/>
      <c r="W60" s="903"/>
      <c r="X60" s="903"/>
      <c r="Y60" s="903"/>
      <c r="Z60" s="903"/>
      <c r="AA60" s="903"/>
      <c r="AB60" s="903"/>
      <c r="AC60" s="903"/>
      <c r="AD60" s="903"/>
      <c r="AE60" s="903"/>
      <c r="AF60" s="903"/>
      <c r="AG60" s="903"/>
      <c r="AH60" s="903"/>
      <c r="AI60" s="903"/>
      <c r="AJ60" s="903"/>
      <c r="AK60" s="903"/>
      <c r="AL60" s="903"/>
      <c r="AM60" s="903"/>
      <c r="AN60" s="903"/>
      <c r="AO60" s="903"/>
      <c r="AP60" s="903"/>
      <c r="AQ60" s="903"/>
      <c r="AR60" s="903"/>
      <c r="AS60" s="903"/>
      <c r="AT60" s="903"/>
      <c r="AU60" s="903"/>
      <c r="AV60" s="903"/>
      <c r="AW60" s="903"/>
      <c r="AX60" s="903"/>
      <c r="AY60" s="903"/>
      <c r="AZ60" s="903"/>
      <c r="BA60" s="903"/>
      <c r="BB60" s="903"/>
      <c r="BC60" s="903"/>
      <c r="BD60" s="903"/>
      <c r="BE60" s="903"/>
      <c r="BF60" s="903"/>
      <c r="BG60" s="903"/>
      <c r="BH60" s="903"/>
      <c r="BI60" s="903"/>
      <c r="BJ60" s="903"/>
      <c r="BK60" s="903"/>
      <c r="BL60" s="903"/>
      <c r="BM60" s="903"/>
      <c r="BN60" s="903"/>
      <c r="BO60" s="903">
        <f ca="1">N60</f>
        <v>2743664</v>
      </c>
      <c r="BP60" s="903">
        <f>$D60</f>
        <v>0</v>
      </c>
      <c r="BQ60" s="903">
        <f>$D60</f>
        <v>0</v>
      </c>
      <c r="BR60" s="903">
        <f>$D60</f>
        <v>0</v>
      </c>
    </row>
    <row r="61" spans="1:70" hidden="1">
      <c r="A61" s="914">
        <f t="shared" si="62"/>
        <v>58</v>
      </c>
      <c r="B61" s="915">
        <f t="shared" ca="1" si="62"/>
        <v>90</v>
      </c>
      <c r="C61" s="896"/>
      <c r="D61" s="930">
        <v>0</v>
      </c>
      <c r="E61" s="930">
        <f ca="1">列印頁!P81</f>
        <v>2791298</v>
      </c>
      <c r="F61" s="916">
        <f t="shared" ca="1" si="11"/>
        <v>1.7885150619681558</v>
      </c>
      <c r="G61" s="917">
        <f t="shared" ca="1" si="7"/>
        <v>1.8640282773526806E-2</v>
      </c>
      <c r="H61" s="931">
        <f>IF($M$2=0,0,'列印頁-簡'!I85)</f>
        <v>0</v>
      </c>
      <c r="I61" s="931">
        <f ca="1">'列印頁-簡'!U85</f>
        <v>4115149</v>
      </c>
      <c r="J61" s="916">
        <f ca="1">(I61+SUM($H$4:$H60)-$C$10)/$C$10</f>
        <v>3.1110461759164356</v>
      </c>
      <c r="K61" s="917">
        <f t="shared" ca="1" si="8"/>
        <v>2.5781381276821724E-2</v>
      </c>
      <c r="L61" s="899"/>
      <c r="M61" s="890">
        <f ca="1">BP64</f>
        <v>1.8640282773526806E-2</v>
      </c>
      <c r="N61" s="883">
        <f t="shared" ca="1" si="4"/>
        <v>2791298</v>
      </c>
      <c r="Q61" s="903"/>
      <c r="R61" s="903"/>
      <c r="S61" s="903"/>
      <c r="T61" s="903"/>
      <c r="U61" s="903"/>
      <c r="V61" s="903"/>
      <c r="W61" s="903"/>
      <c r="X61" s="903"/>
      <c r="Y61" s="903"/>
      <c r="Z61" s="903"/>
      <c r="AA61" s="903"/>
      <c r="AB61" s="903"/>
      <c r="AC61" s="903"/>
      <c r="AD61" s="903"/>
      <c r="AE61" s="903"/>
      <c r="AF61" s="903"/>
      <c r="AG61" s="903"/>
      <c r="AH61" s="903"/>
      <c r="AI61" s="903"/>
      <c r="AJ61" s="903"/>
      <c r="AK61" s="903"/>
      <c r="AL61" s="903"/>
      <c r="AM61" s="903"/>
      <c r="AN61" s="903"/>
      <c r="AO61" s="903"/>
      <c r="AP61" s="903"/>
      <c r="AQ61" s="903"/>
      <c r="AR61" s="903"/>
      <c r="AS61" s="903"/>
      <c r="AT61" s="903"/>
      <c r="AU61" s="903"/>
      <c r="AV61" s="903"/>
      <c r="AW61" s="903"/>
      <c r="AX61" s="903"/>
      <c r="AY61" s="903"/>
      <c r="AZ61" s="903"/>
      <c r="BA61" s="903"/>
      <c r="BB61" s="903"/>
      <c r="BC61" s="903"/>
      <c r="BD61" s="903"/>
      <c r="BE61" s="903"/>
      <c r="BF61" s="903"/>
      <c r="BG61" s="903"/>
      <c r="BH61" s="903"/>
      <c r="BI61" s="903"/>
      <c r="BJ61" s="903"/>
      <c r="BK61" s="903"/>
      <c r="BL61" s="903"/>
      <c r="BM61" s="903"/>
      <c r="BN61" s="903"/>
      <c r="BO61" s="903"/>
      <c r="BP61" s="903">
        <f ca="1">N61</f>
        <v>2791298</v>
      </c>
      <c r="BQ61" s="903">
        <f>$D61</f>
        <v>0</v>
      </c>
      <c r="BR61" s="903">
        <f>$D61</f>
        <v>0</v>
      </c>
    </row>
    <row r="62" spans="1:70" hidden="1">
      <c r="A62" s="914">
        <f t="shared" si="62"/>
        <v>59</v>
      </c>
      <c r="B62" s="915">
        <f t="shared" ca="1" si="62"/>
        <v>91</v>
      </c>
      <c r="C62" s="896"/>
      <c r="D62" s="930">
        <v>0</v>
      </c>
      <c r="E62" s="930">
        <f ca="1">列印頁!P82</f>
        <v>2839136</v>
      </c>
      <c r="F62" s="916">
        <f t="shared" ca="1" si="11"/>
        <v>1.836305367243491</v>
      </c>
      <c r="G62" s="917">
        <f t="shared" ca="1" si="7"/>
        <v>1.8613704402134612E-2</v>
      </c>
      <c r="H62" s="931">
        <f>IF($M$2=0,0,'列印頁-簡'!I86)</f>
        <v>0</v>
      </c>
      <c r="I62" s="931">
        <f ca="1">'列印頁-簡'!U86</f>
        <v>4218524</v>
      </c>
      <c r="J62" s="916">
        <f ca="1">(I62+SUM($H$4:$H61)-$C$10)/$C$10</f>
        <v>3.2143181105256953</v>
      </c>
      <c r="K62" s="917">
        <f t="shared" ca="1" si="8"/>
        <v>2.5769697622709531E-2</v>
      </c>
      <c r="L62" s="899"/>
      <c r="M62" s="890">
        <f ca="1">BQ64</f>
        <v>1.8613704402134612E-2</v>
      </c>
      <c r="N62" s="883">
        <f t="shared" ca="1" si="4"/>
        <v>2839136</v>
      </c>
      <c r="Q62" s="903"/>
      <c r="R62" s="903"/>
      <c r="S62" s="903"/>
      <c r="T62" s="903"/>
      <c r="U62" s="903"/>
      <c r="V62" s="903"/>
      <c r="W62" s="903"/>
      <c r="X62" s="903"/>
      <c r="Y62" s="903"/>
      <c r="Z62" s="903"/>
      <c r="AA62" s="903"/>
      <c r="AB62" s="903"/>
      <c r="AC62" s="903"/>
      <c r="AD62" s="903"/>
      <c r="AE62" s="903"/>
      <c r="AF62" s="903"/>
      <c r="AG62" s="903"/>
      <c r="AH62" s="903"/>
      <c r="AI62" s="903"/>
      <c r="AJ62" s="903"/>
      <c r="AK62" s="903"/>
      <c r="AL62" s="903"/>
      <c r="AM62" s="903"/>
      <c r="AN62" s="903"/>
      <c r="AO62" s="903"/>
      <c r="AP62" s="903"/>
      <c r="AQ62" s="903"/>
      <c r="AR62" s="903"/>
      <c r="AS62" s="903"/>
      <c r="AT62" s="903"/>
      <c r="AU62" s="903"/>
      <c r="AV62" s="903"/>
      <c r="AW62" s="903"/>
      <c r="AX62" s="903"/>
      <c r="AY62" s="903"/>
      <c r="AZ62" s="903"/>
      <c r="BA62" s="903"/>
      <c r="BB62" s="903"/>
      <c r="BC62" s="903"/>
      <c r="BD62" s="903"/>
      <c r="BE62" s="903"/>
      <c r="BF62" s="903"/>
      <c r="BG62" s="903"/>
      <c r="BH62" s="903"/>
      <c r="BI62" s="903"/>
      <c r="BJ62" s="903"/>
      <c r="BK62" s="903"/>
      <c r="BL62" s="903"/>
      <c r="BM62" s="903"/>
      <c r="BN62" s="903"/>
      <c r="BO62" s="903"/>
      <c r="BP62" s="903"/>
      <c r="BQ62" s="903">
        <f ca="1">N62</f>
        <v>2839136</v>
      </c>
      <c r="BR62" s="903">
        <f>$D62</f>
        <v>0</v>
      </c>
    </row>
    <row r="63" spans="1:70" ht="17.25" thickBot="1">
      <c r="A63" s="909">
        <f t="shared" si="62"/>
        <v>60</v>
      </c>
      <c r="B63" s="910">
        <f t="shared" ca="1" si="62"/>
        <v>92</v>
      </c>
      <c r="C63" s="911"/>
      <c r="D63" s="936">
        <v>0</v>
      </c>
      <c r="E63" s="936">
        <f ca="1">列印頁!P83</f>
        <v>2887212</v>
      </c>
      <c r="F63" s="912">
        <f t="shared" ca="1" si="11"/>
        <v>1.8843334352316388</v>
      </c>
      <c r="G63" s="913">
        <f t="shared" ca="1" si="7"/>
        <v>1.8584483931727069E-2</v>
      </c>
      <c r="H63" s="937">
        <f>IF($M$2=0,0,'列印頁-簡'!I87)</f>
        <v>0</v>
      </c>
      <c r="I63" s="937">
        <f ca="1">'列印頁-簡'!U87</f>
        <v>4323869</v>
      </c>
      <c r="J63" s="912">
        <f ca="1">(I63+SUM($H$4:$H62)-$C$10)/$C$10</f>
        <v>3.3195580810351268</v>
      </c>
      <c r="K63" s="913">
        <f t="shared" ca="1" si="8"/>
        <v>2.5755837270643678E-2</v>
      </c>
      <c r="L63" s="899"/>
      <c r="M63" s="890">
        <f ca="1">BR64</f>
        <v>1.8584483931727069E-2</v>
      </c>
      <c r="N63" s="883">
        <f t="shared" ca="1" si="4"/>
        <v>2887212</v>
      </c>
      <c r="Q63" s="903"/>
      <c r="R63" s="903"/>
      <c r="S63" s="903"/>
      <c r="T63" s="903"/>
      <c r="U63" s="903"/>
      <c r="V63" s="903"/>
      <c r="W63" s="903"/>
      <c r="X63" s="903"/>
      <c r="Y63" s="903"/>
      <c r="Z63" s="903"/>
      <c r="AA63" s="903"/>
      <c r="AB63" s="903"/>
      <c r="AC63" s="903"/>
      <c r="AD63" s="903"/>
      <c r="AE63" s="903"/>
      <c r="AF63" s="903"/>
      <c r="AG63" s="903"/>
      <c r="AH63" s="903"/>
      <c r="AI63" s="903"/>
      <c r="AJ63" s="903"/>
      <c r="AK63" s="903"/>
      <c r="AL63" s="903"/>
      <c r="AM63" s="903"/>
      <c r="AN63" s="903"/>
      <c r="AO63" s="903"/>
      <c r="AP63" s="903"/>
      <c r="AQ63" s="903"/>
      <c r="AR63" s="903"/>
      <c r="AS63" s="903"/>
      <c r="AT63" s="903"/>
      <c r="AU63" s="903"/>
      <c r="AV63" s="903"/>
      <c r="AW63" s="903"/>
      <c r="AX63" s="903"/>
      <c r="AY63" s="903"/>
      <c r="AZ63" s="903"/>
      <c r="BA63" s="903"/>
      <c r="BB63" s="903"/>
      <c r="BC63" s="903"/>
      <c r="BD63" s="903"/>
      <c r="BE63" s="903"/>
      <c r="BF63" s="903"/>
      <c r="BG63" s="903"/>
      <c r="BH63" s="903"/>
      <c r="BI63" s="903"/>
      <c r="BJ63" s="903"/>
      <c r="BK63" s="903"/>
      <c r="BL63" s="903"/>
      <c r="BM63" s="903"/>
      <c r="BN63" s="903"/>
      <c r="BO63" s="903"/>
      <c r="BP63" s="903"/>
      <c r="BQ63" s="903"/>
      <c r="BR63" s="903">
        <f ca="1">N63</f>
        <v>2887212</v>
      </c>
    </row>
    <row r="64" spans="1:70" ht="20.25">
      <c r="D64" s="900"/>
      <c r="H64" s="900"/>
      <c r="L64" s="899"/>
      <c r="P64" s="897">
        <f t="shared" ref="P64:BR64" ca="1" si="68">IRR(P3:P63,0.01)</f>
        <v>1.7985131903335283E-3</v>
      </c>
      <c r="Q64" s="897">
        <f t="shared" ca="1" si="68"/>
        <v>8.023649887059392E-3</v>
      </c>
      <c r="R64" s="897">
        <f t="shared" ca="1" si="68"/>
        <v>1.0165968850297302E-2</v>
      </c>
      <c r="S64" s="897">
        <f t="shared" ca="1" si="68"/>
        <v>1.165759106490416E-2</v>
      </c>
      <c r="T64" s="897">
        <f t="shared" ca="1" si="68"/>
        <v>1.2760666391673059E-2</v>
      </c>
      <c r="U64" s="897">
        <f t="shared" ca="1" si="68"/>
        <v>1.3606885272027247E-2</v>
      </c>
      <c r="V64" s="897">
        <f t="shared" ca="1" si="68"/>
        <v>1.4276121991378954E-2</v>
      </c>
      <c r="W64" s="897">
        <f t="shared" ca="1" si="68"/>
        <v>1.4817973663252992E-2</v>
      </c>
      <c r="X64" s="897">
        <f t="shared" ca="1" si="68"/>
        <v>1.5264888273612387E-2</v>
      </c>
      <c r="Y64" s="897">
        <f t="shared" ca="1" si="68"/>
        <v>1.5641267461740327E-2</v>
      </c>
      <c r="Z64" s="897">
        <f t="shared" ca="1" si="68"/>
        <v>1.5962121110793204E-2</v>
      </c>
      <c r="AA64" s="897">
        <f t="shared" ca="1" si="68"/>
        <v>1.6240243036582447E-2</v>
      </c>
      <c r="AB64" s="897">
        <f t="shared" ca="1" si="68"/>
        <v>1.6481583154226209E-2</v>
      </c>
      <c r="AC64" s="897">
        <f t="shared" ca="1" si="68"/>
        <v>1.6693984339829937E-2</v>
      </c>
      <c r="AD64" s="897">
        <f t="shared" ca="1" si="68"/>
        <v>1.6881941846354165E-2</v>
      </c>
      <c r="AE64" s="897">
        <f t="shared" ca="1" si="68"/>
        <v>1.7049006679439316E-2</v>
      </c>
      <c r="AF64" s="897">
        <f t="shared" ca="1" si="68"/>
        <v>1.7200559719537933E-2</v>
      </c>
      <c r="AG64" s="897">
        <f t="shared" ca="1" si="68"/>
        <v>1.7336040801555486E-2</v>
      </c>
      <c r="AH64" s="897">
        <f t="shared" ca="1" si="68"/>
        <v>1.7459613097272397E-2</v>
      </c>
      <c r="AI64" s="897">
        <f t="shared" ca="1" si="68"/>
        <v>1.7572483456013366E-2</v>
      </c>
      <c r="AJ64" s="897">
        <f t="shared" ca="1" si="68"/>
        <v>1.7674702364002925E-2</v>
      </c>
      <c r="AK64" s="897">
        <f t="shared" ca="1" si="68"/>
        <v>1.7769146250804502E-2</v>
      </c>
      <c r="AL64" s="897">
        <f t="shared" ca="1" si="68"/>
        <v>1.7856397068058083E-2</v>
      </c>
      <c r="AM64" s="897">
        <f t="shared" ca="1" si="68"/>
        <v>1.7936967200469667E-2</v>
      </c>
      <c r="AN64" s="897">
        <f t="shared" ca="1" si="68"/>
        <v>1.8012079212685661E-2</v>
      </c>
      <c r="AO64" s="897">
        <f t="shared" ca="1" si="68"/>
        <v>1.80812892101756E-2</v>
      </c>
      <c r="AP64" s="897">
        <f t="shared" ca="1" si="68"/>
        <v>1.8146348674557444E-2</v>
      </c>
      <c r="AQ64" s="897">
        <f t="shared" ca="1" si="68"/>
        <v>1.8206731353267669E-2</v>
      </c>
      <c r="AR64" s="897">
        <f t="shared" ca="1" si="68"/>
        <v>1.8263901142154593E-2</v>
      </c>
      <c r="AS64" s="897">
        <f t="shared" ca="1" si="68"/>
        <v>1.8317294791608374E-2</v>
      </c>
      <c r="AT64" s="897">
        <f t="shared" ca="1" si="68"/>
        <v>1.8367035674706989E-2</v>
      </c>
      <c r="AU64" s="897">
        <f t="shared" ca="1" si="68"/>
        <v>1.8414311741965506E-2</v>
      </c>
      <c r="AV64" s="897">
        <f t="shared" ca="1" si="68"/>
        <v>1.8459091755524737E-2</v>
      </c>
      <c r="AW64" s="897">
        <f t="shared" ca="1" si="68"/>
        <v>1.8500876629899299E-2</v>
      </c>
      <c r="AX64" s="897">
        <f t="shared" ca="1" si="68"/>
        <v>1.8540656753996299E-2</v>
      </c>
      <c r="AY64" s="897">
        <f t="shared" ca="1" si="68"/>
        <v>1.8578376691893883E-2</v>
      </c>
      <c r="AZ64" s="897">
        <f t="shared" ca="1" si="68"/>
        <v>1.8614420426921852E-2</v>
      </c>
      <c r="BA64" s="897">
        <f t="shared" ca="1" si="68"/>
        <v>1.8645884889664233E-2</v>
      </c>
      <c r="BB64" s="897">
        <f t="shared" ca="1" si="68"/>
        <v>1.8672689262351438E-2</v>
      </c>
      <c r="BC64" s="897">
        <f t="shared" ca="1" si="68"/>
        <v>1.8694792925335157E-2</v>
      </c>
      <c r="BD64" s="897">
        <f t="shared" ca="1" si="68"/>
        <v>1.8712543270307247E-2</v>
      </c>
      <c r="BE64" s="897">
        <f t="shared" ca="1" si="68"/>
        <v>1.8726257440806027E-2</v>
      </c>
      <c r="BF64" s="897">
        <f t="shared" ca="1" si="68"/>
        <v>1.8735899297295244E-2</v>
      </c>
      <c r="BG64" s="897">
        <f t="shared" ca="1" si="68"/>
        <v>1.8741460337564853E-2</v>
      </c>
      <c r="BH64" s="897">
        <f t="shared" ca="1" si="68"/>
        <v>1.8743256197534697E-2</v>
      </c>
      <c r="BI64" s="897">
        <f t="shared" ca="1" si="68"/>
        <v>1.8741575308409697E-2</v>
      </c>
      <c r="BJ64" s="897">
        <f t="shared" ca="1" si="68"/>
        <v>1.8736403216088382E-2</v>
      </c>
      <c r="BK64" s="897">
        <f t="shared" ca="1" si="68"/>
        <v>1.8728013185584036E-2</v>
      </c>
      <c r="BL64" s="897">
        <f t="shared" ca="1" si="68"/>
        <v>1.8716397302524834E-2</v>
      </c>
      <c r="BM64" s="897">
        <f t="shared" ca="1" si="68"/>
        <v>1.8701564409043137E-2</v>
      </c>
      <c r="BN64" s="897">
        <f t="shared" ca="1" si="68"/>
        <v>1.8684017136542774E-2</v>
      </c>
      <c r="BO64" s="897">
        <f t="shared" ca="1" si="68"/>
        <v>1.8663739315222472E-2</v>
      </c>
      <c r="BP64" s="897">
        <f t="shared" ca="1" si="68"/>
        <v>1.8640282773526806E-2</v>
      </c>
      <c r="BQ64" s="897">
        <f t="shared" ca="1" si="68"/>
        <v>1.8613704402134612E-2</v>
      </c>
      <c r="BR64" s="897">
        <f t="shared" ca="1" si="68"/>
        <v>1.8584483931727069E-2</v>
      </c>
    </row>
    <row r="65" spans="12:70">
      <c r="L65" s="899"/>
    </row>
    <row r="66" spans="12:70">
      <c r="L66" s="899"/>
    </row>
    <row r="67" spans="12:70">
      <c r="L67" s="899"/>
    </row>
    <row r="68" spans="12:70">
      <c r="L68" s="899"/>
    </row>
    <row r="69" spans="12:70">
      <c r="L69" s="899"/>
    </row>
    <row r="70" spans="12:70">
      <c r="L70" s="899"/>
    </row>
    <row r="71" spans="12:70">
      <c r="L71" s="899"/>
      <c r="M71" s="873"/>
      <c r="N71" s="873"/>
      <c r="P71" s="902">
        <v>6</v>
      </c>
      <c r="Q71" s="902">
        <f t="shared" ref="Q71:BR71" si="69">P71+1</f>
        <v>7</v>
      </c>
      <c r="R71" s="902">
        <f t="shared" si="69"/>
        <v>8</v>
      </c>
      <c r="S71" s="902">
        <f t="shared" si="69"/>
        <v>9</v>
      </c>
      <c r="T71" s="902">
        <f t="shared" si="69"/>
        <v>10</v>
      </c>
      <c r="U71" s="902">
        <f t="shared" si="69"/>
        <v>11</v>
      </c>
      <c r="V71" s="902">
        <f t="shared" si="69"/>
        <v>12</v>
      </c>
      <c r="W71" s="902">
        <f t="shared" si="69"/>
        <v>13</v>
      </c>
      <c r="X71" s="902">
        <f t="shared" si="69"/>
        <v>14</v>
      </c>
      <c r="Y71" s="902">
        <f t="shared" si="69"/>
        <v>15</v>
      </c>
      <c r="Z71" s="902">
        <f t="shared" si="69"/>
        <v>16</v>
      </c>
      <c r="AA71" s="902">
        <f t="shared" si="69"/>
        <v>17</v>
      </c>
      <c r="AB71" s="902">
        <f t="shared" si="69"/>
        <v>18</v>
      </c>
      <c r="AC71" s="902">
        <f t="shared" si="69"/>
        <v>19</v>
      </c>
      <c r="AD71" s="902">
        <f t="shared" si="69"/>
        <v>20</v>
      </c>
      <c r="AE71" s="902">
        <f t="shared" si="69"/>
        <v>21</v>
      </c>
      <c r="AF71" s="902">
        <f t="shared" si="69"/>
        <v>22</v>
      </c>
      <c r="AG71" s="902">
        <f t="shared" si="69"/>
        <v>23</v>
      </c>
      <c r="AH71" s="902">
        <f t="shared" si="69"/>
        <v>24</v>
      </c>
      <c r="AI71" s="902">
        <f t="shared" si="69"/>
        <v>25</v>
      </c>
      <c r="AJ71" s="902">
        <f t="shared" si="69"/>
        <v>26</v>
      </c>
      <c r="AK71" s="902">
        <f t="shared" si="69"/>
        <v>27</v>
      </c>
      <c r="AL71" s="902">
        <f t="shared" si="69"/>
        <v>28</v>
      </c>
      <c r="AM71" s="902">
        <f t="shared" si="69"/>
        <v>29</v>
      </c>
      <c r="AN71" s="902">
        <f t="shared" si="69"/>
        <v>30</v>
      </c>
      <c r="AO71" s="902">
        <f t="shared" si="69"/>
        <v>31</v>
      </c>
      <c r="AP71" s="902">
        <f t="shared" si="69"/>
        <v>32</v>
      </c>
      <c r="AQ71" s="902">
        <f t="shared" si="69"/>
        <v>33</v>
      </c>
      <c r="AR71" s="902">
        <f t="shared" si="69"/>
        <v>34</v>
      </c>
      <c r="AS71" s="902">
        <f t="shared" si="69"/>
        <v>35</v>
      </c>
      <c r="AT71" s="902">
        <f t="shared" si="69"/>
        <v>36</v>
      </c>
      <c r="AU71" s="902">
        <f t="shared" si="69"/>
        <v>37</v>
      </c>
      <c r="AV71" s="902">
        <f t="shared" si="69"/>
        <v>38</v>
      </c>
      <c r="AW71" s="902">
        <f t="shared" si="69"/>
        <v>39</v>
      </c>
      <c r="AX71" s="902">
        <f t="shared" si="69"/>
        <v>40</v>
      </c>
      <c r="AY71" s="902">
        <f t="shared" si="69"/>
        <v>41</v>
      </c>
      <c r="AZ71" s="902">
        <f t="shared" si="69"/>
        <v>42</v>
      </c>
      <c r="BA71" s="902">
        <f t="shared" si="69"/>
        <v>43</v>
      </c>
      <c r="BB71" s="902">
        <f t="shared" si="69"/>
        <v>44</v>
      </c>
      <c r="BC71" s="902">
        <f t="shared" si="69"/>
        <v>45</v>
      </c>
      <c r="BD71" s="902">
        <f t="shared" si="69"/>
        <v>46</v>
      </c>
      <c r="BE71" s="902">
        <f t="shared" si="69"/>
        <v>47</v>
      </c>
      <c r="BF71" s="902">
        <f t="shared" si="69"/>
        <v>48</v>
      </c>
      <c r="BG71" s="902">
        <f t="shared" si="69"/>
        <v>49</v>
      </c>
      <c r="BH71" s="902">
        <f t="shared" si="69"/>
        <v>50</v>
      </c>
      <c r="BI71" s="902">
        <f t="shared" si="69"/>
        <v>51</v>
      </c>
      <c r="BJ71" s="902">
        <f t="shared" si="69"/>
        <v>52</v>
      </c>
      <c r="BK71" s="902">
        <f t="shared" si="69"/>
        <v>53</v>
      </c>
      <c r="BL71" s="902">
        <f t="shared" si="69"/>
        <v>54</v>
      </c>
      <c r="BM71" s="902">
        <f t="shared" si="69"/>
        <v>55</v>
      </c>
      <c r="BN71" s="902">
        <f t="shared" si="69"/>
        <v>56</v>
      </c>
      <c r="BO71" s="902">
        <f t="shared" si="69"/>
        <v>57</v>
      </c>
      <c r="BP71" s="902">
        <f t="shared" si="69"/>
        <v>58</v>
      </c>
      <c r="BQ71" s="902">
        <f t="shared" si="69"/>
        <v>59</v>
      </c>
      <c r="BR71" s="902">
        <f t="shared" si="69"/>
        <v>60</v>
      </c>
    </row>
    <row r="72" spans="12:70">
      <c r="L72" s="899"/>
      <c r="M72" s="873"/>
      <c r="N72" s="873"/>
      <c r="P72" s="903">
        <f t="shared" ref="P72:P77" ca="1" si="70">-C4</f>
        <v>-166833</v>
      </c>
      <c r="Q72" s="903">
        <f t="shared" ref="Q72:BR76" ca="1" si="71">P72</f>
        <v>-166833</v>
      </c>
      <c r="R72" s="903">
        <f t="shared" ca="1" si="71"/>
        <v>-166833</v>
      </c>
      <c r="S72" s="903">
        <f t="shared" ca="1" si="71"/>
        <v>-166833</v>
      </c>
      <c r="T72" s="903">
        <f t="shared" ca="1" si="71"/>
        <v>-166833</v>
      </c>
      <c r="U72" s="903">
        <f t="shared" ca="1" si="71"/>
        <v>-166833</v>
      </c>
      <c r="V72" s="903">
        <f t="shared" ca="1" si="71"/>
        <v>-166833</v>
      </c>
      <c r="W72" s="903">
        <f t="shared" ca="1" si="71"/>
        <v>-166833</v>
      </c>
      <c r="X72" s="903">
        <f t="shared" ca="1" si="71"/>
        <v>-166833</v>
      </c>
      <c r="Y72" s="903">
        <f t="shared" ca="1" si="71"/>
        <v>-166833</v>
      </c>
      <c r="Z72" s="903">
        <f t="shared" ca="1" si="71"/>
        <v>-166833</v>
      </c>
      <c r="AA72" s="903">
        <f t="shared" ca="1" si="71"/>
        <v>-166833</v>
      </c>
      <c r="AB72" s="903">
        <f t="shared" ca="1" si="71"/>
        <v>-166833</v>
      </c>
      <c r="AC72" s="903">
        <f t="shared" ca="1" si="71"/>
        <v>-166833</v>
      </c>
      <c r="AD72" s="903">
        <f t="shared" ca="1" si="71"/>
        <v>-166833</v>
      </c>
      <c r="AE72" s="903">
        <f t="shared" ca="1" si="71"/>
        <v>-166833</v>
      </c>
      <c r="AF72" s="903">
        <f t="shared" ca="1" si="71"/>
        <v>-166833</v>
      </c>
      <c r="AG72" s="903">
        <f t="shared" ca="1" si="71"/>
        <v>-166833</v>
      </c>
      <c r="AH72" s="903">
        <f t="shared" ca="1" si="71"/>
        <v>-166833</v>
      </c>
      <c r="AI72" s="903">
        <f t="shared" ca="1" si="71"/>
        <v>-166833</v>
      </c>
      <c r="AJ72" s="903">
        <f t="shared" ca="1" si="71"/>
        <v>-166833</v>
      </c>
      <c r="AK72" s="903">
        <f t="shared" ca="1" si="71"/>
        <v>-166833</v>
      </c>
      <c r="AL72" s="903">
        <f t="shared" ca="1" si="71"/>
        <v>-166833</v>
      </c>
      <c r="AM72" s="903">
        <f t="shared" ca="1" si="71"/>
        <v>-166833</v>
      </c>
      <c r="AN72" s="903">
        <f t="shared" ca="1" si="71"/>
        <v>-166833</v>
      </c>
      <c r="AO72" s="903">
        <f t="shared" ca="1" si="71"/>
        <v>-166833</v>
      </c>
      <c r="AP72" s="903">
        <f t="shared" ca="1" si="71"/>
        <v>-166833</v>
      </c>
      <c r="AQ72" s="903">
        <f t="shared" ca="1" si="71"/>
        <v>-166833</v>
      </c>
      <c r="AR72" s="903">
        <f t="shared" ca="1" si="71"/>
        <v>-166833</v>
      </c>
      <c r="AS72" s="903">
        <f t="shared" ca="1" si="71"/>
        <v>-166833</v>
      </c>
      <c r="AT72" s="903">
        <f t="shared" ca="1" si="71"/>
        <v>-166833</v>
      </c>
      <c r="AU72" s="903">
        <f t="shared" ca="1" si="71"/>
        <v>-166833</v>
      </c>
      <c r="AV72" s="903">
        <f t="shared" ca="1" si="71"/>
        <v>-166833</v>
      </c>
      <c r="AW72" s="903">
        <f t="shared" ca="1" si="71"/>
        <v>-166833</v>
      </c>
      <c r="AX72" s="903">
        <f t="shared" ca="1" si="71"/>
        <v>-166833</v>
      </c>
      <c r="AY72" s="903">
        <f t="shared" ca="1" si="71"/>
        <v>-166833</v>
      </c>
      <c r="AZ72" s="903">
        <f t="shared" ca="1" si="71"/>
        <v>-166833</v>
      </c>
      <c r="BA72" s="903">
        <f t="shared" ca="1" si="71"/>
        <v>-166833</v>
      </c>
      <c r="BB72" s="903">
        <f t="shared" ca="1" si="71"/>
        <v>-166833</v>
      </c>
      <c r="BC72" s="903">
        <f t="shared" ca="1" si="71"/>
        <v>-166833</v>
      </c>
      <c r="BD72" s="903">
        <f t="shared" ca="1" si="71"/>
        <v>-166833</v>
      </c>
      <c r="BE72" s="903">
        <f t="shared" ca="1" si="71"/>
        <v>-166833</v>
      </c>
      <c r="BF72" s="903">
        <f t="shared" ca="1" si="71"/>
        <v>-166833</v>
      </c>
      <c r="BG72" s="903">
        <f t="shared" ca="1" si="71"/>
        <v>-166833</v>
      </c>
      <c r="BH72" s="903">
        <f t="shared" ca="1" si="71"/>
        <v>-166833</v>
      </c>
      <c r="BI72" s="903">
        <f t="shared" ca="1" si="71"/>
        <v>-166833</v>
      </c>
      <c r="BJ72" s="903">
        <f t="shared" ca="1" si="71"/>
        <v>-166833</v>
      </c>
      <c r="BK72" s="903">
        <f t="shared" ca="1" si="71"/>
        <v>-166833</v>
      </c>
      <c r="BL72" s="903">
        <f t="shared" ca="1" si="71"/>
        <v>-166833</v>
      </c>
      <c r="BM72" s="903">
        <f t="shared" ca="1" si="71"/>
        <v>-166833</v>
      </c>
      <c r="BN72" s="903">
        <f t="shared" ca="1" si="71"/>
        <v>-166833</v>
      </c>
      <c r="BO72" s="903">
        <f t="shared" ca="1" si="71"/>
        <v>-166833</v>
      </c>
      <c r="BP72" s="903">
        <f t="shared" ca="1" si="71"/>
        <v>-166833</v>
      </c>
      <c r="BQ72" s="903">
        <f t="shared" ca="1" si="71"/>
        <v>-166833</v>
      </c>
      <c r="BR72" s="903">
        <f t="shared" ca="1" si="71"/>
        <v>-166833</v>
      </c>
    </row>
    <row r="73" spans="12:70">
      <c r="N73" s="883">
        <f ca="1">I4</f>
        <v>79743</v>
      </c>
      <c r="P73" s="903">
        <f t="shared" ca="1" si="70"/>
        <v>-166833</v>
      </c>
      <c r="Q73" s="903">
        <f t="shared" ca="1" si="71"/>
        <v>-166833</v>
      </c>
      <c r="R73" s="903">
        <f t="shared" ca="1" si="71"/>
        <v>-166833</v>
      </c>
      <c r="S73" s="903">
        <f t="shared" ca="1" si="71"/>
        <v>-166833</v>
      </c>
      <c r="T73" s="903">
        <f t="shared" ca="1" si="71"/>
        <v>-166833</v>
      </c>
      <c r="U73" s="903">
        <f t="shared" ca="1" si="71"/>
        <v>-166833</v>
      </c>
      <c r="V73" s="903">
        <f t="shared" ca="1" si="71"/>
        <v>-166833</v>
      </c>
      <c r="W73" s="903">
        <f t="shared" ca="1" si="71"/>
        <v>-166833</v>
      </c>
      <c r="X73" s="903">
        <f t="shared" ca="1" si="71"/>
        <v>-166833</v>
      </c>
      <c r="Y73" s="903">
        <f t="shared" ca="1" si="71"/>
        <v>-166833</v>
      </c>
      <c r="Z73" s="903">
        <f t="shared" ca="1" si="71"/>
        <v>-166833</v>
      </c>
      <c r="AA73" s="903">
        <f t="shared" ca="1" si="71"/>
        <v>-166833</v>
      </c>
      <c r="AB73" s="903">
        <f t="shared" ca="1" si="71"/>
        <v>-166833</v>
      </c>
      <c r="AC73" s="903">
        <f t="shared" ca="1" si="71"/>
        <v>-166833</v>
      </c>
      <c r="AD73" s="903">
        <f t="shared" ca="1" si="71"/>
        <v>-166833</v>
      </c>
      <c r="AE73" s="903">
        <f t="shared" ca="1" si="71"/>
        <v>-166833</v>
      </c>
      <c r="AF73" s="903">
        <f t="shared" ca="1" si="71"/>
        <v>-166833</v>
      </c>
      <c r="AG73" s="903">
        <f t="shared" ca="1" si="71"/>
        <v>-166833</v>
      </c>
      <c r="AH73" s="903">
        <f t="shared" ca="1" si="71"/>
        <v>-166833</v>
      </c>
      <c r="AI73" s="903">
        <f t="shared" ca="1" si="71"/>
        <v>-166833</v>
      </c>
      <c r="AJ73" s="903">
        <f t="shared" ca="1" si="71"/>
        <v>-166833</v>
      </c>
      <c r="AK73" s="903">
        <f t="shared" ca="1" si="71"/>
        <v>-166833</v>
      </c>
      <c r="AL73" s="903">
        <f t="shared" ca="1" si="71"/>
        <v>-166833</v>
      </c>
      <c r="AM73" s="903">
        <f t="shared" ca="1" si="71"/>
        <v>-166833</v>
      </c>
      <c r="AN73" s="903">
        <f t="shared" ca="1" si="71"/>
        <v>-166833</v>
      </c>
      <c r="AO73" s="903">
        <f t="shared" ca="1" si="71"/>
        <v>-166833</v>
      </c>
      <c r="AP73" s="903">
        <f t="shared" ca="1" si="71"/>
        <v>-166833</v>
      </c>
      <c r="AQ73" s="903">
        <f t="shared" ca="1" si="71"/>
        <v>-166833</v>
      </c>
      <c r="AR73" s="903">
        <f t="shared" ca="1" si="71"/>
        <v>-166833</v>
      </c>
      <c r="AS73" s="903">
        <f t="shared" ca="1" si="71"/>
        <v>-166833</v>
      </c>
      <c r="AT73" s="903">
        <f t="shared" ca="1" si="71"/>
        <v>-166833</v>
      </c>
      <c r="AU73" s="903">
        <f t="shared" ca="1" si="71"/>
        <v>-166833</v>
      </c>
      <c r="AV73" s="903">
        <f t="shared" ca="1" si="71"/>
        <v>-166833</v>
      </c>
      <c r="AW73" s="903">
        <f t="shared" ca="1" si="71"/>
        <v>-166833</v>
      </c>
      <c r="AX73" s="903">
        <f t="shared" ca="1" si="71"/>
        <v>-166833</v>
      </c>
      <c r="AY73" s="903">
        <f t="shared" ca="1" si="71"/>
        <v>-166833</v>
      </c>
      <c r="AZ73" s="903">
        <f t="shared" ca="1" si="71"/>
        <v>-166833</v>
      </c>
      <c r="BA73" s="903">
        <f t="shared" ca="1" si="71"/>
        <v>-166833</v>
      </c>
      <c r="BB73" s="903">
        <f t="shared" ca="1" si="71"/>
        <v>-166833</v>
      </c>
      <c r="BC73" s="903">
        <f t="shared" ca="1" si="71"/>
        <v>-166833</v>
      </c>
      <c r="BD73" s="903">
        <f t="shared" ca="1" si="71"/>
        <v>-166833</v>
      </c>
      <c r="BE73" s="903">
        <f t="shared" ca="1" si="71"/>
        <v>-166833</v>
      </c>
      <c r="BF73" s="903">
        <f t="shared" ca="1" si="71"/>
        <v>-166833</v>
      </c>
      <c r="BG73" s="903">
        <f t="shared" ca="1" si="71"/>
        <v>-166833</v>
      </c>
      <c r="BH73" s="903">
        <f t="shared" ca="1" si="71"/>
        <v>-166833</v>
      </c>
      <c r="BI73" s="903">
        <f t="shared" ca="1" si="71"/>
        <v>-166833</v>
      </c>
      <c r="BJ73" s="903">
        <f t="shared" ca="1" si="71"/>
        <v>-166833</v>
      </c>
      <c r="BK73" s="903">
        <f t="shared" ca="1" si="71"/>
        <v>-166833</v>
      </c>
      <c r="BL73" s="903">
        <f t="shared" ca="1" si="71"/>
        <v>-166833</v>
      </c>
      <c r="BM73" s="903">
        <f t="shared" ca="1" si="71"/>
        <v>-166833</v>
      </c>
      <c r="BN73" s="903">
        <f t="shared" ca="1" si="71"/>
        <v>-166833</v>
      </c>
      <c r="BO73" s="903">
        <f t="shared" ca="1" si="71"/>
        <v>-166833</v>
      </c>
      <c r="BP73" s="903">
        <f t="shared" ca="1" si="71"/>
        <v>-166833</v>
      </c>
      <c r="BQ73" s="903">
        <f t="shared" ca="1" si="71"/>
        <v>-166833</v>
      </c>
      <c r="BR73" s="903">
        <f t="shared" ca="1" si="71"/>
        <v>-166833</v>
      </c>
    </row>
    <row r="74" spans="12:70">
      <c r="N74" s="883">
        <f t="shared" ref="N74:N132" ca="1" si="72">I5</f>
        <v>227184</v>
      </c>
      <c r="P74" s="903">
        <f t="shared" ca="1" si="70"/>
        <v>-166833</v>
      </c>
      <c r="Q74" s="903">
        <f t="shared" ca="1" si="71"/>
        <v>-166833</v>
      </c>
      <c r="R74" s="903">
        <f t="shared" ca="1" si="71"/>
        <v>-166833</v>
      </c>
      <c r="S74" s="903">
        <f t="shared" ca="1" si="71"/>
        <v>-166833</v>
      </c>
      <c r="T74" s="903">
        <f t="shared" ca="1" si="71"/>
        <v>-166833</v>
      </c>
      <c r="U74" s="903">
        <f t="shared" ca="1" si="71"/>
        <v>-166833</v>
      </c>
      <c r="V74" s="903">
        <f t="shared" ca="1" si="71"/>
        <v>-166833</v>
      </c>
      <c r="W74" s="903">
        <f t="shared" ca="1" si="71"/>
        <v>-166833</v>
      </c>
      <c r="X74" s="903">
        <f t="shared" ca="1" si="71"/>
        <v>-166833</v>
      </c>
      <c r="Y74" s="903">
        <f t="shared" ca="1" si="71"/>
        <v>-166833</v>
      </c>
      <c r="Z74" s="903">
        <f t="shared" ca="1" si="71"/>
        <v>-166833</v>
      </c>
      <c r="AA74" s="903">
        <f t="shared" ca="1" si="71"/>
        <v>-166833</v>
      </c>
      <c r="AB74" s="903">
        <f t="shared" ca="1" si="71"/>
        <v>-166833</v>
      </c>
      <c r="AC74" s="903">
        <f t="shared" ca="1" si="71"/>
        <v>-166833</v>
      </c>
      <c r="AD74" s="903">
        <f t="shared" ca="1" si="71"/>
        <v>-166833</v>
      </c>
      <c r="AE74" s="903">
        <f t="shared" ca="1" si="71"/>
        <v>-166833</v>
      </c>
      <c r="AF74" s="903">
        <f t="shared" ca="1" si="71"/>
        <v>-166833</v>
      </c>
      <c r="AG74" s="903">
        <f t="shared" ca="1" si="71"/>
        <v>-166833</v>
      </c>
      <c r="AH74" s="903">
        <f t="shared" ca="1" si="71"/>
        <v>-166833</v>
      </c>
      <c r="AI74" s="903">
        <f t="shared" ca="1" si="71"/>
        <v>-166833</v>
      </c>
      <c r="AJ74" s="903">
        <f t="shared" ca="1" si="71"/>
        <v>-166833</v>
      </c>
      <c r="AK74" s="903">
        <f t="shared" ca="1" si="71"/>
        <v>-166833</v>
      </c>
      <c r="AL74" s="903">
        <f t="shared" ca="1" si="71"/>
        <v>-166833</v>
      </c>
      <c r="AM74" s="903">
        <f t="shared" ca="1" si="71"/>
        <v>-166833</v>
      </c>
      <c r="AN74" s="903">
        <f t="shared" ca="1" si="71"/>
        <v>-166833</v>
      </c>
      <c r="AO74" s="903">
        <f t="shared" ca="1" si="71"/>
        <v>-166833</v>
      </c>
      <c r="AP74" s="903">
        <f t="shared" ca="1" si="71"/>
        <v>-166833</v>
      </c>
      <c r="AQ74" s="903">
        <f t="shared" ca="1" si="71"/>
        <v>-166833</v>
      </c>
      <c r="AR74" s="903">
        <f t="shared" ca="1" si="71"/>
        <v>-166833</v>
      </c>
      <c r="AS74" s="903">
        <f t="shared" ca="1" si="71"/>
        <v>-166833</v>
      </c>
      <c r="AT74" s="903">
        <f t="shared" ca="1" si="71"/>
        <v>-166833</v>
      </c>
      <c r="AU74" s="903">
        <f t="shared" ca="1" si="71"/>
        <v>-166833</v>
      </c>
      <c r="AV74" s="903">
        <f t="shared" ca="1" si="71"/>
        <v>-166833</v>
      </c>
      <c r="AW74" s="903">
        <f t="shared" ca="1" si="71"/>
        <v>-166833</v>
      </c>
      <c r="AX74" s="903">
        <f t="shared" ca="1" si="71"/>
        <v>-166833</v>
      </c>
      <c r="AY74" s="903">
        <f t="shared" ca="1" si="71"/>
        <v>-166833</v>
      </c>
      <c r="AZ74" s="903">
        <f t="shared" ca="1" si="71"/>
        <v>-166833</v>
      </c>
      <c r="BA74" s="903">
        <f t="shared" ca="1" si="71"/>
        <v>-166833</v>
      </c>
      <c r="BB74" s="903">
        <f t="shared" ca="1" si="71"/>
        <v>-166833</v>
      </c>
      <c r="BC74" s="903">
        <f t="shared" ca="1" si="71"/>
        <v>-166833</v>
      </c>
      <c r="BD74" s="903">
        <f t="shared" ca="1" si="71"/>
        <v>-166833</v>
      </c>
      <c r="BE74" s="903">
        <f t="shared" ca="1" si="71"/>
        <v>-166833</v>
      </c>
      <c r="BF74" s="903">
        <f t="shared" ca="1" si="71"/>
        <v>-166833</v>
      </c>
      <c r="BG74" s="903">
        <f t="shared" ca="1" si="71"/>
        <v>-166833</v>
      </c>
      <c r="BH74" s="903">
        <f t="shared" ca="1" si="71"/>
        <v>-166833</v>
      </c>
      <c r="BI74" s="903">
        <f t="shared" ca="1" si="71"/>
        <v>-166833</v>
      </c>
      <c r="BJ74" s="903">
        <f t="shared" ca="1" si="71"/>
        <v>-166833</v>
      </c>
      <c r="BK74" s="903">
        <f t="shared" ca="1" si="71"/>
        <v>-166833</v>
      </c>
      <c r="BL74" s="903">
        <f t="shared" ca="1" si="71"/>
        <v>-166833</v>
      </c>
      <c r="BM74" s="903">
        <f t="shared" ca="1" si="71"/>
        <v>-166833</v>
      </c>
      <c r="BN74" s="903">
        <f t="shared" ca="1" si="71"/>
        <v>-166833</v>
      </c>
      <c r="BO74" s="903">
        <f t="shared" ca="1" si="71"/>
        <v>-166833</v>
      </c>
      <c r="BP74" s="903">
        <f t="shared" ca="1" si="71"/>
        <v>-166833</v>
      </c>
      <c r="BQ74" s="903">
        <f t="shared" ca="1" si="71"/>
        <v>-166833</v>
      </c>
      <c r="BR74" s="903">
        <f t="shared" ca="1" si="71"/>
        <v>-166833</v>
      </c>
    </row>
    <row r="75" spans="12:70">
      <c r="N75" s="883">
        <f t="shared" ca="1" si="72"/>
        <v>396450</v>
      </c>
      <c r="P75" s="903">
        <f t="shared" ca="1" si="70"/>
        <v>-166833</v>
      </c>
      <c r="Q75" s="903">
        <f t="shared" ca="1" si="71"/>
        <v>-166833</v>
      </c>
      <c r="R75" s="903">
        <f t="shared" ca="1" si="71"/>
        <v>-166833</v>
      </c>
      <c r="S75" s="903">
        <f t="shared" ca="1" si="71"/>
        <v>-166833</v>
      </c>
      <c r="T75" s="903">
        <f t="shared" ca="1" si="71"/>
        <v>-166833</v>
      </c>
      <c r="U75" s="903">
        <f t="shared" ca="1" si="71"/>
        <v>-166833</v>
      </c>
      <c r="V75" s="903">
        <f t="shared" ca="1" si="71"/>
        <v>-166833</v>
      </c>
      <c r="W75" s="903">
        <f t="shared" ca="1" si="71"/>
        <v>-166833</v>
      </c>
      <c r="X75" s="903">
        <f t="shared" ca="1" si="71"/>
        <v>-166833</v>
      </c>
      <c r="Y75" s="903">
        <f t="shared" ca="1" si="71"/>
        <v>-166833</v>
      </c>
      <c r="Z75" s="903">
        <f t="shared" ca="1" si="71"/>
        <v>-166833</v>
      </c>
      <c r="AA75" s="903">
        <f t="shared" ca="1" si="71"/>
        <v>-166833</v>
      </c>
      <c r="AB75" s="903">
        <f t="shared" ca="1" si="71"/>
        <v>-166833</v>
      </c>
      <c r="AC75" s="903">
        <f t="shared" ca="1" si="71"/>
        <v>-166833</v>
      </c>
      <c r="AD75" s="903">
        <f t="shared" ca="1" si="71"/>
        <v>-166833</v>
      </c>
      <c r="AE75" s="903">
        <f t="shared" ca="1" si="71"/>
        <v>-166833</v>
      </c>
      <c r="AF75" s="903">
        <f t="shared" ca="1" si="71"/>
        <v>-166833</v>
      </c>
      <c r="AG75" s="903">
        <f t="shared" ca="1" si="71"/>
        <v>-166833</v>
      </c>
      <c r="AH75" s="903">
        <f t="shared" ca="1" si="71"/>
        <v>-166833</v>
      </c>
      <c r="AI75" s="903">
        <f t="shared" ca="1" si="71"/>
        <v>-166833</v>
      </c>
      <c r="AJ75" s="903">
        <f t="shared" ca="1" si="71"/>
        <v>-166833</v>
      </c>
      <c r="AK75" s="903">
        <f t="shared" ca="1" si="71"/>
        <v>-166833</v>
      </c>
      <c r="AL75" s="903">
        <f t="shared" ca="1" si="71"/>
        <v>-166833</v>
      </c>
      <c r="AM75" s="903">
        <f t="shared" ca="1" si="71"/>
        <v>-166833</v>
      </c>
      <c r="AN75" s="903">
        <f t="shared" ca="1" si="71"/>
        <v>-166833</v>
      </c>
      <c r="AO75" s="903">
        <f t="shared" ca="1" si="71"/>
        <v>-166833</v>
      </c>
      <c r="AP75" s="903">
        <f t="shared" ca="1" si="71"/>
        <v>-166833</v>
      </c>
      <c r="AQ75" s="903">
        <f t="shared" ca="1" si="71"/>
        <v>-166833</v>
      </c>
      <c r="AR75" s="903">
        <f t="shared" ca="1" si="71"/>
        <v>-166833</v>
      </c>
      <c r="AS75" s="903">
        <f t="shared" ca="1" si="71"/>
        <v>-166833</v>
      </c>
      <c r="AT75" s="903">
        <f t="shared" ca="1" si="71"/>
        <v>-166833</v>
      </c>
      <c r="AU75" s="903">
        <f t="shared" ca="1" si="71"/>
        <v>-166833</v>
      </c>
      <c r="AV75" s="903">
        <f t="shared" ca="1" si="71"/>
        <v>-166833</v>
      </c>
      <c r="AW75" s="903">
        <f t="shared" ca="1" si="71"/>
        <v>-166833</v>
      </c>
      <c r="AX75" s="903">
        <f t="shared" ca="1" si="71"/>
        <v>-166833</v>
      </c>
      <c r="AY75" s="903">
        <f t="shared" ca="1" si="71"/>
        <v>-166833</v>
      </c>
      <c r="AZ75" s="903">
        <f t="shared" ca="1" si="71"/>
        <v>-166833</v>
      </c>
      <c r="BA75" s="903">
        <f t="shared" ca="1" si="71"/>
        <v>-166833</v>
      </c>
      <c r="BB75" s="903">
        <f t="shared" ca="1" si="71"/>
        <v>-166833</v>
      </c>
      <c r="BC75" s="903">
        <f t="shared" ca="1" si="71"/>
        <v>-166833</v>
      </c>
      <c r="BD75" s="903">
        <f t="shared" ca="1" si="71"/>
        <v>-166833</v>
      </c>
      <c r="BE75" s="903">
        <f t="shared" ca="1" si="71"/>
        <v>-166833</v>
      </c>
      <c r="BF75" s="903">
        <f t="shared" ca="1" si="71"/>
        <v>-166833</v>
      </c>
      <c r="BG75" s="903">
        <f t="shared" ca="1" si="71"/>
        <v>-166833</v>
      </c>
      <c r="BH75" s="903">
        <f t="shared" ca="1" si="71"/>
        <v>-166833</v>
      </c>
      <c r="BI75" s="903">
        <f t="shared" ca="1" si="71"/>
        <v>-166833</v>
      </c>
      <c r="BJ75" s="903">
        <f t="shared" ca="1" si="71"/>
        <v>-166833</v>
      </c>
      <c r="BK75" s="903">
        <f t="shared" ca="1" si="71"/>
        <v>-166833</v>
      </c>
      <c r="BL75" s="903">
        <f t="shared" ca="1" si="71"/>
        <v>-166833</v>
      </c>
      <c r="BM75" s="903">
        <f t="shared" ca="1" si="71"/>
        <v>-166833</v>
      </c>
      <c r="BN75" s="903">
        <f t="shared" ca="1" si="71"/>
        <v>-166833</v>
      </c>
      <c r="BO75" s="903">
        <f t="shared" ca="1" si="71"/>
        <v>-166833</v>
      </c>
      <c r="BP75" s="903">
        <f t="shared" ca="1" si="71"/>
        <v>-166833</v>
      </c>
      <c r="BQ75" s="903">
        <f t="shared" ca="1" si="71"/>
        <v>-166833</v>
      </c>
      <c r="BR75" s="903">
        <f t="shared" ca="1" si="71"/>
        <v>-166833</v>
      </c>
    </row>
    <row r="76" spans="12:70">
      <c r="N76" s="883">
        <f t="shared" ca="1" si="72"/>
        <v>588107</v>
      </c>
      <c r="P76" s="903">
        <f t="shared" ca="1" si="70"/>
        <v>-166833</v>
      </c>
      <c r="Q76" s="903">
        <f t="shared" ca="1" si="71"/>
        <v>-166833</v>
      </c>
      <c r="R76" s="903">
        <f t="shared" ca="1" si="71"/>
        <v>-166833</v>
      </c>
      <c r="S76" s="903">
        <f t="shared" ca="1" si="71"/>
        <v>-166833</v>
      </c>
      <c r="T76" s="903">
        <f t="shared" ca="1" si="71"/>
        <v>-166833</v>
      </c>
      <c r="U76" s="903">
        <f t="shared" ca="1" si="71"/>
        <v>-166833</v>
      </c>
      <c r="V76" s="903">
        <f t="shared" ca="1" si="71"/>
        <v>-166833</v>
      </c>
      <c r="W76" s="903">
        <f t="shared" ca="1" si="71"/>
        <v>-166833</v>
      </c>
      <c r="X76" s="903">
        <f t="shared" ca="1" si="71"/>
        <v>-166833</v>
      </c>
      <c r="Y76" s="903">
        <f t="shared" ca="1" si="71"/>
        <v>-166833</v>
      </c>
      <c r="Z76" s="903">
        <f t="shared" ca="1" si="71"/>
        <v>-166833</v>
      </c>
      <c r="AA76" s="903">
        <f t="shared" ca="1" si="71"/>
        <v>-166833</v>
      </c>
      <c r="AB76" s="903">
        <f t="shared" ca="1" si="71"/>
        <v>-166833</v>
      </c>
      <c r="AC76" s="903">
        <f t="shared" ca="1" si="71"/>
        <v>-166833</v>
      </c>
      <c r="AD76" s="903">
        <f t="shared" ca="1" si="71"/>
        <v>-166833</v>
      </c>
      <c r="AE76" s="903">
        <f t="shared" ca="1" si="71"/>
        <v>-166833</v>
      </c>
      <c r="AF76" s="903">
        <f t="shared" ca="1" si="71"/>
        <v>-166833</v>
      </c>
      <c r="AG76" s="903">
        <f t="shared" ca="1" si="71"/>
        <v>-166833</v>
      </c>
      <c r="AH76" s="903">
        <f t="shared" ca="1" si="71"/>
        <v>-166833</v>
      </c>
      <c r="AI76" s="903">
        <f t="shared" ca="1" si="71"/>
        <v>-166833</v>
      </c>
      <c r="AJ76" s="903">
        <f t="shared" ca="1" si="71"/>
        <v>-166833</v>
      </c>
      <c r="AK76" s="903">
        <f t="shared" ca="1" si="71"/>
        <v>-166833</v>
      </c>
      <c r="AL76" s="903">
        <f t="shared" ca="1" si="71"/>
        <v>-166833</v>
      </c>
      <c r="AM76" s="903">
        <f t="shared" ca="1" si="71"/>
        <v>-166833</v>
      </c>
      <c r="AN76" s="903">
        <f t="shared" ca="1" si="71"/>
        <v>-166833</v>
      </c>
      <c r="AO76" s="903">
        <f t="shared" ca="1" si="71"/>
        <v>-166833</v>
      </c>
      <c r="AP76" s="903">
        <f t="shared" ca="1" si="71"/>
        <v>-166833</v>
      </c>
      <c r="AQ76" s="903">
        <f t="shared" ca="1" si="71"/>
        <v>-166833</v>
      </c>
      <c r="AR76" s="903">
        <f t="shared" ca="1" si="71"/>
        <v>-166833</v>
      </c>
      <c r="AS76" s="903">
        <f t="shared" ca="1" si="71"/>
        <v>-166833</v>
      </c>
      <c r="AT76" s="903">
        <f t="shared" ca="1" si="71"/>
        <v>-166833</v>
      </c>
      <c r="AU76" s="903">
        <f t="shared" ca="1" si="71"/>
        <v>-166833</v>
      </c>
      <c r="AV76" s="903">
        <f t="shared" ca="1" si="71"/>
        <v>-166833</v>
      </c>
      <c r="AW76" s="903">
        <f t="shared" ca="1" si="71"/>
        <v>-166833</v>
      </c>
      <c r="AX76" s="903">
        <f t="shared" ca="1" si="71"/>
        <v>-166833</v>
      </c>
      <c r="AY76" s="903">
        <f t="shared" ca="1" si="71"/>
        <v>-166833</v>
      </c>
      <c r="AZ76" s="903">
        <f t="shared" ca="1" si="71"/>
        <v>-166833</v>
      </c>
      <c r="BA76" s="903">
        <f t="shared" ca="1" si="71"/>
        <v>-166833</v>
      </c>
      <c r="BB76" s="903">
        <f t="shared" ca="1" si="71"/>
        <v>-166833</v>
      </c>
      <c r="BC76" s="903">
        <f t="shared" ca="1" si="71"/>
        <v>-166833</v>
      </c>
      <c r="BD76" s="903">
        <f t="shared" ref="BD76:BR76" ca="1" si="73">BC76</f>
        <v>-166833</v>
      </c>
      <c r="BE76" s="903">
        <f t="shared" ca="1" si="73"/>
        <v>-166833</v>
      </c>
      <c r="BF76" s="903">
        <f t="shared" ca="1" si="73"/>
        <v>-166833</v>
      </c>
      <c r="BG76" s="903">
        <f t="shared" ca="1" si="73"/>
        <v>-166833</v>
      </c>
      <c r="BH76" s="903">
        <f t="shared" ca="1" si="73"/>
        <v>-166833</v>
      </c>
      <c r="BI76" s="903">
        <f t="shared" ca="1" si="73"/>
        <v>-166833</v>
      </c>
      <c r="BJ76" s="903">
        <f t="shared" ca="1" si="73"/>
        <v>-166833</v>
      </c>
      <c r="BK76" s="903">
        <f t="shared" ca="1" si="73"/>
        <v>-166833</v>
      </c>
      <c r="BL76" s="903">
        <f t="shared" ca="1" si="73"/>
        <v>-166833</v>
      </c>
      <c r="BM76" s="903">
        <f t="shared" ca="1" si="73"/>
        <v>-166833</v>
      </c>
      <c r="BN76" s="903">
        <f t="shared" ca="1" si="73"/>
        <v>-166833</v>
      </c>
      <c r="BO76" s="903">
        <f t="shared" ca="1" si="73"/>
        <v>-166833</v>
      </c>
      <c r="BP76" s="903">
        <f t="shared" ca="1" si="73"/>
        <v>-166833</v>
      </c>
      <c r="BQ76" s="903">
        <f t="shared" ca="1" si="73"/>
        <v>-166833</v>
      </c>
      <c r="BR76" s="903">
        <f t="shared" ca="1" si="73"/>
        <v>-166833</v>
      </c>
    </row>
    <row r="77" spans="12:70">
      <c r="N77" s="883">
        <f t="shared" ca="1" si="72"/>
        <v>802932</v>
      </c>
      <c r="P77" s="903">
        <f t="shared" ca="1" si="70"/>
        <v>-166833</v>
      </c>
      <c r="Q77" s="903">
        <f t="shared" ref="Q77:BR77" ca="1" si="74">P77</f>
        <v>-166833</v>
      </c>
      <c r="R77" s="903">
        <f t="shared" ca="1" si="74"/>
        <v>-166833</v>
      </c>
      <c r="S77" s="903">
        <f t="shared" ca="1" si="74"/>
        <v>-166833</v>
      </c>
      <c r="T77" s="903">
        <f t="shared" ca="1" si="74"/>
        <v>-166833</v>
      </c>
      <c r="U77" s="903">
        <f t="shared" ca="1" si="74"/>
        <v>-166833</v>
      </c>
      <c r="V77" s="903">
        <f t="shared" ca="1" si="74"/>
        <v>-166833</v>
      </c>
      <c r="W77" s="903">
        <f t="shared" ca="1" si="74"/>
        <v>-166833</v>
      </c>
      <c r="X77" s="903">
        <f t="shared" ca="1" si="74"/>
        <v>-166833</v>
      </c>
      <c r="Y77" s="903">
        <f t="shared" ca="1" si="74"/>
        <v>-166833</v>
      </c>
      <c r="Z77" s="903">
        <f t="shared" ca="1" si="74"/>
        <v>-166833</v>
      </c>
      <c r="AA77" s="903">
        <f t="shared" ca="1" si="74"/>
        <v>-166833</v>
      </c>
      <c r="AB77" s="903">
        <f t="shared" ca="1" si="74"/>
        <v>-166833</v>
      </c>
      <c r="AC77" s="903">
        <f t="shared" ca="1" si="74"/>
        <v>-166833</v>
      </c>
      <c r="AD77" s="903">
        <f t="shared" ca="1" si="74"/>
        <v>-166833</v>
      </c>
      <c r="AE77" s="903">
        <f t="shared" ca="1" si="74"/>
        <v>-166833</v>
      </c>
      <c r="AF77" s="903">
        <f t="shared" ca="1" si="74"/>
        <v>-166833</v>
      </c>
      <c r="AG77" s="903">
        <f t="shared" ca="1" si="74"/>
        <v>-166833</v>
      </c>
      <c r="AH77" s="903">
        <f t="shared" ca="1" si="74"/>
        <v>-166833</v>
      </c>
      <c r="AI77" s="903">
        <f t="shared" ca="1" si="74"/>
        <v>-166833</v>
      </c>
      <c r="AJ77" s="903">
        <f t="shared" ca="1" si="74"/>
        <v>-166833</v>
      </c>
      <c r="AK77" s="903">
        <f t="shared" ca="1" si="74"/>
        <v>-166833</v>
      </c>
      <c r="AL77" s="903">
        <f t="shared" ca="1" si="74"/>
        <v>-166833</v>
      </c>
      <c r="AM77" s="903">
        <f t="shared" ca="1" si="74"/>
        <v>-166833</v>
      </c>
      <c r="AN77" s="903">
        <f t="shared" ca="1" si="74"/>
        <v>-166833</v>
      </c>
      <c r="AO77" s="903">
        <f t="shared" ca="1" si="74"/>
        <v>-166833</v>
      </c>
      <c r="AP77" s="903">
        <f t="shared" ca="1" si="74"/>
        <v>-166833</v>
      </c>
      <c r="AQ77" s="903">
        <f t="shared" ca="1" si="74"/>
        <v>-166833</v>
      </c>
      <c r="AR77" s="903">
        <f t="shared" ca="1" si="74"/>
        <v>-166833</v>
      </c>
      <c r="AS77" s="903">
        <f t="shared" ca="1" si="74"/>
        <v>-166833</v>
      </c>
      <c r="AT77" s="903">
        <f t="shared" ca="1" si="74"/>
        <v>-166833</v>
      </c>
      <c r="AU77" s="903">
        <f t="shared" ca="1" si="74"/>
        <v>-166833</v>
      </c>
      <c r="AV77" s="903">
        <f t="shared" ca="1" si="74"/>
        <v>-166833</v>
      </c>
      <c r="AW77" s="903">
        <f t="shared" ca="1" si="74"/>
        <v>-166833</v>
      </c>
      <c r="AX77" s="903">
        <f t="shared" ca="1" si="74"/>
        <v>-166833</v>
      </c>
      <c r="AY77" s="903">
        <f t="shared" ca="1" si="74"/>
        <v>-166833</v>
      </c>
      <c r="AZ77" s="903">
        <f t="shared" ca="1" si="74"/>
        <v>-166833</v>
      </c>
      <c r="BA77" s="903">
        <f t="shared" ca="1" si="74"/>
        <v>-166833</v>
      </c>
      <c r="BB77" s="903">
        <f t="shared" ca="1" si="74"/>
        <v>-166833</v>
      </c>
      <c r="BC77" s="903">
        <f t="shared" ca="1" si="74"/>
        <v>-166833</v>
      </c>
      <c r="BD77" s="903">
        <f t="shared" ca="1" si="74"/>
        <v>-166833</v>
      </c>
      <c r="BE77" s="903">
        <f t="shared" ca="1" si="74"/>
        <v>-166833</v>
      </c>
      <c r="BF77" s="903">
        <f t="shared" ca="1" si="74"/>
        <v>-166833</v>
      </c>
      <c r="BG77" s="903">
        <f t="shared" ca="1" si="74"/>
        <v>-166833</v>
      </c>
      <c r="BH77" s="903">
        <f t="shared" ca="1" si="74"/>
        <v>-166833</v>
      </c>
      <c r="BI77" s="903">
        <f t="shared" ca="1" si="74"/>
        <v>-166833</v>
      </c>
      <c r="BJ77" s="903">
        <f t="shared" ca="1" si="74"/>
        <v>-166833</v>
      </c>
      <c r="BK77" s="903">
        <f t="shared" ca="1" si="74"/>
        <v>-166833</v>
      </c>
      <c r="BL77" s="903">
        <f t="shared" ca="1" si="74"/>
        <v>-166833</v>
      </c>
      <c r="BM77" s="903">
        <f t="shared" ca="1" si="74"/>
        <v>-166833</v>
      </c>
      <c r="BN77" s="903">
        <f t="shared" ca="1" si="74"/>
        <v>-166833</v>
      </c>
      <c r="BO77" s="903">
        <f t="shared" ca="1" si="74"/>
        <v>-166833</v>
      </c>
      <c r="BP77" s="903">
        <f t="shared" ca="1" si="74"/>
        <v>-166833</v>
      </c>
      <c r="BQ77" s="903">
        <f t="shared" ca="1" si="74"/>
        <v>-166833</v>
      </c>
      <c r="BR77" s="903">
        <f t="shared" ca="1" si="74"/>
        <v>-166833</v>
      </c>
    </row>
    <row r="78" spans="12:70">
      <c r="M78" s="890">
        <f ca="1">P133</f>
        <v>8.5254776674283939E-3</v>
      </c>
      <c r="N78" s="883">
        <f t="shared" ca="1" si="72"/>
        <v>1031295</v>
      </c>
      <c r="P78" s="903">
        <f ca="1">N78</f>
        <v>1031295</v>
      </c>
      <c r="Q78" s="903">
        <f t="shared" ref="Q78:BR82" si="75">$H9</f>
        <v>0</v>
      </c>
      <c r="R78" s="903">
        <f t="shared" si="75"/>
        <v>0</v>
      </c>
      <c r="S78" s="903">
        <f t="shared" si="75"/>
        <v>0</v>
      </c>
      <c r="T78" s="903">
        <f t="shared" si="75"/>
        <v>0</v>
      </c>
      <c r="U78" s="903">
        <f t="shared" si="75"/>
        <v>0</v>
      </c>
      <c r="V78" s="903">
        <f t="shared" si="75"/>
        <v>0</v>
      </c>
      <c r="W78" s="903">
        <f t="shared" si="75"/>
        <v>0</v>
      </c>
      <c r="X78" s="903">
        <f t="shared" si="75"/>
        <v>0</v>
      </c>
      <c r="Y78" s="903">
        <f t="shared" si="75"/>
        <v>0</v>
      </c>
      <c r="Z78" s="903">
        <f t="shared" si="75"/>
        <v>0</v>
      </c>
      <c r="AA78" s="903">
        <f t="shared" si="75"/>
        <v>0</v>
      </c>
      <c r="AB78" s="903">
        <f t="shared" si="75"/>
        <v>0</v>
      </c>
      <c r="AC78" s="903">
        <f t="shared" si="75"/>
        <v>0</v>
      </c>
      <c r="AD78" s="903">
        <f t="shared" si="75"/>
        <v>0</v>
      </c>
      <c r="AE78" s="903">
        <f t="shared" si="75"/>
        <v>0</v>
      </c>
      <c r="AF78" s="903">
        <f t="shared" si="75"/>
        <v>0</v>
      </c>
      <c r="AG78" s="903">
        <f t="shared" si="75"/>
        <v>0</v>
      </c>
      <c r="AH78" s="903">
        <f t="shared" si="75"/>
        <v>0</v>
      </c>
      <c r="AI78" s="903">
        <f t="shared" si="75"/>
        <v>0</v>
      </c>
      <c r="AJ78" s="903">
        <f t="shared" si="75"/>
        <v>0</v>
      </c>
      <c r="AK78" s="903">
        <f t="shared" si="75"/>
        <v>0</v>
      </c>
      <c r="AL78" s="903">
        <f t="shared" si="75"/>
        <v>0</v>
      </c>
      <c r="AM78" s="903">
        <f t="shared" si="75"/>
        <v>0</v>
      </c>
      <c r="AN78" s="903">
        <f t="shared" si="75"/>
        <v>0</v>
      </c>
      <c r="AO78" s="903">
        <f t="shared" si="75"/>
        <v>0</v>
      </c>
      <c r="AP78" s="903">
        <f t="shared" si="75"/>
        <v>0</v>
      </c>
      <c r="AQ78" s="903">
        <f t="shared" si="75"/>
        <v>0</v>
      </c>
      <c r="AR78" s="903">
        <f t="shared" si="75"/>
        <v>0</v>
      </c>
      <c r="AS78" s="903">
        <f t="shared" si="75"/>
        <v>0</v>
      </c>
      <c r="AT78" s="903">
        <f t="shared" si="75"/>
        <v>0</v>
      </c>
      <c r="AU78" s="903">
        <f t="shared" si="75"/>
        <v>0</v>
      </c>
      <c r="AV78" s="903">
        <f t="shared" si="75"/>
        <v>0</v>
      </c>
      <c r="AW78" s="903">
        <f t="shared" si="75"/>
        <v>0</v>
      </c>
      <c r="AX78" s="903">
        <f t="shared" si="75"/>
        <v>0</v>
      </c>
      <c r="AY78" s="903">
        <f t="shared" si="75"/>
        <v>0</v>
      </c>
      <c r="AZ78" s="903">
        <f t="shared" si="75"/>
        <v>0</v>
      </c>
      <c r="BA78" s="903">
        <f t="shared" si="75"/>
        <v>0</v>
      </c>
      <c r="BB78" s="903">
        <f t="shared" si="75"/>
        <v>0</v>
      </c>
      <c r="BC78" s="903">
        <f t="shared" si="75"/>
        <v>0</v>
      </c>
      <c r="BD78" s="903">
        <f t="shared" si="75"/>
        <v>0</v>
      </c>
      <c r="BE78" s="903">
        <f t="shared" si="75"/>
        <v>0</v>
      </c>
      <c r="BF78" s="903">
        <f t="shared" si="75"/>
        <v>0</v>
      </c>
      <c r="BG78" s="903">
        <f t="shared" si="75"/>
        <v>0</v>
      </c>
      <c r="BH78" s="903">
        <f t="shared" si="75"/>
        <v>0</v>
      </c>
      <c r="BI78" s="903">
        <f t="shared" si="75"/>
        <v>0</v>
      </c>
      <c r="BJ78" s="903">
        <f t="shared" si="75"/>
        <v>0</v>
      </c>
      <c r="BK78" s="903">
        <f t="shared" si="75"/>
        <v>0</v>
      </c>
      <c r="BL78" s="903">
        <f t="shared" si="75"/>
        <v>0</v>
      </c>
      <c r="BM78" s="903">
        <f t="shared" si="75"/>
        <v>0</v>
      </c>
      <c r="BN78" s="903">
        <f t="shared" si="75"/>
        <v>0</v>
      </c>
      <c r="BO78" s="903">
        <f t="shared" si="75"/>
        <v>0</v>
      </c>
      <c r="BP78" s="903">
        <f t="shared" si="75"/>
        <v>0</v>
      </c>
      <c r="BQ78" s="903">
        <f t="shared" si="75"/>
        <v>0</v>
      </c>
      <c r="BR78" s="903">
        <f t="shared" si="75"/>
        <v>0</v>
      </c>
    </row>
    <row r="79" spans="12:70">
      <c r="M79" s="890">
        <f ca="1">Q133</f>
        <v>1.4754433304077885E-2</v>
      </c>
      <c r="N79" s="883">
        <f t="shared" ca="1" si="72"/>
        <v>1069531</v>
      </c>
      <c r="Q79" s="903">
        <f ca="1">N79</f>
        <v>1069531</v>
      </c>
      <c r="R79" s="903">
        <f t="shared" si="75"/>
        <v>0</v>
      </c>
      <c r="S79" s="903">
        <f t="shared" si="75"/>
        <v>0</v>
      </c>
      <c r="T79" s="903">
        <f t="shared" si="75"/>
        <v>0</v>
      </c>
      <c r="U79" s="903">
        <f t="shared" si="75"/>
        <v>0</v>
      </c>
      <c r="V79" s="903">
        <f t="shared" si="75"/>
        <v>0</v>
      </c>
      <c r="W79" s="903">
        <f t="shared" si="75"/>
        <v>0</v>
      </c>
      <c r="X79" s="903">
        <f t="shared" si="75"/>
        <v>0</v>
      </c>
      <c r="Y79" s="903">
        <f t="shared" si="75"/>
        <v>0</v>
      </c>
      <c r="Z79" s="903">
        <f t="shared" si="75"/>
        <v>0</v>
      </c>
      <c r="AA79" s="903">
        <f t="shared" si="75"/>
        <v>0</v>
      </c>
      <c r="AB79" s="903">
        <f t="shared" si="75"/>
        <v>0</v>
      </c>
      <c r="AC79" s="903">
        <f t="shared" si="75"/>
        <v>0</v>
      </c>
      <c r="AD79" s="903">
        <f t="shared" si="75"/>
        <v>0</v>
      </c>
      <c r="AE79" s="903">
        <f t="shared" si="75"/>
        <v>0</v>
      </c>
      <c r="AF79" s="903">
        <f t="shared" si="75"/>
        <v>0</v>
      </c>
      <c r="AG79" s="903">
        <f t="shared" si="75"/>
        <v>0</v>
      </c>
      <c r="AH79" s="903">
        <f t="shared" si="75"/>
        <v>0</v>
      </c>
      <c r="AI79" s="903">
        <f t="shared" si="75"/>
        <v>0</v>
      </c>
      <c r="AJ79" s="903">
        <f t="shared" si="75"/>
        <v>0</v>
      </c>
      <c r="AK79" s="903">
        <f t="shared" si="75"/>
        <v>0</v>
      </c>
      <c r="AL79" s="903">
        <f t="shared" si="75"/>
        <v>0</v>
      </c>
      <c r="AM79" s="903">
        <f t="shared" si="75"/>
        <v>0</v>
      </c>
      <c r="AN79" s="903">
        <f t="shared" si="75"/>
        <v>0</v>
      </c>
      <c r="AO79" s="903">
        <f t="shared" si="75"/>
        <v>0</v>
      </c>
      <c r="AP79" s="903">
        <f t="shared" si="75"/>
        <v>0</v>
      </c>
      <c r="AQ79" s="903">
        <f t="shared" si="75"/>
        <v>0</v>
      </c>
      <c r="AR79" s="903">
        <f t="shared" si="75"/>
        <v>0</v>
      </c>
      <c r="AS79" s="903">
        <f t="shared" si="75"/>
        <v>0</v>
      </c>
      <c r="AT79" s="903">
        <f t="shared" si="75"/>
        <v>0</v>
      </c>
      <c r="AU79" s="903">
        <f t="shared" si="75"/>
        <v>0</v>
      </c>
      <c r="AV79" s="903">
        <f t="shared" si="75"/>
        <v>0</v>
      </c>
      <c r="AW79" s="903">
        <f t="shared" si="75"/>
        <v>0</v>
      </c>
      <c r="AX79" s="903">
        <f t="shared" si="75"/>
        <v>0</v>
      </c>
      <c r="AY79" s="903">
        <f t="shared" si="75"/>
        <v>0</v>
      </c>
      <c r="AZ79" s="903">
        <f t="shared" si="75"/>
        <v>0</v>
      </c>
      <c r="BA79" s="903">
        <f t="shared" si="75"/>
        <v>0</v>
      </c>
      <c r="BB79" s="903">
        <f t="shared" si="75"/>
        <v>0</v>
      </c>
      <c r="BC79" s="903">
        <f t="shared" si="75"/>
        <v>0</v>
      </c>
      <c r="BD79" s="903">
        <f t="shared" si="75"/>
        <v>0</v>
      </c>
      <c r="BE79" s="903">
        <f t="shared" si="75"/>
        <v>0</v>
      </c>
      <c r="BF79" s="903">
        <f t="shared" si="75"/>
        <v>0</v>
      </c>
      <c r="BG79" s="903">
        <f t="shared" si="75"/>
        <v>0</v>
      </c>
      <c r="BH79" s="903">
        <f t="shared" si="75"/>
        <v>0</v>
      </c>
      <c r="BI79" s="903">
        <f t="shared" si="75"/>
        <v>0</v>
      </c>
      <c r="BJ79" s="903">
        <f t="shared" si="75"/>
        <v>0</v>
      </c>
      <c r="BK79" s="903">
        <f t="shared" si="75"/>
        <v>0</v>
      </c>
      <c r="BL79" s="903">
        <f t="shared" si="75"/>
        <v>0</v>
      </c>
      <c r="BM79" s="903">
        <f t="shared" si="75"/>
        <v>0</v>
      </c>
      <c r="BN79" s="903">
        <f t="shared" si="75"/>
        <v>0</v>
      </c>
      <c r="BO79" s="903">
        <f t="shared" si="75"/>
        <v>0</v>
      </c>
      <c r="BP79" s="903">
        <f t="shared" si="75"/>
        <v>0</v>
      </c>
      <c r="BQ79" s="903">
        <f t="shared" si="75"/>
        <v>0</v>
      </c>
      <c r="BR79" s="903">
        <f t="shared" si="75"/>
        <v>0</v>
      </c>
    </row>
    <row r="80" spans="12:70">
      <c r="M80" s="890">
        <f ca="1">R133</f>
        <v>1.6944414071134339E-2</v>
      </c>
      <c r="N80" s="883">
        <f t="shared" ca="1" si="72"/>
        <v>1098365</v>
      </c>
      <c r="Q80" s="903"/>
      <c r="R80" s="903">
        <f ca="1">N80</f>
        <v>1098365</v>
      </c>
      <c r="S80" s="903">
        <f t="shared" si="75"/>
        <v>0</v>
      </c>
      <c r="T80" s="903">
        <f t="shared" si="75"/>
        <v>0</v>
      </c>
      <c r="U80" s="903">
        <f t="shared" si="75"/>
        <v>0</v>
      </c>
      <c r="V80" s="903">
        <f t="shared" si="75"/>
        <v>0</v>
      </c>
      <c r="W80" s="903">
        <f t="shared" si="75"/>
        <v>0</v>
      </c>
      <c r="X80" s="903">
        <f t="shared" si="75"/>
        <v>0</v>
      </c>
      <c r="Y80" s="903">
        <f t="shared" si="75"/>
        <v>0</v>
      </c>
      <c r="Z80" s="903">
        <f t="shared" si="75"/>
        <v>0</v>
      </c>
      <c r="AA80" s="903">
        <f t="shared" si="75"/>
        <v>0</v>
      </c>
      <c r="AB80" s="903">
        <f t="shared" si="75"/>
        <v>0</v>
      </c>
      <c r="AC80" s="903">
        <f t="shared" si="75"/>
        <v>0</v>
      </c>
      <c r="AD80" s="903">
        <f t="shared" si="75"/>
        <v>0</v>
      </c>
      <c r="AE80" s="903">
        <f t="shared" si="75"/>
        <v>0</v>
      </c>
      <c r="AF80" s="903">
        <f t="shared" si="75"/>
        <v>0</v>
      </c>
      <c r="AG80" s="903">
        <f t="shared" si="75"/>
        <v>0</v>
      </c>
      <c r="AH80" s="903">
        <f t="shared" si="75"/>
        <v>0</v>
      </c>
      <c r="AI80" s="903">
        <f t="shared" si="75"/>
        <v>0</v>
      </c>
      <c r="AJ80" s="903">
        <f t="shared" si="75"/>
        <v>0</v>
      </c>
      <c r="AK80" s="903">
        <f t="shared" si="75"/>
        <v>0</v>
      </c>
      <c r="AL80" s="903">
        <f t="shared" si="75"/>
        <v>0</v>
      </c>
      <c r="AM80" s="903">
        <f t="shared" si="75"/>
        <v>0</v>
      </c>
      <c r="AN80" s="903">
        <f t="shared" si="75"/>
        <v>0</v>
      </c>
      <c r="AO80" s="903">
        <f t="shared" si="75"/>
        <v>0</v>
      </c>
      <c r="AP80" s="903">
        <f t="shared" si="75"/>
        <v>0</v>
      </c>
      <c r="AQ80" s="903">
        <f t="shared" si="75"/>
        <v>0</v>
      </c>
      <c r="AR80" s="903">
        <f t="shared" si="75"/>
        <v>0</v>
      </c>
      <c r="AS80" s="903">
        <f t="shared" si="75"/>
        <v>0</v>
      </c>
      <c r="AT80" s="903">
        <f t="shared" si="75"/>
        <v>0</v>
      </c>
      <c r="AU80" s="903">
        <f t="shared" si="75"/>
        <v>0</v>
      </c>
      <c r="AV80" s="903">
        <f t="shared" si="75"/>
        <v>0</v>
      </c>
      <c r="AW80" s="903">
        <f t="shared" si="75"/>
        <v>0</v>
      </c>
      <c r="AX80" s="903">
        <f t="shared" si="75"/>
        <v>0</v>
      </c>
      <c r="AY80" s="903">
        <f t="shared" si="75"/>
        <v>0</v>
      </c>
      <c r="AZ80" s="903">
        <f t="shared" si="75"/>
        <v>0</v>
      </c>
      <c r="BA80" s="903">
        <f t="shared" si="75"/>
        <v>0</v>
      </c>
      <c r="BB80" s="903">
        <f t="shared" si="75"/>
        <v>0</v>
      </c>
      <c r="BC80" s="903">
        <f t="shared" si="75"/>
        <v>0</v>
      </c>
      <c r="BD80" s="903">
        <f t="shared" si="75"/>
        <v>0</v>
      </c>
      <c r="BE80" s="903">
        <f t="shared" si="75"/>
        <v>0</v>
      </c>
      <c r="BF80" s="903">
        <f t="shared" si="75"/>
        <v>0</v>
      </c>
      <c r="BG80" s="903">
        <f t="shared" si="75"/>
        <v>0</v>
      </c>
      <c r="BH80" s="903">
        <f t="shared" si="75"/>
        <v>0</v>
      </c>
      <c r="BI80" s="903">
        <f t="shared" si="75"/>
        <v>0</v>
      </c>
      <c r="BJ80" s="903">
        <f t="shared" si="75"/>
        <v>0</v>
      </c>
      <c r="BK80" s="903">
        <f t="shared" si="75"/>
        <v>0</v>
      </c>
      <c r="BL80" s="903">
        <f t="shared" si="75"/>
        <v>0</v>
      </c>
      <c r="BM80" s="903">
        <f t="shared" si="75"/>
        <v>0</v>
      </c>
      <c r="BN80" s="903">
        <f t="shared" si="75"/>
        <v>0</v>
      </c>
      <c r="BO80" s="903">
        <f t="shared" si="75"/>
        <v>0</v>
      </c>
      <c r="BP80" s="903">
        <f t="shared" si="75"/>
        <v>0</v>
      </c>
      <c r="BQ80" s="903">
        <f t="shared" si="75"/>
        <v>0</v>
      </c>
      <c r="BR80" s="903">
        <f t="shared" si="75"/>
        <v>0</v>
      </c>
    </row>
    <row r="81" spans="13:70">
      <c r="M81" s="890">
        <f ca="1">S133</f>
        <v>1.8471590472290522E-2</v>
      </c>
      <c r="N81" s="883">
        <f t="shared" ca="1" si="72"/>
        <v>1128011</v>
      </c>
      <c r="Q81" s="903"/>
      <c r="R81" s="903"/>
      <c r="S81" s="903">
        <f ca="1">N81</f>
        <v>1128011</v>
      </c>
      <c r="T81" s="903">
        <f t="shared" si="75"/>
        <v>0</v>
      </c>
      <c r="U81" s="903">
        <f t="shared" si="75"/>
        <v>0</v>
      </c>
      <c r="V81" s="903">
        <f t="shared" si="75"/>
        <v>0</v>
      </c>
      <c r="W81" s="903">
        <f t="shared" si="75"/>
        <v>0</v>
      </c>
      <c r="X81" s="903">
        <f t="shared" si="75"/>
        <v>0</v>
      </c>
      <c r="Y81" s="903">
        <f t="shared" si="75"/>
        <v>0</v>
      </c>
      <c r="Z81" s="903">
        <f t="shared" si="75"/>
        <v>0</v>
      </c>
      <c r="AA81" s="903">
        <f t="shared" si="75"/>
        <v>0</v>
      </c>
      <c r="AB81" s="903">
        <f t="shared" si="75"/>
        <v>0</v>
      </c>
      <c r="AC81" s="903">
        <f t="shared" si="75"/>
        <v>0</v>
      </c>
      <c r="AD81" s="903">
        <f t="shared" si="75"/>
        <v>0</v>
      </c>
      <c r="AE81" s="903">
        <f t="shared" si="75"/>
        <v>0</v>
      </c>
      <c r="AF81" s="903">
        <f t="shared" si="75"/>
        <v>0</v>
      </c>
      <c r="AG81" s="903">
        <f t="shared" si="75"/>
        <v>0</v>
      </c>
      <c r="AH81" s="903">
        <f t="shared" si="75"/>
        <v>0</v>
      </c>
      <c r="AI81" s="903">
        <f t="shared" si="75"/>
        <v>0</v>
      </c>
      <c r="AJ81" s="903">
        <f t="shared" si="75"/>
        <v>0</v>
      </c>
      <c r="AK81" s="903">
        <f t="shared" si="75"/>
        <v>0</v>
      </c>
      <c r="AL81" s="903">
        <f t="shared" si="75"/>
        <v>0</v>
      </c>
      <c r="AM81" s="903">
        <f t="shared" si="75"/>
        <v>0</v>
      </c>
      <c r="AN81" s="903">
        <f t="shared" si="75"/>
        <v>0</v>
      </c>
      <c r="AO81" s="903">
        <f t="shared" si="75"/>
        <v>0</v>
      </c>
      <c r="AP81" s="903">
        <f t="shared" si="75"/>
        <v>0</v>
      </c>
      <c r="AQ81" s="903">
        <f t="shared" si="75"/>
        <v>0</v>
      </c>
      <c r="AR81" s="903">
        <f t="shared" si="75"/>
        <v>0</v>
      </c>
      <c r="AS81" s="903">
        <f t="shared" si="75"/>
        <v>0</v>
      </c>
      <c r="AT81" s="903">
        <f t="shared" si="75"/>
        <v>0</v>
      </c>
      <c r="AU81" s="903">
        <f t="shared" si="75"/>
        <v>0</v>
      </c>
      <c r="AV81" s="903">
        <f t="shared" si="75"/>
        <v>0</v>
      </c>
      <c r="AW81" s="903">
        <f t="shared" si="75"/>
        <v>0</v>
      </c>
      <c r="AX81" s="903">
        <f t="shared" si="75"/>
        <v>0</v>
      </c>
      <c r="AY81" s="903">
        <f t="shared" si="75"/>
        <v>0</v>
      </c>
      <c r="AZ81" s="903">
        <f t="shared" si="75"/>
        <v>0</v>
      </c>
      <c r="BA81" s="903">
        <f t="shared" si="75"/>
        <v>0</v>
      </c>
      <c r="BB81" s="903">
        <f t="shared" si="75"/>
        <v>0</v>
      </c>
      <c r="BC81" s="903">
        <f t="shared" si="75"/>
        <v>0</v>
      </c>
      <c r="BD81" s="903">
        <f t="shared" si="75"/>
        <v>0</v>
      </c>
      <c r="BE81" s="903">
        <f t="shared" si="75"/>
        <v>0</v>
      </c>
      <c r="BF81" s="903">
        <f t="shared" si="75"/>
        <v>0</v>
      </c>
      <c r="BG81" s="903">
        <f t="shared" si="75"/>
        <v>0</v>
      </c>
      <c r="BH81" s="903">
        <f t="shared" si="75"/>
        <v>0</v>
      </c>
      <c r="BI81" s="903">
        <f t="shared" si="75"/>
        <v>0</v>
      </c>
      <c r="BJ81" s="903">
        <f t="shared" si="75"/>
        <v>0</v>
      </c>
      <c r="BK81" s="903">
        <f t="shared" si="75"/>
        <v>0</v>
      </c>
      <c r="BL81" s="903">
        <f t="shared" si="75"/>
        <v>0</v>
      </c>
      <c r="BM81" s="903">
        <f t="shared" si="75"/>
        <v>0</v>
      </c>
      <c r="BN81" s="903">
        <f t="shared" si="75"/>
        <v>0</v>
      </c>
      <c r="BO81" s="903">
        <f t="shared" si="75"/>
        <v>0</v>
      </c>
      <c r="BP81" s="903">
        <f t="shared" si="75"/>
        <v>0</v>
      </c>
      <c r="BQ81" s="903">
        <f t="shared" si="75"/>
        <v>0</v>
      </c>
      <c r="BR81" s="903">
        <f t="shared" si="75"/>
        <v>0</v>
      </c>
    </row>
    <row r="82" spans="13:70">
      <c r="M82" s="890">
        <f ca="1">T133</f>
        <v>1.9601796289990148E-2</v>
      </c>
      <c r="N82" s="883">
        <f t="shared" ca="1" si="72"/>
        <v>1158514</v>
      </c>
      <c r="Q82" s="903"/>
      <c r="R82" s="903"/>
      <c r="S82" s="903"/>
      <c r="T82" s="903">
        <f ca="1">N82</f>
        <v>1158514</v>
      </c>
      <c r="U82" s="903">
        <f t="shared" si="75"/>
        <v>0</v>
      </c>
      <c r="V82" s="903">
        <f t="shared" si="75"/>
        <v>0</v>
      </c>
      <c r="W82" s="903">
        <f t="shared" si="75"/>
        <v>0</v>
      </c>
      <c r="X82" s="903">
        <f t="shared" si="75"/>
        <v>0</v>
      </c>
      <c r="Y82" s="903">
        <f t="shared" si="75"/>
        <v>0</v>
      </c>
      <c r="Z82" s="903">
        <f t="shared" si="75"/>
        <v>0</v>
      </c>
      <c r="AA82" s="903">
        <f t="shared" si="75"/>
        <v>0</v>
      </c>
      <c r="AB82" s="903">
        <f t="shared" si="75"/>
        <v>0</v>
      </c>
      <c r="AC82" s="903">
        <f t="shared" si="75"/>
        <v>0</v>
      </c>
      <c r="AD82" s="903">
        <f t="shared" si="75"/>
        <v>0</v>
      </c>
      <c r="AE82" s="903">
        <f t="shared" si="75"/>
        <v>0</v>
      </c>
      <c r="AF82" s="903">
        <f t="shared" si="75"/>
        <v>0</v>
      </c>
      <c r="AG82" s="903">
        <f t="shared" si="75"/>
        <v>0</v>
      </c>
      <c r="AH82" s="903">
        <f t="shared" si="75"/>
        <v>0</v>
      </c>
      <c r="AI82" s="903">
        <f t="shared" si="75"/>
        <v>0</v>
      </c>
      <c r="AJ82" s="903">
        <f t="shared" si="75"/>
        <v>0</v>
      </c>
      <c r="AK82" s="903">
        <f t="shared" si="75"/>
        <v>0</v>
      </c>
      <c r="AL82" s="903">
        <f t="shared" si="75"/>
        <v>0</v>
      </c>
      <c r="AM82" s="903">
        <f t="shared" si="75"/>
        <v>0</v>
      </c>
      <c r="AN82" s="903">
        <f t="shared" si="75"/>
        <v>0</v>
      </c>
      <c r="AO82" s="903">
        <f t="shared" si="75"/>
        <v>0</v>
      </c>
      <c r="AP82" s="903">
        <f t="shared" si="75"/>
        <v>0</v>
      </c>
      <c r="AQ82" s="903">
        <f t="shared" si="75"/>
        <v>0</v>
      </c>
      <c r="AR82" s="903">
        <f t="shared" si="75"/>
        <v>0</v>
      </c>
      <c r="AS82" s="903">
        <f t="shared" si="75"/>
        <v>0</v>
      </c>
      <c r="AT82" s="903">
        <f t="shared" si="75"/>
        <v>0</v>
      </c>
      <c r="AU82" s="903">
        <f t="shared" si="75"/>
        <v>0</v>
      </c>
      <c r="AV82" s="903">
        <f t="shared" si="75"/>
        <v>0</v>
      </c>
      <c r="AW82" s="903">
        <f t="shared" si="75"/>
        <v>0</v>
      </c>
      <c r="AX82" s="903">
        <f t="shared" si="75"/>
        <v>0</v>
      </c>
      <c r="AY82" s="903">
        <f t="shared" si="75"/>
        <v>0</v>
      </c>
      <c r="AZ82" s="903">
        <f t="shared" si="75"/>
        <v>0</v>
      </c>
      <c r="BA82" s="903">
        <f t="shared" si="75"/>
        <v>0</v>
      </c>
      <c r="BB82" s="903">
        <f t="shared" si="75"/>
        <v>0</v>
      </c>
      <c r="BC82" s="903">
        <f t="shared" si="75"/>
        <v>0</v>
      </c>
      <c r="BD82" s="903">
        <f t="shared" si="75"/>
        <v>0</v>
      </c>
      <c r="BE82" s="903">
        <f t="shared" si="75"/>
        <v>0</v>
      </c>
      <c r="BF82" s="903">
        <f t="shared" si="75"/>
        <v>0</v>
      </c>
      <c r="BG82" s="903">
        <f t="shared" si="75"/>
        <v>0</v>
      </c>
      <c r="BH82" s="903">
        <f t="shared" si="75"/>
        <v>0</v>
      </c>
      <c r="BI82" s="903">
        <f t="shared" si="75"/>
        <v>0</v>
      </c>
      <c r="BJ82" s="903">
        <f t="shared" si="75"/>
        <v>0</v>
      </c>
      <c r="BK82" s="903">
        <f t="shared" si="75"/>
        <v>0</v>
      </c>
      <c r="BL82" s="903">
        <f t="shared" si="75"/>
        <v>0</v>
      </c>
      <c r="BM82" s="903">
        <f t="shared" si="75"/>
        <v>0</v>
      </c>
      <c r="BN82" s="903">
        <f t="shared" ref="BN82:BR82" si="76">$H13</f>
        <v>0</v>
      </c>
      <c r="BO82" s="903">
        <f t="shared" si="76"/>
        <v>0</v>
      </c>
      <c r="BP82" s="903">
        <f t="shared" si="76"/>
        <v>0</v>
      </c>
      <c r="BQ82" s="903">
        <f t="shared" si="76"/>
        <v>0</v>
      </c>
      <c r="BR82" s="903">
        <f t="shared" si="76"/>
        <v>0</v>
      </c>
    </row>
    <row r="83" spans="13:70">
      <c r="M83" s="890">
        <f ca="1">U133</f>
        <v>2.0469858690298492E-2</v>
      </c>
      <c r="N83" s="883">
        <f t="shared" ca="1" si="72"/>
        <v>1189857</v>
      </c>
      <c r="Q83" s="903"/>
      <c r="R83" s="903"/>
      <c r="S83" s="903"/>
      <c r="T83" s="903"/>
      <c r="U83" s="903">
        <f ca="1">N83</f>
        <v>1189857</v>
      </c>
      <c r="V83" s="903">
        <f t="shared" ref="V83:BR88" si="77">$H14</f>
        <v>0</v>
      </c>
      <c r="W83" s="903">
        <f t="shared" si="77"/>
        <v>0</v>
      </c>
      <c r="X83" s="903">
        <f t="shared" si="77"/>
        <v>0</v>
      </c>
      <c r="Y83" s="903">
        <f t="shared" si="77"/>
        <v>0</v>
      </c>
      <c r="Z83" s="903">
        <f t="shared" si="77"/>
        <v>0</v>
      </c>
      <c r="AA83" s="903">
        <f t="shared" si="77"/>
        <v>0</v>
      </c>
      <c r="AB83" s="903">
        <f t="shared" si="77"/>
        <v>0</v>
      </c>
      <c r="AC83" s="903">
        <f t="shared" si="77"/>
        <v>0</v>
      </c>
      <c r="AD83" s="903">
        <f t="shared" si="77"/>
        <v>0</v>
      </c>
      <c r="AE83" s="903">
        <f t="shared" si="77"/>
        <v>0</v>
      </c>
      <c r="AF83" s="903">
        <f t="shared" si="77"/>
        <v>0</v>
      </c>
      <c r="AG83" s="903">
        <f t="shared" si="77"/>
        <v>0</v>
      </c>
      <c r="AH83" s="903">
        <f t="shared" si="77"/>
        <v>0</v>
      </c>
      <c r="AI83" s="903">
        <f t="shared" si="77"/>
        <v>0</v>
      </c>
      <c r="AJ83" s="903">
        <f t="shared" si="77"/>
        <v>0</v>
      </c>
      <c r="AK83" s="903">
        <f t="shared" si="77"/>
        <v>0</v>
      </c>
      <c r="AL83" s="903">
        <f t="shared" si="77"/>
        <v>0</v>
      </c>
      <c r="AM83" s="903">
        <f t="shared" si="77"/>
        <v>0</v>
      </c>
      <c r="AN83" s="903">
        <f t="shared" si="77"/>
        <v>0</v>
      </c>
      <c r="AO83" s="903">
        <f t="shared" si="77"/>
        <v>0</v>
      </c>
      <c r="AP83" s="903">
        <f t="shared" si="77"/>
        <v>0</v>
      </c>
      <c r="AQ83" s="903">
        <f t="shared" si="77"/>
        <v>0</v>
      </c>
      <c r="AR83" s="903">
        <f t="shared" si="77"/>
        <v>0</v>
      </c>
      <c r="AS83" s="903">
        <f t="shared" si="77"/>
        <v>0</v>
      </c>
      <c r="AT83" s="903">
        <f t="shared" si="77"/>
        <v>0</v>
      </c>
      <c r="AU83" s="903">
        <f t="shared" si="77"/>
        <v>0</v>
      </c>
      <c r="AV83" s="903">
        <f t="shared" si="77"/>
        <v>0</v>
      </c>
      <c r="AW83" s="903">
        <f t="shared" si="77"/>
        <v>0</v>
      </c>
      <c r="AX83" s="903">
        <f t="shared" si="77"/>
        <v>0</v>
      </c>
      <c r="AY83" s="903">
        <f t="shared" si="77"/>
        <v>0</v>
      </c>
      <c r="AZ83" s="903">
        <f t="shared" si="77"/>
        <v>0</v>
      </c>
      <c r="BA83" s="903">
        <f t="shared" si="77"/>
        <v>0</v>
      </c>
      <c r="BB83" s="903">
        <f t="shared" si="77"/>
        <v>0</v>
      </c>
      <c r="BC83" s="903">
        <f t="shared" si="77"/>
        <v>0</v>
      </c>
      <c r="BD83" s="903">
        <f t="shared" si="77"/>
        <v>0</v>
      </c>
      <c r="BE83" s="903">
        <f t="shared" si="77"/>
        <v>0</v>
      </c>
      <c r="BF83" s="903">
        <f t="shared" si="77"/>
        <v>0</v>
      </c>
      <c r="BG83" s="903">
        <f t="shared" si="77"/>
        <v>0</v>
      </c>
      <c r="BH83" s="903">
        <f t="shared" si="77"/>
        <v>0</v>
      </c>
      <c r="BI83" s="903">
        <f t="shared" si="77"/>
        <v>0</v>
      </c>
      <c r="BJ83" s="903">
        <f t="shared" si="77"/>
        <v>0</v>
      </c>
      <c r="BK83" s="903">
        <f t="shared" si="77"/>
        <v>0</v>
      </c>
      <c r="BL83" s="903">
        <f t="shared" si="77"/>
        <v>0</v>
      </c>
      <c r="BM83" s="903">
        <f t="shared" si="77"/>
        <v>0</v>
      </c>
      <c r="BN83" s="903">
        <f t="shared" si="77"/>
        <v>0</v>
      </c>
      <c r="BO83" s="903">
        <f t="shared" si="77"/>
        <v>0</v>
      </c>
      <c r="BP83" s="903">
        <f t="shared" si="77"/>
        <v>0</v>
      </c>
      <c r="BQ83" s="903">
        <f t="shared" si="77"/>
        <v>0</v>
      </c>
      <c r="BR83" s="903">
        <f t="shared" si="77"/>
        <v>0</v>
      </c>
    </row>
    <row r="84" spans="13:70">
      <c r="M84" s="890">
        <f ca="1">V133</f>
        <v>2.1156556097163159E-2</v>
      </c>
      <c r="N84" s="883">
        <f t="shared" ca="1" si="72"/>
        <v>1222047</v>
      </c>
      <c r="Q84" s="903"/>
      <c r="R84" s="903"/>
      <c r="S84" s="903"/>
      <c r="T84" s="903"/>
      <c r="U84" s="903"/>
      <c r="V84" s="903">
        <f ca="1">N84</f>
        <v>1222047</v>
      </c>
      <c r="W84" s="903">
        <f t="shared" si="77"/>
        <v>0</v>
      </c>
      <c r="X84" s="903">
        <f t="shared" si="77"/>
        <v>0</v>
      </c>
      <c r="Y84" s="903">
        <f t="shared" si="77"/>
        <v>0</v>
      </c>
      <c r="Z84" s="903">
        <f t="shared" si="77"/>
        <v>0</v>
      </c>
      <c r="AA84" s="903">
        <f t="shared" si="77"/>
        <v>0</v>
      </c>
      <c r="AB84" s="903">
        <f t="shared" si="77"/>
        <v>0</v>
      </c>
      <c r="AC84" s="903">
        <f t="shared" si="77"/>
        <v>0</v>
      </c>
      <c r="AD84" s="903">
        <f t="shared" si="77"/>
        <v>0</v>
      </c>
      <c r="AE84" s="903">
        <f t="shared" si="77"/>
        <v>0</v>
      </c>
      <c r="AF84" s="903">
        <f t="shared" si="77"/>
        <v>0</v>
      </c>
      <c r="AG84" s="903">
        <f t="shared" si="77"/>
        <v>0</v>
      </c>
      <c r="AH84" s="903">
        <f t="shared" si="77"/>
        <v>0</v>
      </c>
      <c r="AI84" s="903">
        <f t="shared" si="77"/>
        <v>0</v>
      </c>
      <c r="AJ84" s="903">
        <f t="shared" si="77"/>
        <v>0</v>
      </c>
      <c r="AK84" s="903">
        <f t="shared" si="77"/>
        <v>0</v>
      </c>
      <c r="AL84" s="903">
        <f t="shared" si="77"/>
        <v>0</v>
      </c>
      <c r="AM84" s="903">
        <f t="shared" si="77"/>
        <v>0</v>
      </c>
      <c r="AN84" s="903">
        <f t="shared" si="77"/>
        <v>0</v>
      </c>
      <c r="AO84" s="903">
        <f t="shared" si="77"/>
        <v>0</v>
      </c>
      <c r="AP84" s="903">
        <f t="shared" si="77"/>
        <v>0</v>
      </c>
      <c r="AQ84" s="903">
        <f t="shared" si="77"/>
        <v>0</v>
      </c>
      <c r="AR84" s="903">
        <f t="shared" si="77"/>
        <v>0</v>
      </c>
      <c r="AS84" s="903">
        <f t="shared" si="77"/>
        <v>0</v>
      </c>
      <c r="AT84" s="903">
        <f t="shared" si="77"/>
        <v>0</v>
      </c>
      <c r="AU84" s="903">
        <f t="shared" si="77"/>
        <v>0</v>
      </c>
      <c r="AV84" s="903">
        <f t="shared" si="77"/>
        <v>0</v>
      </c>
      <c r="AW84" s="903">
        <f t="shared" si="77"/>
        <v>0</v>
      </c>
      <c r="AX84" s="903">
        <f t="shared" si="77"/>
        <v>0</v>
      </c>
      <c r="AY84" s="903">
        <f t="shared" si="77"/>
        <v>0</v>
      </c>
      <c r="AZ84" s="903">
        <f t="shared" si="77"/>
        <v>0</v>
      </c>
      <c r="BA84" s="903">
        <f t="shared" si="77"/>
        <v>0</v>
      </c>
      <c r="BB84" s="903">
        <f t="shared" si="77"/>
        <v>0</v>
      </c>
      <c r="BC84" s="903">
        <f t="shared" si="77"/>
        <v>0</v>
      </c>
      <c r="BD84" s="903">
        <f t="shared" si="77"/>
        <v>0</v>
      </c>
      <c r="BE84" s="903">
        <f t="shared" si="77"/>
        <v>0</v>
      </c>
      <c r="BF84" s="903">
        <f t="shared" si="77"/>
        <v>0</v>
      </c>
      <c r="BG84" s="903">
        <f t="shared" si="77"/>
        <v>0</v>
      </c>
      <c r="BH84" s="903">
        <f t="shared" si="77"/>
        <v>0</v>
      </c>
      <c r="BI84" s="903">
        <f t="shared" si="77"/>
        <v>0</v>
      </c>
      <c r="BJ84" s="903">
        <f t="shared" si="77"/>
        <v>0</v>
      </c>
      <c r="BK84" s="903">
        <f t="shared" si="77"/>
        <v>0</v>
      </c>
      <c r="BL84" s="903">
        <f t="shared" si="77"/>
        <v>0</v>
      </c>
      <c r="BM84" s="903">
        <f t="shared" si="77"/>
        <v>0</v>
      </c>
      <c r="BN84" s="903">
        <f t="shared" si="77"/>
        <v>0</v>
      </c>
      <c r="BO84" s="903">
        <f t="shared" si="77"/>
        <v>0</v>
      </c>
      <c r="BP84" s="903">
        <f t="shared" si="77"/>
        <v>0</v>
      </c>
      <c r="BQ84" s="903">
        <f t="shared" si="77"/>
        <v>0</v>
      </c>
      <c r="BR84" s="903">
        <f t="shared" si="77"/>
        <v>0</v>
      </c>
    </row>
    <row r="85" spans="13:70">
      <c r="M85" s="890">
        <f ca="1">W133</f>
        <v>2.1712992028837697E-2</v>
      </c>
      <c r="N85" s="883">
        <f t="shared" ca="1" si="72"/>
        <v>1255102</v>
      </c>
      <c r="Q85" s="903"/>
      <c r="R85" s="903"/>
      <c r="S85" s="903"/>
      <c r="T85" s="903"/>
      <c r="U85" s="903"/>
      <c r="V85" s="903"/>
      <c r="W85" s="903">
        <f ca="1">N85</f>
        <v>1255102</v>
      </c>
      <c r="X85" s="903">
        <f t="shared" si="77"/>
        <v>0</v>
      </c>
      <c r="Y85" s="903">
        <f t="shared" si="77"/>
        <v>0</v>
      </c>
      <c r="Z85" s="903">
        <f t="shared" si="77"/>
        <v>0</v>
      </c>
      <c r="AA85" s="903">
        <f t="shared" si="77"/>
        <v>0</v>
      </c>
      <c r="AB85" s="903">
        <f t="shared" si="77"/>
        <v>0</v>
      </c>
      <c r="AC85" s="903">
        <f t="shared" si="77"/>
        <v>0</v>
      </c>
      <c r="AD85" s="903">
        <f t="shared" si="77"/>
        <v>0</v>
      </c>
      <c r="AE85" s="903">
        <f t="shared" si="77"/>
        <v>0</v>
      </c>
      <c r="AF85" s="903">
        <f t="shared" si="77"/>
        <v>0</v>
      </c>
      <c r="AG85" s="903">
        <f t="shared" si="77"/>
        <v>0</v>
      </c>
      <c r="AH85" s="903">
        <f t="shared" si="77"/>
        <v>0</v>
      </c>
      <c r="AI85" s="903">
        <f t="shared" si="77"/>
        <v>0</v>
      </c>
      <c r="AJ85" s="903">
        <f t="shared" si="77"/>
        <v>0</v>
      </c>
      <c r="AK85" s="903">
        <f t="shared" si="77"/>
        <v>0</v>
      </c>
      <c r="AL85" s="903">
        <f t="shared" si="77"/>
        <v>0</v>
      </c>
      <c r="AM85" s="903">
        <f t="shared" si="77"/>
        <v>0</v>
      </c>
      <c r="AN85" s="903">
        <f t="shared" si="77"/>
        <v>0</v>
      </c>
      <c r="AO85" s="903">
        <f t="shared" si="77"/>
        <v>0</v>
      </c>
      <c r="AP85" s="903">
        <f t="shared" si="77"/>
        <v>0</v>
      </c>
      <c r="AQ85" s="903">
        <f t="shared" si="77"/>
        <v>0</v>
      </c>
      <c r="AR85" s="903">
        <f t="shared" si="77"/>
        <v>0</v>
      </c>
      <c r="AS85" s="903">
        <f t="shared" si="77"/>
        <v>0</v>
      </c>
      <c r="AT85" s="903">
        <f t="shared" si="77"/>
        <v>0</v>
      </c>
      <c r="AU85" s="903">
        <f t="shared" si="77"/>
        <v>0</v>
      </c>
      <c r="AV85" s="903">
        <f t="shared" si="77"/>
        <v>0</v>
      </c>
      <c r="AW85" s="903">
        <f t="shared" si="77"/>
        <v>0</v>
      </c>
      <c r="AX85" s="903">
        <f t="shared" si="77"/>
        <v>0</v>
      </c>
      <c r="AY85" s="903">
        <f t="shared" si="77"/>
        <v>0</v>
      </c>
      <c r="AZ85" s="903">
        <f t="shared" si="77"/>
        <v>0</v>
      </c>
      <c r="BA85" s="903">
        <f t="shared" si="77"/>
        <v>0</v>
      </c>
      <c r="BB85" s="903">
        <f t="shared" si="77"/>
        <v>0</v>
      </c>
      <c r="BC85" s="903">
        <f t="shared" si="77"/>
        <v>0</v>
      </c>
      <c r="BD85" s="903">
        <f t="shared" si="77"/>
        <v>0</v>
      </c>
      <c r="BE85" s="903">
        <f t="shared" si="77"/>
        <v>0</v>
      </c>
      <c r="BF85" s="903">
        <f t="shared" si="77"/>
        <v>0</v>
      </c>
      <c r="BG85" s="903">
        <f t="shared" si="77"/>
        <v>0</v>
      </c>
      <c r="BH85" s="903">
        <f t="shared" si="77"/>
        <v>0</v>
      </c>
      <c r="BI85" s="903">
        <f t="shared" si="77"/>
        <v>0</v>
      </c>
      <c r="BJ85" s="903">
        <f t="shared" si="77"/>
        <v>0</v>
      </c>
      <c r="BK85" s="903">
        <f t="shared" si="77"/>
        <v>0</v>
      </c>
      <c r="BL85" s="903">
        <f t="shared" si="77"/>
        <v>0</v>
      </c>
      <c r="BM85" s="903">
        <f t="shared" si="77"/>
        <v>0</v>
      </c>
      <c r="BN85" s="903">
        <f t="shared" si="77"/>
        <v>0</v>
      </c>
      <c r="BO85" s="903">
        <f t="shared" si="77"/>
        <v>0</v>
      </c>
      <c r="BP85" s="903">
        <f t="shared" si="77"/>
        <v>0</v>
      </c>
      <c r="BQ85" s="903">
        <f t="shared" si="77"/>
        <v>0</v>
      </c>
      <c r="BR85" s="903">
        <f t="shared" si="77"/>
        <v>0</v>
      </c>
    </row>
    <row r="86" spans="13:70">
      <c r="M86" s="890">
        <f ca="1">X133</f>
        <v>2.2172309907734888E-2</v>
      </c>
      <c r="N86" s="883">
        <f t="shared" ca="1" si="72"/>
        <v>1289036</v>
      </c>
      <c r="Q86" s="903"/>
      <c r="R86" s="903"/>
      <c r="S86" s="903"/>
      <c r="T86" s="903"/>
      <c r="U86" s="903"/>
      <c r="V86" s="903"/>
      <c r="W86" s="903"/>
      <c r="X86" s="903">
        <f ca="1">N86</f>
        <v>1289036</v>
      </c>
      <c r="Y86" s="903">
        <f t="shared" si="77"/>
        <v>0</v>
      </c>
      <c r="Z86" s="903">
        <f t="shared" si="77"/>
        <v>0</v>
      </c>
      <c r="AA86" s="903">
        <f t="shared" si="77"/>
        <v>0</v>
      </c>
      <c r="AB86" s="903">
        <f t="shared" si="77"/>
        <v>0</v>
      </c>
      <c r="AC86" s="903">
        <f t="shared" si="77"/>
        <v>0</v>
      </c>
      <c r="AD86" s="903">
        <f t="shared" si="77"/>
        <v>0</v>
      </c>
      <c r="AE86" s="903">
        <f t="shared" si="77"/>
        <v>0</v>
      </c>
      <c r="AF86" s="903">
        <f t="shared" si="77"/>
        <v>0</v>
      </c>
      <c r="AG86" s="903">
        <f t="shared" si="77"/>
        <v>0</v>
      </c>
      <c r="AH86" s="903">
        <f t="shared" si="77"/>
        <v>0</v>
      </c>
      <c r="AI86" s="903">
        <f t="shared" si="77"/>
        <v>0</v>
      </c>
      <c r="AJ86" s="903">
        <f t="shared" si="77"/>
        <v>0</v>
      </c>
      <c r="AK86" s="903">
        <f t="shared" si="77"/>
        <v>0</v>
      </c>
      <c r="AL86" s="903">
        <f t="shared" si="77"/>
        <v>0</v>
      </c>
      <c r="AM86" s="903">
        <f t="shared" si="77"/>
        <v>0</v>
      </c>
      <c r="AN86" s="903">
        <f t="shared" si="77"/>
        <v>0</v>
      </c>
      <c r="AO86" s="903">
        <f t="shared" si="77"/>
        <v>0</v>
      </c>
      <c r="AP86" s="903">
        <f t="shared" si="77"/>
        <v>0</v>
      </c>
      <c r="AQ86" s="903">
        <f t="shared" si="77"/>
        <v>0</v>
      </c>
      <c r="AR86" s="903">
        <f t="shared" si="77"/>
        <v>0</v>
      </c>
      <c r="AS86" s="903">
        <f t="shared" si="77"/>
        <v>0</v>
      </c>
      <c r="AT86" s="903">
        <f t="shared" si="77"/>
        <v>0</v>
      </c>
      <c r="AU86" s="903">
        <f t="shared" si="77"/>
        <v>0</v>
      </c>
      <c r="AV86" s="903">
        <f t="shared" si="77"/>
        <v>0</v>
      </c>
      <c r="AW86" s="903">
        <f t="shared" si="77"/>
        <v>0</v>
      </c>
      <c r="AX86" s="903">
        <f t="shared" si="77"/>
        <v>0</v>
      </c>
      <c r="AY86" s="903">
        <f t="shared" si="77"/>
        <v>0</v>
      </c>
      <c r="AZ86" s="903">
        <f t="shared" si="77"/>
        <v>0</v>
      </c>
      <c r="BA86" s="903">
        <f t="shared" si="77"/>
        <v>0</v>
      </c>
      <c r="BB86" s="903">
        <f t="shared" si="77"/>
        <v>0</v>
      </c>
      <c r="BC86" s="903">
        <f t="shared" si="77"/>
        <v>0</v>
      </c>
      <c r="BD86" s="903">
        <f t="shared" si="77"/>
        <v>0</v>
      </c>
      <c r="BE86" s="903">
        <f t="shared" si="77"/>
        <v>0</v>
      </c>
      <c r="BF86" s="903">
        <f t="shared" si="77"/>
        <v>0</v>
      </c>
      <c r="BG86" s="903">
        <f t="shared" si="77"/>
        <v>0</v>
      </c>
      <c r="BH86" s="903">
        <f t="shared" si="77"/>
        <v>0</v>
      </c>
      <c r="BI86" s="903">
        <f t="shared" si="77"/>
        <v>0</v>
      </c>
      <c r="BJ86" s="903">
        <f t="shared" si="77"/>
        <v>0</v>
      </c>
      <c r="BK86" s="903">
        <f t="shared" si="77"/>
        <v>0</v>
      </c>
      <c r="BL86" s="903">
        <f t="shared" si="77"/>
        <v>0</v>
      </c>
      <c r="BM86" s="903">
        <f t="shared" si="77"/>
        <v>0</v>
      </c>
      <c r="BN86" s="903">
        <f t="shared" si="77"/>
        <v>0</v>
      </c>
      <c r="BO86" s="903">
        <f t="shared" si="77"/>
        <v>0</v>
      </c>
      <c r="BP86" s="903">
        <f t="shared" si="77"/>
        <v>0</v>
      </c>
      <c r="BQ86" s="903">
        <f t="shared" si="77"/>
        <v>0</v>
      </c>
      <c r="BR86" s="903">
        <f t="shared" si="77"/>
        <v>0</v>
      </c>
    </row>
    <row r="87" spans="13:70">
      <c r="M87" s="890">
        <f ca="1">Y133</f>
        <v>2.2559707552536556E-2</v>
      </c>
      <c r="N87" s="883">
        <f t="shared" ca="1" si="72"/>
        <v>1323905</v>
      </c>
      <c r="Q87" s="903"/>
      <c r="R87" s="903"/>
      <c r="S87" s="903"/>
      <c r="T87" s="903"/>
      <c r="U87" s="903"/>
      <c r="V87" s="903"/>
      <c r="W87" s="903"/>
      <c r="X87" s="903"/>
      <c r="Y87" s="903">
        <f ca="1">N87</f>
        <v>1323905</v>
      </c>
      <c r="Z87" s="903">
        <f t="shared" si="77"/>
        <v>0</v>
      </c>
      <c r="AA87" s="903">
        <f t="shared" si="77"/>
        <v>0</v>
      </c>
      <c r="AB87" s="903">
        <f t="shared" si="77"/>
        <v>0</v>
      </c>
      <c r="AC87" s="903">
        <f t="shared" si="77"/>
        <v>0</v>
      </c>
      <c r="AD87" s="903">
        <f t="shared" si="77"/>
        <v>0</v>
      </c>
      <c r="AE87" s="903">
        <f t="shared" si="77"/>
        <v>0</v>
      </c>
      <c r="AF87" s="903">
        <f t="shared" si="77"/>
        <v>0</v>
      </c>
      <c r="AG87" s="903">
        <f t="shared" si="77"/>
        <v>0</v>
      </c>
      <c r="AH87" s="903">
        <f t="shared" si="77"/>
        <v>0</v>
      </c>
      <c r="AI87" s="903">
        <f t="shared" si="77"/>
        <v>0</v>
      </c>
      <c r="AJ87" s="903">
        <f t="shared" si="77"/>
        <v>0</v>
      </c>
      <c r="AK87" s="903">
        <f t="shared" si="77"/>
        <v>0</v>
      </c>
      <c r="AL87" s="903">
        <f t="shared" si="77"/>
        <v>0</v>
      </c>
      <c r="AM87" s="903">
        <f t="shared" si="77"/>
        <v>0</v>
      </c>
      <c r="AN87" s="903">
        <f t="shared" si="77"/>
        <v>0</v>
      </c>
      <c r="AO87" s="903">
        <f t="shared" si="77"/>
        <v>0</v>
      </c>
      <c r="AP87" s="903">
        <f t="shared" si="77"/>
        <v>0</v>
      </c>
      <c r="AQ87" s="903">
        <f t="shared" si="77"/>
        <v>0</v>
      </c>
      <c r="AR87" s="903">
        <f t="shared" si="77"/>
        <v>0</v>
      </c>
      <c r="AS87" s="903">
        <f t="shared" si="77"/>
        <v>0</v>
      </c>
      <c r="AT87" s="903">
        <f t="shared" si="77"/>
        <v>0</v>
      </c>
      <c r="AU87" s="903">
        <f t="shared" si="77"/>
        <v>0</v>
      </c>
      <c r="AV87" s="903">
        <f t="shared" si="77"/>
        <v>0</v>
      </c>
      <c r="AW87" s="903">
        <f t="shared" si="77"/>
        <v>0</v>
      </c>
      <c r="AX87" s="903">
        <f t="shared" si="77"/>
        <v>0</v>
      </c>
      <c r="AY87" s="903">
        <f t="shared" si="77"/>
        <v>0</v>
      </c>
      <c r="AZ87" s="903">
        <f t="shared" si="77"/>
        <v>0</v>
      </c>
      <c r="BA87" s="903">
        <f t="shared" si="77"/>
        <v>0</v>
      </c>
      <c r="BB87" s="903">
        <f t="shared" si="77"/>
        <v>0</v>
      </c>
      <c r="BC87" s="903">
        <f t="shared" si="77"/>
        <v>0</v>
      </c>
      <c r="BD87" s="903">
        <f t="shared" si="77"/>
        <v>0</v>
      </c>
      <c r="BE87" s="903">
        <f t="shared" si="77"/>
        <v>0</v>
      </c>
      <c r="BF87" s="903">
        <f t="shared" si="77"/>
        <v>0</v>
      </c>
      <c r="BG87" s="903">
        <f t="shared" si="77"/>
        <v>0</v>
      </c>
      <c r="BH87" s="903">
        <f t="shared" si="77"/>
        <v>0</v>
      </c>
      <c r="BI87" s="903">
        <f t="shared" si="77"/>
        <v>0</v>
      </c>
      <c r="BJ87" s="903">
        <f t="shared" si="77"/>
        <v>0</v>
      </c>
      <c r="BK87" s="903">
        <f t="shared" si="77"/>
        <v>0</v>
      </c>
      <c r="BL87" s="903">
        <f t="shared" si="77"/>
        <v>0</v>
      </c>
      <c r="BM87" s="903">
        <f t="shared" si="77"/>
        <v>0</v>
      </c>
      <c r="BN87" s="903">
        <f t="shared" si="77"/>
        <v>0</v>
      </c>
      <c r="BO87" s="903">
        <f t="shared" si="77"/>
        <v>0</v>
      </c>
      <c r="BP87" s="903">
        <f t="shared" si="77"/>
        <v>0</v>
      </c>
      <c r="BQ87" s="903">
        <f t="shared" si="77"/>
        <v>0</v>
      </c>
      <c r="BR87" s="903">
        <f t="shared" si="77"/>
        <v>0</v>
      </c>
    </row>
    <row r="88" spans="13:70">
      <c r="M88" s="890">
        <f ca="1">Z133</f>
        <v>2.2889731835542992E-2</v>
      </c>
      <c r="N88" s="883">
        <f t="shared" ca="1" si="72"/>
        <v>1359711</v>
      </c>
      <c r="Q88" s="903"/>
      <c r="R88" s="903"/>
      <c r="S88" s="903"/>
      <c r="T88" s="903"/>
      <c r="U88" s="903"/>
      <c r="V88" s="903"/>
      <c r="W88" s="903"/>
      <c r="X88" s="903"/>
      <c r="Y88" s="903"/>
      <c r="Z88" s="903">
        <f ca="1">N88</f>
        <v>1359711</v>
      </c>
      <c r="AA88" s="903">
        <f t="shared" si="77"/>
        <v>0</v>
      </c>
      <c r="AB88" s="903">
        <f t="shared" si="77"/>
        <v>0</v>
      </c>
      <c r="AC88" s="903">
        <f t="shared" si="77"/>
        <v>0</v>
      </c>
      <c r="AD88" s="903">
        <f t="shared" si="77"/>
        <v>0</v>
      </c>
      <c r="AE88" s="903">
        <f t="shared" si="77"/>
        <v>0</v>
      </c>
      <c r="AF88" s="903">
        <f t="shared" si="77"/>
        <v>0</v>
      </c>
      <c r="AG88" s="903">
        <f t="shared" si="77"/>
        <v>0</v>
      </c>
      <c r="AH88" s="903">
        <f t="shared" si="77"/>
        <v>0</v>
      </c>
      <c r="AI88" s="903">
        <f t="shared" si="77"/>
        <v>0</v>
      </c>
      <c r="AJ88" s="903">
        <f t="shared" si="77"/>
        <v>0</v>
      </c>
      <c r="AK88" s="903">
        <f t="shared" si="77"/>
        <v>0</v>
      </c>
      <c r="AL88" s="903">
        <f t="shared" si="77"/>
        <v>0</v>
      </c>
      <c r="AM88" s="903">
        <f t="shared" si="77"/>
        <v>0</v>
      </c>
      <c r="AN88" s="903">
        <f t="shared" si="77"/>
        <v>0</v>
      </c>
      <c r="AO88" s="903">
        <f t="shared" si="77"/>
        <v>0</v>
      </c>
      <c r="AP88" s="903">
        <f t="shared" si="77"/>
        <v>0</v>
      </c>
      <c r="AQ88" s="903">
        <f t="shared" si="77"/>
        <v>0</v>
      </c>
      <c r="AR88" s="903">
        <f t="shared" si="77"/>
        <v>0</v>
      </c>
      <c r="AS88" s="903">
        <f t="shared" si="77"/>
        <v>0</v>
      </c>
      <c r="AT88" s="903">
        <f t="shared" si="77"/>
        <v>0</v>
      </c>
      <c r="AU88" s="903">
        <f t="shared" ref="AU88:BR88" si="78">$H19</f>
        <v>0</v>
      </c>
      <c r="AV88" s="903">
        <f t="shared" si="78"/>
        <v>0</v>
      </c>
      <c r="AW88" s="903">
        <f t="shared" si="78"/>
        <v>0</v>
      </c>
      <c r="AX88" s="903">
        <f t="shared" si="78"/>
        <v>0</v>
      </c>
      <c r="AY88" s="903">
        <f t="shared" si="78"/>
        <v>0</v>
      </c>
      <c r="AZ88" s="903">
        <f t="shared" si="78"/>
        <v>0</v>
      </c>
      <c r="BA88" s="903">
        <f t="shared" si="78"/>
        <v>0</v>
      </c>
      <c r="BB88" s="903">
        <f t="shared" si="78"/>
        <v>0</v>
      </c>
      <c r="BC88" s="903">
        <f t="shared" si="78"/>
        <v>0</v>
      </c>
      <c r="BD88" s="903">
        <f t="shared" si="78"/>
        <v>0</v>
      </c>
      <c r="BE88" s="903">
        <f t="shared" si="78"/>
        <v>0</v>
      </c>
      <c r="BF88" s="903">
        <f t="shared" si="78"/>
        <v>0</v>
      </c>
      <c r="BG88" s="903">
        <f t="shared" si="78"/>
        <v>0</v>
      </c>
      <c r="BH88" s="903">
        <f t="shared" si="78"/>
        <v>0</v>
      </c>
      <c r="BI88" s="903">
        <f t="shared" si="78"/>
        <v>0</v>
      </c>
      <c r="BJ88" s="903">
        <f t="shared" si="78"/>
        <v>0</v>
      </c>
      <c r="BK88" s="903">
        <f t="shared" si="78"/>
        <v>0</v>
      </c>
      <c r="BL88" s="903">
        <f t="shared" si="78"/>
        <v>0</v>
      </c>
      <c r="BM88" s="903">
        <f t="shared" si="78"/>
        <v>0</v>
      </c>
      <c r="BN88" s="903">
        <f t="shared" si="78"/>
        <v>0</v>
      </c>
      <c r="BO88" s="903">
        <f t="shared" si="78"/>
        <v>0</v>
      </c>
      <c r="BP88" s="903">
        <f t="shared" si="78"/>
        <v>0</v>
      </c>
      <c r="BQ88" s="903">
        <f t="shared" si="78"/>
        <v>0</v>
      </c>
      <c r="BR88" s="903">
        <f t="shared" si="78"/>
        <v>0</v>
      </c>
    </row>
    <row r="89" spans="13:70">
      <c r="M89" s="890">
        <f ca="1">AA133</f>
        <v>2.317589694662936E-2</v>
      </c>
      <c r="N89" s="883">
        <f t="shared" ca="1" si="72"/>
        <v>1396513</v>
      </c>
      <c r="Q89" s="903"/>
      <c r="R89" s="903"/>
      <c r="S89" s="903"/>
      <c r="T89" s="903"/>
      <c r="U89" s="903"/>
      <c r="V89" s="903"/>
      <c r="W89" s="903"/>
      <c r="X89" s="903"/>
      <c r="Y89" s="903"/>
      <c r="Z89" s="903"/>
      <c r="AA89" s="903">
        <f ca="1">N89</f>
        <v>1396513</v>
      </c>
      <c r="AB89" s="903">
        <f t="shared" ref="AB89:BR95" si="79">$H20</f>
        <v>0</v>
      </c>
      <c r="AC89" s="903">
        <f t="shared" si="79"/>
        <v>0</v>
      </c>
      <c r="AD89" s="903">
        <f t="shared" si="79"/>
        <v>0</v>
      </c>
      <c r="AE89" s="903">
        <f t="shared" si="79"/>
        <v>0</v>
      </c>
      <c r="AF89" s="903">
        <f t="shared" si="79"/>
        <v>0</v>
      </c>
      <c r="AG89" s="903">
        <f t="shared" si="79"/>
        <v>0</v>
      </c>
      <c r="AH89" s="903">
        <f t="shared" si="79"/>
        <v>0</v>
      </c>
      <c r="AI89" s="903">
        <f t="shared" si="79"/>
        <v>0</v>
      </c>
      <c r="AJ89" s="903">
        <f t="shared" si="79"/>
        <v>0</v>
      </c>
      <c r="AK89" s="903">
        <f t="shared" si="79"/>
        <v>0</v>
      </c>
      <c r="AL89" s="903">
        <f t="shared" si="79"/>
        <v>0</v>
      </c>
      <c r="AM89" s="903">
        <f t="shared" si="79"/>
        <v>0</v>
      </c>
      <c r="AN89" s="903">
        <f t="shared" si="79"/>
        <v>0</v>
      </c>
      <c r="AO89" s="903">
        <f t="shared" si="79"/>
        <v>0</v>
      </c>
      <c r="AP89" s="903">
        <f t="shared" si="79"/>
        <v>0</v>
      </c>
      <c r="AQ89" s="903">
        <f t="shared" si="79"/>
        <v>0</v>
      </c>
      <c r="AR89" s="903">
        <f t="shared" si="79"/>
        <v>0</v>
      </c>
      <c r="AS89" s="903">
        <f t="shared" si="79"/>
        <v>0</v>
      </c>
      <c r="AT89" s="903">
        <f t="shared" si="79"/>
        <v>0</v>
      </c>
      <c r="AU89" s="903">
        <f t="shared" si="79"/>
        <v>0</v>
      </c>
      <c r="AV89" s="903">
        <f t="shared" si="79"/>
        <v>0</v>
      </c>
      <c r="AW89" s="903">
        <f t="shared" si="79"/>
        <v>0</v>
      </c>
      <c r="AX89" s="903">
        <f t="shared" si="79"/>
        <v>0</v>
      </c>
      <c r="AY89" s="903">
        <f t="shared" si="79"/>
        <v>0</v>
      </c>
      <c r="AZ89" s="903">
        <f t="shared" si="79"/>
        <v>0</v>
      </c>
      <c r="BA89" s="903">
        <f t="shared" si="79"/>
        <v>0</v>
      </c>
      <c r="BB89" s="903">
        <f t="shared" si="79"/>
        <v>0</v>
      </c>
      <c r="BC89" s="903">
        <f t="shared" si="79"/>
        <v>0</v>
      </c>
      <c r="BD89" s="903">
        <f t="shared" si="79"/>
        <v>0</v>
      </c>
      <c r="BE89" s="903">
        <f t="shared" si="79"/>
        <v>0</v>
      </c>
      <c r="BF89" s="903">
        <f t="shared" si="79"/>
        <v>0</v>
      </c>
      <c r="BG89" s="903">
        <f t="shared" si="79"/>
        <v>0</v>
      </c>
      <c r="BH89" s="903">
        <f t="shared" si="79"/>
        <v>0</v>
      </c>
      <c r="BI89" s="903">
        <f t="shared" si="79"/>
        <v>0</v>
      </c>
      <c r="BJ89" s="903">
        <f t="shared" si="79"/>
        <v>0</v>
      </c>
      <c r="BK89" s="903">
        <f t="shared" si="79"/>
        <v>0</v>
      </c>
      <c r="BL89" s="903">
        <f t="shared" si="79"/>
        <v>0</v>
      </c>
      <c r="BM89" s="903">
        <f t="shared" si="79"/>
        <v>0</v>
      </c>
      <c r="BN89" s="903">
        <f t="shared" si="79"/>
        <v>0</v>
      </c>
      <c r="BO89" s="903">
        <f t="shared" si="79"/>
        <v>0</v>
      </c>
      <c r="BP89" s="903">
        <f t="shared" si="79"/>
        <v>0</v>
      </c>
      <c r="BQ89" s="903">
        <f t="shared" si="79"/>
        <v>0</v>
      </c>
      <c r="BR89" s="903">
        <f t="shared" si="79"/>
        <v>0</v>
      </c>
    </row>
    <row r="90" spans="13:70">
      <c r="M90" s="890">
        <f ca="1">AB133</f>
        <v>2.3424381676200978E-2</v>
      </c>
      <c r="N90" s="883">
        <f t="shared" ca="1" si="72"/>
        <v>1434290</v>
      </c>
      <c r="Q90" s="903"/>
      <c r="R90" s="903"/>
      <c r="S90" s="903"/>
      <c r="T90" s="903"/>
      <c r="U90" s="903"/>
      <c r="V90" s="903"/>
      <c r="W90" s="903"/>
      <c r="X90" s="903"/>
      <c r="Y90" s="903"/>
      <c r="Z90" s="903"/>
      <c r="AA90" s="903"/>
      <c r="AB90" s="903">
        <f ca="1">N90</f>
        <v>1434290</v>
      </c>
      <c r="AC90" s="903">
        <f t="shared" si="79"/>
        <v>0</v>
      </c>
      <c r="AD90" s="903">
        <f t="shared" si="79"/>
        <v>0</v>
      </c>
      <c r="AE90" s="903">
        <f t="shared" si="79"/>
        <v>0</v>
      </c>
      <c r="AF90" s="903">
        <f t="shared" si="79"/>
        <v>0</v>
      </c>
      <c r="AG90" s="903">
        <f t="shared" si="79"/>
        <v>0</v>
      </c>
      <c r="AH90" s="903">
        <f t="shared" si="79"/>
        <v>0</v>
      </c>
      <c r="AI90" s="903">
        <f t="shared" si="79"/>
        <v>0</v>
      </c>
      <c r="AJ90" s="903">
        <f t="shared" si="79"/>
        <v>0</v>
      </c>
      <c r="AK90" s="903">
        <f t="shared" si="79"/>
        <v>0</v>
      </c>
      <c r="AL90" s="903">
        <f t="shared" si="79"/>
        <v>0</v>
      </c>
      <c r="AM90" s="903">
        <f t="shared" si="79"/>
        <v>0</v>
      </c>
      <c r="AN90" s="903">
        <f t="shared" si="79"/>
        <v>0</v>
      </c>
      <c r="AO90" s="903">
        <f t="shared" si="79"/>
        <v>0</v>
      </c>
      <c r="AP90" s="903">
        <f t="shared" si="79"/>
        <v>0</v>
      </c>
      <c r="AQ90" s="903">
        <f t="shared" si="79"/>
        <v>0</v>
      </c>
      <c r="AR90" s="903">
        <f t="shared" si="79"/>
        <v>0</v>
      </c>
      <c r="AS90" s="903">
        <f t="shared" si="79"/>
        <v>0</v>
      </c>
      <c r="AT90" s="903">
        <f t="shared" si="79"/>
        <v>0</v>
      </c>
      <c r="AU90" s="903">
        <f t="shared" si="79"/>
        <v>0</v>
      </c>
      <c r="AV90" s="903">
        <f t="shared" si="79"/>
        <v>0</v>
      </c>
      <c r="AW90" s="903">
        <f t="shared" si="79"/>
        <v>0</v>
      </c>
      <c r="AX90" s="903">
        <f t="shared" si="79"/>
        <v>0</v>
      </c>
      <c r="AY90" s="903">
        <f t="shared" si="79"/>
        <v>0</v>
      </c>
      <c r="AZ90" s="903">
        <f t="shared" si="79"/>
        <v>0</v>
      </c>
      <c r="BA90" s="903">
        <f t="shared" si="79"/>
        <v>0</v>
      </c>
      <c r="BB90" s="903">
        <f t="shared" si="79"/>
        <v>0</v>
      </c>
      <c r="BC90" s="903">
        <f t="shared" si="79"/>
        <v>0</v>
      </c>
      <c r="BD90" s="903">
        <f t="shared" si="79"/>
        <v>0</v>
      </c>
      <c r="BE90" s="903">
        <f t="shared" si="79"/>
        <v>0</v>
      </c>
      <c r="BF90" s="903">
        <f t="shared" si="79"/>
        <v>0</v>
      </c>
      <c r="BG90" s="903">
        <f t="shared" si="79"/>
        <v>0</v>
      </c>
      <c r="BH90" s="903">
        <f t="shared" si="79"/>
        <v>0</v>
      </c>
      <c r="BI90" s="903">
        <f t="shared" si="79"/>
        <v>0</v>
      </c>
      <c r="BJ90" s="903">
        <f t="shared" si="79"/>
        <v>0</v>
      </c>
      <c r="BK90" s="903">
        <f t="shared" si="79"/>
        <v>0</v>
      </c>
      <c r="BL90" s="903">
        <f t="shared" si="79"/>
        <v>0</v>
      </c>
      <c r="BM90" s="903">
        <f t="shared" si="79"/>
        <v>0</v>
      </c>
      <c r="BN90" s="903">
        <f t="shared" si="79"/>
        <v>0</v>
      </c>
      <c r="BO90" s="903">
        <f t="shared" si="79"/>
        <v>0</v>
      </c>
      <c r="BP90" s="903">
        <f t="shared" si="79"/>
        <v>0</v>
      </c>
      <c r="BQ90" s="903">
        <f t="shared" si="79"/>
        <v>0</v>
      </c>
      <c r="BR90" s="903">
        <f t="shared" si="79"/>
        <v>0</v>
      </c>
    </row>
    <row r="91" spans="13:70">
      <c r="M91" s="890">
        <f ca="1">AC133</f>
        <v>2.3643543388331967E-2</v>
      </c>
      <c r="N91" s="883">
        <f t="shared" ca="1" si="72"/>
        <v>1473104</v>
      </c>
      <c r="Q91" s="903"/>
      <c r="R91" s="903"/>
      <c r="S91" s="903"/>
      <c r="T91" s="903"/>
      <c r="U91" s="903"/>
      <c r="V91" s="903"/>
      <c r="W91" s="903"/>
      <c r="X91" s="903"/>
      <c r="Y91" s="903"/>
      <c r="Z91" s="903"/>
      <c r="AA91" s="903"/>
      <c r="AB91" s="903"/>
      <c r="AC91" s="903">
        <f ca="1">N91</f>
        <v>1473104</v>
      </c>
      <c r="AD91" s="903">
        <f t="shared" si="79"/>
        <v>0</v>
      </c>
      <c r="AE91" s="903">
        <f t="shared" si="79"/>
        <v>0</v>
      </c>
      <c r="AF91" s="903">
        <f t="shared" si="79"/>
        <v>0</v>
      </c>
      <c r="AG91" s="903">
        <f t="shared" si="79"/>
        <v>0</v>
      </c>
      <c r="AH91" s="903">
        <f t="shared" si="79"/>
        <v>0</v>
      </c>
      <c r="AI91" s="903">
        <f t="shared" si="79"/>
        <v>0</v>
      </c>
      <c r="AJ91" s="903">
        <f t="shared" si="79"/>
        <v>0</v>
      </c>
      <c r="AK91" s="903">
        <f t="shared" si="79"/>
        <v>0</v>
      </c>
      <c r="AL91" s="903">
        <f t="shared" si="79"/>
        <v>0</v>
      </c>
      <c r="AM91" s="903">
        <f t="shared" si="79"/>
        <v>0</v>
      </c>
      <c r="AN91" s="903">
        <f t="shared" si="79"/>
        <v>0</v>
      </c>
      <c r="AO91" s="903">
        <f t="shared" si="79"/>
        <v>0</v>
      </c>
      <c r="AP91" s="903">
        <f t="shared" si="79"/>
        <v>0</v>
      </c>
      <c r="AQ91" s="903">
        <f t="shared" si="79"/>
        <v>0</v>
      </c>
      <c r="AR91" s="903">
        <f t="shared" si="79"/>
        <v>0</v>
      </c>
      <c r="AS91" s="903">
        <f t="shared" si="79"/>
        <v>0</v>
      </c>
      <c r="AT91" s="903">
        <f t="shared" si="79"/>
        <v>0</v>
      </c>
      <c r="AU91" s="903">
        <f t="shared" si="79"/>
        <v>0</v>
      </c>
      <c r="AV91" s="903">
        <f t="shared" si="79"/>
        <v>0</v>
      </c>
      <c r="AW91" s="903">
        <f t="shared" si="79"/>
        <v>0</v>
      </c>
      <c r="AX91" s="903">
        <f t="shared" si="79"/>
        <v>0</v>
      </c>
      <c r="AY91" s="903">
        <f t="shared" si="79"/>
        <v>0</v>
      </c>
      <c r="AZ91" s="903">
        <f t="shared" si="79"/>
        <v>0</v>
      </c>
      <c r="BA91" s="903">
        <f t="shared" si="79"/>
        <v>0</v>
      </c>
      <c r="BB91" s="903">
        <f t="shared" si="79"/>
        <v>0</v>
      </c>
      <c r="BC91" s="903">
        <f t="shared" si="79"/>
        <v>0</v>
      </c>
      <c r="BD91" s="903">
        <f t="shared" si="79"/>
        <v>0</v>
      </c>
      <c r="BE91" s="903">
        <f t="shared" si="79"/>
        <v>0</v>
      </c>
      <c r="BF91" s="903">
        <f t="shared" si="79"/>
        <v>0</v>
      </c>
      <c r="BG91" s="903">
        <f t="shared" si="79"/>
        <v>0</v>
      </c>
      <c r="BH91" s="903">
        <f t="shared" si="79"/>
        <v>0</v>
      </c>
      <c r="BI91" s="903">
        <f t="shared" si="79"/>
        <v>0</v>
      </c>
      <c r="BJ91" s="903">
        <f t="shared" si="79"/>
        <v>0</v>
      </c>
      <c r="BK91" s="903">
        <f t="shared" si="79"/>
        <v>0</v>
      </c>
      <c r="BL91" s="903">
        <f t="shared" si="79"/>
        <v>0</v>
      </c>
      <c r="BM91" s="903">
        <f t="shared" si="79"/>
        <v>0</v>
      </c>
      <c r="BN91" s="903">
        <f t="shared" si="79"/>
        <v>0</v>
      </c>
      <c r="BO91" s="903">
        <f t="shared" si="79"/>
        <v>0</v>
      </c>
      <c r="BP91" s="903">
        <f t="shared" si="79"/>
        <v>0</v>
      </c>
      <c r="BQ91" s="903">
        <f t="shared" si="79"/>
        <v>0</v>
      </c>
      <c r="BR91" s="903">
        <f t="shared" si="79"/>
        <v>0</v>
      </c>
    </row>
    <row r="92" spans="13:70">
      <c r="M92" s="890">
        <f ca="1">AD133</f>
        <v>2.3837311223803503E-2</v>
      </c>
      <c r="N92" s="883">
        <f t="shared" ca="1" si="72"/>
        <v>1512956</v>
      </c>
      <c r="Q92" s="903"/>
      <c r="R92" s="903"/>
      <c r="S92" s="903"/>
      <c r="T92" s="903"/>
      <c r="U92" s="903"/>
      <c r="V92" s="903"/>
      <c r="W92" s="903"/>
      <c r="X92" s="903"/>
      <c r="Y92" s="903"/>
      <c r="Z92" s="903"/>
      <c r="AA92" s="903"/>
      <c r="AB92" s="903"/>
      <c r="AC92" s="903"/>
      <c r="AD92" s="903">
        <f ca="1">N92</f>
        <v>1512956</v>
      </c>
      <c r="AE92" s="903">
        <f t="shared" si="79"/>
        <v>0</v>
      </c>
      <c r="AF92" s="903">
        <f t="shared" si="79"/>
        <v>0</v>
      </c>
      <c r="AG92" s="903">
        <f t="shared" si="79"/>
        <v>0</v>
      </c>
      <c r="AH92" s="903">
        <f t="shared" si="79"/>
        <v>0</v>
      </c>
      <c r="AI92" s="903">
        <f t="shared" si="79"/>
        <v>0</v>
      </c>
      <c r="AJ92" s="903">
        <f t="shared" si="79"/>
        <v>0</v>
      </c>
      <c r="AK92" s="903">
        <f t="shared" si="79"/>
        <v>0</v>
      </c>
      <c r="AL92" s="903">
        <f t="shared" si="79"/>
        <v>0</v>
      </c>
      <c r="AM92" s="903">
        <f t="shared" si="79"/>
        <v>0</v>
      </c>
      <c r="AN92" s="903">
        <f t="shared" si="79"/>
        <v>0</v>
      </c>
      <c r="AO92" s="903">
        <f t="shared" si="79"/>
        <v>0</v>
      </c>
      <c r="AP92" s="903">
        <f t="shared" si="79"/>
        <v>0</v>
      </c>
      <c r="AQ92" s="903">
        <f t="shared" si="79"/>
        <v>0</v>
      </c>
      <c r="AR92" s="903">
        <f t="shared" si="79"/>
        <v>0</v>
      </c>
      <c r="AS92" s="903">
        <f t="shared" si="79"/>
        <v>0</v>
      </c>
      <c r="AT92" s="903">
        <f t="shared" si="79"/>
        <v>0</v>
      </c>
      <c r="AU92" s="903">
        <f t="shared" si="79"/>
        <v>0</v>
      </c>
      <c r="AV92" s="903">
        <f t="shared" si="79"/>
        <v>0</v>
      </c>
      <c r="AW92" s="903">
        <f t="shared" si="79"/>
        <v>0</v>
      </c>
      <c r="AX92" s="903">
        <f t="shared" si="79"/>
        <v>0</v>
      </c>
      <c r="AY92" s="903">
        <f t="shared" si="79"/>
        <v>0</v>
      </c>
      <c r="AZ92" s="903">
        <f t="shared" si="79"/>
        <v>0</v>
      </c>
      <c r="BA92" s="903">
        <f t="shared" si="79"/>
        <v>0</v>
      </c>
      <c r="BB92" s="903">
        <f t="shared" si="79"/>
        <v>0</v>
      </c>
      <c r="BC92" s="903">
        <f t="shared" si="79"/>
        <v>0</v>
      </c>
      <c r="BD92" s="903">
        <f t="shared" si="79"/>
        <v>0</v>
      </c>
      <c r="BE92" s="903">
        <f t="shared" si="79"/>
        <v>0</v>
      </c>
      <c r="BF92" s="903">
        <f t="shared" si="79"/>
        <v>0</v>
      </c>
      <c r="BG92" s="903">
        <f t="shared" si="79"/>
        <v>0</v>
      </c>
      <c r="BH92" s="903">
        <f t="shared" si="79"/>
        <v>0</v>
      </c>
      <c r="BI92" s="903">
        <f t="shared" si="79"/>
        <v>0</v>
      </c>
      <c r="BJ92" s="903">
        <f t="shared" si="79"/>
        <v>0</v>
      </c>
      <c r="BK92" s="903">
        <f t="shared" si="79"/>
        <v>0</v>
      </c>
      <c r="BL92" s="903">
        <f t="shared" si="79"/>
        <v>0</v>
      </c>
      <c r="BM92" s="903">
        <f t="shared" si="79"/>
        <v>0</v>
      </c>
      <c r="BN92" s="903">
        <f t="shared" si="79"/>
        <v>0</v>
      </c>
      <c r="BO92" s="903">
        <f t="shared" si="79"/>
        <v>0</v>
      </c>
      <c r="BP92" s="903">
        <f t="shared" si="79"/>
        <v>0</v>
      </c>
      <c r="BQ92" s="903">
        <f t="shared" si="79"/>
        <v>0</v>
      </c>
      <c r="BR92" s="903">
        <f t="shared" si="79"/>
        <v>0</v>
      </c>
    </row>
    <row r="93" spans="13:70">
      <c r="M93" s="890">
        <f ca="1">AE133</f>
        <v>2.400969789704499E-2</v>
      </c>
      <c r="N93" s="883">
        <f t="shared" ca="1" si="72"/>
        <v>1553871</v>
      </c>
      <c r="P93" s="897"/>
      <c r="Q93" s="903"/>
      <c r="R93" s="903"/>
      <c r="S93" s="903"/>
      <c r="T93" s="903"/>
      <c r="U93" s="903"/>
      <c r="V93" s="903"/>
      <c r="W93" s="903"/>
      <c r="X93" s="903"/>
      <c r="Y93" s="903"/>
      <c r="Z93" s="903"/>
      <c r="AA93" s="903"/>
      <c r="AB93" s="903"/>
      <c r="AC93" s="903"/>
      <c r="AD93" s="903"/>
      <c r="AE93" s="903">
        <f ca="1">N93</f>
        <v>1553871</v>
      </c>
      <c r="AF93" s="903">
        <f t="shared" si="79"/>
        <v>0</v>
      </c>
      <c r="AG93" s="903">
        <f t="shared" si="79"/>
        <v>0</v>
      </c>
      <c r="AH93" s="903">
        <f t="shared" si="79"/>
        <v>0</v>
      </c>
      <c r="AI93" s="903">
        <f t="shared" si="79"/>
        <v>0</v>
      </c>
      <c r="AJ93" s="903">
        <f t="shared" si="79"/>
        <v>0</v>
      </c>
      <c r="AK93" s="903">
        <f t="shared" si="79"/>
        <v>0</v>
      </c>
      <c r="AL93" s="903">
        <f t="shared" si="79"/>
        <v>0</v>
      </c>
      <c r="AM93" s="903">
        <f t="shared" si="79"/>
        <v>0</v>
      </c>
      <c r="AN93" s="903">
        <f t="shared" si="79"/>
        <v>0</v>
      </c>
      <c r="AO93" s="903">
        <f t="shared" si="79"/>
        <v>0</v>
      </c>
      <c r="AP93" s="903">
        <f t="shared" si="79"/>
        <v>0</v>
      </c>
      <c r="AQ93" s="903">
        <f t="shared" si="79"/>
        <v>0</v>
      </c>
      <c r="AR93" s="903">
        <f t="shared" si="79"/>
        <v>0</v>
      </c>
      <c r="AS93" s="903">
        <f t="shared" si="79"/>
        <v>0</v>
      </c>
      <c r="AT93" s="903">
        <f t="shared" si="79"/>
        <v>0</v>
      </c>
      <c r="AU93" s="903">
        <f t="shared" si="79"/>
        <v>0</v>
      </c>
      <c r="AV93" s="903">
        <f t="shared" si="79"/>
        <v>0</v>
      </c>
      <c r="AW93" s="903">
        <f t="shared" si="79"/>
        <v>0</v>
      </c>
      <c r="AX93" s="903">
        <f t="shared" si="79"/>
        <v>0</v>
      </c>
      <c r="AY93" s="903">
        <f t="shared" si="79"/>
        <v>0</v>
      </c>
      <c r="AZ93" s="903">
        <f t="shared" si="79"/>
        <v>0</v>
      </c>
      <c r="BA93" s="903">
        <f t="shared" si="79"/>
        <v>0</v>
      </c>
      <c r="BB93" s="903">
        <f t="shared" si="79"/>
        <v>0</v>
      </c>
      <c r="BC93" s="903">
        <f t="shared" si="79"/>
        <v>0</v>
      </c>
      <c r="BD93" s="903">
        <f t="shared" si="79"/>
        <v>0</v>
      </c>
      <c r="BE93" s="903">
        <f t="shared" si="79"/>
        <v>0</v>
      </c>
      <c r="BF93" s="903">
        <f t="shared" si="79"/>
        <v>0</v>
      </c>
      <c r="BG93" s="903">
        <f t="shared" si="79"/>
        <v>0</v>
      </c>
      <c r="BH93" s="903">
        <f t="shared" si="79"/>
        <v>0</v>
      </c>
      <c r="BI93" s="903">
        <f t="shared" si="79"/>
        <v>0</v>
      </c>
      <c r="BJ93" s="903">
        <f t="shared" si="79"/>
        <v>0</v>
      </c>
      <c r="BK93" s="903">
        <f t="shared" si="79"/>
        <v>0</v>
      </c>
      <c r="BL93" s="903">
        <f t="shared" si="79"/>
        <v>0</v>
      </c>
      <c r="BM93" s="903">
        <f t="shared" si="79"/>
        <v>0</v>
      </c>
      <c r="BN93" s="903">
        <f t="shared" si="79"/>
        <v>0</v>
      </c>
      <c r="BO93" s="903">
        <f t="shared" si="79"/>
        <v>0</v>
      </c>
      <c r="BP93" s="903">
        <f t="shared" si="79"/>
        <v>0</v>
      </c>
      <c r="BQ93" s="903">
        <f t="shared" si="79"/>
        <v>0</v>
      </c>
      <c r="BR93" s="903">
        <f t="shared" si="79"/>
        <v>0</v>
      </c>
    </row>
    <row r="94" spans="13:70">
      <c r="M94" s="890">
        <f ca="1">AF133</f>
        <v>2.4165914749610051E-2</v>
      </c>
      <c r="N94" s="883">
        <f t="shared" ca="1" si="72"/>
        <v>1595936</v>
      </c>
      <c r="Q94" s="903"/>
      <c r="R94" s="903"/>
      <c r="S94" s="903"/>
      <c r="T94" s="903"/>
      <c r="U94" s="903"/>
      <c r="V94" s="903"/>
      <c r="W94" s="903"/>
      <c r="X94" s="903"/>
      <c r="Y94" s="903"/>
      <c r="Z94" s="903"/>
      <c r="AA94" s="903"/>
      <c r="AB94" s="903"/>
      <c r="AC94" s="903"/>
      <c r="AD94" s="903"/>
      <c r="AE94" s="903"/>
      <c r="AF94" s="903">
        <f ca="1">N94</f>
        <v>1595936</v>
      </c>
      <c r="AG94" s="903">
        <f t="shared" si="79"/>
        <v>0</v>
      </c>
      <c r="AH94" s="903">
        <f t="shared" si="79"/>
        <v>0</v>
      </c>
      <c r="AI94" s="903">
        <f t="shared" si="79"/>
        <v>0</v>
      </c>
      <c r="AJ94" s="903">
        <f t="shared" si="79"/>
        <v>0</v>
      </c>
      <c r="AK94" s="903">
        <f t="shared" si="79"/>
        <v>0</v>
      </c>
      <c r="AL94" s="903">
        <f t="shared" si="79"/>
        <v>0</v>
      </c>
      <c r="AM94" s="903">
        <f t="shared" si="79"/>
        <v>0</v>
      </c>
      <c r="AN94" s="903">
        <f t="shared" si="79"/>
        <v>0</v>
      </c>
      <c r="AO94" s="903">
        <f t="shared" si="79"/>
        <v>0</v>
      </c>
      <c r="AP94" s="903">
        <f t="shared" si="79"/>
        <v>0</v>
      </c>
      <c r="AQ94" s="903">
        <f t="shared" si="79"/>
        <v>0</v>
      </c>
      <c r="AR94" s="903">
        <f t="shared" si="79"/>
        <v>0</v>
      </c>
      <c r="AS94" s="903">
        <f t="shared" si="79"/>
        <v>0</v>
      </c>
      <c r="AT94" s="903">
        <f t="shared" si="79"/>
        <v>0</v>
      </c>
      <c r="AU94" s="903">
        <f t="shared" si="79"/>
        <v>0</v>
      </c>
      <c r="AV94" s="903">
        <f t="shared" si="79"/>
        <v>0</v>
      </c>
      <c r="AW94" s="903">
        <f t="shared" si="79"/>
        <v>0</v>
      </c>
      <c r="AX94" s="903">
        <f t="shared" si="79"/>
        <v>0</v>
      </c>
      <c r="AY94" s="903">
        <f t="shared" si="79"/>
        <v>0</v>
      </c>
      <c r="AZ94" s="903">
        <f t="shared" si="79"/>
        <v>0</v>
      </c>
      <c r="BA94" s="903">
        <f t="shared" si="79"/>
        <v>0</v>
      </c>
      <c r="BB94" s="903">
        <f t="shared" si="79"/>
        <v>0</v>
      </c>
      <c r="BC94" s="903">
        <f t="shared" si="79"/>
        <v>0</v>
      </c>
      <c r="BD94" s="903">
        <f t="shared" si="79"/>
        <v>0</v>
      </c>
      <c r="BE94" s="903">
        <f t="shared" si="79"/>
        <v>0</v>
      </c>
      <c r="BF94" s="903">
        <f t="shared" si="79"/>
        <v>0</v>
      </c>
      <c r="BG94" s="903">
        <f t="shared" si="79"/>
        <v>0</v>
      </c>
      <c r="BH94" s="903">
        <f t="shared" si="79"/>
        <v>0</v>
      </c>
      <c r="BI94" s="903">
        <f t="shared" si="79"/>
        <v>0</v>
      </c>
      <c r="BJ94" s="903">
        <f t="shared" si="79"/>
        <v>0</v>
      </c>
      <c r="BK94" s="903">
        <f t="shared" si="79"/>
        <v>0</v>
      </c>
      <c r="BL94" s="903">
        <f t="shared" si="79"/>
        <v>0</v>
      </c>
      <c r="BM94" s="903">
        <f t="shared" si="79"/>
        <v>0</v>
      </c>
      <c r="BN94" s="903">
        <f t="shared" si="79"/>
        <v>0</v>
      </c>
      <c r="BO94" s="903">
        <f t="shared" si="79"/>
        <v>0</v>
      </c>
      <c r="BP94" s="903">
        <f t="shared" si="79"/>
        <v>0</v>
      </c>
      <c r="BQ94" s="903">
        <f t="shared" si="79"/>
        <v>0</v>
      </c>
      <c r="BR94" s="903">
        <f t="shared" si="79"/>
        <v>0</v>
      </c>
    </row>
    <row r="95" spans="13:70">
      <c r="M95" s="890">
        <f ca="1">AG133</f>
        <v>2.4306238531377478E-2</v>
      </c>
      <c r="N95" s="883">
        <f t="shared" ca="1" si="72"/>
        <v>1639116</v>
      </c>
      <c r="Q95" s="903"/>
      <c r="R95" s="903"/>
      <c r="S95" s="903"/>
      <c r="T95" s="903"/>
      <c r="U95" s="903"/>
      <c r="V95" s="903"/>
      <c r="W95" s="903"/>
      <c r="X95" s="903"/>
      <c r="Y95" s="903"/>
      <c r="Z95" s="903"/>
      <c r="AA95" s="903"/>
      <c r="AB95" s="903"/>
      <c r="AC95" s="903"/>
      <c r="AD95" s="903"/>
      <c r="AE95" s="903"/>
      <c r="AF95" s="903"/>
      <c r="AG95" s="903">
        <f ca="1">N95</f>
        <v>1639116</v>
      </c>
      <c r="AH95" s="903">
        <f t="shared" si="79"/>
        <v>0</v>
      </c>
      <c r="AI95" s="903">
        <f t="shared" si="79"/>
        <v>0</v>
      </c>
      <c r="AJ95" s="903">
        <f t="shared" si="79"/>
        <v>0</v>
      </c>
      <c r="AK95" s="903">
        <f t="shared" si="79"/>
        <v>0</v>
      </c>
      <c r="AL95" s="903">
        <f t="shared" si="79"/>
        <v>0</v>
      </c>
      <c r="AM95" s="903">
        <f t="shared" si="79"/>
        <v>0</v>
      </c>
      <c r="AN95" s="903">
        <f t="shared" si="79"/>
        <v>0</v>
      </c>
      <c r="AO95" s="903">
        <f t="shared" si="79"/>
        <v>0</v>
      </c>
      <c r="AP95" s="903">
        <f t="shared" si="79"/>
        <v>0</v>
      </c>
      <c r="AQ95" s="903">
        <f t="shared" si="79"/>
        <v>0</v>
      </c>
      <c r="AR95" s="903">
        <f t="shared" si="79"/>
        <v>0</v>
      </c>
      <c r="AS95" s="903">
        <f t="shared" si="79"/>
        <v>0</v>
      </c>
      <c r="AT95" s="903">
        <f t="shared" ref="AT95:BR95" si="80">$H26</f>
        <v>0</v>
      </c>
      <c r="AU95" s="903">
        <f t="shared" si="80"/>
        <v>0</v>
      </c>
      <c r="AV95" s="903">
        <f t="shared" si="80"/>
        <v>0</v>
      </c>
      <c r="AW95" s="903">
        <f t="shared" si="80"/>
        <v>0</v>
      </c>
      <c r="AX95" s="903">
        <f t="shared" si="80"/>
        <v>0</v>
      </c>
      <c r="AY95" s="903">
        <f t="shared" si="80"/>
        <v>0</v>
      </c>
      <c r="AZ95" s="903">
        <f t="shared" si="80"/>
        <v>0</v>
      </c>
      <c r="BA95" s="903">
        <f t="shared" si="80"/>
        <v>0</v>
      </c>
      <c r="BB95" s="903">
        <f t="shared" si="80"/>
        <v>0</v>
      </c>
      <c r="BC95" s="903">
        <f t="shared" si="80"/>
        <v>0</v>
      </c>
      <c r="BD95" s="903">
        <f t="shared" si="80"/>
        <v>0</v>
      </c>
      <c r="BE95" s="903">
        <f t="shared" si="80"/>
        <v>0</v>
      </c>
      <c r="BF95" s="903">
        <f t="shared" si="80"/>
        <v>0</v>
      </c>
      <c r="BG95" s="903">
        <f t="shared" si="80"/>
        <v>0</v>
      </c>
      <c r="BH95" s="903">
        <f t="shared" si="80"/>
        <v>0</v>
      </c>
      <c r="BI95" s="903">
        <f t="shared" si="80"/>
        <v>0</v>
      </c>
      <c r="BJ95" s="903">
        <f t="shared" si="80"/>
        <v>0</v>
      </c>
      <c r="BK95" s="903">
        <f t="shared" si="80"/>
        <v>0</v>
      </c>
      <c r="BL95" s="903">
        <f t="shared" si="80"/>
        <v>0</v>
      </c>
      <c r="BM95" s="903">
        <f t="shared" si="80"/>
        <v>0</v>
      </c>
      <c r="BN95" s="903">
        <f t="shared" si="80"/>
        <v>0</v>
      </c>
      <c r="BO95" s="903">
        <f t="shared" si="80"/>
        <v>0</v>
      </c>
      <c r="BP95" s="903">
        <f t="shared" si="80"/>
        <v>0</v>
      </c>
      <c r="BQ95" s="903">
        <f t="shared" si="80"/>
        <v>0</v>
      </c>
      <c r="BR95" s="903">
        <f t="shared" si="80"/>
        <v>0</v>
      </c>
    </row>
    <row r="96" spans="13:70">
      <c r="M96" s="890">
        <f ca="1">AH133</f>
        <v>2.4433839574151905E-2</v>
      </c>
      <c r="N96" s="883">
        <f t="shared" ca="1" si="72"/>
        <v>1683474</v>
      </c>
      <c r="Q96" s="903"/>
      <c r="R96" s="903"/>
      <c r="S96" s="903"/>
      <c r="T96" s="903"/>
      <c r="U96" s="903"/>
      <c r="V96" s="903"/>
      <c r="W96" s="903"/>
      <c r="X96" s="903"/>
      <c r="Y96" s="903"/>
      <c r="Z96" s="903"/>
      <c r="AA96" s="903"/>
      <c r="AB96" s="903"/>
      <c r="AC96" s="903"/>
      <c r="AD96" s="903"/>
      <c r="AE96" s="903"/>
      <c r="AF96" s="903"/>
      <c r="AG96" s="903"/>
      <c r="AH96" s="903">
        <f ca="1">N96</f>
        <v>1683474</v>
      </c>
      <c r="AI96" s="903">
        <f t="shared" ref="AI96:BR103" si="81">$H27</f>
        <v>0</v>
      </c>
      <c r="AJ96" s="903">
        <f t="shared" si="81"/>
        <v>0</v>
      </c>
      <c r="AK96" s="903">
        <f t="shared" si="81"/>
        <v>0</v>
      </c>
      <c r="AL96" s="903">
        <f t="shared" si="81"/>
        <v>0</v>
      </c>
      <c r="AM96" s="903">
        <f t="shared" si="81"/>
        <v>0</v>
      </c>
      <c r="AN96" s="903">
        <f t="shared" si="81"/>
        <v>0</v>
      </c>
      <c r="AO96" s="903">
        <f t="shared" si="81"/>
        <v>0</v>
      </c>
      <c r="AP96" s="903">
        <f t="shared" si="81"/>
        <v>0</v>
      </c>
      <c r="AQ96" s="903">
        <f t="shared" si="81"/>
        <v>0</v>
      </c>
      <c r="AR96" s="903">
        <f t="shared" si="81"/>
        <v>0</v>
      </c>
      <c r="AS96" s="903">
        <f t="shared" si="81"/>
        <v>0</v>
      </c>
      <c r="AT96" s="903">
        <f t="shared" si="81"/>
        <v>0</v>
      </c>
      <c r="AU96" s="903">
        <f t="shared" si="81"/>
        <v>0</v>
      </c>
      <c r="AV96" s="903">
        <f t="shared" si="81"/>
        <v>0</v>
      </c>
      <c r="AW96" s="903">
        <f t="shared" si="81"/>
        <v>0</v>
      </c>
      <c r="AX96" s="903">
        <f t="shared" si="81"/>
        <v>0</v>
      </c>
      <c r="AY96" s="903">
        <f t="shared" si="81"/>
        <v>0</v>
      </c>
      <c r="AZ96" s="903">
        <f t="shared" si="81"/>
        <v>0</v>
      </c>
      <c r="BA96" s="903">
        <f t="shared" si="81"/>
        <v>0</v>
      </c>
      <c r="BB96" s="903">
        <f t="shared" si="81"/>
        <v>0</v>
      </c>
      <c r="BC96" s="903">
        <f t="shared" si="81"/>
        <v>0</v>
      </c>
      <c r="BD96" s="903">
        <f t="shared" si="81"/>
        <v>0</v>
      </c>
      <c r="BE96" s="903">
        <f t="shared" si="81"/>
        <v>0</v>
      </c>
      <c r="BF96" s="903">
        <f t="shared" si="81"/>
        <v>0</v>
      </c>
      <c r="BG96" s="903">
        <f t="shared" si="81"/>
        <v>0</v>
      </c>
      <c r="BH96" s="903">
        <f t="shared" si="81"/>
        <v>0</v>
      </c>
      <c r="BI96" s="903">
        <f t="shared" si="81"/>
        <v>0</v>
      </c>
      <c r="BJ96" s="903">
        <f t="shared" si="81"/>
        <v>0</v>
      </c>
      <c r="BK96" s="903">
        <f t="shared" si="81"/>
        <v>0</v>
      </c>
      <c r="BL96" s="903">
        <f t="shared" si="81"/>
        <v>0</v>
      </c>
      <c r="BM96" s="903">
        <f t="shared" si="81"/>
        <v>0</v>
      </c>
      <c r="BN96" s="903">
        <f t="shared" si="81"/>
        <v>0</v>
      </c>
      <c r="BO96" s="903">
        <f t="shared" si="81"/>
        <v>0</v>
      </c>
      <c r="BP96" s="903">
        <f t="shared" si="81"/>
        <v>0</v>
      </c>
      <c r="BQ96" s="903">
        <f t="shared" si="81"/>
        <v>0</v>
      </c>
      <c r="BR96" s="903">
        <f t="shared" si="81"/>
        <v>0</v>
      </c>
    </row>
    <row r="97" spans="13:70">
      <c r="M97" s="890">
        <f ca="1">AI133</f>
        <v>2.4550397072515606E-2</v>
      </c>
      <c r="N97" s="883">
        <f t="shared" ca="1" si="72"/>
        <v>1729042</v>
      </c>
      <c r="Q97" s="903"/>
      <c r="R97" s="903"/>
      <c r="S97" s="903"/>
      <c r="T97" s="903"/>
      <c r="U97" s="903"/>
      <c r="V97" s="903"/>
      <c r="W97" s="903"/>
      <c r="X97" s="903"/>
      <c r="Y97" s="903"/>
      <c r="Z97" s="903"/>
      <c r="AA97" s="903"/>
      <c r="AB97" s="903"/>
      <c r="AC97" s="903"/>
      <c r="AD97" s="903"/>
      <c r="AE97" s="903"/>
      <c r="AF97" s="903"/>
      <c r="AG97" s="903"/>
      <c r="AH97" s="903"/>
      <c r="AI97" s="903">
        <f ca="1">N97</f>
        <v>1729042</v>
      </c>
      <c r="AJ97" s="903">
        <f t="shared" si="81"/>
        <v>0</v>
      </c>
      <c r="AK97" s="903">
        <f t="shared" si="81"/>
        <v>0</v>
      </c>
      <c r="AL97" s="903">
        <f t="shared" si="81"/>
        <v>0</v>
      </c>
      <c r="AM97" s="903">
        <f t="shared" si="81"/>
        <v>0</v>
      </c>
      <c r="AN97" s="903">
        <f t="shared" si="81"/>
        <v>0</v>
      </c>
      <c r="AO97" s="903">
        <f t="shared" si="81"/>
        <v>0</v>
      </c>
      <c r="AP97" s="903">
        <f t="shared" si="81"/>
        <v>0</v>
      </c>
      <c r="AQ97" s="903">
        <f t="shared" si="81"/>
        <v>0</v>
      </c>
      <c r="AR97" s="903">
        <f t="shared" si="81"/>
        <v>0</v>
      </c>
      <c r="AS97" s="903">
        <f t="shared" si="81"/>
        <v>0</v>
      </c>
      <c r="AT97" s="903">
        <f t="shared" si="81"/>
        <v>0</v>
      </c>
      <c r="AU97" s="903">
        <f t="shared" si="81"/>
        <v>0</v>
      </c>
      <c r="AV97" s="903">
        <f t="shared" si="81"/>
        <v>0</v>
      </c>
      <c r="AW97" s="903">
        <f t="shared" si="81"/>
        <v>0</v>
      </c>
      <c r="AX97" s="903">
        <f t="shared" si="81"/>
        <v>0</v>
      </c>
      <c r="AY97" s="903">
        <f t="shared" si="81"/>
        <v>0</v>
      </c>
      <c r="AZ97" s="903">
        <f t="shared" si="81"/>
        <v>0</v>
      </c>
      <c r="BA97" s="903">
        <f t="shared" si="81"/>
        <v>0</v>
      </c>
      <c r="BB97" s="903">
        <f t="shared" si="81"/>
        <v>0</v>
      </c>
      <c r="BC97" s="903">
        <f t="shared" si="81"/>
        <v>0</v>
      </c>
      <c r="BD97" s="903">
        <f t="shared" si="81"/>
        <v>0</v>
      </c>
      <c r="BE97" s="903">
        <f t="shared" si="81"/>
        <v>0</v>
      </c>
      <c r="BF97" s="903">
        <f t="shared" si="81"/>
        <v>0</v>
      </c>
      <c r="BG97" s="903">
        <f t="shared" si="81"/>
        <v>0</v>
      </c>
      <c r="BH97" s="903">
        <f t="shared" si="81"/>
        <v>0</v>
      </c>
      <c r="BI97" s="903">
        <f t="shared" si="81"/>
        <v>0</v>
      </c>
      <c r="BJ97" s="903">
        <f t="shared" si="81"/>
        <v>0</v>
      </c>
      <c r="BK97" s="903">
        <f t="shared" si="81"/>
        <v>0</v>
      </c>
      <c r="BL97" s="903">
        <f t="shared" si="81"/>
        <v>0</v>
      </c>
      <c r="BM97" s="903">
        <f t="shared" si="81"/>
        <v>0</v>
      </c>
      <c r="BN97" s="903">
        <f t="shared" si="81"/>
        <v>0</v>
      </c>
      <c r="BO97" s="903">
        <f t="shared" si="81"/>
        <v>0</v>
      </c>
      <c r="BP97" s="903">
        <f t="shared" si="81"/>
        <v>0</v>
      </c>
      <c r="BQ97" s="903">
        <f t="shared" si="81"/>
        <v>0</v>
      </c>
      <c r="BR97" s="903">
        <f t="shared" si="81"/>
        <v>0</v>
      </c>
    </row>
    <row r="98" spans="13:70">
      <c r="M98" s="890">
        <f ca="1">AJ133</f>
        <v>2.4656182945459681E-2</v>
      </c>
      <c r="N98" s="883">
        <f t="shared" ca="1" si="72"/>
        <v>1775807</v>
      </c>
      <c r="Q98" s="903"/>
      <c r="R98" s="903"/>
      <c r="S98" s="903"/>
      <c r="T98" s="903"/>
      <c r="U98" s="903"/>
      <c r="V98" s="903"/>
      <c r="W98" s="903"/>
      <c r="X98" s="903"/>
      <c r="Y98" s="903"/>
      <c r="Z98" s="903"/>
      <c r="AA98" s="903"/>
      <c r="AB98" s="903"/>
      <c r="AC98" s="903"/>
      <c r="AD98" s="903"/>
      <c r="AE98" s="903"/>
      <c r="AF98" s="903"/>
      <c r="AG98" s="903"/>
      <c r="AH98" s="903"/>
      <c r="AI98" s="903"/>
      <c r="AJ98" s="903">
        <f ca="1">N98</f>
        <v>1775807</v>
      </c>
      <c r="AK98" s="903">
        <f t="shared" si="81"/>
        <v>0</v>
      </c>
      <c r="AL98" s="903">
        <f t="shared" si="81"/>
        <v>0</v>
      </c>
      <c r="AM98" s="903">
        <f t="shared" si="81"/>
        <v>0</v>
      </c>
      <c r="AN98" s="903">
        <f t="shared" si="81"/>
        <v>0</v>
      </c>
      <c r="AO98" s="903">
        <f t="shared" si="81"/>
        <v>0</v>
      </c>
      <c r="AP98" s="903">
        <f t="shared" si="81"/>
        <v>0</v>
      </c>
      <c r="AQ98" s="903">
        <f t="shared" si="81"/>
        <v>0</v>
      </c>
      <c r="AR98" s="903">
        <f t="shared" si="81"/>
        <v>0</v>
      </c>
      <c r="AS98" s="903">
        <f t="shared" si="81"/>
        <v>0</v>
      </c>
      <c r="AT98" s="903">
        <f t="shared" si="81"/>
        <v>0</v>
      </c>
      <c r="AU98" s="903">
        <f t="shared" si="81"/>
        <v>0</v>
      </c>
      <c r="AV98" s="903">
        <f t="shared" si="81"/>
        <v>0</v>
      </c>
      <c r="AW98" s="903">
        <f t="shared" si="81"/>
        <v>0</v>
      </c>
      <c r="AX98" s="903">
        <f t="shared" si="81"/>
        <v>0</v>
      </c>
      <c r="AY98" s="903">
        <f t="shared" si="81"/>
        <v>0</v>
      </c>
      <c r="AZ98" s="903">
        <f t="shared" si="81"/>
        <v>0</v>
      </c>
      <c r="BA98" s="903">
        <f t="shared" si="81"/>
        <v>0</v>
      </c>
      <c r="BB98" s="903">
        <f t="shared" si="81"/>
        <v>0</v>
      </c>
      <c r="BC98" s="903">
        <f t="shared" si="81"/>
        <v>0</v>
      </c>
      <c r="BD98" s="903">
        <f t="shared" si="81"/>
        <v>0</v>
      </c>
      <c r="BE98" s="903">
        <f t="shared" si="81"/>
        <v>0</v>
      </c>
      <c r="BF98" s="903">
        <f t="shared" si="81"/>
        <v>0</v>
      </c>
      <c r="BG98" s="903">
        <f t="shared" si="81"/>
        <v>0</v>
      </c>
      <c r="BH98" s="903">
        <f t="shared" si="81"/>
        <v>0</v>
      </c>
      <c r="BI98" s="903">
        <f t="shared" si="81"/>
        <v>0</v>
      </c>
      <c r="BJ98" s="903">
        <f t="shared" si="81"/>
        <v>0</v>
      </c>
      <c r="BK98" s="903">
        <f t="shared" si="81"/>
        <v>0</v>
      </c>
      <c r="BL98" s="903">
        <f t="shared" si="81"/>
        <v>0</v>
      </c>
      <c r="BM98" s="903">
        <f t="shared" si="81"/>
        <v>0</v>
      </c>
      <c r="BN98" s="903">
        <f t="shared" si="81"/>
        <v>0</v>
      </c>
      <c r="BO98" s="903">
        <f t="shared" si="81"/>
        <v>0</v>
      </c>
      <c r="BP98" s="903">
        <f t="shared" si="81"/>
        <v>0</v>
      </c>
      <c r="BQ98" s="903">
        <f t="shared" si="81"/>
        <v>0</v>
      </c>
      <c r="BR98" s="903">
        <f t="shared" si="81"/>
        <v>0</v>
      </c>
    </row>
    <row r="99" spans="13:70">
      <c r="M99" s="890">
        <f ca="1">AK133</f>
        <v>2.4754284898072632E-2</v>
      </c>
      <c r="N99" s="883">
        <f t="shared" ca="1" si="72"/>
        <v>1823877</v>
      </c>
      <c r="Q99" s="903"/>
      <c r="R99" s="903"/>
      <c r="S99" s="903"/>
      <c r="T99" s="903"/>
      <c r="U99" s="903"/>
      <c r="V99" s="903"/>
      <c r="W99" s="903"/>
      <c r="X99" s="903"/>
      <c r="Y99" s="903"/>
      <c r="Z99" s="903"/>
      <c r="AA99" s="903"/>
      <c r="AB99" s="903"/>
      <c r="AC99" s="903"/>
      <c r="AD99" s="903"/>
      <c r="AE99" s="903"/>
      <c r="AF99" s="903"/>
      <c r="AG99" s="903"/>
      <c r="AH99" s="903"/>
      <c r="AI99" s="903"/>
      <c r="AJ99" s="903"/>
      <c r="AK99" s="903">
        <f ca="1">N99</f>
        <v>1823877</v>
      </c>
      <c r="AL99" s="903">
        <f t="shared" si="81"/>
        <v>0</v>
      </c>
      <c r="AM99" s="903">
        <f t="shared" si="81"/>
        <v>0</v>
      </c>
      <c r="AN99" s="903">
        <f t="shared" si="81"/>
        <v>0</v>
      </c>
      <c r="AO99" s="903">
        <f t="shared" si="81"/>
        <v>0</v>
      </c>
      <c r="AP99" s="903">
        <f t="shared" si="81"/>
        <v>0</v>
      </c>
      <c r="AQ99" s="903">
        <f t="shared" si="81"/>
        <v>0</v>
      </c>
      <c r="AR99" s="903">
        <f t="shared" si="81"/>
        <v>0</v>
      </c>
      <c r="AS99" s="903">
        <f t="shared" si="81"/>
        <v>0</v>
      </c>
      <c r="AT99" s="903">
        <f t="shared" si="81"/>
        <v>0</v>
      </c>
      <c r="AU99" s="903">
        <f t="shared" si="81"/>
        <v>0</v>
      </c>
      <c r="AV99" s="903">
        <f t="shared" si="81"/>
        <v>0</v>
      </c>
      <c r="AW99" s="903">
        <f t="shared" si="81"/>
        <v>0</v>
      </c>
      <c r="AX99" s="903">
        <f t="shared" si="81"/>
        <v>0</v>
      </c>
      <c r="AY99" s="903">
        <f t="shared" si="81"/>
        <v>0</v>
      </c>
      <c r="AZ99" s="903">
        <f t="shared" si="81"/>
        <v>0</v>
      </c>
      <c r="BA99" s="903">
        <f t="shared" si="81"/>
        <v>0</v>
      </c>
      <c r="BB99" s="903">
        <f t="shared" si="81"/>
        <v>0</v>
      </c>
      <c r="BC99" s="903">
        <f t="shared" si="81"/>
        <v>0</v>
      </c>
      <c r="BD99" s="903">
        <f t="shared" si="81"/>
        <v>0</v>
      </c>
      <c r="BE99" s="903">
        <f t="shared" si="81"/>
        <v>0</v>
      </c>
      <c r="BF99" s="903">
        <f t="shared" si="81"/>
        <v>0</v>
      </c>
      <c r="BG99" s="903">
        <f t="shared" si="81"/>
        <v>0</v>
      </c>
      <c r="BH99" s="903">
        <f t="shared" si="81"/>
        <v>0</v>
      </c>
      <c r="BI99" s="903">
        <f t="shared" si="81"/>
        <v>0</v>
      </c>
      <c r="BJ99" s="903">
        <f t="shared" si="81"/>
        <v>0</v>
      </c>
      <c r="BK99" s="903">
        <f t="shared" si="81"/>
        <v>0</v>
      </c>
      <c r="BL99" s="903">
        <f t="shared" si="81"/>
        <v>0</v>
      </c>
      <c r="BM99" s="903">
        <f t="shared" si="81"/>
        <v>0</v>
      </c>
      <c r="BN99" s="903">
        <f t="shared" si="81"/>
        <v>0</v>
      </c>
      <c r="BO99" s="903">
        <f t="shared" si="81"/>
        <v>0</v>
      </c>
      <c r="BP99" s="903">
        <f t="shared" si="81"/>
        <v>0</v>
      </c>
      <c r="BQ99" s="903">
        <f t="shared" si="81"/>
        <v>0</v>
      </c>
      <c r="BR99" s="903">
        <f t="shared" si="81"/>
        <v>0</v>
      </c>
    </row>
    <row r="100" spans="13:70">
      <c r="M100" s="890">
        <f ca="1">AL133</f>
        <v>2.4844566779439026E-2</v>
      </c>
      <c r="N100" s="883">
        <f t="shared" ca="1" si="72"/>
        <v>1873241</v>
      </c>
      <c r="Q100" s="903"/>
      <c r="R100" s="903"/>
      <c r="S100" s="903"/>
      <c r="T100" s="903"/>
      <c r="U100" s="903"/>
      <c r="V100" s="903"/>
      <c r="W100" s="903"/>
      <c r="X100" s="903"/>
      <c r="Y100" s="903"/>
      <c r="Z100" s="903"/>
      <c r="AA100" s="903"/>
      <c r="AB100" s="903"/>
      <c r="AC100" s="903"/>
      <c r="AD100" s="903"/>
      <c r="AE100" s="903"/>
      <c r="AF100" s="903"/>
      <c r="AG100" s="903"/>
      <c r="AH100" s="903"/>
      <c r="AI100" s="903"/>
      <c r="AJ100" s="903"/>
      <c r="AK100" s="903"/>
      <c r="AL100" s="903">
        <f ca="1">N100</f>
        <v>1873241</v>
      </c>
      <c r="AM100" s="903">
        <f t="shared" si="81"/>
        <v>0</v>
      </c>
      <c r="AN100" s="903">
        <f t="shared" si="81"/>
        <v>0</v>
      </c>
      <c r="AO100" s="903">
        <f t="shared" si="81"/>
        <v>0</v>
      </c>
      <c r="AP100" s="903">
        <f t="shared" si="81"/>
        <v>0</v>
      </c>
      <c r="AQ100" s="903">
        <f t="shared" si="81"/>
        <v>0</v>
      </c>
      <c r="AR100" s="903">
        <f t="shared" si="81"/>
        <v>0</v>
      </c>
      <c r="AS100" s="903">
        <f t="shared" si="81"/>
        <v>0</v>
      </c>
      <c r="AT100" s="903">
        <f t="shared" si="81"/>
        <v>0</v>
      </c>
      <c r="AU100" s="903">
        <f t="shared" si="81"/>
        <v>0</v>
      </c>
      <c r="AV100" s="903">
        <f t="shared" si="81"/>
        <v>0</v>
      </c>
      <c r="AW100" s="903">
        <f t="shared" si="81"/>
        <v>0</v>
      </c>
      <c r="AX100" s="903">
        <f t="shared" si="81"/>
        <v>0</v>
      </c>
      <c r="AY100" s="903">
        <f t="shared" si="81"/>
        <v>0</v>
      </c>
      <c r="AZ100" s="903">
        <f t="shared" si="81"/>
        <v>0</v>
      </c>
      <c r="BA100" s="903">
        <f t="shared" si="81"/>
        <v>0</v>
      </c>
      <c r="BB100" s="903">
        <f t="shared" si="81"/>
        <v>0</v>
      </c>
      <c r="BC100" s="903">
        <f t="shared" si="81"/>
        <v>0</v>
      </c>
      <c r="BD100" s="903">
        <f t="shared" si="81"/>
        <v>0</v>
      </c>
      <c r="BE100" s="903">
        <f t="shared" si="81"/>
        <v>0</v>
      </c>
      <c r="BF100" s="903">
        <f t="shared" si="81"/>
        <v>0</v>
      </c>
      <c r="BG100" s="903">
        <f t="shared" si="81"/>
        <v>0</v>
      </c>
      <c r="BH100" s="903">
        <f t="shared" si="81"/>
        <v>0</v>
      </c>
      <c r="BI100" s="903">
        <f t="shared" si="81"/>
        <v>0</v>
      </c>
      <c r="BJ100" s="903">
        <f t="shared" si="81"/>
        <v>0</v>
      </c>
      <c r="BK100" s="903">
        <f t="shared" si="81"/>
        <v>0</v>
      </c>
      <c r="BL100" s="903">
        <f t="shared" si="81"/>
        <v>0</v>
      </c>
      <c r="BM100" s="903">
        <f t="shared" si="81"/>
        <v>0</v>
      </c>
      <c r="BN100" s="903">
        <f t="shared" si="81"/>
        <v>0</v>
      </c>
      <c r="BO100" s="903">
        <f t="shared" si="81"/>
        <v>0</v>
      </c>
      <c r="BP100" s="903">
        <f t="shared" si="81"/>
        <v>0</v>
      </c>
      <c r="BQ100" s="903">
        <f t="shared" si="81"/>
        <v>0</v>
      </c>
      <c r="BR100" s="903">
        <f t="shared" si="81"/>
        <v>0</v>
      </c>
    </row>
    <row r="101" spans="13:70">
      <c r="M101" s="890">
        <f ca="1">AM133</f>
        <v>2.4927998253528205E-2</v>
      </c>
      <c r="N101" s="883">
        <f t="shared" ca="1" si="72"/>
        <v>1923938</v>
      </c>
      <c r="Q101" s="903"/>
      <c r="R101" s="903"/>
      <c r="S101" s="903"/>
      <c r="T101" s="903"/>
      <c r="U101" s="903"/>
      <c r="V101" s="903"/>
      <c r="W101" s="903"/>
      <c r="X101" s="903"/>
      <c r="Y101" s="903"/>
      <c r="Z101" s="903"/>
      <c r="AA101" s="903"/>
      <c r="AB101" s="903"/>
      <c r="AC101" s="903"/>
      <c r="AD101" s="903"/>
      <c r="AE101" s="903"/>
      <c r="AF101" s="903"/>
      <c r="AG101" s="903"/>
      <c r="AH101" s="903"/>
      <c r="AI101" s="903"/>
      <c r="AJ101" s="903"/>
      <c r="AK101" s="903"/>
      <c r="AL101" s="903"/>
      <c r="AM101" s="903">
        <f ca="1">N101</f>
        <v>1923938</v>
      </c>
      <c r="AN101" s="903">
        <f t="shared" si="81"/>
        <v>0</v>
      </c>
      <c r="AO101" s="903">
        <f t="shared" si="81"/>
        <v>0</v>
      </c>
      <c r="AP101" s="903">
        <f t="shared" si="81"/>
        <v>0</v>
      </c>
      <c r="AQ101" s="903">
        <f t="shared" si="81"/>
        <v>0</v>
      </c>
      <c r="AR101" s="903">
        <f t="shared" si="81"/>
        <v>0</v>
      </c>
      <c r="AS101" s="903">
        <f t="shared" si="81"/>
        <v>0</v>
      </c>
      <c r="AT101" s="903">
        <f t="shared" si="81"/>
        <v>0</v>
      </c>
      <c r="AU101" s="903">
        <f t="shared" si="81"/>
        <v>0</v>
      </c>
      <c r="AV101" s="903">
        <f t="shared" si="81"/>
        <v>0</v>
      </c>
      <c r="AW101" s="903">
        <f t="shared" si="81"/>
        <v>0</v>
      </c>
      <c r="AX101" s="903">
        <f t="shared" si="81"/>
        <v>0</v>
      </c>
      <c r="AY101" s="903">
        <f t="shared" si="81"/>
        <v>0</v>
      </c>
      <c r="AZ101" s="903">
        <f t="shared" si="81"/>
        <v>0</v>
      </c>
      <c r="BA101" s="903">
        <f t="shared" si="81"/>
        <v>0</v>
      </c>
      <c r="BB101" s="903">
        <f t="shared" si="81"/>
        <v>0</v>
      </c>
      <c r="BC101" s="903">
        <f t="shared" si="81"/>
        <v>0</v>
      </c>
      <c r="BD101" s="903">
        <f t="shared" si="81"/>
        <v>0</v>
      </c>
      <c r="BE101" s="903">
        <f t="shared" si="81"/>
        <v>0</v>
      </c>
      <c r="BF101" s="903">
        <f t="shared" si="81"/>
        <v>0</v>
      </c>
      <c r="BG101" s="903">
        <f t="shared" si="81"/>
        <v>0</v>
      </c>
      <c r="BH101" s="903">
        <f t="shared" si="81"/>
        <v>0</v>
      </c>
      <c r="BI101" s="903">
        <f t="shared" si="81"/>
        <v>0</v>
      </c>
      <c r="BJ101" s="903">
        <f t="shared" si="81"/>
        <v>0</v>
      </c>
      <c r="BK101" s="903">
        <f t="shared" si="81"/>
        <v>0</v>
      </c>
      <c r="BL101" s="903">
        <f t="shared" si="81"/>
        <v>0</v>
      </c>
      <c r="BM101" s="903">
        <f t="shared" si="81"/>
        <v>0</v>
      </c>
      <c r="BN101" s="903">
        <f t="shared" si="81"/>
        <v>0</v>
      </c>
      <c r="BO101" s="903">
        <f t="shared" si="81"/>
        <v>0</v>
      </c>
      <c r="BP101" s="903">
        <f t="shared" si="81"/>
        <v>0</v>
      </c>
      <c r="BQ101" s="903">
        <f t="shared" si="81"/>
        <v>0</v>
      </c>
      <c r="BR101" s="903">
        <f t="shared" si="81"/>
        <v>0</v>
      </c>
    </row>
    <row r="102" spans="13:70">
      <c r="M102" s="890">
        <f ca="1">AN133</f>
        <v>2.5005739644609282E-2</v>
      </c>
      <c r="N102" s="883">
        <f t="shared" ca="1" si="72"/>
        <v>1976026</v>
      </c>
      <c r="Q102" s="903"/>
      <c r="R102" s="903"/>
      <c r="S102" s="903"/>
      <c r="T102" s="903"/>
      <c r="U102" s="903"/>
      <c r="V102" s="903"/>
      <c r="W102" s="903"/>
      <c r="X102" s="903"/>
      <c r="Y102" s="903"/>
      <c r="Z102" s="903"/>
      <c r="AA102" s="903"/>
      <c r="AB102" s="903"/>
      <c r="AC102" s="903"/>
      <c r="AD102" s="903"/>
      <c r="AE102" s="903"/>
      <c r="AF102" s="903"/>
      <c r="AG102" s="903"/>
      <c r="AH102" s="903"/>
      <c r="AI102" s="903"/>
      <c r="AJ102" s="903"/>
      <c r="AK102" s="903"/>
      <c r="AL102" s="903"/>
      <c r="AM102" s="903"/>
      <c r="AN102" s="903">
        <f ca="1">N102</f>
        <v>1976026</v>
      </c>
      <c r="AO102" s="903">
        <f t="shared" si="81"/>
        <v>0</v>
      </c>
      <c r="AP102" s="903">
        <f t="shared" si="81"/>
        <v>0</v>
      </c>
      <c r="AQ102" s="903">
        <f t="shared" si="81"/>
        <v>0</v>
      </c>
      <c r="AR102" s="903">
        <f t="shared" si="81"/>
        <v>0</v>
      </c>
      <c r="AS102" s="903">
        <f t="shared" si="81"/>
        <v>0</v>
      </c>
      <c r="AT102" s="903">
        <f t="shared" si="81"/>
        <v>0</v>
      </c>
      <c r="AU102" s="903">
        <f t="shared" si="81"/>
        <v>0</v>
      </c>
      <c r="AV102" s="903">
        <f t="shared" si="81"/>
        <v>0</v>
      </c>
      <c r="AW102" s="903">
        <f t="shared" si="81"/>
        <v>0</v>
      </c>
      <c r="AX102" s="903">
        <f t="shared" si="81"/>
        <v>0</v>
      </c>
      <c r="AY102" s="903">
        <f t="shared" si="81"/>
        <v>0</v>
      </c>
      <c r="AZ102" s="903">
        <f t="shared" si="81"/>
        <v>0</v>
      </c>
      <c r="BA102" s="903">
        <f t="shared" si="81"/>
        <v>0</v>
      </c>
      <c r="BB102" s="903">
        <f t="shared" si="81"/>
        <v>0</v>
      </c>
      <c r="BC102" s="903">
        <f t="shared" si="81"/>
        <v>0</v>
      </c>
      <c r="BD102" s="903">
        <f t="shared" si="81"/>
        <v>0</v>
      </c>
      <c r="BE102" s="903">
        <f t="shared" si="81"/>
        <v>0</v>
      </c>
      <c r="BF102" s="903">
        <f t="shared" si="81"/>
        <v>0</v>
      </c>
      <c r="BG102" s="903">
        <f t="shared" si="81"/>
        <v>0</v>
      </c>
      <c r="BH102" s="903">
        <f t="shared" si="81"/>
        <v>0</v>
      </c>
      <c r="BI102" s="903">
        <f t="shared" si="81"/>
        <v>0</v>
      </c>
      <c r="BJ102" s="903">
        <f t="shared" si="81"/>
        <v>0</v>
      </c>
      <c r="BK102" s="903">
        <f t="shared" si="81"/>
        <v>0</v>
      </c>
      <c r="BL102" s="903">
        <f t="shared" si="81"/>
        <v>0</v>
      </c>
      <c r="BM102" s="903">
        <f t="shared" si="81"/>
        <v>0</v>
      </c>
      <c r="BN102" s="903">
        <f t="shared" si="81"/>
        <v>0</v>
      </c>
      <c r="BO102" s="903">
        <f t="shared" si="81"/>
        <v>0</v>
      </c>
      <c r="BP102" s="903">
        <f t="shared" si="81"/>
        <v>0</v>
      </c>
      <c r="BQ102" s="903">
        <f t="shared" si="81"/>
        <v>0</v>
      </c>
      <c r="BR102" s="903">
        <f t="shared" si="81"/>
        <v>0</v>
      </c>
    </row>
    <row r="103" spans="13:70">
      <c r="M103" s="890">
        <f ca="1">AO133</f>
        <v>2.5077951851993241E-2</v>
      </c>
      <c r="N103" s="883">
        <f t="shared" ca="1" si="72"/>
        <v>2029519</v>
      </c>
      <c r="Q103" s="903"/>
      <c r="R103" s="903"/>
      <c r="S103" s="903"/>
      <c r="T103" s="903"/>
      <c r="U103" s="903"/>
      <c r="V103" s="903"/>
      <c r="W103" s="903"/>
      <c r="X103" s="903"/>
      <c r="Y103" s="903"/>
      <c r="Z103" s="903"/>
      <c r="AA103" s="903"/>
      <c r="AB103" s="903"/>
      <c r="AC103" s="903"/>
      <c r="AD103" s="903"/>
      <c r="AE103" s="903"/>
      <c r="AF103" s="903"/>
      <c r="AG103" s="903"/>
      <c r="AH103" s="903"/>
      <c r="AI103" s="903"/>
      <c r="AJ103" s="903"/>
      <c r="AK103" s="903"/>
      <c r="AL103" s="903"/>
      <c r="AM103" s="903"/>
      <c r="AN103" s="903"/>
      <c r="AO103" s="903">
        <f ca="1">N103</f>
        <v>2029519</v>
      </c>
      <c r="AP103" s="903">
        <f t="shared" si="81"/>
        <v>0</v>
      </c>
      <c r="AQ103" s="903">
        <f t="shared" si="81"/>
        <v>0</v>
      </c>
      <c r="AR103" s="903">
        <f t="shared" si="81"/>
        <v>0</v>
      </c>
      <c r="AS103" s="903">
        <f t="shared" si="81"/>
        <v>0</v>
      </c>
      <c r="AT103" s="903">
        <f t="shared" si="81"/>
        <v>0</v>
      </c>
      <c r="AU103" s="903">
        <f t="shared" si="81"/>
        <v>0</v>
      </c>
      <c r="AV103" s="903">
        <f t="shared" si="81"/>
        <v>0</v>
      </c>
      <c r="AW103" s="903">
        <f t="shared" si="81"/>
        <v>0</v>
      </c>
      <c r="AX103" s="903">
        <f t="shared" si="81"/>
        <v>0</v>
      </c>
      <c r="AY103" s="903">
        <f t="shared" si="81"/>
        <v>0</v>
      </c>
      <c r="AZ103" s="903">
        <f t="shared" si="81"/>
        <v>0</v>
      </c>
      <c r="BA103" s="903">
        <f t="shared" si="81"/>
        <v>0</v>
      </c>
      <c r="BB103" s="903">
        <f t="shared" si="81"/>
        <v>0</v>
      </c>
      <c r="BC103" s="903">
        <f t="shared" si="81"/>
        <v>0</v>
      </c>
      <c r="BD103" s="903">
        <f t="shared" si="81"/>
        <v>0</v>
      </c>
      <c r="BE103" s="903">
        <f t="shared" si="81"/>
        <v>0</v>
      </c>
      <c r="BF103" s="903">
        <f t="shared" si="81"/>
        <v>0</v>
      </c>
      <c r="BG103" s="903">
        <f t="shared" si="81"/>
        <v>0</v>
      </c>
      <c r="BH103" s="903">
        <f t="shared" si="81"/>
        <v>0</v>
      </c>
      <c r="BI103" s="903">
        <f t="shared" si="81"/>
        <v>0</v>
      </c>
      <c r="BJ103" s="903">
        <f t="shared" si="81"/>
        <v>0</v>
      </c>
      <c r="BK103" s="903">
        <f t="shared" si="81"/>
        <v>0</v>
      </c>
      <c r="BL103" s="903">
        <f t="shared" si="81"/>
        <v>0</v>
      </c>
      <c r="BM103" s="903">
        <f t="shared" si="81"/>
        <v>0</v>
      </c>
      <c r="BN103" s="903">
        <f t="shared" ref="BN103:BR103" si="82">$H34</f>
        <v>0</v>
      </c>
      <c r="BO103" s="903">
        <f t="shared" si="82"/>
        <v>0</v>
      </c>
      <c r="BP103" s="903">
        <f t="shared" si="82"/>
        <v>0</v>
      </c>
      <c r="BQ103" s="903">
        <f t="shared" si="82"/>
        <v>0</v>
      </c>
      <c r="BR103" s="903">
        <f t="shared" si="82"/>
        <v>0</v>
      </c>
    </row>
    <row r="104" spans="13:70">
      <c r="M104" s="890">
        <f ca="1">AP133</f>
        <v>2.5145365725770308E-2</v>
      </c>
      <c r="N104" s="883">
        <f t="shared" ca="1" si="72"/>
        <v>2084465</v>
      </c>
      <c r="Q104" s="903"/>
      <c r="R104" s="903"/>
      <c r="S104" s="903"/>
      <c r="T104" s="903"/>
      <c r="U104" s="903"/>
      <c r="V104" s="903"/>
      <c r="W104" s="903"/>
      <c r="X104" s="903"/>
      <c r="Y104" s="903"/>
      <c r="Z104" s="903"/>
      <c r="AA104" s="903"/>
      <c r="AB104" s="903"/>
      <c r="AC104" s="903"/>
      <c r="AD104" s="903"/>
      <c r="AE104" s="903"/>
      <c r="AF104" s="903"/>
      <c r="AG104" s="903"/>
      <c r="AH104" s="903"/>
      <c r="AI104" s="903"/>
      <c r="AJ104" s="903"/>
      <c r="AK104" s="903"/>
      <c r="AL104" s="903"/>
      <c r="AM104" s="903"/>
      <c r="AN104" s="903"/>
      <c r="AO104" s="903"/>
      <c r="AP104" s="903">
        <f ca="1">N104</f>
        <v>2084465</v>
      </c>
      <c r="AQ104" s="903">
        <f t="shared" ref="AQ104:BR115" si="83">$H35</f>
        <v>0</v>
      </c>
      <c r="AR104" s="903">
        <f t="shared" si="83"/>
        <v>0</v>
      </c>
      <c r="AS104" s="903">
        <f t="shared" si="83"/>
        <v>0</v>
      </c>
      <c r="AT104" s="903">
        <f t="shared" si="83"/>
        <v>0</v>
      </c>
      <c r="AU104" s="903">
        <f t="shared" si="83"/>
        <v>0</v>
      </c>
      <c r="AV104" s="903">
        <f t="shared" si="83"/>
        <v>0</v>
      </c>
      <c r="AW104" s="903">
        <f t="shared" si="83"/>
        <v>0</v>
      </c>
      <c r="AX104" s="903">
        <f t="shared" si="83"/>
        <v>0</v>
      </c>
      <c r="AY104" s="903">
        <f t="shared" si="83"/>
        <v>0</v>
      </c>
      <c r="AZ104" s="903">
        <f t="shared" si="83"/>
        <v>0</v>
      </c>
      <c r="BA104" s="903">
        <f t="shared" si="83"/>
        <v>0</v>
      </c>
      <c r="BB104" s="903">
        <f t="shared" si="83"/>
        <v>0</v>
      </c>
      <c r="BC104" s="903">
        <f t="shared" si="83"/>
        <v>0</v>
      </c>
      <c r="BD104" s="903">
        <f t="shared" si="83"/>
        <v>0</v>
      </c>
      <c r="BE104" s="903">
        <f t="shared" si="83"/>
        <v>0</v>
      </c>
      <c r="BF104" s="903">
        <f t="shared" si="83"/>
        <v>0</v>
      </c>
      <c r="BG104" s="903">
        <f t="shared" si="83"/>
        <v>0</v>
      </c>
      <c r="BH104" s="903">
        <f t="shared" si="83"/>
        <v>0</v>
      </c>
      <c r="BI104" s="903">
        <f t="shared" si="83"/>
        <v>0</v>
      </c>
      <c r="BJ104" s="903">
        <f t="shared" si="83"/>
        <v>0</v>
      </c>
      <c r="BK104" s="903">
        <f t="shared" si="83"/>
        <v>0</v>
      </c>
      <c r="BL104" s="903">
        <f t="shared" si="83"/>
        <v>0</v>
      </c>
      <c r="BM104" s="903">
        <f t="shared" si="83"/>
        <v>0</v>
      </c>
      <c r="BN104" s="903">
        <f t="shared" si="83"/>
        <v>0</v>
      </c>
      <c r="BO104" s="903">
        <f t="shared" si="83"/>
        <v>0</v>
      </c>
      <c r="BP104" s="903">
        <f t="shared" si="83"/>
        <v>0</v>
      </c>
      <c r="BQ104" s="903">
        <f t="shared" si="83"/>
        <v>0</v>
      </c>
      <c r="BR104" s="903">
        <f t="shared" si="83"/>
        <v>0</v>
      </c>
    </row>
    <row r="105" spans="13:70">
      <c r="M105" s="890">
        <f ca="1">AQ133</f>
        <v>2.5208066479199154E-2</v>
      </c>
      <c r="N105" s="883">
        <f t="shared" ca="1" si="72"/>
        <v>2140879</v>
      </c>
      <c r="Q105" s="903"/>
      <c r="R105" s="903"/>
      <c r="S105" s="903"/>
      <c r="T105" s="903"/>
      <c r="U105" s="903"/>
      <c r="V105" s="903"/>
      <c r="W105" s="903"/>
      <c r="X105" s="903"/>
      <c r="Y105" s="903"/>
      <c r="Z105" s="903"/>
      <c r="AA105" s="903"/>
      <c r="AB105" s="903"/>
      <c r="AC105" s="903"/>
      <c r="AD105" s="903"/>
      <c r="AE105" s="903"/>
      <c r="AF105" s="903"/>
      <c r="AG105" s="903"/>
      <c r="AH105" s="903"/>
      <c r="AI105" s="903"/>
      <c r="AJ105" s="903"/>
      <c r="AK105" s="903"/>
      <c r="AL105" s="903"/>
      <c r="AM105" s="903"/>
      <c r="AN105" s="903"/>
      <c r="AO105" s="903"/>
      <c r="AP105" s="903"/>
      <c r="AQ105" s="903">
        <f ca="1">N105</f>
        <v>2140879</v>
      </c>
      <c r="AR105" s="903">
        <f t="shared" si="83"/>
        <v>0</v>
      </c>
      <c r="AS105" s="903">
        <f t="shared" si="83"/>
        <v>0</v>
      </c>
      <c r="AT105" s="903">
        <f t="shared" si="83"/>
        <v>0</v>
      </c>
      <c r="AU105" s="903">
        <f t="shared" si="83"/>
        <v>0</v>
      </c>
      <c r="AV105" s="903">
        <f t="shared" si="83"/>
        <v>0</v>
      </c>
      <c r="AW105" s="903">
        <f t="shared" si="83"/>
        <v>0</v>
      </c>
      <c r="AX105" s="903">
        <f t="shared" si="83"/>
        <v>0</v>
      </c>
      <c r="AY105" s="903">
        <f t="shared" si="83"/>
        <v>0</v>
      </c>
      <c r="AZ105" s="903">
        <f t="shared" si="83"/>
        <v>0</v>
      </c>
      <c r="BA105" s="903">
        <f t="shared" si="83"/>
        <v>0</v>
      </c>
      <c r="BB105" s="903">
        <f t="shared" si="83"/>
        <v>0</v>
      </c>
      <c r="BC105" s="903">
        <f t="shared" si="83"/>
        <v>0</v>
      </c>
      <c r="BD105" s="903">
        <f t="shared" si="83"/>
        <v>0</v>
      </c>
      <c r="BE105" s="903">
        <f t="shared" si="83"/>
        <v>0</v>
      </c>
      <c r="BF105" s="903">
        <f t="shared" si="83"/>
        <v>0</v>
      </c>
      <c r="BG105" s="903">
        <f t="shared" si="83"/>
        <v>0</v>
      </c>
      <c r="BH105" s="903">
        <f t="shared" si="83"/>
        <v>0</v>
      </c>
      <c r="BI105" s="903">
        <f t="shared" si="83"/>
        <v>0</v>
      </c>
      <c r="BJ105" s="903">
        <f t="shared" si="83"/>
        <v>0</v>
      </c>
      <c r="BK105" s="903">
        <f t="shared" si="83"/>
        <v>0</v>
      </c>
      <c r="BL105" s="903">
        <f t="shared" si="83"/>
        <v>0</v>
      </c>
      <c r="BM105" s="903">
        <f t="shared" si="83"/>
        <v>0</v>
      </c>
      <c r="BN105" s="903">
        <f t="shared" si="83"/>
        <v>0</v>
      </c>
      <c r="BO105" s="903">
        <f t="shared" si="83"/>
        <v>0</v>
      </c>
      <c r="BP105" s="903">
        <f t="shared" si="83"/>
        <v>0</v>
      </c>
      <c r="BQ105" s="903">
        <f t="shared" si="83"/>
        <v>0</v>
      </c>
      <c r="BR105" s="903">
        <f t="shared" si="83"/>
        <v>0</v>
      </c>
    </row>
    <row r="106" spans="13:70">
      <c r="M106" s="890">
        <f ca="1">AR133</f>
        <v>2.5267362834798579E-2</v>
      </c>
      <c r="N106" s="883">
        <f t="shared" ca="1" si="72"/>
        <v>2198858</v>
      </c>
      <c r="Q106" s="903"/>
      <c r="R106" s="903"/>
      <c r="S106" s="903"/>
      <c r="T106" s="903"/>
      <c r="U106" s="903"/>
      <c r="V106" s="903"/>
      <c r="W106" s="903"/>
      <c r="X106" s="903"/>
      <c r="Y106" s="903"/>
      <c r="Z106" s="903"/>
      <c r="AA106" s="903"/>
      <c r="AB106" s="903"/>
      <c r="AC106" s="903"/>
      <c r="AD106" s="903"/>
      <c r="AE106" s="903"/>
      <c r="AF106" s="903"/>
      <c r="AG106" s="903"/>
      <c r="AH106" s="903"/>
      <c r="AI106" s="903"/>
      <c r="AJ106" s="903"/>
      <c r="AK106" s="903"/>
      <c r="AL106" s="903"/>
      <c r="AM106" s="903"/>
      <c r="AN106" s="903"/>
      <c r="AO106" s="903"/>
      <c r="AP106" s="903"/>
      <c r="AQ106" s="903"/>
      <c r="AR106" s="903">
        <f ca="1">N106</f>
        <v>2198858</v>
      </c>
      <c r="AS106" s="903">
        <f t="shared" si="83"/>
        <v>0</v>
      </c>
      <c r="AT106" s="903">
        <f t="shared" si="83"/>
        <v>0</v>
      </c>
      <c r="AU106" s="903">
        <f t="shared" si="83"/>
        <v>0</v>
      </c>
      <c r="AV106" s="903">
        <f t="shared" si="83"/>
        <v>0</v>
      </c>
      <c r="AW106" s="903">
        <f t="shared" si="83"/>
        <v>0</v>
      </c>
      <c r="AX106" s="903">
        <f t="shared" si="83"/>
        <v>0</v>
      </c>
      <c r="AY106" s="903">
        <f t="shared" si="83"/>
        <v>0</v>
      </c>
      <c r="AZ106" s="903">
        <f t="shared" si="83"/>
        <v>0</v>
      </c>
      <c r="BA106" s="903">
        <f t="shared" si="83"/>
        <v>0</v>
      </c>
      <c r="BB106" s="903">
        <f t="shared" si="83"/>
        <v>0</v>
      </c>
      <c r="BC106" s="903">
        <f t="shared" si="83"/>
        <v>0</v>
      </c>
      <c r="BD106" s="903">
        <f t="shared" si="83"/>
        <v>0</v>
      </c>
      <c r="BE106" s="903">
        <f t="shared" si="83"/>
        <v>0</v>
      </c>
      <c r="BF106" s="903">
        <f t="shared" si="83"/>
        <v>0</v>
      </c>
      <c r="BG106" s="903">
        <f t="shared" si="83"/>
        <v>0</v>
      </c>
      <c r="BH106" s="903">
        <f t="shared" si="83"/>
        <v>0</v>
      </c>
      <c r="BI106" s="903">
        <f t="shared" si="83"/>
        <v>0</v>
      </c>
      <c r="BJ106" s="903">
        <f t="shared" si="83"/>
        <v>0</v>
      </c>
      <c r="BK106" s="903">
        <f t="shared" si="83"/>
        <v>0</v>
      </c>
      <c r="BL106" s="903">
        <f t="shared" si="83"/>
        <v>0</v>
      </c>
      <c r="BM106" s="903">
        <f t="shared" si="83"/>
        <v>0</v>
      </c>
      <c r="BN106" s="903">
        <f t="shared" si="83"/>
        <v>0</v>
      </c>
      <c r="BO106" s="903">
        <f t="shared" si="83"/>
        <v>0</v>
      </c>
      <c r="BP106" s="903">
        <f t="shared" si="83"/>
        <v>0</v>
      </c>
      <c r="BQ106" s="903">
        <f t="shared" si="83"/>
        <v>0</v>
      </c>
      <c r="BR106" s="903">
        <f t="shared" si="83"/>
        <v>0</v>
      </c>
    </row>
    <row r="107" spans="13:70">
      <c r="M107" s="890">
        <f ca="1">AS133</f>
        <v>2.5323227733177633E-2</v>
      </c>
      <c r="N107" s="883">
        <f t="shared" ca="1" si="72"/>
        <v>2258422</v>
      </c>
      <c r="Q107" s="903"/>
      <c r="R107" s="903"/>
      <c r="S107" s="903"/>
      <c r="T107" s="903"/>
      <c r="U107" s="903"/>
      <c r="V107" s="903"/>
      <c r="W107" s="903"/>
      <c r="X107" s="903"/>
      <c r="Y107" s="903"/>
      <c r="Z107" s="903"/>
      <c r="AA107" s="903"/>
      <c r="AB107" s="903"/>
      <c r="AC107" s="903"/>
      <c r="AD107" s="903"/>
      <c r="AE107" s="903"/>
      <c r="AF107" s="903"/>
      <c r="AG107" s="903"/>
      <c r="AH107" s="903"/>
      <c r="AI107" s="903"/>
      <c r="AJ107" s="903"/>
      <c r="AK107" s="903"/>
      <c r="AL107" s="903"/>
      <c r="AM107" s="903"/>
      <c r="AN107" s="903"/>
      <c r="AO107" s="903"/>
      <c r="AP107" s="903"/>
      <c r="AQ107" s="903"/>
      <c r="AR107" s="903"/>
      <c r="AS107" s="903">
        <f ca="1">N107</f>
        <v>2258422</v>
      </c>
      <c r="AT107" s="903">
        <f t="shared" si="83"/>
        <v>0</v>
      </c>
      <c r="AU107" s="903">
        <f t="shared" si="83"/>
        <v>0</v>
      </c>
      <c r="AV107" s="903">
        <f t="shared" si="83"/>
        <v>0</v>
      </c>
      <c r="AW107" s="903">
        <f t="shared" si="83"/>
        <v>0</v>
      </c>
      <c r="AX107" s="903">
        <f t="shared" si="83"/>
        <v>0</v>
      </c>
      <c r="AY107" s="903">
        <f t="shared" si="83"/>
        <v>0</v>
      </c>
      <c r="AZ107" s="903">
        <f t="shared" si="83"/>
        <v>0</v>
      </c>
      <c r="BA107" s="903">
        <f t="shared" si="83"/>
        <v>0</v>
      </c>
      <c r="BB107" s="903">
        <f t="shared" si="83"/>
        <v>0</v>
      </c>
      <c r="BC107" s="903">
        <f t="shared" si="83"/>
        <v>0</v>
      </c>
      <c r="BD107" s="903">
        <f t="shared" si="83"/>
        <v>0</v>
      </c>
      <c r="BE107" s="903">
        <f t="shared" si="83"/>
        <v>0</v>
      </c>
      <c r="BF107" s="903">
        <f t="shared" si="83"/>
        <v>0</v>
      </c>
      <c r="BG107" s="903">
        <f t="shared" si="83"/>
        <v>0</v>
      </c>
      <c r="BH107" s="903">
        <f t="shared" si="83"/>
        <v>0</v>
      </c>
      <c r="BI107" s="903">
        <f t="shared" si="83"/>
        <v>0</v>
      </c>
      <c r="BJ107" s="903">
        <f t="shared" si="83"/>
        <v>0</v>
      </c>
      <c r="BK107" s="903">
        <f t="shared" si="83"/>
        <v>0</v>
      </c>
      <c r="BL107" s="903">
        <f t="shared" si="83"/>
        <v>0</v>
      </c>
      <c r="BM107" s="903">
        <f t="shared" si="83"/>
        <v>0</v>
      </c>
      <c r="BN107" s="903">
        <f t="shared" si="83"/>
        <v>0</v>
      </c>
      <c r="BO107" s="903">
        <f t="shared" si="83"/>
        <v>0</v>
      </c>
      <c r="BP107" s="903">
        <f t="shared" si="83"/>
        <v>0</v>
      </c>
      <c r="BQ107" s="903">
        <f t="shared" si="83"/>
        <v>0</v>
      </c>
      <c r="BR107" s="903">
        <f t="shared" si="83"/>
        <v>0</v>
      </c>
    </row>
    <row r="108" spans="13:70">
      <c r="M108" s="890">
        <f ca="1">AT133</f>
        <v>2.537502317825302E-2</v>
      </c>
      <c r="N108" s="883">
        <f t="shared" ca="1" si="72"/>
        <v>2319543</v>
      </c>
      <c r="Q108" s="903"/>
      <c r="R108" s="903"/>
      <c r="S108" s="903"/>
      <c r="T108" s="903"/>
      <c r="U108" s="903"/>
      <c r="V108" s="903"/>
      <c r="W108" s="903"/>
      <c r="X108" s="903"/>
      <c r="Y108" s="903"/>
      <c r="Z108" s="903"/>
      <c r="AA108" s="903"/>
      <c r="AB108" s="903"/>
      <c r="AC108" s="903"/>
      <c r="AD108" s="903"/>
      <c r="AE108" s="903"/>
      <c r="AF108" s="903"/>
      <c r="AG108" s="903"/>
      <c r="AH108" s="903"/>
      <c r="AI108" s="903"/>
      <c r="AJ108" s="903"/>
      <c r="AK108" s="903"/>
      <c r="AL108" s="903"/>
      <c r="AM108" s="903"/>
      <c r="AN108" s="903"/>
      <c r="AO108" s="903"/>
      <c r="AP108" s="903"/>
      <c r="AQ108" s="903"/>
      <c r="AR108" s="903"/>
      <c r="AS108" s="903"/>
      <c r="AT108" s="903">
        <f ca="1">N108</f>
        <v>2319543</v>
      </c>
      <c r="AU108" s="903">
        <f t="shared" si="83"/>
        <v>0</v>
      </c>
      <c r="AV108" s="903">
        <f t="shared" si="83"/>
        <v>0</v>
      </c>
      <c r="AW108" s="903">
        <f t="shared" si="83"/>
        <v>0</v>
      </c>
      <c r="AX108" s="903">
        <f t="shared" si="83"/>
        <v>0</v>
      </c>
      <c r="AY108" s="903">
        <f t="shared" si="83"/>
        <v>0</v>
      </c>
      <c r="AZ108" s="903">
        <f t="shared" si="83"/>
        <v>0</v>
      </c>
      <c r="BA108" s="903">
        <f t="shared" si="83"/>
        <v>0</v>
      </c>
      <c r="BB108" s="903">
        <f t="shared" si="83"/>
        <v>0</v>
      </c>
      <c r="BC108" s="903">
        <f t="shared" si="83"/>
        <v>0</v>
      </c>
      <c r="BD108" s="903">
        <f t="shared" si="83"/>
        <v>0</v>
      </c>
      <c r="BE108" s="903">
        <f t="shared" si="83"/>
        <v>0</v>
      </c>
      <c r="BF108" s="903">
        <f t="shared" si="83"/>
        <v>0</v>
      </c>
      <c r="BG108" s="903">
        <f t="shared" si="83"/>
        <v>0</v>
      </c>
      <c r="BH108" s="903">
        <f t="shared" si="83"/>
        <v>0</v>
      </c>
      <c r="BI108" s="903">
        <f t="shared" si="83"/>
        <v>0</v>
      </c>
      <c r="BJ108" s="903">
        <f t="shared" si="83"/>
        <v>0</v>
      </c>
      <c r="BK108" s="903">
        <f t="shared" si="83"/>
        <v>0</v>
      </c>
      <c r="BL108" s="903">
        <f t="shared" si="83"/>
        <v>0</v>
      </c>
      <c r="BM108" s="903">
        <f t="shared" si="83"/>
        <v>0</v>
      </c>
      <c r="BN108" s="903">
        <f t="shared" si="83"/>
        <v>0</v>
      </c>
      <c r="BO108" s="903">
        <f t="shared" si="83"/>
        <v>0</v>
      </c>
      <c r="BP108" s="903">
        <f t="shared" si="83"/>
        <v>0</v>
      </c>
      <c r="BQ108" s="903">
        <f t="shared" si="83"/>
        <v>0</v>
      </c>
      <c r="BR108" s="903">
        <f t="shared" si="83"/>
        <v>0</v>
      </c>
    </row>
    <row r="109" spans="13:70">
      <c r="M109" s="890">
        <f ca="1">AU133</f>
        <v>2.5424196101897056E-2</v>
      </c>
      <c r="N109" s="883">
        <f t="shared" ca="1" si="72"/>
        <v>2382348</v>
      </c>
      <c r="Q109" s="903"/>
      <c r="R109" s="903"/>
      <c r="S109" s="903"/>
      <c r="T109" s="903"/>
      <c r="U109" s="903"/>
      <c r="V109" s="903"/>
      <c r="W109" s="903"/>
      <c r="X109" s="903"/>
      <c r="Y109" s="903"/>
      <c r="Z109" s="903"/>
      <c r="AA109" s="903"/>
      <c r="AB109" s="903"/>
      <c r="AC109" s="903"/>
      <c r="AD109" s="903"/>
      <c r="AE109" s="903"/>
      <c r="AF109" s="903"/>
      <c r="AG109" s="903"/>
      <c r="AH109" s="903"/>
      <c r="AI109" s="903"/>
      <c r="AJ109" s="903"/>
      <c r="AK109" s="903"/>
      <c r="AL109" s="903"/>
      <c r="AM109" s="903"/>
      <c r="AN109" s="903"/>
      <c r="AO109" s="903"/>
      <c r="AP109" s="903"/>
      <c r="AQ109" s="903"/>
      <c r="AR109" s="903"/>
      <c r="AS109" s="903"/>
      <c r="AT109" s="903"/>
      <c r="AU109" s="903">
        <f ca="1">N109</f>
        <v>2382348</v>
      </c>
      <c r="AV109" s="903">
        <f t="shared" si="83"/>
        <v>0</v>
      </c>
      <c r="AW109" s="903">
        <f t="shared" si="83"/>
        <v>0</v>
      </c>
      <c r="AX109" s="903">
        <f t="shared" si="83"/>
        <v>0</v>
      </c>
      <c r="AY109" s="903">
        <f t="shared" si="83"/>
        <v>0</v>
      </c>
      <c r="AZ109" s="903">
        <f t="shared" si="83"/>
        <v>0</v>
      </c>
      <c r="BA109" s="903">
        <f t="shared" si="83"/>
        <v>0</v>
      </c>
      <c r="BB109" s="903">
        <f t="shared" si="83"/>
        <v>0</v>
      </c>
      <c r="BC109" s="903">
        <f t="shared" si="83"/>
        <v>0</v>
      </c>
      <c r="BD109" s="903">
        <f t="shared" si="83"/>
        <v>0</v>
      </c>
      <c r="BE109" s="903">
        <f t="shared" si="83"/>
        <v>0</v>
      </c>
      <c r="BF109" s="903">
        <f t="shared" si="83"/>
        <v>0</v>
      </c>
      <c r="BG109" s="903">
        <f t="shared" si="83"/>
        <v>0</v>
      </c>
      <c r="BH109" s="903">
        <f t="shared" si="83"/>
        <v>0</v>
      </c>
      <c r="BI109" s="903">
        <f t="shared" si="83"/>
        <v>0</v>
      </c>
      <c r="BJ109" s="903">
        <f t="shared" si="83"/>
        <v>0</v>
      </c>
      <c r="BK109" s="903">
        <f t="shared" si="83"/>
        <v>0</v>
      </c>
      <c r="BL109" s="903">
        <f t="shared" si="83"/>
        <v>0</v>
      </c>
      <c r="BM109" s="903">
        <f t="shared" si="83"/>
        <v>0</v>
      </c>
      <c r="BN109" s="903">
        <f t="shared" si="83"/>
        <v>0</v>
      </c>
      <c r="BO109" s="903">
        <f t="shared" si="83"/>
        <v>0</v>
      </c>
      <c r="BP109" s="903">
        <f t="shared" si="83"/>
        <v>0</v>
      </c>
      <c r="BQ109" s="903">
        <f t="shared" si="83"/>
        <v>0</v>
      </c>
      <c r="BR109" s="903">
        <f t="shared" si="83"/>
        <v>0</v>
      </c>
    </row>
    <row r="110" spans="13:70">
      <c r="M110" s="890">
        <f ca="1">AV133</f>
        <v>2.5470765014528052E-2</v>
      </c>
      <c r="N110" s="883">
        <f t="shared" ca="1" si="72"/>
        <v>2446867</v>
      </c>
      <c r="Q110" s="903"/>
      <c r="R110" s="903"/>
      <c r="S110" s="903"/>
      <c r="T110" s="903"/>
      <c r="U110" s="903"/>
      <c r="V110" s="903"/>
      <c r="W110" s="903"/>
      <c r="X110" s="903"/>
      <c r="Y110" s="903"/>
      <c r="Z110" s="903"/>
      <c r="AA110" s="903"/>
      <c r="AB110" s="903"/>
      <c r="AC110" s="903"/>
      <c r="AD110" s="903"/>
      <c r="AE110" s="903"/>
      <c r="AF110" s="903"/>
      <c r="AG110" s="903"/>
      <c r="AH110" s="903"/>
      <c r="AI110" s="903"/>
      <c r="AJ110" s="903"/>
      <c r="AK110" s="903"/>
      <c r="AL110" s="903"/>
      <c r="AM110" s="903"/>
      <c r="AN110" s="903"/>
      <c r="AO110" s="903"/>
      <c r="AP110" s="903"/>
      <c r="AQ110" s="903"/>
      <c r="AR110" s="903"/>
      <c r="AS110" s="903"/>
      <c r="AT110" s="903"/>
      <c r="AU110" s="903"/>
      <c r="AV110" s="903">
        <f ca="1">N110</f>
        <v>2446867</v>
      </c>
      <c r="AW110" s="903">
        <f t="shared" si="83"/>
        <v>0</v>
      </c>
      <c r="AX110" s="903">
        <f t="shared" si="83"/>
        <v>0</v>
      </c>
      <c r="AY110" s="903">
        <f t="shared" si="83"/>
        <v>0</v>
      </c>
      <c r="AZ110" s="903">
        <f t="shared" si="83"/>
        <v>0</v>
      </c>
      <c r="BA110" s="903">
        <f t="shared" si="83"/>
        <v>0</v>
      </c>
      <c r="BB110" s="903">
        <f t="shared" si="83"/>
        <v>0</v>
      </c>
      <c r="BC110" s="903">
        <f t="shared" si="83"/>
        <v>0</v>
      </c>
      <c r="BD110" s="903">
        <f t="shared" si="83"/>
        <v>0</v>
      </c>
      <c r="BE110" s="903">
        <f t="shared" si="83"/>
        <v>0</v>
      </c>
      <c r="BF110" s="903">
        <f t="shared" si="83"/>
        <v>0</v>
      </c>
      <c r="BG110" s="903">
        <f t="shared" si="83"/>
        <v>0</v>
      </c>
      <c r="BH110" s="903">
        <f t="shared" si="83"/>
        <v>0</v>
      </c>
      <c r="BI110" s="903">
        <f t="shared" si="83"/>
        <v>0</v>
      </c>
      <c r="BJ110" s="903">
        <f t="shared" si="83"/>
        <v>0</v>
      </c>
      <c r="BK110" s="903">
        <f t="shared" si="83"/>
        <v>0</v>
      </c>
      <c r="BL110" s="903">
        <f t="shared" si="83"/>
        <v>0</v>
      </c>
      <c r="BM110" s="903">
        <f t="shared" si="83"/>
        <v>0</v>
      </c>
      <c r="BN110" s="903">
        <f t="shared" si="83"/>
        <v>0</v>
      </c>
      <c r="BO110" s="903">
        <f t="shared" si="83"/>
        <v>0</v>
      </c>
      <c r="BP110" s="903">
        <f t="shared" si="83"/>
        <v>0</v>
      </c>
      <c r="BQ110" s="903">
        <f t="shared" si="83"/>
        <v>0</v>
      </c>
      <c r="BR110" s="903">
        <f t="shared" si="83"/>
        <v>0</v>
      </c>
    </row>
    <row r="111" spans="13:70">
      <c r="M111" s="890">
        <f ca="1">AW133</f>
        <v>2.5514774487057634E-2</v>
      </c>
      <c r="N111" s="883">
        <f t="shared" ca="1" si="72"/>
        <v>2513132</v>
      </c>
      <c r="Q111" s="903"/>
      <c r="R111" s="903"/>
      <c r="S111" s="903"/>
      <c r="T111" s="903"/>
      <c r="U111" s="903"/>
      <c r="V111" s="903"/>
      <c r="W111" s="903"/>
      <c r="X111" s="903"/>
      <c r="Y111" s="903"/>
      <c r="Z111" s="903"/>
      <c r="AA111" s="903"/>
      <c r="AB111" s="903"/>
      <c r="AC111" s="903"/>
      <c r="AD111" s="903"/>
      <c r="AE111" s="903"/>
      <c r="AF111" s="903"/>
      <c r="AG111" s="903"/>
      <c r="AH111" s="903"/>
      <c r="AI111" s="903"/>
      <c r="AJ111" s="903"/>
      <c r="AK111" s="903"/>
      <c r="AL111" s="903"/>
      <c r="AM111" s="903"/>
      <c r="AN111" s="903"/>
      <c r="AO111" s="903"/>
      <c r="AP111" s="903"/>
      <c r="AQ111" s="903"/>
      <c r="AR111" s="903"/>
      <c r="AS111" s="903"/>
      <c r="AT111" s="903"/>
      <c r="AU111" s="903"/>
      <c r="AV111" s="903"/>
      <c r="AW111" s="903">
        <f ca="1">N111</f>
        <v>2513132</v>
      </c>
      <c r="AX111" s="903">
        <f t="shared" si="83"/>
        <v>0</v>
      </c>
      <c r="AY111" s="903">
        <f t="shared" si="83"/>
        <v>0</v>
      </c>
      <c r="AZ111" s="903">
        <f t="shared" si="83"/>
        <v>0</v>
      </c>
      <c r="BA111" s="903">
        <f t="shared" si="83"/>
        <v>0</v>
      </c>
      <c r="BB111" s="903">
        <f t="shared" si="83"/>
        <v>0</v>
      </c>
      <c r="BC111" s="903">
        <f t="shared" si="83"/>
        <v>0</v>
      </c>
      <c r="BD111" s="903">
        <f t="shared" si="83"/>
        <v>0</v>
      </c>
      <c r="BE111" s="903">
        <f t="shared" si="83"/>
        <v>0</v>
      </c>
      <c r="BF111" s="903">
        <f t="shared" si="83"/>
        <v>0</v>
      </c>
      <c r="BG111" s="903">
        <f t="shared" si="83"/>
        <v>0</v>
      </c>
      <c r="BH111" s="903">
        <f t="shared" si="83"/>
        <v>0</v>
      </c>
      <c r="BI111" s="903">
        <f t="shared" si="83"/>
        <v>0</v>
      </c>
      <c r="BJ111" s="903">
        <f t="shared" si="83"/>
        <v>0</v>
      </c>
      <c r="BK111" s="903">
        <f t="shared" si="83"/>
        <v>0</v>
      </c>
      <c r="BL111" s="903">
        <f t="shared" si="83"/>
        <v>0</v>
      </c>
      <c r="BM111" s="903">
        <f t="shared" si="83"/>
        <v>0</v>
      </c>
      <c r="BN111" s="903">
        <f t="shared" si="83"/>
        <v>0</v>
      </c>
      <c r="BO111" s="903">
        <f t="shared" si="83"/>
        <v>0</v>
      </c>
      <c r="BP111" s="903">
        <f t="shared" si="83"/>
        <v>0</v>
      </c>
      <c r="BQ111" s="903">
        <f t="shared" si="83"/>
        <v>0</v>
      </c>
      <c r="BR111" s="903">
        <f t="shared" si="83"/>
        <v>0</v>
      </c>
    </row>
    <row r="112" spans="13:70">
      <c r="M112" s="890">
        <f ca="1">AX133</f>
        <v>2.5556246713603681E-2</v>
      </c>
      <c r="N112" s="883">
        <f t="shared" ca="1" si="72"/>
        <v>2581173</v>
      </c>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3"/>
      <c r="AL112" s="903"/>
      <c r="AM112" s="903"/>
      <c r="AN112" s="903"/>
      <c r="AO112" s="903"/>
      <c r="AP112" s="903"/>
      <c r="AQ112" s="903"/>
      <c r="AR112" s="903"/>
      <c r="AS112" s="903"/>
      <c r="AT112" s="903"/>
      <c r="AU112" s="903"/>
      <c r="AV112" s="903"/>
      <c r="AW112" s="903"/>
      <c r="AX112" s="903">
        <f ca="1">N112</f>
        <v>2581173</v>
      </c>
      <c r="AY112" s="903">
        <f t="shared" si="83"/>
        <v>0</v>
      </c>
      <c r="AZ112" s="903">
        <f t="shared" si="83"/>
        <v>0</v>
      </c>
      <c r="BA112" s="903">
        <f t="shared" si="83"/>
        <v>0</v>
      </c>
      <c r="BB112" s="903">
        <f t="shared" si="83"/>
        <v>0</v>
      </c>
      <c r="BC112" s="903">
        <f t="shared" si="83"/>
        <v>0</v>
      </c>
      <c r="BD112" s="903">
        <f t="shared" si="83"/>
        <v>0</v>
      </c>
      <c r="BE112" s="903">
        <f t="shared" si="83"/>
        <v>0</v>
      </c>
      <c r="BF112" s="903">
        <f t="shared" si="83"/>
        <v>0</v>
      </c>
      <c r="BG112" s="903">
        <f t="shared" si="83"/>
        <v>0</v>
      </c>
      <c r="BH112" s="903">
        <f t="shared" si="83"/>
        <v>0</v>
      </c>
      <c r="BI112" s="903">
        <f t="shared" si="83"/>
        <v>0</v>
      </c>
      <c r="BJ112" s="903">
        <f t="shared" si="83"/>
        <v>0</v>
      </c>
      <c r="BK112" s="903">
        <f t="shared" si="83"/>
        <v>0</v>
      </c>
      <c r="BL112" s="903">
        <f t="shared" si="83"/>
        <v>0</v>
      </c>
      <c r="BM112" s="903">
        <f t="shared" si="83"/>
        <v>0</v>
      </c>
      <c r="BN112" s="903">
        <f t="shared" si="83"/>
        <v>0</v>
      </c>
      <c r="BO112" s="903">
        <f t="shared" si="83"/>
        <v>0</v>
      </c>
      <c r="BP112" s="903">
        <f t="shared" si="83"/>
        <v>0</v>
      </c>
      <c r="BQ112" s="903">
        <f t="shared" si="83"/>
        <v>0</v>
      </c>
      <c r="BR112" s="903">
        <f t="shared" si="83"/>
        <v>0</v>
      </c>
    </row>
    <row r="113" spans="13:70">
      <c r="M113" s="890">
        <f ca="1">AY133</f>
        <v>2.5595608642893675E-2</v>
      </c>
      <c r="N113" s="883">
        <f t="shared" ca="1" si="72"/>
        <v>2651060</v>
      </c>
      <c r="Q113" s="903"/>
      <c r="R113" s="903"/>
      <c r="S113" s="903"/>
      <c r="T113" s="903"/>
      <c r="U113" s="903"/>
      <c r="V113" s="903"/>
      <c r="W113" s="903"/>
      <c r="X113" s="903"/>
      <c r="Y113" s="903"/>
      <c r="Z113" s="903"/>
      <c r="AA113" s="903"/>
      <c r="AB113" s="903"/>
      <c r="AC113" s="903"/>
      <c r="AD113" s="903"/>
      <c r="AE113" s="903"/>
      <c r="AF113" s="903"/>
      <c r="AG113" s="903"/>
      <c r="AH113" s="903"/>
      <c r="AI113" s="903"/>
      <c r="AJ113" s="903"/>
      <c r="AK113" s="903"/>
      <c r="AL113" s="903"/>
      <c r="AM113" s="903"/>
      <c r="AN113" s="903"/>
      <c r="AO113" s="903"/>
      <c r="AP113" s="903"/>
      <c r="AQ113" s="903"/>
      <c r="AR113" s="903"/>
      <c r="AS113" s="903"/>
      <c r="AT113" s="903"/>
      <c r="AU113" s="903"/>
      <c r="AV113" s="903"/>
      <c r="AW113" s="903"/>
      <c r="AX113" s="903"/>
      <c r="AY113" s="903">
        <f ca="1">N113</f>
        <v>2651060</v>
      </c>
      <c r="AZ113" s="903">
        <f t="shared" si="83"/>
        <v>0</v>
      </c>
      <c r="BA113" s="903">
        <f t="shared" si="83"/>
        <v>0</v>
      </c>
      <c r="BB113" s="903">
        <f t="shared" si="83"/>
        <v>0</v>
      </c>
      <c r="BC113" s="903">
        <f t="shared" si="83"/>
        <v>0</v>
      </c>
      <c r="BD113" s="903">
        <f t="shared" si="83"/>
        <v>0</v>
      </c>
      <c r="BE113" s="903">
        <f t="shared" si="83"/>
        <v>0</v>
      </c>
      <c r="BF113" s="903">
        <f t="shared" si="83"/>
        <v>0</v>
      </c>
      <c r="BG113" s="903">
        <f t="shared" si="83"/>
        <v>0</v>
      </c>
      <c r="BH113" s="903">
        <f t="shared" si="83"/>
        <v>0</v>
      </c>
      <c r="BI113" s="903">
        <f t="shared" si="83"/>
        <v>0</v>
      </c>
      <c r="BJ113" s="903">
        <f t="shared" si="83"/>
        <v>0</v>
      </c>
      <c r="BK113" s="903">
        <f t="shared" si="83"/>
        <v>0</v>
      </c>
      <c r="BL113" s="903">
        <f t="shared" si="83"/>
        <v>0</v>
      </c>
      <c r="BM113" s="903">
        <f t="shared" si="83"/>
        <v>0</v>
      </c>
      <c r="BN113" s="903">
        <f t="shared" si="83"/>
        <v>0</v>
      </c>
      <c r="BO113" s="903">
        <f t="shared" si="83"/>
        <v>0</v>
      </c>
      <c r="BP113" s="903">
        <f t="shared" si="83"/>
        <v>0</v>
      </c>
      <c r="BQ113" s="903">
        <f t="shared" si="83"/>
        <v>0</v>
      </c>
      <c r="BR113" s="903">
        <f t="shared" si="83"/>
        <v>0</v>
      </c>
    </row>
    <row r="114" spans="13:70">
      <c r="M114" s="890">
        <f ca="1">AZ133</f>
        <v>2.5633189707490622E-2</v>
      </c>
      <c r="N114" s="883">
        <f t="shared" ca="1" si="72"/>
        <v>2722861</v>
      </c>
      <c r="Q114" s="903"/>
      <c r="R114" s="903"/>
      <c r="S114" s="903"/>
      <c r="T114" s="903"/>
      <c r="U114" s="903"/>
      <c r="V114" s="903"/>
      <c r="W114" s="903"/>
      <c r="X114" s="903"/>
      <c r="Y114" s="903"/>
      <c r="Z114" s="903"/>
      <c r="AA114" s="903"/>
      <c r="AB114" s="903"/>
      <c r="AC114" s="903"/>
      <c r="AD114" s="903"/>
      <c r="AE114" s="903"/>
      <c r="AF114" s="903"/>
      <c r="AG114" s="903"/>
      <c r="AH114" s="903"/>
      <c r="AI114" s="903"/>
      <c r="AJ114" s="903"/>
      <c r="AK114" s="903"/>
      <c r="AL114" s="903"/>
      <c r="AM114" s="903"/>
      <c r="AN114" s="903"/>
      <c r="AO114" s="903"/>
      <c r="AP114" s="903"/>
      <c r="AQ114" s="903"/>
      <c r="AR114" s="903"/>
      <c r="AS114" s="903"/>
      <c r="AT114" s="903"/>
      <c r="AU114" s="903"/>
      <c r="AV114" s="903"/>
      <c r="AW114" s="903"/>
      <c r="AX114" s="903"/>
      <c r="AY114" s="903"/>
      <c r="AZ114" s="903">
        <f ca="1">N114</f>
        <v>2722861</v>
      </c>
      <c r="BA114" s="903">
        <f t="shared" si="83"/>
        <v>0</v>
      </c>
      <c r="BB114" s="903">
        <f t="shared" si="83"/>
        <v>0</v>
      </c>
      <c r="BC114" s="903">
        <f t="shared" si="83"/>
        <v>0</v>
      </c>
      <c r="BD114" s="903">
        <f t="shared" si="83"/>
        <v>0</v>
      </c>
      <c r="BE114" s="903">
        <f t="shared" si="83"/>
        <v>0</v>
      </c>
      <c r="BF114" s="903">
        <f t="shared" si="83"/>
        <v>0</v>
      </c>
      <c r="BG114" s="903">
        <f t="shared" si="83"/>
        <v>0</v>
      </c>
      <c r="BH114" s="903">
        <f t="shared" si="83"/>
        <v>0</v>
      </c>
      <c r="BI114" s="903">
        <f t="shared" si="83"/>
        <v>0</v>
      </c>
      <c r="BJ114" s="903">
        <f t="shared" si="83"/>
        <v>0</v>
      </c>
      <c r="BK114" s="903">
        <f t="shared" si="83"/>
        <v>0</v>
      </c>
      <c r="BL114" s="903">
        <f t="shared" si="83"/>
        <v>0</v>
      </c>
      <c r="BM114" s="903">
        <f t="shared" si="83"/>
        <v>0</v>
      </c>
      <c r="BN114" s="903">
        <f t="shared" si="83"/>
        <v>0</v>
      </c>
      <c r="BO114" s="903">
        <f t="shared" si="83"/>
        <v>0</v>
      </c>
      <c r="BP114" s="903">
        <f t="shared" si="83"/>
        <v>0</v>
      </c>
      <c r="BQ114" s="903">
        <f t="shared" si="83"/>
        <v>0</v>
      </c>
      <c r="BR114" s="903">
        <f t="shared" si="83"/>
        <v>0</v>
      </c>
    </row>
    <row r="115" spans="13:70">
      <c r="M115" s="890">
        <f ca="1">BA133</f>
        <v>2.5667150899534752E-2</v>
      </c>
      <c r="N115" s="883">
        <f t="shared" ca="1" si="72"/>
        <v>2796411</v>
      </c>
      <c r="Q115" s="903"/>
      <c r="R115" s="903"/>
      <c r="S115" s="903"/>
      <c r="T115" s="903"/>
      <c r="U115" s="903"/>
      <c r="V115" s="903"/>
      <c r="W115" s="903"/>
      <c r="X115" s="903"/>
      <c r="Y115" s="903"/>
      <c r="Z115" s="903"/>
      <c r="AA115" s="903"/>
      <c r="AB115" s="903"/>
      <c r="AC115" s="903"/>
      <c r="AD115" s="903"/>
      <c r="AE115" s="903"/>
      <c r="AF115" s="903"/>
      <c r="AG115" s="903"/>
      <c r="AH115" s="903"/>
      <c r="AI115" s="903"/>
      <c r="AJ115" s="903"/>
      <c r="AK115" s="903"/>
      <c r="AL115" s="903"/>
      <c r="AM115" s="903"/>
      <c r="AN115" s="903"/>
      <c r="AO115" s="903"/>
      <c r="AP115" s="903"/>
      <c r="AQ115" s="903"/>
      <c r="AR115" s="903"/>
      <c r="AS115" s="903"/>
      <c r="AT115" s="903"/>
      <c r="AU115" s="903"/>
      <c r="AV115" s="903"/>
      <c r="AW115" s="903"/>
      <c r="AX115" s="903"/>
      <c r="AY115" s="903"/>
      <c r="AZ115" s="903"/>
      <c r="BA115" s="903">
        <f ca="1">N115</f>
        <v>2796411</v>
      </c>
      <c r="BB115" s="903">
        <f t="shared" si="83"/>
        <v>0</v>
      </c>
      <c r="BC115" s="903">
        <f t="shared" si="83"/>
        <v>0</v>
      </c>
      <c r="BD115" s="903">
        <f t="shared" ref="BD115:BR115" si="84">$H46</f>
        <v>0</v>
      </c>
      <c r="BE115" s="903">
        <f t="shared" si="84"/>
        <v>0</v>
      </c>
      <c r="BF115" s="903">
        <f t="shared" si="84"/>
        <v>0</v>
      </c>
      <c r="BG115" s="903">
        <f t="shared" si="84"/>
        <v>0</v>
      </c>
      <c r="BH115" s="903">
        <f t="shared" si="84"/>
        <v>0</v>
      </c>
      <c r="BI115" s="903">
        <f t="shared" si="84"/>
        <v>0</v>
      </c>
      <c r="BJ115" s="903">
        <f t="shared" si="84"/>
        <v>0</v>
      </c>
      <c r="BK115" s="903">
        <f t="shared" si="84"/>
        <v>0</v>
      </c>
      <c r="BL115" s="903">
        <f t="shared" si="84"/>
        <v>0</v>
      </c>
      <c r="BM115" s="903">
        <f t="shared" si="84"/>
        <v>0</v>
      </c>
      <c r="BN115" s="903">
        <f t="shared" si="84"/>
        <v>0</v>
      </c>
      <c r="BO115" s="903">
        <f t="shared" si="84"/>
        <v>0</v>
      </c>
      <c r="BP115" s="903">
        <f t="shared" si="84"/>
        <v>0</v>
      </c>
      <c r="BQ115" s="903">
        <f t="shared" si="84"/>
        <v>0</v>
      </c>
      <c r="BR115" s="903">
        <f t="shared" si="84"/>
        <v>0</v>
      </c>
    </row>
    <row r="116" spans="13:70">
      <c r="M116" s="890">
        <f ca="1">BB133</f>
        <v>2.5696672292343958E-2</v>
      </c>
      <c r="N116" s="883">
        <f t="shared" ca="1" si="72"/>
        <v>2871621</v>
      </c>
      <c r="Q116" s="903"/>
      <c r="R116" s="903"/>
      <c r="S116" s="903"/>
      <c r="T116" s="903"/>
      <c r="U116" s="903"/>
      <c r="V116" s="903"/>
      <c r="W116" s="903"/>
      <c r="X116" s="903"/>
      <c r="Y116" s="903"/>
      <c r="Z116" s="903"/>
      <c r="AA116" s="903"/>
      <c r="AB116" s="903"/>
      <c r="AC116" s="903"/>
      <c r="AD116" s="903"/>
      <c r="AE116" s="903"/>
      <c r="AF116" s="903"/>
      <c r="AG116" s="903"/>
      <c r="AH116" s="903"/>
      <c r="AI116" s="903"/>
      <c r="AJ116" s="903"/>
      <c r="AK116" s="903"/>
      <c r="AL116" s="903"/>
      <c r="AM116" s="903"/>
      <c r="AN116" s="903"/>
      <c r="AO116" s="903"/>
      <c r="AP116" s="903"/>
      <c r="AQ116" s="903"/>
      <c r="AR116" s="903"/>
      <c r="AS116" s="903"/>
      <c r="AT116" s="903"/>
      <c r="AU116" s="903"/>
      <c r="AV116" s="903"/>
      <c r="AW116" s="903"/>
      <c r="AX116" s="903"/>
      <c r="AY116" s="903"/>
      <c r="AZ116" s="903"/>
      <c r="BA116" s="903"/>
      <c r="BB116" s="903">
        <f ca="1">N116</f>
        <v>2871621</v>
      </c>
      <c r="BC116" s="903">
        <f t="shared" ref="BC116:BR126" si="85">$H47</f>
        <v>0</v>
      </c>
      <c r="BD116" s="903">
        <f t="shared" si="85"/>
        <v>0</v>
      </c>
      <c r="BE116" s="903">
        <f t="shared" si="85"/>
        <v>0</v>
      </c>
      <c r="BF116" s="903">
        <f t="shared" si="85"/>
        <v>0</v>
      </c>
      <c r="BG116" s="903">
        <f t="shared" si="85"/>
        <v>0</v>
      </c>
      <c r="BH116" s="903">
        <f t="shared" si="85"/>
        <v>0</v>
      </c>
      <c r="BI116" s="903">
        <f t="shared" si="85"/>
        <v>0</v>
      </c>
      <c r="BJ116" s="903">
        <f t="shared" si="85"/>
        <v>0</v>
      </c>
      <c r="BK116" s="903">
        <f t="shared" si="85"/>
        <v>0</v>
      </c>
      <c r="BL116" s="903">
        <f t="shared" si="85"/>
        <v>0</v>
      </c>
      <c r="BM116" s="903">
        <f t="shared" si="85"/>
        <v>0</v>
      </c>
      <c r="BN116" s="903">
        <f t="shared" si="85"/>
        <v>0</v>
      </c>
      <c r="BO116" s="903">
        <f t="shared" si="85"/>
        <v>0</v>
      </c>
      <c r="BP116" s="903">
        <f t="shared" si="85"/>
        <v>0</v>
      </c>
      <c r="BQ116" s="903">
        <f t="shared" si="85"/>
        <v>0</v>
      </c>
      <c r="BR116" s="903">
        <f t="shared" si="85"/>
        <v>0</v>
      </c>
    </row>
    <row r="117" spans="13:70">
      <c r="M117" s="890">
        <f ca="1">BC133</f>
        <v>2.5722202900506863E-2</v>
      </c>
      <c r="N117" s="883">
        <f t="shared" ca="1" si="72"/>
        <v>2948535</v>
      </c>
      <c r="Q117" s="903"/>
      <c r="R117" s="903"/>
      <c r="S117" s="903"/>
      <c r="T117" s="903"/>
      <c r="U117" s="903"/>
      <c r="V117" s="903"/>
      <c r="W117" s="903"/>
      <c r="X117" s="903"/>
      <c r="Y117" s="903"/>
      <c r="Z117" s="903"/>
      <c r="AA117" s="903"/>
      <c r="AB117" s="903"/>
      <c r="AC117" s="903"/>
      <c r="AD117" s="903"/>
      <c r="AE117" s="903"/>
      <c r="AF117" s="903"/>
      <c r="AG117" s="903"/>
      <c r="AH117" s="903"/>
      <c r="AI117" s="903"/>
      <c r="AJ117" s="903"/>
      <c r="AK117" s="903"/>
      <c r="AL117" s="903"/>
      <c r="AM117" s="903"/>
      <c r="AN117" s="903"/>
      <c r="AO117" s="903"/>
      <c r="AP117" s="903"/>
      <c r="AQ117" s="903"/>
      <c r="AR117" s="903"/>
      <c r="AS117" s="903"/>
      <c r="AT117" s="903"/>
      <c r="AU117" s="903"/>
      <c r="AV117" s="903"/>
      <c r="AW117" s="903"/>
      <c r="AX117" s="903"/>
      <c r="AY117" s="903"/>
      <c r="AZ117" s="903"/>
      <c r="BA117" s="903"/>
      <c r="BB117" s="903"/>
      <c r="BC117" s="903">
        <f ca="1">N117</f>
        <v>2948535</v>
      </c>
      <c r="BD117" s="903">
        <f t="shared" si="85"/>
        <v>0</v>
      </c>
      <c r="BE117" s="903">
        <f t="shared" si="85"/>
        <v>0</v>
      </c>
      <c r="BF117" s="903">
        <f t="shared" si="85"/>
        <v>0</v>
      </c>
      <c r="BG117" s="903">
        <f t="shared" si="85"/>
        <v>0</v>
      </c>
      <c r="BH117" s="903">
        <f t="shared" si="85"/>
        <v>0</v>
      </c>
      <c r="BI117" s="903">
        <f t="shared" si="85"/>
        <v>0</v>
      </c>
      <c r="BJ117" s="903">
        <f t="shared" si="85"/>
        <v>0</v>
      </c>
      <c r="BK117" s="903">
        <f t="shared" si="85"/>
        <v>0</v>
      </c>
      <c r="BL117" s="903">
        <f t="shared" si="85"/>
        <v>0</v>
      </c>
      <c r="BM117" s="903">
        <f t="shared" si="85"/>
        <v>0</v>
      </c>
      <c r="BN117" s="903">
        <f t="shared" si="85"/>
        <v>0</v>
      </c>
      <c r="BO117" s="903">
        <f t="shared" si="85"/>
        <v>0</v>
      </c>
      <c r="BP117" s="903">
        <f t="shared" si="85"/>
        <v>0</v>
      </c>
      <c r="BQ117" s="903">
        <f t="shared" si="85"/>
        <v>0</v>
      </c>
      <c r="BR117" s="903">
        <f t="shared" si="85"/>
        <v>0</v>
      </c>
    </row>
    <row r="118" spans="13:70">
      <c r="M118" s="890">
        <f ca="1">BD133</f>
        <v>2.5744073351489094E-2</v>
      </c>
      <c r="N118" s="883">
        <f t="shared" ca="1" si="72"/>
        <v>3027189</v>
      </c>
      <c r="Q118" s="903"/>
      <c r="R118" s="903"/>
      <c r="S118" s="903"/>
      <c r="T118" s="903"/>
      <c r="U118" s="903"/>
      <c r="V118" s="903"/>
      <c r="W118" s="903"/>
      <c r="X118" s="903"/>
      <c r="Y118" s="903"/>
      <c r="Z118" s="903"/>
      <c r="AA118" s="903"/>
      <c r="AB118" s="903"/>
      <c r="AC118" s="903"/>
      <c r="AD118" s="903"/>
      <c r="AE118" s="903"/>
      <c r="AF118" s="903"/>
      <c r="AG118" s="903"/>
      <c r="AH118" s="903"/>
      <c r="AI118" s="903"/>
      <c r="AJ118" s="903"/>
      <c r="AK118" s="903"/>
      <c r="AL118" s="903"/>
      <c r="AM118" s="903"/>
      <c r="AN118" s="903"/>
      <c r="AO118" s="903"/>
      <c r="AP118" s="903"/>
      <c r="AQ118" s="903"/>
      <c r="AR118" s="903"/>
      <c r="AS118" s="903"/>
      <c r="AT118" s="903"/>
      <c r="AU118" s="903"/>
      <c r="AV118" s="903"/>
      <c r="AW118" s="903"/>
      <c r="AX118" s="903"/>
      <c r="AY118" s="903"/>
      <c r="AZ118" s="903"/>
      <c r="BA118" s="903"/>
      <c r="BB118" s="903"/>
      <c r="BC118" s="903"/>
      <c r="BD118" s="903">
        <f ca="1">N118</f>
        <v>3027189</v>
      </c>
      <c r="BE118" s="903">
        <f t="shared" si="85"/>
        <v>0</v>
      </c>
      <c r="BF118" s="903">
        <f t="shared" si="85"/>
        <v>0</v>
      </c>
      <c r="BG118" s="903">
        <f t="shared" si="85"/>
        <v>0</v>
      </c>
      <c r="BH118" s="903">
        <f t="shared" si="85"/>
        <v>0</v>
      </c>
      <c r="BI118" s="903">
        <f t="shared" si="85"/>
        <v>0</v>
      </c>
      <c r="BJ118" s="903">
        <f t="shared" si="85"/>
        <v>0</v>
      </c>
      <c r="BK118" s="903">
        <f t="shared" si="85"/>
        <v>0</v>
      </c>
      <c r="BL118" s="903">
        <f t="shared" si="85"/>
        <v>0</v>
      </c>
      <c r="BM118" s="903">
        <f t="shared" si="85"/>
        <v>0</v>
      </c>
      <c r="BN118" s="903">
        <f t="shared" si="85"/>
        <v>0</v>
      </c>
      <c r="BO118" s="903">
        <f t="shared" si="85"/>
        <v>0</v>
      </c>
      <c r="BP118" s="903">
        <f t="shared" si="85"/>
        <v>0</v>
      </c>
      <c r="BQ118" s="903">
        <f t="shared" si="85"/>
        <v>0</v>
      </c>
      <c r="BR118" s="903">
        <f t="shared" si="85"/>
        <v>0</v>
      </c>
    </row>
    <row r="119" spans="13:70">
      <c r="M119" s="890">
        <f ca="1">BE133</f>
        <v>2.5762984766316555E-2</v>
      </c>
      <c r="N119" s="883">
        <f t="shared" ca="1" si="72"/>
        <v>3107674</v>
      </c>
      <c r="Q119" s="903"/>
      <c r="R119" s="903"/>
      <c r="S119" s="903"/>
      <c r="T119" s="903"/>
      <c r="U119" s="903"/>
      <c r="V119" s="903"/>
      <c r="W119" s="903"/>
      <c r="X119" s="903"/>
      <c r="Y119" s="903"/>
      <c r="Z119" s="903"/>
      <c r="AA119" s="903"/>
      <c r="AB119" s="903"/>
      <c r="AC119" s="903"/>
      <c r="AD119" s="903"/>
      <c r="AE119" s="903"/>
      <c r="AF119" s="903"/>
      <c r="AG119" s="903"/>
      <c r="AH119" s="903"/>
      <c r="AI119" s="903"/>
      <c r="AJ119" s="903"/>
      <c r="AK119" s="903"/>
      <c r="AL119" s="903"/>
      <c r="AM119" s="903"/>
      <c r="AN119" s="903"/>
      <c r="AO119" s="903"/>
      <c r="AP119" s="903"/>
      <c r="AQ119" s="903"/>
      <c r="AR119" s="903"/>
      <c r="AS119" s="903"/>
      <c r="AT119" s="903"/>
      <c r="AU119" s="903"/>
      <c r="AV119" s="903"/>
      <c r="AW119" s="903"/>
      <c r="AX119" s="903"/>
      <c r="AY119" s="903"/>
      <c r="AZ119" s="903"/>
      <c r="BA119" s="903"/>
      <c r="BB119" s="903"/>
      <c r="BC119" s="903"/>
      <c r="BD119" s="903"/>
      <c r="BE119" s="903">
        <f ca="1">N119</f>
        <v>3107674</v>
      </c>
      <c r="BF119" s="903">
        <f t="shared" si="85"/>
        <v>0</v>
      </c>
      <c r="BG119" s="903">
        <f t="shared" si="85"/>
        <v>0</v>
      </c>
      <c r="BH119" s="903">
        <f t="shared" si="85"/>
        <v>0</v>
      </c>
      <c r="BI119" s="903">
        <f t="shared" si="85"/>
        <v>0</v>
      </c>
      <c r="BJ119" s="903">
        <f t="shared" si="85"/>
        <v>0</v>
      </c>
      <c r="BK119" s="903">
        <f t="shared" si="85"/>
        <v>0</v>
      </c>
      <c r="BL119" s="903">
        <f t="shared" si="85"/>
        <v>0</v>
      </c>
      <c r="BM119" s="903">
        <f t="shared" si="85"/>
        <v>0</v>
      </c>
      <c r="BN119" s="903">
        <f t="shared" si="85"/>
        <v>0</v>
      </c>
      <c r="BO119" s="903">
        <f t="shared" si="85"/>
        <v>0</v>
      </c>
      <c r="BP119" s="903">
        <f t="shared" si="85"/>
        <v>0</v>
      </c>
      <c r="BQ119" s="903">
        <f t="shared" si="85"/>
        <v>0</v>
      </c>
      <c r="BR119" s="903">
        <f t="shared" si="85"/>
        <v>0</v>
      </c>
    </row>
    <row r="120" spans="13:70">
      <c r="M120" s="890">
        <f ca="1">BF133</f>
        <v>2.5778132266053522E-2</v>
      </c>
      <c r="N120" s="883">
        <f t="shared" ca="1" si="72"/>
        <v>3189883</v>
      </c>
      <c r="Q120" s="903"/>
      <c r="R120" s="903"/>
      <c r="S120" s="903"/>
      <c r="T120" s="903"/>
      <c r="U120" s="903"/>
      <c r="V120" s="903"/>
      <c r="W120" s="903"/>
      <c r="X120" s="903"/>
      <c r="Y120" s="903"/>
      <c r="Z120" s="903"/>
      <c r="AA120" s="903"/>
      <c r="AB120" s="903"/>
      <c r="AC120" s="903"/>
      <c r="AD120" s="903"/>
      <c r="AE120" s="903"/>
      <c r="AF120" s="903"/>
      <c r="AG120" s="903"/>
      <c r="AH120" s="903"/>
      <c r="AI120" s="903"/>
      <c r="AJ120" s="903"/>
      <c r="AK120" s="903"/>
      <c r="AL120" s="903"/>
      <c r="AM120" s="903"/>
      <c r="AN120" s="903"/>
      <c r="AO120" s="903"/>
      <c r="AP120" s="903"/>
      <c r="AQ120" s="903"/>
      <c r="AR120" s="903"/>
      <c r="AS120" s="903"/>
      <c r="AT120" s="903"/>
      <c r="AU120" s="903"/>
      <c r="AV120" s="903"/>
      <c r="AW120" s="903"/>
      <c r="AX120" s="903"/>
      <c r="AY120" s="903"/>
      <c r="AZ120" s="903"/>
      <c r="BA120" s="903"/>
      <c r="BB120" s="903"/>
      <c r="BC120" s="903"/>
      <c r="BD120" s="903"/>
      <c r="BE120" s="903"/>
      <c r="BF120" s="903">
        <f ca="1">N120</f>
        <v>3189883</v>
      </c>
      <c r="BG120" s="903">
        <f t="shared" si="85"/>
        <v>0</v>
      </c>
      <c r="BH120" s="903">
        <f t="shared" si="85"/>
        <v>0</v>
      </c>
      <c r="BI120" s="903">
        <f t="shared" si="85"/>
        <v>0</v>
      </c>
      <c r="BJ120" s="903">
        <f t="shared" si="85"/>
        <v>0</v>
      </c>
      <c r="BK120" s="903">
        <f t="shared" si="85"/>
        <v>0</v>
      </c>
      <c r="BL120" s="903">
        <f t="shared" si="85"/>
        <v>0</v>
      </c>
      <c r="BM120" s="903">
        <f t="shared" si="85"/>
        <v>0</v>
      </c>
      <c r="BN120" s="903">
        <f t="shared" si="85"/>
        <v>0</v>
      </c>
      <c r="BO120" s="903">
        <f t="shared" si="85"/>
        <v>0</v>
      </c>
      <c r="BP120" s="903">
        <f t="shared" si="85"/>
        <v>0</v>
      </c>
      <c r="BQ120" s="903">
        <f t="shared" si="85"/>
        <v>0</v>
      </c>
      <c r="BR120" s="903">
        <f t="shared" si="85"/>
        <v>0</v>
      </c>
    </row>
    <row r="121" spans="13:70">
      <c r="M121" s="890">
        <f ca="1">BG133</f>
        <v>2.5789987646430923E-2</v>
      </c>
      <c r="N121" s="883">
        <f t="shared" ca="1" si="72"/>
        <v>3273874</v>
      </c>
      <c r="Q121" s="903"/>
      <c r="R121" s="903"/>
      <c r="S121" s="903"/>
      <c r="T121" s="903"/>
      <c r="U121" s="903"/>
      <c r="V121" s="903"/>
      <c r="W121" s="903"/>
      <c r="X121" s="903"/>
      <c r="Y121" s="903"/>
      <c r="Z121" s="903"/>
      <c r="AA121" s="903"/>
      <c r="AB121" s="903"/>
      <c r="AC121" s="903"/>
      <c r="AD121" s="903"/>
      <c r="AE121" s="903"/>
      <c r="AF121" s="903"/>
      <c r="AG121" s="903"/>
      <c r="AH121" s="903"/>
      <c r="AI121" s="903"/>
      <c r="AJ121" s="903"/>
      <c r="AK121" s="903"/>
      <c r="AL121" s="903"/>
      <c r="AM121" s="903"/>
      <c r="AN121" s="903"/>
      <c r="AO121" s="903"/>
      <c r="AP121" s="903"/>
      <c r="AQ121" s="903"/>
      <c r="AR121" s="903"/>
      <c r="AS121" s="903"/>
      <c r="AT121" s="903"/>
      <c r="AU121" s="903"/>
      <c r="AV121" s="903"/>
      <c r="AW121" s="903"/>
      <c r="AX121" s="903"/>
      <c r="AY121" s="903"/>
      <c r="AZ121" s="903"/>
      <c r="BA121" s="903"/>
      <c r="BB121" s="903"/>
      <c r="BC121" s="903"/>
      <c r="BD121" s="903"/>
      <c r="BE121" s="903"/>
      <c r="BF121" s="903"/>
      <c r="BG121" s="903">
        <f ca="1">N121</f>
        <v>3273874</v>
      </c>
      <c r="BH121" s="903">
        <f t="shared" si="85"/>
        <v>0</v>
      </c>
      <c r="BI121" s="903">
        <f t="shared" si="85"/>
        <v>0</v>
      </c>
      <c r="BJ121" s="903">
        <f t="shared" si="85"/>
        <v>0</v>
      </c>
      <c r="BK121" s="903">
        <f t="shared" si="85"/>
        <v>0</v>
      </c>
      <c r="BL121" s="903">
        <f t="shared" si="85"/>
        <v>0</v>
      </c>
      <c r="BM121" s="903">
        <f t="shared" si="85"/>
        <v>0</v>
      </c>
      <c r="BN121" s="903">
        <f t="shared" si="85"/>
        <v>0</v>
      </c>
      <c r="BO121" s="903">
        <f t="shared" si="85"/>
        <v>0</v>
      </c>
      <c r="BP121" s="903">
        <f t="shared" si="85"/>
        <v>0</v>
      </c>
      <c r="BQ121" s="903">
        <f t="shared" si="85"/>
        <v>0</v>
      </c>
      <c r="BR121" s="903">
        <f t="shared" si="85"/>
        <v>0</v>
      </c>
    </row>
    <row r="122" spans="13:70">
      <c r="M122" s="890">
        <f ca="1">BH133</f>
        <v>2.5798851425124614E-2</v>
      </c>
      <c r="N122" s="883">
        <f t="shared" ca="1" si="72"/>
        <v>3359688</v>
      </c>
      <c r="Q122" s="903"/>
      <c r="R122" s="903"/>
      <c r="S122" s="903"/>
      <c r="T122" s="903"/>
      <c r="U122" s="903"/>
      <c r="V122" s="903"/>
      <c r="W122" s="903"/>
      <c r="X122" s="903"/>
      <c r="Y122" s="903"/>
      <c r="Z122" s="903"/>
      <c r="AA122" s="903"/>
      <c r="AB122" s="903"/>
      <c r="AC122" s="903"/>
      <c r="AD122" s="903"/>
      <c r="AE122" s="903"/>
      <c r="AF122" s="903"/>
      <c r="AG122" s="903"/>
      <c r="AH122" s="903"/>
      <c r="AI122" s="903"/>
      <c r="AJ122" s="903"/>
      <c r="AK122" s="903"/>
      <c r="AL122" s="903"/>
      <c r="AM122" s="903"/>
      <c r="AN122" s="903"/>
      <c r="AO122" s="903"/>
      <c r="AP122" s="903"/>
      <c r="AQ122" s="903"/>
      <c r="AR122" s="903"/>
      <c r="AS122" s="903"/>
      <c r="AT122" s="903"/>
      <c r="AU122" s="903"/>
      <c r="AV122" s="903"/>
      <c r="AW122" s="903"/>
      <c r="AX122" s="903"/>
      <c r="AY122" s="903"/>
      <c r="AZ122" s="903"/>
      <c r="BA122" s="903"/>
      <c r="BB122" s="903"/>
      <c r="BC122" s="903"/>
      <c r="BD122" s="903"/>
      <c r="BE122" s="903"/>
      <c r="BF122" s="903"/>
      <c r="BG122" s="903"/>
      <c r="BH122" s="903">
        <f ca="1">N122</f>
        <v>3359688</v>
      </c>
      <c r="BI122" s="903">
        <f t="shared" si="85"/>
        <v>0</v>
      </c>
      <c r="BJ122" s="903">
        <f t="shared" si="85"/>
        <v>0</v>
      </c>
      <c r="BK122" s="903">
        <f t="shared" si="85"/>
        <v>0</v>
      </c>
      <c r="BL122" s="903">
        <f t="shared" si="85"/>
        <v>0</v>
      </c>
      <c r="BM122" s="903">
        <f t="shared" si="85"/>
        <v>0</v>
      </c>
      <c r="BN122" s="903">
        <f t="shared" si="85"/>
        <v>0</v>
      </c>
      <c r="BO122" s="903">
        <f t="shared" si="85"/>
        <v>0</v>
      </c>
      <c r="BP122" s="903">
        <f t="shared" si="85"/>
        <v>0</v>
      </c>
      <c r="BQ122" s="903">
        <f t="shared" si="85"/>
        <v>0</v>
      </c>
      <c r="BR122" s="903">
        <f t="shared" si="85"/>
        <v>0</v>
      </c>
    </row>
    <row r="123" spans="13:70">
      <c r="M123" s="890">
        <f ca="1">BI133</f>
        <v>2.5805381962043183E-2</v>
      </c>
      <c r="N123" s="883">
        <f t="shared" ca="1" si="72"/>
        <v>3447430</v>
      </c>
      <c r="Q123" s="903"/>
      <c r="R123" s="903"/>
      <c r="S123" s="903"/>
      <c r="T123" s="903"/>
      <c r="U123" s="903"/>
      <c r="V123" s="903"/>
      <c r="W123" s="903"/>
      <c r="X123" s="903"/>
      <c r="Y123" s="903"/>
      <c r="Z123" s="903"/>
      <c r="AA123" s="903"/>
      <c r="AB123" s="903"/>
      <c r="AC123" s="903"/>
      <c r="AD123" s="903"/>
      <c r="AE123" s="903"/>
      <c r="AF123" s="903"/>
      <c r="AG123" s="903"/>
      <c r="AH123" s="903"/>
      <c r="AI123" s="903"/>
      <c r="AJ123" s="903"/>
      <c r="AK123" s="903"/>
      <c r="AL123" s="903"/>
      <c r="AM123" s="903"/>
      <c r="AN123" s="903"/>
      <c r="AO123" s="903"/>
      <c r="AP123" s="903"/>
      <c r="AQ123" s="903"/>
      <c r="AR123" s="903"/>
      <c r="AS123" s="903"/>
      <c r="AT123" s="903"/>
      <c r="AU123" s="903"/>
      <c r="AV123" s="903"/>
      <c r="AW123" s="903"/>
      <c r="AX123" s="903"/>
      <c r="AY123" s="903"/>
      <c r="AZ123" s="903"/>
      <c r="BA123" s="903"/>
      <c r="BB123" s="903"/>
      <c r="BC123" s="903"/>
      <c r="BD123" s="903"/>
      <c r="BE123" s="903"/>
      <c r="BF123" s="903"/>
      <c r="BG123" s="903"/>
      <c r="BH123" s="903"/>
      <c r="BI123" s="903">
        <f ca="1">N123</f>
        <v>3447430</v>
      </c>
      <c r="BJ123" s="903">
        <f t="shared" si="85"/>
        <v>0</v>
      </c>
      <c r="BK123" s="903">
        <f t="shared" si="85"/>
        <v>0</v>
      </c>
      <c r="BL123" s="903">
        <f t="shared" si="85"/>
        <v>0</v>
      </c>
      <c r="BM123" s="903">
        <f t="shared" si="85"/>
        <v>0</v>
      </c>
      <c r="BN123" s="903">
        <f t="shared" si="85"/>
        <v>0</v>
      </c>
      <c r="BO123" s="903">
        <f t="shared" si="85"/>
        <v>0</v>
      </c>
      <c r="BP123" s="903">
        <f t="shared" si="85"/>
        <v>0</v>
      </c>
      <c r="BQ123" s="903">
        <f t="shared" si="85"/>
        <v>0</v>
      </c>
      <c r="BR123" s="903">
        <f t="shared" si="85"/>
        <v>0</v>
      </c>
    </row>
    <row r="124" spans="13:70">
      <c r="M124" s="890">
        <f ca="1">BJ133</f>
        <v>2.5808797360546976E-2</v>
      </c>
      <c r="N124" s="883">
        <f t="shared" ca="1" si="72"/>
        <v>3536976</v>
      </c>
      <c r="Q124" s="903"/>
      <c r="R124" s="903"/>
      <c r="S124" s="903"/>
      <c r="T124" s="903"/>
      <c r="U124" s="903"/>
      <c r="V124" s="903"/>
      <c r="W124" s="903"/>
      <c r="X124" s="903"/>
      <c r="Y124" s="903"/>
      <c r="Z124" s="903"/>
      <c r="AA124" s="903"/>
      <c r="AB124" s="903"/>
      <c r="AC124" s="903"/>
      <c r="AD124" s="903"/>
      <c r="AE124" s="903"/>
      <c r="AF124" s="903"/>
      <c r="AG124" s="903"/>
      <c r="AH124" s="903"/>
      <c r="AI124" s="903"/>
      <c r="AJ124" s="903"/>
      <c r="AK124" s="903"/>
      <c r="AL124" s="903"/>
      <c r="AM124" s="903"/>
      <c r="AN124" s="903"/>
      <c r="AO124" s="903"/>
      <c r="AP124" s="903"/>
      <c r="AQ124" s="903"/>
      <c r="AR124" s="903"/>
      <c r="AS124" s="903"/>
      <c r="AT124" s="903"/>
      <c r="AU124" s="903"/>
      <c r="AV124" s="903"/>
      <c r="AW124" s="903"/>
      <c r="AX124" s="903"/>
      <c r="AY124" s="903"/>
      <c r="AZ124" s="903"/>
      <c r="BA124" s="903"/>
      <c r="BB124" s="903"/>
      <c r="BC124" s="903"/>
      <c r="BD124" s="903"/>
      <c r="BE124" s="903"/>
      <c r="BF124" s="903"/>
      <c r="BG124" s="903"/>
      <c r="BH124" s="903"/>
      <c r="BI124" s="903"/>
      <c r="BJ124" s="903">
        <f ca="1">N124</f>
        <v>3536976</v>
      </c>
      <c r="BK124" s="903">
        <f t="shared" si="85"/>
        <v>0</v>
      </c>
      <c r="BL124" s="903">
        <f t="shared" si="85"/>
        <v>0</v>
      </c>
      <c r="BM124" s="903">
        <f t="shared" si="85"/>
        <v>0</v>
      </c>
      <c r="BN124" s="903">
        <f t="shared" si="85"/>
        <v>0</v>
      </c>
      <c r="BO124" s="903">
        <f t="shared" si="85"/>
        <v>0</v>
      </c>
      <c r="BP124" s="903">
        <f t="shared" si="85"/>
        <v>0</v>
      </c>
      <c r="BQ124" s="903">
        <f t="shared" si="85"/>
        <v>0</v>
      </c>
      <c r="BR124" s="903">
        <f t="shared" si="85"/>
        <v>0</v>
      </c>
    </row>
    <row r="125" spans="13:70">
      <c r="M125" s="890">
        <f ca="1">BK133</f>
        <v>2.5809758334940147E-2</v>
      </c>
      <c r="N125" s="883">
        <f t="shared" ca="1" si="72"/>
        <v>3628433</v>
      </c>
      <c r="Q125" s="903"/>
      <c r="R125" s="903"/>
      <c r="S125" s="903"/>
      <c r="T125" s="903"/>
      <c r="U125" s="903"/>
      <c r="V125" s="903"/>
      <c r="W125" s="903"/>
      <c r="X125" s="903"/>
      <c r="Y125" s="903"/>
      <c r="Z125" s="903"/>
      <c r="AA125" s="903"/>
      <c r="AB125" s="903"/>
      <c r="AC125" s="903"/>
      <c r="AD125" s="903"/>
      <c r="AE125" s="903"/>
      <c r="AF125" s="903"/>
      <c r="AG125" s="903"/>
      <c r="AH125" s="903"/>
      <c r="AI125" s="903"/>
      <c r="AJ125" s="903"/>
      <c r="AK125" s="903"/>
      <c r="AL125" s="903"/>
      <c r="AM125" s="903"/>
      <c r="AN125" s="903"/>
      <c r="AO125" s="903"/>
      <c r="AP125" s="903"/>
      <c r="AQ125" s="903"/>
      <c r="AR125" s="903"/>
      <c r="AS125" s="903"/>
      <c r="AT125" s="903"/>
      <c r="AU125" s="903"/>
      <c r="AV125" s="903"/>
      <c r="AW125" s="903"/>
      <c r="AX125" s="903"/>
      <c r="AY125" s="903"/>
      <c r="AZ125" s="903"/>
      <c r="BA125" s="903"/>
      <c r="BB125" s="903"/>
      <c r="BC125" s="903"/>
      <c r="BD125" s="903"/>
      <c r="BE125" s="903"/>
      <c r="BF125" s="903"/>
      <c r="BG125" s="903"/>
      <c r="BH125" s="903"/>
      <c r="BI125" s="903"/>
      <c r="BJ125" s="903"/>
      <c r="BK125" s="903">
        <f ca="1">N125</f>
        <v>3628433</v>
      </c>
      <c r="BL125" s="903">
        <f t="shared" si="85"/>
        <v>0</v>
      </c>
      <c r="BM125" s="903">
        <f t="shared" si="85"/>
        <v>0</v>
      </c>
      <c r="BN125" s="903">
        <f t="shared" si="85"/>
        <v>0</v>
      </c>
      <c r="BO125" s="903">
        <f t="shared" si="85"/>
        <v>0</v>
      </c>
      <c r="BP125" s="903">
        <f t="shared" si="85"/>
        <v>0</v>
      </c>
      <c r="BQ125" s="903">
        <f t="shared" si="85"/>
        <v>0</v>
      </c>
      <c r="BR125" s="903">
        <f t="shared" si="85"/>
        <v>0</v>
      </c>
    </row>
    <row r="126" spans="13:70">
      <c r="M126" s="890">
        <f ca="1">BL133</f>
        <v>2.5808294202521953E-2</v>
      </c>
      <c r="N126" s="883">
        <f t="shared" ca="1" si="72"/>
        <v>3721808</v>
      </c>
      <c r="Q126" s="903"/>
      <c r="R126" s="903"/>
      <c r="S126" s="903"/>
      <c r="T126" s="903"/>
      <c r="U126" s="903"/>
      <c r="V126" s="903"/>
      <c r="W126" s="903"/>
      <c r="X126" s="903"/>
      <c r="Y126" s="903"/>
      <c r="Z126" s="903"/>
      <c r="AA126" s="903"/>
      <c r="AB126" s="903"/>
      <c r="AC126" s="903"/>
      <c r="AD126" s="903"/>
      <c r="AE126" s="903"/>
      <c r="AF126" s="903"/>
      <c r="AG126" s="903"/>
      <c r="AH126" s="903"/>
      <c r="AI126" s="903"/>
      <c r="AJ126" s="903"/>
      <c r="AK126" s="903"/>
      <c r="AL126" s="903"/>
      <c r="AM126" s="903"/>
      <c r="AN126" s="903"/>
      <c r="AO126" s="903"/>
      <c r="AP126" s="903"/>
      <c r="AQ126" s="903"/>
      <c r="AR126" s="903"/>
      <c r="AS126" s="903"/>
      <c r="AT126" s="903"/>
      <c r="AU126" s="903"/>
      <c r="AV126" s="903"/>
      <c r="AW126" s="903"/>
      <c r="AX126" s="903"/>
      <c r="AY126" s="903"/>
      <c r="AZ126" s="903"/>
      <c r="BA126" s="903"/>
      <c r="BB126" s="903"/>
      <c r="BC126" s="903"/>
      <c r="BD126" s="903"/>
      <c r="BE126" s="903"/>
      <c r="BF126" s="903"/>
      <c r="BG126" s="903"/>
      <c r="BH126" s="903"/>
      <c r="BI126" s="903"/>
      <c r="BJ126" s="903"/>
      <c r="BK126" s="903"/>
      <c r="BL126" s="903">
        <f ca="1">N126</f>
        <v>3721808</v>
      </c>
      <c r="BM126" s="903">
        <f t="shared" si="85"/>
        <v>0</v>
      </c>
      <c r="BN126" s="903">
        <f t="shared" si="85"/>
        <v>0</v>
      </c>
      <c r="BO126" s="903">
        <f t="shared" si="85"/>
        <v>0</v>
      </c>
      <c r="BP126" s="903">
        <f t="shared" si="85"/>
        <v>0</v>
      </c>
      <c r="BQ126" s="903">
        <f t="shared" si="85"/>
        <v>0</v>
      </c>
      <c r="BR126" s="903">
        <f t="shared" si="85"/>
        <v>0</v>
      </c>
    </row>
    <row r="127" spans="13:70">
      <c r="M127" s="890">
        <f ca="1">BM133</f>
        <v>2.5804877385985581E-2</v>
      </c>
      <c r="N127" s="883">
        <f t="shared" ca="1" si="72"/>
        <v>3817193</v>
      </c>
      <c r="Q127" s="903"/>
      <c r="R127" s="903"/>
      <c r="S127" s="903"/>
      <c r="T127" s="903"/>
      <c r="U127" s="903"/>
      <c r="V127" s="903"/>
      <c r="W127" s="903"/>
      <c r="X127" s="903"/>
      <c r="Y127" s="903"/>
      <c r="Z127" s="903"/>
      <c r="AA127" s="903"/>
      <c r="AB127" s="903"/>
      <c r="AC127" s="903"/>
      <c r="AD127" s="903"/>
      <c r="AE127" s="903"/>
      <c r="AF127" s="903"/>
      <c r="AG127" s="903"/>
      <c r="AH127" s="903"/>
      <c r="AI127" s="903"/>
      <c r="AJ127" s="903"/>
      <c r="AK127" s="903"/>
      <c r="AL127" s="903"/>
      <c r="AM127" s="903"/>
      <c r="AN127" s="903"/>
      <c r="AO127" s="903"/>
      <c r="AP127" s="903"/>
      <c r="AQ127" s="903"/>
      <c r="AR127" s="903"/>
      <c r="AS127" s="903"/>
      <c r="AT127" s="903"/>
      <c r="AU127" s="903"/>
      <c r="AV127" s="903"/>
      <c r="AW127" s="903"/>
      <c r="AX127" s="903"/>
      <c r="AY127" s="903"/>
      <c r="AZ127" s="903"/>
      <c r="BA127" s="903"/>
      <c r="BB127" s="903"/>
      <c r="BC127" s="903"/>
      <c r="BD127" s="903"/>
      <c r="BE127" s="903"/>
      <c r="BF127" s="903"/>
      <c r="BG127" s="903"/>
      <c r="BH127" s="903"/>
      <c r="BI127" s="903"/>
      <c r="BJ127" s="903"/>
      <c r="BK127" s="903"/>
      <c r="BL127" s="903"/>
      <c r="BM127" s="903">
        <f ca="1">N127</f>
        <v>3817193</v>
      </c>
      <c r="BN127" s="903">
        <f>$H58</f>
        <v>0</v>
      </c>
      <c r="BO127" s="903">
        <f>$H58</f>
        <v>0</v>
      </c>
      <c r="BP127" s="903">
        <f>$H58</f>
        <v>0</v>
      </c>
      <c r="BQ127" s="903">
        <f>$H58</f>
        <v>0</v>
      </c>
      <c r="BR127" s="903">
        <f>$H58</f>
        <v>0</v>
      </c>
    </row>
    <row r="128" spans="13:70">
      <c r="M128" s="890">
        <f ca="1">BN133</f>
        <v>2.5799076142310584E-2</v>
      </c>
      <c r="N128" s="883">
        <f t="shared" ca="1" si="72"/>
        <v>3914509</v>
      </c>
      <c r="Q128" s="903"/>
      <c r="R128" s="903"/>
      <c r="S128" s="903"/>
      <c r="T128" s="903"/>
      <c r="U128" s="903"/>
      <c r="V128" s="903"/>
      <c r="W128" s="903"/>
      <c r="X128" s="903"/>
      <c r="Y128" s="903"/>
      <c r="Z128" s="903"/>
      <c r="AA128" s="903"/>
      <c r="AB128" s="903"/>
      <c r="AC128" s="903"/>
      <c r="AD128" s="903"/>
      <c r="AE128" s="903"/>
      <c r="AF128" s="903"/>
      <c r="AG128" s="903"/>
      <c r="AH128" s="903"/>
      <c r="AI128" s="903"/>
      <c r="AJ128" s="903"/>
      <c r="AK128" s="903"/>
      <c r="AL128" s="903"/>
      <c r="AM128" s="903"/>
      <c r="AN128" s="903"/>
      <c r="AO128" s="903"/>
      <c r="AP128" s="903"/>
      <c r="AQ128" s="903"/>
      <c r="AR128" s="903"/>
      <c r="AS128" s="903"/>
      <c r="AT128" s="903"/>
      <c r="AU128" s="903"/>
      <c r="AV128" s="903"/>
      <c r="AW128" s="903"/>
      <c r="AX128" s="903"/>
      <c r="AY128" s="903"/>
      <c r="AZ128" s="903"/>
      <c r="BA128" s="903"/>
      <c r="BB128" s="903"/>
      <c r="BC128" s="903"/>
      <c r="BD128" s="903"/>
      <c r="BE128" s="903"/>
      <c r="BF128" s="903"/>
      <c r="BG128" s="903"/>
      <c r="BH128" s="903"/>
      <c r="BI128" s="903"/>
      <c r="BJ128" s="903"/>
      <c r="BK128" s="903"/>
      <c r="BL128" s="903"/>
      <c r="BM128" s="903"/>
      <c r="BN128" s="903">
        <f ca="1">N128</f>
        <v>3914509</v>
      </c>
      <c r="BO128" s="903">
        <f>$H59</f>
        <v>0</v>
      </c>
      <c r="BP128" s="903">
        <f>$H59</f>
        <v>0</v>
      </c>
      <c r="BQ128" s="903">
        <f>$H59</f>
        <v>0</v>
      </c>
      <c r="BR128" s="903">
        <f>$H59</f>
        <v>0</v>
      </c>
    </row>
    <row r="129" spans="13:70">
      <c r="M129" s="890">
        <f ca="1">BO133</f>
        <v>2.5791338283033705E-2</v>
      </c>
      <c r="N129" s="883">
        <f t="shared" ca="1" si="72"/>
        <v>4013847</v>
      </c>
      <c r="Q129" s="903"/>
      <c r="R129" s="903"/>
      <c r="S129" s="903"/>
      <c r="T129" s="903"/>
      <c r="U129" s="903"/>
      <c r="V129" s="903"/>
      <c r="W129" s="903"/>
      <c r="X129" s="903"/>
      <c r="Y129" s="903"/>
      <c r="Z129" s="903"/>
      <c r="AA129" s="903"/>
      <c r="AB129" s="903"/>
      <c r="AC129" s="903"/>
      <c r="AD129" s="903"/>
      <c r="AE129" s="903"/>
      <c r="AF129" s="903"/>
      <c r="AG129" s="903"/>
      <c r="AH129" s="903"/>
      <c r="AI129" s="903"/>
      <c r="AJ129" s="903"/>
      <c r="AK129" s="903"/>
      <c r="AL129" s="903"/>
      <c r="AM129" s="903"/>
      <c r="AN129" s="903"/>
      <c r="AO129" s="903"/>
      <c r="AP129" s="903"/>
      <c r="AQ129" s="903"/>
      <c r="AR129" s="903"/>
      <c r="AS129" s="903"/>
      <c r="AT129" s="903"/>
      <c r="AU129" s="903"/>
      <c r="AV129" s="903"/>
      <c r="AW129" s="903"/>
      <c r="AX129" s="903"/>
      <c r="AY129" s="903"/>
      <c r="AZ129" s="903"/>
      <c r="BA129" s="903"/>
      <c r="BB129" s="903"/>
      <c r="BC129" s="903"/>
      <c r="BD129" s="903"/>
      <c r="BE129" s="903"/>
      <c r="BF129" s="903"/>
      <c r="BG129" s="903"/>
      <c r="BH129" s="903"/>
      <c r="BI129" s="903"/>
      <c r="BJ129" s="903"/>
      <c r="BK129" s="903"/>
      <c r="BL129" s="903"/>
      <c r="BM129" s="903"/>
      <c r="BN129" s="903"/>
      <c r="BO129" s="903">
        <f ca="1">N129</f>
        <v>4013847</v>
      </c>
      <c r="BP129" s="903">
        <f>$H60</f>
        <v>0</v>
      </c>
      <c r="BQ129" s="903">
        <f>$H60</f>
        <v>0</v>
      </c>
      <c r="BR129" s="903">
        <f>$H60</f>
        <v>0</v>
      </c>
    </row>
    <row r="130" spans="13:70">
      <c r="M130" s="890">
        <f ca="1">BP133</f>
        <v>2.5781381276821724E-2</v>
      </c>
      <c r="N130" s="883">
        <f t="shared" ca="1" si="72"/>
        <v>4115149</v>
      </c>
      <c r="Q130" s="903"/>
      <c r="R130" s="903"/>
      <c r="S130" s="903"/>
      <c r="T130" s="903"/>
      <c r="U130" s="903"/>
      <c r="V130" s="903"/>
      <c r="W130" s="903"/>
      <c r="X130" s="903"/>
      <c r="Y130" s="903"/>
      <c r="Z130" s="903"/>
      <c r="AA130" s="903"/>
      <c r="AB130" s="903"/>
      <c r="AC130" s="903"/>
      <c r="AD130" s="903"/>
      <c r="AE130" s="903"/>
      <c r="AF130" s="903"/>
      <c r="AG130" s="903"/>
      <c r="AH130" s="903"/>
      <c r="AI130" s="903"/>
      <c r="AJ130" s="903"/>
      <c r="AK130" s="903"/>
      <c r="AL130" s="903"/>
      <c r="AM130" s="903"/>
      <c r="AN130" s="903"/>
      <c r="AO130" s="903"/>
      <c r="AP130" s="903"/>
      <c r="AQ130" s="903"/>
      <c r="AR130" s="903"/>
      <c r="AS130" s="903"/>
      <c r="AT130" s="903"/>
      <c r="AU130" s="903"/>
      <c r="AV130" s="903"/>
      <c r="AW130" s="903"/>
      <c r="AX130" s="903"/>
      <c r="AY130" s="903"/>
      <c r="AZ130" s="903"/>
      <c r="BA130" s="903"/>
      <c r="BB130" s="903"/>
      <c r="BC130" s="903"/>
      <c r="BD130" s="903"/>
      <c r="BE130" s="903"/>
      <c r="BF130" s="903"/>
      <c r="BG130" s="903"/>
      <c r="BH130" s="903"/>
      <c r="BI130" s="903"/>
      <c r="BJ130" s="903"/>
      <c r="BK130" s="903"/>
      <c r="BL130" s="903"/>
      <c r="BM130" s="903"/>
      <c r="BN130" s="903"/>
      <c r="BO130" s="903"/>
      <c r="BP130" s="903">
        <f ca="1">N130</f>
        <v>4115149</v>
      </c>
      <c r="BQ130" s="903">
        <f>$H61</f>
        <v>0</v>
      </c>
      <c r="BR130" s="903">
        <f>$H61</f>
        <v>0</v>
      </c>
    </row>
    <row r="131" spans="13:70">
      <c r="M131" s="890">
        <f ca="1">BQ133</f>
        <v>2.5769697622709531E-2</v>
      </c>
      <c r="N131" s="883">
        <f t="shared" ca="1" si="72"/>
        <v>4218524</v>
      </c>
      <c r="Q131" s="903"/>
      <c r="R131" s="903"/>
      <c r="S131" s="903"/>
      <c r="T131" s="903"/>
      <c r="U131" s="903"/>
      <c r="V131" s="903"/>
      <c r="W131" s="903"/>
      <c r="X131" s="903"/>
      <c r="Y131" s="903"/>
      <c r="Z131" s="903"/>
      <c r="AA131" s="903"/>
      <c r="AB131" s="903"/>
      <c r="AC131" s="903"/>
      <c r="AD131" s="903"/>
      <c r="AE131" s="903"/>
      <c r="AF131" s="903"/>
      <c r="AG131" s="903"/>
      <c r="AH131" s="903"/>
      <c r="AI131" s="903"/>
      <c r="AJ131" s="903"/>
      <c r="AK131" s="903"/>
      <c r="AL131" s="903"/>
      <c r="AM131" s="903"/>
      <c r="AN131" s="903"/>
      <c r="AO131" s="903"/>
      <c r="AP131" s="903"/>
      <c r="AQ131" s="903"/>
      <c r="AR131" s="903"/>
      <c r="AS131" s="903"/>
      <c r="AT131" s="903"/>
      <c r="AU131" s="903"/>
      <c r="AV131" s="903"/>
      <c r="AW131" s="903"/>
      <c r="AX131" s="903"/>
      <c r="AY131" s="903"/>
      <c r="AZ131" s="903"/>
      <c r="BA131" s="903"/>
      <c r="BB131" s="903"/>
      <c r="BC131" s="903"/>
      <c r="BD131" s="903"/>
      <c r="BE131" s="903"/>
      <c r="BF131" s="903"/>
      <c r="BG131" s="903"/>
      <c r="BH131" s="903"/>
      <c r="BI131" s="903"/>
      <c r="BJ131" s="903"/>
      <c r="BK131" s="903"/>
      <c r="BL131" s="903"/>
      <c r="BM131" s="903"/>
      <c r="BN131" s="903"/>
      <c r="BO131" s="903"/>
      <c r="BP131" s="903"/>
      <c r="BQ131" s="903">
        <f ca="1">N131</f>
        <v>4218524</v>
      </c>
      <c r="BR131" s="903">
        <f>$H62</f>
        <v>0</v>
      </c>
    </row>
    <row r="132" spans="13:70">
      <c r="M132" s="890">
        <f ca="1">BR133</f>
        <v>2.5755837270643678E-2</v>
      </c>
      <c r="N132" s="883">
        <f t="shared" ca="1" si="72"/>
        <v>4323869</v>
      </c>
      <c r="Q132" s="903"/>
      <c r="R132" s="903"/>
      <c r="S132" s="903"/>
      <c r="T132" s="903"/>
      <c r="U132" s="903"/>
      <c r="V132" s="903"/>
      <c r="W132" s="903"/>
      <c r="X132" s="903"/>
      <c r="Y132" s="903"/>
      <c r="Z132" s="903"/>
      <c r="AA132" s="903"/>
      <c r="AB132" s="903"/>
      <c r="AC132" s="903"/>
      <c r="AD132" s="903"/>
      <c r="AE132" s="903"/>
      <c r="AF132" s="903"/>
      <c r="AG132" s="903"/>
      <c r="AH132" s="903"/>
      <c r="AI132" s="903"/>
      <c r="AJ132" s="903"/>
      <c r="AK132" s="903"/>
      <c r="AL132" s="903"/>
      <c r="AM132" s="903"/>
      <c r="AN132" s="903"/>
      <c r="AO132" s="903"/>
      <c r="AP132" s="903"/>
      <c r="AQ132" s="903"/>
      <c r="AR132" s="903"/>
      <c r="AS132" s="903"/>
      <c r="AT132" s="903"/>
      <c r="AU132" s="903"/>
      <c r="AV132" s="903"/>
      <c r="AW132" s="903"/>
      <c r="AX132" s="903"/>
      <c r="AY132" s="903"/>
      <c r="AZ132" s="903"/>
      <c r="BA132" s="903"/>
      <c r="BB132" s="903"/>
      <c r="BC132" s="903"/>
      <c r="BD132" s="903"/>
      <c r="BE132" s="903"/>
      <c r="BF132" s="903"/>
      <c r="BG132" s="903"/>
      <c r="BH132" s="903"/>
      <c r="BI132" s="903"/>
      <c r="BJ132" s="903"/>
      <c r="BK132" s="903"/>
      <c r="BL132" s="903"/>
      <c r="BM132" s="903"/>
      <c r="BN132" s="903"/>
      <c r="BO132" s="903"/>
      <c r="BP132" s="903"/>
      <c r="BQ132" s="903"/>
      <c r="BR132" s="903">
        <f ca="1">N132</f>
        <v>4323869</v>
      </c>
    </row>
    <row r="133" spans="13:70">
      <c r="P133" s="897">
        <f ca="1">IRR(P72:P132,0.01)</f>
        <v>8.5254776674283939E-3</v>
      </c>
      <c r="Q133" s="897">
        <f t="shared" ref="Q133:BR133" ca="1" si="86">IRR(Q72:Q132,0.01)</f>
        <v>1.4754433304077885E-2</v>
      </c>
      <c r="R133" s="897">
        <f t="shared" ca="1" si="86"/>
        <v>1.6944414071134339E-2</v>
      </c>
      <c r="S133" s="897">
        <f t="shared" ca="1" si="86"/>
        <v>1.8471590472290522E-2</v>
      </c>
      <c r="T133" s="897">
        <f t="shared" ca="1" si="86"/>
        <v>1.9601796289990148E-2</v>
      </c>
      <c r="U133" s="897">
        <f t="shared" ca="1" si="86"/>
        <v>2.0469858690298492E-2</v>
      </c>
      <c r="V133" s="897">
        <f t="shared" ca="1" si="86"/>
        <v>2.1156556097163159E-2</v>
      </c>
      <c r="W133" s="897">
        <f t="shared" ca="1" si="86"/>
        <v>2.1712992028837697E-2</v>
      </c>
      <c r="X133" s="897">
        <f t="shared" ca="1" si="86"/>
        <v>2.2172309907734888E-2</v>
      </c>
      <c r="Y133" s="897">
        <f t="shared" ca="1" si="86"/>
        <v>2.2559707552536556E-2</v>
      </c>
      <c r="Z133" s="897">
        <f t="shared" ca="1" si="86"/>
        <v>2.2889731835542992E-2</v>
      </c>
      <c r="AA133" s="897">
        <f t="shared" ca="1" si="86"/>
        <v>2.317589694662936E-2</v>
      </c>
      <c r="AB133" s="897">
        <f t="shared" ca="1" si="86"/>
        <v>2.3424381676200978E-2</v>
      </c>
      <c r="AC133" s="897">
        <f t="shared" ca="1" si="86"/>
        <v>2.3643543388331967E-2</v>
      </c>
      <c r="AD133" s="897">
        <f t="shared" ca="1" si="86"/>
        <v>2.3837311223803503E-2</v>
      </c>
      <c r="AE133" s="897">
        <f t="shared" ca="1" si="86"/>
        <v>2.400969789704499E-2</v>
      </c>
      <c r="AF133" s="897">
        <f t="shared" ca="1" si="86"/>
        <v>2.4165914749610051E-2</v>
      </c>
      <c r="AG133" s="897">
        <f t="shared" ca="1" si="86"/>
        <v>2.4306238531377478E-2</v>
      </c>
      <c r="AH133" s="897">
        <f t="shared" ca="1" si="86"/>
        <v>2.4433839574151905E-2</v>
      </c>
      <c r="AI133" s="897">
        <f t="shared" ca="1" si="86"/>
        <v>2.4550397072515606E-2</v>
      </c>
      <c r="AJ133" s="897">
        <f t="shared" ca="1" si="86"/>
        <v>2.4656182945459681E-2</v>
      </c>
      <c r="AK133" s="897">
        <f t="shared" ca="1" si="86"/>
        <v>2.4754284898072632E-2</v>
      </c>
      <c r="AL133" s="897">
        <f t="shared" ca="1" si="86"/>
        <v>2.4844566779439026E-2</v>
      </c>
      <c r="AM133" s="897">
        <f t="shared" ca="1" si="86"/>
        <v>2.4927998253528205E-2</v>
      </c>
      <c r="AN133" s="897">
        <f t="shared" ca="1" si="86"/>
        <v>2.5005739644609282E-2</v>
      </c>
      <c r="AO133" s="897">
        <f t="shared" ca="1" si="86"/>
        <v>2.5077951851993241E-2</v>
      </c>
      <c r="AP133" s="897">
        <f t="shared" ca="1" si="86"/>
        <v>2.5145365725770308E-2</v>
      </c>
      <c r="AQ133" s="897">
        <f t="shared" ca="1" si="86"/>
        <v>2.5208066479199154E-2</v>
      </c>
      <c r="AR133" s="897">
        <f t="shared" ca="1" si="86"/>
        <v>2.5267362834798579E-2</v>
      </c>
      <c r="AS133" s="897">
        <f t="shared" ca="1" si="86"/>
        <v>2.5323227733177633E-2</v>
      </c>
      <c r="AT133" s="897">
        <f t="shared" ca="1" si="86"/>
        <v>2.537502317825302E-2</v>
      </c>
      <c r="AU133" s="897">
        <f t="shared" ca="1" si="86"/>
        <v>2.5424196101897056E-2</v>
      </c>
      <c r="AV133" s="897">
        <f t="shared" ca="1" si="86"/>
        <v>2.5470765014528052E-2</v>
      </c>
      <c r="AW133" s="897">
        <f t="shared" ca="1" si="86"/>
        <v>2.5514774487057634E-2</v>
      </c>
      <c r="AX133" s="897">
        <f t="shared" ca="1" si="86"/>
        <v>2.5556246713603681E-2</v>
      </c>
      <c r="AY133" s="897">
        <f t="shared" ca="1" si="86"/>
        <v>2.5595608642893675E-2</v>
      </c>
      <c r="AZ133" s="897">
        <f t="shared" ca="1" si="86"/>
        <v>2.5633189707490622E-2</v>
      </c>
      <c r="BA133" s="897">
        <f t="shared" ca="1" si="86"/>
        <v>2.5667150899534752E-2</v>
      </c>
      <c r="BB133" s="897">
        <f t="shared" ca="1" si="86"/>
        <v>2.5696672292343958E-2</v>
      </c>
      <c r="BC133" s="897">
        <f t="shared" ca="1" si="86"/>
        <v>2.5722202900506863E-2</v>
      </c>
      <c r="BD133" s="897">
        <f t="shared" ca="1" si="86"/>
        <v>2.5744073351489094E-2</v>
      </c>
      <c r="BE133" s="897">
        <f t="shared" ca="1" si="86"/>
        <v>2.5762984766316555E-2</v>
      </c>
      <c r="BF133" s="897">
        <f t="shared" ca="1" si="86"/>
        <v>2.5778132266053522E-2</v>
      </c>
      <c r="BG133" s="897">
        <f t="shared" ca="1" si="86"/>
        <v>2.5789987646430923E-2</v>
      </c>
      <c r="BH133" s="897">
        <f t="shared" ca="1" si="86"/>
        <v>2.5798851425124614E-2</v>
      </c>
      <c r="BI133" s="897">
        <f t="shared" ca="1" si="86"/>
        <v>2.5805381962043183E-2</v>
      </c>
      <c r="BJ133" s="897">
        <f t="shared" ca="1" si="86"/>
        <v>2.5808797360546976E-2</v>
      </c>
      <c r="BK133" s="897">
        <f t="shared" ca="1" si="86"/>
        <v>2.5809758334940147E-2</v>
      </c>
      <c r="BL133" s="897">
        <f t="shared" ca="1" si="86"/>
        <v>2.5808294202521953E-2</v>
      </c>
      <c r="BM133" s="897">
        <f t="shared" ca="1" si="86"/>
        <v>2.5804877385985581E-2</v>
      </c>
      <c r="BN133" s="897">
        <f t="shared" ca="1" si="86"/>
        <v>2.5799076142310584E-2</v>
      </c>
      <c r="BO133" s="897">
        <f t="shared" ca="1" si="86"/>
        <v>2.5791338283033705E-2</v>
      </c>
      <c r="BP133" s="897">
        <f t="shared" ca="1" si="86"/>
        <v>2.5781381276821724E-2</v>
      </c>
      <c r="BQ133" s="897">
        <f t="shared" ca="1" si="86"/>
        <v>2.5769697622709531E-2</v>
      </c>
      <c r="BR133" s="897">
        <f t="shared" ca="1" si="86"/>
        <v>2.5755837270643678E-2</v>
      </c>
    </row>
  </sheetData>
  <sheetProtection password="EF3A" sheet="1" formatCells="0" formatRows="0"/>
  <mergeCells count="4">
    <mergeCell ref="A2:G2"/>
    <mergeCell ref="H2:K2"/>
    <mergeCell ref="A1:G1"/>
    <mergeCell ref="H1:K1"/>
  </mergeCells>
  <phoneticPr fontId="4" type="noConversion"/>
  <printOptions horizontalCentered="1" verticalCentered="1"/>
  <pageMargins left="0" right="0" top="0.39370078740157483" bottom="0.3937007874015748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3"/>
  <sheetViews>
    <sheetView tabSelected="1" workbookViewId="0">
      <selection activeCell="N17" sqref="N17"/>
    </sheetView>
  </sheetViews>
  <sheetFormatPr defaultRowHeight="14.25"/>
  <cols>
    <col min="1" max="2" width="7.6640625" style="975" customWidth="1"/>
    <col min="3" max="3" width="16.33203125" style="975" customWidth="1"/>
    <col min="4" max="4" width="13" style="975" customWidth="1"/>
    <col min="5" max="5" width="16.33203125" style="975" customWidth="1"/>
    <col min="6" max="7" width="12.1640625" style="975" customWidth="1"/>
    <col min="8" max="8" width="11.33203125" style="975" customWidth="1"/>
    <col min="9" max="10" width="16.33203125" style="975" customWidth="1"/>
    <col min="11" max="11" width="13" style="975" customWidth="1"/>
    <col min="12" max="12" width="16.33203125" style="975" customWidth="1"/>
    <col min="13" max="13" width="17" style="975" customWidth="1"/>
    <col min="14" max="16384" width="9.33203125" style="976"/>
  </cols>
  <sheetData>
    <row r="1" spans="1:13" ht="21.75" customHeight="1">
      <c r="A1" s="1252" t="str">
        <f ca="1">"6IWT " &amp; 輸入頁!O7 &amp; "歲" &amp; 輸入頁!K4 &amp; "性 " &amp; "保額" &amp; TEXT(輸入頁!J39,"###0") &amp; "萬(宣告利率2.69%)"</f>
        <v>6IWT 33歲男性 保額34萬(宣告利率2.69%)</v>
      </c>
      <c r="B1" s="1253"/>
      <c r="C1" s="1253"/>
      <c r="D1" s="1253"/>
      <c r="E1" s="1253"/>
      <c r="F1" s="1253"/>
      <c r="G1" s="1254"/>
      <c r="H1" s="1248" t="s">
        <v>1420</v>
      </c>
      <c r="I1" s="1248"/>
      <c r="J1" s="1248"/>
      <c r="K1" s="1248"/>
      <c r="L1" s="1249"/>
    </row>
    <row r="2" spans="1:13" ht="21.75" customHeight="1" thickBot="1">
      <c r="A2" s="1245" t="str">
        <f>'6IWT'!A2</f>
        <v>繳費方式 1%折扣及高保額 1.0%折扣</v>
      </c>
      <c r="B2" s="1246"/>
      <c r="C2" s="1246"/>
      <c r="D2" s="1246"/>
      <c r="E2" s="1246"/>
      <c r="F2" s="1246"/>
      <c r="G2" s="1247"/>
      <c r="H2" s="1250"/>
      <c r="I2" s="1250"/>
      <c r="J2" s="1250"/>
      <c r="K2" s="1250"/>
      <c r="L2" s="1251"/>
    </row>
    <row r="3" spans="1:13" ht="16.5" thickBot="1">
      <c r="A3" s="955" t="s">
        <v>79</v>
      </c>
      <c r="B3" s="938" t="s">
        <v>925</v>
      </c>
      <c r="C3" s="938" t="s">
        <v>1326</v>
      </c>
      <c r="D3" s="938" t="s">
        <v>349</v>
      </c>
      <c r="E3" s="938" t="s">
        <v>1409</v>
      </c>
      <c r="F3" s="939" t="s">
        <v>1410</v>
      </c>
      <c r="G3" s="940" t="s">
        <v>1411</v>
      </c>
      <c r="H3" s="941" t="s">
        <v>1415</v>
      </c>
      <c r="I3" s="942" t="s">
        <v>358</v>
      </c>
      <c r="J3" s="942" t="s">
        <v>1416</v>
      </c>
      <c r="K3" s="942" t="s">
        <v>1417</v>
      </c>
      <c r="L3" s="956" t="s">
        <v>1418</v>
      </c>
      <c r="M3" s="943"/>
    </row>
    <row r="4" spans="1:13" ht="16.5">
      <c r="A4" s="957">
        <f>'6IWT'!A4</f>
        <v>1</v>
      </c>
      <c r="B4" s="977">
        <f ca="1">'6IWT'!B4</f>
        <v>33</v>
      </c>
      <c r="C4" s="1012">
        <f ca="1">'6IWT'!C4</f>
        <v>166833</v>
      </c>
      <c r="D4" s="978">
        <f>'6IWT'!H4</f>
        <v>0</v>
      </c>
      <c r="E4" s="979">
        <f ca="1">'6IWT'!I4</f>
        <v>79743</v>
      </c>
      <c r="F4" s="880"/>
      <c r="G4" s="881"/>
      <c r="H4" s="1020">
        <v>1.0699999999999999E-2</v>
      </c>
      <c r="I4" s="980">
        <f ca="1">C4</f>
        <v>166833</v>
      </c>
      <c r="J4" s="979">
        <f ca="1">I4*(1+H4)</f>
        <v>168618.11309999999</v>
      </c>
      <c r="K4" s="978">
        <f>D4</f>
        <v>0</v>
      </c>
      <c r="L4" s="981">
        <f ca="1">J4-K4</f>
        <v>168618.11309999999</v>
      </c>
      <c r="M4" s="982"/>
    </row>
    <row r="5" spans="1:13" ht="15.75">
      <c r="A5" s="958">
        <f>'6IWT'!A5</f>
        <v>2</v>
      </c>
      <c r="B5" s="944">
        <f ca="1">'6IWT'!B5</f>
        <v>34</v>
      </c>
      <c r="C5" s="983">
        <f ca="1">'6IWT'!C5</f>
        <v>166833</v>
      </c>
      <c r="D5" s="984">
        <f>'6IWT'!H5</f>
        <v>0</v>
      </c>
      <c r="E5" s="983">
        <f ca="1">'6IWT'!I5</f>
        <v>227184</v>
      </c>
      <c r="F5" s="885"/>
      <c r="G5" s="886"/>
      <c r="H5" s="945">
        <f>H4</f>
        <v>1.0699999999999999E-2</v>
      </c>
      <c r="I5" s="985">
        <f ca="1">I4</f>
        <v>166833</v>
      </c>
      <c r="J5" s="983">
        <f ca="1">(I5+L4)*(1+H5)</f>
        <v>339040.44001016993</v>
      </c>
      <c r="K5" s="984">
        <f t="shared" ref="K5:K63" si="0">D5</f>
        <v>0</v>
      </c>
      <c r="L5" s="986">
        <f ca="1">J5-K5</f>
        <v>339040.44001016993</v>
      </c>
    </row>
    <row r="6" spans="1:13" ht="15.75">
      <c r="A6" s="958">
        <f>'6IWT'!A6</f>
        <v>3</v>
      </c>
      <c r="B6" s="944">
        <f ca="1">'6IWT'!B6</f>
        <v>35</v>
      </c>
      <c r="C6" s="983">
        <f ca="1">'6IWT'!C6</f>
        <v>166833</v>
      </c>
      <c r="D6" s="984">
        <f>'6IWT'!H6</f>
        <v>0</v>
      </c>
      <c r="E6" s="983">
        <f ca="1">'6IWT'!I6</f>
        <v>396450</v>
      </c>
      <c r="F6" s="885"/>
      <c r="G6" s="886"/>
      <c r="H6" s="945">
        <f t="shared" ref="H6:H63" si="1">H5</f>
        <v>1.0699999999999999E-2</v>
      </c>
      <c r="I6" s="985">
        <f ca="1">I5</f>
        <v>166833</v>
      </c>
      <c r="J6" s="983">
        <f t="shared" ref="J6:J63" ca="1" si="2">(I6+L5)*(1+H6)</f>
        <v>511286.28581827873</v>
      </c>
      <c r="K6" s="984">
        <f t="shared" si="0"/>
        <v>0</v>
      </c>
      <c r="L6" s="986">
        <f t="shared" ref="L6:L63" ca="1" si="3">J6-K6</f>
        <v>511286.28581827873</v>
      </c>
    </row>
    <row r="7" spans="1:13" ht="15.75">
      <c r="A7" s="958">
        <f>'6IWT'!A7</f>
        <v>4</v>
      </c>
      <c r="B7" s="944">
        <f ca="1">'6IWT'!B7</f>
        <v>36</v>
      </c>
      <c r="C7" s="983">
        <f ca="1">'6IWT'!C7</f>
        <v>166833</v>
      </c>
      <c r="D7" s="984">
        <f>'6IWT'!H7</f>
        <v>0</v>
      </c>
      <c r="E7" s="983">
        <f ca="1">'6IWT'!I7</f>
        <v>588107</v>
      </c>
      <c r="F7" s="885"/>
      <c r="G7" s="886"/>
      <c r="H7" s="945">
        <f t="shared" si="1"/>
        <v>1.0699999999999999E-2</v>
      </c>
      <c r="I7" s="985">
        <f ca="1">I6</f>
        <v>166833</v>
      </c>
      <c r="J7" s="983">
        <f t="shared" ca="1" si="2"/>
        <v>685375.1621765343</v>
      </c>
      <c r="K7" s="984">
        <f t="shared" si="0"/>
        <v>0</v>
      </c>
      <c r="L7" s="986">
        <f t="shared" ca="1" si="3"/>
        <v>685375.1621765343</v>
      </c>
    </row>
    <row r="8" spans="1:13" ht="15.75">
      <c r="A8" s="958">
        <f>'6IWT'!A8</f>
        <v>5</v>
      </c>
      <c r="B8" s="944">
        <f ca="1">'6IWT'!B8</f>
        <v>37</v>
      </c>
      <c r="C8" s="983">
        <f ca="1">'6IWT'!C8</f>
        <v>166833</v>
      </c>
      <c r="D8" s="984">
        <f>'6IWT'!H8</f>
        <v>0</v>
      </c>
      <c r="E8" s="983">
        <f ca="1">'6IWT'!I8</f>
        <v>802932</v>
      </c>
      <c r="F8" s="885"/>
      <c r="G8" s="886"/>
      <c r="H8" s="945">
        <f t="shared" si="1"/>
        <v>1.0699999999999999E-2</v>
      </c>
      <c r="I8" s="985">
        <f ca="1">I7</f>
        <v>166833</v>
      </c>
      <c r="J8" s="983">
        <f t="shared" ca="1" si="2"/>
        <v>861326.78951182321</v>
      </c>
      <c r="K8" s="984">
        <f t="shared" si="0"/>
        <v>0</v>
      </c>
      <c r="L8" s="986">
        <f t="shared" ca="1" si="3"/>
        <v>861326.78951182321</v>
      </c>
    </row>
    <row r="9" spans="1:13" ht="15.75">
      <c r="A9" s="959">
        <f>'6IWT'!A9</f>
        <v>6</v>
      </c>
      <c r="B9" s="946">
        <f ca="1">'6IWT'!B9</f>
        <v>38</v>
      </c>
      <c r="C9" s="987">
        <f ca="1">'6IWT'!C9</f>
        <v>166833</v>
      </c>
      <c r="D9" s="988">
        <f>'6IWT'!H9</f>
        <v>0</v>
      </c>
      <c r="E9" s="987">
        <f ca="1">'6IWT'!I9</f>
        <v>1031295</v>
      </c>
      <c r="F9" s="888">
        <f ca="1">'6IWT'!J9</f>
        <v>3.0266793739847631E-2</v>
      </c>
      <c r="G9" s="889">
        <f ca="1">'6IWT'!K9</f>
        <v>8.5254776674283939E-3</v>
      </c>
      <c r="H9" s="947">
        <f t="shared" si="1"/>
        <v>1.0699999999999999E-2</v>
      </c>
      <c r="I9" s="989">
        <f ca="1">I8</f>
        <v>166833</v>
      </c>
      <c r="J9" s="987">
        <f t="shared" ca="1" si="2"/>
        <v>1039161.0992595997</v>
      </c>
      <c r="K9" s="988">
        <f t="shared" si="0"/>
        <v>0</v>
      </c>
      <c r="L9" s="990">
        <f t="shared" ca="1" si="3"/>
        <v>1039161.0992595997</v>
      </c>
    </row>
    <row r="10" spans="1:13" ht="16.5">
      <c r="A10" s="958">
        <f>'6IWT'!A10</f>
        <v>7</v>
      </c>
      <c r="B10" s="944">
        <f ca="1">'6IWT'!B10</f>
        <v>39</v>
      </c>
      <c r="C10" s="954">
        <f ca="1">'6IWT'!C10</f>
        <v>1000998</v>
      </c>
      <c r="D10" s="997">
        <f>'6IWT'!H10</f>
        <v>0</v>
      </c>
      <c r="E10" s="1018">
        <f ca="1">'6IWT'!I10</f>
        <v>1069531</v>
      </c>
      <c r="F10" s="885">
        <f ca="1">'6IWT'!J10</f>
        <v>6.8464672257087425E-2</v>
      </c>
      <c r="G10" s="886">
        <f ca="1">'6IWT'!K10</f>
        <v>1.4754433304077885E-2</v>
      </c>
      <c r="H10" s="945">
        <f t="shared" si="1"/>
        <v>1.0699999999999999E-2</v>
      </c>
      <c r="I10" s="954">
        <f ca="1">SUM(I4:I9)</f>
        <v>1000998</v>
      </c>
      <c r="J10" s="983">
        <f ca="1">(L9)*(1+H10)</f>
        <v>1050280.1230216774</v>
      </c>
      <c r="K10" s="997">
        <f t="shared" si="0"/>
        <v>0</v>
      </c>
      <c r="L10" s="1019">
        <f t="shared" ca="1" si="3"/>
        <v>1050280.1230216774</v>
      </c>
      <c r="M10" s="991"/>
    </row>
    <row r="11" spans="1:13" ht="15.75">
      <c r="A11" s="958">
        <f>'6IWT'!A11</f>
        <v>8</v>
      </c>
      <c r="B11" s="944">
        <f ca="1">'6IWT'!B11</f>
        <v>40</v>
      </c>
      <c r="C11" s="948"/>
      <c r="D11" s="984">
        <f>'6IWT'!H11</f>
        <v>0</v>
      </c>
      <c r="E11" s="983">
        <f ca="1">'6IWT'!I11</f>
        <v>1098365</v>
      </c>
      <c r="F11" s="885">
        <f ca="1">'6IWT'!J11</f>
        <v>9.7269924615233996E-2</v>
      </c>
      <c r="G11" s="886">
        <f ca="1">'6IWT'!K11</f>
        <v>1.6944414071134339E-2</v>
      </c>
      <c r="H11" s="945">
        <f t="shared" si="1"/>
        <v>1.0699999999999999E-2</v>
      </c>
      <c r="I11" s="992"/>
      <c r="J11" s="983">
        <f t="shared" ca="1" si="2"/>
        <v>1061518.1203380092</v>
      </c>
      <c r="K11" s="984">
        <f t="shared" si="0"/>
        <v>0</v>
      </c>
      <c r="L11" s="986">
        <f t="shared" ca="1" si="3"/>
        <v>1061518.1203380092</v>
      </c>
      <c r="M11" s="993"/>
    </row>
    <row r="12" spans="1:13" ht="15.75">
      <c r="A12" s="958">
        <f>'6IWT'!A12</f>
        <v>9</v>
      </c>
      <c r="B12" s="944">
        <f ca="1">'6IWT'!B12</f>
        <v>41</v>
      </c>
      <c r="C12" s="948"/>
      <c r="D12" s="984">
        <f>'6IWT'!H12</f>
        <v>0</v>
      </c>
      <c r="E12" s="983">
        <f ca="1">'6IWT'!I12</f>
        <v>1128011</v>
      </c>
      <c r="F12" s="885">
        <f ca="1">'6IWT'!J12</f>
        <v>0.12688636740532949</v>
      </c>
      <c r="G12" s="886">
        <f ca="1">'6IWT'!K12</f>
        <v>1.8471590472290522E-2</v>
      </c>
      <c r="H12" s="945">
        <f t="shared" si="1"/>
        <v>1.0699999999999999E-2</v>
      </c>
      <c r="I12" s="992"/>
      <c r="J12" s="983">
        <f t="shared" ca="1" si="2"/>
        <v>1072876.3642256258</v>
      </c>
      <c r="K12" s="984">
        <f t="shared" si="0"/>
        <v>0</v>
      </c>
      <c r="L12" s="986">
        <f t="shared" ca="1" si="3"/>
        <v>1072876.3642256258</v>
      </c>
    </row>
    <row r="13" spans="1:13" ht="15.75">
      <c r="A13" s="960">
        <f>'6IWT'!A13</f>
        <v>10</v>
      </c>
      <c r="B13" s="949">
        <f ca="1">'6IWT'!B13</f>
        <v>42</v>
      </c>
      <c r="C13" s="950"/>
      <c r="D13" s="994">
        <f>'6IWT'!H13</f>
        <v>0</v>
      </c>
      <c r="E13" s="950">
        <f ca="1">'6IWT'!I13</f>
        <v>1158514</v>
      </c>
      <c r="F13" s="894">
        <f ca="1">'6IWT'!J13</f>
        <v>0.15735895576214937</v>
      </c>
      <c r="G13" s="895">
        <f ca="1">'6IWT'!K13</f>
        <v>1.9601796289990148E-2</v>
      </c>
      <c r="H13" s="951">
        <f t="shared" si="1"/>
        <v>1.0699999999999999E-2</v>
      </c>
      <c r="I13" s="995"/>
      <c r="J13" s="950">
        <f t="shared" ca="1" si="2"/>
        <v>1084356.1413228398</v>
      </c>
      <c r="K13" s="994">
        <f t="shared" si="0"/>
        <v>0</v>
      </c>
      <c r="L13" s="996">
        <f t="shared" ca="1" si="3"/>
        <v>1084356.1413228398</v>
      </c>
    </row>
    <row r="14" spans="1:13" ht="15.75">
      <c r="A14" s="961">
        <f>'6IWT'!A14</f>
        <v>11</v>
      </c>
      <c r="B14" s="952">
        <f ca="1">'6IWT'!B14</f>
        <v>43</v>
      </c>
      <c r="C14" s="1013"/>
      <c r="D14" s="997">
        <f>'6IWT'!H14</f>
        <v>0</v>
      </c>
      <c r="E14" s="998">
        <f ca="1">'6IWT'!I14</f>
        <v>1189857</v>
      </c>
      <c r="F14" s="885">
        <f ca="1">'6IWT'!J14</f>
        <v>0.1886707066347785</v>
      </c>
      <c r="G14" s="886">
        <f ca="1">'6IWT'!K14</f>
        <v>2.0469858690298492E-2</v>
      </c>
      <c r="H14" s="953">
        <f t="shared" si="1"/>
        <v>1.0699999999999999E-2</v>
      </c>
      <c r="I14" s="999"/>
      <c r="J14" s="998">
        <f t="shared" ca="1" si="2"/>
        <v>1095958.7520349941</v>
      </c>
      <c r="K14" s="997">
        <f t="shared" si="0"/>
        <v>0</v>
      </c>
      <c r="L14" s="1000">
        <f t="shared" ca="1" si="3"/>
        <v>1095958.7520349941</v>
      </c>
    </row>
    <row r="15" spans="1:13" ht="15.75">
      <c r="A15" s="958">
        <f>'6IWT'!A15</f>
        <v>12</v>
      </c>
      <c r="B15" s="944">
        <f ca="1">'6IWT'!B15</f>
        <v>44</v>
      </c>
      <c r="C15" s="1014"/>
      <c r="D15" s="984">
        <f>'6IWT'!H15</f>
        <v>0</v>
      </c>
      <c r="E15" s="983">
        <f ca="1">'6IWT'!I15</f>
        <v>1222047</v>
      </c>
      <c r="F15" s="885">
        <f ca="1">'6IWT'!J15</f>
        <v>0.22082861304418192</v>
      </c>
      <c r="G15" s="886">
        <f ca="1">'6IWT'!K15</f>
        <v>2.1156556097163159E-2</v>
      </c>
      <c r="H15" s="945">
        <f t="shared" si="1"/>
        <v>1.0699999999999999E-2</v>
      </c>
      <c r="I15" s="985"/>
      <c r="J15" s="983">
        <f t="shared" ca="1" si="2"/>
        <v>1107685.5106817684</v>
      </c>
      <c r="K15" s="984">
        <f t="shared" si="0"/>
        <v>0</v>
      </c>
      <c r="L15" s="986">
        <f t="shared" ca="1" si="3"/>
        <v>1107685.5106817684</v>
      </c>
    </row>
    <row r="16" spans="1:13" ht="15.75">
      <c r="A16" s="958">
        <f>'6IWT'!A16</f>
        <v>13</v>
      </c>
      <c r="B16" s="944">
        <f ca="1">'6IWT'!B16</f>
        <v>45</v>
      </c>
      <c r="C16" s="1014"/>
      <c r="D16" s="984">
        <f>'6IWT'!H16</f>
        <v>0</v>
      </c>
      <c r="E16" s="983">
        <f ca="1">'6IWT'!I16</f>
        <v>1255102</v>
      </c>
      <c r="F16" s="885">
        <f ca="1">'6IWT'!J16</f>
        <v>0.25385065704426985</v>
      </c>
      <c r="G16" s="886">
        <f ca="1">'6IWT'!K16</f>
        <v>2.1712992028837697E-2</v>
      </c>
      <c r="H16" s="945">
        <f t="shared" si="1"/>
        <v>1.0699999999999999E-2</v>
      </c>
      <c r="I16" s="985"/>
      <c r="J16" s="983">
        <f t="shared" ca="1" si="2"/>
        <v>1119537.7456460632</v>
      </c>
      <c r="K16" s="984">
        <f t="shared" si="0"/>
        <v>0</v>
      </c>
      <c r="L16" s="986">
        <f t="shared" ca="1" si="3"/>
        <v>1119537.7456460632</v>
      </c>
    </row>
    <row r="17" spans="1:12" ht="15.75">
      <c r="A17" s="958">
        <f>'6IWT'!A17</f>
        <v>14</v>
      </c>
      <c r="B17" s="944">
        <f ca="1">'6IWT'!B17</f>
        <v>46</v>
      </c>
      <c r="C17" s="1014"/>
      <c r="D17" s="984">
        <f>'6IWT'!H17</f>
        <v>0</v>
      </c>
      <c r="E17" s="983">
        <f ca="1">'6IWT'!I17</f>
        <v>1289036</v>
      </c>
      <c r="F17" s="885">
        <f ca="1">'6IWT'!J17</f>
        <v>0.28775082467697238</v>
      </c>
      <c r="G17" s="886">
        <f ca="1">'6IWT'!K17</f>
        <v>2.2172309907734888E-2</v>
      </c>
      <c r="H17" s="945">
        <f t="shared" si="1"/>
        <v>1.0699999999999999E-2</v>
      </c>
      <c r="I17" s="985"/>
      <c r="J17" s="983">
        <f t="shared" ca="1" si="2"/>
        <v>1131516.7995244761</v>
      </c>
      <c r="K17" s="984">
        <f t="shared" si="0"/>
        <v>0</v>
      </c>
      <c r="L17" s="986">
        <f t="shared" ca="1" si="3"/>
        <v>1131516.7995244761</v>
      </c>
    </row>
    <row r="18" spans="1:12" ht="15.75">
      <c r="A18" s="966">
        <f>'6IWT'!A18</f>
        <v>15</v>
      </c>
      <c r="B18" s="967">
        <f ca="1">'6IWT'!B18</f>
        <v>47</v>
      </c>
      <c r="C18" s="1014"/>
      <c r="D18" s="1001">
        <f>'6IWT'!H18</f>
        <v>0</v>
      </c>
      <c r="E18" s="1002">
        <f ca="1">'6IWT'!I18</f>
        <v>1323905</v>
      </c>
      <c r="F18" s="920">
        <f ca="1">'6IWT'!J18</f>
        <v>0.3225850601100102</v>
      </c>
      <c r="G18" s="921">
        <f ca="1">'6IWT'!K18</f>
        <v>2.2559707552536556E-2</v>
      </c>
      <c r="H18" s="968">
        <f t="shared" si="1"/>
        <v>1.0699999999999999E-2</v>
      </c>
      <c r="I18" s="1003"/>
      <c r="J18" s="1002">
        <f t="shared" ca="1" si="2"/>
        <v>1143624.0292793878</v>
      </c>
      <c r="K18" s="1001">
        <f t="shared" si="0"/>
        <v>0</v>
      </c>
      <c r="L18" s="1004">
        <f t="shared" ca="1" si="3"/>
        <v>1143624.0292793878</v>
      </c>
    </row>
    <row r="19" spans="1:12" ht="15.75">
      <c r="A19" s="961">
        <f>'6IWT'!A19</f>
        <v>16</v>
      </c>
      <c r="B19" s="952">
        <f ca="1">'6IWT'!B19</f>
        <v>48</v>
      </c>
      <c r="C19" s="1013"/>
      <c r="D19" s="997">
        <f>'6IWT'!H19</f>
        <v>0</v>
      </c>
      <c r="E19" s="998">
        <f ca="1">'6IWT'!I19</f>
        <v>1359711</v>
      </c>
      <c r="F19" s="885">
        <f ca="1">'6IWT'!J19</f>
        <v>0.35835536134937335</v>
      </c>
      <c r="G19" s="886">
        <f ca="1">'6IWT'!K19</f>
        <v>2.2889731835542992E-2</v>
      </c>
      <c r="H19" s="953">
        <f t="shared" si="1"/>
        <v>1.0699999999999999E-2</v>
      </c>
      <c r="I19" s="999"/>
      <c r="J19" s="998">
        <f t="shared" ca="1" si="2"/>
        <v>1155860.8063926771</v>
      </c>
      <c r="K19" s="997">
        <f t="shared" si="0"/>
        <v>0</v>
      </c>
      <c r="L19" s="1000">
        <f t="shared" ca="1" si="3"/>
        <v>1155860.8063926771</v>
      </c>
    </row>
    <row r="20" spans="1:12" ht="15.75">
      <c r="A20" s="958">
        <f>'6IWT'!A20</f>
        <v>17</v>
      </c>
      <c r="B20" s="944">
        <f ca="1">'6IWT'!B20</f>
        <v>49</v>
      </c>
      <c r="C20" s="1014"/>
      <c r="D20" s="984">
        <f>'6IWT'!H20</f>
        <v>0</v>
      </c>
      <c r="E20" s="983">
        <f ca="1">'6IWT'!I20</f>
        <v>1396513</v>
      </c>
      <c r="F20" s="885">
        <f ca="1">'6IWT'!J20</f>
        <v>0.39512066957176739</v>
      </c>
      <c r="G20" s="886">
        <f ca="1">'6IWT'!K20</f>
        <v>2.317589694662936E-2</v>
      </c>
      <c r="H20" s="945">
        <f t="shared" si="1"/>
        <v>1.0699999999999999E-2</v>
      </c>
      <c r="I20" s="985"/>
      <c r="J20" s="983">
        <f t="shared" ca="1" si="2"/>
        <v>1168228.5170210786</v>
      </c>
      <c r="K20" s="984">
        <f t="shared" si="0"/>
        <v>0</v>
      </c>
      <c r="L20" s="986">
        <f t="shared" ca="1" si="3"/>
        <v>1168228.5170210786</v>
      </c>
    </row>
    <row r="21" spans="1:12" ht="15.75">
      <c r="A21" s="958">
        <f>'6IWT'!A21</f>
        <v>18</v>
      </c>
      <c r="B21" s="944">
        <f ca="1">'6IWT'!B21</f>
        <v>50</v>
      </c>
      <c r="C21" s="1014"/>
      <c r="D21" s="984">
        <f>'6IWT'!H21</f>
        <v>0</v>
      </c>
      <c r="E21" s="983">
        <f ca="1">'6IWT'!I21</f>
        <v>1434290</v>
      </c>
      <c r="F21" s="885">
        <f ca="1">'6IWT'!J21</f>
        <v>0.43286000571429711</v>
      </c>
      <c r="G21" s="886">
        <f ca="1">'6IWT'!K21</f>
        <v>2.3424381676200978E-2</v>
      </c>
      <c r="H21" s="945">
        <f t="shared" si="1"/>
        <v>1.0699999999999999E-2</v>
      </c>
      <c r="I21" s="985"/>
      <c r="J21" s="983">
        <f t="shared" ca="1" si="2"/>
        <v>1180728.5621532041</v>
      </c>
      <c r="K21" s="984">
        <f t="shared" si="0"/>
        <v>0</v>
      </c>
      <c r="L21" s="986">
        <f t="shared" ca="1" si="3"/>
        <v>1180728.5621532041</v>
      </c>
    </row>
    <row r="22" spans="1:12" ht="15.75">
      <c r="A22" s="958">
        <f>'6IWT'!A22</f>
        <v>19</v>
      </c>
      <c r="B22" s="944">
        <f ca="1">'6IWT'!B22</f>
        <v>51</v>
      </c>
      <c r="C22" s="1014"/>
      <c r="D22" s="984">
        <f>'6IWT'!H22</f>
        <v>0</v>
      </c>
      <c r="E22" s="983">
        <f ca="1">'6IWT'!I22</f>
        <v>1473104</v>
      </c>
      <c r="F22" s="885">
        <f ca="1">'6IWT'!J22</f>
        <v>0.47163530796265329</v>
      </c>
      <c r="G22" s="886">
        <f ca="1">'6IWT'!K22</f>
        <v>2.3643543388331967E-2</v>
      </c>
      <c r="H22" s="945">
        <f t="shared" si="1"/>
        <v>1.0699999999999999E-2</v>
      </c>
      <c r="I22" s="985"/>
      <c r="J22" s="983">
        <f t="shared" ca="1" si="2"/>
        <v>1193362.3577682434</v>
      </c>
      <c r="K22" s="984">
        <f t="shared" si="0"/>
        <v>0</v>
      </c>
      <c r="L22" s="986">
        <f t="shared" ca="1" si="3"/>
        <v>1193362.3577682434</v>
      </c>
    </row>
    <row r="23" spans="1:12" ht="15.75">
      <c r="A23" s="969">
        <f>'6IWT'!A23</f>
        <v>20</v>
      </c>
      <c r="B23" s="970">
        <f ca="1">'6IWT'!B23</f>
        <v>52</v>
      </c>
      <c r="C23" s="971"/>
      <c r="D23" s="1005">
        <f>'6IWT'!H23</f>
        <v>0</v>
      </c>
      <c r="E23" s="971">
        <f ca="1">'6IWT'!I23</f>
        <v>1512956</v>
      </c>
      <c r="F23" s="972">
        <f ca="1">'6IWT'!J23</f>
        <v>0.51144757531983076</v>
      </c>
      <c r="G23" s="973">
        <f ca="1">'6IWT'!K23</f>
        <v>2.3837311223803503E-2</v>
      </c>
      <c r="H23" s="974">
        <f t="shared" si="1"/>
        <v>1.0699999999999999E-2</v>
      </c>
      <c r="I23" s="1006"/>
      <c r="J23" s="971">
        <f t="shared" ca="1" si="2"/>
        <v>1206131.3349963636</v>
      </c>
      <c r="K23" s="1005">
        <f t="shared" si="0"/>
        <v>0</v>
      </c>
      <c r="L23" s="1007">
        <f t="shared" ca="1" si="3"/>
        <v>1206131.3349963636</v>
      </c>
    </row>
    <row r="24" spans="1:12" ht="15.75">
      <c r="A24" s="961">
        <f>'6IWT'!A24</f>
        <v>21</v>
      </c>
      <c r="B24" s="952">
        <f ca="1">'6IWT'!B24</f>
        <v>53</v>
      </c>
      <c r="C24" s="1013"/>
      <c r="D24" s="997">
        <f>'6IWT'!H24</f>
        <v>0</v>
      </c>
      <c r="E24" s="998">
        <f ca="1">'6IWT'!I24</f>
        <v>1553871</v>
      </c>
      <c r="F24" s="1015">
        <f ca="1">'6IWT'!J24</f>
        <v>0.55232178286070499</v>
      </c>
      <c r="G24" s="1016">
        <f ca="1">'6IWT'!K24</f>
        <v>2.400969789704499E-2</v>
      </c>
      <c r="H24" s="953">
        <f t="shared" si="1"/>
        <v>1.0699999999999999E-2</v>
      </c>
      <c r="I24" s="999"/>
      <c r="J24" s="998">
        <f t="shared" ca="1" si="2"/>
        <v>1219036.9402808247</v>
      </c>
      <c r="K24" s="997">
        <f t="shared" si="0"/>
        <v>0</v>
      </c>
      <c r="L24" s="1000">
        <f t="shared" ca="1" si="3"/>
        <v>1219036.9402808247</v>
      </c>
    </row>
    <row r="25" spans="1:12" ht="15.75">
      <c r="A25" s="958">
        <f>'6IWT'!A25</f>
        <v>22</v>
      </c>
      <c r="B25" s="944">
        <f ca="1">'6IWT'!B25</f>
        <v>54</v>
      </c>
      <c r="C25" s="1014"/>
      <c r="D25" s="984">
        <f>'6IWT'!H25</f>
        <v>0</v>
      </c>
      <c r="E25" s="983">
        <f ca="1">'6IWT'!I25</f>
        <v>1595936</v>
      </c>
      <c r="F25" s="885">
        <f ca="1">'6IWT'!J25</f>
        <v>0.59434484384584185</v>
      </c>
      <c r="G25" s="886">
        <f ca="1">'6IWT'!K25</f>
        <v>2.4165914749610051E-2</v>
      </c>
      <c r="H25" s="945">
        <f t="shared" si="1"/>
        <v>1.0699999999999999E-2</v>
      </c>
      <c r="I25" s="985"/>
      <c r="J25" s="983">
        <f t="shared" ca="1" si="2"/>
        <v>1232080.6355418295</v>
      </c>
      <c r="K25" s="984">
        <f t="shared" si="0"/>
        <v>0</v>
      </c>
      <c r="L25" s="986">
        <f t="shared" ca="1" si="3"/>
        <v>1232080.6355418295</v>
      </c>
    </row>
    <row r="26" spans="1:12" ht="15.75">
      <c r="A26" s="958">
        <f>'6IWT'!A26</f>
        <v>23</v>
      </c>
      <c r="B26" s="944">
        <f ca="1">'6IWT'!B26</f>
        <v>55</v>
      </c>
      <c r="C26" s="1014"/>
      <c r="D26" s="984">
        <f>'6IWT'!H26</f>
        <v>0</v>
      </c>
      <c r="E26" s="983">
        <f ca="1">'6IWT'!I26</f>
        <v>1639116</v>
      </c>
      <c r="F26" s="885">
        <f ca="1">'6IWT'!J26</f>
        <v>0.63748179317041598</v>
      </c>
      <c r="G26" s="886">
        <f ca="1">'6IWT'!K26</f>
        <v>2.4306238531377478E-2</v>
      </c>
      <c r="H26" s="945">
        <f t="shared" si="1"/>
        <v>1.0699999999999999E-2</v>
      </c>
      <c r="I26" s="985"/>
      <c r="J26" s="983">
        <f t="shared" ca="1" si="2"/>
        <v>1245263.898342127</v>
      </c>
      <c r="K26" s="984">
        <f t="shared" si="0"/>
        <v>0</v>
      </c>
      <c r="L26" s="986">
        <f t="shared" ca="1" si="3"/>
        <v>1245263.898342127</v>
      </c>
    </row>
    <row r="27" spans="1:12" ht="15.75">
      <c r="A27" s="958">
        <f>'6IWT'!A27</f>
        <v>24</v>
      </c>
      <c r="B27" s="944">
        <f ca="1">'6IWT'!B27</f>
        <v>56</v>
      </c>
      <c r="C27" s="1014"/>
      <c r="D27" s="984">
        <f>'6IWT'!H27</f>
        <v>0</v>
      </c>
      <c r="E27" s="983">
        <f ca="1">'6IWT'!I27</f>
        <v>1683474</v>
      </c>
      <c r="F27" s="885">
        <f ca="1">'6IWT'!J27</f>
        <v>0.68179556802311292</v>
      </c>
      <c r="G27" s="886">
        <f ca="1">'6IWT'!K27</f>
        <v>2.4433839574151905E-2</v>
      </c>
      <c r="H27" s="945">
        <f t="shared" si="1"/>
        <v>1.0699999999999999E-2</v>
      </c>
      <c r="I27" s="985"/>
      <c r="J27" s="983">
        <f t="shared" ca="1" si="2"/>
        <v>1258588.2220543877</v>
      </c>
      <c r="K27" s="984">
        <f t="shared" si="0"/>
        <v>0</v>
      </c>
      <c r="L27" s="986">
        <f t="shared" ca="1" si="3"/>
        <v>1258588.2220543877</v>
      </c>
    </row>
    <row r="28" spans="1:12" ht="15.75">
      <c r="A28" s="966">
        <f>'6IWT'!A28</f>
        <v>25</v>
      </c>
      <c r="B28" s="967">
        <f ca="1">'6IWT'!B28</f>
        <v>57</v>
      </c>
      <c r="C28" s="1014"/>
      <c r="D28" s="1001">
        <f>'6IWT'!H28</f>
        <v>0</v>
      </c>
      <c r="E28" s="1002">
        <f ca="1">'6IWT'!I28</f>
        <v>1729042</v>
      </c>
      <c r="F28" s="920">
        <f ca="1">'6IWT'!J28</f>
        <v>0.72731813649977317</v>
      </c>
      <c r="G28" s="921">
        <f ca="1">'6IWT'!K28</f>
        <v>2.4550397072515606E-2</v>
      </c>
      <c r="H28" s="968">
        <f t="shared" si="1"/>
        <v>1.0699999999999999E-2</v>
      </c>
      <c r="I28" s="1003"/>
      <c r="J28" s="1002">
        <f t="shared" ca="1" si="2"/>
        <v>1272055.1160303697</v>
      </c>
      <c r="K28" s="1001">
        <f t="shared" si="0"/>
        <v>0</v>
      </c>
      <c r="L28" s="1004">
        <f t="shared" ca="1" si="3"/>
        <v>1272055.1160303697</v>
      </c>
    </row>
    <row r="29" spans="1:12" ht="15.75" hidden="1">
      <c r="A29" s="958">
        <f>'6IWT'!A29</f>
        <v>26</v>
      </c>
      <c r="B29" s="944">
        <f ca="1">'6IWT'!B29</f>
        <v>58</v>
      </c>
      <c r="C29" s="1014"/>
      <c r="D29" s="984">
        <f>'6IWT'!H29</f>
        <v>0</v>
      </c>
      <c r="E29" s="983">
        <f ca="1">'6IWT'!I29</f>
        <v>1775807</v>
      </c>
      <c r="F29" s="885">
        <f ca="1">'6IWT'!J29</f>
        <v>0.77403651156146169</v>
      </c>
      <c r="G29" s="886">
        <f ca="1">'6IWT'!K29</f>
        <v>2.4656182945459681E-2</v>
      </c>
      <c r="H29" s="945">
        <f t="shared" si="1"/>
        <v>1.0699999999999999E-2</v>
      </c>
      <c r="I29" s="985"/>
      <c r="J29" s="983">
        <f t="shared" ca="1" si="2"/>
        <v>1285666.1057718946</v>
      </c>
      <c r="K29" s="984">
        <f t="shared" si="0"/>
        <v>0</v>
      </c>
      <c r="L29" s="986">
        <f t="shared" ca="1" si="3"/>
        <v>1285666.1057718946</v>
      </c>
    </row>
    <row r="30" spans="1:12" ht="15.75" hidden="1">
      <c r="A30" s="958">
        <f>'6IWT'!A30</f>
        <v>27</v>
      </c>
      <c r="B30" s="944">
        <f ca="1">'6IWT'!B30</f>
        <v>59</v>
      </c>
      <c r="C30" s="1014"/>
      <c r="D30" s="984">
        <f>'6IWT'!H30</f>
        <v>0</v>
      </c>
      <c r="E30" s="983">
        <f ca="1">'6IWT'!I30</f>
        <v>1823877</v>
      </c>
      <c r="F30" s="885">
        <f ca="1">'6IWT'!J30</f>
        <v>0.82205858553163946</v>
      </c>
      <c r="G30" s="886">
        <f ca="1">'6IWT'!K30</f>
        <v>2.4754284898072632E-2</v>
      </c>
      <c r="H30" s="945">
        <f t="shared" si="1"/>
        <v>1.0699999999999999E-2</v>
      </c>
      <c r="I30" s="985"/>
      <c r="J30" s="983">
        <f t="shared" ca="1" si="2"/>
        <v>1299422.7331036536</v>
      </c>
      <c r="K30" s="984">
        <f t="shared" si="0"/>
        <v>0</v>
      </c>
      <c r="L30" s="986">
        <f t="shared" ca="1" si="3"/>
        <v>1299422.7331036536</v>
      </c>
    </row>
    <row r="31" spans="1:12" ht="15.75" hidden="1">
      <c r="A31" s="958">
        <f>'6IWT'!A31</f>
        <v>28</v>
      </c>
      <c r="B31" s="944">
        <f ca="1">'6IWT'!B31</f>
        <v>60</v>
      </c>
      <c r="C31" s="1014"/>
      <c r="D31" s="984">
        <f>'6IWT'!H31</f>
        <v>0</v>
      </c>
      <c r="E31" s="983">
        <f ca="1">'6IWT'!I31</f>
        <v>1873241</v>
      </c>
      <c r="F31" s="885">
        <f ca="1">'6IWT'!J31</f>
        <v>0.87137336937736143</v>
      </c>
      <c r="G31" s="886">
        <f ca="1">'6IWT'!K31</f>
        <v>2.4844566779439026E-2</v>
      </c>
      <c r="H31" s="945">
        <f t="shared" si="1"/>
        <v>1.0699999999999999E-2</v>
      </c>
      <c r="I31" s="985"/>
      <c r="J31" s="983">
        <f t="shared" ca="1" si="2"/>
        <v>1313326.5563478626</v>
      </c>
      <c r="K31" s="984">
        <f t="shared" si="0"/>
        <v>0</v>
      </c>
      <c r="L31" s="986">
        <f t="shared" ca="1" si="3"/>
        <v>1313326.5563478626</v>
      </c>
    </row>
    <row r="32" spans="1:12" ht="15.75" hidden="1">
      <c r="A32" s="958">
        <f>'6IWT'!A32</f>
        <v>29</v>
      </c>
      <c r="B32" s="944">
        <f ca="1">'6IWT'!B32</f>
        <v>61</v>
      </c>
      <c r="C32" s="1014"/>
      <c r="D32" s="984">
        <f>'6IWT'!H32</f>
        <v>0</v>
      </c>
      <c r="E32" s="983">
        <f ca="1">'6IWT'!I32</f>
        <v>1923938</v>
      </c>
      <c r="F32" s="885">
        <f ca="1">'6IWT'!J32</f>
        <v>0.92201982421543305</v>
      </c>
      <c r="G32" s="886">
        <f ca="1">'6IWT'!K32</f>
        <v>2.4927998253528205E-2</v>
      </c>
      <c r="H32" s="945">
        <f t="shared" si="1"/>
        <v>1.0699999999999999E-2</v>
      </c>
      <c r="I32" s="985"/>
      <c r="J32" s="983">
        <f t="shared" ca="1" si="2"/>
        <v>1327379.1505007846</v>
      </c>
      <c r="K32" s="984">
        <f t="shared" si="0"/>
        <v>0</v>
      </c>
      <c r="L32" s="986">
        <f t="shared" ca="1" si="3"/>
        <v>1327379.1505007846</v>
      </c>
    </row>
    <row r="33" spans="1:12" ht="15.75">
      <c r="A33" s="960">
        <f>'6IWT'!A33</f>
        <v>30</v>
      </c>
      <c r="B33" s="949">
        <f ca="1">'6IWT'!B33</f>
        <v>62</v>
      </c>
      <c r="C33" s="1017"/>
      <c r="D33" s="994">
        <f>'6IWT'!H33</f>
        <v>0</v>
      </c>
      <c r="E33" s="950">
        <f ca="1">'6IWT'!I33</f>
        <v>1976026</v>
      </c>
      <c r="F33" s="894">
        <f ca="1">'6IWT'!J33</f>
        <v>0.9740558922195649</v>
      </c>
      <c r="G33" s="895">
        <f ca="1">'6IWT'!K33</f>
        <v>2.5005739644609282E-2</v>
      </c>
      <c r="H33" s="951">
        <f t="shared" si="1"/>
        <v>1.0699999999999999E-2</v>
      </c>
      <c r="I33" s="995"/>
      <c r="J33" s="950">
        <f t="shared" ca="1" si="2"/>
        <v>1341582.1074111429</v>
      </c>
      <c r="K33" s="994">
        <f t="shared" si="0"/>
        <v>0</v>
      </c>
      <c r="L33" s="996">
        <f t="shared" ca="1" si="3"/>
        <v>1341582.1074111429</v>
      </c>
    </row>
    <row r="34" spans="1:12" ht="15.75" hidden="1">
      <c r="A34" s="958">
        <f>'6IWT'!A34</f>
        <v>31</v>
      </c>
      <c r="B34" s="944">
        <f ca="1">'6IWT'!B34</f>
        <v>63</v>
      </c>
      <c r="C34" s="1014"/>
      <c r="D34" s="984">
        <f>'6IWT'!H34</f>
        <v>0</v>
      </c>
      <c r="E34" s="983">
        <f ca="1">'6IWT'!I34</f>
        <v>2029519</v>
      </c>
      <c r="F34" s="885">
        <f ca="1">'6IWT'!J34</f>
        <v>1.0274955594316872</v>
      </c>
      <c r="G34" s="886">
        <f ca="1">'6IWT'!K34</f>
        <v>2.5077951851993241E-2</v>
      </c>
      <c r="H34" s="945">
        <f t="shared" si="1"/>
        <v>1.0699999999999999E-2</v>
      </c>
      <c r="I34" s="985"/>
      <c r="J34" s="983">
        <f t="shared" ca="1" si="2"/>
        <v>1355937.0359604422</v>
      </c>
      <c r="K34" s="984">
        <f t="shared" si="0"/>
        <v>0</v>
      </c>
      <c r="L34" s="986">
        <f t="shared" ca="1" si="3"/>
        <v>1355937.0359604422</v>
      </c>
    </row>
    <row r="35" spans="1:12" ht="15.75" hidden="1">
      <c r="A35" s="958">
        <f>'6IWT'!A35</f>
        <v>32</v>
      </c>
      <c r="B35" s="944">
        <f ca="1">'6IWT'!B35</f>
        <v>64</v>
      </c>
      <c r="C35" s="1014"/>
      <c r="D35" s="984">
        <f>'6IWT'!H35</f>
        <v>0</v>
      </c>
      <c r="E35" s="983">
        <f ca="1">'6IWT'!I35</f>
        <v>2084465</v>
      </c>
      <c r="F35" s="885">
        <f ca="1">'6IWT'!J35</f>
        <v>1.0823867779955605</v>
      </c>
      <c r="G35" s="886">
        <f ca="1">'6IWT'!K35</f>
        <v>2.5145365725770308E-2</v>
      </c>
      <c r="H35" s="945">
        <f t="shared" si="1"/>
        <v>1.0699999999999999E-2</v>
      </c>
      <c r="I35" s="985"/>
      <c r="J35" s="983">
        <f t="shared" ca="1" si="2"/>
        <v>1370445.5622452188</v>
      </c>
      <c r="K35" s="984">
        <f t="shared" si="0"/>
        <v>0</v>
      </c>
      <c r="L35" s="986">
        <f t="shared" ca="1" si="3"/>
        <v>1370445.5622452188</v>
      </c>
    </row>
    <row r="36" spans="1:12" ht="15.75" hidden="1">
      <c r="A36" s="958">
        <f>'6IWT'!A36</f>
        <v>33</v>
      </c>
      <c r="B36" s="944">
        <f ca="1">'6IWT'!B36</f>
        <v>65</v>
      </c>
      <c r="C36" s="1014"/>
      <c r="D36" s="984">
        <f>'6IWT'!H36</f>
        <v>0</v>
      </c>
      <c r="E36" s="983">
        <f ca="1">'6IWT'!I36</f>
        <v>2140879</v>
      </c>
      <c r="F36" s="885">
        <f ca="1">'6IWT'!J36</f>
        <v>1.1387445329561099</v>
      </c>
      <c r="G36" s="886">
        <f ca="1">'6IWT'!K36</f>
        <v>2.5208066479199154E-2</v>
      </c>
      <c r="H36" s="945">
        <f t="shared" si="1"/>
        <v>1.0699999999999999E-2</v>
      </c>
      <c r="I36" s="985"/>
      <c r="J36" s="983">
        <f t="shared" ca="1" si="2"/>
        <v>1385109.3297612425</v>
      </c>
      <c r="K36" s="984">
        <f t="shared" si="0"/>
        <v>0</v>
      </c>
      <c r="L36" s="986">
        <f t="shared" ca="1" si="3"/>
        <v>1385109.3297612425</v>
      </c>
    </row>
    <row r="37" spans="1:12" ht="15.75" hidden="1">
      <c r="A37" s="958">
        <f>'6IWT'!A37</f>
        <v>34</v>
      </c>
      <c r="B37" s="944">
        <f ca="1">'6IWT'!B37</f>
        <v>66</v>
      </c>
      <c r="C37" s="1014"/>
      <c r="D37" s="984">
        <f>'6IWT'!H37</f>
        <v>0</v>
      </c>
      <c r="E37" s="983">
        <f ca="1">'6IWT'!I37</f>
        <v>2198858</v>
      </c>
      <c r="F37" s="885">
        <f ca="1">'6IWT'!J37</f>
        <v>1.1966657276038513</v>
      </c>
      <c r="G37" s="886">
        <f ca="1">'6IWT'!K37</f>
        <v>2.5267362834798579E-2</v>
      </c>
      <c r="H37" s="945">
        <f t="shared" si="1"/>
        <v>1.0699999999999999E-2</v>
      </c>
      <c r="I37" s="985"/>
      <c r="J37" s="983">
        <f t="shared" ca="1" si="2"/>
        <v>1399929.9995896877</v>
      </c>
      <c r="K37" s="984">
        <f t="shared" si="0"/>
        <v>0</v>
      </c>
      <c r="L37" s="986">
        <f t="shared" ca="1" si="3"/>
        <v>1399929.9995896877</v>
      </c>
    </row>
    <row r="38" spans="1:12" ht="15.75">
      <c r="A38" s="966">
        <f>'6IWT'!A38</f>
        <v>35</v>
      </c>
      <c r="B38" s="967">
        <f ca="1">'6IWT'!B38</f>
        <v>67</v>
      </c>
      <c r="C38" s="1014"/>
      <c r="D38" s="1001">
        <f>'6IWT'!H38</f>
        <v>0</v>
      </c>
      <c r="E38" s="1002">
        <f ca="1">'6IWT'!I38</f>
        <v>2258422</v>
      </c>
      <c r="F38" s="920">
        <f ca="1">'6IWT'!J38</f>
        <v>1.2561703419986854</v>
      </c>
      <c r="G38" s="921">
        <f ca="1">'6IWT'!K38</f>
        <v>2.5323227733177633E-2</v>
      </c>
      <c r="H38" s="968">
        <f t="shared" si="1"/>
        <v>1.0699999999999999E-2</v>
      </c>
      <c r="I38" s="1003"/>
      <c r="J38" s="1002">
        <f t="shared" ca="1" si="2"/>
        <v>1414909.2505852974</v>
      </c>
      <c r="K38" s="1001">
        <f t="shared" si="0"/>
        <v>0</v>
      </c>
      <c r="L38" s="1004">
        <f t="shared" ca="1" si="3"/>
        <v>1414909.2505852974</v>
      </c>
    </row>
    <row r="39" spans="1:12" ht="15.75" hidden="1">
      <c r="A39" s="958">
        <f>'6IWT'!A39</f>
        <v>36</v>
      </c>
      <c r="B39" s="944">
        <f ca="1">'6IWT'!B39</f>
        <v>68</v>
      </c>
      <c r="C39" s="1014"/>
      <c r="D39" s="984">
        <f>'6IWT'!H39</f>
        <v>0</v>
      </c>
      <c r="E39" s="983">
        <f ca="1">'6IWT'!I39</f>
        <v>2319543</v>
      </c>
      <c r="F39" s="885">
        <f ca="1">'6IWT'!J39</f>
        <v>1.3172304040567513</v>
      </c>
      <c r="G39" s="886">
        <f ca="1">'6IWT'!K39</f>
        <v>2.537502317825302E-2</v>
      </c>
      <c r="H39" s="945">
        <f t="shared" si="1"/>
        <v>1.0699999999999999E-2</v>
      </c>
      <c r="I39" s="985"/>
      <c r="J39" s="983">
        <f t="shared" ca="1" si="2"/>
        <v>1430048.7795665599</v>
      </c>
      <c r="K39" s="984">
        <f t="shared" si="0"/>
        <v>0</v>
      </c>
      <c r="L39" s="986">
        <f t="shared" ca="1" si="3"/>
        <v>1430048.7795665599</v>
      </c>
    </row>
    <row r="40" spans="1:12" ht="15.75" hidden="1">
      <c r="A40" s="958">
        <f>'6IWT'!A40</f>
        <v>37</v>
      </c>
      <c r="B40" s="944">
        <f ca="1">'6IWT'!B40</f>
        <v>69</v>
      </c>
      <c r="C40" s="1014"/>
      <c r="D40" s="984">
        <f>'6IWT'!H40</f>
        <v>0</v>
      </c>
      <c r="E40" s="983">
        <f ca="1">'6IWT'!I40</f>
        <v>2382348</v>
      </c>
      <c r="F40" s="885">
        <f ca="1">'6IWT'!J40</f>
        <v>1.379972787158416</v>
      </c>
      <c r="G40" s="886">
        <f ca="1">'6IWT'!K40</f>
        <v>2.5424196101897056E-2</v>
      </c>
      <c r="H40" s="945">
        <f t="shared" si="1"/>
        <v>1.0699999999999999E-2</v>
      </c>
      <c r="I40" s="985"/>
      <c r="J40" s="983">
        <f t="shared" ca="1" si="2"/>
        <v>1445350.3015079221</v>
      </c>
      <c r="K40" s="984">
        <f t="shared" si="0"/>
        <v>0</v>
      </c>
      <c r="L40" s="986">
        <f t="shared" ca="1" si="3"/>
        <v>1445350.3015079221</v>
      </c>
    </row>
    <row r="41" spans="1:12" ht="15.75" hidden="1">
      <c r="A41" s="958">
        <f>'6IWT'!A41</f>
        <v>38</v>
      </c>
      <c r="B41" s="944">
        <f ca="1">'6IWT'!B41</f>
        <v>70</v>
      </c>
      <c r="C41" s="1014"/>
      <c r="D41" s="984">
        <f>'6IWT'!H41</f>
        <v>0</v>
      </c>
      <c r="E41" s="983">
        <f ca="1">'6IWT'!I41</f>
        <v>2446867</v>
      </c>
      <c r="F41" s="885">
        <f ca="1">'6IWT'!J41</f>
        <v>1.4444274613935293</v>
      </c>
      <c r="G41" s="886">
        <f ca="1">'6IWT'!K41</f>
        <v>2.5470765014528052E-2</v>
      </c>
      <c r="H41" s="945">
        <f t="shared" si="1"/>
        <v>1.0699999999999999E-2</v>
      </c>
      <c r="I41" s="985"/>
      <c r="J41" s="983">
        <f t="shared" ca="1" si="2"/>
        <v>1460815.5497340567</v>
      </c>
      <c r="K41" s="984">
        <f t="shared" si="0"/>
        <v>0</v>
      </c>
      <c r="L41" s="986">
        <f t="shared" ca="1" si="3"/>
        <v>1460815.5497340567</v>
      </c>
    </row>
    <row r="42" spans="1:12" ht="15.75" hidden="1">
      <c r="A42" s="958">
        <f>'6IWT'!A42</f>
        <v>39</v>
      </c>
      <c r="B42" s="944">
        <f ca="1">'6IWT'!B42</f>
        <v>71</v>
      </c>
      <c r="C42" s="1014"/>
      <c r="D42" s="984">
        <f>'6IWT'!H42</f>
        <v>0</v>
      </c>
      <c r="E42" s="983">
        <f ca="1">'6IWT'!I42</f>
        <v>2513132</v>
      </c>
      <c r="F42" s="885">
        <f ca="1">'6IWT'!J42</f>
        <v>1.5106263948579317</v>
      </c>
      <c r="G42" s="886">
        <f ca="1">'6IWT'!K42</f>
        <v>2.5514774487057634E-2</v>
      </c>
      <c r="H42" s="945">
        <f t="shared" si="1"/>
        <v>1.0699999999999999E-2</v>
      </c>
      <c r="I42" s="985"/>
      <c r="J42" s="983">
        <f t="shared" ca="1" si="2"/>
        <v>1476446.276116211</v>
      </c>
      <c r="K42" s="984">
        <f t="shared" si="0"/>
        <v>0</v>
      </c>
      <c r="L42" s="986">
        <f t="shared" ca="1" si="3"/>
        <v>1476446.276116211</v>
      </c>
    </row>
    <row r="43" spans="1:12" ht="15.75">
      <c r="A43" s="960">
        <f>'6IWT'!A43</f>
        <v>40</v>
      </c>
      <c r="B43" s="949">
        <f ca="1">'6IWT'!B43</f>
        <v>72</v>
      </c>
      <c r="C43" s="1017"/>
      <c r="D43" s="994">
        <f>'6IWT'!H43</f>
        <v>0</v>
      </c>
      <c r="E43" s="950">
        <f ca="1">'6IWT'!I43</f>
        <v>2581173</v>
      </c>
      <c r="F43" s="894">
        <f ca="1">'6IWT'!J43</f>
        <v>1.5785995576414737</v>
      </c>
      <c r="G43" s="895">
        <f ca="1">'6IWT'!K43</f>
        <v>2.5556246713603681E-2</v>
      </c>
      <c r="H43" s="951">
        <f t="shared" si="1"/>
        <v>1.0699999999999999E-2</v>
      </c>
      <c r="I43" s="995"/>
      <c r="J43" s="950">
        <f t="shared" ca="1" si="2"/>
        <v>1492244.2512706544</v>
      </c>
      <c r="K43" s="994">
        <f t="shared" si="0"/>
        <v>0</v>
      </c>
      <c r="L43" s="996">
        <f t="shared" ca="1" si="3"/>
        <v>1492244.2512706544</v>
      </c>
    </row>
    <row r="44" spans="1:12" ht="15.75" hidden="1">
      <c r="A44" s="958">
        <f>'6IWT'!A44</f>
        <v>41</v>
      </c>
      <c r="B44" s="944">
        <f ca="1">'6IWT'!B44</f>
        <v>73</v>
      </c>
      <c r="C44" s="1014"/>
      <c r="D44" s="984">
        <f>'6IWT'!H44</f>
        <v>0</v>
      </c>
      <c r="E44" s="983">
        <f ca="1">'6IWT'!I44</f>
        <v>2651060</v>
      </c>
      <c r="F44" s="885">
        <f ca="1">'6IWT'!J44</f>
        <v>1.6484168799538061</v>
      </c>
      <c r="G44" s="886">
        <f ca="1">'6IWT'!K44</f>
        <v>2.5595608642893675E-2</v>
      </c>
      <c r="H44" s="945">
        <f t="shared" si="1"/>
        <v>1.0699999999999999E-2</v>
      </c>
      <c r="I44" s="985"/>
      <c r="J44" s="983">
        <f t="shared" ca="1" si="2"/>
        <v>1508211.2647592502</v>
      </c>
      <c r="K44" s="984">
        <f t="shared" si="0"/>
        <v>0</v>
      </c>
      <c r="L44" s="986">
        <f t="shared" ca="1" si="3"/>
        <v>1508211.2647592502</v>
      </c>
    </row>
    <row r="45" spans="1:12" ht="15.75" hidden="1">
      <c r="A45" s="958">
        <f>'6IWT'!A45</f>
        <v>42</v>
      </c>
      <c r="B45" s="944">
        <f ca="1">'6IWT'!B45</f>
        <v>74</v>
      </c>
      <c r="C45" s="1014"/>
      <c r="D45" s="984">
        <f>'6IWT'!H45</f>
        <v>0</v>
      </c>
      <c r="E45" s="983">
        <f ca="1">'6IWT'!I45</f>
        <v>2722861</v>
      </c>
      <c r="F45" s="885">
        <f ca="1">'6IWT'!J45</f>
        <v>1.7201462939985894</v>
      </c>
      <c r="G45" s="886">
        <f ca="1">'6IWT'!K45</f>
        <v>2.5633189707490622E-2</v>
      </c>
      <c r="H45" s="945">
        <f t="shared" si="1"/>
        <v>1.0699999999999999E-2</v>
      </c>
      <c r="I45" s="985"/>
      <c r="J45" s="983">
        <f t="shared" ca="1" si="2"/>
        <v>1524349.1252921741</v>
      </c>
      <c r="K45" s="984">
        <f t="shared" si="0"/>
        <v>0</v>
      </c>
      <c r="L45" s="986">
        <f t="shared" ca="1" si="3"/>
        <v>1524349.1252921741</v>
      </c>
    </row>
    <row r="46" spans="1:12" ht="15.75" hidden="1">
      <c r="A46" s="958">
        <f>'6IWT'!A46</f>
        <v>43</v>
      </c>
      <c r="B46" s="944">
        <f ca="1">'6IWT'!B46</f>
        <v>75</v>
      </c>
      <c r="C46" s="1014"/>
      <c r="D46" s="984">
        <f>'6IWT'!H46</f>
        <v>0</v>
      </c>
      <c r="E46" s="983">
        <f ca="1">'6IWT'!I46</f>
        <v>2796411</v>
      </c>
      <c r="F46" s="885">
        <f ca="1">'6IWT'!J46</f>
        <v>1.793622964281647</v>
      </c>
      <c r="G46" s="886">
        <f ca="1">'6IWT'!K46</f>
        <v>2.5667150899534752E-2</v>
      </c>
      <c r="H46" s="945">
        <f t="shared" si="1"/>
        <v>1.0699999999999999E-2</v>
      </c>
      <c r="I46" s="985"/>
      <c r="J46" s="983">
        <f t="shared" ca="1" si="2"/>
        <v>1540659.6609328003</v>
      </c>
      <c r="K46" s="984">
        <f t="shared" si="0"/>
        <v>0</v>
      </c>
      <c r="L46" s="986">
        <f t="shared" ca="1" si="3"/>
        <v>1540659.6609328003</v>
      </c>
    </row>
    <row r="47" spans="1:12" ht="15.75" hidden="1">
      <c r="A47" s="958">
        <f>'6IWT'!A47</f>
        <v>44</v>
      </c>
      <c r="B47" s="944">
        <f ca="1">'6IWT'!B47</f>
        <v>76</v>
      </c>
      <c r="C47" s="1014"/>
      <c r="D47" s="984">
        <f>'6IWT'!H47</f>
        <v>0</v>
      </c>
      <c r="E47" s="983">
        <f ca="1">'6IWT'!I47</f>
        <v>2871621</v>
      </c>
      <c r="F47" s="885">
        <f ca="1">'6IWT'!J47</f>
        <v>1.8687579795364226</v>
      </c>
      <c r="G47" s="886">
        <f ca="1">'6IWT'!K47</f>
        <v>2.5696672292343958E-2</v>
      </c>
      <c r="H47" s="945">
        <f t="shared" si="1"/>
        <v>1.0699999999999999E-2</v>
      </c>
      <c r="I47" s="985"/>
      <c r="J47" s="983">
        <f t="shared" ca="1" si="2"/>
        <v>1557144.7193047812</v>
      </c>
      <c r="K47" s="984">
        <f t="shared" si="0"/>
        <v>0</v>
      </c>
      <c r="L47" s="986">
        <f t="shared" ca="1" si="3"/>
        <v>1557144.7193047812</v>
      </c>
    </row>
    <row r="48" spans="1:12" ht="15.75">
      <c r="A48" s="966">
        <f>'6IWT'!A48</f>
        <v>45</v>
      </c>
      <c r="B48" s="967">
        <f ca="1">'6IWT'!B48</f>
        <v>77</v>
      </c>
      <c r="C48" s="1014"/>
      <c r="D48" s="1001">
        <f>'6IWT'!H48</f>
        <v>0</v>
      </c>
      <c r="E48" s="1002">
        <f ca="1">'6IWT'!I48</f>
        <v>2948535</v>
      </c>
      <c r="F48" s="920">
        <f ca="1">'6IWT'!J48</f>
        <v>1.9455952958946972</v>
      </c>
      <c r="G48" s="921">
        <f ca="1">'6IWT'!K48</f>
        <v>2.5722202900506863E-2</v>
      </c>
      <c r="H48" s="968">
        <f t="shared" si="1"/>
        <v>1.0699999999999999E-2</v>
      </c>
      <c r="I48" s="1003"/>
      <c r="J48" s="1002">
        <f t="shared" ca="1" si="2"/>
        <v>1573806.1678013422</v>
      </c>
      <c r="K48" s="1001">
        <f t="shared" si="0"/>
        <v>0</v>
      </c>
      <c r="L48" s="1004">
        <f t="shared" ca="1" si="3"/>
        <v>1573806.1678013422</v>
      </c>
    </row>
    <row r="49" spans="1:12" ht="15.75" hidden="1">
      <c r="A49" s="958">
        <f>'6IWT'!A49</f>
        <v>46</v>
      </c>
      <c r="B49" s="944">
        <f ca="1">'6IWT'!B49</f>
        <v>78</v>
      </c>
      <c r="C49" s="1014"/>
      <c r="D49" s="984">
        <f>'6IWT'!H49</f>
        <v>0</v>
      </c>
      <c r="E49" s="983">
        <f ca="1">'6IWT'!I49</f>
        <v>3027189</v>
      </c>
      <c r="F49" s="885">
        <f ca="1">'6IWT'!J49</f>
        <v>2.0241708774642908</v>
      </c>
      <c r="G49" s="886">
        <f ca="1">'6IWT'!K49</f>
        <v>2.5744073351489094E-2</v>
      </c>
      <c r="H49" s="945">
        <f t="shared" si="1"/>
        <v>1.0699999999999999E-2</v>
      </c>
      <c r="I49" s="985"/>
      <c r="J49" s="983">
        <f t="shared" ca="1" si="2"/>
        <v>1590645.8937968165</v>
      </c>
      <c r="K49" s="984">
        <f t="shared" si="0"/>
        <v>0</v>
      </c>
      <c r="L49" s="986">
        <f t="shared" ca="1" si="3"/>
        <v>1590645.8937968165</v>
      </c>
    </row>
    <row r="50" spans="1:12" ht="15.75" hidden="1">
      <c r="A50" s="958">
        <f>'6IWT'!A50</f>
        <v>47</v>
      </c>
      <c r="B50" s="944">
        <f ca="1">'6IWT'!B50</f>
        <v>79</v>
      </c>
      <c r="C50" s="1014"/>
      <c r="D50" s="984">
        <f>'6IWT'!H50</f>
        <v>0</v>
      </c>
      <c r="E50" s="983">
        <f ca="1">'6IWT'!I50</f>
        <v>3107674</v>
      </c>
      <c r="F50" s="885">
        <f ca="1">'6IWT'!J50</f>
        <v>2.1045756335177495</v>
      </c>
      <c r="G50" s="886">
        <f ca="1">'6IWT'!K50</f>
        <v>2.5762984766316555E-2</v>
      </c>
      <c r="H50" s="945">
        <f t="shared" si="1"/>
        <v>1.0699999999999999E-2</v>
      </c>
      <c r="I50" s="985"/>
      <c r="J50" s="983">
        <f t="shared" ca="1" si="2"/>
        <v>1607665.8048604424</v>
      </c>
      <c r="K50" s="984">
        <f t="shared" si="0"/>
        <v>0</v>
      </c>
      <c r="L50" s="986">
        <f t="shared" ca="1" si="3"/>
        <v>1607665.8048604424</v>
      </c>
    </row>
    <row r="51" spans="1:12" ht="15.75" hidden="1">
      <c r="A51" s="958">
        <f>'6IWT'!A51</f>
        <v>48</v>
      </c>
      <c r="B51" s="944">
        <f ca="1">'6IWT'!B51</f>
        <v>80</v>
      </c>
      <c r="C51" s="1014"/>
      <c r="D51" s="984">
        <f>'6IWT'!H51</f>
        <v>0</v>
      </c>
      <c r="E51" s="983">
        <f ca="1">'6IWT'!I51</f>
        <v>3189883</v>
      </c>
      <c r="F51" s="885">
        <f ca="1">'6IWT'!J51</f>
        <v>2.1867026707346069</v>
      </c>
      <c r="G51" s="886">
        <f ca="1">'6IWT'!K51</f>
        <v>2.5778132266053522E-2</v>
      </c>
      <c r="H51" s="945">
        <f t="shared" si="1"/>
        <v>1.0699999999999999E-2</v>
      </c>
      <c r="I51" s="985"/>
      <c r="J51" s="983">
        <f t="shared" ca="1" si="2"/>
        <v>1624867.8289724491</v>
      </c>
      <c r="K51" s="984">
        <f t="shared" si="0"/>
        <v>0</v>
      </c>
      <c r="L51" s="986">
        <f t="shared" ca="1" si="3"/>
        <v>1624867.8289724491</v>
      </c>
    </row>
    <row r="52" spans="1:12" ht="15.75" hidden="1">
      <c r="A52" s="958">
        <f>'6IWT'!A52</f>
        <v>49</v>
      </c>
      <c r="B52" s="944">
        <f ca="1">'6IWT'!B52</f>
        <v>81</v>
      </c>
      <c r="C52" s="1014"/>
      <c r="D52" s="984">
        <f>'6IWT'!H52</f>
        <v>0</v>
      </c>
      <c r="E52" s="983">
        <f ca="1">'6IWT'!I52</f>
        <v>3273874</v>
      </c>
      <c r="F52" s="885">
        <f ca="1">'6IWT'!J52</f>
        <v>2.2706099312885741</v>
      </c>
      <c r="G52" s="886">
        <f ca="1">'6IWT'!K52</f>
        <v>2.5789987646430923E-2</v>
      </c>
      <c r="H52" s="945">
        <f t="shared" si="1"/>
        <v>1.0699999999999999E-2</v>
      </c>
      <c r="I52" s="985"/>
      <c r="J52" s="983">
        <f t="shared" ca="1" si="2"/>
        <v>1642253.9147424542</v>
      </c>
      <c r="K52" s="984">
        <f t="shared" si="0"/>
        <v>0</v>
      </c>
      <c r="L52" s="986">
        <f t="shared" ca="1" si="3"/>
        <v>1642253.9147424542</v>
      </c>
    </row>
    <row r="53" spans="1:12" ht="15.75">
      <c r="A53" s="960">
        <f>'6IWT'!A53</f>
        <v>50</v>
      </c>
      <c r="B53" s="949">
        <f ca="1">'6IWT'!B53</f>
        <v>82</v>
      </c>
      <c r="C53" s="1017"/>
      <c r="D53" s="994">
        <f>'6IWT'!H53</f>
        <v>0</v>
      </c>
      <c r="E53" s="950">
        <f ca="1">'6IWT'!I53</f>
        <v>3359688</v>
      </c>
      <c r="F53" s="894">
        <f ca="1">'6IWT'!J53</f>
        <v>2.356338374302446</v>
      </c>
      <c r="G53" s="895">
        <f ca="1">'6IWT'!K53</f>
        <v>2.5798851425124614E-2</v>
      </c>
      <c r="H53" s="951">
        <f t="shared" si="1"/>
        <v>1.0699999999999999E-2</v>
      </c>
      <c r="I53" s="995"/>
      <c r="J53" s="950">
        <f t="shared" ca="1" si="2"/>
        <v>1659826.0316301982</v>
      </c>
      <c r="K53" s="994">
        <f t="shared" si="0"/>
        <v>0</v>
      </c>
      <c r="L53" s="996">
        <f t="shared" ca="1" si="3"/>
        <v>1659826.0316301982</v>
      </c>
    </row>
    <row r="54" spans="1:12" ht="15.75" hidden="1">
      <c r="A54" s="958">
        <f>'6IWT'!A54</f>
        <v>51</v>
      </c>
      <c r="B54" s="944">
        <f ca="1">'6IWT'!B54</f>
        <v>83</v>
      </c>
      <c r="C54" s="1014"/>
      <c r="D54" s="984">
        <f>'6IWT'!H54</f>
        <v>0</v>
      </c>
      <c r="E54" s="983">
        <f ca="1">'6IWT'!I54</f>
        <v>3447430</v>
      </c>
      <c r="F54" s="885">
        <f ca="1">'6IWT'!J54</f>
        <v>2.4439928950906995</v>
      </c>
      <c r="G54" s="886">
        <f ca="1">'6IWT'!K54</f>
        <v>2.5805381962043183E-2</v>
      </c>
      <c r="H54" s="945">
        <f t="shared" si="1"/>
        <v>1.0699999999999999E-2</v>
      </c>
      <c r="I54" s="985"/>
      <c r="J54" s="983">
        <f t="shared" ca="1" si="2"/>
        <v>1677586.1701686413</v>
      </c>
      <c r="K54" s="984">
        <f t="shared" si="0"/>
        <v>0</v>
      </c>
      <c r="L54" s="986">
        <f t="shared" ca="1" si="3"/>
        <v>1677586.1701686413</v>
      </c>
    </row>
    <row r="55" spans="1:12" ht="15.75" hidden="1">
      <c r="A55" s="958">
        <f>'6IWT'!A55</f>
        <v>52</v>
      </c>
      <c r="B55" s="944">
        <f ca="1">'6IWT'!B55</f>
        <v>84</v>
      </c>
      <c r="C55" s="1014"/>
      <c r="D55" s="984">
        <f>'6IWT'!H55</f>
        <v>0</v>
      </c>
      <c r="E55" s="983">
        <f ca="1">'6IWT'!I55</f>
        <v>3536976</v>
      </c>
      <c r="F55" s="885">
        <f ca="1">'6IWT'!J55</f>
        <v>2.5334496172819527</v>
      </c>
      <c r="G55" s="886">
        <f ca="1">'6IWT'!K55</f>
        <v>2.5808797360546976E-2</v>
      </c>
      <c r="H55" s="945">
        <f t="shared" si="1"/>
        <v>1.0699999999999999E-2</v>
      </c>
      <c r="I55" s="985"/>
      <c r="J55" s="983">
        <f t="shared" ca="1" si="2"/>
        <v>1695536.3421894456</v>
      </c>
      <c r="K55" s="984">
        <f t="shared" si="0"/>
        <v>0</v>
      </c>
      <c r="L55" s="986">
        <f t="shared" ca="1" si="3"/>
        <v>1695536.3421894456</v>
      </c>
    </row>
    <row r="56" spans="1:12" ht="15.75" hidden="1">
      <c r="A56" s="958">
        <f>'6IWT'!A56</f>
        <v>53</v>
      </c>
      <c r="B56" s="944">
        <f ca="1">'6IWT'!B56</f>
        <v>85</v>
      </c>
      <c r="C56" s="1014"/>
      <c r="D56" s="984">
        <f>'6IWT'!H56</f>
        <v>0</v>
      </c>
      <c r="E56" s="983">
        <f ca="1">'6IWT'!I56</f>
        <v>3628433</v>
      </c>
      <c r="F56" s="885">
        <f ca="1">'6IWT'!J56</f>
        <v>2.6248154341966718</v>
      </c>
      <c r="G56" s="886">
        <f ca="1">'6IWT'!K56</f>
        <v>2.5809758334940147E-2</v>
      </c>
      <c r="H56" s="945">
        <f t="shared" si="1"/>
        <v>1.0699999999999999E-2</v>
      </c>
      <c r="I56" s="985"/>
      <c r="J56" s="983">
        <f t="shared" ca="1" si="2"/>
        <v>1713678.5810508726</v>
      </c>
      <c r="K56" s="984">
        <f t="shared" si="0"/>
        <v>0</v>
      </c>
      <c r="L56" s="986">
        <f t="shared" ca="1" si="3"/>
        <v>1713678.5810508726</v>
      </c>
    </row>
    <row r="57" spans="1:12" ht="15.75" hidden="1">
      <c r="A57" s="958">
        <f>'6IWT'!A57</f>
        <v>54</v>
      </c>
      <c r="B57" s="944">
        <f ca="1">'6IWT'!B57</f>
        <v>86</v>
      </c>
      <c r="C57" s="1014"/>
      <c r="D57" s="984">
        <f>'6IWT'!H57</f>
        <v>0</v>
      </c>
      <c r="E57" s="983">
        <f ca="1">'6IWT'!I57</f>
        <v>3721808</v>
      </c>
      <c r="F57" s="885">
        <f ca="1">'6IWT'!J57</f>
        <v>2.7180973388558218</v>
      </c>
      <c r="G57" s="886">
        <f ca="1">'6IWT'!K57</f>
        <v>2.5808294202521953E-2</v>
      </c>
      <c r="H57" s="945">
        <f t="shared" si="1"/>
        <v>1.0699999999999999E-2</v>
      </c>
      <c r="I57" s="985"/>
      <c r="J57" s="983">
        <f t="shared" ca="1" si="2"/>
        <v>1732014.9418681168</v>
      </c>
      <c r="K57" s="984">
        <f t="shared" si="0"/>
        <v>0</v>
      </c>
      <c r="L57" s="986">
        <f t="shared" ca="1" si="3"/>
        <v>1732014.9418681168</v>
      </c>
    </row>
    <row r="58" spans="1:12" ht="15.75">
      <c r="A58" s="966">
        <f>'6IWT'!A58</f>
        <v>55</v>
      </c>
      <c r="B58" s="967">
        <f ca="1">'6IWT'!B58</f>
        <v>87</v>
      </c>
      <c r="C58" s="1014"/>
      <c r="D58" s="1001">
        <f>'6IWT'!H58</f>
        <v>0</v>
      </c>
      <c r="E58" s="1002">
        <f ca="1">'6IWT'!I58</f>
        <v>3817193</v>
      </c>
      <c r="F58" s="920">
        <f ca="1">'6IWT'!J58</f>
        <v>2.813387239534944</v>
      </c>
      <c r="G58" s="921">
        <f ca="1">'6IWT'!K58</f>
        <v>2.5804877385985581E-2</v>
      </c>
      <c r="H58" s="968">
        <f t="shared" si="1"/>
        <v>1.0699999999999999E-2</v>
      </c>
      <c r="I58" s="1003"/>
      <c r="J58" s="1002">
        <f t="shared" ca="1" si="2"/>
        <v>1750547.5017461055</v>
      </c>
      <c r="K58" s="1001">
        <f t="shared" si="0"/>
        <v>0</v>
      </c>
      <c r="L58" s="1004">
        <f t="shared" ca="1" si="3"/>
        <v>1750547.5017461055</v>
      </c>
    </row>
    <row r="59" spans="1:12" ht="15.75" hidden="1">
      <c r="A59" s="958">
        <f>'6IWT'!A59</f>
        <v>56</v>
      </c>
      <c r="B59" s="944">
        <f ca="1">'6IWT'!B59</f>
        <v>88</v>
      </c>
      <c r="C59" s="1014"/>
      <c r="D59" s="984">
        <f>'6IWT'!H59</f>
        <v>0</v>
      </c>
      <c r="E59" s="983">
        <f ca="1">'6IWT'!I59</f>
        <v>3914509</v>
      </c>
      <c r="F59" s="885">
        <f ca="1">'6IWT'!J59</f>
        <v>2.9106062149974328</v>
      </c>
      <c r="G59" s="886">
        <f ca="1">'6IWT'!K59</f>
        <v>2.5799076142310584E-2</v>
      </c>
      <c r="H59" s="945">
        <f t="shared" si="1"/>
        <v>1.0699999999999999E-2</v>
      </c>
      <c r="I59" s="985"/>
      <c r="J59" s="983">
        <f t="shared" ca="1" si="2"/>
        <v>1769278.3600147888</v>
      </c>
      <c r="K59" s="984">
        <f t="shared" si="0"/>
        <v>0</v>
      </c>
      <c r="L59" s="986">
        <f t="shared" ca="1" si="3"/>
        <v>1769278.3600147888</v>
      </c>
    </row>
    <row r="60" spans="1:12" ht="15.75" hidden="1">
      <c r="A60" s="958">
        <f>'6IWT'!A60</f>
        <v>57</v>
      </c>
      <c r="B60" s="944">
        <f ca="1">'6IWT'!B60</f>
        <v>89</v>
      </c>
      <c r="C60" s="1014"/>
      <c r="D60" s="984">
        <f>'6IWT'!H60</f>
        <v>0</v>
      </c>
      <c r="E60" s="983">
        <f ca="1">'6IWT'!I60</f>
        <v>4013847</v>
      </c>
      <c r="F60" s="885">
        <f ca="1">'6IWT'!J60</f>
        <v>3.0098451745158332</v>
      </c>
      <c r="G60" s="886">
        <f ca="1">'6IWT'!K60</f>
        <v>2.5791338283033705E-2</v>
      </c>
      <c r="H60" s="945">
        <f t="shared" si="1"/>
        <v>1.0699999999999999E-2</v>
      </c>
      <c r="I60" s="985"/>
      <c r="J60" s="983">
        <f t="shared" ca="1" si="2"/>
        <v>1788209.638466947</v>
      </c>
      <c r="K60" s="984">
        <f t="shared" si="0"/>
        <v>0</v>
      </c>
      <c r="L60" s="986">
        <f t="shared" ca="1" si="3"/>
        <v>1788209.638466947</v>
      </c>
    </row>
    <row r="61" spans="1:12" ht="15.75" hidden="1">
      <c r="A61" s="958">
        <f>'6IWT'!A61</f>
        <v>58</v>
      </c>
      <c r="B61" s="944">
        <f ca="1">'6IWT'!B61</f>
        <v>90</v>
      </c>
      <c r="C61" s="1014"/>
      <c r="D61" s="984">
        <f>'6IWT'!H61</f>
        <v>0</v>
      </c>
      <c r="E61" s="983">
        <f ca="1">'6IWT'!I61</f>
        <v>4115149</v>
      </c>
      <c r="F61" s="885">
        <f ca="1">'6IWT'!J61</f>
        <v>3.1110461759164356</v>
      </c>
      <c r="G61" s="886">
        <f ca="1">'6IWT'!K61</f>
        <v>2.5781381276821724E-2</v>
      </c>
      <c r="H61" s="945">
        <f t="shared" si="1"/>
        <v>1.0699999999999999E-2</v>
      </c>
      <c r="I61" s="985"/>
      <c r="J61" s="983">
        <f t="shared" ca="1" si="2"/>
        <v>1807343.4815985432</v>
      </c>
      <c r="K61" s="984">
        <f t="shared" si="0"/>
        <v>0</v>
      </c>
      <c r="L61" s="986">
        <f t="shared" ca="1" si="3"/>
        <v>1807343.4815985432</v>
      </c>
    </row>
    <row r="62" spans="1:12" ht="15.75" hidden="1">
      <c r="A62" s="958">
        <f>'6IWT'!A62</f>
        <v>59</v>
      </c>
      <c r="B62" s="944">
        <f ca="1">'6IWT'!B62</f>
        <v>91</v>
      </c>
      <c r="C62" s="1014"/>
      <c r="D62" s="984">
        <f>'6IWT'!H62</f>
        <v>0</v>
      </c>
      <c r="E62" s="983">
        <f ca="1">'6IWT'!I62</f>
        <v>4218524</v>
      </c>
      <c r="F62" s="885">
        <f ca="1">'6IWT'!J62</f>
        <v>3.2143181105256953</v>
      </c>
      <c r="G62" s="886">
        <f ca="1">'6IWT'!K62</f>
        <v>2.5769697622709531E-2</v>
      </c>
      <c r="H62" s="945">
        <f t="shared" si="1"/>
        <v>1.0699999999999999E-2</v>
      </c>
      <c r="I62" s="985"/>
      <c r="J62" s="983">
        <f t="shared" ca="1" si="2"/>
        <v>1826682.0568516476</v>
      </c>
      <c r="K62" s="984">
        <f t="shared" si="0"/>
        <v>0</v>
      </c>
      <c r="L62" s="986">
        <f t="shared" ca="1" si="3"/>
        <v>1826682.0568516476</v>
      </c>
    </row>
    <row r="63" spans="1:12" ht="19.5" thickBot="1">
      <c r="A63" s="962">
        <f>'6IWT'!A63</f>
        <v>60</v>
      </c>
      <c r="B63" s="963">
        <f ca="1">'6IWT'!B63</f>
        <v>92</v>
      </c>
      <c r="C63" s="964"/>
      <c r="D63" s="1008">
        <f>'6IWT'!H63</f>
        <v>0</v>
      </c>
      <c r="E63" s="1009">
        <f ca="1">'6IWT'!I63</f>
        <v>4323869</v>
      </c>
      <c r="F63" s="912">
        <f ca="1">'6IWT'!J63</f>
        <v>3.3195580810351268</v>
      </c>
      <c r="G63" s="913">
        <f ca="1">'6IWT'!K63</f>
        <v>2.5755837270643678E-2</v>
      </c>
      <c r="H63" s="965">
        <f t="shared" si="1"/>
        <v>1.0699999999999999E-2</v>
      </c>
      <c r="I63" s="1010"/>
      <c r="J63" s="1009">
        <f t="shared" ca="1" si="2"/>
        <v>1846227.55485996</v>
      </c>
      <c r="K63" s="1008">
        <f t="shared" si="0"/>
        <v>0</v>
      </c>
      <c r="L63" s="1011">
        <f t="shared" ca="1" si="3"/>
        <v>1846227.55485996</v>
      </c>
    </row>
  </sheetData>
  <sheetProtection password="EF3A" sheet="1" formatCells="0" formatRows="0"/>
  <mergeCells count="3">
    <mergeCell ref="A2:G2"/>
    <mergeCell ref="H1:L2"/>
    <mergeCell ref="A1:G1"/>
  </mergeCells>
  <phoneticPr fontId="4" type="noConversion"/>
  <printOptions horizontalCentered="1" verticalCentered="1"/>
  <pageMargins left="0" right="0" top="0.19685039370078741" bottom="0.19685039370078741" header="0.31496062992125984" footer="0.31496062992125984"/>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O260"/>
  <sheetViews>
    <sheetView showGridLines="0" workbookViewId="0">
      <pane xSplit="5" ySplit="2" topLeftCell="F3" activePane="bottomRight" state="frozen"/>
      <selection pane="topRight" activeCell="F1" sqref="F1"/>
      <selection pane="bottomLeft" activeCell="A3" sqref="A3"/>
      <selection pane="bottomRight"/>
    </sheetView>
  </sheetViews>
  <sheetFormatPr defaultColWidth="0" defaultRowHeight="16.5" zeroHeight="1"/>
  <cols>
    <col min="1" max="1" width="11.33203125" style="265" hidden="1" customWidth="1"/>
    <col min="2" max="3" width="12.6640625" style="265" hidden="1" customWidth="1"/>
    <col min="4" max="4" width="15.83203125" style="265" hidden="1" customWidth="1"/>
    <col min="5" max="7" width="9.33203125" style="265" hidden="1" customWidth="1"/>
    <col min="8" max="8" width="16.6640625" style="265" hidden="1" customWidth="1"/>
    <col min="9" max="9" width="9.33203125" style="265" hidden="1" customWidth="1"/>
    <col min="10" max="10" width="11.5" style="265" hidden="1" customWidth="1"/>
    <col min="11" max="11" width="9.33203125" style="265" hidden="1" customWidth="1"/>
    <col min="12" max="12" width="16.83203125" style="265" hidden="1" customWidth="1"/>
    <col min="13" max="14" width="9.33203125" style="265" hidden="1" customWidth="1"/>
    <col min="15" max="15" width="46.6640625" style="265" hidden="1" customWidth="1"/>
    <col min="16" max="16" width="39.1640625" style="265" hidden="1" customWidth="1"/>
    <col min="17" max="17" width="10.1640625" style="265" hidden="1" customWidth="1"/>
    <col min="18" max="21" width="10" style="265" hidden="1" customWidth="1"/>
    <col min="22" max="23" width="8.83203125" style="265" hidden="1" customWidth="1"/>
    <col min="24" max="24" width="46.6640625" style="317" hidden="1" customWidth="1"/>
    <col min="25" max="25" width="46.6640625" style="265" hidden="1" customWidth="1"/>
    <col min="26" max="26" width="9.1640625" style="265" hidden="1" customWidth="1"/>
    <col min="27" max="27" width="7.33203125" style="265" hidden="1" customWidth="1"/>
    <col min="28" max="28" width="10" style="265" hidden="1" customWidth="1"/>
    <col min="29" max="29" width="8.83203125" style="265" hidden="1" customWidth="1"/>
    <col min="30" max="39" width="9.33203125" style="265" hidden="1" customWidth="1"/>
    <col min="40" max="40" width="16.33203125" style="265" hidden="1" customWidth="1"/>
    <col min="41" max="16384" width="9.33203125" style="265" hidden="1"/>
  </cols>
  <sheetData>
    <row r="1" spans="1:41" hidden="1">
      <c r="A1" s="262" t="str">
        <f>OP!$C$22</f>
        <v>IWT</v>
      </c>
      <c r="B1" s="263">
        <f>IF($F$2&gt;0,1,"")</f>
        <v>1</v>
      </c>
      <c r="C1" s="264"/>
      <c r="G1" s="265">
        <v>1</v>
      </c>
      <c r="H1" s="266" t="str">
        <f ca="1">IF(AND(H2&lt;&gt;A2&amp;A1,$K$1=2),"富邦人壽官網尚未公告"&amp;A2&amp;"宣告利率，目前使用"&amp;LEFT($H$2,8)&amp;"宣告利率，試算當月宣告利率以富邦人壽官網公告為準。","")</f>
        <v/>
      </c>
      <c r="I1" s="265">
        <f ca="1">IF(H1="",1,"")</f>
        <v>1</v>
      </c>
      <c r="K1" s="313">
        <v>1</v>
      </c>
      <c r="L1" s="265" t="s">
        <v>707</v>
      </c>
      <c r="W1" s="314" t="s">
        <v>557</v>
      </c>
      <c r="X1" s="315" t="s">
        <v>558</v>
      </c>
      <c r="Y1" s="314" t="s">
        <v>559</v>
      </c>
      <c r="Z1" s="314" t="s">
        <v>560</v>
      </c>
    </row>
    <row r="2" spans="1:41" hidden="1">
      <c r="A2" s="265" t="str">
        <f ca="1">YEAR(TODAY())-1911&amp;" / "&amp;MONTH(TODAY())&amp;" "</f>
        <v xml:space="preserve">106 / 6 </v>
      </c>
      <c r="D2" s="265" t="s">
        <v>561</v>
      </c>
      <c r="E2" s="265" t="s">
        <v>562</v>
      </c>
      <c r="F2" s="267">
        <f>SUM($F$3:$F$200)</f>
        <v>1</v>
      </c>
      <c r="G2" s="266">
        <v>1</v>
      </c>
      <c r="H2" s="266"/>
      <c r="I2" s="268">
        <f ca="1">IF(OP!$C$3&lt;J2,K2,L2)</f>
        <v>2.69E-2</v>
      </c>
      <c r="J2" s="542">
        <v>42736</v>
      </c>
      <c r="K2" s="543">
        <v>2.69E-2</v>
      </c>
      <c r="L2" s="543">
        <v>2.69E-2</v>
      </c>
      <c r="M2" s="269"/>
      <c r="N2" s="269"/>
      <c r="O2" s="269"/>
      <c r="P2" s="269"/>
      <c r="Q2" s="269"/>
      <c r="R2" s="269"/>
      <c r="S2" s="269"/>
      <c r="T2" s="269"/>
      <c r="U2" s="269"/>
      <c r="V2" s="269"/>
      <c r="W2" s="269"/>
      <c r="X2" s="316">
        <v>1</v>
      </c>
      <c r="Y2" s="270">
        <v>41655</v>
      </c>
      <c r="Z2" s="271">
        <v>0.68143518518518509</v>
      </c>
      <c r="AA2" s="269"/>
      <c r="AB2" s="270"/>
      <c r="AC2" s="271"/>
      <c r="AD2" s="269"/>
      <c r="AE2" s="269"/>
      <c r="AF2" s="269"/>
      <c r="AG2" s="269"/>
      <c r="AH2" s="269"/>
      <c r="AI2" s="269"/>
      <c r="AJ2" s="269"/>
      <c r="AK2" s="269"/>
      <c r="AN2" s="272"/>
      <c r="AO2" s="273"/>
    </row>
    <row r="3" spans="1:41" hidden="1">
      <c r="B3" s="265">
        <f>IF(OR(D3="",D3=0,RIGHT(D3,LEN($A$1))&lt;&gt;$A$1),,(LEFT($D3,3)*100)+MID($D3,7,IF(OR(AND(LEN($A$1)=3,LEN($D3)=12),AND(LEN($A$1)=4,LEN($D3)=13)),2,1))*1)</f>
        <v>0</v>
      </c>
      <c r="C3" s="265">
        <f t="shared" ref="C3:C66" si="0">IF($B3=0,,RANK($B3,$B$3:$B$78))</f>
        <v>0</v>
      </c>
      <c r="D3" s="264" t="s">
        <v>940</v>
      </c>
      <c r="E3" s="265">
        <v>2.7E-2</v>
      </c>
      <c r="F3" s="267">
        <f>IF(AND(RIGHT($D3,LEN($A$1))&lt;&gt;$A$1,$D3&lt;&gt;""),1,0)</f>
        <v>1</v>
      </c>
      <c r="G3" s="266">
        <v>2</v>
      </c>
      <c r="H3" s="266" t="str">
        <f t="shared" ref="H3:H25" si="1">IF(ISNA(VLOOKUP($G3,$C:$E,2,0)),"",VLOOKUP($G3,$C:$E,2,0))</f>
        <v/>
      </c>
      <c r="I3" s="268" t="str">
        <f t="shared" ref="I3:I25" si="2">IF(ISNA(VLOOKUP($G3,$C:$E,3,0)),"",VLOOKUP($G3,$C:$E,3,0))</f>
        <v/>
      </c>
      <c r="J3" s="272">
        <v>42370</v>
      </c>
      <c r="K3" s="277">
        <v>2.7E-2</v>
      </c>
      <c r="L3" s="274">
        <v>2.5999999999999999E-2</v>
      </c>
      <c r="M3" s="269"/>
      <c r="N3" s="269"/>
      <c r="O3" s="269" t="s">
        <v>364</v>
      </c>
      <c r="P3" s="269"/>
      <c r="Q3" s="269"/>
      <c r="R3" s="269"/>
      <c r="S3"/>
      <c r="T3"/>
      <c r="U3"/>
      <c r="V3" s="269"/>
      <c r="W3" s="269"/>
      <c r="X3" s="316">
        <v>1</v>
      </c>
      <c r="Y3" s="270">
        <v>41655</v>
      </c>
      <c r="Z3" s="271">
        <v>0.68585648148148148</v>
      </c>
      <c r="AA3" s="269"/>
      <c r="AB3" s="270"/>
      <c r="AC3" s="271"/>
      <c r="AD3" s="269"/>
      <c r="AE3" s="269"/>
      <c r="AF3" s="269"/>
      <c r="AG3" s="269"/>
      <c r="AH3" s="269"/>
      <c r="AI3" s="269"/>
      <c r="AJ3" s="269"/>
      <c r="AK3" s="269"/>
      <c r="AN3" s="272"/>
      <c r="AO3" s="273"/>
    </row>
    <row r="4" spans="1:41" hidden="1">
      <c r="A4" s="263">
        <f>COUNTIF($D:$D,$A$3)</f>
        <v>0</v>
      </c>
      <c r="B4" s="265">
        <f t="shared" ref="B4:B67" si="3">IF(OR(D4="",D4=0,RIGHT(D4,LEN($A$1))&lt;&gt;$A$1),,(LEFT($D4,3)*100)+MID($D4,7,IF(OR(AND(LEN($A$1)=3,LEN($D4)=12),AND(LEN($A$1)=4,LEN($D4)=13)),2,1))*1)</f>
        <v>0</v>
      </c>
      <c r="C4" s="265">
        <f t="shared" si="0"/>
        <v>0</v>
      </c>
      <c r="D4" s="264"/>
      <c r="F4" s="267">
        <f t="shared" ref="F4:F67" si="4">IF(AND(RIGHT($D4,LEN($A$1))&lt;&gt;$A$1,$D4&lt;&gt;""),1,0)</f>
        <v>0</v>
      </c>
      <c r="G4" s="266">
        <v>3</v>
      </c>
      <c r="H4" s="266" t="str">
        <f t="shared" si="1"/>
        <v/>
      </c>
      <c r="I4" s="268" t="str">
        <f t="shared" si="2"/>
        <v/>
      </c>
      <c r="L4" s="269"/>
      <c r="M4" s="269"/>
      <c r="N4" s="269"/>
      <c r="O4" s="269" t="s">
        <v>365</v>
      </c>
      <c r="P4" s="269" t="s">
        <v>366</v>
      </c>
      <c r="Q4" s="269" t="s">
        <v>366</v>
      </c>
      <c r="R4" s="269" t="s">
        <v>367</v>
      </c>
      <c r="S4"/>
      <c r="T4"/>
      <c r="U4"/>
      <c r="V4" s="269"/>
      <c r="W4" s="269"/>
      <c r="X4" s="316">
        <v>1</v>
      </c>
      <c r="Y4" s="270">
        <v>41660</v>
      </c>
      <c r="Z4" s="271">
        <v>0.43960648148148151</v>
      </c>
      <c r="AA4" s="269"/>
      <c r="AB4" s="270"/>
      <c r="AC4" s="271"/>
      <c r="AD4" s="269"/>
      <c r="AE4" s="269"/>
      <c r="AF4" s="269"/>
      <c r="AG4" s="269"/>
      <c r="AH4" s="269"/>
      <c r="AI4" s="269"/>
      <c r="AJ4" s="269"/>
      <c r="AK4" s="269"/>
      <c r="AN4" s="272"/>
      <c r="AO4" s="273"/>
    </row>
    <row r="5" spans="1:41" hidden="1">
      <c r="A5" s="266"/>
      <c r="B5" s="265">
        <f>IF(OR(D5="",D5=0,RIGHT(D5,LEN($A$1))&lt;&gt;$A$1),,(LEFT($D5,3)*100)+MID($D5,7,IF(OR(AND(LEN($A$1)=3,LEN($D5)=12),AND(LEN($A$1)=4,LEN($D5)=13)),2,1))*1)</f>
        <v>0</v>
      </c>
      <c r="C5" s="265">
        <f t="shared" si="0"/>
        <v>0</v>
      </c>
      <c r="D5" s="264"/>
      <c r="F5" s="267">
        <f>IF(AND(RIGHT($D5,LEN($A$1))&lt;&gt;$A$1,$D5&lt;&gt;""),1,0)</f>
        <v>0</v>
      </c>
      <c r="G5" s="266">
        <v>4</v>
      </c>
      <c r="H5" s="266" t="str">
        <f t="shared" si="1"/>
        <v/>
      </c>
      <c r="I5" s="268" t="str">
        <f t="shared" si="2"/>
        <v/>
      </c>
      <c r="L5" s="269"/>
      <c r="M5" s="269"/>
      <c r="N5" s="269"/>
      <c r="O5" s="269" t="s">
        <v>368</v>
      </c>
      <c r="P5" s="269" t="s">
        <v>369</v>
      </c>
      <c r="Q5" s="269" t="s">
        <v>370</v>
      </c>
      <c r="R5" s="269" t="s">
        <v>371</v>
      </c>
      <c r="S5"/>
      <c r="T5"/>
      <c r="U5"/>
      <c r="V5" s="269"/>
      <c r="W5" s="269"/>
      <c r="X5" s="316">
        <v>1</v>
      </c>
      <c r="Y5" s="270">
        <v>41662</v>
      </c>
      <c r="Z5" s="271">
        <v>0.55662037037037038</v>
      </c>
      <c r="AA5" s="269"/>
      <c r="AB5" s="270"/>
      <c r="AC5" s="271"/>
      <c r="AD5" s="269"/>
      <c r="AE5" s="269"/>
      <c r="AF5" s="269"/>
      <c r="AG5" s="269"/>
      <c r="AH5" s="269"/>
      <c r="AI5" s="269"/>
      <c r="AJ5" s="269"/>
      <c r="AK5" s="269"/>
      <c r="AN5" s="272"/>
      <c r="AO5" s="273"/>
    </row>
    <row r="6" spans="1:41" hidden="1">
      <c r="B6" s="265">
        <f t="shared" si="3"/>
        <v>0</v>
      </c>
      <c r="C6" s="265">
        <f t="shared" si="0"/>
        <v>0</v>
      </c>
      <c r="D6" s="264"/>
      <c r="F6" s="267">
        <f t="shared" si="4"/>
        <v>0</v>
      </c>
      <c r="G6" s="266">
        <v>5</v>
      </c>
      <c r="H6" s="266" t="str">
        <f t="shared" si="1"/>
        <v/>
      </c>
      <c r="I6" s="268" t="str">
        <f t="shared" si="2"/>
        <v/>
      </c>
      <c r="K6" s="265" t="str">
        <f>Q6</f>
        <v>FISB</v>
      </c>
      <c r="L6" s="269" t="str">
        <f t="shared" ref="L6:L15" si="5">O6&amp;Q6</f>
        <v>103 / 5 FISB</v>
      </c>
      <c r="M6" s="274">
        <f t="shared" ref="M6:M14" si="6">R6</f>
        <v>0.03</v>
      </c>
      <c r="N6" s="274"/>
      <c r="O6" s="269" t="s">
        <v>768</v>
      </c>
      <c r="P6" s="269" t="s">
        <v>372</v>
      </c>
      <c r="Q6" s="269" t="s">
        <v>373</v>
      </c>
      <c r="R6" s="274">
        <v>0.03</v>
      </c>
      <c r="S6"/>
      <c r="T6"/>
      <c r="U6"/>
      <c r="V6" s="274"/>
      <c r="W6" s="274"/>
      <c r="X6" s="316">
        <v>1</v>
      </c>
      <c r="Y6" s="270">
        <v>41663</v>
      </c>
      <c r="Z6" s="271">
        <v>0.57630787037037035</v>
      </c>
      <c r="AA6" s="274"/>
      <c r="AB6" s="270"/>
      <c r="AC6" s="271"/>
      <c r="AD6" s="274"/>
      <c r="AE6" s="274"/>
      <c r="AF6" s="274"/>
      <c r="AG6" s="274"/>
      <c r="AH6" s="274"/>
      <c r="AI6" s="274"/>
      <c r="AJ6" s="274"/>
      <c r="AK6" s="269"/>
      <c r="AN6" s="273"/>
    </row>
    <row r="7" spans="1:41" hidden="1">
      <c r="B7" s="265">
        <f t="shared" si="3"/>
        <v>0</v>
      </c>
      <c r="C7" s="265">
        <f t="shared" si="0"/>
        <v>0</v>
      </c>
      <c r="D7" s="264"/>
      <c r="F7" s="267">
        <f t="shared" si="4"/>
        <v>0</v>
      </c>
      <c r="G7" s="266">
        <v>6</v>
      </c>
      <c r="H7" s="266" t="str">
        <f t="shared" si="1"/>
        <v/>
      </c>
      <c r="I7" s="268" t="str">
        <f t="shared" si="2"/>
        <v/>
      </c>
      <c r="K7" s="265" t="str">
        <f t="shared" ref="K7:K15" si="7">Q7</f>
        <v>FSA</v>
      </c>
      <c r="L7" s="269" t="str">
        <f t="shared" si="5"/>
        <v>103 / 5 FSA</v>
      </c>
      <c r="M7" s="274">
        <f t="shared" si="6"/>
        <v>0.04</v>
      </c>
      <c r="N7" s="274"/>
      <c r="O7" s="269" t="s">
        <v>768</v>
      </c>
      <c r="P7" s="269" t="s">
        <v>374</v>
      </c>
      <c r="Q7" s="269" t="s">
        <v>531</v>
      </c>
      <c r="R7" s="274">
        <v>0.04</v>
      </c>
      <c r="S7"/>
      <c r="T7"/>
      <c r="U7"/>
      <c r="V7" s="274"/>
      <c r="W7" s="274"/>
      <c r="X7" s="316">
        <v>1</v>
      </c>
      <c r="Y7" s="270">
        <v>41676</v>
      </c>
      <c r="Z7" s="271">
        <v>0.44567129629629632</v>
      </c>
      <c r="AA7" s="274"/>
      <c r="AB7" s="270"/>
      <c r="AC7" s="271"/>
      <c r="AD7" s="274"/>
      <c r="AE7" s="274"/>
      <c r="AF7" s="274"/>
      <c r="AG7" s="274"/>
      <c r="AH7" s="274"/>
      <c r="AI7" s="274"/>
      <c r="AJ7" s="274"/>
      <c r="AK7" s="269"/>
      <c r="AN7" s="273"/>
    </row>
    <row r="8" spans="1:41" hidden="1">
      <c r="B8" s="265">
        <f t="shared" si="3"/>
        <v>0</v>
      </c>
      <c r="C8" s="265">
        <f t="shared" si="0"/>
        <v>0</v>
      </c>
      <c r="D8" s="264"/>
      <c r="F8" s="267">
        <f t="shared" si="4"/>
        <v>0</v>
      </c>
      <c r="G8" s="266">
        <v>7</v>
      </c>
      <c r="H8" s="266" t="str">
        <f t="shared" si="1"/>
        <v/>
      </c>
      <c r="I8" s="268" t="str">
        <f t="shared" si="2"/>
        <v/>
      </c>
      <c r="K8" s="265" t="str">
        <f t="shared" si="7"/>
        <v>FSA1</v>
      </c>
      <c r="L8" s="269" t="str">
        <f t="shared" si="5"/>
        <v>103 / 5 FSA1</v>
      </c>
      <c r="M8" s="274">
        <f t="shared" si="6"/>
        <v>0.04</v>
      </c>
      <c r="N8" s="274"/>
      <c r="O8" s="269" t="s">
        <v>768</v>
      </c>
      <c r="P8" s="269" t="s">
        <v>374</v>
      </c>
      <c r="Q8" s="269" t="s">
        <v>532</v>
      </c>
      <c r="R8" s="274">
        <v>0.04</v>
      </c>
      <c r="S8"/>
      <c r="T8"/>
      <c r="U8"/>
      <c r="V8" s="274"/>
      <c r="W8" s="274"/>
      <c r="X8" s="316">
        <v>1</v>
      </c>
      <c r="Y8" s="270">
        <v>41680</v>
      </c>
      <c r="Z8" s="271">
        <v>0.45436342592592593</v>
      </c>
      <c r="AA8" s="274"/>
      <c r="AB8" s="270"/>
      <c r="AC8" s="271"/>
      <c r="AD8" s="274"/>
      <c r="AE8" s="274"/>
      <c r="AF8" s="274"/>
      <c r="AG8" s="274"/>
      <c r="AH8" s="274"/>
      <c r="AI8" s="274"/>
      <c r="AJ8" s="274"/>
      <c r="AK8" s="269"/>
      <c r="AN8" s="273"/>
    </row>
    <row r="9" spans="1:41" hidden="1">
      <c r="B9" s="265">
        <f t="shared" si="3"/>
        <v>0</v>
      </c>
      <c r="C9" s="265">
        <f t="shared" si="0"/>
        <v>0</v>
      </c>
      <c r="D9" s="264"/>
      <c r="F9" s="267">
        <f t="shared" si="4"/>
        <v>0</v>
      </c>
      <c r="G9" s="266">
        <v>8</v>
      </c>
      <c r="H9" s="266" t="str">
        <f t="shared" si="1"/>
        <v/>
      </c>
      <c r="I9" s="268" t="str">
        <f t="shared" si="2"/>
        <v/>
      </c>
      <c r="K9" s="265" t="str">
        <f t="shared" si="7"/>
        <v>FSA2</v>
      </c>
      <c r="L9" s="269" t="str">
        <f t="shared" si="5"/>
        <v>103 / 5 FSA2</v>
      </c>
      <c r="M9" s="274">
        <f t="shared" si="6"/>
        <v>0.04</v>
      </c>
      <c r="N9" s="274"/>
      <c r="O9" s="269" t="s">
        <v>768</v>
      </c>
      <c r="P9" s="269" t="s">
        <v>374</v>
      </c>
      <c r="Q9" s="269" t="s">
        <v>706</v>
      </c>
      <c r="R9" s="274">
        <v>0.04</v>
      </c>
      <c r="S9"/>
      <c r="T9"/>
      <c r="U9"/>
      <c r="V9" s="274"/>
      <c r="W9" s="274"/>
      <c r="X9" s="316">
        <v>1</v>
      </c>
      <c r="Y9" s="270">
        <v>41680</v>
      </c>
      <c r="Z9" s="271">
        <v>0.55005787037037035</v>
      </c>
      <c r="AA9" s="274"/>
      <c r="AB9" s="270"/>
      <c r="AC9" s="271"/>
      <c r="AD9" s="274"/>
      <c r="AE9" s="274"/>
      <c r="AF9" s="274"/>
      <c r="AG9" s="274"/>
      <c r="AH9" s="274"/>
      <c r="AI9" s="274"/>
      <c r="AJ9" s="274"/>
      <c r="AK9" s="269"/>
      <c r="AN9" s="273"/>
    </row>
    <row r="10" spans="1:41" hidden="1">
      <c r="B10" s="265">
        <f t="shared" si="3"/>
        <v>0</v>
      </c>
      <c r="C10" s="265">
        <f t="shared" si="0"/>
        <v>0</v>
      </c>
      <c r="D10" s="264"/>
      <c r="F10" s="267">
        <f t="shared" si="4"/>
        <v>0</v>
      </c>
      <c r="G10" s="266">
        <v>9</v>
      </c>
      <c r="H10" s="266" t="str">
        <f t="shared" si="1"/>
        <v/>
      </c>
      <c r="I10" s="268" t="str">
        <f t="shared" si="2"/>
        <v/>
      </c>
      <c r="K10" s="265" t="str">
        <f t="shared" si="7"/>
        <v>FSB</v>
      </c>
      <c r="L10" s="269" t="str">
        <f t="shared" si="5"/>
        <v>103 / 5 FSB</v>
      </c>
      <c r="M10" s="274">
        <f t="shared" si="6"/>
        <v>3.5999999999999997E-2</v>
      </c>
      <c r="N10" s="274"/>
      <c r="O10" s="269" t="s">
        <v>768</v>
      </c>
      <c r="P10" s="269" t="s">
        <v>375</v>
      </c>
      <c r="Q10" s="269" t="s">
        <v>533</v>
      </c>
      <c r="R10" s="274">
        <v>3.5999999999999997E-2</v>
      </c>
      <c r="S10"/>
      <c r="T10"/>
      <c r="U10"/>
      <c r="V10" s="274"/>
      <c r="W10" s="274"/>
      <c r="X10" s="316">
        <v>1</v>
      </c>
      <c r="Y10" s="270">
        <v>41680</v>
      </c>
      <c r="Z10" s="271">
        <v>0.72150462962962969</v>
      </c>
      <c r="AA10" s="274"/>
      <c r="AB10" s="270"/>
      <c r="AC10" s="271"/>
      <c r="AD10" s="274"/>
      <c r="AE10" s="274"/>
      <c r="AF10" s="274"/>
      <c r="AG10" s="274"/>
      <c r="AH10" s="274"/>
      <c r="AI10" s="274"/>
      <c r="AJ10" s="274"/>
      <c r="AK10" s="269"/>
      <c r="AN10" s="273"/>
    </row>
    <row r="11" spans="1:41" hidden="1">
      <c r="B11" s="265">
        <f t="shared" si="3"/>
        <v>0</v>
      </c>
      <c r="C11" s="265">
        <f t="shared" si="0"/>
        <v>0</v>
      </c>
      <c r="D11" s="264"/>
      <c r="F11" s="267">
        <f t="shared" si="4"/>
        <v>0</v>
      </c>
      <c r="G11" s="266">
        <v>10</v>
      </c>
      <c r="H11" s="266" t="str">
        <f t="shared" si="1"/>
        <v/>
      </c>
      <c r="I11" s="268" t="str">
        <f t="shared" si="2"/>
        <v/>
      </c>
      <c r="K11" s="265" t="str">
        <f t="shared" si="7"/>
        <v>FSC</v>
      </c>
      <c r="L11" s="269" t="str">
        <f t="shared" si="5"/>
        <v>103 / 5 FSC</v>
      </c>
      <c r="M11" s="274">
        <f t="shared" si="6"/>
        <v>3.2000000000000001E-2</v>
      </c>
      <c r="N11" s="274"/>
      <c r="O11" s="269" t="s">
        <v>768</v>
      </c>
      <c r="P11" s="269" t="s">
        <v>714</v>
      </c>
      <c r="Q11" s="269" t="s">
        <v>715</v>
      </c>
      <c r="R11" s="274">
        <v>3.2000000000000001E-2</v>
      </c>
      <c r="S11"/>
      <c r="T11"/>
      <c r="U11"/>
      <c r="V11" s="274"/>
      <c r="W11" s="274"/>
      <c r="X11" s="316">
        <v>1</v>
      </c>
      <c r="Y11" s="270">
        <v>41683</v>
      </c>
      <c r="Z11" s="271">
        <v>0.55856481481481479</v>
      </c>
      <c r="AA11" s="274"/>
      <c r="AB11" s="270"/>
      <c r="AC11" s="271"/>
      <c r="AD11" s="274"/>
      <c r="AE11" s="274"/>
      <c r="AF11" s="274"/>
      <c r="AG11" s="274"/>
      <c r="AH11" s="274"/>
      <c r="AI11" s="274"/>
      <c r="AJ11" s="274"/>
      <c r="AK11" s="269"/>
      <c r="AN11" s="273"/>
    </row>
    <row r="12" spans="1:41" hidden="1">
      <c r="B12" s="265">
        <f t="shared" si="3"/>
        <v>0</v>
      </c>
      <c r="C12" s="265">
        <f t="shared" si="0"/>
        <v>0</v>
      </c>
      <c r="D12" s="264"/>
      <c r="F12" s="267">
        <f t="shared" si="4"/>
        <v>0</v>
      </c>
      <c r="G12" s="266">
        <v>11</v>
      </c>
      <c r="H12" s="266" t="str">
        <f t="shared" si="1"/>
        <v/>
      </c>
      <c r="I12" s="268" t="str">
        <f t="shared" si="2"/>
        <v/>
      </c>
      <c r="K12" s="265" t="str">
        <f t="shared" si="7"/>
        <v>FSD</v>
      </c>
      <c r="L12" s="269" t="str">
        <f t="shared" si="5"/>
        <v>103 / 5 FSD</v>
      </c>
      <c r="M12" s="274">
        <f t="shared" si="6"/>
        <v>3.1E-2</v>
      </c>
      <c r="N12" s="274"/>
      <c r="O12" s="269" t="s">
        <v>768</v>
      </c>
      <c r="P12" s="269" t="s">
        <v>563</v>
      </c>
      <c r="Q12" s="269" t="s">
        <v>564</v>
      </c>
      <c r="R12" s="274">
        <v>3.1E-2</v>
      </c>
      <c r="S12"/>
      <c r="T12"/>
      <c r="U12"/>
      <c r="V12" s="274"/>
      <c r="W12" s="274"/>
      <c r="X12" s="316">
        <v>1</v>
      </c>
      <c r="Y12" s="270">
        <v>41683</v>
      </c>
      <c r="Z12" s="271">
        <v>0.65166666666666673</v>
      </c>
      <c r="AA12" s="274"/>
      <c r="AB12" s="270"/>
      <c r="AC12" s="271"/>
      <c r="AD12" s="274"/>
      <c r="AE12" s="274"/>
      <c r="AF12" s="274"/>
      <c r="AG12" s="274"/>
      <c r="AH12" s="274"/>
      <c r="AI12" s="274"/>
      <c r="AJ12" s="274"/>
      <c r="AK12" s="269"/>
      <c r="AN12" s="273"/>
    </row>
    <row r="13" spans="1:41" hidden="1">
      <c r="B13" s="265">
        <f t="shared" si="3"/>
        <v>0</v>
      </c>
      <c r="C13" s="265">
        <f t="shared" si="0"/>
        <v>0</v>
      </c>
      <c r="D13" s="264"/>
      <c r="F13" s="267">
        <f t="shared" si="4"/>
        <v>0</v>
      </c>
      <c r="G13" s="266">
        <v>12</v>
      </c>
      <c r="H13" s="266" t="str">
        <f t="shared" si="1"/>
        <v/>
      </c>
      <c r="I13" s="268" t="str">
        <f t="shared" si="2"/>
        <v/>
      </c>
      <c r="K13" s="265" t="str">
        <f t="shared" si="7"/>
        <v>FSE</v>
      </c>
      <c r="L13" s="269" t="str">
        <f t="shared" si="5"/>
        <v>103 / 5 FSE</v>
      </c>
      <c r="M13" s="274">
        <f t="shared" si="6"/>
        <v>3.5999999999999997E-2</v>
      </c>
      <c r="N13" s="274"/>
      <c r="O13" s="269" t="s">
        <v>768</v>
      </c>
      <c r="P13" s="269" t="s">
        <v>708</v>
      </c>
      <c r="Q13" s="269" t="s">
        <v>709</v>
      </c>
      <c r="R13" s="274">
        <v>3.5999999999999997E-2</v>
      </c>
      <c r="S13"/>
      <c r="T13"/>
      <c r="U13"/>
      <c r="V13" s="274"/>
      <c r="W13" s="274"/>
      <c r="X13" s="316">
        <v>1</v>
      </c>
      <c r="Y13" s="270">
        <v>41683</v>
      </c>
      <c r="Z13" s="271">
        <v>0.65216435185185184</v>
      </c>
      <c r="AA13" s="274"/>
      <c r="AB13" s="270"/>
      <c r="AC13" s="271"/>
      <c r="AD13" s="274"/>
      <c r="AE13" s="274"/>
      <c r="AF13" s="274"/>
      <c r="AG13" s="274"/>
      <c r="AH13" s="274"/>
      <c r="AI13" s="274"/>
      <c r="AJ13" s="274"/>
      <c r="AK13" s="269"/>
      <c r="AN13" s="273"/>
    </row>
    <row r="14" spans="1:41" hidden="1">
      <c r="B14" s="265">
        <f t="shared" si="3"/>
        <v>0</v>
      </c>
      <c r="C14" s="265">
        <f t="shared" si="0"/>
        <v>0</v>
      </c>
      <c r="D14" s="264"/>
      <c r="F14" s="267">
        <f t="shared" si="4"/>
        <v>0</v>
      </c>
      <c r="G14" s="266">
        <v>13</v>
      </c>
      <c r="H14" s="266" t="str">
        <f t="shared" si="1"/>
        <v/>
      </c>
      <c r="I14" s="268" t="str">
        <f t="shared" si="2"/>
        <v/>
      </c>
      <c r="K14" s="265" t="str">
        <f t="shared" si="7"/>
        <v>FSF</v>
      </c>
      <c r="L14" s="269" t="str">
        <f t="shared" si="5"/>
        <v>103 / 5 FSF</v>
      </c>
      <c r="M14" s="274">
        <f t="shared" si="6"/>
        <v>3.5999999999999997E-2</v>
      </c>
      <c r="N14" s="274"/>
      <c r="O14" s="269" t="s">
        <v>768</v>
      </c>
      <c r="P14" s="269" t="s">
        <v>710</v>
      </c>
      <c r="Q14" s="269" t="s">
        <v>711</v>
      </c>
      <c r="R14" s="274">
        <v>3.5999999999999997E-2</v>
      </c>
      <c r="S14"/>
      <c r="T14"/>
      <c r="U14"/>
      <c r="V14" s="274"/>
      <c r="W14" s="274"/>
      <c r="X14" s="316">
        <v>1</v>
      </c>
      <c r="Y14" s="270">
        <v>41684</v>
      </c>
      <c r="Z14" s="271">
        <v>0.54428240740740741</v>
      </c>
      <c r="AA14" s="274"/>
      <c r="AB14" s="270"/>
      <c r="AC14" s="271"/>
      <c r="AD14" s="274"/>
      <c r="AE14" s="274"/>
      <c r="AF14" s="274"/>
      <c r="AG14" s="274"/>
      <c r="AH14" s="274"/>
      <c r="AI14" s="274"/>
      <c r="AJ14" s="274"/>
      <c r="AK14" s="269"/>
      <c r="AN14" s="273"/>
    </row>
    <row r="15" spans="1:41" hidden="1">
      <c r="B15" s="265">
        <f t="shared" si="3"/>
        <v>0</v>
      </c>
      <c r="C15" s="265">
        <f t="shared" si="0"/>
        <v>0</v>
      </c>
      <c r="D15" s="264"/>
      <c r="F15" s="267">
        <f t="shared" si="4"/>
        <v>0</v>
      </c>
      <c r="G15" s="266">
        <v>14</v>
      </c>
      <c r="H15" s="266" t="str">
        <f t="shared" si="1"/>
        <v/>
      </c>
      <c r="I15" s="268" t="str">
        <f t="shared" si="2"/>
        <v/>
      </c>
      <c r="K15" s="265" t="str">
        <f t="shared" si="7"/>
        <v>FSG</v>
      </c>
      <c r="L15" s="269" t="str">
        <f t="shared" si="5"/>
        <v>103 / 5 FSG</v>
      </c>
      <c r="M15" s="274">
        <f>R17</f>
        <v>0</v>
      </c>
      <c r="N15" s="274"/>
      <c r="O15" s="269" t="s">
        <v>768</v>
      </c>
      <c r="P15" s="269" t="s">
        <v>716</v>
      </c>
      <c r="Q15" s="269" t="s">
        <v>717</v>
      </c>
      <c r="R15" s="274">
        <v>3.5999999999999997E-2</v>
      </c>
      <c r="S15"/>
      <c r="T15"/>
      <c r="U15"/>
      <c r="V15" s="274"/>
      <c r="W15" s="274"/>
      <c r="X15" s="316">
        <v>1</v>
      </c>
      <c r="Y15" s="270">
        <v>41688</v>
      </c>
      <c r="Z15" s="271">
        <v>0.67596064814814805</v>
      </c>
      <c r="AA15" s="274"/>
      <c r="AB15" s="270"/>
      <c r="AC15" s="271"/>
      <c r="AD15" s="274"/>
      <c r="AE15" s="274"/>
      <c r="AF15" s="274"/>
      <c r="AG15" s="274"/>
      <c r="AH15" s="274"/>
      <c r="AI15" s="274"/>
      <c r="AJ15" s="274"/>
      <c r="AK15" s="269"/>
      <c r="AN15" s="273"/>
    </row>
    <row r="16" spans="1:41" hidden="1">
      <c r="B16" s="265">
        <f t="shared" si="3"/>
        <v>0</v>
      </c>
      <c r="C16" s="265">
        <f t="shared" si="0"/>
        <v>0</v>
      </c>
      <c r="D16" s="264"/>
      <c r="F16" s="267">
        <f t="shared" si="4"/>
        <v>0</v>
      </c>
      <c r="G16" s="266">
        <v>15</v>
      </c>
      <c r="H16" s="266" t="str">
        <f t="shared" si="1"/>
        <v/>
      </c>
      <c r="I16" s="268" t="str">
        <f t="shared" si="2"/>
        <v/>
      </c>
      <c r="L16" s="269"/>
      <c r="M16" s="274"/>
      <c r="N16" s="274"/>
      <c r="O16" s="269" t="s">
        <v>769</v>
      </c>
      <c r="P16" s="269"/>
      <c r="Q16" s="269"/>
      <c r="R16" s="274"/>
      <c r="S16"/>
      <c r="T16"/>
      <c r="U16"/>
      <c r="V16" s="269"/>
      <c r="W16" s="269"/>
      <c r="X16" s="316">
        <v>1</v>
      </c>
      <c r="Y16" s="270">
        <v>41688</v>
      </c>
      <c r="Z16" s="271">
        <v>0.68737268518518524</v>
      </c>
      <c r="AA16" s="269"/>
      <c r="AB16" s="270"/>
      <c r="AC16" s="271"/>
      <c r="AD16" s="269"/>
      <c r="AE16" s="269"/>
      <c r="AF16" s="269"/>
      <c r="AG16" s="269"/>
      <c r="AH16" s="269"/>
      <c r="AI16" s="269"/>
      <c r="AJ16" s="269"/>
      <c r="AK16" s="269"/>
      <c r="AN16" s="273"/>
    </row>
    <row r="17" spans="2:40" hidden="1">
      <c r="B17" s="265">
        <f t="shared" si="3"/>
        <v>0</v>
      </c>
      <c r="C17" s="265">
        <f t="shared" si="0"/>
        <v>0</v>
      </c>
      <c r="D17" s="264"/>
      <c r="F17" s="267">
        <f t="shared" si="4"/>
        <v>0</v>
      </c>
      <c r="G17" s="266">
        <v>16</v>
      </c>
      <c r="H17" s="266" t="str">
        <f t="shared" si="1"/>
        <v/>
      </c>
      <c r="I17" s="268" t="str">
        <f t="shared" si="2"/>
        <v/>
      </c>
      <c r="L17" s="269"/>
      <c r="M17" s="274"/>
      <c r="N17" s="274"/>
      <c r="O17" s="269" t="s">
        <v>571</v>
      </c>
      <c r="P17" s="269"/>
      <c r="Q17" s="269"/>
      <c r="R17" s="274"/>
      <c r="S17"/>
      <c r="T17"/>
      <c r="U17"/>
      <c r="V17" s="269"/>
      <c r="W17" s="269"/>
      <c r="X17" s="316">
        <v>1</v>
      </c>
      <c r="Y17" s="270">
        <v>41688</v>
      </c>
      <c r="Z17" s="271">
        <v>0.7153356481481481</v>
      </c>
      <c r="AA17" s="269"/>
      <c r="AB17" s="270"/>
      <c r="AC17" s="271"/>
      <c r="AD17" s="269"/>
      <c r="AE17" s="269"/>
      <c r="AF17" s="269"/>
      <c r="AG17" s="269"/>
      <c r="AH17" s="269"/>
      <c r="AI17" s="269"/>
      <c r="AJ17" s="269"/>
      <c r="AK17" s="269"/>
      <c r="AN17" s="273"/>
    </row>
    <row r="18" spans="2:40" hidden="1">
      <c r="B18" s="265">
        <f t="shared" si="3"/>
        <v>0</v>
      </c>
      <c r="C18" s="265">
        <f t="shared" si="0"/>
        <v>0</v>
      </c>
      <c r="D18" s="264"/>
      <c r="F18" s="267">
        <f t="shared" si="4"/>
        <v>0</v>
      </c>
      <c r="G18" s="266">
        <v>17</v>
      </c>
      <c r="H18" s="266" t="str">
        <f t="shared" si="1"/>
        <v/>
      </c>
      <c r="I18" s="268" t="str">
        <f t="shared" si="2"/>
        <v/>
      </c>
      <c r="L18" s="269"/>
      <c r="M18" s="274"/>
      <c r="N18" s="274"/>
      <c r="O18" s="269"/>
      <c r="P18" s="269"/>
      <c r="Q18" s="269"/>
      <c r="R18" s="269"/>
      <c r="S18" s="269"/>
      <c r="T18" s="269"/>
      <c r="U18" s="269"/>
      <c r="V18" s="269"/>
      <c r="W18" s="269"/>
      <c r="X18" s="316">
        <v>1</v>
      </c>
      <c r="Y18" s="270">
        <v>41688</v>
      </c>
      <c r="Z18" s="271">
        <v>0.7165393518518518</v>
      </c>
      <c r="AA18" s="269"/>
      <c r="AB18" s="270"/>
      <c r="AC18" s="271"/>
      <c r="AD18" s="269"/>
      <c r="AE18" s="269"/>
      <c r="AF18" s="269"/>
      <c r="AG18" s="269"/>
      <c r="AH18" s="269"/>
      <c r="AI18" s="269"/>
      <c r="AJ18" s="269"/>
      <c r="AK18" s="269"/>
      <c r="AN18" s="273"/>
    </row>
    <row r="19" spans="2:40" hidden="1">
      <c r="B19" s="265">
        <f t="shared" si="3"/>
        <v>0</v>
      </c>
      <c r="C19" s="265">
        <f t="shared" si="0"/>
        <v>0</v>
      </c>
      <c r="D19" s="264"/>
      <c r="F19" s="267">
        <f t="shared" si="4"/>
        <v>0</v>
      </c>
      <c r="G19" s="266">
        <v>18</v>
      </c>
      <c r="H19" s="266" t="str">
        <f t="shared" si="1"/>
        <v/>
      </c>
      <c r="I19" s="268" t="str">
        <f t="shared" si="2"/>
        <v/>
      </c>
      <c r="L19" s="269"/>
      <c r="M19" s="274"/>
      <c r="N19" s="274"/>
      <c r="O19" s="269" t="s">
        <v>364</v>
      </c>
      <c r="P19" s="269"/>
      <c r="Q19" s="269"/>
      <c r="R19" s="269"/>
      <c r="S19" s="269"/>
      <c r="T19" s="269"/>
      <c r="U19" s="269"/>
      <c r="V19" s="269"/>
      <c r="W19" s="269"/>
      <c r="X19" s="316">
        <v>1</v>
      </c>
      <c r="Y19" s="270">
        <v>41689</v>
      </c>
      <c r="Z19" s="271">
        <v>0.68743055555555566</v>
      </c>
      <c r="AA19" s="269"/>
      <c r="AB19" s="270"/>
      <c r="AC19" s="271"/>
      <c r="AD19" s="269"/>
      <c r="AE19" s="269"/>
      <c r="AF19" s="269"/>
      <c r="AG19" s="269"/>
      <c r="AH19" s="269"/>
      <c r="AI19" s="269"/>
      <c r="AJ19" s="269"/>
      <c r="AK19" s="269"/>
      <c r="AN19" s="273"/>
    </row>
    <row r="20" spans="2:40" hidden="1">
      <c r="B20" s="265">
        <f t="shared" si="3"/>
        <v>0</v>
      </c>
      <c r="C20" s="265">
        <f t="shared" si="0"/>
        <v>0</v>
      </c>
      <c r="D20" s="264"/>
      <c r="F20" s="267">
        <f t="shared" si="4"/>
        <v>0</v>
      </c>
      <c r="G20" s="266">
        <v>19</v>
      </c>
      <c r="H20" s="266" t="str">
        <f t="shared" si="1"/>
        <v/>
      </c>
      <c r="I20" s="268" t="str">
        <f t="shared" si="2"/>
        <v/>
      </c>
      <c r="N20" s="274"/>
      <c r="O20" s="269" t="s">
        <v>365</v>
      </c>
      <c r="P20" s="269" t="s">
        <v>366</v>
      </c>
      <c r="Q20" s="269" t="s">
        <v>366</v>
      </c>
      <c r="R20" s="269" t="s">
        <v>367</v>
      </c>
      <c r="S20" s="269"/>
      <c r="T20" s="269"/>
      <c r="U20" s="269"/>
      <c r="V20" s="274"/>
      <c r="W20" s="274"/>
      <c r="X20" s="316">
        <v>1</v>
      </c>
      <c r="Y20" s="270">
        <v>41690</v>
      </c>
      <c r="Z20" s="271">
        <v>0.64325231481481482</v>
      </c>
      <c r="AA20" s="274"/>
      <c r="AB20" s="270"/>
      <c r="AC20" s="271"/>
      <c r="AD20" s="274"/>
      <c r="AE20" s="274"/>
      <c r="AF20" s="274"/>
      <c r="AG20" s="274"/>
      <c r="AH20" s="274"/>
      <c r="AI20" s="274"/>
      <c r="AJ20" s="274"/>
      <c r="AK20" s="269"/>
      <c r="AN20" s="273"/>
    </row>
    <row r="21" spans="2:40" hidden="1">
      <c r="B21" s="265">
        <f t="shared" si="3"/>
        <v>0</v>
      </c>
      <c r="C21" s="265">
        <f t="shared" si="0"/>
        <v>0</v>
      </c>
      <c r="D21" s="264"/>
      <c r="F21" s="267">
        <f t="shared" si="4"/>
        <v>0</v>
      </c>
      <c r="G21" s="266">
        <v>20</v>
      </c>
      <c r="H21" s="266" t="str">
        <f t="shared" si="1"/>
        <v/>
      </c>
      <c r="I21" s="268" t="str">
        <f t="shared" si="2"/>
        <v/>
      </c>
      <c r="N21" s="274"/>
      <c r="O21" s="269" t="s">
        <v>368</v>
      </c>
      <c r="P21" s="269" t="s">
        <v>369</v>
      </c>
      <c r="Q21" s="269" t="s">
        <v>370</v>
      </c>
      <c r="R21" s="269" t="s">
        <v>371</v>
      </c>
      <c r="S21" s="269"/>
      <c r="T21" s="269"/>
      <c r="U21" s="269"/>
      <c r="V21" s="274"/>
      <c r="W21" s="274"/>
      <c r="X21" s="316">
        <v>1</v>
      </c>
      <c r="Y21" s="270">
        <v>41695</v>
      </c>
      <c r="Z21" s="271">
        <v>0.63009259259259254</v>
      </c>
      <c r="AA21" s="274"/>
      <c r="AB21" s="270"/>
      <c r="AC21" s="271"/>
      <c r="AD21" s="274"/>
      <c r="AE21" s="274"/>
      <c r="AF21" s="274"/>
      <c r="AG21" s="274"/>
      <c r="AH21" s="274"/>
      <c r="AI21" s="274"/>
      <c r="AJ21" s="274"/>
      <c r="AK21" s="269"/>
      <c r="AN21" s="273"/>
    </row>
    <row r="22" spans="2:40" hidden="1">
      <c r="B22" s="265">
        <f t="shared" si="3"/>
        <v>0</v>
      </c>
      <c r="C22" s="265">
        <f t="shared" si="0"/>
        <v>0</v>
      </c>
      <c r="D22" s="264"/>
      <c r="F22" s="267">
        <f t="shared" si="4"/>
        <v>0</v>
      </c>
      <c r="G22" s="266">
        <v>21</v>
      </c>
      <c r="H22" s="266" t="str">
        <f t="shared" si="1"/>
        <v/>
      </c>
      <c r="I22" s="268" t="str">
        <f t="shared" si="2"/>
        <v/>
      </c>
      <c r="K22" s="265" t="str">
        <f t="shared" ref="K22:K31" si="8">Q22</f>
        <v>FSH</v>
      </c>
      <c r="L22" s="269" t="str">
        <f t="shared" ref="L22:L31" si="9">O22&amp;Q22</f>
        <v>103 / 4 FSH</v>
      </c>
      <c r="M22" s="274">
        <f t="shared" ref="M22:M31" si="10">R22</f>
        <v>0.04</v>
      </c>
      <c r="N22" s="274"/>
      <c r="O22" s="269" t="s">
        <v>713</v>
      </c>
      <c r="P22" s="269" t="s">
        <v>718</v>
      </c>
      <c r="Q22" s="269" t="s">
        <v>719</v>
      </c>
      <c r="R22" s="274">
        <v>0.04</v>
      </c>
      <c r="S22" s="274"/>
      <c r="T22" s="274"/>
      <c r="U22" s="274"/>
      <c r="V22" s="274"/>
      <c r="W22" s="274"/>
      <c r="X22" s="316">
        <v>1</v>
      </c>
      <c r="Y22" s="270">
        <v>41705</v>
      </c>
      <c r="Z22" s="271">
        <v>0.49797453703703703</v>
      </c>
      <c r="AA22" s="274"/>
      <c r="AB22" s="270"/>
      <c r="AC22" s="271"/>
      <c r="AD22" s="274"/>
      <c r="AE22" s="274"/>
      <c r="AF22" s="274"/>
      <c r="AG22" s="274"/>
      <c r="AH22" s="274"/>
      <c r="AI22" s="274"/>
      <c r="AJ22" s="274"/>
      <c r="AN22" s="273"/>
    </row>
    <row r="23" spans="2:40" hidden="1">
      <c r="B23" s="265">
        <f t="shared" si="3"/>
        <v>0</v>
      </c>
      <c r="C23" s="265">
        <f t="shared" si="0"/>
        <v>0</v>
      </c>
      <c r="D23" s="264"/>
      <c r="F23" s="267">
        <f t="shared" si="4"/>
        <v>0</v>
      </c>
      <c r="G23" s="266">
        <v>22</v>
      </c>
      <c r="H23" s="266" t="str">
        <f t="shared" si="1"/>
        <v/>
      </c>
      <c r="I23" s="268" t="str">
        <f t="shared" si="2"/>
        <v/>
      </c>
      <c r="K23" s="265" t="str">
        <f t="shared" si="8"/>
        <v>FSLA</v>
      </c>
      <c r="L23" s="269" t="str">
        <f t="shared" si="9"/>
        <v>103 / 4 FSLA</v>
      </c>
      <c r="M23" s="274">
        <f t="shared" si="10"/>
        <v>0.04</v>
      </c>
      <c r="N23" s="274"/>
      <c r="O23" s="269" t="s">
        <v>713</v>
      </c>
      <c r="P23" s="269" t="s">
        <v>376</v>
      </c>
      <c r="Q23" s="269" t="s">
        <v>377</v>
      </c>
      <c r="R23" s="274">
        <v>0.04</v>
      </c>
      <c r="S23" s="274"/>
      <c r="T23" s="274"/>
      <c r="U23" s="274"/>
      <c r="V23" s="274"/>
      <c r="W23" s="274"/>
      <c r="X23" s="316">
        <v>1</v>
      </c>
      <c r="Y23" s="270">
        <v>41708</v>
      </c>
      <c r="Z23" s="271">
        <v>0.4553935185185185</v>
      </c>
      <c r="AA23" s="274"/>
      <c r="AB23" s="270"/>
      <c r="AC23" s="271"/>
      <c r="AD23" s="274"/>
      <c r="AE23" s="274"/>
      <c r="AF23" s="274"/>
      <c r="AG23" s="274"/>
      <c r="AH23" s="274"/>
      <c r="AI23" s="274"/>
      <c r="AJ23" s="274"/>
      <c r="AN23" s="273"/>
    </row>
    <row r="24" spans="2:40" hidden="1">
      <c r="B24" s="265">
        <f t="shared" si="3"/>
        <v>0</v>
      </c>
      <c r="C24" s="265">
        <f t="shared" si="0"/>
        <v>0</v>
      </c>
      <c r="D24" s="264"/>
      <c r="F24" s="267">
        <f t="shared" si="4"/>
        <v>0</v>
      </c>
      <c r="G24" s="266">
        <v>23</v>
      </c>
      <c r="H24" s="266" t="str">
        <f t="shared" si="1"/>
        <v/>
      </c>
      <c r="I24" s="268" t="str">
        <f t="shared" si="2"/>
        <v/>
      </c>
      <c r="K24" s="265" t="str">
        <f t="shared" si="8"/>
        <v>ISB</v>
      </c>
      <c r="L24" s="269" t="str">
        <f t="shared" si="9"/>
        <v>103 / 4 ISB</v>
      </c>
      <c r="M24" s="274">
        <f t="shared" si="10"/>
        <v>2.7E-2</v>
      </c>
      <c r="N24" s="274"/>
      <c r="O24" s="269" t="s">
        <v>713</v>
      </c>
      <c r="P24" s="269" t="s">
        <v>378</v>
      </c>
      <c r="Q24" s="269" t="s">
        <v>379</v>
      </c>
      <c r="R24" s="274">
        <v>2.7E-2</v>
      </c>
      <c r="S24" s="274"/>
      <c r="T24" s="274"/>
      <c r="U24" s="274"/>
      <c r="V24" s="274"/>
      <c r="W24" s="274"/>
      <c r="X24" s="316">
        <v>1</v>
      </c>
      <c r="Y24" s="270">
        <v>41708</v>
      </c>
      <c r="Z24" s="271">
        <v>0.46505787037037033</v>
      </c>
      <c r="AA24" s="274"/>
      <c r="AB24" s="274"/>
      <c r="AC24" s="274"/>
      <c r="AD24" s="274"/>
      <c r="AE24" s="274"/>
      <c r="AF24" s="274"/>
      <c r="AG24" s="274"/>
      <c r="AH24" s="274"/>
      <c r="AI24" s="274"/>
      <c r="AJ24" s="274"/>
      <c r="AN24" s="273"/>
    </row>
    <row r="25" spans="2:40" hidden="1">
      <c r="B25" s="265">
        <f t="shared" si="3"/>
        <v>0</v>
      </c>
      <c r="C25" s="265">
        <f t="shared" si="0"/>
        <v>0</v>
      </c>
      <c r="D25" s="264"/>
      <c r="F25" s="267">
        <f t="shared" si="4"/>
        <v>0</v>
      </c>
      <c r="G25" s="266">
        <v>24</v>
      </c>
      <c r="H25" s="266" t="str">
        <f t="shared" si="1"/>
        <v/>
      </c>
      <c r="I25" s="268" t="str">
        <f t="shared" si="2"/>
        <v/>
      </c>
      <c r="K25" s="265" t="str">
        <f t="shared" si="8"/>
        <v>IWD</v>
      </c>
      <c r="L25" s="269" t="str">
        <f t="shared" si="9"/>
        <v>103 / 4 IWD</v>
      </c>
      <c r="M25" s="274">
        <f t="shared" si="10"/>
        <v>2.7E-2</v>
      </c>
      <c r="N25" s="274"/>
      <c r="O25" s="269" t="s">
        <v>713</v>
      </c>
      <c r="P25" s="269" t="s">
        <v>538</v>
      </c>
      <c r="Q25" s="269" t="s">
        <v>509</v>
      </c>
      <c r="R25" s="274">
        <v>2.7E-2</v>
      </c>
      <c r="S25" s="274"/>
      <c r="T25" s="274"/>
      <c r="U25" s="274"/>
      <c r="V25" s="274"/>
      <c r="W25" s="274"/>
      <c r="X25" s="316">
        <v>1</v>
      </c>
      <c r="Y25" s="270">
        <v>41708</v>
      </c>
      <c r="Z25" s="271">
        <v>0.46802083333333333</v>
      </c>
      <c r="AA25" s="274"/>
      <c r="AB25" s="274"/>
      <c r="AC25" s="274"/>
      <c r="AD25" s="274"/>
      <c r="AE25" s="274"/>
      <c r="AF25" s="274"/>
      <c r="AG25" s="274"/>
      <c r="AH25" s="274"/>
      <c r="AI25" s="274"/>
      <c r="AJ25" s="274"/>
      <c r="AN25" s="273"/>
    </row>
    <row r="26" spans="2:40" hidden="1">
      <c r="B26" s="265">
        <f t="shared" si="3"/>
        <v>0</v>
      </c>
      <c r="C26" s="265">
        <f t="shared" si="0"/>
        <v>0</v>
      </c>
      <c r="D26" s="264"/>
      <c r="F26" s="267">
        <f t="shared" si="4"/>
        <v>0</v>
      </c>
      <c r="G26" s="266"/>
      <c r="H26" s="266"/>
      <c r="I26" s="268"/>
      <c r="K26" s="265" t="str">
        <f t="shared" si="8"/>
        <v>IWE</v>
      </c>
      <c r="L26" s="269" t="str">
        <f t="shared" si="9"/>
        <v>103 / 4 IWE</v>
      </c>
      <c r="M26" s="274">
        <f t="shared" si="10"/>
        <v>2.7E-2</v>
      </c>
      <c r="N26" s="274"/>
      <c r="O26" s="269" t="s">
        <v>713</v>
      </c>
      <c r="P26" s="269" t="s">
        <v>573</v>
      </c>
      <c r="Q26" s="269" t="s">
        <v>705</v>
      </c>
      <c r="R26" s="274">
        <v>2.7E-2</v>
      </c>
      <c r="S26" s="274"/>
      <c r="T26" s="274"/>
      <c r="U26" s="274"/>
      <c r="V26" s="274"/>
      <c r="W26" s="274"/>
      <c r="X26" s="316">
        <v>1</v>
      </c>
      <c r="Y26" s="270">
        <v>41709</v>
      </c>
      <c r="Z26" s="271">
        <v>0.62101851851851853</v>
      </c>
      <c r="AA26" s="274"/>
      <c r="AB26" s="274"/>
      <c r="AC26" s="274"/>
      <c r="AD26" s="274"/>
      <c r="AE26" s="274"/>
      <c r="AF26" s="274"/>
      <c r="AG26" s="274"/>
      <c r="AH26" s="274"/>
      <c r="AI26" s="274"/>
      <c r="AJ26" s="274"/>
      <c r="AN26" s="273"/>
    </row>
    <row r="27" spans="2:40" hidden="1">
      <c r="B27" s="265">
        <f t="shared" si="3"/>
        <v>0</v>
      </c>
      <c r="C27" s="265">
        <f t="shared" si="0"/>
        <v>0</v>
      </c>
      <c r="D27" s="264"/>
      <c r="F27" s="267">
        <f t="shared" si="4"/>
        <v>0</v>
      </c>
      <c r="H27" s="276" t="s">
        <v>572</v>
      </c>
      <c r="I27" s="277">
        <f ca="1">MAX(I2:I26)</f>
        <v>2.69E-2</v>
      </c>
      <c r="K27" s="265" t="str">
        <f t="shared" si="8"/>
        <v>SXS</v>
      </c>
      <c r="L27" s="269" t="str">
        <f t="shared" si="9"/>
        <v>103 / 4 SXS</v>
      </c>
      <c r="M27" s="274">
        <f t="shared" si="10"/>
        <v>2.7E-2</v>
      </c>
      <c r="N27" s="274"/>
      <c r="O27" s="269" t="s">
        <v>713</v>
      </c>
      <c r="P27" s="269" t="s">
        <v>565</v>
      </c>
      <c r="Q27" s="269" t="s">
        <v>712</v>
      </c>
      <c r="R27" s="274">
        <v>2.7E-2</v>
      </c>
      <c r="S27" s="274"/>
      <c r="T27" s="274"/>
      <c r="U27" s="274"/>
      <c r="V27" s="274"/>
      <c r="W27" s="274"/>
      <c r="X27" s="316">
        <v>1</v>
      </c>
      <c r="Y27" s="270">
        <v>41710</v>
      </c>
      <c r="Z27" s="271">
        <v>0.60702546296296289</v>
      </c>
      <c r="AA27" s="274"/>
      <c r="AB27" s="274"/>
      <c r="AC27" s="274"/>
      <c r="AD27" s="274"/>
      <c r="AE27" s="274"/>
      <c r="AF27" s="274"/>
      <c r="AG27" s="274"/>
      <c r="AH27" s="274"/>
      <c r="AI27" s="274"/>
      <c r="AJ27" s="274"/>
      <c r="AN27" s="273"/>
    </row>
    <row r="28" spans="2:40" hidden="1">
      <c r="B28" s="265">
        <f t="shared" si="3"/>
        <v>0</v>
      </c>
      <c r="C28" s="265">
        <f t="shared" si="0"/>
        <v>0</v>
      </c>
      <c r="D28" s="264"/>
      <c r="F28" s="267">
        <f t="shared" si="4"/>
        <v>0</v>
      </c>
      <c r="K28" s="265" t="str">
        <f t="shared" si="8"/>
        <v>XS20</v>
      </c>
      <c r="L28" s="269" t="str">
        <f t="shared" si="9"/>
        <v>103 / 4 XS20</v>
      </c>
      <c r="M28" s="274">
        <f t="shared" si="10"/>
        <v>2.7E-2</v>
      </c>
      <c r="N28" s="274"/>
      <c r="O28" s="269" t="s">
        <v>713</v>
      </c>
      <c r="P28" s="269" t="s">
        <v>565</v>
      </c>
      <c r="Q28" s="269" t="s">
        <v>566</v>
      </c>
      <c r="R28" s="274">
        <v>2.7E-2</v>
      </c>
      <c r="S28" s="274"/>
      <c r="T28" s="274"/>
      <c r="U28" s="274"/>
      <c r="V28" s="274"/>
      <c r="W28" s="274"/>
      <c r="X28" s="316">
        <v>1</v>
      </c>
      <c r="Y28" s="270">
        <v>41729</v>
      </c>
      <c r="Z28" s="271">
        <v>0.44464120370370369</v>
      </c>
      <c r="AA28" s="274"/>
      <c r="AB28" s="274"/>
      <c r="AC28" s="274"/>
      <c r="AD28" s="274"/>
      <c r="AE28" s="274"/>
      <c r="AF28" s="274"/>
      <c r="AG28" s="274"/>
      <c r="AH28" s="274"/>
      <c r="AI28" s="274"/>
      <c r="AJ28" s="274"/>
      <c r="AN28" s="273"/>
    </row>
    <row r="29" spans="2:40" hidden="1">
      <c r="B29" s="265">
        <f t="shared" si="3"/>
        <v>0</v>
      </c>
      <c r="C29" s="265">
        <f t="shared" si="0"/>
        <v>0</v>
      </c>
      <c r="D29" s="264"/>
      <c r="F29" s="267">
        <f t="shared" si="4"/>
        <v>0</v>
      </c>
      <c r="K29" s="265" t="str">
        <f t="shared" si="8"/>
        <v>XSEA</v>
      </c>
      <c r="L29" s="269" t="str">
        <f t="shared" si="9"/>
        <v>103 / 4 XSEA</v>
      </c>
      <c r="M29" s="274">
        <f t="shared" si="10"/>
        <v>2.7E-2</v>
      </c>
      <c r="N29" s="274"/>
      <c r="O29" s="269" t="s">
        <v>713</v>
      </c>
      <c r="P29" s="269" t="s">
        <v>380</v>
      </c>
      <c r="Q29" s="269" t="s">
        <v>381</v>
      </c>
      <c r="R29" s="274">
        <v>2.7E-2</v>
      </c>
      <c r="S29" s="274"/>
      <c r="T29" s="274"/>
      <c r="U29" s="274"/>
      <c r="V29" s="274"/>
      <c r="W29" s="274"/>
      <c r="X29" s="316">
        <v>1</v>
      </c>
      <c r="Y29" s="270">
        <v>41731</v>
      </c>
      <c r="Z29" s="271">
        <v>0.63906249999999998</v>
      </c>
      <c r="AA29" s="274"/>
      <c r="AB29" s="274"/>
      <c r="AC29" s="274"/>
      <c r="AD29" s="274"/>
      <c r="AE29" s="274"/>
      <c r="AF29" s="274"/>
      <c r="AG29" s="274"/>
      <c r="AH29" s="274"/>
      <c r="AI29" s="274"/>
      <c r="AJ29" s="274"/>
      <c r="AN29" s="273"/>
    </row>
    <row r="30" spans="2:40" hidden="1">
      <c r="B30" s="265">
        <f t="shared" si="3"/>
        <v>0</v>
      </c>
      <c r="C30" s="265">
        <f t="shared" si="0"/>
        <v>0</v>
      </c>
      <c r="D30" s="264"/>
      <c r="F30" s="267">
        <f t="shared" si="4"/>
        <v>0</v>
      </c>
      <c r="K30" s="265" t="str">
        <f t="shared" si="8"/>
        <v>XSF</v>
      </c>
      <c r="L30" s="269" t="str">
        <f t="shared" si="9"/>
        <v>103 / 4 XSF</v>
      </c>
      <c r="M30" s="274">
        <f t="shared" si="10"/>
        <v>2.7E-2</v>
      </c>
      <c r="N30" s="274"/>
      <c r="O30" s="269" t="s">
        <v>713</v>
      </c>
      <c r="P30" s="269" t="s">
        <v>382</v>
      </c>
      <c r="Q30" s="269" t="s">
        <v>383</v>
      </c>
      <c r="R30" s="274">
        <v>2.7E-2</v>
      </c>
      <c r="S30" s="274"/>
      <c r="T30" s="274"/>
      <c r="U30" s="274"/>
      <c r="V30" s="274"/>
      <c r="W30" s="274"/>
      <c r="X30" s="316">
        <v>1</v>
      </c>
      <c r="Y30" s="270">
        <v>41731</v>
      </c>
      <c r="Z30" s="271">
        <v>0.64721064814814822</v>
      </c>
      <c r="AA30" s="274"/>
      <c r="AB30" s="274"/>
      <c r="AC30" s="274"/>
      <c r="AD30" s="274"/>
      <c r="AE30" s="274"/>
      <c r="AF30" s="274"/>
      <c r="AG30" s="274"/>
      <c r="AH30" s="274"/>
      <c r="AI30" s="274"/>
      <c r="AJ30" s="274"/>
      <c r="AN30" s="273"/>
    </row>
    <row r="31" spans="2:40" hidden="1">
      <c r="B31" s="265">
        <f t="shared" si="3"/>
        <v>0</v>
      </c>
      <c r="C31" s="265">
        <f t="shared" si="0"/>
        <v>0</v>
      </c>
      <c r="D31" s="264"/>
      <c r="F31" s="267">
        <f t="shared" si="4"/>
        <v>0</v>
      </c>
      <c r="K31" s="265" t="str">
        <f t="shared" si="8"/>
        <v>XSG</v>
      </c>
      <c r="L31" s="269" t="str">
        <f t="shared" si="9"/>
        <v>103 / 4 XSG</v>
      </c>
      <c r="M31" s="274">
        <f t="shared" si="10"/>
        <v>2.7E-2</v>
      </c>
      <c r="N31" s="274"/>
      <c r="O31" s="269" t="s">
        <v>713</v>
      </c>
      <c r="P31" s="269" t="s">
        <v>384</v>
      </c>
      <c r="Q31" s="269" t="s">
        <v>385</v>
      </c>
      <c r="R31" s="274">
        <v>2.7E-2</v>
      </c>
      <c r="S31" s="274"/>
      <c r="T31" s="274"/>
      <c r="U31" s="274"/>
      <c r="V31" s="274"/>
      <c r="W31" s="274"/>
      <c r="X31" s="316">
        <v>1</v>
      </c>
      <c r="Y31" s="270">
        <v>41731</v>
      </c>
      <c r="Z31" s="271">
        <v>0.65471064814814817</v>
      </c>
      <c r="AA31" s="274"/>
      <c r="AB31" s="274"/>
      <c r="AC31" s="274"/>
      <c r="AD31" s="274"/>
      <c r="AE31" s="274"/>
      <c r="AF31" s="274"/>
      <c r="AG31" s="274"/>
      <c r="AH31" s="274"/>
      <c r="AI31" s="274"/>
      <c r="AJ31" s="274"/>
      <c r="AN31" s="273"/>
    </row>
    <row r="32" spans="2:40" hidden="1">
      <c r="B32" s="265">
        <f t="shared" si="3"/>
        <v>0</v>
      </c>
      <c r="C32" s="265">
        <f t="shared" si="0"/>
        <v>0</v>
      </c>
      <c r="D32" s="264"/>
      <c r="F32" s="267">
        <f t="shared" si="4"/>
        <v>0</v>
      </c>
      <c r="L32" s="269"/>
      <c r="M32" s="274"/>
      <c r="N32" s="274"/>
      <c r="O32" s="269" t="s">
        <v>720</v>
      </c>
      <c r="P32" s="269"/>
      <c r="Q32" s="269"/>
      <c r="R32" s="274"/>
      <c r="S32" s="274"/>
      <c r="T32" s="274"/>
      <c r="U32" s="274"/>
      <c r="X32" s="317">
        <v>1</v>
      </c>
      <c r="Y32" s="272">
        <v>41732</v>
      </c>
      <c r="Z32" s="273">
        <v>0.47083333333333338</v>
      </c>
      <c r="AN32" s="273"/>
    </row>
    <row r="33" spans="2:36" hidden="1">
      <c r="B33" s="265">
        <f t="shared" si="3"/>
        <v>0</v>
      </c>
      <c r="C33" s="265">
        <f t="shared" si="0"/>
        <v>0</v>
      </c>
      <c r="D33" s="264"/>
      <c r="F33" s="267">
        <f t="shared" si="4"/>
        <v>0</v>
      </c>
      <c r="L33" s="269"/>
      <c r="M33" s="274"/>
      <c r="N33" s="274"/>
      <c r="O33" s="269" t="s">
        <v>571</v>
      </c>
      <c r="P33" s="269"/>
      <c r="Q33" s="269"/>
      <c r="R33" s="274"/>
      <c r="S33" s="274"/>
      <c r="T33" s="274"/>
      <c r="U33" s="274"/>
      <c r="V33" s="269"/>
      <c r="W33" s="269"/>
      <c r="X33" s="316">
        <v>1</v>
      </c>
      <c r="Y33" s="270">
        <v>41732</v>
      </c>
      <c r="Z33" s="271">
        <v>0.71952546296296294</v>
      </c>
      <c r="AA33" s="269"/>
      <c r="AB33" s="269"/>
      <c r="AC33" s="269"/>
      <c r="AD33" s="269"/>
      <c r="AE33" s="269"/>
      <c r="AF33" s="269"/>
      <c r="AG33" s="269"/>
      <c r="AH33" s="269"/>
      <c r="AI33" s="269"/>
      <c r="AJ33" s="269"/>
    </row>
    <row r="34" spans="2:36" hidden="1">
      <c r="B34" s="265">
        <f t="shared" si="3"/>
        <v>0</v>
      </c>
      <c r="C34" s="265">
        <f t="shared" si="0"/>
        <v>0</v>
      </c>
      <c r="D34" s="264"/>
      <c r="F34" s="267">
        <f t="shared" si="4"/>
        <v>0</v>
      </c>
      <c r="L34" s="269"/>
      <c r="M34" s="274"/>
      <c r="N34" s="274"/>
      <c r="V34" s="269"/>
      <c r="W34" s="269"/>
      <c r="X34" s="316">
        <v>1</v>
      </c>
      <c r="Y34" s="270">
        <v>41736</v>
      </c>
      <c r="Z34" s="271">
        <v>0.40942129629629626</v>
      </c>
      <c r="AA34" s="269"/>
      <c r="AB34" s="269"/>
      <c r="AC34" s="269"/>
      <c r="AD34" s="269"/>
      <c r="AE34" s="269"/>
      <c r="AF34" s="269"/>
      <c r="AG34" s="269"/>
      <c r="AH34" s="269"/>
      <c r="AI34" s="269"/>
      <c r="AJ34" s="269"/>
    </row>
    <row r="35" spans="2:36" hidden="1">
      <c r="B35" s="265">
        <f t="shared" si="3"/>
        <v>0</v>
      </c>
      <c r="C35" s="265">
        <f t="shared" si="0"/>
        <v>0</v>
      </c>
      <c r="D35" s="264"/>
      <c r="F35" s="267">
        <f t="shared" si="4"/>
        <v>0</v>
      </c>
      <c r="L35" s="269"/>
      <c r="M35" s="274"/>
      <c r="N35" s="274"/>
      <c r="O35" s="269" t="s">
        <v>364</v>
      </c>
      <c r="P35" s="269"/>
      <c r="Q35" s="269"/>
      <c r="R35" s="269"/>
      <c r="S35" s="269"/>
      <c r="T35" s="269"/>
      <c r="U35" s="269"/>
      <c r="V35" s="269"/>
      <c r="W35" s="269"/>
      <c r="X35" s="316">
        <v>1</v>
      </c>
      <c r="Y35" s="270">
        <v>41736</v>
      </c>
      <c r="Z35" s="271">
        <v>0.46527777777777773</v>
      </c>
      <c r="AA35" s="269"/>
      <c r="AB35" s="269"/>
      <c r="AC35" s="269"/>
      <c r="AD35" s="269"/>
      <c r="AE35" s="269"/>
      <c r="AF35" s="269"/>
      <c r="AG35" s="269"/>
      <c r="AH35" s="269"/>
      <c r="AI35" s="269"/>
      <c r="AJ35" s="269"/>
    </row>
    <row r="36" spans="2:36" hidden="1">
      <c r="B36" s="265">
        <f t="shared" si="3"/>
        <v>0</v>
      </c>
      <c r="C36" s="265">
        <f t="shared" si="0"/>
        <v>0</v>
      </c>
      <c r="D36" s="264"/>
      <c r="F36" s="267">
        <f t="shared" si="4"/>
        <v>0</v>
      </c>
      <c r="N36" s="274"/>
      <c r="O36" s="269" t="s">
        <v>365</v>
      </c>
      <c r="P36" s="269" t="s">
        <v>366</v>
      </c>
      <c r="Q36" s="269" t="s">
        <v>366</v>
      </c>
      <c r="R36" s="269" t="s">
        <v>367</v>
      </c>
      <c r="S36" s="269"/>
      <c r="T36" s="269"/>
      <c r="U36" s="269"/>
      <c r="V36" s="274"/>
      <c r="W36" s="274"/>
      <c r="X36" s="316">
        <v>1</v>
      </c>
      <c r="Y36" s="270">
        <v>41736</v>
      </c>
      <c r="Z36" s="271">
        <v>0.53793981481481479</v>
      </c>
      <c r="AA36" s="274"/>
      <c r="AB36" s="274"/>
      <c r="AC36" s="274"/>
      <c r="AD36" s="274"/>
      <c r="AE36" s="274"/>
      <c r="AF36" s="274"/>
      <c r="AG36" s="274"/>
      <c r="AH36" s="274"/>
      <c r="AI36" s="274"/>
      <c r="AJ36" s="274"/>
    </row>
    <row r="37" spans="2:36" hidden="1">
      <c r="B37" s="265">
        <f t="shared" si="3"/>
        <v>0</v>
      </c>
      <c r="C37" s="265">
        <f t="shared" si="0"/>
        <v>0</v>
      </c>
      <c r="D37" s="264"/>
      <c r="F37" s="267">
        <f t="shared" si="4"/>
        <v>0</v>
      </c>
      <c r="N37" s="274"/>
      <c r="O37" s="269" t="s">
        <v>368</v>
      </c>
      <c r="P37" s="269" t="s">
        <v>369</v>
      </c>
      <c r="Q37" s="269" t="s">
        <v>370</v>
      </c>
      <c r="R37" s="269" t="s">
        <v>371</v>
      </c>
      <c r="S37" s="269"/>
      <c r="T37" s="269"/>
      <c r="U37" s="269"/>
      <c r="V37" s="274"/>
      <c r="W37" s="274"/>
      <c r="X37" s="316">
        <v>1</v>
      </c>
      <c r="Y37" s="270">
        <v>41736</v>
      </c>
      <c r="Z37" s="271">
        <v>0.60923611111111109</v>
      </c>
      <c r="AA37" s="274"/>
      <c r="AB37" s="274"/>
      <c r="AC37" s="274"/>
      <c r="AD37" s="274"/>
      <c r="AE37" s="274"/>
      <c r="AF37" s="274"/>
      <c r="AG37" s="274"/>
      <c r="AH37" s="274"/>
      <c r="AI37" s="274"/>
      <c r="AJ37" s="274"/>
    </row>
    <row r="38" spans="2:36" hidden="1">
      <c r="B38" s="265">
        <f t="shared" si="3"/>
        <v>0</v>
      </c>
      <c r="C38" s="265">
        <f t="shared" si="0"/>
        <v>0</v>
      </c>
      <c r="D38" s="264"/>
      <c r="F38" s="267">
        <f t="shared" si="4"/>
        <v>0</v>
      </c>
      <c r="K38" s="265" t="str">
        <f t="shared" ref="K38:K46" si="11">Q38</f>
        <v>XSH</v>
      </c>
      <c r="L38" s="269" t="str">
        <f t="shared" ref="L38:L46" si="12">O38&amp;Q38</f>
        <v>103 / 4 XSH</v>
      </c>
      <c r="M38" s="274">
        <f t="shared" ref="M38:M46" si="13">R38</f>
        <v>2.7E-2</v>
      </c>
      <c r="N38" s="274"/>
      <c r="O38" s="269" t="s">
        <v>713</v>
      </c>
      <c r="P38" s="269" t="s">
        <v>386</v>
      </c>
      <c r="Q38" s="269" t="s">
        <v>771</v>
      </c>
      <c r="R38" s="274">
        <v>2.7E-2</v>
      </c>
      <c r="S38" s="274"/>
      <c r="T38" s="274"/>
      <c r="U38" s="274"/>
      <c r="V38" s="274"/>
      <c r="W38" s="274"/>
      <c r="X38" s="316">
        <v>1</v>
      </c>
      <c r="Y38" s="270">
        <v>41736</v>
      </c>
      <c r="Z38" s="271">
        <v>0.62089120370370365</v>
      </c>
      <c r="AA38" s="274"/>
      <c r="AB38" s="274"/>
      <c r="AC38" s="274"/>
      <c r="AD38" s="274"/>
      <c r="AE38" s="274"/>
      <c r="AF38" s="274"/>
      <c r="AG38" s="274"/>
      <c r="AH38" s="274"/>
      <c r="AI38" s="274"/>
      <c r="AJ38" s="274"/>
    </row>
    <row r="39" spans="2:36" hidden="1">
      <c r="B39" s="265">
        <f t="shared" si="3"/>
        <v>0</v>
      </c>
      <c r="C39" s="265">
        <f t="shared" si="0"/>
        <v>0</v>
      </c>
      <c r="D39" s="264"/>
      <c r="F39" s="267">
        <f t="shared" si="4"/>
        <v>0</v>
      </c>
      <c r="K39" s="265" t="str">
        <f t="shared" si="11"/>
        <v>XSK</v>
      </c>
      <c r="L39" s="269" t="str">
        <f t="shared" si="12"/>
        <v>103 / 4 XSK</v>
      </c>
      <c r="M39" s="274">
        <f t="shared" si="13"/>
        <v>2.7E-2</v>
      </c>
      <c r="N39" s="274"/>
      <c r="O39" s="269" t="s">
        <v>713</v>
      </c>
      <c r="P39" s="269" t="s">
        <v>388</v>
      </c>
      <c r="Q39" s="269" t="s">
        <v>389</v>
      </c>
      <c r="R39" s="274">
        <v>2.7E-2</v>
      </c>
      <c r="S39" s="274"/>
      <c r="T39" s="274"/>
      <c r="U39" s="274"/>
      <c r="V39" s="274"/>
      <c r="W39" s="274"/>
      <c r="X39" s="316">
        <v>1</v>
      </c>
      <c r="Y39" s="270">
        <v>41736</v>
      </c>
      <c r="Z39" s="271">
        <v>0.75681712962962966</v>
      </c>
      <c r="AA39" s="274"/>
      <c r="AB39" s="274"/>
      <c r="AC39" s="274"/>
      <c r="AD39" s="274"/>
      <c r="AE39" s="274"/>
      <c r="AF39" s="274"/>
      <c r="AG39" s="274"/>
      <c r="AH39" s="274"/>
      <c r="AI39" s="274"/>
      <c r="AJ39" s="274"/>
    </row>
    <row r="40" spans="2:36" hidden="1">
      <c r="B40" s="265">
        <f t="shared" si="3"/>
        <v>0</v>
      </c>
      <c r="C40" s="265">
        <f t="shared" si="0"/>
        <v>0</v>
      </c>
      <c r="D40" s="264"/>
      <c r="F40" s="267">
        <f t="shared" si="4"/>
        <v>0</v>
      </c>
      <c r="K40" s="265" t="str">
        <f t="shared" si="11"/>
        <v>XSL</v>
      </c>
      <c r="L40" s="269" t="str">
        <f t="shared" si="12"/>
        <v>103 / 4 XSL</v>
      </c>
      <c r="M40" s="274">
        <f t="shared" si="13"/>
        <v>2.7E-2</v>
      </c>
      <c r="N40" s="274"/>
      <c r="O40" s="269" t="s">
        <v>713</v>
      </c>
      <c r="P40" s="269" t="s">
        <v>567</v>
      </c>
      <c r="Q40" s="269" t="s">
        <v>568</v>
      </c>
      <c r="R40" s="274">
        <v>2.7E-2</v>
      </c>
      <c r="S40" s="274"/>
      <c r="T40" s="274"/>
      <c r="U40" s="274"/>
      <c r="V40" s="274"/>
      <c r="W40" s="274"/>
      <c r="X40" s="316">
        <v>1</v>
      </c>
      <c r="Y40" s="270">
        <v>41737</v>
      </c>
      <c r="Z40" s="271">
        <v>0.62107638888888894</v>
      </c>
      <c r="AA40" s="274"/>
      <c r="AB40" s="274"/>
      <c r="AC40" s="274"/>
      <c r="AD40" s="274"/>
      <c r="AE40" s="274"/>
      <c r="AF40" s="274"/>
      <c r="AG40" s="274"/>
      <c r="AH40" s="274"/>
      <c r="AI40" s="274"/>
      <c r="AJ40" s="274"/>
    </row>
    <row r="41" spans="2:36" hidden="1">
      <c r="B41" s="265">
        <f t="shared" si="3"/>
        <v>0</v>
      </c>
      <c r="C41" s="265">
        <f t="shared" si="0"/>
        <v>0</v>
      </c>
      <c r="D41" s="264"/>
      <c r="F41" s="267">
        <f t="shared" si="4"/>
        <v>0</v>
      </c>
      <c r="K41" s="265" t="str">
        <f t="shared" si="11"/>
        <v>XSM</v>
      </c>
      <c r="L41" s="269" t="str">
        <f t="shared" si="12"/>
        <v>103 / 4 XSM</v>
      </c>
      <c r="M41" s="274">
        <f t="shared" si="13"/>
        <v>2.7E-2</v>
      </c>
      <c r="N41" s="274"/>
      <c r="O41" s="269" t="s">
        <v>713</v>
      </c>
      <c r="P41" s="269" t="s">
        <v>569</v>
      </c>
      <c r="Q41" s="269" t="s">
        <v>570</v>
      </c>
      <c r="R41" s="274">
        <v>2.7E-2</v>
      </c>
      <c r="S41" s="274"/>
      <c r="T41" s="274"/>
      <c r="U41" s="274"/>
      <c r="V41" s="274"/>
      <c r="W41" s="274"/>
      <c r="X41" s="316">
        <v>1</v>
      </c>
      <c r="Y41" s="270">
        <v>41738</v>
      </c>
      <c r="Z41" s="271">
        <v>0.46306712962962965</v>
      </c>
      <c r="AA41" s="274"/>
      <c r="AB41" s="274"/>
      <c r="AC41" s="274"/>
      <c r="AD41" s="274"/>
      <c r="AE41" s="274"/>
      <c r="AF41" s="274"/>
      <c r="AG41" s="274"/>
      <c r="AH41" s="274"/>
      <c r="AI41" s="274"/>
      <c r="AJ41" s="274"/>
    </row>
    <row r="42" spans="2:36" hidden="1">
      <c r="B42" s="265">
        <f t="shared" si="3"/>
        <v>0</v>
      </c>
      <c r="C42" s="265">
        <f t="shared" si="0"/>
        <v>0</v>
      </c>
      <c r="D42" s="264"/>
      <c r="F42" s="267">
        <f t="shared" si="4"/>
        <v>0</v>
      </c>
      <c r="K42" s="265" t="str">
        <f t="shared" si="11"/>
        <v>FISB</v>
      </c>
      <c r="L42" s="269" t="str">
        <f t="shared" si="12"/>
        <v>103 / 3 FISB</v>
      </c>
      <c r="M42" s="274">
        <f t="shared" si="13"/>
        <v>0.03</v>
      </c>
      <c r="N42" s="274"/>
      <c r="O42" s="269" t="s">
        <v>721</v>
      </c>
      <c r="P42" s="269" t="s">
        <v>372</v>
      </c>
      <c r="Q42" s="269" t="s">
        <v>373</v>
      </c>
      <c r="R42" s="274">
        <v>0.03</v>
      </c>
      <c r="S42" s="274"/>
      <c r="T42" s="274"/>
      <c r="U42" s="274"/>
      <c r="V42" s="274"/>
      <c r="W42" s="274"/>
      <c r="X42" s="316">
        <v>1</v>
      </c>
      <c r="Y42" s="270">
        <v>41738</v>
      </c>
      <c r="Z42" s="271">
        <v>0.67813657407407402</v>
      </c>
      <c r="AA42" s="274"/>
      <c r="AB42" s="274"/>
      <c r="AC42" s="274"/>
      <c r="AD42" s="274"/>
      <c r="AE42" s="274"/>
      <c r="AF42" s="274"/>
      <c r="AG42" s="274"/>
      <c r="AH42" s="274"/>
      <c r="AI42" s="274"/>
      <c r="AJ42" s="274"/>
    </row>
    <row r="43" spans="2:36" hidden="1">
      <c r="B43" s="265">
        <f t="shared" si="3"/>
        <v>0</v>
      </c>
      <c r="C43" s="265">
        <f t="shared" si="0"/>
        <v>0</v>
      </c>
      <c r="D43" s="264"/>
      <c r="F43" s="267">
        <f t="shared" si="4"/>
        <v>0</v>
      </c>
      <c r="K43" s="265" t="str">
        <f t="shared" si="11"/>
        <v>FSA</v>
      </c>
      <c r="L43" s="269" t="str">
        <f t="shared" si="12"/>
        <v>103 / 3 FSA</v>
      </c>
      <c r="M43" s="274">
        <f t="shared" si="13"/>
        <v>0.04</v>
      </c>
      <c r="N43" s="274"/>
      <c r="O43" s="269" t="s">
        <v>721</v>
      </c>
      <c r="P43" s="269" t="s">
        <v>374</v>
      </c>
      <c r="Q43" s="269" t="s">
        <v>531</v>
      </c>
      <c r="R43" s="274">
        <v>0.04</v>
      </c>
      <c r="S43" s="274"/>
      <c r="T43" s="274"/>
      <c r="U43" s="274"/>
      <c r="V43" s="274"/>
      <c r="W43" s="274"/>
      <c r="X43" s="316">
        <v>1</v>
      </c>
      <c r="Y43" s="270">
        <v>41739</v>
      </c>
      <c r="Z43" s="271">
        <v>0.40233796296296293</v>
      </c>
      <c r="AA43" s="274"/>
      <c r="AB43" s="274"/>
      <c r="AC43" s="274"/>
      <c r="AD43" s="274"/>
      <c r="AE43" s="274"/>
      <c r="AF43" s="274"/>
      <c r="AG43" s="274"/>
      <c r="AH43" s="274"/>
      <c r="AI43" s="274"/>
      <c r="AJ43" s="274"/>
    </row>
    <row r="44" spans="2:36" hidden="1">
      <c r="B44" s="265">
        <f t="shared" si="3"/>
        <v>0</v>
      </c>
      <c r="C44" s="265">
        <f t="shared" si="0"/>
        <v>0</v>
      </c>
      <c r="D44" s="264"/>
      <c r="F44" s="267">
        <f t="shared" si="4"/>
        <v>0</v>
      </c>
      <c r="K44" s="265" t="str">
        <f t="shared" si="11"/>
        <v>FSA1</v>
      </c>
      <c r="L44" s="269" t="str">
        <f t="shared" si="12"/>
        <v>103 / 3 FSA1</v>
      </c>
      <c r="M44" s="274">
        <f t="shared" si="13"/>
        <v>0.04</v>
      </c>
      <c r="N44" s="274"/>
      <c r="O44" s="269" t="s">
        <v>721</v>
      </c>
      <c r="P44" s="269" t="s">
        <v>374</v>
      </c>
      <c r="Q44" s="269" t="s">
        <v>532</v>
      </c>
      <c r="R44" s="274">
        <v>0.04</v>
      </c>
      <c r="S44" s="274"/>
      <c r="T44" s="274"/>
      <c r="U44" s="274"/>
      <c r="V44" s="274"/>
      <c r="W44" s="274"/>
      <c r="X44" s="316">
        <v>1</v>
      </c>
      <c r="Y44" s="270">
        <v>41739</v>
      </c>
      <c r="Z44" s="271">
        <v>0.44812500000000005</v>
      </c>
      <c r="AA44" s="274"/>
      <c r="AB44" s="274"/>
      <c r="AC44" s="274"/>
      <c r="AD44" s="274"/>
      <c r="AE44" s="274"/>
      <c r="AF44" s="274"/>
      <c r="AG44" s="274"/>
      <c r="AH44" s="274"/>
      <c r="AI44" s="274"/>
      <c r="AJ44" s="274"/>
    </row>
    <row r="45" spans="2:36" hidden="1">
      <c r="B45" s="265">
        <f t="shared" si="3"/>
        <v>0</v>
      </c>
      <c r="C45" s="265">
        <f t="shared" si="0"/>
        <v>0</v>
      </c>
      <c r="D45" s="264"/>
      <c r="F45" s="267">
        <f t="shared" si="4"/>
        <v>0</v>
      </c>
      <c r="K45" s="265" t="str">
        <f t="shared" si="11"/>
        <v>FSA2</v>
      </c>
      <c r="L45" s="269" t="str">
        <f t="shared" si="12"/>
        <v>103 / 3 FSA2</v>
      </c>
      <c r="M45" s="274">
        <f t="shared" si="13"/>
        <v>0.04</v>
      </c>
      <c r="N45" s="274"/>
      <c r="O45" s="269" t="s">
        <v>721</v>
      </c>
      <c r="P45" s="269" t="s">
        <v>374</v>
      </c>
      <c r="Q45" s="269" t="s">
        <v>706</v>
      </c>
      <c r="R45" s="274">
        <v>0.04</v>
      </c>
      <c r="S45" s="274"/>
      <c r="T45" s="274"/>
      <c r="U45" s="274"/>
      <c r="V45" s="274"/>
      <c r="W45" s="274"/>
      <c r="X45" s="316">
        <v>1</v>
      </c>
      <c r="Y45" s="270">
        <v>41739</v>
      </c>
      <c r="Z45" s="271">
        <v>0.60318287037037044</v>
      </c>
      <c r="AA45" s="274"/>
      <c r="AB45" s="274"/>
      <c r="AC45" s="274"/>
      <c r="AD45" s="274"/>
      <c r="AE45" s="274"/>
      <c r="AF45" s="274"/>
      <c r="AG45" s="274"/>
      <c r="AH45" s="274"/>
      <c r="AI45" s="274"/>
      <c r="AJ45" s="274"/>
    </row>
    <row r="46" spans="2:36" hidden="1">
      <c r="B46" s="265">
        <f t="shared" si="3"/>
        <v>0</v>
      </c>
      <c r="C46" s="265">
        <f t="shared" si="0"/>
        <v>0</v>
      </c>
      <c r="D46" s="264"/>
      <c r="F46" s="267">
        <f t="shared" si="4"/>
        <v>0</v>
      </c>
      <c r="K46" s="265" t="str">
        <f t="shared" si="11"/>
        <v>FSB</v>
      </c>
      <c r="L46" s="269" t="str">
        <f t="shared" si="12"/>
        <v>103 / 3 FSB</v>
      </c>
      <c r="M46" s="274">
        <f t="shared" si="13"/>
        <v>3.5999999999999997E-2</v>
      </c>
      <c r="N46" s="274"/>
      <c r="O46" s="269" t="s">
        <v>721</v>
      </c>
      <c r="P46" s="269" t="s">
        <v>375</v>
      </c>
      <c r="Q46" s="269" t="s">
        <v>533</v>
      </c>
      <c r="R46" s="274">
        <v>3.5999999999999997E-2</v>
      </c>
      <c r="S46" s="274"/>
      <c r="T46" s="274"/>
      <c r="U46" s="274"/>
      <c r="V46" s="274"/>
      <c r="W46" s="274"/>
      <c r="X46" s="316">
        <v>1</v>
      </c>
      <c r="Y46" s="270">
        <v>41743</v>
      </c>
      <c r="Z46" s="271">
        <v>0.40189814814814812</v>
      </c>
      <c r="AA46" s="274"/>
      <c r="AB46" s="274"/>
      <c r="AC46" s="274"/>
      <c r="AD46" s="274"/>
      <c r="AE46" s="274"/>
      <c r="AF46" s="274"/>
      <c r="AG46" s="274"/>
      <c r="AH46" s="274"/>
      <c r="AI46" s="274"/>
      <c r="AJ46" s="274"/>
    </row>
    <row r="47" spans="2:36" hidden="1">
      <c r="B47" s="265">
        <f t="shared" si="3"/>
        <v>0</v>
      </c>
      <c r="C47" s="265">
        <f t="shared" si="0"/>
        <v>0</v>
      </c>
      <c r="D47" s="264"/>
      <c r="F47" s="267">
        <f t="shared" si="4"/>
        <v>0</v>
      </c>
      <c r="L47" s="269"/>
      <c r="M47" s="274"/>
      <c r="N47" s="274"/>
      <c r="O47" s="269" t="s">
        <v>722</v>
      </c>
      <c r="P47" s="269"/>
      <c r="Q47" s="269"/>
      <c r="R47" s="274"/>
      <c r="S47" s="274"/>
      <c r="T47" s="274"/>
      <c r="U47" s="274"/>
      <c r="V47" s="274"/>
      <c r="W47" s="274"/>
      <c r="X47" s="316">
        <v>1</v>
      </c>
      <c r="Y47" s="270">
        <v>41765</v>
      </c>
      <c r="Z47" s="271">
        <v>0.40358796296296301</v>
      </c>
      <c r="AA47" s="274"/>
      <c r="AB47" s="274"/>
      <c r="AC47" s="274"/>
      <c r="AD47" s="274"/>
      <c r="AE47" s="274"/>
      <c r="AF47" s="274"/>
      <c r="AG47" s="274"/>
      <c r="AH47" s="274"/>
      <c r="AI47" s="274"/>
      <c r="AJ47" s="274"/>
    </row>
    <row r="48" spans="2:36" hidden="1">
      <c r="B48" s="265">
        <f t="shared" si="3"/>
        <v>0</v>
      </c>
      <c r="C48" s="265">
        <f t="shared" si="0"/>
        <v>0</v>
      </c>
      <c r="D48" s="264"/>
      <c r="F48" s="267">
        <f t="shared" si="4"/>
        <v>0</v>
      </c>
      <c r="L48" s="269"/>
      <c r="M48" s="274"/>
      <c r="N48" s="274"/>
      <c r="O48" s="269" t="s">
        <v>571</v>
      </c>
      <c r="P48" s="269"/>
      <c r="Q48" s="269"/>
      <c r="R48" s="274"/>
      <c r="S48" s="274"/>
      <c r="T48" s="274"/>
      <c r="U48" s="274"/>
      <c r="X48" s="317">
        <v>1</v>
      </c>
      <c r="Y48" s="272">
        <v>41766</v>
      </c>
      <c r="Z48" s="273">
        <v>0.61212962962962958</v>
      </c>
    </row>
    <row r="49" spans="2:36" hidden="1">
      <c r="B49" s="265">
        <f t="shared" si="3"/>
        <v>0</v>
      </c>
      <c r="C49" s="265">
        <f t="shared" si="0"/>
        <v>0</v>
      </c>
      <c r="D49" s="264"/>
      <c r="F49" s="267">
        <f t="shared" si="4"/>
        <v>0</v>
      </c>
      <c r="S49" s="274"/>
      <c r="T49" s="274"/>
      <c r="U49" s="274"/>
      <c r="X49" s="316">
        <v>1</v>
      </c>
      <c r="Y49" s="270">
        <v>41768</v>
      </c>
      <c r="Z49" s="271">
        <v>0.38673611111111111</v>
      </c>
      <c r="AA49" s="269"/>
      <c r="AB49" s="269"/>
      <c r="AC49" s="269"/>
      <c r="AD49" s="269"/>
      <c r="AE49" s="269"/>
      <c r="AF49" s="269"/>
      <c r="AG49" s="269"/>
      <c r="AH49" s="269"/>
      <c r="AI49" s="269"/>
      <c r="AJ49" s="269"/>
    </row>
    <row r="50" spans="2:36" hidden="1">
      <c r="B50" s="265">
        <f t="shared" si="3"/>
        <v>0</v>
      </c>
      <c r="C50" s="265">
        <f t="shared" si="0"/>
        <v>0</v>
      </c>
      <c r="D50" s="264"/>
      <c r="F50" s="267">
        <f t="shared" si="4"/>
        <v>0</v>
      </c>
      <c r="O50" s="269" t="s">
        <v>364</v>
      </c>
      <c r="P50" s="269"/>
      <c r="Q50" s="269"/>
      <c r="R50" s="269"/>
      <c r="X50" s="316">
        <v>1</v>
      </c>
      <c r="Y50" s="270">
        <v>41771</v>
      </c>
      <c r="Z50" s="271">
        <v>0.56461805555555555</v>
      </c>
      <c r="AA50" s="269"/>
      <c r="AB50" s="269"/>
      <c r="AC50" s="269"/>
      <c r="AD50" s="269"/>
      <c r="AE50" s="269"/>
      <c r="AF50" s="269"/>
      <c r="AG50" s="269"/>
      <c r="AH50" s="269"/>
      <c r="AI50" s="269"/>
      <c r="AJ50" s="269"/>
    </row>
    <row r="51" spans="2:36" hidden="1">
      <c r="B51" s="265">
        <f t="shared" si="3"/>
        <v>0</v>
      </c>
      <c r="C51" s="265">
        <f t="shared" si="0"/>
        <v>0</v>
      </c>
      <c r="D51" s="264"/>
      <c r="F51" s="267">
        <f t="shared" si="4"/>
        <v>0</v>
      </c>
      <c r="O51" s="269" t="s">
        <v>365</v>
      </c>
      <c r="P51" s="269" t="s">
        <v>366</v>
      </c>
      <c r="Q51" s="269" t="s">
        <v>366</v>
      </c>
      <c r="R51" s="269" t="s">
        <v>367</v>
      </c>
      <c r="S51" s="269"/>
      <c r="T51" s="269"/>
      <c r="U51" s="269"/>
      <c r="X51" s="316">
        <v>1</v>
      </c>
      <c r="Y51" s="270">
        <v>41771</v>
      </c>
      <c r="Z51" s="271">
        <v>0.5708333333333333</v>
      </c>
      <c r="AA51" s="269"/>
      <c r="AB51" s="269"/>
      <c r="AC51" s="269"/>
      <c r="AD51" s="269"/>
      <c r="AE51" s="269"/>
      <c r="AF51" s="269"/>
      <c r="AG51" s="269"/>
      <c r="AH51" s="269"/>
      <c r="AI51" s="269"/>
      <c r="AJ51" s="269"/>
    </row>
    <row r="52" spans="2:36" hidden="1">
      <c r="B52" s="265">
        <f t="shared" si="3"/>
        <v>0</v>
      </c>
      <c r="C52" s="265">
        <f t="shared" si="0"/>
        <v>0</v>
      </c>
      <c r="D52" s="264"/>
      <c r="F52" s="267">
        <f t="shared" si="4"/>
        <v>0</v>
      </c>
      <c r="O52" s="269" t="s">
        <v>368</v>
      </c>
      <c r="P52" s="269" t="s">
        <v>369</v>
      </c>
      <c r="Q52" s="269" t="s">
        <v>370</v>
      </c>
      <c r="R52" s="269" t="s">
        <v>371</v>
      </c>
      <c r="S52" s="269"/>
      <c r="T52" s="269"/>
      <c r="U52" s="269"/>
      <c r="X52" s="316">
        <v>1</v>
      </c>
      <c r="Y52" s="270">
        <v>41771</v>
      </c>
      <c r="Z52" s="271">
        <v>0.61042824074074076</v>
      </c>
      <c r="AA52" s="274"/>
      <c r="AB52" s="274"/>
      <c r="AC52" s="274"/>
      <c r="AD52" s="274"/>
      <c r="AE52" s="274"/>
      <c r="AF52" s="274"/>
      <c r="AG52" s="274"/>
      <c r="AH52" s="274"/>
      <c r="AI52" s="274"/>
      <c r="AJ52" s="274"/>
    </row>
    <row r="53" spans="2:36" hidden="1">
      <c r="B53" s="265">
        <f t="shared" si="3"/>
        <v>0</v>
      </c>
      <c r="C53" s="265">
        <f t="shared" si="0"/>
        <v>0</v>
      </c>
      <c r="D53" s="264"/>
      <c r="F53" s="267">
        <f t="shared" si="4"/>
        <v>0</v>
      </c>
      <c r="K53" s="265" t="str">
        <f t="shared" ref="K53:K62" si="14">Q53</f>
        <v>FSD</v>
      </c>
      <c r="L53" s="269" t="str">
        <f t="shared" ref="L53:L62" si="15">O53&amp;Q53</f>
        <v>103 / 3 FSD</v>
      </c>
      <c r="M53" s="274">
        <f t="shared" ref="M53:M62" si="16">R53</f>
        <v>3.1E-2</v>
      </c>
      <c r="O53" s="269" t="s">
        <v>721</v>
      </c>
      <c r="P53" s="269" t="s">
        <v>563</v>
      </c>
      <c r="Q53" s="269" t="s">
        <v>564</v>
      </c>
      <c r="R53" s="274">
        <v>3.1E-2</v>
      </c>
      <c r="S53" s="269"/>
      <c r="T53" s="269"/>
      <c r="U53" s="269"/>
      <c r="X53" s="316">
        <v>1</v>
      </c>
      <c r="Y53" s="270">
        <v>41772</v>
      </c>
      <c r="Z53" s="271">
        <v>0.7152546296296296</v>
      </c>
      <c r="AA53" s="274"/>
      <c r="AB53" s="274"/>
      <c r="AC53" s="274"/>
      <c r="AD53" s="274"/>
      <c r="AE53" s="274"/>
      <c r="AF53" s="274"/>
      <c r="AG53" s="274"/>
      <c r="AH53" s="274"/>
      <c r="AI53" s="274"/>
      <c r="AJ53" s="274"/>
    </row>
    <row r="54" spans="2:36" hidden="1">
      <c r="B54" s="265">
        <f t="shared" si="3"/>
        <v>0</v>
      </c>
      <c r="C54" s="265">
        <f t="shared" si="0"/>
        <v>0</v>
      </c>
      <c r="D54" s="264"/>
      <c r="F54" s="267">
        <f t="shared" si="4"/>
        <v>0</v>
      </c>
      <c r="K54" s="265" t="str">
        <f t="shared" si="14"/>
        <v>FSE</v>
      </c>
      <c r="L54" s="269" t="str">
        <f t="shared" si="15"/>
        <v>103 / 3 FSE</v>
      </c>
      <c r="M54" s="274">
        <f t="shared" si="16"/>
        <v>3.5999999999999997E-2</v>
      </c>
      <c r="O54" s="269" t="s">
        <v>721</v>
      </c>
      <c r="P54" s="269" t="s">
        <v>708</v>
      </c>
      <c r="Q54" s="269" t="s">
        <v>709</v>
      </c>
      <c r="R54" s="274">
        <v>3.5999999999999997E-2</v>
      </c>
      <c r="S54" s="274"/>
      <c r="T54" s="274"/>
      <c r="U54" s="274"/>
      <c r="X54" s="316"/>
      <c r="Y54" s="274"/>
      <c r="Z54" s="274"/>
      <c r="AA54" s="274"/>
      <c r="AB54" s="274"/>
      <c r="AC54" s="274"/>
      <c r="AD54" s="274"/>
      <c r="AE54" s="274"/>
      <c r="AF54" s="274"/>
      <c r="AG54" s="274"/>
      <c r="AH54" s="274"/>
      <c r="AI54" s="274"/>
      <c r="AJ54" s="274"/>
    </row>
    <row r="55" spans="2:36" hidden="1">
      <c r="B55" s="265">
        <f t="shared" si="3"/>
        <v>0</v>
      </c>
      <c r="C55" s="265">
        <f t="shared" si="0"/>
        <v>0</v>
      </c>
      <c r="D55" s="264"/>
      <c r="F55" s="267">
        <f t="shared" si="4"/>
        <v>0</v>
      </c>
      <c r="K55" s="265" t="str">
        <f t="shared" si="14"/>
        <v>FSF</v>
      </c>
      <c r="L55" s="269" t="str">
        <f t="shared" si="15"/>
        <v>103 / 3 FSF</v>
      </c>
      <c r="M55" s="274">
        <f t="shared" si="16"/>
        <v>3.5999999999999997E-2</v>
      </c>
      <c r="O55" s="269" t="s">
        <v>721</v>
      </c>
      <c r="P55" s="269" t="s">
        <v>710</v>
      </c>
      <c r="Q55" s="269" t="s">
        <v>711</v>
      </c>
      <c r="R55" s="274">
        <v>3.5999999999999997E-2</v>
      </c>
      <c r="S55" s="274"/>
      <c r="T55" s="274"/>
      <c r="U55" s="274"/>
      <c r="X55" s="316"/>
      <c r="Y55" s="274"/>
      <c r="Z55" s="274"/>
      <c r="AA55" s="274"/>
      <c r="AB55" s="274"/>
      <c r="AC55" s="274"/>
      <c r="AD55" s="274"/>
      <c r="AE55" s="274"/>
      <c r="AF55" s="274"/>
      <c r="AG55" s="274"/>
      <c r="AH55" s="274"/>
      <c r="AI55" s="274"/>
      <c r="AJ55" s="274"/>
    </row>
    <row r="56" spans="2:36" hidden="1">
      <c r="B56" s="265">
        <f t="shared" si="3"/>
        <v>0</v>
      </c>
      <c r="C56" s="265">
        <f t="shared" si="0"/>
        <v>0</v>
      </c>
      <c r="D56" s="264"/>
      <c r="F56" s="267">
        <f t="shared" si="4"/>
        <v>0</v>
      </c>
      <c r="K56" s="265" t="str">
        <f t="shared" si="14"/>
        <v>FSH</v>
      </c>
      <c r="L56" s="269" t="str">
        <f t="shared" si="15"/>
        <v>103 / 3 FSH</v>
      </c>
      <c r="M56" s="274">
        <f t="shared" si="16"/>
        <v>0.04</v>
      </c>
      <c r="O56" s="269" t="s">
        <v>721</v>
      </c>
      <c r="P56" s="269" t="s">
        <v>718</v>
      </c>
      <c r="Q56" s="269" t="s">
        <v>719</v>
      </c>
      <c r="R56" s="274">
        <v>0.04</v>
      </c>
      <c r="S56" s="274"/>
      <c r="T56" s="274"/>
      <c r="U56" s="274"/>
      <c r="X56" s="316"/>
      <c r="Y56" s="274"/>
      <c r="Z56" s="274"/>
      <c r="AA56" s="274"/>
      <c r="AB56" s="274"/>
      <c r="AC56" s="274"/>
      <c r="AD56" s="274"/>
      <c r="AE56" s="274"/>
      <c r="AF56" s="274"/>
      <c r="AG56" s="274"/>
      <c r="AH56" s="274"/>
      <c r="AI56" s="274"/>
      <c r="AJ56" s="274"/>
    </row>
    <row r="57" spans="2:36" hidden="1">
      <c r="B57" s="265">
        <f t="shared" si="3"/>
        <v>0</v>
      </c>
      <c r="C57" s="265">
        <f t="shared" si="0"/>
        <v>0</v>
      </c>
      <c r="D57" s="264"/>
      <c r="F57" s="267">
        <f t="shared" si="4"/>
        <v>0</v>
      </c>
      <c r="K57" s="265" t="str">
        <f t="shared" si="14"/>
        <v>FSLA</v>
      </c>
      <c r="L57" s="269" t="str">
        <f t="shared" si="15"/>
        <v>103 / 3 FSLA</v>
      </c>
      <c r="M57" s="274">
        <f t="shared" si="16"/>
        <v>0.04</v>
      </c>
      <c r="O57" s="269" t="s">
        <v>721</v>
      </c>
      <c r="P57" s="269" t="s">
        <v>376</v>
      </c>
      <c r="Q57" s="269" t="s">
        <v>377</v>
      </c>
      <c r="R57" s="274">
        <v>0.04</v>
      </c>
      <c r="S57" s="274"/>
      <c r="T57" s="274"/>
      <c r="U57" s="274"/>
      <c r="X57" s="316"/>
      <c r="Y57" s="274"/>
      <c r="Z57" s="274"/>
      <c r="AA57" s="274"/>
      <c r="AB57" s="274"/>
      <c r="AC57" s="274"/>
      <c r="AD57" s="274"/>
      <c r="AE57" s="274"/>
      <c r="AF57" s="274"/>
      <c r="AG57" s="274"/>
      <c r="AH57" s="274"/>
      <c r="AI57" s="274"/>
      <c r="AJ57" s="274"/>
    </row>
    <row r="58" spans="2:36" hidden="1">
      <c r="B58" s="265">
        <f t="shared" si="3"/>
        <v>0</v>
      </c>
      <c r="C58" s="265">
        <f t="shared" si="0"/>
        <v>0</v>
      </c>
      <c r="D58" s="264"/>
      <c r="F58" s="267">
        <f t="shared" si="4"/>
        <v>0</v>
      </c>
      <c r="K58" s="265" t="str">
        <f t="shared" si="14"/>
        <v>ISB</v>
      </c>
      <c r="L58" s="269" t="str">
        <f t="shared" si="15"/>
        <v>103 / 3 ISB</v>
      </c>
      <c r="M58" s="274">
        <f t="shared" si="16"/>
        <v>2.7E-2</v>
      </c>
      <c r="O58" s="269" t="s">
        <v>721</v>
      </c>
      <c r="P58" s="269" t="s">
        <v>378</v>
      </c>
      <c r="Q58" s="269" t="s">
        <v>379</v>
      </c>
      <c r="R58" s="274">
        <v>2.7E-2</v>
      </c>
      <c r="S58" s="274"/>
      <c r="T58" s="274"/>
      <c r="U58" s="274"/>
      <c r="X58" s="316"/>
      <c r="Y58" s="274"/>
      <c r="Z58" s="274"/>
      <c r="AA58" s="274"/>
      <c r="AB58" s="274"/>
      <c r="AC58" s="274"/>
      <c r="AD58" s="274"/>
      <c r="AE58" s="274"/>
      <c r="AF58" s="274"/>
      <c r="AG58" s="274"/>
      <c r="AH58" s="274"/>
      <c r="AI58" s="274"/>
      <c r="AJ58" s="274"/>
    </row>
    <row r="59" spans="2:36" hidden="1">
      <c r="B59" s="265">
        <f t="shared" si="3"/>
        <v>0</v>
      </c>
      <c r="C59" s="265">
        <f t="shared" si="0"/>
        <v>0</v>
      </c>
      <c r="D59" s="264"/>
      <c r="F59" s="267">
        <f t="shared" si="4"/>
        <v>0</v>
      </c>
      <c r="K59" s="265" t="str">
        <f t="shared" si="14"/>
        <v>IWD</v>
      </c>
      <c r="L59" s="269" t="str">
        <f t="shared" si="15"/>
        <v>103 / 3 IWD</v>
      </c>
      <c r="M59" s="274">
        <f t="shared" si="16"/>
        <v>2.7E-2</v>
      </c>
      <c r="O59" s="269" t="s">
        <v>721</v>
      </c>
      <c r="P59" s="269" t="s">
        <v>538</v>
      </c>
      <c r="Q59" s="269" t="s">
        <v>509</v>
      </c>
      <c r="R59" s="274">
        <v>2.7E-2</v>
      </c>
      <c r="S59" s="274"/>
      <c r="T59" s="274"/>
      <c r="U59" s="274"/>
      <c r="X59" s="316"/>
      <c r="Y59" s="274"/>
      <c r="Z59" s="274"/>
      <c r="AA59" s="274"/>
      <c r="AB59" s="274"/>
      <c r="AC59" s="274"/>
      <c r="AD59" s="274"/>
      <c r="AE59" s="274"/>
      <c r="AF59" s="274"/>
      <c r="AG59" s="274"/>
      <c r="AH59" s="274"/>
      <c r="AI59" s="274"/>
      <c r="AJ59" s="274"/>
    </row>
    <row r="60" spans="2:36" hidden="1">
      <c r="B60" s="265">
        <f t="shared" si="3"/>
        <v>0</v>
      </c>
      <c r="C60" s="265">
        <f t="shared" si="0"/>
        <v>0</v>
      </c>
      <c r="D60" s="264"/>
      <c r="F60" s="267">
        <f t="shared" si="4"/>
        <v>0</v>
      </c>
      <c r="K60" s="265" t="str">
        <f t="shared" si="14"/>
        <v>IWE</v>
      </c>
      <c r="L60" s="269" t="str">
        <f t="shared" si="15"/>
        <v>103 / 3 IWE</v>
      </c>
      <c r="M60" s="274">
        <f t="shared" si="16"/>
        <v>2.7E-2</v>
      </c>
      <c r="O60" s="269" t="s">
        <v>721</v>
      </c>
      <c r="P60" s="269" t="s">
        <v>573</v>
      </c>
      <c r="Q60" s="269" t="s">
        <v>705</v>
      </c>
      <c r="R60" s="274">
        <v>2.7E-2</v>
      </c>
      <c r="S60" s="274"/>
      <c r="T60" s="274"/>
      <c r="U60" s="274"/>
      <c r="X60" s="316"/>
      <c r="Y60" s="274"/>
      <c r="Z60" s="274"/>
      <c r="AA60" s="274"/>
      <c r="AB60" s="274"/>
      <c r="AC60" s="274"/>
      <c r="AD60" s="274"/>
      <c r="AE60" s="274"/>
      <c r="AF60" s="274"/>
      <c r="AG60" s="274"/>
      <c r="AH60" s="274"/>
      <c r="AI60" s="274"/>
      <c r="AJ60" s="274"/>
    </row>
    <row r="61" spans="2:36" hidden="1">
      <c r="B61" s="265">
        <f t="shared" si="3"/>
        <v>0</v>
      </c>
      <c r="C61" s="265">
        <f t="shared" si="0"/>
        <v>0</v>
      </c>
      <c r="D61" s="264"/>
      <c r="F61" s="267">
        <f t="shared" si="4"/>
        <v>0</v>
      </c>
      <c r="K61" s="265" t="str">
        <f t="shared" si="14"/>
        <v>SXS</v>
      </c>
      <c r="L61" s="269" t="str">
        <f t="shared" si="15"/>
        <v>103 / 3 SXS</v>
      </c>
      <c r="M61" s="274">
        <f t="shared" si="16"/>
        <v>2.7E-2</v>
      </c>
      <c r="O61" s="269" t="s">
        <v>721</v>
      </c>
      <c r="P61" s="269" t="s">
        <v>565</v>
      </c>
      <c r="Q61" s="269" t="s">
        <v>712</v>
      </c>
      <c r="R61" s="274">
        <v>2.7E-2</v>
      </c>
      <c r="S61" s="274"/>
      <c r="T61" s="274"/>
      <c r="U61" s="274"/>
      <c r="X61" s="316"/>
      <c r="Y61" s="274"/>
      <c r="Z61" s="274"/>
      <c r="AA61" s="274"/>
      <c r="AB61" s="274"/>
      <c r="AC61" s="274"/>
      <c r="AD61" s="274"/>
      <c r="AE61" s="274"/>
      <c r="AF61" s="274"/>
      <c r="AG61" s="274"/>
      <c r="AH61" s="274"/>
      <c r="AI61" s="274"/>
      <c r="AJ61" s="274"/>
    </row>
    <row r="62" spans="2:36" hidden="1">
      <c r="B62" s="265">
        <f t="shared" si="3"/>
        <v>0</v>
      </c>
      <c r="C62" s="265">
        <f t="shared" si="0"/>
        <v>0</v>
      </c>
      <c r="D62" s="264"/>
      <c r="F62" s="267">
        <f t="shared" si="4"/>
        <v>0</v>
      </c>
      <c r="K62" s="265" t="str">
        <f t="shared" si="14"/>
        <v>XS20</v>
      </c>
      <c r="L62" s="269" t="str">
        <f t="shared" si="15"/>
        <v>103 / 3 XS20</v>
      </c>
      <c r="M62" s="274">
        <f t="shared" si="16"/>
        <v>2.7E-2</v>
      </c>
      <c r="O62" s="269" t="s">
        <v>721</v>
      </c>
      <c r="P62" s="269" t="s">
        <v>565</v>
      </c>
      <c r="Q62" s="269" t="s">
        <v>566</v>
      </c>
      <c r="R62" s="274">
        <v>2.7E-2</v>
      </c>
      <c r="S62" s="274"/>
      <c r="T62" s="274"/>
      <c r="U62" s="274"/>
      <c r="X62" s="316"/>
      <c r="Y62" s="274"/>
      <c r="Z62" s="274"/>
      <c r="AA62" s="274"/>
      <c r="AB62" s="274"/>
      <c r="AC62" s="274"/>
      <c r="AD62" s="274"/>
      <c r="AE62" s="274"/>
      <c r="AF62" s="274"/>
      <c r="AG62" s="274"/>
      <c r="AH62" s="274"/>
      <c r="AI62" s="274"/>
      <c r="AJ62" s="274"/>
    </row>
    <row r="63" spans="2:36" hidden="1">
      <c r="B63" s="265">
        <f t="shared" si="3"/>
        <v>0</v>
      </c>
      <c r="C63" s="265">
        <f t="shared" si="0"/>
        <v>0</v>
      </c>
      <c r="D63" s="264"/>
      <c r="F63" s="267">
        <f t="shared" si="4"/>
        <v>0</v>
      </c>
      <c r="O63" s="269" t="s">
        <v>723</v>
      </c>
      <c r="P63" s="269"/>
      <c r="Q63" s="269"/>
      <c r="R63" s="274"/>
      <c r="S63" s="274"/>
      <c r="T63" s="274"/>
      <c r="U63" s="274"/>
    </row>
    <row r="64" spans="2:36" hidden="1">
      <c r="B64" s="265">
        <f t="shared" si="3"/>
        <v>0</v>
      </c>
      <c r="C64" s="265">
        <f t="shared" si="0"/>
        <v>0</v>
      </c>
      <c r="D64" s="264"/>
      <c r="F64" s="267">
        <f t="shared" si="4"/>
        <v>0</v>
      </c>
      <c r="O64" s="269" t="s">
        <v>571</v>
      </c>
      <c r="P64" s="269"/>
      <c r="Q64" s="269"/>
      <c r="R64" s="274"/>
      <c r="S64" s="274"/>
      <c r="T64" s="274"/>
      <c r="U64" s="274"/>
      <c r="X64" s="316"/>
      <c r="Y64" s="269"/>
      <c r="Z64" s="269"/>
      <c r="AA64" s="269"/>
      <c r="AB64" s="269"/>
      <c r="AC64" s="269"/>
      <c r="AD64" s="269"/>
      <c r="AE64" s="269"/>
      <c r="AF64" s="269"/>
      <c r="AG64" s="269"/>
      <c r="AH64" s="269"/>
      <c r="AI64" s="269"/>
      <c r="AJ64" s="269"/>
    </row>
    <row r="65" spans="2:36" hidden="1">
      <c r="B65" s="265">
        <f t="shared" si="3"/>
        <v>0</v>
      </c>
      <c r="C65" s="265">
        <f t="shared" si="0"/>
        <v>0</v>
      </c>
      <c r="D65" s="264"/>
      <c r="F65" s="267">
        <f t="shared" si="4"/>
        <v>0</v>
      </c>
      <c r="S65" s="274"/>
      <c r="T65" s="274"/>
      <c r="U65" s="274"/>
      <c r="X65" s="316"/>
      <c r="Y65" s="269"/>
      <c r="Z65" s="269"/>
      <c r="AA65" s="269"/>
      <c r="AB65" s="269"/>
      <c r="AC65" s="269"/>
      <c r="AD65" s="269"/>
      <c r="AE65" s="269"/>
      <c r="AF65" s="269"/>
      <c r="AG65" s="269"/>
      <c r="AH65" s="269"/>
      <c r="AI65" s="269"/>
      <c r="AJ65" s="269"/>
    </row>
    <row r="66" spans="2:36" hidden="1">
      <c r="B66" s="265">
        <f t="shared" si="3"/>
        <v>0</v>
      </c>
      <c r="C66" s="265">
        <f t="shared" si="0"/>
        <v>0</v>
      </c>
      <c r="D66" s="264"/>
      <c r="F66" s="267">
        <f t="shared" si="4"/>
        <v>0</v>
      </c>
      <c r="O66" s="269" t="s">
        <v>364</v>
      </c>
      <c r="P66" s="269"/>
      <c r="Q66" s="269"/>
      <c r="R66" s="269"/>
      <c r="X66" s="316"/>
      <c r="Y66" s="269"/>
      <c r="Z66" s="269"/>
      <c r="AA66" s="269"/>
      <c r="AB66" s="269"/>
      <c r="AC66" s="269"/>
      <c r="AD66" s="269"/>
      <c r="AE66" s="269"/>
      <c r="AF66" s="269"/>
      <c r="AG66" s="269"/>
      <c r="AH66" s="269"/>
      <c r="AI66" s="269"/>
      <c r="AJ66" s="269"/>
    </row>
    <row r="67" spans="2:36" hidden="1">
      <c r="B67" s="265">
        <f t="shared" si="3"/>
        <v>0</v>
      </c>
      <c r="C67" s="265">
        <f t="shared" ref="C67:C130" si="17">IF($B67=0,,RANK($B67,$B$3:$B$78))</f>
        <v>0</v>
      </c>
      <c r="D67" s="264"/>
      <c r="F67" s="267">
        <f t="shared" si="4"/>
        <v>0</v>
      </c>
      <c r="O67" s="269" t="s">
        <v>365</v>
      </c>
      <c r="P67" s="269" t="s">
        <v>366</v>
      </c>
      <c r="Q67" s="269" t="s">
        <v>366</v>
      </c>
      <c r="R67" s="269" t="s">
        <v>367</v>
      </c>
      <c r="S67" s="269"/>
      <c r="T67" s="269"/>
      <c r="U67" s="269"/>
      <c r="X67" s="316"/>
      <c r="Y67" s="274"/>
      <c r="Z67" s="274"/>
      <c r="AA67" s="274"/>
      <c r="AB67" s="274"/>
      <c r="AC67" s="274"/>
      <c r="AD67" s="274"/>
      <c r="AE67" s="274"/>
      <c r="AF67" s="274"/>
      <c r="AG67" s="274"/>
      <c r="AH67" s="274"/>
      <c r="AI67" s="274"/>
      <c r="AJ67" s="274"/>
    </row>
    <row r="68" spans="2:36" hidden="1">
      <c r="B68" s="265">
        <f t="shared" ref="B68:B131" si="18">IF(OR(D68="",D68=0,RIGHT(D68,LEN($A$1))&lt;&gt;$A$1),,(LEFT($D68,3)*100)+MID($D68,7,IF(OR(AND(LEN($A$1)=3,LEN($D68)=12),AND(LEN($A$1)=4,LEN($D68)=13)),2,1))*1)</f>
        <v>0</v>
      </c>
      <c r="C68" s="265">
        <f t="shared" si="17"/>
        <v>0</v>
      </c>
      <c r="D68" s="264"/>
      <c r="F68" s="267">
        <f t="shared" ref="F68:F131" si="19">IF(AND(RIGHT($D68,LEN($A$1))&lt;&gt;$A$1,$D68&lt;&gt;""),1,0)</f>
        <v>0</v>
      </c>
      <c r="O68" s="269" t="s">
        <v>368</v>
      </c>
      <c r="P68" s="269" t="s">
        <v>369</v>
      </c>
      <c r="Q68" s="269" t="s">
        <v>370</v>
      </c>
      <c r="R68" s="269" t="s">
        <v>371</v>
      </c>
      <c r="S68" s="269"/>
      <c r="T68" s="269"/>
      <c r="U68" s="269"/>
      <c r="X68" s="316"/>
      <c r="Y68" s="274"/>
      <c r="Z68" s="274"/>
      <c r="AA68" s="274"/>
      <c r="AB68" s="274"/>
      <c r="AC68" s="274"/>
      <c r="AD68" s="274"/>
      <c r="AE68" s="274"/>
      <c r="AF68" s="274"/>
      <c r="AG68" s="274"/>
      <c r="AH68" s="274"/>
      <c r="AI68" s="274"/>
      <c r="AJ68" s="274"/>
    </row>
    <row r="69" spans="2:36" hidden="1">
      <c r="B69" s="265">
        <f t="shared" si="18"/>
        <v>0</v>
      </c>
      <c r="C69" s="265">
        <f t="shared" si="17"/>
        <v>0</v>
      </c>
      <c r="D69" s="264"/>
      <c r="F69" s="267">
        <f t="shared" si="19"/>
        <v>0</v>
      </c>
      <c r="K69" s="265" t="str">
        <f t="shared" ref="K69:K77" si="20">Q69</f>
        <v>SXS</v>
      </c>
      <c r="L69" s="269" t="str">
        <f t="shared" ref="L69:L77" si="21">O69&amp;Q69</f>
        <v>103 / 4 SXS</v>
      </c>
      <c r="M69" s="274">
        <f t="shared" ref="M69:M77" si="22">R69</f>
        <v>2.7E-2</v>
      </c>
      <c r="O69" s="269" t="s">
        <v>713</v>
      </c>
      <c r="P69" s="269" t="s">
        <v>565</v>
      </c>
      <c r="Q69" s="269" t="s">
        <v>712</v>
      </c>
      <c r="R69" s="274">
        <v>2.7E-2</v>
      </c>
      <c r="S69" s="269"/>
      <c r="T69" s="269"/>
      <c r="U69" s="269"/>
      <c r="X69" s="316"/>
      <c r="Y69" s="274"/>
      <c r="Z69" s="274"/>
      <c r="AA69" s="274"/>
      <c r="AB69" s="274"/>
      <c r="AC69" s="274"/>
      <c r="AD69" s="274"/>
      <c r="AE69" s="274"/>
      <c r="AF69" s="274"/>
      <c r="AG69" s="274"/>
      <c r="AH69" s="274"/>
      <c r="AI69" s="274"/>
      <c r="AJ69" s="274"/>
    </row>
    <row r="70" spans="2:36" hidden="1">
      <c r="B70" s="265">
        <f t="shared" si="18"/>
        <v>0</v>
      </c>
      <c r="C70" s="265">
        <f t="shared" si="17"/>
        <v>0</v>
      </c>
      <c r="D70" s="264"/>
      <c r="F70" s="267">
        <f t="shared" si="19"/>
        <v>0</v>
      </c>
      <c r="K70" s="265" t="str">
        <f t="shared" si="20"/>
        <v>XS20</v>
      </c>
      <c r="L70" s="269" t="str">
        <f t="shared" si="21"/>
        <v>103 / 4 XS20</v>
      </c>
      <c r="M70" s="274">
        <f t="shared" si="22"/>
        <v>2.7E-2</v>
      </c>
      <c r="O70" s="269" t="s">
        <v>713</v>
      </c>
      <c r="P70" s="269" t="s">
        <v>565</v>
      </c>
      <c r="Q70" s="269" t="s">
        <v>566</v>
      </c>
      <c r="R70" s="274">
        <v>2.7E-2</v>
      </c>
      <c r="S70" s="274"/>
      <c r="T70" s="274"/>
      <c r="U70" s="274"/>
      <c r="X70" s="316"/>
      <c r="Y70" s="274"/>
      <c r="Z70" s="274"/>
      <c r="AA70" s="274"/>
      <c r="AB70" s="274"/>
      <c r="AC70" s="274"/>
      <c r="AD70" s="274"/>
      <c r="AE70" s="274"/>
      <c r="AF70" s="274"/>
      <c r="AG70" s="274"/>
      <c r="AH70" s="274"/>
      <c r="AI70" s="274"/>
      <c r="AJ70" s="274"/>
    </row>
    <row r="71" spans="2:36" hidden="1">
      <c r="B71" s="265">
        <f t="shared" si="18"/>
        <v>0</v>
      </c>
      <c r="C71" s="265">
        <f t="shared" si="17"/>
        <v>0</v>
      </c>
      <c r="D71" s="264"/>
      <c r="F71" s="267">
        <f t="shared" si="19"/>
        <v>0</v>
      </c>
      <c r="K71" s="265" t="str">
        <f t="shared" si="20"/>
        <v>XSEA</v>
      </c>
      <c r="L71" s="269" t="str">
        <f t="shared" si="21"/>
        <v>103 / 4 XSEA</v>
      </c>
      <c r="M71" s="274">
        <f t="shared" si="22"/>
        <v>2.7E-2</v>
      </c>
      <c r="O71" s="269" t="s">
        <v>713</v>
      </c>
      <c r="P71" s="269" t="s">
        <v>380</v>
      </c>
      <c r="Q71" s="269" t="s">
        <v>381</v>
      </c>
      <c r="R71" s="274">
        <v>2.7E-2</v>
      </c>
      <c r="S71" s="274"/>
      <c r="T71" s="274"/>
      <c r="U71" s="274"/>
      <c r="X71" s="316"/>
      <c r="Y71" s="274"/>
      <c r="Z71" s="274"/>
      <c r="AA71" s="274"/>
      <c r="AB71" s="274"/>
      <c r="AC71" s="274"/>
      <c r="AD71" s="274"/>
      <c r="AE71" s="274"/>
      <c r="AF71" s="274"/>
      <c r="AG71" s="274"/>
      <c r="AH71" s="274"/>
      <c r="AI71" s="274"/>
      <c r="AJ71" s="274"/>
    </row>
    <row r="72" spans="2:36" hidden="1">
      <c r="B72" s="265">
        <f t="shared" si="18"/>
        <v>0</v>
      </c>
      <c r="C72" s="265">
        <f t="shared" si="17"/>
        <v>0</v>
      </c>
      <c r="D72" s="264"/>
      <c r="F72" s="267">
        <f t="shared" si="19"/>
        <v>0</v>
      </c>
      <c r="K72" s="265" t="str">
        <f t="shared" si="20"/>
        <v>XSF</v>
      </c>
      <c r="L72" s="269" t="str">
        <f t="shared" si="21"/>
        <v>103 / 4 XSF</v>
      </c>
      <c r="M72" s="274">
        <f t="shared" si="22"/>
        <v>2.7E-2</v>
      </c>
      <c r="O72" s="269" t="s">
        <v>713</v>
      </c>
      <c r="P72" s="269" t="s">
        <v>382</v>
      </c>
      <c r="Q72" s="269" t="s">
        <v>383</v>
      </c>
      <c r="R72" s="274">
        <v>2.7E-2</v>
      </c>
      <c r="S72" s="274"/>
      <c r="T72" s="274"/>
      <c r="U72" s="274"/>
      <c r="X72" s="316"/>
      <c r="Y72" s="274"/>
      <c r="Z72" s="274"/>
      <c r="AA72" s="274"/>
      <c r="AB72" s="274"/>
      <c r="AC72" s="274"/>
      <c r="AD72" s="274"/>
      <c r="AE72" s="274"/>
      <c r="AF72" s="274"/>
      <c r="AG72" s="274"/>
      <c r="AH72" s="274"/>
      <c r="AI72" s="274"/>
      <c r="AJ72" s="274"/>
    </row>
    <row r="73" spans="2:36" hidden="1">
      <c r="B73" s="265">
        <f t="shared" si="18"/>
        <v>0</v>
      </c>
      <c r="C73" s="265">
        <f t="shared" si="17"/>
        <v>0</v>
      </c>
      <c r="D73" s="264"/>
      <c r="F73" s="267">
        <f t="shared" si="19"/>
        <v>0</v>
      </c>
      <c r="K73" s="265" t="str">
        <f t="shared" si="20"/>
        <v>XSG</v>
      </c>
      <c r="L73" s="269" t="str">
        <f t="shared" si="21"/>
        <v>103 / 4 XSG</v>
      </c>
      <c r="M73" s="274">
        <f t="shared" si="22"/>
        <v>2.7E-2</v>
      </c>
      <c r="O73" s="269" t="s">
        <v>713</v>
      </c>
      <c r="P73" s="269" t="s">
        <v>384</v>
      </c>
      <c r="Q73" s="269" t="s">
        <v>385</v>
      </c>
      <c r="R73" s="274">
        <v>2.7E-2</v>
      </c>
      <c r="S73" s="274"/>
      <c r="T73" s="274"/>
      <c r="U73" s="274"/>
      <c r="X73" s="316"/>
      <c r="Y73" s="274"/>
      <c r="Z73" s="274"/>
      <c r="AA73" s="274"/>
      <c r="AB73" s="274"/>
      <c r="AC73" s="274"/>
      <c r="AD73" s="274"/>
      <c r="AE73" s="274"/>
      <c r="AF73" s="274"/>
      <c r="AG73" s="274"/>
      <c r="AH73" s="274"/>
      <c r="AI73" s="274"/>
      <c r="AJ73" s="274"/>
    </row>
    <row r="74" spans="2:36" hidden="1">
      <c r="B74" s="265">
        <f t="shared" si="18"/>
        <v>0</v>
      </c>
      <c r="C74" s="265">
        <f t="shared" si="17"/>
        <v>0</v>
      </c>
      <c r="D74" s="264"/>
      <c r="F74" s="267">
        <f t="shared" si="19"/>
        <v>0</v>
      </c>
      <c r="K74" s="265" t="str">
        <f t="shared" si="20"/>
        <v>XSH</v>
      </c>
      <c r="L74" s="269" t="str">
        <f t="shared" si="21"/>
        <v>103 / 4 XSH</v>
      </c>
      <c r="M74" s="274">
        <f t="shared" si="22"/>
        <v>2.7E-2</v>
      </c>
      <c r="O74" s="269" t="s">
        <v>713</v>
      </c>
      <c r="P74" s="269" t="s">
        <v>386</v>
      </c>
      <c r="Q74" s="269" t="s">
        <v>387</v>
      </c>
      <c r="R74" s="274">
        <v>2.7E-2</v>
      </c>
      <c r="S74" s="274"/>
      <c r="T74" s="274"/>
      <c r="U74" s="274"/>
      <c r="X74" s="316"/>
      <c r="Y74" s="274"/>
      <c r="Z74" s="274"/>
      <c r="AA74" s="274"/>
      <c r="AB74" s="274"/>
      <c r="AC74" s="274"/>
      <c r="AD74" s="274"/>
      <c r="AE74" s="274"/>
      <c r="AF74" s="274"/>
      <c r="AG74" s="274"/>
      <c r="AH74" s="274"/>
      <c r="AI74" s="274"/>
      <c r="AJ74" s="274"/>
    </row>
    <row r="75" spans="2:36" hidden="1">
      <c r="B75" s="265">
        <f t="shared" si="18"/>
        <v>0</v>
      </c>
      <c r="C75" s="265">
        <f t="shared" si="17"/>
        <v>0</v>
      </c>
      <c r="D75" s="264"/>
      <c r="F75" s="267">
        <f t="shared" si="19"/>
        <v>0</v>
      </c>
      <c r="K75" s="265" t="str">
        <f t="shared" si="20"/>
        <v>XSK</v>
      </c>
      <c r="L75" s="269" t="str">
        <f t="shared" si="21"/>
        <v>103 / 4 XSK</v>
      </c>
      <c r="M75" s="274">
        <f t="shared" si="22"/>
        <v>2.7E-2</v>
      </c>
      <c r="O75" s="269" t="s">
        <v>713</v>
      </c>
      <c r="P75" s="269" t="s">
        <v>388</v>
      </c>
      <c r="Q75" s="269" t="s">
        <v>389</v>
      </c>
      <c r="R75" s="274">
        <v>2.7E-2</v>
      </c>
      <c r="S75" s="274"/>
      <c r="T75" s="274"/>
      <c r="U75" s="274"/>
      <c r="X75" s="316"/>
      <c r="Y75" s="274"/>
      <c r="Z75" s="274"/>
      <c r="AA75" s="274"/>
      <c r="AB75" s="274"/>
      <c r="AC75" s="274"/>
      <c r="AD75" s="274"/>
      <c r="AE75" s="274"/>
      <c r="AF75" s="274"/>
      <c r="AG75" s="274"/>
      <c r="AH75" s="274"/>
      <c r="AI75" s="274"/>
      <c r="AJ75" s="274"/>
    </row>
    <row r="76" spans="2:36" hidden="1">
      <c r="B76" s="265">
        <f t="shared" si="18"/>
        <v>0</v>
      </c>
      <c r="C76" s="265">
        <f t="shared" si="17"/>
        <v>0</v>
      </c>
      <c r="D76" s="264"/>
      <c r="F76" s="267">
        <f t="shared" si="19"/>
        <v>0</v>
      </c>
      <c r="K76" s="265" t="str">
        <f t="shared" si="20"/>
        <v>XSL</v>
      </c>
      <c r="L76" s="269" t="str">
        <f t="shared" si="21"/>
        <v>103 / 4 XSL</v>
      </c>
      <c r="M76" s="274">
        <f t="shared" si="22"/>
        <v>2.7E-2</v>
      </c>
      <c r="O76" s="269" t="s">
        <v>713</v>
      </c>
      <c r="P76" s="269" t="s">
        <v>567</v>
      </c>
      <c r="Q76" s="269" t="s">
        <v>568</v>
      </c>
      <c r="R76" s="274">
        <v>2.7E-2</v>
      </c>
      <c r="S76" s="274"/>
      <c r="T76" s="274"/>
      <c r="U76" s="274"/>
      <c r="X76" s="316"/>
      <c r="Y76" s="274"/>
      <c r="Z76" s="274"/>
      <c r="AA76" s="274"/>
      <c r="AB76" s="274"/>
      <c r="AC76" s="274"/>
      <c r="AD76" s="274"/>
      <c r="AE76" s="274"/>
      <c r="AF76" s="274"/>
      <c r="AG76" s="274"/>
      <c r="AH76" s="274"/>
      <c r="AI76" s="274"/>
      <c r="AJ76" s="274"/>
    </row>
    <row r="77" spans="2:36" hidden="1">
      <c r="B77" s="265">
        <f t="shared" si="18"/>
        <v>0</v>
      </c>
      <c r="C77" s="265">
        <f t="shared" si="17"/>
        <v>0</v>
      </c>
      <c r="D77" s="264"/>
      <c r="F77" s="267">
        <f t="shared" si="19"/>
        <v>0</v>
      </c>
      <c r="K77" s="265" t="str">
        <f t="shared" si="20"/>
        <v>XSM</v>
      </c>
      <c r="L77" s="269" t="str">
        <f t="shared" si="21"/>
        <v>103 / 4 XSM</v>
      </c>
      <c r="M77" s="274">
        <f t="shared" si="22"/>
        <v>2.7E-2</v>
      </c>
      <c r="O77" s="269" t="s">
        <v>713</v>
      </c>
      <c r="P77" s="269" t="s">
        <v>569</v>
      </c>
      <c r="Q77" s="269" t="s">
        <v>570</v>
      </c>
      <c r="R77" s="274">
        <v>2.7E-2</v>
      </c>
      <c r="S77" s="274"/>
      <c r="T77" s="274"/>
      <c r="U77" s="274"/>
      <c r="AI77" s="274"/>
      <c r="AJ77" s="274"/>
    </row>
    <row r="78" spans="2:36" hidden="1">
      <c r="B78" s="265">
        <f t="shared" si="18"/>
        <v>0</v>
      </c>
      <c r="C78" s="265">
        <f t="shared" si="17"/>
        <v>0</v>
      </c>
      <c r="D78" s="264"/>
      <c r="F78" s="267">
        <f t="shared" si="19"/>
        <v>0</v>
      </c>
      <c r="L78" s="269"/>
      <c r="M78" s="274"/>
      <c r="O78" s="269" t="s">
        <v>766</v>
      </c>
      <c r="P78" s="269"/>
      <c r="Q78" s="269"/>
      <c r="R78" s="274"/>
      <c r="S78" s="274"/>
      <c r="T78" s="274"/>
      <c r="U78" s="274"/>
      <c r="AI78" s="274"/>
      <c r="AJ78" s="274"/>
    </row>
    <row r="79" spans="2:36" hidden="1">
      <c r="B79" s="265">
        <f t="shared" si="18"/>
        <v>0</v>
      </c>
      <c r="C79" s="265">
        <f t="shared" si="17"/>
        <v>0</v>
      </c>
      <c r="D79" s="264"/>
      <c r="F79" s="267">
        <f t="shared" si="19"/>
        <v>0</v>
      </c>
      <c r="O79" s="269" t="s">
        <v>571</v>
      </c>
      <c r="P79" s="269"/>
      <c r="Q79" s="269"/>
      <c r="R79" s="274"/>
      <c r="S79" s="274"/>
      <c r="T79" s="274"/>
      <c r="U79" s="274"/>
    </row>
    <row r="80" spans="2:36" hidden="1">
      <c r="B80" s="265">
        <f t="shared" si="18"/>
        <v>0</v>
      </c>
      <c r="C80" s="265">
        <f t="shared" si="17"/>
        <v>0</v>
      </c>
      <c r="D80" s="264"/>
      <c r="F80" s="267">
        <f t="shared" si="19"/>
        <v>0</v>
      </c>
      <c r="S80" s="274"/>
      <c r="T80" s="274"/>
      <c r="U80" s="274"/>
      <c r="AI80" s="275"/>
      <c r="AJ80" s="275"/>
    </row>
    <row r="81" spans="2:36" hidden="1">
      <c r="B81" s="265">
        <f t="shared" si="18"/>
        <v>0</v>
      </c>
      <c r="C81" s="265">
        <f t="shared" si="17"/>
        <v>0</v>
      </c>
      <c r="D81" s="264"/>
      <c r="F81" s="267">
        <f t="shared" si="19"/>
        <v>0</v>
      </c>
      <c r="O81" s="269" t="s">
        <v>364</v>
      </c>
      <c r="P81" s="269"/>
      <c r="Q81" s="269"/>
      <c r="R81" s="269"/>
      <c r="S81" s="274"/>
      <c r="T81" s="274"/>
      <c r="U81" s="274"/>
      <c r="AI81" s="275"/>
      <c r="AJ81" s="275"/>
    </row>
    <row r="82" spans="2:36" hidden="1">
      <c r="B82" s="265">
        <f t="shared" si="18"/>
        <v>0</v>
      </c>
      <c r="C82" s="265">
        <f t="shared" si="17"/>
        <v>0</v>
      </c>
      <c r="D82" s="264"/>
      <c r="F82" s="267">
        <f t="shared" si="19"/>
        <v>0</v>
      </c>
      <c r="O82" s="269" t="s">
        <v>365</v>
      </c>
      <c r="P82" s="269" t="s">
        <v>366</v>
      </c>
      <c r="Q82" s="269" t="s">
        <v>366</v>
      </c>
      <c r="R82" s="269" t="s">
        <v>367</v>
      </c>
      <c r="AI82" s="275"/>
      <c r="AJ82" s="275"/>
    </row>
    <row r="83" spans="2:36" hidden="1">
      <c r="B83" s="265">
        <f t="shared" si="18"/>
        <v>0</v>
      </c>
      <c r="C83" s="265">
        <f t="shared" si="17"/>
        <v>0</v>
      </c>
      <c r="D83" s="264"/>
      <c r="F83" s="267">
        <f t="shared" si="19"/>
        <v>0</v>
      </c>
      <c r="O83" s="269" t="s">
        <v>368</v>
      </c>
      <c r="P83" s="269" t="s">
        <v>369</v>
      </c>
      <c r="Q83" s="269" t="s">
        <v>370</v>
      </c>
      <c r="R83" s="269" t="s">
        <v>371</v>
      </c>
      <c r="S83" s="269"/>
      <c r="T83" s="269"/>
      <c r="U83" s="269"/>
      <c r="AI83" s="275"/>
      <c r="AJ83" s="275"/>
    </row>
    <row r="84" spans="2:36" hidden="1">
      <c r="B84" s="265">
        <f t="shared" si="18"/>
        <v>0</v>
      </c>
      <c r="C84" s="265">
        <f t="shared" si="17"/>
        <v>0</v>
      </c>
      <c r="D84" s="264"/>
      <c r="F84" s="267">
        <f t="shared" si="19"/>
        <v>0</v>
      </c>
      <c r="K84" s="265" t="str">
        <f t="shared" ref="K84:K93" si="23">Q84</f>
        <v>FISB</v>
      </c>
      <c r="L84" s="269" t="str">
        <f t="shared" ref="L84:L93" si="24">O84&amp;Q84</f>
        <v>103 / 3 FISB</v>
      </c>
      <c r="M84" s="274">
        <f t="shared" ref="M84:M93" si="25">R84</f>
        <v>0.03</v>
      </c>
      <c r="O84" s="269" t="s">
        <v>721</v>
      </c>
      <c r="P84" s="269" t="s">
        <v>372</v>
      </c>
      <c r="Q84" s="269" t="s">
        <v>373</v>
      </c>
      <c r="R84" s="274">
        <v>0.03</v>
      </c>
      <c r="S84" s="269"/>
      <c r="T84" s="269"/>
      <c r="U84" s="269"/>
      <c r="AI84" s="275"/>
      <c r="AJ84" s="275"/>
    </row>
    <row r="85" spans="2:36" hidden="1">
      <c r="B85" s="265">
        <f t="shared" si="18"/>
        <v>0</v>
      </c>
      <c r="C85" s="265">
        <f t="shared" si="17"/>
        <v>0</v>
      </c>
      <c r="D85" s="264"/>
      <c r="F85" s="267">
        <f t="shared" si="19"/>
        <v>0</v>
      </c>
      <c r="K85" s="265" t="str">
        <f t="shared" si="23"/>
        <v>FSA</v>
      </c>
      <c r="L85" s="269" t="str">
        <f t="shared" si="24"/>
        <v>103 / 3 FSA</v>
      </c>
      <c r="M85" s="274">
        <f t="shared" si="25"/>
        <v>0.04</v>
      </c>
      <c r="O85" s="269" t="s">
        <v>721</v>
      </c>
      <c r="P85" s="269" t="s">
        <v>374</v>
      </c>
      <c r="Q85" s="269" t="s">
        <v>531</v>
      </c>
      <c r="R85" s="274">
        <v>0.04</v>
      </c>
      <c r="S85" s="269"/>
      <c r="T85" s="269"/>
      <c r="U85" s="269"/>
      <c r="AI85" s="275"/>
      <c r="AJ85" s="275"/>
    </row>
    <row r="86" spans="2:36" hidden="1">
      <c r="B86" s="265">
        <f t="shared" si="18"/>
        <v>0</v>
      </c>
      <c r="C86" s="265">
        <f t="shared" si="17"/>
        <v>0</v>
      </c>
      <c r="D86" s="264"/>
      <c r="F86" s="267">
        <f t="shared" si="19"/>
        <v>0</v>
      </c>
      <c r="K86" s="265" t="str">
        <f t="shared" si="23"/>
        <v>FSA1</v>
      </c>
      <c r="L86" s="269" t="str">
        <f t="shared" si="24"/>
        <v>103 / 3 FSA1</v>
      </c>
      <c r="M86" s="274">
        <f t="shared" si="25"/>
        <v>0.04</v>
      </c>
      <c r="O86" s="269" t="s">
        <v>721</v>
      </c>
      <c r="P86" s="269" t="s">
        <v>374</v>
      </c>
      <c r="Q86" s="269" t="s">
        <v>532</v>
      </c>
      <c r="R86" s="274">
        <v>0.04</v>
      </c>
      <c r="S86" s="274"/>
      <c r="T86" s="274"/>
      <c r="U86" s="274"/>
      <c r="AI86" s="275"/>
      <c r="AJ86" s="275"/>
    </row>
    <row r="87" spans="2:36" hidden="1">
      <c r="B87" s="265">
        <f t="shared" si="18"/>
        <v>0</v>
      </c>
      <c r="C87" s="265">
        <f t="shared" si="17"/>
        <v>0</v>
      </c>
      <c r="D87" s="264"/>
      <c r="F87" s="267">
        <f t="shared" si="19"/>
        <v>0</v>
      </c>
      <c r="K87" s="265" t="str">
        <f t="shared" si="23"/>
        <v>FSA2</v>
      </c>
      <c r="L87" s="269" t="str">
        <f t="shared" si="24"/>
        <v>103 / 3 FSA2</v>
      </c>
      <c r="M87" s="274">
        <f t="shared" si="25"/>
        <v>0.04</v>
      </c>
      <c r="O87" s="269" t="s">
        <v>721</v>
      </c>
      <c r="P87" s="269" t="s">
        <v>374</v>
      </c>
      <c r="Q87" s="269" t="s">
        <v>706</v>
      </c>
      <c r="R87" s="274">
        <v>0.04</v>
      </c>
      <c r="S87" s="274"/>
      <c r="T87" s="274"/>
      <c r="U87" s="274"/>
      <c r="AI87" s="275"/>
      <c r="AJ87" s="275"/>
    </row>
    <row r="88" spans="2:36" hidden="1">
      <c r="B88" s="265">
        <f t="shared" si="18"/>
        <v>0</v>
      </c>
      <c r="C88" s="265">
        <f t="shared" si="17"/>
        <v>0</v>
      </c>
      <c r="D88" s="264"/>
      <c r="F88" s="267">
        <f t="shared" si="19"/>
        <v>0</v>
      </c>
      <c r="K88" s="265" t="str">
        <f t="shared" si="23"/>
        <v>FSB</v>
      </c>
      <c r="L88" s="269" t="str">
        <f t="shared" si="24"/>
        <v>103 / 3 FSB</v>
      </c>
      <c r="M88" s="274">
        <f t="shared" si="25"/>
        <v>3.5999999999999997E-2</v>
      </c>
      <c r="O88" s="269" t="s">
        <v>721</v>
      </c>
      <c r="P88" s="269" t="s">
        <v>375</v>
      </c>
      <c r="Q88" s="269" t="s">
        <v>533</v>
      </c>
      <c r="R88" s="274">
        <v>3.5999999999999997E-2</v>
      </c>
      <c r="S88" s="274"/>
      <c r="T88" s="274"/>
      <c r="U88" s="274"/>
      <c r="AI88" s="275"/>
      <c r="AJ88" s="275"/>
    </row>
    <row r="89" spans="2:36" hidden="1">
      <c r="B89" s="265">
        <f t="shared" si="18"/>
        <v>0</v>
      </c>
      <c r="C89" s="265">
        <f t="shared" si="17"/>
        <v>0</v>
      </c>
      <c r="D89" s="264"/>
      <c r="F89" s="267">
        <f t="shared" si="19"/>
        <v>0</v>
      </c>
      <c r="K89" s="265" t="str">
        <f t="shared" si="23"/>
        <v>FSD</v>
      </c>
      <c r="L89" s="269" t="str">
        <f t="shared" si="24"/>
        <v>103 / 3 FSD</v>
      </c>
      <c r="M89" s="274">
        <f t="shared" si="25"/>
        <v>3.1E-2</v>
      </c>
      <c r="O89" s="269" t="s">
        <v>721</v>
      </c>
      <c r="P89" s="269" t="s">
        <v>563</v>
      </c>
      <c r="Q89" s="269" t="s">
        <v>564</v>
      </c>
      <c r="R89" s="274">
        <v>3.1E-2</v>
      </c>
      <c r="S89" s="274"/>
      <c r="T89" s="274"/>
      <c r="U89" s="274"/>
      <c r="AI89" s="275"/>
      <c r="AJ89" s="275"/>
    </row>
    <row r="90" spans="2:36" hidden="1">
      <c r="B90" s="265">
        <f t="shared" si="18"/>
        <v>0</v>
      </c>
      <c r="C90" s="265">
        <f t="shared" si="17"/>
        <v>0</v>
      </c>
      <c r="D90" s="264"/>
      <c r="F90" s="267">
        <f t="shared" si="19"/>
        <v>0</v>
      </c>
      <c r="K90" s="265" t="str">
        <f t="shared" si="23"/>
        <v>FSE</v>
      </c>
      <c r="L90" s="269" t="str">
        <f t="shared" si="24"/>
        <v>103 / 3 FSE</v>
      </c>
      <c r="M90" s="274">
        <f t="shared" si="25"/>
        <v>3.5999999999999997E-2</v>
      </c>
      <c r="O90" s="269" t="s">
        <v>721</v>
      </c>
      <c r="P90" s="269" t="s">
        <v>708</v>
      </c>
      <c r="Q90" s="269" t="s">
        <v>709</v>
      </c>
      <c r="R90" s="274">
        <v>3.5999999999999997E-2</v>
      </c>
      <c r="S90" s="274"/>
      <c r="T90" s="274"/>
      <c r="U90" s="274"/>
      <c r="AI90" s="275"/>
      <c r="AJ90" s="275"/>
    </row>
    <row r="91" spans="2:36" hidden="1">
      <c r="B91" s="265">
        <f t="shared" si="18"/>
        <v>0</v>
      </c>
      <c r="C91" s="265">
        <f t="shared" si="17"/>
        <v>0</v>
      </c>
      <c r="D91" s="264"/>
      <c r="F91" s="267">
        <f t="shared" si="19"/>
        <v>0</v>
      </c>
      <c r="K91" s="265" t="str">
        <f t="shared" si="23"/>
        <v>FSF</v>
      </c>
      <c r="L91" s="269" t="str">
        <f t="shared" si="24"/>
        <v>103 / 3 FSF</v>
      </c>
      <c r="M91" s="274">
        <f t="shared" si="25"/>
        <v>3.5999999999999997E-2</v>
      </c>
      <c r="O91" s="269" t="s">
        <v>721</v>
      </c>
      <c r="P91" s="269" t="s">
        <v>710</v>
      </c>
      <c r="Q91" s="269" t="s">
        <v>711</v>
      </c>
      <c r="R91" s="274">
        <v>3.5999999999999997E-2</v>
      </c>
      <c r="S91" s="274"/>
      <c r="T91" s="274"/>
      <c r="U91" s="274"/>
      <c r="AI91" s="275"/>
      <c r="AJ91" s="275"/>
    </row>
    <row r="92" spans="2:36" hidden="1">
      <c r="B92" s="265">
        <f t="shared" si="18"/>
        <v>0</v>
      </c>
      <c r="C92" s="265">
        <f t="shared" si="17"/>
        <v>0</v>
      </c>
      <c r="D92" s="264"/>
      <c r="F92" s="267">
        <f t="shared" si="19"/>
        <v>0</v>
      </c>
      <c r="K92" s="265" t="str">
        <f t="shared" si="23"/>
        <v>FSH</v>
      </c>
      <c r="L92" s="269" t="str">
        <f t="shared" si="24"/>
        <v>103 / 3 FSH</v>
      </c>
      <c r="M92" s="274">
        <f t="shared" si="25"/>
        <v>0.04</v>
      </c>
      <c r="O92" s="269" t="s">
        <v>721</v>
      </c>
      <c r="P92" s="269" t="s">
        <v>718</v>
      </c>
      <c r="Q92" s="269" t="s">
        <v>719</v>
      </c>
      <c r="R92" s="274">
        <v>0.04</v>
      </c>
      <c r="S92" s="274"/>
      <c r="T92" s="274"/>
      <c r="U92" s="274"/>
      <c r="AI92" s="275"/>
      <c r="AJ92" s="275"/>
    </row>
    <row r="93" spans="2:36" hidden="1">
      <c r="B93" s="265">
        <f t="shared" si="18"/>
        <v>0</v>
      </c>
      <c r="C93" s="265">
        <f t="shared" si="17"/>
        <v>0</v>
      </c>
      <c r="D93" s="264"/>
      <c r="F93" s="267">
        <f t="shared" si="19"/>
        <v>0</v>
      </c>
      <c r="K93" s="265" t="str">
        <f t="shared" si="23"/>
        <v>FSLA</v>
      </c>
      <c r="L93" s="269" t="str">
        <f t="shared" si="24"/>
        <v>103 / 3 FSLA</v>
      </c>
      <c r="M93" s="274">
        <f t="shared" si="25"/>
        <v>0.04</v>
      </c>
      <c r="O93" s="269" t="s">
        <v>721</v>
      </c>
      <c r="P93" s="269" t="s">
        <v>376</v>
      </c>
      <c r="Q93" s="269" t="s">
        <v>377</v>
      </c>
      <c r="R93" s="274">
        <v>0.04</v>
      </c>
      <c r="S93" s="274"/>
      <c r="T93" s="274"/>
      <c r="U93" s="274"/>
      <c r="AI93" s="275"/>
      <c r="AJ93" s="275"/>
    </row>
    <row r="94" spans="2:36" hidden="1">
      <c r="B94" s="265">
        <f t="shared" si="18"/>
        <v>0</v>
      </c>
      <c r="C94" s="265">
        <f t="shared" si="17"/>
        <v>0</v>
      </c>
      <c r="D94" s="264"/>
      <c r="F94" s="267">
        <f t="shared" si="19"/>
        <v>0</v>
      </c>
      <c r="O94" s="269" t="s">
        <v>767</v>
      </c>
      <c r="P94" s="269"/>
      <c r="Q94" s="269"/>
      <c r="R94" s="274"/>
      <c r="S94" s="274"/>
      <c r="T94" s="274"/>
      <c r="U94" s="274"/>
      <c r="AI94" s="275"/>
      <c r="AJ94" s="275"/>
    </row>
    <row r="95" spans="2:36" hidden="1">
      <c r="B95" s="265">
        <f t="shared" si="18"/>
        <v>0</v>
      </c>
      <c r="C95" s="265">
        <f t="shared" si="17"/>
        <v>0</v>
      </c>
      <c r="D95" s="264"/>
      <c r="F95" s="267">
        <f t="shared" si="19"/>
        <v>0</v>
      </c>
      <c r="O95" s="269" t="s">
        <v>571</v>
      </c>
      <c r="P95" s="269"/>
      <c r="Q95" s="269"/>
      <c r="R95" s="274"/>
      <c r="S95" s="274"/>
      <c r="T95" s="274"/>
      <c r="U95" s="274"/>
    </row>
    <row r="96" spans="2:36" hidden="1">
      <c r="B96" s="265">
        <f t="shared" si="18"/>
        <v>0</v>
      </c>
      <c r="C96" s="265">
        <f t="shared" si="17"/>
        <v>0</v>
      </c>
      <c r="D96" s="264"/>
      <c r="F96" s="267">
        <f t="shared" si="19"/>
        <v>0</v>
      </c>
      <c r="S96" s="274"/>
      <c r="T96" s="274"/>
      <c r="U96" s="274"/>
    </row>
    <row r="97" spans="2:21" hidden="1">
      <c r="B97" s="265">
        <f t="shared" si="18"/>
        <v>0</v>
      </c>
      <c r="C97" s="265">
        <f t="shared" si="17"/>
        <v>0</v>
      </c>
      <c r="D97" s="264"/>
      <c r="F97" s="267">
        <f t="shared" si="19"/>
        <v>0</v>
      </c>
      <c r="S97" s="274"/>
      <c r="T97" s="274"/>
      <c r="U97" s="274"/>
    </row>
    <row r="98" spans="2:21" hidden="1">
      <c r="B98" s="265">
        <f t="shared" si="18"/>
        <v>0</v>
      </c>
      <c r="C98" s="265">
        <f t="shared" si="17"/>
        <v>0</v>
      </c>
      <c r="D98" s="264"/>
      <c r="F98" s="267">
        <f t="shared" si="19"/>
        <v>0</v>
      </c>
    </row>
    <row r="99" spans="2:21" hidden="1">
      <c r="B99" s="265">
        <f t="shared" si="18"/>
        <v>0</v>
      </c>
      <c r="C99" s="265">
        <f t="shared" si="17"/>
        <v>0</v>
      </c>
      <c r="D99" s="264"/>
      <c r="F99" s="267">
        <f t="shared" si="19"/>
        <v>0</v>
      </c>
    </row>
    <row r="100" spans="2:21" hidden="1">
      <c r="B100" s="265">
        <f t="shared" si="18"/>
        <v>0</v>
      </c>
      <c r="C100" s="265">
        <f t="shared" si="17"/>
        <v>0</v>
      </c>
      <c r="D100" s="264"/>
      <c r="F100" s="267">
        <f t="shared" si="19"/>
        <v>0</v>
      </c>
    </row>
    <row r="101" spans="2:21" hidden="1">
      <c r="B101" s="265">
        <f t="shared" si="18"/>
        <v>0</v>
      </c>
      <c r="C101" s="265">
        <f t="shared" si="17"/>
        <v>0</v>
      </c>
      <c r="D101" s="264"/>
      <c r="F101" s="267">
        <f t="shared" si="19"/>
        <v>0</v>
      </c>
    </row>
    <row r="102" spans="2:21" hidden="1">
      <c r="B102" s="265">
        <f t="shared" si="18"/>
        <v>0</v>
      </c>
      <c r="C102" s="265">
        <f t="shared" si="17"/>
        <v>0</v>
      </c>
      <c r="D102" s="264"/>
      <c r="F102" s="267">
        <f t="shared" si="19"/>
        <v>0</v>
      </c>
    </row>
    <row r="103" spans="2:21" hidden="1">
      <c r="B103" s="265">
        <f t="shared" si="18"/>
        <v>0</v>
      </c>
      <c r="C103" s="265">
        <f t="shared" si="17"/>
        <v>0</v>
      </c>
      <c r="D103" s="264"/>
      <c r="F103" s="267">
        <f t="shared" si="19"/>
        <v>0</v>
      </c>
    </row>
    <row r="104" spans="2:21" hidden="1">
      <c r="B104" s="265">
        <f t="shared" si="18"/>
        <v>0</v>
      </c>
      <c r="C104" s="265">
        <f t="shared" si="17"/>
        <v>0</v>
      </c>
      <c r="D104" s="264"/>
      <c r="F104" s="267">
        <f t="shared" si="19"/>
        <v>0</v>
      </c>
    </row>
    <row r="105" spans="2:21" hidden="1">
      <c r="B105" s="265">
        <f t="shared" si="18"/>
        <v>0</v>
      </c>
      <c r="C105" s="265">
        <f t="shared" si="17"/>
        <v>0</v>
      </c>
      <c r="D105" s="264"/>
      <c r="F105" s="267">
        <f t="shared" si="19"/>
        <v>0</v>
      </c>
    </row>
    <row r="106" spans="2:21" hidden="1">
      <c r="B106" s="265">
        <f t="shared" si="18"/>
        <v>0</v>
      </c>
      <c r="C106" s="265">
        <f t="shared" si="17"/>
        <v>0</v>
      </c>
      <c r="D106" s="264"/>
      <c r="F106" s="267">
        <f t="shared" si="19"/>
        <v>0</v>
      </c>
    </row>
    <row r="107" spans="2:21" hidden="1">
      <c r="B107" s="265">
        <f t="shared" si="18"/>
        <v>0</v>
      </c>
      <c r="C107" s="265">
        <f t="shared" si="17"/>
        <v>0</v>
      </c>
      <c r="D107" s="264"/>
      <c r="F107" s="267">
        <f t="shared" si="19"/>
        <v>0</v>
      </c>
    </row>
    <row r="108" spans="2:21" hidden="1">
      <c r="B108" s="265">
        <f t="shared" si="18"/>
        <v>0</v>
      </c>
      <c r="C108" s="265">
        <f t="shared" si="17"/>
        <v>0</v>
      </c>
      <c r="D108" s="264"/>
      <c r="F108" s="267">
        <f t="shared" si="19"/>
        <v>0</v>
      </c>
    </row>
    <row r="109" spans="2:21" hidden="1">
      <c r="B109" s="265">
        <f t="shared" si="18"/>
        <v>0</v>
      </c>
      <c r="C109" s="265">
        <f t="shared" si="17"/>
        <v>0</v>
      </c>
      <c r="D109" s="264"/>
      <c r="F109" s="267">
        <f t="shared" si="19"/>
        <v>0</v>
      </c>
    </row>
    <row r="110" spans="2:21" hidden="1">
      <c r="B110" s="265">
        <f t="shared" si="18"/>
        <v>0</v>
      </c>
      <c r="C110" s="265">
        <f t="shared" si="17"/>
        <v>0</v>
      </c>
      <c r="D110" s="264"/>
      <c r="F110" s="267">
        <f t="shared" si="19"/>
        <v>0</v>
      </c>
    </row>
    <row r="111" spans="2:21" hidden="1">
      <c r="B111" s="265">
        <f t="shared" si="18"/>
        <v>0</v>
      </c>
      <c r="C111" s="265">
        <f t="shared" si="17"/>
        <v>0</v>
      </c>
      <c r="D111" s="264"/>
      <c r="F111" s="267">
        <f t="shared" si="19"/>
        <v>0</v>
      </c>
    </row>
    <row r="112" spans="2:21" hidden="1">
      <c r="B112" s="265">
        <f t="shared" si="18"/>
        <v>0</v>
      </c>
      <c r="C112" s="265">
        <f t="shared" si="17"/>
        <v>0</v>
      </c>
      <c r="D112" s="264"/>
      <c r="F112" s="267">
        <f t="shared" si="19"/>
        <v>0</v>
      </c>
    </row>
    <row r="113" spans="2:6" hidden="1">
      <c r="B113" s="265">
        <f t="shared" si="18"/>
        <v>0</v>
      </c>
      <c r="C113" s="265">
        <f t="shared" si="17"/>
        <v>0</v>
      </c>
      <c r="D113" s="264"/>
      <c r="F113" s="267">
        <f t="shared" si="19"/>
        <v>0</v>
      </c>
    </row>
    <row r="114" spans="2:6" hidden="1">
      <c r="B114" s="265">
        <f t="shared" si="18"/>
        <v>0</v>
      </c>
      <c r="C114" s="265">
        <f t="shared" si="17"/>
        <v>0</v>
      </c>
      <c r="D114" s="264"/>
      <c r="F114" s="267">
        <f t="shared" si="19"/>
        <v>0</v>
      </c>
    </row>
    <row r="115" spans="2:6" hidden="1">
      <c r="B115" s="265">
        <f t="shared" si="18"/>
        <v>0</v>
      </c>
      <c r="C115" s="265">
        <f t="shared" si="17"/>
        <v>0</v>
      </c>
      <c r="D115" s="264"/>
      <c r="F115" s="267">
        <f t="shared" si="19"/>
        <v>0</v>
      </c>
    </row>
    <row r="116" spans="2:6" hidden="1">
      <c r="B116" s="265">
        <f t="shared" si="18"/>
        <v>0</v>
      </c>
      <c r="C116" s="265">
        <f t="shared" si="17"/>
        <v>0</v>
      </c>
      <c r="D116" s="264"/>
      <c r="F116" s="267">
        <f t="shared" si="19"/>
        <v>0</v>
      </c>
    </row>
    <row r="117" spans="2:6" hidden="1">
      <c r="B117" s="265">
        <f t="shared" si="18"/>
        <v>0</v>
      </c>
      <c r="C117" s="265">
        <f t="shared" si="17"/>
        <v>0</v>
      </c>
      <c r="D117" s="264"/>
      <c r="F117" s="267">
        <f t="shared" si="19"/>
        <v>0</v>
      </c>
    </row>
    <row r="118" spans="2:6" hidden="1">
      <c r="B118" s="265">
        <f t="shared" si="18"/>
        <v>0</v>
      </c>
      <c r="C118" s="265">
        <f t="shared" si="17"/>
        <v>0</v>
      </c>
      <c r="D118" s="264"/>
      <c r="F118" s="267">
        <f t="shared" si="19"/>
        <v>0</v>
      </c>
    </row>
    <row r="119" spans="2:6" hidden="1">
      <c r="B119" s="265">
        <f t="shared" si="18"/>
        <v>0</v>
      </c>
      <c r="C119" s="265">
        <f t="shared" si="17"/>
        <v>0</v>
      </c>
      <c r="D119" s="264"/>
      <c r="F119" s="267">
        <f t="shared" si="19"/>
        <v>0</v>
      </c>
    </row>
    <row r="120" spans="2:6" hidden="1">
      <c r="B120" s="265">
        <f t="shared" si="18"/>
        <v>0</v>
      </c>
      <c r="C120" s="265">
        <f t="shared" si="17"/>
        <v>0</v>
      </c>
      <c r="D120" s="264"/>
      <c r="F120" s="267">
        <f t="shared" si="19"/>
        <v>0</v>
      </c>
    </row>
    <row r="121" spans="2:6" hidden="1">
      <c r="B121" s="265">
        <f t="shared" si="18"/>
        <v>0</v>
      </c>
      <c r="C121" s="265">
        <f t="shared" si="17"/>
        <v>0</v>
      </c>
      <c r="D121" s="264"/>
      <c r="F121" s="267">
        <f t="shared" si="19"/>
        <v>0</v>
      </c>
    </row>
    <row r="122" spans="2:6" hidden="1">
      <c r="B122" s="265">
        <f t="shared" si="18"/>
        <v>0</v>
      </c>
      <c r="C122" s="265">
        <f t="shared" si="17"/>
        <v>0</v>
      </c>
      <c r="D122" s="264"/>
      <c r="F122" s="267">
        <f t="shared" si="19"/>
        <v>0</v>
      </c>
    </row>
    <row r="123" spans="2:6" hidden="1">
      <c r="B123" s="265">
        <f t="shared" si="18"/>
        <v>0</v>
      </c>
      <c r="C123" s="265">
        <f t="shared" si="17"/>
        <v>0</v>
      </c>
      <c r="D123" s="264"/>
      <c r="F123" s="267">
        <f t="shared" si="19"/>
        <v>0</v>
      </c>
    </row>
    <row r="124" spans="2:6" hidden="1">
      <c r="B124" s="265">
        <f t="shared" si="18"/>
        <v>0</v>
      </c>
      <c r="C124" s="265">
        <f t="shared" si="17"/>
        <v>0</v>
      </c>
      <c r="D124" s="264"/>
      <c r="F124" s="267">
        <f t="shared" si="19"/>
        <v>0</v>
      </c>
    </row>
    <row r="125" spans="2:6" hidden="1">
      <c r="B125" s="265">
        <f t="shared" si="18"/>
        <v>0</v>
      </c>
      <c r="C125" s="265">
        <f t="shared" si="17"/>
        <v>0</v>
      </c>
      <c r="D125" s="264"/>
      <c r="F125" s="267">
        <f t="shared" si="19"/>
        <v>0</v>
      </c>
    </row>
    <row r="126" spans="2:6" hidden="1">
      <c r="B126" s="265">
        <f t="shared" si="18"/>
        <v>0</v>
      </c>
      <c r="C126" s="265">
        <f t="shared" si="17"/>
        <v>0</v>
      </c>
      <c r="D126" s="264"/>
      <c r="F126" s="267">
        <f t="shared" si="19"/>
        <v>0</v>
      </c>
    </row>
    <row r="127" spans="2:6" hidden="1">
      <c r="B127" s="265">
        <f t="shared" si="18"/>
        <v>0</v>
      </c>
      <c r="C127" s="265">
        <f t="shared" si="17"/>
        <v>0</v>
      </c>
      <c r="D127" s="264"/>
      <c r="F127" s="267">
        <f t="shared" si="19"/>
        <v>0</v>
      </c>
    </row>
    <row r="128" spans="2:6" hidden="1">
      <c r="B128" s="265">
        <f t="shared" si="18"/>
        <v>0</v>
      </c>
      <c r="C128" s="265">
        <f t="shared" si="17"/>
        <v>0</v>
      </c>
      <c r="D128" s="264"/>
      <c r="F128" s="267">
        <f t="shared" si="19"/>
        <v>0</v>
      </c>
    </row>
    <row r="129" spans="2:6" hidden="1">
      <c r="B129" s="265">
        <f t="shared" si="18"/>
        <v>0</v>
      </c>
      <c r="C129" s="265">
        <f t="shared" si="17"/>
        <v>0</v>
      </c>
      <c r="D129" s="264"/>
      <c r="F129" s="267">
        <f t="shared" si="19"/>
        <v>0</v>
      </c>
    </row>
    <row r="130" spans="2:6" hidden="1">
      <c r="B130" s="265">
        <f t="shared" si="18"/>
        <v>0</v>
      </c>
      <c r="C130" s="265">
        <f t="shared" si="17"/>
        <v>0</v>
      </c>
      <c r="D130" s="264"/>
      <c r="F130" s="267">
        <f t="shared" si="19"/>
        <v>0</v>
      </c>
    </row>
    <row r="131" spans="2:6" hidden="1">
      <c r="B131" s="265">
        <f t="shared" si="18"/>
        <v>0</v>
      </c>
      <c r="C131" s="265">
        <f t="shared" ref="C131:C194" si="26">IF($B131=0,,RANK($B131,$B$3:$B$78))</f>
        <v>0</v>
      </c>
      <c r="D131" s="264"/>
      <c r="F131" s="267">
        <f t="shared" si="19"/>
        <v>0</v>
      </c>
    </row>
    <row r="132" spans="2:6" hidden="1">
      <c r="B132" s="265">
        <f t="shared" ref="B132:B195" si="27">IF(OR(D132="",D132=0,RIGHT(D132,LEN($A$1))&lt;&gt;$A$1),,(LEFT($D132,3)*100)+MID($D132,7,IF(OR(AND(LEN($A$1)=3,LEN($D132)=12),AND(LEN($A$1)=4,LEN($D132)=13)),2,1))*1)</f>
        <v>0</v>
      </c>
      <c r="C132" s="265">
        <f t="shared" si="26"/>
        <v>0</v>
      </c>
      <c r="D132" s="264"/>
      <c r="F132" s="267">
        <f t="shared" ref="F132:F195" si="28">IF(AND(RIGHT($D132,LEN($A$1))&lt;&gt;$A$1,$D132&lt;&gt;""),1,0)</f>
        <v>0</v>
      </c>
    </row>
    <row r="133" spans="2:6" hidden="1">
      <c r="B133" s="265">
        <f t="shared" si="27"/>
        <v>0</v>
      </c>
      <c r="C133" s="265">
        <f t="shared" si="26"/>
        <v>0</v>
      </c>
      <c r="D133" s="264"/>
      <c r="F133" s="267">
        <f t="shared" si="28"/>
        <v>0</v>
      </c>
    </row>
    <row r="134" spans="2:6" hidden="1">
      <c r="B134" s="265">
        <f t="shared" si="27"/>
        <v>0</v>
      </c>
      <c r="C134" s="265">
        <f t="shared" si="26"/>
        <v>0</v>
      </c>
      <c r="D134" s="264"/>
      <c r="F134" s="267">
        <f t="shared" si="28"/>
        <v>0</v>
      </c>
    </row>
    <row r="135" spans="2:6" hidden="1">
      <c r="B135" s="265">
        <f t="shared" si="27"/>
        <v>0</v>
      </c>
      <c r="C135" s="265">
        <f t="shared" si="26"/>
        <v>0</v>
      </c>
      <c r="D135" s="264"/>
      <c r="F135" s="267">
        <f t="shared" si="28"/>
        <v>0</v>
      </c>
    </row>
    <row r="136" spans="2:6" hidden="1">
      <c r="B136" s="265">
        <f t="shared" si="27"/>
        <v>0</v>
      </c>
      <c r="C136" s="265">
        <f t="shared" si="26"/>
        <v>0</v>
      </c>
      <c r="D136" s="264"/>
      <c r="F136" s="267">
        <f t="shared" si="28"/>
        <v>0</v>
      </c>
    </row>
    <row r="137" spans="2:6" hidden="1">
      <c r="B137" s="265">
        <f t="shared" si="27"/>
        <v>0</v>
      </c>
      <c r="C137" s="265">
        <f t="shared" si="26"/>
        <v>0</v>
      </c>
      <c r="D137" s="264"/>
      <c r="F137" s="267">
        <f t="shared" si="28"/>
        <v>0</v>
      </c>
    </row>
    <row r="138" spans="2:6" hidden="1">
      <c r="B138" s="265">
        <f t="shared" si="27"/>
        <v>0</v>
      </c>
      <c r="C138" s="265">
        <f t="shared" si="26"/>
        <v>0</v>
      </c>
      <c r="D138" s="264"/>
      <c r="F138" s="267">
        <f t="shared" si="28"/>
        <v>0</v>
      </c>
    </row>
    <row r="139" spans="2:6" hidden="1">
      <c r="B139" s="265">
        <f t="shared" si="27"/>
        <v>0</v>
      </c>
      <c r="C139" s="265">
        <f t="shared" si="26"/>
        <v>0</v>
      </c>
      <c r="D139" s="264"/>
      <c r="F139" s="267">
        <f t="shared" si="28"/>
        <v>0</v>
      </c>
    </row>
    <row r="140" spans="2:6" hidden="1">
      <c r="B140" s="265">
        <f t="shared" si="27"/>
        <v>0</v>
      </c>
      <c r="C140" s="265">
        <f t="shared" si="26"/>
        <v>0</v>
      </c>
      <c r="D140" s="264"/>
      <c r="F140" s="267">
        <f t="shared" si="28"/>
        <v>0</v>
      </c>
    </row>
    <row r="141" spans="2:6" hidden="1">
      <c r="B141" s="265">
        <f t="shared" si="27"/>
        <v>0</v>
      </c>
      <c r="C141" s="265">
        <f t="shared" si="26"/>
        <v>0</v>
      </c>
      <c r="D141" s="264"/>
      <c r="F141" s="267">
        <f t="shared" si="28"/>
        <v>0</v>
      </c>
    </row>
    <row r="142" spans="2:6" hidden="1">
      <c r="B142" s="265">
        <f t="shared" si="27"/>
        <v>0</v>
      </c>
      <c r="C142" s="265">
        <f t="shared" si="26"/>
        <v>0</v>
      </c>
      <c r="D142" s="264"/>
      <c r="F142" s="267">
        <f t="shared" si="28"/>
        <v>0</v>
      </c>
    </row>
    <row r="143" spans="2:6" hidden="1">
      <c r="B143" s="265">
        <f t="shared" si="27"/>
        <v>0</v>
      </c>
      <c r="C143" s="265">
        <f t="shared" si="26"/>
        <v>0</v>
      </c>
      <c r="D143" s="264"/>
      <c r="F143" s="267">
        <f t="shared" si="28"/>
        <v>0</v>
      </c>
    </row>
    <row r="144" spans="2:6" hidden="1">
      <c r="B144" s="265">
        <f t="shared" si="27"/>
        <v>0</v>
      </c>
      <c r="C144" s="265">
        <f t="shared" si="26"/>
        <v>0</v>
      </c>
      <c r="D144" s="264"/>
      <c r="F144" s="267">
        <f t="shared" si="28"/>
        <v>0</v>
      </c>
    </row>
    <row r="145" spans="2:6" hidden="1">
      <c r="B145" s="265">
        <f t="shared" si="27"/>
        <v>0</v>
      </c>
      <c r="C145" s="265">
        <f t="shared" si="26"/>
        <v>0</v>
      </c>
      <c r="D145" s="264"/>
      <c r="F145" s="267">
        <f t="shared" si="28"/>
        <v>0</v>
      </c>
    </row>
    <row r="146" spans="2:6" hidden="1">
      <c r="B146" s="265">
        <f t="shared" si="27"/>
        <v>0</v>
      </c>
      <c r="C146" s="265">
        <f t="shared" si="26"/>
        <v>0</v>
      </c>
      <c r="D146" s="264"/>
      <c r="F146" s="267">
        <f t="shared" si="28"/>
        <v>0</v>
      </c>
    </row>
    <row r="147" spans="2:6" hidden="1">
      <c r="B147" s="265">
        <f t="shared" si="27"/>
        <v>0</v>
      </c>
      <c r="C147" s="265">
        <f t="shared" si="26"/>
        <v>0</v>
      </c>
      <c r="D147" s="264"/>
      <c r="F147" s="267">
        <f t="shared" si="28"/>
        <v>0</v>
      </c>
    </row>
    <row r="148" spans="2:6" hidden="1">
      <c r="B148" s="265">
        <f t="shared" si="27"/>
        <v>0</v>
      </c>
      <c r="C148" s="265">
        <f t="shared" si="26"/>
        <v>0</v>
      </c>
      <c r="D148" s="264"/>
      <c r="F148" s="267">
        <f t="shared" si="28"/>
        <v>0</v>
      </c>
    </row>
    <row r="149" spans="2:6" hidden="1">
      <c r="B149" s="265">
        <f t="shared" si="27"/>
        <v>0</v>
      </c>
      <c r="C149" s="265">
        <f t="shared" si="26"/>
        <v>0</v>
      </c>
      <c r="D149" s="264"/>
      <c r="F149" s="267">
        <f t="shared" si="28"/>
        <v>0</v>
      </c>
    </row>
    <row r="150" spans="2:6" hidden="1">
      <c r="B150" s="265">
        <f t="shared" si="27"/>
        <v>0</v>
      </c>
      <c r="C150" s="265">
        <f t="shared" si="26"/>
        <v>0</v>
      </c>
      <c r="D150" s="264"/>
      <c r="F150" s="267">
        <f t="shared" si="28"/>
        <v>0</v>
      </c>
    </row>
    <row r="151" spans="2:6" hidden="1">
      <c r="B151" s="265">
        <f t="shared" si="27"/>
        <v>0</v>
      </c>
      <c r="C151" s="265">
        <f t="shared" si="26"/>
        <v>0</v>
      </c>
      <c r="D151" s="264"/>
      <c r="F151" s="267">
        <f t="shared" si="28"/>
        <v>0</v>
      </c>
    </row>
    <row r="152" spans="2:6" hidden="1">
      <c r="B152" s="265">
        <f t="shared" si="27"/>
        <v>0</v>
      </c>
      <c r="C152" s="265">
        <f t="shared" si="26"/>
        <v>0</v>
      </c>
      <c r="D152" s="264"/>
      <c r="F152" s="267">
        <f t="shared" si="28"/>
        <v>0</v>
      </c>
    </row>
    <row r="153" spans="2:6" hidden="1">
      <c r="B153" s="265">
        <f t="shared" si="27"/>
        <v>0</v>
      </c>
      <c r="C153" s="265">
        <f t="shared" si="26"/>
        <v>0</v>
      </c>
      <c r="D153" s="264"/>
      <c r="F153" s="267">
        <f t="shared" si="28"/>
        <v>0</v>
      </c>
    </row>
    <row r="154" spans="2:6" hidden="1">
      <c r="B154" s="265">
        <f t="shared" si="27"/>
        <v>0</v>
      </c>
      <c r="C154" s="265">
        <f t="shared" si="26"/>
        <v>0</v>
      </c>
      <c r="D154" s="264"/>
      <c r="F154" s="267">
        <f t="shared" si="28"/>
        <v>0</v>
      </c>
    </row>
    <row r="155" spans="2:6" hidden="1">
      <c r="B155" s="265">
        <f t="shared" si="27"/>
        <v>0</v>
      </c>
      <c r="C155" s="265">
        <f t="shared" si="26"/>
        <v>0</v>
      </c>
      <c r="D155" s="264"/>
      <c r="F155" s="267">
        <f t="shared" si="28"/>
        <v>0</v>
      </c>
    </row>
    <row r="156" spans="2:6" hidden="1">
      <c r="B156" s="265">
        <f t="shared" si="27"/>
        <v>0</v>
      </c>
      <c r="C156" s="265">
        <f t="shared" si="26"/>
        <v>0</v>
      </c>
      <c r="D156" s="264"/>
      <c r="F156" s="267">
        <f t="shared" si="28"/>
        <v>0</v>
      </c>
    </row>
    <row r="157" spans="2:6" hidden="1">
      <c r="B157" s="265">
        <f t="shared" si="27"/>
        <v>0</v>
      </c>
      <c r="C157" s="265">
        <f t="shared" si="26"/>
        <v>0</v>
      </c>
      <c r="D157" s="264"/>
      <c r="F157" s="267">
        <f t="shared" si="28"/>
        <v>0</v>
      </c>
    </row>
    <row r="158" spans="2:6" hidden="1">
      <c r="B158" s="265">
        <f t="shared" si="27"/>
        <v>0</v>
      </c>
      <c r="C158" s="265">
        <f t="shared" si="26"/>
        <v>0</v>
      </c>
      <c r="D158" s="264"/>
      <c r="F158" s="267">
        <f t="shared" si="28"/>
        <v>0</v>
      </c>
    </row>
    <row r="159" spans="2:6" hidden="1">
      <c r="B159" s="265">
        <f t="shared" si="27"/>
        <v>0</v>
      </c>
      <c r="C159" s="265">
        <f t="shared" si="26"/>
        <v>0</v>
      </c>
      <c r="D159" s="264"/>
      <c r="F159" s="267">
        <f t="shared" si="28"/>
        <v>0</v>
      </c>
    </row>
    <row r="160" spans="2:6" hidden="1">
      <c r="B160" s="265">
        <f t="shared" si="27"/>
        <v>0</v>
      </c>
      <c r="C160" s="265">
        <f t="shared" si="26"/>
        <v>0</v>
      </c>
      <c r="D160" s="264"/>
      <c r="F160" s="267">
        <f t="shared" si="28"/>
        <v>0</v>
      </c>
    </row>
    <row r="161" spans="2:6" hidden="1">
      <c r="B161" s="265">
        <f t="shared" si="27"/>
        <v>0</v>
      </c>
      <c r="C161" s="265">
        <f t="shared" si="26"/>
        <v>0</v>
      </c>
      <c r="D161" s="264"/>
      <c r="F161" s="267">
        <f t="shared" si="28"/>
        <v>0</v>
      </c>
    </row>
    <row r="162" spans="2:6" hidden="1">
      <c r="B162" s="265">
        <f t="shared" si="27"/>
        <v>0</v>
      </c>
      <c r="C162" s="265">
        <f t="shared" si="26"/>
        <v>0</v>
      </c>
      <c r="D162" s="264"/>
      <c r="F162" s="267">
        <f t="shared" si="28"/>
        <v>0</v>
      </c>
    </row>
    <row r="163" spans="2:6" hidden="1">
      <c r="B163" s="265">
        <f t="shared" si="27"/>
        <v>0</v>
      </c>
      <c r="C163" s="265">
        <f t="shared" si="26"/>
        <v>0</v>
      </c>
      <c r="D163" s="264"/>
      <c r="F163" s="267">
        <f t="shared" si="28"/>
        <v>0</v>
      </c>
    </row>
    <row r="164" spans="2:6" hidden="1">
      <c r="B164" s="265">
        <f t="shared" si="27"/>
        <v>0</v>
      </c>
      <c r="C164" s="265">
        <f t="shared" si="26"/>
        <v>0</v>
      </c>
      <c r="D164" s="264"/>
      <c r="F164" s="267">
        <f t="shared" si="28"/>
        <v>0</v>
      </c>
    </row>
    <row r="165" spans="2:6" hidden="1">
      <c r="B165" s="265">
        <f t="shared" si="27"/>
        <v>0</v>
      </c>
      <c r="C165" s="265">
        <f t="shared" si="26"/>
        <v>0</v>
      </c>
      <c r="D165" s="264"/>
      <c r="F165" s="267">
        <f t="shared" si="28"/>
        <v>0</v>
      </c>
    </row>
    <row r="166" spans="2:6" hidden="1">
      <c r="B166" s="265">
        <f t="shared" si="27"/>
        <v>0</v>
      </c>
      <c r="C166" s="265">
        <f t="shared" si="26"/>
        <v>0</v>
      </c>
      <c r="D166" s="264"/>
      <c r="F166" s="267">
        <f t="shared" si="28"/>
        <v>0</v>
      </c>
    </row>
    <row r="167" spans="2:6" hidden="1">
      <c r="B167" s="265">
        <f t="shared" si="27"/>
        <v>0</v>
      </c>
      <c r="C167" s="265">
        <f t="shared" si="26"/>
        <v>0</v>
      </c>
      <c r="D167" s="264"/>
      <c r="F167" s="267">
        <f t="shared" si="28"/>
        <v>0</v>
      </c>
    </row>
    <row r="168" spans="2:6" hidden="1">
      <c r="B168" s="265">
        <f t="shared" si="27"/>
        <v>0</v>
      </c>
      <c r="C168" s="265">
        <f t="shared" si="26"/>
        <v>0</v>
      </c>
      <c r="D168" s="264"/>
      <c r="F168" s="267">
        <f t="shared" si="28"/>
        <v>0</v>
      </c>
    </row>
    <row r="169" spans="2:6" hidden="1">
      <c r="B169" s="265">
        <f t="shared" si="27"/>
        <v>0</v>
      </c>
      <c r="C169" s="265">
        <f t="shared" si="26"/>
        <v>0</v>
      </c>
      <c r="D169" s="264"/>
      <c r="F169" s="267">
        <f t="shared" si="28"/>
        <v>0</v>
      </c>
    </row>
    <row r="170" spans="2:6" hidden="1">
      <c r="B170" s="265">
        <f t="shared" si="27"/>
        <v>0</v>
      </c>
      <c r="C170" s="265">
        <f t="shared" si="26"/>
        <v>0</v>
      </c>
      <c r="D170" s="264"/>
      <c r="F170" s="267">
        <f t="shared" si="28"/>
        <v>0</v>
      </c>
    </row>
    <row r="171" spans="2:6" hidden="1">
      <c r="B171" s="265">
        <f t="shared" si="27"/>
        <v>0</v>
      </c>
      <c r="C171" s="265">
        <f t="shared" si="26"/>
        <v>0</v>
      </c>
      <c r="D171" s="264"/>
      <c r="F171" s="267">
        <f t="shared" si="28"/>
        <v>0</v>
      </c>
    </row>
    <row r="172" spans="2:6" hidden="1">
      <c r="B172" s="265">
        <f t="shared" si="27"/>
        <v>0</v>
      </c>
      <c r="C172" s="265">
        <f t="shared" si="26"/>
        <v>0</v>
      </c>
      <c r="D172" s="264"/>
      <c r="F172" s="267">
        <f t="shared" si="28"/>
        <v>0</v>
      </c>
    </row>
    <row r="173" spans="2:6" hidden="1">
      <c r="B173" s="265">
        <f t="shared" si="27"/>
        <v>0</v>
      </c>
      <c r="C173" s="265">
        <f t="shared" si="26"/>
        <v>0</v>
      </c>
      <c r="D173" s="264"/>
      <c r="F173" s="267">
        <f t="shared" si="28"/>
        <v>0</v>
      </c>
    </row>
    <row r="174" spans="2:6" hidden="1">
      <c r="B174" s="265">
        <f t="shared" si="27"/>
        <v>0</v>
      </c>
      <c r="C174" s="265">
        <f t="shared" si="26"/>
        <v>0</v>
      </c>
      <c r="D174" s="264"/>
      <c r="F174" s="267">
        <f t="shared" si="28"/>
        <v>0</v>
      </c>
    </row>
    <row r="175" spans="2:6" hidden="1">
      <c r="B175" s="265">
        <f t="shared" si="27"/>
        <v>0</v>
      </c>
      <c r="C175" s="265">
        <f t="shared" si="26"/>
        <v>0</v>
      </c>
      <c r="D175" s="264"/>
      <c r="F175" s="267">
        <f t="shared" si="28"/>
        <v>0</v>
      </c>
    </row>
    <row r="176" spans="2:6" hidden="1">
      <c r="B176" s="265">
        <f t="shared" si="27"/>
        <v>0</v>
      </c>
      <c r="C176" s="265">
        <f t="shared" si="26"/>
        <v>0</v>
      </c>
      <c r="D176" s="264"/>
      <c r="F176" s="267">
        <f t="shared" si="28"/>
        <v>0</v>
      </c>
    </row>
    <row r="177" spans="2:6" hidden="1">
      <c r="B177" s="265">
        <f t="shared" si="27"/>
        <v>0</v>
      </c>
      <c r="C177" s="265">
        <f t="shared" si="26"/>
        <v>0</v>
      </c>
      <c r="D177" s="264"/>
      <c r="F177" s="267">
        <f t="shared" si="28"/>
        <v>0</v>
      </c>
    </row>
    <row r="178" spans="2:6" hidden="1">
      <c r="B178" s="265">
        <f t="shared" si="27"/>
        <v>0</v>
      </c>
      <c r="C178" s="265">
        <f t="shared" si="26"/>
        <v>0</v>
      </c>
      <c r="D178" s="264"/>
      <c r="F178" s="267">
        <f t="shared" si="28"/>
        <v>0</v>
      </c>
    </row>
    <row r="179" spans="2:6" hidden="1">
      <c r="B179" s="265">
        <f t="shared" si="27"/>
        <v>0</v>
      </c>
      <c r="C179" s="265">
        <f t="shared" si="26"/>
        <v>0</v>
      </c>
      <c r="D179" s="264"/>
      <c r="F179" s="267">
        <f t="shared" si="28"/>
        <v>0</v>
      </c>
    </row>
    <row r="180" spans="2:6" hidden="1">
      <c r="B180" s="265">
        <f t="shared" si="27"/>
        <v>0</v>
      </c>
      <c r="C180" s="265">
        <f t="shared" si="26"/>
        <v>0</v>
      </c>
      <c r="D180" s="264"/>
      <c r="F180" s="267">
        <f t="shared" si="28"/>
        <v>0</v>
      </c>
    </row>
    <row r="181" spans="2:6" hidden="1">
      <c r="B181" s="265">
        <f t="shared" si="27"/>
        <v>0</v>
      </c>
      <c r="C181" s="265">
        <f t="shared" si="26"/>
        <v>0</v>
      </c>
      <c r="D181" s="264"/>
      <c r="F181" s="267">
        <f t="shared" si="28"/>
        <v>0</v>
      </c>
    </row>
    <row r="182" spans="2:6" hidden="1">
      <c r="B182" s="265">
        <f t="shared" si="27"/>
        <v>0</v>
      </c>
      <c r="C182" s="265">
        <f t="shared" si="26"/>
        <v>0</v>
      </c>
      <c r="D182" s="264"/>
      <c r="F182" s="267">
        <f t="shared" si="28"/>
        <v>0</v>
      </c>
    </row>
    <row r="183" spans="2:6" hidden="1">
      <c r="B183" s="265">
        <f t="shared" si="27"/>
        <v>0</v>
      </c>
      <c r="C183" s="265">
        <f t="shared" si="26"/>
        <v>0</v>
      </c>
      <c r="D183" s="264"/>
      <c r="F183" s="267">
        <f t="shared" si="28"/>
        <v>0</v>
      </c>
    </row>
    <row r="184" spans="2:6" hidden="1">
      <c r="B184" s="265">
        <f t="shared" si="27"/>
        <v>0</v>
      </c>
      <c r="C184" s="265">
        <f t="shared" si="26"/>
        <v>0</v>
      </c>
      <c r="D184" s="264"/>
      <c r="F184" s="267">
        <f t="shared" si="28"/>
        <v>0</v>
      </c>
    </row>
    <row r="185" spans="2:6" hidden="1">
      <c r="B185" s="265">
        <f t="shared" si="27"/>
        <v>0</v>
      </c>
      <c r="C185" s="265">
        <f t="shared" si="26"/>
        <v>0</v>
      </c>
      <c r="D185" s="264"/>
      <c r="F185" s="267">
        <f t="shared" si="28"/>
        <v>0</v>
      </c>
    </row>
    <row r="186" spans="2:6" hidden="1">
      <c r="B186" s="265">
        <f t="shared" si="27"/>
        <v>0</v>
      </c>
      <c r="C186" s="265">
        <f t="shared" si="26"/>
        <v>0</v>
      </c>
      <c r="D186" s="264"/>
      <c r="F186" s="267">
        <f t="shared" si="28"/>
        <v>0</v>
      </c>
    </row>
    <row r="187" spans="2:6" hidden="1">
      <c r="B187" s="265">
        <f t="shared" si="27"/>
        <v>0</v>
      </c>
      <c r="C187" s="265">
        <f t="shared" si="26"/>
        <v>0</v>
      </c>
      <c r="D187" s="264"/>
      <c r="F187" s="267">
        <f t="shared" si="28"/>
        <v>0</v>
      </c>
    </row>
    <row r="188" spans="2:6" hidden="1">
      <c r="B188" s="265">
        <f t="shared" si="27"/>
        <v>0</v>
      </c>
      <c r="C188" s="265">
        <f t="shared" si="26"/>
        <v>0</v>
      </c>
      <c r="D188" s="264"/>
      <c r="F188" s="267">
        <f t="shared" si="28"/>
        <v>0</v>
      </c>
    </row>
    <row r="189" spans="2:6" hidden="1">
      <c r="B189" s="265">
        <f t="shared" si="27"/>
        <v>0</v>
      </c>
      <c r="C189" s="265">
        <f t="shared" si="26"/>
        <v>0</v>
      </c>
      <c r="D189" s="264"/>
      <c r="F189" s="267">
        <f t="shared" si="28"/>
        <v>0</v>
      </c>
    </row>
    <row r="190" spans="2:6" hidden="1">
      <c r="B190" s="265">
        <f t="shared" si="27"/>
        <v>0</v>
      </c>
      <c r="C190" s="265">
        <f t="shared" si="26"/>
        <v>0</v>
      </c>
      <c r="D190" s="264"/>
      <c r="F190" s="267">
        <f t="shared" si="28"/>
        <v>0</v>
      </c>
    </row>
    <row r="191" spans="2:6" hidden="1">
      <c r="B191" s="265">
        <f t="shared" si="27"/>
        <v>0</v>
      </c>
      <c r="C191" s="265">
        <f t="shared" si="26"/>
        <v>0</v>
      </c>
      <c r="D191" s="264"/>
      <c r="F191" s="267">
        <f t="shared" si="28"/>
        <v>0</v>
      </c>
    </row>
    <row r="192" spans="2:6" hidden="1">
      <c r="B192" s="265">
        <f t="shared" si="27"/>
        <v>0</v>
      </c>
      <c r="C192" s="265">
        <f t="shared" si="26"/>
        <v>0</v>
      </c>
      <c r="D192" s="264"/>
      <c r="F192" s="267">
        <f t="shared" si="28"/>
        <v>0</v>
      </c>
    </row>
    <row r="193" spans="2:26" hidden="1">
      <c r="B193" s="265">
        <f t="shared" si="27"/>
        <v>0</v>
      </c>
      <c r="C193" s="265">
        <f t="shared" si="26"/>
        <v>0</v>
      </c>
      <c r="D193" s="264"/>
      <c r="F193" s="267">
        <f t="shared" si="28"/>
        <v>0</v>
      </c>
    </row>
    <row r="194" spans="2:26" hidden="1">
      <c r="B194" s="265">
        <f t="shared" si="27"/>
        <v>0</v>
      </c>
      <c r="C194" s="265">
        <f t="shared" si="26"/>
        <v>0</v>
      </c>
      <c r="D194" s="264"/>
      <c r="F194" s="267">
        <f t="shared" si="28"/>
        <v>0</v>
      </c>
    </row>
    <row r="195" spans="2:26" hidden="1">
      <c r="B195" s="265">
        <f t="shared" si="27"/>
        <v>0</v>
      </c>
      <c r="C195" s="265">
        <f t="shared" ref="C195:C200" si="29">IF($B195=0,,RANK($B195,$B$3:$B$78))</f>
        <v>0</v>
      </c>
      <c r="D195" s="264"/>
      <c r="F195" s="267">
        <f t="shared" si="28"/>
        <v>0</v>
      </c>
    </row>
    <row r="196" spans="2:26" hidden="1">
      <c r="B196" s="265">
        <f>IF(OR(D196="",D196=0,RIGHT(D196,LEN($A$1))&lt;&gt;$A$1),,(LEFT($D196,3)*100)+MID($D196,7,IF(OR(AND(LEN($A$1)=3,LEN($D196)=12),AND(LEN($A$1)=4,LEN($D196)=13)),2,1))*1)</f>
        <v>0</v>
      </c>
      <c r="C196" s="265">
        <f t="shared" si="29"/>
        <v>0</v>
      </c>
      <c r="D196" s="264"/>
      <c r="F196" s="267">
        <f>IF(AND(RIGHT($D196,LEN($A$1))&lt;&gt;$A$1,$D196&lt;&gt;""),1,0)</f>
        <v>0</v>
      </c>
    </row>
    <row r="197" spans="2:26" hidden="1">
      <c r="B197" s="265">
        <f>IF(OR(D197="",D197=0,RIGHT(D197,LEN($A$1))&lt;&gt;$A$1),,(LEFT($D197,3)*100)+MID($D197,7,IF(OR(AND(LEN($A$1)=3,LEN($D197)=12),AND(LEN($A$1)=4,LEN($D197)=13)),2,1))*1)</f>
        <v>0</v>
      </c>
      <c r="C197" s="265">
        <f t="shared" si="29"/>
        <v>0</v>
      </c>
      <c r="D197" s="264"/>
      <c r="F197" s="267">
        <f>IF(AND(RIGHT($D197,LEN($A$1))&lt;&gt;$A$1,$D197&lt;&gt;""),1,0)</f>
        <v>0</v>
      </c>
    </row>
    <row r="198" spans="2:26" hidden="1">
      <c r="B198" s="265">
        <f>IF(OR(D198="",D198=0,RIGHT(D198,LEN($A$1))&lt;&gt;$A$1),,(LEFT($D198,3)*100)+MID($D198,7,IF(OR(AND(LEN($A$1)=3,LEN($D198)=12),AND(LEN($A$1)=4,LEN($D198)=13)),2,1))*1)</f>
        <v>0</v>
      </c>
      <c r="C198" s="265">
        <f t="shared" si="29"/>
        <v>0</v>
      </c>
      <c r="D198" s="264"/>
      <c r="F198" s="267">
        <f>IF(AND(RIGHT($D198,LEN($A$1))&lt;&gt;$A$1,$D198&lt;&gt;""),1,0)</f>
        <v>0</v>
      </c>
    </row>
    <row r="199" spans="2:26" hidden="1">
      <c r="B199" s="265">
        <f>IF(OR(D199="",D199=0,RIGHT(D199,LEN($A$1))&lt;&gt;$A$1),,(LEFT($D199,3)*100)+MID($D199,7,IF(OR(AND(LEN($A$1)=3,LEN($D199)=12),AND(LEN($A$1)=4,LEN($D199)=13)),2,1))*1)</f>
        <v>0</v>
      </c>
      <c r="C199" s="265">
        <f t="shared" si="29"/>
        <v>0</v>
      </c>
      <c r="D199" s="264"/>
      <c r="F199" s="267">
        <f>IF(AND(RIGHT($D199,LEN($A$1))&lt;&gt;$A$1,$D199&lt;&gt;""),1,0)</f>
        <v>0</v>
      </c>
    </row>
    <row r="200" spans="2:26" hidden="1">
      <c r="B200" s="265">
        <f>IF(OR(D200="",D200=0,RIGHT(D200,LEN($A$1))&lt;&gt;$A$1),,(LEFT($D200,3)*100)+MID($D200,7,IF(OR(AND(LEN($A$1)=3,LEN($D200)=12),AND(LEN($A$1)=4,LEN($D200)=13)),2,1))*1)</f>
        <v>0</v>
      </c>
      <c r="C200" s="265">
        <f t="shared" si="29"/>
        <v>0</v>
      </c>
      <c r="D200" s="264"/>
      <c r="F200" s="267">
        <f>IF(AND(RIGHT($D200,LEN($A$1))&lt;&gt;$A$1,$D200&lt;&gt;""),1,0)</f>
        <v>0</v>
      </c>
    </row>
    <row r="201" spans="2:26" hidden="1"/>
    <row r="202" spans="2:26" hidden="1">
      <c r="X202" s="317">
        <v>1</v>
      </c>
    </row>
    <row r="203" spans="2:26" hidden="1"/>
    <row r="204" spans="2:26" hidden="1">
      <c r="Y204" s="272">
        <v>41773</v>
      </c>
    </row>
    <row r="205" spans="2:26" hidden="1"/>
    <row r="206" spans="2:26" hidden="1">
      <c r="Z206" s="273">
        <v>0.40761574074074075</v>
      </c>
    </row>
    <row r="207" spans="2:26" hidden="1"/>
    <row r="208" spans="2:26" hidden="1">
      <c r="X208" s="317">
        <v>1</v>
      </c>
    </row>
    <row r="209" spans="24:26" hidden="1"/>
    <row r="210" spans="24:26" hidden="1">
      <c r="Y210" s="272">
        <v>41773</v>
      </c>
    </row>
    <row r="211" spans="24:26" hidden="1"/>
    <row r="212" spans="24:26" hidden="1">
      <c r="Z212" s="273">
        <v>0.42192129629629632</v>
      </c>
    </row>
    <row r="213" spans="24:26" hidden="1"/>
    <row r="214" spans="24:26" hidden="1">
      <c r="X214" s="317">
        <v>1</v>
      </c>
    </row>
    <row r="215" spans="24:26" hidden="1"/>
    <row r="216" spans="24:26" hidden="1">
      <c r="Y216" s="272">
        <v>41773</v>
      </c>
    </row>
    <row r="217" spans="24:26" hidden="1"/>
    <row r="218" spans="24:26" hidden="1">
      <c r="Z218" s="273">
        <v>0.71270833333333339</v>
      </c>
    </row>
    <row r="219" spans="24:26" hidden="1"/>
    <row r="220" spans="24:26" hidden="1">
      <c r="X220" s="317">
        <v>1</v>
      </c>
    </row>
    <row r="221" spans="24:26" hidden="1"/>
    <row r="222" spans="24:26" hidden="1">
      <c r="Y222" s="272">
        <v>41778</v>
      </c>
    </row>
    <row r="223" spans="24:26" hidden="1"/>
    <row r="224" spans="24:26" hidden="1">
      <c r="Z224" s="273">
        <v>0.46001157407407406</v>
      </c>
    </row>
    <row r="225" spans="24:26" hidden="1"/>
    <row r="226" spans="24:26" hidden="1">
      <c r="X226" s="317">
        <v>1</v>
      </c>
    </row>
    <row r="227" spans="24:26" hidden="1"/>
    <row r="228" spans="24:26" hidden="1">
      <c r="Y228" s="272">
        <v>41778</v>
      </c>
    </row>
    <row r="229" spans="24:26" hidden="1"/>
    <row r="230" spans="24:26" hidden="1">
      <c r="Z230" s="273">
        <v>0.46732638888888883</v>
      </c>
    </row>
    <row r="231" spans="24:26" hidden="1"/>
    <row r="232" spans="24:26" hidden="1">
      <c r="X232" s="317">
        <v>1</v>
      </c>
    </row>
    <row r="233" spans="24:26" hidden="1"/>
    <row r="234" spans="24:26" hidden="1">
      <c r="Y234" s="272">
        <v>41780</v>
      </c>
    </row>
    <row r="235" spans="24:26" hidden="1"/>
    <row r="236" spans="24:26" hidden="1">
      <c r="Z236" s="273">
        <v>0.39053240740740741</v>
      </c>
    </row>
    <row r="237" spans="24:26" hidden="1"/>
    <row r="238" spans="24:26" hidden="1">
      <c r="X238" s="317">
        <v>1</v>
      </c>
    </row>
    <row r="239" spans="24:26" hidden="1"/>
    <row r="240" spans="24:26" hidden="1">
      <c r="Y240" s="272">
        <v>41816</v>
      </c>
    </row>
    <row r="241" spans="24:26" hidden="1"/>
    <row r="242" spans="24:26" hidden="1">
      <c r="Z242" s="273">
        <v>0.44649305555555557</v>
      </c>
    </row>
    <row r="243" spans="24:26" hidden="1"/>
    <row r="244" spans="24:26" hidden="1">
      <c r="X244" s="317">
        <v>1</v>
      </c>
    </row>
    <row r="245" spans="24:26" hidden="1"/>
    <row r="246" spans="24:26" hidden="1">
      <c r="Y246" s="272">
        <v>41823</v>
      </c>
    </row>
    <row r="247" spans="24:26" hidden="1"/>
    <row r="248" spans="24:26" hidden="1">
      <c r="Z248" s="273">
        <v>0.43200231481481483</v>
      </c>
    </row>
    <row r="249" spans="24:26" hidden="1"/>
    <row r="250" spans="24:26" hidden="1">
      <c r="X250" s="317">
        <v>1</v>
      </c>
    </row>
    <row r="251" spans="24:26" hidden="1"/>
    <row r="252" spans="24:26" hidden="1">
      <c r="Y252" s="272">
        <v>41823</v>
      </c>
    </row>
    <row r="253" spans="24:26" hidden="1"/>
    <row r="254" spans="24:26" hidden="1">
      <c r="Z254" s="273">
        <v>0.70354166666666673</v>
      </c>
    </row>
    <row r="255" spans="24:26" hidden="1"/>
    <row r="256" spans="24:26" hidden="1">
      <c r="X256" s="317">
        <v>1</v>
      </c>
    </row>
    <row r="257" spans="25:26" hidden="1"/>
    <row r="258" spans="25:26" hidden="1">
      <c r="Y258" s="272">
        <v>41835</v>
      </c>
    </row>
    <row r="259" spans="25:26" hidden="1"/>
    <row r="260" spans="25:26" hidden="1">
      <c r="Z260" s="273">
        <v>0.70288194444444441</v>
      </c>
    </row>
  </sheetData>
  <sheetProtection password="F4D4" sheet="1" objects="1" scenarios="1"/>
  <phoneticPr fontId="4" type="noConversion"/>
  <dataValidations count="2">
    <dataValidation allowBlank="1" showInputMessage="1" showErrorMessage="1" promptTitle="宣告利率" prompt="舊利率" sqref="K2"/>
    <dataValidation allowBlank="1" showInputMessage="1" showErrorMessage="1" promptTitle="宣告利率" prompt="新利率" sqref="L2"/>
  </dataValidations>
  <pageMargins left="0.75" right="0.75" top="1" bottom="1" header="0.5" footer="0.5"/>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dimension ref="A1:CX1364"/>
  <sheetViews>
    <sheetView topLeftCell="XFD1048576" workbookViewId="0"/>
  </sheetViews>
  <sheetFormatPr defaultColWidth="0" defaultRowHeight="14.25" zeroHeight="1"/>
  <cols>
    <col min="1" max="2" width="9.33203125" hidden="1" customWidth="1"/>
    <col min="3" max="4" width="28.33203125" hidden="1" customWidth="1"/>
    <col min="5" max="5" width="16" hidden="1" customWidth="1"/>
    <col min="6" max="6" width="13" hidden="1" customWidth="1"/>
    <col min="7" max="7" width="32.83203125" hidden="1" customWidth="1"/>
    <col min="8" max="8" width="37.5" hidden="1" customWidth="1"/>
    <col min="9" max="12" width="9.33203125" hidden="1" customWidth="1"/>
    <col min="13" max="14" width="30.5" hidden="1" customWidth="1"/>
    <col min="15" max="16" width="28.5" hidden="1" customWidth="1"/>
    <col min="17" max="22" width="9.33203125" hidden="1" customWidth="1"/>
    <col min="23" max="23" width="24" hidden="1" customWidth="1"/>
    <col min="24" max="24" width="25.83203125" hidden="1" customWidth="1"/>
    <col min="25" max="25" width="13.1640625" hidden="1" customWidth="1"/>
    <col min="26" max="26" width="13" hidden="1" customWidth="1"/>
    <col min="27" max="27" width="24" hidden="1" customWidth="1"/>
    <col min="28" max="28" width="23.83203125" hidden="1" customWidth="1"/>
    <col min="29" max="29" width="32.6640625" hidden="1" customWidth="1"/>
    <col min="30" max="31" width="22.1640625" hidden="1" customWidth="1"/>
    <col min="32" max="32" width="29" hidden="1" customWidth="1"/>
    <col min="33" max="33" width="8.6640625" hidden="1" customWidth="1"/>
    <col min="34" max="35" width="9.33203125" hidden="1" customWidth="1"/>
    <col min="36" max="36" width="27.5" hidden="1" customWidth="1"/>
    <col min="37" max="38" width="29" hidden="1" customWidth="1"/>
    <col min="39" max="43" width="9.33203125" hidden="1" customWidth="1"/>
    <col min="44" max="45" width="30.5" hidden="1" customWidth="1"/>
    <col min="46" max="47" width="25.33203125" hidden="1" customWidth="1"/>
    <col min="48" max="48" width="7.5" hidden="1" customWidth="1"/>
    <col min="49" max="49" width="9.33203125" hidden="1" customWidth="1"/>
    <col min="50" max="50" width="13" hidden="1" customWidth="1"/>
    <col min="51" max="51" width="0" hidden="1" customWidth="1"/>
    <col min="52" max="54" width="20.6640625" hidden="1" customWidth="1"/>
    <col min="55" max="55" width="13" hidden="1" customWidth="1"/>
    <col min="56" max="57" width="14.5" hidden="1" customWidth="1"/>
    <col min="58" max="59" width="22.1640625" hidden="1" customWidth="1"/>
    <col min="60" max="60" width="16" hidden="1" customWidth="1"/>
    <col min="61" max="61" width="5" hidden="1" customWidth="1"/>
    <col min="62" max="62" width="4" hidden="1" customWidth="1"/>
    <col min="63" max="63" width="10" hidden="1" customWidth="1"/>
    <col min="64" max="65" width="4.6640625" hidden="1" customWidth="1"/>
    <col min="66" max="66" width="6" hidden="1" customWidth="1"/>
    <col min="67" max="67" width="4.6640625" hidden="1" customWidth="1"/>
    <col min="68" max="68" width="14.5" hidden="1" customWidth="1"/>
    <col min="69" max="70" width="6.83203125" hidden="1" customWidth="1"/>
    <col min="71" max="71" width="15.5" hidden="1" customWidth="1"/>
    <col min="72" max="72" width="22.33203125" hidden="1" customWidth="1"/>
    <col min="73" max="73" width="17" hidden="1" customWidth="1"/>
    <col min="74" max="74" width="14" hidden="1" customWidth="1"/>
    <col min="75" max="75" width="17" hidden="1" customWidth="1"/>
    <col min="76" max="76" width="32.83203125" hidden="1" customWidth="1"/>
    <col min="77" max="79" width="27.5" hidden="1" customWidth="1"/>
    <col min="80" max="80" width="24.6640625" hidden="1" customWidth="1"/>
    <col min="81" max="81" width="29" hidden="1" customWidth="1"/>
    <col min="82" max="82" width="0" hidden="1" customWidth="1"/>
    <col min="83" max="84" width="4.6640625" hidden="1" customWidth="1"/>
    <col min="85" max="85" width="14.5" hidden="1" customWidth="1"/>
    <col min="86" max="86" width="5.6640625" hidden="1" customWidth="1"/>
    <col min="87" max="87" width="7.33203125" hidden="1" customWidth="1"/>
    <col min="88" max="88" width="26.83203125" hidden="1" customWidth="1"/>
    <col min="89" max="89" width="31.5" hidden="1" customWidth="1"/>
    <col min="90" max="92" width="26.83203125" hidden="1" customWidth="1"/>
    <col min="93" max="93" width="31.33203125" hidden="1" customWidth="1"/>
    <col min="94" max="96" width="26" hidden="1" customWidth="1"/>
    <col min="97" max="97" width="24.6640625" hidden="1" customWidth="1"/>
    <col min="98" max="98" width="20.6640625" hidden="1" customWidth="1"/>
    <col min="99" max="99" width="0" hidden="1" customWidth="1"/>
    <col min="100" max="100" width="29.83203125" hidden="1" customWidth="1"/>
    <col min="101" max="101" width="30.1640625" hidden="1" customWidth="1"/>
    <col min="102" max="102" width="29.83203125" hidden="1" customWidth="1"/>
  </cols>
  <sheetData>
    <row r="1" spans="1:102" ht="16.5" hidden="1">
      <c r="A1" s="80"/>
      <c r="B1" s="80"/>
      <c r="C1" s="80"/>
      <c r="D1" s="80"/>
      <c r="E1" s="80"/>
      <c r="F1" s="80"/>
      <c r="G1" s="80"/>
      <c r="H1" s="80"/>
      <c r="I1" s="80"/>
      <c r="J1" s="80"/>
      <c r="K1" s="80"/>
      <c r="L1" s="80"/>
      <c r="M1" s="80"/>
      <c r="N1" s="80"/>
      <c r="O1" s="80"/>
      <c r="P1" s="80"/>
      <c r="Q1" s="80"/>
      <c r="R1" s="80"/>
      <c r="AY1" s="340"/>
    </row>
    <row r="2" spans="1:102" ht="16.5" hidden="1">
      <c r="A2" s="171"/>
      <c r="B2" s="164">
        <v>1</v>
      </c>
      <c r="C2" s="164" t="s">
        <v>506</v>
      </c>
      <c r="D2" s="164">
        <v>1</v>
      </c>
      <c r="E2" s="171"/>
      <c r="F2" s="164" t="s">
        <v>390</v>
      </c>
      <c r="G2" s="200">
        <f>OP!$I$17</f>
        <v>0.02</v>
      </c>
      <c r="H2" s="450" t="s">
        <v>962</v>
      </c>
      <c r="I2" s="450" t="s">
        <v>963</v>
      </c>
      <c r="J2" s="80"/>
      <c r="K2" s="80"/>
      <c r="L2" s="80"/>
      <c r="M2" s="80"/>
      <c r="N2" s="80"/>
      <c r="O2" s="80"/>
      <c r="P2" s="80"/>
      <c r="Q2" s="80"/>
      <c r="R2" s="80"/>
      <c r="AY2" s="340"/>
    </row>
    <row r="3" spans="1:102" ht="16.5" hidden="1">
      <c r="A3" s="80"/>
      <c r="B3" s="164">
        <v>2</v>
      </c>
      <c r="C3" s="164" t="s">
        <v>507</v>
      </c>
      <c r="D3" s="164">
        <v>2</v>
      </c>
      <c r="E3" s="171"/>
      <c r="F3" s="164" t="s">
        <v>391</v>
      </c>
      <c r="G3" s="233">
        <f ca="1">MAX(RDATA!$I$2,$G$2)</f>
        <v>2.69E-2</v>
      </c>
      <c r="H3" s="451" t="s">
        <v>964</v>
      </c>
      <c r="I3" s="450" t="s">
        <v>965</v>
      </c>
      <c r="J3" s="80"/>
      <c r="K3" s="80"/>
      <c r="L3" s="80"/>
      <c r="M3" s="214"/>
      <c r="N3" s="214"/>
      <c r="O3" s="339" t="s">
        <v>885</v>
      </c>
      <c r="P3" s="312">
        <v>0</v>
      </c>
      <c r="Q3" s="80"/>
      <c r="R3" s="80"/>
      <c r="S3" s="340"/>
      <c r="T3" s="340"/>
      <c r="U3" s="340"/>
      <c r="V3" s="340"/>
      <c r="W3" s="340"/>
      <c r="X3" s="340"/>
      <c r="Y3" s="341"/>
      <c r="Z3" s="341"/>
      <c r="AA3" s="341"/>
      <c r="AB3" s="425" t="s">
        <v>931</v>
      </c>
      <c r="AC3" s="340"/>
      <c r="AD3" s="340"/>
      <c r="AE3" s="340"/>
      <c r="AF3" s="340"/>
      <c r="AG3" s="340"/>
      <c r="AH3" s="340"/>
      <c r="AI3" s="340"/>
      <c r="AJ3" s="340"/>
      <c r="AK3" s="340"/>
      <c r="AL3" s="340"/>
      <c r="AM3" s="340"/>
      <c r="AN3" s="340"/>
      <c r="AO3" s="340"/>
      <c r="AP3" s="340"/>
      <c r="AQ3" s="340"/>
      <c r="AR3" s="340"/>
      <c r="AS3" s="340"/>
      <c r="AT3" s="340"/>
      <c r="AU3" s="340"/>
      <c r="AV3" s="340"/>
      <c r="AY3" s="340"/>
      <c r="CB3" s="497" t="s">
        <v>1001</v>
      </c>
      <c r="CS3" s="497" t="s">
        <v>1001</v>
      </c>
    </row>
    <row r="4" spans="1:102" ht="16.5" hidden="1">
      <c r="A4" s="80"/>
      <c r="B4" s="164">
        <v>3</v>
      </c>
      <c r="C4" s="164" t="s">
        <v>508</v>
      </c>
      <c r="D4" s="164">
        <v>3</v>
      </c>
      <c r="E4" s="171"/>
      <c r="F4" s="164" t="s">
        <v>503</v>
      </c>
      <c r="G4" s="72" t="s">
        <v>764</v>
      </c>
      <c r="H4" s="452" t="s">
        <v>966</v>
      </c>
      <c r="I4" s="450">
        <v>55</v>
      </c>
      <c r="J4" s="80"/>
      <c r="K4" s="80"/>
      <c r="L4" s="80"/>
      <c r="M4" s="215"/>
      <c r="N4" s="215"/>
      <c r="O4" s="120" t="s">
        <v>886</v>
      </c>
      <c r="P4" s="440">
        <f ca="1">IF($G$6=$P$5,OP!$C$57,MAX(16-OP!$D$5,6))</f>
        <v>6</v>
      </c>
      <c r="Q4" s="80"/>
      <c r="R4" s="80"/>
      <c r="S4" s="340"/>
      <c r="T4" s="340"/>
      <c r="U4" s="340"/>
      <c r="V4" s="340"/>
      <c r="W4" s="340"/>
      <c r="X4" s="415">
        <v>41881</v>
      </c>
      <c r="Y4" s="341"/>
      <c r="Z4" s="341"/>
      <c r="AA4" s="341"/>
      <c r="AB4" s="426"/>
      <c r="AC4" s="340"/>
      <c r="AD4" s="340"/>
      <c r="AE4" s="340"/>
      <c r="AF4" s="340"/>
      <c r="AG4" s="340"/>
      <c r="AH4" s="340"/>
      <c r="AI4" s="340"/>
      <c r="AJ4" s="340"/>
      <c r="AK4" s="340"/>
      <c r="AL4" s="340"/>
      <c r="AM4" s="340"/>
      <c r="AN4" s="340"/>
      <c r="AO4" s="340"/>
      <c r="AP4" s="340"/>
      <c r="AQ4" s="340"/>
      <c r="AR4" s="340"/>
      <c r="AS4" s="340"/>
      <c r="AT4" s="340"/>
      <c r="AU4" s="340"/>
      <c r="AV4" s="340"/>
      <c r="AY4" s="340"/>
      <c r="CB4" s="498" t="s">
        <v>1002</v>
      </c>
      <c r="CS4" s="498" t="s">
        <v>1002</v>
      </c>
    </row>
    <row r="5" spans="1:102" ht="16.5" hidden="1">
      <c r="A5" s="80"/>
      <c r="B5" s="80"/>
      <c r="C5" s="164" t="s">
        <v>349</v>
      </c>
      <c r="D5" s="164">
        <v>1</v>
      </c>
      <c r="E5" s="171"/>
      <c r="F5" s="164"/>
      <c r="G5" s="202">
        <f>IF($G$4="年",1,IF(G4="半",2,IF(G4="季",4,IF(G4="月",12))))</f>
        <v>1</v>
      </c>
      <c r="H5" s="452" t="s">
        <v>967</v>
      </c>
      <c r="I5" s="450">
        <f>IF(I3="NO",112,$I$4)</f>
        <v>112</v>
      </c>
      <c r="J5" s="80"/>
      <c r="K5" s="80"/>
      <c r="L5" s="80"/>
      <c r="M5" s="213"/>
      <c r="N5" s="213"/>
      <c r="O5" s="213"/>
      <c r="P5" s="340" t="s">
        <v>889</v>
      </c>
      <c r="Q5" s="80"/>
      <c r="R5" s="80"/>
      <c r="S5" s="340"/>
      <c r="T5" s="340"/>
      <c r="U5" s="340"/>
      <c r="V5" s="340">
        <v>1</v>
      </c>
      <c r="W5" s="340">
        <v>2</v>
      </c>
      <c r="X5" s="340">
        <v>3</v>
      </c>
      <c r="Y5" s="340">
        <v>4</v>
      </c>
      <c r="Z5" s="340">
        <v>5</v>
      </c>
      <c r="AA5" s="340">
        <v>6</v>
      </c>
      <c r="AB5" s="426">
        <v>7</v>
      </c>
      <c r="AC5" s="340">
        <v>8</v>
      </c>
      <c r="AD5" s="340">
        <v>9</v>
      </c>
      <c r="AE5" s="340">
        <v>10</v>
      </c>
      <c r="AF5" s="340">
        <v>11</v>
      </c>
      <c r="AG5" s="340"/>
      <c r="AH5" s="340"/>
      <c r="AI5" s="340"/>
      <c r="AJ5" s="340"/>
      <c r="AK5" s="340"/>
      <c r="AL5" s="340"/>
      <c r="AM5" s="340"/>
      <c r="AN5" s="340"/>
      <c r="AO5" s="340"/>
      <c r="AP5" s="340"/>
      <c r="AQ5" s="340"/>
      <c r="AR5" s="340"/>
      <c r="AS5" s="340"/>
      <c r="AT5" s="340"/>
      <c r="AU5" s="340"/>
      <c r="AV5" s="340"/>
      <c r="AY5" s="340"/>
      <c r="CB5" s="498">
        <v>2</v>
      </c>
      <c r="CS5" s="498">
        <v>2</v>
      </c>
    </row>
    <row r="6" spans="1:102" ht="49.5" hidden="1">
      <c r="A6" s="80"/>
      <c r="B6" s="171"/>
      <c r="C6" s="164" t="s">
        <v>350</v>
      </c>
      <c r="D6" s="164">
        <v>2</v>
      </c>
      <c r="E6" s="171"/>
      <c r="F6" s="164" t="s">
        <v>504</v>
      </c>
      <c r="G6" s="201" t="str">
        <f>輸入頁!E18</f>
        <v>儲存生息</v>
      </c>
      <c r="H6" s="453" t="s">
        <v>968</v>
      </c>
      <c r="I6" s="450">
        <f>IF($H$6="年",1,IF(H6="半",2,IF(H6="季",4,IF(H6="月",12))))</f>
        <v>12</v>
      </c>
      <c r="J6" s="80"/>
      <c r="K6" s="80"/>
      <c r="L6" s="80"/>
      <c r="M6" s="203" t="s">
        <v>505</v>
      </c>
      <c r="N6" s="203"/>
      <c r="O6" s="80"/>
      <c r="Q6" s="80"/>
      <c r="R6" s="80"/>
      <c r="S6" s="340"/>
      <c r="T6" s="340"/>
      <c r="U6" s="340"/>
      <c r="V6" s="340"/>
      <c r="W6" s="340" t="s">
        <v>898</v>
      </c>
      <c r="X6" s="340"/>
      <c r="Y6" s="341"/>
      <c r="Z6" s="341"/>
      <c r="AA6" s="341" t="s">
        <v>898</v>
      </c>
      <c r="AB6" s="426"/>
      <c r="AC6" s="340" t="s">
        <v>899</v>
      </c>
      <c r="AD6" s="340"/>
      <c r="AE6" s="340"/>
      <c r="AF6" s="340"/>
      <c r="AG6" s="340"/>
      <c r="AH6" s="340"/>
      <c r="AI6" s="340"/>
      <c r="AJ6" s="340"/>
      <c r="AK6" s="340"/>
      <c r="AL6" s="340"/>
      <c r="AM6" s="340"/>
      <c r="AN6" s="340"/>
      <c r="AO6" s="340"/>
      <c r="AP6" s="340"/>
      <c r="AQ6" s="340"/>
      <c r="AR6" s="340"/>
      <c r="AS6" s="340"/>
      <c r="AT6" s="340"/>
      <c r="AU6" s="416" t="s">
        <v>900</v>
      </c>
      <c r="AV6" s="340"/>
      <c r="AW6" s="417" t="str">
        <f>OP!$C$32</f>
        <v>年繳</v>
      </c>
      <c r="AY6" s="340"/>
      <c r="CA6" s="517" t="s">
        <v>1023</v>
      </c>
      <c r="CB6" s="518">
        <v>9</v>
      </c>
      <c r="CC6" s="519" t="s">
        <v>1024</v>
      </c>
      <c r="CJ6" t="s">
        <v>1009</v>
      </c>
      <c r="CK6" s="506" t="s">
        <v>1010</v>
      </c>
      <c r="CL6" t="s">
        <v>1011</v>
      </c>
      <c r="CM6" t="s">
        <v>1011</v>
      </c>
      <c r="CN6" t="s">
        <v>1011</v>
      </c>
      <c r="CO6" s="506" t="s">
        <v>1012</v>
      </c>
      <c r="CR6" s="517" t="s">
        <v>1023</v>
      </c>
      <c r="CS6" s="518">
        <v>9</v>
      </c>
      <c r="CT6" s="519" t="s">
        <v>1024</v>
      </c>
      <c r="CV6" s="517" t="s">
        <v>1023</v>
      </c>
      <c r="CW6" s="518">
        <v>9</v>
      </c>
      <c r="CX6" s="519" t="s">
        <v>1024</v>
      </c>
    </row>
    <row r="7" spans="1:102" ht="82.5" hidden="1">
      <c r="A7" s="80"/>
      <c r="B7" s="80"/>
      <c r="C7" s="80"/>
      <c r="D7" s="80"/>
      <c r="E7" s="80"/>
      <c r="F7" s="80"/>
      <c r="G7" s="345" t="s">
        <v>888</v>
      </c>
      <c r="H7" s="356" t="s">
        <v>892</v>
      </c>
      <c r="I7" s="80"/>
      <c r="J7" s="186" t="s">
        <v>537</v>
      </c>
      <c r="K7" s="186" t="s">
        <v>358</v>
      </c>
      <c r="L7" s="187"/>
      <c r="M7" s="356" t="s">
        <v>892</v>
      </c>
      <c r="N7" s="356"/>
      <c r="O7" s="344" t="s">
        <v>887</v>
      </c>
      <c r="P7" s="190" t="str">
        <f>輸入頁!$E$18</f>
        <v>儲存生息</v>
      </c>
      <c r="Q7" s="194"/>
      <c r="R7" s="80"/>
      <c r="S7" s="340" t="s">
        <v>903</v>
      </c>
      <c r="T7" s="340"/>
      <c r="U7" s="340"/>
      <c r="V7" s="340"/>
      <c r="W7" s="342" t="s">
        <v>904</v>
      </c>
      <c r="X7" s="516" t="s">
        <v>1022</v>
      </c>
      <c r="Y7" s="341"/>
      <c r="Z7" s="341"/>
      <c r="AA7" s="343" t="s">
        <v>905</v>
      </c>
      <c r="AB7" s="487" t="s">
        <v>999</v>
      </c>
      <c r="AC7" s="344" t="s">
        <v>906</v>
      </c>
      <c r="AD7" s="340"/>
      <c r="AE7" s="345" t="s">
        <v>907</v>
      </c>
      <c r="AF7" s="345" t="s">
        <v>908</v>
      </c>
      <c r="AG7" s="340"/>
      <c r="AH7" s="340"/>
      <c r="AI7" s="340"/>
      <c r="AJ7" s="340"/>
      <c r="AK7" s="340" t="s">
        <v>909</v>
      </c>
      <c r="AL7" s="340"/>
      <c r="AM7" s="340"/>
      <c r="AN7" s="186" t="s">
        <v>901</v>
      </c>
      <c r="AO7" s="186" t="s">
        <v>902</v>
      </c>
      <c r="AP7" s="186"/>
      <c r="AQ7" s="186"/>
      <c r="AR7" s="413" t="s">
        <v>897</v>
      </c>
      <c r="AS7" s="413"/>
      <c r="AT7" s="186"/>
      <c r="AU7" s="346" t="str">
        <f>輸入頁!$E$18</f>
        <v>儲存生息</v>
      </c>
      <c r="AW7" s="418">
        <f>IF($AW$6="躉繳",0,IF(OR($AW$6="年繳"),1,IF($AW$6="半年繳",2,IF($AW$6="季繳",4,IF($AW$6="月繳",12)))))</f>
        <v>1</v>
      </c>
      <c r="AY7" s="340"/>
      <c r="CB7" s="499" t="s">
        <v>1003</v>
      </c>
      <c r="CI7" s="507" t="s">
        <v>1013</v>
      </c>
      <c r="CJ7" s="507">
        <v>0</v>
      </c>
      <c r="CK7" s="507">
        <v>10</v>
      </c>
      <c r="CL7" s="507">
        <v>0</v>
      </c>
      <c r="CM7" s="507">
        <v>0</v>
      </c>
      <c r="CN7" s="507">
        <v>10</v>
      </c>
      <c r="CO7" s="507">
        <v>0</v>
      </c>
      <c r="CP7" t="s">
        <v>1011</v>
      </c>
      <c r="CQ7" t="s">
        <v>1011</v>
      </c>
      <c r="CS7" s="499" t="s">
        <v>1003</v>
      </c>
      <c r="CV7" s="1021" t="s">
        <v>1005</v>
      </c>
      <c r="CW7" s="1021"/>
      <c r="CX7" s="1021"/>
    </row>
    <row r="8" spans="1:102" ht="16.5" hidden="1">
      <c r="A8" s="80"/>
      <c r="B8" s="191" t="s">
        <v>351</v>
      </c>
      <c r="C8" s="192" t="str">
        <f>OP!$C$56&amp;TEXT(OP!$BF9,"00")</f>
        <v>6IWT00</v>
      </c>
      <c r="D8" s="188">
        <v>3</v>
      </c>
      <c r="E8" s="191" t="s">
        <v>352</v>
      </c>
      <c r="F8" s="192"/>
      <c r="G8" s="355" t="s">
        <v>353</v>
      </c>
      <c r="H8" s="217" t="s">
        <v>893</v>
      </c>
      <c r="I8" s="80"/>
      <c r="J8" s="191" t="s">
        <v>359</v>
      </c>
      <c r="K8" s="191" t="s">
        <v>360</v>
      </c>
      <c r="L8" s="191" t="s">
        <v>361</v>
      </c>
      <c r="M8" s="490" t="s">
        <v>891</v>
      </c>
      <c r="N8" s="490"/>
      <c r="O8" s="490" t="s">
        <v>362</v>
      </c>
      <c r="P8" s="490" t="s">
        <v>363</v>
      </c>
      <c r="Q8" s="457" t="s">
        <v>971</v>
      </c>
      <c r="R8" s="450" t="s">
        <v>970</v>
      </c>
      <c r="S8" s="191" t="s">
        <v>910</v>
      </c>
      <c r="T8" s="191" t="s">
        <v>911</v>
      </c>
      <c r="U8" s="191" t="s">
        <v>914</v>
      </c>
      <c r="V8" s="191" t="s">
        <v>915</v>
      </c>
      <c r="W8" s="347" t="s">
        <v>916</v>
      </c>
      <c r="X8" s="504" t="s">
        <v>998</v>
      </c>
      <c r="Y8" s="427" t="s">
        <v>917</v>
      </c>
      <c r="Z8" s="348" t="s">
        <v>918</v>
      </c>
      <c r="AA8" s="347" t="s">
        <v>919</v>
      </c>
      <c r="AB8" s="486" t="s">
        <v>1000</v>
      </c>
      <c r="AC8" s="428" t="s">
        <v>920</v>
      </c>
      <c r="AD8" s="349" t="s">
        <v>921</v>
      </c>
      <c r="AE8" s="349" t="s">
        <v>922</v>
      </c>
      <c r="AF8" s="349" t="s">
        <v>923</v>
      </c>
      <c r="AG8" s="340"/>
      <c r="AH8" s="191"/>
      <c r="AI8" s="191"/>
      <c r="AJ8" s="191" t="s">
        <v>924</v>
      </c>
      <c r="AK8" s="347"/>
      <c r="AL8" s="191"/>
      <c r="AM8" s="340"/>
      <c r="AN8" s="191" t="s">
        <v>910</v>
      </c>
      <c r="AO8" s="191" t="s">
        <v>911</v>
      </c>
      <c r="AP8" s="419" t="s">
        <v>925</v>
      </c>
      <c r="AQ8" s="191" t="s">
        <v>915</v>
      </c>
      <c r="AR8" s="515" t="s">
        <v>1021</v>
      </c>
      <c r="AS8" s="490"/>
      <c r="AT8" s="490" t="s">
        <v>912</v>
      </c>
      <c r="AU8" s="490" t="s">
        <v>913</v>
      </c>
      <c r="AV8" s="420"/>
      <c r="AW8" s="421" t="s">
        <v>926</v>
      </c>
      <c r="AX8" s="421" t="s">
        <v>927</v>
      </c>
      <c r="AY8" s="340"/>
      <c r="AZ8" s="514" t="s">
        <v>972</v>
      </c>
      <c r="BA8" s="458" t="s">
        <v>973</v>
      </c>
      <c r="BB8" s="458" t="s">
        <v>974</v>
      </c>
      <c r="BC8" s="458" t="s">
        <v>975</v>
      </c>
      <c r="BD8" s="462" t="s">
        <v>976</v>
      </c>
      <c r="BE8" s="462" t="s">
        <v>977</v>
      </c>
      <c r="BF8" s="458" t="s">
        <v>978</v>
      </c>
      <c r="BG8" s="458" t="s">
        <v>979</v>
      </c>
      <c r="BH8" s="458" t="s">
        <v>980</v>
      </c>
      <c r="BK8" s="459" t="s">
        <v>981</v>
      </c>
      <c r="BL8" s="459"/>
      <c r="BN8" s="460" t="s">
        <v>982</v>
      </c>
      <c r="BO8" s="460" t="s">
        <v>983</v>
      </c>
      <c r="BP8" s="460" t="s">
        <v>984</v>
      </c>
      <c r="BQ8" s="460"/>
      <c r="BR8" s="461" t="s">
        <v>985</v>
      </c>
      <c r="BS8" s="496" t="s">
        <v>986</v>
      </c>
      <c r="BT8" s="459" t="s">
        <v>987</v>
      </c>
      <c r="BU8" s="461" t="s">
        <v>988</v>
      </c>
      <c r="BV8" s="461" t="s">
        <v>989</v>
      </c>
      <c r="BW8" s="461" t="s">
        <v>990</v>
      </c>
      <c r="BX8" s="459" t="s">
        <v>991</v>
      </c>
      <c r="BY8" s="459" t="s">
        <v>992</v>
      </c>
      <c r="BZ8" s="459" t="s">
        <v>993</v>
      </c>
      <c r="CA8" s="459" t="s">
        <v>994</v>
      </c>
      <c r="CB8" s="498" t="s">
        <v>1004</v>
      </c>
      <c r="CC8" s="459" t="s">
        <v>995</v>
      </c>
      <c r="CE8" s="462" t="s">
        <v>982</v>
      </c>
      <c r="CF8" s="462" t="s">
        <v>983</v>
      </c>
      <c r="CG8" s="462" t="s">
        <v>996</v>
      </c>
      <c r="CH8" s="462" t="s">
        <v>997</v>
      </c>
      <c r="CI8" s="508" t="s">
        <v>1014</v>
      </c>
      <c r="CJ8" s="509" t="s">
        <v>1015</v>
      </c>
      <c r="CK8" s="510" t="s">
        <v>1016</v>
      </c>
      <c r="CL8" s="509" t="s">
        <v>1017</v>
      </c>
      <c r="CM8" s="509" t="s">
        <v>1018</v>
      </c>
      <c r="CN8" s="509" t="s">
        <v>1019</v>
      </c>
      <c r="CO8" s="520" t="s">
        <v>1020</v>
      </c>
      <c r="CP8" s="463" t="s">
        <v>992</v>
      </c>
      <c r="CQ8" s="463" t="s">
        <v>993</v>
      </c>
      <c r="CR8" s="504" t="s">
        <v>994</v>
      </c>
      <c r="CS8" s="505" t="s">
        <v>1004</v>
      </c>
      <c r="CT8" s="504" t="s">
        <v>995</v>
      </c>
      <c r="CV8" s="347" t="s">
        <v>1006</v>
      </c>
      <c r="CW8" s="347" t="s">
        <v>1007</v>
      </c>
      <c r="CX8" s="347" t="s">
        <v>1008</v>
      </c>
    </row>
    <row r="9" spans="1:102" ht="16.5" hidden="1">
      <c r="A9" s="454" t="s">
        <v>969</v>
      </c>
      <c r="B9" s="191" t="s">
        <v>79</v>
      </c>
      <c r="C9" s="191" t="s">
        <v>354</v>
      </c>
      <c r="D9" s="218" t="str">
        <f>VLOOKUP($D$8,$B$2:$C$4,2,0)</f>
        <v>期末保單價值準備金</v>
      </c>
      <c r="E9" s="191" t="s">
        <v>355</v>
      </c>
      <c r="F9" s="191" t="s">
        <v>356</v>
      </c>
      <c r="G9" s="489" t="s">
        <v>357</v>
      </c>
      <c r="H9" s="495" t="str">
        <f>"年度 / "&amp;$G$4&amp;"回饋分享金"</f>
        <v>年度 / 年回饋分享金</v>
      </c>
      <c r="I9" s="450" t="s">
        <v>970</v>
      </c>
      <c r="J9" s="192">
        <v>1</v>
      </c>
      <c r="K9" s="192">
        <v>1</v>
      </c>
      <c r="L9" s="192" t="str">
        <f t="shared" ref="L9:L72" si="0">IF($K9=12,$J9,"")</f>
        <v/>
      </c>
      <c r="M9" s="216">
        <f ca="1">IF($Q9=1,VLOOKUP(L9,$BR$9:$BT$1341,3,0),0)</f>
        <v>0</v>
      </c>
      <c r="N9" s="216"/>
      <c r="O9" s="216"/>
      <c r="P9" s="216"/>
      <c r="Q9" s="456" t="str">
        <f ca="1">IF(OR($U9&gt;=$I$5,AND($G$5=1,$K9=12),AND($G$5=2,OR($K9=6,$K9=12)),AND($G$5=4,OR($K9=3,$K9=6,$K9=9,$K9=12)),$G$5=12),1,"")</f>
        <v/>
      </c>
      <c r="R9" s="450">
        <f ca="1">IF($U9&lt;$I$5,$G$5,$I$6)</f>
        <v>1</v>
      </c>
      <c r="S9" s="191">
        <v>1</v>
      </c>
      <c r="T9" s="191">
        <v>1</v>
      </c>
      <c r="U9" s="191">
        <f ca="1">OP!$D$5+$S9-1</f>
        <v>33</v>
      </c>
      <c r="V9" s="191" t="str">
        <f>IF($T9=12,$S9,"")</f>
        <v/>
      </c>
      <c r="W9" s="350">
        <f ca="1">IF(Q9&lt;&gt;1,0,VLOOKUP(OP!$C$55,PVFB,$S9+2,0))</f>
        <v>0</v>
      </c>
      <c r="X9" s="473">
        <f ca="1">IF(AND($U9=15,$T9=12),$CO10,IF(AND($U9&gt;15,$S9&lt;=$P$4,$T9=12),($BS10)*$R9,IF($Q9=1,($BS10),0)))</f>
        <v>0</v>
      </c>
      <c r="Y9" s="348">
        <f ca="1">IF(AND($P$7="購買增額繳清保險",U9&gt;=110),0,IF(AND($U9=15,$W9&lt;&gt;0,$T9=12),ROUND(($X9)/($W9/10000),0),IF(AND($S9&lt;=$P$4,$W9&lt;&gt;0,$T9=12,$U9&gt;15),ROUND(($X9)/($W9/10000),0),0)))</f>
        <v>0</v>
      </c>
      <c r="Z9" s="348">
        <f ca="1">Y9</f>
        <v>0</v>
      </c>
      <c r="AA9" s="348">
        <f ca="1">IF(Q9&lt;&gt;1,0,VLOOKUP(OP!$C$55,PVFB,$S9+2,0))</f>
        <v>0</v>
      </c>
      <c r="AB9" s="488" t="str">
        <f ca="1">IF(AND(S9&lt;OP!$C$24,$U9&lt;15),0,IF(AND($U9&lt;15,$T9=12),ROUND(VLOOKUP($S9,DOWN16,5,0),3),IF($T9=12,ROUND(($Z9/10000)*$AA9,3)+IF(AND($P$7="購買增額繳清保險",T9=12,U9=110),VLOOKUP(S9,$B$10:$H$121,7,0),0),"")))</f>
        <v/>
      </c>
      <c r="AC9" s="350" t="str">
        <f ca="1">IF(AND(S9&lt;OP!$C$24,$U9&lt;15),0,IF(AND($U9&lt;16,$T9=12),VLOOKUP($S9,DOWN16,4,0),IF($T9=12,ROUND(VLOOKUP(OP!$C$55,_DIE2,$S9+1,0)*(Z9/10000),0)+IF(AND($P$7="購買增額繳清保險",T9=12,U9=110),VLOOKUP(S9,$B$10:$H$121,7,0),0),"")))</f>
        <v/>
      </c>
      <c r="AD9" s="347"/>
      <c r="AE9" s="350" t="str">
        <f t="shared" ref="AE9:AE72" ca="1" si="1">IF(AND($U$9&lt;16,$T9=12),VLOOKUP($S9,DOWN16,4,0),"")</f>
        <v/>
      </c>
      <c r="AF9" s="351" t="str">
        <f t="shared" ref="AF9:AF72" ca="1" si="2">IF(AND($U$9&lt;16,$T9=12),VLOOKUP($S9,DOWN16,5,0),"")</f>
        <v/>
      </c>
      <c r="AG9" s="340"/>
      <c r="AH9" s="191" t="s">
        <v>928</v>
      </c>
      <c r="AI9" s="191" t="s">
        <v>925</v>
      </c>
      <c r="AJ9" s="492" t="s">
        <v>928</v>
      </c>
      <c r="AK9" s="164" t="s">
        <v>929</v>
      </c>
      <c r="AL9" s="164" t="s">
        <v>930</v>
      </c>
      <c r="AM9" s="340"/>
      <c r="AN9" s="191">
        <v>1</v>
      </c>
      <c r="AO9" s="191">
        <v>1</v>
      </c>
      <c r="AP9" s="191">
        <f ca="1">OP!$D$5+$AN9-1</f>
        <v>33</v>
      </c>
      <c r="AQ9" s="191" t="str">
        <f>IF($K9=12,$AN9,"")</f>
        <v/>
      </c>
      <c r="AR9" s="352">
        <f ca="1">IF($AV9=1,ROUND(VLOOKUP($AQ9,$CI$9:$CK$225,3,0),0),0)</f>
        <v>0</v>
      </c>
      <c r="AS9" s="352"/>
      <c r="AT9" s="352"/>
      <c r="AU9" s="436"/>
      <c r="AV9" s="353" t="str">
        <f ca="1">IF(AND($AP9&gt;15,$AN9&lt;=$P$4,$AO9&lt;&gt;12),"",IF(AND($AP9&gt;15,$AN9&lt;=$P$4,$AO9=12),1,IF(OR(AND($G$5=1,$AO9=12),AND($G$5=2,OR($AO9=6,$AO9=12)),AND($G$5=4,OR($AO9=3,$AO9=6,$AO9=9,$AO9=12)),$G$5=12),1,"")))</f>
        <v/>
      </c>
      <c r="AW9" s="422">
        <f>IF(OR(AND($AW$7=0,$AN9=1,$AO9=1),AND($AW$7=1,$AO9=1),AND($AW$7=2,OR($AO9=1,$AO9=7)),AND($AW$7=4,OR($AO9=1,$AO9=4,$AO9=7,$AO9=10)),$AW$7=12),1,"")</f>
        <v>1</v>
      </c>
      <c r="AX9" s="423" t="str">
        <f ca="1">IF(AND($AW9=1,$AP9&lt;16,$AN9&lt;OP!$C$24),OP!$C$48,"")</f>
        <v/>
      </c>
      <c r="AY9" s="340"/>
      <c r="AZ9" s="465">
        <f ca="1">ROUND(($G$3*BF9/365),10)</f>
        <v>0</v>
      </c>
      <c r="BA9" s="464">
        <f ca="1">ROUND(($G$3*BG9/365),10)</f>
        <v>2.1372602999999999E-3</v>
      </c>
      <c r="BB9" s="465">
        <f ca="1">ROUND(($G$3*BH9/365),10)</f>
        <v>2.1372602999999999E-3</v>
      </c>
      <c r="BC9" s="466">
        <f ca="1">DATE(YEAR(BD9),MONTH(BD9),1)</f>
        <v>42887</v>
      </c>
      <c r="BD9" s="467">
        <f ca="1">DATE(YEAR(OP!$C$3),MONTH(OP!$C$3),DAY(OP!$C$3))</f>
        <v>42888</v>
      </c>
      <c r="BE9" s="467">
        <f ca="1">DATE(YEAR(BD9),MONTH(BD9),DAY(DATE(YEAR(BD9),MONTH(BD9)+1,0)))</f>
        <v>42916</v>
      </c>
      <c r="BF9" s="468"/>
      <c r="BG9" s="468">
        <f ca="1">IF($BE9&gt;DATE(YEAR($BD$9)+OP!$C$57,MONTH($BD$9),DAY($BD$9)),0,$BE9-$BD9+1)</f>
        <v>29</v>
      </c>
      <c r="BH9" s="469">
        <f ca="1">BF9+BG9</f>
        <v>29</v>
      </c>
      <c r="BI9" t="str">
        <f>IF(BJ9=12,BD9-#REF!,"")</f>
        <v/>
      </c>
      <c r="BK9" s="468">
        <v>1</v>
      </c>
      <c r="BL9" s="468">
        <v>9</v>
      </c>
      <c r="BM9" s="468">
        <v>10</v>
      </c>
      <c r="BN9" s="468">
        <v>0</v>
      </c>
      <c r="BO9" s="468">
        <v>12</v>
      </c>
      <c r="BP9" s="467">
        <f ca="1">BD9</f>
        <v>42888</v>
      </c>
      <c r="BQ9" s="470" t="s">
        <v>997</v>
      </c>
      <c r="BR9" s="422"/>
      <c r="BS9" s="471" t="str">
        <f>IF(BW9&lt;&gt;"",ROUND(BU9,0)+ROUND(BV9,0),"")</f>
        <v/>
      </c>
      <c r="BT9" s="472" t="str">
        <f t="shared" ref="BT9:BT20" si="3">IF(BW9&lt;&gt;"",IF(BN9&gt;=$P$4+1,ROUND(BU9,0)+ROUND(BV9,0)+ROUND(BW9,0),0),"")</f>
        <v/>
      </c>
      <c r="BU9" s="473"/>
      <c r="BV9" s="473"/>
      <c r="BW9" s="467"/>
      <c r="BX9" s="473">
        <f ca="1">IF(BN9&lt;=$P$4,0,IF($Q8=1,ROUNDDOWN(CA9+CB9-CC9,VLOOKUP(LEN(ROUNDDOWN((CA9+CB9-CC9),0)),$BK$9:$BL$24,2,0)),0))</f>
        <v>0</v>
      </c>
      <c r="BY9" s="473"/>
      <c r="BZ9" s="473">
        <f t="shared" ref="BZ9:BZ72" ca="1" si="4">ROUND(BX9*IF(BO9=12,$BA9,$BB9),$CB$6)</f>
        <v>0</v>
      </c>
      <c r="CA9" s="468"/>
      <c r="CB9" s="474"/>
      <c r="CC9" s="422"/>
      <c r="CE9" s="468">
        <v>0</v>
      </c>
      <c r="CF9" s="468">
        <v>12</v>
      </c>
      <c r="CG9" s="467">
        <f t="shared" ref="CG9:CG72" ca="1" si="5">BD9</f>
        <v>42888</v>
      </c>
      <c r="CI9" s="422"/>
      <c r="CJ9" s="511">
        <f>IF(CN9&lt;&gt;"",ROUND(CL9,$CJ$7)+ROUND(CM9,$CJ$7),0)</f>
        <v>0</v>
      </c>
      <c r="CK9" s="512">
        <f>IF(CN9&lt;&gt;"",ROUND($CV9,$CK$7),0)</f>
        <v>0</v>
      </c>
      <c r="CL9" s="511"/>
      <c r="CM9" s="511"/>
      <c r="CN9" s="511"/>
      <c r="CO9" s="351">
        <f>ROUND($CV9,$CO$7)</f>
        <v>0</v>
      </c>
      <c r="CP9" s="473"/>
      <c r="CQ9" s="473">
        <f t="shared" ref="CQ9:CQ72" ca="1" si="6">ROUND(IF(CF9=12,CO9*$BA9,CO9*$BB9),$CS$6)</f>
        <v>0</v>
      </c>
      <c r="CR9" s="468"/>
      <c r="CS9" s="474"/>
      <c r="CT9" s="422"/>
      <c r="CV9" s="422"/>
      <c r="CW9" s="422"/>
      <c r="CX9" s="422"/>
    </row>
    <row r="10" spans="1:102" ht="16.5" hidden="1">
      <c r="A10" s="455"/>
      <c r="B10" s="191">
        <v>0</v>
      </c>
      <c r="C10" s="219">
        <f ca="1">ROUND(VLOOKUP(OP!$C$55,PV0,B10+2,0)*OP!$C$28,0)</f>
        <v>0</v>
      </c>
      <c r="D10" s="191"/>
      <c r="E10" s="191"/>
      <c r="F10" s="191"/>
      <c r="G10" s="191"/>
      <c r="H10" s="220"/>
      <c r="I10" s="450"/>
      <c r="J10" s="192">
        <f t="shared" ref="J10:J73" si="7">IF(K9=12,J9+1,J9)</f>
        <v>1</v>
      </c>
      <c r="K10" s="192">
        <f t="shared" ref="K10:K73" si="8">IF(K9=12,1,K9+1)</f>
        <v>2</v>
      </c>
      <c r="L10" s="192" t="str">
        <f t="shared" si="0"/>
        <v/>
      </c>
      <c r="M10" s="216">
        <f t="shared" ref="M10:M73" ca="1" si="9">IF($Q10=1,VLOOKUP(L10,$BR$9:$BT$1341,3,0),0)</f>
        <v>0</v>
      </c>
      <c r="N10" s="216"/>
      <c r="O10" s="216"/>
      <c r="P10" s="216"/>
      <c r="Q10" s="456" t="str">
        <f t="shared" ref="Q10:Q73" ca="1" si="10">IF(OR($U10&gt;=$I$5,AND($G$5=1,$K10=12),AND($G$5=2,OR($K10=6,$K10=12)),AND($G$5=4,OR($K10=3,$K10=6,$K10=9,$K10=12)),$G$5=12),1,"")</f>
        <v/>
      </c>
      <c r="R10" s="450">
        <f t="shared" ref="R10:R73" ca="1" si="11">IF($U10&lt;$I$5,$G$5,$I$6)</f>
        <v>1</v>
      </c>
      <c r="S10" s="191">
        <f t="shared" ref="S10:S73" si="12">IF(T9=12,S9+1,S9)</f>
        <v>1</v>
      </c>
      <c r="T10" s="191">
        <f t="shared" ref="T10:T73" si="13">IF(T9=12,1,T9+1)</f>
        <v>2</v>
      </c>
      <c r="U10" s="191">
        <f ca="1">OP!$D$5+$S10-1</f>
        <v>33</v>
      </c>
      <c r="V10" s="191" t="str">
        <f t="shared" ref="V10:V73" si="14">IF($T10=12,$S10,"")</f>
        <v/>
      </c>
      <c r="W10" s="350">
        <f ca="1">IF(Q10&lt;&gt;1,0,VLOOKUP(OP!$C$55,PVFB,$S10+2,0))</f>
        <v>0</v>
      </c>
      <c r="X10" s="473">
        <f ca="1">IF(AND($U10=15,$T10=12),$CO11,IF(AND($U10&gt;15,$S10&lt;=$P$4,$T10=12),($BS11)*$R10,IF($Q10=1,($BS11),0)))</f>
        <v>0</v>
      </c>
      <c r="Y10" s="348">
        <f ca="1">IF(AND($P$7="購買增額繳清保險",U10&gt;=110),0,IF(AND($U10=15,$W10&lt;&gt;0,$T10=12),ROUND(($X10)/($W10/10000),0),IF(AND($S10&lt;=$P$4,$W10&lt;&gt;0,$T10=12,$U10&gt;15),ROUND(($X10)/($W10/10000),0),0)))</f>
        <v>0</v>
      </c>
      <c r="Z10" s="348">
        <f ca="1">Z9+Y10</f>
        <v>0</v>
      </c>
      <c r="AA10" s="348">
        <f ca="1">IF(Q10&lt;&gt;1,0,VLOOKUP(OP!$C$55,PVFB,$S10+2,0))</f>
        <v>0</v>
      </c>
      <c r="AB10" s="488" t="str">
        <f ca="1">IF(AND(S10&lt;OP!$C$24,$U10&lt;15),0,IF(AND($U10&lt;15,$T10=12),ROUND(VLOOKUP($S10,DOWN16,5,0),3),IF($T10=12,ROUND(($Z10/10000)*$AA10,3)+IF(AND($P$7="購買增額繳清保險",T10=12,U10=110),VLOOKUP(S10,$B$10:$H$121,7,0),0),"")))</f>
        <v/>
      </c>
      <c r="AC10" s="350" t="str">
        <f ca="1">IF(AND(S10&lt;OP!$C$24,$U10&lt;15),0,IF(AND($U10&lt;16,$T10=12),VLOOKUP($S10,DOWN16,4,0),IF($T10=12,ROUND(VLOOKUP(OP!$C$55,_DIE2,$S10+1,0)*(Z10/10000),0)+IF(AND($P$7="購買增額繳清保險",T10=12,U10=110),VLOOKUP(S10,$B$10:$H$121,7,0),0),"")))</f>
        <v/>
      </c>
      <c r="AD10" s="347"/>
      <c r="AE10" s="350" t="str">
        <f t="shared" ca="1" si="1"/>
        <v/>
      </c>
      <c r="AF10" s="351" t="str">
        <f t="shared" ca="1" si="2"/>
        <v/>
      </c>
      <c r="AG10" s="340"/>
      <c r="AH10" s="191"/>
      <c r="AI10" s="191"/>
      <c r="AJ10" s="191"/>
      <c r="AK10" s="191"/>
      <c r="AL10" s="191"/>
      <c r="AM10" s="340"/>
      <c r="AN10" s="191">
        <f t="shared" ref="AN10:AN73" si="15">IF(AO9=12,AN9+1,AN9)</f>
        <v>1</v>
      </c>
      <c r="AO10" s="191">
        <f t="shared" ref="AO10:AO73" si="16">IF(AO9=12,1,AO9+1)</f>
        <v>2</v>
      </c>
      <c r="AP10" s="191">
        <f ca="1">OP!$D$5+$AN10-1</f>
        <v>33</v>
      </c>
      <c r="AQ10" s="191" t="str">
        <f t="shared" ref="AQ10:AQ73" si="17">IF($K10=12,$AN10,"")</f>
        <v/>
      </c>
      <c r="AR10" s="352">
        <f t="shared" ref="AR10:AR73" ca="1" si="18">IF($AV10=1,ROUND(VLOOKUP($AQ10,$CI$9:$CK$225,3,0),0),0)</f>
        <v>0</v>
      </c>
      <c r="AS10" s="352"/>
      <c r="AT10" s="352"/>
      <c r="AU10" s="436"/>
      <c r="AV10" s="353" t="str">
        <f t="shared" ref="AV10:AV73" ca="1" si="19">IF(AND($AP10&gt;15,$AN10&lt;=$P$4,$AO10&lt;&gt;12),"",IF(AND($AP10&gt;15,$AN10&lt;=$P$4,$AO10=12),1,IF(OR(AND($G$5=1,$AO10=12),AND($G$5=2,OR($AO10=6,$AO10=12)),AND($G$5=4,OR($AO10=3,$AO10=6,$AO10=9,$AO10=12)),$G$5=12),1,"")))</f>
        <v/>
      </c>
      <c r="AW10" s="422" t="str">
        <f t="shared" ref="AW10:AW73" si="20">IF(OR(AND($AW$7=0,$AN10=1,$AO10=1),AND($AW$7=1,$AO10=1),AND($AW$7=2,OR($AO10=1,$AO10=7)),AND($AW$7=4,OR($AO10=1,$AO10=4,$AO10=7,$AO10=10)),$AW$7=12),1,"")</f>
        <v/>
      </c>
      <c r="AX10" s="423" t="str">
        <f ca="1">IF(AND($AW10=1,$AP10&lt;16,$AN9&lt;OP!$C$24),OP!$C$49,"")</f>
        <v/>
      </c>
      <c r="AY10" s="340"/>
      <c r="AZ10" s="465">
        <f t="shared" ref="AZ10:AZ73" ca="1" si="21">ROUND(($G$3*BF10/365),10)</f>
        <v>7.3698599999999999E-5</v>
      </c>
      <c r="BA10" s="464">
        <f t="shared" ref="BA10:BB73" ca="1" si="22">ROUND(($G$3*BG10/365),10)</f>
        <v>2.2109589000000002E-3</v>
      </c>
      <c r="BB10" s="465">
        <f t="shared" ca="1" si="22"/>
        <v>2.2846575E-3</v>
      </c>
      <c r="BC10" s="466">
        <f t="shared" ref="BC10:BC73" ca="1" si="23">DATE(YEAR(BD10),MONTH(BD10),1)</f>
        <v>42917</v>
      </c>
      <c r="BD10" s="467">
        <f ca="1">DATE(YEAR(BD9),MONTH(BD9)+1,MIN(DAY($BD$9),DAY(DATE(YEAR(BD9),MONTH(BD9)+2,0))))</f>
        <v>42918</v>
      </c>
      <c r="BE10" s="467">
        <f t="shared" ref="BE10:BE73" ca="1" si="24">DATE(YEAR(BD10),MONTH(BD10),DAY(DATE(YEAR(BD10),MONTH(BD10)+1,0)))</f>
        <v>42947</v>
      </c>
      <c r="BF10" s="468">
        <f ca="1">IF(計算!$BC10&lt;OP!$C$3,0,BD10-BC10)</f>
        <v>1</v>
      </c>
      <c r="BG10" s="468">
        <f ca="1">IF($BE10&gt;DATE(YEAR($BD$9)+OP!$C$57,MONTH($BD$9),DAY($BD$9)),0,$BE10-$BD10+1)</f>
        <v>30</v>
      </c>
      <c r="BH10" s="469">
        <f t="shared" ref="BH10:BH73" ca="1" si="25">BF10+BG10</f>
        <v>31</v>
      </c>
      <c r="BJ10">
        <v>1</v>
      </c>
      <c r="BK10" s="468">
        <v>2</v>
      </c>
      <c r="BL10" s="468">
        <v>9</v>
      </c>
      <c r="BM10" s="468">
        <v>10</v>
      </c>
      <c r="BN10" s="468">
        <v>1</v>
      </c>
      <c r="BO10" s="468">
        <v>1</v>
      </c>
      <c r="BP10" s="467">
        <f t="shared" ref="BP10:BP73" ca="1" si="26">BD10</f>
        <v>42918</v>
      </c>
      <c r="BQ10" s="475">
        <f ca="1">OP!$D$5</f>
        <v>33</v>
      </c>
      <c r="BR10" s="475" t="str">
        <f>IF(BO10=12,BN10,"")</f>
        <v/>
      </c>
      <c r="BS10" s="471" t="str">
        <f t="shared" ref="BS10:BS73" si="27">IF(BW10&lt;&gt;"",ROUND(BU10,0)+ROUND(BV10,0),"")</f>
        <v/>
      </c>
      <c r="BT10" s="472" t="str">
        <f t="shared" si="3"/>
        <v/>
      </c>
      <c r="BU10" s="472">
        <f t="shared" ref="BU10:BV73" ca="1" si="28">ROUND(CA10,0)</f>
        <v>0</v>
      </c>
      <c r="BV10" s="472">
        <f t="shared" ca="1" si="28"/>
        <v>0</v>
      </c>
      <c r="BW10" s="472"/>
      <c r="BX10" s="473">
        <f t="shared" ref="BX10:BX73" ca="1" si="29">IF(BN10&lt;=$P$4,0,ROUNDDOWN(IF($Q9=1,CA10+CB10-CC10,0)+BX9+BY10+BZ9,VLOOKUP(LEN(ROUNDDOWN(IF($Q9=1,CA10+CB10-CC10,0)+BX9+BY10+BZ9,0)),$BK$9:$BL$24,2,0)))</f>
        <v>0</v>
      </c>
      <c r="BY10" s="473">
        <f t="shared" ref="BY10:BY73" si="30">IF(BO10=12,ROUND((BX9+BZ9)*$AZ10,$CB$6),0)</f>
        <v>0</v>
      </c>
      <c r="BZ10" s="473">
        <f t="shared" ca="1" si="4"/>
        <v>0</v>
      </c>
      <c r="CA10" s="476">
        <f t="shared" ref="CA10:CA73" ca="1" si="31">IF($Q9=1,ROUND(VLOOKUP($BN10,more1,3,0)*VLOOKUP($BN10,more1,5,0)/$R9,0),0)</f>
        <v>0</v>
      </c>
      <c r="CB10" s="494">
        <f ca="1">IF(OR($Q9&lt;&gt;1,OP!$D$5+$BN10-1&lt;16,$BN10-1&lt;1),0,ROUND(ROUND(ROUND(((VLOOKUP($BN10-1,MORE_PV,5,0)/10000)*VLOOKUP($BN10,MORE_PV,$CB$5,0)),3)*VLOOKUP($BN10,more1,5,0),0)/$R9,0))</f>
        <v>0</v>
      </c>
      <c r="CC10" s="473">
        <f t="shared" ref="CC10:CC73" ca="1" si="32">IF(AND($BN10=$P$4,$BO10=12),$CA10+$CB10,IF(AND($BN10&gt;$P$4,$Q9=1,$G$6="現金給付",$CA10+$CB10&gt;=$P$3),$CA10+$CB10,0))</f>
        <v>0</v>
      </c>
      <c r="CD10" s="477"/>
      <c r="CE10" s="468">
        <v>1</v>
      </c>
      <c r="CF10" s="468">
        <v>1</v>
      </c>
      <c r="CG10" s="467">
        <f t="shared" ca="1" si="5"/>
        <v>42918</v>
      </c>
      <c r="CH10" s="475">
        <f ca="1">OP!$D$5</f>
        <v>33</v>
      </c>
      <c r="CI10" s="513" t="str">
        <f>IF(CF10=12,CE10,"")</f>
        <v/>
      </c>
      <c r="CJ10" s="511">
        <f t="shared" ref="CJ10:CJ73" si="33">IF(CN10&lt;&gt;"",ROUND(CL10,$CJ$7)+ROUND(CM10,$CJ$7),0)</f>
        <v>0</v>
      </c>
      <c r="CK10" s="512">
        <f t="shared" ref="CK10:CK73" si="34">IF(CN10&lt;&gt;"",ROUND($CV10,$CK$7),0)</f>
        <v>0</v>
      </c>
      <c r="CL10" s="511">
        <f ca="1">ROUND(CR10-(CT10-CS10),$CL$7)</f>
        <v>0</v>
      </c>
      <c r="CM10" s="511">
        <f ca="1">ROUND(CS10-IF(OR($CE10&gt;=OP!$C$24,AND(CH10=15,CF10=12),CS10=0),0,(CT10-CR10)),$CM$7)</f>
        <v>0</v>
      </c>
      <c r="CN10" s="511"/>
      <c r="CO10" s="351">
        <f t="shared" ref="CO10:CO73" ca="1" si="35">ROUND($CV10,$CO$7)</f>
        <v>0</v>
      </c>
      <c r="CP10" s="473">
        <f t="shared" ref="CP10:CP73" si="36">IF(CF10=12,ROUND((CO9+CQ9)*$AZ10,$CS$6),0)</f>
        <v>0</v>
      </c>
      <c r="CQ10" s="473">
        <f t="shared" ca="1" si="6"/>
        <v>0</v>
      </c>
      <c r="CR10" s="476">
        <f t="shared" ref="CR10:CR73" ca="1" si="37">IF($Q9=1,ROUND(VLOOKUP($CE10,more1,3,0)*VLOOKUP($CE10,more1,5,0)/$R9,0),0)</f>
        <v>0</v>
      </c>
      <c r="CS10" s="494">
        <f ca="1">IF(OR($Q9&lt;&gt;1,OP!$D$5+$CE10-1&lt;16,$CE10-1&lt;1),0,ROUND(ROUND(ROUND(((VLOOKUP($CE10-1,MORE_PV,5,0)/10000)*VLOOKUP($CE10,MORE_PV,$CS$5,0)),3)*VLOOKUP($CE10,more1,5,0),0)/$R9,0))</f>
        <v>0</v>
      </c>
      <c r="CT10" s="473">
        <f>IF($AW10=1,IF(N($CR10+$CS10)&lt;N($AX10)*OP!$C$50,N($CR10+$CS10),MIN(N($CR10+$CS10),N($AX10))),0)</f>
        <v>0</v>
      </c>
      <c r="CV10" s="503">
        <f t="shared" ref="CV10:CV73" ca="1" si="38">ROUND($CX9*(1+$AZ10),$CW$6)+$CR10</f>
        <v>0</v>
      </c>
      <c r="CW10" s="503">
        <f t="shared" ref="CW10:CW73" ca="1" si="39">ROUND(($CR10-CT10)*(1+$BA10),$CW$6)</f>
        <v>0</v>
      </c>
      <c r="CX10" s="503">
        <f t="shared" ref="CX10:CX73" ca="1" si="40">$CW10+ROUND((CX9*(1+$BB10)),$CW$6)</f>
        <v>0</v>
      </c>
    </row>
    <row r="11" spans="1:102" ht="16.5" hidden="1">
      <c r="A11" s="450">
        <f ca="1">OP!$D$5+$B11-1</f>
        <v>33</v>
      </c>
      <c r="B11" s="192">
        <v>1</v>
      </c>
      <c r="C11" s="219">
        <f ca="1">ROUND(VLOOKUP(OP!$C$55,PV0,B11+2,0)*OP!$C$28,0)</f>
        <v>105366</v>
      </c>
      <c r="D11" s="189">
        <f t="shared" ref="D11:D42" ca="1" si="41">IF($D$8=1,$C10,IF($D$8=2,($C10+$C11)/2,IF($D$8=3,$C11,0)))</f>
        <v>105366</v>
      </c>
      <c r="E11" s="221">
        <f t="shared" ref="E11:E42" ca="1" si="42">ROUND($G$3,4)</f>
        <v>2.69E-2</v>
      </c>
      <c r="F11" s="222">
        <f t="shared" ref="F11:F42" ca="1" si="43">MAX(0,ROUND($E11-$G$2,5))</f>
        <v>6.8999999999999999E-3</v>
      </c>
      <c r="G11" s="223">
        <f ca="1">IF($B11=$P$4+1,$H11*$I11,IF($G$6="現金給付",$H11*$I11,ROUND(VLOOKUP(B11,more,2,0),0)))</f>
        <v>0</v>
      </c>
      <c r="H11" s="224">
        <f ca="1">VLOOKUP($B11,$BR$9:$BT$1341,2,0)</f>
        <v>727</v>
      </c>
      <c r="I11" s="450">
        <f ca="1">IF($A11&gt;=$I$5,$I$6,$G$5)</f>
        <v>1</v>
      </c>
      <c r="J11" s="192">
        <f t="shared" si="7"/>
        <v>1</v>
      </c>
      <c r="K11" s="192">
        <f t="shared" si="8"/>
        <v>3</v>
      </c>
      <c r="L11" s="192" t="str">
        <f t="shared" si="0"/>
        <v/>
      </c>
      <c r="M11" s="216">
        <f t="shared" ca="1" si="9"/>
        <v>0</v>
      </c>
      <c r="N11" s="216"/>
      <c r="O11" s="216"/>
      <c r="P11" s="216"/>
      <c r="Q11" s="456" t="str">
        <f t="shared" ca="1" si="10"/>
        <v/>
      </c>
      <c r="R11" s="450">
        <f t="shared" ca="1" si="11"/>
        <v>1</v>
      </c>
      <c r="S11" s="191">
        <f t="shared" si="12"/>
        <v>1</v>
      </c>
      <c r="T11" s="191">
        <f t="shared" si="13"/>
        <v>3</v>
      </c>
      <c r="U11" s="191">
        <f ca="1">OP!$D$5+$S11-1</f>
        <v>33</v>
      </c>
      <c r="V11" s="191" t="str">
        <f t="shared" si="14"/>
        <v/>
      </c>
      <c r="W11" s="350">
        <f ca="1">IF(Q11&lt;&gt;1,0,VLOOKUP(OP!$C$55,PVFB,$S11+2,0))</f>
        <v>0</v>
      </c>
      <c r="X11" s="473">
        <f t="shared" ref="X11:X74" ca="1" si="44">IF(AND($U11=15,$T11=12),$CO12,IF(AND($U11&gt;15,$S11&lt;=$P$4,$T11=12),($BS12)*$R11,IF($Q11=1,($BS12),0)))</f>
        <v>0</v>
      </c>
      <c r="Y11" s="348">
        <f t="shared" ref="Y11:Y74" ca="1" si="45">IF(AND($P$7="購買增額繳清保險",U11&gt;=110),0,IF(AND($U11=15,$W11&lt;&gt;0,$T11=12),ROUND(($X11)/($W11/10000),0),IF(AND($S11&lt;=$P$4,$W11&lt;&gt;0,$T11=12,$U11&gt;15),ROUND(($X11)/($W11/10000),0),0)))</f>
        <v>0</v>
      </c>
      <c r="Z11" s="348">
        <f t="shared" ref="Z11:Z74" ca="1" si="46">Z10+Y11</f>
        <v>0</v>
      </c>
      <c r="AA11" s="348">
        <f ca="1">IF(Q11&lt;&gt;1,0,VLOOKUP(OP!$C$55,PVFB,$S11+2,0))</f>
        <v>0</v>
      </c>
      <c r="AB11" s="488" t="str">
        <f ca="1">IF(AND(S11&lt;OP!$C$24,$U11&lt;15),0,IF(AND($U11&lt;15,$T11=12),ROUND(VLOOKUP($S11,DOWN16,5,0),3),IF($T11=12,ROUND(($Z11/10000)*$AA11,3)+IF(AND($P$7="購買增額繳清保險",T11=12,U11=110),VLOOKUP(S11,$B$10:$H$121,7,0),0),"")))</f>
        <v/>
      </c>
      <c r="AC11" s="350" t="str">
        <f ca="1">IF(AND(S11&lt;OP!$C$24,$U11&lt;15),0,IF(AND($U11&lt;16,$T11=12),VLOOKUP($S11,DOWN16,4,0),IF($T11=12,ROUND(VLOOKUP(OP!$C$55,_DIE2,$S11+1,0)*(Z11/10000),0)+IF(AND($P$7="購買增額繳清保險",T11=12,U11=110),VLOOKUP(S11,$B$10:$H$121,7,0),0),"")))</f>
        <v/>
      </c>
      <c r="AD11" s="347"/>
      <c r="AE11" s="350" t="str">
        <f t="shared" ca="1" si="1"/>
        <v/>
      </c>
      <c r="AF11" s="351" t="str">
        <f t="shared" ca="1" si="2"/>
        <v/>
      </c>
      <c r="AG11" s="340"/>
      <c r="AH11" s="191">
        <v>1</v>
      </c>
      <c r="AI11" s="191">
        <f ca="1">OP!$D$5+計算!AH11-1</f>
        <v>33</v>
      </c>
      <c r="AJ11" s="354">
        <f ca="1">IF($AH11&gt;$P$4,0,VLOOKUP(AH11,$CI$9:$CK$225,2,0))</f>
        <v>727</v>
      </c>
      <c r="AK11" s="354">
        <f ca="1">AJ11</f>
        <v>727</v>
      </c>
      <c r="AL11" s="354">
        <f ca="1">ROUND(VLOOKUP(AH11,MORE_16,2,0),10)</f>
        <v>727</v>
      </c>
      <c r="AM11" s="340"/>
      <c r="AN11" s="191">
        <f t="shared" si="15"/>
        <v>1</v>
      </c>
      <c r="AO11" s="191">
        <f t="shared" si="16"/>
        <v>3</v>
      </c>
      <c r="AP11" s="191">
        <f ca="1">OP!$D$5+$AN11-1</f>
        <v>33</v>
      </c>
      <c r="AQ11" s="191" t="str">
        <f t="shared" si="17"/>
        <v/>
      </c>
      <c r="AR11" s="352">
        <f t="shared" ca="1" si="18"/>
        <v>0</v>
      </c>
      <c r="AS11" s="352"/>
      <c r="AT11" s="352"/>
      <c r="AU11" s="436"/>
      <c r="AV11" s="353" t="str">
        <f t="shared" ca="1" si="19"/>
        <v/>
      </c>
      <c r="AW11" s="422" t="str">
        <f t="shared" si="20"/>
        <v/>
      </c>
      <c r="AX11" s="423" t="str">
        <f ca="1">IF(AND($AW11=1,$AP11&lt;16,$AN10&lt;OP!$C$24),OP!$C$49,"")</f>
        <v/>
      </c>
      <c r="AY11" s="340"/>
      <c r="AZ11" s="465">
        <f t="shared" ca="1" si="21"/>
        <v>7.3698599999999999E-5</v>
      </c>
      <c r="BA11" s="464">
        <f t="shared" ca="1" si="22"/>
        <v>2.2109589000000002E-3</v>
      </c>
      <c r="BB11" s="465">
        <f t="shared" ca="1" si="22"/>
        <v>2.2846575E-3</v>
      </c>
      <c r="BC11" s="466">
        <f t="shared" ca="1" si="23"/>
        <v>42948</v>
      </c>
      <c r="BD11" s="467">
        <f t="shared" ref="BD11:BD74" ca="1" si="47">DATE(YEAR(BD10),MONTH(BD10)+1,MIN(DAY($BD$9),DAY(DATE(YEAR(BD10),MONTH(BD10)+2,0))))</f>
        <v>42949</v>
      </c>
      <c r="BE11" s="467">
        <f t="shared" ca="1" si="24"/>
        <v>42978</v>
      </c>
      <c r="BF11" s="468">
        <f ca="1">IF(計算!$BC11&lt;OP!$C$3,0,BD11-BC11)</f>
        <v>1</v>
      </c>
      <c r="BG11" s="468">
        <f ca="1">IF($BE11&gt;DATE(YEAR($BD$9)+OP!$C$57,MONTH($BD$9),DAY($BD$9)),0,$BE11-$BD11+1)</f>
        <v>30</v>
      </c>
      <c r="BH11" s="469">
        <f t="shared" ca="1" si="25"/>
        <v>31</v>
      </c>
      <c r="BJ11">
        <v>2</v>
      </c>
      <c r="BK11" s="468">
        <v>3</v>
      </c>
      <c r="BL11" s="468">
        <v>9</v>
      </c>
      <c r="BM11" s="468">
        <v>10</v>
      </c>
      <c r="BN11" s="468">
        <f t="shared" ref="BN11:BN74" si="48">IF(BO10=12,BN10+1,BN10)</f>
        <v>1</v>
      </c>
      <c r="BO11" s="468">
        <f t="shared" ref="BO11:BO74" si="49">IF(BO10=12,1,BO10+1)</f>
        <v>2</v>
      </c>
      <c r="BP11" s="467">
        <f t="shared" ca="1" si="26"/>
        <v>42949</v>
      </c>
      <c r="BQ11" s="475">
        <f ca="1">IF(BO10=12,BQ10+1,BQ10)</f>
        <v>33</v>
      </c>
      <c r="BR11" s="475" t="str">
        <f t="shared" ref="BR11:BR74" si="50">IF(BO11=12,BN11,"")</f>
        <v/>
      </c>
      <c r="BS11" s="471" t="str">
        <f t="shared" si="27"/>
        <v/>
      </c>
      <c r="BT11" s="472" t="str">
        <f t="shared" si="3"/>
        <v/>
      </c>
      <c r="BU11" s="472">
        <f t="shared" ca="1" si="28"/>
        <v>0</v>
      </c>
      <c r="BV11" s="472">
        <f t="shared" ca="1" si="28"/>
        <v>0</v>
      </c>
      <c r="BW11" s="472"/>
      <c r="BX11" s="473">
        <f t="shared" ca="1" si="29"/>
        <v>0</v>
      </c>
      <c r="BY11" s="473">
        <f t="shared" si="30"/>
        <v>0</v>
      </c>
      <c r="BZ11" s="473">
        <f t="shared" ca="1" si="4"/>
        <v>0</v>
      </c>
      <c r="CA11" s="476">
        <f ca="1">IF($Q10=1,ROUND(VLOOKUP($BN11,more1,3,0)*VLOOKUP($BN11,more1,5,0)/$R10,0),0)</f>
        <v>0</v>
      </c>
      <c r="CB11" s="494">
        <f ca="1">IF(OR($Q10&lt;&gt;1,OP!$D$5+$BN11-1&lt;16,$BN11-1&lt;1),0,ROUND(ROUND(ROUND(((VLOOKUP($BN11-1,MORE_PV,5,0)/10000)*VLOOKUP($BN11,MORE_PV,$CB$5,0)),3)*VLOOKUP($BN11,more1,5,0),0)/$R10,0))</f>
        <v>0</v>
      </c>
      <c r="CC11" s="473">
        <f t="shared" ca="1" si="32"/>
        <v>0</v>
      </c>
      <c r="CD11" s="477"/>
      <c r="CE11" s="468">
        <f t="shared" ref="CE11:CE74" si="51">IF(CF10=12,CE10+1,CE10)</f>
        <v>1</v>
      </c>
      <c r="CF11" s="468">
        <f t="shared" ref="CF11:CF74" si="52">IF(CF10=12,1,CF10+1)</f>
        <v>2</v>
      </c>
      <c r="CG11" s="467">
        <f t="shared" ca="1" si="5"/>
        <v>42949</v>
      </c>
      <c r="CH11" s="475">
        <f ca="1">IF(CF10=12,CH10+1,CH10)</f>
        <v>33</v>
      </c>
      <c r="CI11" s="513" t="str">
        <f t="shared" ref="CI11:CI74" si="53">IF(CF11=12,CE11,"")</f>
        <v/>
      </c>
      <c r="CJ11" s="511">
        <f t="shared" si="33"/>
        <v>0</v>
      </c>
      <c r="CK11" s="512">
        <f t="shared" si="34"/>
        <v>0</v>
      </c>
      <c r="CL11" s="511">
        <f t="shared" ref="CL11:CL74" ca="1" si="54">ROUND(CR11-(CT11-CS11),$CL$7)</f>
        <v>0</v>
      </c>
      <c r="CM11" s="511">
        <f ca="1">ROUND(CS11-IF(OR($CE11&gt;=OP!$C$24,AND(CH11=15,CF11=12),CS11=0),0,(CT11-CR11)),$CM$7)</f>
        <v>0</v>
      </c>
      <c r="CN11" s="511"/>
      <c r="CO11" s="351">
        <f t="shared" ca="1" si="35"/>
        <v>0</v>
      </c>
      <c r="CP11" s="473">
        <f t="shared" si="36"/>
        <v>0</v>
      </c>
      <c r="CQ11" s="473">
        <f t="shared" ca="1" si="6"/>
        <v>0</v>
      </c>
      <c r="CR11" s="476">
        <f t="shared" ca="1" si="37"/>
        <v>0</v>
      </c>
      <c r="CS11" s="494">
        <f ca="1">IF(OR($Q10&lt;&gt;1,OP!$D$5+$CE11-1&lt;16,$CE11-1&lt;1),0,ROUND(ROUND(ROUND(((VLOOKUP($CE11-1,MORE_PV,5,0)/10000)*VLOOKUP($CE11,MORE_PV,$CS$5,0)),3)*VLOOKUP($CE11,more1,5,0),0)/$R10,0))</f>
        <v>0</v>
      </c>
      <c r="CT11" s="473">
        <f>IF($AW11=1,IF(N($CR11+$CS11)&lt;N($AX11)*OP!$C$50,N($CR11+$CS11),MIN(N($CR11+$CS11),N($AX11))),0)</f>
        <v>0</v>
      </c>
      <c r="CV11" s="503">
        <f t="shared" ca="1" si="38"/>
        <v>0</v>
      </c>
      <c r="CW11" s="503">
        <f t="shared" ca="1" si="39"/>
        <v>0</v>
      </c>
      <c r="CX11" s="503">
        <f t="shared" ca="1" si="40"/>
        <v>0</v>
      </c>
    </row>
    <row r="12" spans="1:102" ht="16.5" hidden="1">
      <c r="A12" s="450">
        <f ca="1">OP!$D$5+$B12-1</f>
        <v>34</v>
      </c>
      <c r="B12" s="192">
        <v>2</v>
      </c>
      <c r="C12" s="219">
        <f ca="1">ROUND(VLOOKUP(OP!$C$55,PV0,B12+2,0)*OP!$C$28,0)</f>
        <v>280636</v>
      </c>
      <c r="D12" s="189">
        <f t="shared" ca="1" si="41"/>
        <v>280636</v>
      </c>
      <c r="E12" s="221">
        <f t="shared" ca="1" si="42"/>
        <v>2.69E-2</v>
      </c>
      <c r="F12" s="222">
        <f t="shared" ca="1" si="43"/>
        <v>6.8999999999999999E-3</v>
      </c>
      <c r="G12" s="223">
        <f t="shared" ref="G12:G43" ca="1" si="55">IF(B12=$P$4+1,IF($G$6="現金給付",($H12*$I12),ROUND(VLOOKUP(B12,more,2,0),0)),IF($G$6="現金給付",$G11+($H12*$I12),ROUND(VLOOKUP(B12,more,2,0),0)))</f>
        <v>0</v>
      </c>
      <c r="H12" s="224">
        <f t="shared" ref="H12:H75" ca="1" si="56">VLOOKUP($B12,$BR$9:$BT$1341,2,0)</f>
        <v>1941</v>
      </c>
      <c r="I12" s="450">
        <f t="shared" ref="I12:I75" ca="1" si="57">IF($A12&gt;=$I$5,$I$6,$G$5)</f>
        <v>1</v>
      </c>
      <c r="J12" s="192">
        <f t="shared" si="7"/>
        <v>1</v>
      </c>
      <c r="K12" s="192">
        <f t="shared" si="8"/>
        <v>4</v>
      </c>
      <c r="L12" s="192" t="str">
        <f t="shared" si="0"/>
        <v/>
      </c>
      <c r="M12" s="216">
        <f t="shared" ca="1" si="9"/>
        <v>0</v>
      </c>
      <c r="N12" s="216"/>
      <c r="O12" s="216"/>
      <c r="P12" s="216"/>
      <c r="Q12" s="456" t="str">
        <f t="shared" ca="1" si="10"/>
        <v/>
      </c>
      <c r="R12" s="450">
        <f t="shared" ca="1" si="11"/>
        <v>1</v>
      </c>
      <c r="S12" s="191">
        <f t="shared" si="12"/>
        <v>1</v>
      </c>
      <c r="T12" s="191">
        <f t="shared" si="13"/>
        <v>4</v>
      </c>
      <c r="U12" s="191">
        <f ca="1">OP!$D$5+$S12-1</f>
        <v>33</v>
      </c>
      <c r="V12" s="191" t="str">
        <f t="shared" si="14"/>
        <v/>
      </c>
      <c r="W12" s="350">
        <f ca="1">IF(Q12&lt;&gt;1,0,VLOOKUP(OP!$C$55,PVFB,$S12+2,0))</f>
        <v>0</v>
      </c>
      <c r="X12" s="473">
        <f t="shared" ca="1" si="44"/>
        <v>0</v>
      </c>
      <c r="Y12" s="348">
        <f t="shared" ca="1" si="45"/>
        <v>0</v>
      </c>
      <c r="Z12" s="348">
        <f t="shared" ca="1" si="46"/>
        <v>0</v>
      </c>
      <c r="AA12" s="348">
        <f ca="1">IF(Q12&lt;&gt;1,0,VLOOKUP(OP!$C$55,PVFB,$S12+2,0))</f>
        <v>0</v>
      </c>
      <c r="AB12" s="488" t="str">
        <f ca="1">IF(AND(S12&lt;OP!$C$24,$U12&lt;15),0,IF(AND($U12&lt;15,$T12=12),ROUND(VLOOKUP($S12,DOWN16,5,0),3),IF($T12=12,ROUND(($Z12/10000)*$AA12,3)+IF(AND($P$7="購買增額繳清保險",T12=12,U12=110),VLOOKUP(S12,$B$10:$H$121,7,0),0),"")))</f>
        <v/>
      </c>
      <c r="AC12" s="350" t="str">
        <f ca="1">IF(AND(S12&lt;OP!$C$24,$U12&lt;15),0,IF(AND($U12&lt;16,$T12=12),VLOOKUP($S12,DOWN16,4,0),IF($T12=12,ROUND(VLOOKUP(OP!$C$55,_DIE2,$S12+1,0)*(Z12/10000),0)+IF(AND($P$7="購買增額繳清保險",T12=12,U12=110),VLOOKUP(S12,$B$10:$H$121,7,0),0),"")))</f>
        <v/>
      </c>
      <c r="AD12" s="347"/>
      <c r="AE12" s="350" t="str">
        <f t="shared" ca="1" si="1"/>
        <v/>
      </c>
      <c r="AF12" s="351" t="str">
        <f t="shared" ca="1" si="2"/>
        <v/>
      </c>
      <c r="AG12" s="340"/>
      <c r="AH12" s="191">
        <v>2</v>
      </c>
      <c r="AI12" s="191">
        <f ca="1">OP!$D$5+計算!AH12-1</f>
        <v>34</v>
      </c>
      <c r="AJ12" s="354">
        <f t="shared" ref="AJ12:AJ26" ca="1" si="58">IF($AH12&gt;$P$4,0,VLOOKUP(AH12,$CI$9:$CK$225,2,0))</f>
        <v>3882</v>
      </c>
      <c r="AK12" s="354">
        <f t="shared" ref="AK12:AK26" ca="1" si="59">IF($AH12&gt;$P$4,$AK11,$AK11+$AJ12)-ROUND(VLOOKUP($AH11,MORE_16,4,0),0)</f>
        <v>4609</v>
      </c>
      <c r="AL12" s="354">
        <f ca="1">ROUND(VLOOKUP(AH12,MORE_16,2,0),10)</f>
        <v>2683</v>
      </c>
      <c r="AM12" s="340"/>
      <c r="AN12" s="191">
        <f t="shared" si="15"/>
        <v>1</v>
      </c>
      <c r="AO12" s="191">
        <f t="shared" si="16"/>
        <v>4</v>
      </c>
      <c r="AP12" s="191">
        <f ca="1">OP!$D$5+$AN12-1</f>
        <v>33</v>
      </c>
      <c r="AQ12" s="191" t="str">
        <f t="shared" si="17"/>
        <v/>
      </c>
      <c r="AR12" s="352">
        <f t="shared" ca="1" si="18"/>
        <v>0</v>
      </c>
      <c r="AS12" s="352"/>
      <c r="AT12" s="352"/>
      <c r="AU12" s="436"/>
      <c r="AV12" s="353" t="str">
        <f t="shared" ca="1" si="19"/>
        <v/>
      </c>
      <c r="AW12" s="422" t="str">
        <f t="shared" si="20"/>
        <v/>
      </c>
      <c r="AX12" s="423" t="str">
        <f ca="1">IF(AND($AW12=1,$AP12&lt;16,$AN11&lt;OP!$C$24),OP!$C$49,"")</f>
        <v/>
      </c>
      <c r="AY12" s="340"/>
      <c r="AZ12" s="465">
        <f t="shared" ca="1" si="21"/>
        <v>7.3698599999999999E-5</v>
      </c>
      <c r="BA12" s="464">
        <f t="shared" ca="1" si="22"/>
        <v>2.1372602999999999E-3</v>
      </c>
      <c r="BB12" s="465">
        <f t="shared" ca="1" si="22"/>
        <v>2.2109589000000002E-3</v>
      </c>
      <c r="BC12" s="466">
        <f t="shared" ca="1" si="23"/>
        <v>42979</v>
      </c>
      <c r="BD12" s="467">
        <f t="shared" ca="1" si="47"/>
        <v>42980</v>
      </c>
      <c r="BE12" s="467">
        <f t="shared" ca="1" si="24"/>
        <v>43008</v>
      </c>
      <c r="BF12" s="468">
        <f ca="1">IF(計算!$BC12&lt;OP!$C$3,0,BD12-BC12)</f>
        <v>1</v>
      </c>
      <c r="BG12" s="468">
        <f ca="1">IF($BE12&gt;DATE(YEAR($BD$9)+OP!$C$57,MONTH($BD$9),DAY($BD$9)),0,$BE12-$BD12+1)</f>
        <v>29</v>
      </c>
      <c r="BH12" s="469">
        <f t="shared" ca="1" si="25"/>
        <v>30</v>
      </c>
      <c r="BJ12">
        <v>3</v>
      </c>
      <c r="BK12" s="468">
        <v>4</v>
      </c>
      <c r="BL12" s="468">
        <v>9</v>
      </c>
      <c r="BM12" s="468">
        <v>10</v>
      </c>
      <c r="BN12" s="468">
        <f t="shared" si="48"/>
        <v>1</v>
      </c>
      <c r="BO12" s="468">
        <f t="shared" si="49"/>
        <v>3</v>
      </c>
      <c r="BP12" s="467">
        <f t="shared" ca="1" si="26"/>
        <v>42980</v>
      </c>
      <c r="BQ12" s="475">
        <f t="shared" ref="BQ12:BQ75" ca="1" si="60">IF(BO11=12,BQ11+1,BQ11)</f>
        <v>33</v>
      </c>
      <c r="BR12" s="475" t="str">
        <f t="shared" si="50"/>
        <v/>
      </c>
      <c r="BS12" s="471" t="str">
        <f t="shared" si="27"/>
        <v/>
      </c>
      <c r="BT12" s="472" t="str">
        <f t="shared" si="3"/>
        <v/>
      </c>
      <c r="BU12" s="472">
        <f t="shared" ca="1" si="28"/>
        <v>0</v>
      </c>
      <c r="BV12" s="472">
        <f t="shared" ca="1" si="28"/>
        <v>0</v>
      </c>
      <c r="BW12" s="472"/>
      <c r="BX12" s="473">
        <f t="shared" ca="1" si="29"/>
        <v>0</v>
      </c>
      <c r="BY12" s="473">
        <f t="shared" si="30"/>
        <v>0</v>
      </c>
      <c r="BZ12" s="473">
        <f t="shared" ca="1" si="4"/>
        <v>0</v>
      </c>
      <c r="CA12" s="476">
        <f t="shared" ca="1" si="31"/>
        <v>0</v>
      </c>
      <c r="CB12" s="494">
        <f ca="1">IF(OR($Q11&lt;&gt;1,OP!$D$5+$BN12-1&lt;16,$BN12-1&lt;1),0,ROUND(ROUND(ROUND(((VLOOKUP($BN12-1,MORE_PV,5,0)/10000)*VLOOKUP($BN12,MORE_PV,$CB$5,0)),3)*VLOOKUP($BN12,more1,5,0),0)/$R11,0))</f>
        <v>0</v>
      </c>
      <c r="CC12" s="473">
        <f t="shared" ca="1" si="32"/>
        <v>0</v>
      </c>
      <c r="CD12" s="477"/>
      <c r="CE12" s="468">
        <f t="shared" si="51"/>
        <v>1</v>
      </c>
      <c r="CF12" s="468">
        <f t="shared" si="52"/>
        <v>3</v>
      </c>
      <c r="CG12" s="467">
        <f t="shared" ca="1" si="5"/>
        <v>42980</v>
      </c>
      <c r="CH12" s="475">
        <f t="shared" ref="CH12:CH75" ca="1" si="61">IF(CF11=12,CH11+1,CH11)</f>
        <v>33</v>
      </c>
      <c r="CI12" s="513" t="str">
        <f t="shared" si="53"/>
        <v/>
      </c>
      <c r="CJ12" s="511">
        <f t="shared" si="33"/>
        <v>0</v>
      </c>
      <c r="CK12" s="512">
        <f t="shared" si="34"/>
        <v>0</v>
      </c>
      <c r="CL12" s="511">
        <f t="shared" ca="1" si="54"/>
        <v>0</v>
      </c>
      <c r="CM12" s="511">
        <f ca="1">ROUND(CS12-IF(OR($CE12&gt;=OP!$C$24,AND(CH12=15,CF12=12),CS12=0),0,(CT12-CR12)),$CM$7)</f>
        <v>0</v>
      </c>
      <c r="CN12" s="511"/>
      <c r="CO12" s="351">
        <f t="shared" ca="1" si="35"/>
        <v>0</v>
      </c>
      <c r="CP12" s="473">
        <f t="shared" si="36"/>
        <v>0</v>
      </c>
      <c r="CQ12" s="473">
        <f t="shared" ca="1" si="6"/>
        <v>0</v>
      </c>
      <c r="CR12" s="476">
        <f t="shared" ca="1" si="37"/>
        <v>0</v>
      </c>
      <c r="CS12" s="494">
        <f ca="1">IF(OR($Q11&lt;&gt;1,OP!$D$5+$CE12-1&lt;16,$CE12-1&lt;1),0,ROUND(ROUND(ROUND(((VLOOKUP($CE12-1,MORE_PV,5,0)/10000)*VLOOKUP($CE12,MORE_PV,$CS$5,0)),3)*VLOOKUP($CE12,more1,5,0),0)/$R11,0))</f>
        <v>0</v>
      </c>
      <c r="CT12" s="473">
        <f>IF($AW12=1,IF(N($CR12+$CS12)&lt;N($AX12)*OP!$C$50,N($CR12+$CS12),MIN(N($CR12+$CS12),N($AX12))),0)</f>
        <v>0</v>
      </c>
      <c r="CV12" s="503">
        <f t="shared" ca="1" si="38"/>
        <v>0</v>
      </c>
      <c r="CW12" s="503">
        <f t="shared" ca="1" si="39"/>
        <v>0</v>
      </c>
      <c r="CX12" s="503">
        <f t="shared" ca="1" si="40"/>
        <v>0</v>
      </c>
    </row>
    <row r="13" spans="1:102" ht="16.5" hidden="1">
      <c r="A13" s="450">
        <f ca="1">OP!$D$5+$B13-1</f>
        <v>35</v>
      </c>
      <c r="B13" s="192">
        <v>3</v>
      </c>
      <c r="C13" s="219">
        <f ca="1">ROUND(VLOOKUP(OP!$C$55,PV0,B13+2,0)*OP!$C$28,0)</f>
        <v>459442</v>
      </c>
      <c r="D13" s="189">
        <f t="shared" ca="1" si="41"/>
        <v>459442</v>
      </c>
      <c r="E13" s="221">
        <f t="shared" ca="1" si="42"/>
        <v>2.69E-2</v>
      </c>
      <c r="F13" s="222">
        <f t="shared" ca="1" si="43"/>
        <v>6.8999999999999999E-3</v>
      </c>
      <c r="G13" s="223">
        <f t="shared" ca="1" si="55"/>
        <v>0</v>
      </c>
      <c r="H13" s="224">
        <f t="shared" ca="1" si="56"/>
        <v>3189</v>
      </c>
      <c r="I13" s="450">
        <f t="shared" ca="1" si="57"/>
        <v>1</v>
      </c>
      <c r="J13" s="192">
        <f t="shared" si="7"/>
        <v>1</v>
      </c>
      <c r="K13" s="192">
        <f t="shared" si="8"/>
        <v>5</v>
      </c>
      <c r="L13" s="192" t="str">
        <f t="shared" si="0"/>
        <v/>
      </c>
      <c r="M13" s="216">
        <f t="shared" ca="1" si="9"/>
        <v>0</v>
      </c>
      <c r="N13" s="216"/>
      <c r="O13" s="216"/>
      <c r="P13" s="216"/>
      <c r="Q13" s="456" t="str">
        <f t="shared" ca="1" si="10"/>
        <v/>
      </c>
      <c r="R13" s="450">
        <f t="shared" ca="1" si="11"/>
        <v>1</v>
      </c>
      <c r="S13" s="191">
        <f t="shared" si="12"/>
        <v>1</v>
      </c>
      <c r="T13" s="191">
        <f t="shared" si="13"/>
        <v>5</v>
      </c>
      <c r="U13" s="191">
        <f ca="1">OP!$D$5+$S13-1</f>
        <v>33</v>
      </c>
      <c r="V13" s="191" t="str">
        <f t="shared" si="14"/>
        <v/>
      </c>
      <c r="W13" s="350">
        <f ca="1">IF(Q13&lt;&gt;1,0,VLOOKUP(OP!$C$55,PVFB,$S13+2,0))</f>
        <v>0</v>
      </c>
      <c r="X13" s="473">
        <f t="shared" ca="1" si="44"/>
        <v>0</v>
      </c>
      <c r="Y13" s="348">
        <f t="shared" ca="1" si="45"/>
        <v>0</v>
      </c>
      <c r="Z13" s="348">
        <f t="shared" ca="1" si="46"/>
        <v>0</v>
      </c>
      <c r="AA13" s="348">
        <f ca="1">IF(Q13&lt;&gt;1,0,VLOOKUP(OP!$C$55,PVFB,$S13+2,0))</f>
        <v>0</v>
      </c>
      <c r="AB13" s="488" t="str">
        <f ca="1">IF(AND(S13&lt;OP!$C$24,$U13&lt;15),0,IF(AND($U13&lt;15,$T13=12),ROUND(VLOOKUP($S13,DOWN16,5,0),3),IF($T13=12,ROUND(($Z13/10000)*$AA13,3)+IF(AND($P$7="購買增額繳清保險",T13=12,U13=110),VLOOKUP(S13,$B$10:$H$121,7,0),0),"")))</f>
        <v/>
      </c>
      <c r="AC13" s="350" t="str">
        <f ca="1">IF(AND(S13&lt;OP!$C$24,$U13&lt;15),0,IF(AND($U13&lt;16,$T13=12),VLOOKUP($S13,DOWN16,4,0),IF($T13=12,ROUND(VLOOKUP(OP!$C$55,_DIE2,$S13+1,0)*(Z13/10000),0)+IF(AND($P$7="購買增額繳清保險",T13=12,U13=110),VLOOKUP(S13,$B$10:$H$121,7,0),0),"")))</f>
        <v/>
      </c>
      <c r="AD13" s="347"/>
      <c r="AE13" s="350" t="str">
        <f t="shared" ca="1" si="1"/>
        <v/>
      </c>
      <c r="AF13" s="351" t="str">
        <f t="shared" ca="1" si="2"/>
        <v/>
      </c>
      <c r="AG13" s="340"/>
      <c r="AH13" s="191">
        <v>3</v>
      </c>
      <c r="AI13" s="191">
        <f ca="1">OP!$D$5+計算!AH13-1</f>
        <v>35</v>
      </c>
      <c r="AJ13" s="354">
        <f t="shared" ca="1" si="58"/>
        <v>6378</v>
      </c>
      <c r="AK13" s="354">
        <f ca="1">IF($AH13&gt;$P$4,$AK12,$AK12+$AJ13)-ROUND(VLOOKUP($AH12,MORE_16,4,0),0)</f>
        <v>10987</v>
      </c>
      <c r="AL13" s="354">
        <f ca="1">ROUND(VLOOKUP(AH13,MORE_16,2,0),10)</f>
        <v>5926</v>
      </c>
      <c r="AM13" s="340"/>
      <c r="AN13" s="191">
        <f t="shared" si="15"/>
        <v>1</v>
      </c>
      <c r="AO13" s="191">
        <f t="shared" si="16"/>
        <v>5</v>
      </c>
      <c r="AP13" s="191">
        <f ca="1">OP!$D$5+$AN13-1</f>
        <v>33</v>
      </c>
      <c r="AQ13" s="191" t="str">
        <f t="shared" si="17"/>
        <v/>
      </c>
      <c r="AR13" s="352">
        <f t="shared" ca="1" si="18"/>
        <v>0</v>
      </c>
      <c r="AS13" s="352"/>
      <c r="AT13" s="352"/>
      <c r="AU13" s="436"/>
      <c r="AV13" s="353" t="str">
        <f t="shared" ca="1" si="19"/>
        <v/>
      </c>
      <c r="AW13" s="422" t="str">
        <f t="shared" si="20"/>
        <v/>
      </c>
      <c r="AX13" s="423" t="str">
        <f ca="1">IF(AND($AW13=1,$AP13&lt;16,$AN12&lt;OP!$C$24),OP!$C$49,"")</f>
        <v/>
      </c>
      <c r="AY13" s="340"/>
      <c r="AZ13" s="465">
        <f t="shared" ca="1" si="21"/>
        <v>7.3698599999999999E-5</v>
      </c>
      <c r="BA13" s="464">
        <f t="shared" ca="1" si="22"/>
        <v>2.2109589000000002E-3</v>
      </c>
      <c r="BB13" s="465">
        <f t="shared" ca="1" si="22"/>
        <v>2.2846575E-3</v>
      </c>
      <c r="BC13" s="466">
        <f t="shared" ca="1" si="23"/>
        <v>43009</v>
      </c>
      <c r="BD13" s="467">
        <f t="shared" ca="1" si="47"/>
        <v>43010</v>
      </c>
      <c r="BE13" s="467">
        <f t="shared" ca="1" si="24"/>
        <v>43039</v>
      </c>
      <c r="BF13" s="468">
        <f ca="1">IF(計算!$BC13&lt;OP!$C$3,0,BD13-BC13)</f>
        <v>1</v>
      </c>
      <c r="BG13" s="468">
        <f ca="1">IF($BE13&gt;DATE(YEAR($BD$9)+OP!$C$57,MONTH($BD$9),DAY($BD$9)),0,$BE13-$BD13+1)</f>
        <v>30</v>
      </c>
      <c r="BH13" s="469">
        <f t="shared" ca="1" si="25"/>
        <v>31</v>
      </c>
      <c r="BJ13">
        <v>4</v>
      </c>
      <c r="BK13" s="468">
        <v>5</v>
      </c>
      <c r="BL13" s="468">
        <v>9</v>
      </c>
      <c r="BM13" s="468">
        <v>10</v>
      </c>
      <c r="BN13" s="468">
        <f t="shared" si="48"/>
        <v>1</v>
      </c>
      <c r="BO13" s="468">
        <f t="shared" si="49"/>
        <v>4</v>
      </c>
      <c r="BP13" s="467">
        <f t="shared" ca="1" si="26"/>
        <v>43010</v>
      </c>
      <c r="BQ13" s="475">
        <f t="shared" ca="1" si="60"/>
        <v>33</v>
      </c>
      <c r="BR13" s="475" t="str">
        <f t="shared" si="50"/>
        <v/>
      </c>
      <c r="BS13" s="471" t="str">
        <f t="shared" si="27"/>
        <v/>
      </c>
      <c r="BT13" s="472" t="str">
        <f t="shared" si="3"/>
        <v/>
      </c>
      <c r="BU13" s="472">
        <f t="shared" ca="1" si="28"/>
        <v>0</v>
      </c>
      <c r="BV13" s="472">
        <f t="shared" ca="1" si="28"/>
        <v>0</v>
      </c>
      <c r="BW13" s="472"/>
      <c r="BX13" s="473">
        <f t="shared" ca="1" si="29"/>
        <v>0</v>
      </c>
      <c r="BY13" s="473">
        <f t="shared" si="30"/>
        <v>0</v>
      </c>
      <c r="BZ13" s="473">
        <f t="shared" ca="1" si="4"/>
        <v>0</v>
      </c>
      <c r="CA13" s="476">
        <f t="shared" ca="1" si="31"/>
        <v>0</v>
      </c>
      <c r="CB13" s="494">
        <f ca="1">IF(OR($Q12&lt;&gt;1,OP!$D$5+$BN13-1&lt;16,$BN13-1&lt;1),0,ROUND(ROUND(ROUND(((VLOOKUP($BN13-1,MORE_PV,5,0)/10000)*VLOOKUP($BN13,MORE_PV,$CB$5,0)),3)*VLOOKUP($BN13,more1,5,0),0)/$R12,0))</f>
        <v>0</v>
      </c>
      <c r="CC13" s="473">
        <f t="shared" ca="1" si="32"/>
        <v>0</v>
      </c>
      <c r="CD13" s="477"/>
      <c r="CE13" s="468">
        <f t="shared" si="51"/>
        <v>1</v>
      </c>
      <c r="CF13" s="468">
        <f t="shared" si="52"/>
        <v>4</v>
      </c>
      <c r="CG13" s="467">
        <f t="shared" ca="1" si="5"/>
        <v>43010</v>
      </c>
      <c r="CH13" s="475">
        <f t="shared" ca="1" si="61"/>
        <v>33</v>
      </c>
      <c r="CI13" s="513" t="str">
        <f t="shared" si="53"/>
        <v/>
      </c>
      <c r="CJ13" s="511">
        <f t="shared" si="33"/>
        <v>0</v>
      </c>
      <c r="CK13" s="512">
        <f t="shared" si="34"/>
        <v>0</v>
      </c>
      <c r="CL13" s="511">
        <f t="shared" ca="1" si="54"/>
        <v>0</v>
      </c>
      <c r="CM13" s="511">
        <f ca="1">ROUND(CS13-IF(OR($CE13&gt;=OP!$C$24,AND(CH13=15,CF13=12),CS13=0),0,(CT13-CR13)),$CM$7)</f>
        <v>0</v>
      </c>
      <c r="CN13" s="511"/>
      <c r="CO13" s="351">
        <f t="shared" ca="1" si="35"/>
        <v>0</v>
      </c>
      <c r="CP13" s="473">
        <f t="shared" si="36"/>
        <v>0</v>
      </c>
      <c r="CQ13" s="473">
        <f t="shared" ca="1" si="6"/>
        <v>0</v>
      </c>
      <c r="CR13" s="476">
        <f t="shared" ca="1" si="37"/>
        <v>0</v>
      </c>
      <c r="CS13" s="494">
        <f ca="1">IF(OR($Q12&lt;&gt;1,OP!$D$5+$CE13-1&lt;16,$CE13-1&lt;1),0,ROUND(ROUND(ROUND(((VLOOKUP($CE13-1,MORE_PV,5,0)/10000)*VLOOKUP($CE13,MORE_PV,$CS$5,0)),3)*VLOOKUP($CE13,more1,5,0),0)/$R12,0))</f>
        <v>0</v>
      </c>
      <c r="CT13" s="473">
        <f>IF($AW13=1,IF(N($CR13+$CS13)&lt;N($AX13)*OP!$C$50,N($CR13+$CS13),MIN(N($CR13+$CS13),N($AX13))),0)</f>
        <v>0</v>
      </c>
      <c r="CV13" s="503">
        <f t="shared" ca="1" si="38"/>
        <v>0</v>
      </c>
      <c r="CW13" s="503">
        <f t="shared" ca="1" si="39"/>
        <v>0</v>
      </c>
      <c r="CX13" s="503">
        <f t="shared" ca="1" si="40"/>
        <v>0</v>
      </c>
    </row>
    <row r="14" spans="1:102" ht="16.5" hidden="1">
      <c r="A14" s="450">
        <f ca="1">OP!$D$5+$B14-1</f>
        <v>36</v>
      </c>
      <c r="B14" s="192">
        <v>4</v>
      </c>
      <c r="C14" s="219">
        <f ca="1">ROUND(VLOOKUP(OP!$C$55,PV0,B14+2,0)*OP!$C$28,0)</f>
        <v>641784</v>
      </c>
      <c r="D14" s="189">
        <f t="shared" ca="1" si="41"/>
        <v>641784</v>
      </c>
      <c r="E14" s="221">
        <f t="shared" ca="1" si="42"/>
        <v>2.69E-2</v>
      </c>
      <c r="F14" s="222">
        <f t="shared" ca="1" si="43"/>
        <v>6.8999999999999999E-3</v>
      </c>
      <c r="G14" s="223">
        <f t="shared" ca="1" si="55"/>
        <v>0</v>
      </c>
      <c r="H14" s="224">
        <f t="shared" ca="1" si="56"/>
        <v>4470</v>
      </c>
      <c r="I14" s="450">
        <f t="shared" ca="1" si="57"/>
        <v>1</v>
      </c>
      <c r="J14" s="192">
        <f t="shared" si="7"/>
        <v>1</v>
      </c>
      <c r="K14" s="192">
        <f t="shared" si="8"/>
        <v>6</v>
      </c>
      <c r="L14" s="192" t="str">
        <f t="shared" si="0"/>
        <v/>
      </c>
      <c r="M14" s="216">
        <f t="shared" ca="1" si="9"/>
        <v>0</v>
      </c>
      <c r="N14" s="216"/>
      <c r="O14" s="216"/>
      <c r="P14" s="216"/>
      <c r="Q14" s="456" t="str">
        <f t="shared" ca="1" si="10"/>
        <v/>
      </c>
      <c r="R14" s="450">
        <f t="shared" ca="1" si="11"/>
        <v>1</v>
      </c>
      <c r="S14" s="191">
        <f t="shared" si="12"/>
        <v>1</v>
      </c>
      <c r="T14" s="191">
        <f t="shared" si="13"/>
        <v>6</v>
      </c>
      <c r="U14" s="191">
        <f ca="1">OP!$D$5+$S14-1</f>
        <v>33</v>
      </c>
      <c r="V14" s="191" t="str">
        <f t="shared" si="14"/>
        <v/>
      </c>
      <c r="W14" s="350">
        <f ca="1">IF(Q14&lt;&gt;1,0,VLOOKUP(OP!$C$55,PVFB,$S14+2,0))</f>
        <v>0</v>
      </c>
      <c r="X14" s="473">
        <f t="shared" ca="1" si="44"/>
        <v>0</v>
      </c>
      <c r="Y14" s="348">
        <f t="shared" ca="1" si="45"/>
        <v>0</v>
      </c>
      <c r="Z14" s="348">
        <f t="shared" ca="1" si="46"/>
        <v>0</v>
      </c>
      <c r="AA14" s="348">
        <f ca="1">IF(Q14&lt;&gt;1,0,VLOOKUP(OP!$C$55,PVFB,$S14+2,0))</f>
        <v>0</v>
      </c>
      <c r="AB14" s="488" t="str">
        <f ca="1">IF(AND(S14&lt;OP!$C$24,$U14&lt;15),0,IF(AND($U14&lt;15,$T14=12),ROUND(VLOOKUP($S14,DOWN16,5,0),3),IF($T14=12,ROUND(($Z14/10000)*$AA14,3)+IF(AND($P$7="購買增額繳清保險",T14=12,U14=110),VLOOKUP(S14,$B$10:$H$121,7,0),0),"")))</f>
        <v/>
      </c>
      <c r="AC14" s="350" t="str">
        <f ca="1">IF(AND(S14&lt;OP!$C$24,$U14&lt;15),0,IF(AND($U14&lt;16,$T14=12),VLOOKUP($S14,DOWN16,4,0),IF($T14=12,ROUND(VLOOKUP(OP!$C$55,_DIE2,$S14+1,0)*(Z14/10000),0)+IF(AND($P$7="購買增額繳清保險",T14=12,U14=110),VLOOKUP(S14,$B$10:$H$121,7,0),0),"")))</f>
        <v/>
      </c>
      <c r="AD14" s="347"/>
      <c r="AE14" s="350" t="str">
        <f t="shared" ca="1" si="1"/>
        <v/>
      </c>
      <c r="AF14" s="351" t="str">
        <f t="shared" ca="1" si="2"/>
        <v/>
      </c>
      <c r="AG14" s="340"/>
      <c r="AH14" s="191">
        <v>4</v>
      </c>
      <c r="AI14" s="191">
        <f ca="1">OP!$D$5+計算!AH14-1</f>
        <v>36</v>
      </c>
      <c r="AJ14" s="354">
        <f t="shared" ca="1" si="58"/>
        <v>8940</v>
      </c>
      <c r="AK14" s="354">
        <f t="shared" ca="1" si="59"/>
        <v>19927</v>
      </c>
      <c r="AL14" s="354">
        <f t="shared" ref="AL14:AL25" ca="1" si="62">ROUND(VLOOKUP(AH14,MORE_16,2,0),10)</f>
        <v>10515</v>
      </c>
      <c r="AM14" s="340"/>
      <c r="AN14" s="191">
        <f t="shared" si="15"/>
        <v>1</v>
      </c>
      <c r="AO14" s="191">
        <f t="shared" si="16"/>
        <v>6</v>
      </c>
      <c r="AP14" s="191">
        <f ca="1">OP!$D$5+$AN14-1</f>
        <v>33</v>
      </c>
      <c r="AQ14" s="191" t="str">
        <f t="shared" si="17"/>
        <v/>
      </c>
      <c r="AR14" s="352">
        <f t="shared" ca="1" si="18"/>
        <v>0</v>
      </c>
      <c r="AS14" s="352"/>
      <c r="AT14" s="352"/>
      <c r="AU14" s="436"/>
      <c r="AV14" s="353" t="str">
        <f t="shared" ca="1" si="19"/>
        <v/>
      </c>
      <c r="AW14" s="422" t="str">
        <f t="shared" si="20"/>
        <v/>
      </c>
      <c r="AX14" s="423" t="str">
        <f ca="1">IF(AND($AW14=1,$AP14&lt;16,$AN13&lt;OP!$C$24),OP!$C$49,"")</f>
        <v/>
      </c>
      <c r="AY14" s="340"/>
      <c r="AZ14" s="465">
        <f t="shared" ca="1" si="21"/>
        <v>7.3698599999999999E-5</v>
      </c>
      <c r="BA14" s="464">
        <f t="shared" ca="1" si="22"/>
        <v>2.1372602999999999E-3</v>
      </c>
      <c r="BB14" s="465">
        <f t="shared" ca="1" si="22"/>
        <v>2.2109589000000002E-3</v>
      </c>
      <c r="BC14" s="466">
        <f t="shared" ca="1" si="23"/>
        <v>43040</v>
      </c>
      <c r="BD14" s="467">
        <f t="shared" ca="1" si="47"/>
        <v>43041</v>
      </c>
      <c r="BE14" s="467">
        <f t="shared" ca="1" si="24"/>
        <v>43069</v>
      </c>
      <c r="BF14" s="468">
        <f ca="1">IF(計算!$BC14&lt;OP!$C$3,0,BD14-BC14)</f>
        <v>1</v>
      </c>
      <c r="BG14" s="468">
        <f ca="1">IF($BE14&gt;DATE(YEAR($BD$9)+OP!$C$57,MONTH($BD$9),DAY($BD$9)),0,$BE14-$BD14+1)</f>
        <v>29</v>
      </c>
      <c r="BH14" s="469">
        <f t="shared" ca="1" si="25"/>
        <v>30</v>
      </c>
      <c r="BJ14">
        <v>5</v>
      </c>
      <c r="BK14" s="468">
        <v>6</v>
      </c>
      <c r="BL14" s="468">
        <v>9</v>
      </c>
      <c r="BM14" s="468">
        <v>9</v>
      </c>
      <c r="BN14" s="468">
        <f t="shared" si="48"/>
        <v>1</v>
      </c>
      <c r="BO14" s="468">
        <f t="shared" si="49"/>
        <v>5</v>
      </c>
      <c r="BP14" s="467">
        <f t="shared" ca="1" si="26"/>
        <v>43041</v>
      </c>
      <c r="BQ14" s="475">
        <f t="shared" ca="1" si="60"/>
        <v>33</v>
      </c>
      <c r="BR14" s="475" t="str">
        <f t="shared" si="50"/>
        <v/>
      </c>
      <c r="BS14" s="471" t="str">
        <f t="shared" si="27"/>
        <v/>
      </c>
      <c r="BT14" s="472" t="str">
        <f t="shared" si="3"/>
        <v/>
      </c>
      <c r="BU14" s="472">
        <f t="shared" ca="1" si="28"/>
        <v>0</v>
      </c>
      <c r="BV14" s="472">
        <f t="shared" ca="1" si="28"/>
        <v>0</v>
      </c>
      <c r="BW14" s="472"/>
      <c r="BX14" s="473">
        <f t="shared" ca="1" si="29"/>
        <v>0</v>
      </c>
      <c r="BY14" s="473">
        <f t="shared" si="30"/>
        <v>0</v>
      </c>
      <c r="BZ14" s="473">
        <f t="shared" ca="1" si="4"/>
        <v>0</v>
      </c>
      <c r="CA14" s="476">
        <f t="shared" ca="1" si="31"/>
        <v>0</v>
      </c>
      <c r="CB14" s="494">
        <f ca="1">IF(OR($Q13&lt;&gt;1,OP!$D$5+$BN14-1&lt;16,$BN14-1&lt;1),0,ROUND(ROUND(ROUND(((VLOOKUP($BN14-1,MORE_PV,5,0)/10000)*VLOOKUP($BN14,MORE_PV,$CB$5,0)),3)*VLOOKUP($BN14,more1,5,0),0)/$R13,0))</f>
        <v>0</v>
      </c>
      <c r="CC14" s="473">
        <f t="shared" ca="1" si="32"/>
        <v>0</v>
      </c>
      <c r="CD14" s="477"/>
      <c r="CE14" s="468">
        <f t="shared" si="51"/>
        <v>1</v>
      </c>
      <c r="CF14" s="468">
        <f t="shared" si="52"/>
        <v>5</v>
      </c>
      <c r="CG14" s="467">
        <f t="shared" ca="1" si="5"/>
        <v>43041</v>
      </c>
      <c r="CH14" s="475">
        <f t="shared" ca="1" si="61"/>
        <v>33</v>
      </c>
      <c r="CI14" s="513" t="str">
        <f t="shared" si="53"/>
        <v/>
      </c>
      <c r="CJ14" s="511">
        <f t="shared" si="33"/>
        <v>0</v>
      </c>
      <c r="CK14" s="512">
        <f t="shared" si="34"/>
        <v>0</v>
      </c>
      <c r="CL14" s="511">
        <f t="shared" ca="1" si="54"/>
        <v>0</v>
      </c>
      <c r="CM14" s="511">
        <f ca="1">ROUND(CS14-IF(OR($CE14&gt;=OP!$C$24,AND(CH14=15,CF14=12),CS14=0),0,(CT14-CR14)),$CM$7)</f>
        <v>0</v>
      </c>
      <c r="CN14" s="511"/>
      <c r="CO14" s="351">
        <f t="shared" ca="1" si="35"/>
        <v>0</v>
      </c>
      <c r="CP14" s="473">
        <f t="shared" si="36"/>
        <v>0</v>
      </c>
      <c r="CQ14" s="473">
        <f t="shared" ca="1" si="6"/>
        <v>0</v>
      </c>
      <c r="CR14" s="476">
        <f t="shared" ca="1" si="37"/>
        <v>0</v>
      </c>
      <c r="CS14" s="494">
        <f ca="1">IF(OR($Q13&lt;&gt;1,OP!$D$5+$CE14-1&lt;16,$CE14-1&lt;1),0,ROUND(ROUND(ROUND(((VLOOKUP($CE14-1,MORE_PV,5,0)/10000)*VLOOKUP($CE14,MORE_PV,$CS$5,0)),3)*VLOOKUP($CE14,more1,5,0),0)/$R13,0))</f>
        <v>0</v>
      </c>
      <c r="CT14" s="473">
        <f>IF($AW14=1,IF(N($CR14+$CS14)&lt;N($AX14)*OP!$C$50,N($CR14+$CS14),MIN(N($CR14+$CS14),N($AX14))),0)</f>
        <v>0</v>
      </c>
      <c r="CV14" s="503">
        <f t="shared" ca="1" si="38"/>
        <v>0</v>
      </c>
      <c r="CW14" s="503">
        <f t="shared" ca="1" si="39"/>
        <v>0</v>
      </c>
      <c r="CX14" s="503">
        <f t="shared" ca="1" si="40"/>
        <v>0</v>
      </c>
    </row>
    <row r="15" spans="1:102" ht="16.5" hidden="1">
      <c r="A15" s="450">
        <f ca="1">OP!$D$5+$B15-1</f>
        <v>37</v>
      </c>
      <c r="B15" s="192">
        <v>5</v>
      </c>
      <c r="C15" s="219">
        <f ca="1">ROUND(VLOOKUP(OP!$C$55,PV0,B15+2,0)*OP!$C$28,0)</f>
        <v>827798</v>
      </c>
      <c r="D15" s="189">
        <f t="shared" ca="1" si="41"/>
        <v>827798</v>
      </c>
      <c r="E15" s="221">
        <f t="shared" ca="1" si="42"/>
        <v>2.69E-2</v>
      </c>
      <c r="F15" s="222">
        <f t="shared" ca="1" si="43"/>
        <v>6.8999999999999999E-3</v>
      </c>
      <c r="G15" s="223">
        <f t="shared" ca="1" si="55"/>
        <v>0</v>
      </c>
      <c r="H15" s="224">
        <f t="shared" ca="1" si="56"/>
        <v>5786</v>
      </c>
      <c r="I15" s="450">
        <f t="shared" ca="1" si="57"/>
        <v>1</v>
      </c>
      <c r="J15" s="192">
        <f t="shared" si="7"/>
        <v>1</v>
      </c>
      <c r="K15" s="192">
        <f t="shared" si="8"/>
        <v>7</v>
      </c>
      <c r="L15" s="192" t="str">
        <f t="shared" si="0"/>
        <v/>
      </c>
      <c r="M15" s="216">
        <f t="shared" ca="1" si="9"/>
        <v>0</v>
      </c>
      <c r="N15" s="216"/>
      <c r="O15" s="216"/>
      <c r="P15" s="216"/>
      <c r="Q15" s="456" t="str">
        <f t="shared" ca="1" si="10"/>
        <v/>
      </c>
      <c r="R15" s="450">
        <f t="shared" ca="1" si="11"/>
        <v>1</v>
      </c>
      <c r="S15" s="191">
        <f t="shared" si="12"/>
        <v>1</v>
      </c>
      <c r="T15" s="191">
        <f t="shared" si="13"/>
        <v>7</v>
      </c>
      <c r="U15" s="191">
        <f ca="1">OP!$D$5+$S15-1</f>
        <v>33</v>
      </c>
      <c r="V15" s="191" t="str">
        <f t="shared" si="14"/>
        <v/>
      </c>
      <c r="W15" s="350">
        <f ca="1">IF(Q15&lt;&gt;1,0,VLOOKUP(OP!$C$55,PVFB,$S15+2,0))</f>
        <v>0</v>
      </c>
      <c r="X15" s="473">
        <f t="shared" ca="1" si="44"/>
        <v>0</v>
      </c>
      <c r="Y15" s="348">
        <f t="shared" ca="1" si="45"/>
        <v>0</v>
      </c>
      <c r="Z15" s="348">
        <f t="shared" ca="1" si="46"/>
        <v>0</v>
      </c>
      <c r="AA15" s="348">
        <f ca="1">IF(Q15&lt;&gt;1,0,VLOOKUP(OP!$C$55,PVFB,$S15+2,0))</f>
        <v>0</v>
      </c>
      <c r="AB15" s="488" t="str">
        <f ca="1">IF(AND(S15&lt;OP!$C$24,$U15&lt;15),0,IF(AND($U15&lt;15,$T15=12),ROUND(VLOOKUP($S15,DOWN16,5,0),3),IF($T15=12,ROUND(($Z15/10000)*$AA15,3)+IF(AND($P$7="購買增額繳清保險",T15=12,U15=110),VLOOKUP(S15,$B$10:$H$121,7,0),0),"")))</f>
        <v/>
      </c>
      <c r="AC15" s="350" t="str">
        <f ca="1">IF(AND(S15&lt;OP!$C$24,$U15&lt;15),0,IF(AND($U15&lt;16,$T15=12),VLOOKUP($S15,DOWN16,4,0),IF($T15=12,ROUND(VLOOKUP(OP!$C$55,_DIE2,$S15+1,0)*(Z15/10000),0)+IF(AND($P$7="購買增額繳清保險",T15=12,U15=110),VLOOKUP(S15,$B$10:$H$121,7,0),0),"")))</f>
        <v/>
      </c>
      <c r="AD15" s="347"/>
      <c r="AE15" s="350" t="str">
        <f t="shared" ca="1" si="1"/>
        <v/>
      </c>
      <c r="AF15" s="351" t="str">
        <f t="shared" ca="1" si="2"/>
        <v/>
      </c>
      <c r="AG15" s="340"/>
      <c r="AH15" s="191">
        <v>5</v>
      </c>
      <c r="AI15" s="191">
        <f ca="1">OP!$D$5+計算!AH15-1</f>
        <v>37</v>
      </c>
      <c r="AJ15" s="354">
        <f t="shared" ca="1" si="58"/>
        <v>11572</v>
      </c>
      <c r="AK15" s="424">
        <f t="shared" ca="1" si="59"/>
        <v>31499</v>
      </c>
      <c r="AL15" s="424">
        <f t="shared" ca="1" si="62"/>
        <v>16514</v>
      </c>
      <c r="AM15" s="340"/>
      <c r="AN15" s="191">
        <f t="shared" si="15"/>
        <v>1</v>
      </c>
      <c r="AO15" s="191">
        <f t="shared" si="16"/>
        <v>7</v>
      </c>
      <c r="AP15" s="191">
        <f ca="1">OP!$D$5+$AN15-1</f>
        <v>33</v>
      </c>
      <c r="AQ15" s="191" t="str">
        <f t="shared" si="17"/>
        <v/>
      </c>
      <c r="AR15" s="352">
        <f t="shared" ca="1" si="18"/>
        <v>0</v>
      </c>
      <c r="AS15" s="352"/>
      <c r="AT15" s="352"/>
      <c r="AU15" s="436"/>
      <c r="AV15" s="353" t="str">
        <f t="shared" ca="1" si="19"/>
        <v/>
      </c>
      <c r="AW15" s="422" t="str">
        <f t="shared" si="20"/>
        <v/>
      </c>
      <c r="AX15" s="423" t="str">
        <f ca="1">IF(AND($AW15=1,$AP15&lt;16,$AN14&lt;OP!$C$24),OP!$C$49,"")</f>
        <v/>
      </c>
      <c r="AY15" s="340"/>
      <c r="AZ15" s="465">
        <f t="shared" ca="1" si="21"/>
        <v>7.3698599999999999E-5</v>
      </c>
      <c r="BA15" s="464">
        <f t="shared" ca="1" si="22"/>
        <v>2.2109589000000002E-3</v>
      </c>
      <c r="BB15" s="465">
        <f t="shared" ca="1" si="22"/>
        <v>2.2846575E-3</v>
      </c>
      <c r="BC15" s="466">
        <f t="shared" ca="1" si="23"/>
        <v>43070</v>
      </c>
      <c r="BD15" s="467">
        <f t="shared" ca="1" si="47"/>
        <v>43071</v>
      </c>
      <c r="BE15" s="467">
        <f t="shared" ca="1" si="24"/>
        <v>43100</v>
      </c>
      <c r="BF15" s="468">
        <f ca="1">IF(計算!$BC15&lt;OP!$C$3,0,BD15-BC15)</f>
        <v>1</v>
      </c>
      <c r="BG15" s="468">
        <f ca="1">IF($BE15&gt;DATE(YEAR($BD$9)+OP!$C$57,MONTH($BD$9),DAY($BD$9)),0,$BE15-$BD15+1)</f>
        <v>30</v>
      </c>
      <c r="BH15" s="469">
        <f t="shared" ca="1" si="25"/>
        <v>31</v>
      </c>
      <c r="BJ15">
        <v>6</v>
      </c>
      <c r="BK15" s="468">
        <v>7</v>
      </c>
      <c r="BL15" s="468">
        <v>8</v>
      </c>
      <c r="BM15" s="468">
        <v>8</v>
      </c>
      <c r="BN15" s="468">
        <f t="shared" si="48"/>
        <v>1</v>
      </c>
      <c r="BO15" s="468">
        <f t="shared" si="49"/>
        <v>6</v>
      </c>
      <c r="BP15" s="467">
        <f t="shared" ca="1" si="26"/>
        <v>43071</v>
      </c>
      <c r="BQ15" s="475">
        <f t="shared" ca="1" si="60"/>
        <v>33</v>
      </c>
      <c r="BR15" s="475" t="str">
        <f t="shared" si="50"/>
        <v/>
      </c>
      <c r="BS15" s="471" t="str">
        <f t="shared" si="27"/>
        <v/>
      </c>
      <c r="BT15" s="472" t="str">
        <f t="shared" si="3"/>
        <v/>
      </c>
      <c r="BU15" s="472">
        <f t="shared" ca="1" si="28"/>
        <v>0</v>
      </c>
      <c r="BV15" s="472">
        <f t="shared" ca="1" si="28"/>
        <v>0</v>
      </c>
      <c r="BW15" s="472"/>
      <c r="BX15" s="473">
        <f t="shared" ca="1" si="29"/>
        <v>0</v>
      </c>
      <c r="BY15" s="473">
        <f t="shared" si="30"/>
        <v>0</v>
      </c>
      <c r="BZ15" s="473">
        <f t="shared" ca="1" si="4"/>
        <v>0</v>
      </c>
      <c r="CA15" s="476">
        <f t="shared" ca="1" si="31"/>
        <v>0</v>
      </c>
      <c r="CB15" s="494">
        <f ca="1">IF(OR($Q14&lt;&gt;1,OP!$D$5+$BN15-1&lt;16,$BN15-1&lt;1),0,ROUND(ROUND(ROUND(((VLOOKUP($BN15-1,MORE_PV,5,0)/10000)*VLOOKUP($BN15,MORE_PV,$CB$5,0)),3)*VLOOKUP($BN15,more1,5,0),0)/$R14,0))</f>
        <v>0</v>
      </c>
      <c r="CC15" s="473">
        <f t="shared" ca="1" si="32"/>
        <v>0</v>
      </c>
      <c r="CD15" s="477"/>
      <c r="CE15" s="468">
        <f t="shared" si="51"/>
        <v>1</v>
      </c>
      <c r="CF15" s="468">
        <f t="shared" si="52"/>
        <v>6</v>
      </c>
      <c r="CG15" s="467">
        <f t="shared" ca="1" si="5"/>
        <v>43071</v>
      </c>
      <c r="CH15" s="475">
        <f t="shared" ca="1" si="61"/>
        <v>33</v>
      </c>
      <c r="CI15" s="513" t="str">
        <f t="shared" si="53"/>
        <v/>
      </c>
      <c r="CJ15" s="511">
        <f t="shared" si="33"/>
        <v>0</v>
      </c>
      <c r="CK15" s="512">
        <f t="shared" si="34"/>
        <v>0</v>
      </c>
      <c r="CL15" s="511">
        <f t="shared" ca="1" si="54"/>
        <v>0</v>
      </c>
      <c r="CM15" s="511">
        <f ca="1">ROUND(CS15-IF(OR($CE15&gt;=OP!$C$24,AND(CH15=15,CF15=12),CS15=0),0,(CT15-CR15)),$CM$7)</f>
        <v>0</v>
      </c>
      <c r="CN15" s="511"/>
      <c r="CO15" s="351">
        <f t="shared" ca="1" si="35"/>
        <v>0</v>
      </c>
      <c r="CP15" s="473">
        <f t="shared" si="36"/>
        <v>0</v>
      </c>
      <c r="CQ15" s="473">
        <f t="shared" ca="1" si="6"/>
        <v>0</v>
      </c>
      <c r="CR15" s="476">
        <f t="shared" ca="1" si="37"/>
        <v>0</v>
      </c>
      <c r="CS15" s="494">
        <f ca="1">IF(OR($Q14&lt;&gt;1,OP!$D$5+$CE15-1&lt;16,$CE15-1&lt;1),0,ROUND(ROUND(ROUND(((VLOOKUP($CE15-1,MORE_PV,5,0)/10000)*VLOOKUP($CE15,MORE_PV,$CS$5,0)),3)*VLOOKUP($CE15,more1,5,0),0)/$R14,0))</f>
        <v>0</v>
      </c>
      <c r="CT15" s="473">
        <f>IF($AW15=1,IF(N($CR15+$CS15)&lt;N($AX15)*OP!$C$50,N($CR15+$CS15),MIN(N($CR15+$CS15),N($AX15))),0)</f>
        <v>0</v>
      </c>
      <c r="CV15" s="503">
        <f t="shared" ca="1" si="38"/>
        <v>0</v>
      </c>
      <c r="CW15" s="503">
        <f t="shared" ca="1" si="39"/>
        <v>0</v>
      </c>
      <c r="CX15" s="503">
        <f t="shared" ca="1" si="40"/>
        <v>0</v>
      </c>
    </row>
    <row r="16" spans="1:102" ht="16.5" hidden="1">
      <c r="A16" s="450">
        <f ca="1">OP!$D$5+$B16-1</f>
        <v>38</v>
      </c>
      <c r="B16" s="192">
        <v>6</v>
      </c>
      <c r="C16" s="219">
        <f ca="1">ROUND(VLOOKUP(OP!$C$55,PV0,B16+2,0)*OP!$C$28,0)</f>
        <v>1017484</v>
      </c>
      <c r="D16" s="189">
        <f t="shared" ca="1" si="41"/>
        <v>1017484</v>
      </c>
      <c r="E16" s="221">
        <f t="shared" ca="1" si="42"/>
        <v>2.69E-2</v>
      </c>
      <c r="F16" s="222">
        <f t="shared" ca="1" si="43"/>
        <v>6.8999999999999999E-3</v>
      </c>
      <c r="G16" s="223">
        <f t="shared" ca="1" si="55"/>
        <v>0</v>
      </c>
      <c r="H16" s="224">
        <f t="shared" ca="1" si="56"/>
        <v>7137</v>
      </c>
      <c r="I16" s="450">
        <f t="shared" ca="1" si="57"/>
        <v>1</v>
      </c>
      <c r="J16" s="192">
        <f t="shared" si="7"/>
        <v>1</v>
      </c>
      <c r="K16" s="192">
        <f t="shared" si="8"/>
        <v>8</v>
      </c>
      <c r="L16" s="192" t="str">
        <f t="shared" si="0"/>
        <v/>
      </c>
      <c r="M16" s="216">
        <f t="shared" ca="1" si="9"/>
        <v>0</v>
      </c>
      <c r="N16" s="216"/>
      <c r="O16" s="216"/>
      <c r="P16" s="216"/>
      <c r="Q16" s="456" t="str">
        <f t="shared" ca="1" si="10"/>
        <v/>
      </c>
      <c r="R16" s="450">
        <f t="shared" ca="1" si="11"/>
        <v>1</v>
      </c>
      <c r="S16" s="191">
        <f t="shared" si="12"/>
        <v>1</v>
      </c>
      <c r="T16" s="191">
        <f t="shared" si="13"/>
        <v>8</v>
      </c>
      <c r="U16" s="191">
        <f ca="1">OP!$D$5+$S16-1</f>
        <v>33</v>
      </c>
      <c r="V16" s="191" t="str">
        <f t="shared" si="14"/>
        <v/>
      </c>
      <c r="W16" s="350">
        <f ca="1">IF(Q16&lt;&gt;1,0,VLOOKUP(OP!$C$55,PVFB,$S16+2,0))</f>
        <v>0</v>
      </c>
      <c r="X16" s="473">
        <f t="shared" ca="1" si="44"/>
        <v>0</v>
      </c>
      <c r="Y16" s="348">
        <f t="shared" ca="1" si="45"/>
        <v>0</v>
      </c>
      <c r="Z16" s="348">
        <f t="shared" ca="1" si="46"/>
        <v>0</v>
      </c>
      <c r="AA16" s="348">
        <f ca="1">IF(Q16&lt;&gt;1,0,VLOOKUP(OP!$C$55,PVFB,$S16+2,0))</f>
        <v>0</v>
      </c>
      <c r="AB16" s="488" t="str">
        <f ca="1">IF(AND(S16&lt;OP!$C$24,$U16&lt;15),0,IF(AND($U16&lt;15,$T16=12),ROUND(VLOOKUP($S16,DOWN16,5,0),3),IF($T16=12,ROUND(($Z16/10000)*$AA16,3)+IF(AND($P$7="購買增額繳清保險",T16=12,U16=110),VLOOKUP(S16,$B$10:$H$121,7,0),0),"")))</f>
        <v/>
      </c>
      <c r="AC16" s="350" t="str">
        <f ca="1">IF(AND(S16&lt;OP!$C$24,$U16&lt;15),0,IF(AND($U16&lt;16,$T16=12),VLOOKUP($S16,DOWN16,4,0),IF($T16=12,ROUND(VLOOKUP(OP!$C$55,_DIE2,$S16+1,0)*(Z16/10000),0)+IF(AND($P$7="購買增額繳清保險",T16=12,U16=110),VLOOKUP(S16,$B$10:$H$121,7,0),0),"")))</f>
        <v/>
      </c>
      <c r="AD16" s="347"/>
      <c r="AE16" s="350" t="str">
        <f t="shared" ca="1" si="1"/>
        <v/>
      </c>
      <c r="AF16" s="351" t="str">
        <f t="shared" ca="1" si="2"/>
        <v/>
      </c>
      <c r="AG16" s="340"/>
      <c r="AH16" s="191">
        <v>6</v>
      </c>
      <c r="AI16" s="191">
        <f ca="1">OP!$D$5+計算!AH16-1</f>
        <v>38</v>
      </c>
      <c r="AJ16" s="354">
        <f t="shared" ca="1" si="58"/>
        <v>7253</v>
      </c>
      <c r="AK16" s="424">
        <f t="shared" ca="1" si="59"/>
        <v>38752</v>
      </c>
      <c r="AL16" s="424">
        <f t="shared" ca="1" si="62"/>
        <v>23985</v>
      </c>
      <c r="AM16" s="340"/>
      <c r="AN16" s="191">
        <f t="shared" si="15"/>
        <v>1</v>
      </c>
      <c r="AO16" s="191">
        <f t="shared" si="16"/>
        <v>8</v>
      </c>
      <c r="AP16" s="191">
        <f ca="1">OP!$D$5+$AN16-1</f>
        <v>33</v>
      </c>
      <c r="AQ16" s="191" t="str">
        <f t="shared" si="17"/>
        <v/>
      </c>
      <c r="AR16" s="352">
        <f t="shared" ca="1" si="18"/>
        <v>0</v>
      </c>
      <c r="AS16" s="352"/>
      <c r="AT16" s="352"/>
      <c r="AU16" s="436"/>
      <c r="AV16" s="353" t="str">
        <f t="shared" ca="1" si="19"/>
        <v/>
      </c>
      <c r="AW16" s="422" t="str">
        <f t="shared" si="20"/>
        <v/>
      </c>
      <c r="AX16" s="423" t="str">
        <f ca="1">IF(AND($AW16=1,$AP16&lt;16,$AN15&lt;OP!$C$24),OP!$C$49,"")</f>
        <v/>
      </c>
      <c r="AY16" s="340"/>
      <c r="AZ16" s="465">
        <f t="shared" ca="1" si="21"/>
        <v>7.3698599999999999E-5</v>
      </c>
      <c r="BA16" s="464">
        <f t="shared" ca="1" si="22"/>
        <v>2.2109589000000002E-3</v>
      </c>
      <c r="BB16" s="465">
        <f t="shared" ca="1" si="22"/>
        <v>2.2846575E-3</v>
      </c>
      <c r="BC16" s="466">
        <f t="shared" ca="1" si="23"/>
        <v>43101</v>
      </c>
      <c r="BD16" s="467">
        <f t="shared" ca="1" si="47"/>
        <v>43102</v>
      </c>
      <c r="BE16" s="467">
        <f t="shared" ca="1" si="24"/>
        <v>43131</v>
      </c>
      <c r="BF16" s="468">
        <f ca="1">IF(計算!$BC16&lt;OP!$C$3,0,BD16-BC16)</f>
        <v>1</v>
      </c>
      <c r="BG16" s="468">
        <f ca="1">IF($BE16&gt;DATE(YEAR($BD$9)+OP!$C$57,MONTH($BD$9),DAY($BD$9)),0,$BE16-$BD16+1)</f>
        <v>30</v>
      </c>
      <c r="BH16" s="469">
        <f t="shared" ca="1" si="25"/>
        <v>31</v>
      </c>
      <c r="BJ16">
        <v>7</v>
      </c>
      <c r="BK16" s="468">
        <v>8</v>
      </c>
      <c r="BL16" s="468">
        <v>7</v>
      </c>
      <c r="BM16" s="468">
        <v>7</v>
      </c>
      <c r="BN16" s="468">
        <f t="shared" si="48"/>
        <v>1</v>
      </c>
      <c r="BO16" s="468">
        <f t="shared" si="49"/>
        <v>7</v>
      </c>
      <c r="BP16" s="467">
        <f t="shared" ca="1" si="26"/>
        <v>43102</v>
      </c>
      <c r="BQ16" s="475">
        <f t="shared" ca="1" si="60"/>
        <v>33</v>
      </c>
      <c r="BR16" s="475" t="str">
        <f t="shared" si="50"/>
        <v/>
      </c>
      <c r="BS16" s="471" t="str">
        <f t="shared" si="27"/>
        <v/>
      </c>
      <c r="BT16" s="472" t="str">
        <f t="shared" si="3"/>
        <v/>
      </c>
      <c r="BU16" s="472">
        <f t="shared" ca="1" si="28"/>
        <v>0</v>
      </c>
      <c r="BV16" s="472">
        <f t="shared" ca="1" si="28"/>
        <v>0</v>
      </c>
      <c r="BW16" s="472"/>
      <c r="BX16" s="473">
        <f t="shared" ca="1" si="29"/>
        <v>0</v>
      </c>
      <c r="BY16" s="473">
        <f t="shared" si="30"/>
        <v>0</v>
      </c>
      <c r="BZ16" s="473">
        <f t="shared" ca="1" si="4"/>
        <v>0</v>
      </c>
      <c r="CA16" s="476">
        <f t="shared" ca="1" si="31"/>
        <v>0</v>
      </c>
      <c r="CB16" s="494">
        <f ca="1">IF(OR($Q15&lt;&gt;1,OP!$D$5+$BN16-1&lt;16,$BN16-1&lt;1),0,ROUND(ROUND(ROUND(((VLOOKUP($BN16-1,MORE_PV,5,0)/10000)*VLOOKUP($BN16,MORE_PV,$CB$5,0)),3)*VLOOKUP($BN16,more1,5,0),0)/$R15,0))</f>
        <v>0</v>
      </c>
      <c r="CC16" s="473">
        <f t="shared" ca="1" si="32"/>
        <v>0</v>
      </c>
      <c r="CD16" s="477"/>
      <c r="CE16" s="468">
        <f t="shared" si="51"/>
        <v>1</v>
      </c>
      <c r="CF16" s="468">
        <f t="shared" si="52"/>
        <v>7</v>
      </c>
      <c r="CG16" s="467">
        <f t="shared" ca="1" si="5"/>
        <v>43102</v>
      </c>
      <c r="CH16" s="475">
        <f t="shared" ca="1" si="61"/>
        <v>33</v>
      </c>
      <c r="CI16" s="513" t="str">
        <f t="shared" si="53"/>
        <v/>
      </c>
      <c r="CJ16" s="511">
        <f t="shared" si="33"/>
        <v>0</v>
      </c>
      <c r="CK16" s="512">
        <f t="shared" si="34"/>
        <v>0</v>
      </c>
      <c r="CL16" s="511">
        <f t="shared" ca="1" si="54"/>
        <v>0</v>
      </c>
      <c r="CM16" s="511">
        <f ca="1">ROUND(CS16-IF(OR($CE16&gt;=OP!$C$24,AND(CH16=15,CF16=12),CS16=0),0,(CT16-CR16)),$CM$7)</f>
        <v>0</v>
      </c>
      <c r="CN16" s="511"/>
      <c r="CO16" s="351">
        <f t="shared" ca="1" si="35"/>
        <v>0</v>
      </c>
      <c r="CP16" s="473">
        <f t="shared" si="36"/>
        <v>0</v>
      </c>
      <c r="CQ16" s="473">
        <f t="shared" ca="1" si="6"/>
        <v>0</v>
      </c>
      <c r="CR16" s="476">
        <f t="shared" ca="1" si="37"/>
        <v>0</v>
      </c>
      <c r="CS16" s="494">
        <f ca="1">IF(OR($Q15&lt;&gt;1,OP!$D$5+$CE16-1&lt;16,$CE16-1&lt;1),0,ROUND(ROUND(ROUND(((VLOOKUP($CE16-1,MORE_PV,5,0)/10000)*VLOOKUP($CE16,MORE_PV,$CS$5,0)),3)*VLOOKUP($CE16,more1,5,0),0)/$R15,0))</f>
        <v>0</v>
      </c>
      <c r="CT16" s="473">
        <f>IF($AW16=1,IF(N($CR16+$CS16)&lt;N($AX16)*OP!$C$50,N($CR16+$CS16),MIN(N($CR16+$CS16),N($AX16))),0)</f>
        <v>0</v>
      </c>
      <c r="CV16" s="503">
        <f t="shared" ca="1" si="38"/>
        <v>0</v>
      </c>
      <c r="CW16" s="503">
        <f t="shared" ca="1" si="39"/>
        <v>0</v>
      </c>
      <c r="CX16" s="503">
        <f t="shared" ca="1" si="40"/>
        <v>0</v>
      </c>
    </row>
    <row r="17" spans="1:102" ht="16.5" hidden="1">
      <c r="A17" s="450">
        <f ca="1">OP!$D$5+$B17-1</f>
        <v>39</v>
      </c>
      <c r="B17" s="192">
        <v>7</v>
      </c>
      <c r="C17" s="219">
        <f ca="1">ROUND(VLOOKUP(OP!$C$55,PV0,B17+2,0)*OP!$C$28,0)</f>
        <v>1037748</v>
      </c>
      <c r="D17" s="189">
        <f t="shared" ca="1" si="41"/>
        <v>1037748</v>
      </c>
      <c r="E17" s="221">
        <f t="shared" ca="1" si="42"/>
        <v>2.69E-2</v>
      </c>
      <c r="F17" s="222">
        <f t="shared" ca="1" si="43"/>
        <v>6.8999999999999999E-3</v>
      </c>
      <c r="G17" s="223">
        <f t="shared" ca="1" si="55"/>
        <v>7329</v>
      </c>
      <c r="H17" s="224">
        <f t="shared" ca="1" si="56"/>
        <v>7329</v>
      </c>
      <c r="I17" s="450">
        <f t="shared" ca="1" si="57"/>
        <v>1</v>
      </c>
      <c r="J17" s="192">
        <f t="shared" si="7"/>
        <v>1</v>
      </c>
      <c r="K17" s="192">
        <f t="shared" si="8"/>
        <v>9</v>
      </c>
      <c r="L17" s="192" t="str">
        <f t="shared" si="0"/>
        <v/>
      </c>
      <c r="M17" s="216">
        <f t="shared" ca="1" si="9"/>
        <v>0</v>
      </c>
      <c r="N17" s="216"/>
      <c r="O17" s="216"/>
      <c r="P17" s="216"/>
      <c r="Q17" s="456" t="str">
        <f t="shared" ca="1" si="10"/>
        <v/>
      </c>
      <c r="R17" s="450">
        <f t="shared" ca="1" si="11"/>
        <v>1</v>
      </c>
      <c r="S17" s="191">
        <f t="shared" si="12"/>
        <v>1</v>
      </c>
      <c r="T17" s="191">
        <f t="shared" si="13"/>
        <v>9</v>
      </c>
      <c r="U17" s="191">
        <f ca="1">OP!$D$5+$S17-1</f>
        <v>33</v>
      </c>
      <c r="V17" s="191" t="str">
        <f t="shared" si="14"/>
        <v/>
      </c>
      <c r="W17" s="350">
        <f ca="1">IF(Q17&lt;&gt;1,0,VLOOKUP(OP!$C$55,PVFB,$S17+2,0))</f>
        <v>0</v>
      </c>
      <c r="X17" s="473">
        <f t="shared" ca="1" si="44"/>
        <v>0</v>
      </c>
      <c r="Y17" s="348">
        <f t="shared" ca="1" si="45"/>
        <v>0</v>
      </c>
      <c r="Z17" s="348">
        <f t="shared" ca="1" si="46"/>
        <v>0</v>
      </c>
      <c r="AA17" s="348">
        <f ca="1">IF(Q17&lt;&gt;1,0,VLOOKUP(OP!$C$55,PVFB,$S17+2,0))</f>
        <v>0</v>
      </c>
      <c r="AB17" s="488" t="str">
        <f ca="1">IF(AND(S17&lt;OP!$C$24,$U17&lt;15),0,IF(AND($U17&lt;15,$T17=12),ROUND(VLOOKUP($S17,DOWN16,5,0),3),IF($T17=12,ROUND(($Z17/10000)*$AA17,3)+IF(AND($P$7="購買增額繳清保險",T17=12,U17=110),VLOOKUP(S17,$B$10:$H$121,7,0),0),"")))</f>
        <v/>
      </c>
      <c r="AC17" s="350" t="str">
        <f ca="1">IF(AND(S17&lt;OP!$C$24,$U17&lt;15),0,IF(AND($U17&lt;16,$T17=12),VLOOKUP($S17,DOWN16,4,0),IF($T17=12,ROUND(VLOOKUP(OP!$C$55,_DIE2,$S17+1,0)*(Z17/10000),0)+IF(AND($P$7="購買增額繳清保險",T17=12,U17=110),VLOOKUP(S17,$B$10:$H$121,7,0),0),"")))</f>
        <v/>
      </c>
      <c r="AD17" s="347"/>
      <c r="AE17" s="350" t="str">
        <f t="shared" ca="1" si="1"/>
        <v/>
      </c>
      <c r="AF17" s="351" t="str">
        <f t="shared" ca="1" si="2"/>
        <v/>
      </c>
      <c r="AG17" s="340"/>
      <c r="AH17" s="191">
        <v>7</v>
      </c>
      <c r="AI17" s="191">
        <f ca="1">OP!$D$5+計算!AH17-1</f>
        <v>39</v>
      </c>
      <c r="AJ17" s="354">
        <f t="shared" ca="1" si="58"/>
        <v>0</v>
      </c>
      <c r="AK17" s="354">
        <f t="shared" ca="1" si="59"/>
        <v>38752</v>
      </c>
      <c r="AL17" s="354">
        <f t="shared" ca="1" si="62"/>
        <v>31800</v>
      </c>
      <c r="AM17" s="340"/>
      <c r="AN17" s="191">
        <f t="shared" si="15"/>
        <v>1</v>
      </c>
      <c r="AO17" s="191">
        <f t="shared" si="16"/>
        <v>9</v>
      </c>
      <c r="AP17" s="191">
        <f ca="1">OP!$D$5+$AN17-1</f>
        <v>33</v>
      </c>
      <c r="AQ17" s="191" t="str">
        <f t="shared" si="17"/>
        <v/>
      </c>
      <c r="AR17" s="352">
        <f t="shared" ca="1" si="18"/>
        <v>0</v>
      </c>
      <c r="AS17" s="352"/>
      <c r="AT17" s="352"/>
      <c r="AU17" s="436"/>
      <c r="AV17" s="353" t="str">
        <f t="shared" ca="1" si="19"/>
        <v/>
      </c>
      <c r="AW17" s="422" t="str">
        <f t="shared" si="20"/>
        <v/>
      </c>
      <c r="AX17" s="423" t="str">
        <f ca="1">IF(AND($AW17=1,$AP17&lt;16,$AN16&lt;OP!$C$24),OP!$C$49,"")</f>
        <v/>
      </c>
      <c r="AY17" s="340"/>
      <c r="AZ17" s="465">
        <f t="shared" ca="1" si="21"/>
        <v>7.3698599999999999E-5</v>
      </c>
      <c r="BA17" s="464">
        <f t="shared" ca="1" si="22"/>
        <v>1.9898630000000001E-3</v>
      </c>
      <c r="BB17" s="465">
        <f t="shared" ca="1" si="22"/>
        <v>2.0635616E-3</v>
      </c>
      <c r="BC17" s="466">
        <f t="shared" ca="1" si="23"/>
        <v>43132</v>
      </c>
      <c r="BD17" s="467">
        <f t="shared" ca="1" si="47"/>
        <v>43133</v>
      </c>
      <c r="BE17" s="467">
        <f t="shared" ca="1" si="24"/>
        <v>43159</v>
      </c>
      <c r="BF17" s="468">
        <f ca="1">IF(計算!$BC17&lt;OP!$C$3,0,BD17-BC17)</f>
        <v>1</v>
      </c>
      <c r="BG17" s="468">
        <f ca="1">IF($BE17&gt;DATE(YEAR($BD$9)+OP!$C$57,MONTH($BD$9),DAY($BD$9)),0,$BE17-$BD17+1)</f>
        <v>27</v>
      </c>
      <c r="BH17" s="469">
        <f t="shared" ca="1" si="25"/>
        <v>28</v>
      </c>
      <c r="BJ17">
        <v>8</v>
      </c>
      <c r="BK17" s="468">
        <v>9</v>
      </c>
      <c r="BL17" s="468">
        <v>6</v>
      </c>
      <c r="BM17" s="468">
        <v>6</v>
      </c>
      <c r="BN17" s="468">
        <f t="shared" si="48"/>
        <v>1</v>
      </c>
      <c r="BO17" s="468">
        <f t="shared" si="49"/>
        <v>8</v>
      </c>
      <c r="BP17" s="467">
        <f t="shared" ca="1" si="26"/>
        <v>43133</v>
      </c>
      <c r="BQ17" s="475">
        <f t="shared" ca="1" si="60"/>
        <v>33</v>
      </c>
      <c r="BR17" s="475" t="str">
        <f t="shared" si="50"/>
        <v/>
      </c>
      <c r="BS17" s="471" t="str">
        <f t="shared" si="27"/>
        <v/>
      </c>
      <c r="BT17" s="472" t="str">
        <f t="shared" si="3"/>
        <v/>
      </c>
      <c r="BU17" s="472">
        <f t="shared" ca="1" si="28"/>
        <v>0</v>
      </c>
      <c r="BV17" s="472">
        <f t="shared" ca="1" si="28"/>
        <v>0</v>
      </c>
      <c r="BW17" s="472"/>
      <c r="BX17" s="473">
        <f t="shared" ca="1" si="29"/>
        <v>0</v>
      </c>
      <c r="BY17" s="473">
        <f t="shared" si="30"/>
        <v>0</v>
      </c>
      <c r="BZ17" s="473">
        <f t="shared" ca="1" si="4"/>
        <v>0</v>
      </c>
      <c r="CA17" s="476">
        <f t="shared" ca="1" si="31"/>
        <v>0</v>
      </c>
      <c r="CB17" s="494">
        <f ca="1">IF(OR($Q16&lt;&gt;1,OP!$D$5+$BN17-1&lt;16,$BN17-1&lt;1),0,ROUND(ROUND(ROUND(((VLOOKUP($BN17-1,MORE_PV,5,0)/10000)*VLOOKUP($BN17,MORE_PV,$CB$5,0)),3)*VLOOKUP($BN17,more1,5,0),0)/$R16,0))</f>
        <v>0</v>
      </c>
      <c r="CC17" s="473">
        <f t="shared" ca="1" si="32"/>
        <v>0</v>
      </c>
      <c r="CD17" s="477"/>
      <c r="CE17" s="468">
        <f t="shared" si="51"/>
        <v>1</v>
      </c>
      <c r="CF17" s="468">
        <f t="shared" si="52"/>
        <v>8</v>
      </c>
      <c r="CG17" s="467">
        <f t="shared" ca="1" si="5"/>
        <v>43133</v>
      </c>
      <c r="CH17" s="475">
        <f t="shared" ca="1" si="61"/>
        <v>33</v>
      </c>
      <c r="CI17" s="513" t="str">
        <f t="shared" si="53"/>
        <v/>
      </c>
      <c r="CJ17" s="511">
        <f t="shared" si="33"/>
        <v>0</v>
      </c>
      <c r="CK17" s="512">
        <f t="shared" si="34"/>
        <v>0</v>
      </c>
      <c r="CL17" s="511">
        <f t="shared" ca="1" si="54"/>
        <v>0</v>
      </c>
      <c r="CM17" s="511">
        <f ca="1">ROUND(CS17-IF(OR($CE17&gt;=OP!$C$24,AND(CH17=15,CF17=12),CS17=0),0,(CT17-CR17)),$CM$7)</f>
        <v>0</v>
      </c>
      <c r="CN17" s="511"/>
      <c r="CO17" s="351">
        <f t="shared" ca="1" si="35"/>
        <v>0</v>
      </c>
      <c r="CP17" s="473">
        <f t="shared" si="36"/>
        <v>0</v>
      </c>
      <c r="CQ17" s="473">
        <f t="shared" ca="1" si="6"/>
        <v>0</v>
      </c>
      <c r="CR17" s="476">
        <f t="shared" ca="1" si="37"/>
        <v>0</v>
      </c>
      <c r="CS17" s="494">
        <f ca="1">IF(OR($Q16&lt;&gt;1,OP!$D$5+$CE17-1&lt;16,$CE17-1&lt;1),0,ROUND(ROUND(ROUND(((VLOOKUP($CE17-1,MORE_PV,5,0)/10000)*VLOOKUP($CE17,MORE_PV,$CS$5,0)),3)*VLOOKUP($CE17,more1,5,0),0)/$R16,0))</f>
        <v>0</v>
      </c>
      <c r="CT17" s="473">
        <f>IF($AW17=1,IF(N($CR17+$CS17)&lt;N($AX17)*OP!$C$50,N($CR17+$CS17),MIN(N($CR17+$CS17),N($AX17))),0)</f>
        <v>0</v>
      </c>
      <c r="CV17" s="503">
        <f t="shared" ca="1" si="38"/>
        <v>0</v>
      </c>
      <c r="CW17" s="503">
        <f t="shared" ca="1" si="39"/>
        <v>0</v>
      </c>
      <c r="CX17" s="503">
        <f t="shared" ca="1" si="40"/>
        <v>0</v>
      </c>
    </row>
    <row r="18" spans="1:102" ht="16.5" hidden="1">
      <c r="A18" s="450">
        <f ca="1">OP!$D$5+$B18-1</f>
        <v>40</v>
      </c>
      <c r="B18" s="192">
        <v>8</v>
      </c>
      <c r="C18" s="219">
        <f ca="1">ROUND(VLOOKUP(OP!$C$55,PV0,B18+2,0)*OP!$C$28,0)</f>
        <v>1058420</v>
      </c>
      <c r="D18" s="189">
        <f t="shared" ca="1" si="41"/>
        <v>1058420</v>
      </c>
      <c r="E18" s="221">
        <f t="shared" ca="1" si="42"/>
        <v>2.69E-2</v>
      </c>
      <c r="F18" s="222">
        <f t="shared" ca="1" si="43"/>
        <v>6.8999999999999999E-3</v>
      </c>
      <c r="G18" s="223">
        <f t="shared" ca="1" si="55"/>
        <v>15004</v>
      </c>
      <c r="H18" s="224">
        <f t="shared" ca="1" si="56"/>
        <v>7475</v>
      </c>
      <c r="I18" s="450">
        <f t="shared" ca="1" si="57"/>
        <v>1</v>
      </c>
      <c r="J18" s="192">
        <f t="shared" si="7"/>
        <v>1</v>
      </c>
      <c r="K18" s="192">
        <f t="shared" si="8"/>
        <v>10</v>
      </c>
      <c r="L18" s="192" t="str">
        <f t="shared" si="0"/>
        <v/>
      </c>
      <c r="M18" s="216">
        <f t="shared" ca="1" si="9"/>
        <v>0</v>
      </c>
      <c r="N18" s="216"/>
      <c r="O18" s="216"/>
      <c r="P18" s="216"/>
      <c r="Q18" s="456" t="str">
        <f t="shared" ca="1" si="10"/>
        <v/>
      </c>
      <c r="R18" s="450">
        <f t="shared" ca="1" si="11"/>
        <v>1</v>
      </c>
      <c r="S18" s="191">
        <f t="shared" si="12"/>
        <v>1</v>
      </c>
      <c r="T18" s="191">
        <f t="shared" si="13"/>
        <v>10</v>
      </c>
      <c r="U18" s="191">
        <f ca="1">OP!$D$5+$S18-1</f>
        <v>33</v>
      </c>
      <c r="V18" s="191" t="str">
        <f t="shared" si="14"/>
        <v/>
      </c>
      <c r="W18" s="350">
        <f ca="1">IF(Q18&lt;&gt;1,0,VLOOKUP(OP!$C$55,PVFB,$S18+2,0))</f>
        <v>0</v>
      </c>
      <c r="X18" s="473">
        <f t="shared" ca="1" si="44"/>
        <v>0</v>
      </c>
      <c r="Y18" s="348">
        <f t="shared" ca="1" si="45"/>
        <v>0</v>
      </c>
      <c r="Z18" s="348">
        <f t="shared" ca="1" si="46"/>
        <v>0</v>
      </c>
      <c r="AA18" s="348">
        <f ca="1">IF(Q18&lt;&gt;1,0,VLOOKUP(OP!$C$55,PVFB,$S18+2,0))</f>
        <v>0</v>
      </c>
      <c r="AB18" s="488" t="str">
        <f ca="1">IF(AND(S18&lt;OP!$C$24,$U18&lt;15),0,IF(AND($U18&lt;15,$T18=12),ROUND(VLOOKUP($S18,DOWN16,5,0),3),IF($T18=12,ROUND(($Z18/10000)*$AA18,3)+IF(AND($P$7="購買增額繳清保險",T18=12,U18=110),VLOOKUP(S18,$B$10:$H$121,7,0),0),"")))</f>
        <v/>
      </c>
      <c r="AC18" s="350" t="str">
        <f ca="1">IF(AND(S18&lt;OP!$C$24,$U18&lt;15),0,IF(AND($U18&lt;16,$T18=12),VLOOKUP($S18,DOWN16,4,0),IF($T18=12,ROUND(VLOOKUP(OP!$C$55,_DIE2,$S18+1,0)*(Z18/10000),0)+IF(AND($P$7="購買增額繳清保險",T18=12,U18=110),VLOOKUP(S18,$B$10:$H$121,7,0),0),"")))</f>
        <v/>
      </c>
      <c r="AD18" s="347"/>
      <c r="AE18" s="350" t="str">
        <f t="shared" ca="1" si="1"/>
        <v/>
      </c>
      <c r="AF18" s="351" t="str">
        <f t="shared" ca="1" si="2"/>
        <v/>
      </c>
      <c r="AG18" s="340"/>
      <c r="AH18" s="191">
        <v>8</v>
      </c>
      <c r="AI18" s="191">
        <f ca="1">OP!$D$5+計算!AH18-1</f>
        <v>40</v>
      </c>
      <c r="AJ18" s="354">
        <f t="shared" ca="1" si="58"/>
        <v>0</v>
      </c>
      <c r="AK18" s="354">
        <f t="shared" ca="1" si="59"/>
        <v>38752</v>
      </c>
      <c r="AL18" s="354">
        <f t="shared" ca="1" si="62"/>
        <v>39969</v>
      </c>
      <c r="AM18" s="340"/>
      <c r="AN18" s="191">
        <f t="shared" si="15"/>
        <v>1</v>
      </c>
      <c r="AO18" s="191">
        <f t="shared" si="16"/>
        <v>10</v>
      </c>
      <c r="AP18" s="191">
        <f ca="1">OP!$D$5+$AN18-1</f>
        <v>33</v>
      </c>
      <c r="AQ18" s="191" t="str">
        <f t="shared" si="17"/>
        <v/>
      </c>
      <c r="AR18" s="352">
        <f t="shared" ca="1" si="18"/>
        <v>0</v>
      </c>
      <c r="AS18" s="352"/>
      <c r="AT18" s="352"/>
      <c r="AU18" s="436"/>
      <c r="AV18" s="353" t="str">
        <f t="shared" ca="1" si="19"/>
        <v/>
      </c>
      <c r="AW18" s="422" t="str">
        <f t="shared" si="20"/>
        <v/>
      </c>
      <c r="AX18" s="423" t="str">
        <f ca="1">IF(AND($AW18=1,$AP18&lt;16,$AN17&lt;OP!$C$24),OP!$C$49,"")</f>
        <v/>
      </c>
      <c r="AY18" s="340"/>
      <c r="AZ18" s="465">
        <f t="shared" ca="1" si="21"/>
        <v>7.3698599999999999E-5</v>
      </c>
      <c r="BA18" s="464">
        <f t="shared" ca="1" si="22"/>
        <v>2.2109589000000002E-3</v>
      </c>
      <c r="BB18" s="465">
        <f t="shared" ca="1" si="22"/>
        <v>2.2846575E-3</v>
      </c>
      <c r="BC18" s="466">
        <f t="shared" ca="1" si="23"/>
        <v>43160</v>
      </c>
      <c r="BD18" s="467">
        <f t="shared" ca="1" si="47"/>
        <v>43161</v>
      </c>
      <c r="BE18" s="467">
        <f t="shared" ca="1" si="24"/>
        <v>43190</v>
      </c>
      <c r="BF18" s="468">
        <f ca="1">IF(計算!$BC18&lt;OP!$C$3,0,BD18-BC18)</f>
        <v>1</v>
      </c>
      <c r="BG18" s="468">
        <f ca="1">IF($BE18&gt;DATE(YEAR($BD$9)+OP!$C$57,MONTH($BD$9),DAY($BD$9)),0,$BE18-$BD18+1)</f>
        <v>30</v>
      </c>
      <c r="BH18" s="469">
        <f t="shared" ca="1" si="25"/>
        <v>31</v>
      </c>
      <c r="BJ18">
        <v>9</v>
      </c>
      <c r="BK18" s="468"/>
      <c r="BL18" s="468"/>
      <c r="BN18" s="468">
        <f t="shared" si="48"/>
        <v>1</v>
      </c>
      <c r="BO18" s="468">
        <f t="shared" si="49"/>
        <v>9</v>
      </c>
      <c r="BP18" s="467">
        <f t="shared" ca="1" si="26"/>
        <v>43161</v>
      </c>
      <c r="BQ18" s="475">
        <f t="shared" ca="1" si="60"/>
        <v>33</v>
      </c>
      <c r="BR18" s="475" t="str">
        <f t="shared" si="50"/>
        <v/>
      </c>
      <c r="BS18" s="471" t="str">
        <f t="shared" si="27"/>
        <v/>
      </c>
      <c r="BT18" s="472" t="str">
        <f t="shared" si="3"/>
        <v/>
      </c>
      <c r="BU18" s="472">
        <f t="shared" ca="1" si="28"/>
        <v>0</v>
      </c>
      <c r="BV18" s="472">
        <f t="shared" ca="1" si="28"/>
        <v>0</v>
      </c>
      <c r="BW18" s="472"/>
      <c r="BX18" s="473">
        <f t="shared" ca="1" si="29"/>
        <v>0</v>
      </c>
      <c r="BY18" s="473">
        <f t="shared" si="30"/>
        <v>0</v>
      </c>
      <c r="BZ18" s="473">
        <f t="shared" ca="1" si="4"/>
        <v>0</v>
      </c>
      <c r="CA18" s="476">
        <f t="shared" ca="1" si="31"/>
        <v>0</v>
      </c>
      <c r="CB18" s="494">
        <f ca="1">IF(OR($Q17&lt;&gt;1,OP!$D$5+$BN18-1&lt;16,$BN18-1&lt;1),0,ROUND(ROUND(ROUND(((VLOOKUP($BN18-1,MORE_PV,5,0)/10000)*VLOOKUP($BN18,MORE_PV,$CB$5,0)),3)*VLOOKUP($BN18,more1,5,0),0)/$R17,0))</f>
        <v>0</v>
      </c>
      <c r="CC18" s="473">
        <f t="shared" ca="1" si="32"/>
        <v>0</v>
      </c>
      <c r="CD18" s="477"/>
      <c r="CE18" s="468">
        <f t="shared" si="51"/>
        <v>1</v>
      </c>
      <c r="CF18" s="468">
        <f t="shared" si="52"/>
        <v>9</v>
      </c>
      <c r="CG18" s="467">
        <f t="shared" ca="1" si="5"/>
        <v>43161</v>
      </c>
      <c r="CH18" s="475">
        <f t="shared" ca="1" si="61"/>
        <v>33</v>
      </c>
      <c r="CI18" s="513" t="str">
        <f t="shared" si="53"/>
        <v/>
      </c>
      <c r="CJ18" s="511">
        <f t="shared" si="33"/>
        <v>0</v>
      </c>
      <c r="CK18" s="512">
        <f t="shared" si="34"/>
        <v>0</v>
      </c>
      <c r="CL18" s="511">
        <f t="shared" ca="1" si="54"/>
        <v>0</v>
      </c>
      <c r="CM18" s="511">
        <f ca="1">ROUND(CS18-IF(OR($CE18&gt;=OP!$C$24,AND(CH18=15,CF18=12),CS18=0),0,(CT18-CR18)),$CM$7)</f>
        <v>0</v>
      </c>
      <c r="CN18" s="511"/>
      <c r="CO18" s="351">
        <f t="shared" ca="1" si="35"/>
        <v>0</v>
      </c>
      <c r="CP18" s="473">
        <f t="shared" si="36"/>
        <v>0</v>
      </c>
      <c r="CQ18" s="473">
        <f t="shared" ca="1" si="6"/>
        <v>0</v>
      </c>
      <c r="CR18" s="476">
        <f t="shared" ca="1" si="37"/>
        <v>0</v>
      </c>
      <c r="CS18" s="494">
        <f ca="1">IF(OR($Q17&lt;&gt;1,OP!$D$5+$CE18-1&lt;16,$CE18-1&lt;1),0,ROUND(ROUND(ROUND(((VLOOKUP($CE18-1,MORE_PV,5,0)/10000)*VLOOKUP($CE18,MORE_PV,$CS$5,0)),3)*VLOOKUP($CE18,more1,5,0),0)/$R17,0))</f>
        <v>0</v>
      </c>
      <c r="CT18" s="473">
        <f>IF($AW18=1,IF(N($CR18+$CS18)&lt;N($AX18)*OP!$C$50,N($CR18+$CS18),MIN(N($CR18+$CS18),N($AX18))),0)</f>
        <v>0</v>
      </c>
      <c r="CV18" s="503">
        <f t="shared" ca="1" si="38"/>
        <v>0</v>
      </c>
      <c r="CW18" s="503">
        <f t="shared" ca="1" si="39"/>
        <v>0</v>
      </c>
      <c r="CX18" s="503">
        <f t="shared" ca="1" si="40"/>
        <v>0</v>
      </c>
    </row>
    <row r="19" spans="1:102" ht="16.5" hidden="1">
      <c r="A19" s="450">
        <f ca="1">OP!$D$5+$B19-1</f>
        <v>41</v>
      </c>
      <c r="B19" s="192">
        <v>9</v>
      </c>
      <c r="C19" s="219">
        <f ca="1">ROUND(VLOOKUP(OP!$C$55,PV0,B19+2,0)*OP!$C$28,0)</f>
        <v>1079534</v>
      </c>
      <c r="D19" s="189">
        <f t="shared" ca="1" si="41"/>
        <v>1079534</v>
      </c>
      <c r="E19" s="221">
        <f t="shared" ca="1" si="42"/>
        <v>2.69E-2</v>
      </c>
      <c r="F19" s="222">
        <f t="shared" ca="1" si="43"/>
        <v>6.8999999999999999E-3</v>
      </c>
      <c r="G19" s="223">
        <f t="shared" ca="1" si="55"/>
        <v>23038</v>
      </c>
      <c r="H19" s="224">
        <f t="shared" ca="1" si="56"/>
        <v>7625</v>
      </c>
      <c r="I19" s="450">
        <f t="shared" ca="1" si="57"/>
        <v>1</v>
      </c>
      <c r="J19" s="192">
        <f t="shared" si="7"/>
        <v>1</v>
      </c>
      <c r="K19" s="192">
        <f t="shared" si="8"/>
        <v>11</v>
      </c>
      <c r="L19" s="192" t="str">
        <f t="shared" si="0"/>
        <v/>
      </c>
      <c r="M19" s="216">
        <f t="shared" ca="1" si="9"/>
        <v>0</v>
      </c>
      <c r="N19" s="216"/>
      <c r="O19" s="216"/>
      <c r="P19" s="216"/>
      <c r="Q19" s="456" t="str">
        <f t="shared" ca="1" si="10"/>
        <v/>
      </c>
      <c r="R19" s="450">
        <f t="shared" ca="1" si="11"/>
        <v>1</v>
      </c>
      <c r="S19" s="191">
        <f t="shared" si="12"/>
        <v>1</v>
      </c>
      <c r="T19" s="191">
        <f t="shared" si="13"/>
        <v>11</v>
      </c>
      <c r="U19" s="191">
        <f ca="1">OP!$D$5+$S19-1</f>
        <v>33</v>
      </c>
      <c r="V19" s="191" t="str">
        <f t="shared" si="14"/>
        <v/>
      </c>
      <c r="W19" s="350">
        <f ca="1">IF(Q19&lt;&gt;1,0,VLOOKUP(OP!$C$55,PVFB,$S19+2,0))</f>
        <v>0</v>
      </c>
      <c r="X19" s="473">
        <f t="shared" ca="1" si="44"/>
        <v>0</v>
      </c>
      <c r="Y19" s="348">
        <f t="shared" ca="1" si="45"/>
        <v>0</v>
      </c>
      <c r="Z19" s="348">
        <f t="shared" ca="1" si="46"/>
        <v>0</v>
      </c>
      <c r="AA19" s="348">
        <f ca="1">IF(Q19&lt;&gt;1,0,VLOOKUP(OP!$C$55,PVFB,$S19+2,0))</f>
        <v>0</v>
      </c>
      <c r="AB19" s="488" t="str">
        <f ca="1">IF(AND(S19&lt;OP!$C$24,$U19&lt;15),0,IF(AND($U19&lt;15,$T19=12),ROUND(VLOOKUP($S19,DOWN16,5,0),3),IF($T19=12,ROUND(($Z19/10000)*$AA19,3)+IF(AND($P$7="購買增額繳清保險",T19=12,U19=110),VLOOKUP(S19,$B$10:$H$121,7,0),0),"")))</f>
        <v/>
      </c>
      <c r="AC19" s="350" t="str">
        <f ca="1">IF(AND(S19&lt;OP!$C$24,$U19&lt;15),0,IF(AND($U19&lt;16,$T19=12),VLOOKUP($S19,DOWN16,4,0),IF($T19=12,ROUND(VLOOKUP(OP!$C$55,_DIE2,$S19+1,0)*(Z19/10000),0)+IF(AND($P$7="購買增額繳清保險",T19=12,U19=110),VLOOKUP(S19,$B$10:$H$121,7,0),0),"")))</f>
        <v/>
      </c>
      <c r="AD19" s="347"/>
      <c r="AE19" s="350" t="str">
        <f t="shared" ca="1" si="1"/>
        <v/>
      </c>
      <c r="AF19" s="351" t="str">
        <f t="shared" ca="1" si="2"/>
        <v/>
      </c>
      <c r="AG19" s="340"/>
      <c r="AH19" s="191">
        <v>9</v>
      </c>
      <c r="AI19" s="191">
        <f ca="1">OP!$D$5+計算!AH19-1</f>
        <v>41</v>
      </c>
      <c r="AJ19" s="354">
        <f t="shared" ca="1" si="58"/>
        <v>0</v>
      </c>
      <c r="AK19" s="354">
        <f t="shared" ca="1" si="59"/>
        <v>38752</v>
      </c>
      <c r="AL19" s="354">
        <f t="shared" ca="1" si="62"/>
        <v>48506</v>
      </c>
      <c r="AM19" s="340"/>
      <c r="AN19" s="191">
        <f t="shared" si="15"/>
        <v>1</v>
      </c>
      <c r="AO19" s="191">
        <f t="shared" si="16"/>
        <v>11</v>
      </c>
      <c r="AP19" s="191">
        <f ca="1">OP!$D$5+$AN19-1</f>
        <v>33</v>
      </c>
      <c r="AQ19" s="191" t="str">
        <f t="shared" si="17"/>
        <v/>
      </c>
      <c r="AR19" s="352">
        <f t="shared" ca="1" si="18"/>
        <v>0</v>
      </c>
      <c r="AS19" s="352"/>
      <c r="AT19" s="352"/>
      <c r="AU19" s="436"/>
      <c r="AV19" s="353" t="str">
        <f t="shared" ca="1" si="19"/>
        <v/>
      </c>
      <c r="AW19" s="422" t="str">
        <f t="shared" si="20"/>
        <v/>
      </c>
      <c r="AX19" s="423" t="str">
        <f ca="1">IF(AND($AW19=1,$AP19&lt;16,$AN18&lt;OP!$C$24),OP!$C$49,"")</f>
        <v/>
      </c>
      <c r="AY19" s="340"/>
      <c r="AZ19" s="465">
        <f t="shared" ca="1" si="21"/>
        <v>7.3698599999999999E-5</v>
      </c>
      <c r="BA19" s="464">
        <f t="shared" ca="1" si="22"/>
        <v>2.1372602999999999E-3</v>
      </c>
      <c r="BB19" s="465">
        <f t="shared" ca="1" si="22"/>
        <v>2.2109589000000002E-3</v>
      </c>
      <c r="BC19" s="466">
        <f t="shared" ca="1" si="23"/>
        <v>43191</v>
      </c>
      <c r="BD19" s="467">
        <f t="shared" ca="1" si="47"/>
        <v>43192</v>
      </c>
      <c r="BE19" s="467">
        <f t="shared" ca="1" si="24"/>
        <v>43220</v>
      </c>
      <c r="BF19" s="468">
        <f ca="1">IF(計算!$BC19&lt;OP!$C$3,0,BD19-BC19)</f>
        <v>1</v>
      </c>
      <c r="BG19" s="468">
        <f ca="1">IF($BE19&gt;DATE(YEAR($BD$9)+OP!$C$57,MONTH($BD$9),DAY($BD$9)),0,$BE19-$BD19+1)</f>
        <v>29</v>
      </c>
      <c r="BH19" s="469">
        <f t="shared" ca="1" si="25"/>
        <v>30</v>
      </c>
      <c r="BJ19">
        <v>10</v>
      </c>
      <c r="BK19" s="468"/>
      <c r="BL19" s="468"/>
      <c r="BN19" s="468">
        <f t="shared" si="48"/>
        <v>1</v>
      </c>
      <c r="BO19" s="468">
        <f t="shared" si="49"/>
        <v>10</v>
      </c>
      <c r="BP19" s="467">
        <f t="shared" ca="1" si="26"/>
        <v>43192</v>
      </c>
      <c r="BQ19" s="475">
        <f t="shared" ca="1" si="60"/>
        <v>33</v>
      </c>
      <c r="BR19" s="475" t="str">
        <f t="shared" si="50"/>
        <v/>
      </c>
      <c r="BS19" s="471" t="str">
        <f t="shared" si="27"/>
        <v/>
      </c>
      <c r="BT19" s="472" t="str">
        <f t="shared" si="3"/>
        <v/>
      </c>
      <c r="BU19" s="472">
        <f t="shared" ca="1" si="28"/>
        <v>0</v>
      </c>
      <c r="BV19" s="472">
        <f t="shared" ca="1" si="28"/>
        <v>0</v>
      </c>
      <c r="BW19" s="472"/>
      <c r="BX19" s="473">
        <f t="shared" ca="1" si="29"/>
        <v>0</v>
      </c>
      <c r="BY19" s="473">
        <f t="shared" si="30"/>
        <v>0</v>
      </c>
      <c r="BZ19" s="473">
        <f t="shared" ca="1" si="4"/>
        <v>0</v>
      </c>
      <c r="CA19" s="476">
        <f t="shared" ca="1" si="31"/>
        <v>0</v>
      </c>
      <c r="CB19" s="494">
        <f ca="1">IF(OR($Q18&lt;&gt;1,OP!$D$5+$BN19-1&lt;16,$BN19-1&lt;1),0,ROUND(ROUND(ROUND(((VLOOKUP($BN19-1,MORE_PV,5,0)/10000)*VLOOKUP($BN19,MORE_PV,$CB$5,0)),3)*VLOOKUP($BN19,more1,5,0),0)/$R18,0))</f>
        <v>0</v>
      </c>
      <c r="CC19" s="473">
        <f t="shared" ca="1" si="32"/>
        <v>0</v>
      </c>
      <c r="CD19" s="477"/>
      <c r="CE19" s="468">
        <f t="shared" si="51"/>
        <v>1</v>
      </c>
      <c r="CF19" s="468">
        <f t="shared" si="52"/>
        <v>10</v>
      </c>
      <c r="CG19" s="467">
        <f t="shared" ca="1" si="5"/>
        <v>43192</v>
      </c>
      <c r="CH19" s="475">
        <f t="shared" ca="1" si="61"/>
        <v>33</v>
      </c>
      <c r="CI19" s="513" t="str">
        <f t="shared" si="53"/>
        <v/>
      </c>
      <c r="CJ19" s="511">
        <f t="shared" si="33"/>
        <v>0</v>
      </c>
      <c r="CK19" s="512">
        <f t="shared" si="34"/>
        <v>0</v>
      </c>
      <c r="CL19" s="511">
        <f t="shared" ca="1" si="54"/>
        <v>0</v>
      </c>
      <c r="CM19" s="511">
        <f ca="1">ROUND(CS19-IF(OR($CE19&gt;=OP!$C$24,AND(CH19=15,CF19=12),CS19=0),0,(CT19-CR19)),$CM$7)</f>
        <v>0</v>
      </c>
      <c r="CN19" s="511"/>
      <c r="CO19" s="351">
        <f t="shared" ca="1" si="35"/>
        <v>0</v>
      </c>
      <c r="CP19" s="473">
        <f t="shared" si="36"/>
        <v>0</v>
      </c>
      <c r="CQ19" s="473">
        <f t="shared" ca="1" si="6"/>
        <v>0</v>
      </c>
      <c r="CR19" s="476">
        <f t="shared" ca="1" si="37"/>
        <v>0</v>
      </c>
      <c r="CS19" s="494">
        <f ca="1">IF(OR($Q18&lt;&gt;1,OP!$D$5+$CE19-1&lt;16,$CE19-1&lt;1),0,ROUND(ROUND(ROUND(((VLOOKUP($CE19-1,MORE_PV,5,0)/10000)*VLOOKUP($CE19,MORE_PV,$CS$5,0)),3)*VLOOKUP($CE19,more1,5,0),0)/$R18,0))</f>
        <v>0</v>
      </c>
      <c r="CT19" s="473">
        <f>IF($AW19=1,IF(N($CR19+$CS19)&lt;N($AX19)*OP!$C$50,N($CR19+$CS19),MIN(N($CR19+$CS19),N($AX19))),0)</f>
        <v>0</v>
      </c>
      <c r="CV19" s="503">
        <f t="shared" ca="1" si="38"/>
        <v>0</v>
      </c>
      <c r="CW19" s="503">
        <f t="shared" ca="1" si="39"/>
        <v>0</v>
      </c>
      <c r="CX19" s="503">
        <f t="shared" ca="1" si="40"/>
        <v>0</v>
      </c>
    </row>
    <row r="20" spans="1:102" ht="16.5" hidden="1">
      <c r="A20" s="450">
        <f ca="1">OP!$D$5+$B20-1</f>
        <v>42</v>
      </c>
      <c r="B20" s="192">
        <v>10</v>
      </c>
      <c r="C20" s="219">
        <f ca="1">ROUND(VLOOKUP(OP!$C$55,PV0,B20+2,0)*OP!$C$28,0)</f>
        <v>1101124</v>
      </c>
      <c r="D20" s="189">
        <f t="shared" ca="1" si="41"/>
        <v>1101124</v>
      </c>
      <c r="E20" s="221">
        <f t="shared" ca="1" si="42"/>
        <v>2.69E-2</v>
      </c>
      <c r="F20" s="222">
        <f t="shared" ca="1" si="43"/>
        <v>6.8999999999999999E-3</v>
      </c>
      <c r="G20" s="223">
        <f t="shared" ca="1" si="55"/>
        <v>31442</v>
      </c>
      <c r="H20" s="224">
        <f t="shared" ca="1" si="56"/>
        <v>7777</v>
      </c>
      <c r="I20" s="450">
        <f t="shared" ca="1" si="57"/>
        <v>1</v>
      </c>
      <c r="J20" s="192">
        <f t="shared" si="7"/>
        <v>1</v>
      </c>
      <c r="K20" s="192">
        <f t="shared" si="8"/>
        <v>12</v>
      </c>
      <c r="L20" s="192">
        <f t="shared" si="0"/>
        <v>1</v>
      </c>
      <c r="M20" s="216">
        <f t="shared" ca="1" si="9"/>
        <v>0</v>
      </c>
      <c r="N20" s="216"/>
      <c r="O20" s="216"/>
      <c r="P20" s="216"/>
      <c r="Q20" s="456">
        <f t="shared" ca="1" si="10"/>
        <v>1</v>
      </c>
      <c r="R20" s="450">
        <f t="shared" ca="1" si="11"/>
        <v>1</v>
      </c>
      <c r="S20" s="191">
        <f t="shared" si="12"/>
        <v>1</v>
      </c>
      <c r="T20" s="191">
        <f t="shared" si="13"/>
        <v>12</v>
      </c>
      <c r="U20" s="191">
        <f ca="1">OP!$D$5+$S20-1</f>
        <v>33</v>
      </c>
      <c r="V20" s="191">
        <f t="shared" si="14"/>
        <v>1</v>
      </c>
      <c r="W20" s="350">
        <f ca="1">IF(Q20&lt;&gt;1,0,VLOOKUP(OP!$C$55,PVFB,$S20+2,0))</f>
        <v>27109</v>
      </c>
      <c r="X20" s="473">
        <f t="shared" ca="1" si="44"/>
        <v>727</v>
      </c>
      <c r="Y20" s="348">
        <f t="shared" ca="1" si="45"/>
        <v>268</v>
      </c>
      <c r="Z20" s="348">
        <f t="shared" ca="1" si="46"/>
        <v>268</v>
      </c>
      <c r="AA20" s="348">
        <f ca="1">IF(Q20&lt;&gt;1,0,VLOOKUP(OP!$C$55,PVFB,$S20+2,0))</f>
        <v>27109</v>
      </c>
      <c r="AB20" s="488">
        <f ca="1">IF(AND(S20&lt;OP!$C$24,$U20&lt;15),0,IF(AND($U20&lt;15,$T20=12),ROUND(VLOOKUP($S20,DOWN16,5,0),3),IF($T20=12,ROUND(($Z20/10000)*$AA20,3)+IF(AND($P$7="購買增額繳清保險",T20=12,U20=110),VLOOKUP(S20,$B$10:$H$121,7,0),0),"")))</f>
        <v>726.52099999999996</v>
      </c>
      <c r="AC20" s="350">
        <f ca="1">IF(AND(S20&lt;OP!$C$24,$U20&lt;15),0,IF(AND($U20&lt;16,$T20=12),VLOOKUP($S20,DOWN16,4,0),IF($T20=12,ROUND(VLOOKUP(OP!$C$55,_DIE2,$S20+1,0)*(Z20/10000),0)+IF(AND($P$7="購買增額繳清保險",T20=12,U20=110),VLOOKUP(S20,$B$10:$H$121,7,0),0),"")))</f>
        <v>727</v>
      </c>
      <c r="AD20" s="347"/>
      <c r="AE20" s="350" t="str">
        <f t="shared" ca="1" si="1"/>
        <v/>
      </c>
      <c r="AF20" s="351" t="str">
        <f t="shared" ca="1" si="2"/>
        <v/>
      </c>
      <c r="AG20" s="340"/>
      <c r="AH20" s="191">
        <v>10</v>
      </c>
      <c r="AI20" s="191">
        <f ca="1">OP!$D$5+計算!AH20-1</f>
        <v>42</v>
      </c>
      <c r="AJ20" s="354">
        <f t="shared" ca="1" si="58"/>
        <v>0</v>
      </c>
      <c r="AK20" s="354">
        <f t="shared" ca="1" si="59"/>
        <v>38752</v>
      </c>
      <c r="AL20" s="354">
        <f t="shared" ca="1" si="62"/>
        <v>57425</v>
      </c>
      <c r="AM20" s="340"/>
      <c r="AN20" s="191">
        <f t="shared" si="15"/>
        <v>1</v>
      </c>
      <c r="AO20" s="191">
        <f t="shared" si="16"/>
        <v>12</v>
      </c>
      <c r="AP20" s="191">
        <f ca="1">OP!$D$5+$AN20-1</f>
        <v>33</v>
      </c>
      <c r="AQ20" s="191">
        <f t="shared" si="17"/>
        <v>1</v>
      </c>
      <c r="AR20" s="352">
        <f t="shared" ca="1" si="18"/>
        <v>727</v>
      </c>
      <c r="AS20" s="352"/>
      <c r="AT20" s="352"/>
      <c r="AU20" s="436"/>
      <c r="AV20" s="353">
        <f t="shared" ca="1" si="19"/>
        <v>1</v>
      </c>
      <c r="AW20" s="422" t="str">
        <f t="shared" si="20"/>
        <v/>
      </c>
      <c r="AX20" s="423" t="str">
        <f ca="1">IF(AND($AW20=1,$AP20&lt;16,$AN19&lt;OP!$C$24),OP!$C$49,"")</f>
        <v/>
      </c>
      <c r="AY20" s="340"/>
      <c r="AZ20" s="465">
        <f t="shared" ca="1" si="21"/>
        <v>7.3698599999999999E-5</v>
      </c>
      <c r="BA20" s="464">
        <f t="shared" ca="1" si="22"/>
        <v>2.2109589000000002E-3</v>
      </c>
      <c r="BB20" s="465">
        <f t="shared" ca="1" si="22"/>
        <v>2.2846575E-3</v>
      </c>
      <c r="BC20" s="466">
        <f t="shared" ca="1" si="23"/>
        <v>43221</v>
      </c>
      <c r="BD20" s="467">
        <f t="shared" ca="1" si="47"/>
        <v>43222</v>
      </c>
      <c r="BE20" s="467">
        <f t="shared" ca="1" si="24"/>
        <v>43251</v>
      </c>
      <c r="BF20" s="468">
        <f ca="1">IF(計算!$BC20&lt;OP!$C$3,0,BD20-BC20)</f>
        <v>1</v>
      </c>
      <c r="BG20" s="468">
        <f ca="1">IF($BE20&gt;DATE(YEAR($BD$9)+OP!$C$57,MONTH($BD$9),DAY($BD$9)),0,$BE20-$BD20+1)</f>
        <v>30</v>
      </c>
      <c r="BH20" s="469">
        <f t="shared" ca="1" si="25"/>
        <v>31</v>
      </c>
      <c r="BJ20">
        <v>11</v>
      </c>
      <c r="BK20" s="468"/>
      <c r="BL20" s="468"/>
      <c r="BN20" s="468">
        <f t="shared" si="48"/>
        <v>1</v>
      </c>
      <c r="BO20" s="468">
        <f t="shared" si="49"/>
        <v>11</v>
      </c>
      <c r="BP20" s="467">
        <f t="shared" ca="1" si="26"/>
        <v>43222</v>
      </c>
      <c r="BQ20" s="475">
        <f t="shared" ca="1" si="60"/>
        <v>33</v>
      </c>
      <c r="BR20" s="475" t="str">
        <f t="shared" si="50"/>
        <v/>
      </c>
      <c r="BS20" s="471" t="str">
        <f t="shared" si="27"/>
        <v/>
      </c>
      <c r="BT20" s="478" t="str">
        <f t="shared" si="3"/>
        <v/>
      </c>
      <c r="BU20" s="472">
        <f t="shared" ca="1" si="28"/>
        <v>0</v>
      </c>
      <c r="BV20" s="472">
        <f t="shared" ca="1" si="28"/>
        <v>0</v>
      </c>
      <c r="BW20" s="472"/>
      <c r="BX20" s="473">
        <f t="shared" ca="1" si="29"/>
        <v>0</v>
      </c>
      <c r="BY20" s="473">
        <f t="shared" si="30"/>
        <v>0</v>
      </c>
      <c r="BZ20" s="473">
        <f t="shared" ca="1" si="4"/>
        <v>0</v>
      </c>
      <c r="CA20" s="476">
        <f t="shared" ca="1" si="31"/>
        <v>0</v>
      </c>
      <c r="CB20" s="494">
        <f ca="1">IF(OR($Q19&lt;&gt;1,OP!$D$5+$BN20-1&lt;16,$BN20-1&lt;1),0,ROUND(ROUND(ROUND(((VLOOKUP($BN20-1,MORE_PV,5,0)/10000)*VLOOKUP($BN20,MORE_PV,$CB$5,0)),3)*VLOOKUP($BN20,more1,5,0),0)/$R19,0))</f>
        <v>0</v>
      </c>
      <c r="CC20" s="473">
        <f t="shared" ca="1" si="32"/>
        <v>0</v>
      </c>
      <c r="CD20" s="477"/>
      <c r="CE20" s="468">
        <f t="shared" si="51"/>
        <v>1</v>
      </c>
      <c r="CF20" s="468">
        <f t="shared" si="52"/>
        <v>11</v>
      </c>
      <c r="CG20" s="467">
        <f t="shared" ca="1" si="5"/>
        <v>43222</v>
      </c>
      <c r="CH20" s="475">
        <f t="shared" ca="1" si="61"/>
        <v>33</v>
      </c>
      <c r="CI20" s="513" t="str">
        <f t="shared" si="53"/>
        <v/>
      </c>
      <c r="CJ20" s="511">
        <f t="shared" si="33"/>
        <v>0</v>
      </c>
      <c r="CK20" s="512">
        <f t="shared" si="34"/>
        <v>0</v>
      </c>
      <c r="CL20" s="511">
        <f t="shared" ca="1" si="54"/>
        <v>0</v>
      </c>
      <c r="CM20" s="511">
        <f ca="1">ROUND(CS20-IF(OR($CE20&gt;=OP!$C$24,AND(CH20=15,CF20=12),CS20=0),0,(CT20-CR20)),$CM$7)</f>
        <v>0</v>
      </c>
      <c r="CN20" s="511"/>
      <c r="CO20" s="351">
        <f t="shared" ca="1" si="35"/>
        <v>0</v>
      </c>
      <c r="CP20" s="473">
        <f t="shared" si="36"/>
        <v>0</v>
      </c>
      <c r="CQ20" s="473">
        <f t="shared" ca="1" si="6"/>
        <v>0</v>
      </c>
      <c r="CR20" s="476">
        <f t="shared" ca="1" si="37"/>
        <v>0</v>
      </c>
      <c r="CS20" s="494">
        <f ca="1">IF(OR($Q19&lt;&gt;1,OP!$D$5+$CE20-1&lt;16,$CE20-1&lt;1),0,ROUND(ROUND(ROUND(((VLOOKUP($CE20-1,MORE_PV,5,0)/10000)*VLOOKUP($CE20,MORE_PV,$CS$5,0)),3)*VLOOKUP($CE20,more1,5,0),0)/$R19,0))</f>
        <v>0</v>
      </c>
      <c r="CT20" s="473">
        <f>IF($AW20=1,IF(N($CR20+$CS20)&lt;N($AX20)*OP!$C$50,N($CR20+$CS20),MIN(N($CR20+$CS20),N($AX20))),0)</f>
        <v>0</v>
      </c>
      <c r="CV20" s="503">
        <f t="shared" ca="1" si="38"/>
        <v>0</v>
      </c>
      <c r="CW20" s="503">
        <f t="shared" ca="1" si="39"/>
        <v>0</v>
      </c>
      <c r="CX20" s="503">
        <f t="shared" ca="1" si="40"/>
        <v>0</v>
      </c>
    </row>
    <row r="21" spans="1:102" ht="16.5" hidden="1">
      <c r="A21" s="450">
        <f ca="1">OP!$D$5+$B21-1</f>
        <v>43</v>
      </c>
      <c r="B21" s="192">
        <v>11</v>
      </c>
      <c r="C21" s="219">
        <f ca="1">ROUND(VLOOKUP(OP!$C$55,PV0,B21+2,0)*OP!$C$28,0)</f>
        <v>1123156</v>
      </c>
      <c r="D21" s="189">
        <f t="shared" ca="1" si="41"/>
        <v>1123156</v>
      </c>
      <c r="E21" s="221">
        <f t="shared" ca="1" si="42"/>
        <v>2.69E-2</v>
      </c>
      <c r="F21" s="222">
        <f t="shared" ca="1" si="43"/>
        <v>6.8999999999999999E-3</v>
      </c>
      <c r="G21" s="223">
        <f t="shared" ca="1" si="55"/>
        <v>40234</v>
      </c>
      <c r="H21" s="224">
        <f t="shared" ca="1" si="56"/>
        <v>7933</v>
      </c>
      <c r="I21" s="450">
        <f t="shared" ca="1" si="57"/>
        <v>1</v>
      </c>
      <c r="J21" s="192">
        <f t="shared" si="7"/>
        <v>2</v>
      </c>
      <c r="K21" s="192">
        <f t="shared" si="8"/>
        <v>1</v>
      </c>
      <c r="L21" s="192" t="str">
        <f t="shared" si="0"/>
        <v/>
      </c>
      <c r="M21" s="216">
        <f t="shared" ca="1" si="9"/>
        <v>0</v>
      </c>
      <c r="N21" s="216"/>
      <c r="O21" s="216"/>
      <c r="P21" s="216"/>
      <c r="Q21" s="456" t="str">
        <f t="shared" ca="1" si="10"/>
        <v/>
      </c>
      <c r="R21" s="450">
        <f t="shared" ca="1" si="11"/>
        <v>1</v>
      </c>
      <c r="S21" s="191">
        <f t="shared" si="12"/>
        <v>2</v>
      </c>
      <c r="T21" s="191">
        <f t="shared" si="13"/>
        <v>1</v>
      </c>
      <c r="U21" s="191">
        <f ca="1">OP!$D$5+$S21-1</f>
        <v>34</v>
      </c>
      <c r="V21" s="191" t="str">
        <f t="shared" si="14"/>
        <v/>
      </c>
      <c r="W21" s="350">
        <f ca="1">IF(Q21&lt;&gt;1,0,VLOOKUP(OP!$C$55,PVFB,$S21+2,0))</f>
        <v>0</v>
      </c>
      <c r="X21" s="473">
        <f t="shared" ca="1" si="44"/>
        <v>0</v>
      </c>
      <c r="Y21" s="348">
        <f t="shared" ca="1" si="45"/>
        <v>0</v>
      </c>
      <c r="Z21" s="348">
        <f ca="1">Z20+Y21</f>
        <v>268</v>
      </c>
      <c r="AA21" s="348">
        <f ca="1">IF(Q21&lt;&gt;1,0,VLOOKUP(OP!$C$55,PVFB,$S21+2,0))</f>
        <v>0</v>
      </c>
      <c r="AB21" s="488" t="str">
        <f ca="1">IF(AND(S21&lt;OP!$C$24,$U21&lt;15),0,IF(AND($U21&lt;15,$T21=12),ROUND(VLOOKUP($S21,DOWN16,5,0),3),IF($T21=12,ROUND(($Z21/10000)*$AA21,3)+IF(AND($P$7="購買增額繳清保險",T21=12,U21=110),VLOOKUP(S21,$B$10:$H$121,7,0),0),"")))</f>
        <v/>
      </c>
      <c r="AC21" s="350" t="str">
        <f ca="1">IF(AND(S21&lt;OP!$C$24,$U21&lt;15),0,IF(AND($U21&lt;16,$T21=12),VLOOKUP($S21,DOWN16,4,0),IF($T21=12,ROUND(VLOOKUP(OP!$C$55,_DIE2,$S21+1,0)*(Z21/10000),0)+IF(AND($P$7="購買增額繳清保險",T21=12,U21=110),VLOOKUP(S21,$B$10:$H$121,7,0),0),"")))</f>
        <v/>
      </c>
      <c r="AD21" s="347"/>
      <c r="AE21" s="350" t="str">
        <f t="shared" ca="1" si="1"/>
        <v/>
      </c>
      <c r="AF21" s="351" t="str">
        <f t="shared" ca="1" si="2"/>
        <v/>
      </c>
      <c r="AG21" s="340"/>
      <c r="AH21" s="191">
        <v>11</v>
      </c>
      <c r="AI21" s="191">
        <f ca="1">OP!$D$5+計算!AH21-1</f>
        <v>43</v>
      </c>
      <c r="AJ21" s="354">
        <f t="shared" ca="1" si="58"/>
        <v>0</v>
      </c>
      <c r="AK21" s="354">
        <f t="shared" ca="1" si="59"/>
        <v>38752</v>
      </c>
      <c r="AL21" s="354">
        <f t="shared" ca="1" si="62"/>
        <v>66743</v>
      </c>
      <c r="AM21" s="340"/>
      <c r="AN21" s="191">
        <f t="shared" si="15"/>
        <v>2</v>
      </c>
      <c r="AO21" s="191">
        <f t="shared" si="16"/>
        <v>1</v>
      </c>
      <c r="AP21" s="191">
        <f ca="1">OP!$D$5+$AN21-1</f>
        <v>34</v>
      </c>
      <c r="AQ21" s="191" t="str">
        <f t="shared" si="17"/>
        <v/>
      </c>
      <c r="AR21" s="352">
        <f t="shared" ca="1" si="18"/>
        <v>0</v>
      </c>
      <c r="AS21" s="352"/>
      <c r="AT21" s="352"/>
      <c r="AU21" s="436"/>
      <c r="AV21" s="353" t="str">
        <f t="shared" ca="1" si="19"/>
        <v/>
      </c>
      <c r="AW21" s="422">
        <f t="shared" si="20"/>
        <v>1</v>
      </c>
      <c r="AX21" s="423" t="str">
        <f ca="1">IF(AND($AW21=1,$AP21&lt;16,$AN20&lt;OP!$C$24),OP!$C$49,"")</f>
        <v/>
      </c>
      <c r="AY21" s="340"/>
      <c r="AZ21" s="465">
        <f t="shared" ca="1" si="21"/>
        <v>7.3698599999999999E-5</v>
      </c>
      <c r="BA21" s="464">
        <f t="shared" ca="1" si="22"/>
        <v>2.1372602999999999E-3</v>
      </c>
      <c r="BB21" s="465">
        <f t="shared" ca="1" si="22"/>
        <v>2.2109589000000002E-3</v>
      </c>
      <c r="BC21" s="466">
        <f t="shared" ca="1" si="23"/>
        <v>43252</v>
      </c>
      <c r="BD21" s="467">
        <f t="shared" ca="1" si="47"/>
        <v>43253</v>
      </c>
      <c r="BE21" s="467">
        <f t="shared" ca="1" si="24"/>
        <v>43281</v>
      </c>
      <c r="BF21" s="468">
        <f ca="1">IF(計算!$BC21&lt;OP!$C$3,0,BD21-BC21)</f>
        <v>1</v>
      </c>
      <c r="BG21" s="468">
        <f ca="1">IF($BE21&gt;DATE(YEAR($BD$9)+OP!$C$57,MONTH($BD$9),DAY($BD$9)),0,$BE21-$BD21+1)</f>
        <v>29</v>
      </c>
      <c r="BH21" s="469">
        <f t="shared" ca="1" si="25"/>
        <v>30</v>
      </c>
      <c r="BI21">
        <f t="shared" ref="BI21:BI84" ca="1" si="63">IF(BJ21=12,BD21-BD9,"")</f>
        <v>365</v>
      </c>
      <c r="BJ21">
        <v>12</v>
      </c>
      <c r="BK21" s="468"/>
      <c r="BL21" s="468"/>
      <c r="BN21" s="468">
        <f t="shared" si="48"/>
        <v>1</v>
      </c>
      <c r="BO21" s="468">
        <f t="shared" si="49"/>
        <v>12</v>
      </c>
      <c r="BP21" s="467">
        <f t="shared" ca="1" si="26"/>
        <v>43253</v>
      </c>
      <c r="BQ21" s="475">
        <f t="shared" ca="1" si="60"/>
        <v>33</v>
      </c>
      <c r="BR21" s="475">
        <f t="shared" si="50"/>
        <v>1</v>
      </c>
      <c r="BS21" s="471">
        <f t="shared" ca="1" si="27"/>
        <v>727</v>
      </c>
      <c r="BT21" s="478">
        <f ca="1">IF(BW21&lt;&gt;"",IF(BN21&gt;=$P$4+1,ROUND(BU21,0)+ROUND(BV21,0)+ROUND(BW21,0)+BT9,0),"")</f>
        <v>0</v>
      </c>
      <c r="BU21" s="472">
        <f t="shared" ca="1" si="28"/>
        <v>727</v>
      </c>
      <c r="BV21" s="472">
        <f t="shared" ca="1" si="28"/>
        <v>0</v>
      </c>
      <c r="BW21" s="472">
        <f ca="1">ROUND(SUM(BY21,BZ9:BZ20),0)</f>
        <v>0</v>
      </c>
      <c r="BX21" s="473">
        <f t="shared" ca="1" si="29"/>
        <v>0</v>
      </c>
      <c r="BY21" s="473">
        <f t="shared" ca="1" si="30"/>
        <v>0</v>
      </c>
      <c r="BZ21" s="473">
        <f t="shared" ca="1" si="4"/>
        <v>0</v>
      </c>
      <c r="CA21" s="476">
        <f t="shared" ca="1" si="31"/>
        <v>727</v>
      </c>
      <c r="CB21" s="494">
        <f ca="1">IF(OR($Q20&lt;&gt;1,OP!$D$5+$BN21-1&lt;16,$BN21-1&lt;1),0,ROUND(ROUND(ROUND(((VLOOKUP($BN21-1,MORE_PV,5,0)/10000)*VLOOKUP($BN21,MORE_PV,$CB$5,0)),3)*VLOOKUP($BN21,more1,5,0),0)/$R20,0))</f>
        <v>0</v>
      </c>
      <c r="CC21" s="473">
        <f t="shared" ca="1" si="32"/>
        <v>0</v>
      </c>
      <c r="CD21" s="477"/>
      <c r="CE21" s="468">
        <f t="shared" si="51"/>
        <v>1</v>
      </c>
      <c r="CF21" s="468">
        <f t="shared" si="52"/>
        <v>12</v>
      </c>
      <c r="CG21" s="467">
        <f t="shared" ca="1" si="5"/>
        <v>43253</v>
      </c>
      <c r="CH21" s="475">
        <f t="shared" ca="1" si="61"/>
        <v>33</v>
      </c>
      <c r="CI21" s="513">
        <f t="shared" si="53"/>
        <v>1</v>
      </c>
      <c r="CJ21" s="511">
        <f t="shared" ca="1" si="33"/>
        <v>727</v>
      </c>
      <c r="CK21" s="512">
        <f t="shared" ca="1" si="34"/>
        <v>727</v>
      </c>
      <c r="CL21" s="511">
        <f t="shared" ca="1" si="54"/>
        <v>727</v>
      </c>
      <c r="CM21" s="511">
        <f ca="1">ROUND(CS21-IF(OR($CE21&gt;=OP!$C$24,AND(CH21=15,CF21=12),CS21=0),0,(CT21-CR21)),$CM$7)</f>
        <v>0</v>
      </c>
      <c r="CN21" s="511">
        <f ca="1">ROUND(SUM(CP21,CQ9:CQ20),$CN$7)</f>
        <v>0</v>
      </c>
      <c r="CO21" s="351">
        <f t="shared" ca="1" si="35"/>
        <v>727</v>
      </c>
      <c r="CP21" s="473">
        <f t="shared" ca="1" si="36"/>
        <v>0</v>
      </c>
      <c r="CQ21" s="473">
        <f t="shared" ca="1" si="6"/>
        <v>1.5537882380000001</v>
      </c>
      <c r="CR21" s="476">
        <f t="shared" ca="1" si="37"/>
        <v>727</v>
      </c>
      <c r="CS21" s="494">
        <f ca="1">IF(OR($Q20&lt;&gt;1,OP!$D$5+$CE21-1&lt;16,$CE21-1&lt;1),0,ROUND(ROUND(ROUND(((VLOOKUP($CE21-1,MORE_PV,5,0)/10000)*VLOOKUP($CE21,MORE_PV,$CS$5,0)),3)*VLOOKUP($CE21,more1,5,0),0)/$R20,0))</f>
        <v>0</v>
      </c>
      <c r="CT21" s="473">
        <f ca="1">IF($AW21=1,IF(N($CR21+$CS21)&lt;N($AX21)*OP!$C$50,N($CR21+$CS21),MIN(N($CR21+$CS21),N($AX21))),0)</f>
        <v>0</v>
      </c>
      <c r="CV21" s="503">
        <f t="shared" ca="1" si="38"/>
        <v>727</v>
      </c>
      <c r="CW21" s="503">
        <f t="shared" ca="1" si="39"/>
        <v>728.55378823800004</v>
      </c>
      <c r="CX21" s="503">
        <f t="shared" ca="1" si="40"/>
        <v>728.55378823800004</v>
      </c>
    </row>
    <row r="22" spans="1:102" ht="16.5" hidden="1">
      <c r="A22" s="450">
        <f ca="1">OP!$D$5+$B22-1</f>
        <v>44</v>
      </c>
      <c r="B22" s="192">
        <v>12</v>
      </c>
      <c r="C22" s="219">
        <f ca="1">ROUND(VLOOKUP(OP!$C$55,PV0,B22+2,0)*OP!$C$28,0)</f>
        <v>1145630</v>
      </c>
      <c r="D22" s="189">
        <f t="shared" ca="1" si="41"/>
        <v>1145630</v>
      </c>
      <c r="E22" s="221">
        <f t="shared" ca="1" si="42"/>
        <v>2.69E-2</v>
      </c>
      <c r="F22" s="222">
        <f t="shared" ca="1" si="43"/>
        <v>6.8999999999999999E-3</v>
      </c>
      <c r="G22" s="223">
        <f t="shared" ca="1" si="55"/>
        <v>49421</v>
      </c>
      <c r="H22" s="224">
        <f t="shared" ca="1" si="56"/>
        <v>8091</v>
      </c>
      <c r="I22" s="450">
        <f t="shared" ca="1" si="57"/>
        <v>1</v>
      </c>
      <c r="J22" s="192">
        <f t="shared" si="7"/>
        <v>2</v>
      </c>
      <c r="K22" s="192">
        <f t="shared" si="8"/>
        <v>2</v>
      </c>
      <c r="L22" s="192" t="str">
        <f t="shared" si="0"/>
        <v/>
      </c>
      <c r="M22" s="216">
        <f t="shared" ca="1" si="9"/>
        <v>0</v>
      </c>
      <c r="N22" s="216"/>
      <c r="O22" s="216"/>
      <c r="P22" s="216"/>
      <c r="Q22" s="456" t="str">
        <f t="shared" ca="1" si="10"/>
        <v/>
      </c>
      <c r="R22" s="450">
        <f t="shared" ca="1" si="11"/>
        <v>1</v>
      </c>
      <c r="S22" s="191">
        <f t="shared" si="12"/>
        <v>2</v>
      </c>
      <c r="T22" s="191">
        <f t="shared" si="13"/>
        <v>2</v>
      </c>
      <c r="U22" s="191">
        <f ca="1">OP!$D$5+$S22-1</f>
        <v>34</v>
      </c>
      <c r="V22" s="191" t="str">
        <f t="shared" si="14"/>
        <v/>
      </c>
      <c r="W22" s="350">
        <f ca="1">IF(Q22&lt;&gt;1,0,VLOOKUP(OP!$C$55,PVFB,$S22+2,0))</f>
        <v>0</v>
      </c>
      <c r="X22" s="473">
        <f t="shared" ca="1" si="44"/>
        <v>0</v>
      </c>
      <c r="Y22" s="348">
        <f t="shared" ca="1" si="45"/>
        <v>0</v>
      </c>
      <c r="Z22" s="348">
        <f t="shared" ca="1" si="46"/>
        <v>268</v>
      </c>
      <c r="AA22" s="348">
        <f ca="1">IF(Q22&lt;&gt;1,0,VLOOKUP(OP!$C$55,PVFB,$S22+2,0))</f>
        <v>0</v>
      </c>
      <c r="AB22" s="488" t="str">
        <f ca="1">IF(AND(S22&lt;OP!$C$24,$U22&lt;15),0,IF(AND($U22&lt;15,$T22=12),ROUND(VLOOKUP($S22,DOWN16,5,0),3),IF($T22=12,ROUND(($Z22/10000)*$AA22,3)+IF(AND($P$7="購買增額繳清保險",T22=12,U22=110),VLOOKUP(S22,$B$10:$H$121,7,0),0),"")))</f>
        <v/>
      </c>
      <c r="AC22" s="350" t="str">
        <f ca="1">IF(AND(S22&lt;OP!$C$24,$U22&lt;15),0,IF(AND($U22&lt;16,$T22=12),VLOOKUP($S22,DOWN16,4,0),IF($T22=12,ROUND(VLOOKUP(OP!$C$55,_DIE2,$S22+1,0)*(Z22/10000),0)+IF(AND($P$7="購買增額繳清保險",T22=12,U22=110),VLOOKUP(S22,$B$10:$H$121,7,0),0),"")))</f>
        <v/>
      </c>
      <c r="AD22" s="347"/>
      <c r="AE22" s="350" t="str">
        <f t="shared" ca="1" si="1"/>
        <v/>
      </c>
      <c r="AF22" s="351" t="str">
        <f t="shared" ca="1" si="2"/>
        <v/>
      </c>
      <c r="AG22" s="340"/>
      <c r="AH22" s="191">
        <v>12</v>
      </c>
      <c r="AI22" s="191">
        <f ca="1">OP!$D$5+計算!AH22-1</f>
        <v>44</v>
      </c>
      <c r="AJ22" s="354">
        <f t="shared" ca="1" si="58"/>
        <v>0</v>
      </c>
      <c r="AK22" s="354">
        <f t="shared" ca="1" si="59"/>
        <v>38752</v>
      </c>
      <c r="AL22" s="354">
        <f t="shared" ca="1" si="62"/>
        <v>76466</v>
      </c>
      <c r="AM22" s="340"/>
      <c r="AN22" s="191">
        <f t="shared" si="15"/>
        <v>2</v>
      </c>
      <c r="AO22" s="191">
        <f t="shared" si="16"/>
        <v>2</v>
      </c>
      <c r="AP22" s="191">
        <f ca="1">OP!$D$5+$AN22-1</f>
        <v>34</v>
      </c>
      <c r="AQ22" s="191" t="str">
        <f t="shared" si="17"/>
        <v/>
      </c>
      <c r="AR22" s="352">
        <f t="shared" ca="1" si="18"/>
        <v>0</v>
      </c>
      <c r="AS22" s="352"/>
      <c r="AT22" s="352"/>
      <c r="AU22" s="436"/>
      <c r="AV22" s="353" t="str">
        <f t="shared" ca="1" si="19"/>
        <v/>
      </c>
      <c r="AW22" s="422" t="str">
        <f t="shared" si="20"/>
        <v/>
      </c>
      <c r="AX22" s="423" t="str">
        <f ca="1">IF(AND($AW22=1,$AP22&lt;16,$AN21&lt;OP!$C$24),OP!$C$49,"")</f>
        <v/>
      </c>
      <c r="AY22" s="340"/>
      <c r="AZ22" s="465">
        <f t="shared" ca="1" si="21"/>
        <v>7.3698599999999999E-5</v>
      </c>
      <c r="BA22" s="464">
        <f t="shared" ca="1" si="22"/>
        <v>2.2109589000000002E-3</v>
      </c>
      <c r="BB22" s="465">
        <f t="shared" ca="1" si="22"/>
        <v>2.2846575E-3</v>
      </c>
      <c r="BC22" s="466">
        <f t="shared" ca="1" si="23"/>
        <v>43282</v>
      </c>
      <c r="BD22" s="467">
        <f t="shared" ca="1" si="47"/>
        <v>43283</v>
      </c>
      <c r="BE22" s="467">
        <f t="shared" ca="1" si="24"/>
        <v>43312</v>
      </c>
      <c r="BF22" s="468">
        <f ca="1">IF(計算!$BC22&lt;OP!$C$3,0,BD22-BC22)</f>
        <v>1</v>
      </c>
      <c r="BG22" s="468">
        <f ca="1">IF($BE22&gt;DATE(YEAR($BD$9)+OP!$C$57,MONTH($BD$9),DAY($BD$9)),0,$BE22-$BD22+1)</f>
        <v>30</v>
      </c>
      <c r="BH22" s="469">
        <f t="shared" ca="1" si="25"/>
        <v>31</v>
      </c>
      <c r="BI22" t="str">
        <f t="shared" si="63"/>
        <v/>
      </c>
      <c r="BJ22">
        <v>1</v>
      </c>
      <c r="BK22" s="468"/>
      <c r="BL22" s="468"/>
      <c r="BN22" s="468">
        <f t="shared" si="48"/>
        <v>2</v>
      </c>
      <c r="BO22" s="468">
        <f t="shared" si="49"/>
        <v>1</v>
      </c>
      <c r="BP22" s="467">
        <f t="shared" ca="1" si="26"/>
        <v>43283</v>
      </c>
      <c r="BQ22" s="475">
        <f t="shared" ca="1" si="60"/>
        <v>34</v>
      </c>
      <c r="BR22" s="475" t="str">
        <f t="shared" si="50"/>
        <v/>
      </c>
      <c r="BS22" s="471" t="str">
        <f t="shared" si="27"/>
        <v/>
      </c>
      <c r="BT22" s="472" t="str">
        <f t="shared" ref="BT22:BT85" si="64">IF(BW22&lt;&gt;"",IF(BN22&gt;=$P$4+1,ROUND(BU22,0)+ROUND(BV22,0)+ROUND(BW22,0)+BT10,0),"")</f>
        <v/>
      </c>
      <c r="BU22" s="472">
        <f t="shared" ca="1" si="28"/>
        <v>0</v>
      </c>
      <c r="BV22" s="472">
        <f t="shared" ca="1" si="28"/>
        <v>0</v>
      </c>
      <c r="BW22" s="472"/>
      <c r="BX22" s="473">
        <f t="shared" ca="1" si="29"/>
        <v>0</v>
      </c>
      <c r="BY22" s="473">
        <f t="shared" si="30"/>
        <v>0</v>
      </c>
      <c r="BZ22" s="473">
        <f t="shared" ca="1" si="4"/>
        <v>0</v>
      </c>
      <c r="CA22" s="476">
        <f t="shared" ca="1" si="31"/>
        <v>0</v>
      </c>
      <c r="CB22" s="494">
        <f ca="1">IF(OR($Q21&lt;&gt;1,OP!$D$5+$BN22-1&lt;16,$BN22-1&lt;1),0,ROUND(ROUND(ROUND(((VLOOKUP($BN22-1,MORE_PV,5,0)/10000)*VLOOKUP($BN22,MORE_PV,$CB$5,0)),3)*VLOOKUP($BN22,more1,5,0),0)/$R21,0))</f>
        <v>0</v>
      </c>
      <c r="CC22" s="473">
        <f t="shared" ca="1" si="32"/>
        <v>0</v>
      </c>
      <c r="CD22" s="477"/>
      <c r="CE22" s="468">
        <f t="shared" si="51"/>
        <v>2</v>
      </c>
      <c r="CF22" s="468">
        <f t="shared" si="52"/>
        <v>1</v>
      </c>
      <c r="CG22" s="467">
        <f t="shared" ca="1" si="5"/>
        <v>43283</v>
      </c>
      <c r="CH22" s="475">
        <f t="shared" ca="1" si="61"/>
        <v>34</v>
      </c>
      <c r="CI22" s="513" t="str">
        <f t="shared" si="53"/>
        <v/>
      </c>
      <c r="CJ22" s="511">
        <f t="shared" si="33"/>
        <v>0</v>
      </c>
      <c r="CK22" s="512">
        <f t="shared" si="34"/>
        <v>0</v>
      </c>
      <c r="CL22" s="511">
        <f t="shared" ca="1" si="54"/>
        <v>0</v>
      </c>
      <c r="CM22" s="511">
        <f ca="1">ROUND(CS22-IF(OR($CE22&gt;=OP!$C$24,AND(CH22=15,CF22=12),CS22=0),0,(CT22-CR22)),$CM$7)</f>
        <v>0</v>
      </c>
      <c r="CN22" s="511"/>
      <c r="CO22" s="351">
        <f t="shared" ca="1" si="35"/>
        <v>729</v>
      </c>
      <c r="CP22" s="473">
        <f t="shared" si="36"/>
        <v>0</v>
      </c>
      <c r="CQ22" s="473">
        <f t="shared" ca="1" si="6"/>
        <v>1.665515318</v>
      </c>
      <c r="CR22" s="476">
        <f t="shared" ca="1" si="37"/>
        <v>0</v>
      </c>
      <c r="CS22" s="494">
        <f ca="1">IF(OR($Q21&lt;&gt;1,OP!$D$5+$CE22-1&lt;16,$CE22-1&lt;1),0,ROUND(ROUND(ROUND(((VLOOKUP($CE22-1,MORE_PV,5,0)/10000)*VLOOKUP($CE22,MORE_PV,$CS$5,0)),3)*VLOOKUP($CE22,more1,5,0),0)/$R21,0))</f>
        <v>0</v>
      </c>
      <c r="CT22" s="473">
        <f>IF($AW22=1,IF(N($CR22+$CS22)&lt;N($AX22)*OP!$C$50,N($CR22+$CS22),MIN(N($CR22+$CS22),N($AX22))),0)</f>
        <v>0</v>
      </c>
      <c r="CV22" s="503">
        <f t="shared" ca="1" si="38"/>
        <v>728.60748163200003</v>
      </c>
      <c r="CW22" s="503">
        <f t="shared" ca="1" si="39"/>
        <v>0</v>
      </c>
      <c r="CX22" s="503">
        <f t="shared" ca="1" si="40"/>
        <v>730.21828411399997</v>
      </c>
    </row>
    <row r="23" spans="1:102" ht="16.5" hidden="1">
      <c r="A23" s="450">
        <f ca="1">OP!$D$5+$B23-1</f>
        <v>45</v>
      </c>
      <c r="B23" s="192">
        <v>13</v>
      </c>
      <c r="C23" s="219">
        <f ca="1">ROUND(VLOOKUP(OP!$C$55,PV0,B23+2,0)*OP!$C$28,0)</f>
        <v>1168546</v>
      </c>
      <c r="D23" s="189">
        <f t="shared" ca="1" si="41"/>
        <v>1168546</v>
      </c>
      <c r="E23" s="221">
        <f t="shared" ca="1" si="42"/>
        <v>2.69E-2</v>
      </c>
      <c r="F23" s="222">
        <f t="shared" ca="1" si="43"/>
        <v>6.8999999999999999E-3</v>
      </c>
      <c r="G23" s="223">
        <f t="shared" ca="1" si="55"/>
        <v>59020</v>
      </c>
      <c r="H23" s="224">
        <f t="shared" ca="1" si="56"/>
        <v>8253</v>
      </c>
      <c r="I23" s="450">
        <f t="shared" ca="1" si="57"/>
        <v>1</v>
      </c>
      <c r="J23" s="192">
        <f t="shared" si="7"/>
        <v>2</v>
      </c>
      <c r="K23" s="192">
        <f t="shared" si="8"/>
        <v>3</v>
      </c>
      <c r="L23" s="192" t="str">
        <f t="shared" si="0"/>
        <v/>
      </c>
      <c r="M23" s="216">
        <f t="shared" ca="1" si="9"/>
        <v>0</v>
      </c>
      <c r="N23" s="216"/>
      <c r="O23" s="216"/>
      <c r="P23" s="216"/>
      <c r="Q23" s="456" t="str">
        <f t="shared" ca="1" si="10"/>
        <v/>
      </c>
      <c r="R23" s="450">
        <f t="shared" ca="1" si="11"/>
        <v>1</v>
      </c>
      <c r="S23" s="191">
        <f t="shared" si="12"/>
        <v>2</v>
      </c>
      <c r="T23" s="191">
        <f t="shared" si="13"/>
        <v>3</v>
      </c>
      <c r="U23" s="191">
        <f ca="1">OP!$D$5+$S23-1</f>
        <v>34</v>
      </c>
      <c r="V23" s="191" t="str">
        <f t="shared" si="14"/>
        <v/>
      </c>
      <c r="W23" s="350">
        <f ca="1">IF(Q23&lt;&gt;1,0,VLOOKUP(OP!$C$55,PVFB,$S23+2,0))</f>
        <v>0</v>
      </c>
      <c r="X23" s="473">
        <f t="shared" ca="1" si="44"/>
        <v>0</v>
      </c>
      <c r="Y23" s="348">
        <f t="shared" ca="1" si="45"/>
        <v>0</v>
      </c>
      <c r="Z23" s="348">
        <f t="shared" ca="1" si="46"/>
        <v>268</v>
      </c>
      <c r="AA23" s="348">
        <f ca="1">IF(Q23&lt;&gt;1,0,VLOOKUP(OP!$C$55,PVFB,$S23+2,0))</f>
        <v>0</v>
      </c>
      <c r="AB23" s="488" t="str">
        <f ca="1">IF(AND(S23&lt;OP!$C$24,$U23&lt;15),0,IF(AND($U23&lt;15,$T23=12),ROUND(VLOOKUP($S23,DOWN16,5,0),3),IF($T23=12,ROUND(($Z23/10000)*$AA23,3)+IF(AND($P$7="購買增額繳清保險",T23=12,U23=110),VLOOKUP(S23,$B$10:$H$121,7,0),0),"")))</f>
        <v/>
      </c>
      <c r="AC23" s="350" t="str">
        <f ca="1">IF(AND(S23&lt;OP!$C$24,$U23&lt;15),0,IF(AND($U23&lt;16,$T23=12),VLOOKUP($S23,DOWN16,4,0),IF($T23=12,ROUND(VLOOKUP(OP!$C$55,_DIE2,$S23+1,0)*(Z23/10000),0)+IF(AND($P$7="購買增額繳清保險",T23=12,U23=110),VLOOKUP(S23,$B$10:$H$121,7,0),0),"")))</f>
        <v/>
      </c>
      <c r="AD23" s="347"/>
      <c r="AE23" s="350" t="str">
        <f t="shared" ca="1" si="1"/>
        <v/>
      </c>
      <c r="AF23" s="351" t="str">
        <f t="shared" ca="1" si="2"/>
        <v/>
      </c>
      <c r="AG23" s="340"/>
      <c r="AH23" s="191">
        <v>13</v>
      </c>
      <c r="AI23" s="191">
        <f ca="1">OP!$D$5+計算!AH23-1</f>
        <v>45</v>
      </c>
      <c r="AJ23" s="354">
        <f t="shared" ca="1" si="58"/>
        <v>0</v>
      </c>
      <c r="AK23" s="354">
        <f t="shared" ca="1" si="59"/>
        <v>38752</v>
      </c>
      <c r="AL23" s="354">
        <f t="shared" ca="1" si="62"/>
        <v>86612</v>
      </c>
      <c r="AM23" s="340"/>
      <c r="AN23" s="191">
        <f t="shared" si="15"/>
        <v>2</v>
      </c>
      <c r="AO23" s="191">
        <f t="shared" si="16"/>
        <v>3</v>
      </c>
      <c r="AP23" s="191">
        <f ca="1">OP!$D$5+$AN23-1</f>
        <v>34</v>
      </c>
      <c r="AQ23" s="191" t="str">
        <f t="shared" si="17"/>
        <v/>
      </c>
      <c r="AR23" s="352">
        <f t="shared" ca="1" si="18"/>
        <v>0</v>
      </c>
      <c r="AS23" s="352"/>
      <c r="AT23" s="352"/>
      <c r="AU23" s="436"/>
      <c r="AV23" s="353" t="str">
        <f t="shared" ca="1" si="19"/>
        <v/>
      </c>
      <c r="AW23" s="422" t="str">
        <f t="shared" si="20"/>
        <v/>
      </c>
      <c r="AX23" s="423" t="str">
        <f ca="1">IF(AND($AW23=1,$AP23&lt;16,$AN22&lt;OP!$C$24),OP!$C$49,"")</f>
        <v/>
      </c>
      <c r="AY23" s="340"/>
      <c r="AZ23" s="465">
        <f t="shared" ca="1" si="21"/>
        <v>7.3698599999999999E-5</v>
      </c>
      <c r="BA23" s="464">
        <f t="shared" ca="1" si="22"/>
        <v>2.2109589000000002E-3</v>
      </c>
      <c r="BB23" s="465">
        <f t="shared" ca="1" si="22"/>
        <v>2.2846575E-3</v>
      </c>
      <c r="BC23" s="466">
        <f t="shared" ca="1" si="23"/>
        <v>43313</v>
      </c>
      <c r="BD23" s="467">
        <f t="shared" ca="1" si="47"/>
        <v>43314</v>
      </c>
      <c r="BE23" s="467">
        <f t="shared" ca="1" si="24"/>
        <v>43343</v>
      </c>
      <c r="BF23" s="468">
        <f ca="1">IF(計算!$BC23&lt;OP!$C$3,0,BD23-BC23)</f>
        <v>1</v>
      </c>
      <c r="BG23" s="468">
        <f ca="1">IF($BE23&gt;DATE(YEAR($BD$9)+OP!$C$57,MONTH($BD$9),DAY($BD$9)),0,$BE23-$BD23+1)</f>
        <v>30</v>
      </c>
      <c r="BH23" s="469">
        <f t="shared" ca="1" si="25"/>
        <v>31</v>
      </c>
      <c r="BI23" t="str">
        <f t="shared" si="63"/>
        <v/>
      </c>
      <c r="BJ23">
        <v>2</v>
      </c>
      <c r="BK23" s="468"/>
      <c r="BL23" s="468"/>
      <c r="BN23" s="468">
        <f t="shared" si="48"/>
        <v>2</v>
      </c>
      <c r="BO23" s="468">
        <f t="shared" si="49"/>
        <v>2</v>
      </c>
      <c r="BP23" s="467">
        <f t="shared" ca="1" si="26"/>
        <v>43314</v>
      </c>
      <c r="BQ23" s="475">
        <f t="shared" ca="1" si="60"/>
        <v>34</v>
      </c>
      <c r="BR23" s="475" t="str">
        <f t="shared" si="50"/>
        <v/>
      </c>
      <c r="BS23" s="471" t="str">
        <f t="shared" si="27"/>
        <v/>
      </c>
      <c r="BT23" s="472" t="str">
        <f t="shared" si="64"/>
        <v/>
      </c>
      <c r="BU23" s="472">
        <f t="shared" ca="1" si="28"/>
        <v>0</v>
      </c>
      <c r="BV23" s="472">
        <f t="shared" ca="1" si="28"/>
        <v>0</v>
      </c>
      <c r="BW23" s="472"/>
      <c r="BX23" s="473">
        <f t="shared" ca="1" si="29"/>
        <v>0</v>
      </c>
      <c r="BY23" s="473">
        <f t="shared" si="30"/>
        <v>0</v>
      </c>
      <c r="BZ23" s="473">
        <f t="shared" ca="1" si="4"/>
        <v>0</v>
      </c>
      <c r="CA23" s="476">
        <f t="shared" ca="1" si="31"/>
        <v>0</v>
      </c>
      <c r="CB23" s="494">
        <f ca="1">IF(OR($Q22&lt;&gt;1,OP!$D$5+$BN23-1&lt;16,$BN23-1&lt;1),0,ROUND(ROUND(ROUND(((VLOOKUP($BN23-1,MORE_PV,5,0)/10000)*VLOOKUP($BN23,MORE_PV,$CB$5,0)),3)*VLOOKUP($BN23,more1,5,0),0)/$R22,0))</f>
        <v>0</v>
      </c>
      <c r="CC23" s="473">
        <f t="shared" ca="1" si="32"/>
        <v>0</v>
      </c>
      <c r="CD23" s="477"/>
      <c r="CE23" s="468">
        <f t="shared" si="51"/>
        <v>2</v>
      </c>
      <c r="CF23" s="468">
        <f t="shared" si="52"/>
        <v>2</v>
      </c>
      <c r="CG23" s="467">
        <f t="shared" ca="1" si="5"/>
        <v>43314</v>
      </c>
      <c r="CH23" s="475">
        <f t="shared" ca="1" si="61"/>
        <v>34</v>
      </c>
      <c r="CI23" s="513" t="str">
        <f t="shared" si="53"/>
        <v/>
      </c>
      <c r="CJ23" s="511">
        <f t="shared" si="33"/>
        <v>0</v>
      </c>
      <c r="CK23" s="512">
        <f t="shared" si="34"/>
        <v>0</v>
      </c>
      <c r="CL23" s="511">
        <f t="shared" ca="1" si="54"/>
        <v>0</v>
      </c>
      <c r="CM23" s="511">
        <f ca="1">ROUND(CS23-IF(OR($CE23&gt;=OP!$C$24,AND(CH23=15,CF23=12),CS23=0),0,(CT23-CR23)),$CM$7)</f>
        <v>0</v>
      </c>
      <c r="CN23" s="511"/>
      <c r="CO23" s="351">
        <f t="shared" ca="1" si="35"/>
        <v>730</v>
      </c>
      <c r="CP23" s="473">
        <f t="shared" si="36"/>
        <v>0</v>
      </c>
      <c r="CQ23" s="473">
        <f t="shared" ca="1" si="6"/>
        <v>1.6677999750000001</v>
      </c>
      <c r="CR23" s="476">
        <f t="shared" ca="1" si="37"/>
        <v>0</v>
      </c>
      <c r="CS23" s="494">
        <f ca="1">IF(OR($Q22&lt;&gt;1,OP!$D$5+$CE23-1&lt;16,$CE23-1&lt;1),0,ROUND(ROUND(ROUND(((VLOOKUP($CE23-1,MORE_PV,5,0)/10000)*VLOOKUP($CE23,MORE_PV,$CS$5,0)),3)*VLOOKUP($CE23,more1,5,0),0)/$R22,0))</f>
        <v>0</v>
      </c>
      <c r="CT23" s="473">
        <f>IF($AW23=1,IF(N($CR23+$CS23)&lt;N($AX23)*OP!$C$50,N($CR23+$CS23),MIN(N($CR23+$CS23),N($AX23))),0)</f>
        <v>0</v>
      </c>
      <c r="CV23" s="503">
        <f t="shared" ca="1" si="38"/>
        <v>730.27210017899995</v>
      </c>
      <c r="CW23" s="503">
        <f t="shared" ca="1" si="39"/>
        <v>0</v>
      </c>
      <c r="CX23" s="503">
        <f t="shared" ca="1" si="40"/>
        <v>731.886582793</v>
      </c>
    </row>
    <row r="24" spans="1:102" ht="16.5" hidden="1">
      <c r="A24" s="450">
        <f ca="1">OP!$D$5+$B24-1</f>
        <v>46</v>
      </c>
      <c r="B24" s="192">
        <v>14</v>
      </c>
      <c r="C24" s="219">
        <f ca="1">ROUND(VLOOKUP(OP!$C$55,PV0,B24+2,0)*OP!$C$28,0)</f>
        <v>1191904</v>
      </c>
      <c r="D24" s="189">
        <f t="shared" ca="1" si="41"/>
        <v>1191904</v>
      </c>
      <c r="E24" s="221">
        <f t="shared" ca="1" si="42"/>
        <v>2.69E-2</v>
      </c>
      <c r="F24" s="222">
        <f t="shared" ca="1" si="43"/>
        <v>6.8999999999999999E-3</v>
      </c>
      <c r="G24" s="223">
        <f t="shared" ca="1" si="55"/>
        <v>69045</v>
      </c>
      <c r="H24" s="224">
        <f t="shared" ca="1" si="56"/>
        <v>8418</v>
      </c>
      <c r="I24" s="450">
        <f t="shared" ca="1" si="57"/>
        <v>1</v>
      </c>
      <c r="J24" s="192">
        <f t="shared" si="7"/>
        <v>2</v>
      </c>
      <c r="K24" s="192">
        <f t="shared" si="8"/>
        <v>4</v>
      </c>
      <c r="L24" s="192" t="str">
        <f t="shared" si="0"/>
        <v/>
      </c>
      <c r="M24" s="216">
        <f t="shared" ca="1" si="9"/>
        <v>0</v>
      </c>
      <c r="N24" s="216"/>
      <c r="O24" s="216"/>
      <c r="P24" s="216"/>
      <c r="Q24" s="456" t="str">
        <f t="shared" ca="1" si="10"/>
        <v/>
      </c>
      <c r="R24" s="450">
        <f t="shared" ca="1" si="11"/>
        <v>1</v>
      </c>
      <c r="S24" s="191">
        <f t="shared" si="12"/>
        <v>2</v>
      </c>
      <c r="T24" s="191">
        <f t="shared" si="13"/>
        <v>4</v>
      </c>
      <c r="U24" s="191">
        <f ca="1">OP!$D$5+$S24-1</f>
        <v>34</v>
      </c>
      <c r="V24" s="191" t="str">
        <f t="shared" si="14"/>
        <v/>
      </c>
      <c r="W24" s="350">
        <f ca="1">IF(Q24&lt;&gt;1,0,VLOOKUP(OP!$C$55,PVFB,$S24+2,0))</f>
        <v>0</v>
      </c>
      <c r="X24" s="473">
        <f t="shared" ca="1" si="44"/>
        <v>0</v>
      </c>
      <c r="Y24" s="348">
        <f t="shared" ca="1" si="45"/>
        <v>0</v>
      </c>
      <c r="Z24" s="348">
        <f t="shared" ca="1" si="46"/>
        <v>268</v>
      </c>
      <c r="AA24" s="348">
        <f ca="1">IF(Q24&lt;&gt;1,0,VLOOKUP(OP!$C$55,PVFB,$S24+2,0))</f>
        <v>0</v>
      </c>
      <c r="AB24" s="488" t="str">
        <f ca="1">IF(AND(S24&lt;OP!$C$24,$U24&lt;15),0,IF(AND($U24&lt;15,$T24=12),ROUND(VLOOKUP($S24,DOWN16,5,0),3),IF($T24=12,ROUND(($Z24/10000)*$AA24,3)+IF(AND($P$7="購買增額繳清保險",T24=12,U24=110),VLOOKUP(S24,$B$10:$H$121,7,0),0),"")))</f>
        <v/>
      </c>
      <c r="AC24" s="350" t="str">
        <f ca="1">IF(AND(S24&lt;OP!$C$24,$U24&lt;15),0,IF(AND($U24&lt;16,$T24=12),VLOOKUP($S24,DOWN16,4,0),IF($T24=12,ROUND(VLOOKUP(OP!$C$55,_DIE2,$S24+1,0)*(Z24/10000),0)+IF(AND($P$7="購買增額繳清保險",T24=12,U24=110),VLOOKUP(S24,$B$10:$H$121,7,0),0),"")))</f>
        <v/>
      </c>
      <c r="AD24" s="347"/>
      <c r="AE24" s="350" t="str">
        <f t="shared" ca="1" si="1"/>
        <v/>
      </c>
      <c r="AF24" s="351" t="str">
        <f t="shared" ca="1" si="2"/>
        <v/>
      </c>
      <c r="AG24" s="340"/>
      <c r="AH24" s="191">
        <v>14</v>
      </c>
      <c r="AI24" s="191">
        <f ca="1">OP!$D$5+計算!AH24-1</f>
        <v>46</v>
      </c>
      <c r="AJ24" s="354">
        <f t="shared" ca="1" si="58"/>
        <v>0</v>
      </c>
      <c r="AK24" s="354">
        <f t="shared" ca="1" si="59"/>
        <v>38752</v>
      </c>
      <c r="AL24" s="354">
        <f t="shared" ca="1" si="62"/>
        <v>97194</v>
      </c>
      <c r="AM24" s="340"/>
      <c r="AN24" s="191">
        <f t="shared" si="15"/>
        <v>2</v>
      </c>
      <c r="AO24" s="191">
        <f t="shared" si="16"/>
        <v>4</v>
      </c>
      <c r="AP24" s="191">
        <f ca="1">OP!$D$5+$AN24-1</f>
        <v>34</v>
      </c>
      <c r="AQ24" s="191" t="str">
        <f t="shared" si="17"/>
        <v/>
      </c>
      <c r="AR24" s="352">
        <f t="shared" ca="1" si="18"/>
        <v>0</v>
      </c>
      <c r="AS24" s="352"/>
      <c r="AT24" s="352"/>
      <c r="AU24" s="436"/>
      <c r="AV24" s="353" t="str">
        <f t="shared" ca="1" si="19"/>
        <v/>
      </c>
      <c r="AW24" s="422" t="str">
        <f t="shared" si="20"/>
        <v/>
      </c>
      <c r="AX24" s="423" t="str">
        <f ca="1">IF(AND($AW24=1,$AP24&lt;16,$AN23&lt;OP!$C$24),OP!$C$49,"")</f>
        <v/>
      </c>
      <c r="AY24" s="340"/>
      <c r="AZ24" s="465">
        <f t="shared" ca="1" si="21"/>
        <v>7.3698599999999999E-5</v>
      </c>
      <c r="BA24" s="464">
        <f t="shared" ca="1" si="22"/>
        <v>2.1372602999999999E-3</v>
      </c>
      <c r="BB24" s="465">
        <f t="shared" ca="1" si="22"/>
        <v>2.2109589000000002E-3</v>
      </c>
      <c r="BC24" s="466">
        <f t="shared" ca="1" si="23"/>
        <v>43344</v>
      </c>
      <c r="BD24" s="467">
        <f t="shared" ca="1" si="47"/>
        <v>43345</v>
      </c>
      <c r="BE24" s="467">
        <f t="shared" ca="1" si="24"/>
        <v>43373</v>
      </c>
      <c r="BF24" s="468">
        <f ca="1">IF(計算!$BC24&lt;OP!$C$3,0,BD24-BC24)</f>
        <v>1</v>
      </c>
      <c r="BG24" s="468">
        <f ca="1">IF($BE24&gt;DATE(YEAR($BD$9)+OP!$C$57,MONTH($BD$9),DAY($BD$9)),0,$BE24-$BD24+1)</f>
        <v>29</v>
      </c>
      <c r="BH24" s="469">
        <f t="shared" ca="1" si="25"/>
        <v>30</v>
      </c>
      <c r="BI24" t="str">
        <f t="shared" si="63"/>
        <v/>
      </c>
      <c r="BJ24">
        <v>3</v>
      </c>
      <c r="BK24" s="468"/>
      <c r="BL24" s="468"/>
      <c r="BN24" s="468">
        <f t="shared" si="48"/>
        <v>2</v>
      </c>
      <c r="BO24" s="468">
        <f t="shared" si="49"/>
        <v>3</v>
      </c>
      <c r="BP24" s="467">
        <f t="shared" ca="1" si="26"/>
        <v>43345</v>
      </c>
      <c r="BQ24" s="475">
        <f t="shared" ca="1" si="60"/>
        <v>34</v>
      </c>
      <c r="BR24" s="475" t="str">
        <f t="shared" si="50"/>
        <v/>
      </c>
      <c r="BS24" s="471" t="str">
        <f t="shared" si="27"/>
        <v/>
      </c>
      <c r="BT24" s="472" t="str">
        <f t="shared" si="64"/>
        <v/>
      </c>
      <c r="BU24" s="472">
        <f t="shared" ca="1" si="28"/>
        <v>0</v>
      </c>
      <c r="BV24" s="472">
        <f t="shared" ca="1" si="28"/>
        <v>0</v>
      </c>
      <c r="BW24" s="472"/>
      <c r="BX24" s="473">
        <f t="shared" ca="1" si="29"/>
        <v>0</v>
      </c>
      <c r="BY24" s="473">
        <f t="shared" si="30"/>
        <v>0</v>
      </c>
      <c r="BZ24" s="473">
        <f t="shared" ca="1" si="4"/>
        <v>0</v>
      </c>
      <c r="CA24" s="476">
        <f t="shared" ca="1" si="31"/>
        <v>0</v>
      </c>
      <c r="CB24" s="494">
        <f ca="1">IF(OR($Q23&lt;&gt;1,OP!$D$5+$BN24-1&lt;16,$BN24-1&lt;1),0,ROUND(ROUND(ROUND(((VLOOKUP($BN24-1,MORE_PV,5,0)/10000)*VLOOKUP($BN24,MORE_PV,$CB$5,0)),3)*VLOOKUP($BN24,more1,5,0),0)/$R23,0))</f>
        <v>0</v>
      </c>
      <c r="CC24" s="473">
        <f t="shared" ca="1" si="32"/>
        <v>0</v>
      </c>
      <c r="CD24" s="477"/>
      <c r="CE24" s="468">
        <f t="shared" si="51"/>
        <v>2</v>
      </c>
      <c r="CF24" s="468">
        <f t="shared" si="52"/>
        <v>3</v>
      </c>
      <c r="CG24" s="467">
        <f t="shared" ca="1" si="5"/>
        <v>43345</v>
      </c>
      <c r="CH24" s="475">
        <f t="shared" ca="1" si="61"/>
        <v>34</v>
      </c>
      <c r="CI24" s="513" t="str">
        <f t="shared" si="53"/>
        <v/>
      </c>
      <c r="CJ24" s="511">
        <f t="shared" si="33"/>
        <v>0</v>
      </c>
      <c r="CK24" s="512">
        <f t="shared" si="34"/>
        <v>0</v>
      </c>
      <c r="CL24" s="511">
        <f t="shared" ca="1" si="54"/>
        <v>0</v>
      </c>
      <c r="CM24" s="511">
        <f ca="1">ROUND(CS24-IF(OR($CE24&gt;=OP!$C$24,AND(CH24=15,CF24=12),CS24=0),0,(CT24-CR24)),$CM$7)</f>
        <v>0</v>
      </c>
      <c r="CN24" s="511"/>
      <c r="CO24" s="351">
        <f t="shared" ca="1" si="35"/>
        <v>732</v>
      </c>
      <c r="CP24" s="473">
        <f t="shared" si="36"/>
        <v>0</v>
      </c>
      <c r="CQ24" s="473">
        <f t="shared" ca="1" si="6"/>
        <v>1.6184219150000001</v>
      </c>
      <c r="CR24" s="476">
        <f t="shared" ca="1" si="37"/>
        <v>0</v>
      </c>
      <c r="CS24" s="494">
        <f ca="1">IF(OR($Q23&lt;&gt;1,OP!$D$5+$CE24-1&lt;16,$CE24-1&lt;1),0,ROUND(ROUND(ROUND(((VLOOKUP($CE24-1,MORE_PV,5,0)/10000)*VLOOKUP($CE24,MORE_PV,$CS$5,0)),3)*VLOOKUP($CE24,more1,5,0),0)/$R23,0))</f>
        <v>0</v>
      </c>
      <c r="CT24" s="473">
        <f>IF($AW24=1,IF(N($CR24+$CS24)&lt;N($AX24)*OP!$C$50,N($CR24+$CS24),MIN(N($CR24+$CS24),N($AX24))),0)</f>
        <v>0</v>
      </c>
      <c r="CV24" s="503">
        <f t="shared" ca="1" si="38"/>
        <v>731.94052180999995</v>
      </c>
      <c r="CW24" s="503">
        <f t="shared" ca="1" si="39"/>
        <v>0</v>
      </c>
      <c r="CX24" s="503">
        <f t="shared" ca="1" si="40"/>
        <v>733.50475394700004</v>
      </c>
    </row>
    <row r="25" spans="1:102" ht="16.5" hidden="1">
      <c r="A25" s="450">
        <f ca="1">OP!$D$5+$B25-1</f>
        <v>47</v>
      </c>
      <c r="B25" s="192">
        <v>15</v>
      </c>
      <c r="C25" s="219">
        <f ca="1">ROUND(VLOOKUP(OP!$C$55,PV0,B25+2,0)*OP!$C$28,0)</f>
        <v>1215738</v>
      </c>
      <c r="D25" s="189">
        <f t="shared" ca="1" si="41"/>
        <v>1215738</v>
      </c>
      <c r="E25" s="221">
        <f t="shared" ca="1" si="42"/>
        <v>2.69E-2</v>
      </c>
      <c r="F25" s="222">
        <f t="shared" ca="1" si="43"/>
        <v>6.8999999999999999E-3</v>
      </c>
      <c r="G25" s="223">
        <f t="shared" ca="1" si="55"/>
        <v>79518</v>
      </c>
      <c r="H25" s="224">
        <f t="shared" ca="1" si="56"/>
        <v>8587</v>
      </c>
      <c r="I25" s="450">
        <f t="shared" ca="1" si="57"/>
        <v>1</v>
      </c>
      <c r="J25" s="192">
        <f t="shared" si="7"/>
        <v>2</v>
      </c>
      <c r="K25" s="192">
        <f t="shared" si="8"/>
        <v>5</v>
      </c>
      <c r="L25" s="192" t="str">
        <f t="shared" si="0"/>
        <v/>
      </c>
      <c r="M25" s="216">
        <f t="shared" ca="1" si="9"/>
        <v>0</v>
      </c>
      <c r="N25" s="216"/>
      <c r="O25" s="216"/>
      <c r="P25" s="216"/>
      <c r="Q25" s="456" t="str">
        <f t="shared" ca="1" si="10"/>
        <v/>
      </c>
      <c r="R25" s="450">
        <f t="shared" ca="1" si="11"/>
        <v>1</v>
      </c>
      <c r="S25" s="191">
        <f t="shared" si="12"/>
        <v>2</v>
      </c>
      <c r="T25" s="191">
        <f t="shared" si="13"/>
        <v>5</v>
      </c>
      <c r="U25" s="191">
        <f ca="1">OP!$D$5+$S25-1</f>
        <v>34</v>
      </c>
      <c r="V25" s="191" t="str">
        <f t="shared" si="14"/>
        <v/>
      </c>
      <c r="W25" s="350">
        <f ca="1">IF(Q25&lt;&gt;1,0,VLOOKUP(OP!$C$55,PVFB,$S25+2,0))</f>
        <v>0</v>
      </c>
      <c r="X25" s="473">
        <f t="shared" ca="1" si="44"/>
        <v>0</v>
      </c>
      <c r="Y25" s="348">
        <f t="shared" ca="1" si="45"/>
        <v>0</v>
      </c>
      <c r="Z25" s="348">
        <f t="shared" ca="1" si="46"/>
        <v>268</v>
      </c>
      <c r="AA25" s="348">
        <f ca="1">IF(Q25&lt;&gt;1,0,VLOOKUP(OP!$C$55,PVFB,$S25+2,0))</f>
        <v>0</v>
      </c>
      <c r="AB25" s="488" t="str">
        <f ca="1">IF(AND(S25&lt;OP!$C$24,$U25&lt;15),0,IF(AND($U25&lt;15,$T25=12),ROUND(VLOOKUP($S25,DOWN16,5,0),3),IF($T25=12,ROUND(($Z25/10000)*$AA25,3)+IF(AND($P$7="購買增額繳清保險",T25=12,U25=110),VLOOKUP(S25,$B$10:$H$121,7,0),0),"")))</f>
        <v/>
      </c>
      <c r="AC25" s="350" t="str">
        <f ca="1">IF(AND(S25&lt;OP!$C$24,$U25&lt;15),0,IF(AND($U25&lt;16,$T25=12),VLOOKUP($S25,DOWN16,4,0),IF($T25=12,ROUND(VLOOKUP(OP!$C$55,_DIE2,$S25+1,0)*(Z25/10000),0)+IF(AND($P$7="購買增額繳清保險",T25=12,U25=110),VLOOKUP(S25,$B$10:$H$121,7,0),0),"")))</f>
        <v/>
      </c>
      <c r="AD25" s="347"/>
      <c r="AE25" s="350" t="str">
        <f t="shared" ca="1" si="1"/>
        <v/>
      </c>
      <c r="AF25" s="351" t="str">
        <f t="shared" ca="1" si="2"/>
        <v/>
      </c>
      <c r="AG25" s="340"/>
      <c r="AH25" s="191">
        <v>15</v>
      </c>
      <c r="AI25" s="191">
        <f ca="1">OP!$D$5+計算!AH25-1</f>
        <v>47</v>
      </c>
      <c r="AJ25" s="354">
        <f t="shared" ca="1" si="58"/>
        <v>0</v>
      </c>
      <c r="AK25" s="354">
        <f t="shared" ca="1" si="59"/>
        <v>38752</v>
      </c>
      <c r="AL25" s="354">
        <f t="shared" ca="1" si="62"/>
        <v>108238</v>
      </c>
      <c r="AM25" s="340"/>
      <c r="AN25" s="191">
        <f t="shared" si="15"/>
        <v>2</v>
      </c>
      <c r="AO25" s="191">
        <f t="shared" si="16"/>
        <v>5</v>
      </c>
      <c r="AP25" s="191">
        <f ca="1">OP!$D$5+$AN25-1</f>
        <v>34</v>
      </c>
      <c r="AQ25" s="191" t="str">
        <f t="shared" si="17"/>
        <v/>
      </c>
      <c r="AR25" s="352">
        <f t="shared" ca="1" si="18"/>
        <v>0</v>
      </c>
      <c r="AS25" s="352"/>
      <c r="AT25" s="352"/>
      <c r="AU25" s="436"/>
      <c r="AV25" s="353" t="str">
        <f t="shared" ca="1" si="19"/>
        <v/>
      </c>
      <c r="AW25" s="422" t="str">
        <f t="shared" si="20"/>
        <v/>
      </c>
      <c r="AX25" s="423" t="str">
        <f ca="1">IF(AND($AW25=1,$AP25&lt;16,$AN24&lt;OP!$C$24),OP!$C$49,"")</f>
        <v/>
      </c>
      <c r="AY25" s="340"/>
      <c r="AZ25" s="465">
        <f t="shared" ca="1" si="21"/>
        <v>7.3698599999999999E-5</v>
      </c>
      <c r="BA25" s="464">
        <f t="shared" ca="1" si="22"/>
        <v>2.2109589000000002E-3</v>
      </c>
      <c r="BB25" s="465">
        <f t="shared" ca="1" si="22"/>
        <v>2.2846575E-3</v>
      </c>
      <c r="BC25" s="466">
        <f t="shared" ca="1" si="23"/>
        <v>43374</v>
      </c>
      <c r="BD25" s="467">
        <f t="shared" ca="1" si="47"/>
        <v>43375</v>
      </c>
      <c r="BE25" s="467">
        <f t="shared" ca="1" si="24"/>
        <v>43404</v>
      </c>
      <c r="BF25" s="468">
        <f ca="1">IF(計算!$BC25&lt;OP!$C$3,0,BD25-BC25)</f>
        <v>1</v>
      </c>
      <c r="BG25" s="468">
        <f ca="1">IF($BE25&gt;DATE(YEAR($BD$9)+OP!$C$57,MONTH($BD$9),DAY($BD$9)),0,$BE25-$BD25+1)</f>
        <v>30</v>
      </c>
      <c r="BH25" s="469">
        <f t="shared" ca="1" si="25"/>
        <v>31</v>
      </c>
      <c r="BI25" t="str">
        <f t="shared" si="63"/>
        <v/>
      </c>
      <c r="BJ25">
        <v>4</v>
      </c>
      <c r="BN25" s="468">
        <f t="shared" si="48"/>
        <v>2</v>
      </c>
      <c r="BO25" s="468">
        <f t="shared" si="49"/>
        <v>4</v>
      </c>
      <c r="BP25" s="467">
        <f t="shared" ca="1" si="26"/>
        <v>43375</v>
      </c>
      <c r="BQ25" s="475">
        <f t="shared" ca="1" si="60"/>
        <v>34</v>
      </c>
      <c r="BR25" s="475" t="str">
        <f t="shared" si="50"/>
        <v/>
      </c>
      <c r="BS25" s="471" t="str">
        <f t="shared" si="27"/>
        <v/>
      </c>
      <c r="BT25" s="472" t="str">
        <f t="shared" si="64"/>
        <v/>
      </c>
      <c r="BU25" s="472">
        <f t="shared" ca="1" si="28"/>
        <v>0</v>
      </c>
      <c r="BV25" s="472">
        <f t="shared" ca="1" si="28"/>
        <v>0</v>
      </c>
      <c r="BW25" s="472"/>
      <c r="BX25" s="473">
        <f t="shared" ca="1" si="29"/>
        <v>0</v>
      </c>
      <c r="BY25" s="473">
        <f t="shared" si="30"/>
        <v>0</v>
      </c>
      <c r="BZ25" s="473">
        <f t="shared" ca="1" si="4"/>
        <v>0</v>
      </c>
      <c r="CA25" s="476">
        <f t="shared" ca="1" si="31"/>
        <v>0</v>
      </c>
      <c r="CB25" s="494">
        <f ca="1">IF(OR($Q24&lt;&gt;1,OP!$D$5+$BN25-1&lt;16,$BN25-1&lt;1),0,ROUND(ROUND(ROUND(((VLOOKUP($BN25-1,MORE_PV,5,0)/10000)*VLOOKUP($BN25,MORE_PV,$CB$5,0)),3)*VLOOKUP($BN25,more1,5,0),0)/$R24,0))</f>
        <v>0</v>
      </c>
      <c r="CC25" s="473">
        <f t="shared" ca="1" si="32"/>
        <v>0</v>
      </c>
      <c r="CD25" s="477"/>
      <c r="CE25" s="468">
        <f t="shared" si="51"/>
        <v>2</v>
      </c>
      <c r="CF25" s="468">
        <f t="shared" si="52"/>
        <v>4</v>
      </c>
      <c r="CG25" s="467">
        <f t="shared" ca="1" si="5"/>
        <v>43375</v>
      </c>
      <c r="CH25" s="475">
        <f t="shared" ca="1" si="61"/>
        <v>34</v>
      </c>
      <c r="CI25" s="513" t="str">
        <f t="shared" si="53"/>
        <v/>
      </c>
      <c r="CJ25" s="511">
        <f t="shared" si="33"/>
        <v>0</v>
      </c>
      <c r="CK25" s="512">
        <f t="shared" si="34"/>
        <v>0</v>
      </c>
      <c r="CL25" s="511">
        <f t="shared" ca="1" si="54"/>
        <v>0</v>
      </c>
      <c r="CM25" s="511">
        <f ca="1">ROUND(CS25-IF(OR($CE25&gt;=OP!$C$24,AND(CH25=15,CF25=12),CS25=0),0,(CT25-CR25)),$CM$7)</f>
        <v>0</v>
      </c>
      <c r="CN25" s="511"/>
      <c r="CO25" s="351">
        <f t="shared" ca="1" si="35"/>
        <v>734</v>
      </c>
      <c r="CP25" s="473">
        <f t="shared" si="36"/>
        <v>0</v>
      </c>
      <c r="CQ25" s="473">
        <f t="shared" ca="1" si="6"/>
        <v>1.6769386049999999</v>
      </c>
      <c r="CR25" s="476">
        <f t="shared" ca="1" si="37"/>
        <v>0</v>
      </c>
      <c r="CS25" s="494">
        <f ca="1">IF(OR($Q24&lt;&gt;1,OP!$D$5+$CE25-1&lt;16,$CE25-1&lt;1),0,ROUND(ROUND(ROUND(((VLOOKUP($CE25-1,MORE_PV,5,0)/10000)*VLOOKUP($CE25,MORE_PV,$CS$5,0)),3)*VLOOKUP($CE25,more1,5,0),0)/$R24,0))</f>
        <v>0</v>
      </c>
      <c r="CT25" s="473">
        <f>IF($AW25=1,IF(N($CR25+$CS25)&lt;N($AX25)*OP!$C$50,N($CR25+$CS25),MIN(N($CR25+$CS25),N($AX25))),0)</f>
        <v>0</v>
      </c>
      <c r="CV25" s="503">
        <f t="shared" ca="1" si="38"/>
        <v>733.55881222000005</v>
      </c>
      <c r="CW25" s="503">
        <f t="shared" ca="1" si="39"/>
        <v>0</v>
      </c>
      <c r="CX25" s="503">
        <f t="shared" ca="1" si="40"/>
        <v>735.18056108400003</v>
      </c>
    </row>
    <row r="26" spans="1:102" ht="16.5" hidden="1">
      <c r="A26" s="450">
        <f ca="1">OP!$D$5+$B26-1</f>
        <v>48</v>
      </c>
      <c r="B26" s="192">
        <v>16</v>
      </c>
      <c r="C26" s="219">
        <f ca="1">ROUND(VLOOKUP(OP!$C$55,PV0,B26+2,0)*OP!$C$28,0)</f>
        <v>1240048</v>
      </c>
      <c r="D26" s="189">
        <f t="shared" ca="1" si="41"/>
        <v>1240048</v>
      </c>
      <c r="E26" s="221">
        <f t="shared" ca="1" si="42"/>
        <v>2.69E-2</v>
      </c>
      <c r="F26" s="222">
        <f t="shared" ca="1" si="43"/>
        <v>6.8999999999999999E-3</v>
      </c>
      <c r="G26" s="223">
        <f t="shared" ca="1" si="55"/>
        <v>90442</v>
      </c>
      <c r="H26" s="224">
        <f t="shared" ca="1" si="56"/>
        <v>8758</v>
      </c>
      <c r="I26" s="450">
        <f t="shared" ca="1" si="57"/>
        <v>1</v>
      </c>
      <c r="J26" s="192">
        <f t="shared" si="7"/>
        <v>2</v>
      </c>
      <c r="K26" s="192">
        <f t="shared" si="8"/>
        <v>6</v>
      </c>
      <c r="L26" s="192" t="str">
        <f t="shared" si="0"/>
        <v/>
      </c>
      <c r="M26" s="216">
        <f t="shared" ca="1" si="9"/>
        <v>0</v>
      </c>
      <c r="N26" s="216"/>
      <c r="O26" s="216"/>
      <c r="P26" s="216"/>
      <c r="Q26" s="456" t="str">
        <f t="shared" ca="1" si="10"/>
        <v/>
      </c>
      <c r="R26" s="450">
        <f t="shared" ca="1" si="11"/>
        <v>1</v>
      </c>
      <c r="S26" s="191">
        <f t="shared" si="12"/>
        <v>2</v>
      </c>
      <c r="T26" s="191">
        <f t="shared" si="13"/>
        <v>6</v>
      </c>
      <c r="U26" s="191">
        <f ca="1">OP!$D$5+$S26-1</f>
        <v>34</v>
      </c>
      <c r="V26" s="191" t="str">
        <f t="shared" si="14"/>
        <v/>
      </c>
      <c r="W26" s="350">
        <f ca="1">IF(Q26&lt;&gt;1,0,VLOOKUP(OP!$C$55,PVFB,$S26+2,0))</f>
        <v>0</v>
      </c>
      <c r="X26" s="473">
        <f t="shared" ca="1" si="44"/>
        <v>0</v>
      </c>
      <c r="Y26" s="348">
        <f t="shared" ca="1" si="45"/>
        <v>0</v>
      </c>
      <c r="Z26" s="348">
        <f t="shared" ca="1" si="46"/>
        <v>268</v>
      </c>
      <c r="AA26" s="348">
        <f ca="1">IF(Q26&lt;&gt;1,0,VLOOKUP(OP!$C$55,PVFB,$S26+2,0))</f>
        <v>0</v>
      </c>
      <c r="AB26" s="488" t="str">
        <f ca="1">IF(AND(S26&lt;OP!$C$24,$U26&lt;15),0,IF(AND($U26&lt;15,$T26=12),ROUND(VLOOKUP($S26,DOWN16,5,0),3),IF($T26=12,ROUND(($Z26/10000)*$AA26,3)+IF(AND($P$7="購買增額繳清保險",T26=12,U26=110),VLOOKUP(S26,$B$10:$H$121,7,0),0),"")))</f>
        <v/>
      </c>
      <c r="AC26" s="350" t="str">
        <f ca="1">IF(AND(S26&lt;OP!$C$24,$U26&lt;15),0,IF(AND($U26&lt;16,$T26=12),VLOOKUP($S26,DOWN16,4,0),IF($T26=12,ROUND(VLOOKUP(OP!$C$55,_DIE2,$S26+1,0)*(Z26/10000),0)+IF(AND($P$7="購買增額繳清保險",T26=12,U26=110),VLOOKUP(S26,$B$10:$H$121,7,0),0),"")))</f>
        <v/>
      </c>
      <c r="AD26" s="347"/>
      <c r="AE26" s="350" t="str">
        <f t="shared" ca="1" si="1"/>
        <v/>
      </c>
      <c r="AF26" s="351" t="str">
        <f t="shared" ca="1" si="2"/>
        <v/>
      </c>
      <c r="AG26" s="340"/>
      <c r="AH26" s="191">
        <v>16</v>
      </c>
      <c r="AI26" s="191">
        <f ca="1">OP!$D$5+計算!AH26-1</f>
        <v>48</v>
      </c>
      <c r="AJ26" s="354">
        <f t="shared" ca="1" si="58"/>
        <v>0</v>
      </c>
      <c r="AK26" s="354">
        <f t="shared" ca="1" si="59"/>
        <v>38752</v>
      </c>
      <c r="AL26" s="354">
        <f ca="1">ROUND(VLOOKUP(AH26,MORE_16,2,0),10)</f>
        <v>119742</v>
      </c>
      <c r="AM26" s="340"/>
      <c r="AN26" s="191">
        <f t="shared" si="15"/>
        <v>2</v>
      </c>
      <c r="AO26" s="191">
        <f t="shared" si="16"/>
        <v>6</v>
      </c>
      <c r="AP26" s="191">
        <f ca="1">OP!$D$5+$AN26-1</f>
        <v>34</v>
      </c>
      <c r="AQ26" s="191" t="str">
        <f t="shared" si="17"/>
        <v/>
      </c>
      <c r="AR26" s="352">
        <f t="shared" ca="1" si="18"/>
        <v>0</v>
      </c>
      <c r="AS26" s="352"/>
      <c r="AT26" s="352"/>
      <c r="AU26" s="436"/>
      <c r="AV26" s="353" t="str">
        <f t="shared" ca="1" si="19"/>
        <v/>
      </c>
      <c r="AW26" s="422" t="str">
        <f t="shared" si="20"/>
        <v/>
      </c>
      <c r="AX26" s="423" t="str">
        <f ca="1">IF(AND($AW26=1,$AP26&lt;16,$AN25&lt;OP!$C$24),OP!$C$49,"")</f>
        <v/>
      </c>
      <c r="AY26" s="340"/>
      <c r="AZ26" s="465">
        <f t="shared" ca="1" si="21"/>
        <v>7.3698599999999999E-5</v>
      </c>
      <c r="BA26" s="464">
        <f t="shared" ca="1" si="22"/>
        <v>2.1372602999999999E-3</v>
      </c>
      <c r="BB26" s="465">
        <f t="shared" ca="1" si="22"/>
        <v>2.2109589000000002E-3</v>
      </c>
      <c r="BC26" s="466">
        <f t="shared" ca="1" si="23"/>
        <v>43405</v>
      </c>
      <c r="BD26" s="467">
        <f t="shared" ca="1" si="47"/>
        <v>43406</v>
      </c>
      <c r="BE26" s="467">
        <f t="shared" ca="1" si="24"/>
        <v>43434</v>
      </c>
      <c r="BF26" s="468">
        <f ca="1">IF(計算!$BC26&lt;OP!$C$3,0,BD26-BC26)</f>
        <v>1</v>
      </c>
      <c r="BG26" s="468">
        <f ca="1">IF($BE26&gt;DATE(YEAR($BD$9)+OP!$C$57,MONTH($BD$9),DAY($BD$9)),0,$BE26-$BD26+1)</f>
        <v>29</v>
      </c>
      <c r="BH26" s="469">
        <f t="shared" ca="1" si="25"/>
        <v>30</v>
      </c>
      <c r="BI26" t="str">
        <f t="shared" si="63"/>
        <v/>
      </c>
      <c r="BJ26">
        <v>5</v>
      </c>
      <c r="BN26" s="468">
        <f t="shared" si="48"/>
        <v>2</v>
      </c>
      <c r="BO26" s="468">
        <f t="shared" si="49"/>
        <v>5</v>
      </c>
      <c r="BP26" s="467">
        <f t="shared" ca="1" si="26"/>
        <v>43406</v>
      </c>
      <c r="BQ26" s="475">
        <f t="shared" ca="1" si="60"/>
        <v>34</v>
      </c>
      <c r="BR26" s="475" t="str">
        <f t="shared" si="50"/>
        <v/>
      </c>
      <c r="BS26" s="471" t="str">
        <f t="shared" si="27"/>
        <v/>
      </c>
      <c r="BT26" s="472" t="str">
        <f t="shared" si="64"/>
        <v/>
      </c>
      <c r="BU26" s="472">
        <f t="shared" ca="1" si="28"/>
        <v>0</v>
      </c>
      <c r="BV26" s="472">
        <f t="shared" ca="1" si="28"/>
        <v>0</v>
      </c>
      <c r="BW26" s="472"/>
      <c r="BX26" s="473">
        <f t="shared" ca="1" si="29"/>
        <v>0</v>
      </c>
      <c r="BY26" s="473">
        <f t="shared" si="30"/>
        <v>0</v>
      </c>
      <c r="BZ26" s="473">
        <f t="shared" ca="1" si="4"/>
        <v>0</v>
      </c>
      <c r="CA26" s="476">
        <f t="shared" ca="1" si="31"/>
        <v>0</v>
      </c>
      <c r="CB26" s="494">
        <f ca="1">IF(OR($Q25&lt;&gt;1,OP!$D$5+$BN26-1&lt;16,$BN26-1&lt;1),0,ROUND(ROUND(ROUND(((VLOOKUP($BN26-1,MORE_PV,5,0)/10000)*VLOOKUP($BN26,MORE_PV,$CB$5,0)),3)*VLOOKUP($BN26,more1,5,0),0)/$R25,0))</f>
        <v>0</v>
      </c>
      <c r="CC26" s="473">
        <f t="shared" ca="1" si="32"/>
        <v>0</v>
      </c>
      <c r="CD26" s="477"/>
      <c r="CE26" s="468">
        <f t="shared" si="51"/>
        <v>2</v>
      </c>
      <c r="CF26" s="468">
        <f t="shared" si="52"/>
        <v>5</v>
      </c>
      <c r="CG26" s="467">
        <f t="shared" ca="1" si="5"/>
        <v>43406</v>
      </c>
      <c r="CH26" s="475">
        <f t="shared" ca="1" si="61"/>
        <v>34</v>
      </c>
      <c r="CI26" s="513" t="str">
        <f t="shared" si="53"/>
        <v/>
      </c>
      <c r="CJ26" s="511">
        <f t="shared" si="33"/>
        <v>0</v>
      </c>
      <c r="CK26" s="512">
        <f t="shared" si="34"/>
        <v>0</v>
      </c>
      <c r="CL26" s="511">
        <f t="shared" ca="1" si="54"/>
        <v>0</v>
      </c>
      <c r="CM26" s="511">
        <f ca="1">ROUND(CS26-IF(OR($CE26&gt;=OP!$C$24,AND(CH26=15,CF26=12),CS26=0),0,(CT26-CR26)),$CM$7)</f>
        <v>0</v>
      </c>
      <c r="CN26" s="511"/>
      <c r="CO26" s="351">
        <f t="shared" ca="1" si="35"/>
        <v>735</v>
      </c>
      <c r="CP26" s="473">
        <f t="shared" si="36"/>
        <v>0</v>
      </c>
      <c r="CQ26" s="473">
        <f t="shared" ca="1" si="6"/>
        <v>1.625054792</v>
      </c>
      <c r="CR26" s="476">
        <f t="shared" ca="1" si="37"/>
        <v>0</v>
      </c>
      <c r="CS26" s="494">
        <f ca="1">IF(OR($Q25&lt;&gt;1,OP!$D$5+$CE26-1&lt;16,$CE26-1&lt;1),0,ROUND(ROUND(ROUND(((VLOOKUP($CE26-1,MORE_PV,5,0)/10000)*VLOOKUP($CE26,MORE_PV,$CS$5,0)),3)*VLOOKUP($CE26,more1,5,0),0)/$R25,0))</f>
        <v>0</v>
      </c>
      <c r="CT26" s="473">
        <f>IF($AW26=1,IF(N($CR26+$CS26)&lt;N($AX26)*OP!$C$50,N($CR26+$CS26),MIN(N($CR26+$CS26),N($AX26))),0)</f>
        <v>0</v>
      </c>
      <c r="CV26" s="503">
        <f t="shared" ca="1" si="38"/>
        <v>735.23474286199996</v>
      </c>
      <c r="CW26" s="503">
        <f t="shared" ca="1" si="39"/>
        <v>0</v>
      </c>
      <c r="CX26" s="503">
        <f t="shared" ca="1" si="40"/>
        <v>736.80601508899997</v>
      </c>
    </row>
    <row r="27" spans="1:102" ht="16.5" hidden="1">
      <c r="A27" s="450">
        <f ca="1">OP!$D$5+$B27-1</f>
        <v>49</v>
      </c>
      <c r="B27" s="192">
        <v>17</v>
      </c>
      <c r="C27" s="219">
        <f ca="1">ROUND(VLOOKUP(OP!$C$55,PV0,B27+2,0)*OP!$C$28,0)</f>
        <v>1264868</v>
      </c>
      <c r="D27" s="189">
        <f t="shared" ca="1" si="41"/>
        <v>1264868</v>
      </c>
      <c r="E27" s="221">
        <f t="shared" ca="1" si="42"/>
        <v>2.69E-2</v>
      </c>
      <c r="F27" s="222">
        <f t="shared" ca="1" si="43"/>
        <v>6.8999999999999999E-3</v>
      </c>
      <c r="G27" s="223">
        <f t="shared" ca="1" si="55"/>
        <v>101839</v>
      </c>
      <c r="H27" s="224">
        <f t="shared" ca="1" si="56"/>
        <v>8934</v>
      </c>
      <c r="I27" s="450">
        <f t="shared" ca="1" si="57"/>
        <v>1</v>
      </c>
      <c r="J27" s="192">
        <f t="shared" si="7"/>
        <v>2</v>
      </c>
      <c r="K27" s="192">
        <f t="shared" si="8"/>
        <v>7</v>
      </c>
      <c r="L27" s="192" t="str">
        <f t="shared" si="0"/>
        <v/>
      </c>
      <c r="M27" s="216">
        <f t="shared" ca="1" si="9"/>
        <v>0</v>
      </c>
      <c r="N27" s="216"/>
      <c r="O27" s="216"/>
      <c r="P27" s="216"/>
      <c r="Q27" s="456" t="str">
        <f t="shared" ca="1" si="10"/>
        <v/>
      </c>
      <c r="R27" s="450">
        <f t="shared" ca="1" si="11"/>
        <v>1</v>
      </c>
      <c r="S27" s="191">
        <f t="shared" si="12"/>
        <v>2</v>
      </c>
      <c r="T27" s="191">
        <f t="shared" si="13"/>
        <v>7</v>
      </c>
      <c r="U27" s="191">
        <f ca="1">OP!$D$5+$S27-1</f>
        <v>34</v>
      </c>
      <c r="V27" s="191" t="str">
        <f t="shared" si="14"/>
        <v/>
      </c>
      <c r="W27" s="350">
        <f ca="1">IF(Q27&lt;&gt;1,0,VLOOKUP(OP!$C$55,PVFB,$S27+2,0))</f>
        <v>0</v>
      </c>
      <c r="X27" s="473">
        <f t="shared" ca="1" si="44"/>
        <v>0</v>
      </c>
      <c r="Y27" s="348">
        <f t="shared" ca="1" si="45"/>
        <v>0</v>
      </c>
      <c r="Z27" s="348">
        <f t="shared" ca="1" si="46"/>
        <v>268</v>
      </c>
      <c r="AA27" s="348">
        <f ca="1">IF(Q27&lt;&gt;1,0,VLOOKUP(OP!$C$55,PVFB,$S27+2,0))</f>
        <v>0</v>
      </c>
      <c r="AB27" s="488" t="str">
        <f ca="1">IF(AND(S27&lt;OP!$C$24,$U27&lt;15),0,IF(AND($U27&lt;15,$T27=12),ROUND(VLOOKUP($S27,DOWN16,5,0),3),IF($T27=12,ROUND(($Z27/10000)*$AA27,3)+IF(AND($P$7="購買增額繳清保險",T27=12,U27=110),VLOOKUP(S27,$B$10:$H$121,7,0),0),"")))</f>
        <v/>
      </c>
      <c r="AC27" s="350" t="str">
        <f ca="1">IF(AND(S27&lt;OP!$C$24,$U27&lt;15),0,IF(AND($U27&lt;16,$T27=12),VLOOKUP($S27,DOWN16,4,0),IF($T27=12,ROUND(VLOOKUP(OP!$C$55,_DIE2,$S27+1,0)*(Z27/10000),0)+IF(AND($P$7="購買增額繳清保險",T27=12,U27=110),VLOOKUP(S27,$B$10:$H$121,7,0),0),"")))</f>
        <v/>
      </c>
      <c r="AD27" s="347"/>
      <c r="AE27" s="350" t="str">
        <f t="shared" ca="1" si="1"/>
        <v/>
      </c>
      <c r="AF27" s="351" t="str">
        <f t="shared" ca="1" si="2"/>
        <v/>
      </c>
      <c r="AG27" s="340"/>
      <c r="AH27" s="191"/>
      <c r="AI27" s="191"/>
      <c r="AJ27" s="354"/>
      <c r="AK27" s="354"/>
      <c r="AL27" s="354"/>
      <c r="AM27" s="340"/>
      <c r="AN27" s="191">
        <f t="shared" si="15"/>
        <v>2</v>
      </c>
      <c r="AO27" s="191">
        <f t="shared" si="16"/>
        <v>7</v>
      </c>
      <c r="AP27" s="191">
        <f ca="1">OP!$D$5+$AN27-1</f>
        <v>34</v>
      </c>
      <c r="AQ27" s="191" t="str">
        <f t="shared" si="17"/>
        <v/>
      </c>
      <c r="AR27" s="352">
        <f t="shared" ca="1" si="18"/>
        <v>0</v>
      </c>
      <c r="AS27" s="352"/>
      <c r="AT27" s="352"/>
      <c r="AU27" s="436"/>
      <c r="AV27" s="353" t="str">
        <f t="shared" ca="1" si="19"/>
        <v/>
      </c>
      <c r="AW27" s="422" t="str">
        <f t="shared" si="20"/>
        <v/>
      </c>
      <c r="AX27" s="423" t="str">
        <f ca="1">IF(AND($AW27=1,$AP27&lt;16,$AN26&lt;OP!$C$24),OP!$C$49,"")</f>
        <v/>
      </c>
      <c r="AY27" s="340"/>
      <c r="AZ27" s="465">
        <f t="shared" ca="1" si="21"/>
        <v>7.3698599999999999E-5</v>
      </c>
      <c r="BA27" s="464">
        <f t="shared" ca="1" si="22"/>
        <v>2.2109589000000002E-3</v>
      </c>
      <c r="BB27" s="465">
        <f t="shared" ca="1" si="22"/>
        <v>2.2846575E-3</v>
      </c>
      <c r="BC27" s="466">
        <f t="shared" ca="1" si="23"/>
        <v>43435</v>
      </c>
      <c r="BD27" s="467">
        <f t="shared" ca="1" si="47"/>
        <v>43436</v>
      </c>
      <c r="BE27" s="467">
        <f t="shared" ca="1" si="24"/>
        <v>43465</v>
      </c>
      <c r="BF27" s="468">
        <f ca="1">IF(計算!$BC27&lt;OP!$C$3,0,BD27-BC27)</f>
        <v>1</v>
      </c>
      <c r="BG27" s="468">
        <f ca="1">IF($BE27&gt;DATE(YEAR($BD$9)+OP!$C$57,MONTH($BD$9),DAY($BD$9)),0,$BE27-$BD27+1)</f>
        <v>30</v>
      </c>
      <c r="BH27" s="469">
        <f t="shared" ca="1" si="25"/>
        <v>31</v>
      </c>
      <c r="BI27" t="str">
        <f t="shared" si="63"/>
        <v/>
      </c>
      <c r="BJ27">
        <v>6</v>
      </c>
      <c r="BN27" s="468">
        <f t="shared" si="48"/>
        <v>2</v>
      </c>
      <c r="BO27" s="468">
        <f t="shared" si="49"/>
        <v>6</v>
      </c>
      <c r="BP27" s="467">
        <f t="shared" ca="1" si="26"/>
        <v>43436</v>
      </c>
      <c r="BQ27" s="475">
        <f t="shared" ca="1" si="60"/>
        <v>34</v>
      </c>
      <c r="BR27" s="475" t="str">
        <f t="shared" si="50"/>
        <v/>
      </c>
      <c r="BS27" s="471" t="str">
        <f t="shared" si="27"/>
        <v/>
      </c>
      <c r="BT27" s="472" t="str">
        <f t="shared" si="64"/>
        <v/>
      </c>
      <c r="BU27" s="472">
        <f t="shared" ca="1" si="28"/>
        <v>0</v>
      </c>
      <c r="BV27" s="472">
        <f t="shared" ca="1" si="28"/>
        <v>0</v>
      </c>
      <c r="BW27" s="472"/>
      <c r="BX27" s="473">
        <f t="shared" ca="1" si="29"/>
        <v>0</v>
      </c>
      <c r="BY27" s="473">
        <f t="shared" si="30"/>
        <v>0</v>
      </c>
      <c r="BZ27" s="473">
        <f t="shared" ca="1" si="4"/>
        <v>0</v>
      </c>
      <c r="CA27" s="476">
        <f t="shared" ca="1" si="31"/>
        <v>0</v>
      </c>
      <c r="CB27" s="494">
        <f ca="1">IF(OR($Q26&lt;&gt;1,OP!$D$5+$BN27-1&lt;16,$BN27-1&lt;1),0,ROUND(ROUND(ROUND(((VLOOKUP($BN27-1,MORE_PV,5,0)/10000)*VLOOKUP($BN27,MORE_PV,$CB$5,0)),3)*VLOOKUP($BN27,more1,5,0),0)/$R26,0))</f>
        <v>0</v>
      </c>
      <c r="CC27" s="473">
        <f t="shared" ca="1" si="32"/>
        <v>0</v>
      </c>
      <c r="CD27" s="477"/>
      <c r="CE27" s="468">
        <f t="shared" si="51"/>
        <v>2</v>
      </c>
      <c r="CF27" s="468">
        <f t="shared" si="52"/>
        <v>6</v>
      </c>
      <c r="CG27" s="467">
        <f t="shared" ca="1" si="5"/>
        <v>43436</v>
      </c>
      <c r="CH27" s="475">
        <f t="shared" ca="1" si="61"/>
        <v>34</v>
      </c>
      <c r="CI27" s="513" t="str">
        <f t="shared" si="53"/>
        <v/>
      </c>
      <c r="CJ27" s="511">
        <f t="shared" si="33"/>
        <v>0</v>
      </c>
      <c r="CK27" s="512">
        <f t="shared" si="34"/>
        <v>0</v>
      </c>
      <c r="CL27" s="511">
        <f t="shared" ca="1" si="54"/>
        <v>0</v>
      </c>
      <c r="CM27" s="511">
        <f ca="1">ROUND(CS27-IF(OR($CE27&gt;=OP!$C$24,AND(CH27=15,CF27=12),CS27=0),0,(CT27-CR27)),$CM$7)</f>
        <v>0</v>
      </c>
      <c r="CN27" s="511"/>
      <c r="CO27" s="351">
        <f t="shared" ca="1" si="35"/>
        <v>737</v>
      </c>
      <c r="CP27" s="473">
        <f t="shared" si="36"/>
        <v>0</v>
      </c>
      <c r="CQ27" s="473">
        <f t="shared" ca="1" si="6"/>
        <v>1.683792578</v>
      </c>
      <c r="CR27" s="476">
        <f t="shared" ca="1" si="37"/>
        <v>0</v>
      </c>
      <c r="CS27" s="494">
        <f ca="1">IF(OR($Q26&lt;&gt;1,OP!$D$5+$CE27-1&lt;16,$CE27-1&lt;1),0,ROUND(ROUND(ROUND(((VLOOKUP($CE27-1,MORE_PV,5,0)/10000)*VLOOKUP($CE27,MORE_PV,$CS$5,0)),3)*VLOOKUP($CE27,more1,5,0),0)/$R26,0))</f>
        <v>0</v>
      </c>
      <c r="CT27" s="473">
        <f>IF($AW27=1,IF(N($CR27+$CS27)&lt;N($AX27)*OP!$C$50,N($CR27+$CS27),MIN(N($CR27+$CS27),N($AX27))),0)</f>
        <v>0</v>
      </c>
      <c r="CV27" s="503">
        <f t="shared" ca="1" si="38"/>
        <v>736.86031666099996</v>
      </c>
      <c r="CW27" s="503">
        <f t="shared" ca="1" si="39"/>
        <v>0</v>
      </c>
      <c r="CX27" s="503">
        <f t="shared" ca="1" si="40"/>
        <v>738.48936447699998</v>
      </c>
    </row>
    <row r="28" spans="1:102" ht="16.5" hidden="1">
      <c r="A28" s="450">
        <f ca="1">OP!$D$5+$B28-1</f>
        <v>50</v>
      </c>
      <c r="B28" s="192">
        <v>18</v>
      </c>
      <c r="C28" s="219">
        <f ca="1">ROUND(VLOOKUP(OP!$C$55,PV0,B28+2,0)*OP!$C$28,0)</f>
        <v>1290164</v>
      </c>
      <c r="D28" s="189">
        <f t="shared" ca="1" si="41"/>
        <v>1290164</v>
      </c>
      <c r="E28" s="221">
        <f t="shared" ca="1" si="42"/>
        <v>2.69E-2</v>
      </c>
      <c r="F28" s="222">
        <f t="shared" ca="1" si="43"/>
        <v>6.8999999999999999E-3</v>
      </c>
      <c r="G28" s="223">
        <f t="shared" ca="1" si="55"/>
        <v>113724</v>
      </c>
      <c r="H28" s="224">
        <f t="shared" ca="1" si="56"/>
        <v>9112</v>
      </c>
      <c r="I28" s="450">
        <f t="shared" ca="1" si="57"/>
        <v>1</v>
      </c>
      <c r="J28" s="192">
        <f t="shared" si="7"/>
        <v>2</v>
      </c>
      <c r="K28" s="192">
        <f t="shared" si="8"/>
        <v>8</v>
      </c>
      <c r="L28" s="192" t="str">
        <f t="shared" si="0"/>
        <v/>
      </c>
      <c r="M28" s="216">
        <f t="shared" ca="1" si="9"/>
        <v>0</v>
      </c>
      <c r="N28" s="216"/>
      <c r="O28" s="216"/>
      <c r="P28" s="216"/>
      <c r="Q28" s="456" t="str">
        <f t="shared" ca="1" si="10"/>
        <v/>
      </c>
      <c r="R28" s="450">
        <f t="shared" ca="1" si="11"/>
        <v>1</v>
      </c>
      <c r="S28" s="191">
        <f t="shared" si="12"/>
        <v>2</v>
      </c>
      <c r="T28" s="191">
        <f t="shared" si="13"/>
        <v>8</v>
      </c>
      <c r="U28" s="191">
        <f ca="1">OP!$D$5+$S28-1</f>
        <v>34</v>
      </c>
      <c r="V28" s="191" t="str">
        <f t="shared" si="14"/>
        <v/>
      </c>
      <c r="W28" s="350">
        <f ca="1">IF(Q28&lt;&gt;1,0,VLOOKUP(OP!$C$55,PVFB,$S28+2,0))</f>
        <v>0</v>
      </c>
      <c r="X28" s="473">
        <f t="shared" ca="1" si="44"/>
        <v>0</v>
      </c>
      <c r="Y28" s="348">
        <f t="shared" ca="1" si="45"/>
        <v>0</v>
      </c>
      <c r="Z28" s="348">
        <f t="shared" ca="1" si="46"/>
        <v>268</v>
      </c>
      <c r="AA28" s="348">
        <f ca="1">IF(Q28&lt;&gt;1,0,VLOOKUP(OP!$C$55,PVFB,$S28+2,0))</f>
        <v>0</v>
      </c>
      <c r="AB28" s="488" t="str">
        <f ca="1">IF(AND(S28&lt;OP!$C$24,$U28&lt;15),0,IF(AND($U28&lt;15,$T28=12),ROUND(VLOOKUP($S28,DOWN16,5,0),3),IF($T28=12,ROUND(($Z28/10000)*$AA28,3)+IF(AND($P$7="購買增額繳清保險",T28=12,U28=110),VLOOKUP(S28,$B$10:$H$121,7,0),0),"")))</f>
        <v/>
      </c>
      <c r="AC28" s="350" t="str">
        <f ca="1">IF(AND(S28&lt;OP!$C$24,$U28&lt;15),0,IF(AND($U28&lt;16,$T28=12),VLOOKUP($S28,DOWN16,4,0),IF($T28=12,ROUND(VLOOKUP(OP!$C$55,_DIE2,$S28+1,0)*(Z28/10000),0)+IF(AND($P$7="購買增額繳清保險",T28=12,U28=110),VLOOKUP(S28,$B$10:$H$121,7,0),0),"")))</f>
        <v/>
      </c>
      <c r="AD28" s="347"/>
      <c r="AE28" s="350" t="str">
        <f t="shared" ca="1" si="1"/>
        <v/>
      </c>
      <c r="AF28" s="351" t="str">
        <f t="shared" ca="1" si="2"/>
        <v/>
      </c>
      <c r="AG28" s="340"/>
      <c r="AH28" s="340"/>
      <c r="AI28" s="340"/>
      <c r="AJ28" s="340"/>
      <c r="AK28" s="340"/>
      <c r="AL28" s="340"/>
      <c r="AM28" s="340"/>
      <c r="AN28" s="191">
        <f t="shared" si="15"/>
        <v>2</v>
      </c>
      <c r="AO28" s="191">
        <f t="shared" si="16"/>
        <v>8</v>
      </c>
      <c r="AP28" s="191">
        <f ca="1">OP!$D$5+$AN28-1</f>
        <v>34</v>
      </c>
      <c r="AQ28" s="191" t="str">
        <f t="shared" si="17"/>
        <v/>
      </c>
      <c r="AR28" s="352">
        <f t="shared" ca="1" si="18"/>
        <v>0</v>
      </c>
      <c r="AS28" s="352"/>
      <c r="AT28" s="352"/>
      <c r="AU28" s="436"/>
      <c r="AV28" s="353" t="str">
        <f t="shared" ca="1" si="19"/>
        <v/>
      </c>
      <c r="AW28" s="422" t="str">
        <f t="shared" si="20"/>
        <v/>
      </c>
      <c r="AX28" s="423" t="str">
        <f ca="1">IF(AND($AW28=1,$AP28&lt;16,$AN27&lt;OP!$C$24),OP!$C$49,"")</f>
        <v/>
      </c>
      <c r="AY28" s="340"/>
      <c r="AZ28" s="465">
        <f t="shared" ca="1" si="21"/>
        <v>7.3698599999999999E-5</v>
      </c>
      <c r="BA28" s="464">
        <f t="shared" ca="1" si="22"/>
        <v>2.2109589000000002E-3</v>
      </c>
      <c r="BB28" s="465">
        <f t="shared" ca="1" si="22"/>
        <v>2.2846575E-3</v>
      </c>
      <c r="BC28" s="466">
        <f t="shared" ca="1" si="23"/>
        <v>43466</v>
      </c>
      <c r="BD28" s="467">
        <f t="shared" ca="1" si="47"/>
        <v>43467</v>
      </c>
      <c r="BE28" s="467">
        <f t="shared" ca="1" si="24"/>
        <v>43496</v>
      </c>
      <c r="BF28" s="468">
        <f ca="1">IF(計算!$BC28&lt;OP!$C$3,0,BD28-BC28)</f>
        <v>1</v>
      </c>
      <c r="BG28" s="468">
        <f ca="1">IF($BE28&gt;DATE(YEAR($BD$9)+OP!$C$57,MONTH($BD$9),DAY($BD$9)),0,$BE28-$BD28+1)</f>
        <v>30</v>
      </c>
      <c r="BH28" s="469">
        <f t="shared" ca="1" si="25"/>
        <v>31</v>
      </c>
      <c r="BI28" t="str">
        <f t="shared" si="63"/>
        <v/>
      </c>
      <c r="BJ28">
        <v>7</v>
      </c>
      <c r="BN28" s="468">
        <f t="shared" si="48"/>
        <v>2</v>
      </c>
      <c r="BO28" s="468">
        <f t="shared" si="49"/>
        <v>7</v>
      </c>
      <c r="BP28" s="467">
        <f t="shared" ca="1" si="26"/>
        <v>43467</v>
      </c>
      <c r="BQ28" s="475">
        <f t="shared" ca="1" si="60"/>
        <v>34</v>
      </c>
      <c r="BR28" s="475" t="str">
        <f t="shared" si="50"/>
        <v/>
      </c>
      <c r="BS28" s="471" t="str">
        <f t="shared" si="27"/>
        <v/>
      </c>
      <c r="BT28" s="472" t="str">
        <f t="shared" si="64"/>
        <v/>
      </c>
      <c r="BU28" s="472">
        <f t="shared" ca="1" si="28"/>
        <v>0</v>
      </c>
      <c r="BV28" s="472">
        <f t="shared" ca="1" si="28"/>
        <v>0</v>
      </c>
      <c r="BW28" s="472"/>
      <c r="BX28" s="473">
        <f t="shared" ca="1" si="29"/>
        <v>0</v>
      </c>
      <c r="BY28" s="473">
        <f t="shared" si="30"/>
        <v>0</v>
      </c>
      <c r="BZ28" s="473">
        <f t="shared" ca="1" si="4"/>
        <v>0</v>
      </c>
      <c r="CA28" s="476">
        <f t="shared" ca="1" si="31"/>
        <v>0</v>
      </c>
      <c r="CB28" s="494">
        <f ca="1">IF(OR($Q27&lt;&gt;1,OP!$D$5+$BN28-1&lt;16,$BN28-1&lt;1),0,ROUND(ROUND(ROUND(((VLOOKUP($BN28-1,MORE_PV,5,0)/10000)*VLOOKUP($BN28,MORE_PV,$CB$5,0)),3)*VLOOKUP($BN28,more1,5,0),0)/$R27,0))</f>
        <v>0</v>
      </c>
      <c r="CC28" s="473">
        <f t="shared" ca="1" si="32"/>
        <v>0</v>
      </c>
      <c r="CD28" s="477"/>
      <c r="CE28" s="468">
        <f t="shared" si="51"/>
        <v>2</v>
      </c>
      <c r="CF28" s="468">
        <f t="shared" si="52"/>
        <v>7</v>
      </c>
      <c r="CG28" s="467">
        <f t="shared" ca="1" si="5"/>
        <v>43467</v>
      </c>
      <c r="CH28" s="475">
        <f t="shared" ca="1" si="61"/>
        <v>34</v>
      </c>
      <c r="CI28" s="513" t="str">
        <f t="shared" si="53"/>
        <v/>
      </c>
      <c r="CJ28" s="511">
        <f t="shared" si="33"/>
        <v>0</v>
      </c>
      <c r="CK28" s="512">
        <f t="shared" si="34"/>
        <v>0</v>
      </c>
      <c r="CL28" s="511">
        <f t="shared" ca="1" si="54"/>
        <v>0</v>
      </c>
      <c r="CM28" s="511">
        <f ca="1">ROUND(CS28-IF(OR($CE28&gt;=OP!$C$24,AND(CH28=15,CF28=12),CS28=0),0,(CT28-CR28)),$CM$7)</f>
        <v>0</v>
      </c>
      <c r="CN28" s="511"/>
      <c r="CO28" s="351">
        <f t="shared" ca="1" si="35"/>
        <v>739</v>
      </c>
      <c r="CP28" s="473">
        <f t="shared" si="36"/>
        <v>0</v>
      </c>
      <c r="CQ28" s="473">
        <f t="shared" ca="1" si="6"/>
        <v>1.6883618929999999</v>
      </c>
      <c r="CR28" s="476">
        <f t="shared" ca="1" si="37"/>
        <v>0</v>
      </c>
      <c r="CS28" s="494">
        <f ca="1">IF(OR($Q27&lt;&gt;1,OP!$D$5+$CE28-1&lt;16,$CE28-1&lt;1),0,ROUND(ROUND(ROUND(((VLOOKUP($CE28-1,MORE_PV,5,0)/10000)*VLOOKUP($CE28,MORE_PV,$CS$5,0)),3)*VLOOKUP($CE28,more1,5,0),0)/$R27,0))</f>
        <v>0</v>
      </c>
      <c r="CT28" s="473">
        <f>IF($AW28=1,IF(N($CR28+$CS28)&lt;N($AX28)*OP!$C$50,N($CR28+$CS28),MIN(N($CR28+$CS28),N($AX28))),0)</f>
        <v>0</v>
      </c>
      <c r="CV28" s="503">
        <f t="shared" ca="1" si="38"/>
        <v>738.54379010900004</v>
      </c>
      <c r="CW28" s="503">
        <f t="shared" ca="1" si="39"/>
        <v>0</v>
      </c>
      <c r="CX28" s="503">
        <f t="shared" ca="1" si="40"/>
        <v>740.17655974199999</v>
      </c>
    </row>
    <row r="29" spans="1:102" ht="16.5" hidden="1">
      <c r="A29" s="450">
        <f ca="1">OP!$D$5+$B29-1</f>
        <v>51</v>
      </c>
      <c r="B29" s="192">
        <v>19</v>
      </c>
      <c r="C29" s="219">
        <f ca="1">ROUND(VLOOKUP(OP!$C$55,PV0,B29+2,0)*OP!$C$28,0)</f>
        <v>1315970</v>
      </c>
      <c r="D29" s="189">
        <f t="shared" ca="1" si="41"/>
        <v>1315970</v>
      </c>
      <c r="E29" s="221">
        <f t="shared" ca="1" si="42"/>
        <v>2.69E-2</v>
      </c>
      <c r="F29" s="222">
        <f t="shared" ca="1" si="43"/>
        <v>6.8999999999999999E-3</v>
      </c>
      <c r="G29" s="223">
        <f t="shared" ca="1" si="55"/>
        <v>126124</v>
      </c>
      <c r="H29" s="224">
        <f t="shared" ca="1" si="56"/>
        <v>9294</v>
      </c>
      <c r="I29" s="450">
        <f t="shared" ca="1" si="57"/>
        <v>1</v>
      </c>
      <c r="J29" s="192">
        <f t="shared" si="7"/>
        <v>2</v>
      </c>
      <c r="K29" s="192">
        <f t="shared" si="8"/>
        <v>9</v>
      </c>
      <c r="L29" s="192" t="str">
        <f t="shared" si="0"/>
        <v/>
      </c>
      <c r="M29" s="216">
        <f t="shared" ca="1" si="9"/>
        <v>0</v>
      </c>
      <c r="N29" s="216"/>
      <c r="O29" s="216"/>
      <c r="P29" s="216"/>
      <c r="Q29" s="456" t="str">
        <f t="shared" ca="1" si="10"/>
        <v/>
      </c>
      <c r="R29" s="450">
        <f t="shared" ca="1" si="11"/>
        <v>1</v>
      </c>
      <c r="S29" s="191">
        <f t="shared" si="12"/>
        <v>2</v>
      </c>
      <c r="T29" s="191">
        <f t="shared" si="13"/>
        <v>9</v>
      </c>
      <c r="U29" s="191">
        <f ca="1">OP!$D$5+$S29-1</f>
        <v>34</v>
      </c>
      <c r="V29" s="191" t="str">
        <f t="shared" si="14"/>
        <v/>
      </c>
      <c r="W29" s="350">
        <f ca="1">IF(Q29&lt;&gt;1,0,VLOOKUP(OP!$C$55,PVFB,$S29+2,0))</f>
        <v>0</v>
      </c>
      <c r="X29" s="473">
        <f t="shared" ca="1" si="44"/>
        <v>0</v>
      </c>
      <c r="Y29" s="348">
        <f t="shared" ca="1" si="45"/>
        <v>0</v>
      </c>
      <c r="Z29" s="348">
        <f t="shared" ca="1" si="46"/>
        <v>268</v>
      </c>
      <c r="AA29" s="348">
        <f ca="1">IF(Q29&lt;&gt;1,0,VLOOKUP(OP!$C$55,PVFB,$S29+2,0))</f>
        <v>0</v>
      </c>
      <c r="AB29" s="488" t="str">
        <f ca="1">IF(AND(S29&lt;OP!$C$24,$U29&lt;15),0,IF(AND($U29&lt;15,$T29=12),ROUND(VLOOKUP($S29,DOWN16,5,0),3),IF($T29=12,ROUND(($Z29/10000)*$AA29,3)+IF(AND($P$7="購買增額繳清保險",T29=12,U29=110),VLOOKUP(S29,$B$10:$H$121,7,0),0),"")))</f>
        <v/>
      </c>
      <c r="AC29" s="350" t="str">
        <f ca="1">IF(AND(S29&lt;OP!$C$24,$U29&lt;15),0,IF(AND($U29&lt;16,$T29=12),VLOOKUP($S29,DOWN16,4,0),IF($T29=12,ROUND(VLOOKUP(OP!$C$55,_DIE2,$S29+1,0)*(Z29/10000),0)+IF(AND($P$7="購買增額繳清保險",T29=12,U29=110),VLOOKUP(S29,$B$10:$H$121,7,0),0),"")))</f>
        <v/>
      </c>
      <c r="AD29" s="347"/>
      <c r="AE29" s="350" t="str">
        <f t="shared" ca="1" si="1"/>
        <v/>
      </c>
      <c r="AF29" s="351" t="str">
        <f t="shared" ca="1" si="2"/>
        <v/>
      </c>
      <c r="AG29" s="340"/>
      <c r="AH29" s="340"/>
      <c r="AI29" s="340"/>
      <c r="AJ29" s="340"/>
      <c r="AK29" s="340"/>
      <c r="AL29" s="340"/>
      <c r="AM29" s="340"/>
      <c r="AN29" s="191">
        <f t="shared" si="15"/>
        <v>2</v>
      </c>
      <c r="AO29" s="191">
        <f t="shared" si="16"/>
        <v>9</v>
      </c>
      <c r="AP29" s="191">
        <f ca="1">OP!$D$5+$AN29-1</f>
        <v>34</v>
      </c>
      <c r="AQ29" s="191" t="str">
        <f t="shared" si="17"/>
        <v/>
      </c>
      <c r="AR29" s="352">
        <f t="shared" ca="1" si="18"/>
        <v>0</v>
      </c>
      <c r="AS29" s="352"/>
      <c r="AT29" s="352"/>
      <c r="AU29" s="436"/>
      <c r="AV29" s="353" t="str">
        <f t="shared" ca="1" si="19"/>
        <v/>
      </c>
      <c r="AW29" s="422" t="str">
        <f t="shared" si="20"/>
        <v/>
      </c>
      <c r="AX29" s="423" t="str">
        <f ca="1">IF(AND($AW29=1,$AP29&lt;16,$AN28&lt;OP!$C$24),OP!$C$49,"")</f>
        <v/>
      </c>
      <c r="AY29" s="340"/>
      <c r="AZ29" s="465">
        <f t="shared" ca="1" si="21"/>
        <v>7.3698599999999999E-5</v>
      </c>
      <c r="BA29" s="464">
        <f t="shared" ca="1" si="22"/>
        <v>1.9898630000000001E-3</v>
      </c>
      <c r="BB29" s="465">
        <f t="shared" ca="1" si="22"/>
        <v>2.0635616E-3</v>
      </c>
      <c r="BC29" s="466">
        <f t="shared" ca="1" si="23"/>
        <v>43497</v>
      </c>
      <c r="BD29" s="467">
        <f t="shared" ca="1" si="47"/>
        <v>43498</v>
      </c>
      <c r="BE29" s="467">
        <f t="shared" ca="1" si="24"/>
        <v>43524</v>
      </c>
      <c r="BF29" s="468">
        <f ca="1">IF(計算!$BC29&lt;OP!$C$3,0,BD29-BC29)</f>
        <v>1</v>
      </c>
      <c r="BG29" s="468">
        <f ca="1">IF($BE29&gt;DATE(YEAR($BD$9)+OP!$C$57,MONTH($BD$9),DAY($BD$9)),0,$BE29-$BD29+1)</f>
        <v>27</v>
      </c>
      <c r="BH29" s="469">
        <f t="shared" ca="1" si="25"/>
        <v>28</v>
      </c>
      <c r="BI29" t="str">
        <f t="shared" si="63"/>
        <v/>
      </c>
      <c r="BJ29">
        <v>8</v>
      </c>
      <c r="BN29" s="468">
        <f t="shared" si="48"/>
        <v>2</v>
      </c>
      <c r="BO29" s="468">
        <f t="shared" si="49"/>
        <v>8</v>
      </c>
      <c r="BP29" s="467">
        <f t="shared" ca="1" si="26"/>
        <v>43498</v>
      </c>
      <c r="BQ29" s="475">
        <f t="shared" ca="1" si="60"/>
        <v>34</v>
      </c>
      <c r="BR29" s="475" t="str">
        <f t="shared" si="50"/>
        <v/>
      </c>
      <c r="BS29" s="471" t="str">
        <f t="shared" si="27"/>
        <v/>
      </c>
      <c r="BT29" s="472" t="str">
        <f t="shared" si="64"/>
        <v/>
      </c>
      <c r="BU29" s="472">
        <f t="shared" ca="1" si="28"/>
        <v>0</v>
      </c>
      <c r="BV29" s="472">
        <f t="shared" ca="1" si="28"/>
        <v>0</v>
      </c>
      <c r="BW29" s="472"/>
      <c r="BX29" s="473">
        <f t="shared" ca="1" si="29"/>
        <v>0</v>
      </c>
      <c r="BY29" s="473">
        <f t="shared" si="30"/>
        <v>0</v>
      </c>
      <c r="BZ29" s="473">
        <f t="shared" ca="1" si="4"/>
        <v>0</v>
      </c>
      <c r="CA29" s="476">
        <f t="shared" ca="1" si="31"/>
        <v>0</v>
      </c>
      <c r="CB29" s="494">
        <f ca="1">IF(OR($Q28&lt;&gt;1,OP!$D$5+$BN29-1&lt;16,$BN29-1&lt;1),0,ROUND(ROUND(ROUND(((VLOOKUP($BN29-1,MORE_PV,5,0)/10000)*VLOOKUP($BN29,MORE_PV,$CB$5,0)),3)*VLOOKUP($BN29,more1,5,0),0)/$R28,0))</f>
        <v>0</v>
      </c>
      <c r="CC29" s="473">
        <f t="shared" ca="1" si="32"/>
        <v>0</v>
      </c>
      <c r="CD29" s="477"/>
      <c r="CE29" s="468">
        <f t="shared" si="51"/>
        <v>2</v>
      </c>
      <c r="CF29" s="468">
        <f t="shared" si="52"/>
        <v>8</v>
      </c>
      <c r="CG29" s="467">
        <f t="shared" ca="1" si="5"/>
        <v>43498</v>
      </c>
      <c r="CH29" s="475">
        <f t="shared" ca="1" si="61"/>
        <v>34</v>
      </c>
      <c r="CI29" s="513" t="str">
        <f t="shared" si="53"/>
        <v/>
      </c>
      <c r="CJ29" s="511">
        <f t="shared" si="33"/>
        <v>0</v>
      </c>
      <c r="CK29" s="512">
        <f t="shared" si="34"/>
        <v>0</v>
      </c>
      <c r="CL29" s="511">
        <f t="shared" ca="1" si="54"/>
        <v>0</v>
      </c>
      <c r="CM29" s="511">
        <f ca="1">ROUND(CS29-IF(OR($CE29&gt;=OP!$C$24,AND(CH29=15,CF29=12),CS29=0),0,(CT29-CR29)),$CM$7)</f>
        <v>0</v>
      </c>
      <c r="CN29" s="511"/>
      <c r="CO29" s="351">
        <f t="shared" ca="1" si="35"/>
        <v>740</v>
      </c>
      <c r="CP29" s="473">
        <f t="shared" si="36"/>
        <v>0</v>
      </c>
      <c r="CQ29" s="473">
        <f t="shared" ca="1" si="6"/>
        <v>1.5270355840000001</v>
      </c>
      <c r="CR29" s="476">
        <f t="shared" ca="1" si="37"/>
        <v>0</v>
      </c>
      <c r="CS29" s="494">
        <f ca="1">IF(OR($Q28&lt;&gt;1,OP!$D$5+$CE29-1&lt;16,$CE29-1&lt;1),0,ROUND(ROUND(ROUND(((VLOOKUP($CE29-1,MORE_PV,5,0)/10000)*VLOOKUP($CE29,MORE_PV,$CS$5,0)),3)*VLOOKUP($CE29,more1,5,0),0)/$R28,0))</f>
        <v>0</v>
      </c>
      <c r="CT29" s="473">
        <f>IF($AW29=1,IF(N($CR29+$CS29)&lt;N($AX29)*OP!$C$50,N($CR29+$CS29),MIN(N($CR29+$CS29),N($AX29))),0)</f>
        <v>0</v>
      </c>
      <c r="CV29" s="503">
        <f t="shared" ca="1" si="38"/>
        <v>740.23110971799997</v>
      </c>
      <c r="CW29" s="503">
        <f t="shared" ca="1" si="39"/>
        <v>0</v>
      </c>
      <c r="CX29" s="503">
        <f t="shared" ca="1" si="40"/>
        <v>741.70395966800004</v>
      </c>
    </row>
    <row r="30" spans="1:102" ht="16.5" hidden="1">
      <c r="A30" s="450">
        <f ca="1">OP!$D$5+$B30-1</f>
        <v>52</v>
      </c>
      <c r="B30" s="192">
        <v>20</v>
      </c>
      <c r="C30" s="219">
        <f ca="1">ROUND(VLOOKUP(OP!$C$55,PV0,B30+2,0)*OP!$C$28,0)</f>
        <v>1342286</v>
      </c>
      <c r="D30" s="189">
        <f t="shared" ca="1" si="41"/>
        <v>1342286</v>
      </c>
      <c r="E30" s="221">
        <f t="shared" ca="1" si="42"/>
        <v>2.69E-2</v>
      </c>
      <c r="F30" s="222">
        <f t="shared" ca="1" si="43"/>
        <v>6.8999999999999999E-3</v>
      </c>
      <c r="G30" s="223">
        <f t="shared" ca="1" si="55"/>
        <v>139039</v>
      </c>
      <c r="H30" s="224">
        <f t="shared" ca="1" si="56"/>
        <v>9480</v>
      </c>
      <c r="I30" s="450">
        <f t="shared" ca="1" si="57"/>
        <v>1</v>
      </c>
      <c r="J30" s="192">
        <f t="shared" si="7"/>
        <v>2</v>
      </c>
      <c r="K30" s="192">
        <f t="shared" si="8"/>
        <v>10</v>
      </c>
      <c r="L30" s="192" t="str">
        <f t="shared" si="0"/>
        <v/>
      </c>
      <c r="M30" s="216">
        <f t="shared" ca="1" si="9"/>
        <v>0</v>
      </c>
      <c r="N30" s="216"/>
      <c r="O30" s="216"/>
      <c r="P30" s="216"/>
      <c r="Q30" s="456" t="str">
        <f t="shared" ca="1" si="10"/>
        <v/>
      </c>
      <c r="R30" s="450">
        <f t="shared" ca="1" si="11"/>
        <v>1</v>
      </c>
      <c r="S30" s="191">
        <f t="shared" si="12"/>
        <v>2</v>
      </c>
      <c r="T30" s="191">
        <f t="shared" si="13"/>
        <v>10</v>
      </c>
      <c r="U30" s="191">
        <f ca="1">OP!$D$5+$S30-1</f>
        <v>34</v>
      </c>
      <c r="V30" s="191" t="str">
        <f t="shared" si="14"/>
        <v/>
      </c>
      <c r="W30" s="350">
        <f ca="1">IF(Q30&lt;&gt;1,0,VLOOKUP(OP!$C$55,PVFB,$S30+2,0))</f>
        <v>0</v>
      </c>
      <c r="X30" s="473">
        <f t="shared" ca="1" si="44"/>
        <v>0</v>
      </c>
      <c r="Y30" s="348">
        <f t="shared" ca="1" si="45"/>
        <v>0</v>
      </c>
      <c r="Z30" s="348">
        <f t="shared" ca="1" si="46"/>
        <v>268</v>
      </c>
      <c r="AA30" s="348">
        <f ca="1">IF(Q30&lt;&gt;1,0,VLOOKUP(OP!$C$55,PVFB,$S30+2,0))</f>
        <v>0</v>
      </c>
      <c r="AB30" s="488" t="str">
        <f ca="1">IF(AND(S30&lt;OP!$C$24,$U30&lt;15),0,IF(AND($U30&lt;15,$T30=12),ROUND(VLOOKUP($S30,DOWN16,5,0),3),IF($T30=12,ROUND(($Z30/10000)*$AA30,3)+IF(AND($P$7="購買增額繳清保險",T30=12,U30=110),VLOOKUP(S30,$B$10:$H$121,7,0),0),"")))</f>
        <v/>
      </c>
      <c r="AC30" s="350" t="str">
        <f ca="1">IF(AND(S30&lt;OP!$C$24,$U30&lt;15),0,IF(AND($U30&lt;16,$T30=12),VLOOKUP($S30,DOWN16,4,0),IF($T30=12,ROUND(VLOOKUP(OP!$C$55,_DIE2,$S30+1,0)*(Z30/10000),0)+IF(AND($P$7="購買增額繳清保險",T30=12,U30=110),VLOOKUP(S30,$B$10:$H$121,7,0),0),"")))</f>
        <v/>
      </c>
      <c r="AD30" s="347"/>
      <c r="AE30" s="350" t="str">
        <f t="shared" ca="1" si="1"/>
        <v/>
      </c>
      <c r="AF30" s="351" t="str">
        <f t="shared" ca="1" si="2"/>
        <v/>
      </c>
      <c r="AG30" s="340"/>
      <c r="AH30" s="340"/>
      <c r="AI30" s="340"/>
      <c r="AJ30" s="340"/>
      <c r="AK30" s="340"/>
      <c r="AL30" s="340"/>
      <c r="AM30" s="340"/>
      <c r="AN30" s="191">
        <f t="shared" si="15"/>
        <v>2</v>
      </c>
      <c r="AO30" s="191">
        <f t="shared" si="16"/>
        <v>10</v>
      </c>
      <c r="AP30" s="191">
        <f ca="1">OP!$D$5+$AN30-1</f>
        <v>34</v>
      </c>
      <c r="AQ30" s="191" t="str">
        <f t="shared" si="17"/>
        <v/>
      </c>
      <c r="AR30" s="352">
        <f t="shared" ca="1" si="18"/>
        <v>0</v>
      </c>
      <c r="AS30" s="352"/>
      <c r="AT30" s="352"/>
      <c r="AU30" s="436"/>
      <c r="AV30" s="353" t="str">
        <f t="shared" ca="1" si="19"/>
        <v/>
      </c>
      <c r="AW30" s="422" t="str">
        <f t="shared" si="20"/>
        <v/>
      </c>
      <c r="AX30" s="423" t="str">
        <f ca="1">IF(AND($AW30=1,$AP30&lt;16,$AN29&lt;OP!$C$24),OP!$C$49,"")</f>
        <v/>
      </c>
      <c r="AY30" s="340"/>
      <c r="AZ30" s="465">
        <f t="shared" ca="1" si="21"/>
        <v>7.3698599999999999E-5</v>
      </c>
      <c r="BA30" s="464">
        <f t="shared" ca="1" si="22"/>
        <v>2.2109589000000002E-3</v>
      </c>
      <c r="BB30" s="465">
        <f t="shared" ca="1" si="22"/>
        <v>2.2846575E-3</v>
      </c>
      <c r="BC30" s="466">
        <f t="shared" ca="1" si="23"/>
        <v>43525</v>
      </c>
      <c r="BD30" s="467">
        <f t="shared" ca="1" si="47"/>
        <v>43526</v>
      </c>
      <c r="BE30" s="467">
        <f t="shared" ca="1" si="24"/>
        <v>43555</v>
      </c>
      <c r="BF30" s="468">
        <f ca="1">IF(計算!$BC30&lt;OP!$C$3,0,BD30-BC30)</f>
        <v>1</v>
      </c>
      <c r="BG30" s="468">
        <f ca="1">IF($BE30&gt;DATE(YEAR($BD$9)+OP!$C$57,MONTH($BD$9),DAY($BD$9)),0,$BE30-$BD30+1)</f>
        <v>30</v>
      </c>
      <c r="BH30" s="469">
        <f t="shared" ca="1" si="25"/>
        <v>31</v>
      </c>
      <c r="BI30" t="str">
        <f t="shared" si="63"/>
        <v/>
      </c>
      <c r="BJ30">
        <v>9</v>
      </c>
      <c r="BN30" s="468">
        <f t="shared" si="48"/>
        <v>2</v>
      </c>
      <c r="BO30" s="468">
        <f t="shared" si="49"/>
        <v>9</v>
      </c>
      <c r="BP30" s="467">
        <f t="shared" ca="1" si="26"/>
        <v>43526</v>
      </c>
      <c r="BQ30" s="475">
        <f t="shared" ca="1" si="60"/>
        <v>34</v>
      </c>
      <c r="BR30" s="475" t="str">
        <f t="shared" si="50"/>
        <v/>
      </c>
      <c r="BS30" s="471" t="str">
        <f t="shared" si="27"/>
        <v/>
      </c>
      <c r="BT30" s="472" t="str">
        <f t="shared" si="64"/>
        <v/>
      </c>
      <c r="BU30" s="472">
        <f t="shared" ca="1" si="28"/>
        <v>0</v>
      </c>
      <c r="BV30" s="472">
        <f t="shared" ca="1" si="28"/>
        <v>0</v>
      </c>
      <c r="BW30" s="472"/>
      <c r="BX30" s="473">
        <f t="shared" ca="1" si="29"/>
        <v>0</v>
      </c>
      <c r="BY30" s="473">
        <f t="shared" si="30"/>
        <v>0</v>
      </c>
      <c r="BZ30" s="473">
        <f t="shared" ca="1" si="4"/>
        <v>0</v>
      </c>
      <c r="CA30" s="476">
        <f t="shared" ca="1" si="31"/>
        <v>0</v>
      </c>
      <c r="CB30" s="494">
        <f ca="1">IF(OR($Q29&lt;&gt;1,OP!$D$5+$BN30-1&lt;16,$BN30-1&lt;1),0,ROUND(ROUND(ROUND(((VLOOKUP($BN30-1,MORE_PV,5,0)/10000)*VLOOKUP($BN30,MORE_PV,$CB$5,0)),3)*VLOOKUP($BN30,more1,5,0),0)/$R29,0))</f>
        <v>0</v>
      </c>
      <c r="CC30" s="473">
        <f t="shared" ca="1" si="32"/>
        <v>0</v>
      </c>
      <c r="CD30" s="477"/>
      <c r="CE30" s="468">
        <f t="shared" si="51"/>
        <v>2</v>
      </c>
      <c r="CF30" s="468">
        <f t="shared" si="52"/>
        <v>9</v>
      </c>
      <c r="CG30" s="467">
        <f t="shared" ca="1" si="5"/>
        <v>43526</v>
      </c>
      <c r="CH30" s="475">
        <f t="shared" ca="1" si="61"/>
        <v>34</v>
      </c>
      <c r="CI30" s="513" t="str">
        <f t="shared" si="53"/>
        <v/>
      </c>
      <c r="CJ30" s="511">
        <f t="shared" si="33"/>
        <v>0</v>
      </c>
      <c r="CK30" s="512">
        <f t="shared" si="34"/>
        <v>0</v>
      </c>
      <c r="CL30" s="511">
        <f t="shared" ca="1" si="54"/>
        <v>0</v>
      </c>
      <c r="CM30" s="511">
        <f ca="1">ROUND(CS30-IF(OR($CE30&gt;=OP!$C$24,AND(CH30=15,CF30=12),CS30=0),0,(CT30-CR30)),$CM$7)</f>
        <v>0</v>
      </c>
      <c r="CN30" s="511"/>
      <c r="CO30" s="351">
        <f t="shared" ca="1" si="35"/>
        <v>742</v>
      </c>
      <c r="CP30" s="473">
        <f t="shared" si="36"/>
        <v>0</v>
      </c>
      <c r="CQ30" s="473">
        <f t="shared" ca="1" si="6"/>
        <v>1.695215865</v>
      </c>
      <c r="CR30" s="476">
        <f t="shared" ca="1" si="37"/>
        <v>0</v>
      </c>
      <c r="CS30" s="494">
        <f ca="1">IF(OR($Q29&lt;&gt;1,OP!$D$5+$CE30-1&lt;16,$CE30-1&lt;1),0,ROUND(ROUND(ROUND(((VLOOKUP($CE30-1,MORE_PV,5,0)/10000)*VLOOKUP($CE30,MORE_PV,$CS$5,0)),3)*VLOOKUP($CE30,more1,5,0),0)/$R29,0))</f>
        <v>0</v>
      </c>
      <c r="CT30" s="473">
        <f>IF($AW30=1,IF(N($CR30+$CS30)&lt;N($AX30)*OP!$C$50,N($CR30+$CS30),MIN(N($CR30+$CS30),N($AX30))),0)</f>
        <v>0</v>
      </c>
      <c r="CV30" s="503">
        <f t="shared" ca="1" si="38"/>
        <v>741.75862221099999</v>
      </c>
      <c r="CW30" s="503">
        <f t="shared" ca="1" si="39"/>
        <v>0</v>
      </c>
      <c r="CX30" s="503">
        <f t="shared" ca="1" si="40"/>
        <v>743.39849918200002</v>
      </c>
    </row>
    <row r="31" spans="1:102" ht="16.5" hidden="1">
      <c r="A31" s="450">
        <f ca="1">OP!$D$5+$B31-1</f>
        <v>53</v>
      </c>
      <c r="B31" s="192">
        <v>21</v>
      </c>
      <c r="C31" s="219">
        <f ca="1">ROUND(VLOOKUP(OP!$C$55,PV0,B31+2,0)*OP!$C$28,0)</f>
        <v>1369112</v>
      </c>
      <c r="D31" s="189">
        <f t="shared" ca="1" si="41"/>
        <v>1369112</v>
      </c>
      <c r="E31" s="221">
        <f t="shared" ca="1" si="42"/>
        <v>2.69E-2</v>
      </c>
      <c r="F31" s="222">
        <f t="shared" ca="1" si="43"/>
        <v>6.8999999999999999E-3</v>
      </c>
      <c r="G31" s="223">
        <f t="shared" ca="1" si="55"/>
        <v>152496</v>
      </c>
      <c r="H31" s="224">
        <f t="shared" ca="1" si="56"/>
        <v>9670</v>
      </c>
      <c r="I31" s="450">
        <f t="shared" ca="1" si="57"/>
        <v>1</v>
      </c>
      <c r="J31" s="192">
        <f t="shared" si="7"/>
        <v>2</v>
      </c>
      <c r="K31" s="192">
        <f t="shared" si="8"/>
        <v>11</v>
      </c>
      <c r="L31" s="192" t="str">
        <f t="shared" si="0"/>
        <v/>
      </c>
      <c r="M31" s="216">
        <f t="shared" ca="1" si="9"/>
        <v>0</v>
      </c>
      <c r="N31" s="216"/>
      <c r="O31" s="216"/>
      <c r="P31" s="216"/>
      <c r="Q31" s="456" t="str">
        <f t="shared" ca="1" si="10"/>
        <v/>
      </c>
      <c r="R31" s="450">
        <f t="shared" ca="1" si="11"/>
        <v>1</v>
      </c>
      <c r="S31" s="191">
        <f t="shared" si="12"/>
        <v>2</v>
      </c>
      <c r="T31" s="191">
        <f t="shared" si="13"/>
        <v>11</v>
      </c>
      <c r="U31" s="191">
        <f ca="1">OP!$D$5+$S31-1</f>
        <v>34</v>
      </c>
      <c r="V31" s="191" t="str">
        <f t="shared" si="14"/>
        <v/>
      </c>
      <c r="W31" s="350">
        <f ca="1">IF(Q31&lt;&gt;1,0,VLOOKUP(OP!$C$55,PVFB,$S31+2,0))</f>
        <v>0</v>
      </c>
      <c r="X31" s="473">
        <f t="shared" ca="1" si="44"/>
        <v>0</v>
      </c>
      <c r="Y31" s="348">
        <f t="shared" ca="1" si="45"/>
        <v>0</v>
      </c>
      <c r="Z31" s="348">
        <f t="shared" ca="1" si="46"/>
        <v>268</v>
      </c>
      <c r="AA31" s="348">
        <f ca="1">IF(Q31&lt;&gt;1,0,VLOOKUP(OP!$C$55,PVFB,$S31+2,0))</f>
        <v>0</v>
      </c>
      <c r="AB31" s="488" t="str">
        <f ca="1">IF(AND(S31&lt;OP!$C$24,$U31&lt;15),0,IF(AND($U31&lt;15,$T31=12),ROUND(VLOOKUP($S31,DOWN16,5,0),3),IF($T31=12,ROUND(($Z31/10000)*$AA31,3)+IF(AND($P$7="購買增額繳清保險",T31=12,U31=110),VLOOKUP(S31,$B$10:$H$121,7,0),0),"")))</f>
        <v/>
      </c>
      <c r="AC31" s="350" t="str">
        <f ca="1">IF(AND(S31&lt;OP!$C$24,$U31&lt;15),0,IF(AND($U31&lt;16,$T31=12),VLOOKUP($S31,DOWN16,4,0),IF($T31=12,ROUND(VLOOKUP(OP!$C$55,_DIE2,$S31+1,0)*(Z31/10000),0)+IF(AND($P$7="購買增額繳清保險",T31=12,U31=110),VLOOKUP(S31,$B$10:$H$121,7,0),0),"")))</f>
        <v/>
      </c>
      <c r="AD31" s="347"/>
      <c r="AE31" s="350" t="str">
        <f t="shared" ca="1" si="1"/>
        <v/>
      </c>
      <c r="AF31" s="351" t="str">
        <f t="shared" ca="1" si="2"/>
        <v/>
      </c>
      <c r="AG31" s="340"/>
      <c r="AH31" s="340"/>
      <c r="AI31" s="340"/>
      <c r="AJ31" s="340"/>
      <c r="AK31" s="340"/>
      <c r="AL31" s="340"/>
      <c r="AM31" s="340"/>
      <c r="AN31" s="191">
        <f t="shared" si="15"/>
        <v>2</v>
      </c>
      <c r="AO31" s="191">
        <f t="shared" si="16"/>
        <v>11</v>
      </c>
      <c r="AP31" s="191">
        <f ca="1">OP!$D$5+$AN31-1</f>
        <v>34</v>
      </c>
      <c r="AQ31" s="191" t="str">
        <f t="shared" si="17"/>
        <v/>
      </c>
      <c r="AR31" s="352">
        <f t="shared" ca="1" si="18"/>
        <v>0</v>
      </c>
      <c r="AS31" s="352"/>
      <c r="AT31" s="352"/>
      <c r="AU31" s="436"/>
      <c r="AV31" s="353" t="str">
        <f t="shared" ca="1" si="19"/>
        <v/>
      </c>
      <c r="AW31" s="422" t="str">
        <f t="shared" si="20"/>
        <v/>
      </c>
      <c r="AX31" s="423" t="str">
        <f ca="1">IF(AND($AW31=1,$AP31&lt;16,$AN30&lt;OP!$C$24),OP!$C$49,"")</f>
        <v/>
      </c>
      <c r="AY31" s="340"/>
      <c r="AZ31" s="465">
        <f t="shared" ca="1" si="21"/>
        <v>7.3698599999999999E-5</v>
      </c>
      <c r="BA31" s="464">
        <f t="shared" ca="1" si="22"/>
        <v>2.1372602999999999E-3</v>
      </c>
      <c r="BB31" s="465">
        <f t="shared" ca="1" si="22"/>
        <v>2.2109589000000002E-3</v>
      </c>
      <c r="BC31" s="466">
        <f t="shared" ca="1" si="23"/>
        <v>43556</v>
      </c>
      <c r="BD31" s="467">
        <f t="shared" ca="1" si="47"/>
        <v>43557</v>
      </c>
      <c r="BE31" s="467">
        <f t="shared" ca="1" si="24"/>
        <v>43585</v>
      </c>
      <c r="BF31" s="468">
        <f ca="1">IF(計算!$BC31&lt;OP!$C$3,0,BD31-BC31)</f>
        <v>1</v>
      </c>
      <c r="BG31" s="468">
        <f ca="1">IF($BE31&gt;DATE(YEAR($BD$9)+OP!$C$57,MONTH($BD$9),DAY($BD$9)),0,$BE31-$BD31+1)</f>
        <v>29</v>
      </c>
      <c r="BH31" s="469">
        <f t="shared" ca="1" si="25"/>
        <v>30</v>
      </c>
      <c r="BI31" t="str">
        <f t="shared" si="63"/>
        <v/>
      </c>
      <c r="BJ31">
        <v>10</v>
      </c>
      <c r="BN31" s="468">
        <f t="shared" si="48"/>
        <v>2</v>
      </c>
      <c r="BO31" s="468">
        <f t="shared" si="49"/>
        <v>10</v>
      </c>
      <c r="BP31" s="467">
        <f t="shared" ca="1" si="26"/>
        <v>43557</v>
      </c>
      <c r="BQ31" s="475">
        <f t="shared" ca="1" si="60"/>
        <v>34</v>
      </c>
      <c r="BR31" s="475" t="str">
        <f t="shared" si="50"/>
        <v/>
      </c>
      <c r="BS31" s="471" t="str">
        <f t="shared" si="27"/>
        <v/>
      </c>
      <c r="BT31" s="472" t="str">
        <f t="shared" si="64"/>
        <v/>
      </c>
      <c r="BU31" s="472">
        <f t="shared" ca="1" si="28"/>
        <v>0</v>
      </c>
      <c r="BV31" s="472">
        <f t="shared" ca="1" si="28"/>
        <v>0</v>
      </c>
      <c r="BW31" s="472"/>
      <c r="BX31" s="473">
        <f t="shared" ca="1" si="29"/>
        <v>0</v>
      </c>
      <c r="BY31" s="473">
        <f t="shared" si="30"/>
        <v>0</v>
      </c>
      <c r="BZ31" s="473">
        <f t="shared" ca="1" si="4"/>
        <v>0</v>
      </c>
      <c r="CA31" s="476">
        <f t="shared" ca="1" si="31"/>
        <v>0</v>
      </c>
      <c r="CB31" s="494">
        <f ca="1">IF(OR($Q30&lt;&gt;1,OP!$D$5+$BN31-1&lt;16,$BN31-1&lt;1),0,ROUND(ROUND(ROUND(((VLOOKUP($BN31-1,MORE_PV,5,0)/10000)*VLOOKUP($BN31,MORE_PV,$CB$5,0)),3)*VLOOKUP($BN31,more1,5,0),0)/$R30,0))</f>
        <v>0</v>
      </c>
      <c r="CC31" s="473">
        <f t="shared" ca="1" si="32"/>
        <v>0</v>
      </c>
      <c r="CD31" s="477"/>
      <c r="CE31" s="468">
        <f t="shared" si="51"/>
        <v>2</v>
      </c>
      <c r="CF31" s="468">
        <f t="shared" si="52"/>
        <v>10</v>
      </c>
      <c r="CG31" s="467">
        <f t="shared" ca="1" si="5"/>
        <v>43557</v>
      </c>
      <c r="CH31" s="475">
        <f t="shared" ca="1" si="61"/>
        <v>34</v>
      </c>
      <c r="CI31" s="513" t="str">
        <f t="shared" si="53"/>
        <v/>
      </c>
      <c r="CJ31" s="511">
        <f t="shared" si="33"/>
        <v>0</v>
      </c>
      <c r="CK31" s="512">
        <f t="shared" si="34"/>
        <v>0</v>
      </c>
      <c r="CL31" s="511">
        <f t="shared" ca="1" si="54"/>
        <v>0</v>
      </c>
      <c r="CM31" s="511">
        <f ca="1">ROUND(CS31-IF(OR($CE31&gt;=OP!$C$24,AND(CH31=15,CF31=12),CS31=0),0,(CT31-CR31)),$CM$7)</f>
        <v>0</v>
      </c>
      <c r="CN31" s="511"/>
      <c r="CO31" s="351">
        <f t="shared" ca="1" si="35"/>
        <v>743</v>
      </c>
      <c r="CP31" s="473">
        <f t="shared" si="36"/>
        <v>0</v>
      </c>
      <c r="CQ31" s="473">
        <f t="shared" ca="1" si="6"/>
        <v>1.642742463</v>
      </c>
      <c r="CR31" s="476">
        <f t="shared" ca="1" si="37"/>
        <v>0</v>
      </c>
      <c r="CS31" s="494">
        <f ca="1">IF(OR($Q30&lt;&gt;1,OP!$D$5+$CE31-1&lt;16,$CE31-1&lt;1),0,ROUND(ROUND(ROUND(((VLOOKUP($CE31-1,MORE_PV,5,0)/10000)*VLOOKUP($CE31,MORE_PV,$CS$5,0)),3)*VLOOKUP($CE31,more1,5,0),0)/$R30,0))</f>
        <v>0</v>
      </c>
      <c r="CT31" s="473">
        <f>IF($AW31=1,IF(N($CR31+$CS31)&lt;N($AX31)*OP!$C$50,N($CR31+$CS31),MIN(N($CR31+$CS31),N($AX31))),0)</f>
        <v>0</v>
      </c>
      <c r="CV31" s="503">
        <f t="shared" ca="1" si="38"/>
        <v>743.45328661099995</v>
      </c>
      <c r="CW31" s="503">
        <f t="shared" ca="1" si="39"/>
        <v>0</v>
      </c>
      <c r="CX31" s="503">
        <f t="shared" ca="1" si="40"/>
        <v>745.04212270999994</v>
      </c>
    </row>
    <row r="32" spans="1:102" ht="16.5" hidden="1">
      <c r="A32" s="450">
        <f ca="1">OP!$D$5+$B32-1</f>
        <v>54</v>
      </c>
      <c r="B32" s="192">
        <v>22</v>
      </c>
      <c r="C32" s="219">
        <f ca="1">ROUND(VLOOKUP(OP!$C$55,PV0,B32+2,0)*OP!$C$28,0)</f>
        <v>1396516</v>
      </c>
      <c r="D32" s="189">
        <f t="shared" ca="1" si="41"/>
        <v>1396516</v>
      </c>
      <c r="E32" s="221">
        <f t="shared" ca="1" si="42"/>
        <v>2.69E-2</v>
      </c>
      <c r="F32" s="222">
        <f t="shared" ca="1" si="43"/>
        <v>6.8999999999999999E-3</v>
      </c>
      <c r="G32" s="223">
        <f t="shared" ca="1" si="55"/>
        <v>166512</v>
      </c>
      <c r="H32" s="224">
        <f t="shared" ca="1" si="56"/>
        <v>9863</v>
      </c>
      <c r="I32" s="450">
        <f t="shared" ca="1" si="57"/>
        <v>1</v>
      </c>
      <c r="J32" s="192">
        <f t="shared" si="7"/>
        <v>2</v>
      </c>
      <c r="K32" s="192">
        <f t="shared" si="8"/>
        <v>12</v>
      </c>
      <c r="L32" s="192">
        <f t="shared" si="0"/>
        <v>2</v>
      </c>
      <c r="M32" s="216">
        <f t="shared" ca="1" si="9"/>
        <v>0</v>
      </c>
      <c r="N32" s="216"/>
      <c r="O32" s="216"/>
      <c r="P32" s="216"/>
      <c r="Q32" s="456">
        <f t="shared" ca="1" si="10"/>
        <v>1</v>
      </c>
      <c r="R32" s="450">
        <f t="shared" ca="1" si="11"/>
        <v>1</v>
      </c>
      <c r="S32" s="191">
        <f t="shared" si="12"/>
        <v>2</v>
      </c>
      <c r="T32" s="191">
        <f t="shared" si="13"/>
        <v>12</v>
      </c>
      <c r="U32" s="191">
        <f ca="1">OP!$D$5+$S32-1</f>
        <v>34</v>
      </c>
      <c r="V32" s="191">
        <f t="shared" si="14"/>
        <v>2</v>
      </c>
      <c r="W32" s="350">
        <f ca="1">IF(Q32&lt;&gt;1,0,VLOOKUP(OP!$C$55,PVFB,$S32+2,0))</f>
        <v>27651</v>
      </c>
      <c r="X32" s="473">
        <f t="shared" ca="1" si="44"/>
        <v>1941</v>
      </c>
      <c r="Y32" s="348">
        <f t="shared" ca="1" si="45"/>
        <v>702</v>
      </c>
      <c r="Z32" s="348">
        <f t="shared" ca="1" si="46"/>
        <v>970</v>
      </c>
      <c r="AA32" s="348">
        <f ca="1">IF(Q32&lt;&gt;1,0,VLOOKUP(OP!$C$55,PVFB,$S32+2,0))</f>
        <v>27651</v>
      </c>
      <c r="AB32" s="488">
        <f ca="1">IF(AND(S32&lt;OP!$C$24,$U32&lt;15),0,IF(AND($U32&lt;15,$T32=12),ROUND(VLOOKUP($S32,DOWN16,5,0),3),IF($T32=12,ROUND(($Z32/10000)*$AA32,3)+IF(AND($P$7="購買增額繳清保險",T32=12,U32=110),VLOOKUP(S32,$B$10:$H$121,7,0),0),"")))</f>
        <v>2682.1469999999999</v>
      </c>
      <c r="AC32" s="350">
        <f ca="1">IF(AND(S32&lt;OP!$C$24,$U32&lt;15),0,IF(AND($U32&lt;16,$T32=12),VLOOKUP($S32,DOWN16,4,0),IF($T32=12,ROUND(VLOOKUP(OP!$C$55,_DIE2,$S32+1,0)*(Z32/10000),0)+IF(AND($P$7="購買增額繳清保險",T32=12,U32=110),VLOOKUP(S32,$B$10:$H$121,7,0),0),"")))</f>
        <v>2682</v>
      </c>
      <c r="AD32" s="347"/>
      <c r="AE32" s="350" t="str">
        <f t="shared" ca="1" si="1"/>
        <v/>
      </c>
      <c r="AF32" s="351" t="str">
        <f t="shared" ca="1" si="2"/>
        <v/>
      </c>
      <c r="AG32" s="340"/>
      <c r="AH32" s="340"/>
      <c r="AI32" s="340"/>
      <c r="AJ32" s="340"/>
      <c r="AK32" s="340"/>
      <c r="AL32" s="340"/>
      <c r="AM32" s="340"/>
      <c r="AN32" s="191">
        <f t="shared" si="15"/>
        <v>2</v>
      </c>
      <c r="AO32" s="191">
        <f t="shared" si="16"/>
        <v>12</v>
      </c>
      <c r="AP32" s="191">
        <f ca="1">OP!$D$5+$AN32-1</f>
        <v>34</v>
      </c>
      <c r="AQ32" s="191">
        <f t="shared" si="17"/>
        <v>2</v>
      </c>
      <c r="AR32" s="352">
        <f t="shared" ca="1" si="18"/>
        <v>2683</v>
      </c>
      <c r="AS32" s="352"/>
      <c r="AT32" s="352"/>
      <c r="AU32" s="436"/>
      <c r="AV32" s="353">
        <f t="shared" ca="1" si="19"/>
        <v>1</v>
      </c>
      <c r="AW32" s="422" t="str">
        <f t="shared" si="20"/>
        <v/>
      </c>
      <c r="AX32" s="423" t="str">
        <f ca="1">IF(AND($AW32=1,$AP32&lt;16,$AN31&lt;OP!$C$24),OP!$C$49,"")</f>
        <v/>
      </c>
      <c r="AY32" s="340"/>
      <c r="AZ32" s="465">
        <f t="shared" ca="1" si="21"/>
        <v>7.3698599999999999E-5</v>
      </c>
      <c r="BA32" s="464">
        <f t="shared" ca="1" si="22"/>
        <v>2.2109589000000002E-3</v>
      </c>
      <c r="BB32" s="465">
        <f t="shared" ca="1" si="22"/>
        <v>2.2846575E-3</v>
      </c>
      <c r="BC32" s="466">
        <f t="shared" ca="1" si="23"/>
        <v>43586</v>
      </c>
      <c r="BD32" s="467">
        <f t="shared" ca="1" si="47"/>
        <v>43587</v>
      </c>
      <c r="BE32" s="467">
        <f t="shared" ca="1" si="24"/>
        <v>43616</v>
      </c>
      <c r="BF32" s="468">
        <f ca="1">IF(計算!$BC32&lt;OP!$C$3,0,BD32-BC32)</f>
        <v>1</v>
      </c>
      <c r="BG32" s="468">
        <f ca="1">IF($BE32&gt;DATE(YEAR($BD$9)+OP!$C$57,MONTH($BD$9),DAY($BD$9)),0,$BE32-$BD32+1)</f>
        <v>30</v>
      </c>
      <c r="BH32" s="469">
        <f t="shared" ca="1" si="25"/>
        <v>31</v>
      </c>
      <c r="BI32" t="str">
        <f t="shared" si="63"/>
        <v/>
      </c>
      <c r="BJ32">
        <v>11</v>
      </c>
      <c r="BN32" s="468">
        <f t="shared" si="48"/>
        <v>2</v>
      </c>
      <c r="BO32" s="468">
        <f t="shared" si="49"/>
        <v>11</v>
      </c>
      <c r="BP32" s="467">
        <f t="shared" ca="1" si="26"/>
        <v>43587</v>
      </c>
      <c r="BQ32" s="475">
        <f t="shared" ca="1" si="60"/>
        <v>34</v>
      </c>
      <c r="BR32" s="475" t="str">
        <f t="shared" si="50"/>
        <v/>
      </c>
      <c r="BS32" s="471" t="str">
        <f t="shared" si="27"/>
        <v/>
      </c>
      <c r="BT32" s="472" t="str">
        <f t="shared" si="64"/>
        <v/>
      </c>
      <c r="BU32" s="472">
        <f t="shared" ca="1" si="28"/>
        <v>0</v>
      </c>
      <c r="BV32" s="472">
        <f t="shared" ca="1" si="28"/>
        <v>0</v>
      </c>
      <c r="BW32" s="472"/>
      <c r="BX32" s="473">
        <f t="shared" ca="1" si="29"/>
        <v>0</v>
      </c>
      <c r="BY32" s="473">
        <f t="shared" si="30"/>
        <v>0</v>
      </c>
      <c r="BZ32" s="473">
        <f t="shared" ca="1" si="4"/>
        <v>0</v>
      </c>
      <c r="CA32" s="476">
        <f t="shared" ca="1" si="31"/>
        <v>0</v>
      </c>
      <c r="CB32" s="494">
        <f ca="1">IF(OR($Q31&lt;&gt;1,OP!$D$5+$BN32-1&lt;16,$BN32-1&lt;1),0,ROUND(ROUND(ROUND(((VLOOKUP($BN32-1,MORE_PV,5,0)/10000)*VLOOKUP($BN32,MORE_PV,$CB$5,0)),3)*VLOOKUP($BN32,more1,5,0),0)/$R31,0))</f>
        <v>0</v>
      </c>
      <c r="CC32" s="473">
        <f t="shared" ca="1" si="32"/>
        <v>0</v>
      </c>
      <c r="CD32" s="477"/>
      <c r="CE32" s="468">
        <f t="shared" si="51"/>
        <v>2</v>
      </c>
      <c r="CF32" s="468">
        <f t="shared" si="52"/>
        <v>11</v>
      </c>
      <c r="CG32" s="467">
        <f t="shared" ca="1" si="5"/>
        <v>43587</v>
      </c>
      <c r="CH32" s="475">
        <f t="shared" ca="1" si="61"/>
        <v>34</v>
      </c>
      <c r="CI32" s="513" t="str">
        <f t="shared" si="53"/>
        <v/>
      </c>
      <c r="CJ32" s="511">
        <f t="shared" si="33"/>
        <v>0</v>
      </c>
      <c r="CK32" s="512">
        <f t="shared" si="34"/>
        <v>0</v>
      </c>
      <c r="CL32" s="511">
        <f t="shared" ca="1" si="54"/>
        <v>0</v>
      </c>
      <c r="CM32" s="511">
        <f ca="1">ROUND(CS32-IF(OR($CE32&gt;=OP!$C$24,AND(CH32=15,CF32=12),CS32=0),0,(CT32-CR32)),$CM$7)</f>
        <v>0</v>
      </c>
      <c r="CN32" s="511"/>
      <c r="CO32" s="351">
        <f t="shared" ca="1" si="35"/>
        <v>745</v>
      </c>
      <c r="CP32" s="473">
        <f t="shared" si="36"/>
        <v>0</v>
      </c>
      <c r="CQ32" s="473">
        <f t="shared" ca="1" si="6"/>
        <v>1.7020698379999999</v>
      </c>
      <c r="CR32" s="476">
        <f t="shared" ca="1" si="37"/>
        <v>0</v>
      </c>
      <c r="CS32" s="494">
        <f ca="1">IF(OR($Q31&lt;&gt;1,OP!$D$5+$CE32-1&lt;16,$CE32-1&lt;1),0,ROUND(ROUND(ROUND(((VLOOKUP($CE32-1,MORE_PV,5,0)/10000)*VLOOKUP($CE32,MORE_PV,$CS$5,0)),3)*VLOOKUP($CE32,more1,5,0),0)/$R31,0))</f>
        <v>0</v>
      </c>
      <c r="CT32" s="473">
        <f>IF($AW32=1,IF(N($CR32+$CS32)&lt;N($AX32)*OP!$C$50,N($CR32+$CS32),MIN(N($CR32+$CS32),N($AX32))),0)</f>
        <v>0</v>
      </c>
      <c r="CV32" s="503">
        <f t="shared" ca="1" si="38"/>
        <v>745.09703127099999</v>
      </c>
      <c r="CW32" s="503">
        <f t="shared" ca="1" si="39"/>
        <v>0</v>
      </c>
      <c r="CX32" s="503">
        <f t="shared" ca="1" si="40"/>
        <v>746.744288783</v>
      </c>
    </row>
    <row r="33" spans="1:102" ht="16.5" hidden="1">
      <c r="A33" s="450">
        <f ca="1">OP!$D$5+$B33-1</f>
        <v>55</v>
      </c>
      <c r="B33" s="192">
        <v>23</v>
      </c>
      <c r="C33" s="219">
        <f ca="1">ROUND(VLOOKUP(OP!$C$55,PV0,B33+2,0)*OP!$C$28,0)</f>
        <v>1424430</v>
      </c>
      <c r="D33" s="189">
        <f t="shared" ca="1" si="41"/>
        <v>1424430</v>
      </c>
      <c r="E33" s="221">
        <f t="shared" ca="1" si="42"/>
        <v>2.69E-2</v>
      </c>
      <c r="F33" s="222">
        <f t="shared" ca="1" si="43"/>
        <v>6.8999999999999999E-3</v>
      </c>
      <c r="G33" s="223">
        <f t="shared" ca="1" si="55"/>
        <v>181120</v>
      </c>
      <c r="H33" s="224">
        <f t="shared" ca="1" si="56"/>
        <v>10061</v>
      </c>
      <c r="I33" s="450">
        <f t="shared" ca="1" si="57"/>
        <v>1</v>
      </c>
      <c r="J33" s="192">
        <f t="shared" si="7"/>
        <v>3</v>
      </c>
      <c r="K33" s="192">
        <f t="shared" si="8"/>
        <v>1</v>
      </c>
      <c r="L33" s="192" t="str">
        <f t="shared" si="0"/>
        <v/>
      </c>
      <c r="M33" s="216">
        <f t="shared" ca="1" si="9"/>
        <v>0</v>
      </c>
      <c r="N33" s="216"/>
      <c r="O33" s="216"/>
      <c r="P33" s="216"/>
      <c r="Q33" s="456" t="str">
        <f t="shared" ca="1" si="10"/>
        <v/>
      </c>
      <c r="R33" s="450">
        <f t="shared" ca="1" si="11"/>
        <v>1</v>
      </c>
      <c r="S33" s="191">
        <f t="shared" si="12"/>
        <v>3</v>
      </c>
      <c r="T33" s="191">
        <f t="shared" si="13"/>
        <v>1</v>
      </c>
      <c r="U33" s="191">
        <f ca="1">OP!$D$5+$S33-1</f>
        <v>35</v>
      </c>
      <c r="V33" s="191" t="str">
        <f t="shared" si="14"/>
        <v/>
      </c>
      <c r="W33" s="350">
        <f ca="1">IF(Q33&lt;&gt;1,0,VLOOKUP(OP!$C$55,PVFB,$S33+2,0))</f>
        <v>0</v>
      </c>
      <c r="X33" s="473">
        <f t="shared" ca="1" si="44"/>
        <v>0</v>
      </c>
      <c r="Y33" s="348">
        <f t="shared" ca="1" si="45"/>
        <v>0</v>
      </c>
      <c r="Z33" s="348">
        <f t="shared" ca="1" si="46"/>
        <v>970</v>
      </c>
      <c r="AA33" s="348">
        <f ca="1">IF(Q33&lt;&gt;1,0,VLOOKUP(OP!$C$55,PVFB,$S33+2,0))</f>
        <v>0</v>
      </c>
      <c r="AB33" s="488" t="str">
        <f ca="1">IF(AND(S33&lt;OP!$C$24,$U33&lt;15),0,IF(AND($U33&lt;15,$T33=12),ROUND(VLOOKUP($S33,DOWN16,5,0),3),IF($T33=12,ROUND(($Z33/10000)*$AA33,3)+IF(AND($P$7="購買增額繳清保險",T33=12,U33=110),VLOOKUP(S33,$B$10:$H$121,7,0),0),"")))</f>
        <v/>
      </c>
      <c r="AC33" s="350" t="str">
        <f ca="1">IF(AND(S33&lt;OP!$C$24,$U33&lt;15),0,IF(AND($U33&lt;16,$T33=12),VLOOKUP($S33,DOWN16,4,0),IF($T33=12,ROUND(VLOOKUP(OP!$C$55,_DIE2,$S33+1,0)*(Z33/10000),0)+IF(AND($P$7="購買增額繳清保險",T33=12,U33=110),VLOOKUP(S33,$B$10:$H$121,7,0),0),"")))</f>
        <v/>
      </c>
      <c r="AD33" s="347"/>
      <c r="AE33" s="350" t="str">
        <f t="shared" ca="1" si="1"/>
        <v/>
      </c>
      <c r="AF33" s="351" t="str">
        <f t="shared" ca="1" si="2"/>
        <v/>
      </c>
      <c r="AG33" s="340"/>
      <c r="AH33" s="340"/>
      <c r="AI33" s="340"/>
      <c r="AJ33" s="340"/>
      <c r="AK33" s="340"/>
      <c r="AL33" s="340"/>
      <c r="AM33" s="340"/>
      <c r="AN33" s="191">
        <f t="shared" si="15"/>
        <v>3</v>
      </c>
      <c r="AO33" s="191">
        <f t="shared" si="16"/>
        <v>1</v>
      </c>
      <c r="AP33" s="191">
        <f ca="1">OP!$D$5+$AN33-1</f>
        <v>35</v>
      </c>
      <c r="AQ33" s="191" t="str">
        <f t="shared" si="17"/>
        <v/>
      </c>
      <c r="AR33" s="352">
        <f t="shared" ca="1" si="18"/>
        <v>0</v>
      </c>
      <c r="AS33" s="352"/>
      <c r="AT33" s="352"/>
      <c r="AU33" s="436"/>
      <c r="AV33" s="353" t="str">
        <f t="shared" ca="1" si="19"/>
        <v/>
      </c>
      <c r="AW33" s="422">
        <f t="shared" si="20"/>
        <v>1</v>
      </c>
      <c r="AX33" s="423" t="str">
        <f ca="1">IF(AND($AW33=1,$AP33&lt;16,$AN32&lt;OP!$C$24),OP!$C$49,"")</f>
        <v/>
      </c>
      <c r="AY33" s="340"/>
      <c r="AZ33" s="465">
        <f t="shared" ca="1" si="21"/>
        <v>7.3698599999999999E-5</v>
      </c>
      <c r="BA33" s="464">
        <f t="shared" ca="1" si="22"/>
        <v>2.1372602999999999E-3</v>
      </c>
      <c r="BB33" s="465">
        <f t="shared" ca="1" si="22"/>
        <v>2.2109589000000002E-3</v>
      </c>
      <c r="BC33" s="466">
        <f t="shared" ca="1" si="23"/>
        <v>43617</v>
      </c>
      <c r="BD33" s="467">
        <f t="shared" ca="1" si="47"/>
        <v>43618</v>
      </c>
      <c r="BE33" s="467">
        <f t="shared" ca="1" si="24"/>
        <v>43646</v>
      </c>
      <c r="BF33" s="468">
        <f ca="1">IF(計算!$BC33&lt;OP!$C$3,0,BD33-BC33)</f>
        <v>1</v>
      </c>
      <c r="BG33" s="468">
        <f ca="1">IF($BE33&gt;DATE(YEAR($BD$9)+OP!$C$57,MONTH($BD$9),DAY($BD$9)),0,$BE33-$BD33+1)</f>
        <v>29</v>
      </c>
      <c r="BH33" s="469">
        <f t="shared" ca="1" si="25"/>
        <v>30</v>
      </c>
      <c r="BI33">
        <f t="shared" ca="1" si="63"/>
        <v>365</v>
      </c>
      <c r="BJ33">
        <v>12</v>
      </c>
      <c r="BN33" s="468">
        <f t="shared" si="48"/>
        <v>2</v>
      </c>
      <c r="BO33" s="468">
        <f t="shared" si="49"/>
        <v>12</v>
      </c>
      <c r="BP33" s="467">
        <f t="shared" ca="1" si="26"/>
        <v>43618</v>
      </c>
      <c r="BQ33" s="475">
        <f t="shared" ca="1" si="60"/>
        <v>34</v>
      </c>
      <c r="BR33" s="475">
        <f t="shared" si="50"/>
        <v>2</v>
      </c>
      <c r="BS33" s="471">
        <f t="shared" ca="1" si="27"/>
        <v>1941</v>
      </c>
      <c r="BT33" s="472">
        <f t="shared" ca="1" si="64"/>
        <v>0</v>
      </c>
      <c r="BU33" s="472">
        <f t="shared" ca="1" si="28"/>
        <v>1936</v>
      </c>
      <c r="BV33" s="472">
        <f t="shared" ca="1" si="28"/>
        <v>5</v>
      </c>
      <c r="BW33" s="472">
        <f ca="1">ROUND(SUM(BY33,BZ21:BZ32),0)</f>
        <v>0</v>
      </c>
      <c r="BX33" s="473">
        <f t="shared" ca="1" si="29"/>
        <v>0</v>
      </c>
      <c r="BY33" s="473">
        <f t="shared" ca="1" si="30"/>
        <v>0</v>
      </c>
      <c r="BZ33" s="473">
        <f t="shared" ca="1" si="4"/>
        <v>0</v>
      </c>
      <c r="CA33" s="476">
        <f t="shared" ca="1" si="31"/>
        <v>1936</v>
      </c>
      <c r="CB33" s="494">
        <f ca="1">IF(OR($Q32&lt;&gt;1,OP!$D$5+$BN33-1&lt;16,$BN33-1&lt;1),0,ROUND(ROUND(ROUND(((VLOOKUP($BN33-1,MORE_PV,5,0)/10000)*VLOOKUP($BN33,MORE_PV,$CB$5,0)),3)*VLOOKUP($BN33,more1,5,0),0)/$R32,0))</f>
        <v>5</v>
      </c>
      <c r="CC33" s="473">
        <f t="shared" ca="1" si="32"/>
        <v>0</v>
      </c>
      <c r="CD33" s="477"/>
      <c r="CE33" s="468">
        <f t="shared" si="51"/>
        <v>2</v>
      </c>
      <c r="CF33" s="468">
        <f t="shared" si="52"/>
        <v>12</v>
      </c>
      <c r="CG33" s="467">
        <f t="shared" ca="1" si="5"/>
        <v>43618</v>
      </c>
      <c r="CH33" s="475">
        <f t="shared" ca="1" si="61"/>
        <v>34</v>
      </c>
      <c r="CI33" s="513">
        <f t="shared" si="53"/>
        <v>2</v>
      </c>
      <c r="CJ33" s="511">
        <f t="shared" ca="1" si="33"/>
        <v>3882</v>
      </c>
      <c r="CK33" s="512">
        <f t="shared" ca="1" si="34"/>
        <v>2682.7993227920001</v>
      </c>
      <c r="CL33" s="511">
        <f t="shared" ca="1" si="54"/>
        <v>1941</v>
      </c>
      <c r="CM33" s="511">
        <f ca="1">ROUND(CS33-IF(OR($CE33&gt;=OP!$C$24,AND(CH33=15,CF33=12),CS33=0),0,(CT33-CR33)),$CM$7)</f>
        <v>1941</v>
      </c>
      <c r="CN33" s="511">
        <f ca="1">ROUND(SUM(CP33,CQ21:CQ32),$CN$7)</f>
        <v>19.801767960999999</v>
      </c>
      <c r="CO33" s="351">
        <f t="shared" ca="1" si="35"/>
        <v>2683</v>
      </c>
      <c r="CP33" s="473">
        <f t="shared" ca="1" si="36"/>
        <v>5.5030897000000002E-2</v>
      </c>
      <c r="CQ33" s="473">
        <f t="shared" ca="1" si="6"/>
        <v>5.7342693850000002</v>
      </c>
      <c r="CR33" s="476">
        <f t="shared" ca="1" si="37"/>
        <v>1936</v>
      </c>
      <c r="CS33" s="494">
        <f ca="1">IF(OR($Q32&lt;&gt;1,OP!$D$5+$CE33-1&lt;16,$CE33-1&lt;1),0,ROUND(ROUND(ROUND(((VLOOKUP($CE33-1,MORE_PV,5,0)/10000)*VLOOKUP($CE33,MORE_PV,$CS$5,0)),3)*VLOOKUP($CE33,more1,5,0),0)/$R32,0))</f>
        <v>5</v>
      </c>
      <c r="CT33" s="473">
        <f ca="1">IF($AW33=1,IF(N($CR33+$CS33)&lt;N($AX33)*OP!$C$50,N($CR33+$CS33),MIN(N($CR33+$CS33),N($AX33))),0)</f>
        <v>0</v>
      </c>
      <c r="CV33" s="503">
        <f t="shared" ca="1" si="38"/>
        <v>2682.7993227920001</v>
      </c>
      <c r="CW33" s="503">
        <f t="shared" ca="1" si="39"/>
        <v>1940.1377359410001</v>
      </c>
      <c r="CX33" s="503">
        <f t="shared" ca="1" si="40"/>
        <v>2688.533045655</v>
      </c>
    </row>
    <row r="34" spans="1:102" ht="16.5" hidden="1">
      <c r="A34" s="450">
        <f ca="1">OP!$D$5+$B34-1</f>
        <v>56</v>
      </c>
      <c r="B34" s="192">
        <v>24</v>
      </c>
      <c r="C34" s="219">
        <f ca="1">ROUND(VLOOKUP(OP!$C$55,PV0,B34+2,0)*OP!$C$28,0)</f>
        <v>1452922</v>
      </c>
      <c r="D34" s="189">
        <f t="shared" ca="1" si="41"/>
        <v>1452922</v>
      </c>
      <c r="E34" s="221">
        <f t="shared" ca="1" si="42"/>
        <v>2.69E-2</v>
      </c>
      <c r="F34" s="222">
        <f t="shared" ca="1" si="43"/>
        <v>6.8999999999999999E-3</v>
      </c>
      <c r="G34" s="223">
        <f t="shared" ca="1" si="55"/>
        <v>196314</v>
      </c>
      <c r="H34" s="224">
        <f t="shared" ca="1" si="56"/>
        <v>10261</v>
      </c>
      <c r="I34" s="450">
        <f t="shared" ca="1" si="57"/>
        <v>1</v>
      </c>
      <c r="J34" s="192">
        <f t="shared" si="7"/>
        <v>3</v>
      </c>
      <c r="K34" s="192">
        <f t="shared" si="8"/>
        <v>2</v>
      </c>
      <c r="L34" s="192" t="str">
        <f t="shared" si="0"/>
        <v/>
      </c>
      <c r="M34" s="216">
        <f t="shared" ca="1" si="9"/>
        <v>0</v>
      </c>
      <c r="N34" s="216"/>
      <c r="O34" s="216"/>
      <c r="P34" s="216"/>
      <c r="Q34" s="456" t="str">
        <f t="shared" ca="1" si="10"/>
        <v/>
      </c>
      <c r="R34" s="450">
        <f t="shared" ca="1" si="11"/>
        <v>1</v>
      </c>
      <c r="S34" s="191">
        <f t="shared" si="12"/>
        <v>3</v>
      </c>
      <c r="T34" s="191">
        <f t="shared" si="13"/>
        <v>2</v>
      </c>
      <c r="U34" s="191">
        <f ca="1">OP!$D$5+$S34-1</f>
        <v>35</v>
      </c>
      <c r="V34" s="191" t="str">
        <f t="shared" si="14"/>
        <v/>
      </c>
      <c r="W34" s="350">
        <f ca="1">IF(Q34&lt;&gt;1,0,VLOOKUP(OP!$C$55,PVFB,$S34+2,0))</f>
        <v>0</v>
      </c>
      <c r="X34" s="473">
        <f t="shared" ca="1" si="44"/>
        <v>0</v>
      </c>
      <c r="Y34" s="348">
        <f t="shared" ca="1" si="45"/>
        <v>0</v>
      </c>
      <c r="Z34" s="348">
        <f t="shared" ca="1" si="46"/>
        <v>970</v>
      </c>
      <c r="AA34" s="348">
        <f ca="1">IF(Q34&lt;&gt;1,0,VLOOKUP(OP!$C$55,PVFB,$S34+2,0))</f>
        <v>0</v>
      </c>
      <c r="AB34" s="488" t="str">
        <f ca="1">IF(AND(S34&lt;OP!$C$24,$U34&lt;15),0,IF(AND($U34&lt;15,$T34=12),ROUND(VLOOKUP($S34,DOWN16,5,0),3),IF($T34=12,ROUND(($Z34/10000)*$AA34,3)+IF(AND($P$7="購買增額繳清保險",T34=12,U34=110),VLOOKUP(S34,$B$10:$H$121,7,0),0),"")))</f>
        <v/>
      </c>
      <c r="AC34" s="350" t="str">
        <f ca="1">IF(AND(S34&lt;OP!$C$24,$U34&lt;15),0,IF(AND($U34&lt;16,$T34=12),VLOOKUP($S34,DOWN16,4,0),IF($T34=12,ROUND(VLOOKUP(OP!$C$55,_DIE2,$S34+1,0)*(Z34/10000),0)+IF(AND($P$7="購買增額繳清保險",T34=12,U34=110),VLOOKUP(S34,$B$10:$H$121,7,0),0),"")))</f>
        <v/>
      </c>
      <c r="AD34" s="347"/>
      <c r="AE34" s="350" t="str">
        <f t="shared" ca="1" si="1"/>
        <v/>
      </c>
      <c r="AF34" s="351" t="str">
        <f t="shared" ca="1" si="2"/>
        <v/>
      </c>
      <c r="AG34" s="340"/>
      <c r="AH34" s="340"/>
      <c r="AI34" s="340"/>
      <c r="AJ34" s="340"/>
      <c r="AK34" s="340"/>
      <c r="AL34" s="340"/>
      <c r="AM34" s="340"/>
      <c r="AN34" s="191">
        <f t="shared" si="15"/>
        <v>3</v>
      </c>
      <c r="AO34" s="191">
        <f t="shared" si="16"/>
        <v>2</v>
      </c>
      <c r="AP34" s="191">
        <f ca="1">OP!$D$5+$AN34-1</f>
        <v>35</v>
      </c>
      <c r="AQ34" s="191" t="str">
        <f t="shared" si="17"/>
        <v/>
      </c>
      <c r="AR34" s="352">
        <f t="shared" ca="1" si="18"/>
        <v>0</v>
      </c>
      <c r="AS34" s="352"/>
      <c r="AT34" s="352"/>
      <c r="AU34" s="436"/>
      <c r="AV34" s="353" t="str">
        <f t="shared" ca="1" si="19"/>
        <v/>
      </c>
      <c r="AW34" s="422" t="str">
        <f t="shared" si="20"/>
        <v/>
      </c>
      <c r="AX34" s="423" t="str">
        <f ca="1">IF(AND($AW34=1,$AP34&lt;16,$AN33&lt;OP!$C$24),OP!$C$49,"")</f>
        <v/>
      </c>
      <c r="AY34" s="340"/>
      <c r="AZ34" s="465">
        <f t="shared" ca="1" si="21"/>
        <v>7.3698599999999999E-5</v>
      </c>
      <c r="BA34" s="464">
        <f t="shared" ca="1" si="22"/>
        <v>2.2109589000000002E-3</v>
      </c>
      <c r="BB34" s="465">
        <f t="shared" ca="1" si="22"/>
        <v>2.2846575E-3</v>
      </c>
      <c r="BC34" s="466">
        <f t="shared" ca="1" si="23"/>
        <v>43647</v>
      </c>
      <c r="BD34" s="467">
        <f t="shared" ca="1" si="47"/>
        <v>43648</v>
      </c>
      <c r="BE34" s="467">
        <f t="shared" ca="1" si="24"/>
        <v>43677</v>
      </c>
      <c r="BF34" s="468">
        <f ca="1">IF(計算!$BC34&lt;OP!$C$3,0,BD34-BC34)</f>
        <v>1</v>
      </c>
      <c r="BG34" s="468">
        <f ca="1">IF($BE34&gt;DATE(YEAR($BD$9)+OP!$C$57,MONTH($BD$9),DAY($BD$9)),0,$BE34-$BD34+1)</f>
        <v>30</v>
      </c>
      <c r="BH34" s="469">
        <f t="shared" ca="1" si="25"/>
        <v>31</v>
      </c>
      <c r="BI34" t="str">
        <f t="shared" si="63"/>
        <v/>
      </c>
      <c r="BJ34">
        <v>1</v>
      </c>
      <c r="BN34" s="468">
        <f t="shared" si="48"/>
        <v>3</v>
      </c>
      <c r="BO34" s="468">
        <f t="shared" si="49"/>
        <v>1</v>
      </c>
      <c r="BP34" s="467">
        <f t="shared" ca="1" si="26"/>
        <v>43648</v>
      </c>
      <c r="BQ34" s="475">
        <f t="shared" ca="1" si="60"/>
        <v>35</v>
      </c>
      <c r="BR34" s="475" t="str">
        <f t="shared" si="50"/>
        <v/>
      </c>
      <c r="BS34" s="471" t="str">
        <f t="shared" si="27"/>
        <v/>
      </c>
      <c r="BT34" s="472" t="str">
        <f t="shared" si="64"/>
        <v/>
      </c>
      <c r="BU34" s="472">
        <f t="shared" ca="1" si="28"/>
        <v>0</v>
      </c>
      <c r="BV34" s="472">
        <f t="shared" ca="1" si="28"/>
        <v>0</v>
      </c>
      <c r="BW34" s="472"/>
      <c r="BX34" s="473">
        <f t="shared" ca="1" si="29"/>
        <v>0</v>
      </c>
      <c r="BY34" s="473">
        <f t="shared" si="30"/>
        <v>0</v>
      </c>
      <c r="BZ34" s="473">
        <f t="shared" ca="1" si="4"/>
        <v>0</v>
      </c>
      <c r="CA34" s="476">
        <f t="shared" ca="1" si="31"/>
        <v>0</v>
      </c>
      <c r="CB34" s="494">
        <f ca="1">IF(OR($Q33&lt;&gt;1,OP!$D$5+$BN34-1&lt;16,$BN34-1&lt;1),0,ROUND(ROUND(ROUND(((VLOOKUP($BN34-1,MORE_PV,5,0)/10000)*VLOOKUP($BN34,MORE_PV,$CB$5,0)),3)*VLOOKUP($BN34,more1,5,0),0)/$R33,0))</f>
        <v>0</v>
      </c>
      <c r="CC34" s="473">
        <f t="shared" ca="1" si="32"/>
        <v>0</v>
      </c>
      <c r="CD34" s="477"/>
      <c r="CE34" s="468">
        <f t="shared" si="51"/>
        <v>3</v>
      </c>
      <c r="CF34" s="468">
        <f t="shared" si="52"/>
        <v>1</v>
      </c>
      <c r="CG34" s="467">
        <f t="shared" ca="1" si="5"/>
        <v>43648</v>
      </c>
      <c r="CH34" s="475">
        <f t="shared" ca="1" si="61"/>
        <v>35</v>
      </c>
      <c r="CI34" s="513" t="str">
        <f t="shared" si="53"/>
        <v/>
      </c>
      <c r="CJ34" s="511">
        <f t="shared" si="33"/>
        <v>0</v>
      </c>
      <c r="CK34" s="512">
        <f t="shared" si="34"/>
        <v>0</v>
      </c>
      <c r="CL34" s="511">
        <f t="shared" ca="1" si="54"/>
        <v>0</v>
      </c>
      <c r="CM34" s="511">
        <f ca="1">ROUND(CS34-IF(OR($CE34&gt;=OP!$C$24,AND(CH34=15,CF34=12),CS34=0),0,(CT34-CR34)),$CM$7)</f>
        <v>0</v>
      </c>
      <c r="CN34" s="511"/>
      <c r="CO34" s="351">
        <f t="shared" ca="1" si="35"/>
        <v>2689</v>
      </c>
      <c r="CP34" s="473">
        <f t="shared" si="36"/>
        <v>0</v>
      </c>
      <c r="CQ34" s="473">
        <f t="shared" ca="1" si="6"/>
        <v>6.1434440180000003</v>
      </c>
      <c r="CR34" s="476">
        <f t="shared" ca="1" si="37"/>
        <v>0</v>
      </c>
      <c r="CS34" s="494">
        <f ca="1">IF(OR($Q33&lt;&gt;1,OP!$D$5+$CE34-1&lt;16,$CE34-1&lt;1),0,ROUND(ROUND(ROUND(((VLOOKUP($CE34-1,MORE_PV,5,0)/10000)*VLOOKUP($CE34,MORE_PV,$CS$5,0)),3)*VLOOKUP($CE34,more1,5,0),0)/$R33,0))</f>
        <v>0</v>
      </c>
      <c r="CT34" s="473">
        <f>IF($AW34=1,IF(N($CR34+$CS34)&lt;N($AX34)*OP!$C$50,N($CR34+$CS34),MIN(N($CR34+$CS34),N($AX34))),0)</f>
        <v>0</v>
      </c>
      <c r="CV34" s="503">
        <f t="shared" ca="1" si="38"/>
        <v>2688.7311867769999</v>
      </c>
      <c r="CW34" s="503">
        <f t="shared" ca="1" si="39"/>
        <v>0</v>
      </c>
      <c r="CX34" s="503">
        <f t="shared" ca="1" si="40"/>
        <v>2694.675422842</v>
      </c>
    </row>
    <row r="35" spans="1:102" ht="16.5" hidden="1">
      <c r="A35" s="450">
        <f ca="1">OP!$D$5+$B35-1</f>
        <v>57</v>
      </c>
      <c r="B35" s="192">
        <v>25</v>
      </c>
      <c r="C35" s="219">
        <f ca="1">ROUND(VLOOKUP(OP!$C$55,PV0,B35+2,0)*OP!$C$28,0)</f>
        <v>1481992</v>
      </c>
      <c r="D35" s="189">
        <f t="shared" ca="1" si="41"/>
        <v>1481992</v>
      </c>
      <c r="E35" s="221">
        <f t="shared" ca="1" si="42"/>
        <v>2.69E-2</v>
      </c>
      <c r="F35" s="222">
        <f t="shared" ca="1" si="43"/>
        <v>6.8999999999999999E-3</v>
      </c>
      <c r="G35" s="223">
        <f t="shared" ca="1" si="55"/>
        <v>212127</v>
      </c>
      <c r="H35" s="224">
        <f t="shared" ca="1" si="56"/>
        <v>10467</v>
      </c>
      <c r="I35" s="450">
        <f t="shared" ca="1" si="57"/>
        <v>1</v>
      </c>
      <c r="J35" s="192">
        <f t="shared" si="7"/>
        <v>3</v>
      </c>
      <c r="K35" s="192">
        <f t="shared" si="8"/>
        <v>3</v>
      </c>
      <c r="L35" s="192" t="str">
        <f t="shared" si="0"/>
        <v/>
      </c>
      <c r="M35" s="216">
        <f t="shared" ca="1" si="9"/>
        <v>0</v>
      </c>
      <c r="N35" s="216"/>
      <c r="O35" s="216"/>
      <c r="P35" s="216"/>
      <c r="Q35" s="456" t="str">
        <f t="shared" ca="1" si="10"/>
        <v/>
      </c>
      <c r="R35" s="450">
        <f t="shared" ca="1" si="11"/>
        <v>1</v>
      </c>
      <c r="S35" s="191">
        <f t="shared" si="12"/>
        <v>3</v>
      </c>
      <c r="T35" s="191">
        <f t="shared" si="13"/>
        <v>3</v>
      </c>
      <c r="U35" s="191">
        <f ca="1">OP!$D$5+$S35-1</f>
        <v>35</v>
      </c>
      <c r="V35" s="191" t="str">
        <f t="shared" si="14"/>
        <v/>
      </c>
      <c r="W35" s="350">
        <f ca="1">IF(Q35&lt;&gt;1,0,VLOOKUP(OP!$C$55,PVFB,$S35+2,0))</f>
        <v>0</v>
      </c>
      <c r="X35" s="473">
        <f t="shared" ca="1" si="44"/>
        <v>0</v>
      </c>
      <c r="Y35" s="348">
        <f t="shared" ca="1" si="45"/>
        <v>0</v>
      </c>
      <c r="Z35" s="348">
        <f t="shared" ca="1" si="46"/>
        <v>970</v>
      </c>
      <c r="AA35" s="348">
        <f ca="1">IF(Q35&lt;&gt;1,0,VLOOKUP(OP!$C$55,PVFB,$S35+2,0))</f>
        <v>0</v>
      </c>
      <c r="AB35" s="488" t="str">
        <f ca="1">IF(AND(S35&lt;OP!$C$24,$U35&lt;15),0,IF(AND($U35&lt;15,$T35=12),ROUND(VLOOKUP($S35,DOWN16,5,0),3),IF($T35=12,ROUND(($Z35/10000)*$AA35,3)+IF(AND($P$7="購買增額繳清保險",T35=12,U35=110),VLOOKUP(S35,$B$10:$H$121,7,0),0),"")))</f>
        <v/>
      </c>
      <c r="AC35" s="350" t="str">
        <f ca="1">IF(AND(S35&lt;OP!$C$24,$U35&lt;15),0,IF(AND($U35&lt;16,$T35=12),VLOOKUP($S35,DOWN16,4,0),IF($T35=12,ROUND(VLOOKUP(OP!$C$55,_DIE2,$S35+1,0)*(Z35/10000),0)+IF(AND($P$7="購買增額繳清保險",T35=12,U35=110),VLOOKUP(S35,$B$10:$H$121,7,0),0),"")))</f>
        <v/>
      </c>
      <c r="AD35" s="347"/>
      <c r="AE35" s="350" t="str">
        <f t="shared" ca="1" si="1"/>
        <v/>
      </c>
      <c r="AF35" s="351" t="str">
        <f t="shared" ca="1" si="2"/>
        <v/>
      </c>
      <c r="AG35" s="340"/>
      <c r="AH35" s="340"/>
      <c r="AI35" s="340"/>
      <c r="AJ35" s="340"/>
      <c r="AK35" s="340"/>
      <c r="AL35" s="340"/>
      <c r="AM35" s="340"/>
      <c r="AN35" s="191">
        <f t="shared" si="15"/>
        <v>3</v>
      </c>
      <c r="AO35" s="191">
        <f t="shared" si="16"/>
        <v>3</v>
      </c>
      <c r="AP35" s="191">
        <f ca="1">OP!$D$5+$AN35-1</f>
        <v>35</v>
      </c>
      <c r="AQ35" s="191" t="str">
        <f t="shared" si="17"/>
        <v/>
      </c>
      <c r="AR35" s="352">
        <f t="shared" ca="1" si="18"/>
        <v>0</v>
      </c>
      <c r="AS35" s="352"/>
      <c r="AT35" s="352"/>
      <c r="AU35" s="436"/>
      <c r="AV35" s="353" t="str">
        <f t="shared" ca="1" si="19"/>
        <v/>
      </c>
      <c r="AW35" s="422" t="str">
        <f t="shared" si="20"/>
        <v/>
      </c>
      <c r="AX35" s="423" t="str">
        <f ca="1">IF(AND($AW35=1,$AP35&lt;16,$AN34&lt;OP!$C$24),OP!$C$49,"")</f>
        <v/>
      </c>
      <c r="AY35" s="340"/>
      <c r="AZ35" s="465">
        <f t="shared" ca="1" si="21"/>
        <v>7.3698599999999999E-5</v>
      </c>
      <c r="BA35" s="464">
        <f t="shared" ca="1" si="22"/>
        <v>2.2109589000000002E-3</v>
      </c>
      <c r="BB35" s="465">
        <f t="shared" ca="1" si="22"/>
        <v>2.2846575E-3</v>
      </c>
      <c r="BC35" s="466">
        <f t="shared" ca="1" si="23"/>
        <v>43678</v>
      </c>
      <c r="BD35" s="467">
        <f t="shared" ca="1" si="47"/>
        <v>43679</v>
      </c>
      <c r="BE35" s="467">
        <f t="shared" ca="1" si="24"/>
        <v>43708</v>
      </c>
      <c r="BF35" s="468">
        <f ca="1">IF(計算!$BC35&lt;OP!$C$3,0,BD35-BC35)</f>
        <v>1</v>
      </c>
      <c r="BG35" s="468">
        <f ca="1">IF($BE35&gt;DATE(YEAR($BD$9)+OP!$C$57,MONTH($BD$9),DAY($BD$9)),0,$BE35-$BD35+1)</f>
        <v>30</v>
      </c>
      <c r="BH35" s="469">
        <f t="shared" ca="1" si="25"/>
        <v>31</v>
      </c>
      <c r="BI35" t="str">
        <f t="shared" si="63"/>
        <v/>
      </c>
      <c r="BJ35">
        <v>2</v>
      </c>
      <c r="BN35" s="468">
        <f t="shared" si="48"/>
        <v>3</v>
      </c>
      <c r="BO35" s="468">
        <f t="shared" si="49"/>
        <v>2</v>
      </c>
      <c r="BP35" s="467">
        <f t="shared" ca="1" si="26"/>
        <v>43679</v>
      </c>
      <c r="BQ35" s="475">
        <f t="shared" ca="1" si="60"/>
        <v>35</v>
      </c>
      <c r="BR35" s="475" t="str">
        <f t="shared" si="50"/>
        <v/>
      </c>
      <c r="BS35" s="471" t="str">
        <f t="shared" si="27"/>
        <v/>
      </c>
      <c r="BT35" s="472" t="str">
        <f t="shared" si="64"/>
        <v/>
      </c>
      <c r="BU35" s="472">
        <f t="shared" ca="1" si="28"/>
        <v>0</v>
      </c>
      <c r="BV35" s="472">
        <f t="shared" ca="1" si="28"/>
        <v>0</v>
      </c>
      <c r="BW35" s="472"/>
      <c r="BX35" s="473">
        <f t="shared" ca="1" si="29"/>
        <v>0</v>
      </c>
      <c r="BY35" s="473">
        <f t="shared" si="30"/>
        <v>0</v>
      </c>
      <c r="BZ35" s="473">
        <f t="shared" ca="1" si="4"/>
        <v>0</v>
      </c>
      <c r="CA35" s="476">
        <f t="shared" ca="1" si="31"/>
        <v>0</v>
      </c>
      <c r="CB35" s="494">
        <f ca="1">IF(OR($Q34&lt;&gt;1,OP!$D$5+$BN35-1&lt;16,$BN35-1&lt;1),0,ROUND(ROUND(ROUND(((VLOOKUP($BN35-1,MORE_PV,5,0)/10000)*VLOOKUP($BN35,MORE_PV,$CB$5,0)),3)*VLOOKUP($BN35,more1,5,0),0)/$R34,0))</f>
        <v>0</v>
      </c>
      <c r="CC35" s="473">
        <f t="shared" ca="1" si="32"/>
        <v>0</v>
      </c>
      <c r="CD35" s="477"/>
      <c r="CE35" s="468">
        <f t="shared" si="51"/>
        <v>3</v>
      </c>
      <c r="CF35" s="468">
        <f t="shared" si="52"/>
        <v>2</v>
      </c>
      <c r="CG35" s="467">
        <f t="shared" ca="1" si="5"/>
        <v>43679</v>
      </c>
      <c r="CH35" s="475">
        <f t="shared" ca="1" si="61"/>
        <v>35</v>
      </c>
      <c r="CI35" s="513" t="str">
        <f t="shared" si="53"/>
        <v/>
      </c>
      <c r="CJ35" s="511">
        <f t="shared" si="33"/>
        <v>0</v>
      </c>
      <c r="CK35" s="512">
        <f t="shared" si="34"/>
        <v>0</v>
      </c>
      <c r="CL35" s="511">
        <f t="shared" ca="1" si="54"/>
        <v>0</v>
      </c>
      <c r="CM35" s="511">
        <f ca="1">ROUND(CS35-IF(OR($CE35&gt;=OP!$C$24,AND(CH35=15,CF35=12),CS35=0),0,(CT35-CR35)),$CM$7)</f>
        <v>0</v>
      </c>
      <c r="CN35" s="511"/>
      <c r="CO35" s="351">
        <f t="shared" ca="1" si="35"/>
        <v>2695</v>
      </c>
      <c r="CP35" s="473">
        <f t="shared" si="36"/>
        <v>0</v>
      </c>
      <c r="CQ35" s="473">
        <f t="shared" ca="1" si="6"/>
        <v>6.1571519629999996</v>
      </c>
      <c r="CR35" s="476">
        <f t="shared" ca="1" si="37"/>
        <v>0</v>
      </c>
      <c r="CS35" s="494">
        <f ca="1">IF(OR($Q34&lt;&gt;1,OP!$D$5+$CE35-1&lt;16,$CE35-1&lt;1),0,ROUND(ROUND(ROUND(((VLOOKUP($CE35-1,MORE_PV,5,0)/10000)*VLOOKUP($CE35,MORE_PV,$CS$5,0)),3)*VLOOKUP($CE35,more1,5,0),0)/$R34,0))</f>
        <v>0</v>
      </c>
      <c r="CT35" s="473">
        <f>IF($AW35=1,IF(N($CR35+$CS35)&lt;N($AX35)*OP!$C$50,N($CR35+$CS35),MIN(N($CR35+$CS35),N($AX35))),0)</f>
        <v>0</v>
      </c>
      <c r="CV35" s="503">
        <f t="shared" ca="1" si="38"/>
        <v>2694.8740166480002</v>
      </c>
      <c r="CW35" s="503">
        <f t="shared" ca="1" si="39"/>
        <v>0</v>
      </c>
      <c r="CX35" s="503">
        <f t="shared" ca="1" si="40"/>
        <v>2700.8318332570002</v>
      </c>
    </row>
    <row r="36" spans="1:102" ht="16.5" hidden="1">
      <c r="A36" s="450">
        <f ca="1">OP!$D$5+$B36-1</f>
        <v>58</v>
      </c>
      <c r="B36" s="192">
        <v>26</v>
      </c>
      <c r="C36" s="219">
        <f ca="1">ROUND(VLOOKUP(OP!$C$55,PV0,B36+2,0)*OP!$C$28,0)</f>
        <v>1511606</v>
      </c>
      <c r="D36" s="189">
        <f t="shared" ca="1" si="41"/>
        <v>1511606</v>
      </c>
      <c r="E36" s="221">
        <f t="shared" ca="1" si="42"/>
        <v>2.69E-2</v>
      </c>
      <c r="F36" s="222">
        <f t="shared" ca="1" si="43"/>
        <v>6.8999999999999999E-3</v>
      </c>
      <c r="G36" s="223">
        <f t="shared" ca="1" si="55"/>
        <v>228580</v>
      </c>
      <c r="H36" s="224">
        <f t="shared" ca="1" si="56"/>
        <v>10676</v>
      </c>
      <c r="I36" s="450">
        <f t="shared" ca="1" si="57"/>
        <v>1</v>
      </c>
      <c r="J36" s="192">
        <f t="shared" si="7"/>
        <v>3</v>
      </c>
      <c r="K36" s="192">
        <f t="shared" si="8"/>
        <v>4</v>
      </c>
      <c r="L36" s="192" t="str">
        <f t="shared" si="0"/>
        <v/>
      </c>
      <c r="M36" s="216">
        <f t="shared" ca="1" si="9"/>
        <v>0</v>
      </c>
      <c r="N36" s="216"/>
      <c r="O36" s="216"/>
      <c r="P36" s="216"/>
      <c r="Q36" s="456" t="str">
        <f t="shared" ca="1" si="10"/>
        <v/>
      </c>
      <c r="R36" s="450">
        <f t="shared" ca="1" si="11"/>
        <v>1</v>
      </c>
      <c r="S36" s="191">
        <f t="shared" si="12"/>
        <v>3</v>
      </c>
      <c r="T36" s="191">
        <f t="shared" si="13"/>
        <v>4</v>
      </c>
      <c r="U36" s="191">
        <f ca="1">OP!$D$5+$S36-1</f>
        <v>35</v>
      </c>
      <c r="V36" s="191" t="str">
        <f t="shared" si="14"/>
        <v/>
      </c>
      <c r="W36" s="350">
        <f ca="1">IF(Q36&lt;&gt;1,0,VLOOKUP(OP!$C$55,PVFB,$S36+2,0))</f>
        <v>0</v>
      </c>
      <c r="X36" s="473">
        <f t="shared" ca="1" si="44"/>
        <v>0</v>
      </c>
      <c r="Y36" s="348">
        <f t="shared" ca="1" si="45"/>
        <v>0</v>
      </c>
      <c r="Z36" s="348">
        <f t="shared" ca="1" si="46"/>
        <v>970</v>
      </c>
      <c r="AA36" s="348">
        <f ca="1">IF(Q36&lt;&gt;1,0,VLOOKUP(OP!$C$55,PVFB,$S36+2,0))</f>
        <v>0</v>
      </c>
      <c r="AB36" s="488" t="str">
        <f ca="1">IF(AND(S36&lt;OP!$C$24,$U36&lt;15),0,IF(AND($U36&lt;15,$T36=12),ROUND(VLOOKUP($S36,DOWN16,5,0),3),IF($T36=12,ROUND(($Z36/10000)*$AA36,3)+IF(AND($P$7="購買增額繳清保險",T36=12,U36=110),VLOOKUP(S36,$B$10:$H$121,7,0),0),"")))</f>
        <v/>
      </c>
      <c r="AC36" s="350" t="str">
        <f ca="1">IF(AND(S36&lt;OP!$C$24,$U36&lt;15),0,IF(AND($U36&lt;16,$T36=12),VLOOKUP($S36,DOWN16,4,0),IF($T36=12,ROUND(VLOOKUP(OP!$C$55,_DIE2,$S36+1,0)*(Z36/10000),0)+IF(AND($P$7="購買增額繳清保險",T36=12,U36=110),VLOOKUP(S36,$B$10:$H$121,7,0),0),"")))</f>
        <v/>
      </c>
      <c r="AD36" s="347"/>
      <c r="AE36" s="350" t="str">
        <f t="shared" ca="1" si="1"/>
        <v/>
      </c>
      <c r="AF36" s="351" t="str">
        <f t="shared" ca="1" si="2"/>
        <v/>
      </c>
      <c r="AG36" s="340"/>
      <c r="AH36" s="340"/>
      <c r="AI36" s="340"/>
      <c r="AJ36" s="340"/>
      <c r="AK36" s="340"/>
      <c r="AL36" s="340"/>
      <c r="AM36" s="340"/>
      <c r="AN36" s="191">
        <f t="shared" si="15"/>
        <v>3</v>
      </c>
      <c r="AO36" s="191">
        <f t="shared" si="16"/>
        <v>4</v>
      </c>
      <c r="AP36" s="191">
        <f ca="1">OP!$D$5+$AN36-1</f>
        <v>35</v>
      </c>
      <c r="AQ36" s="191" t="str">
        <f t="shared" si="17"/>
        <v/>
      </c>
      <c r="AR36" s="352">
        <f t="shared" ca="1" si="18"/>
        <v>0</v>
      </c>
      <c r="AS36" s="352"/>
      <c r="AT36" s="352"/>
      <c r="AU36" s="436"/>
      <c r="AV36" s="353" t="str">
        <f t="shared" ca="1" si="19"/>
        <v/>
      </c>
      <c r="AW36" s="422" t="str">
        <f t="shared" si="20"/>
        <v/>
      </c>
      <c r="AX36" s="423" t="str">
        <f ca="1">IF(AND($AW36=1,$AP36&lt;16,$AN35&lt;OP!$C$24),OP!$C$49,"")</f>
        <v/>
      </c>
      <c r="AY36" s="340"/>
      <c r="AZ36" s="465">
        <f t="shared" ca="1" si="21"/>
        <v>7.3698599999999999E-5</v>
      </c>
      <c r="BA36" s="464">
        <f t="shared" ca="1" si="22"/>
        <v>2.1372602999999999E-3</v>
      </c>
      <c r="BB36" s="465">
        <f t="shared" ca="1" si="22"/>
        <v>2.2109589000000002E-3</v>
      </c>
      <c r="BC36" s="466">
        <f t="shared" ca="1" si="23"/>
        <v>43709</v>
      </c>
      <c r="BD36" s="467">
        <f t="shared" ca="1" si="47"/>
        <v>43710</v>
      </c>
      <c r="BE36" s="467">
        <f t="shared" ca="1" si="24"/>
        <v>43738</v>
      </c>
      <c r="BF36" s="468">
        <f ca="1">IF(計算!$BC36&lt;OP!$C$3,0,BD36-BC36)</f>
        <v>1</v>
      </c>
      <c r="BG36" s="468">
        <f ca="1">IF($BE36&gt;DATE(YEAR($BD$9)+OP!$C$57,MONTH($BD$9),DAY($BD$9)),0,$BE36-$BD36+1)</f>
        <v>29</v>
      </c>
      <c r="BH36" s="469">
        <f t="shared" ca="1" si="25"/>
        <v>30</v>
      </c>
      <c r="BI36" t="str">
        <f t="shared" si="63"/>
        <v/>
      </c>
      <c r="BJ36">
        <v>3</v>
      </c>
      <c r="BN36" s="468">
        <f t="shared" si="48"/>
        <v>3</v>
      </c>
      <c r="BO36" s="468">
        <f t="shared" si="49"/>
        <v>3</v>
      </c>
      <c r="BP36" s="467">
        <f t="shared" ca="1" si="26"/>
        <v>43710</v>
      </c>
      <c r="BQ36" s="475">
        <f t="shared" ca="1" si="60"/>
        <v>35</v>
      </c>
      <c r="BR36" s="475" t="str">
        <f t="shared" si="50"/>
        <v/>
      </c>
      <c r="BS36" s="471" t="str">
        <f t="shared" si="27"/>
        <v/>
      </c>
      <c r="BT36" s="472" t="str">
        <f t="shared" si="64"/>
        <v/>
      </c>
      <c r="BU36" s="472">
        <f t="shared" ca="1" si="28"/>
        <v>0</v>
      </c>
      <c r="BV36" s="472">
        <f t="shared" ca="1" si="28"/>
        <v>0</v>
      </c>
      <c r="BW36" s="472"/>
      <c r="BX36" s="473">
        <f t="shared" ca="1" si="29"/>
        <v>0</v>
      </c>
      <c r="BY36" s="473">
        <f t="shared" si="30"/>
        <v>0</v>
      </c>
      <c r="BZ36" s="473">
        <f t="shared" ca="1" si="4"/>
        <v>0</v>
      </c>
      <c r="CA36" s="476">
        <f t="shared" ca="1" si="31"/>
        <v>0</v>
      </c>
      <c r="CB36" s="494">
        <f ca="1">IF(OR($Q35&lt;&gt;1,OP!$D$5+$BN36-1&lt;16,$BN36-1&lt;1),0,ROUND(ROUND(ROUND(((VLOOKUP($BN36-1,MORE_PV,5,0)/10000)*VLOOKUP($BN36,MORE_PV,$CB$5,0)),3)*VLOOKUP($BN36,more1,5,0),0)/$R35,0))</f>
        <v>0</v>
      </c>
      <c r="CC36" s="473">
        <f t="shared" ca="1" si="32"/>
        <v>0</v>
      </c>
      <c r="CD36" s="477"/>
      <c r="CE36" s="468">
        <f t="shared" si="51"/>
        <v>3</v>
      </c>
      <c r="CF36" s="468">
        <f t="shared" si="52"/>
        <v>3</v>
      </c>
      <c r="CG36" s="467">
        <f t="shared" ca="1" si="5"/>
        <v>43710</v>
      </c>
      <c r="CH36" s="475">
        <f t="shared" ca="1" si="61"/>
        <v>35</v>
      </c>
      <c r="CI36" s="513" t="str">
        <f t="shared" si="53"/>
        <v/>
      </c>
      <c r="CJ36" s="511">
        <f t="shared" si="33"/>
        <v>0</v>
      </c>
      <c r="CK36" s="512">
        <f t="shared" si="34"/>
        <v>0</v>
      </c>
      <c r="CL36" s="511">
        <f t="shared" ca="1" si="54"/>
        <v>0</v>
      </c>
      <c r="CM36" s="511">
        <f ca="1">ROUND(CS36-IF(OR($CE36&gt;=OP!$C$24,AND(CH36=15,CF36=12),CS36=0),0,(CT36-CR36)),$CM$7)</f>
        <v>0</v>
      </c>
      <c r="CN36" s="511"/>
      <c r="CO36" s="351">
        <f t="shared" ca="1" si="35"/>
        <v>2701</v>
      </c>
      <c r="CP36" s="473">
        <f t="shared" si="36"/>
        <v>0</v>
      </c>
      <c r="CQ36" s="473">
        <f t="shared" ca="1" si="6"/>
        <v>5.971799989</v>
      </c>
      <c r="CR36" s="476">
        <f t="shared" ca="1" si="37"/>
        <v>0</v>
      </c>
      <c r="CS36" s="494">
        <f ca="1">IF(OR($Q35&lt;&gt;1,OP!$D$5+$CE36-1&lt;16,$CE36-1&lt;1),0,ROUND(ROUND(ROUND(((VLOOKUP($CE36-1,MORE_PV,5,0)/10000)*VLOOKUP($CE36,MORE_PV,$CS$5,0)),3)*VLOOKUP($CE36,more1,5,0),0)/$R35,0))</f>
        <v>0</v>
      </c>
      <c r="CT36" s="473">
        <f>IF($AW36=1,IF(N($CR36+$CS36)&lt;N($AX36)*OP!$C$50,N($CR36+$CS36),MIN(N($CR36+$CS36),N($AX36))),0)</f>
        <v>0</v>
      </c>
      <c r="CV36" s="503">
        <f t="shared" ca="1" si="38"/>
        <v>2701.0308807820002</v>
      </c>
      <c r="CW36" s="503">
        <f t="shared" ca="1" si="39"/>
        <v>0</v>
      </c>
      <c r="CX36" s="503">
        <f t="shared" ca="1" si="40"/>
        <v>2706.803261436</v>
      </c>
    </row>
    <row r="37" spans="1:102" ht="16.5" hidden="1">
      <c r="A37" s="450">
        <f ca="1">OP!$D$5+$B37-1</f>
        <v>59</v>
      </c>
      <c r="B37" s="192">
        <v>27</v>
      </c>
      <c r="C37" s="219">
        <f ca="1">ROUND(VLOOKUP(OP!$C$55,PV0,B37+2,0)*OP!$C$28,0)</f>
        <v>1541832</v>
      </c>
      <c r="D37" s="189">
        <f t="shared" ca="1" si="41"/>
        <v>1541832</v>
      </c>
      <c r="E37" s="221">
        <f t="shared" ca="1" si="42"/>
        <v>2.69E-2</v>
      </c>
      <c r="F37" s="222">
        <f t="shared" ca="1" si="43"/>
        <v>6.8999999999999999E-3</v>
      </c>
      <c r="G37" s="223">
        <f t="shared" ca="1" si="55"/>
        <v>245712</v>
      </c>
      <c r="H37" s="224">
        <f t="shared" ca="1" si="56"/>
        <v>10890</v>
      </c>
      <c r="I37" s="450">
        <f t="shared" ca="1" si="57"/>
        <v>1</v>
      </c>
      <c r="J37" s="192">
        <f t="shared" si="7"/>
        <v>3</v>
      </c>
      <c r="K37" s="192">
        <f t="shared" si="8"/>
        <v>5</v>
      </c>
      <c r="L37" s="192" t="str">
        <f t="shared" si="0"/>
        <v/>
      </c>
      <c r="M37" s="216">
        <f t="shared" ca="1" si="9"/>
        <v>0</v>
      </c>
      <c r="N37" s="216"/>
      <c r="O37" s="216"/>
      <c r="P37" s="216"/>
      <c r="Q37" s="456" t="str">
        <f t="shared" ca="1" si="10"/>
        <v/>
      </c>
      <c r="R37" s="450">
        <f t="shared" ca="1" si="11"/>
        <v>1</v>
      </c>
      <c r="S37" s="191">
        <f t="shared" si="12"/>
        <v>3</v>
      </c>
      <c r="T37" s="191">
        <f t="shared" si="13"/>
        <v>5</v>
      </c>
      <c r="U37" s="191">
        <f ca="1">OP!$D$5+$S37-1</f>
        <v>35</v>
      </c>
      <c r="V37" s="191" t="str">
        <f t="shared" si="14"/>
        <v/>
      </c>
      <c r="W37" s="350">
        <f ca="1">IF(Q37&lt;&gt;1,0,VLOOKUP(OP!$C$55,PVFB,$S37+2,0))</f>
        <v>0</v>
      </c>
      <c r="X37" s="473">
        <f t="shared" ca="1" si="44"/>
        <v>0</v>
      </c>
      <c r="Y37" s="348">
        <f t="shared" ca="1" si="45"/>
        <v>0</v>
      </c>
      <c r="Z37" s="348">
        <f t="shared" ca="1" si="46"/>
        <v>970</v>
      </c>
      <c r="AA37" s="348">
        <f ca="1">IF(Q37&lt;&gt;1,0,VLOOKUP(OP!$C$55,PVFB,$S37+2,0))</f>
        <v>0</v>
      </c>
      <c r="AB37" s="488" t="str">
        <f ca="1">IF(AND(S37&lt;OP!$C$24,$U37&lt;15),0,IF(AND($U37&lt;15,$T37=12),ROUND(VLOOKUP($S37,DOWN16,5,0),3),IF($T37=12,ROUND(($Z37/10000)*$AA37,3)+IF(AND($P$7="購買增額繳清保險",T37=12,U37=110),VLOOKUP(S37,$B$10:$H$121,7,0),0),"")))</f>
        <v/>
      </c>
      <c r="AC37" s="350" t="str">
        <f ca="1">IF(AND(S37&lt;OP!$C$24,$U37&lt;15),0,IF(AND($U37&lt;16,$T37=12),VLOOKUP($S37,DOWN16,4,0),IF($T37=12,ROUND(VLOOKUP(OP!$C$55,_DIE2,$S37+1,0)*(Z37/10000),0)+IF(AND($P$7="購買增額繳清保險",T37=12,U37=110),VLOOKUP(S37,$B$10:$H$121,7,0),0),"")))</f>
        <v/>
      </c>
      <c r="AD37" s="347"/>
      <c r="AE37" s="350" t="str">
        <f t="shared" ca="1" si="1"/>
        <v/>
      </c>
      <c r="AF37" s="351" t="str">
        <f t="shared" ca="1" si="2"/>
        <v/>
      </c>
      <c r="AG37" s="340"/>
      <c r="AH37" s="340"/>
      <c r="AI37" s="340"/>
      <c r="AJ37" s="340"/>
      <c r="AK37" s="340"/>
      <c r="AL37" s="340"/>
      <c r="AM37" s="340"/>
      <c r="AN37" s="191">
        <f t="shared" si="15"/>
        <v>3</v>
      </c>
      <c r="AO37" s="191">
        <f t="shared" si="16"/>
        <v>5</v>
      </c>
      <c r="AP37" s="191">
        <f ca="1">OP!$D$5+$AN37-1</f>
        <v>35</v>
      </c>
      <c r="AQ37" s="191" t="str">
        <f t="shared" si="17"/>
        <v/>
      </c>
      <c r="AR37" s="352">
        <f t="shared" ca="1" si="18"/>
        <v>0</v>
      </c>
      <c r="AS37" s="352"/>
      <c r="AT37" s="352"/>
      <c r="AU37" s="436"/>
      <c r="AV37" s="353" t="str">
        <f t="shared" ca="1" si="19"/>
        <v/>
      </c>
      <c r="AW37" s="422" t="str">
        <f t="shared" si="20"/>
        <v/>
      </c>
      <c r="AX37" s="423" t="str">
        <f ca="1">IF(AND($AW37=1,$AP37&lt;16,$AN36&lt;OP!$C$24),OP!$C$49,"")</f>
        <v/>
      </c>
      <c r="AY37" s="340"/>
      <c r="AZ37" s="465">
        <f t="shared" ca="1" si="21"/>
        <v>7.3698599999999999E-5</v>
      </c>
      <c r="BA37" s="464">
        <f t="shared" ca="1" si="22"/>
        <v>2.2109589000000002E-3</v>
      </c>
      <c r="BB37" s="465">
        <f t="shared" ca="1" si="22"/>
        <v>2.2846575E-3</v>
      </c>
      <c r="BC37" s="466">
        <f t="shared" ca="1" si="23"/>
        <v>43739</v>
      </c>
      <c r="BD37" s="467">
        <f t="shared" ca="1" si="47"/>
        <v>43740</v>
      </c>
      <c r="BE37" s="467">
        <f t="shared" ca="1" si="24"/>
        <v>43769</v>
      </c>
      <c r="BF37" s="468">
        <f ca="1">IF(計算!$BC37&lt;OP!$C$3,0,BD37-BC37)</f>
        <v>1</v>
      </c>
      <c r="BG37" s="468">
        <f ca="1">IF($BE37&gt;DATE(YEAR($BD$9)+OP!$C$57,MONTH($BD$9),DAY($BD$9)),0,$BE37-$BD37+1)</f>
        <v>30</v>
      </c>
      <c r="BH37" s="469">
        <f t="shared" ca="1" si="25"/>
        <v>31</v>
      </c>
      <c r="BI37" t="str">
        <f t="shared" si="63"/>
        <v/>
      </c>
      <c r="BJ37">
        <v>4</v>
      </c>
      <c r="BN37" s="468">
        <f t="shared" si="48"/>
        <v>3</v>
      </c>
      <c r="BO37" s="468">
        <f t="shared" si="49"/>
        <v>4</v>
      </c>
      <c r="BP37" s="467">
        <f t="shared" ca="1" si="26"/>
        <v>43740</v>
      </c>
      <c r="BQ37" s="475">
        <f t="shared" ca="1" si="60"/>
        <v>35</v>
      </c>
      <c r="BR37" s="475" t="str">
        <f t="shared" si="50"/>
        <v/>
      </c>
      <c r="BS37" s="471" t="str">
        <f t="shared" si="27"/>
        <v/>
      </c>
      <c r="BT37" s="472" t="str">
        <f t="shared" si="64"/>
        <v/>
      </c>
      <c r="BU37" s="472">
        <f t="shared" ca="1" si="28"/>
        <v>0</v>
      </c>
      <c r="BV37" s="472">
        <f t="shared" ca="1" si="28"/>
        <v>0</v>
      </c>
      <c r="BW37" s="472"/>
      <c r="BX37" s="473">
        <f t="shared" ca="1" si="29"/>
        <v>0</v>
      </c>
      <c r="BY37" s="473">
        <f t="shared" si="30"/>
        <v>0</v>
      </c>
      <c r="BZ37" s="473">
        <f t="shared" ca="1" si="4"/>
        <v>0</v>
      </c>
      <c r="CA37" s="476">
        <f t="shared" ca="1" si="31"/>
        <v>0</v>
      </c>
      <c r="CB37" s="494">
        <f ca="1">IF(OR($Q36&lt;&gt;1,OP!$D$5+$BN37-1&lt;16,$BN37-1&lt;1),0,ROUND(ROUND(ROUND(((VLOOKUP($BN37-1,MORE_PV,5,0)/10000)*VLOOKUP($BN37,MORE_PV,$CB$5,0)),3)*VLOOKUP($BN37,more1,5,0),0)/$R36,0))</f>
        <v>0</v>
      </c>
      <c r="CC37" s="473">
        <f t="shared" ca="1" si="32"/>
        <v>0</v>
      </c>
      <c r="CD37" s="477"/>
      <c r="CE37" s="468">
        <f t="shared" si="51"/>
        <v>3</v>
      </c>
      <c r="CF37" s="468">
        <f t="shared" si="52"/>
        <v>4</v>
      </c>
      <c r="CG37" s="467">
        <f t="shared" ca="1" si="5"/>
        <v>43740</v>
      </c>
      <c r="CH37" s="475">
        <f t="shared" ca="1" si="61"/>
        <v>35</v>
      </c>
      <c r="CI37" s="513" t="str">
        <f t="shared" si="53"/>
        <v/>
      </c>
      <c r="CJ37" s="511">
        <f t="shared" si="33"/>
        <v>0</v>
      </c>
      <c r="CK37" s="512">
        <f t="shared" si="34"/>
        <v>0</v>
      </c>
      <c r="CL37" s="511">
        <f t="shared" ca="1" si="54"/>
        <v>0</v>
      </c>
      <c r="CM37" s="511">
        <f ca="1">ROUND(CS37-IF(OR($CE37&gt;=OP!$C$24,AND(CH37=15,CF37=12),CS37=0),0,(CT37-CR37)),$CM$7)</f>
        <v>0</v>
      </c>
      <c r="CN37" s="511"/>
      <c r="CO37" s="351">
        <f t="shared" ca="1" si="35"/>
        <v>2707</v>
      </c>
      <c r="CP37" s="473">
        <f t="shared" si="36"/>
        <v>0</v>
      </c>
      <c r="CQ37" s="473">
        <f t="shared" ca="1" si="6"/>
        <v>6.1845678529999999</v>
      </c>
      <c r="CR37" s="476">
        <f t="shared" ca="1" si="37"/>
        <v>0</v>
      </c>
      <c r="CS37" s="494">
        <f ca="1">IF(OR($Q36&lt;&gt;1,OP!$D$5+$CE37-1&lt;16,$CE37-1&lt;1),0,ROUND(ROUND(ROUND(((VLOOKUP($CE37-1,MORE_PV,5,0)/10000)*VLOOKUP($CE37,MORE_PV,$CS$5,0)),3)*VLOOKUP($CE37,more1,5,0),0)/$R36,0))</f>
        <v>0</v>
      </c>
      <c r="CT37" s="473">
        <f>IF($AW37=1,IF(N($CR37+$CS37)&lt;N($AX37)*OP!$C$50,N($CR37+$CS37),MIN(N($CR37+$CS37),N($AX37))),0)</f>
        <v>0</v>
      </c>
      <c r="CV37" s="503">
        <f t="shared" ca="1" si="38"/>
        <v>2707.0027490470002</v>
      </c>
      <c r="CW37" s="503">
        <f t="shared" ca="1" si="39"/>
        <v>0</v>
      </c>
      <c r="CX37" s="503">
        <f t="shared" ca="1" si="40"/>
        <v>2712.9873798079998</v>
      </c>
    </row>
    <row r="38" spans="1:102" ht="16.5" hidden="1">
      <c r="A38" s="450">
        <f ca="1">OP!$D$5+$B38-1</f>
        <v>60</v>
      </c>
      <c r="B38" s="192">
        <v>28</v>
      </c>
      <c r="C38" s="219">
        <f ca="1">ROUND(VLOOKUP(OP!$C$55,PV0,B38+2,0)*OP!$C$28,0)</f>
        <v>1572670</v>
      </c>
      <c r="D38" s="189">
        <f t="shared" ca="1" si="41"/>
        <v>1572670</v>
      </c>
      <c r="E38" s="221">
        <f t="shared" ca="1" si="42"/>
        <v>2.69E-2</v>
      </c>
      <c r="F38" s="222">
        <f t="shared" ca="1" si="43"/>
        <v>6.8999999999999999E-3</v>
      </c>
      <c r="G38" s="223">
        <f t="shared" ca="1" si="55"/>
        <v>263511</v>
      </c>
      <c r="H38" s="224">
        <f t="shared" ca="1" si="56"/>
        <v>11107</v>
      </c>
      <c r="I38" s="450">
        <f t="shared" ca="1" si="57"/>
        <v>1</v>
      </c>
      <c r="J38" s="192">
        <f t="shared" si="7"/>
        <v>3</v>
      </c>
      <c r="K38" s="192">
        <f t="shared" si="8"/>
        <v>6</v>
      </c>
      <c r="L38" s="192" t="str">
        <f t="shared" si="0"/>
        <v/>
      </c>
      <c r="M38" s="216">
        <f t="shared" ca="1" si="9"/>
        <v>0</v>
      </c>
      <c r="N38" s="216"/>
      <c r="O38" s="216"/>
      <c r="P38" s="216"/>
      <c r="Q38" s="456" t="str">
        <f t="shared" ca="1" si="10"/>
        <v/>
      </c>
      <c r="R38" s="450">
        <f t="shared" ca="1" si="11"/>
        <v>1</v>
      </c>
      <c r="S38" s="191">
        <f t="shared" si="12"/>
        <v>3</v>
      </c>
      <c r="T38" s="191">
        <f t="shared" si="13"/>
        <v>6</v>
      </c>
      <c r="U38" s="191">
        <f ca="1">OP!$D$5+$S38-1</f>
        <v>35</v>
      </c>
      <c r="V38" s="191" t="str">
        <f t="shared" si="14"/>
        <v/>
      </c>
      <c r="W38" s="350">
        <f ca="1">IF(Q38&lt;&gt;1,0,VLOOKUP(OP!$C$55,PVFB,$S38+2,0))</f>
        <v>0</v>
      </c>
      <c r="X38" s="473">
        <f t="shared" ca="1" si="44"/>
        <v>0</v>
      </c>
      <c r="Y38" s="348">
        <f t="shared" ca="1" si="45"/>
        <v>0</v>
      </c>
      <c r="Z38" s="348">
        <f t="shared" ca="1" si="46"/>
        <v>970</v>
      </c>
      <c r="AA38" s="348">
        <f ca="1">IF(Q38&lt;&gt;1,0,VLOOKUP(OP!$C$55,PVFB,$S38+2,0))</f>
        <v>0</v>
      </c>
      <c r="AB38" s="488" t="str">
        <f ca="1">IF(AND(S38&lt;OP!$C$24,$U38&lt;15),0,IF(AND($U38&lt;15,$T38=12),ROUND(VLOOKUP($S38,DOWN16,5,0),3),IF($T38=12,ROUND(($Z38/10000)*$AA38,3)+IF(AND($P$7="購買增額繳清保險",T38=12,U38=110),VLOOKUP(S38,$B$10:$H$121,7,0),0),"")))</f>
        <v/>
      </c>
      <c r="AC38" s="350" t="str">
        <f ca="1">IF(AND(S38&lt;OP!$C$24,$U38&lt;15),0,IF(AND($U38&lt;16,$T38=12),VLOOKUP($S38,DOWN16,4,0),IF($T38=12,ROUND(VLOOKUP(OP!$C$55,_DIE2,$S38+1,0)*(Z38/10000),0)+IF(AND($P$7="購買增額繳清保險",T38=12,U38=110),VLOOKUP(S38,$B$10:$H$121,7,0),0),"")))</f>
        <v/>
      </c>
      <c r="AD38" s="347"/>
      <c r="AE38" s="350" t="str">
        <f t="shared" ca="1" si="1"/>
        <v/>
      </c>
      <c r="AF38" s="351" t="str">
        <f t="shared" ca="1" si="2"/>
        <v/>
      </c>
      <c r="AG38" s="340"/>
      <c r="AH38" s="340"/>
      <c r="AI38" s="340"/>
      <c r="AJ38" s="340"/>
      <c r="AK38" s="340"/>
      <c r="AL38" s="340"/>
      <c r="AM38" s="340"/>
      <c r="AN38" s="191">
        <f t="shared" si="15"/>
        <v>3</v>
      </c>
      <c r="AO38" s="191">
        <f t="shared" si="16"/>
        <v>6</v>
      </c>
      <c r="AP38" s="191">
        <f ca="1">OP!$D$5+$AN38-1</f>
        <v>35</v>
      </c>
      <c r="AQ38" s="191" t="str">
        <f t="shared" si="17"/>
        <v/>
      </c>
      <c r="AR38" s="352">
        <f t="shared" ca="1" si="18"/>
        <v>0</v>
      </c>
      <c r="AS38" s="352"/>
      <c r="AT38" s="352"/>
      <c r="AU38" s="436"/>
      <c r="AV38" s="353" t="str">
        <f t="shared" ca="1" si="19"/>
        <v/>
      </c>
      <c r="AW38" s="422" t="str">
        <f t="shared" si="20"/>
        <v/>
      </c>
      <c r="AX38" s="423" t="str">
        <f ca="1">IF(AND($AW38=1,$AP38&lt;16,$AN37&lt;OP!$C$24),OP!$C$49,"")</f>
        <v/>
      </c>
      <c r="AY38" s="340"/>
      <c r="AZ38" s="465">
        <f t="shared" ca="1" si="21"/>
        <v>7.3698599999999999E-5</v>
      </c>
      <c r="BA38" s="464">
        <f t="shared" ca="1" si="22"/>
        <v>2.1372602999999999E-3</v>
      </c>
      <c r="BB38" s="465">
        <f t="shared" ca="1" si="22"/>
        <v>2.2109589000000002E-3</v>
      </c>
      <c r="BC38" s="466">
        <f t="shared" ca="1" si="23"/>
        <v>43770</v>
      </c>
      <c r="BD38" s="467">
        <f t="shared" ca="1" si="47"/>
        <v>43771</v>
      </c>
      <c r="BE38" s="467">
        <f t="shared" ca="1" si="24"/>
        <v>43799</v>
      </c>
      <c r="BF38" s="468">
        <f ca="1">IF(計算!$BC38&lt;OP!$C$3,0,BD38-BC38)</f>
        <v>1</v>
      </c>
      <c r="BG38" s="468">
        <f ca="1">IF($BE38&gt;DATE(YEAR($BD$9)+OP!$C$57,MONTH($BD$9),DAY($BD$9)),0,$BE38-$BD38+1)</f>
        <v>29</v>
      </c>
      <c r="BH38" s="469">
        <f t="shared" ca="1" si="25"/>
        <v>30</v>
      </c>
      <c r="BI38" t="str">
        <f t="shared" si="63"/>
        <v/>
      </c>
      <c r="BJ38">
        <v>5</v>
      </c>
      <c r="BN38" s="468">
        <f t="shared" si="48"/>
        <v>3</v>
      </c>
      <c r="BO38" s="468">
        <f t="shared" si="49"/>
        <v>5</v>
      </c>
      <c r="BP38" s="467">
        <f t="shared" ca="1" si="26"/>
        <v>43771</v>
      </c>
      <c r="BQ38" s="475">
        <f t="shared" ca="1" si="60"/>
        <v>35</v>
      </c>
      <c r="BR38" s="475" t="str">
        <f t="shared" si="50"/>
        <v/>
      </c>
      <c r="BS38" s="471" t="str">
        <f t="shared" si="27"/>
        <v/>
      </c>
      <c r="BT38" s="472" t="str">
        <f t="shared" si="64"/>
        <v/>
      </c>
      <c r="BU38" s="472">
        <f t="shared" ca="1" si="28"/>
        <v>0</v>
      </c>
      <c r="BV38" s="472">
        <f t="shared" ca="1" si="28"/>
        <v>0</v>
      </c>
      <c r="BW38" s="472"/>
      <c r="BX38" s="473">
        <f t="shared" ca="1" si="29"/>
        <v>0</v>
      </c>
      <c r="BY38" s="473">
        <f t="shared" si="30"/>
        <v>0</v>
      </c>
      <c r="BZ38" s="473">
        <f t="shared" ca="1" si="4"/>
        <v>0</v>
      </c>
      <c r="CA38" s="476">
        <f t="shared" ca="1" si="31"/>
        <v>0</v>
      </c>
      <c r="CB38" s="494">
        <f ca="1">IF(OR($Q37&lt;&gt;1,OP!$D$5+$BN38-1&lt;16,$BN38-1&lt;1),0,ROUND(ROUND(ROUND(((VLOOKUP($BN38-1,MORE_PV,5,0)/10000)*VLOOKUP($BN38,MORE_PV,$CB$5,0)),3)*VLOOKUP($BN38,more1,5,0),0)/$R37,0))</f>
        <v>0</v>
      </c>
      <c r="CC38" s="473">
        <f t="shared" ca="1" si="32"/>
        <v>0</v>
      </c>
      <c r="CD38" s="477"/>
      <c r="CE38" s="468">
        <f t="shared" si="51"/>
        <v>3</v>
      </c>
      <c r="CF38" s="468">
        <f t="shared" si="52"/>
        <v>5</v>
      </c>
      <c r="CG38" s="467">
        <f t="shared" ca="1" si="5"/>
        <v>43771</v>
      </c>
      <c r="CH38" s="475">
        <f t="shared" ca="1" si="61"/>
        <v>35</v>
      </c>
      <c r="CI38" s="513" t="str">
        <f t="shared" si="53"/>
        <v/>
      </c>
      <c r="CJ38" s="511">
        <f t="shared" si="33"/>
        <v>0</v>
      </c>
      <c r="CK38" s="512">
        <f t="shared" si="34"/>
        <v>0</v>
      </c>
      <c r="CL38" s="511">
        <f t="shared" ca="1" si="54"/>
        <v>0</v>
      </c>
      <c r="CM38" s="511">
        <f ca="1">ROUND(CS38-IF(OR($CE38&gt;=OP!$C$24,AND(CH38=15,CF38=12),CS38=0),0,(CT38-CR38)),$CM$7)</f>
        <v>0</v>
      </c>
      <c r="CN38" s="511"/>
      <c r="CO38" s="351">
        <f t="shared" ca="1" si="35"/>
        <v>2713</v>
      </c>
      <c r="CP38" s="473">
        <f t="shared" si="36"/>
        <v>0</v>
      </c>
      <c r="CQ38" s="473">
        <f t="shared" ca="1" si="6"/>
        <v>5.9983314959999996</v>
      </c>
      <c r="CR38" s="476">
        <f t="shared" ca="1" si="37"/>
        <v>0</v>
      </c>
      <c r="CS38" s="494">
        <f ca="1">IF(OR($Q37&lt;&gt;1,OP!$D$5+$CE38-1&lt;16,$CE38-1&lt;1),0,ROUND(ROUND(ROUND(((VLOOKUP($CE38-1,MORE_PV,5,0)/10000)*VLOOKUP($CE38,MORE_PV,$CS$5,0)),3)*VLOOKUP($CE38,more1,5,0),0)/$R37,0))</f>
        <v>0</v>
      </c>
      <c r="CT38" s="473">
        <f>IF($AW38=1,IF(N($CR38+$CS38)&lt;N($AX38)*OP!$C$50,N($CR38+$CS38),MIN(N($CR38+$CS38),N($AX38))),0)</f>
        <v>0</v>
      </c>
      <c r="CV38" s="503">
        <f t="shared" ca="1" si="38"/>
        <v>2713.18732318</v>
      </c>
      <c r="CW38" s="503">
        <f t="shared" ca="1" si="39"/>
        <v>0</v>
      </c>
      <c r="CX38" s="503">
        <f t="shared" ca="1" si="40"/>
        <v>2718.9856834010002</v>
      </c>
    </row>
    <row r="39" spans="1:102" ht="16.5" hidden="1">
      <c r="A39" s="450">
        <f ca="1">OP!$D$5+$B39-1</f>
        <v>61</v>
      </c>
      <c r="B39" s="192">
        <v>29</v>
      </c>
      <c r="C39" s="219">
        <f ca="1">ROUND(VLOOKUP(OP!$C$55,PV0,B39+2,0)*OP!$C$28,0)</f>
        <v>1604120</v>
      </c>
      <c r="D39" s="189">
        <f t="shared" ca="1" si="41"/>
        <v>1604120</v>
      </c>
      <c r="E39" s="221">
        <f t="shared" ca="1" si="42"/>
        <v>2.69E-2</v>
      </c>
      <c r="F39" s="222">
        <f t="shared" ca="1" si="43"/>
        <v>6.8999999999999999E-3</v>
      </c>
      <c r="G39" s="223">
        <f t="shared" ca="1" si="55"/>
        <v>282017</v>
      </c>
      <c r="H39" s="224">
        <f t="shared" ca="1" si="56"/>
        <v>11329</v>
      </c>
      <c r="I39" s="450">
        <f t="shared" ca="1" si="57"/>
        <v>1</v>
      </c>
      <c r="J39" s="192">
        <f t="shared" si="7"/>
        <v>3</v>
      </c>
      <c r="K39" s="192">
        <f t="shared" si="8"/>
        <v>7</v>
      </c>
      <c r="L39" s="192" t="str">
        <f t="shared" si="0"/>
        <v/>
      </c>
      <c r="M39" s="216">
        <f t="shared" ca="1" si="9"/>
        <v>0</v>
      </c>
      <c r="N39" s="216"/>
      <c r="O39" s="216"/>
      <c r="P39" s="216"/>
      <c r="Q39" s="456" t="str">
        <f t="shared" ca="1" si="10"/>
        <v/>
      </c>
      <c r="R39" s="450">
        <f t="shared" ca="1" si="11"/>
        <v>1</v>
      </c>
      <c r="S39" s="191">
        <f t="shared" si="12"/>
        <v>3</v>
      </c>
      <c r="T39" s="191">
        <f t="shared" si="13"/>
        <v>7</v>
      </c>
      <c r="U39" s="191">
        <f ca="1">OP!$D$5+$S39-1</f>
        <v>35</v>
      </c>
      <c r="V39" s="191" t="str">
        <f t="shared" si="14"/>
        <v/>
      </c>
      <c r="W39" s="350">
        <f ca="1">IF(Q39&lt;&gt;1,0,VLOOKUP(OP!$C$55,PVFB,$S39+2,0))</f>
        <v>0</v>
      </c>
      <c r="X39" s="473">
        <f t="shared" ca="1" si="44"/>
        <v>0</v>
      </c>
      <c r="Y39" s="348">
        <f t="shared" ca="1" si="45"/>
        <v>0</v>
      </c>
      <c r="Z39" s="348">
        <f t="shared" ca="1" si="46"/>
        <v>970</v>
      </c>
      <c r="AA39" s="348">
        <f ca="1">IF(Q39&lt;&gt;1,0,VLOOKUP(OP!$C$55,PVFB,$S39+2,0))</f>
        <v>0</v>
      </c>
      <c r="AB39" s="488" t="str">
        <f ca="1">IF(AND(S39&lt;OP!$C$24,$U39&lt;15),0,IF(AND($U39&lt;15,$T39=12),ROUND(VLOOKUP($S39,DOWN16,5,0),3),IF($T39=12,ROUND(($Z39/10000)*$AA39,3)+IF(AND($P$7="購買增額繳清保險",T39=12,U39=110),VLOOKUP(S39,$B$10:$H$121,7,0),0),"")))</f>
        <v/>
      </c>
      <c r="AC39" s="350" t="str">
        <f ca="1">IF(AND(S39&lt;OP!$C$24,$U39&lt;15),0,IF(AND($U39&lt;16,$T39=12),VLOOKUP($S39,DOWN16,4,0),IF($T39=12,ROUND(VLOOKUP(OP!$C$55,_DIE2,$S39+1,0)*(Z39/10000),0)+IF(AND($P$7="購買增額繳清保險",T39=12,U39=110),VLOOKUP(S39,$B$10:$H$121,7,0),0),"")))</f>
        <v/>
      </c>
      <c r="AD39" s="347"/>
      <c r="AE39" s="350" t="str">
        <f t="shared" ca="1" si="1"/>
        <v/>
      </c>
      <c r="AF39" s="351" t="str">
        <f t="shared" ca="1" si="2"/>
        <v/>
      </c>
      <c r="AG39" s="340"/>
      <c r="AH39" s="340"/>
      <c r="AI39" s="340"/>
      <c r="AJ39" s="340"/>
      <c r="AK39" s="340"/>
      <c r="AL39" s="340"/>
      <c r="AM39" s="340"/>
      <c r="AN39" s="191">
        <f t="shared" si="15"/>
        <v>3</v>
      </c>
      <c r="AO39" s="191">
        <f t="shared" si="16"/>
        <v>7</v>
      </c>
      <c r="AP39" s="191">
        <f ca="1">OP!$D$5+$AN39-1</f>
        <v>35</v>
      </c>
      <c r="AQ39" s="191" t="str">
        <f t="shared" si="17"/>
        <v/>
      </c>
      <c r="AR39" s="352">
        <f t="shared" ca="1" si="18"/>
        <v>0</v>
      </c>
      <c r="AS39" s="352"/>
      <c r="AT39" s="352"/>
      <c r="AU39" s="436"/>
      <c r="AV39" s="353" t="str">
        <f t="shared" ca="1" si="19"/>
        <v/>
      </c>
      <c r="AW39" s="422" t="str">
        <f t="shared" si="20"/>
        <v/>
      </c>
      <c r="AX39" s="423" t="str">
        <f ca="1">IF(AND($AW39=1,$AP39&lt;16,$AN38&lt;OP!$C$24),OP!$C$49,"")</f>
        <v/>
      </c>
      <c r="AY39" s="340"/>
      <c r="AZ39" s="465">
        <f t="shared" ca="1" si="21"/>
        <v>7.3698599999999999E-5</v>
      </c>
      <c r="BA39" s="464">
        <f t="shared" ca="1" si="22"/>
        <v>2.2109589000000002E-3</v>
      </c>
      <c r="BB39" s="465">
        <f t="shared" ca="1" si="22"/>
        <v>2.2846575E-3</v>
      </c>
      <c r="BC39" s="466">
        <f t="shared" ca="1" si="23"/>
        <v>43800</v>
      </c>
      <c r="BD39" s="467">
        <f t="shared" ca="1" si="47"/>
        <v>43801</v>
      </c>
      <c r="BE39" s="467">
        <f t="shared" ca="1" si="24"/>
        <v>43830</v>
      </c>
      <c r="BF39" s="468">
        <f ca="1">IF(計算!$BC39&lt;OP!$C$3,0,BD39-BC39)</f>
        <v>1</v>
      </c>
      <c r="BG39" s="468">
        <f ca="1">IF($BE39&gt;DATE(YEAR($BD$9)+OP!$C$57,MONTH($BD$9),DAY($BD$9)),0,$BE39-$BD39+1)</f>
        <v>30</v>
      </c>
      <c r="BH39" s="469">
        <f t="shared" ca="1" si="25"/>
        <v>31</v>
      </c>
      <c r="BI39" t="str">
        <f t="shared" si="63"/>
        <v/>
      </c>
      <c r="BJ39">
        <v>6</v>
      </c>
      <c r="BN39" s="468">
        <f t="shared" si="48"/>
        <v>3</v>
      </c>
      <c r="BO39" s="468">
        <f t="shared" si="49"/>
        <v>6</v>
      </c>
      <c r="BP39" s="467">
        <f t="shared" ca="1" si="26"/>
        <v>43801</v>
      </c>
      <c r="BQ39" s="475">
        <f t="shared" ca="1" si="60"/>
        <v>35</v>
      </c>
      <c r="BR39" s="475" t="str">
        <f t="shared" si="50"/>
        <v/>
      </c>
      <c r="BS39" s="471" t="str">
        <f t="shared" si="27"/>
        <v/>
      </c>
      <c r="BT39" s="472" t="str">
        <f t="shared" si="64"/>
        <v/>
      </c>
      <c r="BU39" s="472">
        <f t="shared" ca="1" si="28"/>
        <v>0</v>
      </c>
      <c r="BV39" s="472">
        <f t="shared" ca="1" si="28"/>
        <v>0</v>
      </c>
      <c r="BW39" s="472"/>
      <c r="BX39" s="473">
        <f t="shared" ca="1" si="29"/>
        <v>0</v>
      </c>
      <c r="BY39" s="473">
        <f t="shared" si="30"/>
        <v>0</v>
      </c>
      <c r="BZ39" s="473">
        <f t="shared" ca="1" si="4"/>
        <v>0</v>
      </c>
      <c r="CA39" s="476">
        <f t="shared" ca="1" si="31"/>
        <v>0</v>
      </c>
      <c r="CB39" s="494">
        <f ca="1">IF(OR($Q38&lt;&gt;1,OP!$D$5+$BN39-1&lt;16,$BN39-1&lt;1),0,ROUND(ROUND(ROUND(((VLOOKUP($BN39-1,MORE_PV,5,0)/10000)*VLOOKUP($BN39,MORE_PV,$CB$5,0)),3)*VLOOKUP($BN39,more1,5,0),0)/$R38,0))</f>
        <v>0</v>
      </c>
      <c r="CC39" s="473">
        <f t="shared" ca="1" si="32"/>
        <v>0</v>
      </c>
      <c r="CD39" s="477"/>
      <c r="CE39" s="468">
        <f t="shared" si="51"/>
        <v>3</v>
      </c>
      <c r="CF39" s="468">
        <f t="shared" si="52"/>
        <v>6</v>
      </c>
      <c r="CG39" s="467">
        <f t="shared" ca="1" si="5"/>
        <v>43801</v>
      </c>
      <c r="CH39" s="475">
        <f t="shared" ca="1" si="61"/>
        <v>35</v>
      </c>
      <c r="CI39" s="513" t="str">
        <f t="shared" si="53"/>
        <v/>
      </c>
      <c r="CJ39" s="511">
        <f t="shared" si="33"/>
        <v>0</v>
      </c>
      <c r="CK39" s="512">
        <f t="shared" si="34"/>
        <v>0</v>
      </c>
      <c r="CL39" s="511">
        <f t="shared" ca="1" si="54"/>
        <v>0</v>
      </c>
      <c r="CM39" s="511">
        <f ca="1">ROUND(CS39-IF(OR($CE39&gt;=OP!$C$24,AND(CH39=15,CF39=12),CS39=0),0,(CT39-CR39)),$CM$7)</f>
        <v>0</v>
      </c>
      <c r="CN39" s="511"/>
      <c r="CO39" s="351">
        <f t="shared" ca="1" si="35"/>
        <v>2719</v>
      </c>
      <c r="CP39" s="473">
        <f t="shared" si="36"/>
        <v>0</v>
      </c>
      <c r="CQ39" s="473">
        <f t="shared" ca="1" si="6"/>
        <v>6.2119837430000002</v>
      </c>
      <c r="CR39" s="476">
        <f t="shared" ca="1" si="37"/>
        <v>0</v>
      </c>
      <c r="CS39" s="494">
        <f ca="1">IF(OR($Q38&lt;&gt;1,OP!$D$5+$CE39-1&lt;16,$CE39-1&lt;1),0,ROUND(ROUND(ROUND(((VLOOKUP($CE39-1,MORE_PV,5,0)/10000)*VLOOKUP($CE39,MORE_PV,$CS$5,0)),3)*VLOOKUP($CE39,more1,5,0),0)/$R38,0))</f>
        <v>0</v>
      </c>
      <c r="CT39" s="473">
        <f>IF($AW39=1,IF(N($CR39+$CS39)&lt;N($AX39)*OP!$C$50,N($CR39+$CS39),MIN(N($CR39+$CS39),N($AX39))),0)</f>
        <v>0</v>
      </c>
      <c r="CV39" s="503">
        <f t="shared" ca="1" si="38"/>
        <v>2719.1860688390002</v>
      </c>
      <c r="CW39" s="503">
        <f t="shared" ca="1" si="39"/>
        <v>0</v>
      </c>
      <c r="CX39" s="503">
        <f t="shared" ca="1" si="40"/>
        <v>2725.1976344350001</v>
      </c>
    </row>
    <row r="40" spans="1:102" ht="16.5" hidden="1">
      <c r="A40" s="450">
        <f ca="1">OP!$D$5+$B40-1</f>
        <v>62</v>
      </c>
      <c r="B40" s="192">
        <v>30</v>
      </c>
      <c r="C40" s="219">
        <f ca="1">ROUND(VLOOKUP(OP!$C$55,PV0,B40+2,0)*OP!$C$28,0)</f>
        <v>1636216</v>
      </c>
      <c r="D40" s="189">
        <f t="shared" ca="1" si="41"/>
        <v>1636216</v>
      </c>
      <c r="E40" s="221">
        <f t="shared" ca="1" si="42"/>
        <v>2.69E-2</v>
      </c>
      <c r="F40" s="222">
        <f t="shared" ca="1" si="43"/>
        <v>6.8999999999999999E-3</v>
      </c>
      <c r="G40" s="223">
        <f t="shared" ca="1" si="55"/>
        <v>301253</v>
      </c>
      <c r="H40" s="224">
        <f t="shared" ca="1" si="56"/>
        <v>11556</v>
      </c>
      <c r="I40" s="450">
        <f t="shared" ca="1" si="57"/>
        <v>1</v>
      </c>
      <c r="J40" s="192">
        <f t="shared" si="7"/>
        <v>3</v>
      </c>
      <c r="K40" s="192">
        <f t="shared" si="8"/>
        <v>8</v>
      </c>
      <c r="L40" s="192" t="str">
        <f t="shared" si="0"/>
        <v/>
      </c>
      <c r="M40" s="216">
        <f t="shared" ca="1" si="9"/>
        <v>0</v>
      </c>
      <c r="N40" s="216"/>
      <c r="O40" s="216"/>
      <c r="P40" s="216"/>
      <c r="Q40" s="456" t="str">
        <f t="shared" ca="1" si="10"/>
        <v/>
      </c>
      <c r="R40" s="450">
        <f t="shared" ca="1" si="11"/>
        <v>1</v>
      </c>
      <c r="S40" s="191">
        <f t="shared" si="12"/>
        <v>3</v>
      </c>
      <c r="T40" s="191">
        <f t="shared" si="13"/>
        <v>8</v>
      </c>
      <c r="U40" s="191">
        <f ca="1">OP!$D$5+$S40-1</f>
        <v>35</v>
      </c>
      <c r="V40" s="191" t="str">
        <f t="shared" si="14"/>
        <v/>
      </c>
      <c r="W40" s="350">
        <f ca="1">IF(Q40&lt;&gt;1,0,VLOOKUP(OP!$C$55,PVFB,$S40+2,0))</f>
        <v>0</v>
      </c>
      <c r="X40" s="473">
        <f t="shared" ca="1" si="44"/>
        <v>0</v>
      </c>
      <c r="Y40" s="348">
        <f t="shared" ca="1" si="45"/>
        <v>0</v>
      </c>
      <c r="Z40" s="348">
        <f t="shared" ca="1" si="46"/>
        <v>970</v>
      </c>
      <c r="AA40" s="348">
        <f ca="1">IF(Q40&lt;&gt;1,0,VLOOKUP(OP!$C$55,PVFB,$S40+2,0))</f>
        <v>0</v>
      </c>
      <c r="AB40" s="488" t="str">
        <f ca="1">IF(AND(S40&lt;OP!$C$24,$U40&lt;15),0,IF(AND($U40&lt;15,$T40=12),ROUND(VLOOKUP($S40,DOWN16,5,0),3),IF($T40=12,ROUND(($Z40/10000)*$AA40,3)+IF(AND($P$7="購買增額繳清保險",T40=12,U40=110),VLOOKUP(S40,$B$10:$H$121,7,0),0),"")))</f>
        <v/>
      </c>
      <c r="AC40" s="350" t="str">
        <f ca="1">IF(AND(S40&lt;OP!$C$24,$U40&lt;15),0,IF(AND($U40&lt;16,$T40=12),VLOOKUP($S40,DOWN16,4,0),IF($T40=12,ROUND(VLOOKUP(OP!$C$55,_DIE2,$S40+1,0)*(Z40/10000),0)+IF(AND($P$7="購買增額繳清保險",T40=12,U40=110),VLOOKUP(S40,$B$10:$H$121,7,0),0),"")))</f>
        <v/>
      </c>
      <c r="AD40" s="347"/>
      <c r="AE40" s="350" t="str">
        <f t="shared" ca="1" si="1"/>
        <v/>
      </c>
      <c r="AF40" s="351" t="str">
        <f t="shared" ca="1" si="2"/>
        <v/>
      </c>
      <c r="AG40" s="340"/>
      <c r="AH40" s="340"/>
      <c r="AI40" s="340"/>
      <c r="AJ40" s="340"/>
      <c r="AK40" s="340"/>
      <c r="AL40" s="340"/>
      <c r="AM40" s="340"/>
      <c r="AN40" s="191">
        <f t="shared" si="15"/>
        <v>3</v>
      </c>
      <c r="AO40" s="191">
        <f t="shared" si="16"/>
        <v>8</v>
      </c>
      <c r="AP40" s="191">
        <f ca="1">OP!$D$5+$AN40-1</f>
        <v>35</v>
      </c>
      <c r="AQ40" s="191" t="str">
        <f t="shared" si="17"/>
        <v/>
      </c>
      <c r="AR40" s="352">
        <f t="shared" ca="1" si="18"/>
        <v>0</v>
      </c>
      <c r="AS40" s="352"/>
      <c r="AT40" s="352"/>
      <c r="AU40" s="436"/>
      <c r="AV40" s="353" t="str">
        <f t="shared" ca="1" si="19"/>
        <v/>
      </c>
      <c r="AW40" s="422" t="str">
        <f t="shared" si="20"/>
        <v/>
      </c>
      <c r="AX40" s="423" t="str">
        <f ca="1">IF(AND($AW40=1,$AP40&lt;16,$AN39&lt;OP!$C$24),OP!$C$49,"")</f>
        <v/>
      </c>
      <c r="AY40" s="340"/>
      <c r="AZ40" s="465">
        <f t="shared" ca="1" si="21"/>
        <v>7.3698599999999999E-5</v>
      </c>
      <c r="BA40" s="464">
        <f t="shared" ca="1" si="22"/>
        <v>2.2109589000000002E-3</v>
      </c>
      <c r="BB40" s="465">
        <f t="shared" ca="1" si="22"/>
        <v>2.2846575E-3</v>
      </c>
      <c r="BC40" s="466">
        <f t="shared" ca="1" si="23"/>
        <v>43831</v>
      </c>
      <c r="BD40" s="467">
        <f t="shared" ca="1" si="47"/>
        <v>43832</v>
      </c>
      <c r="BE40" s="467">
        <f t="shared" ca="1" si="24"/>
        <v>43861</v>
      </c>
      <c r="BF40" s="468">
        <f ca="1">IF(計算!$BC40&lt;OP!$C$3,0,BD40-BC40)</f>
        <v>1</v>
      </c>
      <c r="BG40" s="468">
        <f ca="1">IF($BE40&gt;DATE(YEAR($BD$9)+OP!$C$57,MONTH($BD$9),DAY($BD$9)),0,$BE40-$BD40+1)</f>
        <v>30</v>
      </c>
      <c r="BH40" s="469">
        <f t="shared" ca="1" si="25"/>
        <v>31</v>
      </c>
      <c r="BI40" t="str">
        <f t="shared" si="63"/>
        <v/>
      </c>
      <c r="BJ40">
        <v>7</v>
      </c>
      <c r="BN40" s="468">
        <f t="shared" si="48"/>
        <v>3</v>
      </c>
      <c r="BO40" s="468">
        <f t="shared" si="49"/>
        <v>7</v>
      </c>
      <c r="BP40" s="467">
        <f t="shared" ca="1" si="26"/>
        <v>43832</v>
      </c>
      <c r="BQ40" s="475">
        <f t="shared" ca="1" si="60"/>
        <v>35</v>
      </c>
      <c r="BR40" s="475" t="str">
        <f t="shared" si="50"/>
        <v/>
      </c>
      <c r="BS40" s="471" t="str">
        <f t="shared" si="27"/>
        <v/>
      </c>
      <c r="BT40" s="472" t="str">
        <f t="shared" si="64"/>
        <v/>
      </c>
      <c r="BU40" s="472">
        <f t="shared" ca="1" si="28"/>
        <v>0</v>
      </c>
      <c r="BV40" s="472">
        <f t="shared" ca="1" si="28"/>
        <v>0</v>
      </c>
      <c r="BW40" s="472"/>
      <c r="BX40" s="473">
        <f t="shared" ca="1" si="29"/>
        <v>0</v>
      </c>
      <c r="BY40" s="473">
        <f t="shared" si="30"/>
        <v>0</v>
      </c>
      <c r="BZ40" s="473">
        <f t="shared" ca="1" si="4"/>
        <v>0</v>
      </c>
      <c r="CA40" s="476">
        <f t="shared" ca="1" si="31"/>
        <v>0</v>
      </c>
      <c r="CB40" s="494">
        <f ca="1">IF(OR($Q39&lt;&gt;1,OP!$D$5+$BN40-1&lt;16,$BN40-1&lt;1),0,ROUND(ROUND(ROUND(((VLOOKUP($BN40-1,MORE_PV,5,0)/10000)*VLOOKUP($BN40,MORE_PV,$CB$5,0)),3)*VLOOKUP($BN40,more1,5,0),0)/$R39,0))</f>
        <v>0</v>
      </c>
      <c r="CC40" s="473">
        <f t="shared" ca="1" si="32"/>
        <v>0</v>
      </c>
      <c r="CD40" s="477"/>
      <c r="CE40" s="468">
        <f t="shared" si="51"/>
        <v>3</v>
      </c>
      <c r="CF40" s="468">
        <f t="shared" si="52"/>
        <v>7</v>
      </c>
      <c r="CG40" s="467">
        <f t="shared" ca="1" si="5"/>
        <v>43832</v>
      </c>
      <c r="CH40" s="475">
        <f t="shared" ca="1" si="61"/>
        <v>35</v>
      </c>
      <c r="CI40" s="513" t="str">
        <f t="shared" si="53"/>
        <v/>
      </c>
      <c r="CJ40" s="511">
        <f t="shared" si="33"/>
        <v>0</v>
      </c>
      <c r="CK40" s="512">
        <f t="shared" si="34"/>
        <v>0</v>
      </c>
      <c r="CL40" s="511">
        <f t="shared" ca="1" si="54"/>
        <v>0</v>
      </c>
      <c r="CM40" s="511">
        <f ca="1">ROUND(CS40-IF(OR($CE40&gt;=OP!$C$24,AND(CH40=15,CF40=12),CS40=0),0,(CT40-CR40)),$CM$7)</f>
        <v>0</v>
      </c>
      <c r="CN40" s="511"/>
      <c r="CO40" s="351">
        <f t="shared" ca="1" si="35"/>
        <v>2725</v>
      </c>
      <c r="CP40" s="473">
        <f t="shared" si="36"/>
        <v>0</v>
      </c>
      <c r="CQ40" s="473">
        <f t="shared" ca="1" si="6"/>
        <v>6.2256916880000004</v>
      </c>
      <c r="CR40" s="476">
        <f t="shared" ca="1" si="37"/>
        <v>0</v>
      </c>
      <c r="CS40" s="494">
        <f ca="1">IF(OR($Q39&lt;&gt;1,OP!$D$5+$CE40-1&lt;16,$CE40-1&lt;1),0,ROUND(ROUND(ROUND(((VLOOKUP($CE40-1,MORE_PV,5,0)/10000)*VLOOKUP($CE40,MORE_PV,$CS$5,0)),3)*VLOOKUP($CE40,more1,5,0),0)/$R39,0))</f>
        <v>0</v>
      </c>
      <c r="CT40" s="473">
        <f>IF($AW40=1,IF(N($CR40+$CS40)&lt;N($AX40)*OP!$C$50,N($CR40+$CS40),MIN(N($CR40+$CS40),N($AX40))),0)</f>
        <v>0</v>
      </c>
      <c r="CV40" s="503">
        <f t="shared" ca="1" si="38"/>
        <v>2725.3984776850002</v>
      </c>
      <c r="CW40" s="503">
        <f t="shared" ca="1" si="39"/>
        <v>0</v>
      </c>
      <c r="CX40" s="503">
        <f t="shared" ca="1" si="40"/>
        <v>2731.4237776489999</v>
      </c>
    </row>
    <row r="41" spans="1:102" ht="16.5" hidden="1">
      <c r="A41" s="450">
        <f ca="1">OP!$D$5+$B41-1</f>
        <v>63</v>
      </c>
      <c r="B41" s="192">
        <v>31</v>
      </c>
      <c r="C41" s="219">
        <f ca="1">ROUND(VLOOKUP(OP!$C$55,PV0,B41+2,0)*OP!$C$28,0)</f>
        <v>1668924</v>
      </c>
      <c r="D41" s="189">
        <f t="shared" ca="1" si="41"/>
        <v>1668924</v>
      </c>
      <c r="E41" s="221">
        <f t="shared" ca="1" si="42"/>
        <v>2.69E-2</v>
      </c>
      <c r="F41" s="222">
        <f t="shared" ca="1" si="43"/>
        <v>6.8999999999999999E-3</v>
      </c>
      <c r="G41" s="223">
        <f t="shared" ca="1" si="55"/>
        <v>321267</v>
      </c>
      <c r="H41" s="224">
        <f t="shared" ca="1" si="56"/>
        <v>11787</v>
      </c>
      <c r="I41" s="450">
        <f t="shared" ca="1" si="57"/>
        <v>1</v>
      </c>
      <c r="J41" s="192">
        <f t="shared" si="7"/>
        <v>3</v>
      </c>
      <c r="K41" s="192">
        <f t="shared" si="8"/>
        <v>9</v>
      </c>
      <c r="L41" s="192" t="str">
        <f t="shared" si="0"/>
        <v/>
      </c>
      <c r="M41" s="216">
        <f t="shared" ca="1" si="9"/>
        <v>0</v>
      </c>
      <c r="N41" s="216"/>
      <c r="O41" s="216"/>
      <c r="P41" s="216"/>
      <c r="Q41" s="456" t="str">
        <f t="shared" ca="1" si="10"/>
        <v/>
      </c>
      <c r="R41" s="450">
        <f t="shared" ca="1" si="11"/>
        <v>1</v>
      </c>
      <c r="S41" s="191">
        <f t="shared" si="12"/>
        <v>3</v>
      </c>
      <c r="T41" s="191">
        <f t="shared" si="13"/>
        <v>9</v>
      </c>
      <c r="U41" s="191">
        <f ca="1">OP!$D$5+$S41-1</f>
        <v>35</v>
      </c>
      <c r="V41" s="191" t="str">
        <f t="shared" si="14"/>
        <v/>
      </c>
      <c r="W41" s="350">
        <f ca="1">IF(Q41&lt;&gt;1,0,VLOOKUP(OP!$C$55,PVFB,$S41+2,0))</f>
        <v>0</v>
      </c>
      <c r="X41" s="473">
        <f t="shared" ca="1" si="44"/>
        <v>0</v>
      </c>
      <c r="Y41" s="348">
        <f t="shared" ca="1" si="45"/>
        <v>0</v>
      </c>
      <c r="Z41" s="348">
        <f t="shared" ca="1" si="46"/>
        <v>970</v>
      </c>
      <c r="AA41" s="348">
        <f ca="1">IF(Q41&lt;&gt;1,0,VLOOKUP(OP!$C$55,PVFB,$S41+2,0))</f>
        <v>0</v>
      </c>
      <c r="AB41" s="488" t="str">
        <f ca="1">IF(AND(S41&lt;OP!$C$24,$U41&lt;15),0,IF(AND($U41&lt;15,$T41=12),ROUND(VLOOKUP($S41,DOWN16,5,0),3),IF($T41=12,ROUND(($Z41/10000)*$AA41,3)+IF(AND($P$7="購買增額繳清保險",T41=12,U41=110),VLOOKUP(S41,$B$10:$H$121,7,0),0),"")))</f>
        <v/>
      </c>
      <c r="AC41" s="350" t="str">
        <f ca="1">IF(AND(S41&lt;OP!$C$24,$U41&lt;15),0,IF(AND($U41&lt;16,$T41=12),VLOOKUP($S41,DOWN16,4,0),IF($T41=12,ROUND(VLOOKUP(OP!$C$55,_DIE2,$S41+1,0)*(Z41/10000),0)+IF(AND($P$7="購買增額繳清保險",T41=12,U41=110),VLOOKUP(S41,$B$10:$H$121,7,0),0),"")))</f>
        <v/>
      </c>
      <c r="AD41" s="347"/>
      <c r="AE41" s="350" t="str">
        <f t="shared" ca="1" si="1"/>
        <v/>
      </c>
      <c r="AF41" s="351" t="str">
        <f t="shared" ca="1" si="2"/>
        <v/>
      </c>
      <c r="AG41" s="340"/>
      <c r="AH41" s="340"/>
      <c r="AI41" s="340"/>
      <c r="AJ41" s="340"/>
      <c r="AK41" s="340"/>
      <c r="AL41" s="340"/>
      <c r="AM41" s="340"/>
      <c r="AN41" s="191">
        <f t="shared" si="15"/>
        <v>3</v>
      </c>
      <c r="AO41" s="191">
        <f t="shared" si="16"/>
        <v>9</v>
      </c>
      <c r="AP41" s="191">
        <f ca="1">OP!$D$5+$AN41-1</f>
        <v>35</v>
      </c>
      <c r="AQ41" s="191" t="str">
        <f t="shared" si="17"/>
        <v/>
      </c>
      <c r="AR41" s="352">
        <f t="shared" ca="1" si="18"/>
        <v>0</v>
      </c>
      <c r="AS41" s="352"/>
      <c r="AT41" s="352"/>
      <c r="AU41" s="436"/>
      <c r="AV41" s="353" t="str">
        <f t="shared" ca="1" si="19"/>
        <v/>
      </c>
      <c r="AW41" s="422" t="str">
        <f t="shared" si="20"/>
        <v/>
      </c>
      <c r="AX41" s="423" t="str">
        <f ca="1">IF(AND($AW41=1,$AP41&lt;16,$AN40&lt;OP!$C$24),OP!$C$49,"")</f>
        <v/>
      </c>
      <c r="AY41" s="340"/>
      <c r="AZ41" s="465">
        <f t="shared" ca="1" si="21"/>
        <v>7.3698599999999999E-5</v>
      </c>
      <c r="BA41" s="464">
        <f t="shared" ca="1" si="22"/>
        <v>2.0635616E-3</v>
      </c>
      <c r="BB41" s="465">
        <f t="shared" ca="1" si="22"/>
        <v>2.1372602999999999E-3</v>
      </c>
      <c r="BC41" s="466">
        <f t="shared" ca="1" si="23"/>
        <v>43862</v>
      </c>
      <c r="BD41" s="467">
        <f t="shared" ca="1" si="47"/>
        <v>43863</v>
      </c>
      <c r="BE41" s="467">
        <f t="shared" ca="1" si="24"/>
        <v>43890</v>
      </c>
      <c r="BF41" s="468">
        <f ca="1">IF(計算!$BC41&lt;OP!$C$3,0,BD41-BC41)</f>
        <v>1</v>
      </c>
      <c r="BG41" s="468">
        <f ca="1">IF($BE41&gt;DATE(YEAR($BD$9)+OP!$C$57,MONTH($BD$9),DAY($BD$9)),0,$BE41-$BD41+1)</f>
        <v>28</v>
      </c>
      <c r="BH41" s="469">
        <f t="shared" ca="1" si="25"/>
        <v>29</v>
      </c>
      <c r="BI41" t="str">
        <f t="shared" si="63"/>
        <v/>
      </c>
      <c r="BJ41">
        <v>8</v>
      </c>
      <c r="BN41" s="468">
        <f t="shared" si="48"/>
        <v>3</v>
      </c>
      <c r="BO41" s="468">
        <f t="shared" si="49"/>
        <v>8</v>
      </c>
      <c r="BP41" s="467">
        <f t="shared" ca="1" si="26"/>
        <v>43863</v>
      </c>
      <c r="BQ41" s="475">
        <f t="shared" ca="1" si="60"/>
        <v>35</v>
      </c>
      <c r="BR41" s="475" t="str">
        <f t="shared" si="50"/>
        <v/>
      </c>
      <c r="BS41" s="471" t="str">
        <f t="shared" si="27"/>
        <v/>
      </c>
      <c r="BT41" s="472" t="str">
        <f t="shared" si="64"/>
        <v/>
      </c>
      <c r="BU41" s="472">
        <f t="shared" ca="1" si="28"/>
        <v>0</v>
      </c>
      <c r="BV41" s="472">
        <f t="shared" ca="1" si="28"/>
        <v>0</v>
      </c>
      <c r="BW41" s="472"/>
      <c r="BX41" s="473">
        <f t="shared" ca="1" si="29"/>
        <v>0</v>
      </c>
      <c r="BY41" s="473">
        <f t="shared" si="30"/>
        <v>0</v>
      </c>
      <c r="BZ41" s="473">
        <f t="shared" ca="1" si="4"/>
        <v>0</v>
      </c>
      <c r="CA41" s="476">
        <f t="shared" ca="1" si="31"/>
        <v>0</v>
      </c>
      <c r="CB41" s="494">
        <f ca="1">IF(OR($Q40&lt;&gt;1,OP!$D$5+$BN41-1&lt;16,$BN41-1&lt;1),0,ROUND(ROUND(ROUND(((VLOOKUP($BN41-1,MORE_PV,5,0)/10000)*VLOOKUP($BN41,MORE_PV,$CB$5,0)),3)*VLOOKUP($BN41,more1,5,0),0)/$R40,0))</f>
        <v>0</v>
      </c>
      <c r="CC41" s="473">
        <f t="shared" ca="1" si="32"/>
        <v>0</v>
      </c>
      <c r="CD41" s="477"/>
      <c r="CE41" s="468">
        <f t="shared" si="51"/>
        <v>3</v>
      </c>
      <c r="CF41" s="468">
        <f t="shared" si="52"/>
        <v>8</v>
      </c>
      <c r="CG41" s="467">
        <f t="shared" ca="1" si="5"/>
        <v>43863</v>
      </c>
      <c r="CH41" s="475">
        <f t="shared" ca="1" si="61"/>
        <v>35</v>
      </c>
      <c r="CI41" s="513" t="str">
        <f t="shared" si="53"/>
        <v/>
      </c>
      <c r="CJ41" s="511">
        <f t="shared" si="33"/>
        <v>0</v>
      </c>
      <c r="CK41" s="512">
        <f t="shared" si="34"/>
        <v>0</v>
      </c>
      <c r="CL41" s="511">
        <f t="shared" ca="1" si="54"/>
        <v>0</v>
      </c>
      <c r="CM41" s="511">
        <f ca="1">ROUND(CS41-IF(OR($CE41&gt;=OP!$C$24,AND(CH41=15,CF41=12),CS41=0),0,(CT41-CR41)),$CM$7)</f>
        <v>0</v>
      </c>
      <c r="CN41" s="511"/>
      <c r="CO41" s="351">
        <f t="shared" ca="1" si="35"/>
        <v>2732</v>
      </c>
      <c r="CP41" s="473">
        <f t="shared" si="36"/>
        <v>0</v>
      </c>
      <c r="CQ41" s="473">
        <f t="shared" ca="1" si="6"/>
        <v>5.8389951399999998</v>
      </c>
      <c r="CR41" s="476">
        <f t="shared" ca="1" si="37"/>
        <v>0</v>
      </c>
      <c r="CS41" s="494">
        <f ca="1">IF(OR($Q40&lt;&gt;1,OP!$D$5+$CE41-1&lt;16,$CE41-1&lt;1),0,ROUND(ROUND(ROUND(((VLOOKUP($CE41-1,MORE_PV,5,0)/10000)*VLOOKUP($CE41,MORE_PV,$CS$5,0)),3)*VLOOKUP($CE41,more1,5,0),0)/$R40,0))</f>
        <v>0</v>
      </c>
      <c r="CT41" s="473">
        <f>IF($AW41=1,IF(N($CR41+$CS41)&lt;N($AX41)*OP!$C$50,N($CR41+$CS41),MIN(N($CR41+$CS41),N($AX41))),0)</f>
        <v>0</v>
      </c>
      <c r="CV41" s="503">
        <f t="shared" ca="1" si="38"/>
        <v>2731.6250797570001</v>
      </c>
      <c r="CW41" s="503">
        <f t="shared" ca="1" si="39"/>
        <v>0</v>
      </c>
      <c r="CX41" s="503">
        <f t="shared" ca="1" si="40"/>
        <v>2737.2615412509999</v>
      </c>
    </row>
    <row r="42" spans="1:102" ht="16.5" hidden="1">
      <c r="A42" s="450">
        <f ca="1">OP!$D$5+$B42-1</f>
        <v>64</v>
      </c>
      <c r="B42" s="192">
        <v>32</v>
      </c>
      <c r="C42" s="219">
        <f ca="1">ROUND(VLOOKUP(OP!$C$55,PV0,B42+2,0)*OP!$C$28,0)</f>
        <v>1702312</v>
      </c>
      <c r="D42" s="189">
        <f t="shared" ca="1" si="41"/>
        <v>1702312</v>
      </c>
      <c r="E42" s="221">
        <f t="shared" ca="1" si="42"/>
        <v>2.69E-2</v>
      </c>
      <c r="F42" s="222">
        <f t="shared" ca="1" si="43"/>
        <v>6.8999999999999999E-3</v>
      </c>
      <c r="G42" s="223">
        <f t="shared" ca="1" si="55"/>
        <v>342039</v>
      </c>
      <c r="H42" s="224">
        <f t="shared" ca="1" si="56"/>
        <v>12023</v>
      </c>
      <c r="I42" s="450">
        <f t="shared" ca="1" si="57"/>
        <v>1</v>
      </c>
      <c r="J42" s="192">
        <f t="shared" si="7"/>
        <v>3</v>
      </c>
      <c r="K42" s="192">
        <f t="shared" si="8"/>
        <v>10</v>
      </c>
      <c r="L42" s="192" t="str">
        <f t="shared" si="0"/>
        <v/>
      </c>
      <c r="M42" s="216">
        <f t="shared" ca="1" si="9"/>
        <v>0</v>
      </c>
      <c r="N42" s="216"/>
      <c r="O42" s="216"/>
      <c r="P42" s="216"/>
      <c r="Q42" s="456" t="str">
        <f t="shared" ca="1" si="10"/>
        <v/>
      </c>
      <c r="R42" s="450">
        <f t="shared" ca="1" si="11"/>
        <v>1</v>
      </c>
      <c r="S42" s="191">
        <f t="shared" si="12"/>
        <v>3</v>
      </c>
      <c r="T42" s="191">
        <f t="shared" si="13"/>
        <v>10</v>
      </c>
      <c r="U42" s="191">
        <f ca="1">OP!$D$5+$S42-1</f>
        <v>35</v>
      </c>
      <c r="V42" s="191" t="str">
        <f t="shared" si="14"/>
        <v/>
      </c>
      <c r="W42" s="350">
        <f ca="1">IF(Q42&lt;&gt;1,0,VLOOKUP(OP!$C$55,PVFB,$S42+2,0))</f>
        <v>0</v>
      </c>
      <c r="X42" s="473">
        <f t="shared" ca="1" si="44"/>
        <v>0</v>
      </c>
      <c r="Y42" s="348">
        <f t="shared" ca="1" si="45"/>
        <v>0</v>
      </c>
      <c r="Z42" s="348">
        <f t="shared" ca="1" si="46"/>
        <v>970</v>
      </c>
      <c r="AA42" s="348">
        <f ca="1">IF(Q42&lt;&gt;1,0,VLOOKUP(OP!$C$55,PVFB,$S42+2,0))</f>
        <v>0</v>
      </c>
      <c r="AB42" s="488" t="str">
        <f ca="1">IF(AND(S42&lt;OP!$C$24,$U42&lt;15),0,IF(AND($U42&lt;15,$T42=12),ROUND(VLOOKUP($S42,DOWN16,5,0),3),IF($T42=12,ROUND(($Z42/10000)*$AA42,3)+IF(AND($P$7="購買增額繳清保險",T42=12,U42=110),VLOOKUP(S42,$B$10:$H$121,7,0),0),"")))</f>
        <v/>
      </c>
      <c r="AC42" s="350" t="str">
        <f ca="1">IF(AND(S42&lt;OP!$C$24,$U42&lt;15),0,IF(AND($U42&lt;16,$T42=12),VLOOKUP($S42,DOWN16,4,0),IF($T42=12,ROUND(VLOOKUP(OP!$C$55,_DIE2,$S42+1,0)*(Z42/10000),0)+IF(AND($P$7="購買增額繳清保險",T42=12,U42=110),VLOOKUP(S42,$B$10:$H$121,7,0),0),"")))</f>
        <v/>
      </c>
      <c r="AD42" s="347"/>
      <c r="AE42" s="350" t="str">
        <f t="shared" ca="1" si="1"/>
        <v/>
      </c>
      <c r="AF42" s="351" t="str">
        <f t="shared" ca="1" si="2"/>
        <v/>
      </c>
      <c r="AG42" s="340"/>
      <c r="AH42" s="340"/>
      <c r="AI42" s="340"/>
      <c r="AJ42" s="340"/>
      <c r="AK42" s="340"/>
      <c r="AL42" s="340"/>
      <c r="AM42" s="340"/>
      <c r="AN42" s="191">
        <f t="shared" si="15"/>
        <v>3</v>
      </c>
      <c r="AO42" s="191">
        <f t="shared" si="16"/>
        <v>10</v>
      </c>
      <c r="AP42" s="191">
        <f ca="1">OP!$D$5+$AN42-1</f>
        <v>35</v>
      </c>
      <c r="AQ42" s="191" t="str">
        <f t="shared" si="17"/>
        <v/>
      </c>
      <c r="AR42" s="352">
        <f t="shared" ca="1" si="18"/>
        <v>0</v>
      </c>
      <c r="AS42" s="352"/>
      <c r="AT42" s="352"/>
      <c r="AU42" s="436"/>
      <c r="AV42" s="353" t="str">
        <f t="shared" ca="1" si="19"/>
        <v/>
      </c>
      <c r="AW42" s="422" t="str">
        <f t="shared" si="20"/>
        <v/>
      </c>
      <c r="AX42" s="423" t="str">
        <f ca="1">IF(AND($AW42=1,$AP42&lt;16,$AN41&lt;OP!$C$24),OP!$C$49,"")</f>
        <v/>
      </c>
      <c r="AY42" s="340"/>
      <c r="AZ42" s="465">
        <f t="shared" ca="1" si="21"/>
        <v>7.3698599999999999E-5</v>
      </c>
      <c r="BA42" s="464">
        <f t="shared" ca="1" si="22"/>
        <v>2.2109589000000002E-3</v>
      </c>
      <c r="BB42" s="465">
        <f t="shared" ca="1" si="22"/>
        <v>2.2846575E-3</v>
      </c>
      <c r="BC42" s="466">
        <f t="shared" ca="1" si="23"/>
        <v>43891</v>
      </c>
      <c r="BD42" s="467">
        <f t="shared" ca="1" si="47"/>
        <v>43892</v>
      </c>
      <c r="BE42" s="467">
        <f t="shared" ca="1" si="24"/>
        <v>43921</v>
      </c>
      <c r="BF42" s="468">
        <f ca="1">IF(計算!$BC42&lt;OP!$C$3,0,BD42-BC42)</f>
        <v>1</v>
      </c>
      <c r="BG42" s="468">
        <f ca="1">IF($BE42&gt;DATE(YEAR($BD$9)+OP!$C$57,MONTH($BD$9),DAY($BD$9)),0,$BE42-$BD42+1)</f>
        <v>30</v>
      </c>
      <c r="BH42" s="469">
        <f t="shared" ca="1" si="25"/>
        <v>31</v>
      </c>
      <c r="BI42" t="str">
        <f t="shared" si="63"/>
        <v/>
      </c>
      <c r="BJ42">
        <v>9</v>
      </c>
      <c r="BN42" s="468">
        <f t="shared" si="48"/>
        <v>3</v>
      </c>
      <c r="BO42" s="468">
        <f t="shared" si="49"/>
        <v>9</v>
      </c>
      <c r="BP42" s="467">
        <f t="shared" ca="1" si="26"/>
        <v>43892</v>
      </c>
      <c r="BQ42" s="475">
        <f t="shared" ca="1" si="60"/>
        <v>35</v>
      </c>
      <c r="BR42" s="475" t="str">
        <f t="shared" si="50"/>
        <v/>
      </c>
      <c r="BS42" s="471" t="str">
        <f t="shared" si="27"/>
        <v/>
      </c>
      <c r="BT42" s="472" t="str">
        <f t="shared" si="64"/>
        <v/>
      </c>
      <c r="BU42" s="472">
        <f t="shared" ca="1" si="28"/>
        <v>0</v>
      </c>
      <c r="BV42" s="472">
        <f t="shared" ca="1" si="28"/>
        <v>0</v>
      </c>
      <c r="BW42" s="472"/>
      <c r="BX42" s="473">
        <f t="shared" ca="1" si="29"/>
        <v>0</v>
      </c>
      <c r="BY42" s="473">
        <f t="shared" si="30"/>
        <v>0</v>
      </c>
      <c r="BZ42" s="473">
        <f t="shared" ca="1" si="4"/>
        <v>0</v>
      </c>
      <c r="CA42" s="476">
        <f t="shared" ca="1" si="31"/>
        <v>0</v>
      </c>
      <c r="CB42" s="494">
        <f ca="1">IF(OR($Q41&lt;&gt;1,OP!$D$5+$BN42-1&lt;16,$BN42-1&lt;1),0,ROUND(ROUND(ROUND(((VLOOKUP($BN42-1,MORE_PV,5,0)/10000)*VLOOKUP($BN42,MORE_PV,$CB$5,0)),3)*VLOOKUP($BN42,more1,5,0),0)/$R41,0))</f>
        <v>0</v>
      </c>
      <c r="CC42" s="473">
        <f t="shared" ca="1" si="32"/>
        <v>0</v>
      </c>
      <c r="CD42" s="477"/>
      <c r="CE42" s="468">
        <f t="shared" si="51"/>
        <v>3</v>
      </c>
      <c r="CF42" s="468">
        <f t="shared" si="52"/>
        <v>9</v>
      </c>
      <c r="CG42" s="467">
        <f t="shared" ca="1" si="5"/>
        <v>43892</v>
      </c>
      <c r="CH42" s="475">
        <f t="shared" ca="1" si="61"/>
        <v>35</v>
      </c>
      <c r="CI42" s="513" t="str">
        <f t="shared" si="53"/>
        <v/>
      </c>
      <c r="CJ42" s="511">
        <f t="shared" si="33"/>
        <v>0</v>
      </c>
      <c r="CK42" s="512">
        <f t="shared" si="34"/>
        <v>0</v>
      </c>
      <c r="CL42" s="511">
        <f t="shared" ca="1" si="54"/>
        <v>0</v>
      </c>
      <c r="CM42" s="511">
        <f ca="1">ROUND(CS42-IF(OR($CE42&gt;=OP!$C$24,AND(CH42=15,CF42=12),CS42=0),0,(CT42-CR42)),$CM$7)</f>
        <v>0</v>
      </c>
      <c r="CN42" s="511"/>
      <c r="CO42" s="351">
        <f t="shared" ca="1" si="35"/>
        <v>2737</v>
      </c>
      <c r="CP42" s="473">
        <f t="shared" si="36"/>
        <v>0</v>
      </c>
      <c r="CQ42" s="473">
        <f t="shared" ca="1" si="6"/>
        <v>6.2531075779999998</v>
      </c>
      <c r="CR42" s="476">
        <f t="shared" ca="1" si="37"/>
        <v>0</v>
      </c>
      <c r="CS42" s="494">
        <f ca="1">IF(OR($Q41&lt;&gt;1,OP!$D$5+$CE42-1&lt;16,$CE42-1&lt;1),0,ROUND(ROUND(ROUND(((VLOOKUP($CE42-1,MORE_PV,5,0)/10000)*VLOOKUP($CE42,MORE_PV,$CS$5,0)),3)*VLOOKUP($CE42,more1,5,0),0)/$R41,0))</f>
        <v>0</v>
      </c>
      <c r="CT42" s="473">
        <f>IF($AW42=1,IF(N($CR42+$CS42)&lt;N($AX42)*OP!$C$50,N($CR42+$CS42),MIN(N($CR42+$CS42),N($AX42))),0)</f>
        <v>0</v>
      </c>
      <c r="CV42" s="503">
        <f t="shared" ca="1" si="38"/>
        <v>2737.4632735939999</v>
      </c>
      <c r="CW42" s="503">
        <f t="shared" ca="1" si="39"/>
        <v>0</v>
      </c>
      <c r="CX42" s="503">
        <f t="shared" ca="1" si="40"/>
        <v>2743.5152463610002</v>
      </c>
    </row>
    <row r="43" spans="1:102" ht="16.5" hidden="1">
      <c r="A43" s="450">
        <f ca="1">OP!$D$5+$B43-1</f>
        <v>65</v>
      </c>
      <c r="B43" s="192">
        <v>33</v>
      </c>
      <c r="C43" s="219">
        <f ca="1">ROUND(VLOOKUP(OP!$C$55,PV0,B43+2,0)*OP!$C$28,0)</f>
        <v>1736346</v>
      </c>
      <c r="D43" s="189">
        <f t="shared" ref="D43:D74" ca="1" si="65">IF($D$8=1,$C42,IF($D$8=2,($C42+$C43)/2,IF($D$8=3,$C43,0)))</f>
        <v>1736346</v>
      </c>
      <c r="E43" s="221">
        <f t="shared" ref="E43:E74" ca="1" si="66">ROUND($G$3,4)</f>
        <v>2.69E-2</v>
      </c>
      <c r="F43" s="222">
        <f t="shared" ref="F43:F74" ca="1" si="67">MAX(0,ROUND($E43-$G$2,5))</f>
        <v>6.8999999999999999E-3</v>
      </c>
      <c r="G43" s="223">
        <f t="shared" ca="1" si="55"/>
        <v>363617</v>
      </c>
      <c r="H43" s="224">
        <f t="shared" ca="1" si="56"/>
        <v>12263</v>
      </c>
      <c r="I43" s="450">
        <f t="shared" ca="1" si="57"/>
        <v>1</v>
      </c>
      <c r="J43" s="192">
        <f t="shared" si="7"/>
        <v>3</v>
      </c>
      <c r="K43" s="192">
        <f t="shared" si="8"/>
        <v>11</v>
      </c>
      <c r="L43" s="192" t="str">
        <f t="shared" si="0"/>
        <v/>
      </c>
      <c r="M43" s="216">
        <f t="shared" ca="1" si="9"/>
        <v>0</v>
      </c>
      <c r="N43" s="216"/>
      <c r="O43" s="216"/>
      <c r="P43" s="216"/>
      <c r="Q43" s="456" t="str">
        <f t="shared" ca="1" si="10"/>
        <v/>
      </c>
      <c r="R43" s="450">
        <f t="shared" ca="1" si="11"/>
        <v>1</v>
      </c>
      <c r="S43" s="191">
        <f t="shared" si="12"/>
        <v>3</v>
      </c>
      <c r="T43" s="191">
        <f t="shared" si="13"/>
        <v>11</v>
      </c>
      <c r="U43" s="191">
        <f ca="1">OP!$D$5+$S43-1</f>
        <v>35</v>
      </c>
      <c r="V43" s="191" t="str">
        <f t="shared" si="14"/>
        <v/>
      </c>
      <c r="W43" s="350">
        <f ca="1">IF(Q43&lt;&gt;1,0,VLOOKUP(OP!$C$55,PVFB,$S43+2,0))</f>
        <v>0</v>
      </c>
      <c r="X43" s="473">
        <f t="shared" ca="1" si="44"/>
        <v>0</v>
      </c>
      <c r="Y43" s="348">
        <f t="shared" ca="1" si="45"/>
        <v>0</v>
      </c>
      <c r="Z43" s="348">
        <f t="shared" ca="1" si="46"/>
        <v>970</v>
      </c>
      <c r="AA43" s="348">
        <f ca="1">IF(Q43&lt;&gt;1,0,VLOOKUP(OP!$C$55,PVFB,$S43+2,0))</f>
        <v>0</v>
      </c>
      <c r="AB43" s="488" t="str">
        <f ca="1">IF(AND(S43&lt;OP!$C$24,$U43&lt;15),0,IF(AND($U43&lt;15,$T43=12),ROUND(VLOOKUP($S43,DOWN16,5,0),3),IF($T43=12,ROUND(($Z43/10000)*$AA43,3)+IF(AND($P$7="購買增額繳清保險",T43=12,U43=110),VLOOKUP(S43,$B$10:$H$121,7,0),0),"")))</f>
        <v/>
      </c>
      <c r="AC43" s="350" t="str">
        <f ca="1">IF(AND(S43&lt;OP!$C$24,$U43&lt;15),0,IF(AND($U43&lt;16,$T43=12),VLOOKUP($S43,DOWN16,4,0),IF($T43=12,ROUND(VLOOKUP(OP!$C$55,_DIE2,$S43+1,0)*(Z43/10000),0)+IF(AND($P$7="購買增額繳清保險",T43=12,U43=110),VLOOKUP(S43,$B$10:$H$121,7,0),0),"")))</f>
        <v/>
      </c>
      <c r="AD43" s="347"/>
      <c r="AE43" s="350" t="str">
        <f t="shared" ca="1" si="1"/>
        <v/>
      </c>
      <c r="AF43" s="351" t="str">
        <f t="shared" ca="1" si="2"/>
        <v/>
      </c>
      <c r="AG43" s="340"/>
      <c r="AH43" s="340"/>
      <c r="AI43" s="340"/>
      <c r="AJ43" s="340"/>
      <c r="AK43" s="340"/>
      <c r="AL43" s="340"/>
      <c r="AM43" s="340"/>
      <c r="AN43" s="191">
        <f t="shared" si="15"/>
        <v>3</v>
      </c>
      <c r="AO43" s="191">
        <f t="shared" si="16"/>
        <v>11</v>
      </c>
      <c r="AP43" s="191">
        <f ca="1">OP!$D$5+$AN43-1</f>
        <v>35</v>
      </c>
      <c r="AQ43" s="191" t="str">
        <f t="shared" si="17"/>
        <v/>
      </c>
      <c r="AR43" s="352">
        <f t="shared" ca="1" si="18"/>
        <v>0</v>
      </c>
      <c r="AS43" s="352"/>
      <c r="AT43" s="352"/>
      <c r="AU43" s="436"/>
      <c r="AV43" s="353" t="str">
        <f t="shared" ca="1" si="19"/>
        <v/>
      </c>
      <c r="AW43" s="422" t="str">
        <f t="shared" si="20"/>
        <v/>
      </c>
      <c r="AX43" s="423" t="str">
        <f ca="1">IF(AND($AW43=1,$AP43&lt;16,$AN42&lt;OP!$C$24),OP!$C$49,"")</f>
        <v/>
      </c>
      <c r="AY43" s="340"/>
      <c r="AZ43" s="465">
        <f t="shared" ca="1" si="21"/>
        <v>7.3698599999999999E-5</v>
      </c>
      <c r="BA43" s="464">
        <f t="shared" ca="1" si="22"/>
        <v>2.1372602999999999E-3</v>
      </c>
      <c r="BB43" s="465">
        <f t="shared" ca="1" si="22"/>
        <v>2.2109589000000002E-3</v>
      </c>
      <c r="BC43" s="466">
        <f t="shared" ca="1" si="23"/>
        <v>43922</v>
      </c>
      <c r="BD43" s="467">
        <f t="shared" ca="1" si="47"/>
        <v>43923</v>
      </c>
      <c r="BE43" s="467">
        <f t="shared" ca="1" si="24"/>
        <v>43951</v>
      </c>
      <c r="BF43" s="468">
        <f ca="1">IF(計算!$BC43&lt;OP!$C$3,0,BD43-BC43)</f>
        <v>1</v>
      </c>
      <c r="BG43" s="468">
        <f ca="1">IF($BE43&gt;DATE(YEAR($BD$9)+OP!$C$57,MONTH($BD$9),DAY($BD$9)),0,$BE43-$BD43+1)</f>
        <v>29</v>
      </c>
      <c r="BH43" s="469">
        <f t="shared" ca="1" si="25"/>
        <v>30</v>
      </c>
      <c r="BI43" t="str">
        <f t="shared" si="63"/>
        <v/>
      </c>
      <c r="BJ43">
        <v>10</v>
      </c>
      <c r="BN43" s="468">
        <f t="shared" si="48"/>
        <v>3</v>
      </c>
      <c r="BO43" s="468">
        <f t="shared" si="49"/>
        <v>10</v>
      </c>
      <c r="BP43" s="467">
        <f t="shared" ca="1" si="26"/>
        <v>43923</v>
      </c>
      <c r="BQ43" s="475">
        <f t="shared" ca="1" si="60"/>
        <v>35</v>
      </c>
      <c r="BR43" s="475" t="str">
        <f t="shared" si="50"/>
        <v/>
      </c>
      <c r="BS43" s="471" t="str">
        <f t="shared" si="27"/>
        <v/>
      </c>
      <c r="BT43" s="472" t="str">
        <f t="shared" si="64"/>
        <v/>
      </c>
      <c r="BU43" s="472">
        <f t="shared" ca="1" si="28"/>
        <v>0</v>
      </c>
      <c r="BV43" s="472">
        <f t="shared" ca="1" si="28"/>
        <v>0</v>
      </c>
      <c r="BW43" s="472"/>
      <c r="BX43" s="473">
        <f t="shared" ca="1" si="29"/>
        <v>0</v>
      </c>
      <c r="BY43" s="473">
        <f t="shared" si="30"/>
        <v>0</v>
      </c>
      <c r="BZ43" s="473">
        <f t="shared" ca="1" si="4"/>
        <v>0</v>
      </c>
      <c r="CA43" s="476">
        <f t="shared" ca="1" si="31"/>
        <v>0</v>
      </c>
      <c r="CB43" s="494">
        <f ca="1">IF(OR($Q42&lt;&gt;1,OP!$D$5+$BN43-1&lt;16,$BN43-1&lt;1),0,ROUND(ROUND(ROUND(((VLOOKUP($BN43-1,MORE_PV,5,0)/10000)*VLOOKUP($BN43,MORE_PV,$CB$5,0)),3)*VLOOKUP($BN43,more1,5,0),0)/$R42,0))</f>
        <v>0</v>
      </c>
      <c r="CC43" s="473">
        <f t="shared" ca="1" si="32"/>
        <v>0</v>
      </c>
      <c r="CD43" s="477"/>
      <c r="CE43" s="468">
        <f t="shared" si="51"/>
        <v>3</v>
      </c>
      <c r="CF43" s="468">
        <f t="shared" si="52"/>
        <v>10</v>
      </c>
      <c r="CG43" s="467">
        <f t="shared" ca="1" si="5"/>
        <v>43923</v>
      </c>
      <c r="CH43" s="475">
        <f t="shared" ca="1" si="61"/>
        <v>35</v>
      </c>
      <c r="CI43" s="513" t="str">
        <f t="shared" si="53"/>
        <v/>
      </c>
      <c r="CJ43" s="511">
        <f t="shared" si="33"/>
        <v>0</v>
      </c>
      <c r="CK43" s="512">
        <f t="shared" si="34"/>
        <v>0</v>
      </c>
      <c r="CL43" s="511">
        <f t="shared" ca="1" si="54"/>
        <v>0</v>
      </c>
      <c r="CM43" s="511">
        <f ca="1">ROUND(CS43-IF(OR($CE43&gt;=OP!$C$24,AND(CH43=15,CF43=12),CS43=0),0,(CT43-CR43)),$CM$7)</f>
        <v>0</v>
      </c>
      <c r="CN43" s="511"/>
      <c r="CO43" s="351">
        <f t="shared" ca="1" si="35"/>
        <v>2744</v>
      </c>
      <c r="CP43" s="473">
        <f t="shared" si="36"/>
        <v>0</v>
      </c>
      <c r="CQ43" s="473">
        <f t="shared" ca="1" si="6"/>
        <v>6.0668712219999996</v>
      </c>
      <c r="CR43" s="476">
        <f t="shared" ca="1" si="37"/>
        <v>0</v>
      </c>
      <c r="CS43" s="494">
        <f ca="1">IF(OR($Q42&lt;&gt;1,OP!$D$5+$CE43-1&lt;16,$CE43-1&lt;1),0,ROUND(ROUND(ROUND(((VLOOKUP($CE43-1,MORE_PV,5,0)/10000)*VLOOKUP($CE43,MORE_PV,$CS$5,0)),3)*VLOOKUP($CE43,more1,5,0),0)/$R42,0))</f>
        <v>0</v>
      </c>
      <c r="CT43" s="473">
        <f>IF($AW43=1,IF(N($CR43+$CS43)&lt;N($AX43)*OP!$C$50,N($CR43+$CS43),MIN(N($CR43+$CS43),N($AX43))),0)</f>
        <v>0</v>
      </c>
      <c r="CV43" s="503">
        <f t="shared" ca="1" si="38"/>
        <v>2743.7174395940001</v>
      </c>
      <c r="CW43" s="503">
        <f t="shared" ca="1" si="39"/>
        <v>0</v>
      </c>
      <c r="CX43" s="503">
        <f t="shared" ca="1" si="40"/>
        <v>2749.581045812</v>
      </c>
    </row>
    <row r="44" spans="1:102" ht="16.5" hidden="1">
      <c r="A44" s="450">
        <f ca="1">OP!$D$5+$B44-1</f>
        <v>66</v>
      </c>
      <c r="B44" s="192">
        <v>34</v>
      </c>
      <c r="C44" s="219">
        <f ca="1">ROUND(VLOOKUP(OP!$C$55,PV0,B44+2,0)*OP!$C$28,0)</f>
        <v>1771094</v>
      </c>
      <c r="D44" s="189">
        <f t="shared" ca="1" si="65"/>
        <v>1771094</v>
      </c>
      <c r="E44" s="221">
        <f t="shared" ca="1" si="66"/>
        <v>2.69E-2</v>
      </c>
      <c r="F44" s="222">
        <f t="shared" ca="1" si="67"/>
        <v>6.8999999999999999E-3</v>
      </c>
      <c r="G44" s="223">
        <f t="shared" ref="G44:G75" ca="1" si="68">IF(B44=$P$4+1,IF($G$6="現金給付",($H44*$I44),ROUND(VLOOKUP(B44,more,2,0),0)),IF($G$6="現金給付",$G43+($H44*$I44),ROUND(VLOOKUP(B44,more,2,0),0)))</f>
        <v>386029</v>
      </c>
      <c r="H44" s="224">
        <f t="shared" ca="1" si="56"/>
        <v>12509</v>
      </c>
      <c r="I44" s="450">
        <f t="shared" ca="1" si="57"/>
        <v>1</v>
      </c>
      <c r="J44" s="192">
        <f t="shared" si="7"/>
        <v>3</v>
      </c>
      <c r="K44" s="192">
        <f t="shared" si="8"/>
        <v>12</v>
      </c>
      <c r="L44" s="192">
        <f t="shared" si="0"/>
        <v>3</v>
      </c>
      <c r="M44" s="216">
        <f t="shared" ca="1" si="9"/>
        <v>0</v>
      </c>
      <c r="N44" s="216"/>
      <c r="O44" s="216"/>
      <c r="P44" s="216"/>
      <c r="Q44" s="456">
        <f t="shared" ca="1" si="10"/>
        <v>1</v>
      </c>
      <c r="R44" s="450">
        <f t="shared" ca="1" si="11"/>
        <v>1</v>
      </c>
      <c r="S44" s="191">
        <f t="shared" si="12"/>
        <v>3</v>
      </c>
      <c r="T44" s="191">
        <f t="shared" si="13"/>
        <v>12</v>
      </c>
      <c r="U44" s="191">
        <f ca="1">OP!$D$5+$S44-1</f>
        <v>35</v>
      </c>
      <c r="V44" s="191">
        <f t="shared" si="14"/>
        <v>3</v>
      </c>
      <c r="W44" s="350">
        <f ca="1">IF(Q44&lt;&gt;1,0,VLOOKUP(OP!$C$55,PVFB,$S44+2,0))</f>
        <v>28204</v>
      </c>
      <c r="X44" s="473">
        <f t="shared" ca="1" si="44"/>
        <v>3189</v>
      </c>
      <c r="Y44" s="348">
        <f t="shared" ca="1" si="45"/>
        <v>1131</v>
      </c>
      <c r="Z44" s="348">
        <f t="shared" ca="1" si="46"/>
        <v>2101</v>
      </c>
      <c r="AA44" s="348">
        <f ca="1">IF(Q44&lt;&gt;1,0,VLOOKUP(OP!$C$55,PVFB,$S44+2,0))</f>
        <v>28204</v>
      </c>
      <c r="AB44" s="488">
        <f ca="1">IF(AND(S44&lt;OP!$C$24,$U44&lt;15),0,IF(AND($U44&lt;15,$T44=12),ROUND(VLOOKUP($S44,DOWN16,5,0),3),IF($T44=12,ROUND(($Z44/10000)*$AA44,3)+IF(AND($P$7="購買增額繳清保險",T44=12,U44=110),VLOOKUP(S44,$B$10:$H$121,7,0),0),"")))</f>
        <v>5925.66</v>
      </c>
      <c r="AC44" s="350">
        <f ca="1">IF(AND(S44&lt;OP!$C$24,$U44&lt;15),0,IF(AND($U44&lt;16,$T44=12),VLOOKUP($S44,DOWN16,4,0),IF($T44=12,ROUND(VLOOKUP(OP!$C$55,_DIE2,$S44+1,0)*(Z44/10000),0)+IF(AND($P$7="購買增額繳清保險",T44=12,U44=110),VLOOKUP(S44,$B$10:$H$121,7,0),0),"")))</f>
        <v>5926</v>
      </c>
      <c r="AD44" s="347"/>
      <c r="AE44" s="350" t="str">
        <f t="shared" ca="1" si="1"/>
        <v/>
      </c>
      <c r="AF44" s="351" t="str">
        <f t="shared" ca="1" si="2"/>
        <v/>
      </c>
      <c r="AG44" s="340"/>
      <c r="AH44" s="340"/>
      <c r="AI44" s="340"/>
      <c r="AJ44" s="340"/>
      <c r="AK44" s="340"/>
      <c r="AL44" s="340"/>
      <c r="AM44" s="340"/>
      <c r="AN44" s="191">
        <f t="shared" si="15"/>
        <v>3</v>
      </c>
      <c r="AO44" s="191">
        <f t="shared" si="16"/>
        <v>12</v>
      </c>
      <c r="AP44" s="191">
        <f ca="1">OP!$D$5+$AN44-1</f>
        <v>35</v>
      </c>
      <c r="AQ44" s="191">
        <f t="shared" si="17"/>
        <v>3</v>
      </c>
      <c r="AR44" s="352">
        <f t="shared" ca="1" si="18"/>
        <v>5926</v>
      </c>
      <c r="AS44" s="352"/>
      <c r="AT44" s="352"/>
      <c r="AU44" s="436"/>
      <c r="AV44" s="353">
        <f t="shared" ca="1" si="19"/>
        <v>1</v>
      </c>
      <c r="AW44" s="422" t="str">
        <f t="shared" si="20"/>
        <v/>
      </c>
      <c r="AX44" s="423" t="str">
        <f ca="1">IF(AND($AW44=1,$AP44&lt;16,$AN43&lt;OP!$C$24),OP!$C$49,"")</f>
        <v/>
      </c>
      <c r="AY44" s="340"/>
      <c r="AZ44" s="465">
        <f t="shared" ca="1" si="21"/>
        <v>7.3698599999999999E-5</v>
      </c>
      <c r="BA44" s="464">
        <f t="shared" ca="1" si="22"/>
        <v>2.2109589000000002E-3</v>
      </c>
      <c r="BB44" s="465">
        <f t="shared" ca="1" si="22"/>
        <v>2.2846575E-3</v>
      </c>
      <c r="BC44" s="466">
        <f t="shared" ca="1" si="23"/>
        <v>43952</v>
      </c>
      <c r="BD44" s="467">
        <f t="shared" ca="1" si="47"/>
        <v>43953</v>
      </c>
      <c r="BE44" s="467">
        <f t="shared" ca="1" si="24"/>
        <v>43982</v>
      </c>
      <c r="BF44" s="468">
        <f ca="1">IF(計算!$BC44&lt;OP!$C$3,0,BD44-BC44)</f>
        <v>1</v>
      </c>
      <c r="BG44" s="468">
        <f ca="1">IF($BE44&gt;DATE(YEAR($BD$9)+OP!$C$57,MONTH($BD$9),DAY($BD$9)),0,$BE44-$BD44+1)</f>
        <v>30</v>
      </c>
      <c r="BH44" s="469">
        <f t="shared" ca="1" si="25"/>
        <v>31</v>
      </c>
      <c r="BI44" t="str">
        <f t="shared" si="63"/>
        <v/>
      </c>
      <c r="BJ44">
        <v>11</v>
      </c>
      <c r="BN44" s="468">
        <f t="shared" si="48"/>
        <v>3</v>
      </c>
      <c r="BO44" s="468">
        <f t="shared" si="49"/>
        <v>11</v>
      </c>
      <c r="BP44" s="467">
        <f t="shared" ca="1" si="26"/>
        <v>43953</v>
      </c>
      <c r="BQ44" s="475">
        <f t="shared" ca="1" si="60"/>
        <v>35</v>
      </c>
      <c r="BR44" s="475" t="str">
        <f t="shared" si="50"/>
        <v/>
      </c>
      <c r="BS44" s="471" t="str">
        <f t="shared" si="27"/>
        <v/>
      </c>
      <c r="BT44" s="472" t="str">
        <f t="shared" si="64"/>
        <v/>
      </c>
      <c r="BU44" s="472">
        <f t="shared" ca="1" si="28"/>
        <v>0</v>
      </c>
      <c r="BV44" s="472">
        <f t="shared" ca="1" si="28"/>
        <v>0</v>
      </c>
      <c r="BW44" s="472"/>
      <c r="BX44" s="473">
        <f t="shared" ca="1" si="29"/>
        <v>0</v>
      </c>
      <c r="BY44" s="473">
        <f t="shared" si="30"/>
        <v>0</v>
      </c>
      <c r="BZ44" s="473">
        <f t="shared" ca="1" si="4"/>
        <v>0</v>
      </c>
      <c r="CA44" s="476">
        <f t="shared" ca="1" si="31"/>
        <v>0</v>
      </c>
      <c r="CB44" s="494">
        <f ca="1">IF(OR($Q43&lt;&gt;1,OP!$D$5+$BN44-1&lt;16,$BN44-1&lt;1),0,ROUND(ROUND(ROUND(((VLOOKUP($BN44-1,MORE_PV,5,0)/10000)*VLOOKUP($BN44,MORE_PV,$CB$5,0)),3)*VLOOKUP($BN44,more1,5,0),0)/$R43,0))</f>
        <v>0</v>
      </c>
      <c r="CC44" s="473">
        <f t="shared" ca="1" si="32"/>
        <v>0</v>
      </c>
      <c r="CD44" s="477"/>
      <c r="CE44" s="468">
        <f t="shared" si="51"/>
        <v>3</v>
      </c>
      <c r="CF44" s="468">
        <f t="shared" si="52"/>
        <v>11</v>
      </c>
      <c r="CG44" s="467">
        <f t="shared" ca="1" si="5"/>
        <v>43953</v>
      </c>
      <c r="CH44" s="475">
        <f t="shared" ca="1" si="61"/>
        <v>35</v>
      </c>
      <c r="CI44" s="513" t="str">
        <f t="shared" si="53"/>
        <v/>
      </c>
      <c r="CJ44" s="511">
        <f t="shared" si="33"/>
        <v>0</v>
      </c>
      <c r="CK44" s="512">
        <f t="shared" si="34"/>
        <v>0</v>
      </c>
      <c r="CL44" s="511">
        <f t="shared" ca="1" si="54"/>
        <v>0</v>
      </c>
      <c r="CM44" s="511">
        <f ca="1">ROUND(CS44-IF(OR($CE44&gt;=OP!$C$24,AND(CH44=15,CF44=12),CS44=0),0,(CT44-CR44)),$CM$7)</f>
        <v>0</v>
      </c>
      <c r="CN44" s="511"/>
      <c r="CO44" s="351">
        <f t="shared" ca="1" si="35"/>
        <v>2750</v>
      </c>
      <c r="CP44" s="473">
        <f t="shared" si="36"/>
        <v>0</v>
      </c>
      <c r="CQ44" s="473">
        <f t="shared" ca="1" si="6"/>
        <v>6.2828081249999999</v>
      </c>
      <c r="CR44" s="476">
        <f t="shared" ca="1" si="37"/>
        <v>0</v>
      </c>
      <c r="CS44" s="494">
        <f ca="1">IF(OR($Q43&lt;&gt;1,OP!$D$5+$CE44-1&lt;16,$CE44-1&lt;1),0,ROUND(ROUND(ROUND(((VLOOKUP($CE44-1,MORE_PV,5,0)/10000)*VLOOKUP($CE44,MORE_PV,$CS$5,0)),3)*VLOOKUP($CE44,more1,5,0),0)/$R43,0))</f>
        <v>0</v>
      </c>
      <c r="CT44" s="473">
        <f>IF($AW44=1,IF(N($CR44+$CS44)&lt;N($AX44)*OP!$C$50,N($CR44+$CS44),MIN(N($CR44+$CS44),N($AX44))),0)</f>
        <v>0</v>
      </c>
      <c r="CV44" s="503">
        <f t="shared" ca="1" si="38"/>
        <v>2749.7836860860002</v>
      </c>
      <c r="CW44" s="503">
        <f t="shared" ca="1" si="39"/>
        <v>0</v>
      </c>
      <c r="CX44" s="503">
        <f t="shared" ca="1" si="40"/>
        <v>2755.8628967700001</v>
      </c>
    </row>
    <row r="45" spans="1:102" ht="16.5" hidden="1">
      <c r="A45" s="450">
        <f ca="1">OP!$D$5+$B45-1</f>
        <v>67</v>
      </c>
      <c r="B45" s="192">
        <v>35</v>
      </c>
      <c r="C45" s="219">
        <f ca="1">ROUND(VLOOKUP(OP!$C$55,PV0,B45+2,0)*OP!$C$28,0)</f>
        <v>1806522</v>
      </c>
      <c r="D45" s="189">
        <f t="shared" ca="1" si="65"/>
        <v>1806522</v>
      </c>
      <c r="E45" s="221">
        <f t="shared" ca="1" si="66"/>
        <v>2.69E-2</v>
      </c>
      <c r="F45" s="222">
        <f t="shared" ca="1" si="67"/>
        <v>6.8999999999999999E-3</v>
      </c>
      <c r="G45" s="223">
        <f t="shared" ca="1" si="68"/>
        <v>409330</v>
      </c>
      <c r="H45" s="224">
        <f t="shared" ca="1" si="56"/>
        <v>12759</v>
      </c>
      <c r="I45" s="450">
        <f t="shared" ca="1" si="57"/>
        <v>1</v>
      </c>
      <c r="J45" s="192">
        <f t="shared" si="7"/>
        <v>4</v>
      </c>
      <c r="K45" s="192">
        <f t="shared" si="8"/>
        <v>1</v>
      </c>
      <c r="L45" s="192" t="str">
        <f t="shared" si="0"/>
        <v/>
      </c>
      <c r="M45" s="216">
        <f t="shared" ca="1" si="9"/>
        <v>0</v>
      </c>
      <c r="N45" s="216"/>
      <c r="O45" s="216"/>
      <c r="P45" s="216"/>
      <c r="Q45" s="456" t="str">
        <f t="shared" ca="1" si="10"/>
        <v/>
      </c>
      <c r="R45" s="450">
        <f t="shared" ca="1" si="11"/>
        <v>1</v>
      </c>
      <c r="S45" s="191">
        <f t="shared" si="12"/>
        <v>4</v>
      </c>
      <c r="T45" s="191">
        <f t="shared" si="13"/>
        <v>1</v>
      </c>
      <c r="U45" s="191">
        <f ca="1">OP!$D$5+$S45-1</f>
        <v>36</v>
      </c>
      <c r="V45" s="191" t="str">
        <f t="shared" si="14"/>
        <v/>
      </c>
      <c r="W45" s="350">
        <f ca="1">IF(Q45&lt;&gt;1,0,VLOOKUP(OP!$C$55,PVFB,$S45+2,0))</f>
        <v>0</v>
      </c>
      <c r="X45" s="473">
        <f t="shared" ca="1" si="44"/>
        <v>0</v>
      </c>
      <c r="Y45" s="348">
        <f t="shared" ca="1" si="45"/>
        <v>0</v>
      </c>
      <c r="Z45" s="348">
        <f t="shared" ca="1" si="46"/>
        <v>2101</v>
      </c>
      <c r="AA45" s="348">
        <f ca="1">IF(Q45&lt;&gt;1,0,VLOOKUP(OP!$C$55,PVFB,$S45+2,0))</f>
        <v>0</v>
      </c>
      <c r="AB45" s="488" t="str">
        <f ca="1">IF(AND(S45&lt;OP!$C$24,$U45&lt;15),0,IF(AND($U45&lt;15,$T45=12),ROUND(VLOOKUP($S45,DOWN16,5,0),3),IF($T45=12,ROUND(($Z45/10000)*$AA45,3)+IF(AND($P$7="購買增額繳清保險",T45=12,U45=110),VLOOKUP(S45,$B$10:$H$121,7,0),0),"")))</f>
        <v/>
      </c>
      <c r="AC45" s="350" t="str">
        <f ca="1">IF(AND(S45&lt;OP!$C$24,$U45&lt;15),0,IF(AND($U45&lt;16,$T45=12),VLOOKUP($S45,DOWN16,4,0),IF($T45=12,ROUND(VLOOKUP(OP!$C$55,_DIE2,$S45+1,0)*(Z45/10000),0)+IF(AND($P$7="購買增額繳清保險",T45=12,U45=110),VLOOKUP(S45,$B$10:$H$121,7,0),0),"")))</f>
        <v/>
      </c>
      <c r="AD45" s="347"/>
      <c r="AE45" s="350" t="str">
        <f t="shared" ca="1" si="1"/>
        <v/>
      </c>
      <c r="AF45" s="351" t="str">
        <f t="shared" ca="1" si="2"/>
        <v/>
      </c>
      <c r="AG45" s="340"/>
      <c r="AH45" s="340"/>
      <c r="AI45" s="340"/>
      <c r="AJ45" s="340"/>
      <c r="AK45" s="340"/>
      <c r="AL45" s="340"/>
      <c r="AM45" s="340"/>
      <c r="AN45" s="191">
        <f t="shared" si="15"/>
        <v>4</v>
      </c>
      <c r="AO45" s="191">
        <f t="shared" si="16"/>
        <v>1</v>
      </c>
      <c r="AP45" s="191">
        <f ca="1">OP!$D$5+$AN45-1</f>
        <v>36</v>
      </c>
      <c r="AQ45" s="191" t="str">
        <f t="shared" si="17"/>
        <v/>
      </c>
      <c r="AR45" s="352">
        <f t="shared" ca="1" si="18"/>
        <v>0</v>
      </c>
      <c r="AS45" s="352"/>
      <c r="AT45" s="352"/>
      <c r="AU45" s="436"/>
      <c r="AV45" s="353" t="str">
        <f t="shared" ca="1" si="19"/>
        <v/>
      </c>
      <c r="AW45" s="422">
        <f t="shared" si="20"/>
        <v>1</v>
      </c>
      <c r="AX45" s="423" t="str">
        <f ca="1">IF(AND($AW45=1,$AP45&lt;16,$AN44&lt;OP!$C$24),OP!$C$49,"")</f>
        <v/>
      </c>
      <c r="AY45" s="340"/>
      <c r="AZ45" s="465">
        <f t="shared" ca="1" si="21"/>
        <v>7.3698599999999999E-5</v>
      </c>
      <c r="BA45" s="464">
        <f t="shared" ca="1" si="22"/>
        <v>2.1372602999999999E-3</v>
      </c>
      <c r="BB45" s="465">
        <f t="shared" ca="1" si="22"/>
        <v>2.2109589000000002E-3</v>
      </c>
      <c r="BC45" s="466">
        <f t="shared" ca="1" si="23"/>
        <v>43983</v>
      </c>
      <c r="BD45" s="467">
        <f t="shared" ca="1" si="47"/>
        <v>43984</v>
      </c>
      <c r="BE45" s="467">
        <f t="shared" ca="1" si="24"/>
        <v>44012</v>
      </c>
      <c r="BF45" s="468">
        <f ca="1">IF(計算!$BC45&lt;OP!$C$3,0,BD45-BC45)</f>
        <v>1</v>
      </c>
      <c r="BG45" s="468">
        <f ca="1">IF($BE45&gt;DATE(YEAR($BD$9)+OP!$C$57,MONTH($BD$9),DAY($BD$9)),0,$BE45-$BD45+1)</f>
        <v>29</v>
      </c>
      <c r="BH45" s="469">
        <f t="shared" ca="1" si="25"/>
        <v>30</v>
      </c>
      <c r="BI45">
        <f t="shared" ca="1" si="63"/>
        <v>366</v>
      </c>
      <c r="BJ45">
        <v>12</v>
      </c>
      <c r="BN45" s="468">
        <f t="shared" si="48"/>
        <v>3</v>
      </c>
      <c r="BO45" s="468">
        <f t="shared" si="49"/>
        <v>12</v>
      </c>
      <c r="BP45" s="467">
        <f t="shared" ca="1" si="26"/>
        <v>43984</v>
      </c>
      <c r="BQ45" s="475">
        <f t="shared" ca="1" si="60"/>
        <v>35</v>
      </c>
      <c r="BR45" s="475">
        <f t="shared" si="50"/>
        <v>3</v>
      </c>
      <c r="BS45" s="471">
        <f t="shared" ca="1" si="27"/>
        <v>3189</v>
      </c>
      <c r="BT45" s="472">
        <f t="shared" ca="1" si="64"/>
        <v>0</v>
      </c>
      <c r="BU45" s="472">
        <f t="shared" ca="1" si="28"/>
        <v>3170</v>
      </c>
      <c r="BV45" s="472">
        <f t="shared" ca="1" si="28"/>
        <v>19</v>
      </c>
      <c r="BW45" s="472">
        <f ca="1">ROUND(SUM(BY45,BZ33:BZ44),0)</f>
        <v>0</v>
      </c>
      <c r="BX45" s="473">
        <f t="shared" ca="1" si="29"/>
        <v>0</v>
      </c>
      <c r="BY45" s="473">
        <f t="shared" ca="1" si="30"/>
        <v>0</v>
      </c>
      <c r="BZ45" s="473">
        <f t="shared" ca="1" si="4"/>
        <v>0</v>
      </c>
      <c r="CA45" s="476">
        <f t="shared" ca="1" si="31"/>
        <v>3170</v>
      </c>
      <c r="CB45" s="494">
        <f ca="1">IF(OR($Q44&lt;&gt;1,OP!$D$5+$BN45-1&lt;16,$BN45-1&lt;1),0,ROUND(ROUND(ROUND(((VLOOKUP($BN45-1,MORE_PV,5,0)/10000)*VLOOKUP($BN45,MORE_PV,$CB$5,0)),3)*VLOOKUP($BN45,more1,5,0),0)/$R44,0))</f>
        <v>19</v>
      </c>
      <c r="CC45" s="473">
        <f t="shared" ca="1" si="32"/>
        <v>0</v>
      </c>
      <c r="CD45" s="477"/>
      <c r="CE45" s="468">
        <f t="shared" si="51"/>
        <v>3</v>
      </c>
      <c r="CF45" s="468">
        <f t="shared" si="52"/>
        <v>12</v>
      </c>
      <c r="CG45" s="467">
        <f t="shared" ca="1" si="5"/>
        <v>43984</v>
      </c>
      <c r="CH45" s="475">
        <f t="shared" ca="1" si="61"/>
        <v>35</v>
      </c>
      <c r="CI45" s="513">
        <f t="shared" si="53"/>
        <v>3</v>
      </c>
      <c r="CJ45" s="511">
        <f t="shared" ca="1" si="33"/>
        <v>6378</v>
      </c>
      <c r="CK45" s="512">
        <f t="shared" ca="1" si="34"/>
        <v>5926.0660000070002</v>
      </c>
      <c r="CL45" s="511">
        <f t="shared" ca="1" si="54"/>
        <v>3189</v>
      </c>
      <c r="CM45" s="511">
        <f ca="1">ROUND(CS45-IF(OR($CE45&gt;=OP!$C$24,AND(CH45=15,CF45=12),CS45=0),0,(CT45-CR45)),$CM$7)</f>
        <v>3189</v>
      </c>
      <c r="CN45" s="511">
        <f ca="1">ROUND(SUM(CP45,CQ33:CQ44),$CN$7)</f>
        <v>73.272156383999999</v>
      </c>
      <c r="CO45" s="351">
        <f t="shared" ca="1" si="35"/>
        <v>5926</v>
      </c>
      <c r="CP45" s="473">
        <f t="shared" ca="1" si="36"/>
        <v>0.203134184</v>
      </c>
      <c r="CQ45" s="473">
        <f t="shared" ca="1" si="6"/>
        <v>12.665404538000001</v>
      </c>
      <c r="CR45" s="476">
        <f t="shared" ca="1" si="37"/>
        <v>3170</v>
      </c>
      <c r="CS45" s="494">
        <f ca="1">IF(OR($Q44&lt;&gt;1,OP!$D$5+$CE45-1&lt;16,$CE45-1&lt;1),0,ROUND(ROUND(ROUND(((VLOOKUP($CE45-1,MORE_PV,5,0)/10000)*VLOOKUP($CE45,MORE_PV,$CS$5,0)),3)*VLOOKUP($CE45,more1,5,0),0)/$R44,0))</f>
        <v>19</v>
      </c>
      <c r="CT45" s="473">
        <f ca="1">IF($AW45=1,IF(N($CR45+$CS45)&lt;N($AX45)*OP!$C$50,N($CR45+$CS45),MIN(N($CR45+$CS45),N($AX45))),0)</f>
        <v>0</v>
      </c>
      <c r="CV45" s="503">
        <f t="shared" ca="1" si="38"/>
        <v>5926.0660000070002</v>
      </c>
      <c r="CW45" s="503">
        <f t="shared" ca="1" si="39"/>
        <v>3176.7751151510001</v>
      </c>
      <c r="CX45" s="503">
        <f t="shared" ca="1" si="40"/>
        <v>5938.73111152</v>
      </c>
    </row>
    <row r="46" spans="1:102" ht="16.5" hidden="1">
      <c r="A46" s="450">
        <f ca="1">OP!$D$5+$B46-1</f>
        <v>68</v>
      </c>
      <c r="B46" s="192">
        <v>36</v>
      </c>
      <c r="C46" s="219">
        <f ca="1">ROUND(VLOOKUP(OP!$C$55,PV0,B46+2,0)*OP!$C$28,0)</f>
        <v>1842630</v>
      </c>
      <c r="D46" s="189">
        <f t="shared" ca="1" si="65"/>
        <v>1842630</v>
      </c>
      <c r="E46" s="221">
        <f t="shared" ca="1" si="66"/>
        <v>2.69E-2</v>
      </c>
      <c r="F46" s="222">
        <f t="shared" ca="1" si="67"/>
        <v>6.8999999999999999E-3</v>
      </c>
      <c r="G46" s="223">
        <f t="shared" ca="1" si="68"/>
        <v>433492</v>
      </c>
      <c r="H46" s="224">
        <f t="shared" ca="1" si="56"/>
        <v>13014</v>
      </c>
      <c r="I46" s="450">
        <f t="shared" ca="1" si="57"/>
        <v>1</v>
      </c>
      <c r="J46" s="192">
        <f t="shared" si="7"/>
        <v>4</v>
      </c>
      <c r="K46" s="192">
        <f t="shared" si="8"/>
        <v>2</v>
      </c>
      <c r="L46" s="192" t="str">
        <f t="shared" si="0"/>
        <v/>
      </c>
      <c r="M46" s="216">
        <f t="shared" ca="1" si="9"/>
        <v>0</v>
      </c>
      <c r="N46" s="216"/>
      <c r="O46" s="216"/>
      <c r="P46" s="216"/>
      <c r="Q46" s="456" t="str">
        <f t="shared" ca="1" si="10"/>
        <v/>
      </c>
      <c r="R46" s="450">
        <f t="shared" ca="1" si="11"/>
        <v>1</v>
      </c>
      <c r="S46" s="191">
        <f t="shared" si="12"/>
        <v>4</v>
      </c>
      <c r="T46" s="191">
        <f t="shared" si="13"/>
        <v>2</v>
      </c>
      <c r="U46" s="191">
        <f ca="1">OP!$D$5+$S46-1</f>
        <v>36</v>
      </c>
      <c r="V46" s="191" t="str">
        <f t="shared" si="14"/>
        <v/>
      </c>
      <c r="W46" s="350">
        <f ca="1">IF(Q46&lt;&gt;1,0,VLOOKUP(OP!$C$55,PVFB,$S46+2,0))</f>
        <v>0</v>
      </c>
      <c r="X46" s="473">
        <f t="shared" ca="1" si="44"/>
        <v>0</v>
      </c>
      <c r="Y46" s="348">
        <f t="shared" ca="1" si="45"/>
        <v>0</v>
      </c>
      <c r="Z46" s="348">
        <f t="shared" ca="1" si="46"/>
        <v>2101</v>
      </c>
      <c r="AA46" s="348">
        <f ca="1">IF(Q46&lt;&gt;1,0,VLOOKUP(OP!$C$55,PVFB,$S46+2,0))</f>
        <v>0</v>
      </c>
      <c r="AB46" s="488" t="str">
        <f ca="1">IF(AND(S46&lt;OP!$C$24,$U46&lt;15),0,IF(AND($U46&lt;15,$T46=12),ROUND(VLOOKUP($S46,DOWN16,5,0),3),IF($T46=12,ROUND(($Z46/10000)*$AA46,3)+IF(AND($P$7="購買增額繳清保險",T46=12,U46=110),VLOOKUP(S46,$B$10:$H$121,7,0),0),"")))</f>
        <v/>
      </c>
      <c r="AC46" s="350" t="str">
        <f ca="1">IF(AND(S46&lt;OP!$C$24,$U46&lt;15),0,IF(AND($U46&lt;16,$T46=12),VLOOKUP($S46,DOWN16,4,0),IF($T46=12,ROUND(VLOOKUP(OP!$C$55,_DIE2,$S46+1,0)*(Z46/10000),0)+IF(AND($P$7="購買增額繳清保險",T46=12,U46=110),VLOOKUP(S46,$B$10:$H$121,7,0),0),"")))</f>
        <v/>
      </c>
      <c r="AD46" s="347"/>
      <c r="AE46" s="350" t="str">
        <f t="shared" ca="1" si="1"/>
        <v/>
      </c>
      <c r="AF46" s="351" t="str">
        <f t="shared" ca="1" si="2"/>
        <v/>
      </c>
      <c r="AG46" s="340"/>
      <c r="AH46" s="340"/>
      <c r="AI46" s="340"/>
      <c r="AJ46" s="340"/>
      <c r="AK46" s="340"/>
      <c r="AL46" s="340"/>
      <c r="AM46" s="340"/>
      <c r="AN46" s="191">
        <f t="shared" si="15"/>
        <v>4</v>
      </c>
      <c r="AO46" s="191">
        <f t="shared" si="16"/>
        <v>2</v>
      </c>
      <c r="AP46" s="191">
        <f ca="1">OP!$D$5+$AN46-1</f>
        <v>36</v>
      </c>
      <c r="AQ46" s="191" t="str">
        <f t="shared" si="17"/>
        <v/>
      </c>
      <c r="AR46" s="352">
        <f t="shared" ca="1" si="18"/>
        <v>0</v>
      </c>
      <c r="AS46" s="352"/>
      <c r="AT46" s="352"/>
      <c r="AU46" s="436"/>
      <c r="AV46" s="353" t="str">
        <f t="shared" ca="1" si="19"/>
        <v/>
      </c>
      <c r="AW46" s="422" t="str">
        <f t="shared" si="20"/>
        <v/>
      </c>
      <c r="AX46" s="423" t="str">
        <f ca="1">IF(AND($AW46=1,$AP46&lt;16,$AN45&lt;OP!$C$24),OP!$C$49,"")</f>
        <v/>
      </c>
      <c r="AY46" s="340"/>
      <c r="AZ46" s="465">
        <f t="shared" ca="1" si="21"/>
        <v>7.3698599999999999E-5</v>
      </c>
      <c r="BA46" s="464">
        <f t="shared" ca="1" si="22"/>
        <v>2.2109589000000002E-3</v>
      </c>
      <c r="BB46" s="465">
        <f t="shared" ca="1" si="22"/>
        <v>2.2846575E-3</v>
      </c>
      <c r="BC46" s="466">
        <f t="shared" ca="1" si="23"/>
        <v>44013</v>
      </c>
      <c r="BD46" s="467">
        <f t="shared" ca="1" si="47"/>
        <v>44014</v>
      </c>
      <c r="BE46" s="467">
        <f t="shared" ca="1" si="24"/>
        <v>44043</v>
      </c>
      <c r="BF46" s="468">
        <f ca="1">IF(計算!$BC46&lt;OP!$C$3,0,BD46-BC46)</f>
        <v>1</v>
      </c>
      <c r="BG46" s="468">
        <f ca="1">IF($BE46&gt;DATE(YEAR($BD$9)+OP!$C$57,MONTH($BD$9),DAY($BD$9)),0,$BE46-$BD46+1)</f>
        <v>30</v>
      </c>
      <c r="BH46" s="469">
        <f t="shared" ca="1" si="25"/>
        <v>31</v>
      </c>
      <c r="BI46" t="str">
        <f t="shared" si="63"/>
        <v/>
      </c>
      <c r="BJ46">
        <v>1</v>
      </c>
      <c r="BN46" s="468">
        <f t="shared" si="48"/>
        <v>4</v>
      </c>
      <c r="BO46" s="468">
        <f t="shared" si="49"/>
        <v>1</v>
      </c>
      <c r="BP46" s="467">
        <f t="shared" ca="1" si="26"/>
        <v>44014</v>
      </c>
      <c r="BQ46" s="475">
        <f t="shared" ca="1" si="60"/>
        <v>36</v>
      </c>
      <c r="BR46" s="475" t="str">
        <f t="shared" si="50"/>
        <v/>
      </c>
      <c r="BS46" s="471" t="str">
        <f t="shared" si="27"/>
        <v/>
      </c>
      <c r="BT46" s="472" t="str">
        <f t="shared" si="64"/>
        <v/>
      </c>
      <c r="BU46" s="472">
        <f t="shared" ca="1" si="28"/>
        <v>0</v>
      </c>
      <c r="BV46" s="472">
        <f t="shared" ca="1" si="28"/>
        <v>0</v>
      </c>
      <c r="BW46" s="472"/>
      <c r="BX46" s="473">
        <f t="shared" ca="1" si="29"/>
        <v>0</v>
      </c>
      <c r="BY46" s="473">
        <f t="shared" si="30"/>
        <v>0</v>
      </c>
      <c r="BZ46" s="473">
        <f t="shared" ca="1" si="4"/>
        <v>0</v>
      </c>
      <c r="CA46" s="476">
        <f t="shared" ca="1" si="31"/>
        <v>0</v>
      </c>
      <c r="CB46" s="494">
        <f ca="1">IF(OR($Q45&lt;&gt;1,OP!$D$5+$BN46-1&lt;16,$BN46-1&lt;1),0,ROUND(ROUND(ROUND(((VLOOKUP($BN46-1,MORE_PV,5,0)/10000)*VLOOKUP($BN46,MORE_PV,$CB$5,0)),3)*VLOOKUP($BN46,more1,5,0),0)/$R45,0))</f>
        <v>0</v>
      </c>
      <c r="CC46" s="473">
        <f t="shared" ca="1" si="32"/>
        <v>0</v>
      </c>
      <c r="CD46" s="477"/>
      <c r="CE46" s="468">
        <f t="shared" si="51"/>
        <v>4</v>
      </c>
      <c r="CF46" s="468">
        <f t="shared" si="52"/>
        <v>1</v>
      </c>
      <c r="CG46" s="467">
        <f t="shared" ca="1" si="5"/>
        <v>44014</v>
      </c>
      <c r="CH46" s="475">
        <f t="shared" ca="1" si="61"/>
        <v>36</v>
      </c>
      <c r="CI46" s="513" t="str">
        <f t="shared" si="53"/>
        <v/>
      </c>
      <c r="CJ46" s="511">
        <f t="shared" si="33"/>
        <v>0</v>
      </c>
      <c r="CK46" s="512">
        <f t="shared" si="34"/>
        <v>0</v>
      </c>
      <c r="CL46" s="511">
        <f t="shared" ca="1" si="54"/>
        <v>0</v>
      </c>
      <c r="CM46" s="511">
        <f ca="1">ROUND(CS46-IF(OR($CE46&gt;=OP!$C$24,AND(CH46=15,CF46=12),CS46=0),0,(CT46-CR46)),$CM$7)</f>
        <v>0</v>
      </c>
      <c r="CN46" s="511"/>
      <c r="CO46" s="351">
        <f t="shared" ca="1" si="35"/>
        <v>5939</v>
      </c>
      <c r="CP46" s="473">
        <f t="shared" si="36"/>
        <v>0</v>
      </c>
      <c r="CQ46" s="473">
        <f t="shared" ca="1" si="6"/>
        <v>13.568580893</v>
      </c>
      <c r="CR46" s="476">
        <f t="shared" ca="1" si="37"/>
        <v>0</v>
      </c>
      <c r="CS46" s="494">
        <f ca="1">IF(OR($Q45&lt;&gt;1,OP!$D$5+$CE46-1&lt;16,$CE46-1&lt;1),0,ROUND(ROUND(ROUND(((VLOOKUP($CE46-1,MORE_PV,5,0)/10000)*VLOOKUP($CE46,MORE_PV,$CS$5,0)),3)*VLOOKUP($CE46,more1,5,0),0)/$R45,0))</f>
        <v>0</v>
      </c>
      <c r="CT46" s="473">
        <f>IF($AW46=1,IF(N($CR46+$CS46)&lt;N($AX46)*OP!$C$50,N($CR46+$CS46),MIN(N($CR46+$CS46),N($AX46))),0)</f>
        <v>0</v>
      </c>
      <c r="CV46" s="503">
        <f t="shared" ca="1" si="38"/>
        <v>5939.1687876890001</v>
      </c>
      <c r="CW46" s="503">
        <f t="shared" ca="1" si="39"/>
        <v>0</v>
      </c>
      <c r="CX46" s="503">
        <f t="shared" ca="1" si="40"/>
        <v>5952.2990780939999</v>
      </c>
    </row>
    <row r="47" spans="1:102" ht="16.5" hidden="1">
      <c r="A47" s="450">
        <f ca="1">OP!$D$5+$B47-1</f>
        <v>69</v>
      </c>
      <c r="B47" s="192">
        <v>37</v>
      </c>
      <c r="C47" s="219">
        <f ca="1">ROUND(VLOOKUP(OP!$C$55,PV0,B47+2,0)*OP!$C$28,0)</f>
        <v>1879486</v>
      </c>
      <c r="D47" s="189">
        <f t="shared" ca="1" si="65"/>
        <v>1879486</v>
      </c>
      <c r="E47" s="221">
        <f t="shared" ca="1" si="66"/>
        <v>2.69E-2</v>
      </c>
      <c r="F47" s="222">
        <f t="shared" ca="1" si="67"/>
        <v>6.8999999999999999E-3</v>
      </c>
      <c r="G47" s="223">
        <f t="shared" ca="1" si="68"/>
        <v>458572</v>
      </c>
      <c r="H47" s="224">
        <f t="shared" ca="1" si="56"/>
        <v>13274</v>
      </c>
      <c r="I47" s="450">
        <f t="shared" ca="1" si="57"/>
        <v>1</v>
      </c>
      <c r="J47" s="192">
        <f t="shared" si="7"/>
        <v>4</v>
      </c>
      <c r="K47" s="192">
        <f t="shared" si="8"/>
        <v>3</v>
      </c>
      <c r="L47" s="192" t="str">
        <f t="shared" si="0"/>
        <v/>
      </c>
      <c r="M47" s="216">
        <f t="shared" ca="1" si="9"/>
        <v>0</v>
      </c>
      <c r="N47" s="216"/>
      <c r="O47" s="216"/>
      <c r="P47" s="216"/>
      <c r="Q47" s="456" t="str">
        <f t="shared" ca="1" si="10"/>
        <v/>
      </c>
      <c r="R47" s="450">
        <f t="shared" ca="1" si="11"/>
        <v>1</v>
      </c>
      <c r="S47" s="191">
        <f t="shared" si="12"/>
        <v>4</v>
      </c>
      <c r="T47" s="191">
        <f t="shared" si="13"/>
        <v>3</v>
      </c>
      <c r="U47" s="191">
        <f ca="1">OP!$D$5+$S47-1</f>
        <v>36</v>
      </c>
      <c r="V47" s="191" t="str">
        <f t="shared" si="14"/>
        <v/>
      </c>
      <c r="W47" s="350">
        <f ca="1">IF(Q47&lt;&gt;1,0,VLOOKUP(OP!$C$55,PVFB,$S47+2,0))</f>
        <v>0</v>
      </c>
      <c r="X47" s="473">
        <f t="shared" ca="1" si="44"/>
        <v>0</v>
      </c>
      <c r="Y47" s="348">
        <f t="shared" ca="1" si="45"/>
        <v>0</v>
      </c>
      <c r="Z47" s="348">
        <f t="shared" ca="1" si="46"/>
        <v>2101</v>
      </c>
      <c r="AA47" s="348">
        <f ca="1">IF(Q47&lt;&gt;1,0,VLOOKUP(OP!$C$55,PVFB,$S47+2,0))</f>
        <v>0</v>
      </c>
      <c r="AB47" s="488" t="str">
        <f ca="1">IF(AND(S47&lt;OP!$C$24,$U47&lt;15),0,IF(AND($U47&lt;15,$T47=12),ROUND(VLOOKUP($S47,DOWN16,5,0),3),IF($T47=12,ROUND(($Z47/10000)*$AA47,3)+IF(AND($P$7="購買增額繳清保險",T47=12,U47=110),VLOOKUP(S47,$B$10:$H$121,7,0),0),"")))</f>
        <v/>
      </c>
      <c r="AC47" s="350" t="str">
        <f ca="1">IF(AND(S47&lt;OP!$C$24,$U47&lt;15),0,IF(AND($U47&lt;16,$T47=12),VLOOKUP($S47,DOWN16,4,0),IF($T47=12,ROUND(VLOOKUP(OP!$C$55,_DIE2,$S47+1,0)*(Z47/10000),0)+IF(AND($P$7="購買增額繳清保險",T47=12,U47=110),VLOOKUP(S47,$B$10:$H$121,7,0),0),"")))</f>
        <v/>
      </c>
      <c r="AD47" s="347"/>
      <c r="AE47" s="350" t="str">
        <f t="shared" ca="1" si="1"/>
        <v/>
      </c>
      <c r="AF47" s="351" t="str">
        <f t="shared" ca="1" si="2"/>
        <v/>
      </c>
      <c r="AG47" s="340"/>
      <c r="AH47" s="340"/>
      <c r="AI47" s="340"/>
      <c r="AJ47" s="340"/>
      <c r="AK47" s="340"/>
      <c r="AL47" s="340"/>
      <c r="AM47" s="340"/>
      <c r="AN47" s="191">
        <f t="shared" si="15"/>
        <v>4</v>
      </c>
      <c r="AO47" s="191">
        <f t="shared" si="16"/>
        <v>3</v>
      </c>
      <c r="AP47" s="191">
        <f ca="1">OP!$D$5+$AN47-1</f>
        <v>36</v>
      </c>
      <c r="AQ47" s="191" t="str">
        <f t="shared" si="17"/>
        <v/>
      </c>
      <c r="AR47" s="352">
        <f t="shared" ca="1" si="18"/>
        <v>0</v>
      </c>
      <c r="AS47" s="352"/>
      <c r="AT47" s="352"/>
      <c r="AU47" s="436"/>
      <c r="AV47" s="353" t="str">
        <f t="shared" ca="1" si="19"/>
        <v/>
      </c>
      <c r="AW47" s="422" t="str">
        <f t="shared" si="20"/>
        <v/>
      </c>
      <c r="AX47" s="423" t="str">
        <f ca="1">IF(AND($AW47=1,$AP47&lt;16,$AN46&lt;OP!$C$24),OP!$C$49,"")</f>
        <v/>
      </c>
      <c r="AY47" s="340"/>
      <c r="AZ47" s="465">
        <f t="shared" ca="1" si="21"/>
        <v>7.3698599999999999E-5</v>
      </c>
      <c r="BA47" s="464">
        <f t="shared" ca="1" si="22"/>
        <v>2.2109589000000002E-3</v>
      </c>
      <c r="BB47" s="465">
        <f t="shared" ca="1" si="22"/>
        <v>2.2846575E-3</v>
      </c>
      <c r="BC47" s="466">
        <f t="shared" ca="1" si="23"/>
        <v>44044</v>
      </c>
      <c r="BD47" s="467">
        <f t="shared" ca="1" si="47"/>
        <v>44045</v>
      </c>
      <c r="BE47" s="467">
        <f t="shared" ca="1" si="24"/>
        <v>44074</v>
      </c>
      <c r="BF47" s="468">
        <f ca="1">IF(計算!$BC47&lt;OP!$C$3,0,BD47-BC47)</f>
        <v>1</v>
      </c>
      <c r="BG47" s="468">
        <f ca="1">IF($BE47&gt;DATE(YEAR($BD$9)+OP!$C$57,MONTH($BD$9),DAY($BD$9)),0,$BE47-$BD47+1)</f>
        <v>30</v>
      </c>
      <c r="BH47" s="469">
        <f t="shared" ca="1" si="25"/>
        <v>31</v>
      </c>
      <c r="BI47" t="str">
        <f t="shared" si="63"/>
        <v/>
      </c>
      <c r="BJ47">
        <v>2</v>
      </c>
      <c r="BN47" s="468">
        <f t="shared" si="48"/>
        <v>4</v>
      </c>
      <c r="BO47" s="468">
        <f t="shared" si="49"/>
        <v>2</v>
      </c>
      <c r="BP47" s="467">
        <f t="shared" ca="1" si="26"/>
        <v>44045</v>
      </c>
      <c r="BQ47" s="475">
        <f t="shared" ca="1" si="60"/>
        <v>36</v>
      </c>
      <c r="BR47" s="475" t="str">
        <f t="shared" si="50"/>
        <v/>
      </c>
      <c r="BS47" s="471" t="str">
        <f t="shared" si="27"/>
        <v/>
      </c>
      <c r="BT47" s="472" t="str">
        <f t="shared" si="64"/>
        <v/>
      </c>
      <c r="BU47" s="472">
        <f t="shared" ca="1" si="28"/>
        <v>0</v>
      </c>
      <c r="BV47" s="472">
        <f t="shared" ca="1" si="28"/>
        <v>0</v>
      </c>
      <c r="BW47" s="472"/>
      <c r="BX47" s="473">
        <f t="shared" ca="1" si="29"/>
        <v>0</v>
      </c>
      <c r="BY47" s="473">
        <f t="shared" si="30"/>
        <v>0</v>
      </c>
      <c r="BZ47" s="473">
        <f t="shared" ca="1" si="4"/>
        <v>0</v>
      </c>
      <c r="CA47" s="476">
        <f t="shared" ca="1" si="31"/>
        <v>0</v>
      </c>
      <c r="CB47" s="494">
        <f ca="1">IF(OR($Q46&lt;&gt;1,OP!$D$5+$BN47-1&lt;16,$BN47-1&lt;1),0,ROUND(ROUND(ROUND(((VLOOKUP($BN47-1,MORE_PV,5,0)/10000)*VLOOKUP($BN47,MORE_PV,$CB$5,0)),3)*VLOOKUP($BN47,more1,5,0),0)/$R46,0))</f>
        <v>0</v>
      </c>
      <c r="CC47" s="473">
        <f t="shared" ca="1" si="32"/>
        <v>0</v>
      </c>
      <c r="CD47" s="477"/>
      <c r="CE47" s="468">
        <f t="shared" si="51"/>
        <v>4</v>
      </c>
      <c r="CF47" s="468">
        <f t="shared" si="52"/>
        <v>2</v>
      </c>
      <c r="CG47" s="467">
        <f t="shared" ca="1" si="5"/>
        <v>44045</v>
      </c>
      <c r="CH47" s="475">
        <f t="shared" ca="1" si="61"/>
        <v>36</v>
      </c>
      <c r="CI47" s="513" t="str">
        <f t="shared" si="53"/>
        <v/>
      </c>
      <c r="CJ47" s="511">
        <f t="shared" si="33"/>
        <v>0</v>
      </c>
      <c r="CK47" s="512">
        <f t="shared" si="34"/>
        <v>0</v>
      </c>
      <c r="CL47" s="511">
        <f t="shared" ca="1" si="54"/>
        <v>0</v>
      </c>
      <c r="CM47" s="511">
        <f ca="1">ROUND(CS47-IF(OR($CE47&gt;=OP!$C$24,AND(CH47=15,CF47=12),CS47=0),0,(CT47-CR47)),$CM$7)</f>
        <v>0</v>
      </c>
      <c r="CN47" s="511"/>
      <c r="CO47" s="351">
        <f t="shared" ca="1" si="35"/>
        <v>5953</v>
      </c>
      <c r="CP47" s="473">
        <f t="shared" si="36"/>
        <v>0</v>
      </c>
      <c r="CQ47" s="473">
        <f t="shared" ca="1" si="6"/>
        <v>13.600566098</v>
      </c>
      <c r="CR47" s="476">
        <f t="shared" ca="1" si="37"/>
        <v>0</v>
      </c>
      <c r="CS47" s="494">
        <f ca="1">IF(OR($Q46&lt;&gt;1,OP!$D$5+$CE47-1&lt;16,$CE47-1&lt;1),0,ROUND(ROUND(ROUND(((VLOOKUP($CE47-1,MORE_PV,5,0)/10000)*VLOOKUP($CE47,MORE_PV,$CS$5,0)),3)*VLOOKUP($CE47,more1,5,0),0)/$R46,0))</f>
        <v>0</v>
      </c>
      <c r="CT47" s="473">
        <f>IF($AW47=1,IF(N($CR47+$CS47)&lt;N($AX47)*OP!$C$50,N($CR47+$CS47),MIN(N($CR47+$CS47),N($AX47))),0)</f>
        <v>0</v>
      </c>
      <c r="CV47" s="503">
        <f t="shared" ca="1" si="38"/>
        <v>5952.7377542029999</v>
      </c>
      <c r="CW47" s="503">
        <f t="shared" ca="1" si="39"/>
        <v>0</v>
      </c>
      <c r="CX47" s="503">
        <f t="shared" ca="1" si="40"/>
        <v>5965.8980428249997</v>
      </c>
    </row>
    <row r="48" spans="1:102" ht="16.5" hidden="1">
      <c r="A48" s="450">
        <f ca="1">OP!$D$5+$B48-1</f>
        <v>70</v>
      </c>
      <c r="B48" s="192">
        <v>38</v>
      </c>
      <c r="C48" s="219">
        <f ca="1">ROUND(VLOOKUP(OP!$C$55,PV0,B48+2,0)*OP!$C$28,0)</f>
        <v>1917090</v>
      </c>
      <c r="D48" s="189">
        <f t="shared" ca="1" si="65"/>
        <v>1917090</v>
      </c>
      <c r="E48" s="221">
        <f t="shared" ca="1" si="66"/>
        <v>2.69E-2</v>
      </c>
      <c r="F48" s="222">
        <f t="shared" ca="1" si="67"/>
        <v>6.8999999999999999E-3</v>
      </c>
      <c r="G48" s="223">
        <f t="shared" ca="1" si="68"/>
        <v>484601</v>
      </c>
      <c r="H48" s="224">
        <f t="shared" ca="1" si="56"/>
        <v>13540</v>
      </c>
      <c r="I48" s="450">
        <f t="shared" ca="1" si="57"/>
        <v>1</v>
      </c>
      <c r="J48" s="192">
        <f t="shared" si="7"/>
        <v>4</v>
      </c>
      <c r="K48" s="192">
        <f t="shared" si="8"/>
        <v>4</v>
      </c>
      <c r="L48" s="192" t="str">
        <f t="shared" si="0"/>
        <v/>
      </c>
      <c r="M48" s="216">
        <f t="shared" ca="1" si="9"/>
        <v>0</v>
      </c>
      <c r="N48" s="216"/>
      <c r="O48" s="216"/>
      <c r="P48" s="216"/>
      <c r="Q48" s="456" t="str">
        <f t="shared" ca="1" si="10"/>
        <v/>
      </c>
      <c r="R48" s="450">
        <f t="shared" ca="1" si="11"/>
        <v>1</v>
      </c>
      <c r="S48" s="191">
        <f t="shared" si="12"/>
        <v>4</v>
      </c>
      <c r="T48" s="191">
        <f t="shared" si="13"/>
        <v>4</v>
      </c>
      <c r="U48" s="191">
        <f ca="1">OP!$D$5+$S48-1</f>
        <v>36</v>
      </c>
      <c r="V48" s="191" t="str">
        <f t="shared" si="14"/>
        <v/>
      </c>
      <c r="W48" s="350">
        <f ca="1">IF(Q48&lt;&gt;1,0,VLOOKUP(OP!$C$55,PVFB,$S48+2,0))</f>
        <v>0</v>
      </c>
      <c r="X48" s="473">
        <f t="shared" ca="1" si="44"/>
        <v>0</v>
      </c>
      <c r="Y48" s="348">
        <f t="shared" ca="1" si="45"/>
        <v>0</v>
      </c>
      <c r="Z48" s="348">
        <f t="shared" ca="1" si="46"/>
        <v>2101</v>
      </c>
      <c r="AA48" s="348">
        <f ca="1">IF(Q48&lt;&gt;1,0,VLOOKUP(OP!$C$55,PVFB,$S48+2,0))</f>
        <v>0</v>
      </c>
      <c r="AB48" s="488" t="str">
        <f ca="1">IF(AND(S48&lt;OP!$C$24,$U48&lt;15),0,IF(AND($U48&lt;15,$T48=12),ROUND(VLOOKUP($S48,DOWN16,5,0),3),IF($T48=12,ROUND(($Z48/10000)*$AA48,3)+IF(AND($P$7="購買增額繳清保險",T48=12,U48=110),VLOOKUP(S48,$B$10:$H$121,7,0),0),"")))</f>
        <v/>
      </c>
      <c r="AC48" s="350" t="str">
        <f ca="1">IF(AND(S48&lt;OP!$C$24,$U48&lt;15),0,IF(AND($U48&lt;16,$T48=12),VLOOKUP($S48,DOWN16,4,0),IF($T48=12,ROUND(VLOOKUP(OP!$C$55,_DIE2,$S48+1,0)*(Z48/10000),0)+IF(AND($P$7="購買增額繳清保險",T48=12,U48=110),VLOOKUP(S48,$B$10:$H$121,7,0),0),"")))</f>
        <v/>
      </c>
      <c r="AD48" s="347"/>
      <c r="AE48" s="350" t="str">
        <f t="shared" ca="1" si="1"/>
        <v/>
      </c>
      <c r="AF48" s="351" t="str">
        <f t="shared" ca="1" si="2"/>
        <v/>
      </c>
      <c r="AG48" s="340"/>
      <c r="AH48" s="340"/>
      <c r="AI48" s="340"/>
      <c r="AJ48" s="340"/>
      <c r="AK48" s="340"/>
      <c r="AL48" s="340"/>
      <c r="AM48" s="340"/>
      <c r="AN48" s="191">
        <f t="shared" si="15"/>
        <v>4</v>
      </c>
      <c r="AO48" s="191">
        <f t="shared" si="16"/>
        <v>4</v>
      </c>
      <c r="AP48" s="191">
        <f ca="1">OP!$D$5+$AN48-1</f>
        <v>36</v>
      </c>
      <c r="AQ48" s="191" t="str">
        <f t="shared" si="17"/>
        <v/>
      </c>
      <c r="AR48" s="352">
        <f t="shared" ca="1" si="18"/>
        <v>0</v>
      </c>
      <c r="AS48" s="352"/>
      <c r="AT48" s="352"/>
      <c r="AU48" s="436"/>
      <c r="AV48" s="353" t="str">
        <f t="shared" ca="1" si="19"/>
        <v/>
      </c>
      <c r="AW48" s="422" t="str">
        <f t="shared" si="20"/>
        <v/>
      </c>
      <c r="AX48" s="423" t="str">
        <f ca="1">IF(AND($AW48=1,$AP48&lt;16,$AN47&lt;OP!$C$24),OP!$C$49,"")</f>
        <v/>
      </c>
      <c r="AY48" s="340"/>
      <c r="AZ48" s="465">
        <f t="shared" ca="1" si="21"/>
        <v>7.3698599999999999E-5</v>
      </c>
      <c r="BA48" s="464">
        <f t="shared" ca="1" si="22"/>
        <v>2.1372602999999999E-3</v>
      </c>
      <c r="BB48" s="465">
        <f t="shared" ca="1" si="22"/>
        <v>2.2109589000000002E-3</v>
      </c>
      <c r="BC48" s="466">
        <f t="shared" ca="1" si="23"/>
        <v>44075</v>
      </c>
      <c r="BD48" s="467">
        <f t="shared" ca="1" si="47"/>
        <v>44076</v>
      </c>
      <c r="BE48" s="467">
        <f t="shared" ca="1" si="24"/>
        <v>44104</v>
      </c>
      <c r="BF48" s="468">
        <f ca="1">IF(計算!$BC48&lt;OP!$C$3,0,BD48-BC48)</f>
        <v>1</v>
      </c>
      <c r="BG48" s="468">
        <f ca="1">IF($BE48&gt;DATE(YEAR($BD$9)+OP!$C$57,MONTH($BD$9),DAY($BD$9)),0,$BE48-$BD48+1)</f>
        <v>29</v>
      </c>
      <c r="BH48" s="469">
        <f t="shared" ca="1" si="25"/>
        <v>30</v>
      </c>
      <c r="BI48" t="str">
        <f t="shared" si="63"/>
        <v/>
      </c>
      <c r="BJ48">
        <v>3</v>
      </c>
      <c r="BN48" s="468">
        <f t="shared" si="48"/>
        <v>4</v>
      </c>
      <c r="BO48" s="468">
        <f t="shared" si="49"/>
        <v>3</v>
      </c>
      <c r="BP48" s="467">
        <f t="shared" ca="1" si="26"/>
        <v>44076</v>
      </c>
      <c r="BQ48" s="475">
        <f t="shared" ca="1" si="60"/>
        <v>36</v>
      </c>
      <c r="BR48" s="475" t="str">
        <f t="shared" si="50"/>
        <v/>
      </c>
      <c r="BS48" s="471" t="str">
        <f t="shared" si="27"/>
        <v/>
      </c>
      <c r="BT48" s="472" t="str">
        <f t="shared" si="64"/>
        <v/>
      </c>
      <c r="BU48" s="472">
        <f t="shared" ca="1" si="28"/>
        <v>0</v>
      </c>
      <c r="BV48" s="472">
        <f t="shared" ca="1" si="28"/>
        <v>0</v>
      </c>
      <c r="BW48" s="472"/>
      <c r="BX48" s="473">
        <f t="shared" ca="1" si="29"/>
        <v>0</v>
      </c>
      <c r="BY48" s="473">
        <f t="shared" si="30"/>
        <v>0</v>
      </c>
      <c r="BZ48" s="473">
        <f t="shared" ca="1" si="4"/>
        <v>0</v>
      </c>
      <c r="CA48" s="476">
        <f t="shared" ca="1" si="31"/>
        <v>0</v>
      </c>
      <c r="CB48" s="494">
        <f ca="1">IF(OR($Q47&lt;&gt;1,OP!$D$5+$BN48-1&lt;16,$BN48-1&lt;1),0,ROUND(ROUND(ROUND(((VLOOKUP($BN48-1,MORE_PV,5,0)/10000)*VLOOKUP($BN48,MORE_PV,$CB$5,0)),3)*VLOOKUP($BN48,more1,5,0),0)/$R47,0))</f>
        <v>0</v>
      </c>
      <c r="CC48" s="473">
        <f t="shared" ca="1" si="32"/>
        <v>0</v>
      </c>
      <c r="CD48" s="477"/>
      <c r="CE48" s="468">
        <f t="shared" si="51"/>
        <v>4</v>
      </c>
      <c r="CF48" s="468">
        <f t="shared" si="52"/>
        <v>3</v>
      </c>
      <c r="CG48" s="467">
        <f t="shared" ca="1" si="5"/>
        <v>44076</v>
      </c>
      <c r="CH48" s="475">
        <f t="shared" ca="1" si="61"/>
        <v>36</v>
      </c>
      <c r="CI48" s="513" t="str">
        <f t="shared" si="53"/>
        <v/>
      </c>
      <c r="CJ48" s="511">
        <f t="shared" si="33"/>
        <v>0</v>
      </c>
      <c r="CK48" s="512">
        <f t="shared" si="34"/>
        <v>0</v>
      </c>
      <c r="CL48" s="511">
        <f t="shared" ca="1" si="54"/>
        <v>0</v>
      </c>
      <c r="CM48" s="511">
        <f ca="1">ROUND(CS48-IF(OR($CE48&gt;=OP!$C$24,AND(CH48=15,CF48=12),CS48=0),0,(CT48-CR48)),$CM$7)</f>
        <v>0</v>
      </c>
      <c r="CN48" s="511"/>
      <c r="CO48" s="351">
        <f t="shared" ca="1" si="35"/>
        <v>5966</v>
      </c>
      <c r="CP48" s="473">
        <f t="shared" si="36"/>
        <v>0</v>
      </c>
      <c r="CQ48" s="473">
        <f t="shared" ca="1" si="6"/>
        <v>13.190580797000001</v>
      </c>
      <c r="CR48" s="476">
        <f t="shared" ca="1" si="37"/>
        <v>0</v>
      </c>
      <c r="CS48" s="494">
        <f ca="1">IF(OR($Q47&lt;&gt;1,OP!$D$5+$CE48-1&lt;16,$CE48-1&lt;1),0,ROUND(ROUND(ROUND(((VLOOKUP($CE48-1,MORE_PV,5,0)/10000)*VLOOKUP($CE48,MORE_PV,$CS$5,0)),3)*VLOOKUP($CE48,more1,5,0),0)/$R47,0))</f>
        <v>0</v>
      </c>
      <c r="CT48" s="473">
        <f>IF($AW48=1,IF(N($CR48+$CS48)&lt;N($AX48)*OP!$C$50,N($CR48+$CS48),MIN(N($CR48+$CS48),N($AX48))),0)</f>
        <v>0</v>
      </c>
      <c r="CV48" s="503">
        <f t="shared" ca="1" si="38"/>
        <v>5966.3377211589996</v>
      </c>
      <c r="CW48" s="503">
        <f t="shared" ca="1" si="39"/>
        <v>0</v>
      </c>
      <c r="CX48" s="503">
        <f t="shared" ca="1" si="40"/>
        <v>5979.088398199</v>
      </c>
    </row>
    <row r="49" spans="1:102" ht="16.5" hidden="1">
      <c r="A49" s="450">
        <f ca="1">OP!$D$5+$B49-1</f>
        <v>71</v>
      </c>
      <c r="B49" s="192">
        <v>39</v>
      </c>
      <c r="C49" s="219">
        <f ca="1">ROUND(VLOOKUP(OP!$C$55,PV0,B49+2,0)*OP!$C$28,0)</f>
        <v>1955408</v>
      </c>
      <c r="D49" s="189">
        <f t="shared" ca="1" si="65"/>
        <v>1955408</v>
      </c>
      <c r="E49" s="221">
        <f t="shared" ca="1" si="66"/>
        <v>2.69E-2</v>
      </c>
      <c r="F49" s="222">
        <f t="shared" ca="1" si="67"/>
        <v>6.8999999999999999E-3</v>
      </c>
      <c r="G49" s="223">
        <f t="shared" ca="1" si="68"/>
        <v>511645</v>
      </c>
      <c r="H49" s="224">
        <f t="shared" ca="1" si="56"/>
        <v>13810</v>
      </c>
      <c r="I49" s="450">
        <f t="shared" ca="1" si="57"/>
        <v>1</v>
      </c>
      <c r="J49" s="192">
        <f t="shared" si="7"/>
        <v>4</v>
      </c>
      <c r="K49" s="192">
        <f t="shared" si="8"/>
        <v>5</v>
      </c>
      <c r="L49" s="192" t="str">
        <f t="shared" si="0"/>
        <v/>
      </c>
      <c r="M49" s="216">
        <f t="shared" ca="1" si="9"/>
        <v>0</v>
      </c>
      <c r="N49" s="216"/>
      <c r="O49" s="216"/>
      <c r="P49" s="216"/>
      <c r="Q49" s="456" t="str">
        <f t="shared" ca="1" si="10"/>
        <v/>
      </c>
      <c r="R49" s="450">
        <f t="shared" ca="1" si="11"/>
        <v>1</v>
      </c>
      <c r="S49" s="191">
        <f t="shared" si="12"/>
        <v>4</v>
      </c>
      <c r="T49" s="191">
        <f t="shared" si="13"/>
        <v>5</v>
      </c>
      <c r="U49" s="191">
        <f ca="1">OP!$D$5+$S49-1</f>
        <v>36</v>
      </c>
      <c r="V49" s="191" t="str">
        <f t="shared" si="14"/>
        <v/>
      </c>
      <c r="W49" s="350">
        <f ca="1">IF(Q49&lt;&gt;1,0,VLOOKUP(OP!$C$55,PVFB,$S49+2,0))</f>
        <v>0</v>
      </c>
      <c r="X49" s="473">
        <f t="shared" ca="1" si="44"/>
        <v>0</v>
      </c>
      <c r="Y49" s="348">
        <f t="shared" ca="1" si="45"/>
        <v>0</v>
      </c>
      <c r="Z49" s="348">
        <f t="shared" ca="1" si="46"/>
        <v>2101</v>
      </c>
      <c r="AA49" s="348">
        <f ca="1">IF(Q49&lt;&gt;1,0,VLOOKUP(OP!$C$55,PVFB,$S49+2,0))</f>
        <v>0</v>
      </c>
      <c r="AB49" s="488" t="str">
        <f ca="1">IF(AND(S49&lt;OP!$C$24,$U49&lt;15),0,IF(AND($U49&lt;15,$T49=12),ROUND(VLOOKUP($S49,DOWN16,5,0),3),IF($T49=12,ROUND(($Z49/10000)*$AA49,3)+IF(AND($P$7="購買增額繳清保險",T49=12,U49=110),VLOOKUP(S49,$B$10:$H$121,7,0),0),"")))</f>
        <v/>
      </c>
      <c r="AC49" s="350" t="str">
        <f ca="1">IF(AND(S49&lt;OP!$C$24,$U49&lt;15),0,IF(AND($U49&lt;16,$T49=12),VLOOKUP($S49,DOWN16,4,0),IF($T49=12,ROUND(VLOOKUP(OP!$C$55,_DIE2,$S49+1,0)*(Z49/10000),0)+IF(AND($P$7="購買增額繳清保險",T49=12,U49=110),VLOOKUP(S49,$B$10:$H$121,7,0),0),"")))</f>
        <v/>
      </c>
      <c r="AD49" s="347"/>
      <c r="AE49" s="350" t="str">
        <f t="shared" ca="1" si="1"/>
        <v/>
      </c>
      <c r="AF49" s="351" t="str">
        <f t="shared" ca="1" si="2"/>
        <v/>
      </c>
      <c r="AG49" s="340"/>
      <c r="AH49" s="340"/>
      <c r="AI49" s="340"/>
      <c r="AJ49" s="340"/>
      <c r="AK49" s="340"/>
      <c r="AL49" s="340"/>
      <c r="AM49" s="340"/>
      <c r="AN49" s="191">
        <f t="shared" si="15"/>
        <v>4</v>
      </c>
      <c r="AO49" s="191">
        <f t="shared" si="16"/>
        <v>5</v>
      </c>
      <c r="AP49" s="191">
        <f ca="1">OP!$D$5+$AN49-1</f>
        <v>36</v>
      </c>
      <c r="AQ49" s="191" t="str">
        <f t="shared" si="17"/>
        <v/>
      </c>
      <c r="AR49" s="352">
        <f t="shared" ca="1" si="18"/>
        <v>0</v>
      </c>
      <c r="AS49" s="352"/>
      <c r="AT49" s="352"/>
      <c r="AU49" s="436"/>
      <c r="AV49" s="353" t="str">
        <f t="shared" ca="1" si="19"/>
        <v/>
      </c>
      <c r="AW49" s="422" t="str">
        <f t="shared" si="20"/>
        <v/>
      </c>
      <c r="AX49" s="423" t="str">
        <f ca="1">IF(AND($AW49=1,$AP49&lt;16,$AN48&lt;OP!$C$24),OP!$C$49,"")</f>
        <v/>
      </c>
      <c r="AY49" s="340"/>
      <c r="AZ49" s="465">
        <f t="shared" ca="1" si="21"/>
        <v>7.3698599999999999E-5</v>
      </c>
      <c r="BA49" s="464">
        <f t="shared" ca="1" si="22"/>
        <v>2.2109589000000002E-3</v>
      </c>
      <c r="BB49" s="465">
        <f t="shared" ca="1" si="22"/>
        <v>2.2846575E-3</v>
      </c>
      <c r="BC49" s="466">
        <f t="shared" ca="1" si="23"/>
        <v>44105</v>
      </c>
      <c r="BD49" s="467">
        <f t="shared" ca="1" si="47"/>
        <v>44106</v>
      </c>
      <c r="BE49" s="467">
        <f t="shared" ca="1" si="24"/>
        <v>44135</v>
      </c>
      <c r="BF49" s="468">
        <f ca="1">IF(計算!$BC49&lt;OP!$C$3,0,BD49-BC49)</f>
        <v>1</v>
      </c>
      <c r="BG49" s="468">
        <f ca="1">IF($BE49&gt;DATE(YEAR($BD$9)+OP!$C$57,MONTH($BD$9),DAY($BD$9)),0,$BE49-$BD49+1)</f>
        <v>30</v>
      </c>
      <c r="BH49" s="469">
        <f t="shared" ca="1" si="25"/>
        <v>31</v>
      </c>
      <c r="BI49" t="str">
        <f t="shared" si="63"/>
        <v/>
      </c>
      <c r="BJ49">
        <v>4</v>
      </c>
      <c r="BN49" s="468">
        <f t="shared" si="48"/>
        <v>4</v>
      </c>
      <c r="BO49" s="468">
        <f t="shared" si="49"/>
        <v>4</v>
      </c>
      <c r="BP49" s="467">
        <f t="shared" ca="1" si="26"/>
        <v>44106</v>
      </c>
      <c r="BQ49" s="475">
        <f t="shared" ca="1" si="60"/>
        <v>36</v>
      </c>
      <c r="BR49" s="475" t="str">
        <f t="shared" si="50"/>
        <v/>
      </c>
      <c r="BS49" s="471" t="str">
        <f t="shared" si="27"/>
        <v/>
      </c>
      <c r="BT49" s="472" t="str">
        <f t="shared" si="64"/>
        <v/>
      </c>
      <c r="BU49" s="472">
        <f t="shared" ca="1" si="28"/>
        <v>0</v>
      </c>
      <c r="BV49" s="472">
        <f t="shared" ca="1" si="28"/>
        <v>0</v>
      </c>
      <c r="BW49" s="472"/>
      <c r="BX49" s="473">
        <f t="shared" ca="1" si="29"/>
        <v>0</v>
      </c>
      <c r="BY49" s="473">
        <f t="shared" si="30"/>
        <v>0</v>
      </c>
      <c r="BZ49" s="473">
        <f t="shared" ca="1" si="4"/>
        <v>0</v>
      </c>
      <c r="CA49" s="476">
        <f t="shared" ca="1" si="31"/>
        <v>0</v>
      </c>
      <c r="CB49" s="494">
        <f ca="1">IF(OR($Q48&lt;&gt;1,OP!$D$5+$BN49-1&lt;16,$BN49-1&lt;1),0,ROUND(ROUND(ROUND(((VLOOKUP($BN49-1,MORE_PV,5,0)/10000)*VLOOKUP($BN49,MORE_PV,$CB$5,0)),3)*VLOOKUP($BN49,more1,5,0),0)/$R48,0))</f>
        <v>0</v>
      </c>
      <c r="CC49" s="473">
        <f t="shared" ca="1" si="32"/>
        <v>0</v>
      </c>
      <c r="CD49" s="477"/>
      <c r="CE49" s="468">
        <f t="shared" si="51"/>
        <v>4</v>
      </c>
      <c r="CF49" s="468">
        <f t="shared" si="52"/>
        <v>4</v>
      </c>
      <c r="CG49" s="467">
        <f t="shared" ca="1" si="5"/>
        <v>44106</v>
      </c>
      <c r="CH49" s="475">
        <f t="shared" ca="1" si="61"/>
        <v>36</v>
      </c>
      <c r="CI49" s="513" t="str">
        <f t="shared" si="53"/>
        <v/>
      </c>
      <c r="CJ49" s="511">
        <f t="shared" si="33"/>
        <v>0</v>
      </c>
      <c r="CK49" s="512">
        <f t="shared" si="34"/>
        <v>0</v>
      </c>
      <c r="CL49" s="511">
        <f t="shared" ca="1" si="54"/>
        <v>0</v>
      </c>
      <c r="CM49" s="511">
        <f ca="1">ROUND(CS49-IF(OR($CE49&gt;=OP!$C$24,AND(CH49=15,CF49=12),CS49=0),0,(CT49-CR49)),$CM$7)</f>
        <v>0</v>
      </c>
      <c r="CN49" s="511"/>
      <c r="CO49" s="351">
        <f t="shared" ca="1" si="35"/>
        <v>5980</v>
      </c>
      <c r="CP49" s="473">
        <f t="shared" si="36"/>
        <v>0</v>
      </c>
      <c r="CQ49" s="473">
        <f t="shared" ca="1" si="6"/>
        <v>13.662251850000001</v>
      </c>
      <c r="CR49" s="476">
        <f t="shared" ca="1" si="37"/>
        <v>0</v>
      </c>
      <c r="CS49" s="494">
        <f ca="1">IF(OR($Q48&lt;&gt;1,OP!$D$5+$CE49-1&lt;16,$CE49-1&lt;1),0,ROUND(ROUND(ROUND(((VLOOKUP($CE49-1,MORE_PV,5,0)/10000)*VLOOKUP($CE49,MORE_PV,$CS$5,0)),3)*VLOOKUP($CE49,more1,5,0),0)/$R48,0))</f>
        <v>0</v>
      </c>
      <c r="CT49" s="473">
        <f>IF($AW49=1,IF(N($CR49+$CS49)&lt;N($AX49)*OP!$C$50,N($CR49+$CS49),MIN(N($CR49+$CS49),N($AX49))),0)</f>
        <v>0</v>
      </c>
      <c r="CV49" s="503">
        <f t="shared" ca="1" si="38"/>
        <v>5979.5290486430004</v>
      </c>
      <c r="CW49" s="503">
        <f t="shared" ca="1" si="39"/>
        <v>0</v>
      </c>
      <c r="CX49" s="503">
        <f t="shared" ca="1" si="40"/>
        <v>5992.748567351</v>
      </c>
    </row>
    <row r="50" spans="1:102" ht="16.5" hidden="1">
      <c r="A50" s="450">
        <f ca="1">OP!$D$5+$B50-1</f>
        <v>72</v>
      </c>
      <c r="B50" s="192">
        <v>40</v>
      </c>
      <c r="C50" s="219">
        <f ca="1">ROUND(VLOOKUP(OP!$C$55,PV0,B50+2,0)*OP!$C$28,0)</f>
        <v>1994508</v>
      </c>
      <c r="D50" s="189">
        <f t="shared" ca="1" si="65"/>
        <v>1994508</v>
      </c>
      <c r="E50" s="221">
        <f t="shared" ca="1" si="66"/>
        <v>2.69E-2</v>
      </c>
      <c r="F50" s="222">
        <f t="shared" ca="1" si="67"/>
        <v>6.8999999999999999E-3</v>
      </c>
      <c r="G50" s="223">
        <f t="shared" ca="1" si="68"/>
        <v>539665</v>
      </c>
      <c r="H50" s="224">
        <f t="shared" ca="1" si="56"/>
        <v>14086</v>
      </c>
      <c r="I50" s="450">
        <f t="shared" ca="1" si="57"/>
        <v>1</v>
      </c>
      <c r="J50" s="192">
        <f t="shared" si="7"/>
        <v>4</v>
      </c>
      <c r="K50" s="192">
        <f t="shared" si="8"/>
        <v>6</v>
      </c>
      <c r="L50" s="192" t="str">
        <f t="shared" si="0"/>
        <v/>
      </c>
      <c r="M50" s="216">
        <f t="shared" ca="1" si="9"/>
        <v>0</v>
      </c>
      <c r="N50" s="216"/>
      <c r="O50" s="216"/>
      <c r="P50" s="216"/>
      <c r="Q50" s="456" t="str">
        <f t="shared" ca="1" si="10"/>
        <v/>
      </c>
      <c r="R50" s="450">
        <f t="shared" ca="1" si="11"/>
        <v>1</v>
      </c>
      <c r="S50" s="191">
        <f t="shared" si="12"/>
        <v>4</v>
      </c>
      <c r="T50" s="191">
        <f t="shared" si="13"/>
        <v>6</v>
      </c>
      <c r="U50" s="191">
        <f ca="1">OP!$D$5+$S50-1</f>
        <v>36</v>
      </c>
      <c r="V50" s="191" t="str">
        <f t="shared" si="14"/>
        <v/>
      </c>
      <c r="W50" s="350">
        <f ca="1">IF(Q50&lt;&gt;1,0,VLOOKUP(OP!$C$55,PVFB,$S50+2,0))</f>
        <v>0</v>
      </c>
      <c r="X50" s="473">
        <f t="shared" ca="1" si="44"/>
        <v>0</v>
      </c>
      <c r="Y50" s="348">
        <f t="shared" ca="1" si="45"/>
        <v>0</v>
      </c>
      <c r="Z50" s="348">
        <f t="shared" ca="1" si="46"/>
        <v>2101</v>
      </c>
      <c r="AA50" s="348">
        <f ca="1">IF(Q50&lt;&gt;1,0,VLOOKUP(OP!$C$55,PVFB,$S50+2,0))</f>
        <v>0</v>
      </c>
      <c r="AB50" s="488" t="str">
        <f ca="1">IF(AND(S50&lt;OP!$C$24,$U50&lt;15),0,IF(AND($U50&lt;15,$T50=12),ROUND(VLOOKUP($S50,DOWN16,5,0),3),IF($T50=12,ROUND(($Z50/10000)*$AA50,3)+IF(AND($P$7="購買增額繳清保險",T50=12,U50=110),VLOOKUP(S50,$B$10:$H$121,7,0),0),"")))</f>
        <v/>
      </c>
      <c r="AC50" s="350" t="str">
        <f ca="1">IF(AND(S50&lt;OP!$C$24,$U50&lt;15),0,IF(AND($U50&lt;16,$T50=12),VLOOKUP($S50,DOWN16,4,0),IF($T50=12,ROUND(VLOOKUP(OP!$C$55,_DIE2,$S50+1,0)*(Z50/10000),0)+IF(AND($P$7="購買增額繳清保險",T50=12,U50=110),VLOOKUP(S50,$B$10:$H$121,7,0),0),"")))</f>
        <v/>
      </c>
      <c r="AD50" s="347"/>
      <c r="AE50" s="350" t="str">
        <f t="shared" ca="1" si="1"/>
        <v/>
      </c>
      <c r="AF50" s="351" t="str">
        <f t="shared" ca="1" si="2"/>
        <v/>
      </c>
      <c r="AG50" s="340"/>
      <c r="AH50" s="340"/>
      <c r="AI50" s="340"/>
      <c r="AJ50" s="340"/>
      <c r="AK50" s="340"/>
      <c r="AL50" s="340"/>
      <c r="AM50" s="340"/>
      <c r="AN50" s="191">
        <f t="shared" si="15"/>
        <v>4</v>
      </c>
      <c r="AO50" s="191">
        <f t="shared" si="16"/>
        <v>6</v>
      </c>
      <c r="AP50" s="191">
        <f ca="1">OP!$D$5+$AN50-1</f>
        <v>36</v>
      </c>
      <c r="AQ50" s="191" t="str">
        <f t="shared" si="17"/>
        <v/>
      </c>
      <c r="AR50" s="352">
        <f t="shared" ca="1" si="18"/>
        <v>0</v>
      </c>
      <c r="AS50" s="352"/>
      <c r="AT50" s="352"/>
      <c r="AU50" s="436"/>
      <c r="AV50" s="353" t="str">
        <f t="shared" ca="1" si="19"/>
        <v/>
      </c>
      <c r="AW50" s="422" t="str">
        <f t="shared" si="20"/>
        <v/>
      </c>
      <c r="AX50" s="423" t="str">
        <f ca="1">IF(AND($AW50=1,$AP50&lt;16,$AN49&lt;OP!$C$24),OP!$C$49,"")</f>
        <v/>
      </c>
      <c r="AY50" s="340"/>
      <c r="AZ50" s="465">
        <f t="shared" ca="1" si="21"/>
        <v>7.3698599999999999E-5</v>
      </c>
      <c r="BA50" s="464">
        <f t="shared" ca="1" si="22"/>
        <v>2.1372602999999999E-3</v>
      </c>
      <c r="BB50" s="465">
        <f t="shared" ca="1" si="22"/>
        <v>2.2109589000000002E-3</v>
      </c>
      <c r="BC50" s="466">
        <f t="shared" ca="1" si="23"/>
        <v>44136</v>
      </c>
      <c r="BD50" s="467">
        <f t="shared" ca="1" si="47"/>
        <v>44137</v>
      </c>
      <c r="BE50" s="467">
        <f t="shared" ca="1" si="24"/>
        <v>44165</v>
      </c>
      <c r="BF50" s="468">
        <f ca="1">IF(計算!$BC50&lt;OP!$C$3,0,BD50-BC50)</f>
        <v>1</v>
      </c>
      <c r="BG50" s="468">
        <f ca="1">IF($BE50&gt;DATE(YEAR($BD$9)+OP!$C$57,MONTH($BD$9),DAY($BD$9)),0,$BE50-$BD50+1)</f>
        <v>29</v>
      </c>
      <c r="BH50" s="469">
        <f t="shared" ca="1" si="25"/>
        <v>30</v>
      </c>
      <c r="BI50" t="str">
        <f t="shared" si="63"/>
        <v/>
      </c>
      <c r="BJ50">
        <v>5</v>
      </c>
      <c r="BN50" s="468">
        <f t="shared" si="48"/>
        <v>4</v>
      </c>
      <c r="BO50" s="468">
        <f t="shared" si="49"/>
        <v>5</v>
      </c>
      <c r="BP50" s="467">
        <f t="shared" ca="1" si="26"/>
        <v>44137</v>
      </c>
      <c r="BQ50" s="475">
        <f t="shared" ca="1" si="60"/>
        <v>36</v>
      </c>
      <c r="BR50" s="475" t="str">
        <f t="shared" si="50"/>
        <v/>
      </c>
      <c r="BS50" s="471" t="str">
        <f t="shared" si="27"/>
        <v/>
      </c>
      <c r="BT50" s="472" t="str">
        <f t="shared" si="64"/>
        <v/>
      </c>
      <c r="BU50" s="472">
        <f t="shared" ca="1" si="28"/>
        <v>0</v>
      </c>
      <c r="BV50" s="472">
        <f t="shared" ca="1" si="28"/>
        <v>0</v>
      </c>
      <c r="BW50" s="472"/>
      <c r="BX50" s="473">
        <f t="shared" ca="1" si="29"/>
        <v>0</v>
      </c>
      <c r="BY50" s="473">
        <f t="shared" si="30"/>
        <v>0</v>
      </c>
      <c r="BZ50" s="473">
        <f t="shared" ca="1" si="4"/>
        <v>0</v>
      </c>
      <c r="CA50" s="476">
        <f t="shared" ca="1" si="31"/>
        <v>0</v>
      </c>
      <c r="CB50" s="494">
        <f ca="1">IF(OR($Q49&lt;&gt;1,OP!$D$5+$BN50-1&lt;16,$BN50-1&lt;1),0,ROUND(ROUND(ROUND(((VLOOKUP($BN50-1,MORE_PV,5,0)/10000)*VLOOKUP($BN50,MORE_PV,$CB$5,0)),3)*VLOOKUP($BN50,more1,5,0),0)/$R49,0))</f>
        <v>0</v>
      </c>
      <c r="CC50" s="473">
        <f t="shared" ca="1" si="32"/>
        <v>0</v>
      </c>
      <c r="CD50" s="477"/>
      <c r="CE50" s="468">
        <f t="shared" si="51"/>
        <v>4</v>
      </c>
      <c r="CF50" s="468">
        <f t="shared" si="52"/>
        <v>5</v>
      </c>
      <c r="CG50" s="467">
        <f t="shared" ca="1" si="5"/>
        <v>44137</v>
      </c>
      <c r="CH50" s="475">
        <f t="shared" ca="1" si="61"/>
        <v>36</v>
      </c>
      <c r="CI50" s="513" t="str">
        <f t="shared" si="53"/>
        <v/>
      </c>
      <c r="CJ50" s="511">
        <f t="shared" si="33"/>
        <v>0</v>
      </c>
      <c r="CK50" s="512">
        <f t="shared" si="34"/>
        <v>0</v>
      </c>
      <c r="CL50" s="511">
        <f t="shared" ca="1" si="54"/>
        <v>0</v>
      </c>
      <c r="CM50" s="511">
        <f ca="1">ROUND(CS50-IF(OR($CE50&gt;=OP!$C$24,AND(CH50=15,CF50=12),CS50=0),0,(CT50-CR50)),$CM$7)</f>
        <v>0</v>
      </c>
      <c r="CN50" s="511"/>
      <c r="CO50" s="351">
        <f t="shared" ca="1" si="35"/>
        <v>5993</v>
      </c>
      <c r="CP50" s="473">
        <f t="shared" si="36"/>
        <v>0</v>
      </c>
      <c r="CQ50" s="473">
        <f t="shared" ca="1" si="6"/>
        <v>13.250276688</v>
      </c>
      <c r="CR50" s="476">
        <f t="shared" ca="1" si="37"/>
        <v>0</v>
      </c>
      <c r="CS50" s="494">
        <f ca="1">IF(OR($Q49&lt;&gt;1,OP!$D$5+$CE50-1&lt;16,$CE50-1&lt;1),0,ROUND(ROUND(ROUND(((VLOOKUP($CE50-1,MORE_PV,5,0)/10000)*VLOOKUP($CE50,MORE_PV,$CS$5,0)),3)*VLOOKUP($CE50,more1,5,0),0)/$R49,0))</f>
        <v>0</v>
      </c>
      <c r="CT50" s="473">
        <f>IF($AW50=1,IF(N($CR50+$CS50)&lt;N($AX50)*OP!$C$50,N($CR50+$CS50),MIN(N($CR50+$CS50),N($AX50))),0)</f>
        <v>0</v>
      </c>
      <c r="CV50" s="503">
        <f t="shared" ca="1" si="38"/>
        <v>5993.1902245310002</v>
      </c>
      <c r="CW50" s="503">
        <f t="shared" ca="1" si="39"/>
        <v>0</v>
      </c>
      <c r="CX50" s="503">
        <f t="shared" ca="1" si="40"/>
        <v>6005.9982881309998</v>
      </c>
    </row>
    <row r="51" spans="1:102" ht="16.5" hidden="1">
      <c r="A51" s="450">
        <f ca="1">OP!$D$5+$B51-1</f>
        <v>73</v>
      </c>
      <c r="B51" s="192">
        <v>41</v>
      </c>
      <c r="C51" s="219">
        <f ca="1">ROUND(VLOOKUP(OP!$C$55,PV0,B51+2,0)*OP!$C$28,0)</f>
        <v>2034390</v>
      </c>
      <c r="D51" s="189">
        <f t="shared" ca="1" si="65"/>
        <v>2034390</v>
      </c>
      <c r="E51" s="221">
        <f t="shared" ca="1" si="66"/>
        <v>2.69E-2</v>
      </c>
      <c r="F51" s="222">
        <f t="shared" ca="1" si="67"/>
        <v>6.8999999999999999E-3</v>
      </c>
      <c r="G51" s="223">
        <f t="shared" ca="1" si="68"/>
        <v>568730</v>
      </c>
      <c r="H51" s="224">
        <f t="shared" ca="1" si="56"/>
        <v>14368</v>
      </c>
      <c r="I51" s="450">
        <f t="shared" ca="1" si="57"/>
        <v>1</v>
      </c>
      <c r="J51" s="192">
        <f t="shared" si="7"/>
        <v>4</v>
      </c>
      <c r="K51" s="192">
        <f t="shared" si="8"/>
        <v>7</v>
      </c>
      <c r="L51" s="192" t="str">
        <f t="shared" si="0"/>
        <v/>
      </c>
      <c r="M51" s="216">
        <f t="shared" ca="1" si="9"/>
        <v>0</v>
      </c>
      <c r="N51" s="216"/>
      <c r="O51" s="216"/>
      <c r="P51" s="216"/>
      <c r="Q51" s="456" t="str">
        <f t="shared" ca="1" si="10"/>
        <v/>
      </c>
      <c r="R51" s="450">
        <f t="shared" ca="1" si="11"/>
        <v>1</v>
      </c>
      <c r="S51" s="191">
        <f t="shared" si="12"/>
        <v>4</v>
      </c>
      <c r="T51" s="191">
        <f t="shared" si="13"/>
        <v>7</v>
      </c>
      <c r="U51" s="191">
        <f ca="1">OP!$D$5+$S51-1</f>
        <v>36</v>
      </c>
      <c r="V51" s="191" t="str">
        <f t="shared" si="14"/>
        <v/>
      </c>
      <c r="W51" s="350">
        <f ca="1">IF(Q51&lt;&gt;1,0,VLOOKUP(OP!$C$55,PVFB,$S51+2,0))</f>
        <v>0</v>
      </c>
      <c r="X51" s="473">
        <f t="shared" ca="1" si="44"/>
        <v>0</v>
      </c>
      <c r="Y51" s="348">
        <f t="shared" ca="1" si="45"/>
        <v>0</v>
      </c>
      <c r="Z51" s="348">
        <f t="shared" ca="1" si="46"/>
        <v>2101</v>
      </c>
      <c r="AA51" s="348">
        <f ca="1">IF(Q51&lt;&gt;1,0,VLOOKUP(OP!$C$55,PVFB,$S51+2,0))</f>
        <v>0</v>
      </c>
      <c r="AB51" s="488" t="str">
        <f ca="1">IF(AND(S51&lt;OP!$C$24,$U51&lt;15),0,IF(AND($U51&lt;15,$T51=12),ROUND(VLOOKUP($S51,DOWN16,5,0),3),IF($T51=12,ROUND(($Z51/10000)*$AA51,3)+IF(AND($P$7="購買增額繳清保險",T51=12,U51=110),VLOOKUP(S51,$B$10:$H$121,7,0),0),"")))</f>
        <v/>
      </c>
      <c r="AC51" s="350" t="str">
        <f ca="1">IF(AND(S51&lt;OP!$C$24,$U51&lt;15),0,IF(AND($U51&lt;16,$T51=12),VLOOKUP($S51,DOWN16,4,0),IF($T51=12,ROUND(VLOOKUP(OP!$C$55,_DIE2,$S51+1,0)*(Z51/10000),0)+IF(AND($P$7="購買增額繳清保險",T51=12,U51=110),VLOOKUP(S51,$B$10:$H$121,7,0),0),"")))</f>
        <v/>
      </c>
      <c r="AD51" s="347"/>
      <c r="AE51" s="350" t="str">
        <f t="shared" ca="1" si="1"/>
        <v/>
      </c>
      <c r="AF51" s="351" t="str">
        <f t="shared" ca="1" si="2"/>
        <v/>
      </c>
      <c r="AG51" s="340"/>
      <c r="AH51" s="340"/>
      <c r="AI51" s="340"/>
      <c r="AJ51" s="340"/>
      <c r="AK51" s="340"/>
      <c r="AL51" s="340"/>
      <c r="AM51" s="340"/>
      <c r="AN51" s="191">
        <f t="shared" si="15"/>
        <v>4</v>
      </c>
      <c r="AO51" s="191">
        <f t="shared" si="16"/>
        <v>7</v>
      </c>
      <c r="AP51" s="191">
        <f ca="1">OP!$D$5+$AN51-1</f>
        <v>36</v>
      </c>
      <c r="AQ51" s="191" t="str">
        <f t="shared" si="17"/>
        <v/>
      </c>
      <c r="AR51" s="352">
        <f t="shared" ca="1" si="18"/>
        <v>0</v>
      </c>
      <c r="AS51" s="352"/>
      <c r="AT51" s="352"/>
      <c r="AU51" s="436"/>
      <c r="AV51" s="353" t="str">
        <f t="shared" ca="1" si="19"/>
        <v/>
      </c>
      <c r="AW51" s="422" t="str">
        <f t="shared" si="20"/>
        <v/>
      </c>
      <c r="AX51" s="423" t="str">
        <f ca="1">IF(AND($AW51=1,$AP51&lt;16,$AN50&lt;OP!$C$24),OP!$C$49,"")</f>
        <v/>
      </c>
      <c r="AY51" s="340"/>
      <c r="AZ51" s="465">
        <f t="shared" ca="1" si="21"/>
        <v>7.3698599999999999E-5</v>
      </c>
      <c r="BA51" s="464">
        <f t="shared" ca="1" si="22"/>
        <v>2.2109589000000002E-3</v>
      </c>
      <c r="BB51" s="465">
        <f t="shared" ca="1" si="22"/>
        <v>2.2846575E-3</v>
      </c>
      <c r="BC51" s="466">
        <f t="shared" ca="1" si="23"/>
        <v>44166</v>
      </c>
      <c r="BD51" s="467">
        <f t="shared" ca="1" si="47"/>
        <v>44167</v>
      </c>
      <c r="BE51" s="467">
        <f t="shared" ca="1" si="24"/>
        <v>44196</v>
      </c>
      <c r="BF51" s="468">
        <f ca="1">IF(計算!$BC51&lt;OP!$C$3,0,BD51-BC51)</f>
        <v>1</v>
      </c>
      <c r="BG51" s="468">
        <f ca="1">IF($BE51&gt;DATE(YEAR($BD$9)+OP!$C$57,MONTH($BD$9),DAY($BD$9)),0,$BE51-$BD51+1)</f>
        <v>30</v>
      </c>
      <c r="BH51" s="469">
        <f t="shared" ca="1" si="25"/>
        <v>31</v>
      </c>
      <c r="BI51" t="str">
        <f t="shared" si="63"/>
        <v/>
      </c>
      <c r="BJ51">
        <v>6</v>
      </c>
      <c r="BN51" s="468">
        <f t="shared" si="48"/>
        <v>4</v>
      </c>
      <c r="BO51" s="468">
        <f t="shared" si="49"/>
        <v>6</v>
      </c>
      <c r="BP51" s="467">
        <f t="shared" ca="1" si="26"/>
        <v>44167</v>
      </c>
      <c r="BQ51" s="475">
        <f t="shared" ca="1" si="60"/>
        <v>36</v>
      </c>
      <c r="BR51" s="475" t="str">
        <f t="shared" si="50"/>
        <v/>
      </c>
      <c r="BS51" s="471" t="str">
        <f t="shared" si="27"/>
        <v/>
      </c>
      <c r="BT51" s="472" t="str">
        <f t="shared" si="64"/>
        <v/>
      </c>
      <c r="BU51" s="472">
        <f t="shared" ca="1" si="28"/>
        <v>0</v>
      </c>
      <c r="BV51" s="472">
        <f t="shared" ca="1" si="28"/>
        <v>0</v>
      </c>
      <c r="BW51" s="472"/>
      <c r="BX51" s="473">
        <f t="shared" ca="1" si="29"/>
        <v>0</v>
      </c>
      <c r="BY51" s="473">
        <f t="shared" si="30"/>
        <v>0</v>
      </c>
      <c r="BZ51" s="473">
        <f t="shared" ca="1" si="4"/>
        <v>0</v>
      </c>
      <c r="CA51" s="476">
        <f t="shared" ca="1" si="31"/>
        <v>0</v>
      </c>
      <c r="CB51" s="494">
        <f ca="1">IF(OR($Q50&lt;&gt;1,OP!$D$5+$BN51-1&lt;16,$BN51-1&lt;1),0,ROUND(ROUND(ROUND(((VLOOKUP($BN51-1,MORE_PV,5,0)/10000)*VLOOKUP($BN51,MORE_PV,$CB$5,0)),3)*VLOOKUP($BN51,more1,5,0),0)/$R50,0))</f>
        <v>0</v>
      </c>
      <c r="CC51" s="473">
        <f t="shared" ca="1" si="32"/>
        <v>0</v>
      </c>
      <c r="CD51" s="477"/>
      <c r="CE51" s="468">
        <f t="shared" si="51"/>
        <v>4</v>
      </c>
      <c r="CF51" s="468">
        <f t="shared" si="52"/>
        <v>6</v>
      </c>
      <c r="CG51" s="467">
        <f t="shared" ca="1" si="5"/>
        <v>44167</v>
      </c>
      <c r="CH51" s="475">
        <f t="shared" ca="1" si="61"/>
        <v>36</v>
      </c>
      <c r="CI51" s="513" t="str">
        <f t="shared" si="53"/>
        <v/>
      </c>
      <c r="CJ51" s="511">
        <f t="shared" si="33"/>
        <v>0</v>
      </c>
      <c r="CK51" s="512">
        <f t="shared" si="34"/>
        <v>0</v>
      </c>
      <c r="CL51" s="511">
        <f t="shared" ca="1" si="54"/>
        <v>0</v>
      </c>
      <c r="CM51" s="511">
        <f ca="1">ROUND(CS51-IF(OR($CE51&gt;=OP!$C$24,AND(CH51=15,CF51=12),CS51=0),0,(CT51-CR51)),$CM$7)</f>
        <v>0</v>
      </c>
      <c r="CN51" s="511"/>
      <c r="CO51" s="351">
        <f t="shared" ca="1" si="35"/>
        <v>6006</v>
      </c>
      <c r="CP51" s="473">
        <f t="shared" si="36"/>
        <v>0</v>
      </c>
      <c r="CQ51" s="473">
        <f t="shared" ca="1" si="6"/>
        <v>13.721652945000001</v>
      </c>
      <c r="CR51" s="476">
        <f t="shared" ca="1" si="37"/>
        <v>0</v>
      </c>
      <c r="CS51" s="494">
        <f ca="1">IF(OR($Q50&lt;&gt;1,OP!$D$5+$CE51-1&lt;16,$CE51-1&lt;1),0,ROUND(ROUND(ROUND(((VLOOKUP($CE51-1,MORE_PV,5,0)/10000)*VLOOKUP($CE51,MORE_PV,$CS$5,0)),3)*VLOOKUP($CE51,more1,5,0),0)/$R50,0))</f>
        <v>0</v>
      </c>
      <c r="CT51" s="473">
        <f>IF($AW51=1,IF(N($CR51+$CS51)&lt;N($AX51)*OP!$C$50,N($CR51+$CS51),MIN(N($CR51+$CS51),N($AX51))),0)</f>
        <v>0</v>
      </c>
      <c r="CV51" s="503">
        <f t="shared" ca="1" si="38"/>
        <v>6006.4409217960001</v>
      </c>
      <c r="CW51" s="503">
        <f t="shared" ca="1" si="39"/>
        <v>0</v>
      </c>
      <c r="CX51" s="503">
        <f t="shared" ca="1" si="40"/>
        <v>6019.7199371650004</v>
      </c>
    </row>
    <row r="52" spans="1:102" ht="16.5" hidden="1">
      <c r="A52" s="450">
        <f ca="1">OP!$D$5+$B52-1</f>
        <v>74</v>
      </c>
      <c r="B52" s="192">
        <v>42</v>
      </c>
      <c r="C52" s="219">
        <f ca="1">ROUND(VLOOKUP(OP!$C$55,PV0,B52+2,0)*OP!$C$28,0)</f>
        <v>2075088</v>
      </c>
      <c r="D52" s="189">
        <f t="shared" ca="1" si="65"/>
        <v>2075088</v>
      </c>
      <c r="E52" s="221">
        <f t="shared" ca="1" si="66"/>
        <v>2.69E-2</v>
      </c>
      <c r="F52" s="222">
        <f t="shared" ca="1" si="67"/>
        <v>6.8999999999999999E-3</v>
      </c>
      <c r="G52" s="223">
        <f t="shared" ca="1" si="68"/>
        <v>598874</v>
      </c>
      <c r="H52" s="224">
        <f t="shared" ca="1" si="56"/>
        <v>14655</v>
      </c>
      <c r="I52" s="450">
        <f t="shared" ca="1" si="57"/>
        <v>1</v>
      </c>
      <c r="J52" s="192">
        <f t="shared" si="7"/>
        <v>4</v>
      </c>
      <c r="K52" s="192">
        <f t="shared" si="8"/>
        <v>8</v>
      </c>
      <c r="L52" s="192" t="str">
        <f t="shared" si="0"/>
        <v/>
      </c>
      <c r="M52" s="216">
        <f t="shared" ca="1" si="9"/>
        <v>0</v>
      </c>
      <c r="N52" s="216"/>
      <c r="O52" s="216"/>
      <c r="P52" s="216"/>
      <c r="Q52" s="456" t="str">
        <f t="shared" ca="1" si="10"/>
        <v/>
      </c>
      <c r="R52" s="450">
        <f t="shared" ca="1" si="11"/>
        <v>1</v>
      </c>
      <c r="S52" s="191">
        <f t="shared" si="12"/>
        <v>4</v>
      </c>
      <c r="T52" s="191">
        <f t="shared" si="13"/>
        <v>8</v>
      </c>
      <c r="U52" s="191">
        <f ca="1">OP!$D$5+$S52-1</f>
        <v>36</v>
      </c>
      <c r="V52" s="191" t="str">
        <f t="shared" si="14"/>
        <v/>
      </c>
      <c r="W52" s="350">
        <f ca="1">IF(Q52&lt;&gt;1,0,VLOOKUP(OP!$C$55,PVFB,$S52+2,0))</f>
        <v>0</v>
      </c>
      <c r="X52" s="473">
        <f t="shared" ca="1" si="44"/>
        <v>0</v>
      </c>
      <c r="Y52" s="348">
        <f t="shared" ca="1" si="45"/>
        <v>0</v>
      </c>
      <c r="Z52" s="348">
        <f t="shared" ca="1" si="46"/>
        <v>2101</v>
      </c>
      <c r="AA52" s="348">
        <f ca="1">IF(Q52&lt;&gt;1,0,VLOOKUP(OP!$C$55,PVFB,$S52+2,0))</f>
        <v>0</v>
      </c>
      <c r="AB52" s="488" t="str">
        <f ca="1">IF(AND(S52&lt;OP!$C$24,$U52&lt;15),0,IF(AND($U52&lt;15,$T52=12),ROUND(VLOOKUP($S52,DOWN16,5,0),3),IF($T52=12,ROUND(($Z52/10000)*$AA52,3)+IF(AND($P$7="購買增額繳清保險",T52=12,U52=110),VLOOKUP(S52,$B$10:$H$121,7,0),0),"")))</f>
        <v/>
      </c>
      <c r="AC52" s="350" t="str">
        <f ca="1">IF(AND(S52&lt;OP!$C$24,$U52&lt;15),0,IF(AND($U52&lt;16,$T52=12),VLOOKUP($S52,DOWN16,4,0),IF($T52=12,ROUND(VLOOKUP(OP!$C$55,_DIE2,$S52+1,0)*(Z52/10000),0)+IF(AND($P$7="購買增額繳清保險",T52=12,U52=110),VLOOKUP(S52,$B$10:$H$121,7,0),0),"")))</f>
        <v/>
      </c>
      <c r="AD52" s="347"/>
      <c r="AE52" s="350" t="str">
        <f t="shared" ca="1" si="1"/>
        <v/>
      </c>
      <c r="AF52" s="351" t="str">
        <f t="shared" ca="1" si="2"/>
        <v/>
      </c>
      <c r="AG52" s="340"/>
      <c r="AH52" s="340"/>
      <c r="AI52" s="340"/>
      <c r="AJ52" s="340"/>
      <c r="AK52" s="340"/>
      <c r="AL52" s="340"/>
      <c r="AM52" s="340"/>
      <c r="AN52" s="191">
        <f t="shared" si="15"/>
        <v>4</v>
      </c>
      <c r="AO52" s="191">
        <f t="shared" si="16"/>
        <v>8</v>
      </c>
      <c r="AP52" s="191">
        <f ca="1">OP!$D$5+$AN52-1</f>
        <v>36</v>
      </c>
      <c r="AQ52" s="191" t="str">
        <f t="shared" si="17"/>
        <v/>
      </c>
      <c r="AR52" s="352">
        <f t="shared" ca="1" si="18"/>
        <v>0</v>
      </c>
      <c r="AS52" s="352"/>
      <c r="AT52" s="352"/>
      <c r="AU52" s="436"/>
      <c r="AV52" s="353" t="str">
        <f t="shared" ca="1" si="19"/>
        <v/>
      </c>
      <c r="AW52" s="422" t="str">
        <f t="shared" si="20"/>
        <v/>
      </c>
      <c r="AX52" s="423" t="str">
        <f ca="1">IF(AND($AW52=1,$AP52&lt;16,$AN51&lt;OP!$C$24),OP!$C$49,"")</f>
        <v/>
      </c>
      <c r="AY52" s="340"/>
      <c r="AZ52" s="465">
        <f t="shared" ca="1" si="21"/>
        <v>7.3698599999999999E-5</v>
      </c>
      <c r="BA52" s="464">
        <f t="shared" ca="1" si="22"/>
        <v>2.2109589000000002E-3</v>
      </c>
      <c r="BB52" s="465">
        <f t="shared" ca="1" si="22"/>
        <v>2.2846575E-3</v>
      </c>
      <c r="BC52" s="466">
        <f t="shared" ca="1" si="23"/>
        <v>44197</v>
      </c>
      <c r="BD52" s="467">
        <f t="shared" ca="1" si="47"/>
        <v>44198</v>
      </c>
      <c r="BE52" s="467">
        <f t="shared" ca="1" si="24"/>
        <v>44227</v>
      </c>
      <c r="BF52" s="468">
        <f ca="1">IF(計算!$BC52&lt;OP!$C$3,0,BD52-BC52)</f>
        <v>1</v>
      </c>
      <c r="BG52" s="468">
        <f ca="1">IF($BE52&gt;DATE(YEAR($BD$9)+OP!$C$57,MONTH($BD$9),DAY($BD$9)),0,$BE52-$BD52+1)</f>
        <v>30</v>
      </c>
      <c r="BH52" s="469">
        <f t="shared" ca="1" si="25"/>
        <v>31</v>
      </c>
      <c r="BI52" t="str">
        <f t="shared" si="63"/>
        <v/>
      </c>
      <c r="BJ52">
        <v>7</v>
      </c>
      <c r="BN52" s="468">
        <f t="shared" si="48"/>
        <v>4</v>
      </c>
      <c r="BO52" s="468">
        <f t="shared" si="49"/>
        <v>7</v>
      </c>
      <c r="BP52" s="467">
        <f t="shared" ca="1" si="26"/>
        <v>44198</v>
      </c>
      <c r="BQ52" s="475">
        <f t="shared" ca="1" si="60"/>
        <v>36</v>
      </c>
      <c r="BR52" s="475" t="str">
        <f t="shared" si="50"/>
        <v/>
      </c>
      <c r="BS52" s="471" t="str">
        <f t="shared" si="27"/>
        <v/>
      </c>
      <c r="BT52" s="472" t="str">
        <f t="shared" si="64"/>
        <v/>
      </c>
      <c r="BU52" s="472">
        <f t="shared" ca="1" si="28"/>
        <v>0</v>
      </c>
      <c r="BV52" s="472">
        <f t="shared" ca="1" si="28"/>
        <v>0</v>
      </c>
      <c r="BW52" s="472"/>
      <c r="BX52" s="473">
        <f t="shared" ca="1" si="29"/>
        <v>0</v>
      </c>
      <c r="BY52" s="473">
        <f t="shared" si="30"/>
        <v>0</v>
      </c>
      <c r="BZ52" s="473">
        <f t="shared" ca="1" si="4"/>
        <v>0</v>
      </c>
      <c r="CA52" s="476">
        <f t="shared" ca="1" si="31"/>
        <v>0</v>
      </c>
      <c r="CB52" s="494">
        <f ca="1">IF(OR($Q51&lt;&gt;1,OP!$D$5+$BN52-1&lt;16,$BN52-1&lt;1),0,ROUND(ROUND(ROUND(((VLOOKUP($BN52-1,MORE_PV,5,0)/10000)*VLOOKUP($BN52,MORE_PV,$CB$5,0)),3)*VLOOKUP($BN52,more1,5,0),0)/$R51,0))</f>
        <v>0</v>
      </c>
      <c r="CC52" s="473">
        <f t="shared" ca="1" si="32"/>
        <v>0</v>
      </c>
      <c r="CD52" s="477"/>
      <c r="CE52" s="468">
        <f t="shared" si="51"/>
        <v>4</v>
      </c>
      <c r="CF52" s="468">
        <f t="shared" si="52"/>
        <v>7</v>
      </c>
      <c r="CG52" s="467">
        <f t="shared" ca="1" si="5"/>
        <v>44198</v>
      </c>
      <c r="CH52" s="475">
        <f t="shared" ca="1" si="61"/>
        <v>36</v>
      </c>
      <c r="CI52" s="513" t="str">
        <f t="shared" si="53"/>
        <v/>
      </c>
      <c r="CJ52" s="511">
        <f t="shared" si="33"/>
        <v>0</v>
      </c>
      <c r="CK52" s="512">
        <f t="shared" si="34"/>
        <v>0</v>
      </c>
      <c r="CL52" s="511">
        <f t="shared" ca="1" si="54"/>
        <v>0</v>
      </c>
      <c r="CM52" s="511">
        <f ca="1">ROUND(CS52-IF(OR($CE52&gt;=OP!$C$24,AND(CH52=15,CF52=12),CS52=0),0,(CT52-CR52)),$CM$7)</f>
        <v>0</v>
      </c>
      <c r="CN52" s="511"/>
      <c r="CO52" s="351">
        <f t="shared" ca="1" si="35"/>
        <v>6020</v>
      </c>
      <c r="CP52" s="473">
        <f t="shared" si="36"/>
        <v>0</v>
      </c>
      <c r="CQ52" s="473">
        <f t="shared" ca="1" si="6"/>
        <v>13.75363815</v>
      </c>
      <c r="CR52" s="476">
        <f t="shared" ca="1" si="37"/>
        <v>0</v>
      </c>
      <c r="CS52" s="494">
        <f ca="1">IF(OR($Q51&lt;&gt;1,OP!$D$5+$CE52-1&lt;16,$CE52-1&lt;1),0,ROUND(ROUND(ROUND(((VLOOKUP($CE52-1,MORE_PV,5,0)/10000)*VLOOKUP($CE52,MORE_PV,$CS$5,0)),3)*VLOOKUP($CE52,more1,5,0),0)/$R51,0))</f>
        <v>0</v>
      </c>
      <c r="CT52" s="473">
        <f>IF($AW52=1,IF(N($CR52+$CS52)&lt;N($AX52)*OP!$C$50,N($CR52+$CS52),MIN(N($CR52+$CS52),N($AX52))),0)</f>
        <v>0</v>
      </c>
      <c r="CV52" s="503">
        <f t="shared" ca="1" si="38"/>
        <v>6020.1635820969996</v>
      </c>
      <c r="CW52" s="503">
        <f t="shared" ca="1" si="39"/>
        <v>0</v>
      </c>
      <c r="CX52" s="503">
        <f t="shared" ca="1" si="40"/>
        <v>6033.4729354669998</v>
      </c>
    </row>
    <row r="53" spans="1:102" ht="16.5" hidden="1">
      <c r="A53" s="450">
        <f ca="1">OP!$D$5+$B53-1</f>
        <v>75</v>
      </c>
      <c r="B53" s="192">
        <v>43</v>
      </c>
      <c r="C53" s="219">
        <f ca="1">ROUND(VLOOKUP(OP!$C$55,PV0,B53+2,0)*OP!$C$28,0)</f>
        <v>2116364</v>
      </c>
      <c r="D53" s="189">
        <f t="shared" ca="1" si="65"/>
        <v>2116364</v>
      </c>
      <c r="E53" s="221">
        <f t="shared" ca="1" si="66"/>
        <v>2.69E-2</v>
      </c>
      <c r="F53" s="222">
        <f t="shared" ca="1" si="67"/>
        <v>6.8999999999999999E-3</v>
      </c>
      <c r="G53" s="223">
        <f t="shared" ca="1" si="68"/>
        <v>630176</v>
      </c>
      <c r="H53" s="224">
        <f t="shared" ca="1" si="56"/>
        <v>14947</v>
      </c>
      <c r="I53" s="450">
        <f t="shared" ca="1" si="57"/>
        <v>1</v>
      </c>
      <c r="J53" s="192">
        <f t="shared" si="7"/>
        <v>4</v>
      </c>
      <c r="K53" s="192">
        <f t="shared" si="8"/>
        <v>9</v>
      </c>
      <c r="L53" s="192" t="str">
        <f t="shared" si="0"/>
        <v/>
      </c>
      <c r="M53" s="216">
        <f t="shared" ca="1" si="9"/>
        <v>0</v>
      </c>
      <c r="N53" s="216"/>
      <c r="O53" s="216"/>
      <c r="P53" s="216"/>
      <c r="Q53" s="456" t="str">
        <f t="shared" ca="1" si="10"/>
        <v/>
      </c>
      <c r="R53" s="450">
        <f t="shared" ca="1" si="11"/>
        <v>1</v>
      </c>
      <c r="S53" s="191">
        <f t="shared" si="12"/>
        <v>4</v>
      </c>
      <c r="T53" s="191">
        <f t="shared" si="13"/>
        <v>9</v>
      </c>
      <c r="U53" s="191">
        <f ca="1">OP!$D$5+$S53-1</f>
        <v>36</v>
      </c>
      <c r="V53" s="191" t="str">
        <f t="shared" si="14"/>
        <v/>
      </c>
      <c r="W53" s="350">
        <f ca="1">IF(Q53&lt;&gt;1,0,VLOOKUP(OP!$C$55,PVFB,$S53+2,0))</f>
        <v>0</v>
      </c>
      <c r="X53" s="473">
        <f t="shared" ca="1" si="44"/>
        <v>0</v>
      </c>
      <c r="Y53" s="348">
        <f t="shared" ca="1" si="45"/>
        <v>0</v>
      </c>
      <c r="Z53" s="348">
        <f t="shared" ca="1" si="46"/>
        <v>2101</v>
      </c>
      <c r="AA53" s="348">
        <f ca="1">IF(Q53&lt;&gt;1,0,VLOOKUP(OP!$C$55,PVFB,$S53+2,0))</f>
        <v>0</v>
      </c>
      <c r="AB53" s="488" t="str">
        <f ca="1">IF(AND(S53&lt;OP!$C$24,$U53&lt;15),0,IF(AND($U53&lt;15,$T53=12),ROUND(VLOOKUP($S53,DOWN16,5,0),3),IF($T53=12,ROUND(($Z53/10000)*$AA53,3)+IF(AND($P$7="購買增額繳清保險",T53=12,U53=110),VLOOKUP(S53,$B$10:$H$121,7,0),0),"")))</f>
        <v/>
      </c>
      <c r="AC53" s="350" t="str">
        <f ca="1">IF(AND(S53&lt;OP!$C$24,$U53&lt;15),0,IF(AND($U53&lt;16,$T53=12),VLOOKUP($S53,DOWN16,4,0),IF($T53=12,ROUND(VLOOKUP(OP!$C$55,_DIE2,$S53+1,0)*(Z53/10000),0)+IF(AND($P$7="購買增額繳清保險",T53=12,U53=110),VLOOKUP(S53,$B$10:$H$121,7,0),0),"")))</f>
        <v/>
      </c>
      <c r="AD53" s="347"/>
      <c r="AE53" s="350" t="str">
        <f t="shared" ca="1" si="1"/>
        <v/>
      </c>
      <c r="AF53" s="351" t="str">
        <f t="shared" ca="1" si="2"/>
        <v/>
      </c>
      <c r="AG53" s="340"/>
      <c r="AH53" s="340"/>
      <c r="AI53" s="340"/>
      <c r="AJ53" s="340"/>
      <c r="AK53" s="340"/>
      <c r="AL53" s="340"/>
      <c r="AM53" s="340"/>
      <c r="AN53" s="191">
        <f t="shared" si="15"/>
        <v>4</v>
      </c>
      <c r="AO53" s="191">
        <f t="shared" si="16"/>
        <v>9</v>
      </c>
      <c r="AP53" s="191">
        <f ca="1">OP!$D$5+$AN53-1</f>
        <v>36</v>
      </c>
      <c r="AQ53" s="191" t="str">
        <f t="shared" si="17"/>
        <v/>
      </c>
      <c r="AR53" s="352">
        <f t="shared" ca="1" si="18"/>
        <v>0</v>
      </c>
      <c r="AS53" s="352"/>
      <c r="AT53" s="352"/>
      <c r="AU53" s="436"/>
      <c r="AV53" s="353" t="str">
        <f t="shared" ca="1" si="19"/>
        <v/>
      </c>
      <c r="AW53" s="422" t="str">
        <f t="shared" si="20"/>
        <v/>
      </c>
      <c r="AX53" s="423" t="str">
        <f ca="1">IF(AND($AW53=1,$AP53&lt;16,$AN52&lt;OP!$C$24),OP!$C$49,"")</f>
        <v/>
      </c>
      <c r="AY53" s="340"/>
      <c r="AZ53" s="465">
        <f t="shared" ca="1" si="21"/>
        <v>7.3698599999999999E-5</v>
      </c>
      <c r="BA53" s="464">
        <f t="shared" ca="1" si="22"/>
        <v>1.9898630000000001E-3</v>
      </c>
      <c r="BB53" s="465">
        <f t="shared" ca="1" si="22"/>
        <v>2.0635616E-3</v>
      </c>
      <c r="BC53" s="466">
        <f t="shared" ca="1" si="23"/>
        <v>44228</v>
      </c>
      <c r="BD53" s="467">
        <f t="shared" ca="1" si="47"/>
        <v>44229</v>
      </c>
      <c r="BE53" s="467">
        <f t="shared" ca="1" si="24"/>
        <v>44255</v>
      </c>
      <c r="BF53" s="468">
        <f ca="1">IF(計算!$BC53&lt;OP!$C$3,0,BD53-BC53)</f>
        <v>1</v>
      </c>
      <c r="BG53" s="468">
        <f ca="1">IF($BE53&gt;DATE(YEAR($BD$9)+OP!$C$57,MONTH($BD$9),DAY($BD$9)),0,$BE53-$BD53+1)</f>
        <v>27</v>
      </c>
      <c r="BH53" s="469">
        <f t="shared" ca="1" si="25"/>
        <v>28</v>
      </c>
      <c r="BI53" t="str">
        <f t="shared" si="63"/>
        <v/>
      </c>
      <c r="BJ53">
        <v>8</v>
      </c>
      <c r="BN53" s="468">
        <f t="shared" si="48"/>
        <v>4</v>
      </c>
      <c r="BO53" s="468">
        <f t="shared" si="49"/>
        <v>8</v>
      </c>
      <c r="BP53" s="467">
        <f t="shared" ca="1" si="26"/>
        <v>44229</v>
      </c>
      <c r="BQ53" s="475">
        <f t="shared" ca="1" si="60"/>
        <v>36</v>
      </c>
      <c r="BR53" s="475" t="str">
        <f t="shared" si="50"/>
        <v/>
      </c>
      <c r="BS53" s="471" t="str">
        <f t="shared" si="27"/>
        <v/>
      </c>
      <c r="BT53" s="472" t="str">
        <f t="shared" si="64"/>
        <v/>
      </c>
      <c r="BU53" s="472">
        <f t="shared" ca="1" si="28"/>
        <v>0</v>
      </c>
      <c r="BV53" s="472">
        <f t="shared" ca="1" si="28"/>
        <v>0</v>
      </c>
      <c r="BW53" s="472"/>
      <c r="BX53" s="473">
        <f t="shared" ca="1" si="29"/>
        <v>0</v>
      </c>
      <c r="BY53" s="473">
        <f t="shared" si="30"/>
        <v>0</v>
      </c>
      <c r="BZ53" s="473">
        <f t="shared" ca="1" si="4"/>
        <v>0</v>
      </c>
      <c r="CA53" s="476">
        <f t="shared" ca="1" si="31"/>
        <v>0</v>
      </c>
      <c r="CB53" s="494">
        <f ca="1">IF(OR($Q52&lt;&gt;1,OP!$D$5+$BN53-1&lt;16,$BN53-1&lt;1),0,ROUND(ROUND(ROUND(((VLOOKUP($BN53-1,MORE_PV,5,0)/10000)*VLOOKUP($BN53,MORE_PV,$CB$5,0)),3)*VLOOKUP($BN53,more1,5,0),0)/$R52,0))</f>
        <v>0</v>
      </c>
      <c r="CC53" s="473">
        <f t="shared" ca="1" si="32"/>
        <v>0</v>
      </c>
      <c r="CD53" s="477"/>
      <c r="CE53" s="468">
        <f t="shared" si="51"/>
        <v>4</v>
      </c>
      <c r="CF53" s="468">
        <f t="shared" si="52"/>
        <v>8</v>
      </c>
      <c r="CG53" s="467">
        <f t="shared" ca="1" si="5"/>
        <v>44229</v>
      </c>
      <c r="CH53" s="475">
        <f t="shared" ca="1" si="61"/>
        <v>36</v>
      </c>
      <c r="CI53" s="513" t="str">
        <f t="shared" si="53"/>
        <v/>
      </c>
      <c r="CJ53" s="511">
        <f t="shared" si="33"/>
        <v>0</v>
      </c>
      <c r="CK53" s="512">
        <f t="shared" si="34"/>
        <v>0</v>
      </c>
      <c r="CL53" s="511">
        <f t="shared" ca="1" si="54"/>
        <v>0</v>
      </c>
      <c r="CM53" s="511">
        <f ca="1">ROUND(CS53-IF(OR($CE53&gt;=OP!$C$24,AND(CH53=15,CF53=12),CS53=0),0,(CT53-CR53)),$CM$7)</f>
        <v>0</v>
      </c>
      <c r="CN53" s="511"/>
      <c r="CO53" s="351">
        <f t="shared" ca="1" si="35"/>
        <v>6034</v>
      </c>
      <c r="CP53" s="473">
        <f t="shared" si="36"/>
        <v>0</v>
      </c>
      <c r="CQ53" s="473">
        <f t="shared" ca="1" si="6"/>
        <v>12.451530694000001</v>
      </c>
      <c r="CR53" s="476">
        <f t="shared" ca="1" si="37"/>
        <v>0</v>
      </c>
      <c r="CS53" s="494">
        <f ca="1">IF(OR($Q52&lt;&gt;1,OP!$D$5+$CE53-1&lt;16,$CE53-1&lt;1),0,ROUND(ROUND(ROUND(((VLOOKUP($CE53-1,MORE_PV,5,0)/10000)*VLOOKUP($CE53,MORE_PV,$CS$5,0)),3)*VLOOKUP($CE53,more1,5,0),0)/$R52,0))</f>
        <v>0</v>
      </c>
      <c r="CT53" s="473">
        <f>IF($AW53=1,IF(N($CR53+$CS53)&lt;N($AX53)*OP!$C$50,N($CR53+$CS53),MIN(N($CR53+$CS53),N($AX53))),0)</f>
        <v>0</v>
      </c>
      <c r="CV53" s="503">
        <f t="shared" ca="1" si="38"/>
        <v>6033.9175939750003</v>
      </c>
      <c r="CW53" s="503">
        <f t="shared" ca="1" si="39"/>
        <v>0</v>
      </c>
      <c r="CX53" s="503">
        <f t="shared" ca="1" si="40"/>
        <v>6045.9233785309998</v>
      </c>
    </row>
    <row r="54" spans="1:102" ht="16.5" hidden="1">
      <c r="A54" s="450">
        <f ca="1">OP!$D$5+$B54-1</f>
        <v>76</v>
      </c>
      <c r="B54" s="192">
        <v>44</v>
      </c>
      <c r="C54" s="219">
        <f ca="1">ROUND(VLOOKUP(OP!$C$55,PV0,B54+2,0)*OP!$C$28,0)</f>
        <v>2158184</v>
      </c>
      <c r="D54" s="189">
        <f t="shared" ca="1" si="65"/>
        <v>2158184</v>
      </c>
      <c r="E54" s="221">
        <f t="shared" ca="1" si="66"/>
        <v>2.69E-2</v>
      </c>
      <c r="F54" s="222">
        <f t="shared" ca="1" si="67"/>
        <v>6.8999999999999999E-3</v>
      </c>
      <c r="G54" s="223">
        <f t="shared" ca="1" si="68"/>
        <v>662580</v>
      </c>
      <c r="H54" s="224">
        <f t="shared" ca="1" si="56"/>
        <v>15242</v>
      </c>
      <c r="I54" s="450">
        <f t="shared" ca="1" si="57"/>
        <v>1</v>
      </c>
      <c r="J54" s="192">
        <f t="shared" si="7"/>
        <v>4</v>
      </c>
      <c r="K54" s="192">
        <f t="shared" si="8"/>
        <v>10</v>
      </c>
      <c r="L54" s="192" t="str">
        <f t="shared" si="0"/>
        <v/>
      </c>
      <c r="M54" s="216">
        <f t="shared" ca="1" si="9"/>
        <v>0</v>
      </c>
      <c r="N54" s="216"/>
      <c r="O54" s="216"/>
      <c r="P54" s="216"/>
      <c r="Q54" s="456" t="str">
        <f t="shared" ca="1" si="10"/>
        <v/>
      </c>
      <c r="R54" s="450">
        <f t="shared" ca="1" si="11"/>
        <v>1</v>
      </c>
      <c r="S54" s="191">
        <f t="shared" si="12"/>
        <v>4</v>
      </c>
      <c r="T54" s="191">
        <f t="shared" si="13"/>
        <v>10</v>
      </c>
      <c r="U54" s="191">
        <f ca="1">OP!$D$5+$S54-1</f>
        <v>36</v>
      </c>
      <c r="V54" s="191" t="str">
        <f t="shared" si="14"/>
        <v/>
      </c>
      <c r="W54" s="350">
        <f ca="1">IF(Q54&lt;&gt;1,0,VLOOKUP(OP!$C$55,PVFB,$S54+2,0))</f>
        <v>0</v>
      </c>
      <c r="X54" s="473">
        <f t="shared" ca="1" si="44"/>
        <v>0</v>
      </c>
      <c r="Y54" s="348">
        <f t="shared" ca="1" si="45"/>
        <v>0</v>
      </c>
      <c r="Z54" s="348">
        <f t="shared" ca="1" si="46"/>
        <v>2101</v>
      </c>
      <c r="AA54" s="348">
        <f ca="1">IF(Q54&lt;&gt;1,0,VLOOKUP(OP!$C$55,PVFB,$S54+2,0))</f>
        <v>0</v>
      </c>
      <c r="AB54" s="488" t="str">
        <f ca="1">IF(AND(S54&lt;OP!$C$24,$U54&lt;15),0,IF(AND($U54&lt;15,$T54=12),ROUND(VLOOKUP($S54,DOWN16,5,0),3),IF($T54=12,ROUND(($Z54/10000)*$AA54,3)+IF(AND($P$7="購買增額繳清保險",T54=12,U54=110),VLOOKUP(S54,$B$10:$H$121,7,0),0),"")))</f>
        <v/>
      </c>
      <c r="AC54" s="350" t="str">
        <f ca="1">IF(AND(S54&lt;OP!$C$24,$U54&lt;15),0,IF(AND($U54&lt;16,$T54=12),VLOOKUP($S54,DOWN16,4,0),IF($T54=12,ROUND(VLOOKUP(OP!$C$55,_DIE2,$S54+1,0)*(Z54/10000),0)+IF(AND($P$7="購買增額繳清保險",T54=12,U54=110),VLOOKUP(S54,$B$10:$H$121,7,0),0),"")))</f>
        <v/>
      </c>
      <c r="AD54" s="347"/>
      <c r="AE54" s="350" t="str">
        <f t="shared" ca="1" si="1"/>
        <v/>
      </c>
      <c r="AF54" s="351" t="str">
        <f t="shared" ca="1" si="2"/>
        <v/>
      </c>
      <c r="AG54" s="340"/>
      <c r="AH54" s="340"/>
      <c r="AI54" s="340"/>
      <c r="AJ54" s="340"/>
      <c r="AK54" s="340"/>
      <c r="AL54" s="340"/>
      <c r="AM54" s="340"/>
      <c r="AN54" s="191">
        <f t="shared" si="15"/>
        <v>4</v>
      </c>
      <c r="AO54" s="191">
        <f t="shared" si="16"/>
        <v>10</v>
      </c>
      <c r="AP54" s="191">
        <f ca="1">OP!$D$5+$AN54-1</f>
        <v>36</v>
      </c>
      <c r="AQ54" s="191" t="str">
        <f t="shared" si="17"/>
        <v/>
      </c>
      <c r="AR54" s="352">
        <f t="shared" ca="1" si="18"/>
        <v>0</v>
      </c>
      <c r="AS54" s="352"/>
      <c r="AT54" s="352"/>
      <c r="AU54" s="436"/>
      <c r="AV54" s="353" t="str">
        <f t="shared" ca="1" si="19"/>
        <v/>
      </c>
      <c r="AW54" s="422" t="str">
        <f t="shared" si="20"/>
        <v/>
      </c>
      <c r="AX54" s="423" t="str">
        <f ca="1">IF(AND($AW54=1,$AP54&lt;16,$AN53&lt;OP!$C$24),OP!$C$49,"")</f>
        <v/>
      </c>
      <c r="AY54" s="340"/>
      <c r="AZ54" s="465">
        <f t="shared" ca="1" si="21"/>
        <v>7.3698599999999999E-5</v>
      </c>
      <c r="BA54" s="464">
        <f t="shared" ca="1" si="22"/>
        <v>2.2109589000000002E-3</v>
      </c>
      <c r="BB54" s="465">
        <f t="shared" ca="1" si="22"/>
        <v>2.2846575E-3</v>
      </c>
      <c r="BC54" s="466">
        <f t="shared" ca="1" si="23"/>
        <v>44256</v>
      </c>
      <c r="BD54" s="467">
        <f t="shared" ca="1" si="47"/>
        <v>44257</v>
      </c>
      <c r="BE54" s="467">
        <f t="shared" ca="1" si="24"/>
        <v>44286</v>
      </c>
      <c r="BF54" s="468">
        <f ca="1">IF(計算!$BC54&lt;OP!$C$3,0,BD54-BC54)</f>
        <v>1</v>
      </c>
      <c r="BG54" s="468">
        <f ca="1">IF($BE54&gt;DATE(YEAR($BD$9)+OP!$C$57,MONTH($BD$9),DAY($BD$9)),0,$BE54-$BD54+1)</f>
        <v>30</v>
      </c>
      <c r="BH54" s="469">
        <f t="shared" ca="1" si="25"/>
        <v>31</v>
      </c>
      <c r="BI54" t="str">
        <f t="shared" si="63"/>
        <v/>
      </c>
      <c r="BJ54">
        <v>9</v>
      </c>
      <c r="BN54" s="468">
        <f t="shared" si="48"/>
        <v>4</v>
      </c>
      <c r="BO54" s="468">
        <f t="shared" si="49"/>
        <v>9</v>
      </c>
      <c r="BP54" s="467">
        <f t="shared" ca="1" si="26"/>
        <v>44257</v>
      </c>
      <c r="BQ54" s="475">
        <f t="shared" ca="1" si="60"/>
        <v>36</v>
      </c>
      <c r="BR54" s="475" t="str">
        <f t="shared" si="50"/>
        <v/>
      </c>
      <c r="BS54" s="471" t="str">
        <f t="shared" si="27"/>
        <v/>
      </c>
      <c r="BT54" s="472" t="str">
        <f t="shared" si="64"/>
        <v/>
      </c>
      <c r="BU54" s="472">
        <f t="shared" ca="1" si="28"/>
        <v>0</v>
      </c>
      <c r="BV54" s="472">
        <f t="shared" ca="1" si="28"/>
        <v>0</v>
      </c>
      <c r="BW54" s="472"/>
      <c r="BX54" s="473">
        <f t="shared" ca="1" si="29"/>
        <v>0</v>
      </c>
      <c r="BY54" s="473">
        <f t="shared" si="30"/>
        <v>0</v>
      </c>
      <c r="BZ54" s="473">
        <f t="shared" ca="1" si="4"/>
        <v>0</v>
      </c>
      <c r="CA54" s="476">
        <f t="shared" ca="1" si="31"/>
        <v>0</v>
      </c>
      <c r="CB54" s="494">
        <f ca="1">IF(OR($Q53&lt;&gt;1,OP!$D$5+$BN54-1&lt;16,$BN54-1&lt;1),0,ROUND(ROUND(ROUND(((VLOOKUP($BN54-1,MORE_PV,5,0)/10000)*VLOOKUP($BN54,MORE_PV,$CB$5,0)),3)*VLOOKUP($BN54,more1,5,0),0)/$R53,0))</f>
        <v>0</v>
      </c>
      <c r="CC54" s="473">
        <f t="shared" ca="1" si="32"/>
        <v>0</v>
      </c>
      <c r="CD54" s="477"/>
      <c r="CE54" s="468">
        <f t="shared" si="51"/>
        <v>4</v>
      </c>
      <c r="CF54" s="468">
        <f t="shared" si="52"/>
        <v>9</v>
      </c>
      <c r="CG54" s="467">
        <f t="shared" ca="1" si="5"/>
        <v>44257</v>
      </c>
      <c r="CH54" s="475">
        <f t="shared" ca="1" si="61"/>
        <v>36</v>
      </c>
      <c r="CI54" s="513" t="str">
        <f t="shared" si="53"/>
        <v/>
      </c>
      <c r="CJ54" s="511">
        <f t="shared" si="33"/>
        <v>0</v>
      </c>
      <c r="CK54" s="512">
        <f t="shared" si="34"/>
        <v>0</v>
      </c>
      <c r="CL54" s="511">
        <f t="shared" ca="1" si="54"/>
        <v>0</v>
      </c>
      <c r="CM54" s="511">
        <f ca="1">ROUND(CS54-IF(OR($CE54&gt;=OP!$C$24,AND(CH54=15,CF54=12),CS54=0),0,(CT54-CR54)),$CM$7)</f>
        <v>0</v>
      </c>
      <c r="CN54" s="511"/>
      <c r="CO54" s="351">
        <f t="shared" ca="1" si="35"/>
        <v>6046</v>
      </c>
      <c r="CP54" s="473">
        <f t="shared" si="36"/>
        <v>0</v>
      </c>
      <c r="CQ54" s="473">
        <f t="shared" ca="1" si="6"/>
        <v>13.813039245000001</v>
      </c>
      <c r="CR54" s="476">
        <f t="shared" ca="1" si="37"/>
        <v>0</v>
      </c>
      <c r="CS54" s="494">
        <f ca="1">IF(OR($Q53&lt;&gt;1,OP!$D$5+$CE54-1&lt;16,$CE54-1&lt;1),0,ROUND(ROUND(ROUND(((VLOOKUP($CE54-1,MORE_PV,5,0)/10000)*VLOOKUP($CE54,MORE_PV,$CS$5,0)),3)*VLOOKUP($CE54,more1,5,0),0)/$R53,0))</f>
        <v>0</v>
      </c>
      <c r="CT54" s="473">
        <f>IF($AW54=1,IF(N($CR54+$CS54)&lt;N($AX54)*OP!$C$50,N($CR54+$CS54),MIN(N($CR54+$CS54),N($AX54))),0)</f>
        <v>0</v>
      </c>
      <c r="CV54" s="503">
        <f t="shared" ca="1" si="38"/>
        <v>6046.3689546200003</v>
      </c>
      <c r="CW54" s="503">
        <f t="shared" ca="1" si="39"/>
        <v>0</v>
      </c>
      <c r="CX54" s="503">
        <f t="shared" ca="1" si="40"/>
        <v>6059.7362427219996</v>
      </c>
    </row>
    <row r="55" spans="1:102" ht="16.5" hidden="1">
      <c r="A55" s="450">
        <f ca="1">OP!$D$5+$B55-1</f>
        <v>77</v>
      </c>
      <c r="B55" s="192">
        <v>45</v>
      </c>
      <c r="C55" s="219">
        <f ca="1">ROUND(VLOOKUP(OP!$C$55,PV0,B55+2,0)*OP!$C$28,0)</f>
        <v>2200514</v>
      </c>
      <c r="D55" s="189">
        <f t="shared" ca="1" si="65"/>
        <v>2200514</v>
      </c>
      <c r="E55" s="221">
        <f t="shared" ca="1" si="66"/>
        <v>2.69E-2</v>
      </c>
      <c r="F55" s="222">
        <f t="shared" ca="1" si="67"/>
        <v>6.8999999999999999E-3</v>
      </c>
      <c r="G55" s="223">
        <f t="shared" ca="1" si="68"/>
        <v>696167</v>
      </c>
      <c r="H55" s="224">
        <f t="shared" ca="1" si="56"/>
        <v>15542</v>
      </c>
      <c r="I55" s="450">
        <f t="shared" ca="1" si="57"/>
        <v>1</v>
      </c>
      <c r="J55" s="192">
        <f t="shared" si="7"/>
        <v>4</v>
      </c>
      <c r="K55" s="192">
        <f t="shared" si="8"/>
        <v>11</v>
      </c>
      <c r="L55" s="192" t="str">
        <f t="shared" si="0"/>
        <v/>
      </c>
      <c r="M55" s="216">
        <f t="shared" ca="1" si="9"/>
        <v>0</v>
      </c>
      <c r="N55" s="216"/>
      <c r="O55" s="216"/>
      <c r="P55" s="216"/>
      <c r="Q55" s="456" t="str">
        <f t="shared" ca="1" si="10"/>
        <v/>
      </c>
      <c r="R55" s="450">
        <f t="shared" ca="1" si="11"/>
        <v>1</v>
      </c>
      <c r="S55" s="191">
        <f t="shared" si="12"/>
        <v>4</v>
      </c>
      <c r="T55" s="191">
        <f t="shared" si="13"/>
        <v>11</v>
      </c>
      <c r="U55" s="191">
        <f ca="1">OP!$D$5+$S55-1</f>
        <v>36</v>
      </c>
      <c r="V55" s="191" t="str">
        <f t="shared" si="14"/>
        <v/>
      </c>
      <c r="W55" s="350">
        <f ca="1">IF(Q55&lt;&gt;1,0,VLOOKUP(OP!$C$55,PVFB,$S55+2,0))</f>
        <v>0</v>
      </c>
      <c r="X55" s="473">
        <f t="shared" ca="1" si="44"/>
        <v>0</v>
      </c>
      <c r="Y55" s="348">
        <f t="shared" ca="1" si="45"/>
        <v>0</v>
      </c>
      <c r="Z55" s="348">
        <f t="shared" ca="1" si="46"/>
        <v>2101</v>
      </c>
      <c r="AA55" s="348">
        <f ca="1">IF(Q55&lt;&gt;1,0,VLOOKUP(OP!$C$55,PVFB,$S55+2,0))</f>
        <v>0</v>
      </c>
      <c r="AB55" s="488" t="str">
        <f ca="1">IF(AND(S55&lt;OP!$C$24,$U55&lt;15),0,IF(AND($U55&lt;15,$T55=12),ROUND(VLOOKUP($S55,DOWN16,5,0),3),IF($T55=12,ROUND(($Z55/10000)*$AA55,3)+IF(AND($P$7="購買增額繳清保險",T55=12,U55=110),VLOOKUP(S55,$B$10:$H$121,7,0),0),"")))</f>
        <v/>
      </c>
      <c r="AC55" s="350" t="str">
        <f ca="1">IF(AND(S55&lt;OP!$C$24,$U55&lt;15),0,IF(AND($U55&lt;16,$T55=12),VLOOKUP($S55,DOWN16,4,0),IF($T55=12,ROUND(VLOOKUP(OP!$C$55,_DIE2,$S55+1,0)*(Z55/10000),0)+IF(AND($P$7="購買增額繳清保險",T55=12,U55=110),VLOOKUP(S55,$B$10:$H$121,7,0),0),"")))</f>
        <v/>
      </c>
      <c r="AD55" s="347"/>
      <c r="AE55" s="350" t="str">
        <f t="shared" ca="1" si="1"/>
        <v/>
      </c>
      <c r="AF55" s="351" t="str">
        <f t="shared" ca="1" si="2"/>
        <v/>
      </c>
      <c r="AG55" s="340"/>
      <c r="AH55" s="340"/>
      <c r="AI55" s="340"/>
      <c r="AJ55" s="340"/>
      <c r="AK55" s="340"/>
      <c r="AL55" s="340"/>
      <c r="AM55" s="340"/>
      <c r="AN55" s="191">
        <f t="shared" si="15"/>
        <v>4</v>
      </c>
      <c r="AO55" s="191">
        <f t="shared" si="16"/>
        <v>11</v>
      </c>
      <c r="AP55" s="191">
        <f ca="1">OP!$D$5+$AN55-1</f>
        <v>36</v>
      </c>
      <c r="AQ55" s="191" t="str">
        <f t="shared" si="17"/>
        <v/>
      </c>
      <c r="AR55" s="352">
        <f t="shared" ca="1" si="18"/>
        <v>0</v>
      </c>
      <c r="AS55" s="352"/>
      <c r="AT55" s="352"/>
      <c r="AU55" s="436"/>
      <c r="AV55" s="353" t="str">
        <f t="shared" ca="1" si="19"/>
        <v/>
      </c>
      <c r="AW55" s="422" t="str">
        <f t="shared" si="20"/>
        <v/>
      </c>
      <c r="AX55" s="423" t="str">
        <f ca="1">IF(AND($AW55=1,$AP55&lt;16,$AN54&lt;OP!$C$24),OP!$C$49,"")</f>
        <v/>
      </c>
      <c r="AY55" s="340"/>
      <c r="AZ55" s="465">
        <f t="shared" ca="1" si="21"/>
        <v>7.3698599999999999E-5</v>
      </c>
      <c r="BA55" s="464">
        <f t="shared" ca="1" si="22"/>
        <v>2.1372602999999999E-3</v>
      </c>
      <c r="BB55" s="465">
        <f t="shared" ca="1" si="22"/>
        <v>2.2109589000000002E-3</v>
      </c>
      <c r="BC55" s="466">
        <f t="shared" ca="1" si="23"/>
        <v>44287</v>
      </c>
      <c r="BD55" s="467">
        <f t="shared" ca="1" si="47"/>
        <v>44288</v>
      </c>
      <c r="BE55" s="467">
        <f t="shared" ca="1" si="24"/>
        <v>44316</v>
      </c>
      <c r="BF55" s="468">
        <f ca="1">IF(計算!$BC55&lt;OP!$C$3,0,BD55-BC55)</f>
        <v>1</v>
      </c>
      <c r="BG55" s="468">
        <f ca="1">IF($BE55&gt;DATE(YEAR($BD$9)+OP!$C$57,MONTH($BD$9),DAY($BD$9)),0,$BE55-$BD55+1)</f>
        <v>29</v>
      </c>
      <c r="BH55" s="469">
        <f t="shared" ca="1" si="25"/>
        <v>30</v>
      </c>
      <c r="BI55" t="str">
        <f t="shared" si="63"/>
        <v/>
      </c>
      <c r="BJ55">
        <v>10</v>
      </c>
      <c r="BN55" s="468">
        <f t="shared" si="48"/>
        <v>4</v>
      </c>
      <c r="BO55" s="468">
        <f t="shared" si="49"/>
        <v>10</v>
      </c>
      <c r="BP55" s="467">
        <f t="shared" ca="1" si="26"/>
        <v>44288</v>
      </c>
      <c r="BQ55" s="475">
        <f t="shared" ca="1" si="60"/>
        <v>36</v>
      </c>
      <c r="BR55" s="475" t="str">
        <f t="shared" si="50"/>
        <v/>
      </c>
      <c r="BS55" s="471" t="str">
        <f t="shared" si="27"/>
        <v/>
      </c>
      <c r="BT55" s="472" t="str">
        <f t="shared" si="64"/>
        <v/>
      </c>
      <c r="BU55" s="472">
        <f t="shared" ca="1" si="28"/>
        <v>0</v>
      </c>
      <c r="BV55" s="472">
        <f t="shared" ca="1" si="28"/>
        <v>0</v>
      </c>
      <c r="BW55" s="472"/>
      <c r="BX55" s="473">
        <f t="shared" ca="1" si="29"/>
        <v>0</v>
      </c>
      <c r="BY55" s="473">
        <f t="shared" si="30"/>
        <v>0</v>
      </c>
      <c r="BZ55" s="473">
        <f t="shared" ca="1" si="4"/>
        <v>0</v>
      </c>
      <c r="CA55" s="476">
        <f t="shared" ca="1" si="31"/>
        <v>0</v>
      </c>
      <c r="CB55" s="494">
        <f ca="1">IF(OR($Q54&lt;&gt;1,OP!$D$5+$BN55-1&lt;16,$BN55-1&lt;1),0,ROUND(ROUND(ROUND(((VLOOKUP($BN55-1,MORE_PV,5,0)/10000)*VLOOKUP($BN55,MORE_PV,$CB$5,0)),3)*VLOOKUP($BN55,more1,5,0),0)/$R54,0))</f>
        <v>0</v>
      </c>
      <c r="CC55" s="473">
        <f t="shared" ca="1" si="32"/>
        <v>0</v>
      </c>
      <c r="CD55" s="477"/>
      <c r="CE55" s="468">
        <f t="shared" si="51"/>
        <v>4</v>
      </c>
      <c r="CF55" s="468">
        <f t="shared" si="52"/>
        <v>10</v>
      </c>
      <c r="CG55" s="467">
        <f t="shared" ca="1" si="5"/>
        <v>44288</v>
      </c>
      <c r="CH55" s="475">
        <f t="shared" ca="1" si="61"/>
        <v>36</v>
      </c>
      <c r="CI55" s="513" t="str">
        <f t="shared" si="53"/>
        <v/>
      </c>
      <c r="CJ55" s="511">
        <f t="shared" si="33"/>
        <v>0</v>
      </c>
      <c r="CK55" s="512">
        <f t="shared" si="34"/>
        <v>0</v>
      </c>
      <c r="CL55" s="511">
        <f t="shared" ca="1" si="54"/>
        <v>0</v>
      </c>
      <c r="CM55" s="511">
        <f ca="1">ROUND(CS55-IF(OR($CE55&gt;=OP!$C$24,AND(CH55=15,CF55=12),CS55=0),0,(CT55-CR55)),$CM$7)</f>
        <v>0</v>
      </c>
      <c r="CN55" s="511"/>
      <c r="CO55" s="351">
        <f t="shared" ca="1" si="35"/>
        <v>6060</v>
      </c>
      <c r="CP55" s="473">
        <f t="shared" si="36"/>
        <v>0</v>
      </c>
      <c r="CQ55" s="473">
        <f t="shared" ca="1" si="6"/>
        <v>13.398410933999999</v>
      </c>
      <c r="CR55" s="476">
        <f t="shared" ca="1" si="37"/>
        <v>0</v>
      </c>
      <c r="CS55" s="494">
        <f ca="1">IF(OR($Q54&lt;&gt;1,OP!$D$5+$CE55-1&lt;16,$CE55-1&lt;1),0,ROUND(ROUND(ROUND(((VLOOKUP($CE55-1,MORE_PV,5,0)/10000)*VLOOKUP($CE55,MORE_PV,$CS$5,0)),3)*VLOOKUP($CE55,more1,5,0),0)/$R54,0))</f>
        <v>0</v>
      </c>
      <c r="CT55" s="473">
        <f>IF($AW55=1,IF(N($CR55+$CS55)&lt;N($AX55)*OP!$C$50,N($CR55+$CS55),MIN(N($CR55+$CS55),N($AX55))),0)</f>
        <v>0</v>
      </c>
      <c r="CV55" s="503">
        <f t="shared" ca="1" si="38"/>
        <v>6060.1828367990001</v>
      </c>
      <c r="CW55" s="503">
        <f t="shared" ca="1" si="39"/>
        <v>0</v>
      </c>
      <c r="CX55" s="503">
        <f t="shared" ca="1" si="40"/>
        <v>6073.1340705000002</v>
      </c>
    </row>
    <row r="56" spans="1:102" ht="16.5" hidden="1">
      <c r="A56" s="450">
        <f ca="1">OP!$D$5+$B56-1</f>
        <v>78</v>
      </c>
      <c r="B56" s="192">
        <v>46</v>
      </c>
      <c r="C56" s="219">
        <f ca="1">ROUND(VLOOKUP(OP!$C$55,PV0,B56+2,0)*OP!$C$28,0)</f>
        <v>2243354</v>
      </c>
      <c r="D56" s="189">
        <f t="shared" ca="1" si="65"/>
        <v>2243354</v>
      </c>
      <c r="E56" s="221">
        <f t="shared" ca="1" si="66"/>
        <v>2.69E-2</v>
      </c>
      <c r="F56" s="222">
        <f t="shared" ca="1" si="67"/>
        <v>6.8999999999999999E-3</v>
      </c>
      <c r="G56" s="223">
        <f t="shared" ca="1" si="68"/>
        <v>730971</v>
      </c>
      <c r="H56" s="224">
        <f t="shared" ca="1" si="56"/>
        <v>15844</v>
      </c>
      <c r="I56" s="450">
        <f t="shared" ca="1" si="57"/>
        <v>1</v>
      </c>
      <c r="J56" s="192">
        <f t="shared" si="7"/>
        <v>4</v>
      </c>
      <c r="K56" s="192">
        <f t="shared" si="8"/>
        <v>12</v>
      </c>
      <c r="L56" s="192">
        <f t="shared" si="0"/>
        <v>4</v>
      </c>
      <c r="M56" s="216">
        <f t="shared" ca="1" si="9"/>
        <v>0</v>
      </c>
      <c r="N56" s="216"/>
      <c r="O56" s="216"/>
      <c r="P56" s="216"/>
      <c r="Q56" s="456">
        <f t="shared" ca="1" si="10"/>
        <v>1</v>
      </c>
      <c r="R56" s="450">
        <f t="shared" ca="1" si="11"/>
        <v>1</v>
      </c>
      <c r="S56" s="191">
        <f t="shared" si="12"/>
        <v>4</v>
      </c>
      <c r="T56" s="191">
        <f t="shared" si="13"/>
        <v>12</v>
      </c>
      <c r="U56" s="191">
        <f ca="1">OP!$D$5+$S56-1</f>
        <v>36</v>
      </c>
      <c r="V56" s="191">
        <f t="shared" si="14"/>
        <v>4</v>
      </c>
      <c r="W56" s="350">
        <f ca="1">IF(Q56&lt;&gt;1,0,VLOOKUP(OP!$C$55,PVFB,$S56+2,0))</f>
        <v>28769</v>
      </c>
      <c r="X56" s="473">
        <f t="shared" ca="1" si="44"/>
        <v>4470</v>
      </c>
      <c r="Y56" s="348">
        <f t="shared" ca="1" si="45"/>
        <v>1554</v>
      </c>
      <c r="Z56" s="348">
        <f t="shared" ca="1" si="46"/>
        <v>3655</v>
      </c>
      <c r="AA56" s="348">
        <f ca="1">IF(Q56&lt;&gt;1,0,VLOOKUP(OP!$C$55,PVFB,$S56+2,0))</f>
        <v>28769</v>
      </c>
      <c r="AB56" s="488">
        <f ca="1">IF(AND(S56&lt;OP!$C$24,$U56&lt;15),0,IF(AND($U56&lt;15,$T56=12),ROUND(VLOOKUP($S56,DOWN16,5,0),3),IF($T56=12,ROUND(($Z56/10000)*$AA56,3)+IF(AND($P$7="購買增額繳清保險",T56=12,U56=110),VLOOKUP(S56,$B$10:$H$121,7,0),0),"")))</f>
        <v>10515.07</v>
      </c>
      <c r="AC56" s="350">
        <f ca="1">IF(AND(S56&lt;OP!$C$24,$U56&lt;15),0,IF(AND($U56&lt;16,$T56=12),VLOOKUP($S56,DOWN16,4,0),IF($T56=12,ROUND(VLOOKUP(OP!$C$55,_DIE2,$S56+1,0)*(Z56/10000),0)+IF(AND($P$7="購買增額繳清保險",T56=12,U56=110),VLOOKUP(S56,$B$10:$H$121,7,0),0),"")))</f>
        <v>10515</v>
      </c>
      <c r="AD56" s="347"/>
      <c r="AE56" s="350" t="str">
        <f t="shared" ca="1" si="1"/>
        <v/>
      </c>
      <c r="AF56" s="351" t="str">
        <f t="shared" ca="1" si="2"/>
        <v/>
      </c>
      <c r="AG56" s="340"/>
      <c r="AH56" s="340"/>
      <c r="AI56" s="340"/>
      <c r="AJ56" s="340"/>
      <c r="AK56" s="340"/>
      <c r="AL56" s="340"/>
      <c r="AM56" s="340"/>
      <c r="AN56" s="191">
        <f t="shared" si="15"/>
        <v>4</v>
      </c>
      <c r="AO56" s="191">
        <f t="shared" si="16"/>
        <v>12</v>
      </c>
      <c r="AP56" s="191">
        <f ca="1">OP!$D$5+$AN56-1</f>
        <v>36</v>
      </c>
      <c r="AQ56" s="191">
        <f t="shared" si="17"/>
        <v>4</v>
      </c>
      <c r="AR56" s="352">
        <f t="shared" ca="1" si="18"/>
        <v>10515</v>
      </c>
      <c r="AS56" s="352"/>
      <c r="AT56" s="352"/>
      <c r="AU56" s="436"/>
      <c r="AV56" s="353">
        <f t="shared" ca="1" si="19"/>
        <v>1</v>
      </c>
      <c r="AW56" s="422" t="str">
        <f t="shared" si="20"/>
        <v/>
      </c>
      <c r="AX56" s="423" t="str">
        <f ca="1">IF(AND($AW56=1,$AP56&lt;16,$AN55&lt;OP!$C$24),OP!$C$49,"")</f>
        <v/>
      </c>
      <c r="AY56" s="340"/>
      <c r="AZ56" s="465">
        <f t="shared" ca="1" si="21"/>
        <v>7.3698599999999999E-5</v>
      </c>
      <c r="BA56" s="464">
        <f t="shared" ca="1" si="22"/>
        <v>2.2109589000000002E-3</v>
      </c>
      <c r="BB56" s="465">
        <f t="shared" ca="1" si="22"/>
        <v>2.2846575E-3</v>
      </c>
      <c r="BC56" s="466">
        <f t="shared" ca="1" si="23"/>
        <v>44317</v>
      </c>
      <c r="BD56" s="467">
        <f t="shared" ca="1" si="47"/>
        <v>44318</v>
      </c>
      <c r="BE56" s="467">
        <f t="shared" ca="1" si="24"/>
        <v>44347</v>
      </c>
      <c r="BF56" s="468">
        <f ca="1">IF(計算!$BC56&lt;OP!$C$3,0,BD56-BC56)</f>
        <v>1</v>
      </c>
      <c r="BG56" s="468">
        <f ca="1">IF($BE56&gt;DATE(YEAR($BD$9)+OP!$C$57,MONTH($BD$9),DAY($BD$9)),0,$BE56-$BD56+1)</f>
        <v>30</v>
      </c>
      <c r="BH56" s="469">
        <f t="shared" ca="1" si="25"/>
        <v>31</v>
      </c>
      <c r="BI56" t="str">
        <f t="shared" si="63"/>
        <v/>
      </c>
      <c r="BJ56">
        <v>11</v>
      </c>
      <c r="BN56" s="468">
        <f t="shared" si="48"/>
        <v>4</v>
      </c>
      <c r="BO56" s="468">
        <f t="shared" si="49"/>
        <v>11</v>
      </c>
      <c r="BP56" s="467">
        <f t="shared" ca="1" si="26"/>
        <v>44318</v>
      </c>
      <c r="BQ56" s="475">
        <f t="shared" ca="1" si="60"/>
        <v>36</v>
      </c>
      <c r="BR56" s="475" t="str">
        <f t="shared" si="50"/>
        <v/>
      </c>
      <c r="BS56" s="471" t="str">
        <f t="shared" si="27"/>
        <v/>
      </c>
      <c r="BT56" s="472" t="str">
        <f t="shared" si="64"/>
        <v/>
      </c>
      <c r="BU56" s="472">
        <f t="shared" ca="1" si="28"/>
        <v>0</v>
      </c>
      <c r="BV56" s="472">
        <f t="shared" ca="1" si="28"/>
        <v>0</v>
      </c>
      <c r="BW56" s="472"/>
      <c r="BX56" s="473">
        <f t="shared" ca="1" si="29"/>
        <v>0</v>
      </c>
      <c r="BY56" s="473">
        <f t="shared" si="30"/>
        <v>0</v>
      </c>
      <c r="BZ56" s="473">
        <f t="shared" ca="1" si="4"/>
        <v>0</v>
      </c>
      <c r="CA56" s="476">
        <f t="shared" ca="1" si="31"/>
        <v>0</v>
      </c>
      <c r="CB56" s="494">
        <f ca="1">IF(OR($Q55&lt;&gt;1,OP!$D$5+$BN56-1&lt;16,$BN56-1&lt;1),0,ROUND(ROUND(ROUND(((VLOOKUP($BN56-1,MORE_PV,5,0)/10000)*VLOOKUP($BN56,MORE_PV,$CB$5,0)),3)*VLOOKUP($BN56,more1,5,0),0)/$R55,0))</f>
        <v>0</v>
      </c>
      <c r="CC56" s="473">
        <f t="shared" ca="1" si="32"/>
        <v>0</v>
      </c>
      <c r="CD56" s="477"/>
      <c r="CE56" s="468">
        <f t="shared" si="51"/>
        <v>4</v>
      </c>
      <c r="CF56" s="468">
        <f t="shared" si="52"/>
        <v>11</v>
      </c>
      <c r="CG56" s="467">
        <f t="shared" ca="1" si="5"/>
        <v>44318</v>
      </c>
      <c r="CH56" s="475">
        <f t="shared" ca="1" si="61"/>
        <v>36</v>
      </c>
      <c r="CI56" s="513" t="str">
        <f t="shared" si="53"/>
        <v/>
      </c>
      <c r="CJ56" s="511">
        <f t="shared" si="33"/>
        <v>0</v>
      </c>
      <c r="CK56" s="512">
        <f t="shared" si="34"/>
        <v>0</v>
      </c>
      <c r="CL56" s="511">
        <f t="shared" ca="1" si="54"/>
        <v>0</v>
      </c>
      <c r="CM56" s="511">
        <f ca="1">ROUND(CS56-IF(OR($CE56&gt;=OP!$C$24,AND(CH56=15,CF56=12),CS56=0),0,(CT56-CR56)),$CM$7)</f>
        <v>0</v>
      </c>
      <c r="CN56" s="511"/>
      <c r="CO56" s="351">
        <f t="shared" ca="1" si="35"/>
        <v>6074</v>
      </c>
      <c r="CP56" s="473">
        <f t="shared" si="36"/>
        <v>0</v>
      </c>
      <c r="CQ56" s="473">
        <f t="shared" ca="1" si="6"/>
        <v>13.877009655</v>
      </c>
      <c r="CR56" s="476">
        <f t="shared" ca="1" si="37"/>
        <v>0</v>
      </c>
      <c r="CS56" s="494">
        <f ca="1">IF(OR($Q55&lt;&gt;1,OP!$D$5+$CE56-1&lt;16,$CE56-1&lt;1),0,ROUND(ROUND(ROUND(((VLOOKUP($CE56-1,MORE_PV,5,0)/10000)*VLOOKUP($CE56,MORE_PV,$CS$5,0)),3)*VLOOKUP($CE56,more1,5,0),0)/$R55,0))</f>
        <v>0</v>
      </c>
      <c r="CT56" s="473">
        <f>IF($AW56=1,IF(N($CR56+$CS56)&lt;N($AX56)*OP!$C$50,N($CR56+$CS56),MIN(N($CR56+$CS56),N($AX56))),0)</f>
        <v>0</v>
      </c>
      <c r="CV56" s="503">
        <f t="shared" ca="1" si="38"/>
        <v>6073.5816519789996</v>
      </c>
      <c r="CW56" s="503">
        <f t="shared" ca="1" si="39"/>
        <v>0</v>
      </c>
      <c r="CX56" s="503">
        <f t="shared" ca="1" si="40"/>
        <v>6087.0091018029998</v>
      </c>
    </row>
    <row r="57" spans="1:102" ht="16.5" hidden="1">
      <c r="A57" s="450">
        <f ca="1">OP!$D$5+$B57-1</f>
        <v>79</v>
      </c>
      <c r="B57" s="192">
        <v>47</v>
      </c>
      <c r="C57" s="219">
        <f ca="1">ROUND(VLOOKUP(OP!$C$55,PV0,B57+2,0)*OP!$C$28,0)</f>
        <v>2286704</v>
      </c>
      <c r="D57" s="189">
        <f t="shared" ca="1" si="65"/>
        <v>2286704</v>
      </c>
      <c r="E57" s="221">
        <f t="shared" ca="1" si="66"/>
        <v>2.69E-2</v>
      </c>
      <c r="F57" s="222">
        <f t="shared" ca="1" si="67"/>
        <v>6.8999999999999999E-3</v>
      </c>
      <c r="G57" s="223">
        <f t="shared" ca="1" si="68"/>
        <v>767084</v>
      </c>
      <c r="H57" s="224">
        <f t="shared" ca="1" si="56"/>
        <v>16150</v>
      </c>
      <c r="I57" s="450">
        <f t="shared" ca="1" si="57"/>
        <v>1</v>
      </c>
      <c r="J57" s="192">
        <f t="shared" si="7"/>
        <v>5</v>
      </c>
      <c r="K57" s="192">
        <f t="shared" si="8"/>
        <v>1</v>
      </c>
      <c r="L57" s="192" t="str">
        <f t="shared" si="0"/>
        <v/>
      </c>
      <c r="M57" s="216">
        <f t="shared" ca="1" si="9"/>
        <v>0</v>
      </c>
      <c r="N57" s="216"/>
      <c r="O57" s="216"/>
      <c r="P57" s="216"/>
      <c r="Q57" s="456" t="str">
        <f t="shared" ca="1" si="10"/>
        <v/>
      </c>
      <c r="R57" s="450">
        <f t="shared" ca="1" si="11"/>
        <v>1</v>
      </c>
      <c r="S57" s="191">
        <f t="shared" si="12"/>
        <v>5</v>
      </c>
      <c r="T57" s="191">
        <f t="shared" si="13"/>
        <v>1</v>
      </c>
      <c r="U57" s="191">
        <f ca="1">OP!$D$5+$S57-1</f>
        <v>37</v>
      </c>
      <c r="V57" s="191" t="str">
        <f t="shared" si="14"/>
        <v/>
      </c>
      <c r="W57" s="350">
        <f ca="1">IF(Q57&lt;&gt;1,0,VLOOKUP(OP!$C$55,PVFB,$S57+2,0))</f>
        <v>0</v>
      </c>
      <c r="X57" s="473">
        <f t="shared" ca="1" si="44"/>
        <v>0</v>
      </c>
      <c r="Y57" s="348">
        <f t="shared" ca="1" si="45"/>
        <v>0</v>
      </c>
      <c r="Z57" s="348">
        <f t="shared" ca="1" si="46"/>
        <v>3655</v>
      </c>
      <c r="AA57" s="348">
        <f ca="1">IF(Q57&lt;&gt;1,0,VLOOKUP(OP!$C$55,PVFB,$S57+2,0))</f>
        <v>0</v>
      </c>
      <c r="AB57" s="488" t="str">
        <f ca="1">IF(AND(S57&lt;OP!$C$24,$U57&lt;15),0,IF(AND($U57&lt;15,$T57=12),ROUND(VLOOKUP($S57,DOWN16,5,0),3),IF($T57=12,ROUND(($Z57/10000)*$AA57,3)+IF(AND($P$7="購買增額繳清保險",T57=12,U57=110),VLOOKUP(S57,$B$10:$H$121,7,0),0),"")))</f>
        <v/>
      </c>
      <c r="AC57" s="350" t="str">
        <f ca="1">IF(AND(S57&lt;OP!$C$24,$U57&lt;15),0,IF(AND($U57&lt;16,$T57=12),VLOOKUP($S57,DOWN16,4,0),IF($T57=12,ROUND(VLOOKUP(OP!$C$55,_DIE2,$S57+1,0)*(Z57/10000),0)+IF(AND($P$7="購買增額繳清保險",T57=12,U57=110),VLOOKUP(S57,$B$10:$H$121,7,0),0),"")))</f>
        <v/>
      </c>
      <c r="AD57" s="347"/>
      <c r="AE57" s="350" t="str">
        <f t="shared" ca="1" si="1"/>
        <v/>
      </c>
      <c r="AF57" s="351" t="str">
        <f t="shared" ca="1" si="2"/>
        <v/>
      </c>
      <c r="AG57" s="340"/>
      <c r="AH57" s="340"/>
      <c r="AI57" s="340"/>
      <c r="AJ57" s="340"/>
      <c r="AK57" s="340"/>
      <c r="AL57" s="340"/>
      <c r="AM57" s="340"/>
      <c r="AN57" s="191">
        <f t="shared" si="15"/>
        <v>5</v>
      </c>
      <c r="AO57" s="191">
        <f t="shared" si="16"/>
        <v>1</v>
      </c>
      <c r="AP57" s="191">
        <f ca="1">OP!$D$5+$AN57-1</f>
        <v>37</v>
      </c>
      <c r="AQ57" s="191" t="str">
        <f t="shared" si="17"/>
        <v/>
      </c>
      <c r="AR57" s="352">
        <f t="shared" ca="1" si="18"/>
        <v>0</v>
      </c>
      <c r="AS57" s="352"/>
      <c r="AT57" s="352"/>
      <c r="AU57" s="436"/>
      <c r="AV57" s="353" t="str">
        <f t="shared" ca="1" si="19"/>
        <v/>
      </c>
      <c r="AW57" s="422">
        <f t="shared" si="20"/>
        <v>1</v>
      </c>
      <c r="AX57" s="423" t="str">
        <f ca="1">IF(AND($AW57=1,$AP57&lt;16,$AN56&lt;OP!$C$24),OP!$C$49,"")</f>
        <v/>
      </c>
      <c r="AY57" s="340"/>
      <c r="AZ57" s="465">
        <f t="shared" ca="1" si="21"/>
        <v>7.3698599999999999E-5</v>
      </c>
      <c r="BA57" s="464">
        <f t="shared" ca="1" si="22"/>
        <v>2.1372602999999999E-3</v>
      </c>
      <c r="BB57" s="465">
        <f t="shared" ca="1" si="22"/>
        <v>2.2109589000000002E-3</v>
      </c>
      <c r="BC57" s="466">
        <f t="shared" ca="1" si="23"/>
        <v>44348</v>
      </c>
      <c r="BD57" s="467">
        <f t="shared" ca="1" si="47"/>
        <v>44349</v>
      </c>
      <c r="BE57" s="467">
        <f t="shared" ca="1" si="24"/>
        <v>44377</v>
      </c>
      <c r="BF57" s="468">
        <f ca="1">IF(計算!$BC57&lt;OP!$C$3,0,BD57-BC57)</f>
        <v>1</v>
      </c>
      <c r="BG57" s="468">
        <f ca="1">IF($BE57&gt;DATE(YEAR($BD$9)+OP!$C$57,MONTH($BD$9),DAY($BD$9)),0,$BE57-$BD57+1)</f>
        <v>29</v>
      </c>
      <c r="BH57" s="469">
        <f t="shared" ca="1" si="25"/>
        <v>30</v>
      </c>
      <c r="BI57">
        <f t="shared" ca="1" si="63"/>
        <v>365</v>
      </c>
      <c r="BJ57">
        <v>12</v>
      </c>
      <c r="BN57" s="468">
        <f t="shared" si="48"/>
        <v>4</v>
      </c>
      <c r="BO57" s="468">
        <f t="shared" si="49"/>
        <v>12</v>
      </c>
      <c r="BP57" s="467">
        <f t="shared" ca="1" si="26"/>
        <v>44349</v>
      </c>
      <c r="BQ57" s="475">
        <f t="shared" ca="1" si="60"/>
        <v>36</v>
      </c>
      <c r="BR57" s="475">
        <f t="shared" si="50"/>
        <v>4</v>
      </c>
      <c r="BS57" s="471">
        <f t="shared" ca="1" si="27"/>
        <v>4470</v>
      </c>
      <c r="BT57" s="472">
        <f t="shared" ca="1" si="64"/>
        <v>0</v>
      </c>
      <c r="BU57" s="472">
        <f t="shared" ca="1" si="28"/>
        <v>4428</v>
      </c>
      <c r="BV57" s="472">
        <f t="shared" ca="1" si="28"/>
        <v>42</v>
      </c>
      <c r="BW57" s="472">
        <f ca="1">ROUND(SUM(BY57,BZ45:BZ56),0)</f>
        <v>0</v>
      </c>
      <c r="BX57" s="473">
        <f t="shared" ca="1" si="29"/>
        <v>0</v>
      </c>
      <c r="BY57" s="473">
        <f t="shared" ca="1" si="30"/>
        <v>0</v>
      </c>
      <c r="BZ57" s="473">
        <f t="shared" ca="1" si="4"/>
        <v>0</v>
      </c>
      <c r="CA57" s="476">
        <f t="shared" ca="1" si="31"/>
        <v>4428</v>
      </c>
      <c r="CB57" s="494">
        <f ca="1">IF(OR($Q56&lt;&gt;1,OP!$D$5+$BN57-1&lt;16,$BN57-1&lt;1),0,ROUND(ROUND(ROUND(((VLOOKUP($BN57-1,MORE_PV,5,0)/10000)*VLOOKUP($BN57,MORE_PV,$CB$5,0)),3)*VLOOKUP($BN57,more1,5,0),0)/$R56,0))</f>
        <v>42</v>
      </c>
      <c r="CC57" s="473">
        <f t="shared" ca="1" si="32"/>
        <v>0</v>
      </c>
      <c r="CD57" s="477"/>
      <c r="CE57" s="468">
        <f t="shared" si="51"/>
        <v>4</v>
      </c>
      <c r="CF57" s="468">
        <f t="shared" si="52"/>
        <v>12</v>
      </c>
      <c r="CG57" s="467">
        <f t="shared" ca="1" si="5"/>
        <v>44349</v>
      </c>
      <c r="CH57" s="475">
        <f t="shared" ca="1" si="61"/>
        <v>36</v>
      </c>
      <c r="CI57" s="513">
        <f t="shared" si="53"/>
        <v>4</v>
      </c>
      <c r="CJ57" s="511">
        <f t="shared" ca="1" si="33"/>
        <v>8940</v>
      </c>
      <c r="CK57" s="512">
        <f t="shared" ca="1" si="34"/>
        <v>10515.457705852001</v>
      </c>
      <c r="CL57" s="511">
        <f t="shared" ca="1" si="54"/>
        <v>4470</v>
      </c>
      <c r="CM57" s="511">
        <f ca="1">ROUND(CS57-IF(OR($CE57&gt;=OP!$C$24,AND(CH57=15,CF57=12),CS57=0),0,(CT57-CR57)),$CM$7)</f>
        <v>4470</v>
      </c>
      <c r="CN57" s="511">
        <f ca="1">ROUND(SUM(CP57,CQ45:CQ56),$CN$7)</f>
        <v>161.4016105</v>
      </c>
      <c r="CO57" s="351">
        <f t="shared" ca="1" si="35"/>
        <v>10515</v>
      </c>
      <c r="CP57" s="473">
        <f t="shared" ca="1" si="36"/>
        <v>0.44866801299999998</v>
      </c>
      <c r="CQ57" s="473">
        <f t="shared" ca="1" si="6"/>
        <v>22.473292055000002</v>
      </c>
      <c r="CR57" s="476">
        <f t="shared" ca="1" si="37"/>
        <v>4428</v>
      </c>
      <c r="CS57" s="494">
        <f ca="1">IF(OR($Q56&lt;&gt;1,OP!$D$5+$CE57-1&lt;16,$CE57-1&lt;1),0,ROUND(ROUND(ROUND(((VLOOKUP($CE57-1,MORE_PV,5,0)/10000)*VLOOKUP($CE57,MORE_PV,$CS$5,0)),3)*VLOOKUP($CE57,more1,5,0),0)/$R56,0))</f>
        <v>42</v>
      </c>
      <c r="CT57" s="473">
        <f ca="1">IF($AW57=1,IF(N($CR57+$CS57)&lt;N($AX57)*OP!$C$50,N($CR57+$CS57),MIN(N($CR57+$CS57),N($AX57))),0)</f>
        <v>0</v>
      </c>
      <c r="CV57" s="503">
        <f t="shared" ca="1" si="38"/>
        <v>10515.457705852001</v>
      </c>
      <c r="CW57" s="503">
        <f t="shared" ca="1" si="39"/>
        <v>4437.463788608</v>
      </c>
      <c r="CX57" s="503">
        <f t="shared" ca="1" si="40"/>
        <v>10537.931017359</v>
      </c>
    </row>
    <row r="58" spans="1:102" ht="16.5" hidden="1">
      <c r="A58" s="450">
        <f ca="1">OP!$D$5+$B58-1</f>
        <v>80</v>
      </c>
      <c r="B58" s="192">
        <v>48</v>
      </c>
      <c r="C58" s="219">
        <f ca="1">ROUND(VLOOKUP(OP!$C$55,PV0,B58+2,0)*OP!$C$28,0)</f>
        <v>2330530</v>
      </c>
      <c r="D58" s="189">
        <f t="shared" ca="1" si="65"/>
        <v>2330530</v>
      </c>
      <c r="E58" s="221">
        <f t="shared" ca="1" si="66"/>
        <v>2.69E-2</v>
      </c>
      <c r="F58" s="222">
        <f t="shared" ca="1" si="67"/>
        <v>6.8999999999999999E-3</v>
      </c>
      <c r="G58" s="223">
        <f t="shared" ca="1" si="68"/>
        <v>804435</v>
      </c>
      <c r="H58" s="224">
        <f t="shared" ca="1" si="56"/>
        <v>16460</v>
      </c>
      <c r="I58" s="450">
        <f t="shared" ca="1" si="57"/>
        <v>1</v>
      </c>
      <c r="J58" s="192">
        <f t="shared" si="7"/>
        <v>5</v>
      </c>
      <c r="K58" s="192">
        <f t="shared" si="8"/>
        <v>2</v>
      </c>
      <c r="L58" s="192" t="str">
        <f t="shared" si="0"/>
        <v/>
      </c>
      <c r="M58" s="216">
        <f t="shared" ca="1" si="9"/>
        <v>0</v>
      </c>
      <c r="N58" s="216"/>
      <c r="O58" s="216"/>
      <c r="P58" s="216"/>
      <c r="Q58" s="456" t="str">
        <f t="shared" ca="1" si="10"/>
        <v/>
      </c>
      <c r="R58" s="450">
        <f t="shared" ca="1" si="11"/>
        <v>1</v>
      </c>
      <c r="S58" s="191">
        <f t="shared" si="12"/>
        <v>5</v>
      </c>
      <c r="T58" s="191">
        <f t="shared" si="13"/>
        <v>2</v>
      </c>
      <c r="U58" s="191">
        <f ca="1">OP!$D$5+$S58-1</f>
        <v>37</v>
      </c>
      <c r="V58" s="191" t="str">
        <f t="shared" si="14"/>
        <v/>
      </c>
      <c r="W58" s="350">
        <f ca="1">IF(Q58&lt;&gt;1,0,VLOOKUP(OP!$C$55,PVFB,$S58+2,0))</f>
        <v>0</v>
      </c>
      <c r="X58" s="473">
        <f t="shared" ca="1" si="44"/>
        <v>0</v>
      </c>
      <c r="Y58" s="348">
        <f t="shared" ca="1" si="45"/>
        <v>0</v>
      </c>
      <c r="Z58" s="348">
        <f t="shared" ca="1" si="46"/>
        <v>3655</v>
      </c>
      <c r="AA58" s="348">
        <f ca="1">IF(Q58&lt;&gt;1,0,VLOOKUP(OP!$C$55,PVFB,$S58+2,0))</f>
        <v>0</v>
      </c>
      <c r="AB58" s="488" t="str">
        <f ca="1">IF(AND(S58&lt;OP!$C$24,$U58&lt;15),0,IF(AND($U58&lt;15,$T58=12),ROUND(VLOOKUP($S58,DOWN16,5,0),3),IF($T58=12,ROUND(($Z58/10000)*$AA58,3)+IF(AND($P$7="購買增額繳清保險",T58=12,U58=110),VLOOKUP(S58,$B$10:$H$121,7,0),0),"")))</f>
        <v/>
      </c>
      <c r="AC58" s="350" t="str">
        <f ca="1">IF(AND(S58&lt;OP!$C$24,$U58&lt;15),0,IF(AND($U58&lt;16,$T58=12),VLOOKUP($S58,DOWN16,4,0),IF($T58=12,ROUND(VLOOKUP(OP!$C$55,_DIE2,$S58+1,0)*(Z58/10000),0)+IF(AND($P$7="購買增額繳清保險",T58=12,U58=110),VLOOKUP(S58,$B$10:$H$121,7,0),0),"")))</f>
        <v/>
      </c>
      <c r="AD58" s="347"/>
      <c r="AE58" s="350" t="str">
        <f t="shared" ca="1" si="1"/>
        <v/>
      </c>
      <c r="AF58" s="351" t="str">
        <f t="shared" ca="1" si="2"/>
        <v/>
      </c>
      <c r="AG58" s="340"/>
      <c r="AH58" s="340"/>
      <c r="AI58" s="340"/>
      <c r="AJ58" s="340"/>
      <c r="AK58" s="340"/>
      <c r="AL58" s="340"/>
      <c r="AM58" s="340"/>
      <c r="AN58" s="191">
        <f t="shared" si="15"/>
        <v>5</v>
      </c>
      <c r="AO58" s="191">
        <f t="shared" si="16"/>
        <v>2</v>
      </c>
      <c r="AP58" s="191">
        <f ca="1">OP!$D$5+$AN58-1</f>
        <v>37</v>
      </c>
      <c r="AQ58" s="191" t="str">
        <f t="shared" si="17"/>
        <v/>
      </c>
      <c r="AR58" s="352">
        <f t="shared" ca="1" si="18"/>
        <v>0</v>
      </c>
      <c r="AS58" s="352"/>
      <c r="AT58" s="352"/>
      <c r="AU58" s="436"/>
      <c r="AV58" s="353" t="str">
        <f t="shared" ca="1" si="19"/>
        <v/>
      </c>
      <c r="AW58" s="422" t="str">
        <f t="shared" si="20"/>
        <v/>
      </c>
      <c r="AX58" s="423" t="str">
        <f ca="1">IF(AND($AW58=1,$AP58&lt;16,$AN57&lt;OP!$C$24),OP!$C$49,"")</f>
        <v/>
      </c>
      <c r="AY58" s="340"/>
      <c r="AZ58" s="465">
        <f t="shared" ca="1" si="21"/>
        <v>7.3698599999999999E-5</v>
      </c>
      <c r="BA58" s="464">
        <f t="shared" ca="1" si="22"/>
        <v>2.2109589000000002E-3</v>
      </c>
      <c r="BB58" s="465">
        <f t="shared" ca="1" si="22"/>
        <v>2.2846575E-3</v>
      </c>
      <c r="BC58" s="466">
        <f t="shared" ca="1" si="23"/>
        <v>44378</v>
      </c>
      <c r="BD58" s="467">
        <f t="shared" ca="1" si="47"/>
        <v>44379</v>
      </c>
      <c r="BE58" s="467">
        <f t="shared" ca="1" si="24"/>
        <v>44408</v>
      </c>
      <c r="BF58" s="468">
        <f ca="1">IF(計算!$BC58&lt;OP!$C$3,0,BD58-BC58)</f>
        <v>1</v>
      </c>
      <c r="BG58" s="468">
        <f ca="1">IF($BE58&gt;DATE(YEAR($BD$9)+OP!$C$57,MONTH($BD$9),DAY($BD$9)),0,$BE58-$BD58+1)</f>
        <v>30</v>
      </c>
      <c r="BH58" s="469">
        <f t="shared" ca="1" si="25"/>
        <v>31</v>
      </c>
      <c r="BI58" t="str">
        <f t="shared" si="63"/>
        <v/>
      </c>
      <c r="BJ58">
        <v>1</v>
      </c>
      <c r="BN58" s="468">
        <f t="shared" si="48"/>
        <v>5</v>
      </c>
      <c r="BO58" s="468">
        <f t="shared" si="49"/>
        <v>1</v>
      </c>
      <c r="BP58" s="467">
        <f t="shared" ca="1" si="26"/>
        <v>44379</v>
      </c>
      <c r="BQ58" s="475">
        <f t="shared" ca="1" si="60"/>
        <v>37</v>
      </c>
      <c r="BR58" s="475" t="str">
        <f t="shared" si="50"/>
        <v/>
      </c>
      <c r="BS58" s="471" t="str">
        <f t="shared" si="27"/>
        <v/>
      </c>
      <c r="BT58" s="472" t="str">
        <f t="shared" si="64"/>
        <v/>
      </c>
      <c r="BU58" s="472">
        <f t="shared" ca="1" si="28"/>
        <v>0</v>
      </c>
      <c r="BV58" s="472">
        <f t="shared" ca="1" si="28"/>
        <v>0</v>
      </c>
      <c r="BW58" s="472"/>
      <c r="BX58" s="473">
        <f t="shared" ca="1" si="29"/>
        <v>0</v>
      </c>
      <c r="BY58" s="473">
        <f t="shared" si="30"/>
        <v>0</v>
      </c>
      <c r="BZ58" s="473">
        <f t="shared" ca="1" si="4"/>
        <v>0</v>
      </c>
      <c r="CA58" s="476">
        <f t="shared" ca="1" si="31"/>
        <v>0</v>
      </c>
      <c r="CB58" s="494">
        <f ca="1">IF(OR($Q57&lt;&gt;1,OP!$D$5+$BN58-1&lt;16,$BN58-1&lt;1),0,ROUND(ROUND(ROUND(((VLOOKUP($BN58-1,MORE_PV,5,0)/10000)*VLOOKUP($BN58,MORE_PV,$CB$5,0)),3)*VLOOKUP($BN58,more1,5,0),0)/$R57,0))</f>
        <v>0</v>
      </c>
      <c r="CC58" s="473">
        <f t="shared" ca="1" si="32"/>
        <v>0</v>
      </c>
      <c r="CD58" s="477"/>
      <c r="CE58" s="468">
        <f t="shared" si="51"/>
        <v>5</v>
      </c>
      <c r="CF58" s="468">
        <f t="shared" si="52"/>
        <v>1</v>
      </c>
      <c r="CG58" s="467">
        <f t="shared" ca="1" si="5"/>
        <v>44379</v>
      </c>
      <c r="CH58" s="475">
        <f t="shared" ca="1" si="61"/>
        <v>37</v>
      </c>
      <c r="CI58" s="513" t="str">
        <f t="shared" si="53"/>
        <v/>
      </c>
      <c r="CJ58" s="511">
        <f t="shared" si="33"/>
        <v>0</v>
      </c>
      <c r="CK58" s="512">
        <f t="shared" si="34"/>
        <v>0</v>
      </c>
      <c r="CL58" s="511">
        <f t="shared" ca="1" si="54"/>
        <v>0</v>
      </c>
      <c r="CM58" s="511">
        <f ca="1">ROUND(CS58-IF(OR($CE58&gt;=OP!$C$24,AND(CH58=15,CF58=12),CS58=0),0,(CT58-CR58)),$CM$7)</f>
        <v>0</v>
      </c>
      <c r="CN58" s="511"/>
      <c r="CO58" s="351">
        <f t="shared" ca="1" si="35"/>
        <v>10539</v>
      </c>
      <c r="CP58" s="473">
        <f t="shared" si="36"/>
        <v>0</v>
      </c>
      <c r="CQ58" s="473">
        <f t="shared" ca="1" si="6"/>
        <v>24.078005393000002</v>
      </c>
      <c r="CR58" s="476">
        <f t="shared" ca="1" si="37"/>
        <v>0</v>
      </c>
      <c r="CS58" s="494">
        <f ca="1">IF(OR($Q57&lt;&gt;1,OP!$D$5+$CE58-1&lt;16,$CE58-1&lt;1),0,ROUND(ROUND(ROUND(((VLOOKUP($CE58-1,MORE_PV,5,0)/10000)*VLOOKUP($CE58,MORE_PV,$CS$5,0)),3)*VLOOKUP($CE58,more1,5,0),0)/$R57,0))</f>
        <v>0</v>
      </c>
      <c r="CT58" s="473">
        <f>IF($AW58=1,IF(N($CR58+$CS58)&lt;N($AX58)*OP!$C$50,N($CR58+$CS58),MIN(N($CR58+$CS58),N($AX58))),0)</f>
        <v>0</v>
      </c>
      <c r="CV58" s="503">
        <f t="shared" ca="1" si="38"/>
        <v>10538.707648121999</v>
      </c>
      <c r="CW58" s="503">
        <f t="shared" ca="1" si="39"/>
        <v>0</v>
      </c>
      <c r="CX58" s="503">
        <f t="shared" ca="1" si="40"/>
        <v>10562.006580492</v>
      </c>
    </row>
    <row r="59" spans="1:102" ht="16.5" hidden="1">
      <c r="A59" s="450">
        <f ca="1">OP!$D$5+$B59-1</f>
        <v>81</v>
      </c>
      <c r="B59" s="192">
        <v>49</v>
      </c>
      <c r="C59" s="219">
        <f ca="1">ROUND(VLOOKUP(OP!$C$55,PV0,B59+2,0)*OP!$C$28,0)</f>
        <v>2374798</v>
      </c>
      <c r="D59" s="189">
        <f t="shared" ca="1" si="65"/>
        <v>2374798</v>
      </c>
      <c r="E59" s="221">
        <f t="shared" ca="1" si="66"/>
        <v>2.69E-2</v>
      </c>
      <c r="F59" s="222">
        <f t="shared" ca="1" si="67"/>
        <v>6.8999999999999999E-3</v>
      </c>
      <c r="G59" s="223">
        <f t="shared" ca="1" si="68"/>
        <v>843115</v>
      </c>
      <c r="H59" s="224">
        <f t="shared" ca="1" si="56"/>
        <v>16772</v>
      </c>
      <c r="I59" s="450">
        <f t="shared" ca="1" si="57"/>
        <v>1</v>
      </c>
      <c r="J59" s="192">
        <f t="shared" si="7"/>
        <v>5</v>
      </c>
      <c r="K59" s="192">
        <f t="shared" si="8"/>
        <v>3</v>
      </c>
      <c r="L59" s="192" t="str">
        <f t="shared" si="0"/>
        <v/>
      </c>
      <c r="M59" s="216">
        <f t="shared" ca="1" si="9"/>
        <v>0</v>
      </c>
      <c r="N59" s="216"/>
      <c r="O59" s="216"/>
      <c r="P59" s="216"/>
      <c r="Q59" s="456" t="str">
        <f t="shared" ca="1" si="10"/>
        <v/>
      </c>
      <c r="R59" s="450">
        <f t="shared" ca="1" si="11"/>
        <v>1</v>
      </c>
      <c r="S59" s="191">
        <f t="shared" si="12"/>
        <v>5</v>
      </c>
      <c r="T59" s="191">
        <f t="shared" si="13"/>
        <v>3</v>
      </c>
      <c r="U59" s="191">
        <f ca="1">OP!$D$5+$S59-1</f>
        <v>37</v>
      </c>
      <c r="V59" s="191" t="str">
        <f t="shared" si="14"/>
        <v/>
      </c>
      <c r="W59" s="350">
        <f ca="1">IF(Q59&lt;&gt;1,0,VLOOKUP(OP!$C$55,PVFB,$S59+2,0))</f>
        <v>0</v>
      </c>
      <c r="X59" s="473">
        <f t="shared" ca="1" si="44"/>
        <v>0</v>
      </c>
      <c r="Y59" s="348">
        <f t="shared" ca="1" si="45"/>
        <v>0</v>
      </c>
      <c r="Z59" s="348">
        <f t="shared" ca="1" si="46"/>
        <v>3655</v>
      </c>
      <c r="AA59" s="348">
        <f ca="1">IF(Q59&lt;&gt;1,0,VLOOKUP(OP!$C$55,PVFB,$S59+2,0))</f>
        <v>0</v>
      </c>
      <c r="AB59" s="488" t="str">
        <f ca="1">IF(AND(S59&lt;OP!$C$24,$U59&lt;15),0,IF(AND($U59&lt;15,$T59=12),ROUND(VLOOKUP($S59,DOWN16,5,0),3),IF($T59=12,ROUND(($Z59/10000)*$AA59,3)+IF(AND($P$7="購買增額繳清保險",T59=12,U59=110),VLOOKUP(S59,$B$10:$H$121,7,0),0),"")))</f>
        <v/>
      </c>
      <c r="AC59" s="350" t="str">
        <f ca="1">IF(AND(S59&lt;OP!$C$24,$U59&lt;15),0,IF(AND($U59&lt;16,$T59=12),VLOOKUP($S59,DOWN16,4,0),IF($T59=12,ROUND(VLOOKUP(OP!$C$55,_DIE2,$S59+1,0)*(Z59/10000),0)+IF(AND($P$7="購買增額繳清保險",T59=12,U59=110),VLOOKUP(S59,$B$10:$H$121,7,0),0),"")))</f>
        <v/>
      </c>
      <c r="AD59" s="347"/>
      <c r="AE59" s="350" t="str">
        <f t="shared" ca="1" si="1"/>
        <v/>
      </c>
      <c r="AF59" s="351" t="str">
        <f t="shared" ca="1" si="2"/>
        <v/>
      </c>
      <c r="AG59" s="340"/>
      <c r="AH59" s="340"/>
      <c r="AI59" s="340"/>
      <c r="AJ59" s="340"/>
      <c r="AK59" s="340"/>
      <c r="AL59" s="340"/>
      <c r="AM59" s="340"/>
      <c r="AN59" s="191">
        <f t="shared" si="15"/>
        <v>5</v>
      </c>
      <c r="AO59" s="191">
        <f t="shared" si="16"/>
        <v>3</v>
      </c>
      <c r="AP59" s="191">
        <f ca="1">OP!$D$5+$AN59-1</f>
        <v>37</v>
      </c>
      <c r="AQ59" s="191" t="str">
        <f t="shared" si="17"/>
        <v/>
      </c>
      <c r="AR59" s="352">
        <f t="shared" ca="1" si="18"/>
        <v>0</v>
      </c>
      <c r="AS59" s="352"/>
      <c r="AT59" s="352"/>
      <c r="AU59" s="436"/>
      <c r="AV59" s="353" t="str">
        <f t="shared" ca="1" si="19"/>
        <v/>
      </c>
      <c r="AW59" s="422" t="str">
        <f t="shared" si="20"/>
        <v/>
      </c>
      <c r="AX59" s="423" t="str">
        <f ca="1">IF(AND($AW59=1,$AP59&lt;16,$AN58&lt;OP!$C$24),OP!$C$49,"")</f>
        <v/>
      </c>
      <c r="AY59" s="340"/>
      <c r="AZ59" s="465">
        <f t="shared" ca="1" si="21"/>
        <v>7.3698599999999999E-5</v>
      </c>
      <c r="BA59" s="464">
        <f t="shared" ca="1" si="22"/>
        <v>2.2109589000000002E-3</v>
      </c>
      <c r="BB59" s="465">
        <f t="shared" ca="1" si="22"/>
        <v>2.2846575E-3</v>
      </c>
      <c r="BC59" s="466">
        <f t="shared" ca="1" si="23"/>
        <v>44409</v>
      </c>
      <c r="BD59" s="467">
        <f t="shared" ca="1" si="47"/>
        <v>44410</v>
      </c>
      <c r="BE59" s="467">
        <f t="shared" ca="1" si="24"/>
        <v>44439</v>
      </c>
      <c r="BF59" s="468">
        <f ca="1">IF(計算!$BC59&lt;OP!$C$3,0,BD59-BC59)</f>
        <v>1</v>
      </c>
      <c r="BG59" s="468">
        <f ca="1">IF($BE59&gt;DATE(YEAR($BD$9)+OP!$C$57,MONTH($BD$9),DAY($BD$9)),0,$BE59-$BD59+1)</f>
        <v>30</v>
      </c>
      <c r="BH59" s="469">
        <f t="shared" ca="1" si="25"/>
        <v>31</v>
      </c>
      <c r="BI59" t="str">
        <f t="shared" si="63"/>
        <v/>
      </c>
      <c r="BJ59">
        <v>2</v>
      </c>
      <c r="BN59" s="468">
        <f t="shared" si="48"/>
        <v>5</v>
      </c>
      <c r="BO59" s="468">
        <f t="shared" si="49"/>
        <v>2</v>
      </c>
      <c r="BP59" s="467">
        <f t="shared" ca="1" si="26"/>
        <v>44410</v>
      </c>
      <c r="BQ59" s="475">
        <f t="shared" ca="1" si="60"/>
        <v>37</v>
      </c>
      <c r="BR59" s="475" t="str">
        <f t="shared" si="50"/>
        <v/>
      </c>
      <c r="BS59" s="471" t="str">
        <f t="shared" si="27"/>
        <v/>
      </c>
      <c r="BT59" s="472" t="str">
        <f t="shared" si="64"/>
        <v/>
      </c>
      <c r="BU59" s="472">
        <f t="shared" ca="1" si="28"/>
        <v>0</v>
      </c>
      <c r="BV59" s="472">
        <f t="shared" ca="1" si="28"/>
        <v>0</v>
      </c>
      <c r="BW59" s="472"/>
      <c r="BX59" s="473">
        <f t="shared" ca="1" si="29"/>
        <v>0</v>
      </c>
      <c r="BY59" s="473">
        <f t="shared" si="30"/>
        <v>0</v>
      </c>
      <c r="BZ59" s="473">
        <f t="shared" ca="1" si="4"/>
        <v>0</v>
      </c>
      <c r="CA59" s="476">
        <f t="shared" ca="1" si="31"/>
        <v>0</v>
      </c>
      <c r="CB59" s="494">
        <f ca="1">IF(OR($Q58&lt;&gt;1,OP!$D$5+$BN59-1&lt;16,$BN59-1&lt;1),0,ROUND(ROUND(ROUND(((VLOOKUP($BN59-1,MORE_PV,5,0)/10000)*VLOOKUP($BN59,MORE_PV,$CB$5,0)),3)*VLOOKUP($BN59,more1,5,0),0)/$R58,0))</f>
        <v>0</v>
      </c>
      <c r="CC59" s="473">
        <f t="shared" ca="1" si="32"/>
        <v>0</v>
      </c>
      <c r="CD59" s="477"/>
      <c r="CE59" s="468">
        <f t="shared" si="51"/>
        <v>5</v>
      </c>
      <c r="CF59" s="468">
        <f t="shared" si="52"/>
        <v>2</v>
      </c>
      <c r="CG59" s="467">
        <f t="shared" ca="1" si="5"/>
        <v>44410</v>
      </c>
      <c r="CH59" s="475">
        <f t="shared" ca="1" si="61"/>
        <v>37</v>
      </c>
      <c r="CI59" s="513" t="str">
        <f t="shared" si="53"/>
        <v/>
      </c>
      <c r="CJ59" s="511">
        <f t="shared" si="33"/>
        <v>0</v>
      </c>
      <c r="CK59" s="512">
        <f t="shared" si="34"/>
        <v>0</v>
      </c>
      <c r="CL59" s="511">
        <f t="shared" ca="1" si="54"/>
        <v>0</v>
      </c>
      <c r="CM59" s="511">
        <f ca="1">ROUND(CS59-IF(OR($CE59&gt;=OP!$C$24,AND(CH59=15,CF59=12),CS59=0),0,(CT59-CR59)),$CM$7)</f>
        <v>0</v>
      </c>
      <c r="CN59" s="511"/>
      <c r="CO59" s="351">
        <f t="shared" ca="1" si="35"/>
        <v>10563</v>
      </c>
      <c r="CP59" s="473">
        <f t="shared" si="36"/>
        <v>0</v>
      </c>
      <c r="CQ59" s="473">
        <f t="shared" ca="1" si="6"/>
        <v>24.132837172999999</v>
      </c>
      <c r="CR59" s="476">
        <f t="shared" ca="1" si="37"/>
        <v>0</v>
      </c>
      <c r="CS59" s="494">
        <f ca="1">IF(OR($Q58&lt;&gt;1,OP!$D$5+$CE59-1&lt;16,$CE59-1&lt;1),0,ROUND(ROUND(ROUND(((VLOOKUP($CE59-1,MORE_PV,5,0)/10000)*VLOOKUP($CE59,MORE_PV,$CS$5,0)),3)*VLOOKUP($CE59,more1,5,0),0)/$R58,0))</f>
        <v>0</v>
      </c>
      <c r="CT59" s="473">
        <f>IF($AW59=1,IF(N($CR59+$CS59)&lt;N($AX59)*OP!$C$50,N($CR59+$CS59),MIN(N($CR59+$CS59),N($AX59))),0)</f>
        <v>0</v>
      </c>
      <c r="CV59" s="503">
        <f t="shared" ca="1" si="38"/>
        <v>10562.78498559</v>
      </c>
      <c r="CW59" s="503">
        <f t="shared" ca="1" si="39"/>
        <v>0</v>
      </c>
      <c r="CX59" s="503">
        <f t="shared" ca="1" si="40"/>
        <v>10586.137148041</v>
      </c>
    </row>
    <row r="60" spans="1:102" ht="16.5" hidden="1">
      <c r="A60" s="450">
        <f ca="1">OP!$D$5+$B60-1</f>
        <v>82</v>
      </c>
      <c r="B60" s="192">
        <v>50</v>
      </c>
      <c r="C60" s="219">
        <f ca="1">ROUND(VLOOKUP(OP!$C$55,PV0,B60+2,0)*OP!$C$28,0)</f>
        <v>2419508</v>
      </c>
      <c r="D60" s="189">
        <f t="shared" ca="1" si="65"/>
        <v>2419508</v>
      </c>
      <c r="E60" s="221">
        <f t="shared" ca="1" si="66"/>
        <v>2.69E-2</v>
      </c>
      <c r="F60" s="222">
        <f t="shared" ca="1" si="67"/>
        <v>6.8999999999999999E-3</v>
      </c>
      <c r="G60" s="223">
        <f t="shared" ca="1" si="68"/>
        <v>883165</v>
      </c>
      <c r="H60" s="224">
        <f t="shared" ca="1" si="56"/>
        <v>17088</v>
      </c>
      <c r="I60" s="450">
        <f t="shared" ca="1" si="57"/>
        <v>1</v>
      </c>
      <c r="J60" s="192">
        <f t="shared" si="7"/>
        <v>5</v>
      </c>
      <c r="K60" s="192">
        <f t="shared" si="8"/>
        <v>4</v>
      </c>
      <c r="L60" s="192" t="str">
        <f t="shared" si="0"/>
        <v/>
      </c>
      <c r="M60" s="216">
        <f t="shared" ca="1" si="9"/>
        <v>0</v>
      </c>
      <c r="N60" s="216"/>
      <c r="O60" s="216"/>
      <c r="P60" s="216"/>
      <c r="Q60" s="456" t="str">
        <f t="shared" ca="1" si="10"/>
        <v/>
      </c>
      <c r="R60" s="450">
        <f t="shared" ca="1" si="11"/>
        <v>1</v>
      </c>
      <c r="S60" s="191">
        <f t="shared" si="12"/>
        <v>5</v>
      </c>
      <c r="T60" s="191">
        <f t="shared" si="13"/>
        <v>4</v>
      </c>
      <c r="U60" s="191">
        <f ca="1">OP!$D$5+$S60-1</f>
        <v>37</v>
      </c>
      <c r="V60" s="191" t="str">
        <f t="shared" si="14"/>
        <v/>
      </c>
      <c r="W60" s="350">
        <f ca="1">IF(Q60&lt;&gt;1,0,VLOOKUP(OP!$C$55,PVFB,$S60+2,0))</f>
        <v>0</v>
      </c>
      <c r="X60" s="473">
        <f t="shared" ca="1" si="44"/>
        <v>0</v>
      </c>
      <c r="Y60" s="348">
        <f t="shared" ca="1" si="45"/>
        <v>0</v>
      </c>
      <c r="Z60" s="348">
        <f t="shared" ca="1" si="46"/>
        <v>3655</v>
      </c>
      <c r="AA60" s="348">
        <f ca="1">IF(Q60&lt;&gt;1,0,VLOOKUP(OP!$C$55,PVFB,$S60+2,0))</f>
        <v>0</v>
      </c>
      <c r="AB60" s="488" t="str">
        <f ca="1">IF(AND(S60&lt;OP!$C$24,$U60&lt;15),0,IF(AND($U60&lt;15,$T60=12),ROUND(VLOOKUP($S60,DOWN16,5,0),3),IF($T60=12,ROUND(($Z60/10000)*$AA60,3)+IF(AND($P$7="購買增額繳清保險",T60=12,U60=110),VLOOKUP(S60,$B$10:$H$121,7,0),0),"")))</f>
        <v/>
      </c>
      <c r="AC60" s="350" t="str">
        <f ca="1">IF(AND(S60&lt;OP!$C$24,$U60&lt;15),0,IF(AND($U60&lt;16,$T60=12),VLOOKUP($S60,DOWN16,4,0),IF($T60=12,ROUND(VLOOKUP(OP!$C$55,_DIE2,$S60+1,0)*(Z60/10000),0)+IF(AND($P$7="購買增額繳清保險",T60=12,U60=110),VLOOKUP(S60,$B$10:$H$121,7,0),0),"")))</f>
        <v/>
      </c>
      <c r="AD60" s="347"/>
      <c r="AE60" s="350" t="str">
        <f t="shared" ca="1" si="1"/>
        <v/>
      </c>
      <c r="AF60" s="351" t="str">
        <f t="shared" ca="1" si="2"/>
        <v/>
      </c>
      <c r="AG60" s="340"/>
      <c r="AH60" s="340"/>
      <c r="AI60" s="340"/>
      <c r="AJ60" s="340"/>
      <c r="AK60" s="340"/>
      <c r="AL60" s="340"/>
      <c r="AM60" s="340"/>
      <c r="AN60" s="191">
        <f t="shared" si="15"/>
        <v>5</v>
      </c>
      <c r="AO60" s="191">
        <f t="shared" si="16"/>
        <v>4</v>
      </c>
      <c r="AP60" s="191">
        <f ca="1">OP!$D$5+$AN60-1</f>
        <v>37</v>
      </c>
      <c r="AQ60" s="191" t="str">
        <f t="shared" si="17"/>
        <v/>
      </c>
      <c r="AR60" s="352">
        <f t="shared" ca="1" si="18"/>
        <v>0</v>
      </c>
      <c r="AS60" s="352"/>
      <c r="AT60" s="352"/>
      <c r="AU60" s="436"/>
      <c r="AV60" s="353" t="str">
        <f t="shared" ca="1" si="19"/>
        <v/>
      </c>
      <c r="AW60" s="422" t="str">
        <f t="shared" si="20"/>
        <v/>
      </c>
      <c r="AX60" s="423" t="str">
        <f ca="1">IF(AND($AW60=1,$AP60&lt;16,$AN59&lt;OP!$C$24),OP!$C$49,"")</f>
        <v/>
      </c>
      <c r="AY60" s="340"/>
      <c r="AZ60" s="465">
        <f t="shared" ca="1" si="21"/>
        <v>7.3698599999999999E-5</v>
      </c>
      <c r="BA60" s="464">
        <f t="shared" ca="1" si="22"/>
        <v>2.1372602999999999E-3</v>
      </c>
      <c r="BB60" s="465">
        <f t="shared" ca="1" si="22"/>
        <v>2.2109589000000002E-3</v>
      </c>
      <c r="BC60" s="466">
        <f t="shared" ca="1" si="23"/>
        <v>44440</v>
      </c>
      <c r="BD60" s="467">
        <f t="shared" ca="1" si="47"/>
        <v>44441</v>
      </c>
      <c r="BE60" s="467">
        <f t="shared" ca="1" si="24"/>
        <v>44469</v>
      </c>
      <c r="BF60" s="468">
        <f ca="1">IF(計算!$BC60&lt;OP!$C$3,0,BD60-BC60)</f>
        <v>1</v>
      </c>
      <c r="BG60" s="468">
        <f ca="1">IF($BE60&gt;DATE(YEAR($BD$9)+OP!$C$57,MONTH($BD$9),DAY($BD$9)),0,$BE60-$BD60+1)</f>
        <v>29</v>
      </c>
      <c r="BH60" s="469">
        <f t="shared" ca="1" si="25"/>
        <v>30</v>
      </c>
      <c r="BI60" t="str">
        <f t="shared" si="63"/>
        <v/>
      </c>
      <c r="BJ60">
        <v>3</v>
      </c>
      <c r="BN60" s="468">
        <f t="shared" si="48"/>
        <v>5</v>
      </c>
      <c r="BO60" s="468">
        <f t="shared" si="49"/>
        <v>3</v>
      </c>
      <c r="BP60" s="467">
        <f t="shared" ca="1" si="26"/>
        <v>44441</v>
      </c>
      <c r="BQ60" s="475">
        <f t="shared" ca="1" si="60"/>
        <v>37</v>
      </c>
      <c r="BR60" s="475" t="str">
        <f t="shared" si="50"/>
        <v/>
      </c>
      <c r="BS60" s="471" t="str">
        <f t="shared" si="27"/>
        <v/>
      </c>
      <c r="BT60" s="472" t="str">
        <f t="shared" si="64"/>
        <v/>
      </c>
      <c r="BU60" s="472">
        <f t="shared" ca="1" si="28"/>
        <v>0</v>
      </c>
      <c r="BV60" s="472">
        <f t="shared" ca="1" si="28"/>
        <v>0</v>
      </c>
      <c r="BW60" s="472"/>
      <c r="BX60" s="473">
        <f t="shared" ca="1" si="29"/>
        <v>0</v>
      </c>
      <c r="BY60" s="473">
        <f t="shared" si="30"/>
        <v>0</v>
      </c>
      <c r="BZ60" s="473">
        <f t="shared" ca="1" si="4"/>
        <v>0</v>
      </c>
      <c r="CA60" s="476">
        <f t="shared" ca="1" si="31"/>
        <v>0</v>
      </c>
      <c r="CB60" s="494">
        <f ca="1">IF(OR($Q59&lt;&gt;1,OP!$D$5+$BN60-1&lt;16,$BN60-1&lt;1),0,ROUND(ROUND(ROUND(((VLOOKUP($BN60-1,MORE_PV,5,0)/10000)*VLOOKUP($BN60,MORE_PV,$CB$5,0)),3)*VLOOKUP($BN60,more1,5,0),0)/$R59,0))</f>
        <v>0</v>
      </c>
      <c r="CC60" s="473">
        <f t="shared" ca="1" si="32"/>
        <v>0</v>
      </c>
      <c r="CD60" s="477"/>
      <c r="CE60" s="468">
        <f t="shared" si="51"/>
        <v>5</v>
      </c>
      <c r="CF60" s="468">
        <f t="shared" si="52"/>
        <v>3</v>
      </c>
      <c r="CG60" s="467">
        <f t="shared" ca="1" si="5"/>
        <v>44441</v>
      </c>
      <c r="CH60" s="475">
        <f t="shared" ca="1" si="61"/>
        <v>37</v>
      </c>
      <c r="CI60" s="513" t="str">
        <f t="shared" si="53"/>
        <v/>
      </c>
      <c r="CJ60" s="511">
        <f t="shared" si="33"/>
        <v>0</v>
      </c>
      <c r="CK60" s="512">
        <f t="shared" si="34"/>
        <v>0</v>
      </c>
      <c r="CL60" s="511">
        <f t="shared" ca="1" si="54"/>
        <v>0</v>
      </c>
      <c r="CM60" s="511">
        <f ca="1">ROUND(CS60-IF(OR($CE60&gt;=OP!$C$24,AND(CH60=15,CF60=12),CS60=0),0,(CT60-CR60)),$CM$7)</f>
        <v>0</v>
      </c>
      <c r="CN60" s="511"/>
      <c r="CO60" s="351">
        <f t="shared" ca="1" si="35"/>
        <v>10587</v>
      </c>
      <c r="CP60" s="473">
        <f t="shared" si="36"/>
        <v>0</v>
      </c>
      <c r="CQ60" s="473">
        <f t="shared" ca="1" si="6"/>
        <v>23.407421874000001</v>
      </c>
      <c r="CR60" s="476">
        <f t="shared" ca="1" si="37"/>
        <v>0</v>
      </c>
      <c r="CS60" s="494">
        <f ca="1">IF(OR($Q59&lt;&gt;1,OP!$D$5+$CE60-1&lt;16,$CE60-1&lt;1),0,ROUND(ROUND(ROUND(((VLOOKUP($CE60-1,MORE_PV,5,0)/10000)*VLOOKUP($CE60,MORE_PV,$CS$5,0)),3)*VLOOKUP($CE60,more1,5,0),0)/$R59,0))</f>
        <v>0</v>
      </c>
      <c r="CT60" s="473">
        <f>IF($AW60=1,IF(N($CR60+$CS60)&lt;N($AX60)*OP!$C$50,N($CR60+$CS60),MIN(N($CR60+$CS60),N($AX60))),0)</f>
        <v>0</v>
      </c>
      <c r="CV60" s="503">
        <f t="shared" ca="1" si="38"/>
        <v>10586.917331528</v>
      </c>
      <c r="CW60" s="503">
        <f t="shared" ca="1" si="39"/>
        <v>0</v>
      </c>
      <c r="CX60" s="503">
        <f t="shared" ca="1" si="40"/>
        <v>10609.542662185</v>
      </c>
    </row>
    <row r="61" spans="1:102" ht="16.5" hidden="1">
      <c r="A61" s="450">
        <f ca="1">OP!$D$5+$B61-1</f>
        <v>83</v>
      </c>
      <c r="B61" s="192">
        <v>51</v>
      </c>
      <c r="C61" s="219">
        <f ca="1">ROUND(VLOOKUP(OP!$C$55,PV0,B61+2,0)*OP!$C$28,0)</f>
        <v>2464660</v>
      </c>
      <c r="D61" s="189">
        <f t="shared" ca="1" si="65"/>
        <v>2464660</v>
      </c>
      <c r="E61" s="221">
        <f t="shared" ca="1" si="66"/>
        <v>2.69E-2</v>
      </c>
      <c r="F61" s="222">
        <f t="shared" ca="1" si="67"/>
        <v>6.8999999999999999E-3</v>
      </c>
      <c r="G61" s="223">
        <f t="shared" ca="1" si="68"/>
        <v>924691</v>
      </c>
      <c r="H61" s="224">
        <f t="shared" ca="1" si="56"/>
        <v>17407</v>
      </c>
      <c r="I61" s="450">
        <f t="shared" ca="1" si="57"/>
        <v>1</v>
      </c>
      <c r="J61" s="192">
        <f t="shared" si="7"/>
        <v>5</v>
      </c>
      <c r="K61" s="192">
        <f t="shared" si="8"/>
        <v>5</v>
      </c>
      <c r="L61" s="192" t="str">
        <f t="shared" si="0"/>
        <v/>
      </c>
      <c r="M61" s="216">
        <f t="shared" ca="1" si="9"/>
        <v>0</v>
      </c>
      <c r="N61" s="216"/>
      <c r="O61" s="216"/>
      <c r="P61" s="216"/>
      <c r="Q61" s="456" t="str">
        <f t="shared" ca="1" si="10"/>
        <v/>
      </c>
      <c r="R61" s="450">
        <f t="shared" ca="1" si="11"/>
        <v>1</v>
      </c>
      <c r="S61" s="191">
        <f t="shared" si="12"/>
        <v>5</v>
      </c>
      <c r="T61" s="191">
        <f t="shared" si="13"/>
        <v>5</v>
      </c>
      <c r="U61" s="191">
        <f ca="1">OP!$D$5+$S61-1</f>
        <v>37</v>
      </c>
      <c r="V61" s="191" t="str">
        <f t="shared" si="14"/>
        <v/>
      </c>
      <c r="W61" s="350">
        <f ca="1">IF(Q61&lt;&gt;1,0,VLOOKUP(OP!$C$55,PVFB,$S61+2,0))</f>
        <v>0</v>
      </c>
      <c r="X61" s="473">
        <f t="shared" ca="1" si="44"/>
        <v>0</v>
      </c>
      <c r="Y61" s="348">
        <f t="shared" ca="1" si="45"/>
        <v>0</v>
      </c>
      <c r="Z61" s="348">
        <f t="shared" ca="1" si="46"/>
        <v>3655</v>
      </c>
      <c r="AA61" s="348">
        <f ca="1">IF(Q61&lt;&gt;1,0,VLOOKUP(OP!$C$55,PVFB,$S61+2,0))</f>
        <v>0</v>
      </c>
      <c r="AB61" s="488" t="str">
        <f ca="1">IF(AND(S61&lt;OP!$C$24,$U61&lt;15),0,IF(AND($U61&lt;15,$T61=12),ROUND(VLOOKUP($S61,DOWN16,5,0),3),IF($T61=12,ROUND(($Z61/10000)*$AA61,3)+IF(AND($P$7="購買增額繳清保險",T61=12,U61=110),VLOOKUP(S61,$B$10:$H$121,7,0),0),"")))</f>
        <v/>
      </c>
      <c r="AC61" s="350" t="str">
        <f ca="1">IF(AND(S61&lt;OP!$C$24,$U61&lt;15),0,IF(AND($U61&lt;16,$T61=12),VLOOKUP($S61,DOWN16,4,0),IF($T61=12,ROUND(VLOOKUP(OP!$C$55,_DIE2,$S61+1,0)*(Z61/10000),0)+IF(AND($P$7="購買增額繳清保險",T61=12,U61=110),VLOOKUP(S61,$B$10:$H$121,7,0),0),"")))</f>
        <v/>
      </c>
      <c r="AD61" s="347"/>
      <c r="AE61" s="350" t="str">
        <f t="shared" ca="1" si="1"/>
        <v/>
      </c>
      <c r="AF61" s="351" t="str">
        <f t="shared" ca="1" si="2"/>
        <v/>
      </c>
      <c r="AG61" s="340"/>
      <c r="AH61" s="340"/>
      <c r="AI61" s="340"/>
      <c r="AJ61" s="340"/>
      <c r="AK61" s="340"/>
      <c r="AL61" s="340"/>
      <c r="AM61" s="340"/>
      <c r="AN61" s="191">
        <f t="shared" si="15"/>
        <v>5</v>
      </c>
      <c r="AO61" s="191">
        <f t="shared" si="16"/>
        <v>5</v>
      </c>
      <c r="AP61" s="191">
        <f ca="1">OP!$D$5+$AN61-1</f>
        <v>37</v>
      </c>
      <c r="AQ61" s="191" t="str">
        <f t="shared" si="17"/>
        <v/>
      </c>
      <c r="AR61" s="352">
        <f t="shared" ca="1" si="18"/>
        <v>0</v>
      </c>
      <c r="AS61" s="352"/>
      <c r="AT61" s="352"/>
      <c r="AU61" s="436"/>
      <c r="AV61" s="353" t="str">
        <f t="shared" ca="1" si="19"/>
        <v/>
      </c>
      <c r="AW61" s="422" t="str">
        <f t="shared" si="20"/>
        <v/>
      </c>
      <c r="AX61" s="423" t="str">
        <f ca="1">IF(AND($AW61=1,$AP61&lt;16,$AN60&lt;OP!$C$24),OP!$C$49,"")</f>
        <v/>
      </c>
      <c r="AY61" s="340"/>
      <c r="AZ61" s="465">
        <f t="shared" ca="1" si="21"/>
        <v>7.3698599999999999E-5</v>
      </c>
      <c r="BA61" s="464">
        <f t="shared" ca="1" si="22"/>
        <v>2.2109589000000002E-3</v>
      </c>
      <c r="BB61" s="465">
        <f t="shared" ca="1" si="22"/>
        <v>2.2846575E-3</v>
      </c>
      <c r="BC61" s="466">
        <f t="shared" ca="1" si="23"/>
        <v>44470</v>
      </c>
      <c r="BD61" s="467">
        <f t="shared" ca="1" si="47"/>
        <v>44471</v>
      </c>
      <c r="BE61" s="467">
        <f t="shared" ca="1" si="24"/>
        <v>44500</v>
      </c>
      <c r="BF61" s="468">
        <f ca="1">IF(計算!$BC61&lt;OP!$C$3,0,BD61-BC61)</f>
        <v>1</v>
      </c>
      <c r="BG61" s="468">
        <f ca="1">IF($BE61&gt;DATE(YEAR($BD$9)+OP!$C$57,MONTH($BD$9),DAY($BD$9)),0,$BE61-$BD61+1)</f>
        <v>30</v>
      </c>
      <c r="BH61" s="469">
        <f t="shared" ca="1" si="25"/>
        <v>31</v>
      </c>
      <c r="BI61" t="str">
        <f t="shared" si="63"/>
        <v/>
      </c>
      <c r="BJ61">
        <v>4</v>
      </c>
      <c r="BN61" s="468">
        <f t="shared" si="48"/>
        <v>5</v>
      </c>
      <c r="BO61" s="468">
        <f t="shared" si="49"/>
        <v>4</v>
      </c>
      <c r="BP61" s="467">
        <f t="shared" ca="1" si="26"/>
        <v>44471</v>
      </c>
      <c r="BQ61" s="475">
        <f t="shared" ca="1" si="60"/>
        <v>37</v>
      </c>
      <c r="BR61" s="475" t="str">
        <f t="shared" si="50"/>
        <v/>
      </c>
      <c r="BS61" s="471" t="str">
        <f t="shared" si="27"/>
        <v/>
      </c>
      <c r="BT61" s="472" t="str">
        <f t="shared" si="64"/>
        <v/>
      </c>
      <c r="BU61" s="472">
        <f t="shared" ca="1" si="28"/>
        <v>0</v>
      </c>
      <c r="BV61" s="472">
        <f t="shared" ca="1" si="28"/>
        <v>0</v>
      </c>
      <c r="BW61" s="472"/>
      <c r="BX61" s="473">
        <f t="shared" ca="1" si="29"/>
        <v>0</v>
      </c>
      <c r="BY61" s="473">
        <f t="shared" si="30"/>
        <v>0</v>
      </c>
      <c r="BZ61" s="473">
        <f t="shared" ca="1" si="4"/>
        <v>0</v>
      </c>
      <c r="CA61" s="476">
        <f t="shared" ca="1" si="31"/>
        <v>0</v>
      </c>
      <c r="CB61" s="494">
        <f ca="1">IF(OR($Q60&lt;&gt;1,OP!$D$5+$BN61-1&lt;16,$BN61-1&lt;1),0,ROUND(ROUND(ROUND(((VLOOKUP($BN61-1,MORE_PV,5,0)/10000)*VLOOKUP($BN61,MORE_PV,$CB$5,0)),3)*VLOOKUP($BN61,more1,5,0),0)/$R60,0))</f>
        <v>0</v>
      </c>
      <c r="CC61" s="473">
        <f t="shared" ca="1" si="32"/>
        <v>0</v>
      </c>
      <c r="CD61" s="477"/>
      <c r="CE61" s="468">
        <f t="shared" si="51"/>
        <v>5</v>
      </c>
      <c r="CF61" s="468">
        <f t="shared" si="52"/>
        <v>4</v>
      </c>
      <c r="CG61" s="467">
        <f t="shared" ca="1" si="5"/>
        <v>44471</v>
      </c>
      <c r="CH61" s="475">
        <f t="shared" ca="1" si="61"/>
        <v>37</v>
      </c>
      <c r="CI61" s="513" t="str">
        <f t="shared" si="53"/>
        <v/>
      </c>
      <c r="CJ61" s="511">
        <f t="shared" si="33"/>
        <v>0</v>
      </c>
      <c r="CK61" s="512">
        <f t="shared" si="34"/>
        <v>0</v>
      </c>
      <c r="CL61" s="511">
        <f t="shared" ca="1" si="54"/>
        <v>0</v>
      </c>
      <c r="CM61" s="511">
        <f ca="1">ROUND(CS61-IF(OR($CE61&gt;=OP!$C$24,AND(CH61=15,CF61=12),CS61=0),0,(CT61-CR61)),$CM$7)</f>
        <v>0</v>
      </c>
      <c r="CN61" s="511"/>
      <c r="CO61" s="351">
        <f t="shared" ca="1" si="35"/>
        <v>10610</v>
      </c>
      <c r="CP61" s="473">
        <f t="shared" si="36"/>
        <v>0</v>
      </c>
      <c r="CQ61" s="473">
        <f t="shared" ca="1" si="6"/>
        <v>24.240216074999999</v>
      </c>
      <c r="CR61" s="476">
        <f t="shared" ca="1" si="37"/>
        <v>0</v>
      </c>
      <c r="CS61" s="494">
        <f ca="1">IF(OR($Q60&lt;&gt;1,OP!$D$5+$CE61-1&lt;16,$CE61-1&lt;1),0,ROUND(ROUND(ROUND(((VLOOKUP($CE61-1,MORE_PV,5,0)/10000)*VLOOKUP($CE61,MORE_PV,$CS$5,0)),3)*VLOOKUP($CE61,more1,5,0),0)/$R60,0))</f>
        <v>0</v>
      </c>
      <c r="CT61" s="473">
        <f>IF($AW61=1,IF(N($CR61+$CS61)&lt;N($AX61)*OP!$C$50,N($CR61+$CS61),MIN(N($CR61+$CS61),N($AX61))),0)</f>
        <v>0</v>
      </c>
      <c r="CV61" s="503">
        <f t="shared" ca="1" si="38"/>
        <v>10610.324570626</v>
      </c>
      <c r="CW61" s="503">
        <f t="shared" ca="1" si="39"/>
        <v>0</v>
      </c>
      <c r="CX61" s="503">
        <f t="shared" ca="1" si="40"/>
        <v>10633.7818334</v>
      </c>
    </row>
    <row r="62" spans="1:102" ht="16.5" hidden="1">
      <c r="A62" s="450">
        <f ca="1">OP!$D$5+$B62-1</f>
        <v>84</v>
      </c>
      <c r="B62" s="192">
        <v>52</v>
      </c>
      <c r="C62" s="219">
        <f ca="1">ROUND(VLOOKUP(OP!$C$55,PV0,B62+2,0)*OP!$C$28,0)</f>
        <v>2510220</v>
      </c>
      <c r="D62" s="189">
        <f t="shared" ca="1" si="65"/>
        <v>2510220</v>
      </c>
      <c r="E62" s="221">
        <f t="shared" ca="1" si="66"/>
        <v>2.69E-2</v>
      </c>
      <c r="F62" s="222">
        <f t="shared" ca="1" si="67"/>
        <v>6.8999999999999999E-3</v>
      </c>
      <c r="G62" s="223">
        <f t="shared" ca="1" si="68"/>
        <v>967603</v>
      </c>
      <c r="H62" s="224">
        <f t="shared" ca="1" si="56"/>
        <v>17729</v>
      </c>
      <c r="I62" s="450">
        <f t="shared" ca="1" si="57"/>
        <v>1</v>
      </c>
      <c r="J62" s="192">
        <f t="shared" si="7"/>
        <v>5</v>
      </c>
      <c r="K62" s="192">
        <f t="shared" si="8"/>
        <v>6</v>
      </c>
      <c r="L62" s="192" t="str">
        <f t="shared" si="0"/>
        <v/>
      </c>
      <c r="M62" s="216">
        <f t="shared" ca="1" si="9"/>
        <v>0</v>
      </c>
      <c r="N62" s="216"/>
      <c r="O62" s="216"/>
      <c r="P62" s="216"/>
      <c r="Q62" s="456" t="str">
        <f t="shared" ca="1" si="10"/>
        <v/>
      </c>
      <c r="R62" s="450">
        <f t="shared" ca="1" si="11"/>
        <v>1</v>
      </c>
      <c r="S62" s="191">
        <f t="shared" si="12"/>
        <v>5</v>
      </c>
      <c r="T62" s="191">
        <f t="shared" si="13"/>
        <v>6</v>
      </c>
      <c r="U62" s="191">
        <f ca="1">OP!$D$5+$S62-1</f>
        <v>37</v>
      </c>
      <c r="V62" s="191" t="str">
        <f t="shared" si="14"/>
        <v/>
      </c>
      <c r="W62" s="350">
        <f ca="1">IF(Q62&lt;&gt;1,0,VLOOKUP(OP!$C$55,PVFB,$S62+2,0))</f>
        <v>0</v>
      </c>
      <c r="X62" s="473">
        <f t="shared" ca="1" si="44"/>
        <v>0</v>
      </c>
      <c r="Y62" s="348">
        <f t="shared" ca="1" si="45"/>
        <v>0</v>
      </c>
      <c r="Z62" s="348">
        <f t="shared" ca="1" si="46"/>
        <v>3655</v>
      </c>
      <c r="AA62" s="348">
        <f ca="1">IF(Q62&lt;&gt;1,0,VLOOKUP(OP!$C$55,PVFB,$S62+2,0))</f>
        <v>0</v>
      </c>
      <c r="AB62" s="488" t="str">
        <f ca="1">IF(AND(S62&lt;OP!$C$24,$U62&lt;15),0,IF(AND($U62&lt;15,$T62=12),ROUND(VLOOKUP($S62,DOWN16,5,0),3),IF($T62=12,ROUND(($Z62/10000)*$AA62,3)+IF(AND($P$7="購買增額繳清保險",T62=12,U62=110),VLOOKUP(S62,$B$10:$H$121,7,0),0),"")))</f>
        <v/>
      </c>
      <c r="AC62" s="350" t="str">
        <f ca="1">IF(AND(S62&lt;OP!$C$24,$U62&lt;15),0,IF(AND($U62&lt;16,$T62=12),VLOOKUP($S62,DOWN16,4,0),IF($T62=12,ROUND(VLOOKUP(OP!$C$55,_DIE2,$S62+1,0)*(Z62/10000),0)+IF(AND($P$7="購買增額繳清保險",T62=12,U62=110),VLOOKUP(S62,$B$10:$H$121,7,0),0),"")))</f>
        <v/>
      </c>
      <c r="AD62" s="347"/>
      <c r="AE62" s="350" t="str">
        <f t="shared" ca="1" si="1"/>
        <v/>
      </c>
      <c r="AF62" s="351" t="str">
        <f t="shared" ca="1" si="2"/>
        <v/>
      </c>
      <c r="AG62" s="340"/>
      <c r="AH62" s="340"/>
      <c r="AI62" s="340"/>
      <c r="AJ62" s="340"/>
      <c r="AK62" s="340"/>
      <c r="AL62" s="340"/>
      <c r="AM62" s="340"/>
      <c r="AN62" s="191">
        <f t="shared" si="15"/>
        <v>5</v>
      </c>
      <c r="AO62" s="191">
        <f t="shared" si="16"/>
        <v>6</v>
      </c>
      <c r="AP62" s="191">
        <f ca="1">OP!$D$5+$AN62-1</f>
        <v>37</v>
      </c>
      <c r="AQ62" s="191" t="str">
        <f t="shared" si="17"/>
        <v/>
      </c>
      <c r="AR62" s="352">
        <f t="shared" ca="1" si="18"/>
        <v>0</v>
      </c>
      <c r="AS62" s="352"/>
      <c r="AT62" s="352"/>
      <c r="AU62" s="436"/>
      <c r="AV62" s="353" t="str">
        <f t="shared" ca="1" si="19"/>
        <v/>
      </c>
      <c r="AW62" s="422" t="str">
        <f t="shared" si="20"/>
        <v/>
      </c>
      <c r="AX62" s="423" t="str">
        <f ca="1">IF(AND($AW62=1,$AP62&lt;16,$AN61&lt;OP!$C$24),OP!$C$49,"")</f>
        <v/>
      </c>
      <c r="AY62" s="340"/>
      <c r="AZ62" s="465">
        <f t="shared" ca="1" si="21"/>
        <v>7.3698599999999999E-5</v>
      </c>
      <c r="BA62" s="464">
        <f t="shared" ca="1" si="22"/>
        <v>2.1372602999999999E-3</v>
      </c>
      <c r="BB62" s="465">
        <f t="shared" ca="1" si="22"/>
        <v>2.2109589000000002E-3</v>
      </c>
      <c r="BC62" s="466">
        <f t="shared" ca="1" si="23"/>
        <v>44501</v>
      </c>
      <c r="BD62" s="467">
        <f t="shared" ca="1" si="47"/>
        <v>44502</v>
      </c>
      <c r="BE62" s="467">
        <f t="shared" ca="1" si="24"/>
        <v>44530</v>
      </c>
      <c r="BF62" s="468">
        <f ca="1">IF(計算!$BC62&lt;OP!$C$3,0,BD62-BC62)</f>
        <v>1</v>
      </c>
      <c r="BG62" s="468">
        <f ca="1">IF($BE62&gt;DATE(YEAR($BD$9)+OP!$C$57,MONTH($BD$9),DAY($BD$9)),0,$BE62-$BD62+1)</f>
        <v>29</v>
      </c>
      <c r="BH62" s="469">
        <f t="shared" ca="1" si="25"/>
        <v>30</v>
      </c>
      <c r="BI62" t="str">
        <f t="shared" si="63"/>
        <v/>
      </c>
      <c r="BJ62">
        <v>5</v>
      </c>
      <c r="BN62" s="468">
        <f t="shared" si="48"/>
        <v>5</v>
      </c>
      <c r="BO62" s="468">
        <f t="shared" si="49"/>
        <v>5</v>
      </c>
      <c r="BP62" s="467">
        <f t="shared" ca="1" si="26"/>
        <v>44502</v>
      </c>
      <c r="BQ62" s="475">
        <f t="shared" ca="1" si="60"/>
        <v>37</v>
      </c>
      <c r="BR62" s="475" t="str">
        <f t="shared" si="50"/>
        <v/>
      </c>
      <c r="BS62" s="471" t="str">
        <f t="shared" si="27"/>
        <v/>
      </c>
      <c r="BT62" s="472" t="str">
        <f t="shared" si="64"/>
        <v/>
      </c>
      <c r="BU62" s="472">
        <f t="shared" ca="1" si="28"/>
        <v>0</v>
      </c>
      <c r="BV62" s="472">
        <f t="shared" ca="1" si="28"/>
        <v>0</v>
      </c>
      <c r="BW62" s="472"/>
      <c r="BX62" s="473">
        <f t="shared" ca="1" si="29"/>
        <v>0</v>
      </c>
      <c r="BY62" s="473">
        <f t="shared" si="30"/>
        <v>0</v>
      </c>
      <c r="BZ62" s="473">
        <f t="shared" ca="1" si="4"/>
        <v>0</v>
      </c>
      <c r="CA62" s="476">
        <f t="shared" ca="1" si="31"/>
        <v>0</v>
      </c>
      <c r="CB62" s="494">
        <f ca="1">IF(OR($Q61&lt;&gt;1,OP!$D$5+$BN62-1&lt;16,$BN62-1&lt;1),0,ROUND(ROUND(ROUND(((VLOOKUP($BN62-1,MORE_PV,5,0)/10000)*VLOOKUP($BN62,MORE_PV,$CB$5,0)),3)*VLOOKUP($BN62,more1,5,0),0)/$R61,0))</f>
        <v>0</v>
      </c>
      <c r="CC62" s="473">
        <f t="shared" ca="1" si="32"/>
        <v>0</v>
      </c>
      <c r="CD62" s="477"/>
      <c r="CE62" s="468">
        <f t="shared" si="51"/>
        <v>5</v>
      </c>
      <c r="CF62" s="468">
        <f t="shared" si="52"/>
        <v>5</v>
      </c>
      <c r="CG62" s="467">
        <f t="shared" ca="1" si="5"/>
        <v>44502</v>
      </c>
      <c r="CH62" s="475">
        <f t="shared" ca="1" si="61"/>
        <v>37</v>
      </c>
      <c r="CI62" s="513" t="str">
        <f t="shared" si="53"/>
        <v/>
      </c>
      <c r="CJ62" s="511">
        <f t="shared" si="33"/>
        <v>0</v>
      </c>
      <c r="CK62" s="512">
        <f t="shared" si="34"/>
        <v>0</v>
      </c>
      <c r="CL62" s="511">
        <f t="shared" ca="1" si="54"/>
        <v>0</v>
      </c>
      <c r="CM62" s="511">
        <f ca="1">ROUND(CS62-IF(OR($CE62&gt;=OP!$C$24,AND(CH62=15,CF62=12),CS62=0),0,(CT62-CR62)),$CM$7)</f>
        <v>0</v>
      </c>
      <c r="CN62" s="511"/>
      <c r="CO62" s="351">
        <f t="shared" ca="1" si="35"/>
        <v>10635</v>
      </c>
      <c r="CP62" s="473">
        <f t="shared" si="36"/>
        <v>0</v>
      </c>
      <c r="CQ62" s="473">
        <f t="shared" ca="1" si="6"/>
        <v>23.513547901999999</v>
      </c>
      <c r="CR62" s="476">
        <f t="shared" ca="1" si="37"/>
        <v>0</v>
      </c>
      <c r="CS62" s="494">
        <f ca="1">IF(OR($Q61&lt;&gt;1,OP!$D$5+$CE62-1&lt;16,$CE62-1&lt;1),0,ROUND(ROUND(ROUND(((VLOOKUP($CE62-1,MORE_PV,5,0)/10000)*VLOOKUP($CE62,MORE_PV,$CS$5,0)),3)*VLOOKUP($CE62,more1,5,0),0)/$R61,0))</f>
        <v>0</v>
      </c>
      <c r="CT62" s="473">
        <f>IF($AW62=1,IF(N($CR62+$CS62)&lt;N($AX62)*OP!$C$50,N($CR62+$CS62),MIN(N($CR62+$CS62),N($AX62))),0)</f>
        <v>0</v>
      </c>
      <c r="CV62" s="503">
        <f t="shared" ca="1" si="38"/>
        <v>10634.565528233999</v>
      </c>
      <c r="CW62" s="503">
        <f t="shared" ca="1" si="39"/>
        <v>0</v>
      </c>
      <c r="CX62" s="503">
        <f t="shared" ca="1" si="40"/>
        <v>10657.292687985</v>
      </c>
    </row>
    <row r="63" spans="1:102" ht="16.5" hidden="1">
      <c r="A63" s="450">
        <f ca="1">OP!$D$5+$B63-1</f>
        <v>85</v>
      </c>
      <c r="B63" s="192">
        <v>53</v>
      </c>
      <c r="C63" s="219">
        <f ca="1">ROUND(VLOOKUP(OP!$C$55,PV0,B63+2,0)*OP!$C$28,0)</f>
        <v>2556188</v>
      </c>
      <c r="D63" s="189">
        <f t="shared" ca="1" si="65"/>
        <v>2556188</v>
      </c>
      <c r="E63" s="221">
        <f t="shared" ca="1" si="66"/>
        <v>2.69E-2</v>
      </c>
      <c r="F63" s="222">
        <f t="shared" ca="1" si="67"/>
        <v>6.8999999999999999E-3</v>
      </c>
      <c r="G63" s="223">
        <f t="shared" ca="1" si="68"/>
        <v>1012009</v>
      </c>
      <c r="H63" s="224">
        <f t="shared" ca="1" si="56"/>
        <v>18054</v>
      </c>
      <c r="I63" s="450">
        <f t="shared" ca="1" si="57"/>
        <v>1</v>
      </c>
      <c r="J63" s="192">
        <f t="shared" si="7"/>
        <v>5</v>
      </c>
      <c r="K63" s="192">
        <f t="shared" si="8"/>
        <v>7</v>
      </c>
      <c r="L63" s="192" t="str">
        <f t="shared" si="0"/>
        <v/>
      </c>
      <c r="M63" s="216">
        <f t="shared" ca="1" si="9"/>
        <v>0</v>
      </c>
      <c r="N63" s="216"/>
      <c r="O63" s="216"/>
      <c r="P63" s="216"/>
      <c r="Q63" s="456" t="str">
        <f t="shared" ca="1" si="10"/>
        <v/>
      </c>
      <c r="R63" s="450">
        <f t="shared" ca="1" si="11"/>
        <v>1</v>
      </c>
      <c r="S63" s="191">
        <f t="shared" si="12"/>
        <v>5</v>
      </c>
      <c r="T63" s="191">
        <f t="shared" si="13"/>
        <v>7</v>
      </c>
      <c r="U63" s="191">
        <f ca="1">OP!$D$5+$S63-1</f>
        <v>37</v>
      </c>
      <c r="V63" s="191" t="str">
        <f t="shared" si="14"/>
        <v/>
      </c>
      <c r="W63" s="350">
        <f ca="1">IF(Q63&lt;&gt;1,0,VLOOKUP(OP!$C$55,PVFB,$S63+2,0))</f>
        <v>0</v>
      </c>
      <c r="X63" s="473">
        <f t="shared" ca="1" si="44"/>
        <v>0</v>
      </c>
      <c r="Y63" s="348">
        <f t="shared" ca="1" si="45"/>
        <v>0</v>
      </c>
      <c r="Z63" s="348">
        <f t="shared" ca="1" si="46"/>
        <v>3655</v>
      </c>
      <c r="AA63" s="348">
        <f ca="1">IF(Q63&lt;&gt;1,0,VLOOKUP(OP!$C$55,PVFB,$S63+2,0))</f>
        <v>0</v>
      </c>
      <c r="AB63" s="488" t="str">
        <f ca="1">IF(AND(S63&lt;OP!$C$24,$U63&lt;15),0,IF(AND($U63&lt;15,$T63=12),ROUND(VLOOKUP($S63,DOWN16,5,0),3),IF($T63=12,ROUND(($Z63/10000)*$AA63,3)+IF(AND($P$7="購買增額繳清保險",T63=12,U63=110),VLOOKUP(S63,$B$10:$H$121,7,0),0),"")))</f>
        <v/>
      </c>
      <c r="AC63" s="350" t="str">
        <f ca="1">IF(AND(S63&lt;OP!$C$24,$U63&lt;15),0,IF(AND($U63&lt;16,$T63=12),VLOOKUP($S63,DOWN16,4,0),IF($T63=12,ROUND(VLOOKUP(OP!$C$55,_DIE2,$S63+1,0)*(Z63/10000),0)+IF(AND($P$7="購買增額繳清保險",T63=12,U63=110),VLOOKUP(S63,$B$10:$H$121,7,0),0),"")))</f>
        <v/>
      </c>
      <c r="AD63" s="347"/>
      <c r="AE63" s="350" t="str">
        <f t="shared" ca="1" si="1"/>
        <v/>
      </c>
      <c r="AF63" s="351" t="str">
        <f t="shared" ca="1" si="2"/>
        <v/>
      </c>
      <c r="AG63" s="340"/>
      <c r="AH63" s="340"/>
      <c r="AI63" s="340"/>
      <c r="AJ63" s="340"/>
      <c r="AK63" s="340"/>
      <c r="AL63" s="340"/>
      <c r="AM63" s="340"/>
      <c r="AN63" s="191">
        <f t="shared" si="15"/>
        <v>5</v>
      </c>
      <c r="AO63" s="191">
        <f t="shared" si="16"/>
        <v>7</v>
      </c>
      <c r="AP63" s="191">
        <f ca="1">OP!$D$5+$AN63-1</f>
        <v>37</v>
      </c>
      <c r="AQ63" s="191" t="str">
        <f t="shared" si="17"/>
        <v/>
      </c>
      <c r="AR63" s="352">
        <f t="shared" ca="1" si="18"/>
        <v>0</v>
      </c>
      <c r="AS63" s="352"/>
      <c r="AT63" s="352"/>
      <c r="AU63" s="436"/>
      <c r="AV63" s="353" t="str">
        <f t="shared" ca="1" si="19"/>
        <v/>
      </c>
      <c r="AW63" s="422" t="str">
        <f t="shared" si="20"/>
        <v/>
      </c>
      <c r="AX63" s="423" t="str">
        <f ca="1">IF(AND($AW63=1,$AP63&lt;16,$AN62&lt;OP!$C$24),OP!$C$49,"")</f>
        <v/>
      </c>
      <c r="AY63" s="340"/>
      <c r="AZ63" s="465">
        <f t="shared" ca="1" si="21"/>
        <v>7.3698599999999999E-5</v>
      </c>
      <c r="BA63" s="464">
        <f t="shared" ca="1" si="22"/>
        <v>2.2109589000000002E-3</v>
      </c>
      <c r="BB63" s="465">
        <f t="shared" ca="1" si="22"/>
        <v>2.2846575E-3</v>
      </c>
      <c r="BC63" s="466">
        <f t="shared" ca="1" si="23"/>
        <v>44531</v>
      </c>
      <c r="BD63" s="467">
        <f t="shared" ca="1" si="47"/>
        <v>44532</v>
      </c>
      <c r="BE63" s="467">
        <f t="shared" ca="1" si="24"/>
        <v>44561</v>
      </c>
      <c r="BF63" s="468">
        <f ca="1">IF(計算!$BC63&lt;OP!$C$3,0,BD63-BC63)</f>
        <v>1</v>
      </c>
      <c r="BG63" s="468">
        <f ca="1">IF($BE63&gt;DATE(YEAR($BD$9)+OP!$C$57,MONTH($BD$9),DAY($BD$9)),0,$BE63-$BD63+1)</f>
        <v>30</v>
      </c>
      <c r="BH63" s="469">
        <f t="shared" ca="1" si="25"/>
        <v>31</v>
      </c>
      <c r="BI63" t="str">
        <f t="shared" si="63"/>
        <v/>
      </c>
      <c r="BJ63">
        <v>6</v>
      </c>
      <c r="BN63" s="468">
        <f t="shared" si="48"/>
        <v>5</v>
      </c>
      <c r="BO63" s="468">
        <f t="shared" si="49"/>
        <v>6</v>
      </c>
      <c r="BP63" s="467">
        <f t="shared" ca="1" si="26"/>
        <v>44532</v>
      </c>
      <c r="BQ63" s="475">
        <f t="shared" ca="1" si="60"/>
        <v>37</v>
      </c>
      <c r="BR63" s="475" t="str">
        <f t="shared" si="50"/>
        <v/>
      </c>
      <c r="BS63" s="471" t="str">
        <f t="shared" si="27"/>
        <v/>
      </c>
      <c r="BT63" s="472" t="str">
        <f t="shared" si="64"/>
        <v/>
      </c>
      <c r="BU63" s="472">
        <f t="shared" ca="1" si="28"/>
        <v>0</v>
      </c>
      <c r="BV63" s="472">
        <f t="shared" ca="1" si="28"/>
        <v>0</v>
      </c>
      <c r="BW63" s="472"/>
      <c r="BX63" s="473">
        <f t="shared" ca="1" si="29"/>
        <v>0</v>
      </c>
      <c r="BY63" s="473">
        <f t="shared" si="30"/>
        <v>0</v>
      </c>
      <c r="BZ63" s="473">
        <f t="shared" ca="1" si="4"/>
        <v>0</v>
      </c>
      <c r="CA63" s="476">
        <f t="shared" ca="1" si="31"/>
        <v>0</v>
      </c>
      <c r="CB63" s="494">
        <f ca="1">IF(OR($Q62&lt;&gt;1,OP!$D$5+$BN63-1&lt;16,$BN63-1&lt;1),0,ROUND(ROUND(ROUND(((VLOOKUP($BN63-1,MORE_PV,5,0)/10000)*VLOOKUP($BN63,MORE_PV,$CB$5,0)),3)*VLOOKUP($BN63,more1,5,0),0)/$R62,0))</f>
        <v>0</v>
      </c>
      <c r="CC63" s="473">
        <f t="shared" ca="1" si="32"/>
        <v>0</v>
      </c>
      <c r="CD63" s="477"/>
      <c r="CE63" s="468">
        <f t="shared" si="51"/>
        <v>5</v>
      </c>
      <c r="CF63" s="468">
        <f t="shared" si="52"/>
        <v>6</v>
      </c>
      <c r="CG63" s="467">
        <f t="shared" ca="1" si="5"/>
        <v>44532</v>
      </c>
      <c r="CH63" s="475">
        <f t="shared" ca="1" si="61"/>
        <v>37</v>
      </c>
      <c r="CI63" s="513" t="str">
        <f t="shared" si="53"/>
        <v/>
      </c>
      <c r="CJ63" s="511">
        <f t="shared" si="33"/>
        <v>0</v>
      </c>
      <c r="CK63" s="512">
        <f t="shared" si="34"/>
        <v>0</v>
      </c>
      <c r="CL63" s="511">
        <f t="shared" ca="1" si="54"/>
        <v>0</v>
      </c>
      <c r="CM63" s="511">
        <f ca="1">ROUND(CS63-IF(OR($CE63&gt;=OP!$C$24,AND(CH63=15,CF63=12),CS63=0),0,(CT63-CR63)),$CM$7)</f>
        <v>0</v>
      </c>
      <c r="CN63" s="511"/>
      <c r="CO63" s="351">
        <f t="shared" ca="1" si="35"/>
        <v>10658</v>
      </c>
      <c r="CP63" s="473">
        <f t="shared" si="36"/>
        <v>0</v>
      </c>
      <c r="CQ63" s="473">
        <f t="shared" ca="1" si="6"/>
        <v>24.349879635000001</v>
      </c>
      <c r="CR63" s="476">
        <f t="shared" ca="1" si="37"/>
        <v>0</v>
      </c>
      <c r="CS63" s="494">
        <f ca="1">IF(OR($Q62&lt;&gt;1,OP!$D$5+$CE63-1&lt;16,$CE63-1&lt;1),0,ROUND(ROUND(ROUND(((VLOOKUP($CE63-1,MORE_PV,5,0)/10000)*VLOOKUP($CE63,MORE_PV,$CS$5,0)),3)*VLOOKUP($CE63,more1,5,0),0)/$R62,0))</f>
        <v>0</v>
      </c>
      <c r="CT63" s="473">
        <f>IF($AW63=1,IF(N($CR63+$CS63)&lt;N($AX63)*OP!$C$50,N($CR63+$CS63),MIN(N($CR63+$CS63),N($AX63))),0)</f>
        <v>0</v>
      </c>
      <c r="CV63" s="503">
        <f t="shared" ca="1" si="38"/>
        <v>10658.078115536</v>
      </c>
      <c r="CW63" s="503">
        <f t="shared" ca="1" si="39"/>
        <v>0</v>
      </c>
      <c r="CX63" s="503">
        <f t="shared" ca="1" si="40"/>
        <v>10681.640951654001</v>
      </c>
    </row>
    <row r="64" spans="1:102" ht="16.5" hidden="1">
      <c r="A64" s="450">
        <f ca="1">OP!$D$5+$B64-1</f>
        <v>86</v>
      </c>
      <c r="B64" s="192">
        <v>54</v>
      </c>
      <c r="C64" s="219">
        <f ca="1">ROUND(VLOOKUP(OP!$C$55,PV0,B64+2,0)*OP!$C$28,0)</f>
        <v>2602530</v>
      </c>
      <c r="D64" s="189">
        <f t="shared" ca="1" si="65"/>
        <v>2602530</v>
      </c>
      <c r="E64" s="221">
        <f t="shared" ca="1" si="66"/>
        <v>2.69E-2</v>
      </c>
      <c r="F64" s="222">
        <f t="shared" ca="1" si="67"/>
        <v>6.8999999999999999E-3</v>
      </c>
      <c r="G64" s="223">
        <f t="shared" ca="1" si="68"/>
        <v>1057950</v>
      </c>
      <c r="H64" s="224">
        <f t="shared" ca="1" si="56"/>
        <v>18380</v>
      </c>
      <c r="I64" s="450">
        <f t="shared" ca="1" si="57"/>
        <v>1</v>
      </c>
      <c r="J64" s="192">
        <f t="shared" si="7"/>
        <v>5</v>
      </c>
      <c r="K64" s="192">
        <f t="shared" si="8"/>
        <v>8</v>
      </c>
      <c r="L64" s="192" t="str">
        <f t="shared" si="0"/>
        <v/>
      </c>
      <c r="M64" s="216">
        <f t="shared" ca="1" si="9"/>
        <v>0</v>
      </c>
      <c r="N64" s="216"/>
      <c r="O64" s="216"/>
      <c r="P64" s="216"/>
      <c r="Q64" s="456" t="str">
        <f t="shared" ca="1" si="10"/>
        <v/>
      </c>
      <c r="R64" s="450">
        <f t="shared" ca="1" si="11"/>
        <v>1</v>
      </c>
      <c r="S64" s="191">
        <f t="shared" si="12"/>
        <v>5</v>
      </c>
      <c r="T64" s="191">
        <f t="shared" si="13"/>
        <v>8</v>
      </c>
      <c r="U64" s="191">
        <f ca="1">OP!$D$5+$S64-1</f>
        <v>37</v>
      </c>
      <c r="V64" s="191" t="str">
        <f t="shared" si="14"/>
        <v/>
      </c>
      <c r="W64" s="350">
        <f ca="1">IF(Q64&lt;&gt;1,0,VLOOKUP(OP!$C$55,PVFB,$S64+2,0))</f>
        <v>0</v>
      </c>
      <c r="X64" s="473">
        <f t="shared" ca="1" si="44"/>
        <v>0</v>
      </c>
      <c r="Y64" s="348">
        <f t="shared" ca="1" si="45"/>
        <v>0</v>
      </c>
      <c r="Z64" s="348">
        <f t="shared" ca="1" si="46"/>
        <v>3655</v>
      </c>
      <c r="AA64" s="348">
        <f ca="1">IF(Q64&lt;&gt;1,0,VLOOKUP(OP!$C$55,PVFB,$S64+2,0))</f>
        <v>0</v>
      </c>
      <c r="AB64" s="488" t="str">
        <f ca="1">IF(AND(S64&lt;OP!$C$24,$U64&lt;15),0,IF(AND($U64&lt;15,$T64=12),ROUND(VLOOKUP($S64,DOWN16,5,0),3),IF($T64=12,ROUND(($Z64/10000)*$AA64,3)+IF(AND($P$7="購買增額繳清保險",T64=12,U64=110),VLOOKUP(S64,$B$10:$H$121,7,0),0),"")))</f>
        <v/>
      </c>
      <c r="AC64" s="350" t="str">
        <f ca="1">IF(AND(S64&lt;OP!$C$24,$U64&lt;15),0,IF(AND($U64&lt;16,$T64=12),VLOOKUP($S64,DOWN16,4,0),IF($T64=12,ROUND(VLOOKUP(OP!$C$55,_DIE2,$S64+1,0)*(Z64/10000),0)+IF(AND($P$7="購買增額繳清保險",T64=12,U64=110),VLOOKUP(S64,$B$10:$H$121,7,0),0),"")))</f>
        <v/>
      </c>
      <c r="AD64" s="347"/>
      <c r="AE64" s="350" t="str">
        <f t="shared" ca="1" si="1"/>
        <v/>
      </c>
      <c r="AF64" s="351" t="str">
        <f t="shared" ca="1" si="2"/>
        <v/>
      </c>
      <c r="AG64" s="340"/>
      <c r="AH64" s="340"/>
      <c r="AI64" s="340"/>
      <c r="AJ64" s="340"/>
      <c r="AK64" s="340"/>
      <c r="AL64" s="340"/>
      <c r="AM64" s="340"/>
      <c r="AN64" s="191">
        <f t="shared" si="15"/>
        <v>5</v>
      </c>
      <c r="AO64" s="191">
        <f t="shared" si="16"/>
        <v>8</v>
      </c>
      <c r="AP64" s="191">
        <f ca="1">OP!$D$5+$AN64-1</f>
        <v>37</v>
      </c>
      <c r="AQ64" s="191" t="str">
        <f t="shared" si="17"/>
        <v/>
      </c>
      <c r="AR64" s="352">
        <f t="shared" ca="1" si="18"/>
        <v>0</v>
      </c>
      <c r="AS64" s="352"/>
      <c r="AT64" s="352"/>
      <c r="AU64" s="436"/>
      <c r="AV64" s="353" t="str">
        <f t="shared" ca="1" si="19"/>
        <v/>
      </c>
      <c r="AW64" s="422" t="str">
        <f t="shared" si="20"/>
        <v/>
      </c>
      <c r="AX64" s="423" t="str">
        <f ca="1">IF(AND($AW64=1,$AP64&lt;16,$AN63&lt;OP!$C$24),OP!$C$49,"")</f>
        <v/>
      </c>
      <c r="AY64" s="340"/>
      <c r="AZ64" s="465">
        <f t="shared" ca="1" si="21"/>
        <v>7.3698599999999999E-5</v>
      </c>
      <c r="BA64" s="464">
        <f t="shared" ca="1" si="22"/>
        <v>2.2109589000000002E-3</v>
      </c>
      <c r="BB64" s="465">
        <f t="shared" ca="1" si="22"/>
        <v>2.2846575E-3</v>
      </c>
      <c r="BC64" s="466">
        <f t="shared" ca="1" si="23"/>
        <v>44562</v>
      </c>
      <c r="BD64" s="467">
        <f t="shared" ca="1" si="47"/>
        <v>44563</v>
      </c>
      <c r="BE64" s="467">
        <f t="shared" ca="1" si="24"/>
        <v>44592</v>
      </c>
      <c r="BF64" s="468">
        <f ca="1">IF(計算!$BC64&lt;OP!$C$3,0,BD64-BC64)</f>
        <v>1</v>
      </c>
      <c r="BG64" s="468">
        <f ca="1">IF($BE64&gt;DATE(YEAR($BD$9)+OP!$C$57,MONTH($BD$9),DAY($BD$9)),0,$BE64-$BD64+1)</f>
        <v>30</v>
      </c>
      <c r="BH64" s="469">
        <f t="shared" ca="1" si="25"/>
        <v>31</v>
      </c>
      <c r="BI64" t="str">
        <f t="shared" si="63"/>
        <v/>
      </c>
      <c r="BJ64">
        <v>7</v>
      </c>
      <c r="BN64" s="468">
        <f t="shared" si="48"/>
        <v>5</v>
      </c>
      <c r="BO64" s="468">
        <f t="shared" si="49"/>
        <v>7</v>
      </c>
      <c r="BP64" s="467">
        <f t="shared" ca="1" si="26"/>
        <v>44563</v>
      </c>
      <c r="BQ64" s="475">
        <f t="shared" ca="1" si="60"/>
        <v>37</v>
      </c>
      <c r="BR64" s="475" t="str">
        <f t="shared" si="50"/>
        <v/>
      </c>
      <c r="BS64" s="471" t="str">
        <f t="shared" si="27"/>
        <v/>
      </c>
      <c r="BT64" s="472" t="str">
        <f t="shared" si="64"/>
        <v/>
      </c>
      <c r="BU64" s="472">
        <f t="shared" ca="1" si="28"/>
        <v>0</v>
      </c>
      <c r="BV64" s="472">
        <f t="shared" ca="1" si="28"/>
        <v>0</v>
      </c>
      <c r="BW64" s="472"/>
      <c r="BX64" s="473">
        <f t="shared" ca="1" si="29"/>
        <v>0</v>
      </c>
      <c r="BY64" s="473">
        <f t="shared" si="30"/>
        <v>0</v>
      </c>
      <c r="BZ64" s="473">
        <f t="shared" ca="1" si="4"/>
        <v>0</v>
      </c>
      <c r="CA64" s="476">
        <f t="shared" ca="1" si="31"/>
        <v>0</v>
      </c>
      <c r="CB64" s="494">
        <f ca="1">IF(OR($Q63&lt;&gt;1,OP!$D$5+$BN64-1&lt;16,$BN64-1&lt;1),0,ROUND(ROUND(ROUND(((VLOOKUP($BN64-1,MORE_PV,5,0)/10000)*VLOOKUP($BN64,MORE_PV,$CB$5,0)),3)*VLOOKUP($BN64,more1,5,0),0)/$R63,0))</f>
        <v>0</v>
      </c>
      <c r="CC64" s="473">
        <f t="shared" ca="1" si="32"/>
        <v>0</v>
      </c>
      <c r="CD64" s="477"/>
      <c r="CE64" s="468">
        <f t="shared" si="51"/>
        <v>5</v>
      </c>
      <c r="CF64" s="468">
        <f t="shared" si="52"/>
        <v>7</v>
      </c>
      <c r="CG64" s="467">
        <f t="shared" ca="1" si="5"/>
        <v>44563</v>
      </c>
      <c r="CH64" s="475">
        <f t="shared" ca="1" si="61"/>
        <v>37</v>
      </c>
      <c r="CI64" s="513" t="str">
        <f t="shared" si="53"/>
        <v/>
      </c>
      <c r="CJ64" s="511">
        <f t="shared" si="33"/>
        <v>0</v>
      </c>
      <c r="CK64" s="512">
        <f t="shared" si="34"/>
        <v>0</v>
      </c>
      <c r="CL64" s="511">
        <f t="shared" ca="1" si="54"/>
        <v>0</v>
      </c>
      <c r="CM64" s="511">
        <f ca="1">ROUND(CS64-IF(OR($CE64&gt;=OP!$C$24,AND(CH64=15,CF64=12),CS64=0),0,(CT64-CR64)),$CM$7)</f>
        <v>0</v>
      </c>
      <c r="CN64" s="511"/>
      <c r="CO64" s="351">
        <f t="shared" ca="1" si="35"/>
        <v>10682</v>
      </c>
      <c r="CP64" s="473">
        <f t="shared" si="36"/>
        <v>0</v>
      </c>
      <c r="CQ64" s="473">
        <f t="shared" ca="1" si="6"/>
        <v>24.404711415000001</v>
      </c>
      <c r="CR64" s="476">
        <f t="shared" ca="1" si="37"/>
        <v>0</v>
      </c>
      <c r="CS64" s="494">
        <f ca="1">IF(OR($Q63&lt;&gt;1,OP!$D$5+$CE64-1&lt;16,$CE64-1&lt;1),0,ROUND(ROUND(ROUND(((VLOOKUP($CE64-1,MORE_PV,5,0)/10000)*VLOOKUP($CE64,MORE_PV,$CS$5,0)),3)*VLOOKUP($CE64,more1,5,0),0)/$R63,0))</f>
        <v>0</v>
      </c>
      <c r="CT64" s="473">
        <f>IF($AW64=1,IF(N($CR64+$CS64)&lt;N($AX64)*OP!$C$50,N($CR64+$CS64),MIN(N($CR64+$CS64),N($AX64))),0)</f>
        <v>0</v>
      </c>
      <c r="CV64" s="503">
        <f t="shared" ca="1" si="38"/>
        <v>10682.428173638</v>
      </c>
      <c r="CW64" s="503">
        <f t="shared" ca="1" si="39"/>
        <v>0</v>
      </c>
      <c r="CX64" s="503">
        <f t="shared" ca="1" si="40"/>
        <v>10706.044842767</v>
      </c>
    </row>
    <row r="65" spans="1:102" ht="16.5" hidden="1">
      <c r="A65" s="450">
        <f ca="1">OP!$D$5+$B65-1</f>
        <v>87</v>
      </c>
      <c r="B65" s="192">
        <v>55</v>
      </c>
      <c r="C65" s="219">
        <f ca="1">ROUND(VLOOKUP(OP!$C$55,PV0,B65+2,0)*OP!$C$28,0)</f>
        <v>2649212</v>
      </c>
      <c r="D65" s="189">
        <f t="shared" ca="1" si="65"/>
        <v>2649212</v>
      </c>
      <c r="E65" s="221">
        <f t="shared" ca="1" si="66"/>
        <v>2.69E-2</v>
      </c>
      <c r="F65" s="222">
        <f t="shared" ca="1" si="67"/>
        <v>6.8999999999999999E-3</v>
      </c>
      <c r="G65" s="223">
        <f t="shared" ca="1" si="68"/>
        <v>1105553</v>
      </c>
      <c r="H65" s="224">
        <f t="shared" ca="1" si="56"/>
        <v>18711</v>
      </c>
      <c r="I65" s="450">
        <f t="shared" ca="1" si="57"/>
        <v>1</v>
      </c>
      <c r="J65" s="192">
        <f t="shared" si="7"/>
        <v>5</v>
      </c>
      <c r="K65" s="192">
        <f t="shared" si="8"/>
        <v>9</v>
      </c>
      <c r="L65" s="192" t="str">
        <f t="shared" si="0"/>
        <v/>
      </c>
      <c r="M65" s="216">
        <f t="shared" ca="1" si="9"/>
        <v>0</v>
      </c>
      <c r="N65" s="216"/>
      <c r="O65" s="216"/>
      <c r="P65" s="216"/>
      <c r="Q65" s="456" t="str">
        <f t="shared" ca="1" si="10"/>
        <v/>
      </c>
      <c r="R65" s="450">
        <f t="shared" ca="1" si="11"/>
        <v>1</v>
      </c>
      <c r="S65" s="191">
        <f t="shared" si="12"/>
        <v>5</v>
      </c>
      <c r="T65" s="191">
        <f t="shared" si="13"/>
        <v>9</v>
      </c>
      <c r="U65" s="191">
        <f ca="1">OP!$D$5+$S65-1</f>
        <v>37</v>
      </c>
      <c r="V65" s="191" t="str">
        <f t="shared" si="14"/>
        <v/>
      </c>
      <c r="W65" s="350">
        <f ca="1">IF(Q65&lt;&gt;1,0,VLOOKUP(OP!$C$55,PVFB,$S65+2,0))</f>
        <v>0</v>
      </c>
      <c r="X65" s="473">
        <f t="shared" ca="1" si="44"/>
        <v>0</v>
      </c>
      <c r="Y65" s="348">
        <f t="shared" ca="1" si="45"/>
        <v>0</v>
      </c>
      <c r="Z65" s="348">
        <f t="shared" ca="1" si="46"/>
        <v>3655</v>
      </c>
      <c r="AA65" s="348">
        <f ca="1">IF(Q65&lt;&gt;1,0,VLOOKUP(OP!$C$55,PVFB,$S65+2,0))</f>
        <v>0</v>
      </c>
      <c r="AB65" s="488" t="str">
        <f ca="1">IF(AND(S65&lt;OP!$C$24,$U65&lt;15),0,IF(AND($U65&lt;15,$T65=12),ROUND(VLOOKUP($S65,DOWN16,5,0),3),IF($T65=12,ROUND(($Z65/10000)*$AA65,3)+IF(AND($P$7="購買增額繳清保險",T65=12,U65=110),VLOOKUP(S65,$B$10:$H$121,7,0),0),"")))</f>
        <v/>
      </c>
      <c r="AC65" s="350" t="str">
        <f ca="1">IF(AND(S65&lt;OP!$C$24,$U65&lt;15),0,IF(AND($U65&lt;16,$T65=12),VLOOKUP($S65,DOWN16,4,0),IF($T65=12,ROUND(VLOOKUP(OP!$C$55,_DIE2,$S65+1,0)*(Z65/10000),0)+IF(AND($P$7="購買增額繳清保險",T65=12,U65=110),VLOOKUP(S65,$B$10:$H$121,7,0),0),"")))</f>
        <v/>
      </c>
      <c r="AD65" s="347"/>
      <c r="AE65" s="350" t="str">
        <f t="shared" ca="1" si="1"/>
        <v/>
      </c>
      <c r="AF65" s="351" t="str">
        <f t="shared" ca="1" si="2"/>
        <v/>
      </c>
      <c r="AG65" s="340"/>
      <c r="AH65" s="340"/>
      <c r="AI65" s="340"/>
      <c r="AJ65" s="340"/>
      <c r="AK65" s="340"/>
      <c r="AL65" s="340"/>
      <c r="AM65" s="340"/>
      <c r="AN65" s="191">
        <f t="shared" si="15"/>
        <v>5</v>
      </c>
      <c r="AO65" s="191">
        <f t="shared" si="16"/>
        <v>9</v>
      </c>
      <c r="AP65" s="191">
        <f ca="1">OP!$D$5+$AN65-1</f>
        <v>37</v>
      </c>
      <c r="AQ65" s="191" t="str">
        <f t="shared" si="17"/>
        <v/>
      </c>
      <c r="AR65" s="352">
        <f t="shared" ca="1" si="18"/>
        <v>0</v>
      </c>
      <c r="AS65" s="352"/>
      <c r="AT65" s="352"/>
      <c r="AU65" s="436"/>
      <c r="AV65" s="353" t="str">
        <f t="shared" ca="1" si="19"/>
        <v/>
      </c>
      <c r="AW65" s="422" t="str">
        <f t="shared" si="20"/>
        <v/>
      </c>
      <c r="AX65" s="423" t="str">
        <f ca="1">IF(AND($AW65=1,$AP65&lt;16,$AN64&lt;OP!$C$24),OP!$C$49,"")</f>
        <v/>
      </c>
      <c r="AY65" s="340"/>
      <c r="AZ65" s="465">
        <f t="shared" ca="1" si="21"/>
        <v>7.3698599999999999E-5</v>
      </c>
      <c r="BA65" s="464">
        <f t="shared" ca="1" si="22"/>
        <v>1.9898630000000001E-3</v>
      </c>
      <c r="BB65" s="465">
        <f t="shared" ca="1" si="22"/>
        <v>2.0635616E-3</v>
      </c>
      <c r="BC65" s="466">
        <f t="shared" ca="1" si="23"/>
        <v>44593</v>
      </c>
      <c r="BD65" s="467">
        <f t="shared" ca="1" si="47"/>
        <v>44594</v>
      </c>
      <c r="BE65" s="467">
        <f t="shared" ca="1" si="24"/>
        <v>44620</v>
      </c>
      <c r="BF65" s="468">
        <f ca="1">IF(計算!$BC65&lt;OP!$C$3,0,BD65-BC65)</f>
        <v>1</v>
      </c>
      <c r="BG65" s="468">
        <f ca="1">IF($BE65&gt;DATE(YEAR($BD$9)+OP!$C$57,MONTH($BD$9),DAY($BD$9)),0,$BE65-$BD65+1)</f>
        <v>27</v>
      </c>
      <c r="BH65" s="469">
        <f t="shared" ca="1" si="25"/>
        <v>28</v>
      </c>
      <c r="BI65" t="str">
        <f t="shared" si="63"/>
        <v/>
      </c>
      <c r="BJ65">
        <v>8</v>
      </c>
      <c r="BN65" s="468">
        <f t="shared" si="48"/>
        <v>5</v>
      </c>
      <c r="BO65" s="468">
        <f t="shared" si="49"/>
        <v>8</v>
      </c>
      <c r="BP65" s="467">
        <f t="shared" ca="1" si="26"/>
        <v>44594</v>
      </c>
      <c r="BQ65" s="475">
        <f t="shared" ca="1" si="60"/>
        <v>37</v>
      </c>
      <c r="BR65" s="475" t="str">
        <f t="shared" si="50"/>
        <v/>
      </c>
      <c r="BS65" s="471" t="str">
        <f t="shared" si="27"/>
        <v/>
      </c>
      <c r="BT65" s="472" t="str">
        <f t="shared" si="64"/>
        <v/>
      </c>
      <c r="BU65" s="472">
        <f t="shared" ca="1" si="28"/>
        <v>0</v>
      </c>
      <c r="BV65" s="472">
        <f t="shared" ca="1" si="28"/>
        <v>0</v>
      </c>
      <c r="BW65" s="472"/>
      <c r="BX65" s="473">
        <f t="shared" ca="1" si="29"/>
        <v>0</v>
      </c>
      <c r="BY65" s="473">
        <f t="shared" si="30"/>
        <v>0</v>
      </c>
      <c r="BZ65" s="473">
        <f t="shared" ca="1" si="4"/>
        <v>0</v>
      </c>
      <c r="CA65" s="476">
        <f t="shared" ca="1" si="31"/>
        <v>0</v>
      </c>
      <c r="CB65" s="494">
        <f ca="1">IF(OR($Q64&lt;&gt;1,OP!$D$5+$BN65-1&lt;16,$BN65-1&lt;1),0,ROUND(ROUND(ROUND(((VLOOKUP($BN65-1,MORE_PV,5,0)/10000)*VLOOKUP($BN65,MORE_PV,$CB$5,0)),3)*VLOOKUP($BN65,more1,5,0),0)/$R64,0))</f>
        <v>0</v>
      </c>
      <c r="CC65" s="473">
        <f t="shared" ca="1" si="32"/>
        <v>0</v>
      </c>
      <c r="CD65" s="477"/>
      <c r="CE65" s="468">
        <f t="shared" si="51"/>
        <v>5</v>
      </c>
      <c r="CF65" s="468">
        <f t="shared" si="52"/>
        <v>8</v>
      </c>
      <c r="CG65" s="467">
        <f t="shared" ca="1" si="5"/>
        <v>44594</v>
      </c>
      <c r="CH65" s="475">
        <f t="shared" ca="1" si="61"/>
        <v>37</v>
      </c>
      <c r="CI65" s="513" t="str">
        <f t="shared" si="53"/>
        <v/>
      </c>
      <c r="CJ65" s="511">
        <f t="shared" si="33"/>
        <v>0</v>
      </c>
      <c r="CK65" s="512">
        <f t="shared" si="34"/>
        <v>0</v>
      </c>
      <c r="CL65" s="511">
        <f t="shared" ca="1" si="54"/>
        <v>0</v>
      </c>
      <c r="CM65" s="511">
        <f ca="1">ROUND(CS65-IF(OR($CE65&gt;=OP!$C$24,AND(CH65=15,CF65=12),CS65=0),0,(CT65-CR65)),$CM$7)</f>
        <v>0</v>
      </c>
      <c r="CN65" s="511"/>
      <c r="CO65" s="351">
        <f t="shared" ca="1" si="35"/>
        <v>10707</v>
      </c>
      <c r="CP65" s="473">
        <f t="shared" si="36"/>
        <v>0</v>
      </c>
      <c r="CQ65" s="473">
        <f t="shared" ca="1" si="6"/>
        <v>22.094554050999999</v>
      </c>
      <c r="CR65" s="476">
        <f t="shared" ca="1" si="37"/>
        <v>0</v>
      </c>
      <c r="CS65" s="494">
        <f ca="1">IF(OR($Q64&lt;&gt;1,OP!$D$5+$CE65-1&lt;16,$CE65-1&lt;1),0,ROUND(ROUND(ROUND(((VLOOKUP($CE65-1,MORE_PV,5,0)/10000)*VLOOKUP($CE65,MORE_PV,$CS$5,0)),3)*VLOOKUP($CE65,more1,5,0),0)/$R64,0))</f>
        <v>0</v>
      </c>
      <c r="CT65" s="473">
        <f>IF($AW65=1,IF(N($CR65+$CS65)&lt;N($AX65)*OP!$C$50,N($CR65+$CS65),MIN(N($CR65+$CS65),N($AX65))),0)</f>
        <v>0</v>
      </c>
      <c r="CV65" s="503">
        <f t="shared" ca="1" si="38"/>
        <v>10706.833863283</v>
      </c>
      <c r="CW65" s="503">
        <f t="shared" ca="1" si="39"/>
        <v>0</v>
      </c>
      <c r="CX65" s="503">
        <f t="shared" ca="1" si="40"/>
        <v>10728.137425792</v>
      </c>
    </row>
    <row r="66" spans="1:102" ht="16.5" hidden="1">
      <c r="A66" s="450">
        <f ca="1">OP!$D$5+$B66-1</f>
        <v>88</v>
      </c>
      <c r="B66" s="192">
        <v>56</v>
      </c>
      <c r="C66" s="219">
        <f ca="1">ROUND(VLOOKUP(OP!$C$55,PV0,B66+2,0)*OP!$C$28,0)</f>
        <v>2696268</v>
      </c>
      <c r="D66" s="189">
        <f t="shared" ca="1" si="65"/>
        <v>2696268</v>
      </c>
      <c r="E66" s="221">
        <f t="shared" ca="1" si="66"/>
        <v>2.69E-2</v>
      </c>
      <c r="F66" s="222">
        <f t="shared" ca="1" si="67"/>
        <v>6.8999999999999999E-3</v>
      </c>
      <c r="G66" s="223">
        <f t="shared" ca="1" si="68"/>
        <v>1154704</v>
      </c>
      <c r="H66" s="224">
        <f t="shared" ca="1" si="56"/>
        <v>19042</v>
      </c>
      <c r="I66" s="450">
        <f t="shared" ca="1" si="57"/>
        <v>1</v>
      </c>
      <c r="J66" s="192">
        <f t="shared" si="7"/>
        <v>5</v>
      </c>
      <c r="K66" s="192">
        <f t="shared" si="8"/>
        <v>10</v>
      </c>
      <c r="L66" s="192" t="str">
        <f t="shared" si="0"/>
        <v/>
      </c>
      <c r="M66" s="216">
        <f t="shared" ca="1" si="9"/>
        <v>0</v>
      </c>
      <c r="N66" s="216"/>
      <c r="O66" s="216"/>
      <c r="P66" s="216"/>
      <c r="Q66" s="456" t="str">
        <f t="shared" ca="1" si="10"/>
        <v/>
      </c>
      <c r="R66" s="450">
        <f t="shared" ca="1" si="11"/>
        <v>1</v>
      </c>
      <c r="S66" s="191">
        <f t="shared" si="12"/>
        <v>5</v>
      </c>
      <c r="T66" s="191">
        <f t="shared" si="13"/>
        <v>10</v>
      </c>
      <c r="U66" s="191">
        <f ca="1">OP!$D$5+$S66-1</f>
        <v>37</v>
      </c>
      <c r="V66" s="191" t="str">
        <f t="shared" si="14"/>
        <v/>
      </c>
      <c r="W66" s="350">
        <f ca="1">IF(Q66&lt;&gt;1,0,VLOOKUP(OP!$C$55,PVFB,$S66+2,0))</f>
        <v>0</v>
      </c>
      <c r="X66" s="473">
        <f t="shared" ca="1" si="44"/>
        <v>0</v>
      </c>
      <c r="Y66" s="348">
        <f t="shared" ca="1" si="45"/>
        <v>0</v>
      </c>
      <c r="Z66" s="348">
        <f t="shared" ca="1" si="46"/>
        <v>3655</v>
      </c>
      <c r="AA66" s="348">
        <f ca="1">IF(Q66&lt;&gt;1,0,VLOOKUP(OP!$C$55,PVFB,$S66+2,0))</f>
        <v>0</v>
      </c>
      <c r="AB66" s="488" t="str">
        <f ca="1">IF(AND(S66&lt;OP!$C$24,$U66&lt;15),0,IF(AND($U66&lt;15,$T66=12),ROUND(VLOOKUP($S66,DOWN16,5,0),3),IF($T66=12,ROUND(($Z66/10000)*$AA66,3)+IF(AND($P$7="購買增額繳清保險",T66=12,U66=110),VLOOKUP(S66,$B$10:$H$121,7,0),0),"")))</f>
        <v/>
      </c>
      <c r="AC66" s="350" t="str">
        <f ca="1">IF(AND(S66&lt;OP!$C$24,$U66&lt;15),0,IF(AND($U66&lt;16,$T66=12),VLOOKUP($S66,DOWN16,4,0),IF($T66=12,ROUND(VLOOKUP(OP!$C$55,_DIE2,$S66+1,0)*(Z66/10000),0)+IF(AND($P$7="購買增額繳清保險",T66=12,U66=110),VLOOKUP(S66,$B$10:$H$121,7,0),0),"")))</f>
        <v/>
      </c>
      <c r="AD66" s="347"/>
      <c r="AE66" s="350" t="str">
        <f t="shared" ca="1" si="1"/>
        <v/>
      </c>
      <c r="AF66" s="351" t="str">
        <f t="shared" ca="1" si="2"/>
        <v/>
      </c>
      <c r="AG66" s="340"/>
      <c r="AH66" s="340"/>
      <c r="AI66" s="340"/>
      <c r="AJ66" s="340"/>
      <c r="AK66" s="340"/>
      <c r="AL66" s="340"/>
      <c r="AM66" s="340"/>
      <c r="AN66" s="191">
        <f t="shared" si="15"/>
        <v>5</v>
      </c>
      <c r="AO66" s="191">
        <f t="shared" si="16"/>
        <v>10</v>
      </c>
      <c r="AP66" s="191">
        <f ca="1">OP!$D$5+$AN66-1</f>
        <v>37</v>
      </c>
      <c r="AQ66" s="191" t="str">
        <f t="shared" si="17"/>
        <v/>
      </c>
      <c r="AR66" s="352">
        <f t="shared" ca="1" si="18"/>
        <v>0</v>
      </c>
      <c r="AS66" s="352"/>
      <c r="AT66" s="352"/>
      <c r="AU66" s="436"/>
      <c r="AV66" s="353" t="str">
        <f t="shared" ca="1" si="19"/>
        <v/>
      </c>
      <c r="AW66" s="422" t="str">
        <f t="shared" si="20"/>
        <v/>
      </c>
      <c r="AX66" s="423" t="str">
        <f ca="1">IF(AND($AW66=1,$AP66&lt;16,$AN65&lt;OP!$C$24),OP!$C$49,"")</f>
        <v/>
      </c>
      <c r="AY66" s="340"/>
      <c r="AZ66" s="465">
        <f t="shared" ca="1" si="21"/>
        <v>7.3698599999999999E-5</v>
      </c>
      <c r="BA66" s="464">
        <f t="shared" ca="1" si="22"/>
        <v>2.2109589000000002E-3</v>
      </c>
      <c r="BB66" s="465">
        <f t="shared" ca="1" si="22"/>
        <v>2.2846575E-3</v>
      </c>
      <c r="BC66" s="466">
        <f t="shared" ca="1" si="23"/>
        <v>44621</v>
      </c>
      <c r="BD66" s="467">
        <f t="shared" ca="1" si="47"/>
        <v>44622</v>
      </c>
      <c r="BE66" s="467">
        <f t="shared" ca="1" si="24"/>
        <v>44651</v>
      </c>
      <c r="BF66" s="468">
        <f ca="1">IF(計算!$BC66&lt;OP!$C$3,0,BD66-BC66)</f>
        <v>1</v>
      </c>
      <c r="BG66" s="468">
        <f ca="1">IF($BE66&gt;DATE(YEAR($BD$9)+OP!$C$57,MONTH($BD$9),DAY($BD$9)),0,$BE66-$BD66+1)</f>
        <v>30</v>
      </c>
      <c r="BH66" s="469">
        <f t="shared" ca="1" si="25"/>
        <v>31</v>
      </c>
      <c r="BI66" t="str">
        <f t="shared" si="63"/>
        <v/>
      </c>
      <c r="BJ66">
        <v>9</v>
      </c>
      <c r="BN66" s="468">
        <f t="shared" si="48"/>
        <v>5</v>
      </c>
      <c r="BO66" s="468">
        <f t="shared" si="49"/>
        <v>9</v>
      </c>
      <c r="BP66" s="467">
        <f t="shared" ca="1" si="26"/>
        <v>44622</v>
      </c>
      <c r="BQ66" s="475">
        <f t="shared" ca="1" si="60"/>
        <v>37</v>
      </c>
      <c r="BR66" s="475" t="str">
        <f t="shared" si="50"/>
        <v/>
      </c>
      <c r="BS66" s="471" t="str">
        <f t="shared" si="27"/>
        <v/>
      </c>
      <c r="BT66" s="472" t="str">
        <f t="shared" si="64"/>
        <v/>
      </c>
      <c r="BU66" s="472">
        <f t="shared" ca="1" si="28"/>
        <v>0</v>
      </c>
      <c r="BV66" s="472">
        <f t="shared" ca="1" si="28"/>
        <v>0</v>
      </c>
      <c r="BW66" s="472"/>
      <c r="BX66" s="473">
        <f t="shared" ca="1" si="29"/>
        <v>0</v>
      </c>
      <c r="BY66" s="473">
        <f t="shared" si="30"/>
        <v>0</v>
      </c>
      <c r="BZ66" s="473">
        <f t="shared" ca="1" si="4"/>
        <v>0</v>
      </c>
      <c r="CA66" s="476">
        <f t="shared" ca="1" si="31"/>
        <v>0</v>
      </c>
      <c r="CB66" s="494">
        <f ca="1">IF(OR($Q65&lt;&gt;1,OP!$D$5+$BN66-1&lt;16,$BN66-1&lt;1),0,ROUND(ROUND(ROUND(((VLOOKUP($BN66-1,MORE_PV,5,0)/10000)*VLOOKUP($BN66,MORE_PV,$CB$5,0)),3)*VLOOKUP($BN66,more1,5,0),0)/$R65,0))</f>
        <v>0</v>
      </c>
      <c r="CC66" s="473">
        <f t="shared" ca="1" si="32"/>
        <v>0</v>
      </c>
      <c r="CD66" s="477"/>
      <c r="CE66" s="468">
        <f t="shared" si="51"/>
        <v>5</v>
      </c>
      <c r="CF66" s="468">
        <f t="shared" si="52"/>
        <v>9</v>
      </c>
      <c r="CG66" s="467">
        <f t="shared" ca="1" si="5"/>
        <v>44622</v>
      </c>
      <c r="CH66" s="475">
        <f t="shared" ca="1" si="61"/>
        <v>37</v>
      </c>
      <c r="CI66" s="513" t="str">
        <f t="shared" si="53"/>
        <v/>
      </c>
      <c r="CJ66" s="511">
        <f t="shared" si="33"/>
        <v>0</v>
      </c>
      <c r="CK66" s="512">
        <f t="shared" si="34"/>
        <v>0</v>
      </c>
      <c r="CL66" s="511">
        <f t="shared" ca="1" si="54"/>
        <v>0</v>
      </c>
      <c r="CM66" s="511">
        <f ca="1">ROUND(CS66-IF(OR($CE66&gt;=OP!$C$24,AND(CH66=15,CF66=12),CS66=0),0,(CT66-CR66)),$CM$7)</f>
        <v>0</v>
      </c>
      <c r="CN66" s="511"/>
      <c r="CO66" s="351">
        <f t="shared" ca="1" si="35"/>
        <v>10729</v>
      </c>
      <c r="CP66" s="473">
        <f t="shared" si="36"/>
        <v>0</v>
      </c>
      <c r="CQ66" s="473">
        <f t="shared" ca="1" si="6"/>
        <v>24.512090317999998</v>
      </c>
      <c r="CR66" s="476">
        <f t="shared" ca="1" si="37"/>
        <v>0</v>
      </c>
      <c r="CS66" s="494">
        <f ca="1">IF(OR($Q65&lt;&gt;1,OP!$D$5+$CE66-1&lt;16,$CE66-1&lt;1),0,ROUND(ROUND(ROUND(((VLOOKUP($CE66-1,MORE_PV,5,0)/10000)*VLOOKUP($CE66,MORE_PV,$CS$5,0)),3)*VLOOKUP($CE66,more1,5,0),0)/$R65,0))</f>
        <v>0</v>
      </c>
      <c r="CT66" s="473">
        <f>IF($AW66=1,IF(N($CR66+$CS66)&lt;N($AX66)*OP!$C$50,N($CR66+$CS66),MIN(N($CR66+$CS66),N($AX66))),0)</f>
        <v>0</v>
      </c>
      <c r="CV66" s="503">
        <f t="shared" ca="1" si="38"/>
        <v>10728.928074501</v>
      </c>
      <c r="CW66" s="503">
        <f t="shared" ca="1" si="39"/>
        <v>0</v>
      </c>
      <c r="CX66" s="503">
        <f t="shared" ca="1" si="40"/>
        <v>10752.647545423</v>
      </c>
    </row>
    <row r="67" spans="1:102" ht="16.5" hidden="1">
      <c r="A67" s="450">
        <f ca="1">OP!$D$5+$B67-1</f>
        <v>89</v>
      </c>
      <c r="B67" s="192">
        <v>57</v>
      </c>
      <c r="C67" s="219">
        <f ca="1">ROUND(VLOOKUP(OP!$C$55,PV0,B67+2,0)*OP!$C$28,0)</f>
        <v>2743664</v>
      </c>
      <c r="D67" s="189">
        <f t="shared" ca="1" si="65"/>
        <v>2743664</v>
      </c>
      <c r="E67" s="221">
        <f t="shared" ca="1" si="66"/>
        <v>2.69E-2</v>
      </c>
      <c r="F67" s="222">
        <f t="shared" ca="1" si="67"/>
        <v>6.8999999999999999E-3</v>
      </c>
      <c r="G67" s="223">
        <f t="shared" ca="1" si="68"/>
        <v>1205529</v>
      </c>
      <c r="H67" s="224">
        <f t="shared" ca="1" si="56"/>
        <v>19377</v>
      </c>
      <c r="I67" s="450">
        <f t="shared" ca="1" si="57"/>
        <v>1</v>
      </c>
      <c r="J67" s="192">
        <f t="shared" si="7"/>
        <v>5</v>
      </c>
      <c r="K67" s="192">
        <f t="shared" si="8"/>
        <v>11</v>
      </c>
      <c r="L67" s="192" t="str">
        <f t="shared" si="0"/>
        <v/>
      </c>
      <c r="M67" s="216">
        <f t="shared" ca="1" si="9"/>
        <v>0</v>
      </c>
      <c r="N67" s="216"/>
      <c r="O67" s="216"/>
      <c r="P67" s="216"/>
      <c r="Q67" s="456" t="str">
        <f t="shared" ca="1" si="10"/>
        <v/>
      </c>
      <c r="R67" s="450">
        <f t="shared" ca="1" si="11"/>
        <v>1</v>
      </c>
      <c r="S67" s="191">
        <f t="shared" si="12"/>
        <v>5</v>
      </c>
      <c r="T67" s="191">
        <f t="shared" si="13"/>
        <v>11</v>
      </c>
      <c r="U67" s="191">
        <f ca="1">OP!$D$5+$S67-1</f>
        <v>37</v>
      </c>
      <c r="V67" s="191" t="str">
        <f t="shared" si="14"/>
        <v/>
      </c>
      <c r="W67" s="350">
        <f ca="1">IF(Q67&lt;&gt;1,0,VLOOKUP(OP!$C$55,PVFB,$S67+2,0))</f>
        <v>0</v>
      </c>
      <c r="X67" s="473">
        <f t="shared" ca="1" si="44"/>
        <v>0</v>
      </c>
      <c r="Y67" s="348">
        <f t="shared" ca="1" si="45"/>
        <v>0</v>
      </c>
      <c r="Z67" s="348">
        <f t="shared" ca="1" si="46"/>
        <v>3655</v>
      </c>
      <c r="AA67" s="348">
        <f ca="1">IF(Q67&lt;&gt;1,0,VLOOKUP(OP!$C$55,PVFB,$S67+2,0))</f>
        <v>0</v>
      </c>
      <c r="AB67" s="488" t="str">
        <f ca="1">IF(AND(S67&lt;OP!$C$24,$U67&lt;15),0,IF(AND($U67&lt;15,$T67=12),ROUND(VLOOKUP($S67,DOWN16,5,0),3),IF($T67=12,ROUND(($Z67/10000)*$AA67,3)+IF(AND($P$7="購買增額繳清保險",T67=12,U67=110),VLOOKUP(S67,$B$10:$H$121,7,0),0),"")))</f>
        <v/>
      </c>
      <c r="AC67" s="350" t="str">
        <f ca="1">IF(AND(S67&lt;OP!$C$24,$U67&lt;15),0,IF(AND($U67&lt;16,$T67=12),VLOOKUP($S67,DOWN16,4,0),IF($T67=12,ROUND(VLOOKUP(OP!$C$55,_DIE2,$S67+1,0)*(Z67/10000),0)+IF(AND($P$7="購買增額繳清保險",T67=12,U67=110),VLOOKUP(S67,$B$10:$H$121,7,0),0),"")))</f>
        <v/>
      </c>
      <c r="AD67" s="347"/>
      <c r="AE67" s="350" t="str">
        <f t="shared" ca="1" si="1"/>
        <v/>
      </c>
      <c r="AF67" s="351" t="str">
        <f t="shared" ca="1" si="2"/>
        <v/>
      </c>
      <c r="AG67" s="340"/>
      <c r="AH67" s="340"/>
      <c r="AI67" s="340"/>
      <c r="AJ67" s="340"/>
      <c r="AK67" s="340"/>
      <c r="AL67" s="340"/>
      <c r="AM67" s="340"/>
      <c r="AN67" s="191">
        <f t="shared" si="15"/>
        <v>5</v>
      </c>
      <c r="AO67" s="191">
        <f t="shared" si="16"/>
        <v>11</v>
      </c>
      <c r="AP67" s="191">
        <f ca="1">OP!$D$5+$AN67-1</f>
        <v>37</v>
      </c>
      <c r="AQ67" s="191" t="str">
        <f t="shared" si="17"/>
        <v/>
      </c>
      <c r="AR67" s="352">
        <f t="shared" ca="1" si="18"/>
        <v>0</v>
      </c>
      <c r="AS67" s="352"/>
      <c r="AT67" s="352"/>
      <c r="AU67" s="436"/>
      <c r="AV67" s="353" t="str">
        <f t="shared" ca="1" si="19"/>
        <v/>
      </c>
      <c r="AW67" s="422" t="str">
        <f t="shared" si="20"/>
        <v/>
      </c>
      <c r="AX67" s="423" t="str">
        <f ca="1">IF(AND($AW67=1,$AP67&lt;16,$AN66&lt;OP!$C$24),OP!$C$49,"")</f>
        <v/>
      </c>
      <c r="AY67" s="340"/>
      <c r="AZ67" s="465">
        <f t="shared" ca="1" si="21"/>
        <v>7.3698599999999999E-5</v>
      </c>
      <c r="BA67" s="464">
        <f t="shared" ca="1" si="22"/>
        <v>2.1372602999999999E-3</v>
      </c>
      <c r="BB67" s="465">
        <f t="shared" ca="1" si="22"/>
        <v>2.2109589000000002E-3</v>
      </c>
      <c r="BC67" s="466">
        <f t="shared" ca="1" si="23"/>
        <v>44652</v>
      </c>
      <c r="BD67" s="467">
        <f t="shared" ca="1" si="47"/>
        <v>44653</v>
      </c>
      <c r="BE67" s="467">
        <f t="shared" ca="1" si="24"/>
        <v>44681</v>
      </c>
      <c r="BF67" s="468">
        <f ca="1">IF(計算!$BC67&lt;OP!$C$3,0,BD67-BC67)</f>
        <v>1</v>
      </c>
      <c r="BG67" s="468">
        <f ca="1">IF($BE67&gt;DATE(YEAR($BD$9)+OP!$C$57,MONTH($BD$9),DAY($BD$9)),0,$BE67-$BD67+1)</f>
        <v>29</v>
      </c>
      <c r="BH67" s="469">
        <f t="shared" ca="1" si="25"/>
        <v>30</v>
      </c>
      <c r="BI67" t="str">
        <f t="shared" si="63"/>
        <v/>
      </c>
      <c r="BJ67">
        <v>10</v>
      </c>
      <c r="BN67" s="468">
        <f t="shared" si="48"/>
        <v>5</v>
      </c>
      <c r="BO67" s="468">
        <f t="shared" si="49"/>
        <v>10</v>
      </c>
      <c r="BP67" s="467">
        <f t="shared" ca="1" si="26"/>
        <v>44653</v>
      </c>
      <c r="BQ67" s="475">
        <f t="shared" ca="1" si="60"/>
        <v>37</v>
      </c>
      <c r="BR67" s="475" t="str">
        <f t="shared" si="50"/>
        <v/>
      </c>
      <c r="BS67" s="471" t="str">
        <f t="shared" si="27"/>
        <v/>
      </c>
      <c r="BT67" s="472" t="str">
        <f t="shared" si="64"/>
        <v/>
      </c>
      <c r="BU67" s="472">
        <f t="shared" ca="1" si="28"/>
        <v>0</v>
      </c>
      <c r="BV67" s="472">
        <f t="shared" ca="1" si="28"/>
        <v>0</v>
      </c>
      <c r="BW67" s="472"/>
      <c r="BX67" s="473">
        <f t="shared" ca="1" si="29"/>
        <v>0</v>
      </c>
      <c r="BY67" s="473">
        <f t="shared" si="30"/>
        <v>0</v>
      </c>
      <c r="BZ67" s="473">
        <f t="shared" ca="1" si="4"/>
        <v>0</v>
      </c>
      <c r="CA67" s="476">
        <f t="shared" ca="1" si="31"/>
        <v>0</v>
      </c>
      <c r="CB67" s="494">
        <f ca="1">IF(OR($Q66&lt;&gt;1,OP!$D$5+$BN67-1&lt;16,$BN67-1&lt;1),0,ROUND(ROUND(ROUND(((VLOOKUP($BN67-1,MORE_PV,5,0)/10000)*VLOOKUP($BN67,MORE_PV,$CB$5,0)),3)*VLOOKUP($BN67,more1,5,0),0)/$R66,0))</f>
        <v>0</v>
      </c>
      <c r="CC67" s="473">
        <f t="shared" ca="1" si="32"/>
        <v>0</v>
      </c>
      <c r="CD67" s="477"/>
      <c r="CE67" s="468">
        <f t="shared" si="51"/>
        <v>5</v>
      </c>
      <c r="CF67" s="468">
        <f t="shared" si="52"/>
        <v>10</v>
      </c>
      <c r="CG67" s="467">
        <f t="shared" ca="1" si="5"/>
        <v>44653</v>
      </c>
      <c r="CH67" s="475">
        <f t="shared" ca="1" si="61"/>
        <v>37</v>
      </c>
      <c r="CI67" s="513" t="str">
        <f t="shared" si="53"/>
        <v/>
      </c>
      <c r="CJ67" s="511">
        <f t="shared" si="33"/>
        <v>0</v>
      </c>
      <c r="CK67" s="512">
        <f t="shared" si="34"/>
        <v>0</v>
      </c>
      <c r="CL67" s="511">
        <f t="shared" ca="1" si="54"/>
        <v>0</v>
      </c>
      <c r="CM67" s="511">
        <f ca="1">ROUND(CS67-IF(OR($CE67&gt;=OP!$C$24,AND(CH67=15,CF67=12),CS67=0),0,(CT67-CR67)),$CM$7)</f>
        <v>0</v>
      </c>
      <c r="CN67" s="511"/>
      <c r="CO67" s="351">
        <f t="shared" ca="1" si="35"/>
        <v>10753</v>
      </c>
      <c r="CP67" s="473">
        <f t="shared" si="36"/>
        <v>0</v>
      </c>
      <c r="CQ67" s="473">
        <f t="shared" ca="1" si="6"/>
        <v>23.774441052</v>
      </c>
      <c r="CR67" s="476">
        <f t="shared" ca="1" si="37"/>
        <v>0</v>
      </c>
      <c r="CS67" s="494">
        <f ca="1">IF(OR($Q66&lt;&gt;1,OP!$D$5+$CE67-1&lt;16,$CE67-1&lt;1),0,ROUND(ROUND(ROUND(((VLOOKUP($CE67-1,MORE_PV,5,0)/10000)*VLOOKUP($CE67,MORE_PV,$CS$5,0)),3)*VLOOKUP($CE67,more1,5,0),0)/$R66,0))</f>
        <v>0</v>
      </c>
      <c r="CT67" s="473">
        <f>IF($AW67=1,IF(N($CR67+$CS67)&lt;N($AX67)*OP!$C$50,N($CR67+$CS67),MIN(N($CR67+$CS67),N($AX67))),0)</f>
        <v>0</v>
      </c>
      <c r="CV67" s="503">
        <f t="shared" ca="1" si="38"/>
        <v>10753.440000492999</v>
      </c>
      <c r="CW67" s="503">
        <f t="shared" ca="1" si="39"/>
        <v>0</v>
      </c>
      <c r="CX67" s="503">
        <f t="shared" ca="1" si="40"/>
        <v>10776.421207212001</v>
      </c>
    </row>
    <row r="68" spans="1:102" ht="16.5" hidden="1">
      <c r="A68" s="450">
        <f ca="1">OP!$D$5+$B68-1</f>
        <v>90</v>
      </c>
      <c r="B68" s="192">
        <v>58</v>
      </c>
      <c r="C68" s="219">
        <f ca="1">ROUND(VLOOKUP(OP!$C$55,PV0,B68+2,0)*OP!$C$28,0)</f>
        <v>2791298</v>
      </c>
      <c r="D68" s="189">
        <f t="shared" ca="1" si="65"/>
        <v>2791298</v>
      </c>
      <c r="E68" s="221">
        <f t="shared" ca="1" si="66"/>
        <v>2.69E-2</v>
      </c>
      <c r="F68" s="222">
        <f t="shared" ca="1" si="67"/>
        <v>6.8999999999999999E-3</v>
      </c>
      <c r="G68" s="223">
        <f t="shared" ca="1" si="68"/>
        <v>1258075</v>
      </c>
      <c r="H68" s="224">
        <f t="shared" ca="1" si="56"/>
        <v>19714</v>
      </c>
      <c r="I68" s="450">
        <f t="shared" ca="1" si="57"/>
        <v>1</v>
      </c>
      <c r="J68" s="192">
        <f t="shared" si="7"/>
        <v>5</v>
      </c>
      <c r="K68" s="192">
        <f t="shared" si="8"/>
        <v>12</v>
      </c>
      <c r="L68" s="192">
        <f t="shared" si="0"/>
        <v>5</v>
      </c>
      <c r="M68" s="216">
        <f t="shared" ca="1" si="9"/>
        <v>0</v>
      </c>
      <c r="N68" s="216"/>
      <c r="O68" s="216"/>
      <c r="P68" s="216"/>
      <c r="Q68" s="456">
        <f t="shared" ca="1" si="10"/>
        <v>1</v>
      </c>
      <c r="R68" s="450">
        <f t="shared" ca="1" si="11"/>
        <v>1</v>
      </c>
      <c r="S68" s="191">
        <f t="shared" si="12"/>
        <v>5</v>
      </c>
      <c r="T68" s="191">
        <f t="shared" si="13"/>
        <v>12</v>
      </c>
      <c r="U68" s="191">
        <f ca="1">OP!$D$5+$S68-1</f>
        <v>37</v>
      </c>
      <c r="V68" s="191">
        <f t="shared" si="14"/>
        <v>5</v>
      </c>
      <c r="W68" s="350">
        <f ca="1">IF(Q68&lt;&gt;1,0,VLOOKUP(OP!$C$55,PVFB,$S68+2,0))</f>
        <v>29344</v>
      </c>
      <c r="X68" s="473">
        <f t="shared" ca="1" si="44"/>
        <v>5786</v>
      </c>
      <c r="Y68" s="348">
        <f t="shared" ca="1" si="45"/>
        <v>1972</v>
      </c>
      <c r="Z68" s="348">
        <f t="shared" ca="1" si="46"/>
        <v>5627</v>
      </c>
      <c r="AA68" s="348">
        <f ca="1">IF(Q68&lt;&gt;1,0,VLOOKUP(OP!$C$55,PVFB,$S68+2,0))</f>
        <v>29344</v>
      </c>
      <c r="AB68" s="488">
        <f ca="1">IF(AND(S68&lt;OP!$C$24,$U68&lt;15),0,IF(AND($U68&lt;15,$T68=12),ROUND(VLOOKUP($S68,DOWN16,5,0),3),IF($T68=12,ROUND(($Z68/10000)*$AA68,3)+IF(AND($P$7="購買增額繳清保險",T68=12,U68=110),VLOOKUP(S68,$B$10:$H$121,7,0),0),"")))</f>
        <v>16511.868999999999</v>
      </c>
      <c r="AC68" s="350">
        <f ca="1">IF(AND(S68&lt;OP!$C$24,$U68&lt;15),0,IF(AND($U68&lt;16,$T68=12),VLOOKUP($S68,DOWN16,4,0),IF($T68=12,ROUND(VLOOKUP(OP!$C$55,_DIE2,$S68+1,0)*(Z68/10000),0)+IF(AND($P$7="購買增額繳清保險",T68=12,U68=110),VLOOKUP(S68,$B$10:$H$121,7,0),0),"")))</f>
        <v>16512</v>
      </c>
      <c r="AD68" s="347"/>
      <c r="AE68" s="350" t="str">
        <f t="shared" ca="1" si="1"/>
        <v/>
      </c>
      <c r="AF68" s="351" t="str">
        <f t="shared" ca="1" si="2"/>
        <v/>
      </c>
      <c r="AG68" s="340"/>
      <c r="AH68" s="340"/>
      <c r="AI68" s="340"/>
      <c r="AJ68" s="340"/>
      <c r="AK68" s="340"/>
      <c r="AL68" s="340"/>
      <c r="AM68" s="340"/>
      <c r="AN68" s="191">
        <f t="shared" si="15"/>
        <v>5</v>
      </c>
      <c r="AO68" s="191">
        <f t="shared" si="16"/>
        <v>12</v>
      </c>
      <c r="AP68" s="191">
        <f ca="1">OP!$D$5+$AN68-1</f>
        <v>37</v>
      </c>
      <c r="AQ68" s="191">
        <f t="shared" si="17"/>
        <v>5</v>
      </c>
      <c r="AR68" s="352">
        <f t="shared" ca="1" si="18"/>
        <v>16514</v>
      </c>
      <c r="AS68" s="352"/>
      <c r="AT68" s="352"/>
      <c r="AU68" s="436"/>
      <c r="AV68" s="353">
        <f t="shared" ca="1" si="19"/>
        <v>1</v>
      </c>
      <c r="AW68" s="422" t="str">
        <f t="shared" si="20"/>
        <v/>
      </c>
      <c r="AX68" s="423" t="str">
        <f ca="1">IF(AND($AW68=1,$AP68&lt;16,$AN67&lt;OP!$C$24),OP!$C$49,"")</f>
        <v/>
      </c>
      <c r="AY68" s="340"/>
      <c r="AZ68" s="465">
        <f t="shared" ca="1" si="21"/>
        <v>7.3698599999999999E-5</v>
      </c>
      <c r="BA68" s="464">
        <f t="shared" ca="1" si="22"/>
        <v>2.2109589000000002E-3</v>
      </c>
      <c r="BB68" s="465">
        <f t="shared" ca="1" si="22"/>
        <v>2.2846575E-3</v>
      </c>
      <c r="BC68" s="466">
        <f t="shared" ca="1" si="23"/>
        <v>44682</v>
      </c>
      <c r="BD68" s="467">
        <f t="shared" ca="1" si="47"/>
        <v>44683</v>
      </c>
      <c r="BE68" s="467">
        <f t="shared" ca="1" si="24"/>
        <v>44712</v>
      </c>
      <c r="BF68" s="468">
        <f ca="1">IF(計算!$BC68&lt;OP!$C$3,0,BD68-BC68)</f>
        <v>1</v>
      </c>
      <c r="BG68" s="468">
        <f ca="1">IF($BE68&gt;DATE(YEAR($BD$9)+OP!$C$57,MONTH($BD$9),DAY($BD$9)),0,$BE68-$BD68+1)</f>
        <v>30</v>
      </c>
      <c r="BH68" s="469">
        <f t="shared" ca="1" si="25"/>
        <v>31</v>
      </c>
      <c r="BI68" t="str">
        <f t="shared" si="63"/>
        <v/>
      </c>
      <c r="BJ68">
        <v>11</v>
      </c>
      <c r="BN68" s="468">
        <f t="shared" si="48"/>
        <v>5</v>
      </c>
      <c r="BO68" s="468">
        <f t="shared" si="49"/>
        <v>11</v>
      </c>
      <c r="BP68" s="467">
        <f t="shared" ca="1" si="26"/>
        <v>44683</v>
      </c>
      <c r="BQ68" s="475">
        <f t="shared" ca="1" si="60"/>
        <v>37</v>
      </c>
      <c r="BR68" s="475" t="str">
        <f t="shared" si="50"/>
        <v/>
      </c>
      <c r="BS68" s="471" t="str">
        <f t="shared" si="27"/>
        <v/>
      </c>
      <c r="BT68" s="472" t="str">
        <f t="shared" si="64"/>
        <v/>
      </c>
      <c r="BU68" s="472">
        <f t="shared" ca="1" si="28"/>
        <v>0</v>
      </c>
      <c r="BV68" s="472">
        <f t="shared" ca="1" si="28"/>
        <v>0</v>
      </c>
      <c r="BW68" s="472"/>
      <c r="BX68" s="473">
        <f t="shared" ca="1" si="29"/>
        <v>0</v>
      </c>
      <c r="BY68" s="473">
        <f t="shared" si="30"/>
        <v>0</v>
      </c>
      <c r="BZ68" s="473">
        <f t="shared" ca="1" si="4"/>
        <v>0</v>
      </c>
      <c r="CA68" s="476">
        <f t="shared" ca="1" si="31"/>
        <v>0</v>
      </c>
      <c r="CB68" s="494">
        <f ca="1">IF(OR($Q67&lt;&gt;1,OP!$D$5+$BN68-1&lt;16,$BN68-1&lt;1),0,ROUND(ROUND(ROUND(((VLOOKUP($BN68-1,MORE_PV,5,0)/10000)*VLOOKUP($BN68,MORE_PV,$CB$5,0)),3)*VLOOKUP($BN68,more1,5,0),0)/$R67,0))</f>
        <v>0</v>
      </c>
      <c r="CC68" s="473">
        <f t="shared" ca="1" si="32"/>
        <v>0</v>
      </c>
      <c r="CD68" s="477"/>
      <c r="CE68" s="468">
        <f t="shared" si="51"/>
        <v>5</v>
      </c>
      <c r="CF68" s="468">
        <f t="shared" si="52"/>
        <v>11</v>
      </c>
      <c r="CG68" s="467">
        <f t="shared" ca="1" si="5"/>
        <v>44683</v>
      </c>
      <c r="CH68" s="475">
        <f t="shared" ca="1" si="61"/>
        <v>37</v>
      </c>
      <c r="CI68" s="513" t="str">
        <f t="shared" si="53"/>
        <v/>
      </c>
      <c r="CJ68" s="511">
        <f t="shared" si="33"/>
        <v>0</v>
      </c>
      <c r="CK68" s="512">
        <f t="shared" si="34"/>
        <v>0</v>
      </c>
      <c r="CL68" s="511">
        <f t="shared" ca="1" si="54"/>
        <v>0</v>
      </c>
      <c r="CM68" s="511">
        <f ca="1">ROUND(CS68-IF(OR($CE68&gt;=OP!$C$24,AND(CH68=15,CF68=12),CS68=0),0,(CT68-CR68)),$CM$7)</f>
        <v>0</v>
      </c>
      <c r="CN68" s="511"/>
      <c r="CO68" s="351">
        <f t="shared" ca="1" si="35"/>
        <v>10777</v>
      </c>
      <c r="CP68" s="473">
        <f t="shared" si="36"/>
        <v>0</v>
      </c>
      <c r="CQ68" s="473">
        <f t="shared" ca="1" si="6"/>
        <v>24.621753878</v>
      </c>
      <c r="CR68" s="476">
        <f t="shared" ca="1" si="37"/>
        <v>0</v>
      </c>
      <c r="CS68" s="494">
        <f ca="1">IF(OR($Q67&lt;&gt;1,OP!$D$5+$CE68-1&lt;16,$CE68-1&lt;1),0,ROUND(ROUND(ROUND(((VLOOKUP($CE68-1,MORE_PV,5,0)/10000)*VLOOKUP($CE68,MORE_PV,$CS$5,0)),3)*VLOOKUP($CE68,more1,5,0),0)/$R67,0))</f>
        <v>0</v>
      </c>
      <c r="CT68" s="473">
        <f>IF($AW68=1,IF(N($CR68+$CS68)&lt;N($AX68)*OP!$C$50,N($CR68+$CS68),MIN(N($CR68+$CS68),N($AX68))),0)</f>
        <v>0</v>
      </c>
      <c r="CV68" s="503">
        <f t="shared" ca="1" si="38"/>
        <v>10777.215414368</v>
      </c>
      <c r="CW68" s="503">
        <f t="shared" ca="1" si="39"/>
        <v>0</v>
      </c>
      <c r="CX68" s="503">
        <f t="shared" ca="1" si="40"/>
        <v>10801.041638746001</v>
      </c>
    </row>
    <row r="69" spans="1:102" ht="16.5" hidden="1">
      <c r="A69" s="450">
        <f ca="1">OP!$D$5+$B69-1</f>
        <v>91</v>
      </c>
      <c r="B69" s="192">
        <v>59</v>
      </c>
      <c r="C69" s="219">
        <f ca="1">ROUND(VLOOKUP(OP!$C$55,PV0,B69+2,0)*OP!$C$28,0)</f>
        <v>2839136</v>
      </c>
      <c r="D69" s="189">
        <f t="shared" ca="1" si="65"/>
        <v>2839136</v>
      </c>
      <c r="E69" s="221">
        <f t="shared" ca="1" si="66"/>
        <v>2.69E-2</v>
      </c>
      <c r="F69" s="222">
        <f t="shared" ca="1" si="67"/>
        <v>6.8999999999999999E-3</v>
      </c>
      <c r="G69" s="223">
        <f t="shared" ca="1" si="68"/>
        <v>1312485</v>
      </c>
      <c r="H69" s="224">
        <f t="shared" ca="1" si="56"/>
        <v>20052</v>
      </c>
      <c r="I69" s="450">
        <f t="shared" ca="1" si="57"/>
        <v>1</v>
      </c>
      <c r="J69" s="192">
        <f t="shared" si="7"/>
        <v>6</v>
      </c>
      <c r="K69" s="192">
        <f t="shared" si="8"/>
        <v>1</v>
      </c>
      <c r="L69" s="192" t="str">
        <f t="shared" si="0"/>
        <v/>
      </c>
      <c r="M69" s="216">
        <f t="shared" ca="1" si="9"/>
        <v>0</v>
      </c>
      <c r="N69" s="216"/>
      <c r="O69" s="216"/>
      <c r="P69" s="216"/>
      <c r="Q69" s="456" t="str">
        <f t="shared" ca="1" si="10"/>
        <v/>
      </c>
      <c r="R69" s="450">
        <f t="shared" ca="1" si="11"/>
        <v>1</v>
      </c>
      <c r="S69" s="191">
        <f t="shared" si="12"/>
        <v>6</v>
      </c>
      <c r="T69" s="191">
        <f t="shared" si="13"/>
        <v>1</v>
      </c>
      <c r="U69" s="191">
        <f ca="1">OP!$D$5+$S69-1</f>
        <v>38</v>
      </c>
      <c r="V69" s="191" t="str">
        <f t="shared" si="14"/>
        <v/>
      </c>
      <c r="W69" s="350">
        <f ca="1">IF(Q69&lt;&gt;1,0,VLOOKUP(OP!$C$55,PVFB,$S69+2,0))</f>
        <v>0</v>
      </c>
      <c r="X69" s="473">
        <f t="shared" ca="1" si="44"/>
        <v>0</v>
      </c>
      <c r="Y69" s="348">
        <f t="shared" ca="1" si="45"/>
        <v>0</v>
      </c>
      <c r="Z69" s="348">
        <f t="shared" ca="1" si="46"/>
        <v>5627</v>
      </c>
      <c r="AA69" s="348">
        <f ca="1">IF(Q69&lt;&gt;1,0,VLOOKUP(OP!$C$55,PVFB,$S69+2,0))</f>
        <v>0</v>
      </c>
      <c r="AB69" s="488" t="str">
        <f ca="1">IF(AND(S69&lt;OP!$C$24,$U69&lt;15),0,IF(AND($U69&lt;15,$T69=12),ROUND(VLOOKUP($S69,DOWN16,5,0),3),IF($T69=12,ROUND(($Z69/10000)*$AA69,3)+IF(AND($P$7="購買增額繳清保險",T69=12,U69=110),VLOOKUP(S69,$B$10:$H$121,7,0),0),"")))</f>
        <v/>
      </c>
      <c r="AC69" s="350" t="str">
        <f ca="1">IF(AND(S69&lt;OP!$C$24,$U69&lt;15),0,IF(AND($U69&lt;16,$T69=12),VLOOKUP($S69,DOWN16,4,0),IF($T69=12,ROUND(VLOOKUP(OP!$C$55,_DIE2,$S69+1,0)*(Z69/10000),0)+IF(AND($P$7="購買增額繳清保險",T69=12,U69=110),VLOOKUP(S69,$B$10:$H$121,7,0),0),"")))</f>
        <v/>
      </c>
      <c r="AD69" s="347"/>
      <c r="AE69" s="350" t="str">
        <f t="shared" ca="1" si="1"/>
        <v/>
      </c>
      <c r="AF69" s="351" t="str">
        <f t="shared" ca="1" si="2"/>
        <v/>
      </c>
      <c r="AG69" s="340"/>
      <c r="AH69" s="340"/>
      <c r="AI69" s="340"/>
      <c r="AJ69" s="340"/>
      <c r="AK69" s="340"/>
      <c r="AL69" s="340"/>
      <c r="AM69" s="340"/>
      <c r="AN69" s="191">
        <f t="shared" si="15"/>
        <v>6</v>
      </c>
      <c r="AO69" s="191">
        <f t="shared" si="16"/>
        <v>1</v>
      </c>
      <c r="AP69" s="191">
        <f ca="1">OP!$D$5+$AN69-1</f>
        <v>38</v>
      </c>
      <c r="AQ69" s="191" t="str">
        <f t="shared" si="17"/>
        <v/>
      </c>
      <c r="AR69" s="352">
        <f t="shared" ca="1" si="18"/>
        <v>0</v>
      </c>
      <c r="AS69" s="352"/>
      <c r="AT69" s="352"/>
      <c r="AU69" s="436"/>
      <c r="AV69" s="353" t="str">
        <f t="shared" ca="1" si="19"/>
        <v/>
      </c>
      <c r="AW69" s="422">
        <f t="shared" si="20"/>
        <v>1</v>
      </c>
      <c r="AX69" s="423" t="str">
        <f ca="1">IF(AND($AW69=1,$AP69&lt;16,$AN68&lt;OP!$C$24),OP!$C$49,"")</f>
        <v/>
      </c>
      <c r="AY69" s="340"/>
      <c r="AZ69" s="465">
        <f t="shared" ca="1" si="21"/>
        <v>7.3698599999999999E-5</v>
      </c>
      <c r="BA69" s="464">
        <f t="shared" ca="1" si="22"/>
        <v>2.1372602999999999E-3</v>
      </c>
      <c r="BB69" s="465">
        <f t="shared" ca="1" si="22"/>
        <v>2.2109589000000002E-3</v>
      </c>
      <c r="BC69" s="466">
        <f t="shared" ca="1" si="23"/>
        <v>44713</v>
      </c>
      <c r="BD69" s="467">
        <f t="shared" ca="1" si="47"/>
        <v>44714</v>
      </c>
      <c r="BE69" s="467">
        <f t="shared" ca="1" si="24"/>
        <v>44742</v>
      </c>
      <c r="BF69" s="468">
        <f ca="1">IF(計算!$BC69&lt;OP!$C$3,0,BD69-BC69)</f>
        <v>1</v>
      </c>
      <c r="BG69" s="468">
        <f ca="1">IF($BE69&gt;DATE(YEAR($BD$9)+OP!$C$57,MONTH($BD$9),DAY($BD$9)),0,$BE69-$BD69+1)</f>
        <v>29</v>
      </c>
      <c r="BH69" s="469">
        <f t="shared" ca="1" si="25"/>
        <v>30</v>
      </c>
      <c r="BI69">
        <f t="shared" ca="1" si="63"/>
        <v>365</v>
      </c>
      <c r="BJ69">
        <v>12</v>
      </c>
      <c r="BN69" s="468">
        <f t="shared" si="48"/>
        <v>5</v>
      </c>
      <c r="BO69" s="468">
        <f t="shared" si="49"/>
        <v>12</v>
      </c>
      <c r="BP69" s="467">
        <f t="shared" ca="1" si="26"/>
        <v>44714</v>
      </c>
      <c r="BQ69" s="475">
        <f t="shared" ca="1" si="60"/>
        <v>37</v>
      </c>
      <c r="BR69" s="475">
        <f t="shared" si="50"/>
        <v>5</v>
      </c>
      <c r="BS69" s="471">
        <f t="shared" ca="1" si="27"/>
        <v>5786</v>
      </c>
      <c r="BT69" s="472">
        <f t="shared" ca="1" si="64"/>
        <v>0</v>
      </c>
      <c r="BU69" s="472">
        <f t="shared" ca="1" si="28"/>
        <v>5712</v>
      </c>
      <c r="BV69" s="472">
        <f t="shared" ca="1" si="28"/>
        <v>74</v>
      </c>
      <c r="BW69" s="472">
        <f ca="1">ROUND(SUM(BY69,BZ57:BZ68),0)</f>
        <v>0</v>
      </c>
      <c r="BX69" s="473">
        <f t="shared" ca="1" si="29"/>
        <v>0</v>
      </c>
      <c r="BY69" s="473">
        <f t="shared" ca="1" si="30"/>
        <v>0</v>
      </c>
      <c r="BZ69" s="473">
        <f t="shared" ca="1" si="4"/>
        <v>0</v>
      </c>
      <c r="CA69" s="476">
        <f t="shared" ca="1" si="31"/>
        <v>5712</v>
      </c>
      <c r="CB69" s="494">
        <f ca="1">IF(OR($Q68&lt;&gt;1,OP!$D$5+$BN69-1&lt;16,$BN69-1&lt;1),0,ROUND(ROUND(ROUND(((VLOOKUP($BN69-1,MORE_PV,5,0)/10000)*VLOOKUP($BN69,MORE_PV,$CB$5,0)),3)*VLOOKUP($BN69,more1,5,0),0)/$R68,0))</f>
        <v>74</v>
      </c>
      <c r="CC69" s="473">
        <f t="shared" ca="1" si="32"/>
        <v>0</v>
      </c>
      <c r="CD69" s="477"/>
      <c r="CE69" s="468">
        <f t="shared" si="51"/>
        <v>5</v>
      </c>
      <c r="CF69" s="468">
        <f t="shared" si="52"/>
        <v>12</v>
      </c>
      <c r="CG69" s="467">
        <f t="shared" ca="1" si="5"/>
        <v>44714</v>
      </c>
      <c r="CH69" s="475">
        <f t="shared" ca="1" si="61"/>
        <v>37</v>
      </c>
      <c r="CI69" s="513">
        <f t="shared" si="53"/>
        <v>5</v>
      </c>
      <c r="CJ69" s="511">
        <f t="shared" ca="1" si="33"/>
        <v>11572</v>
      </c>
      <c r="CK69" s="512">
        <f t="shared" ca="1" si="34"/>
        <v>16513.837660393001</v>
      </c>
      <c r="CL69" s="511">
        <f t="shared" ca="1" si="54"/>
        <v>5786</v>
      </c>
      <c r="CM69" s="511">
        <f ca="1">ROUND(CS69-IF(OR($CE69&gt;=OP!$C$24,AND(CH69=15,CF69=12),CS69=0),0,(CT69-CR69)),$CM$7)</f>
        <v>5786</v>
      </c>
      <c r="CN69" s="511">
        <f ca="1">ROUND(SUM(CP69,CQ57:CQ68),$CN$7)</f>
        <v>286.398815222</v>
      </c>
      <c r="CO69" s="351">
        <f t="shared" ca="1" si="35"/>
        <v>16514</v>
      </c>
      <c r="CP69" s="473">
        <f t="shared" ca="1" si="36"/>
        <v>0.79606440099999998</v>
      </c>
      <c r="CQ69" s="473">
        <f t="shared" ca="1" si="6"/>
        <v>35.294716594</v>
      </c>
      <c r="CR69" s="476">
        <f t="shared" ca="1" si="37"/>
        <v>5712</v>
      </c>
      <c r="CS69" s="494">
        <f ca="1">IF(OR($Q68&lt;&gt;1,OP!$D$5+$CE69-1&lt;16,$CE69-1&lt;1),0,ROUND(ROUND(ROUND(((VLOOKUP($CE69-1,MORE_PV,5,0)/10000)*VLOOKUP($CE69,MORE_PV,$CS$5,0)),3)*VLOOKUP($CE69,more1,5,0),0)/$R68,0))</f>
        <v>74</v>
      </c>
      <c r="CT69" s="473">
        <f ca="1">IF($AW69=1,IF(N($CR69+$CS69)&lt;N($AX69)*OP!$C$50,N($CR69+$CS69),MIN(N($CR69+$CS69),N($AX69))),0)</f>
        <v>0</v>
      </c>
      <c r="CV69" s="503">
        <f t="shared" ca="1" si="38"/>
        <v>16513.837660393001</v>
      </c>
      <c r="CW69" s="503">
        <f t="shared" ca="1" si="39"/>
        <v>5724.2080308340001</v>
      </c>
      <c r="CX69" s="503">
        <f t="shared" ca="1" si="40"/>
        <v>16549.130328720999</v>
      </c>
    </row>
    <row r="70" spans="1:102" ht="16.5" hidden="1">
      <c r="A70" s="450">
        <f ca="1">OP!$D$5+$B70-1</f>
        <v>92</v>
      </c>
      <c r="B70" s="192">
        <v>60</v>
      </c>
      <c r="C70" s="219">
        <f ca="1">ROUND(VLOOKUP(OP!$C$55,PV0,B70+2,0)*OP!$C$28,0)</f>
        <v>2887212</v>
      </c>
      <c r="D70" s="189">
        <f t="shared" ca="1" si="65"/>
        <v>2887212</v>
      </c>
      <c r="E70" s="221">
        <f t="shared" ca="1" si="66"/>
        <v>2.69E-2</v>
      </c>
      <c r="F70" s="222">
        <f t="shared" ca="1" si="67"/>
        <v>6.8999999999999999E-3</v>
      </c>
      <c r="G70" s="223">
        <f t="shared" ca="1" si="68"/>
        <v>1368621</v>
      </c>
      <c r="H70" s="224">
        <f t="shared" ca="1" si="56"/>
        <v>20391</v>
      </c>
      <c r="I70" s="450">
        <f t="shared" ca="1" si="57"/>
        <v>1</v>
      </c>
      <c r="J70" s="192">
        <f t="shared" si="7"/>
        <v>6</v>
      </c>
      <c r="K70" s="192">
        <f t="shared" si="8"/>
        <v>2</v>
      </c>
      <c r="L70" s="192" t="str">
        <f t="shared" si="0"/>
        <v/>
      </c>
      <c r="M70" s="216">
        <f t="shared" ca="1" si="9"/>
        <v>0</v>
      </c>
      <c r="N70" s="216"/>
      <c r="O70" s="216"/>
      <c r="P70" s="216"/>
      <c r="Q70" s="456" t="str">
        <f t="shared" ca="1" si="10"/>
        <v/>
      </c>
      <c r="R70" s="450">
        <f t="shared" ca="1" si="11"/>
        <v>1</v>
      </c>
      <c r="S70" s="191">
        <f t="shared" si="12"/>
        <v>6</v>
      </c>
      <c r="T70" s="191">
        <f t="shared" si="13"/>
        <v>2</v>
      </c>
      <c r="U70" s="191">
        <f ca="1">OP!$D$5+$S70-1</f>
        <v>38</v>
      </c>
      <c r="V70" s="191" t="str">
        <f t="shared" si="14"/>
        <v/>
      </c>
      <c r="W70" s="350">
        <f ca="1">IF(Q70&lt;&gt;1,0,VLOOKUP(OP!$C$55,PVFB,$S70+2,0))</f>
        <v>0</v>
      </c>
      <c r="X70" s="473">
        <f t="shared" ca="1" si="44"/>
        <v>0</v>
      </c>
      <c r="Y70" s="348">
        <f t="shared" ca="1" si="45"/>
        <v>0</v>
      </c>
      <c r="Z70" s="348">
        <f t="shared" ca="1" si="46"/>
        <v>5627</v>
      </c>
      <c r="AA70" s="348">
        <f ca="1">IF(Q70&lt;&gt;1,0,VLOOKUP(OP!$C$55,PVFB,$S70+2,0))</f>
        <v>0</v>
      </c>
      <c r="AB70" s="488" t="str">
        <f ca="1">IF(AND(S70&lt;OP!$C$24,$U70&lt;15),0,IF(AND($U70&lt;15,$T70=12),ROUND(VLOOKUP($S70,DOWN16,5,0),3),IF($T70=12,ROUND(($Z70/10000)*$AA70,3)+IF(AND($P$7="購買增額繳清保險",T70=12,U70=110),VLOOKUP(S70,$B$10:$H$121,7,0),0),"")))</f>
        <v/>
      </c>
      <c r="AC70" s="350" t="str">
        <f ca="1">IF(AND(S70&lt;OP!$C$24,$U70&lt;15),0,IF(AND($U70&lt;16,$T70=12),VLOOKUP($S70,DOWN16,4,0),IF($T70=12,ROUND(VLOOKUP(OP!$C$55,_DIE2,$S70+1,0)*(Z70/10000),0)+IF(AND($P$7="購買增額繳清保險",T70=12,U70=110),VLOOKUP(S70,$B$10:$H$121,7,0),0),"")))</f>
        <v/>
      </c>
      <c r="AD70" s="347"/>
      <c r="AE70" s="350" t="str">
        <f t="shared" ca="1" si="1"/>
        <v/>
      </c>
      <c r="AF70" s="351" t="str">
        <f t="shared" ca="1" si="2"/>
        <v/>
      </c>
      <c r="AG70" s="340"/>
      <c r="AH70" s="340"/>
      <c r="AI70" s="340"/>
      <c r="AJ70" s="340"/>
      <c r="AK70" s="340"/>
      <c r="AL70" s="340"/>
      <c r="AM70" s="340"/>
      <c r="AN70" s="191">
        <f t="shared" si="15"/>
        <v>6</v>
      </c>
      <c r="AO70" s="191">
        <f t="shared" si="16"/>
        <v>2</v>
      </c>
      <c r="AP70" s="191">
        <f ca="1">OP!$D$5+$AN70-1</f>
        <v>38</v>
      </c>
      <c r="AQ70" s="191" t="str">
        <f t="shared" si="17"/>
        <v/>
      </c>
      <c r="AR70" s="352">
        <f t="shared" ca="1" si="18"/>
        <v>0</v>
      </c>
      <c r="AS70" s="352"/>
      <c r="AT70" s="352"/>
      <c r="AU70" s="436"/>
      <c r="AV70" s="353" t="str">
        <f t="shared" ca="1" si="19"/>
        <v/>
      </c>
      <c r="AW70" s="422" t="str">
        <f t="shared" si="20"/>
        <v/>
      </c>
      <c r="AX70" s="423" t="str">
        <f ca="1">IF(AND($AW70=1,$AP70&lt;16,$AN69&lt;OP!$C$24),OP!$C$49,"")</f>
        <v/>
      </c>
      <c r="AY70" s="340"/>
      <c r="AZ70" s="465">
        <f t="shared" ca="1" si="21"/>
        <v>7.3698599999999999E-5</v>
      </c>
      <c r="BA70" s="464">
        <f t="shared" ca="1" si="22"/>
        <v>2.2109589000000002E-3</v>
      </c>
      <c r="BB70" s="465">
        <f t="shared" ca="1" si="22"/>
        <v>2.2846575E-3</v>
      </c>
      <c r="BC70" s="466">
        <f t="shared" ca="1" si="23"/>
        <v>44743</v>
      </c>
      <c r="BD70" s="467">
        <f t="shared" ca="1" si="47"/>
        <v>44744</v>
      </c>
      <c r="BE70" s="467">
        <f t="shared" ca="1" si="24"/>
        <v>44773</v>
      </c>
      <c r="BF70" s="468">
        <f ca="1">IF(計算!$BC70&lt;OP!$C$3,0,BD70-BC70)</f>
        <v>1</v>
      </c>
      <c r="BG70" s="468">
        <f ca="1">IF($BE70&gt;DATE(YEAR($BD$9)+OP!$C$57,MONTH($BD$9),DAY($BD$9)),0,$BE70-$BD70+1)</f>
        <v>30</v>
      </c>
      <c r="BH70" s="469">
        <f t="shared" ca="1" si="25"/>
        <v>31</v>
      </c>
      <c r="BI70" t="str">
        <f t="shared" si="63"/>
        <v/>
      </c>
      <c r="BJ70">
        <v>1</v>
      </c>
      <c r="BN70" s="468">
        <f t="shared" si="48"/>
        <v>6</v>
      </c>
      <c r="BO70" s="468">
        <f t="shared" si="49"/>
        <v>1</v>
      </c>
      <c r="BP70" s="467">
        <f t="shared" ca="1" si="26"/>
        <v>44744</v>
      </c>
      <c r="BQ70" s="475">
        <f t="shared" ca="1" si="60"/>
        <v>38</v>
      </c>
      <c r="BR70" s="475" t="str">
        <f t="shared" si="50"/>
        <v/>
      </c>
      <c r="BS70" s="471" t="str">
        <f t="shared" si="27"/>
        <v/>
      </c>
      <c r="BT70" s="472" t="str">
        <f t="shared" si="64"/>
        <v/>
      </c>
      <c r="BU70" s="472">
        <f t="shared" ca="1" si="28"/>
        <v>0</v>
      </c>
      <c r="BV70" s="472">
        <f t="shared" ca="1" si="28"/>
        <v>0</v>
      </c>
      <c r="BW70" s="472"/>
      <c r="BX70" s="473">
        <f t="shared" ca="1" si="29"/>
        <v>0</v>
      </c>
      <c r="BY70" s="473">
        <f t="shared" si="30"/>
        <v>0</v>
      </c>
      <c r="BZ70" s="473">
        <f t="shared" ca="1" si="4"/>
        <v>0</v>
      </c>
      <c r="CA70" s="476">
        <f t="shared" ca="1" si="31"/>
        <v>0</v>
      </c>
      <c r="CB70" s="494">
        <f ca="1">IF(OR($Q69&lt;&gt;1,OP!$D$5+$BN70-1&lt;16,$BN70-1&lt;1),0,ROUND(ROUND(ROUND(((VLOOKUP($BN70-1,MORE_PV,5,0)/10000)*VLOOKUP($BN70,MORE_PV,$CB$5,0)),3)*VLOOKUP($BN70,more1,5,0),0)/$R69,0))</f>
        <v>0</v>
      </c>
      <c r="CC70" s="473">
        <f t="shared" ca="1" si="32"/>
        <v>0</v>
      </c>
      <c r="CD70" s="477"/>
      <c r="CE70" s="468">
        <f t="shared" si="51"/>
        <v>6</v>
      </c>
      <c r="CF70" s="468">
        <f t="shared" si="52"/>
        <v>1</v>
      </c>
      <c r="CG70" s="467">
        <f t="shared" ca="1" si="5"/>
        <v>44744</v>
      </c>
      <c r="CH70" s="475">
        <f t="shared" ca="1" si="61"/>
        <v>38</v>
      </c>
      <c r="CI70" s="513" t="str">
        <f t="shared" si="53"/>
        <v/>
      </c>
      <c r="CJ70" s="511">
        <f t="shared" si="33"/>
        <v>0</v>
      </c>
      <c r="CK70" s="512">
        <f t="shared" si="34"/>
        <v>0</v>
      </c>
      <c r="CL70" s="511">
        <f t="shared" ca="1" si="54"/>
        <v>0</v>
      </c>
      <c r="CM70" s="511">
        <f ca="1">ROUND(CS70-IF(OR($CE70&gt;=OP!$C$24,AND(CH70=15,CF70=12),CS70=0),0,(CT70-CR70)),$CM$7)</f>
        <v>0</v>
      </c>
      <c r="CN70" s="511"/>
      <c r="CO70" s="351">
        <f t="shared" ca="1" si="35"/>
        <v>16550</v>
      </c>
      <c r="CP70" s="473">
        <f t="shared" si="36"/>
        <v>0</v>
      </c>
      <c r="CQ70" s="473">
        <f t="shared" ca="1" si="6"/>
        <v>37.811081625</v>
      </c>
      <c r="CR70" s="476">
        <f t="shared" ca="1" si="37"/>
        <v>0</v>
      </c>
      <c r="CS70" s="494">
        <f ca="1">IF(OR($Q69&lt;&gt;1,OP!$D$5+$CE70-1&lt;16,$CE70-1&lt;1),0,ROUND(ROUND(ROUND(((VLOOKUP($CE70-1,MORE_PV,5,0)/10000)*VLOOKUP($CE70,MORE_PV,$CS$5,0)),3)*VLOOKUP($CE70,more1,5,0),0)/$R69,0))</f>
        <v>0</v>
      </c>
      <c r="CT70" s="473">
        <f>IF($AW70=1,IF(N($CR70+$CS70)&lt;N($AX70)*OP!$C$50,N($CR70+$CS70),MIN(N($CR70+$CS70),N($AX70))),0)</f>
        <v>0</v>
      </c>
      <c r="CV70" s="503">
        <f t="shared" ca="1" si="38"/>
        <v>16550.349976457001</v>
      </c>
      <c r="CW70" s="503">
        <f t="shared" ca="1" si="39"/>
        <v>0</v>
      </c>
      <c r="CX70" s="503">
        <f t="shared" ca="1" si="40"/>
        <v>16586.939423445001</v>
      </c>
    </row>
    <row r="71" spans="1:102" ht="16.5" hidden="1">
      <c r="A71" s="450">
        <f ca="1">OP!$D$5+$B71-1</f>
        <v>93</v>
      </c>
      <c r="B71" s="192">
        <v>61</v>
      </c>
      <c r="C71" s="219">
        <f ca="1">ROUND(VLOOKUP(OP!$C$55,PV0,B71+2,0)*OP!$C$28,0)</f>
        <v>2935526</v>
      </c>
      <c r="D71" s="189">
        <f t="shared" ca="1" si="65"/>
        <v>2935526</v>
      </c>
      <c r="E71" s="221">
        <f t="shared" ca="1" si="66"/>
        <v>2.69E-2</v>
      </c>
      <c r="F71" s="222">
        <f t="shared" ca="1" si="67"/>
        <v>6.8999999999999999E-3</v>
      </c>
      <c r="G71" s="223">
        <f t="shared" ca="1" si="68"/>
        <v>1426626</v>
      </c>
      <c r="H71" s="224">
        <f t="shared" ca="1" si="56"/>
        <v>20732</v>
      </c>
      <c r="I71" s="450">
        <f t="shared" ca="1" si="57"/>
        <v>1</v>
      </c>
      <c r="J71" s="192">
        <f t="shared" si="7"/>
        <v>6</v>
      </c>
      <c r="K71" s="192">
        <f t="shared" si="8"/>
        <v>3</v>
      </c>
      <c r="L71" s="192" t="str">
        <f t="shared" si="0"/>
        <v/>
      </c>
      <c r="M71" s="216">
        <f t="shared" ca="1" si="9"/>
        <v>0</v>
      </c>
      <c r="N71" s="216"/>
      <c r="O71" s="216"/>
      <c r="P71" s="216"/>
      <c r="Q71" s="456" t="str">
        <f t="shared" ca="1" si="10"/>
        <v/>
      </c>
      <c r="R71" s="450">
        <f t="shared" ca="1" si="11"/>
        <v>1</v>
      </c>
      <c r="S71" s="191">
        <f t="shared" si="12"/>
        <v>6</v>
      </c>
      <c r="T71" s="191">
        <f t="shared" si="13"/>
        <v>3</v>
      </c>
      <c r="U71" s="191">
        <f ca="1">OP!$D$5+$S71-1</f>
        <v>38</v>
      </c>
      <c r="V71" s="191" t="str">
        <f t="shared" si="14"/>
        <v/>
      </c>
      <c r="W71" s="350">
        <f ca="1">IF(Q71&lt;&gt;1,0,VLOOKUP(OP!$C$55,PVFB,$S71+2,0))</f>
        <v>0</v>
      </c>
      <c r="X71" s="473">
        <f t="shared" ca="1" si="44"/>
        <v>0</v>
      </c>
      <c r="Y71" s="348">
        <f t="shared" ca="1" si="45"/>
        <v>0</v>
      </c>
      <c r="Z71" s="348">
        <f t="shared" ca="1" si="46"/>
        <v>5627</v>
      </c>
      <c r="AA71" s="348">
        <f ca="1">IF(Q71&lt;&gt;1,0,VLOOKUP(OP!$C$55,PVFB,$S71+2,0))</f>
        <v>0</v>
      </c>
      <c r="AB71" s="488" t="str">
        <f ca="1">IF(AND(S71&lt;OP!$C$24,$U71&lt;15),0,IF(AND($U71&lt;15,$T71=12),ROUND(VLOOKUP($S71,DOWN16,5,0),3),IF($T71=12,ROUND(($Z71/10000)*$AA71,3)+IF(AND($P$7="購買增額繳清保險",T71=12,U71=110),VLOOKUP(S71,$B$10:$H$121,7,0),0),"")))</f>
        <v/>
      </c>
      <c r="AC71" s="350" t="str">
        <f ca="1">IF(AND(S71&lt;OP!$C$24,$U71&lt;15),0,IF(AND($U71&lt;16,$T71=12),VLOOKUP($S71,DOWN16,4,0),IF($T71=12,ROUND(VLOOKUP(OP!$C$55,_DIE2,$S71+1,0)*(Z71/10000),0)+IF(AND($P$7="購買增額繳清保險",T71=12,U71=110),VLOOKUP(S71,$B$10:$H$121,7,0),0),"")))</f>
        <v/>
      </c>
      <c r="AD71" s="347"/>
      <c r="AE71" s="350" t="str">
        <f t="shared" ca="1" si="1"/>
        <v/>
      </c>
      <c r="AF71" s="351" t="str">
        <f t="shared" ca="1" si="2"/>
        <v/>
      </c>
      <c r="AG71" s="340"/>
      <c r="AH71" s="340"/>
      <c r="AI71" s="340"/>
      <c r="AJ71" s="340"/>
      <c r="AK71" s="340"/>
      <c r="AL71" s="340"/>
      <c r="AM71" s="340"/>
      <c r="AN71" s="191">
        <f t="shared" si="15"/>
        <v>6</v>
      </c>
      <c r="AO71" s="191">
        <f t="shared" si="16"/>
        <v>3</v>
      </c>
      <c r="AP71" s="191">
        <f ca="1">OP!$D$5+$AN71-1</f>
        <v>38</v>
      </c>
      <c r="AQ71" s="191" t="str">
        <f t="shared" si="17"/>
        <v/>
      </c>
      <c r="AR71" s="352">
        <f t="shared" ca="1" si="18"/>
        <v>0</v>
      </c>
      <c r="AS71" s="352"/>
      <c r="AT71" s="352"/>
      <c r="AU71" s="436"/>
      <c r="AV71" s="353" t="str">
        <f t="shared" ca="1" si="19"/>
        <v/>
      </c>
      <c r="AW71" s="422" t="str">
        <f t="shared" si="20"/>
        <v/>
      </c>
      <c r="AX71" s="423" t="str">
        <f ca="1">IF(AND($AW71=1,$AP71&lt;16,$AN70&lt;OP!$C$24),OP!$C$49,"")</f>
        <v/>
      </c>
      <c r="AY71" s="340"/>
      <c r="AZ71" s="465">
        <f t="shared" ca="1" si="21"/>
        <v>7.3698599999999999E-5</v>
      </c>
      <c r="BA71" s="464">
        <f t="shared" ca="1" si="22"/>
        <v>2.2109589000000002E-3</v>
      </c>
      <c r="BB71" s="465">
        <f t="shared" ca="1" si="22"/>
        <v>2.2846575E-3</v>
      </c>
      <c r="BC71" s="466">
        <f t="shared" ca="1" si="23"/>
        <v>44774</v>
      </c>
      <c r="BD71" s="467">
        <f t="shared" ca="1" si="47"/>
        <v>44775</v>
      </c>
      <c r="BE71" s="467">
        <f t="shared" ca="1" si="24"/>
        <v>44804</v>
      </c>
      <c r="BF71" s="468">
        <f ca="1">IF(計算!$BC71&lt;OP!$C$3,0,BD71-BC71)</f>
        <v>1</v>
      </c>
      <c r="BG71" s="468">
        <f ca="1">IF($BE71&gt;DATE(YEAR($BD$9)+OP!$C$57,MONTH($BD$9),DAY($BD$9)),0,$BE71-$BD71+1)</f>
        <v>30</v>
      </c>
      <c r="BH71" s="469">
        <f t="shared" ca="1" si="25"/>
        <v>31</v>
      </c>
      <c r="BI71" t="str">
        <f t="shared" si="63"/>
        <v/>
      </c>
      <c r="BJ71">
        <v>2</v>
      </c>
      <c r="BN71" s="468">
        <f t="shared" si="48"/>
        <v>6</v>
      </c>
      <c r="BO71" s="468">
        <f t="shared" si="49"/>
        <v>2</v>
      </c>
      <c r="BP71" s="467">
        <f t="shared" ca="1" si="26"/>
        <v>44775</v>
      </c>
      <c r="BQ71" s="475">
        <f t="shared" ca="1" si="60"/>
        <v>38</v>
      </c>
      <c r="BR71" s="475" t="str">
        <f t="shared" si="50"/>
        <v/>
      </c>
      <c r="BS71" s="471" t="str">
        <f t="shared" si="27"/>
        <v/>
      </c>
      <c r="BT71" s="472" t="str">
        <f t="shared" si="64"/>
        <v/>
      </c>
      <c r="BU71" s="472">
        <f t="shared" ca="1" si="28"/>
        <v>0</v>
      </c>
      <c r="BV71" s="472">
        <f t="shared" ca="1" si="28"/>
        <v>0</v>
      </c>
      <c r="BW71" s="472"/>
      <c r="BX71" s="473">
        <f t="shared" ca="1" si="29"/>
        <v>0</v>
      </c>
      <c r="BY71" s="473">
        <f t="shared" si="30"/>
        <v>0</v>
      </c>
      <c r="BZ71" s="473">
        <f t="shared" ca="1" si="4"/>
        <v>0</v>
      </c>
      <c r="CA71" s="476">
        <f t="shared" ca="1" si="31"/>
        <v>0</v>
      </c>
      <c r="CB71" s="494">
        <f ca="1">IF(OR($Q70&lt;&gt;1,OP!$D$5+$BN71-1&lt;16,$BN71-1&lt;1),0,ROUND(ROUND(ROUND(((VLOOKUP($BN71-1,MORE_PV,5,0)/10000)*VLOOKUP($BN71,MORE_PV,$CB$5,0)),3)*VLOOKUP($BN71,more1,5,0),0)/$R70,0))</f>
        <v>0</v>
      </c>
      <c r="CC71" s="473">
        <f t="shared" ca="1" si="32"/>
        <v>0</v>
      </c>
      <c r="CD71" s="477"/>
      <c r="CE71" s="468">
        <f t="shared" si="51"/>
        <v>6</v>
      </c>
      <c r="CF71" s="468">
        <f t="shared" si="52"/>
        <v>2</v>
      </c>
      <c r="CG71" s="467">
        <f t="shared" ca="1" si="5"/>
        <v>44775</v>
      </c>
      <c r="CH71" s="475">
        <f t="shared" ca="1" si="61"/>
        <v>38</v>
      </c>
      <c r="CI71" s="513" t="str">
        <f t="shared" si="53"/>
        <v/>
      </c>
      <c r="CJ71" s="511">
        <f t="shared" si="33"/>
        <v>0</v>
      </c>
      <c r="CK71" s="512">
        <f t="shared" si="34"/>
        <v>0</v>
      </c>
      <c r="CL71" s="511">
        <f t="shared" ca="1" si="54"/>
        <v>0</v>
      </c>
      <c r="CM71" s="511">
        <f ca="1">ROUND(CS71-IF(OR($CE71&gt;=OP!$C$24,AND(CH71=15,CF71=12),CS71=0),0,(CT71-CR71)),$CM$7)</f>
        <v>0</v>
      </c>
      <c r="CN71" s="511"/>
      <c r="CO71" s="351">
        <f t="shared" ca="1" si="35"/>
        <v>16588</v>
      </c>
      <c r="CP71" s="473">
        <f t="shared" si="36"/>
        <v>0</v>
      </c>
      <c r="CQ71" s="473">
        <f t="shared" ca="1" si="6"/>
        <v>37.897898609999999</v>
      </c>
      <c r="CR71" s="476">
        <f t="shared" ca="1" si="37"/>
        <v>0</v>
      </c>
      <c r="CS71" s="494">
        <f ca="1">IF(OR($Q70&lt;&gt;1,OP!$D$5+$CE71-1&lt;16,$CE71-1&lt;1),0,ROUND(ROUND(ROUND(((VLOOKUP($CE71-1,MORE_PV,5,0)/10000)*VLOOKUP($CE71,MORE_PV,$CS$5,0)),3)*VLOOKUP($CE71,more1,5,0),0)/$R70,0))</f>
        <v>0</v>
      </c>
      <c r="CT71" s="473">
        <f>IF($AW71=1,IF(N($CR71+$CS71)&lt;N($AX71)*OP!$C$50,N($CR71+$CS71),MIN(N($CR71+$CS71),N($AX71))),0)</f>
        <v>0</v>
      </c>
      <c r="CV71" s="503">
        <f t="shared" ca="1" si="38"/>
        <v>16588.161857659001</v>
      </c>
      <c r="CW71" s="503">
        <f t="shared" ca="1" si="39"/>
        <v>0</v>
      </c>
      <c r="CX71" s="503">
        <f t="shared" ca="1" si="40"/>
        <v>16624.834899001002</v>
      </c>
    </row>
    <row r="72" spans="1:102" ht="16.5" hidden="1">
      <c r="A72" s="450">
        <f ca="1">OP!$D$5+$B72-1</f>
        <v>94</v>
      </c>
      <c r="B72" s="192">
        <v>62</v>
      </c>
      <c r="C72" s="219">
        <f ca="1">ROUND(VLOOKUP(OP!$C$55,PV0,B72+2,0)*OP!$C$28,0)</f>
        <v>2984010</v>
      </c>
      <c r="D72" s="189">
        <f t="shared" ca="1" si="65"/>
        <v>2984010</v>
      </c>
      <c r="E72" s="221">
        <f t="shared" ca="1" si="66"/>
        <v>2.69E-2</v>
      </c>
      <c r="F72" s="222">
        <f t="shared" ca="1" si="67"/>
        <v>6.8999999999999999E-3</v>
      </c>
      <c r="G72" s="223">
        <f t="shared" ca="1" si="68"/>
        <v>1486554</v>
      </c>
      <c r="H72" s="224">
        <f t="shared" ca="1" si="56"/>
        <v>21075</v>
      </c>
      <c r="I72" s="450">
        <f t="shared" ca="1" si="57"/>
        <v>1</v>
      </c>
      <c r="J72" s="192">
        <f t="shared" si="7"/>
        <v>6</v>
      </c>
      <c r="K72" s="192">
        <f t="shared" si="8"/>
        <v>4</v>
      </c>
      <c r="L72" s="192" t="str">
        <f t="shared" si="0"/>
        <v/>
      </c>
      <c r="M72" s="216">
        <f t="shared" ca="1" si="9"/>
        <v>0</v>
      </c>
      <c r="N72" s="216"/>
      <c r="O72" s="216"/>
      <c r="P72" s="216"/>
      <c r="Q72" s="456" t="str">
        <f t="shared" ca="1" si="10"/>
        <v/>
      </c>
      <c r="R72" s="450">
        <f t="shared" ca="1" si="11"/>
        <v>1</v>
      </c>
      <c r="S72" s="191">
        <f t="shared" si="12"/>
        <v>6</v>
      </c>
      <c r="T72" s="191">
        <f t="shared" si="13"/>
        <v>4</v>
      </c>
      <c r="U72" s="191">
        <f ca="1">OP!$D$5+$S72-1</f>
        <v>38</v>
      </c>
      <c r="V72" s="191" t="str">
        <f t="shared" si="14"/>
        <v/>
      </c>
      <c r="W72" s="350">
        <f ca="1">IF(Q72&lt;&gt;1,0,VLOOKUP(OP!$C$55,PVFB,$S72+2,0))</f>
        <v>0</v>
      </c>
      <c r="X72" s="473">
        <f t="shared" ca="1" si="44"/>
        <v>0</v>
      </c>
      <c r="Y72" s="348">
        <f t="shared" ca="1" si="45"/>
        <v>0</v>
      </c>
      <c r="Z72" s="348">
        <f t="shared" ca="1" si="46"/>
        <v>5627</v>
      </c>
      <c r="AA72" s="348">
        <f ca="1">IF(Q72&lt;&gt;1,0,VLOOKUP(OP!$C$55,PVFB,$S72+2,0))</f>
        <v>0</v>
      </c>
      <c r="AB72" s="488" t="str">
        <f ca="1">IF(AND(S72&lt;OP!$C$24,$U72&lt;15),0,IF(AND($U72&lt;15,$T72=12),ROUND(VLOOKUP($S72,DOWN16,5,0),3),IF($T72=12,ROUND(($Z72/10000)*$AA72,3)+IF(AND($P$7="購買增額繳清保險",T72=12,U72=110),VLOOKUP(S72,$B$10:$H$121,7,0),0),"")))</f>
        <v/>
      </c>
      <c r="AC72" s="350" t="str">
        <f ca="1">IF(AND(S72&lt;OP!$C$24,$U72&lt;15),0,IF(AND($U72&lt;16,$T72=12),VLOOKUP($S72,DOWN16,4,0),IF($T72=12,ROUND(VLOOKUP(OP!$C$55,_DIE2,$S72+1,0)*(Z72/10000),0)+IF(AND($P$7="購買增額繳清保險",T72=12,U72=110),VLOOKUP(S72,$B$10:$H$121,7,0),0),"")))</f>
        <v/>
      </c>
      <c r="AD72" s="347"/>
      <c r="AE72" s="350" t="str">
        <f t="shared" ca="1" si="1"/>
        <v/>
      </c>
      <c r="AF72" s="351" t="str">
        <f t="shared" ca="1" si="2"/>
        <v/>
      </c>
      <c r="AG72" s="340"/>
      <c r="AH72" s="340"/>
      <c r="AI72" s="340"/>
      <c r="AJ72" s="340"/>
      <c r="AK72" s="340"/>
      <c r="AL72" s="340"/>
      <c r="AM72" s="340"/>
      <c r="AN72" s="191">
        <f t="shared" si="15"/>
        <v>6</v>
      </c>
      <c r="AO72" s="191">
        <f t="shared" si="16"/>
        <v>4</v>
      </c>
      <c r="AP72" s="191">
        <f ca="1">OP!$D$5+$AN72-1</f>
        <v>38</v>
      </c>
      <c r="AQ72" s="191" t="str">
        <f t="shared" si="17"/>
        <v/>
      </c>
      <c r="AR72" s="352">
        <f t="shared" ca="1" si="18"/>
        <v>0</v>
      </c>
      <c r="AS72" s="352"/>
      <c r="AT72" s="352"/>
      <c r="AU72" s="436"/>
      <c r="AV72" s="353" t="str">
        <f t="shared" ca="1" si="19"/>
        <v/>
      </c>
      <c r="AW72" s="422" t="str">
        <f t="shared" si="20"/>
        <v/>
      </c>
      <c r="AX72" s="423" t="str">
        <f ca="1">IF(AND($AW72=1,$AP72&lt;16,$AN71&lt;OP!$C$24),OP!$C$49,"")</f>
        <v/>
      </c>
      <c r="AY72" s="340"/>
      <c r="AZ72" s="465">
        <f t="shared" ca="1" si="21"/>
        <v>7.3698599999999999E-5</v>
      </c>
      <c r="BA72" s="464">
        <f t="shared" ca="1" si="22"/>
        <v>2.1372602999999999E-3</v>
      </c>
      <c r="BB72" s="465">
        <f t="shared" ca="1" si="22"/>
        <v>2.2109589000000002E-3</v>
      </c>
      <c r="BC72" s="466">
        <f t="shared" ca="1" si="23"/>
        <v>44805</v>
      </c>
      <c r="BD72" s="467">
        <f t="shared" ca="1" si="47"/>
        <v>44806</v>
      </c>
      <c r="BE72" s="467">
        <f t="shared" ca="1" si="24"/>
        <v>44834</v>
      </c>
      <c r="BF72" s="468">
        <f ca="1">IF(計算!$BC72&lt;OP!$C$3,0,BD72-BC72)</f>
        <v>1</v>
      </c>
      <c r="BG72" s="468">
        <f ca="1">IF($BE72&gt;DATE(YEAR($BD$9)+OP!$C$57,MONTH($BD$9),DAY($BD$9)),0,$BE72-$BD72+1)</f>
        <v>29</v>
      </c>
      <c r="BH72" s="469">
        <f t="shared" ca="1" si="25"/>
        <v>30</v>
      </c>
      <c r="BI72" t="str">
        <f t="shared" si="63"/>
        <v/>
      </c>
      <c r="BJ72">
        <v>3</v>
      </c>
      <c r="BN72" s="468">
        <f t="shared" si="48"/>
        <v>6</v>
      </c>
      <c r="BO72" s="468">
        <f t="shared" si="49"/>
        <v>3</v>
      </c>
      <c r="BP72" s="467">
        <f t="shared" ca="1" si="26"/>
        <v>44806</v>
      </c>
      <c r="BQ72" s="475">
        <f t="shared" ca="1" si="60"/>
        <v>38</v>
      </c>
      <c r="BR72" s="475" t="str">
        <f t="shared" si="50"/>
        <v/>
      </c>
      <c r="BS72" s="471" t="str">
        <f t="shared" si="27"/>
        <v/>
      </c>
      <c r="BT72" s="472" t="str">
        <f t="shared" si="64"/>
        <v/>
      </c>
      <c r="BU72" s="472">
        <f t="shared" ca="1" si="28"/>
        <v>0</v>
      </c>
      <c r="BV72" s="472">
        <f t="shared" ca="1" si="28"/>
        <v>0</v>
      </c>
      <c r="BW72" s="472"/>
      <c r="BX72" s="473">
        <f t="shared" ca="1" si="29"/>
        <v>0</v>
      </c>
      <c r="BY72" s="473">
        <f t="shared" si="30"/>
        <v>0</v>
      </c>
      <c r="BZ72" s="473">
        <f t="shared" ca="1" si="4"/>
        <v>0</v>
      </c>
      <c r="CA72" s="476">
        <f t="shared" ca="1" si="31"/>
        <v>0</v>
      </c>
      <c r="CB72" s="494">
        <f ca="1">IF(OR($Q71&lt;&gt;1,OP!$D$5+$BN72-1&lt;16,$BN72-1&lt;1),0,ROUND(ROUND(ROUND(((VLOOKUP($BN72-1,MORE_PV,5,0)/10000)*VLOOKUP($BN72,MORE_PV,$CB$5,0)),3)*VLOOKUP($BN72,more1,5,0),0)/$R71,0))</f>
        <v>0</v>
      </c>
      <c r="CC72" s="473">
        <f t="shared" ca="1" si="32"/>
        <v>0</v>
      </c>
      <c r="CD72" s="477"/>
      <c r="CE72" s="468">
        <f t="shared" si="51"/>
        <v>6</v>
      </c>
      <c r="CF72" s="468">
        <f t="shared" si="52"/>
        <v>3</v>
      </c>
      <c r="CG72" s="467">
        <f t="shared" ca="1" si="5"/>
        <v>44806</v>
      </c>
      <c r="CH72" s="475">
        <f t="shared" ca="1" si="61"/>
        <v>38</v>
      </c>
      <c r="CI72" s="513" t="str">
        <f t="shared" si="53"/>
        <v/>
      </c>
      <c r="CJ72" s="511">
        <f t="shared" si="33"/>
        <v>0</v>
      </c>
      <c r="CK72" s="512">
        <f t="shared" si="34"/>
        <v>0</v>
      </c>
      <c r="CL72" s="511">
        <f t="shared" ca="1" si="54"/>
        <v>0</v>
      </c>
      <c r="CM72" s="511">
        <f ca="1">ROUND(CS72-IF(OR($CE72&gt;=OP!$C$24,AND(CH72=15,CF72=12),CS72=0),0,(CT72-CR72)),$CM$7)</f>
        <v>0</v>
      </c>
      <c r="CN72" s="511"/>
      <c r="CO72" s="351">
        <f t="shared" ca="1" si="35"/>
        <v>16626</v>
      </c>
      <c r="CP72" s="473">
        <f t="shared" si="36"/>
        <v>0</v>
      </c>
      <c r="CQ72" s="473">
        <f t="shared" ca="1" si="6"/>
        <v>36.759402670999997</v>
      </c>
      <c r="CR72" s="476">
        <f t="shared" ca="1" si="37"/>
        <v>0</v>
      </c>
      <c r="CS72" s="494">
        <f ca="1">IF(OR($Q71&lt;&gt;1,OP!$D$5+$CE72-1&lt;16,$CE72-1&lt;1),0,ROUND(ROUND(ROUND(((VLOOKUP($CE72-1,MORE_PV,5,0)/10000)*VLOOKUP($CE72,MORE_PV,$CS$5,0)),3)*VLOOKUP($CE72,more1,5,0),0)/$R71,0))</f>
        <v>0</v>
      </c>
      <c r="CT72" s="473">
        <f>IF($AW72=1,IF(N($CR72+$CS72)&lt;N($AX72)*OP!$C$50,N($CR72+$CS72),MIN(N($CR72+$CS72),N($AX72))),0)</f>
        <v>0</v>
      </c>
      <c r="CV72" s="503">
        <f t="shared" ca="1" si="38"/>
        <v>16626.060126058001</v>
      </c>
      <c r="CW72" s="503">
        <f t="shared" ca="1" si="39"/>
        <v>0</v>
      </c>
      <c r="CX72" s="503">
        <f t="shared" ca="1" si="40"/>
        <v>16661.591725681999</v>
      </c>
    </row>
    <row r="73" spans="1:102" ht="16.5" hidden="1">
      <c r="A73" s="450">
        <f ca="1">OP!$D$5+$B73-1</f>
        <v>95</v>
      </c>
      <c r="B73" s="192">
        <v>63</v>
      </c>
      <c r="C73" s="219">
        <f ca="1">ROUND(VLOOKUP(OP!$C$55,PV0,B73+2,0)*OP!$C$28,0)</f>
        <v>3032664</v>
      </c>
      <c r="D73" s="189">
        <f t="shared" ca="1" si="65"/>
        <v>3032664</v>
      </c>
      <c r="E73" s="221">
        <f t="shared" ca="1" si="66"/>
        <v>2.69E-2</v>
      </c>
      <c r="F73" s="222">
        <f t="shared" ca="1" si="67"/>
        <v>6.8999999999999999E-3</v>
      </c>
      <c r="G73" s="223">
        <f t="shared" ca="1" si="68"/>
        <v>1548570</v>
      </c>
      <c r="H73" s="224">
        <f t="shared" ca="1" si="56"/>
        <v>21418</v>
      </c>
      <c r="I73" s="450">
        <f t="shared" ca="1" si="57"/>
        <v>1</v>
      </c>
      <c r="J73" s="192">
        <f t="shared" si="7"/>
        <v>6</v>
      </c>
      <c r="K73" s="192">
        <f t="shared" si="8"/>
        <v>5</v>
      </c>
      <c r="L73" s="192" t="str">
        <f t="shared" ref="L73:L136" si="69">IF($K73=12,$J73,"")</f>
        <v/>
      </c>
      <c r="M73" s="216">
        <f t="shared" ca="1" si="9"/>
        <v>0</v>
      </c>
      <c r="N73" s="216"/>
      <c r="O73" s="216"/>
      <c r="P73" s="216"/>
      <c r="Q73" s="456" t="str">
        <f t="shared" ca="1" si="10"/>
        <v/>
      </c>
      <c r="R73" s="450">
        <f t="shared" ca="1" si="11"/>
        <v>1</v>
      </c>
      <c r="S73" s="191">
        <f t="shared" si="12"/>
        <v>6</v>
      </c>
      <c r="T73" s="191">
        <f t="shared" si="13"/>
        <v>5</v>
      </c>
      <c r="U73" s="191">
        <f ca="1">OP!$D$5+$S73-1</f>
        <v>38</v>
      </c>
      <c r="V73" s="191" t="str">
        <f t="shared" si="14"/>
        <v/>
      </c>
      <c r="W73" s="350">
        <f ca="1">IF(Q73&lt;&gt;1,0,VLOOKUP(OP!$C$55,PVFB,$S73+2,0))</f>
        <v>0</v>
      </c>
      <c r="X73" s="473">
        <f t="shared" ca="1" si="44"/>
        <v>0</v>
      </c>
      <c r="Y73" s="348">
        <f t="shared" ca="1" si="45"/>
        <v>0</v>
      </c>
      <c r="Z73" s="348">
        <f t="shared" ca="1" si="46"/>
        <v>5627</v>
      </c>
      <c r="AA73" s="348">
        <f ca="1">IF(Q73&lt;&gt;1,0,VLOOKUP(OP!$C$55,PVFB,$S73+2,0))</f>
        <v>0</v>
      </c>
      <c r="AB73" s="488" t="str">
        <f ca="1">IF(AND(S73&lt;OP!$C$24,$U73&lt;15),0,IF(AND($U73&lt;15,$T73=12),ROUND(VLOOKUP($S73,DOWN16,5,0),3),IF($T73=12,ROUND(($Z73/10000)*$AA73,3)+IF(AND($P$7="購買增額繳清保險",T73=12,U73=110),VLOOKUP(S73,$B$10:$H$121,7,0),0),"")))</f>
        <v/>
      </c>
      <c r="AC73" s="350" t="str">
        <f ca="1">IF(AND(S73&lt;OP!$C$24,$U73&lt;15),0,IF(AND($U73&lt;16,$T73=12),VLOOKUP($S73,DOWN16,4,0),IF($T73=12,ROUND(VLOOKUP(OP!$C$55,_DIE2,$S73+1,0)*(Z73/10000),0)+IF(AND($P$7="購買增額繳清保險",T73=12,U73=110),VLOOKUP(S73,$B$10:$H$121,7,0),0),"")))</f>
        <v/>
      </c>
      <c r="AD73" s="347"/>
      <c r="AE73" s="350" t="str">
        <f t="shared" ref="AE73:AE136" ca="1" si="70">IF(AND($U$9&lt;16,$T73=12),VLOOKUP($S73,DOWN16,4,0),"")</f>
        <v/>
      </c>
      <c r="AF73" s="351" t="str">
        <f t="shared" ref="AF73:AF136" ca="1" si="71">IF(AND($U$9&lt;16,$T73=12),VLOOKUP($S73,DOWN16,5,0),"")</f>
        <v/>
      </c>
      <c r="AG73" s="340"/>
      <c r="AH73" s="340"/>
      <c r="AI73" s="340"/>
      <c r="AJ73" s="340"/>
      <c r="AK73" s="340"/>
      <c r="AL73" s="340"/>
      <c r="AM73" s="340"/>
      <c r="AN73" s="191">
        <f t="shared" si="15"/>
        <v>6</v>
      </c>
      <c r="AO73" s="191">
        <f t="shared" si="16"/>
        <v>5</v>
      </c>
      <c r="AP73" s="191">
        <f ca="1">OP!$D$5+$AN73-1</f>
        <v>38</v>
      </c>
      <c r="AQ73" s="191" t="str">
        <f t="shared" si="17"/>
        <v/>
      </c>
      <c r="AR73" s="352">
        <f t="shared" ca="1" si="18"/>
        <v>0</v>
      </c>
      <c r="AS73" s="352"/>
      <c r="AT73" s="352"/>
      <c r="AU73" s="436"/>
      <c r="AV73" s="353" t="str">
        <f t="shared" ca="1" si="19"/>
        <v/>
      </c>
      <c r="AW73" s="422" t="str">
        <f t="shared" si="20"/>
        <v/>
      </c>
      <c r="AX73" s="423" t="str">
        <f ca="1">IF(AND($AW73=1,$AP73&lt;16,$AN72&lt;OP!$C$24),OP!$C$49,"")</f>
        <v/>
      </c>
      <c r="AY73" s="340"/>
      <c r="AZ73" s="465">
        <f t="shared" ca="1" si="21"/>
        <v>7.3698599999999999E-5</v>
      </c>
      <c r="BA73" s="464">
        <f t="shared" ca="1" si="22"/>
        <v>2.2109589000000002E-3</v>
      </c>
      <c r="BB73" s="465">
        <f t="shared" ca="1" si="22"/>
        <v>2.2846575E-3</v>
      </c>
      <c r="BC73" s="466">
        <f t="shared" ca="1" si="23"/>
        <v>44835</v>
      </c>
      <c r="BD73" s="467">
        <f t="shared" ca="1" si="47"/>
        <v>44836</v>
      </c>
      <c r="BE73" s="467">
        <f t="shared" ca="1" si="24"/>
        <v>44865</v>
      </c>
      <c r="BF73" s="468">
        <f ca="1">IF(計算!$BC73&lt;OP!$C$3,0,BD73-BC73)</f>
        <v>1</v>
      </c>
      <c r="BG73" s="468">
        <f ca="1">IF($BE73&gt;DATE(YEAR($BD$9)+OP!$C$57,MONTH($BD$9),DAY($BD$9)),0,$BE73-$BD73+1)</f>
        <v>30</v>
      </c>
      <c r="BH73" s="469">
        <f t="shared" ca="1" si="25"/>
        <v>31</v>
      </c>
      <c r="BI73" t="str">
        <f t="shared" si="63"/>
        <v/>
      </c>
      <c r="BJ73">
        <v>4</v>
      </c>
      <c r="BN73" s="468">
        <f t="shared" si="48"/>
        <v>6</v>
      </c>
      <c r="BO73" s="468">
        <f t="shared" si="49"/>
        <v>4</v>
      </c>
      <c r="BP73" s="467">
        <f t="shared" ca="1" si="26"/>
        <v>44836</v>
      </c>
      <c r="BQ73" s="475">
        <f t="shared" ca="1" si="60"/>
        <v>38</v>
      </c>
      <c r="BR73" s="475" t="str">
        <f t="shared" si="50"/>
        <v/>
      </c>
      <c r="BS73" s="471" t="str">
        <f t="shared" si="27"/>
        <v/>
      </c>
      <c r="BT73" s="472" t="str">
        <f t="shared" si="64"/>
        <v/>
      </c>
      <c r="BU73" s="472">
        <f t="shared" ca="1" si="28"/>
        <v>0</v>
      </c>
      <c r="BV73" s="472">
        <f t="shared" ca="1" si="28"/>
        <v>0</v>
      </c>
      <c r="BW73" s="472"/>
      <c r="BX73" s="473">
        <f t="shared" ca="1" si="29"/>
        <v>0</v>
      </c>
      <c r="BY73" s="473">
        <f t="shared" si="30"/>
        <v>0</v>
      </c>
      <c r="BZ73" s="473">
        <f t="shared" ref="BZ73:BZ136" ca="1" si="72">ROUND(BX73*IF(BO73=12,$BA73,$BB73),$CB$6)</f>
        <v>0</v>
      </c>
      <c r="CA73" s="476">
        <f t="shared" ca="1" si="31"/>
        <v>0</v>
      </c>
      <c r="CB73" s="494">
        <f ca="1">IF(OR($Q72&lt;&gt;1,OP!$D$5+$BN73-1&lt;16,$BN73-1&lt;1),0,ROUND(ROUND(ROUND(((VLOOKUP($BN73-1,MORE_PV,5,0)/10000)*VLOOKUP($BN73,MORE_PV,$CB$5,0)),3)*VLOOKUP($BN73,more1,5,0),0)/$R72,0))</f>
        <v>0</v>
      </c>
      <c r="CC73" s="473">
        <f t="shared" ca="1" si="32"/>
        <v>0</v>
      </c>
      <c r="CD73" s="477"/>
      <c r="CE73" s="468">
        <f t="shared" si="51"/>
        <v>6</v>
      </c>
      <c r="CF73" s="468">
        <f t="shared" si="52"/>
        <v>4</v>
      </c>
      <c r="CG73" s="467">
        <f t="shared" ref="CG73:CG136" ca="1" si="73">BD73</f>
        <v>44836</v>
      </c>
      <c r="CH73" s="475">
        <f t="shared" ca="1" si="61"/>
        <v>38</v>
      </c>
      <c r="CI73" s="513" t="str">
        <f t="shared" si="53"/>
        <v/>
      </c>
      <c r="CJ73" s="511">
        <f t="shared" si="33"/>
        <v>0</v>
      </c>
      <c r="CK73" s="512">
        <f t="shared" si="34"/>
        <v>0</v>
      </c>
      <c r="CL73" s="511">
        <f t="shared" ca="1" si="54"/>
        <v>0</v>
      </c>
      <c r="CM73" s="511">
        <f ca="1">ROUND(CS73-IF(OR($CE73&gt;=OP!$C$24,AND(CH73=15,CF73=12),CS73=0),0,(CT73-CR73)),$CM$7)</f>
        <v>0</v>
      </c>
      <c r="CN73" s="511"/>
      <c r="CO73" s="351">
        <f t="shared" ca="1" si="35"/>
        <v>16663</v>
      </c>
      <c r="CP73" s="473">
        <f t="shared" si="36"/>
        <v>0</v>
      </c>
      <c r="CQ73" s="473">
        <f t="shared" ref="CQ73:CQ136" ca="1" si="74">ROUND(IF(CF73=12,CO73*$BA73,CO73*$BB73),$CS$6)</f>
        <v>38.069247922999999</v>
      </c>
      <c r="CR73" s="476">
        <f t="shared" ca="1" si="37"/>
        <v>0</v>
      </c>
      <c r="CS73" s="494">
        <f ca="1">IF(OR($Q72&lt;&gt;1,OP!$D$5+$CE73-1&lt;16,$CE73-1&lt;1),0,ROUND(ROUND(ROUND(((VLOOKUP($CE73-1,MORE_PV,5,0)/10000)*VLOOKUP($CE73,MORE_PV,$CS$5,0)),3)*VLOOKUP($CE73,more1,5,0),0)/$R72,0))</f>
        <v>0</v>
      </c>
      <c r="CT73" s="473">
        <f>IF($AW73=1,IF(N($CR73+$CS73)&lt;N($AX73)*OP!$C$50,N($CR73+$CS73),MIN(N($CR73+$CS73),N($AX73))),0)</f>
        <v>0</v>
      </c>
      <c r="CV73" s="503">
        <f t="shared" ca="1" si="38"/>
        <v>16662.819661665999</v>
      </c>
      <c r="CW73" s="503">
        <f t="shared" ca="1" si="39"/>
        <v>0</v>
      </c>
      <c r="CX73" s="503">
        <f t="shared" ca="1" si="40"/>
        <v>16699.65775618</v>
      </c>
    </row>
    <row r="74" spans="1:102" ht="16.5" hidden="1">
      <c r="A74" s="450">
        <f ca="1">OP!$D$5+$B74-1</f>
        <v>96</v>
      </c>
      <c r="B74" s="192">
        <v>64</v>
      </c>
      <c r="C74" s="219">
        <f ca="1">ROUND(VLOOKUP(OP!$C$55,PV0,B74+2,0)*OP!$C$28,0)</f>
        <v>3081488</v>
      </c>
      <c r="D74" s="189">
        <f t="shared" ca="1" si="65"/>
        <v>3081488</v>
      </c>
      <c r="E74" s="221">
        <f t="shared" ca="1" si="66"/>
        <v>2.69E-2</v>
      </c>
      <c r="F74" s="222">
        <f t="shared" ca="1" si="67"/>
        <v>6.8999999999999999E-3</v>
      </c>
      <c r="G74" s="223">
        <f t="shared" ca="1" si="68"/>
        <v>1612507</v>
      </c>
      <c r="H74" s="224">
        <f t="shared" ca="1" si="56"/>
        <v>21763</v>
      </c>
      <c r="I74" s="450">
        <f t="shared" ca="1" si="57"/>
        <v>1</v>
      </c>
      <c r="J74" s="192">
        <f t="shared" ref="J74:J137" si="75">IF(K73=12,J73+1,J73)</f>
        <v>6</v>
      </c>
      <c r="K74" s="192">
        <f t="shared" ref="K74:K137" si="76">IF(K73=12,1,K73+1)</f>
        <v>6</v>
      </c>
      <c r="L74" s="192" t="str">
        <f t="shared" si="69"/>
        <v/>
      </c>
      <c r="M74" s="216">
        <f t="shared" ref="M74:M137" ca="1" si="77">IF($Q74=1,VLOOKUP(L74,$BR$9:$BT$1341,3,0),0)</f>
        <v>0</v>
      </c>
      <c r="N74" s="216"/>
      <c r="O74" s="216"/>
      <c r="P74" s="216"/>
      <c r="Q74" s="456" t="str">
        <f t="shared" ref="Q74:Q137" ca="1" si="78">IF(OR($U74&gt;=$I$5,AND($G$5=1,$K74=12),AND($G$5=2,OR($K74=6,$K74=12)),AND($G$5=4,OR($K74=3,$K74=6,$K74=9,$K74=12)),$G$5=12),1,"")</f>
        <v/>
      </c>
      <c r="R74" s="450">
        <f t="shared" ref="R74:R137" ca="1" si="79">IF($U74&lt;$I$5,$G$5,$I$6)</f>
        <v>1</v>
      </c>
      <c r="S74" s="191">
        <f t="shared" ref="S74:S137" si="80">IF(T73=12,S73+1,S73)</f>
        <v>6</v>
      </c>
      <c r="T74" s="191">
        <f t="shared" ref="T74:T137" si="81">IF(T73=12,1,T73+1)</f>
        <v>6</v>
      </c>
      <c r="U74" s="191">
        <f ca="1">OP!$D$5+$S74-1</f>
        <v>38</v>
      </c>
      <c r="V74" s="191" t="str">
        <f t="shared" ref="V74:V137" si="82">IF($T74=12,$S74,"")</f>
        <v/>
      </c>
      <c r="W74" s="350">
        <f ca="1">IF(Q74&lt;&gt;1,0,VLOOKUP(OP!$C$55,PVFB,$S74+2,0))</f>
        <v>0</v>
      </c>
      <c r="X74" s="473">
        <f t="shared" ca="1" si="44"/>
        <v>0</v>
      </c>
      <c r="Y74" s="348">
        <f t="shared" ca="1" si="45"/>
        <v>0</v>
      </c>
      <c r="Z74" s="348">
        <f t="shared" ca="1" si="46"/>
        <v>5627</v>
      </c>
      <c r="AA74" s="348">
        <f ca="1">IF(Q74&lt;&gt;1,0,VLOOKUP(OP!$C$55,PVFB,$S74+2,0))</f>
        <v>0</v>
      </c>
      <c r="AB74" s="488" t="str">
        <f ca="1">IF(AND(S74&lt;OP!$C$24,$U74&lt;15),0,IF(AND($U74&lt;15,$T74=12),ROUND(VLOOKUP($S74,DOWN16,5,0),3),IF($T74=12,ROUND(($Z74/10000)*$AA74,3)+IF(AND($P$7="購買增額繳清保險",T74=12,U74=110),VLOOKUP(S74,$B$10:$H$121,7,0),0),"")))</f>
        <v/>
      </c>
      <c r="AC74" s="350" t="str">
        <f ca="1">IF(AND(S74&lt;OP!$C$24,$U74&lt;15),0,IF(AND($U74&lt;16,$T74=12),VLOOKUP($S74,DOWN16,4,0),IF($T74=12,ROUND(VLOOKUP(OP!$C$55,_DIE2,$S74+1,0)*(Z74/10000),0)+IF(AND($P$7="購買增額繳清保險",T74=12,U74=110),VLOOKUP(S74,$B$10:$H$121,7,0),0),"")))</f>
        <v/>
      </c>
      <c r="AD74" s="347"/>
      <c r="AE74" s="350" t="str">
        <f t="shared" ca="1" si="70"/>
        <v/>
      </c>
      <c r="AF74" s="351" t="str">
        <f t="shared" ca="1" si="71"/>
        <v/>
      </c>
      <c r="AG74" s="340"/>
      <c r="AH74" s="340"/>
      <c r="AI74" s="340"/>
      <c r="AJ74" s="340"/>
      <c r="AK74" s="340"/>
      <c r="AL74" s="340"/>
      <c r="AM74" s="340"/>
      <c r="AN74" s="191">
        <f t="shared" ref="AN74:AN137" si="83">IF(AO73=12,AN73+1,AN73)</f>
        <v>6</v>
      </c>
      <c r="AO74" s="191">
        <f t="shared" ref="AO74:AO137" si="84">IF(AO73=12,1,AO73+1)</f>
        <v>6</v>
      </c>
      <c r="AP74" s="191">
        <f ca="1">OP!$D$5+$AN74-1</f>
        <v>38</v>
      </c>
      <c r="AQ74" s="191" t="str">
        <f t="shared" ref="AQ74:AQ137" si="85">IF($K74=12,$AN74,"")</f>
        <v/>
      </c>
      <c r="AR74" s="352">
        <f t="shared" ref="AR74:AR137" ca="1" si="86">IF($AV74=1,ROUND(VLOOKUP($AQ74,$CI$9:$CK$225,3,0),0),0)</f>
        <v>0</v>
      </c>
      <c r="AS74" s="352"/>
      <c r="AT74" s="352"/>
      <c r="AU74" s="436"/>
      <c r="AV74" s="353" t="str">
        <f t="shared" ref="AV74:AV137" ca="1" si="87">IF(AND($AP74&gt;15,$AN74&lt;=$P$4,$AO74&lt;&gt;12),"",IF(AND($AP74&gt;15,$AN74&lt;=$P$4,$AO74=12),1,IF(OR(AND($G$5=1,$AO74=12),AND($G$5=2,OR($AO74=6,$AO74=12)),AND($G$5=4,OR($AO74=3,$AO74=6,$AO74=9,$AO74=12)),$G$5=12),1,"")))</f>
        <v/>
      </c>
      <c r="AW74" s="422" t="str">
        <f t="shared" ref="AW74:AW137" si="88">IF(OR(AND($AW$7=0,$AN74=1,$AO74=1),AND($AW$7=1,$AO74=1),AND($AW$7=2,OR($AO74=1,$AO74=7)),AND($AW$7=4,OR($AO74=1,$AO74=4,$AO74=7,$AO74=10)),$AW$7=12),1,"")</f>
        <v/>
      </c>
      <c r="AX74" s="423" t="str">
        <f ca="1">IF(AND($AW74=1,$AP74&lt;16,$AN73&lt;OP!$C$24),OP!$C$49,"")</f>
        <v/>
      </c>
      <c r="AY74" s="340"/>
      <c r="AZ74" s="465">
        <f t="shared" ref="AZ74:AZ137" ca="1" si="89">ROUND(($G$3*BF74/365),10)</f>
        <v>7.3698599999999999E-5</v>
      </c>
      <c r="BA74" s="464">
        <f t="shared" ref="BA74:BB137" ca="1" si="90">ROUND(($G$3*BG74/365),10)</f>
        <v>2.1372602999999999E-3</v>
      </c>
      <c r="BB74" s="465">
        <f t="shared" ca="1" si="90"/>
        <v>2.2109589000000002E-3</v>
      </c>
      <c r="BC74" s="466">
        <f t="shared" ref="BC74:BC137" ca="1" si="91">DATE(YEAR(BD74),MONTH(BD74),1)</f>
        <v>44866</v>
      </c>
      <c r="BD74" s="467">
        <f t="shared" ca="1" si="47"/>
        <v>44867</v>
      </c>
      <c r="BE74" s="467">
        <f t="shared" ref="BE74:BE137" ca="1" si="92">DATE(YEAR(BD74),MONTH(BD74),DAY(DATE(YEAR(BD74),MONTH(BD74)+1,0)))</f>
        <v>44895</v>
      </c>
      <c r="BF74" s="468">
        <f ca="1">IF(計算!$BC74&lt;OP!$C$3,0,BD74-BC74)</f>
        <v>1</v>
      </c>
      <c r="BG74" s="468">
        <f ca="1">IF($BE74&gt;DATE(YEAR($BD$9)+OP!$C$57,MONTH($BD$9),DAY($BD$9)),0,$BE74-$BD74+1)</f>
        <v>29</v>
      </c>
      <c r="BH74" s="469">
        <f t="shared" ref="BH74:BH137" ca="1" si="93">BF74+BG74</f>
        <v>30</v>
      </c>
      <c r="BI74" t="str">
        <f t="shared" si="63"/>
        <v/>
      </c>
      <c r="BJ74">
        <v>5</v>
      </c>
      <c r="BN74" s="468">
        <f t="shared" si="48"/>
        <v>6</v>
      </c>
      <c r="BO74" s="468">
        <f t="shared" si="49"/>
        <v>5</v>
      </c>
      <c r="BP74" s="467">
        <f t="shared" ref="BP74:BP137" ca="1" si="94">BD74</f>
        <v>44867</v>
      </c>
      <c r="BQ74" s="475">
        <f t="shared" ca="1" si="60"/>
        <v>38</v>
      </c>
      <c r="BR74" s="475" t="str">
        <f t="shared" si="50"/>
        <v/>
      </c>
      <c r="BS74" s="471" t="str">
        <f t="shared" ref="BS74:BS137" si="95">IF(BW74&lt;&gt;"",ROUND(BU74,0)+ROUND(BV74,0),"")</f>
        <v/>
      </c>
      <c r="BT74" s="472" t="str">
        <f t="shared" si="64"/>
        <v/>
      </c>
      <c r="BU74" s="472">
        <f t="shared" ref="BU74:BV137" ca="1" si="96">ROUND(CA74,0)</f>
        <v>0</v>
      </c>
      <c r="BV74" s="472">
        <f t="shared" ca="1" si="96"/>
        <v>0</v>
      </c>
      <c r="BW74" s="472"/>
      <c r="BX74" s="473">
        <f t="shared" ref="BX74:BX137" ca="1" si="97">IF(BN74&lt;=$P$4,0,ROUNDDOWN(IF($Q73=1,CA74+CB74-CC74,0)+BX73+BY74+BZ73,VLOOKUP(LEN(ROUNDDOWN(IF($Q73=1,CA74+CB74-CC74,0)+BX73+BY74+BZ73,0)),$BK$9:$BL$24,2,0)))</f>
        <v>0</v>
      </c>
      <c r="BY74" s="473">
        <f t="shared" ref="BY74:BY137" si="98">IF(BO74=12,ROUND((BX73+BZ73)*$AZ74,$CB$6),0)</f>
        <v>0</v>
      </c>
      <c r="BZ74" s="473">
        <f t="shared" ca="1" si="72"/>
        <v>0</v>
      </c>
      <c r="CA74" s="476">
        <f t="shared" ref="CA74:CA137" ca="1" si="99">IF($Q73=1,ROUND(VLOOKUP($BN74,more1,3,0)*VLOOKUP($BN74,more1,5,0)/$R73,0),0)</f>
        <v>0</v>
      </c>
      <c r="CB74" s="494">
        <f ca="1">IF(OR($Q73&lt;&gt;1,OP!$D$5+$BN74-1&lt;16,$BN74-1&lt;1),0,ROUND(ROUND(ROUND(((VLOOKUP($BN74-1,MORE_PV,5,0)/10000)*VLOOKUP($BN74,MORE_PV,$CB$5,0)),3)*VLOOKUP($BN74,more1,5,0),0)/$R73,0))</f>
        <v>0</v>
      </c>
      <c r="CC74" s="473">
        <f t="shared" ref="CC74:CC137" ca="1" si="100">IF(AND($BN74=$P$4,$BO74=12),$CA74+$CB74,IF(AND($BN74&gt;$P$4,$Q73=1,$G$6="現金給付",$CA74+$CB74&gt;=$P$3),$CA74+$CB74,0))</f>
        <v>0</v>
      </c>
      <c r="CD74" s="477"/>
      <c r="CE74" s="468">
        <f t="shared" si="51"/>
        <v>6</v>
      </c>
      <c r="CF74" s="468">
        <f t="shared" si="52"/>
        <v>5</v>
      </c>
      <c r="CG74" s="467">
        <f t="shared" ca="1" si="73"/>
        <v>44867</v>
      </c>
      <c r="CH74" s="475">
        <f t="shared" ca="1" si="61"/>
        <v>38</v>
      </c>
      <c r="CI74" s="513" t="str">
        <f t="shared" si="53"/>
        <v/>
      </c>
      <c r="CJ74" s="511">
        <f t="shared" ref="CJ74:CJ137" si="101">IF(CN74&lt;&gt;"",ROUND(CL74,$CJ$7)+ROUND(CM74,$CJ$7),0)</f>
        <v>0</v>
      </c>
      <c r="CK74" s="512">
        <f t="shared" ref="CK74:CK137" si="102">IF(CN74&lt;&gt;"",ROUND($CV74,$CK$7),0)</f>
        <v>0</v>
      </c>
      <c r="CL74" s="511">
        <f t="shared" ca="1" si="54"/>
        <v>0</v>
      </c>
      <c r="CM74" s="511">
        <f ca="1">ROUND(CS74-IF(OR($CE74&gt;=OP!$C$24,AND(CH74=15,CF74=12),CS74=0),0,(CT74-CR74)),$CM$7)</f>
        <v>0</v>
      </c>
      <c r="CN74" s="511"/>
      <c r="CO74" s="351">
        <f t="shared" ref="CO74:CO137" ca="1" si="103">ROUND($CV74,$CO$7)</f>
        <v>16701</v>
      </c>
      <c r="CP74" s="473">
        <f t="shared" ref="CP74:CP137" si="104">IF(CF74=12,ROUND((CO73+CQ73)*$AZ74,$CS$6),0)</f>
        <v>0</v>
      </c>
      <c r="CQ74" s="473">
        <f t="shared" ca="1" si="74"/>
        <v>36.925224589000003</v>
      </c>
      <c r="CR74" s="476">
        <f t="shared" ref="CR74:CR137" ca="1" si="105">IF($Q73=1,ROUND(VLOOKUP($CE74,more1,3,0)*VLOOKUP($CE74,more1,5,0)/$R73,0),0)</f>
        <v>0</v>
      </c>
      <c r="CS74" s="494">
        <f ca="1">IF(OR($Q73&lt;&gt;1,OP!$D$5+$CE74-1&lt;16,$CE74-1&lt;1),0,ROUND(ROUND(ROUND(((VLOOKUP($CE74-1,MORE_PV,5,0)/10000)*VLOOKUP($CE74,MORE_PV,$CS$5,0)),3)*VLOOKUP($CE74,more1,5,0),0)/$R73,0))</f>
        <v>0</v>
      </c>
      <c r="CT74" s="473">
        <f>IF($AW74=1,IF(N($CR74+$CS74)&lt;N($AX74)*OP!$C$50,N($CR74+$CS74),MIN(N($CR74+$CS74),N($AX74))),0)</f>
        <v>0</v>
      </c>
      <c r="CV74" s="503">
        <f t="shared" ref="CV74:CV137" ca="1" si="106">ROUND($CX73*(1+$AZ74),$CW$6)+$CR74</f>
        <v>16700.888497577002</v>
      </c>
      <c r="CW74" s="503">
        <f t="shared" ref="CW74:CW137" ca="1" si="107">ROUND(($CR74-CT74)*(1+$BA74),$CW$6)</f>
        <v>0</v>
      </c>
      <c r="CX74" s="503">
        <f t="shared" ref="CX74:CX137" ca="1" si="108">$CW74+ROUND((CX73*(1+$BB74)),$CW$6)</f>
        <v>16736.580013122999</v>
      </c>
    </row>
    <row r="75" spans="1:102" ht="16.5" hidden="1">
      <c r="A75" s="450">
        <f ca="1">OP!$D$5+$B75-1</f>
        <v>97</v>
      </c>
      <c r="B75" s="192">
        <v>65</v>
      </c>
      <c r="C75" s="219">
        <f ca="1">ROUND(VLOOKUP(OP!$C$55,PV0,B75+2,0)*OP!$C$28,0)</f>
        <v>3130448</v>
      </c>
      <c r="D75" s="189">
        <f t="shared" ref="D75:D106" ca="1" si="109">IF($D$8=1,$C74,IF($D$8=2,($C74+$C75)/2,IF($D$8=3,$C75,0)))</f>
        <v>3130448</v>
      </c>
      <c r="E75" s="221">
        <f t="shared" ref="E75:E106" ca="1" si="110">ROUND($G$3,4)</f>
        <v>2.69E-2</v>
      </c>
      <c r="F75" s="222">
        <f t="shared" ref="F75:F106" ca="1" si="111">MAX(0,ROUND($E75-$G$2,5))</f>
        <v>6.8999999999999999E-3</v>
      </c>
      <c r="G75" s="223">
        <f t="shared" ca="1" si="68"/>
        <v>1678531</v>
      </c>
      <c r="H75" s="224">
        <f t="shared" ca="1" si="56"/>
        <v>22109</v>
      </c>
      <c r="I75" s="450">
        <f t="shared" ca="1" si="57"/>
        <v>1</v>
      </c>
      <c r="J75" s="192">
        <f t="shared" si="75"/>
        <v>6</v>
      </c>
      <c r="K75" s="192">
        <f t="shared" si="76"/>
        <v>7</v>
      </c>
      <c r="L75" s="192" t="str">
        <f t="shared" si="69"/>
        <v/>
      </c>
      <c r="M75" s="216">
        <f t="shared" ca="1" si="77"/>
        <v>0</v>
      </c>
      <c r="N75" s="216"/>
      <c r="O75" s="216"/>
      <c r="P75" s="216"/>
      <c r="Q75" s="456" t="str">
        <f t="shared" ca="1" si="78"/>
        <v/>
      </c>
      <c r="R75" s="450">
        <f t="shared" ca="1" si="79"/>
        <v>1</v>
      </c>
      <c r="S75" s="191">
        <f t="shared" si="80"/>
        <v>6</v>
      </c>
      <c r="T75" s="191">
        <f t="shared" si="81"/>
        <v>7</v>
      </c>
      <c r="U75" s="191">
        <f ca="1">OP!$D$5+$S75-1</f>
        <v>38</v>
      </c>
      <c r="V75" s="191" t="str">
        <f t="shared" si="82"/>
        <v/>
      </c>
      <c r="W75" s="350">
        <f ca="1">IF(Q75&lt;&gt;1,0,VLOOKUP(OP!$C$55,PVFB,$S75+2,0))</f>
        <v>0</v>
      </c>
      <c r="X75" s="473">
        <f t="shared" ref="X75:X138" ca="1" si="112">IF(AND($U75=15,$T75=12),$CO76,IF(AND($U75&gt;15,$S75&lt;=$P$4,$T75=12),($BS76)*$R75,IF($Q75=1,($BS76),0)))</f>
        <v>0</v>
      </c>
      <c r="Y75" s="348">
        <f t="shared" ref="Y75:Y138" ca="1" si="113">IF(AND($P$7="購買增額繳清保險",U75&gt;=110),0,IF(AND($U75=15,$W75&lt;&gt;0,$T75=12),ROUND(($X75)/($W75/10000),0),IF(AND($S75&lt;=$P$4,$W75&lt;&gt;0,$T75=12,$U75&gt;15),ROUND(($X75)/($W75/10000),0),0)))</f>
        <v>0</v>
      </c>
      <c r="Z75" s="348">
        <f t="shared" ref="Z75:Z138" ca="1" si="114">Z74+Y75</f>
        <v>5627</v>
      </c>
      <c r="AA75" s="348">
        <f ca="1">IF(Q75&lt;&gt;1,0,VLOOKUP(OP!$C$55,PVFB,$S75+2,0))</f>
        <v>0</v>
      </c>
      <c r="AB75" s="488" t="str">
        <f ca="1">IF(AND(S75&lt;OP!$C$24,$U75&lt;15),0,IF(AND($U75&lt;15,$T75=12),ROUND(VLOOKUP($S75,DOWN16,5,0),3),IF($T75=12,ROUND(($Z75/10000)*$AA75,3)+IF(AND($P$7="購買增額繳清保險",T75=12,U75=110),VLOOKUP(S75,$B$10:$H$121,7,0),0),"")))</f>
        <v/>
      </c>
      <c r="AC75" s="350" t="str">
        <f ca="1">IF(AND(S75&lt;OP!$C$24,$U75&lt;15),0,IF(AND($U75&lt;16,$T75=12),VLOOKUP($S75,DOWN16,4,0),IF($T75=12,ROUND(VLOOKUP(OP!$C$55,_DIE2,$S75+1,0)*(Z75/10000),0)+IF(AND($P$7="購買增額繳清保險",T75=12,U75=110),VLOOKUP(S75,$B$10:$H$121,7,0),0),"")))</f>
        <v/>
      </c>
      <c r="AD75" s="347"/>
      <c r="AE75" s="350" t="str">
        <f t="shared" ca="1" si="70"/>
        <v/>
      </c>
      <c r="AF75" s="351" t="str">
        <f t="shared" ca="1" si="71"/>
        <v/>
      </c>
      <c r="AG75" s="340"/>
      <c r="AH75" s="340"/>
      <c r="AI75" s="340"/>
      <c r="AJ75" s="340"/>
      <c r="AK75" s="340"/>
      <c r="AL75" s="340"/>
      <c r="AM75" s="340"/>
      <c r="AN75" s="191">
        <f t="shared" si="83"/>
        <v>6</v>
      </c>
      <c r="AO75" s="191">
        <f t="shared" si="84"/>
        <v>7</v>
      </c>
      <c r="AP75" s="191">
        <f ca="1">OP!$D$5+$AN75-1</f>
        <v>38</v>
      </c>
      <c r="AQ75" s="191" t="str">
        <f t="shared" si="85"/>
        <v/>
      </c>
      <c r="AR75" s="352">
        <f t="shared" ca="1" si="86"/>
        <v>0</v>
      </c>
      <c r="AS75" s="352"/>
      <c r="AT75" s="352"/>
      <c r="AU75" s="436"/>
      <c r="AV75" s="353" t="str">
        <f t="shared" ca="1" si="87"/>
        <v/>
      </c>
      <c r="AW75" s="422" t="str">
        <f t="shared" si="88"/>
        <v/>
      </c>
      <c r="AX75" s="423" t="str">
        <f ca="1">IF(AND($AW75=1,$AP75&lt;16,$AN74&lt;OP!$C$24),OP!$C$49,"")</f>
        <v/>
      </c>
      <c r="AY75" s="340"/>
      <c r="AZ75" s="465">
        <f t="shared" ca="1" si="89"/>
        <v>7.3698599999999999E-5</v>
      </c>
      <c r="BA75" s="464">
        <f t="shared" ca="1" si="90"/>
        <v>2.2109589000000002E-3</v>
      </c>
      <c r="BB75" s="465">
        <f t="shared" ca="1" si="90"/>
        <v>2.2846575E-3</v>
      </c>
      <c r="BC75" s="466">
        <f t="shared" ca="1" si="91"/>
        <v>44896</v>
      </c>
      <c r="BD75" s="467">
        <f t="shared" ref="BD75:BD138" ca="1" si="115">DATE(YEAR(BD74),MONTH(BD74)+1,MIN(DAY($BD$9),DAY(DATE(YEAR(BD74),MONTH(BD74)+2,0))))</f>
        <v>44897</v>
      </c>
      <c r="BE75" s="467">
        <f t="shared" ca="1" si="92"/>
        <v>44926</v>
      </c>
      <c r="BF75" s="468">
        <f ca="1">IF(計算!$BC75&lt;OP!$C$3,0,BD75-BC75)</f>
        <v>1</v>
      </c>
      <c r="BG75" s="468">
        <f ca="1">IF($BE75&gt;DATE(YEAR($BD$9)+OP!$C$57,MONTH($BD$9),DAY($BD$9)),0,$BE75-$BD75+1)</f>
        <v>30</v>
      </c>
      <c r="BH75" s="469">
        <f t="shared" ca="1" si="93"/>
        <v>31</v>
      </c>
      <c r="BI75" t="str">
        <f t="shared" si="63"/>
        <v/>
      </c>
      <c r="BJ75">
        <v>6</v>
      </c>
      <c r="BN75" s="468">
        <f t="shared" ref="BN75:BN138" si="116">IF(BO74=12,BN74+1,BN74)</f>
        <v>6</v>
      </c>
      <c r="BO75" s="468">
        <f t="shared" ref="BO75:BO138" si="117">IF(BO74=12,1,BO74+1)</f>
        <v>6</v>
      </c>
      <c r="BP75" s="467">
        <f t="shared" ca="1" si="94"/>
        <v>44897</v>
      </c>
      <c r="BQ75" s="475">
        <f t="shared" ca="1" si="60"/>
        <v>38</v>
      </c>
      <c r="BR75" s="475" t="str">
        <f t="shared" ref="BR75:BR138" si="118">IF(BO75=12,BN75,"")</f>
        <v/>
      </c>
      <c r="BS75" s="471" t="str">
        <f t="shared" si="95"/>
        <v/>
      </c>
      <c r="BT75" s="472" t="str">
        <f t="shared" si="64"/>
        <v/>
      </c>
      <c r="BU75" s="472">
        <f t="shared" ca="1" si="96"/>
        <v>0</v>
      </c>
      <c r="BV75" s="472">
        <f t="shared" ca="1" si="96"/>
        <v>0</v>
      </c>
      <c r="BW75" s="472"/>
      <c r="BX75" s="473">
        <f t="shared" ca="1" si="97"/>
        <v>0</v>
      </c>
      <c r="BY75" s="473">
        <f t="shared" si="98"/>
        <v>0</v>
      </c>
      <c r="BZ75" s="473">
        <f t="shared" ca="1" si="72"/>
        <v>0</v>
      </c>
      <c r="CA75" s="476">
        <f t="shared" ca="1" si="99"/>
        <v>0</v>
      </c>
      <c r="CB75" s="494">
        <f ca="1">IF(OR($Q74&lt;&gt;1,OP!$D$5+$BN75-1&lt;16,$BN75-1&lt;1),0,ROUND(ROUND(ROUND(((VLOOKUP($BN75-1,MORE_PV,5,0)/10000)*VLOOKUP($BN75,MORE_PV,$CB$5,0)),3)*VLOOKUP($BN75,more1,5,0),0)/$R74,0))</f>
        <v>0</v>
      </c>
      <c r="CC75" s="473">
        <f t="shared" ca="1" si="100"/>
        <v>0</v>
      </c>
      <c r="CD75" s="477"/>
      <c r="CE75" s="468">
        <f t="shared" ref="CE75:CE138" si="119">IF(CF74=12,CE74+1,CE74)</f>
        <v>6</v>
      </c>
      <c r="CF75" s="468">
        <f t="shared" ref="CF75:CF138" si="120">IF(CF74=12,1,CF74+1)</f>
        <v>6</v>
      </c>
      <c r="CG75" s="467">
        <f t="shared" ca="1" si="73"/>
        <v>44897</v>
      </c>
      <c r="CH75" s="475">
        <f t="shared" ca="1" si="61"/>
        <v>38</v>
      </c>
      <c r="CI75" s="513" t="str">
        <f t="shared" ref="CI75:CI138" si="121">IF(CF75=12,CE75,"")</f>
        <v/>
      </c>
      <c r="CJ75" s="511">
        <f t="shared" si="101"/>
        <v>0</v>
      </c>
      <c r="CK75" s="512">
        <f t="shared" si="102"/>
        <v>0</v>
      </c>
      <c r="CL75" s="511">
        <f t="shared" ref="CL75:CL138" ca="1" si="122">ROUND(CR75-(CT75-CS75),$CL$7)</f>
        <v>0</v>
      </c>
      <c r="CM75" s="511">
        <f ca="1">ROUND(CS75-IF(OR($CE75&gt;=OP!$C$24,AND(CH75=15,CF75=12),CS75=0),0,(CT75-CR75)),$CM$7)</f>
        <v>0</v>
      </c>
      <c r="CN75" s="511"/>
      <c r="CO75" s="351">
        <f t="shared" ca="1" si="103"/>
        <v>16738</v>
      </c>
      <c r="CP75" s="473">
        <f t="shared" si="104"/>
        <v>0</v>
      </c>
      <c r="CQ75" s="473">
        <f t="shared" ca="1" si="74"/>
        <v>38.240597235000003</v>
      </c>
      <c r="CR75" s="476">
        <f t="shared" ca="1" si="105"/>
        <v>0</v>
      </c>
      <c r="CS75" s="494">
        <f ca="1">IF(OR($Q74&lt;&gt;1,OP!$D$5+$CE75-1&lt;16,$CE75-1&lt;1),0,ROUND(ROUND(ROUND(((VLOOKUP($CE75-1,MORE_PV,5,0)/10000)*VLOOKUP($CE75,MORE_PV,$CS$5,0)),3)*VLOOKUP($CE75,more1,5,0),0)/$R74,0))</f>
        <v>0</v>
      </c>
      <c r="CT75" s="473">
        <f>IF($AW75=1,IF(N($CR75+$CS75)&lt;N($AX75)*OP!$C$50,N($CR75+$CS75),MIN(N($CR75+$CS75),N($AX75))),0)</f>
        <v>0</v>
      </c>
      <c r="CV75" s="503">
        <f t="shared" ca="1" si="106"/>
        <v>16737.813475638999</v>
      </c>
      <c r="CW75" s="503">
        <f t="shared" ca="1" si="107"/>
        <v>0</v>
      </c>
      <c r="CX75" s="503">
        <f t="shared" ca="1" si="108"/>
        <v>16774.817366174</v>
      </c>
    </row>
    <row r="76" spans="1:102" ht="16.5" hidden="1">
      <c r="A76" s="450">
        <f ca="1">OP!$D$5+$B76-1</f>
        <v>98</v>
      </c>
      <c r="B76" s="192">
        <v>66</v>
      </c>
      <c r="C76" s="219">
        <f ca="1">ROUND(VLOOKUP(OP!$C$55,PV0,B76+2,0)*OP!$C$28,0)</f>
        <v>3179544</v>
      </c>
      <c r="D76" s="189">
        <f t="shared" ca="1" si="109"/>
        <v>3179544</v>
      </c>
      <c r="E76" s="221">
        <f t="shared" ca="1" si="110"/>
        <v>2.69E-2</v>
      </c>
      <c r="F76" s="222">
        <f t="shared" ca="1" si="111"/>
        <v>6.8999999999999999E-3</v>
      </c>
      <c r="G76" s="223">
        <f t="shared" ref="G76:G107" ca="1" si="123">IF(B76=$P$4+1,IF($G$6="現金給付",($H76*$I76),ROUND(VLOOKUP(B76,more,2,0),0)),IF($G$6="現金給付",$G75+($H76*$I76),ROUND(VLOOKUP(B76,more,2,0),0)))</f>
        <v>1746701</v>
      </c>
      <c r="H76" s="224">
        <f t="shared" ref="H76:H121" ca="1" si="124">VLOOKUP($B76,$BR$9:$BT$1341,2,0)</f>
        <v>22456</v>
      </c>
      <c r="I76" s="450">
        <f t="shared" ref="I76:I121" ca="1" si="125">IF($A76&gt;=$I$5,$I$6,$G$5)</f>
        <v>1</v>
      </c>
      <c r="J76" s="192">
        <f t="shared" si="75"/>
        <v>6</v>
      </c>
      <c r="K76" s="192">
        <f t="shared" si="76"/>
        <v>8</v>
      </c>
      <c r="L76" s="192" t="str">
        <f t="shared" si="69"/>
        <v/>
      </c>
      <c r="M76" s="216">
        <f t="shared" ca="1" si="77"/>
        <v>0</v>
      </c>
      <c r="N76" s="216"/>
      <c r="O76" s="216"/>
      <c r="P76" s="216"/>
      <c r="Q76" s="456" t="str">
        <f t="shared" ca="1" si="78"/>
        <v/>
      </c>
      <c r="R76" s="450">
        <f t="shared" ca="1" si="79"/>
        <v>1</v>
      </c>
      <c r="S76" s="191">
        <f t="shared" si="80"/>
        <v>6</v>
      </c>
      <c r="T76" s="191">
        <f t="shared" si="81"/>
        <v>8</v>
      </c>
      <c r="U76" s="191">
        <f ca="1">OP!$D$5+$S76-1</f>
        <v>38</v>
      </c>
      <c r="V76" s="191" t="str">
        <f t="shared" si="82"/>
        <v/>
      </c>
      <c r="W76" s="350">
        <f ca="1">IF(Q76&lt;&gt;1,0,VLOOKUP(OP!$C$55,PVFB,$S76+2,0))</f>
        <v>0</v>
      </c>
      <c r="X76" s="473">
        <f t="shared" ca="1" si="112"/>
        <v>0</v>
      </c>
      <c r="Y76" s="348">
        <f t="shared" ca="1" si="113"/>
        <v>0</v>
      </c>
      <c r="Z76" s="348">
        <f t="shared" ca="1" si="114"/>
        <v>5627</v>
      </c>
      <c r="AA76" s="348">
        <f ca="1">IF(Q76&lt;&gt;1,0,VLOOKUP(OP!$C$55,PVFB,$S76+2,0))</f>
        <v>0</v>
      </c>
      <c r="AB76" s="488" t="str">
        <f ca="1">IF(AND(S76&lt;OP!$C$24,$U76&lt;15),0,IF(AND($U76&lt;15,$T76=12),ROUND(VLOOKUP($S76,DOWN16,5,0),3),IF($T76=12,ROUND(($Z76/10000)*$AA76,3)+IF(AND($P$7="購買增額繳清保險",T76=12,U76=110),VLOOKUP(S76,$B$10:$H$121,7,0),0),"")))</f>
        <v/>
      </c>
      <c r="AC76" s="350" t="str">
        <f ca="1">IF(AND(S76&lt;OP!$C$24,$U76&lt;15),0,IF(AND($U76&lt;16,$T76=12),VLOOKUP($S76,DOWN16,4,0),IF($T76=12,ROUND(VLOOKUP(OP!$C$55,_DIE2,$S76+1,0)*(Z76/10000),0)+IF(AND($P$7="購買增額繳清保險",T76=12,U76=110),VLOOKUP(S76,$B$10:$H$121,7,0),0),"")))</f>
        <v/>
      </c>
      <c r="AD76" s="347"/>
      <c r="AE76" s="350" t="str">
        <f t="shared" ca="1" si="70"/>
        <v/>
      </c>
      <c r="AF76" s="351" t="str">
        <f t="shared" ca="1" si="71"/>
        <v/>
      </c>
      <c r="AG76" s="340"/>
      <c r="AH76" s="340"/>
      <c r="AI76" s="340"/>
      <c r="AJ76" s="340"/>
      <c r="AK76" s="340"/>
      <c r="AL76" s="340"/>
      <c r="AM76" s="340"/>
      <c r="AN76" s="191">
        <f t="shared" si="83"/>
        <v>6</v>
      </c>
      <c r="AO76" s="191">
        <f t="shared" si="84"/>
        <v>8</v>
      </c>
      <c r="AP76" s="191">
        <f ca="1">OP!$D$5+$AN76-1</f>
        <v>38</v>
      </c>
      <c r="AQ76" s="191" t="str">
        <f t="shared" si="85"/>
        <v/>
      </c>
      <c r="AR76" s="352">
        <f t="shared" ca="1" si="86"/>
        <v>0</v>
      </c>
      <c r="AS76" s="352"/>
      <c r="AT76" s="352"/>
      <c r="AU76" s="436"/>
      <c r="AV76" s="353" t="str">
        <f t="shared" ca="1" si="87"/>
        <v/>
      </c>
      <c r="AW76" s="422" t="str">
        <f t="shared" si="88"/>
        <v/>
      </c>
      <c r="AX76" s="423" t="str">
        <f ca="1">IF(AND($AW76=1,$AP76&lt;16,$AN75&lt;OP!$C$24),OP!$C$49,"")</f>
        <v/>
      </c>
      <c r="AY76" s="340"/>
      <c r="AZ76" s="465">
        <f t="shared" ca="1" si="89"/>
        <v>7.3698599999999999E-5</v>
      </c>
      <c r="BA76" s="464">
        <f t="shared" ca="1" si="90"/>
        <v>2.2109589000000002E-3</v>
      </c>
      <c r="BB76" s="465">
        <f t="shared" ca="1" si="90"/>
        <v>2.2846575E-3</v>
      </c>
      <c r="BC76" s="466">
        <f t="shared" ca="1" si="91"/>
        <v>44927</v>
      </c>
      <c r="BD76" s="467">
        <f t="shared" ca="1" si="115"/>
        <v>44928</v>
      </c>
      <c r="BE76" s="467">
        <f t="shared" ca="1" si="92"/>
        <v>44957</v>
      </c>
      <c r="BF76" s="468">
        <f ca="1">IF(計算!$BC76&lt;OP!$C$3,0,BD76-BC76)</f>
        <v>1</v>
      </c>
      <c r="BG76" s="468">
        <f ca="1">IF($BE76&gt;DATE(YEAR($BD$9)+OP!$C$57,MONTH($BD$9),DAY($BD$9)),0,$BE76-$BD76+1)</f>
        <v>30</v>
      </c>
      <c r="BH76" s="469">
        <f t="shared" ca="1" si="93"/>
        <v>31</v>
      </c>
      <c r="BI76" t="str">
        <f t="shared" si="63"/>
        <v/>
      </c>
      <c r="BJ76">
        <v>7</v>
      </c>
      <c r="BN76" s="468">
        <f t="shared" si="116"/>
        <v>6</v>
      </c>
      <c r="BO76" s="468">
        <f t="shared" si="117"/>
        <v>7</v>
      </c>
      <c r="BP76" s="467">
        <f t="shared" ca="1" si="94"/>
        <v>44928</v>
      </c>
      <c r="BQ76" s="475">
        <f t="shared" ref="BQ76:BQ139" ca="1" si="126">IF(BO75=12,BQ75+1,BQ75)</f>
        <v>38</v>
      </c>
      <c r="BR76" s="475" t="str">
        <f t="shared" si="118"/>
        <v/>
      </c>
      <c r="BS76" s="471" t="str">
        <f t="shared" si="95"/>
        <v/>
      </c>
      <c r="BT76" s="472" t="str">
        <f t="shared" si="64"/>
        <v/>
      </c>
      <c r="BU76" s="472">
        <f t="shared" ca="1" si="96"/>
        <v>0</v>
      </c>
      <c r="BV76" s="472">
        <f t="shared" ca="1" si="96"/>
        <v>0</v>
      </c>
      <c r="BW76" s="472"/>
      <c r="BX76" s="473">
        <f t="shared" ca="1" si="97"/>
        <v>0</v>
      </c>
      <c r="BY76" s="473">
        <f t="shared" si="98"/>
        <v>0</v>
      </c>
      <c r="BZ76" s="473">
        <f t="shared" ca="1" si="72"/>
        <v>0</v>
      </c>
      <c r="CA76" s="476">
        <f t="shared" ca="1" si="99"/>
        <v>0</v>
      </c>
      <c r="CB76" s="494">
        <f ca="1">IF(OR($Q75&lt;&gt;1,OP!$D$5+$BN76-1&lt;16,$BN76-1&lt;1),0,ROUND(ROUND(ROUND(((VLOOKUP($BN76-1,MORE_PV,5,0)/10000)*VLOOKUP($BN76,MORE_PV,$CB$5,0)),3)*VLOOKUP($BN76,more1,5,0),0)/$R75,0))</f>
        <v>0</v>
      </c>
      <c r="CC76" s="473">
        <f t="shared" ca="1" si="100"/>
        <v>0</v>
      </c>
      <c r="CD76" s="477"/>
      <c r="CE76" s="468">
        <f t="shared" si="119"/>
        <v>6</v>
      </c>
      <c r="CF76" s="468">
        <f t="shared" si="120"/>
        <v>7</v>
      </c>
      <c r="CG76" s="467">
        <f t="shared" ca="1" si="73"/>
        <v>44928</v>
      </c>
      <c r="CH76" s="475">
        <f t="shared" ref="CH76:CH139" ca="1" si="127">IF(CF75=12,CH75+1,CH75)</f>
        <v>38</v>
      </c>
      <c r="CI76" s="513" t="str">
        <f t="shared" si="121"/>
        <v/>
      </c>
      <c r="CJ76" s="511">
        <f t="shared" si="101"/>
        <v>0</v>
      </c>
      <c r="CK76" s="512">
        <f t="shared" si="102"/>
        <v>0</v>
      </c>
      <c r="CL76" s="511">
        <f t="shared" ca="1" si="122"/>
        <v>0</v>
      </c>
      <c r="CM76" s="511">
        <f ca="1">ROUND(CS76-IF(OR($CE76&gt;=OP!$C$24,AND(CH76=15,CF76=12),CS76=0),0,(CT76-CR76)),$CM$7)</f>
        <v>0</v>
      </c>
      <c r="CN76" s="511"/>
      <c r="CO76" s="351">
        <f t="shared" ca="1" si="103"/>
        <v>16776</v>
      </c>
      <c r="CP76" s="473">
        <f t="shared" si="104"/>
        <v>0</v>
      </c>
      <c r="CQ76" s="473">
        <f t="shared" ca="1" si="74"/>
        <v>38.327414220000001</v>
      </c>
      <c r="CR76" s="476">
        <f t="shared" ca="1" si="105"/>
        <v>0</v>
      </c>
      <c r="CS76" s="494">
        <f ca="1">IF(OR($Q75&lt;&gt;1,OP!$D$5+$CE76-1&lt;16,$CE76-1&lt;1),0,ROUND(ROUND(ROUND(((VLOOKUP($CE76-1,MORE_PV,5,0)/10000)*VLOOKUP($CE76,MORE_PV,$CS$5,0)),3)*VLOOKUP($CE76,more1,5,0),0)/$R75,0))</f>
        <v>0</v>
      </c>
      <c r="CT76" s="473">
        <f>IF($AW76=1,IF(N($CR76+$CS76)&lt;N($AX76)*OP!$C$50,N($CR76+$CS76),MIN(N($CR76+$CS76),N($AX76))),0)</f>
        <v>0</v>
      </c>
      <c r="CV76" s="503">
        <f t="shared" ca="1" si="106"/>
        <v>16776.053646729</v>
      </c>
      <c r="CW76" s="503">
        <f t="shared" ca="1" si="107"/>
        <v>0</v>
      </c>
      <c r="CX76" s="503">
        <f t="shared" ca="1" si="108"/>
        <v>16813.142078481</v>
      </c>
    </row>
    <row r="77" spans="1:102" ht="16.5" hidden="1">
      <c r="A77" s="450">
        <f ca="1">OP!$D$5+$B77-1</f>
        <v>99</v>
      </c>
      <c r="B77" s="192">
        <v>67</v>
      </c>
      <c r="C77" s="219">
        <f ca="1">ROUND(VLOOKUP(OP!$C$55,PV0,B77+2,0)*OP!$C$28,0)</f>
        <v>3228742</v>
      </c>
      <c r="D77" s="189">
        <f t="shared" ca="1" si="109"/>
        <v>3228742</v>
      </c>
      <c r="E77" s="221">
        <f t="shared" ca="1" si="110"/>
        <v>2.69E-2</v>
      </c>
      <c r="F77" s="222">
        <f t="shared" ca="1" si="111"/>
        <v>6.8999999999999999E-3</v>
      </c>
      <c r="G77" s="223">
        <f t="shared" ca="1" si="123"/>
        <v>1817206</v>
      </c>
      <c r="H77" s="224">
        <f t="shared" ca="1" si="124"/>
        <v>22803</v>
      </c>
      <c r="I77" s="450">
        <f t="shared" ca="1" si="125"/>
        <v>1</v>
      </c>
      <c r="J77" s="192">
        <f t="shared" si="75"/>
        <v>6</v>
      </c>
      <c r="K77" s="192">
        <f t="shared" si="76"/>
        <v>9</v>
      </c>
      <c r="L77" s="192" t="str">
        <f t="shared" si="69"/>
        <v/>
      </c>
      <c r="M77" s="216">
        <f t="shared" ca="1" si="77"/>
        <v>0</v>
      </c>
      <c r="N77" s="216"/>
      <c r="O77" s="216"/>
      <c r="P77" s="216"/>
      <c r="Q77" s="456" t="str">
        <f t="shared" ca="1" si="78"/>
        <v/>
      </c>
      <c r="R77" s="450">
        <f t="shared" ca="1" si="79"/>
        <v>1</v>
      </c>
      <c r="S77" s="191">
        <f t="shared" si="80"/>
        <v>6</v>
      </c>
      <c r="T77" s="191">
        <f t="shared" si="81"/>
        <v>9</v>
      </c>
      <c r="U77" s="191">
        <f ca="1">OP!$D$5+$S77-1</f>
        <v>38</v>
      </c>
      <c r="V77" s="191" t="str">
        <f t="shared" si="82"/>
        <v/>
      </c>
      <c r="W77" s="350">
        <f ca="1">IF(Q77&lt;&gt;1,0,VLOOKUP(OP!$C$55,PVFB,$S77+2,0))</f>
        <v>0</v>
      </c>
      <c r="X77" s="473">
        <f t="shared" ca="1" si="112"/>
        <v>0</v>
      </c>
      <c r="Y77" s="348">
        <f t="shared" ca="1" si="113"/>
        <v>0</v>
      </c>
      <c r="Z77" s="348">
        <f t="shared" ca="1" si="114"/>
        <v>5627</v>
      </c>
      <c r="AA77" s="348">
        <f ca="1">IF(Q77&lt;&gt;1,0,VLOOKUP(OP!$C$55,PVFB,$S77+2,0))</f>
        <v>0</v>
      </c>
      <c r="AB77" s="488" t="str">
        <f ca="1">IF(AND(S77&lt;OP!$C$24,$U77&lt;15),0,IF(AND($U77&lt;15,$T77=12),ROUND(VLOOKUP($S77,DOWN16,5,0),3),IF($T77=12,ROUND(($Z77/10000)*$AA77,3)+IF(AND($P$7="購買增額繳清保險",T77=12,U77=110),VLOOKUP(S77,$B$10:$H$121,7,0),0),"")))</f>
        <v/>
      </c>
      <c r="AC77" s="350" t="str">
        <f ca="1">IF(AND(S77&lt;OP!$C$24,$U77&lt;15),0,IF(AND($U77&lt;16,$T77=12),VLOOKUP($S77,DOWN16,4,0),IF($T77=12,ROUND(VLOOKUP(OP!$C$55,_DIE2,$S77+1,0)*(Z77/10000),0)+IF(AND($P$7="購買增額繳清保險",T77=12,U77=110),VLOOKUP(S77,$B$10:$H$121,7,0),0),"")))</f>
        <v/>
      </c>
      <c r="AD77" s="347"/>
      <c r="AE77" s="350" t="str">
        <f t="shared" ca="1" si="70"/>
        <v/>
      </c>
      <c r="AF77" s="351" t="str">
        <f t="shared" ca="1" si="71"/>
        <v/>
      </c>
      <c r="AG77" s="340"/>
      <c r="AH77" s="340"/>
      <c r="AI77" s="340"/>
      <c r="AJ77" s="340"/>
      <c r="AK77" s="340"/>
      <c r="AL77" s="340"/>
      <c r="AM77" s="340"/>
      <c r="AN77" s="191">
        <f t="shared" si="83"/>
        <v>6</v>
      </c>
      <c r="AO77" s="191">
        <f t="shared" si="84"/>
        <v>9</v>
      </c>
      <c r="AP77" s="191">
        <f ca="1">OP!$D$5+$AN77-1</f>
        <v>38</v>
      </c>
      <c r="AQ77" s="191" t="str">
        <f t="shared" si="85"/>
        <v/>
      </c>
      <c r="AR77" s="352">
        <f t="shared" ca="1" si="86"/>
        <v>0</v>
      </c>
      <c r="AS77" s="352"/>
      <c r="AT77" s="352"/>
      <c r="AU77" s="436"/>
      <c r="AV77" s="353" t="str">
        <f t="shared" ca="1" si="87"/>
        <v/>
      </c>
      <c r="AW77" s="422" t="str">
        <f t="shared" si="88"/>
        <v/>
      </c>
      <c r="AX77" s="423" t="str">
        <f ca="1">IF(AND($AW77=1,$AP77&lt;16,$AN76&lt;OP!$C$24),OP!$C$49,"")</f>
        <v/>
      </c>
      <c r="AY77" s="340"/>
      <c r="AZ77" s="465">
        <f t="shared" ca="1" si="89"/>
        <v>7.3698599999999999E-5</v>
      </c>
      <c r="BA77" s="464">
        <f t="shared" ca="1" si="90"/>
        <v>1.9898630000000001E-3</v>
      </c>
      <c r="BB77" s="465">
        <f t="shared" ca="1" si="90"/>
        <v>2.0635616E-3</v>
      </c>
      <c r="BC77" s="466">
        <f t="shared" ca="1" si="91"/>
        <v>44958</v>
      </c>
      <c r="BD77" s="467">
        <f t="shared" ca="1" si="115"/>
        <v>44959</v>
      </c>
      <c r="BE77" s="467">
        <f t="shared" ca="1" si="92"/>
        <v>44985</v>
      </c>
      <c r="BF77" s="468">
        <f ca="1">IF(計算!$BC77&lt;OP!$C$3,0,BD77-BC77)</f>
        <v>1</v>
      </c>
      <c r="BG77" s="468">
        <f ca="1">IF($BE77&gt;DATE(YEAR($BD$9)+OP!$C$57,MONTH($BD$9),DAY($BD$9)),0,$BE77-$BD77+1)</f>
        <v>27</v>
      </c>
      <c r="BH77" s="469">
        <f t="shared" ca="1" si="93"/>
        <v>28</v>
      </c>
      <c r="BI77" t="str">
        <f t="shared" si="63"/>
        <v/>
      </c>
      <c r="BJ77">
        <v>8</v>
      </c>
      <c r="BN77" s="468">
        <f t="shared" si="116"/>
        <v>6</v>
      </c>
      <c r="BO77" s="468">
        <f t="shared" si="117"/>
        <v>8</v>
      </c>
      <c r="BP77" s="467">
        <f t="shared" ca="1" si="94"/>
        <v>44959</v>
      </c>
      <c r="BQ77" s="475">
        <f t="shared" ca="1" si="126"/>
        <v>38</v>
      </c>
      <c r="BR77" s="475" t="str">
        <f t="shared" si="118"/>
        <v/>
      </c>
      <c r="BS77" s="471" t="str">
        <f t="shared" si="95"/>
        <v/>
      </c>
      <c r="BT77" s="472" t="str">
        <f t="shared" si="64"/>
        <v/>
      </c>
      <c r="BU77" s="472">
        <f t="shared" ca="1" si="96"/>
        <v>0</v>
      </c>
      <c r="BV77" s="472">
        <f t="shared" ca="1" si="96"/>
        <v>0</v>
      </c>
      <c r="BW77" s="472"/>
      <c r="BX77" s="473">
        <f t="shared" ca="1" si="97"/>
        <v>0</v>
      </c>
      <c r="BY77" s="473">
        <f t="shared" si="98"/>
        <v>0</v>
      </c>
      <c r="BZ77" s="473">
        <f t="shared" ca="1" si="72"/>
        <v>0</v>
      </c>
      <c r="CA77" s="476">
        <f t="shared" ca="1" si="99"/>
        <v>0</v>
      </c>
      <c r="CB77" s="494">
        <f ca="1">IF(OR($Q76&lt;&gt;1,OP!$D$5+$BN77-1&lt;16,$BN77-1&lt;1),0,ROUND(ROUND(ROUND(((VLOOKUP($BN77-1,MORE_PV,5,0)/10000)*VLOOKUP($BN77,MORE_PV,$CB$5,0)),3)*VLOOKUP($BN77,more1,5,0),0)/$R76,0))</f>
        <v>0</v>
      </c>
      <c r="CC77" s="473">
        <f t="shared" ca="1" si="100"/>
        <v>0</v>
      </c>
      <c r="CD77" s="477"/>
      <c r="CE77" s="468">
        <f t="shared" si="119"/>
        <v>6</v>
      </c>
      <c r="CF77" s="468">
        <f t="shared" si="120"/>
        <v>8</v>
      </c>
      <c r="CG77" s="467">
        <f t="shared" ca="1" si="73"/>
        <v>44959</v>
      </c>
      <c r="CH77" s="475">
        <f t="shared" ca="1" si="127"/>
        <v>38</v>
      </c>
      <c r="CI77" s="513" t="str">
        <f t="shared" si="121"/>
        <v/>
      </c>
      <c r="CJ77" s="511">
        <f t="shared" si="101"/>
        <v>0</v>
      </c>
      <c r="CK77" s="512">
        <f t="shared" si="102"/>
        <v>0</v>
      </c>
      <c r="CL77" s="511">
        <f t="shared" ca="1" si="122"/>
        <v>0</v>
      </c>
      <c r="CM77" s="511">
        <f ca="1">ROUND(CS77-IF(OR($CE77&gt;=OP!$C$24,AND(CH77=15,CF77=12),CS77=0),0,(CT77-CR77)),$CM$7)</f>
        <v>0</v>
      </c>
      <c r="CN77" s="511"/>
      <c r="CO77" s="351">
        <f t="shared" ca="1" si="103"/>
        <v>16814</v>
      </c>
      <c r="CP77" s="473">
        <f t="shared" si="104"/>
        <v>0</v>
      </c>
      <c r="CQ77" s="473">
        <f t="shared" ca="1" si="74"/>
        <v>34.696724742000001</v>
      </c>
      <c r="CR77" s="476">
        <f t="shared" ca="1" si="105"/>
        <v>0</v>
      </c>
      <c r="CS77" s="494">
        <f ca="1">IF(OR($Q76&lt;&gt;1,OP!$D$5+$CE77-1&lt;16,$CE77-1&lt;1),0,ROUND(ROUND(ROUND(((VLOOKUP($CE77-1,MORE_PV,5,0)/10000)*VLOOKUP($CE77,MORE_PV,$CS$5,0)),3)*VLOOKUP($CE77,more1,5,0),0)/$R76,0))</f>
        <v>0</v>
      </c>
      <c r="CT77" s="473">
        <f>IF($AW77=1,IF(N($CR77+$CS77)&lt;N($AX77)*OP!$C$50,N($CR77+$CS77),MIN(N($CR77+$CS77),N($AX77))),0)</f>
        <v>0</v>
      </c>
      <c r="CV77" s="503">
        <f t="shared" ca="1" si="106"/>
        <v>16814.381183514</v>
      </c>
      <c r="CW77" s="503">
        <f t="shared" ca="1" si="107"/>
        <v>0</v>
      </c>
      <c r="CX77" s="503">
        <f t="shared" ca="1" si="108"/>
        <v>16847.837032849999</v>
      </c>
    </row>
    <row r="78" spans="1:102" ht="16.5" hidden="1">
      <c r="A78" s="450">
        <f ca="1">OP!$D$5+$B78-1</f>
        <v>100</v>
      </c>
      <c r="B78" s="192">
        <v>68</v>
      </c>
      <c r="C78" s="219">
        <f ca="1">ROUND(VLOOKUP(OP!$C$55,PV0,B78+2,0)*OP!$C$28,0)</f>
        <v>3278042</v>
      </c>
      <c r="D78" s="189">
        <f t="shared" ca="1" si="109"/>
        <v>3278042</v>
      </c>
      <c r="E78" s="221">
        <f t="shared" ca="1" si="110"/>
        <v>2.69E-2</v>
      </c>
      <c r="F78" s="222">
        <f t="shared" ca="1" si="111"/>
        <v>6.8999999999999999E-3</v>
      </c>
      <c r="G78" s="223">
        <f t="shared" ca="1" si="123"/>
        <v>1889847</v>
      </c>
      <c r="H78" s="224">
        <f t="shared" ca="1" si="124"/>
        <v>23151</v>
      </c>
      <c r="I78" s="450">
        <f t="shared" ca="1" si="125"/>
        <v>1</v>
      </c>
      <c r="J78" s="192">
        <f t="shared" si="75"/>
        <v>6</v>
      </c>
      <c r="K78" s="192">
        <f t="shared" si="76"/>
        <v>10</v>
      </c>
      <c r="L78" s="192" t="str">
        <f t="shared" si="69"/>
        <v/>
      </c>
      <c r="M78" s="216">
        <f t="shared" ca="1" si="77"/>
        <v>0</v>
      </c>
      <c r="N78" s="216"/>
      <c r="O78" s="216"/>
      <c r="P78" s="216"/>
      <c r="Q78" s="456" t="str">
        <f t="shared" ca="1" si="78"/>
        <v/>
      </c>
      <c r="R78" s="450">
        <f t="shared" ca="1" si="79"/>
        <v>1</v>
      </c>
      <c r="S78" s="191">
        <f t="shared" si="80"/>
        <v>6</v>
      </c>
      <c r="T78" s="191">
        <f t="shared" si="81"/>
        <v>10</v>
      </c>
      <c r="U78" s="191">
        <f ca="1">OP!$D$5+$S78-1</f>
        <v>38</v>
      </c>
      <c r="V78" s="191" t="str">
        <f t="shared" si="82"/>
        <v/>
      </c>
      <c r="W78" s="350">
        <f ca="1">IF(Q78&lt;&gt;1,0,VLOOKUP(OP!$C$55,PVFB,$S78+2,0))</f>
        <v>0</v>
      </c>
      <c r="X78" s="473">
        <f t="shared" ca="1" si="112"/>
        <v>0</v>
      </c>
      <c r="Y78" s="348">
        <f t="shared" ca="1" si="113"/>
        <v>0</v>
      </c>
      <c r="Z78" s="348">
        <f t="shared" ca="1" si="114"/>
        <v>5627</v>
      </c>
      <c r="AA78" s="348">
        <f ca="1">IF(Q78&lt;&gt;1,0,VLOOKUP(OP!$C$55,PVFB,$S78+2,0))</f>
        <v>0</v>
      </c>
      <c r="AB78" s="488" t="str">
        <f ca="1">IF(AND(S78&lt;OP!$C$24,$U78&lt;15),0,IF(AND($U78&lt;15,$T78=12),ROUND(VLOOKUP($S78,DOWN16,5,0),3),IF($T78=12,ROUND(($Z78/10000)*$AA78,3)+IF(AND($P$7="購買增額繳清保險",T78=12,U78=110),VLOOKUP(S78,$B$10:$H$121,7,0),0),"")))</f>
        <v/>
      </c>
      <c r="AC78" s="350" t="str">
        <f ca="1">IF(AND(S78&lt;OP!$C$24,$U78&lt;15),0,IF(AND($U78&lt;16,$T78=12),VLOOKUP($S78,DOWN16,4,0),IF($T78=12,ROUND(VLOOKUP(OP!$C$55,_DIE2,$S78+1,0)*(Z78/10000),0)+IF(AND($P$7="購買增額繳清保險",T78=12,U78=110),VLOOKUP(S78,$B$10:$H$121,7,0),0),"")))</f>
        <v/>
      </c>
      <c r="AD78" s="347"/>
      <c r="AE78" s="350" t="str">
        <f t="shared" ca="1" si="70"/>
        <v/>
      </c>
      <c r="AF78" s="351" t="str">
        <f t="shared" ca="1" si="71"/>
        <v/>
      </c>
      <c r="AG78" s="340"/>
      <c r="AH78" s="340"/>
      <c r="AI78" s="340"/>
      <c r="AJ78" s="340"/>
      <c r="AK78" s="340"/>
      <c r="AL78" s="340"/>
      <c r="AM78" s="340"/>
      <c r="AN78" s="191">
        <f t="shared" si="83"/>
        <v>6</v>
      </c>
      <c r="AO78" s="191">
        <f t="shared" si="84"/>
        <v>10</v>
      </c>
      <c r="AP78" s="191">
        <f ca="1">OP!$D$5+$AN78-1</f>
        <v>38</v>
      </c>
      <c r="AQ78" s="191" t="str">
        <f t="shared" si="85"/>
        <v/>
      </c>
      <c r="AR78" s="352">
        <f t="shared" ca="1" si="86"/>
        <v>0</v>
      </c>
      <c r="AS78" s="352"/>
      <c r="AT78" s="352"/>
      <c r="AU78" s="436"/>
      <c r="AV78" s="353" t="str">
        <f t="shared" ca="1" si="87"/>
        <v/>
      </c>
      <c r="AW78" s="422" t="str">
        <f t="shared" si="88"/>
        <v/>
      </c>
      <c r="AX78" s="423" t="str">
        <f ca="1">IF(AND($AW78=1,$AP78&lt;16,$AN77&lt;OP!$C$24),OP!$C$49,"")</f>
        <v/>
      </c>
      <c r="AY78" s="340"/>
      <c r="AZ78" s="465">
        <f t="shared" ca="1" si="89"/>
        <v>7.3698599999999999E-5</v>
      </c>
      <c r="BA78" s="464">
        <f t="shared" ca="1" si="90"/>
        <v>2.2109589000000002E-3</v>
      </c>
      <c r="BB78" s="465">
        <f t="shared" ca="1" si="90"/>
        <v>2.2846575E-3</v>
      </c>
      <c r="BC78" s="466">
        <f t="shared" ca="1" si="91"/>
        <v>44986</v>
      </c>
      <c r="BD78" s="467">
        <f t="shared" ca="1" si="115"/>
        <v>44987</v>
      </c>
      <c r="BE78" s="467">
        <f t="shared" ca="1" si="92"/>
        <v>45016</v>
      </c>
      <c r="BF78" s="468">
        <f ca="1">IF(計算!$BC78&lt;OP!$C$3,0,BD78-BC78)</f>
        <v>1</v>
      </c>
      <c r="BG78" s="468">
        <f ca="1">IF($BE78&gt;DATE(YEAR($BD$9)+OP!$C$57,MONTH($BD$9),DAY($BD$9)),0,$BE78-$BD78+1)</f>
        <v>30</v>
      </c>
      <c r="BH78" s="469">
        <f t="shared" ca="1" si="93"/>
        <v>31</v>
      </c>
      <c r="BI78" t="str">
        <f t="shared" si="63"/>
        <v/>
      </c>
      <c r="BJ78">
        <v>9</v>
      </c>
      <c r="BN78" s="468">
        <f t="shared" si="116"/>
        <v>6</v>
      </c>
      <c r="BO78" s="468">
        <f t="shared" si="117"/>
        <v>9</v>
      </c>
      <c r="BP78" s="467">
        <f t="shared" ca="1" si="94"/>
        <v>44987</v>
      </c>
      <c r="BQ78" s="475">
        <f t="shared" ca="1" si="126"/>
        <v>38</v>
      </c>
      <c r="BR78" s="475" t="str">
        <f t="shared" si="118"/>
        <v/>
      </c>
      <c r="BS78" s="471" t="str">
        <f t="shared" si="95"/>
        <v/>
      </c>
      <c r="BT78" s="472" t="str">
        <f t="shared" si="64"/>
        <v/>
      </c>
      <c r="BU78" s="472">
        <f t="shared" ca="1" si="96"/>
        <v>0</v>
      </c>
      <c r="BV78" s="472">
        <f t="shared" ca="1" si="96"/>
        <v>0</v>
      </c>
      <c r="BW78" s="472"/>
      <c r="BX78" s="473">
        <f t="shared" ca="1" si="97"/>
        <v>0</v>
      </c>
      <c r="BY78" s="473">
        <f t="shared" si="98"/>
        <v>0</v>
      </c>
      <c r="BZ78" s="473">
        <f t="shared" ca="1" si="72"/>
        <v>0</v>
      </c>
      <c r="CA78" s="476">
        <f t="shared" ca="1" si="99"/>
        <v>0</v>
      </c>
      <c r="CB78" s="494">
        <f ca="1">IF(OR($Q77&lt;&gt;1,OP!$D$5+$BN78-1&lt;16,$BN78-1&lt;1),0,ROUND(ROUND(ROUND(((VLOOKUP($BN78-1,MORE_PV,5,0)/10000)*VLOOKUP($BN78,MORE_PV,$CB$5,0)),3)*VLOOKUP($BN78,more1,5,0),0)/$R77,0))</f>
        <v>0</v>
      </c>
      <c r="CC78" s="473">
        <f t="shared" ca="1" si="100"/>
        <v>0</v>
      </c>
      <c r="CD78" s="477"/>
      <c r="CE78" s="468">
        <f t="shared" si="119"/>
        <v>6</v>
      </c>
      <c r="CF78" s="468">
        <f t="shared" si="120"/>
        <v>9</v>
      </c>
      <c r="CG78" s="467">
        <f t="shared" ca="1" si="73"/>
        <v>44987</v>
      </c>
      <c r="CH78" s="475">
        <f t="shared" ca="1" si="127"/>
        <v>38</v>
      </c>
      <c r="CI78" s="513" t="str">
        <f t="shared" si="121"/>
        <v/>
      </c>
      <c r="CJ78" s="511">
        <f t="shared" si="101"/>
        <v>0</v>
      </c>
      <c r="CK78" s="512">
        <f t="shared" si="102"/>
        <v>0</v>
      </c>
      <c r="CL78" s="511">
        <f t="shared" ca="1" si="122"/>
        <v>0</v>
      </c>
      <c r="CM78" s="511">
        <f ca="1">ROUND(CS78-IF(OR($CE78&gt;=OP!$C$24,AND(CH78=15,CF78=12),CS78=0),0,(CT78-CR78)),$CM$7)</f>
        <v>0</v>
      </c>
      <c r="CN78" s="511"/>
      <c r="CO78" s="351">
        <f t="shared" ca="1" si="103"/>
        <v>16849</v>
      </c>
      <c r="CP78" s="473">
        <f t="shared" si="104"/>
        <v>0</v>
      </c>
      <c r="CQ78" s="473">
        <f t="shared" ca="1" si="74"/>
        <v>38.494194217999997</v>
      </c>
      <c r="CR78" s="476">
        <f t="shared" ca="1" si="105"/>
        <v>0</v>
      </c>
      <c r="CS78" s="494">
        <f ca="1">IF(OR($Q77&lt;&gt;1,OP!$D$5+$CE78-1&lt;16,$CE78-1&lt;1),0,ROUND(ROUND(ROUND(((VLOOKUP($CE78-1,MORE_PV,5,0)/10000)*VLOOKUP($CE78,MORE_PV,$CS$5,0)),3)*VLOOKUP($CE78,more1,5,0),0)/$R77,0))</f>
        <v>0</v>
      </c>
      <c r="CT78" s="473">
        <f>IF($AW78=1,IF(N($CR78+$CS78)&lt;N($AX78)*OP!$C$50,N($CR78+$CS78),MIN(N($CR78+$CS78),N($AX78))),0)</f>
        <v>0</v>
      </c>
      <c r="CV78" s="503">
        <f t="shared" ca="1" si="106"/>
        <v>16849.078694852</v>
      </c>
      <c r="CW78" s="503">
        <f t="shared" ca="1" si="107"/>
        <v>0</v>
      </c>
      <c r="CX78" s="503">
        <f t="shared" ca="1" si="108"/>
        <v>16886.328570086</v>
      </c>
    </row>
    <row r="79" spans="1:102" ht="16.5" hidden="1">
      <c r="A79" s="450">
        <f ca="1">OP!$D$5+$B79-1</f>
        <v>101</v>
      </c>
      <c r="B79" s="192">
        <v>69</v>
      </c>
      <c r="C79" s="219">
        <f ca="1">ROUND(VLOOKUP(OP!$C$55,PV0,B79+2,0)*OP!$C$28,0)</f>
        <v>3327410</v>
      </c>
      <c r="D79" s="189">
        <f t="shared" ca="1" si="109"/>
        <v>3327410</v>
      </c>
      <c r="E79" s="221">
        <f t="shared" ca="1" si="110"/>
        <v>2.69E-2</v>
      </c>
      <c r="F79" s="222">
        <f t="shared" ca="1" si="111"/>
        <v>6.8999999999999999E-3</v>
      </c>
      <c r="G79" s="223">
        <f t="shared" ca="1" si="123"/>
        <v>1964816</v>
      </c>
      <c r="H79" s="224">
        <f t="shared" ca="1" si="124"/>
        <v>23500</v>
      </c>
      <c r="I79" s="450">
        <f t="shared" ca="1" si="125"/>
        <v>1</v>
      </c>
      <c r="J79" s="192">
        <f t="shared" si="75"/>
        <v>6</v>
      </c>
      <c r="K79" s="192">
        <f t="shared" si="76"/>
        <v>11</v>
      </c>
      <c r="L79" s="192" t="str">
        <f t="shared" si="69"/>
        <v/>
      </c>
      <c r="M79" s="216">
        <f t="shared" ca="1" si="77"/>
        <v>0</v>
      </c>
      <c r="N79" s="216"/>
      <c r="O79" s="216"/>
      <c r="P79" s="216"/>
      <c r="Q79" s="456" t="str">
        <f t="shared" ca="1" si="78"/>
        <v/>
      </c>
      <c r="R79" s="450">
        <f t="shared" ca="1" si="79"/>
        <v>1</v>
      </c>
      <c r="S79" s="191">
        <f t="shared" si="80"/>
        <v>6</v>
      </c>
      <c r="T79" s="191">
        <f t="shared" si="81"/>
        <v>11</v>
      </c>
      <c r="U79" s="191">
        <f ca="1">OP!$D$5+$S79-1</f>
        <v>38</v>
      </c>
      <c r="V79" s="191" t="str">
        <f t="shared" si="82"/>
        <v/>
      </c>
      <c r="W79" s="350">
        <f ca="1">IF(Q79&lt;&gt;1,0,VLOOKUP(OP!$C$55,PVFB,$S79+2,0))</f>
        <v>0</v>
      </c>
      <c r="X79" s="473">
        <f t="shared" ca="1" si="112"/>
        <v>0</v>
      </c>
      <c r="Y79" s="348">
        <f t="shared" ca="1" si="113"/>
        <v>0</v>
      </c>
      <c r="Z79" s="348">
        <f t="shared" ca="1" si="114"/>
        <v>5627</v>
      </c>
      <c r="AA79" s="348">
        <f ca="1">IF(Q79&lt;&gt;1,0,VLOOKUP(OP!$C$55,PVFB,$S79+2,0))</f>
        <v>0</v>
      </c>
      <c r="AB79" s="488" t="str">
        <f ca="1">IF(AND(S79&lt;OP!$C$24,$U79&lt;15),0,IF(AND($U79&lt;15,$T79=12),ROUND(VLOOKUP($S79,DOWN16,5,0),3),IF($T79=12,ROUND(($Z79/10000)*$AA79,3)+IF(AND($P$7="購買增額繳清保險",T79=12,U79=110),VLOOKUP(S79,$B$10:$H$121,7,0),0),"")))</f>
        <v/>
      </c>
      <c r="AC79" s="350" t="str">
        <f ca="1">IF(AND(S79&lt;OP!$C$24,$U79&lt;15),0,IF(AND($U79&lt;16,$T79=12),VLOOKUP($S79,DOWN16,4,0),IF($T79=12,ROUND(VLOOKUP(OP!$C$55,_DIE2,$S79+1,0)*(Z79/10000),0)+IF(AND($P$7="購買增額繳清保險",T79=12,U79=110),VLOOKUP(S79,$B$10:$H$121,7,0),0),"")))</f>
        <v/>
      </c>
      <c r="AD79" s="347"/>
      <c r="AE79" s="350" t="str">
        <f t="shared" ca="1" si="70"/>
        <v/>
      </c>
      <c r="AF79" s="351" t="str">
        <f t="shared" ca="1" si="71"/>
        <v/>
      </c>
      <c r="AG79" s="340"/>
      <c r="AH79" s="340"/>
      <c r="AI79" s="340"/>
      <c r="AJ79" s="340"/>
      <c r="AK79" s="340"/>
      <c r="AL79" s="340"/>
      <c r="AM79" s="340"/>
      <c r="AN79" s="191">
        <f t="shared" si="83"/>
        <v>6</v>
      </c>
      <c r="AO79" s="191">
        <f t="shared" si="84"/>
        <v>11</v>
      </c>
      <c r="AP79" s="191">
        <f ca="1">OP!$D$5+$AN79-1</f>
        <v>38</v>
      </c>
      <c r="AQ79" s="191" t="str">
        <f t="shared" si="85"/>
        <v/>
      </c>
      <c r="AR79" s="352">
        <f t="shared" ca="1" si="86"/>
        <v>0</v>
      </c>
      <c r="AS79" s="352"/>
      <c r="AT79" s="352"/>
      <c r="AU79" s="436"/>
      <c r="AV79" s="353" t="str">
        <f t="shared" ca="1" si="87"/>
        <v/>
      </c>
      <c r="AW79" s="422" t="str">
        <f t="shared" si="88"/>
        <v/>
      </c>
      <c r="AX79" s="423" t="str">
        <f ca="1">IF(AND($AW79=1,$AP79&lt;16,$AN78&lt;OP!$C$24),OP!$C$49,"")</f>
        <v/>
      </c>
      <c r="AY79" s="340"/>
      <c r="AZ79" s="465">
        <f t="shared" ca="1" si="89"/>
        <v>7.3698599999999999E-5</v>
      </c>
      <c r="BA79" s="464">
        <f t="shared" ca="1" si="90"/>
        <v>2.1372602999999999E-3</v>
      </c>
      <c r="BB79" s="465">
        <f t="shared" ca="1" si="90"/>
        <v>2.2109589000000002E-3</v>
      </c>
      <c r="BC79" s="466">
        <f t="shared" ca="1" si="91"/>
        <v>45017</v>
      </c>
      <c r="BD79" s="467">
        <f t="shared" ca="1" si="115"/>
        <v>45018</v>
      </c>
      <c r="BE79" s="467">
        <f t="shared" ca="1" si="92"/>
        <v>45046</v>
      </c>
      <c r="BF79" s="468">
        <f ca="1">IF(計算!$BC79&lt;OP!$C$3,0,BD79-BC79)</f>
        <v>1</v>
      </c>
      <c r="BG79" s="468">
        <f ca="1">IF($BE79&gt;DATE(YEAR($BD$9)+OP!$C$57,MONTH($BD$9),DAY($BD$9)),0,$BE79-$BD79+1)</f>
        <v>29</v>
      </c>
      <c r="BH79" s="469">
        <f t="shared" ca="1" si="93"/>
        <v>30</v>
      </c>
      <c r="BI79" t="str">
        <f t="shared" si="63"/>
        <v/>
      </c>
      <c r="BJ79">
        <v>10</v>
      </c>
      <c r="BN79" s="468">
        <f t="shared" si="116"/>
        <v>6</v>
      </c>
      <c r="BO79" s="468">
        <f t="shared" si="117"/>
        <v>10</v>
      </c>
      <c r="BP79" s="467">
        <f t="shared" ca="1" si="94"/>
        <v>45018</v>
      </c>
      <c r="BQ79" s="475">
        <f t="shared" ca="1" si="126"/>
        <v>38</v>
      </c>
      <c r="BR79" s="475" t="str">
        <f t="shared" si="118"/>
        <v/>
      </c>
      <c r="BS79" s="471" t="str">
        <f t="shared" si="95"/>
        <v/>
      </c>
      <c r="BT79" s="472" t="str">
        <f t="shared" si="64"/>
        <v/>
      </c>
      <c r="BU79" s="472">
        <f t="shared" ca="1" si="96"/>
        <v>0</v>
      </c>
      <c r="BV79" s="472">
        <f t="shared" ca="1" si="96"/>
        <v>0</v>
      </c>
      <c r="BW79" s="472"/>
      <c r="BX79" s="473">
        <f t="shared" ca="1" si="97"/>
        <v>0</v>
      </c>
      <c r="BY79" s="473">
        <f t="shared" si="98"/>
        <v>0</v>
      </c>
      <c r="BZ79" s="473">
        <f t="shared" ca="1" si="72"/>
        <v>0</v>
      </c>
      <c r="CA79" s="476">
        <f t="shared" ca="1" si="99"/>
        <v>0</v>
      </c>
      <c r="CB79" s="494">
        <f ca="1">IF(OR($Q78&lt;&gt;1,OP!$D$5+$BN79-1&lt;16,$BN79-1&lt;1),0,ROUND(ROUND(ROUND(((VLOOKUP($BN79-1,MORE_PV,5,0)/10000)*VLOOKUP($BN79,MORE_PV,$CB$5,0)),3)*VLOOKUP($BN79,more1,5,0),0)/$R78,0))</f>
        <v>0</v>
      </c>
      <c r="CC79" s="473">
        <f t="shared" ca="1" si="100"/>
        <v>0</v>
      </c>
      <c r="CD79" s="477"/>
      <c r="CE79" s="468">
        <f t="shared" si="119"/>
        <v>6</v>
      </c>
      <c r="CF79" s="468">
        <f t="shared" si="120"/>
        <v>10</v>
      </c>
      <c r="CG79" s="467">
        <f t="shared" ca="1" si="73"/>
        <v>45018</v>
      </c>
      <c r="CH79" s="475">
        <f t="shared" ca="1" si="127"/>
        <v>38</v>
      </c>
      <c r="CI79" s="513" t="str">
        <f t="shared" si="121"/>
        <v/>
      </c>
      <c r="CJ79" s="511">
        <f t="shared" si="101"/>
        <v>0</v>
      </c>
      <c r="CK79" s="512">
        <f t="shared" si="102"/>
        <v>0</v>
      </c>
      <c r="CL79" s="511">
        <f t="shared" ca="1" si="122"/>
        <v>0</v>
      </c>
      <c r="CM79" s="511">
        <f ca="1">ROUND(CS79-IF(OR($CE79&gt;=OP!$C$24,AND(CH79=15,CF79=12),CS79=0),0,(CT79-CR79)),$CM$7)</f>
        <v>0</v>
      </c>
      <c r="CN79" s="511"/>
      <c r="CO79" s="351">
        <f t="shared" ca="1" si="103"/>
        <v>16888</v>
      </c>
      <c r="CP79" s="473">
        <f t="shared" si="104"/>
        <v>0</v>
      </c>
      <c r="CQ79" s="473">
        <f t="shared" ca="1" si="74"/>
        <v>37.338673903</v>
      </c>
      <c r="CR79" s="476">
        <f t="shared" ca="1" si="105"/>
        <v>0</v>
      </c>
      <c r="CS79" s="494">
        <f ca="1">IF(OR($Q78&lt;&gt;1,OP!$D$5+$CE79-1&lt;16,$CE79-1&lt;1),0,ROUND(ROUND(ROUND(((VLOOKUP($CE79-1,MORE_PV,5,0)/10000)*VLOOKUP($CE79,MORE_PV,$CS$5,0)),3)*VLOOKUP($CE79,more1,5,0),0)/$R78,0))</f>
        <v>0</v>
      </c>
      <c r="CT79" s="473">
        <f>IF($AW79=1,IF(N($CR79+$CS79)&lt;N($AX79)*OP!$C$50,N($CR79+$CS79),MIN(N($CR79+$CS79),N($AX79))),0)</f>
        <v>0</v>
      </c>
      <c r="CV79" s="503">
        <f t="shared" ca="1" si="106"/>
        <v>16887.573068860998</v>
      </c>
      <c r="CW79" s="503">
        <f t="shared" ca="1" si="107"/>
        <v>0</v>
      </c>
      <c r="CX79" s="503">
        <f t="shared" ca="1" si="108"/>
        <v>16923.663548526001</v>
      </c>
    </row>
    <row r="80" spans="1:102" ht="16.5" hidden="1">
      <c r="A80" s="450">
        <f ca="1">OP!$D$5+$B80-1</f>
        <v>102</v>
      </c>
      <c r="B80" s="192">
        <v>70</v>
      </c>
      <c r="C80" s="219">
        <f ca="1">ROUND(VLOOKUP(OP!$C$55,PV0,B80+2,0)*OP!$C$28,0)</f>
        <v>3376846</v>
      </c>
      <c r="D80" s="189">
        <f t="shared" ca="1" si="109"/>
        <v>3376846</v>
      </c>
      <c r="E80" s="221">
        <f t="shared" ca="1" si="110"/>
        <v>2.69E-2</v>
      </c>
      <c r="F80" s="222">
        <f t="shared" ca="1" si="111"/>
        <v>6.8999999999999999E-3</v>
      </c>
      <c r="G80" s="223">
        <f t="shared" ca="1" si="123"/>
        <v>2042175</v>
      </c>
      <c r="H80" s="224">
        <f t="shared" ca="1" si="124"/>
        <v>23849</v>
      </c>
      <c r="I80" s="450">
        <f t="shared" ca="1" si="125"/>
        <v>1</v>
      </c>
      <c r="J80" s="192">
        <f t="shared" si="75"/>
        <v>6</v>
      </c>
      <c r="K80" s="192">
        <f t="shared" si="76"/>
        <v>12</v>
      </c>
      <c r="L80" s="192">
        <f t="shared" si="69"/>
        <v>6</v>
      </c>
      <c r="M80" s="216">
        <f t="shared" ca="1" si="77"/>
        <v>0</v>
      </c>
      <c r="N80" s="216"/>
      <c r="O80" s="216"/>
      <c r="P80" s="216"/>
      <c r="Q80" s="456">
        <f t="shared" ca="1" si="78"/>
        <v>1</v>
      </c>
      <c r="R80" s="450">
        <f t="shared" ca="1" si="79"/>
        <v>1</v>
      </c>
      <c r="S80" s="191">
        <f t="shared" si="80"/>
        <v>6</v>
      </c>
      <c r="T80" s="191">
        <f t="shared" si="81"/>
        <v>12</v>
      </c>
      <c r="U80" s="191">
        <f ca="1">OP!$D$5+$S80-1</f>
        <v>38</v>
      </c>
      <c r="V80" s="191">
        <f t="shared" si="82"/>
        <v>6</v>
      </c>
      <c r="W80" s="350">
        <f ca="1">IF(Q80&lt;&gt;1,0,VLOOKUP(OP!$C$55,PVFB,$S80+2,0))</f>
        <v>29926</v>
      </c>
      <c r="X80" s="473">
        <f t="shared" ca="1" si="112"/>
        <v>7137</v>
      </c>
      <c r="Y80" s="348">
        <f t="shared" ca="1" si="113"/>
        <v>2385</v>
      </c>
      <c r="Z80" s="348">
        <f t="shared" ca="1" si="114"/>
        <v>8012</v>
      </c>
      <c r="AA80" s="348">
        <f ca="1">IF(Q80&lt;&gt;1,0,VLOOKUP(OP!$C$55,PVFB,$S80+2,0))</f>
        <v>29926</v>
      </c>
      <c r="AB80" s="488">
        <f ca="1">IF(AND(S80&lt;OP!$C$24,$U80&lt;15),0,IF(AND($U80&lt;15,$T80=12),ROUND(VLOOKUP($S80,DOWN16,5,0),3),IF($T80=12,ROUND(($Z80/10000)*$AA80,3)+IF(AND($P$7="購買增額繳清保險",T80=12,U80=110),VLOOKUP(S80,$B$10:$H$121,7,0),0),"")))</f>
        <v>23976.710999999999</v>
      </c>
      <c r="AC80" s="350">
        <f ca="1">IF(AND(S80&lt;OP!$C$24,$U80&lt;15),0,IF(AND($U80&lt;16,$T80=12),VLOOKUP($S80,DOWN16,4,0),IF($T80=12,ROUND(VLOOKUP(OP!$C$55,_DIE2,$S80+1,0)*(Z80/10000),0)+IF(AND($P$7="購買增額繳清保險",T80=12,U80=110),VLOOKUP(S80,$B$10:$H$121,7,0),0),"")))</f>
        <v>25514</v>
      </c>
      <c r="AD80" s="347"/>
      <c r="AE80" s="350" t="str">
        <f t="shared" ca="1" si="70"/>
        <v/>
      </c>
      <c r="AF80" s="351" t="str">
        <f t="shared" ca="1" si="71"/>
        <v/>
      </c>
      <c r="AG80" s="340"/>
      <c r="AH80" s="340"/>
      <c r="AI80" s="340"/>
      <c r="AJ80" s="340"/>
      <c r="AK80" s="340"/>
      <c r="AL80" s="340"/>
      <c r="AM80" s="340"/>
      <c r="AN80" s="191">
        <f t="shared" si="83"/>
        <v>6</v>
      </c>
      <c r="AO80" s="191">
        <f t="shared" si="84"/>
        <v>12</v>
      </c>
      <c r="AP80" s="191">
        <f ca="1">OP!$D$5+$AN80-1</f>
        <v>38</v>
      </c>
      <c r="AQ80" s="191">
        <f t="shared" si="85"/>
        <v>6</v>
      </c>
      <c r="AR80" s="352">
        <f t="shared" ca="1" si="86"/>
        <v>23985</v>
      </c>
      <c r="AS80" s="352"/>
      <c r="AT80" s="352"/>
      <c r="AU80" s="436"/>
      <c r="AV80" s="353">
        <f t="shared" ca="1" si="87"/>
        <v>1</v>
      </c>
      <c r="AW80" s="422" t="str">
        <f t="shared" si="88"/>
        <v/>
      </c>
      <c r="AX80" s="423" t="str">
        <f ca="1">IF(AND($AW80=1,$AP80&lt;16,$AN79&lt;OP!$C$24),OP!$C$49,"")</f>
        <v/>
      </c>
      <c r="AY80" s="340"/>
      <c r="AZ80" s="465">
        <f t="shared" ca="1" si="89"/>
        <v>7.3698599999999999E-5</v>
      </c>
      <c r="BA80" s="464">
        <f t="shared" ca="1" si="90"/>
        <v>2.2109589000000002E-3</v>
      </c>
      <c r="BB80" s="465">
        <f t="shared" ca="1" si="90"/>
        <v>2.2846575E-3</v>
      </c>
      <c r="BC80" s="466">
        <f t="shared" ca="1" si="91"/>
        <v>45047</v>
      </c>
      <c r="BD80" s="467">
        <f t="shared" ca="1" si="115"/>
        <v>45048</v>
      </c>
      <c r="BE80" s="467">
        <f t="shared" ca="1" si="92"/>
        <v>45077</v>
      </c>
      <c r="BF80" s="468">
        <f ca="1">IF(計算!$BC80&lt;OP!$C$3,0,BD80-BC80)</f>
        <v>1</v>
      </c>
      <c r="BG80" s="468">
        <f ca="1">IF($BE80&gt;DATE(YEAR($BD$9)+OP!$C$57,MONTH($BD$9),DAY($BD$9)),0,$BE80-$BD80+1)</f>
        <v>30</v>
      </c>
      <c r="BH80" s="469">
        <f t="shared" ca="1" si="93"/>
        <v>31</v>
      </c>
      <c r="BI80" t="str">
        <f t="shared" si="63"/>
        <v/>
      </c>
      <c r="BJ80">
        <v>11</v>
      </c>
      <c r="BN80" s="468">
        <f t="shared" si="116"/>
        <v>6</v>
      </c>
      <c r="BO80" s="468">
        <f t="shared" si="117"/>
        <v>11</v>
      </c>
      <c r="BP80" s="467">
        <f t="shared" ca="1" si="94"/>
        <v>45048</v>
      </c>
      <c r="BQ80" s="475">
        <f t="shared" ca="1" si="126"/>
        <v>38</v>
      </c>
      <c r="BR80" s="475" t="str">
        <f t="shared" si="118"/>
        <v/>
      </c>
      <c r="BS80" s="471" t="str">
        <f t="shared" si="95"/>
        <v/>
      </c>
      <c r="BT80" s="472" t="str">
        <f t="shared" si="64"/>
        <v/>
      </c>
      <c r="BU80" s="472">
        <f t="shared" ca="1" si="96"/>
        <v>0</v>
      </c>
      <c r="BV80" s="472">
        <f t="shared" ca="1" si="96"/>
        <v>0</v>
      </c>
      <c r="BW80" s="472"/>
      <c r="BX80" s="473">
        <f t="shared" ca="1" si="97"/>
        <v>0</v>
      </c>
      <c r="BY80" s="473">
        <f t="shared" si="98"/>
        <v>0</v>
      </c>
      <c r="BZ80" s="473">
        <f t="shared" ca="1" si="72"/>
        <v>0</v>
      </c>
      <c r="CA80" s="476">
        <f t="shared" ca="1" si="99"/>
        <v>0</v>
      </c>
      <c r="CB80" s="494">
        <f ca="1">IF(OR($Q79&lt;&gt;1,OP!$D$5+$BN80-1&lt;16,$BN80-1&lt;1),0,ROUND(ROUND(ROUND(((VLOOKUP($BN80-1,MORE_PV,5,0)/10000)*VLOOKUP($BN80,MORE_PV,$CB$5,0)),3)*VLOOKUP($BN80,more1,5,0),0)/$R79,0))</f>
        <v>0</v>
      </c>
      <c r="CC80" s="473">
        <f t="shared" ca="1" si="100"/>
        <v>0</v>
      </c>
      <c r="CD80" s="477"/>
      <c r="CE80" s="468">
        <f t="shared" si="119"/>
        <v>6</v>
      </c>
      <c r="CF80" s="468">
        <f t="shared" si="120"/>
        <v>11</v>
      </c>
      <c r="CG80" s="467">
        <f t="shared" ca="1" si="73"/>
        <v>45048</v>
      </c>
      <c r="CH80" s="475">
        <f t="shared" ca="1" si="127"/>
        <v>38</v>
      </c>
      <c r="CI80" s="513" t="str">
        <f t="shared" si="121"/>
        <v/>
      </c>
      <c r="CJ80" s="511">
        <f t="shared" si="101"/>
        <v>0</v>
      </c>
      <c r="CK80" s="512">
        <f t="shared" si="102"/>
        <v>0</v>
      </c>
      <c r="CL80" s="511">
        <f t="shared" ca="1" si="122"/>
        <v>0</v>
      </c>
      <c r="CM80" s="511">
        <f ca="1">ROUND(CS80-IF(OR($CE80&gt;=OP!$C$24,AND(CH80=15,CF80=12),CS80=0),0,(CT80-CR80)),$CM$7)</f>
        <v>0</v>
      </c>
      <c r="CN80" s="511"/>
      <c r="CO80" s="351">
        <f t="shared" ca="1" si="103"/>
        <v>16925</v>
      </c>
      <c r="CP80" s="473">
        <f t="shared" si="104"/>
        <v>0</v>
      </c>
      <c r="CQ80" s="473">
        <f t="shared" ca="1" si="74"/>
        <v>38.667828188000001</v>
      </c>
      <c r="CR80" s="476">
        <f t="shared" ca="1" si="105"/>
        <v>0</v>
      </c>
      <c r="CS80" s="494">
        <f ca="1">IF(OR($Q79&lt;&gt;1,OP!$D$5+$CE80-1&lt;16,$CE80-1&lt;1),0,ROUND(ROUND(ROUND(((VLOOKUP($CE80-1,MORE_PV,5,0)/10000)*VLOOKUP($CE80,MORE_PV,$CS$5,0)),3)*VLOOKUP($CE80,more1,5,0),0)/$R79,0))</f>
        <v>0</v>
      </c>
      <c r="CT80" s="473">
        <f>IF($AW80=1,IF(N($CR80+$CS80)&lt;N($AX80)*OP!$C$50,N($CR80+$CS80),MIN(N($CR80+$CS80),N($AX80))),0)</f>
        <v>0</v>
      </c>
      <c r="CV80" s="503">
        <f t="shared" ca="1" si="106"/>
        <v>16924.910798836001</v>
      </c>
      <c r="CW80" s="503">
        <f t="shared" ca="1" si="107"/>
        <v>0</v>
      </c>
      <c r="CX80" s="503">
        <f t="shared" ca="1" si="108"/>
        <v>16962.328323379999</v>
      </c>
    </row>
    <row r="81" spans="1:102" ht="16.5" hidden="1">
      <c r="A81" s="450">
        <f ca="1">OP!$D$5+$B81-1</f>
        <v>103</v>
      </c>
      <c r="B81" s="192">
        <v>71</v>
      </c>
      <c r="C81" s="219">
        <f ca="1">ROUND(VLOOKUP(OP!$C$55,PV0,B81+2,0)*OP!$C$28,0)</f>
        <v>3426316</v>
      </c>
      <c r="D81" s="189">
        <f t="shared" ca="1" si="109"/>
        <v>3426316</v>
      </c>
      <c r="E81" s="221">
        <f t="shared" ca="1" si="110"/>
        <v>2.69E-2</v>
      </c>
      <c r="F81" s="222">
        <f t="shared" ca="1" si="111"/>
        <v>6.8999999999999999E-3</v>
      </c>
      <c r="G81" s="223">
        <f t="shared" ca="1" si="123"/>
        <v>2122145</v>
      </c>
      <c r="H81" s="224">
        <f t="shared" ca="1" si="124"/>
        <v>24199</v>
      </c>
      <c r="I81" s="450">
        <f t="shared" ca="1" si="125"/>
        <v>1</v>
      </c>
      <c r="J81" s="192">
        <f t="shared" si="75"/>
        <v>7</v>
      </c>
      <c r="K81" s="192">
        <f t="shared" si="76"/>
        <v>1</v>
      </c>
      <c r="L81" s="192" t="str">
        <f t="shared" si="69"/>
        <v/>
      </c>
      <c r="M81" s="216">
        <f t="shared" ca="1" si="77"/>
        <v>0</v>
      </c>
      <c r="N81" s="216"/>
      <c r="O81" s="216"/>
      <c r="P81" s="216"/>
      <c r="Q81" s="456" t="str">
        <f t="shared" ca="1" si="78"/>
        <v/>
      </c>
      <c r="R81" s="450">
        <f t="shared" ca="1" si="79"/>
        <v>1</v>
      </c>
      <c r="S81" s="191">
        <f t="shared" si="80"/>
        <v>7</v>
      </c>
      <c r="T81" s="191">
        <f t="shared" si="81"/>
        <v>1</v>
      </c>
      <c r="U81" s="191">
        <f ca="1">OP!$D$5+$S81-1</f>
        <v>39</v>
      </c>
      <c r="V81" s="191" t="str">
        <f t="shared" si="82"/>
        <v/>
      </c>
      <c r="W81" s="350">
        <f ca="1">IF(Q81&lt;&gt;1,0,VLOOKUP(OP!$C$55,PVFB,$S81+2,0))</f>
        <v>0</v>
      </c>
      <c r="X81" s="473">
        <f t="shared" ca="1" si="112"/>
        <v>0</v>
      </c>
      <c r="Y81" s="348">
        <f t="shared" ca="1" si="113"/>
        <v>0</v>
      </c>
      <c r="Z81" s="348">
        <f t="shared" ca="1" si="114"/>
        <v>8012</v>
      </c>
      <c r="AA81" s="348">
        <f ca="1">IF(Q81&lt;&gt;1,0,VLOOKUP(OP!$C$55,PVFB,$S81+2,0))</f>
        <v>0</v>
      </c>
      <c r="AB81" s="488" t="str">
        <f ca="1">IF(AND(S81&lt;OP!$C$24,$U81&lt;15),0,IF(AND($U81&lt;15,$T81=12),ROUND(VLOOKUP($S81,DOWN16,5,0),3),IF($T81=12,ROUND(($Z81/10000)*$AA81,3)+IF(AND($P$7="購買增額繳清保險",T81=12,U81=110),VLOOKUP(S81,$B$10:$H$121,7,0),0),"")))</f>
        <v/>
      </c>
      <c r="AC81" s="350" t="str">
        <f ca="1">IF(AND(S81&lt;OP!$C$24,$U81&lt;15),0,IF(AND($U81&lt;16,$T81=12),VLOOKUP($S81,DOWN16,4,0),IF($T81=12,ROUND(VLOOKUP(OP!$C$55,_DIE2,$S81+1,0)*(Z81/10000),0)+IF(AND($P$7="購買增額繳清保險",T81=12,U81=110),VLOOKUP(S81,$B$10:$H$121,7,0),0),"")))</f>
        <v/>
      </c>
      <c r="AD81" s="347"/>
      <c r="AE81" s="350" t="str">
        <f t="shared" ca="1" si="70"/>
        <v/>
      </c>
      <c r="AF81" s="351" t="str">
        <f t="shared" ca="1" si="71"/>
        <v/>
      </c>
      <c r="AG81" s="340"/>
      <c r="AH81" s="340"/>
      <c r="AI81" s="340"/>
      <c r="AJ81" s="340"/>
      <c r="AK81" s="340"/>
      <c r="AL81" s="340"/>
      <c r="AM81" s="340"/>
      <c r="AN81" s="191">
        <f t="shared" si="83"/>
        <v>7</v>
      </c>
      <c r="AO81" s="191">
        <f t="shared" si="84"/>
        <v>1</v>
      </c>
      <c r="AP81" s="191">
        <f ca="1">OP!$D$5+$AN81-1</f>
        <v>39</v>
      </c>
      <c r="AQ81" s="191" t="str">
        <f t="shared" si="85"/>
        <v/>
      </c>
      <c r="AR81" s="352">
        <f t="shared" ca="1" si="86"/>
        <v>0</v>
      </c>
      <c r="AS81" s="352"/>
      <c r="AT81" s="352"/>
      <c r="AU81" s="436"/>
      <c r="AV81" s="353" t="str">
        <f t="shared" ca="1" si="87"/>
        <v/>
      </c>
      <c r="AW81" s="422">
        <f t="shared" si="88"/>
        <v>1</v>
      </c>
      <c r="AX81" s="423" t="str">
        <f ca="1">IF(AND($AW81=1,$AP81&lt;16,$AN80&lt;OP!$C$24),OP!$C$49,"")</f>
        <v/>
      </c>
      <c r="AY81" s="340"/>
      <c r="AZ81" s="465">
        <f t="shared" ca="1" si="89"/>
        <v>7.3698599999999999E-5</v>
      </c>
      <c r="BA81" s="464">
        <f t="shared" ca="1" si="90"/>
        <v>2.1372602999999999E-3</v>
      </c>
      <c r="BB81" s="465">
        <f t="shared" ca="1" si="90"/>
        <v>2.2109589000000002E-3</v>
      </c>
      <c r="BC81" s="466">
        <f t="shared" ca="1" si="91"/>
        <v>45078</v>
      </c>
      <c r="BD81" s="467">
        <f t="shared" ca="1" si="115"/>
        <v>45079</v>
      </c>
      <c r="BE81" s="467">
        <f t="shared" ca="1" si="92"/>
        <v>45107</v>
      </c>
      <c r="BF81" s="468">
        <f ca="1">IF(計算!$BC81&lt;OP!$C$3,0,BD81-BC81)</f>
        <v>1</v>
      </c>
      <c r="BG81" s="468">
        <f ca="1">IF($BE81&gt;DATE(YEAR($BD$9)+OP!$C$57,MONTH($BD$9),DAY($BD$9)),0,$BE81-$BD81+1)</f>
        <v>29</v>
      </c>
      <c r="BH81" s="469">
        <f t="shared" ca="1" si="93"/>
        <v>30</v>
      </c>
      <c r="BI81">
        <f t="shared" ca="1" si="63"/>
        <v>365</v>
      </c>
      <c r="BJ81">
        <v>12</v>
      </c>
      <c r="BN81" s="468">
        <f t="shared" si="116"/>
        <v>6</v>
      </c>
      <c r="BO81" s="468">
        <f t="shared" si="117"/>
        <v>12</v>
      </c>
      <c r="BP81" s="467">
        <f t="shared" ca="1" si="94"/>
        <v>45079</v>
      </c>
      <c r="BQ81" s="475">
        <f t="shared" ca="1" si="126"/>
        <v>38</v>
      </c>
      <c r="BR81" s="475">
        <f t="shared" si="118"/>
        <v>6</v>
      </c>
      <c r="BS81" s="471">
        <f t="shared" ca="1" si="95"/>
        <v>7137</v>
      </c>
      <c r="BT81" s="472">
        <f t="shared" ca="1" si="64"/>
        <v>0</v>
      </c>
      <c r="BU81" s="472">
        <f t="shared" ca="1" si="96"/>
        <v>7021</v>
      </c>
      <c r="BV81" s="472">
        <f t="shared" ca="1" si="96"/>
        <v>116</v>
      </c>
      <c r="BW81" s="472">
        <f ca="1">ROUND(SUM(BY81,BZ69:BZ80),0)</f>
        <v>0</v>
      </c>
      <c r="BX81" s="473">
        <f t="shared" ca="1" si="97"/>
        <v>0</v>
      </c>
      <c r="BY81" s="473">
        <f t="shared" ca="1" si="98"/>
        <v>0</v>
      </c>
      <c r="BZ81" s="473">
        <f t="shared" ca="1" si="72"/>
        <v>0</v>
      </c>
      <c r="CA81" s="476">
        <f t="shared" ca="1" si="99"/>
        <v>7021</v>
      </c>
      <c r="CB81" s="494">
        <f ca="1">IF(OR($Q80&lt;&gt;1,OP!$D$5+$BN81-1&lt;16,$BN81-1&lt;1),0,ROUND(ROUND(ROUND(((VLOOKUP($BN81-1,MORE_PV,5,0)/10000)*VLOOKUP($BN81,MORE_PV,$CB$5,0)),3)*VLOOKUP($BN81,more1,5,0),0)/$R80,0))</f>
        <v>116</v>
      </c>
      <c r="CC81" s="473">
        <f t="shared" ca="1" si="100"/>
        <v>7137</v>
      </c>
      <c r="CD81" s="477"/>
      <c r="CE81" s="468">
        <f t="shared" si="119"/>
        <v>6</v>
      </c>
      <c r="CF81" s="468">
        <f t="shared" si="120"/>
        <v>12</v>
      </c>
      <c r="CG81" s="467">
        <f t="shared" ca="1" si="73"/>
        <v>45079</v>
      </c>
      <c r="CH81" s="475">
        <f t="shared" ca="1" si="127"/>
        <v>38</v>
      </c>
      <c r="CI81" s="513">
        <f t="shared" si="121"/>
        <v>6</v>
      </c>
      <c r="CJ81" s="511">
        <f t="shared" ca="1" si="101"/>
        <v>7253</v>
      </c>
      <c r="CK81" s="512">
        <f t="shared" ca="1" si="102"/>
        <v>23984.578423229999</v>
      </c>
      <c r="CL81" s="511">
        <f t="shared" ca="1" si="122"/>
        <v>7137</v>
      </c>
      <c r="CM81" s="511">
        <f ca="1">ROUND(CS81-IF(OR($CE81&gt;=OP!$C$24,AND(CH81=15,CF81=12),CS81=0),0,(CT81-CR81)),$CM$7)</f>
        <v>116</v>
      </c>
      <c r="CN81" s="511">
        <f ca="1">ROUND(SUM(CP81,CQ69:CQ80),$CN$7)</f>
        <v>449.773203088</v>
      </c>
      <c r="CO81" s="351">
        <f t="shared" ca="1" si="103"/>
        <v>23985</v>
      </c>
      <c r="CP81" s="473">
        <f t="shared" ca="1" si="104"/>
        <v>1.25019857</v>
      </c>
      <c r="CQ81" s="473">
        <f t="shared" ca="1" si="74"/>
        <v>51.262188295999998</v>
      </c>
      <c r="CR81" s="476">
        <f t="shared" ca="1" si="105"/>
        <v>7021</v>
      </c>
      <c r="CS81" s="494">
        <f ca="1">IF(OR($Q80&lt;&gt;1,OP!$D$5+$CE81-1&lt;16,$CE81-1&lt;1),0,ROUND(ROUND(ROUND(((VLOOKUP($CE81-1,MORE_PV,5,0)/10000)*VLOOKUP($CE81,MORE_PV,$CS$5,0)),3)*VLOOKUP($CE81,more1,5,0),0)/$R80,0))</f>
        <v>116</v>
      </c>
      <c r="CT81" s="473">
        <f ca="1">IF($AW81=1,IF(N($CR81+$CS81)&lt;N($AX81)*OP!$C$50,N($CR81+$CS81),MIN(N($CR81+$CS81),N($AX81))),0)</f>
        <v>0</v>
      </c>
      <c r="CV81" s="503">
        <f t="shared" ca="1" si="106"/>
        <v>23984.578423229999</v>
      </c>
      <c r="CW81" s="503">
        <f t="shared" ca="1" si="107"/>
        <v>7036.0057045659996</v>
      </c>
      <c r="CX81" s="503">
        <f t="shared" ca="1" si="108"/>
        <v>24035.837038717</v>
      </c>
    </row>
    <row r="82" spans="1:102" ht="16.5" hidden="1">
      <c r="A82" s="450">
        <f ca="1">OP!$D$5+$B82-1</f>
        <v>104</v>
      </c>
      <c r="B82" s="192">
        <v>72</v>
      </c>
      <c r="C82" s="219">
        <f ca="1">ROUND(VLOOKUP(OP!$C$55,PV0,B82+2,0)*OP!$C$28,0)</f>
        <v>3475854</v>
      </c>
      <c r="D82" s="189">
        <f t="shared" ca="1" si="109"/>
        <v>3475854</v>
      </c>
      <c r="E82" s="221">
        <f t="shared" ca="1" si="110"/>
        <v>2.69E-2</v>
      </c>
      <c r="F82" s="222">
        <f t="shared" ca="1" si="111"/>
        <v>6.8999999999999999E-3</v>
      </c>
      <c r="G82" s="223">
        <f t="shared" ca="1" si="123"/>
        <v>2204488</v>
      </c>
      <c r="H82" s="224">
        <f t="shared" ca="1" si="124"/>
        <v>24548</v>
      </c>
      <c r="I82" s="450">
        <f t="shared" ca="1" si="125"/>
        <v>1</v>
      </c>
      <c r="J82" s="192">
        <f t="shared" si="75"/>
        <v>7</v>
      </c>
      <c r="K82" s="192">
        <f t="shared" si="76"/>
        <v>2</v>
      </c>
      <c r="L82" s="192" t="str">
        <f t="shared" si="69"/>
        <v/>
      </c>
      <c r="M82" s="216">
        <f t="shared" ca="1" si="77"/>
        <v>0</v>
      </c>
      <c r="N82" s="216"/>
      <c r="O82" s="216"/>
      <c r="P82" s="216"/>
      <c r="Q82" s="456" t="str">
        <f t="shared" ca="1" si="78"/>
        <v/>
      </c>
      <c r="R82" s="450">
        <f t="shared" ca="1" si="79"/>
        <v>1</v>
      </c>
      <c r="S82" s="191">
        <f t="shared" si="80"/>
        <v>7</v>
      </c>
      <c r="T82" s="191">
        <f t="shared" si="81"/>
        <v>2</v>
      </c>
      <c r="U82" s="191">
        <f ca="1">OP!$D$5+$S82-1</f>
        <v>39</v>
      </c>
      <c r="V82" s="191" t="str">
        <f t="shared" si="82"/>
        <v/>
      </c>
      <c r="W82" s="350">
        <f ca="1">IF(Q82&lt;&gt;1,0,VLOOKUP(OP!$C$55,PVFB,$S82+2,0))</f>
        <v>0</v>
      </c>
      <c r="X82" s="473">
        <f t="shared" ca="1" si="112"/>
        <v>0</v>
      </c>
      <c r="Y82" s="348">
        <f t="shared" ca="1" si="113"/>
        <v>0</v>
      </c>
      <c r="Z82" s="348">
        <f t="shared" ca="1" si="114"/>
        <v>8012</v>
      </c>
      <c r="AA82" s="348">
        <f ca="1">IF(Q82&lt;&gt;1,0,VLOOKUP(OP!$C$55,PVFB,$S82+2,0))</f>
        <v>0</v>
      </c>
      <c r="AB82" s="488" t="str">
        <f ca="1">IF(AND(S82&lt;OP!$C$24,$U82&lt;15),0,IF(AND($U82&lt;15,$T82=12),ROUND(VLOOKUP($S82,DOWN16,5,0),3),IF($T82=12,ROUND(($Z82/10000)*$AA82,3)+IF(AND($P$7="購買增額繳清保險",T82=12,U82=110),VLOOKUP(S82,$B$10:$H$121,7,0),0),"")))</f>
        <v/>
      </c>
      <c r="AC82" s="350" t="str">
        <f ca="1">IF(AND(S82&lt;OP!$C$24,$U82&lt;15),0,IF(AND($U82&lt;16,$T82=12),VLOOKUP($S82,DOWN16,4,0),IF($T82=12,ROUND(VLOOKUP(OP!$C$55,_DIE2,$S82+1,0)*(Z82/10000),0)+IF(AND($P$7="購買增額繳清保險",T82=12,U82=110),VLOOKUP(S82,$B$10:$H$121,7,0),0),"")))</f>
        <v/>
      </c>
      <c r="AD82" s="347"/>
      <c r="AE82" s="350" t="str">
        <f t="shared" ca="1" si="70"/>
        <v/>
      </c>
      <c r="AF82" s="351" t="str">
        <f t="shared" ca="1" si="71"/>
        <v/>
      </c>
      <c r="AG82" s="340"/>
      <c r="AH82" s="340"/>
      <c r="AI82" s="340"/>
      <c r="AJ82" s="340"/>
      <c r="AK82" s="340"/>
      <c r="AL82" s="340"/>
      <c r="AM82" s="340"/>
      <c r="AN82" s="191">
        <f t="shared" si="83"/>
        <v>7</v>
      </c>
      <c r="AO82" s="191">
        <f t="shared" si="84"/>
        <v>2</v>
      </c>
      <c r="AP82" s="191">
        <f ca="1">OP!$D$5+$AN82-1</f>
        <v>39</v>
      </c>
      <c r="AQ82" s="191" t="str">
        <f t="shared" si="85"/>
        <v/>
      </c>
      <c r="AR82" s="352">
        <f t="shared" ca="1" si="86"/>
        <v>0</v>
      </c>
      <c r="AS82" s="352"/>
      <c r="AT82" s="352"/>
      <c r="AU82" s="436"/>
      <c r="AV82" s="353" t="str">
        <f t="shared" ca="1" si="87"/>
        <v/>
      </c>
      <c r="AW82" s="422" t="str">
        <f t="shared" si="88"/>
        <v/>
      </c>
      <c r="AX82" s="423" t="str">
        <f ca="1">IF(AND($AW82=1,$AP82&lt;16,$AN81&lt;OP!$C$24),OP!$C$49,"")</f>
        <v/>
      </c>
      <c r="AY82" s="340"/>
      <c r="AZ82" s="465">
        <f t="shared" ca="1" si="89"/>
        <v>7.3698599999999999E-5</v>
      </c>
      <c r="BA82" s="464">
        <f t="shared" ca="1" si="90"/>
        <v>2.2109589000000002E-3</v>
      </c>
      <c r="BB82" s="465">
        <f t="shared" ca="1" si="90"/>
        <v>2.2846575E-3</v>
      </c>
      <c r="BC82" s="466">
        <f t="shared" ca="1" si="91"/>
        <v>45108</v>
      </c>
      <c r="BD82" s="467">
        <f t="shared" ca="1" si="115"/>
        <v>45109</v>
      </c>
      <c r="BE82" s="467">
        <f t="shared" ca="1" si="92"/>
        <v>45138</v>
      </c>
      <c r="BF82" s="468">
        <f ca="1">IF(計算!$BC82&lt;OP!$C$3,0,BD82-BC82)</f>
        <v>1</v>
      </c>
      <c r="BG82" s="468">
        <f ca="1">IF($BE82&gt;DATE(YEAR($BD$9)+OP!$C$57,MONTH($BD$9),DAY($BD$9)),0,$BE82-$BD82+1)</f>
        <v>30</v>
      </c>
      <c r="BH82" s="469">
        <f t="shared" ca="1" si="93"/>
        <v>31</v>
      </c>
      <c r="BI82" t="str">
        <f t="shared" si="63"/>
        <v/>
      </c>
      <c r="BJ82">
        <v>1</v>
      </c>
      <c r="BN82" s="468">
        <f t="shared" si="116"/>
        <v>7</v>
      </c>
      <c r="BO82" s="468">
        <f t="shared" si="117"/>
        <v>1</v>
      </c>
      <c r="BP82" s="467">
        <f t="shared" ca="1" si="94"/>
        <v>45109</v>
      </c>
      <c r="BQ82" s="475">
        <f t="shared" ca="1" si="126"/>
        <v>39</v>
      </c>
      <c r="BR82" s="475" t="str">
        <f t="shared" si="118"/>
        <v/>
      </c>
      <c r="BS82" s="471" t="str">
        <f t="shared" si="95"/>
        <v/>
      </c>
      <c r="BT82" s="472" t="str">
        <f t="shared" si="64"/>
        <v/>
      </c>
      <c r="BU82" s="472">
        <f t="shared" ca="1" si="96"/>
        <v>0</v>
      </c>
      <c r="BV82" s="472">
        <f t="shared" ca="1" si="96"/>
        <v>0</v>
      </c>
      <c r="BW82" s="472"/>
      <c r="BX82" s="473">
        <f t="shared" ca="1" si="97"/>
        <v>0</v>
      </c>
      <c r="BY82" s="473">
        <f t="shared" si="98"/>
        <v>0</v>
      </c>
      <c r="BZ82" s="473">
        <f t="shared" ca="1" si="72"/>
        <v>0</v>
      </c>
      <c r="CA82" s="476">
        <f t="shared" ca="1" si="99"/>
        <v>0</v>
      </c>
      <c r="CB82" s="494">
        <f ca="1">IF(OR($Q81&lt;&gt;1,OP!$D$5+$BN82-1&lt;16,$BN82-1&lt;1),0,ROUND(ROUND(ROUND(((VLOOKUP($BN82-1,MORE_PV,5,0)/10000)*VLOOKUP($BN82,MORE_PV,$CB$5,0)),3)*VLOOKUP($BN82,more1,5,0),0)/$R81,0))</f>
        <v>0</v>
      </c>
      <c r="CC82" s="473">
        <f t="shared" ca="1" si="100"/>
        <v>0</v>
      </c>
      <c r="CD82" s="477"/>
      <c r="CE82" s="468">
        <f t="shared" si="119"/>
        <v>7</v>
      </c>
      <c r="CF82" s="468">
        <f t="shared" si="120"/>
        <v>1</v>
      </c>
      <c r="CG82" s="467">
        <f t="shared" ca="1" si="73"/>
        <v>45109</v>
      </c>
      <c r="CH82" s="475">
        <f t="shared" ca="1" si="127"/>
        <v>39</v>
      </c>
      <c r="CI82" s="513" t="str">
        <f t="shared" si="121"/>
        <v/>
      </c>
      <c r="CJ82" s="511">
        <f t="shared" si="101"/>
        <v>0</v>
      </c>
      <c r="CK82" s="512">
        <f t="shared" si="102"/>
        <v>0</v>
      </c>
      <c r="CL82" s="511">
        <f t="shared" ca="1" si="122"/>
        <v>0</v>
      </c>
      <c r="CM82" s="511">
        <f ca="1">ROUND(CS82-IF(OR($CE82&gt;=OP!$C$24,AND(CH82=15,CF82=12),CS82=0),0,(CT82-CR82)),$CM$7)</f>
        <v>0</v>
      </c>
      <c r="CN82" s="511"/>
      <c r="CO82" s="351">
        <f t="shared" ca="1" si="103"/>
        <v>24038</v>
      </c>
      <c r="CP82" s="473">
        <f t="shared" si="104"/>
        <v>0</v>
      </c>
      <c r="CQ82" s="473">
        <f t="shared" ca="1" si="74"/>
        <v>54.918596985000001</v>
      </c>
      <c r="CR82" s="476">
        <f t="shared" ca="1" si="105"/>
        <v>0</v>
      </c>
      <c r="CS82" s="494">
        <f ca="1">IF(OR($Q81&lt;&gt;1,OP!$D$5+$CE82-1&lt;16,$CE82-1&lt;1),0,ROUND(ROUND(ROUND(((VLOOKUP($CE82-1,MORE_PV,5,0)/10000)*VLOOKUP($CE82,MORE_PV,$CS$5,0)),3)*VLOOKUP($CE82,more1,5,0),0)/$R81,0))</f>
        <v>0</v>
      </c>
      <c r="CT82" s="473">
        <f>IF($AW82=1,IF(N($CR82+$CS82)&lt;N($AX82)*OP!$C$50,N($CR82+$CS82),MIN(N($CR82+$CS82),N($AX82))),0)</f>
        <v>0</v>
      </c>
      <c r="CV82" s="503">
        <f t="shared" ca="1" si="106"/>
        <v>24037.608446257</v>
      </c>
      <c r="CW82" s="503">
        <f t="shared" ca="1" si="107"/>
        <v>0</v>
      </c>
      <c r="CX82" s="503">
        <f t="shared" ca="1" si="108"/>
        <v>24090.750694075999</v>
      </c>
    </row>
    <row r="83" spans="1:102" ht="16.5" hidden="1">
      <c r="A83" s="450">
        <f ca="1">OP!$D$5+$B83-1</f>
        <v>105</v>
      </c>
      <c r="B83" s="192">
        <v>73</v>
      </c>
      <c r="C83" s="219">
        <f ca="1">ROUND(VLOOKUP(OP!$C$55,PV0,B83+2,0)*OP!$C$28,0)</f>
        <v>3525426</v>
      </c>
      <c r="D83" s="189">
        <f t="shared" ca="1" si="109"/>
        <v>3525426</v>
      </c>
      <c r="E83" s="221">
        <f t="shared" ca="1" si="110"/>
        <v>2.69E-2</v>
      </c>
      <c r="F83" s="222">
        <f t="shared" ca="1" si="111"/>
        <v>6.8999999999999999E-3</v>
      </c>
      <c r="G83" s="223">
        <f t="shared" ca="1" si="123"/>
        <v>2289424</v>
      </c>
      <c r="H83" s="224">
        <f t="shared" ca="1" si="124"/>
        <v>24898</v>
      </c>
      <c r="I83" s="450">
        <f t="shared" ca="1" si="125"/>
        <v>1</v>
      </c>
      <c r="J83" s="192">
        <f t="shared" si="75"/>
        <v>7</v>
      </c>
      <c r="K83" s="192">
        <f t="shared" si="76"/>
        <v>3</v>
      </c>
      <c r="L83" s="192" t="str">
        <f t="shared" si="69"/>
        <v/>
      </c>
      <c r="M83" s="216">
        <f t="shared" ca="1" si="77"/>
        <v>0</v>
      </c>
      <c r="N83" s="216"/>
      <c r="O83" s="216"/>
      <c r="P83" s="216"/>
      <c r="Q83" s="456" t="str">
        <f t="shared" ca="1" si="78"/>
        <v/>
      </c>
      <c r="R83" s="450">
        <f t="shared" ca="1" si="79"/>
        <v>1</v>
      </c>
      <c r="S83" s="191">
        <f t="shared" si="80"/>
        <v>7</v>
      </c>
      <c r="T83" s="191">
        <f t="shared" si="81"/>
        <v>3</v>
      </c>
      <c r="U83" s="191">
        <f ca="1">OP!$D$5+$S83-1</f>
        <v>39</v>
      </c>
      <c r="V83" s="191" t="str">
        <f t="shared" si="82"/>
        <v/>
      </c>
      <c r="W83" s="350">
        <f ca="1">IF(Q83&lt;&gt;1,0,VLOOKUP(OP!$C$55,PVFB,$S83+2,0))</f>
        <v>0</v>
      </c>
      <c r="X83" s="473">
        <f t="shared" ca="1" si="112"/>
        <v>0</v>
      </c>
      <c r="Y83" s="348">
        <f t="shared" ca="1" si="113"/>
        <v>0</v>
      </c>
      <c r="Z83" s="348">
        <f t="shared" ca="1" si="114"/>
        <v>8012</v>
      </c>
      <c r="AA83" s="348">
        <f ca="1">IF(Q83&lt;&gt;1,0,VLOOKUP(OP!$C$55,PVFB,$S83+2,0))</f>
        <v>0</v>
      </c>
      <c r="AB83" s="488" t="str">
        <f ca="1">IF(AND(S83&lt;OP!$C$24,$U83&lt;15),0,IF(AND($U83&lt;15,$T83=12),ROUND(VLOOKUP($S83,DOWN16,5,0),3),IF($T83=12,ROUND(($Z83/10000)*$AA83,3)+IF(AND($P$7="購買增額繳清保險",T83=12,U83=110),VLOOKUP(S83,$B$10:$H$121,7,0),0),"")))</f>
        <v/>
      </c>
      <c r="AC83" s="350" t="str">
        <f ca="1">IF(AND(S83&lt;OP!$C$24,$U83&lt;15),0,IF(AND($U83&lt;16,$T83=12),VLOOKUP($S83,DOWN16,4,0),IF($T83=12,ROUND(VLOOKUP(OP!$C$55,_DIE2,$S83+1,0)*(Z83/10000),0)+IF(AND($P$7="購買增額繳清保險",T83=12,U83=110),VLOOKUP(S83,$B$10:$H$121,7,0),0),"")))</f>
        <v/>
      </c>
      <c r="AD83" s="347"/>
      <c r="AE83" s="350" t="str">
        <f t="shared" ca="1" si="70"/>
        <v/>
      </c>
      <c r="AF83" s="351" t="str">
        <f t="shared" ca="1" si="71"/>
        <v/>
      </c>
      <c r="AG83" s="340"/>
      <c r="AH83" s="340"/>
      <c r="AI83" s="340"/>
      <c r="AJ83" s="340"/>
      <c r="AK83" s="340"/>
      <c r="AL83" s="340"/>
      <c r="AM83" s="340"/>
      <c r="AN83" s="191">
        <f t="shared" si="83"/>
        <v>7</v>
      </c>
      <c r="AO83" s="191">
        <f t="shared" si="84"/>
        <v>3</v>
      </c>
      <c r="AP83" s="191">
        <f ca="1">OP!$D$5+$AN83-1</f>
        <v>39</v>
      </c>
      <c r="AQ83" s="191" t="str">
        <f t="shared" si="85"/>
        <v/>
      </c>
      <c r="AR83" s="352">
        <f t="shared" ca="1" si="86"/>
        <v>0</v>
      </c>
      <c r="AS83" s="352"/>
      <c r="AT83" s="352"/>
      <c r="AU83" s="436"/>
      <c r="AV83" s="353" t="str">
        <f t="shared" ca="1" si="87"/>
        <v/>
      </c>
      <c r="AW83" s="422" t="str">
        <f t="shared" si="88"/>
        <v/>
      </c>
      <c r="AX83" s="423" t="str">
        <f ca="1">IF(AND($AW83=1,$AP83&lt;16,$AN82&lt;OP!$C$24),OP!$C$49,"")</f>
        <v/>
      </c>
      <c r="AY83" s="340"/>
      <c r="AZ83" s="465">
        <f t="shared" ca="1" si="89"/>
        <v>7.3698599999999999E-5</v>
      </c>
      <c r="BA83" s="464">
        <f t="shared" ca="1" si="90"/>
        <v>2.2109589000000002E-3</v>
      </c>
      <c r="BB83" s="465">
        <f t="shared" ca="1" si="90"/>
        <v>2.2846575E-3</v>
      </c>
      <c r="BC83" s="466">
        <f t="shared" ca="1" si="91"/>
        <v>45139</v>
      </c>
      <c r="BD83" s="467">
        <f t="shared" ca="1" si="115"/>
        <v>45140</v>
      </c>
      <c r="BE83" s="467">
        <f t="shared" ca="1" si="92"/>
        <v>45169</v>
      </c>
      <c r="BF83" s="468">
        <f ca="1">IF(計算!$BC83&lt;OP!$C$3,0,BD83-BC83)</f>
        <v>1</v>
      </c>
      <c r="BG83" s="468">
        <f ca="1">IF($BE83&gt;DATE(YEAR($BD$9)+OP!$C$57,MONTH($BD$9),DAY($BD$9)),0,$BE83-$BD83+1)</f>
        <v>30</v>
      </c>
      <c r="BH83" s="469">
        <f t="shared" ca="1" si="93"/>
        <v>31</v>
      </c>
      <c r="BI83" t="str">
        <f t="shared" si="63"/>
        <v/>
      </c>
      <c r="BJ83">
        <v>2</v>
      </c>
      <c r="BN83" s="468">
        <f t="shared" si="116"/>
        <v>7</v>
      </c>
      <c r="BO83" s="468">
        <f t="shared" si="117"/>
        <v>2</v>
      </c>
      <c r="BP83" s="467">
        <f t="shared" ca="1" si="94"/>
        <v>45140</v>
      </c>
      <c r="BQ83" s="475">
        <f t="shared" ca="1" si="126"/>
        <v>39</v>
      </c>
      <c r="BR83" s="475" t="str">
        <f t="shared" si="118"/>
        <v/>
      </c>
      <c r="BS83" s="471" t="str">
        <f t="shared" si="95"/>
        <v/>
      </c>
      <c r="BT83" s="472" t="str">
        <f t="shared" si="64"/>
        <v/>
      </c>
      <c r="BU83" s="472">
        <f t="shared" ca="1" si="96"/>
        <v>0</v>
      </c>
      <c r="BV83" s="472">
        <f t="shared" ca="1" si="96"/>
        <v>0</v>
      </c>
      <c r="BW83" s="472"/>
      <c r="BX83" s="473">
        <f t="shared" ca="1" si="97"/>
        <v>0</v>
      </c>
      <c r="BY83" s="473">
        <f t="shared" si="98"/>
        <v>0</v>
      </c>
      <c r="BZ83" s="473">
        <f t="shared" ca="1" si="72"/>
        <v>0</v>
      </c>
      <c r="CA83" s="476">
        <f t="shared" ca="1" si="99"/>
        <v>0</v>
      </c>
      <c r="CB83" s="494">
        <f ca="1">IF(OR($Q82&lt;&gt;1,OP!$D$5+$BN83-1&lt;16,$BN83-1&lt;1),0,ROUND(ROUND(ROUND(((VLOOKUP($BN83-1,MORE_PV,5,0)/10000)*VLOOKUP($BN83,MORE_PV,$CB$5,0)),3)*VLOOKUP($BN83,more1,5,0),0)/$R82,0))</f>
        <v>0</v>
      </c>
      <c r="CC83" s="473">
        <f t="shared" ca="1" si="100"/>
        <v>0</v>
      </c>
      <c r="CD83" s="477"/>
      <c r="CE83" s="468">
        <f t="shared" si="119"/>
        <v>7</v>
      </c>
      <c r="CF83" s="468">
        <f t="shared" si="120"/>
        <v>2</v>
      </c>
      <c r="CG83" s="467">
        <f t="shared" ca="1" si="73"/>
        <v>45140</v>
      </c>
      <c r="CH83" s="475">
        <f t="shared" ca="1" si="127"/>
        <v>39</v>
      </c>
      <c r="CI83" s="513" t="str">
        <f t="shared" si="121"/>
        <v/>
      </c>
      <c r="CJ83" s="511">
        <f t="shared" si="101"/>
        <v>0</v>
      </c>
      <c r="CK83" s="512">
        <f t="shared" si="102"/>
        <v>0</v>
      </c>
      <c r="CL83" s="511">
        <f t="shared" ca="1" si="122"/>
        <v>0</v>
      </c>
      <c r="CM83" s="511">
        <f ca="1">ROUND(CS83-IF(OR($CE83&gt;=OP!$C$24,AND(CH83=15,CF83=12),CS83=0),0,(CT83-CR83)),$CM$7)</f>
        <v>0</v>
      </c>
      <c r="CN83" s="511"/>
      <c r="CO83" s="351">
        <f t="shared" ca="1" si="103"/>
        <v>24093</v>
      </c>
      <c r="CP83" s="473">
        <f t="shared" si="104"/>
        <v>0</v>
      </c>
      <c r="CQ83" s="473">
        <f t="shared" ca="1" si="74"/>
        <v>55.044253148000003</v>
      </c>
      <c r="CR83" s="476">
        <f t="shared" ca="1" si="105"/>
        <v>0</v>
      </c>
      <c r="CS83" s="494">
        <f ca="1">IF(OR($Q82&lt;&gt;1,OP!$D$5+$CE83-1&lt;16,$CE83-1&lt;1),0,ROUND(ROUND(ROUND(((VLOOKUP($CE83-1,MORE_PV,5,0)/10000)*VLOOKUP($CE83,MORE_PV,$CS$5,0)),3)*VLOOKUP($CE83,more1,5,0),0)/$R82,0))</f>
        <v>0</v>
      </c>
      <c r="CT83" s="473">
        <f>IF($AW83=1,IF(N($CR83+$CS83)&lt;N($AX83)*OP!$C$50,N($CR83+$CS83),MIN(N($CR83+$CS83),N($AX83))),0)</f>
        <v>0</v>
      </c>
      <c r="CV83" s="503">
        <f t="shared" ca="1" si="106"/>
        <v>24092.526148674999</v>
      </c>
      <c r="CW83" s="503">
        <f t="shared" ca="1" si="107"/>
        <v>0</v>
      </c>
      <c r="CX83" s="503">
        <f t="shared" ca="1" si="108"/>
        <v>24145.789808329999</v>
      </c>
    </row>
    <row r="84" spans="1:102" ht="16.5" hidden="1">
      <c r="A84" s="450">
        <f ca="1">OP!$D$5+$B84-1</f>
        <v>106</v>
      </c>
      <c r="B84" s="192">
        <v>74</v>
      </c>
      <c r="C84" s="219">
        <f ca="1">ROUND(VLOOKUP(OP!$C$55,PV0,B84+2,0)*OP!$C$28,0)</f>
        <v>3575100</v>
      </c>
      <c r="D84" s="189">
        <f t="shared" ca="1" si="109"/>
        <v>3575100</v>
      </c>
      <c r="E84" s="221">
        <f t="shared" ca="1" si="110"/>
        <v>2.69E-2</v>
      </c>
      <c r="F84" s="222">
        <f t="shared" ca="1" si="111"/>
        <v>6.8999999999999999E-3</v>
      </c>
      <c r="G84" s="223">
        <f t="shared" ca="1" si="123"/>
        <v>2377024</v>
      </c>
      <c r="H84" s="224">
        <f t="shared" ca="1" si="124"/>
        <v>25249</v>
      </c>
      <c r="I84" s="450">
        <f t="shared" ca="1" si="125"/>
        <v>1</v>
      </c>
      <c r="J84" s="192">
        <f t="shared" si="75"/>
        <v>7</v>
      </c>
      <c r="K84" s="192">
        <f t="shared" si="76"/>
        <v>4</v>
      </c>
      <c r="L84" s="192" t="str">
        <f t="shared" si="69"/>
        <v/>
      </c>
      <c r="M84" s="216">
        <f t="shared" ca="1" si="77"/>
        <v>0</v>
      </c>
      <c r="N84" s="216"/>
      <c r="O84" s="216"/>
      <c r="P84" s="216"/>
      <c r="Q84" s="456" t="str">
        <f t="shared" ca="1" si="78"/>
        <v/>
      </c>
      <c r="R84" s="450">
        <f t="shared" ca="1" si="79"/>
        <v>1</v>
      </c>
      <c r="S84" s="191">
        <f t="shared" si="80"/>
        <v>7</v>
      </c>
      <c r="T84" s="191">
        <f t="shared" si="81"/>
        <v>4</v>
      </c>
      <c r="U84" s="191">
        <f ca="1">OP!$D$5+$S84-1</f>
        <v>39</v>
      </c>
      <c r="V84" s="191" t="str">
        <f t="shared" si="82"/>
        <v/>
      </c>
      <c r="W84" s="350">
        <f ca="1">IF(Q84&lt;&gt;1,0,VLOOKUP(OP!$C$55,PVFB,$S84+2,0))</f>
        <v>0</v>
      </c>
      <c r="X84" s="473">
        <f t="shared" ca="1" si="112"/>
        <v>0</v>
      </c>
      <c r="Y84" s="348">
        <f t="shared" ca="1" si="113"/>
        <v>0</v>
      </c>
      <c r="Z84" s="348">
        <f t="shared" ca="1" si="114"/>
        <v>8012</v>
      </c>
      <c r="AA84" s="348">
        <f ca="1">IF(Q84&lt;&gt;1,0,VLOOKUP(OP!$C$55,PVFB,$S84+2,0))</f>
        <v>0</v>
      </c>
      <c r="AB84" s="488" t="str">
        <f ca="1">IF(AND(S84&lt;OP!$C$24,$U84&lt;15),0,IF(AND($U84&lt;15,$T84=12),ROUND(VLOOKUP($S84,DOWN16,5,0),3),IF($T84=12,ROUND(($Z84/10000)*$AA84,3)+IF(AND($P$7="購買增額繳清保險",T84=12,U84=110),VLOOKUP(S84,$B$10:$H$121,7,0),0),"")))</f>
        <v/>
      </c>
      <c r="AC84" s="350" t="str">
        <f ca="1">IF(AND(S84&lt;OP!$C$24,$U84&lt;15),0,IF(AND($U84&lt;16,$T84=12),VLOOKUP($S84,DOWN16,4,0),IF($T84=12,ROUND(VLOOKUP(OP!$C$55,_DIE2,$S84+1,0)*(Z84/10000),0)+IF(AND($P$7="購買增額繳清保險",T84=12,U84=110),VLOOKUP(S84,$B$10:$H$121,7,0),0),"")))</f>
        <v/>
      </c>
      <c r="AD84" s="347"/>
      <c r="AE84" s="350" t="str">
        <f t="shared" ca="1" si="70"/>
        <v/>
      </c>
      <c r="AF84" s="351" t="str">
        <f t="shared" ca="1" si="71"/>
        <v/>
      </c>
      <c r="AG84" s="340"/>
      <c r="AH84" s="340"/>
      <c r="AI84" s="340"/>
      <c r="AJ84" s="340"/>
      <c r="AK84" s="340"/>
      <c r="AL84" s="340"/>
      <c r="AM84" s="340"/>
      <c r="AN84" s="191">
        <f t="shared" si="83"/>
        <v>7</v>
      </c>
      <c r="AO84" s="191">
        <f t="shared" si="84"/>
        <v>4</v>
      </c>
      <c r="AP84" s="191">
        <f ca="1">OP!$D$5+$AN84-1</f>
        <v>39</v>
      </c>
      <c r="AQ84" s="191" t="str">
        <f t="shared" si="85"/>
        <v/>
      </c>
      <c r="AR84" s="352">
        <f t="shared" ca="1" si="86"/>
        <v>0</v>
      </c>
      <c r="AS84" s="352"/>
      <c r="AT84" s="352"/>
      <c r="AU84" s="436"/>
      <c r="AV84" s="353" t="str">
        <f t="shared" ca="1" si="87"/>
        <v/>
      </c>
      <c r="AW84" s="422" t="str">
        <f t="shared" si="88"/>
        <v/>
      </c>
      <c r="AX84" s="423" t="str">
        <f ca="1">IF(AND($AW84=1,$AP84&lt;16,$AN83&lt;OP!$C$24),OP!$C$49,"")</f>
        <v/>
      </c>
      <c r="AY84" s="340"/>
      <c r="AZ84" s="465">
        <f t="shared" ca="1" si="89"/>
        <v>7.3698599999999999E-5</v>
      </c>
      <c r="BA84" s="464">
        <f t="shared" ca="1" si="90"/>
        <v>2.1372602999999999E-3</v>
      </c>
      <c r="BB84" s="465">
        <f t="shared" ca="1" si="90"/>
        <v>2.2109589000000002E-3</v>
      </c>
      <c r="BC84" s="466">
        <f t="shared" ca="1" si="91"/>
        <v>45170</v>
      </c>
      <c r="BD84" s="467">
        <f t="shared" ca="1" si="115"/>
        <v>45171</v>
      </c>
      <c r="BE84" s="467">
        <f t="shared" ca="1" si="92"/>
        <v>45199</v>
      </c>
      <c r="BF84" s="468">
        <f ca="1">IF(計算!$BC84&lt;OP!$C$3,0,BD84-BC84)</f>
        <v>1</v>
      </c>
      <c r="BG84" s="468">
        <f ca="1">IF($BE84&gt;DATE(YEAR($BD$9)+OP!$C$57,MONTH($BD$9),DAY($BD$9)),0,$BE84-$BD84+1)</f>
        <v>29</v>
      </c>
      <c r="BH84" s="469">
        <f t="shared" ca="1" si="93"/>
        <v>30</v>
      </c>
      <c r="BI84" t="str">
        <f t="shared" si="63"/>
        <v/>
      </c>
      <c r="BJ84">
        <v>3</v>
      </c>
      <c r="BN84" s="468">
        <f t="shared" si="116"/>
        <v>7</v>
      </c>
      <c r="BO84" s="468">
        <f t="shared" si="117"/>
        <v>3</v>
      </c>
      <c r="BP84" s="467">
        <f t="shared" ca="1" si="94"/>
        <v>45171</v>
      </c>
      <c r="BQ84" s="475">
        <f t="shared" ca="1" si="126"/>
        <v>39</v>
      </c>
      <c r="BR84" s="475" t="str">
        <f t="shared" si="118"/>
        <v/>
      </c>
      <c r="BS84" s="471" t="str">
        <f t="shared" si="95"/>
        <v/>
      </c>
      <c r="BT84" s="472" t="str">
        <f t="shared" si="64"/>
        <v/>
      </c>
      <c r="BU84" s="472">
        <f t="shared" ca="1" si="96"/>
        <v>0</v>
      </c>
      <c r="BV84" s="472">
        <f t="shared" ca="1" si="96"/>
        <v>0</v>
      </c>
      <c r="BW84" s="472"/>
      <c r="BX84" s="473">
        <f t="shared" ca="1" si="97"/>
        <v>0</v>
      </c>
      <c r="BY84" s="473">
        <f t="shared" si="98"/>
        <v>0</v>
      </c>
      <c r="BZ84" s="473">
        <f t="shared" ca="1" si="72"/>
        <v>0</v>
      </c>
      <c r="CA84" s="476">
        <f t="shared" ca="1" si="99"/>
        <v>0</v>
      </c>
      <c r="CB84" s="494">
        <f ca="1">IF(OR($Q83&lt;&gt;1,OP!$D$5+$BN84-1&lt;16,$BN84-1&lt;1),0,ROUND(ROUND(ROUND(((VLOOKUP($BN84-1,MORE_PV,5,0)/10000)*VLOOKUP($BN84,MORE_PV,$CB$5,0)),3)*VLOOKUP($BN84,more1,5,0),0)/$R83,0))</f>
        <v>0</v>
      </c>
      <c r="CC84" s="473">
        <f t="shared" ca="1" si="100"/>
        <v>0</v>
      </c>
      <c r="CD84" s="477"/>
      <c r="CE84" s="468">
        <f t="shared" si="119"/>
        <v>7</v>
      </c>
      <c r="CF84" s="468">
        <f t="shared" si="120"/>
        <v>3</v>
      </c>
      <c r="CG84" s="467">
        <f t="shared" ca="1" si="73"/>
        <v>45171</v>
      </c>
      <c r="CH84" s="475">
        <f t="shared" ca="1" si="127"/>
        <v>39</v>
      </c>
      <c r="CI84" s="513" t="str">
        <f t="shared" si="121"/>
        <v/>
      </c>
      <c r="CJ84" s="511">
        <f t="shared" si="101"/>
        <v>0</v>
      </c>
      <c r="CK84" s="512">
        <f t="shared" si="102"/>
        <v>0</v>
      </c>
      <c r="CL84" s="511">
        <f t="shared" ca="1" si="122"/>
        <v>0</v>
      </c>
      <c r="CM84" s="511">
        <f ca="1">ROUND(CS84-IF(OR($CE84&gt;=OP!$C$24,AND(CH84=15,CF84=12),CS84=0),0,(CT84-CR84)),$CM$7)</f>
        <v>0</v>
      </c>
      <c r="CN84" s="511"/>
      <c r="CO84" s="351">
        <f t="shared" ca="1" si="103"/>
        <v>24148</v>
      </c>
      <c r="CP84" s="473">
        <f t="shared" si="104"/>
        <v>0</v>
      </c>
      <c r="CQ84" s="473">
        <f t="shared" ca="1" si="74"/>
        <v>53.390235517000001</v>
      </c>
      <c r="CR84" s="476">
        <f t="shared" ca="1" si="105"/>
        <v>0</v>
      </c>
      <c r="CS84" s="494">
        <f ca="1">IF(OR($Q83&lt;&gt;1,OP!$D$5+$CE84-1&lt;16,$CE84-1&lt;1),0,ROUND(ROUND(ROUND(((VLOOKUP($CE84-1,MORE_PV,5,0)/10000)*VLOOKUP($CE84,MORE_PV,$CS$5,0)),3)*VLOOKUP($CE84,more1,5,0),0)/$R83,0))</f>
        <v>0</v>
      </c>
      <c r="CT84" s="473">
        <f>IF($AW84=1,IF(N($CR84+$CS84)&lt;N($AX84)*OP!$C$50,N($CR84+$CS84),MIN(N($CR84+$CS84),N($AX84))),0)</f>
        <v>0</v>
      </c>
      <c r="CV84" s="503">
        <f t="shared" ca="1" si="106"/>
        <v>24147.569319235001</v>
      </c>
      <c r="CW84" s="503">
        <f t="shared" ca="1" si="107"/>
        <v>0</v>
      </c>
      <c r="CX84" s="503">
        <f t="shared" ca="1" si="108"/>
        <v>24199.175157204001</v>
      </c>
    </row>
    <row r="85" spans="1:102" ht="16.5" hidden="1">
      <c r="A85" s="450">
        <f ca="1">OP!$D$5+$B85-1</f>
        <v>107</v>
      </c>
      <c r="B85" s="192">
        <v>75</v>
      </c>
      <c r="C85" s="219">
        <f ca="1">ROUND(VLOOKUP(OP!$C$55,PV0,B85+2,0)*OP!$C$28,0)</f>
        <v>3625046</v>
      </c>
      <c r="D85" s="189">
        <f t="shared" ca="1" si="109"/>
        <v>3625046</v>
      </c>
      <c r="E85" s="221">
        <f t="shared" ca="1" si="110"/>
        <v>2.69E-2</v>
      </c>
      <c r="F85" s="222">
        <f t="shared" ca="1" si="111"/>
        <v>6.8999999999999999E-3</v>
      </c>
      <c r="G85" s="223">
        <f t="shared" ca="1" si="123"/>
        <v>2467542</v>
      </c>
      <c r="H85" s="224">
        <f t="shared" ca="1" si="124"/>
        <v>25602</v>
      </c>
      <c r="I85" s="450">
        <f t="shared" ca="1" si="125"/>
        <v>1</v>
      </c>
      <c r="J85" s="192">
        <f t="shared" si="75"/>
        <v>7</v>
      </c>
      <c r="K85" s="192">
        <f t="shared" si="76"/>
        <v>5</v>
      </c>
      <c r="L85" s="192" t="str">
        <f t="shared" si="69"/>
        <v/>
      </c>
      <c r="M85" s="216">
        <f t="shared" ca="1" si="77"/>
        <v>0</v>
      </c>
      <c r="N85" s="216"/>
      <c r="O85" s="216"/>
      <c r="P85" s="216"/>
      <c r="Q85" s="456" t="str">
        <f t="shared" ca="1" si="78"/>
        <v/>
      </c>
      <c r="R85" s="450">
        <f t="shared" ca="1" si="79"/>
        <v>1</v>
      </c>
      <c r="S85" s="191">
        <f t="shared" si="80"/>
        <v>7</v>
      </c>
      <c r="T85" s="191">
        <f t="shared" si="81"/>
        <v>5</v>
      </c>
      <c r="U85" s="191">
        <f ca="1">OP!$D$5+$S85-1</f>
        <v>39</v>
      </c>
      <c r="V85" s="191" t="str">
        <f t="shared" si="82"/>
        <v/>
      </c>
      <c r="W85" s="350">
        <f ca="1">IF(Q85&lt;&gt;1,0,VLOOKUP(OP!$C$55,PVFB,$S85+2,0))</f>
        <v>0</v>
      </c>
      <c r="X85" s="473">
        <f t="shared" ca="1" si="112"/>
        <v>0</v>
      </c>
      <c r="Y85" s="348">
        <f t="shared" ca="1" si="113"/>
        <v>0</v>
      </c>
      <c r="Z85" s="348">
        <f t="shared" ca="1" si="114"/>
        <v>8012</v>
      </c>
      <c r="AA85" s="348">
        <f ca="1">IF(Q85&lt;&gt;1,0,VLOOKUP(OP!$C$55,PVFB,$S85+2,0))</f>
        <v>0</v>
      </c>
      <c r="AB85" s="488" t="str">
        <f ca="1">IF(AND(S85&lt;OP!$C$24,$U85&lt;15),0,IF(AND($U85&lt;15,$T85=12),ROUND(VLOOKUP($S85,DOWN16,5,0),3),IF($T85=12,ROUND(($Z85/10000)*$AA85,3)+IF(AND($P$7="購買增額繳清保險",T85=12,U85=110),VLOOKUP(S85,$B$10:$H$121,7,0),0),"")))</f>
        <v/>
      </c>
      <c r="AC85" s="350" t="str">
        <f ca="1">IF(AND(S85&lt;OP!$C$24,$U85&lt;15),0,IF(AND($U85&lt;16,$T85=12),VLOOKUP($S85,DOWN16,4,0),IF($T85=12,ROUND(VLOOKUP(OP!$C$55,_DIE2,$S85+1,0)*(Z85/10000),0)+IF(AND($P$7="購買增額繳清保險",T85=12,U85=110),VLOOKUP(S85,$B$10:$H$121,7,0),0),"")))</f>
        <v/>
      </c>
      <c r="AD85" s="347"/>
      <c r="AE85" s="350" t="str">
        <f t="shared" ca="1" si="70"/>
        <v/>
      </c>
      <c r="AF85" s="351" t="str">
        <f t="shared" ca="1" si="71"/>
        <v/>
      </c>
      <c r="AG85" s="340"/>
      <c r="AH85" s="340"/>
      <c r="AI85" s="340"/>
      <c r="AJ85" s="340"/>
      <c r="AK85" s="340"/>
      <c r="AL85" s="340"/>
      <c r="AM85" s="340"/>
      <c r="AN85" s="191">
        <f t="shared" si="83"/>
        <v>7</v>
      </c>
      <c r="AO85" s="191">
        <f t="shared" si="84"/>
        <v>5</v>
      </c>
      <c r="AP85" s="191">
        <f ca="1">OP!$D$5+$AN85-1</f>
        <v>39</v>
      </c>
      <c r="AQ85" s="191" t="str">
        <f t="shared" si="85"/>
        <v/>
      </c>
      <c r="AR85" s="352">
        <f t="shared" ca="1" si="86"/>
        <v>0</v>
      </c>
      <c r="AS85" s="352"/>
      <c r="AT85" s="352"/>
      <c r="AU85" s="436"/>
      <c r="AV85" s="353" t="str">
        <f t="shared" ca="1" si="87"/>
        <v/>
      </c>
      <c r="AW85" s="422" t="str">
        <f t="shared" si="88"/>
        <v/>
      </c>
      <c r="AX85" s="423" t="str">
        <f ca="1">IF(AND($AW85=1,$AP85&lt;16,$AN84&lt;OP!$C$24),OP!$C$49,"")</f>
        <v/>
      </c>
      <c r="AY85" s="340"/>
      <c r="AZ85" s="465">
        <f t="shared" ca="1" si="89"/>
        <v>7.3698599999999999E-5</v>
      </c>
      <c r="BA85" s="464">
        <f t="shared" ca="1" si="90"/>
        <v>2.2109589000000002E-3</v>
      </c>
      <c r="BB85" s="465">
        <f t="shared" ca="1" si="90"/>
        <v>2.2846575E-3</v>
      </c>
      <c r="BC85" s="466">
        <f t="shared" ca="1" si="91"/>
        <v>45200</v>
      </c>
      <c r="BD85" s="467">
        <f t="shared" ca="1" si="115"/>
        <v>45201</v>
      </c>
      <c r="BE85" s="467">
        <f t="shared" ca="1" si="92"/>
        <v>45230</v>
      </c>
      <c r="BF85" s="468">
        <f ca="1">IF(計算!$BC85&lt;OP!$C$3,0,BD85-BC85)</f>
        <v>1</v>
      </c>
      <c r="BG85" s="468">
        <f ca="1">IF($BE85&gt;DATE(YEAR($BD$9)+OP!$C$57,MONTH($BD$9),DAY($BD$9)),0,$BE85-$BD85+1)</f>
        <v>30</v>
      </c>
      <c r="BH85" s="469">
        <f t="shared" ca="1" si="93"/>
        <v>31</v>
      </c>
      <c r="BI85" t="str">
        <f t="shared" ref="BI85:BI148" si="128">IF(BJ85=12,BD85-BD73,"")</f>
        <v/>
      </c>
      <c r="BJ85">
        <v>4</v>
      </c>
      <c r="BN85" s="468">
        <f t="shared" si="116"/>
        <v>7</v>
      </c>
      <c r="BO85" s="468">
        <f t="shared" si="117"/>
        <v>4</v>
      </c>
      <c r="BP85" s="467">
        <f t="shared" ca="1" si="94"/>
        <v>45201</v>
      </c>
      <c r="BQ85" s="475">
        <f t="shared" ca="1" si="126"/>
        <v>39</v>
      </c>
      <c r="BR85" s="475" t="str">
        <f t="shared" si="118"/>
        <v/>
      </c>
      <c r="BS85" s="471" t="str">
        <f t="shared" si="95"/>
        <v/>
      </c>
      <c r="BT85" s="472" t="str">
        <f t="shared" si="64"/>
        <v/>
      </c>
      <c r="BU85" s="472">
        <f t="shared" ca="1" si="96"/>
        <v>0</v>
      </c>
      <c r="BV85" s="472">
        <f t="shared" ca="1" si="96"/>
        <v>0</v>
      </c>
      <c r="BW85" s="472"/>
      <c r="BX85" s="473">
        <f t="shared" ca="1" si="97"/>
        <v>0</v>
      </c>
      <c r="BY85" s="473">
        <f t="shared" si="98"/>
        <v>0</v>
      </c>
      <c r="BZ85" s="473">
        <f t="shared" ca="1" si="72"/>
        <v>0</v>
      </c>
      <c r="CA85" s="476">
        <f t="shared" ca="1" si="99"/>
        <v>0</v>
      </c>
      <c r="CB85" s="494">
        <f ca="1">IF(OR($Q84&lt;&gt;1,OP!$D$5+$BN85-1&lt;16,$BN85-1&lt;1),0,ROUND(ROUND(ROUND(((VLOOKUP($BN85-1,MORE_PV,5,0)/10000)*VLOOKUP($BN85,MORE_PV,$CB$5,0)),3)*VLOOKUP($BN85,more1,5,0),0)/$R84,0))</f>
        <v>0</v>
      </c>
      <c r="CC85" s="473">
        <f t="shared" ca="1" si="100"/>
        <v>0</v>
      </c>
      <c r="CD85" s="477"/>
      <c r="CE85" s="468">
        <f t="shared" si="119"/>
        <v>7</v>
      </c>
      <c r="CF85" s="468">
        <f t="shared" si="120"/>
        <v>4</v>
      </c>
      <c r="CG85" s="467">
        <f t="shared" ca="1" si="73"/>
        <v>45201</v>
      </c>
      <c r="CH85" s="475">
        <f t="shared" ca="1" si="127"/>
        <v>39</v>
      </c>
      <c r="CI85" s="513" t="str">
        <f t="shared" si="121"/>
        <v/>
      </c>
      <c r="CJ85" s="511">
        <f t="shared" si="101"/>
        <v>0</v>
      </c>
      <c r="CK85" s="512">
        <f t="shared" si="102"/>
        <v>0</v>
      </c>
      <c r="CL85" s="511">
        <f t="shared" ca="1" si="122"/>
        <v>0</v>
      </c>
      <c r="CM85" s="511">
        <f ca="1">ROUND(CS85-IF(OR($CE85&gt;=OP!$C$24,AND(CH85=15,CF85=12),CS85=0),0,(CT85-CR85)),$CM$7)</f>
        <v>0</v>
      </c>
      <c r="CN85" s="511"/>
      <c r="CO85" s="351">
        <f t="shared" ca="1" si="103"/>
        <v>24201</v>
      </c>
      <c r="CP85" s="473">
        <f t="shared" si="104"/>
        <v>0</v>
      </c>
      <c r="CQ85" s="473">
        <f t="shared" ca="1" si="74"/>
        <v>55.290996157999999</v>
      </c>
      <c r="CR85" s="476">
        <f t="shared" ca="1" si="105"/>
        <v>0</v>
      </c>
      <c r="CS85" s="494">
        <f ca="1">IF(OR($Q84&lt;&gt;1,OP!$D$5+$CE85-1&lt;16,$CE85-1&lt;1),0,ROUND(ROUND(ROUND(((VLOOKUP($CE85-1,MORE_PV,5,0)/10000)*VLOOKUP($CE85,MORE_PV,$CS$5,0)),3)*VLOOKUP($CE85,more1,5,0),0)/$R84,0))</f>
        <v>0</v>
      </c>
      <c r="CT85" s="473">
        <f>IF($AW85=1,IF(N($CR85+$CS85)&lt;N($AX85)*OP!$C$50,N($CR85+$CS85),MIN(N($CR85+$CS85),N($AX85))),0)</f>
        <v>0</v>
      </c>
      <c r="CV85" s="503">
        <f t="shared" ca="1" si="106"/>
        <v>24200.958602534</v>
      </c>
      <c r="CW85" s="503">
        <f t="shared" ca="1" si="107"/>
        <v>0</v>
      </c>
      <c r="CX85" s="503">
        <f t="shared" ca="1" si="108"/>
        <v>24254.461984221001</v>
      </c>
    </row>
    <row r="86" spans="1:102" ht="16.5" hidden="1">
      <c r="A86" s="450">
        <f ca="1">OP!$D$5+$B86-1</f>
        <v>108</v>
      </c>
      <c r="B86" s="192">
        <v>76</v>
      </c>
      <c r="C86" s="219">
        <f ca="1">ROUND(VLOOKUP(OP!$C$55,PV0,B86+2,0)*OP!$C$28,0)</f>
        <v>3675774</v>
      </c>
      <c r="D86" s="189">
        <f t="shared" ca="1" si="109"/>
        <v>3675774</v>
      </c>
      <c r="E86" s="221">
        <f t="shared" ca="1" si="110"/>
        <v>2.69E-2</v>
      </c>
      <c r="F86" s="222">
        <f t="shared" ca="1" si="111"/>
        <v>6.8999999999999999E-3</v>
      </c>
      <c r="G86" s="223">
        <f t="shared" ca="1" si="123"/>
        <v>2560705</v>
      </c>
      <c r="H86" s="224">
        <f t="shared" ca="1" si="124"/>
        <v>25961</v>
      </c>
      <c r="I86" s="450">
        <f t="shared" ca="1" si="125"/>
        <v>1</v>
      </c>
      <c r="J86" s="192">
        <f t="shared" si="75"/>
        <v>7</v>
      </c>
      <c r="K86" s="192">
        <f t="shared" si="76"/>
        <v>6</v>
      </c>
      <c r="L86" s="192" t="str">
        <f t="shared" si="69"/>
        <v/>
      </c>
      <c r="M86" s="216">
        <f t="shared" ca="1" si="77"/>
        <v>0</v>
      </c>
      <c r="N86" s="216"/>
      <c r="O86" s="216"/>
      <c r="P86" s="216"/>
      <c r="Q86" s="456" t="str">
        <f t="shared" ca="1" si="78"/>
        <v/>
      </c>
      <c r="R86" s="450">
        <f t="shared" ca="1" si="79"/>
        <v>1</v>
      </c>
      <c r="S86" s="191">
        <f t="shared" si="80"/>
        <v>7</v>
      </c>
      <c r="T86" s="191">
        <f t="shared" si="81"/>
        <v>6</v>
      </c>
      <c r="U86" s="191">
        <f ca="1">OP!$D$5+$S86-1</f>
        <v>39</v>
      </c>
      <c r="V86" s="191" t="str">
        <f t="shared" si="82"/>
        <v/>
      </c>
      <c r="W86" s="350">
        <f ca="1">IF(Q86&lt;&gt;1,0,VLOOKUP(OP!$C$55,PVFB,$S86+2,0))</f>
        <v>0</v>
      </c>
      <c r="X86" s="473">
        <f t="shared" ca="1" si="112"/>
        <v>0</v>
      </c>
      <c r="Y86" s="348">
        <f t="shared" ca="1" si="113"/>
        <v>0</v>
      </c>
      <c r="Z86" s="348">
        <f t="shared" ca="1" si="114"/>
        <v>8012</v>
      </c>
      <c r="AA86" s="348">
        <f ca="1">IF(Q86&lt;&gt;1,0,VLOOKUP(OP!$C$55,PVFB,$S86+2,0))</f>
        <v>0</v>
      </c>
      <c r="AB86" s="488" t="str">
        <f ca="1">IF(AND(S86&lt;OP!$C$24,$U86&lt;15),0,IF(AND($U86&lt;15,$T86=12),ROUND(VLOOKUP($S86,DOWN16,5,0),3),IF($T86=12,ROUND(($Z86/10000)*$AA86,3)+IF(AND($P$7="購買增額繳清保險",T86=12,U86=110),VLOOKUP(S86,$B$10:$H$121,7,0),0),"")))</f>
        <v/>
      </c>
      <c r="AC86" s="350" t="str">
        <f ca="1">IF(AND(S86&lt;OP!$C$24,$U86&lt;15),0,IF(AND($U86&lt;16,$T86=12),VLOOKUP($S86,DOWN16,4,0),IF($T86=12,ROUND(VLOOKUP(OP!$C$55,_DIE2,$S86+1,0)*(Z86/10000),0)+IF(AND($P$7="購買增額繳清保險",T86=12,U86=110),VLOOKUP(S86,$B$10:$H$121,7,0),0),"")))</f>
        <v/>
      </c>
      <c r="AD86" s="347"/>
      <c r="AE86" s="350" t="str">
        <f t="shared" ca="1" si="70"/>
        <v/>
      </c>
      <c r="AF86" s="351" t="str">
        <f t="shared" ca="1" si="71"/>
        <v/>
      </c>
      <c r="AG86" s="340"/>
      <c r="AH86" s="340"/>
      <c r="AI86" s="340"/>
      <c r="AJ86" s="340"/>
      <c r="AK86" s="340"/>
      <c r="AL86" s="340"/>
      <c r="AM86" s="340"/>
      <c r="AN86" s="191">
        <f t="shared" si="83"/>
        <v>7</v>
      </c>
      <c r="AO86" s="191">
        <f t="shared" si="84"/>
        <v>6</v>
      </c>
      <c r="AP86" s="191">
        <f ca="1">OP!$D$5+$AN86-1</f>
        <v>39</v>
      </c>
      <c r="AQ86" s="191" t="str">
        <f t="shared" si="85"/>
        <v/>
      </c>
      <c r="AR86" s="352">
        <f t="shared" ca="1" si="86"/>
        <v>0</v>
      </c>
      <c r="AS86" s="352"/>
      <c r="AT86" s="352"/>
      <c r="AU86" s="436"/>
      <c r="AV86" s="353" t="str">
        <f t="shared" ca="1" si="87"/>
        <v/>
      </c>
      <c r="AW86" s="422" t="str">
        <f t="shared" si="88"/>
        <v/>
      </c>
      <c r="AX86" s="423" t="str">
        <f ca="1">IF(AND($AW86=1,$AP86&lt;16,$AN85&lt;OP!$C$24),OP!$C$49,"")</f>
        <v/>
      </c>
      <c r="AY86" s="340"/>
      <c r="AZ86" s="465">
        <f t="shared" ca="1" si="89"/>
        <v>7.3698599999999999E-5</v>
      </c>
      <c r="BA86" s="464">
        <f t="shared" ca="1" si="90"/>
        <v>2.1372602999999999E-3</v>
      </c>
      <c r="BB86" s="465">
        <f t="shared" ca="1" si="90"/>
        <v>2.2109589000000002E-3</v>
      </c>
      <c r="BC86" s="466">
        <f t="shared" ca="1" si="91"/>
        <v>45231</v>
      </c>
      <c r="BD86" s="467">
        <f t="shared" ca="1" si="115"/>
        <v>45232</v>
      </c>
      <c r="BE86" s="467">
        <f t="shared" ca="1" si="92"/>
        <v>45260</v>
      </c>
      <c r="BF86" s="468">
        <f ca="1">IF(計算!$BC86&lt;OP!$C$3,0,BD86-BC86)</f>
        <v>1</v>
      </c>
      <c r="BG86" s="468">
        <f ca="1">IF($BE86&gt;DATE(YEAR($BD$9)+OP!$C$57,MONTH($BD$9),DAY($BD$9)),0,$BE86-$BD86+1)</f>
        <v>29</v>
      </c>
      <c r="BH86" s="469">
        <f t="shared" ca="1" si="93"/>
        <v>30</v>
      </c>
      <c r="BI86" t="str">
        <f t="shared" si="128"/>
        <v/>
      </c>
      <c r="BJ86">
        <v>5</v>
      </c>
      <c r="BN86" s="468">
        <f t="shared" si="116"/>
        <v>7</v>
      </c>
      <c r="BO86" s="468">
        <f t="shared" si="117"/>
        <v>5</v>
      </c>
      <c r="BP86" s="467">
        <f t="shared" ca="1" si="94"/>
        <v>45232</v>
      </c>
      <c r="BQ86" s="475">
        <f t="shared" ca="1" si="126"/>
        <v>39</v>
      </c>
      <c r="BR86" s="475" t="str">
        <f t="shared" si="118"/>
        <v/>
      </c>
      <c r="BS86" s="471" t="str">
        <f t="shared" si="95"/>
        <v/>
      </c>
      <c r="BT86" s="472" t="str">
        <f t="shared" ref="BT86:BT149" si="129">IF(BW86&lt;&gt;"",IF(BN86&gt;=$P$4+1,ROUND(BU86,0)+ROUND(BV86,0)+ROUND(BW86,0)+BT74,0),"")</f>
        <v/>
      </c>
      <c r="BU86" s="472">
        <f t="shared" ca="1" si="96"/>
        <v>0</v>
      </c>
      <c r="BV86" s="472">
        <f t="shared" ca="1" si="96"/>
        <v>0</v>
      </c>
      <c r="BW86" s="472"/>
      <c r="BX86" s="473">
        <f t="shared" ca="1" si="97"/>
        <v>0</v>
      </c>
      <c r="BY86" s="473">
        <f t="shared" si="98"/>
        <v>0</v>
      </c>
      <c r="BZ86" s="473">
        <f t="shared" ca="1" si="72"/>
        <v>0</v>
      </c>
      <c r="CA86" s="476">
        <f t="shared" ca="1" si="99"/>
        <v>0</v>
      </c>
      <c r="CB86" s="494">
        <f ca="1">IF(OR($Q85&lt;&gt;1,OP!$D$5+$BN86-1&lt;16,$BN86-1&lt;1),0,ROUND(ROUND(ROUND(((VLOOKUP($BN86-1,MORE_PV,5,0)/10000)*VLOOKUP($BN86,MORE_PV,$CB$5,0)),3)*VLOOKUP($BN86,more1,5,0),0)/$R85,0))</f>
        <v>0</v>
      </c>
      <c r="CC86" s="473">
        <f t="shared" ca="1" si="100"/>
        <v>0</v>
      </c>
      <c r="CD86" s="477"/>
      <c r="CE86" s="468">
        <f t="shared" si="119"/>
        <v>7</v>
      </c>
      <c r="CF86" s="468">
        <f t="shared" si="120"/>
        <v>5</v>
      </c>
      <c r="CG86" s="467">
        <f t="shared" ca="1" si="73"/>
        <v>45232</v>
      </c>
      <c r="CH86" s="475">
        <f t="shared" ca="1" si="127"/>
        <v>39</v>
      </c>
      <c r="CI86" s="513" t="str">
        <f t="shared" si="121"/>
        <v/>
      </c>
      <c r="CJ86" s="511">
        <f t="shared" si="101"/>
        <v>0</v>
      </c>
      <c r="CK86" s="512">
        <f t="shared" si="102"/>
        <v>0</v>
      </c>
      <c r="CL86" s="511">
        <f t="shared" ca="1" si="122"/>
        <v>0</v>
      </c>
      <c r="CM86" s="511">
        <f ca="1">ROUND(CS86-IF(OR($CE86&gt;=OP!$C$24,AND(CH86=15,CF86=12),CS86=0),0,(CT86-CR86)),$CM$7)</f>
        <v>0</v>
      </c>
      <c r="CN86" s="511"/>
      <c r="CO86" s="351">
        <f t="shared" ca="1" si="103"/>
        <v>24256</v>
      </c>
      <c r="CP86" s="473">
        <f t="shared" si="104"/>
        <v>0</v>
      </c>
      <c r="CQ86" s="473">
        <f t="shared" ca="1" si="74"/>
        <v>53.629019077999999</v>
      </c>
      <c r="CR86" s="476">
        <f t="shared" ca="1" si="105"/>
        <v>0</v>
      </c>
      <c r="CS86" s="494">
        <f ca="1">IF(OR($Q85&lt;&gt;1,OP!$D$5+$CE86-1&lt;16,$CE86-1&lt;1),0,ROUND(ROUND(ROUND(((VLOOKUP($CE86-1,MORE_PV,5,0)/10000)*VLOOKUP($CE86,MORE_PV,$CS$5,0)),3)*VLOOKUP($CE86,more1,5,0),0)/$R85,0))</f>
        <v>0</v>
      </c>
      <c r="CT86" s="473">
        <f>IF($AW86=1,IF(N($CR86+$CS86)&lt;N($AX86)*OP!$C$50,N($CR86+$CS86),MIN(N($CR86+$CS86),N($AX86))),0)</f>
        <v>0</v>
      </c>
      <c r="CV86" s="503">
        <f t="shared" ca="1" si="106"/>
        <v>24256.249504112999</v>
      </c>
      <c r="CW86" s="503">
        <f t="shared" ca="1" si="107"/>
        <v>0</v>
      </c>
      <c r="CX86" s="503">
        <f t="shared" ca="1" si="108"/>
        <v>24308.087602809999</v>
      </c>
    </row>
    <row r="87" spans="1:102" ht="16.5" hidden="1">
      <c r="A87" s="450">
        <f ca="1">OP!$D$5+$B87-1</f>
        <v>109</v>
      </c>
      <c r="B87" s="192">
        <v>77</v>
      </c>
      <c r="C87" s="219">
        <f ca="1">ROUND(VLOOKUP(OP!$C$55,PV0,B87+2,0)*OP!$C$28,0)</f>
        <v>3730072</v>
      </c>
      <c r="D87" s="189">
        <f t="shared" ca="1" si="109"/>
        <v>3730072</v>
      </c>
      <c r="E87" s="221">
        <f t="shared" ca="1" si="110"/>
        <v>2.69E-2</v>
      </c>
      <c r="F87" s="222">
        <f t="shared" ca="1" si="111"/>
        <v>6.8999999999999999E-3</v>
      </c>
      <c r="G87" s="223">
        <f t="shared" ca="1" si="123"/>
        <v>2656787</v>
      </c>
      <c r="H87" s="224">
        <f t="shared" ca="1" si="124"/>
        <v>26343</v>
      </c>
      <c r="I87" s="450">
        <f t="shared" ca="1" si="125"/>
        <v>1</v>
      </c>
      <c r="J87" s="192">
        <f t="shared" si="75"/>
        <v>7</v>
      </c>
      <c r="K87" s="192">
        <f t="shared" si="76"/>
        <v>7</v>
      </c>
      <c r="L87" s="192" t="str">
        <f t="shared" si="69"/>
        <v/>
      </c>
      <c r="M87" s="216">
        <f t="shared" ca="1" si="77"/>
        <v>0</v>
      </c>
      <c r="N87" s="216"/>
      <c r="O87" s="216"/>
      <c r="P87" s="216"/>
      <c r="Q87" s="456" t="str">
        <f t="shared" ca="1" si="78"/>
        <v/>
      </c>
      <c r="R87" s="450">
        <f t="shared" ca="1" si="79"/>
        <v>1</v>
      </c>
      <c r="S87" s="191">
        <f t="shared" si="80"/>
        <v>7</v>
      </c>
      <c r="T87" s="191">
        <f t="shared" si="81"/>
        <v>7</v>
      </c>
      <c r="U87" s="191">
        <f ca="1">OP!$D$5+$S87-1</f>
        <v>39</v>
      </c>
      <c r="V87" s="191" t="str">
        <f t="shared" si="82"/>
        <v/>
      </c>
      <c r="W87" s="350">
        <f ca="1">IF(Q87&lt;&gt;1,0,VLOOKUP(OP!$C$55,PVFB,$S87+2,0))</f>
        <v>0</v>
      </c>
      <c r="X87" s="473">
        <f t="shared" ca="1" si="112"/>
        <v>0</v>
      </c>
      <c r="Y87" s="348">
        <f t="shared" ca="1" si="113"/>
        <v>0</v>
      </c>
      <c r="Z87" s="348">
        <f t="shared" ca="1" si="114"/>
        <v>8012</v>
      </c>
      <c r="AA87" s="348">
        <f ca="1">IF(Q87&lt;&gt;1,0,VLOOKUP(OP!$C$55,PVFB,$S87+2,0))</f>
        <v>0</v>
      </c>
      <c r="AB87" s="488" t="str">
        <f ca="1">IF(AND(S87&lt;OP!$C$24,$U87&lt;15),0,IF(AND($U87&lt;15,$T87=12),ROUND(VLOOKUP($S87,DOWN16,5,0),3),IF($T87=12,ROUND(($Z87/10000)*$AA87,3)+IF(AND($P$7="購買增額繳清保險",T87=12,U87=110),VLOOKUP(S87,$B$10:$H$121,7,0),0),"")))</f>
        <v/>
      </c>
      <c r="AC87" s="350" t="str">
        <f ca="1">IF(AND(S87&lt;OP!$C$24,$U87&lt;15),0,IF(AND($U87&lt;16,$T87=12),VLOOKUP($S87,DOWN16,4,0),IF($T87=12,ROUND(VLOOKUP(OP!$C$55,_DIE2,$S87+1,0)*(Z87/10000),0)+IF(AND($P$7="購買增額繳清保險",T87=12,U87=110),VLOOKUP(S87,$B$10:$H$121,7,0),0),"")))</f>
        <v/>
      </c>
      <c r="AD87" s="347"/>
      <c r="AE87" s="350" t="str">
        <f t="shared" ca="1" si="70"/>
        <v/>
      </c>
      <c r="AF87" s="351" t="str">
        <f t="shared" ca="1" si="71"/>
        <v/>
      </c>
      <c r="AG87" s="340"/>
      <c r="AH87" s="340"/>
      <c r="AI87" s="340"/>
      <c r="AJ87" s="340"/>
      <c r="AK87" s="340"/>
      <c r="AL87" s="340"/>
      <c r="AM87" s="340"/>
      <c r="AN87" s="191">
        <f t="shared" si="83"/>
        <v>7</v>
      </c>
      <c r="AO87" s="191">
        <f t="shared" si="84"/>
        <v>7</v>
      </c>
      <c r="AP87" s="191">
        <f ca="1">OP!$D$5+$AN87-1</f>
        <v>39</v>
      </c>
      <c r="AQ87" s="191" t="str">
        <f t="shared" si="85"/>
        <v/>
      </c>
      <c r="AR87" s="352">
        <f t="shared" ca="1" si="86"/>
        <v>0</v>
      </c>
      <c r="AS87" s="352"/>
      <c r="AT87" s="352"/>
      <c r="AU87" s="436"/>
      <c r="AV87" s="353" t="str">
        <f t="shared" ca="1" si="87"/>
        <v/>
      </c>
      <c r="AW87" s="422" t="str">
        <f t="shared" si="88"/>
        <v/>
      </c>
      <c r="AX87" s="423" t="str">
        <f ca="1">IF(AND($AW87=1,$AP87&lt;16,$AN86&lt;OP!$C$24),OP!$C$49,"")</f>
        <v/>
      </c>
      <c r="AY87" s="340"/>
      <c r="AZ87" s="465">
        <f t="shared" ca="1" si="89"/>
        <v>7.3698599999999999E-5</v>
      </c>
      <c r="BA87" s="464">
        <f t="shared" ca="1" si="90"/>
        <v>2.2109589000000002E-3</v>
      </c>
      <c r="BB87" s="465">
        <f t="shared" ca="1" si="90"/>
        <v>2.2846575E-3</v>
      </c>
      <c r="BC87" s="466">
        <f t="shared" ca="1" si="91"/>
        <v>45261</v>
      </c>
      <c r="BD87" s="467">
        <f t="shared" ca="1" si="115"/>
        <v>45262</v>
      </c>
      <c r="BE87" s="467">
        <f t="shared" ca="1" si="92"/>
        <v>45291</v>
      </c>
      <c r="BF87" s="468">
        <f ca="1">IF(計算!$BC87&lt;OP!$C$3,0,BD87-BC87)</f>
        <v>1</v>
      </c>
      <c r="BG87" s="468">
        <f ca="1">IF($BE87&gt;DATE(YEAR($BD$9)+OP!$C$57,MONTH($BD$9),DAY($BD$9)),0,$BE87-$BD87+1)</f>
        <v>30</v>
      </c>
      <c r="BH87" s="469">
        <f t="shared" ca="1" si="93"/>
        <v>31</v>
      </c>
      <c r="BI87" t="str">
        <f t="shared" si="128"/>
        <v/>
      </c>
      <c r="BJ87">
        <v>6</v>
      </c>
      <c r="BN87" s="468">
        <f t="shared" si="116"/>
        <v>7</v>
      </c>
      <c r="BO87" s="468">
        <f t="shared" si="117"/>
        <v>6</v>
      </c>
      <c r="BP87" s="467">
        <f t="shared" ca="1" si="94"/>
        <v>45262</v>
      </c>
      <c r="BQ87" s="475">
        <f t="shared" ca="1" si="126"/>
        <v>39</v>
      </c>
      <c r="BR87" s="475" t="str">
        <f t="shared" si="118"/>
        <v/>
      </c>
      <c r="BS87" s="471" t="str">
        <f t="shared" si="95"/>
        <v/>
      </c>
      <c r="BT87" s="472" t="str">
        <f t="shared" si="129"/>
        <v/>
      </c>
      <c r="BU87" s="472">
        <f t="shared" ca="1" si="96"/>
        <v>0</v>
      </c>
      <c r="BV87" s="472">
        <f t="shared" ca="1" si="96"/>
        <v>0</v>
      </c>
      <c r="BW87" s="472"/>
      <c r="BX87" s="473">
        <f t="shared" ca="1" si="97"/>
        <v>0</v>
      </c>
      <c r="BY87" s="473">
        <f t="shared" si="98"/>
        <v>0</v>
      </c>
      <c r="BZ87" s="473">
        <f t="shared" ca="1" si="72"/>
        <v>0</v>
      </c>
      <c r="CA87" s="476">
        <f t="shared" ca="1" si="99"/>
        <v>0</v>
      </c>
      <c r="CB87" s="494">
        <f ca="1">IF(OR($Q86&lt;&gt;1,OP!$D$5+$BN87-1&lt;16,$BN87-1&lt;1),0,ROUND(ROUND(ROUND(((VLOOKUP($BN87-1,MORE_PV,5,0)/10000)*VLOOKUP($BN87,MORE_PV,$CB$5,0)),3)*VLOOKUP($BN87,more1,5,0),0)/$R86,0))</f>
        <v>0</v>
      </c>
      <c r="CC87" s="473">
        <f t="shared" ca="1" si="100"/>
        <v>0</v>
      </c>
      <c r="CD87" s="477"/>
      <c r="CE87" s="468">
        <f t="shared" si="119"/>
        <v>7</v>
      </c>
      <c r="CF87" s="468">
        <f t="shared" si="120"/>
        <v>6</v>
      </c>
      <c r="CG87" s="467">
        <f t="shared" ca="1" si="73"/>
        <v>45262</v>
      </c>
      <c r="CH87" s="475">
        <f t="shared" ca="1" si="127"/>
        <v>39</v>
      </c>
      <c r="CI87" s="513" t="str">
        <f t="shared" si="121"/>
        <v/>
      </c>
      <c r="CJ87" s="511">
        <f t="shared" si="101"/>
        <v>0</v>
      </c>
      <c r="CK87" s="512">
        <f t="shared" si="102"/>
        <v>0</v>
      </c>
      <c r="CL87" s="511">
        <f t="shared" ca="1" si="122"/>
        <v>0</v>
      </c>
      <c r="CM87" s="511">
        <f ca="1">ROUND(CS87-IF(OR($CE87&gt;=OP!$C$24,AND(CH87=15,CF87=12),CS87=0),0,(CT87-CR87)),$CM$7)</f>
        <v>0</v>
      </c>
      <c r="CN87" s="511"/>
      <c r="CO87" s="351">
        <f t="shared" ca="1" si="103"/>
        <v>24310</v>
      </c>
      <c r="CP87" s="473">
        <f t="shared" si="104"/>
        <v>0</v>
      </c>
      <c r="CQ87" s="473">
        <f t="shared" ca="1" si="74"/>
        <v>55.540023824999999</v>
      </c>
      <c r="CR87" s="476">
        <f t="shared" ca="1" si="105"/>
        <v>0</v>
      </c>
      <c r="CS87" s="494">
        <f ca="1">IF(OR($Q86&lt;&gt;1,OP!$D$5+$CE87-1&lt;16,$CE87-1&lt;1),0,ROUND(ROUND(ROUND(((VLOOKUP($CE87-1,MORE_PV,5,0)/10000)*VLOOKUP($CE87,MORE_PV,$CS$5,0)),3)*VLOOKUP($CE87,more1,5,0),0)/$R86,0))</f>
        <v>0</v>
      </c>
      <c r="CT87" s="473">
        <f>IF($AW87=1,IF(N($CR87+$CS87)&lt;N($AX87)*OP!$C$50,N($CR87+$CS87),MIN(N($CR87+$CS87),N($AX87))),0)</f>
        <v>0</v>
      </c>
      <c r="CV87" s="503">
        <f t="shared" ca="1" si="106"/>
        <v>24309.879074835</v>
      </c>
      <c r="CW87" s="503">
        <f t="shared" ca="1" si="107"/>
        <v>0</v>
      </c>
      <c r="CX87" s="503">
        <f t="shared" ca="1" si="108"/>
        <v>24363.623257462001</v>
      </c>
    </row>
    <row r="88" spans="1:102" ht="16.5" hidden="1">
      <c r="A88" s="450">
        <f ca="1">OP!$D$5+$B88-1</f>
        <v>110</v>
      </c>
      <c r="B88" s="192">
        <v>78</v>
      </c>
      <c r="C88" s="219">
        <f ca="1">ROUND(VLOOKUP(OP!$C$55,PV0,B88+2,0)*OP!$C$28,0)</f>
        <v>3767200</v>
      </c>
      <c r="D88" s="189">
        <f t="shared" ca="1" si="109"/>
        <v>3767200</v>
      </c>
      <c r="E88" s="221">
        <f t="shared" ca="1" si="110"/>
        <v>2.69E-2</v>
      </c>
      <c r="F88" s="222">
        <f t="shared" ca="1" si="111"/>
        <v>6.8999999999999999E-3</v>
      </c>
      <c r="G88" s="223">
        <f t="shared" ca="1" si="123"/>
        <v>2755750</v>
      </c>
      <c r="H88" s="224">
        <f t="shared" ca="1" si="124"/>
        <v>26607</v>
      </c>
      <c r="I88" s="450">
        <f t="shared" ca="1" si="125"/>
        <v>1</v>
      </c>
      <c r="J88" s="192">
        <f t="shared" si="75"/>
        <v>7</v>
      </c>
      <c r="K88" s="192">
        <f t="shared" si="76"/>
        <v>8</v>
      </c>
      <c r="L88" s="192" t="str">
        <f t="shared" si="69"/>
        <v/>
      </c>
      <c r="M88" s="216">
        <f t="shared" ca="1" si="77"/>
        <v>0</v>
      </c>
      <c r="N88" s="216"/>
      <c r="O88" s="216"/>
      <c r="P88" s="216"/>
      <c r="Q88" s="456" t="str">
        <f t="shared" ca="1" si="78"/>
        <v/>
      </c>
      <c r="R88" s="450">
        <f t="shared" ca="1" si="79"/>
        <v>1</v>
      </c>
      <c r="S88" s="191">
        <f t="shared" si="80"/>
        <v>7</v>
      </c>
      <c r="T88" s="191">
        <f t="shared" si="81"/>
        <v>8</v>
      </c>
      <c r="U88" s="191">
        <f ca="1">OP!$D$5+$S88-1</f>
        <v>39</v>
      </c>
      <c r="V88" s="191" t="str">
        <f t="shared" si="82"/>
        <v/>
      </c>
      <c r="W88" s="350">
        <f ca="1">IF(Q88&lt;&gt;1,0,VLOOKUP(OP!$C$55,PVFB,$S88+2,0))</f>
        <v>0</v>
      </c>
      <c r="X88" s="473">
        <f t="shared" ca="1" si="112"/>
        <v>0</v>
      </c>
      <c r="Y88" s="348">
        <f t="shared" ca="1" si="113"/>
        <v>0</v>
      </c>
      <c r="Z88" s="348">
        <f t="shared" ca="1" si="114"/>
        <v>8012</v>
      </c>
      <c r="AA88" s="348">
        <f ca="1">IF(Q88&lt;&gt;1,0,VLOOKUP(OP!$C$55,PVFB,$S88+2,0))</f>
        <v>0</v>
      </c>
      <c r="AB88" s="488" t="str">
        <f ca="1">IF(AND(S88&lt;OP!$C$24,$U88&lt;15),0,IF(AND($U88&lt;15,$T88=12),ROUND(VLOOKUP($S88,DOWN16,5,0),3),IF($T88=12,ROUND(($Z88/10000)*$AA88,3)+IF(AND($P$7="購買增額繳清保險",T88=12,U88=110),VLOOKUP(S88,$B$10:$H$121,7,0),0),"")))</f>
        <v/>
      </c>
      <c r="AC88" s="350" t="str">
        <f ca="1">IF(AND(S88&lt;OP!$C$24,$U88&lt;15),0,IF(AND($U88&lt;16,$T88=12),VLOOKUP($S88,DOWN16,4,0),IF($T88=12,ROUND(VLOOKUP(OP!$C$55,_DIE2,$S88+1,0)*(Z88/10000),0)+IF(AND($P$7="購買增額繳清保險",T88=12,U88=110),VLOOKUP(S88,$B$10:$H$121,7,0),0),"")))</f>
        <v/>
      </c>
      <c r="AD88" s="347"/>
      <c r="AE88" s="350" t="str">
        <f t="shared" ca="1" si="70"/>
        <v/>
      </c>
      <c r="AF88" s="351" t="str">
        <f t="shared" ca="1" si="71"/>
        <v/>
      </c>
      <c r="AG88" s="340"/>
      <c r="AH88" s="340"/>
      <c r="AI88" s="340"/>
      <c r="AJ88" s="340"/>
      <c r="AK88" s="340"/>
      <c r="AL88" s="340"/>
      <c r="AM88" s="340"/>
      <c r="AN88" s="191">
        <f t="shared" si="83"/>
        <v>7</v>
      </c>
      <c r="AO88" s="191">
        <f t="shared" si="84"/>
        <v>8</v>
      </c>
      <c r="AP88" s="191">
        <f ca="1">OP!$D$5+$AN88-1</f>
        <v>39</v>
      </c>
      <c r="AQ88" s="191" t="str">
        <f t="shared" si="85"/>
        <v/>
      </c>
      <c r="AR88" s="352">
        <f t="shared" ca="1" si="86"/>
        <v>0</v>
      </c>
      <c r="AS88" s="352"/>
      <c r="AT88" s="352"/>
      <c r="AU88" s="436"/>
      <c r="AV88" s="353" t="str">
        <f t="shared" ca="1" si="87"/>
        <v/>
      </c>
      <c r="AW88" s="422" t="str">
        <f t="shared" si="88"/>
        <v/>
      </c>
      <c r="AX88" s="423" t="str">
        <f ca="1">IF(AND($AW88=1,$AP88&lt;16,$AN87&lt;OP!$C$24),OP!$C$49,"")</f>
        <v/>
      </c>
      <c r="AY88" s="340"/>
      <c r="AZ88" s="465">
        <f t="shared" ca="1" si="89"/>
        <v>7.3698599999999999E-5</v>
      </c>
      <c r="BA88" s="464">
        <f t="shared" ca="1" si="90"/>
        <v>2.2109589000000002E-3</v>
      </c>
      <c r="BB88" s="465">
        <f t="shared" ca="1" si="90"/>
        <v>2.2846575E-3</v>
      </c>
      <c r="BC88" s="466">
        <f t="shared" ca="1" si="91"/>
        <v>45292</v>
      </c>
      <c r="BD88" s="467">
        <f t="shared" ca="1" si="115"/>
        <v>45293</v>
      </c>
      <c r="BE88" s="467">
        <f t="shared" ca="1" si="92"/>
        <v>45322</v>
      </c>
      <c r="BF88" s="468">
        <f ca="1">IF(計算!$BC88&lt;OP!$C$3,0,BD88-BC88)</f>
        <v>1</v>
      </c>
      <c r="BG88" s="468">
        <f ca="1">IF($BE88&gt;DATE(YEAR($BD$9)+OP!$C$57,MONTH($BD$9),DAY($BD$9)),0,$BE88-$BD88+1)</f>
        <v>30</v>
      </c>
      <c r="BH88" s="469">
        <f t="shared" ca="1" si="93"/>
        <v>31</v>
      </c>
      <c r="BI88" t="str">
        <f t="shared" si="128"/>
        <v/>
      </c>
      <c r="BJ88">
        <v>7</v>
      </c>
      <c r="BN88" s="468">
        <f t="shared" si="116"/>
        <v>7</v>
      </c>
      <c r="BO88" s="468">
        <f t="shared" si="117"/>
        <v>7</v>
      </c>
      <c r="BP88" s="467">
        <f t="shared" ca="1" si="94"/>
        <v>45293</v>
      </c>
      <c r="BQ88" s="475">
        <f t="shared" ca="1" si="126"/>
        <v>39</v>
      </c>
      <c r="BR88" s="475" t="str">
        <f t="shared" si="118"/>
        <v/>
      </c>
      <c r="BS88" s="471" t="str">
        <f t="shared" si="95"/>
        <v/>
      </c>
      <c r="BT88" s="472" t="str">
        <f t="shared" si="129"/>
        <v/>
      </c>
      <c r="BU88" s="472">
        <f t="shared" ca="1" si="96"/>
        <v>0</v>
      </c>
      <c r="BV88" s="472">
        <f t="shared" ca="1" si="96"/>
        <v>0</v>
      </c>
      <c r="BW88" s="472"/>
      <c r="BX88" s="473">
        <f t="shared" ca="1" si="97"/>
        <v>0</v>
      </c>
      <c r="BY88" s="473">
        <f t="shared" si="98"/>
        <v>0</v>
      </c>
      <c r="BZ88" s="473">
        <f t="shared" ca="1" si="72"/>
        <v>0</v>
      </c>
      <c r="CA88" s="476">
        <f t="shared" ca="1" si="99"/>
        <v>0</v>
      </c>
      <c r="CB88" s="494">
        <f ca="1">IF(OR($Q87&lt;&gt;1,OP!$D$5+$BN88-1&lt;16,$BN88-1&lt;1),0,ROUND(ROUND(ROUND(((VLOOKUP($BN88-1,MORE_PV,5,0)/10000)*VLOOKUP($BN88,MORE_PV,$CB$5,0)),3)*VLOOKUP($BN88,more1,5,0),0)/$R87,0))</f>
        <v>0</v>
      </c>
      <c r="CC88" s="473">
        <f t="shared" ca="1" si="100"/>
        <v>0</v>
      </c>
      <c r="CD88" s="477"/>
      <c r="CE88" s="468">
        <f t="shared" si="119"/>
        <v>7</v>
      </c>
      <c r="CF88" s="468">
        <f t="shared" si="120"/>
        <v>7</v>
      </c>
      <c r="CG88" s="467">
        <f t="shared" ca="1" si="73"/>
        <v>45293</v>
      </c>
      <c r="CH88" s="475">
        <f t="shared" ca="1" si="127"/>
        <v>39</v>
      </c>
      <c r="CI88" s="513" t="str">
        <f t="shared" si="121"/>
        <v/>
      </c>
      <c r="CJ88" s="511">
        <f t="shared" si="101"/>
        <v>0</v>
      </c>
      <c r="CK88" s="512">
        <f t="shared" si="102"/>
        <v>0</v>
      </c>
      <c r="CL88" s="511">
        <f t="shared" ca="1" si="122"/>
        <v>0</v>
      </c>
      <c r="CM88" s="511">
        <f ca="1">ROUND(CS88-IF(OR($CE88&gt;=OP!$C$24,AND(CH88=15,CF88=12),CS88=0),0,(CT88-CR88)),$CM$7)</f>
        <v>0</v>
      </c>
      <c r="CN88" s="511"/>
      <c r="CO88" s="351">
        <f t="shared" ca="1" si="103"/>
        <v>24365</v>
      </c>
      <c r="CP88" s="473">
        <f t="shared" si="104"/>
        <v>0</v>
      </c>
      <c r="CQ88" s="473">
        <f t="shared" ca="1" si="74"/>
        <v>55.665679988000001</v>
      </c>
      <c r="CR88" s="476">
        <f t="shared" ca="1" si="105"/>
        <v>0</v>
      </c>
      <c r="CS88" s="494">
        <f ca="1">IF(OR($Q87&lt;&gt;1,OP!$D$5+$CE88-1&lt;16,$CE88-1&lt;1),0,ROUND(ROUND(ROUND(((VLOOKUP($CE88-1,MORE_PV,5,0)/10000)*VLOOKUP($CE88,MORE_PV,$CS$5,0)),3)*VLOOKUP($CE88,more1,5,0),0)/$R87,0))</f>
        <v>0</v>
      </c>
      <c r="CT88" s="473">
        <f>IF($AW88=1,IF(N($CR88+$CS88)&lt;N($AX88)*OP!$C$50,N($CR88+$CS88),MIN(N($CR88+$CS88),N($AX88))),0)</f>
        <v>0</v>
      </c>
      <c r="CV88" s="503">
        <f t="shared" ca="1" si="106"/>
        <v>24365.418822387001</v>
      </c>
      <c r="CW88" s="503">
        <f t="shared" ca="1" si="107"/>
        <v>0</v>
      </c>
      <c r="CX88" s="503">
        <f t="shared" ca="1" si="108"/>
        <v>24419.285792064002</v>
      </c>
    </row>
    <row r="89" spans="1:102" ht="16.5" hidden="1">
      <c r="A89" s="450">
        <f ca="1">OP!$D$5+$B89-1</f>
        <v>111</v>
      </c>
      <c r="B89" s="192">
        <v>79</v>
      </c>
      <c r="C89" s="219">
        <f ca="1">ROUND(VLOOKUP(OP!$C$55,PV0,B89+2,0)*OP!$C$28,0)</f>
        <v>0</v>
      </c>
      <c r="D89" s="189">
        <f t="shared" ca="1" si="109"/>
        <v>0</v>
      </c>
      <c r="E89" s="221">
        <f t="shared" ca="1" si="110"/>
        <v>2.69E-2</v>
      </c>
      <c r="F89" s="222">
        <f t="shared" ca="1" si="111"/>
        <v>6.8999999999999999E-3</v>
      </c>
      <c r="G89" s="223">
        <f t="shared" ca="1" si="123"/>
        <v>2758188</v>
      </c>
      <c r="H89" s="224">
        <f t="shared" ca="1" si="124"/>
        <v>0</v>
      </c>
      <c r="I89" s="450">
        <f t="shared" ca="1" si="125"/>
        <v>1</v>
      </c>
      <c r="J89" s="192">
        <f t="shared" si="75"/>
        <v>7</v>
      </c>
      <c r="K89" s="192">
        <f t="shared" si="76"/>
        <v>9</v>
      </c>
      <c r="L89" s="192" t="str">
        <f t="shared" si="69"/>
        <v/>
      </c>
      <c r="M89" s="216">
        <f t="shared" ca="1" si="77"/>
        <v>0</v>
      </c>
      <c r="N89" s="216"/>
      <c r="O89" s="216"/>
      <c r="P89" s="216"/>
      <c r="Q89" s="456" t="str">
        <f t="shared" ca="1" si="78"/>
        <v/>
      </c>
      <c r="R89" s="450">
        <f t="shared" ca="1" si="79"/>
        <v>1</v>
      </c>
      <c r="S89" s="191">
        <f t="shared" si="80"/>
        <v>7</v>
      </c>
      <c r="T89" s="191">
        <f t="shared" si="81"/>
        <v>9</v>
      </c>
      <c r="U89" s="191">
        <f ca="1">OP!$D$5+$S89-1</f>
        <v>39</v>
      </c>
      <c r="V89" s="191" t="str">
        <f t="shared" si="82"/>
        <v/>
      </c>
      <c r="W89" s="350">
        <f ca="1">IF(Q89&lt;&gt;1,0,VLOOKUP(OP!$C$55,PVFB,$S89+2,0))</f>
        <v>0</v>
      </c>
      <c r="X89" s="473">
        <f t="shared" ca="1" si="112"/>
        <v>0</v>
      </c>
      <c r="Y89" s="348">
        <f t="shared" ca="1" si="113"/>
        <v>0</v>
      </c>
      <c r="Z89" s="348">
        <f t="shared" ca="1" si="114"/>
        <v>8012</v>
      </c>
      <c r="AA89" s="348">
        <f ca="1">IF(Q89&lt;&gt;1,0,VLOOKUP(OP!$C$55,PVFB,$S89+2,0))</f>
        <v>0</v>
      </c>
      <c r="AB89" s="488" t="str">
        <f ca="1">IF(AND(S89&lt;OP!$C$24,$U89&lt;15),0,IF(AND($U89&lt;15,$T89=12),ROUND(VLOOKUP($S89,DOWN16,5,0),3),IF($T89=12,ROUND(($Z89/10000)*$AA89,3)+IF(AND($P$7="購買增額繳清保險",T89=12,U89=110),VLOOKUP(S89,$B$10:$H$121,7,0),0),"")))</f>
        <v/>
      </c>
      <c r="AC89" s="350" t="str">
        <f ca="1">IF(AND(S89&lt;OP!$C$24,$U89&lt;15),0,IF(AND($U89&lt;16,$T89=12),VLOOKUP($S89,DOWN16,4,0),IF($T89=12,ROUND(VLOOKUP(OP!$C$55,_DIE2,$S89+1,0)*(Z89/10000),0)+IF(AND($P$7="購買增額繳清保險",T89=12,U89=110),VLOOKUP(S89,$B$10:$H$121,7,0),0),"")))</f>
        <v/>
      </c>
      <c r="AD89" s="347"/>
      <c r="AE89" s="350" t="str">
        <f t="shared" ca="1" si="70"/>
        <v/>
      </c>
      <c r="AF89" s="351" t="str">
        <f t="shared" ca="1" si="71"/>
        <v/>
      </c>
      <c r="AG89" s="340"/>
      <c r="AH89" s="340"/>
      <c r="AI89" s="340"/>
      <c r="AJ89" s="340"/>
      <c r="AK89" s="340"/>
      <c r="AL89" s="340"/>
      <c r="AM89" s="340"/>
      <c r="AN89" s="191">
        <f t="shared" si="83"/>
        <v>7</v>
      </c>
      <c r="AO89" s="191">
        <f t="shared" si="84"/>
        <v>9</v>
      </c>
      <c r="AP89" s="191">
        <f ca="1">OP!$D$5+$AN89-1</f>
        <v>39</v>
      </c>
      <c r="AQ89" s="191" t="str">
        <f t="shared" si="85"/>
        <v/>
      </c>
      <c r="AR89" s="352">
        <f t="shared" ca="1" si="86"/>
        <v>0</v>
      </c>
      <c r="AS89" s="352"/>
      <c r="AT89" s="352"/>
      <c r="AU89" s="436"/>
      <c r="AV89" s="353" t="str">
        <f t="shared" ca="1" si="87"/>
        <v/>
      </c>
      <c r="AW89" s="422" t="str">
        <f t="shared" si="88"/>
        <v/>
      </c>
      <c r="AX89" s="423" t="str">
        <f ca="1">IF(AND($AW89=1,$AP89&lt;16,$AN88&lt;OP!$C$24),OP!$C$49,"")</f>
        <v/>
      </c>
      <c r="AY89" s="340"/>
      <c r="AZ89" s="465">
        <f t="shared" ca="1" si="89"/>
        <v>7.3698599999999999E-5</v>
      </c>
      <c r="BA89" s="464">
        <f t="shared" ca="1" si="90"/>
        <v>2.0635616E-3</v>
      </c>
      <c r="BB89" s="465">
        <f t="shared" ca="1" si="90"/>
        <v>2.1372602999999999E-3</v>
      </c>
      <c r="BC89" s="466">
        <f t="shared" ca="1" si="91"/>
        <v>45323</v>
      </c>
      <c r="BD89" s="467">
        <f t="shared" ca="1" si="115"/>
        <v>45324</v>
      </c>
      <c r="BE89" s="467">
        <f t="shared" ca="1" si="92"/>
        <v>45351</v>
      </c>
      <c r="BF89" s="468">
        <f ca="1">IF(計算!$BC89&lt;OP!$C$3,0,BD89-BC89)</f>
        <v>1</v>
      </c>
      <c r="BG89" s="468">
        <f ca="1">IF($BE89&gt;DATE(YEAR($BD$9)+OP!$C$57,MONTH($BD$9),DAY($BD$9)),0,$BE89-$BD89+1)</f>
        <v>28</v>
      </c>
      <c r="BH89" s="469">
        <f t="shared" ca="1" si="93"/>
        <v>29</v>
      </c>
      <c r="BI89" t="str">
        <f t="shared" si="128"/>
        <v/>
      </c>
      <c r="BJ89">
        <v>8</v>
      </c>
      <c r="BN89" s="468">
        <f t="shared" si="116"/>
        <v>7</v>
      </c>
      <c r="BO89" s="468">
        <f t="shared" si="117"/>
        <v>8</v>
      </c>
      <c r="BP89" s="467">
        <f t="shared" ca="1" si="94"/>
        <v>45324</v>
      </c>
      <c r="BQ89" s="475">
        <f t="shared" ca="1" si="126"/>
        <v>39</v>
      </c>
      <c r="BR89" s="475" t="str">
        <f t="shared" si="118"/>
        <v/>
      </c>
      <c r="BS89" s="471" t="str">
        <f t="shared" si="95"/>
        <v/>
      </c>
      <c r="BT89" s="472" t="str">
        <f t="shared" si="129"/>
        <v/>
      </c>
      <c r="BU89" s="472">
        <f t="shared" ca="1" si="96"/>
        <v>0</v>
      </c>
      <c r="BV89" s="472">
        <f t="shared" ca="1" si="96"/>
        <v>0</v>
      </c>
      <c r="BW89" s="472"/>
      <c r="BX89" s="473">
        <f t="shared" ca="1" si="97"/>
        <v>0</v>
      </c>
      <c r="BY89" s="473">
        <f t="shared" si="98"/>
        <v>0</v>
      </c>
      <c r="BZ89" s="473">
        <f t="shared" ca="1" si="72"/>
        <v>0</v>
      </c>
      <c r="CA89" s="476">
        <f t="shared" ca="1" si="99"/>
        <v>0</v>
      </c>
      <c r="CB89" s="494">
        <f ca="1">IF(OR($Q88&lt;&gt;1,OP!$D$5+$BN89-1&lt;16,$BN89-1&lt;1),0,ROUND(ROUND(ROUND(((VLOOKUP($BN89-1,MORE_PV,5,0)/10000)*VLOOKUP($BN89,MORE_PV,$CB$5,0)),3)*VLOOKUP($BN89,more1,5,0),0)/$R88,0))</f>
        <v>0</v>
      </c>
      <c r="CC89" s="473">
        <f t="shared" ca="1" si="100"/>
        <v>0</v>
      </c>
      <c r="CD89" s="477"/>
      <c r="CE89" s="468">
        <f t="shared" si="119"/>
        <v>7</v>
      </c>
      <c r="CF89" s="468">
        <f t="shared" si="120"/>
        <v>8</v>
      </c>
      <c r="CG89" s="467">
        <f t="shared" ca="1" si="73"/>
        <v>45324</v>
      </c>
      <c r="CH89" s="475">
        <f t="shared" ca="1" si="127"/>
        <v>39</v>
      </c>
      <c r="CI89" s="513" t="str">
        <f t="shared" si="121"/>
        <v/>
      </c>
      <c r="CJ89" s="511">
        <f t="shared" si="101"/>
        <v>0</v>
      </c>
      <c r="CK89" s="512">
        <f t="shared" si="102"/>
        <v>0</v>
      </c>
      <c r="CL89" s="511">
        <f t="shared" ca="1" si="122"/>
        <v>0</v>
      </c>
      <c r="CM89" s="511">
        <f ca="1">ROUND(CS89-IF(OR($CE89&gt;=OP!$C$24,AND(CH89=15,CF89=12),CS89=0),0,(CT89-CR89)),$CM$7)</f>
        <v>0</v>
      </c>
      <c r="CN89" s="511"/>
      <c r="CO89" s="351">
        <f t="shared" ca="1" si="103"/>
        <v>24421</v>
      </c>
      <c r="CP89" s="473">
        <f t="shared" si="104"/>
        <v>0</v>
      </c>
      <c r="CQ89" s="473">
        <f t="shared" ca="1" si="74"/>
        <v>52.194033785999999</v>
      </c>
      <c r="CR89" s="476">
        <f t="shared" ca="1" si="105"/>
        <v>0</v>
      </c>
      <c r="CS89" s="494">
        <f ca="1">IF(OR($Q88&lt;&gt;1,OP!$D$5+$CE89-1&lt;16,$CE89-1&lt;1),0,ROUND(ROUND(ROUND(((VLOOKUP($CE89-1,MORE_PV,5,0)/10000)*VLOOKUP($CE89,MORE_PV,$CS$5,0)),3)*VLOOKUP($CE89,more1,5,0),0)/$R88,0))</f>
        <v>0</v>
      </c>
      <c r="CT89" s="473">
        <f>IF($AW89=1,IF(N($CR89+$CS89)&lt;N($AX89)*OP!$C$50,N($CR89+$CS89),MIN(N($CR89+$CS89),N($AX89))),0)</f>
        <v>0</v>
      </c>
      <c r="CV89" s="503">
        <f t="shared" ca="1" si="106"/>
        <v>24421.085459239999</v>
      </c>
      <c r="CW89" s="503">
        <f t="shared" ca="1" si="107"/>
        <v>0</v>
      </c>
      <c r="CX89" s="503">
        <f t="shared" ca="1" si="108"/>
        <v>24471.476162142</v>
      </c>
    </row>
    <row r="90" spans="1:102" ht="16.5" hidden="1">
      <c r="A90" s="450">
        <f ca="1">OP!$D$5+$B90-1</f>
        <v>112</v>
      </c>
      <c r="B90" s="192">
        <v>80</v>
      </c>
      <c r="C90" s="219">
        <f ca="1">ROUND(VLOOKUP(OP!$C$55,PV0,B90+2,0)*OP!$C$28,0)</f>
        <v>0</v>
      </c>
      <c r="D90" s="189">
        <f t="shared" ca="1" si="109"/>
        <v>0</v>
      </c>
      <c r="E90" s="221">
        <f t="shared" ca="1" si="110"/>
        <v>2.69E-2</v>
      </c>
      <c r="F90" s="222">
        <f t="shared" ca="1" si="111"/>
        <v>6.8999999999999999E-3</v>
      </c>
      <c r="G90" s="223">
        <f t="shared" ca="1" si="123"/>
        <v>2760628</v>
      </c>
      <c r="H90" s="224">
        <f t="shared" ca="1" si="124"/>
        <v>0</v>
      </c>
      <c r="I90" s="450">
        <f t="shared" ca="1" si="125"/>
        <v>12</v>
      </c>
      <c r="J90" s="192">
        <f t="shared" si="75"/>
        <v>7</v>
      </c>
      <c r="K90" s="192">
        <f t="shared" si="76"/>
        <v>10</v>
      </c>
      <c r="L90" s="192" t="str">
        <f t="shared" si="69"/>
        <v/>
      </c>
      <c r="M90" s="216">
        <f t="shared" ca="1" si="77"/>
        <v>0</v>
      </c>
      <c r="N90" s="216"/>
      <c r="O90" s="216"/>
      <c r="P90" s="216"/>
      <c r="Q90" s="456" t="str">
        <f t="shared" ca="1" si="78"/>
        <v/>
      </c>
      <c r="R90" s="450">
        <f t="shared" ca="1" si="79"/>
        <v>1</v>
      </c>
      <c r="S90" s="191">
        <f t="shared" si="80"/>
        <v>7</v>
      </c>
      <c r="T90" s="191">
        <f t="shared" si="81"/>
        <v>10</v>
      </c>
      <c r="U90" s="191">
        <f ca="1">OP!$D$5+$S90-1</f>
        <v>39</v>
      </c>
      <c r="V90" s="191" t="str">
        <f t="shared" si="82"/>
        <v/>
      </c>
      <c r="W90" s="350">
        <f ca="1">IF(Q90&lt;&gt;1,0,VLOOKUP(OP!$C$55,PVFB,$S90+2,0))</f>
        <v>0</v>
      </c>
      <c r="X90" s="473">
        <f t="shared" ca="1" si="112"/>
        <v>0</v>
      </c>
      <c r="Y90" s="348">
        <f t="shared" ca="1" si="113"/>
        <v>0</v>
      </c>
      <c r="Z90" s="348">
        <f t="shared" ca="1" si="114"/>
        <v>8012</v>
      </c>
      <c r="AA90" s="348">
        <f ca="1">IF(Q90&lt;&gt;1,0,VLOOKUP(OP!$C$55,PVFB,$S90+2,0))</f>
        <v>0</v>
      </c>
      <c r="AB90" s="488" t="str">
        <f ca="1">IF(AND(S90&lt;OP!$C$24,$U90&lt;15),0,IF(AND($U90&lt;15,$T90=12),ROUND(VLOOKUP($S90,DOWN16,5,0),3),IF($T90=12,ROUND(($Z90/10000)*$AA90,3)+IF(AND($P$7="購買增額繳清保險",T90=12,U90=110),VLOOKUP(S90,$B$10:$H$121,7,0),0),"")))</f>
        <v/>
      </c>
      <c r="AC90" s="350" t="str">
        <f ca="1">IF(AND(S90&lt;OP!$C$24,$U90&lt;15),0,IF(AND($U90&lt;16,$T90=12),VLOOKUP($S90,DOWN16,4,0),IF($T90=12,ROUND(VLOOKUP(OP!$C$55,_DIE2,$S90+1,0)*(Z90/10000),0)+IF(AND($P$7="購買增額繳清保險",T90=12,U90=110),VLOOKUP(S90,$B$10:$H$121,7,0),0),"")))</f>
        <v/>
      </c>
      <c r="AD90" s="347"/>
      <c r="AE90" s="350" t="str">
        <f t="shared" ca="1" si="70"/>
        <v/>
      </c>
      <c r="AF90" s="351" t="str">
        <f t="shared" ca="1" si="71"/>
        <v/>
      </c>
      <c r="AG90" s="340"/>
      <c r="AH90" s="340"/>
      <c r="AI90" s="340"/>
      <c r="AJ90" s="340"/>
      <c r="AK90" s="340"/>
      <c r="AL90" s="340"/>
      <c r="AM90" s="340"/>
      <c r="AN90" s="191">
        <f t="shared" si="83"/>
        <v>7</v>
      </c>
      <c r="AO90" s="191">
        <f t="shared" si="84"/>
        <v>10</v>
      </c>
      <c r="AP90" s="191">
        <f ca="1">OP!$D$5+$AN90-1</f>
        <v>39</v>
      </c>
      <c r="AQ90" s="191" t="str">
        <f t="shared" si="85"/>
        <v/>
      </c>
      <c r="AR90" s="352">
        <f t="shared" ca="1" si="86"/>
        <v>0</v>
      </c>
      <c r="AS90" s="352"/>
      <c r="AT90" s="352"/>
      <c r="AU90" s="436"/>
      <c r="AV90" s="353" t="str">
        <f t="shared" ca="1" si="87"/>
        <v/>
      </c>
      <c r="AW90" s="422" t="str">
        <f t="shared" si="88"/>
        <v/>
      </c>
      <c r="AX90" s="423" t="str">
        <f ca="1">IF(AND($AW90=1,$AP90&lt;16,$AN89&lt;OP!$C$24),OP!$C$49,"")</f>
        <v/>
      </c>
      <c r="AY90" s="340"/>
      <c r="AZ90" s="465">
        <f t="shared" ca="1" si="89"/>
        <v>7.3698599999999999E-5</v>
      </c>
      <c r="BA90" s="464">
        <f t="shared" ca="1" si="90"/>
        <v>2.2109589000000002E-3</v>
      </c>
      <c r="BB90" s="465">
        <f t="shared" ca="1" si="90"/>
        <v>2.2846575E-3</v>
      </c>
      <c r="BC90" s="466">
        <f t="shared" ca="1" si="91"/>
        <v>45352</v>
      </c>
      <c r="BD90" s="467">
        <f t="shared" ca="1" si="115"/>
        <v>45353</v>
      </c>
      <c r="BE90" s="467">
        <f t="shared" ca="1" si="92"/>
        <v>45382</v>
      </c>
      <c r="BF90" s="468">
        <f ca="1">IF(計算!$BC90&lt;OP!$C$3,0,BD90-BC90)</f>
        <v>1</v>
      </c>
      <c r="BG90" s="468">
        <f ca="1">IF($BE90&gt;DATE(YEAR($BD$9)+OP!$C$57,MONTH($BD$9),DAY($BD$9)),0,$BE90-$BD90+1)</f>
        <v>30</v>
      </c>
      <c r="BH90" s="469">
        <f t="shared" ca="1" si="93"/>
        <v>31</v>
      </c>
      <c r="BI90" t="str">
        <f t="shared" si="128"/>
        <v/>
      </c>
      <c r="BJ90">
        <v>9</v>
      </c>
      <c r="BN90" s="468">
        <f t="shared" si="116"/>
        <v>7</v>
      </c>
      <c r="BO90" s="468">
        <f t="shared" si="117"/>
        <v>9</v>
      </c>
      <c r="BP90" s="467">
        <f t="shared" ca="1" si="94"/>
        <v>45353</v>
      </c>
      <c r="BQ90" s="475">
        <f t="shared" ca="1" si="126"/>
        <v>39</v>
      </c>
      <c r="BR90" s="475" t="str">
        <f t="shared" si="118"/>
        <v/>
      </c>
      <c r="BS90" s="471" t="str">
        <f t="shared" si="95"/>
        <v/>
      </c>
      <c r="BT90" s="472" t="str">
        <f t="shared" si="129"/>
        <v/>
      </c>
      <c r="BU90" s="472">
        <f t="shared" ca="1" si="96"/>
        <v>0</v>
      </c>
      <c r="BV90" s="472">
        <f t="shared" ca="1" si="96"/>
        <v>0</v>
      </c>
      <c r="BW90" s="472"/>
      <c r="BX90" s="473">
        <f t="shared" ca="1" si="97"/>
        <v>0</v>
      </c>
      <c r="BY90" s="473">
        <f t="shared" si="98"/>
        <v>0</v>
      </c>
      <c r="BZ90" s="473">
        <f t="shared" ca="1" si="72"/>
        <v>0</v>
      </c>
      <c r="CA90" s="476">
        <f t="shared" ca="1" si="99"/>
        <v>0</v>
      </c>
      <c r="CB90" s="494">
        <f ca="1">IF(OR($Q89&lt;&gt;1,OP!$D$5+$BN90-1&lt;16,$BN90-1&lt;1),0,ROUND(ROUND(ROUND(((VLOOKUP($BN90-1,MORE_PV,5,0)/10000)*VLOOKUP($BN90,MORE_PV,$CB$5,0)),3)*VLOOKUP($BN90,more1,5,0),0)/$R89,0))</f>
        <v>0</v>
      </c>
      <c r="CC90" s="473">
        <f t="shared" ca="1" si="100"/>
        <v>0</v>
      </c>
      <c r="CD90" s="477"/>
      <c r="CE90" s="468">
        <f t="shared" si="119"/>
        <v>7</v>
      </c>
      <c r="CF90" s="468">
        <f t="shared" si="120"/>
        <v>9</v>
      </c>
      <c r="CG90" s="467">
        <f t="shared" ca="1" si="73"/>
        <v>45353</v>
      </c>
      <c r="CH90" s="475">
        <f t="shared" ca="1" si="127"/>
        <v>39</v>
      </c>
      <c r="CI90" s="513" t="str">
        <f t="shared" si="121"/>
        <v/>
      </c>
      <c r="CJ90" s="511">
        <f t="shared" si="101"/>
        <v>0</v>
      </c>
      <c r="CK90" s="512">
        <f t="shared" si="102"/>
        <v>0</v>
      </c>
      <c r="CL90" s="511">
        <f t="shared" ca="1" si="122"/>
        <v>0</v>
      </c>
      <c r="CM90" s="511">
        <f ca="1">ROUND(CS90-IF(OR($CE90&gt;=OP!$C$24,AND(CH90=15,CF90=12),CS90=0),0,(CT90-CR90)),$CM$7)</f>
        <v>0</v>
      </c>
      <c r="CN90" s="511"/>
      <c r="CO90" s="351">
        <f t="shared" ca="1" si="103"/>
        <v>24473</v>
      </c>
      <c r="CP90" s="473">
        <f t="shared" si="104"/>
        <v>0</v>
      </c>
      <c r="CQ90" s="473">
        <f t="shared" ca="1" si="74"/>
        <v>55.912422997999997</v>
      </c>
      <c r="CR90" s="476">
        <f t="shared" ca="1" si="105"/>
        <v>0</v>
      </c>
      <c r="CS90" s="494">
        <f ca="1">IF(OR($Q89&lt;&gt;1,OP!$D$5+$CE90-1&lt;16,$CE90-1&lt;1),0,ROUND(ROUND(ROUND(((VLOOKUP($CE90-1,MORE_PV,5,0)/10000)*VLOOKUP($CE90,MORE_PV,$CS$5,0)),3)*VLOOKUP($CE90,more1,5,0),0)/$R89,0))</f>
        <v>0</v>
      </c>
      <c r="CT90" s="473">
        <f>IF($AW90=1,IF(N($CR90+$CS90)&lt;N($AX90)*OP!$C$50,N($CR90+$CS90),MIN(N($CR90+$CS90),N($AX90))),0)</f>
        <v>0</v>
      </c>
      <c r="CV90" s="503">
        <f t="shared" ca="1" si="106"/>
        <v>24473.279675674999</v>
      </c>
      <c r="CW90" s="503">
        <f t="shared" ca="1" si="107"/>
        <v>0</v>
      </c>
      <c r="CX90" s="503">
        <f t="shared" ca="1" si="108"/>
        <v>24527.385103691999</v>
      </c>
    </row>
    <row r="91" spans="1:102" ht="16.5" hidden="1">
      <c r="A91" s="450">
        <f ca="1">OP!$D$5+$B91-1</f>
        <v>113</v>
      </c>
      <c r="B91" s="192">
        <v>81</v>
      </c>
      <c r="C91" s="219">
        <f ca="1">ROUND(VLOOKUP(OP!$C$55,PV0,B91+2,0)*OP!$C$28,0)</f>
        <v>0</v>
      </c>
      <c r="D91" s="189">
        <f t="shared" ca="1" si="109"/>
        <v>0</v>
      </c>
      <c r="E91" s="221">
        <f t="shared" ca="1" si="110"/>
        <v>2.69E-2</v>
      </c>
      <c r="F91" s="222">
        <f t="shared" ca="1" si="111"/>
        <v>6.8999999999999999E-3</v>
      </c>
      <c r="G91" s="223">
        <f t="shared" ca="1" si="123"/>
        <v>2763070</v>
      </c>
      <c r="H91" s="224">
        <f t="shared" ca="1" si="124"/>
        <v>0</v>
      </c>
      <c r="I91" s="450">
        <f t="shared" ca="1" si="125"/>
        <v>12</v>
      </c>
      <c r="J91" s="192">
        <f t="shared" si="75"/>
        <v>7</v>
      </c>
      <c r="K91" s="192">
        <f t="shared" si="76"/>
        <v>11</v>
      </c>
      <c r="L91" s="192" t="str">
        <f t="shared" si="69"/>
        <v/>
      </c>
      <c r="M91" s="216">
        <f t="shared" ca="1" si="77"/>
        <v>0</v>
      </c>
      <c r="N91" s="216"/>
      <c r="O91" s="216"/>
      <c r="P91" s="216"/>
      <c r="Q91" s="456" t="str">
        <f t="shared" ca="1" si="78"/>
        <v/>
      </c>
      <c r="R91" s="450">
        <f t="shared" ca="1" si="79"/>
        <v>1</v>
      </c>
      <c r="S91" s="191">
        <f t="shared" si="80"/>
        <v>7</v>
      </c>
      <c r="T91" s="191">
        <f t="shared" si="81"/>
        <v>11</v>
      </c>
      <c r="U91" s="191">
        <f ca="1">OP!$D$5+$S91-1</f>
        <v>39</v>
      </c>
      <c r="V91" s="191" t="str">
        <f t="shared" si="82"/>
        <v/>
      </c>
      <c r="W91" s="350">
        <f ca="1">IF(Q91&lt;&gt;1,0,VLOOKUP(OP!$C$55,PVFB,$S91+2,0))</f>
        <v>0</v>
      </c>
      <c r="X91" s="473">
        <f t="shared" ca="1" si="112"/>
        <v>0</v>
      </c>
      <c r="Y91" s="348">
        <f t="shared" ca="1" si="113"/>
        <v>0</v>
      </c>
      <c r="Z91" s="348">
        <f t="shared" ca="1" si="114"/>
        <v>8012</v>
      </c>
      <c r="AA91" s="348">
        <f ca="1">IF(Q91&lt;&gt;1,0,VLOOKUP(OP!$C$55,PVFB,$S91+2,0))</f>
        <v>0</v>
      </c>
      <c r="AB91" s="488" t="str">
        <f ca="1">IF(AND(S91&lt;OP!$C$24,$U91&lt;15),0,IF(AND($U91&lt;15,$T91=12),ROUND(VLOOKUP($S91,DOWN16,5,0),3),IF($T91=12,ROUND(($Z91/10000)*$AA91,3)+IF(AND($P$7="購買增額繳清保險",T91=12,U91=110),VLOOKUP(S91,$B$10:$H$121,7,0),0),"")))</f>
        <v/>
      </c>
      <c r="AC91" s="350" t="str">
        <f ca="1">IF(AND(S91&lt;OP!$C$24,$U91&lt;15),0,IF(AND($U91&lt;16,$T91=12),VLOOKUP($S91,DOWN16,4,0),IF($T91=12,ROUND(VLOOKUP(OP!$C$55,_DIE2,$S91+1,0)*(Z91/10000),0)+IF(AND($P$7="購買增額繳清保險",T91=12,U91=110),VLOOKUP(S91,$B$10:$H$121,7,0),0),"")))</f>
        <v/>
      </c>
      <c r="AD91" s="347"/>
      <c r="AE91" s="350" t="str">
        <f t="shared" ca="1" si="70"/>
        <v/>
      </c>
      <c r="AF91" s="351" t="str">
        <f t="shared" ca="1" si="71"/>
        <v/>
      </c>
      <c r="AG91" s="340"/>
      <c r="AH91" s="340"/>
      <c r="AI91" s="340"/>
      <c r="AJ91" s="340"/>
      <c r="AK91" s="340"/>
      <c r="AL91" s="340"/>
      <c r="AM91" s="340"/>
      <c r="AN91" s="191">
        <f t="shared" si="83"/>
        <v>7</v>
      </c>
      <c r="AO91" s="191">
        <f t="shared" si="84"/>
        <v>11</v>
      </c>
      <c r="AP91" s="191">
        <f ca="1">OP!$D$5+$AN91-1</f>
        <v>39</v>
      </c>
      <c r="AQ91" s="191" t="str">
        <f t="shared" si="85"/>
        <v/>
      </c>
      <c r="AR91" s="352">
        <f t="shared" ca="1" si="86"/>
        <v>0</v>
      </c>
      <c r="AS91" s="352"/>
      <c r="AT91" s="352"/>
      <c r="AU91" s="436"/>
      <c r="AV91" s="353" t="str">
        <f t="shared" ca="1" si="87"/>
        <v/>
      </c>
      <c r="AW91" s="422" t="str">
        <f t="shared" si="88"/>
        <v/>
      </c>
      <c r="AX91" s="423" t="str">
        <f ca="1">IF(AND($AW91=1,$AP91&lt;16,$AN90&lt;OP!$C$24),OP!$C$49,"")</f>
        <v/>
      </c>
      <c r="AY91" s="340"/>
      <c r="AZ91" s="465">
        <f t="shared" ca="1" si="89"/>
        <v>7.3698599999999999E-5</v>
      </c>
      <c r="BA91" s="464">
        <f t="shared" ca="1" si="90"/>
        <v>2.1372602999999999E-3</v>
      </c>
      <c r="BB91" s="465">
        <f t="shared" ca="1" si="90"/>
        <v>2.2109589000000002E-3</v>
      </c>
      <c r="BC91" s="466">
        <f t="shared" ca="1" si="91"/>
        <v>45383</v>
      </c>
      <c r="BD91" s="467">
        <f t="shared" ca="1" si="115"/>
        <v>45384</v>
      </c>
      <c r="BE91" s="467">
        <f t="shared" ca="1" si="92"/>
        <v>45412</v>
      </c>
      <c r="BF91" s="468">
        <f ca="1">IF(計算!$BC91&lt;OP!$C$3,0,BD91-BC91)</f>
        <v>1</v>
      </c>
      <c r="BG91" s="468">
        <f ca="1">IF($BE91&gt;DATE(YEAR($BD$9)+OP!$C$57,MONTH($BD$9),DAY($BD$9)),0,$BE91-$BD91+1)</f>
        <v>29</v>
      </c>
      <c r="BH91" s="469">
        <f t="shared" ca="1" si="93"/>
        <v>30</v>
      </c>
      <c r="BI91" t="str">
        <f t="shared" si="128"/>
        <v/>
      </c>
      <c r="BJ91">
        <v>10</v>
      </c>
      <c r="BN91" s="468">
        <f t="shared" si="116"/>
        <v>7</v>
      </c>
      <c r="BO91" s="468">
        <f t="shared" si="117"/>
        <v>10</v>
      </c>
      <c r="BP91" s="467">
        <f t="shared" ca="1" si="94"/>
        <v>45384</v>
      </c>
      <c r="BQ91" s="475">
        <f t="shared" ca="1" si="126"/>
        <v>39</v>
      </c>
      <c r="BR91" s="475" t="str">
        <f t="shared" si="118"/>
        <v/>
      </c>
      <c r="BS91" s="471" t="str">
        <f t="shared" si="95"/>
        <v/>
      </c>
      <c r="BT91" s="472" t="str">
        <f t="shared" si="129"/>
        <v/>
      </c>
      <c r="BU91" s="472">
        <f t="shared" ca="1" si="96"/>
        <v>0</v>
      </c>
      <c r="BV91" s="472">
        <f t="shared" ca="1" si="96"/>
        <v>0</v>
      </c>
      <c r="BW91" s="472"/>
      <c r="BX91" s="473">
        <f t="shared" ca="1" si="97"/>
        <v>0</v>
      </c>
      <c r="BY91" s="473">
        <f t="shared" si="98"/>
        <v>0</v>
      </c>
      <c r="BZ91" s="473">
        <f t="shared" ca="1" si="72"/>
        <v>0</v>
      </c>
      <c r="CA91" s="476">
        <f t="shared" ca="1" si="99"/>
        <v>0</v>
      </c>
      <c r="CB91" s="494">
        <f ca="1">IF(OR($Q90&lt;&gt;1,OP!$D$5+$BN91-1&lt;16,$BN91-1&lt;1),0,ROUND(ROUND(ROUND(((VLOOKUP($BN91-1,MORE_PV,5,0)/10000)*VLOOKUP($BN91,MORE_PV,$CB$5,0)),3)*VLOOKUP($BN91,more1,5,0),0)/$R90,0))</f>
        <v>0</v>
      </c>
      <c r="CC91" s="473">
        <f t="shared" ca="1" si="100"/>
        <v>0</v>
      </c>
      <c r="CD91" s="477"/>
      <c r="CE91" s="468">
        <f t="shared" si="119"/>
        <v>7</v>
      </c>
      <c r="CF91" s="468">
        <f t="shared" si="120"/>
        <v>10</v>
      </c>
      <c r="CG91" s="467">
        <f t="shared" ca="1" si="73"/>
        <v>45384</v>
      </c>
      <c r="CH91" s="475">
        <f t="shared" ca="1" si="127"/>
        <v>39</v>
      </c>
      <c r="CI91" s="513" t="str">
        <f t="shared" si="121"/>
        <v/>
      </c>
      <c r="CJ91" s="511">
        <f t="shared" si="101"/>
        <v>0</v>
      </c>
      <c r="CK91" s="512">
        <f t="shared" si="102"/>
        <v>0</v>
      </c>
      <c r="CL91" s="511">
        <f t="shared" ca="1" si="122"/>
        <v>0</v>
      </c>
      <c r="CM91" s="511">
        <f ca="1">ROUND(CS91-IF(OR($CE91&gt;=OP!$C$24,AND(CH91=15,CF91=12),CS91=0),0,(CT91-CR91)),$CM$7)</f>
        <v>0</v>
      </c>
      <c r="CN91" s="511"/>
      <c r="CO91" s="351">
        <f t="shared" ca="1" si="103"/>
        <v>24529</v>
      </c>
      <c r="CP91" s="473">
        <f t="shared" si="104"/>
        <v>0</v>
      </c>
      <c r="CQ91" s="473">
        <f t="shared" ca="1" si="74"/>
        <v>54.232610858000001</v>
      </c>
      <c r="CR91" s="476">
        <f t="shared" ca="1" si="105"/>
        <v>0</v>
      </c>
      <c r="CS91" s="494">
        <f ca="1">IF(OR($Q90&lt;&gt;1,OP!$D$5+$CE91-1&lt;16,$CE91-1&lt;1),0,ROUND(ROUND(ROUND(((VLOOKUP($CE91-1,MORE_PV,5,0)/10000)*VLOOKUP($CE91,MORE_PV,$CS$5,0)),3)*VLOOKUP($CE91,more1,5,0),0)/$R90,0))</f>
        <v>0</v>
      </c>
      <c r="CT91" s="473">
        <f>IF($AW91=1,IF(N($CR91+$CS91)&lt;N($AX91)*OP!$C$50,N($CR91+$CS91),MIN(N($CR91+$CS91),N($AX91))),0)</f>
        <v>0</v>
      </c>
      <c r="CV91" s="503">
        <f t="shared" ca="1" si="106"/>
        <v>24529.192737636</v>
      </c>
      <c r="CW91" s="503">
        <f t="shared" ca="1" si="107"/>
        <v>0</v>
      </c>
      <c r="CX91" s="503">
        <f t="shared" ca="1" si="108"/>
        <v>24581.614144080999</v>
      </c>
    </row>
    <row r="92" spans="1:102" ht="16.5" hidden="1">
      <c r="A92" s="450">
        <f ca="1">OP!$D$5+$B92-1</f>
        <v>114</v>
      </c>
      <c r="B92" s="192">
        <v>82</v>
      </c>
      <c r="C92" s="219">
        <f ca="1">ROUND(VLOOKUP(OP!$C$55,PV0,B92+2,0)*OP!$C$28,0)</f>
        <v>0</v>
      </c>
      <c r="D92" s="189">
        <f t="shared" ca="1" si="109"/>
        <v>0</v>
      </c>
      <c r="E92" s="221">
        <f t="shared" ca="1" si="110"/>
        <v>2.69E-2</v>
      </c>
      <c r="F92" s="222">
        <f t="shared" ca="1" si="111"/>
        <v>6.8999999999999999E-3</v>
      </c>
      <c r="G92" s="223">
        <f t="shared" ca="1" si="123"/>
        <v>2765515</v>
      </c>
      <c r="H92" s="224">
        <f t="shared" ca="1" si="124"/>
        <v>0</v>
      </c>
      <c r="I92" s="450">
        <f t="shared" ca="1" si="125"/>
        <v>12</v>
      </c>
      <c r="J92" s="192">
        <f t="shared" si="75"/>
        <v>7</v>
      </c>
      <c r="K92" s="192">
        <f t="shared" si="76"/>
        <v>12</v>
      </c>
      <c r="L92" s="192">
        <f t="shared" si="69"/>
        <v>7</v>
      </c>
      <c r="M92" s="216">
        <f ca="1">IF($Q92=1,VLOOKUP(L92,$BR$9:$BT$1341,3,0),0)</f>
        <v>7329</v>
      </c>
      <c r="N92" s="216"/>
      <c r="O92" s="216"/>
      <c r="P92" s="216"/>
      <c r="Q92" s="456">
        <f t="shared" ca="1" si="78"/>
        <v>1</v>
      </c>
      <c r="R92" s="450">
        <f t="shared" ca="1" si="79"/>
        <v>1</v>
      </c>
      <c r="S92" s="191">
        <f t="shared" si="80"/>
        <v>7</v>
      </c>
      <c r="T92" s="191">
        <f t="shared" si="81"/>
        <v>12</v>
      </c>
      <c r="U92" s="191">
        <f ca="1">OP!$D$5+$S92-1</f>
        <v>39</v>
      </c>
      <c r="V92" s="191">
        <f t="shared" si="82"/>
        <v>7</v>
      </c>
      <c r="W92" s="350">
        <f ca="1">IF(Q92&lt;&gt;1,0,VLOOKUP(OP!$C$55,PVFB,$S92+2,0))</f>
        <v>30522</v>
      </c>
      <c r="X92" s="473">
        <f t="shared" ca="1" si="112"/>
        <v>7329</v>
      </c>
      <c r="Y92" s="348">
        <f t="shared" ca="1" si="113"/>
        <v>0</v>
      </c>
      <c r="Z92" s="348">
        <f t="shared" ca="1" si="114"/>
        <v>8012</v>
      </c>
      <c r="AA92" s="348">
        <f ca="1">IF(Q92&lt;&gt;1,0,VLOOKUP(OP!$C$55,PVFB,$S92+2,0))</f>
        <v>30522</v>
      </c>
      <c r="AB92" s="488">
        <f ca="1">IF(AND(S92&lt;OP!$C$24,$U92&lt;15),0,IF(AND($U92&lt;15,$T92=12),ROUND(VLOOKUP($S92,DOWN16,5,0),3),IF($T92=12,ROUND(($Z92/10000)*$AA92,3)+IF(AND($P$7="購買增額繳清保險",T92=12,U92=110),VLOOKUP(S92,$B$10:$H$121,7,0),0),"")))</f>
        <v>24454.225999999999</v>
      </c>
      <c r="AC92" s="350">
        <f ca="1">IF(AND(S92&lt;OP!$C$24,$U92&lt;15),0,IF(AND($U92&lt;16,$T92=12),VLOOKUP($S92,DOWN16,4,0),IF($T92=12,ROUND(VLOOKUP(OP!$C$55,_DIE2,$S92+1,0)*(Z92/10000),0)+IF(AND($P$7="購買增額繳清保險",T92=12,U92=110),VLOOKUP(S92,$B$10:$H$121,7,0),0),"")))</f>
        <v>25514</v>
      </c>
      <c r="AD92" s="347"/>
      <c r="AE92" s="350" t="str">
        <f t="shared" ca="1" si="70"/>
        <v/>
      </c>
      <c r="AF92" s="351" t="str">
        <f t="shared" ca="1" si="71"/>
        <v/>
      </c>
      <c r="AG92" s="340"/>
      <c r="AH92" s="340"/>
      <c r="AI92" s="340"/>
      <c r="AJ92" s="340"/>
      <c r="AK92" s="340"/>
      <c r="AL92" s="340"/>
      <c r="AM92" s="340"/>
      <c r="AN92" s="191">
        <f t="shared" si="83"/>
        <v>7</v>
      </c>
      <c r="AO92" s="191">
        <f t="shared" si="84"/>
        <v>12</v>
      </c>
      <c r="AP92" s="191">
        <f ca="1">OP!$D$5+$AN92-1</f>
        <v>39</v>
      </c>
      <c r="AQ92" s="191">
        <f t="shared" si="85"/>
        <v>7</v>
      </c>
      <c r="AR92" s="352">
        <f t="shared" ca="1" si="86"/>
        <v>31800</v>
      </c>
      <c r="AS92" s="352"/>
      <c r="AT92" s="352"/>
      <c r="AU92" s="436"/>
      <c r="AV92" s="353">
        <f t="shared" ca="1" si="87"/>
        <v>1</v>
      </c>
      <c r="AW92" s="422" t="str">
        <f t="shared" si="88"/>
        <v/>
      </c>
      <c r="AX92" s="423" t="str">
        <f ca="1">IF(AND($AW92=1,$AP92&lt;16,$AN91&lt;OP!$C$24),OP!$C$49,"")</f>
        <v/>
      </c>
      <c r="AY92" s="340"/>
      <c r="AZ92" s="465">
        <f t="shared" ca="1" si="89"/>
        <v>7.3698599999999999E-5</v>
      </c>
      <c r="BA92" s="464">
        <f t="shared" ca="1" si="90"/>
        <v>2.2109589000000002E-3</v>
      </c>
      <c r="BB92" s="465">
        <f t="shared" ca="1" si="90"/>
        <v>2.2846575E-3</v>
      </c>
      <c r="BC92" s="466">
        <f t="shared" ca="1" si="91"/>
        <v>45413</v>
      </c>
      <c r="BD92" s="467">
        <f t="shared" ca="1" si="115"/>
        <v>45414</v>
      </c>
      <c r="BE92" s="467">
        <f t="shared" ca="1" si="92"/>
        <v>45443</v>
      </c>
      <c r="BF92" s="468">
        <f ca="1">IF(計算!$BC92&lt;OP!$C$3,0,BD92-BC92)</f>
        <v>1</v>
      </c>
      <c r="BG92" s="468">
        <f ca="1">IF($BE92&gt;DATE(YEAR($BD$9)+OP!$C$57,MONTH($BD$9),DAY($BD$9)),0,$BE92-$BD92+1)</f>
        <v>30</v>
      </c>
      <c r="BH92" s="469">
        <f t="shared" ca="1" si="93"/>
        <v>31</v>
      </c>
      <c r="BI92" t="str">
        <f t="shared" si="128"/>
        <v/>
      </c>
      <c r="BJ92">
        <v>11</v>
      </c>
      <c r="BN92" s="468">
        <f t="shared" si="116"/>
        <v>7</v>
      </c>
      <c r="BO92" s="468">
        <f t="shared" si="117"/>
        <v>11</v>
      </c>
      <c r="BP92" s="467">
        <f t="shared" ca="1" si="94"/>
        <v>45414</v>
      </c>
      <c r="BQ92" s="475">
        <f t="shared" ca="1" si="126"/>
        <v>39</v>
      </c>
      <c r="BR92" s="475" t="str">
        <f t="shared" si="118"/>
        <v/>
      </c>
      <c r="BS92" s="471" t="str">
        <f t="shared" si="95"/>
        <v/>
      </c>
      <c r="BT92" s="472" t="str">
        <f t="shared" si="129"/>
        <v/>
      </c>
      <c r="BU92" s="472">
        <f t="shared" ca="1" si="96"/>
        <v>0</v>
      </c>
      <c r="BV92" s="472">
        <f t="shared" ca="1" si="96"/>
        <v>0</v>
      </c>
      <c r="BW92" s="472"/>
      <c r="BX92" s="473">
        <f t="shared" ca="1" si="97"/>
        <v>0</v>
      </c>
      <c r="BY92" s="473">
        <f t="shared" si="98"/>
        <v>0</v>
      </c>
      <c r="BZ92" s="473">
        <f t="shared" ca="1" si="72"/>
        <v>0</v>
      </c>
      <c r="CA92" s="476">
        <f t="shared" ca="1" si="99"/>
        <v>0</v>
      </c>
      <c r="CB92" s="494">
        <f ca="1">IF(OR($Q91&lt;&gt;1,OP!$D$5+$BN92-1&lt;16,$BN92-1&lt;1),0,ROUND(ROUND(ROUND(((VLOOKUP($BN92-1,MORE_PV,5,0)/10000)*VLOOKUP($BN92,MORE_PV,$CB$5,0)),3)*VLOOKUP($BN92,more1,5,0),0)/$R91,0))</f>
        <v>0</v>
      </c>
      <c r="CC92" s="473">
        <f t="shared" ca="1" si="100"/>
        <v>0</v>
      </c>
      <c r="CD92" s="477"/>
      <c r="CE92" s="468">
        <f t="shared" si="119"/>
        <v>7</v>
      </c>
      <c r="CF92" s="468">
        <f t="shared" si="120"/>
        <v>11</v>
      </c>
      <c r="CG92" s="467">
        <f t="shared" ca="1" si="73"/>
        <v>45414</v>
      </c>
      <c r="CH92" s="475">
        <f t="shared" ca="1" si="127"/>
        <v>39</v>
      </c>
      <c r="CI92" s="513" t="str">
        <f t="shared" si="121"/>
        <v/>
      </c>
      <c r="CJ92" s="511">
        <f t="shared" si="101"/>
        <v>0</v>
      </c>
      <c r="CK92" s="512">
        <f t="shared" si="102"/>
        <v>0</v>
      </c>
      <c r="CL92" s="511">
        <f t="shared" ca="1" si="122"/>
        <v>0</v>
      </c>
      <c r="CM92" s="511">
        <f ca="1">ROUND(CS92-IF(OR($CE92&gt;=OP!$C$24,AND(CH92=15,CF92=12),CS92=0),0,(CT92-CR92)),$CM$7)</f>
        <v>0</v>
      </c>
      <c r="CN92" s="511"/>
      <c r="CO92" s="351">
        <f t="shared" ca="1" si="103"/>
        <v>24583</v>
      </c>
      <c r="CP92" s="473">
        <f t="shared" si="104"/>
        <v>0</v>
      </c>
      <c r="CQ92" s="473">
        <f t="shared" ca="1" si="74"/>
        <v>56.163735322999997</v>
      </c>
      <c r="CR92" s="476">
        <f t="shared" ca="1" si="105"/>
        <v>0</v>
      </c>
      <c r="CS92" s="494">
        <f ca="1">IF(OR($Q91&lt;&gt;1,OP!$D$5+$CE92-1&lt;16,$CE92-1&lt;1),0,ROUND(ROUND(ROUND(((VLOOKUP($CE92-1,MORE_PV,5,0)/10000)*VLOOKUP($CE92,MORE_PV,$CS$5,0)),3)*VLOOKUP($CE92,more1,5,0),0)/$R91,0))</f>
        <v>0</v>
      </c>
      <c r="CT92" s="473">
        <f>IF($AW92=1,IF(N($CR92+$CS92)&lt;N($AX92)*OP!$C$50,N($CR92+$CS92),MIN(N($CR92+$CS92),N($AX92))),0)</f>
        <v>0</v>
      </c>
      <c r="CV92" s="503">
        <f t="shared" ca="1" si="106"/>
        <v>24583.425774628999</v>
      </c>
      <c r="CW92" s="503">
        <f t="shared" ca="1" si="107"/>
        <v>0</v>
      </c>
      <c r="CX92" s="503">
        <f t="shared" ca="1" si="108"/>
        <v>24637.774713196999</v>
      </c>
    </row>
    <row r="93" spans="1:102" ht="16.5" hidden="1">
      <c r="A93" s="450">
        <f ca="1">OP!$D$5+$B93-1</f>
        <v>115</v>
      </c>
      <c r="B93" s="192">
        <v>83</v>
      </c>
      <c r="C93" s="219">
        <f ca="1">ROUND(VLOOKUP(OP!$C$55,PV0,B93+2,0)*OP!$C$28,0)</f>
        <v>0</v>
      </c>
      <c r="D93" s="189">
        <f t="shared" ca="1" si="109"/>
        <v>0</v>
      </c>
      <c r="E93" s="221">
        <f t="shared" ca="1" si="110"/>
        <v>2.69E-2</v>
      </c>
      <c r="F93" s="222">
        <f t="shared" ca="1" si="111"/>
        <v>6.8999999999999999E-3</v>
      </c>
      <c r="G93" s="223">
        <f t="shared" ca="1" si="123"/>
        <v>2767962</v>
      </c>
      <c r="H93" s="224">
        <f t="shared" ca="1" si="124"/>
        <v>0</v>
      </c>
      <c r="I93" s="450">
        <f t="shared" ca="1" si="125"/>
        <v>12</v>
      </c>
      <c r="J93" s="192">
        <f t="shared" si="75"/>
        <v>8</v>
      </c>
      <c r="K93" s="192">
        <f t="shared" si="76"/>
        <v>1</v>
      </c>
      <c r="L93" s="192" t="str">
        <f t="shared" si="69"/>
        <v/>
      </c>
      <c r="M93" s="216">
        <f t="shared" ca="1" si="77"/>
        <v>0</v>
      </c>
      <c r="N93" s="216"/>
      <c r="O93" s="216"/>
      <c r="P93" s="216"/>
      <c r="Q93" s="456" t="str">
        <f t="shared" ca="1" si="78"/>
        <v/>
      </c>
      <c r="R93" s="450">
        <f t="shared" ca="1" si="79"/>
        <v>1</v>
      </c>
      <c r="S93" s="191">
        <f t="shared" si="80"/>
        <v>8</v>
      </c>
      <c r="T93" s="191">
        <f t="shared" si="81"/>
        <v>1</v>
      </c>
      <c r="U93" s="191">
        <f ca="1">OP!$D$5+$S93-1</f>
        <v>40</v>
      </c>
      <c r="V93" s="191" t="str">
        <f t="shared" si="82"/>
        <v/>
      </c>
      <c r="W93" s="350">
        <f ca="1">IF(Q93&lt;&gt;1,0,VLOOKUP(OP!$C$55,PVFB,$S93+2,0))</f>
        <v>0</v>
      </c>
      <c r="X93" s="473">
        <f t="shared" ca="1" si="112"/>
        <v>0</v>
      </c>
      <c r="Y93" s="348">
        <f t="shared" ca="1" si="113"/>
        <v>0</v>
      </c>
      <c r="Z93" s="348">
        <f t="shared" ca="1" si="114"/>
        <v>8012</v>
      </c>
      <c r="AA93" s="348">
        <f ca="1">IF(Q93&lt;&gt;1,0,VLOOKUP(OP!$C$55,PVFB,$S93+2,0))</f>
        <v>0</v>
      </c>
      <c r="AB93" s="488" t="str">
        <f ca="1">IF(AND(S93&lt;OP!$C$24,$U93&lt;15),0,IF(AND($U93&lt;15,$T93=12),ROUND(VLOOKUP($S93,DOWN16,5,0),3),IF($T93=12,ROUND(($Z93/10000)*$AA93,3)+IF(AND($P$7="購買增額繳清保險",T93=12,U93=110),VLOOKUP(S93,$B$10:$H$121,7,0),0),"")))</f>
        <v/>
      </c>
      <c r="AC93" s="350" t="str">
        <f ca="1">IF(AND(S93&lt;OP!$C$24,$U93&lt;15),0,IF(AND($U93&lt;16,$T93=12),VLOOKUP($S93,DOWN16,4,0),IF($T93=12,ROUND(VLOOKUP(OP!$C$55,_DIE2,$S93+1,0)*(Z93/10000),0)+IF(AND($P$7="購買增額繳清保險",T93=12,U93=110),VLOOKUP(S93,$B$10:$H$121,7,0),0),"")))</f>
        <v/>
      </c>
      <c r="AD93" s="347"/>
      <c r="AE93" s="350" t="str">
        <f t="shared" ca="1" si="70"/>
        <v/>
      </c>
      <c r="AF93" s="351" t="str">
        <f t="shared" ca="1" si="71"/>
        <v/>
      </c>
      <c r="AG93" s="340"/>
      <c r="AH93" s="340"/>
      <c r="AI93" s="340"/>
      <c r="AJ93" s="340"/>
      <c r="AK93" s="340"/>
      <c r="AL93" s="340"/>
      <c r="AM93" s="340"/>
      <c r="AN93" s="191">
        <f t="shared" si="83"/>
        <v>8</v>
      </c>
      <c r="AO93" s="191">
        <f t="shared" si="84"/>
        <v>1</v>
      </c>
      <c r="AP93" s="191">
        <f ca="1">OP!$D$5+$AN93-1</f>
        <v>40</v>
      </c>
      <c r="AQ93" s="191" t="str">
        <f t="shared" si="85"/>
        <v/>
      </c>
      <c r="AR93" s="352">
        <f t="shared" ca="1" si="86"/>
        <v>0</v>
      </c>
      <c r="AS93" s="352"/>
      <c r="AT93" s="352"/>
      <c r="AU93" s="436"/>
      <c r="AV93" s="353" t="str">
        <f t="shared" ca="1" si="87"/>
        <v/>
      </c>
      <c r="AW93" s="422">
        <f t="shared" si="88"/>
        <v>1</v>
      </c>
      <c r="AX93" s="423" t="str">
        <f ca="1">IF(AND($AW93=1,$AP93&lt;16,$AN92&lt;OP!$C$24),OP!$C$49,"")</f>
        <v/>
      </c>
      <c r="AY93" s="340"/>
      <c r="AZ93" s="465">
        <f t="shared" ca="1" si="89"/>
        <v>7.3698599999999999E-5</v>
      </c>
      <c r="BA93" s="464">
        <f t="shared" ca="1" si="90"/>
        <v>2.1372602999999999E-3</v>
      </c>
      <c r="BB93" s="465">
        <f t="shared" ca="1" si="90"/>
        <v>2.2109589000000002E-3</v>
      </c>
      <c r="BC93" s="466">
        <f t="shared" ca="1" si="91"/>
        <v>45444</v>
      </c>
      <c r="BD93" s="467">
        <f t="shared" ca="1" si="115"/>
        <v>45445</v>
      </c>
      <c r="BE93" s="467">
        <f t="shared" ca="1" si="92"/>
        <v>45473</v>
      </c>
      <c r="BF93" s="468">
        <f ca="1">IF(計算!$BC93&lt;OP!$C$3,0,BD93-BC93)</f>
        <v>1</v>
      </c>
      <c r="BG93" s="468">
        <f ca="1">IF($BE93&gt;DATE(YEAR($BD$9)+OP!$C$57,MONTH($BD$9),DAY($BD$9)),0,$BE93-$BD93+1)</f>
        <v>29</v>
      </c>
      <c r="BH93" s="469">
        <f t="shared" ca="1" si="93"/>
        <v>30</v>
      </c>
      <c r="BI93">
        <f t="shared" ca="1" si="128"/>
        <v>366</v>
      </c>
      <c r="BJ93">
        <v>12</v>
      </c>
      <c r="BN93" s="468">
        <f t="shared" si="116"/>
        <v>7</v>
      </c>
      <c r="BO93" s="468">
        <f t="shared" si="117"/>
        <v>12</v>
      </c>
      <c r="BP93" s="467">
        <f t="shared" ca="1" si="94"/>
        <v>45445</v>
      </c>
      <c r="BQ93" s="475">
        <f t="shared" ca="1" si="126"/>
        <v>39</v>
      </c>
      <c r="BR93" s="475">
        <f t="shared" si="118"/>
        <v>7</v>
      </c>
      <c r="BS93" s="471">
        <f t="shared" ca="1" si="95"/>
        <v>7329</v>
      </c>
      <c r="BT93" s="472">
        <f t="shared" ca="1" si="129"/>
        <v>7329</v>
      </c>
      <c r="BU93" s="472">
        <f t="shared" ca="1" si="96"/>
        <v>7160</v>
      </c>
      <c r="BV93" s="472">
        <f t="shared" ca="1" si="96"/>
        <v>169</v>
      </c>
      <c r="BW93" s="472">
        <f ca="1">ROUND(SUM(BY93,BZ81:BZ92),0)</f>
        <v>0</v>
      </c>
      <c r="BX93" s="473">
        <f t="shared" ca="1" si="97"/>
        <v>7329</v>
      </c>
      <c r="BY93" s="473">
        <f t="shared" ca="1" si="98"/>
        <v>0</v>
      </c>
      <c r="BZ93" s="473">
        <f t="shared" ca="1" si="72"/>
        <v>15.663980738999999</v>
      </c>
      <c r="CA93" s="476">
        <f t="shared" ca="1" si="99"/>
        <v>7160</v>
      </c>
      <c r="CB93" s="494">
        <f ca="1">IF(OR($Q92&lt;&gt;1,OP!$D$5+$BN93-1&lt;16,$BN93-1&lt;1),0,ROUND(ROUND(ROUND(((VLOOKUP($BN93-1,MORE_PV,5,0)/10000)*VLOOKUP($BN93,MORE_PV,$CB$5,0)),3)*VLOOKUP($BN93,more1,5,0),0)/$R92,0))</f>
        <v>169</v>
      </c>
      <c r="CC93" s="473">
        <f t="shared" ca="1" si="100"/>
        <v>0</v>
      </c>
      <c r="CD93" s="477"/>
      <c r="CE93" s="468">
        <f t="shared" si="119"/>
        <v>7</v>
      </c>
      <c r="CF93" s="468">
        <f t="shared" si="120"/>
        <v>12</v>
      </c>
      <c r="CG93" s="467">
        <f t="shared" ca="1" si="73"/>
        <v>45445</v>
      </c>
      <c r="CH93" s="475">
        <f t="shared" ca="1" si="127"/>
        <v>39</v>
      </c>
      <c r="CI93" s="513">
        <f t="shared" si="121"/>
        <v>7</v>
      </c>
      <c r="CJ93" s="511">
        <f t="shared" ca="1" si="101"/>
        <v>7498</v>
      </c>
      <c r="CK93" s="512">
        <f t="shared" ca="1" si="102"/>
        <v>31799.590482701002</v>
      </c>
      <c r="CL93" s="511">
        <f t="shared" ca="1" si="122"/>
        <v>7329</v>
      </c>
      <c r="CM93" s="511">
        <f ca="1">ROUND(CS93-IF(OR($CE93&gt;=OP!$C$24,AND(CH93=15,CF93=12),CS93=0),0,(CT93-CR93)),$CM$7)</f>
        <v>169</v>
      </c>
      <c r="CN93" s="511">
        <f ca="1">ROUND(SUM(CP93,CQ81:CQ92),$CN$7)</f>
        <v>655.05966783199995</v>
      </c>
      <c r="CO93" s="351">
        <f t="shared" ca="1" si="103"/>
        <v>31800</v>
      </c>
      <c r="CP93" s="473">
        <f t="shared" ca="1" si="104"/>
        <v>1.815871872</v>
      </c>
      <c r="CQ93" s="473">
        <f t="shared" ca="1" si="74"/>
        <v>67.964877540000003</v>
      </c>
      <c r="CR93" s="476">
        <f t="shared" ca="1" si="105"/>
        <v>7160</v>
      </c>
      <c r="CS93" s="494">
        <f ca="1">IF(OR($Q92&lt;&gt;1,OP!$D$5+$CE93-1&lt;16,$CE93-1&lt;1),0,ROUND(ROUND(ROUND(((VLOOKUP($CE93-1,MORE_PV,5,0)/10000)*VLOOKUP($CE93,MORE_PV,$CS$5,0)),3)*VLOOKUP($CE93,more1,5,0),0)/$R92,0))</f>
        <v>169</v>
      </c>
      <c r="CT93" s="473">
        <f ca="1">IF($AW93=1,IF(N($CR93+$CS93)&lt;N($AX93)*OP!$C$50,N($CR93+$CS93),MIN(N($CR93+$CS93),N($AX93))),0)</f>
        <v>0</v>
      </c>
      <c r="CV93" s="503">
        <f t="shared" ca="1" si="106"/>
        <v>31799.590482701002</v>
      </c>
      <c r="CW93" s="503">
        <f t="shared" ca="1" si="107"/>
        <v>7175.3027837480004</v>
      </c>
      <c r="CX93" s="503">
        <f t="shared" ca="1" si="108"/>
        <v>31867.550604223001</v>
      </c>
    </row>
    <row r="94" spans="1:102" ht="16.5" hidden="1">
      <c r="A94" s="450">
        <f ca="1">OP!$D$5+$B94-1</f>
        <v>116</v>
      </c>
      <c r="B94" s="192">
        <v>84</v>
      </c>
      <c r="C94" s="219">
        <f ca="1">ROUND(VLOOKUP(OP!$C$55,PV0,B94+2,0)*OP!$C$28,0)</f>
        <v>0</v>
      </c>
      <c r="D94" s="189">
        <f t="shared" ca="1" si="109"/>
        <v>0</v>
      </c>
      <c r="E94" s="221">
        <f t="shared" ca="1" si="110"/>
        <v>2.69E-2</v>
      </c>
      <c r="F94" s="222">
        <f t="shared" ca="1" si="111"/>
        <v>6.8999999999999999E-3</v>
      </c>
      <c r="G94" s="223">
        <f t="shared" ca="1" si="123"/>
        <v>2770411</v>
      </c>
      <c r="H94" s="224">
        <f t="shared" ca="1" si="124"/>
        <v>0</v>
      </c>
      <c r="I94" s="450">
        <f t="shared" ca="1" si="125"/>
        <v>12</v>
      </c>
      <c r="J94" s="192">
        <f t="shared" si="75"/>
        <v>8</v>
      </c>
      <c r="K94" s="192">
        <f t="shared" si="76"/>
        <v>2</v>
      </c>
      <c r="L94" s="192" t="str">
        <f t="shared" si="69"/>
        <v/>
      </c>
      <c r="M94" s="216">
        <f t="shared" ca="1" si="77"/>
        <v>0</v>
      </c>
      <c r="N94" s="216"/>
      <c r="O94" s="216"/>
      <c r="P94" s="216"/>
      <c r="Q94" s="456" t="str">
        <f t="shared" ca="1" si="78"/>
        <v/>
      </c>
      <c r="R94" s="450">
        <f t="shared" ca="1" si="79"/>
        <v>1</v>
      </c>
      <c r="S94" s="191">
        <f t="shared" si="80"/>
        <v>8</v>
      </c>
      <c r="T94" s="191">
        <f t="shared" si="81"/>
        <v>2</v>
      </c>
      <c r="U94" s="191">
        <f ca="1">OP!$D$5+$S94-1</f>
        <v>40</v>
      </c>
      <c r="V94" s="191" t="str">
        <f t="shared" si="82"/>
        <v/>
      </c>
      <c r="W94" s="350">
        <f ca="1">IF(Q94&lt;&gt;1,0,VLOOKUP(OP!$C$55,PVFB,$S94+2,0))</f>
        <v>0</v>
      </c>
      <c r="X94" s="473">
        <f t="shared" ca="1" si="112"/>
        <v>0</v>
      </c>
      <c r="Y94" s="348">
        <f t="shared" ca="1" si="113"/>
        <v>0</v>
      </c>
      <c r="Z94" s="348">
        <f t="shared" ca="1" si="114"/>
        <v>8012</v>
      </c>
      <c r="AA94" s="348">
        <f ca="1">IF(Q94&lt;&gt;1,0,VLOOKUP(OP!$C$55,PVFB,$S94+2,0))</f>
        <v>0</v>
      </c>
      <c r="AB94" s="488" t="str">
        <f ca="1">IF(AND(S94&lt;OP!$C$24,$U94&lt;15),0,IF(AND($U94&lt;15,$T94=12),ROUND(VLOOKUP($S94,DOWN16,5,0),3),IF($T94=12,ROUND(($Z94/10000)*$AA94,3)+IF(AND($P$7="購買增額繳清保險",T94=12,U94=110),VLOOKUP(S94,$B$10:$H$121,7,0),0),"")))</f>
        <v/>
      </c>
      <c r="AC94" s="350" t="str">
        <f ca="1">IF(AND(S94&lt;OP!$C$24,$U94&lt;15),0,IF(AND($U94&lt;16,$T94=12),VLOOKUP($S94,DOWN16,4,0),IF($T94=12,ROUND(VLOOKUP(OP!$C$55,_DIE2,$S94+1,0)*(Z94/10000),0)+IF(AND($P$7="購買增額繳清保險",T94=12,U94=110),VLOOKUP(S94,$B$10:$H$121,7,0),0),"")))</f>
        <v/>
      </c>
      <c r="AD94" s="347"/>
      <c r="AE94" s="350" t="str">
        <f t="shared" ca="1" si="70"/>
        <v/>
      </c>
      <c r="AF94" s="351" t="str">
        <f t="shared" ca="1" si="71"/>
        <v/>
      </c>
      <c r="AG94" s="340"/>
      <c r="AH94" s="340"/>
      <c r="AI94" s="340"/>
      <c r="AJ94" s="340"/>
      <c r="AK94" s="340"/>
      <c r="AL94" s="340"/>
      <c r="AM94" s="340"/>
      <c r="AN94" s="191">
        <f t="shared" si="83"/>
        <v>8</v>
      </c>
      <c r="AO94" s="191">
        <f t="shared" si="84"/>
        <v>2</v>
      </c>
      <c r="AP94" s="191">
        <f ca="1">OP!$D$5+$AN94-1</f>
        <v>40</v>
      </c>
      <c r="AQ94" s="191" t="str">
        <f t="shared" si="85"/>
        <v/>
      </c>
      <c r="AR94" s="352">
        <f t="shared" ca="1" si="86"/>
        <v>0</v>
      </c>
      <c r="AS94" s="352"/>
      <c r="AT94" s="352"/>
      <c r="AU94" s="436"/>
      <c r="AV94" s="353" t="str">
        <f t="shared" ca="1" si="87"/>
        <v/>
      </c>
      <c r="AW94" s="422" t="str">
        <f t="shared" si="88"/>
        <v/>
      </c>
      <c r="AX94" s="423" t="str">
        <f ca="1">IF(AND($AW94=1,$AP94&lt;16,$AN93&lt;OP!$C$24),OP!$C$49,"")</f>
        <v/>
      </c>
      <c r="AY94" s="340"/>
      <c r="AZ94" s="465">
        <f t="shared" ca="1" si="89"/>
        <v>7.3698599999999999E-5</v>
      </c>
      <c r="BA94" s="464">
        <f t="shared" ca="1" si="90"/>
        <v>2.2109589000000002E-3</v>
      </c>
      <c r="BB94" s="465">
        <f t="shared" ca="1" si="90"/>
        <v>2.2846575E-3</v>
      </c>
      <c r="BC94" s="466">
        <f t="shared" ca="1" si="91"/>
        <v>45474</v>
      </c>
      <c r="BD94" s="467">
        <f t="shared" ca="1" si="115"/>
        <v>45475</v>
      </c>
      <c r="BE94" s="467">
        <f t="shared" ca="1" si="92"/>
        <v>45504</v>
      </c>
      <c r="BF94" s="468">
        <f ca="1">IF(計算!$BC94&lt;OP!$C$3,0,BD94-BC94)</f>
        <v>1</v>
      </c>
      <c r="BG94" s="468">
        <f ca="1">IF($BE94&gt;DATE(YEAR($BD$9)+OP!$C$57,MONTH($BD$9),DAY($BD$9)),0,$BE94-$BD94+1)</f>
        <v>30</v>
      </c>
      <c r="BH94" s="469">
        <f t="shared" ca="1" si="93"/>
        <v>31</v>
      </c>
      <c r="BI94" t="str">
        <f t="shared" si="128"/>
        <v/>
      </c>
      <c r="BJ94">
        <v>1</v>
      </c>
      <c r="BN94" s="468">
        <f t="shared" si="116"/>
        <v>8</v>
      </c>
      <c r="BO94" s="468">
        <f t="shared" si="117"/>
        <v>1</v>
      </c>
      <c r="BP94" s="467">
        <f t="shared" ca="1" si="94"/>
        <v>45475</v>
      </c>
      <c r="BQ94" s="475">
        <f t="shared" ca="1" si="126"/>
        <v>40</v>
      </c>
      <c r="BR94" s="475" t="str">
        <f t="shared" si="118"/>
        <v/>
      </c>
      <c r="BS94" s="471" t="str">
        <f t="shared" si="95"/>
        <v/>
      </c>
      <c r="BT94" s="472" t="str">
        <f t="shared" si="129"/>
        <v/>
      </c>
      <c r="BU94" s="472">
        <f t="shared" ca="1" si="96"/>
        <v>0</v>
      </c>
      <c r="BV94" s="472">
        <f t="shared" ca="1" si="96"/>
        <v>0</v>
      </c>
      <c r="BW94" s="472"/>
      <c r="BX94" s="473">
        <f t="shared" ca="1" si="97"/>
        <v>7344.6639807390002</v>
      </c>
      <c r="BY94" s="473">
        <f t="shared" si="98"/>
        <v>0</v>
      </c>
      <c r="BZ94" s="473">
        <f t="shared" ca="1" si="72"/>
        <v>16.780041649000001</v>
      </c>
      <c r="CA94" s="476">
        <f t="shared" ca="1" si="99"/>
        <v>0</v>
      </c>
      <c r="CB94" s="494">
        <f ca="1">IF(OR($Q93&lt;&gt;1,OP!$D$5+$BN94-1&lt;16,$BN94-1&lt;1),0,ROUND(ROUND(ROUND(((VLOOKUP($BN94-1,MORE_PV,5,0)/10000)*VLOOKUP($BN94,MORE_PV,$CB$5,0)),3)*VLOOKUP($BN94,more1,5,0),0)/$R93,0))</f>
        <v>0</v>
      </c>
      <c r="CC94" s="473">
        <f t="shared" ca="1" si="100"/>
        <v>0</v>
      </c>
      <c r="CD94" s="477"/>
      <c r="CE94" s="468">
        <f t="shared" si="119"/>
        <v>8</v>
      </c>
      <c r="CF94" s="468">
        <f t="shared" si="120"/>
        <v>1</v>
      </c>
      <c r="CG94" s="467">
        <f t="shared" ca="1" si="73"/>
        <v>45475</v>
      </c>
      <c r="CH94" s="475">
        <f t="shared" ca="1" si="127"/>
        <v>40</v>
      </c>
      <c r="CI94" s="513" t="str">
        <f t="shared" si="121"/>
        <v/>
      </c>
      <c r="CJ94" s="511">
        <f t="shared" si="101"/>
        <v>0</v>
      </c>
      <c r="CK94" s="512">
        <f t="shared" si="102"/>
        <v>0</v>
      </c>
      <c r="CL94" s="511">
        <f t="shared" ca="1" si="122"/>
        <v>0</v>
      </c>
      <c r="CM94" s="511">
        <f ca="1">ROUND(CS94-IF(OR($CE94&gt;=OP!$C$24,AND(CH94=15,CF94=12),CS94=0),0,(CT94-CR94)),$CM$7)</f>
        <v>0</v>
      </c>
      <c r="CN94" s="511"/>
      <c r="CO94" s="351">
        <f t="shared" ca="1" si="103"/>
        <v>31870</v>
      </c>
      <c r="CP94" s="473">
        <f t="shared" si="104"/>
        <v>0</v>
      </c>
      <c r="CQ94" s="473">
        <f t="shared" ca="1" si="74"/>
        <v>72.812034525000001</v>
      </c>
      <c r="CR94" s="476">
        <f t="shared" ca="1" si="105"/>
        <v>0</v>
      </c>
      <c r="CS94" s="494">
        <f ca="1">IF(OR($Q93&lt;&gt;1,OP!$D$5+$CE94-1&lt;16,$CE94-1&lt;1),0,ROUND(ROUND(ROUND(((VLOOKUP($CE94-1,MORE_PV,5,0)/10000)*VLOOKUP($CE94,MORE_PV,$CS$5,0)),3)*VLOOKUP($CE94,more1,5,0),0)/$R93,0))</f>
        <v>0</v>
      </c>
      <c r="CT94" s="473">
        <f>IF($AW94=1,IF(N($CR94+$CS94)&lt;N($AX94)*OP!$C$50,N($CR94+$CS94),MIN(N($CR94+$CS94),N($AX94))),0)</f>
        <v>0</v>
      </c>
      <c r="CV94" s="503">
        <f t="shared" ca="1" si="106"/>
        <v>31869.899198087998</v>
      </c>
      <c r="CW94" s="503">
        <f t="shared" ca="1" si="107"/>
        <v>0</v>
      </c>
      <c r="CX94" s="503">
        <f t="shared" ca="1" si="108"/>
        <v>31940.357042717998</v>
      </c>
    </row>
    <row r="95" spans="1:102" ht="16.5" hidden="1">
      <c r="A95" s="450">
        <f ca="1">OP!$D$5+$B95-1</f>
        <v>117</v>
      </c>
      <c r="B95" s="192">
        <v>85</v>
      </c>
      <c r="C95" s="219">
        <f ca="1">ROUND(VLOOKUP(OP!$C$55,PV0,B95+2,0)*OP!$C$28,0)</f>
        <v>0</v>
      </c>
      <c r="D95" s="189">
        <f t="shared" ca="1" si="109"/>
        <v>0</v>
      </c>
      <c r="E95" s="221">
        <f t="shared" ca="1" si="110"/>
        <v>2.69E-2</v>
      </c>
      <c r="F95" s="222">
        <f t="shared" ca="1" si="111"/>
        <v>6.8999999999999999E-3</v>
      </c>
      <c r="G95" s="223">
        <f t="shared" ca="1" si="123"/>
        <v>2772862</v>
      </c>
      <c r="H95" s="224">
        <f t="shared" ca="1" si="124"/>
        <v>0</v>
      </c>
      <c r="I95" s="450">
        <f t="shared" ca="1" si="125"/>
        <v>12</v>
      </c>
      <c r="J95" s="192">
        <f t="shared" si="75"/>
        <v>8</v>
      </c>
      <c r="K95" s="192">
        <f t="shared" si="76"/>
        <v>3</v>
      </c>
      <c r="L95" s="192" t="str">
        <f t="shared" si="69"/>
        <v/>
      </c>
      <c r="M95" s="216">
        <f t="shared" ca="1" si="77"/>
        <v>0</v>
      </c>
      <c r="N95" s="216"/>
      <c r="O95" s="216"/>
      <c r="P95" s="216"/>
      <c r="Q95" s="456" t="str">
        <f t="shared" ca="1" si="78"/>
        <v/>
      </c>
      <c r="R95" s="450">
        <f t="shared" ca="1" si="79"/>
        <v>1</v>
      </c>
      <c r="S95" s="191">
        <f t="shared" si="80"/>
        <v>8</v>
      </c>
      <c r="T95" s="191">
        <f t="shared" si="81"/>
        <v>3</v>
      </c>
      <c r="U95" s="191">
        <f ca="1">OP!$D$5+$S95-1</f>
        <v>40</v>
      </c>
      <c r="V95" s="191" t="str">
        <f t="shared" si="82"/>
        <v/>
      </c>
      <c r="W95" s="350">
        <f ca="1">IF(Q95&lt;&gt;1,0,VLOOKUP(OP!$C$55,PVFB,$S95+2,0))</f>
        <v>0</v>
      </c>
      <c r="X95" s="473">
        <f t="shared" ca="1" si="112"/>
        <v>0</v>
      </c>
      <c r="Y95" s="348">
        <f t="shared" ca="1" si="113"/>
        <v>0</v>
      </c>
      <c r="Z95" s="348">
        <f t="shared" ca="1" si="114"/>
        <v>8012</v>
      </c>
      <c r="AA95" s="348">
        <f ca="1">IF(Q95&lt;&gt;1,0,VLOOKUP(OP!$C$55,PVFB,$S95+2,0))</f>
        <v>0</v>
      </c>
      <c r="AB95" s="488" t="str">
        <f ca="1">IF(AND(S95&lt;OP!$C$24,$U95&lt;15),0,IF(AND($U95&lt;15,$T95=12),ROUND(VLOOKUP($S95,DOWN16,5,0),3),IF($T95=12,ROUND(($Z95/10000)*$AA95,3)+IF(AND($P$7="購買增額繳清保險",T95=12,U95=110),VLOOKUP(S95,$B$10:$H$121,7,0),0),"")))</f>
        <v/>
      </c>
      <c r="AC95" s="350" t="str">
        <f ca="1">IF(AND(S95&lt;OP!$C$24,$U95&lt;15),0,IF(AND($U95&lt;16,$T95=12),VLOOKUP($S95,DOWN16,4,0),IF($T95=12,ROUND(VLOOKUP(OP!$C$55,_DIE2,$S95+1,0)*(Z95/10000),0)+IF(AND($P$7="購買增額繳清保險",T95=12,U95=110),VLOOKUP(S95,$B$10:$H$121,7,0),0),"")))</f>
        <v/>
      </c>
      <c r="AD95" s="347"/>
      <c r="AE95" s="350" t="str">
        <f t="shared" ca="1" si="70"/>
        <v/>
      </c>
      <c r="AF95" s="351" t="str">
        <f t="shared" ca="1" si="71"/>
        <v/>
      </c>
      <c r="AG95" s="340"/>
      <c r="AH95" s="340"/>
      <c r="AI95" s="340"/>
      <c r="AJ95" s="340"/>
      <c r="AK95" s="340"/>
      <c r="AL95" s="340"/>
      <c r="AM95" s="340"/>
      <c r="AN95" s="191">
        <f t="shared" si="83"/>
        <v>8</v>
      </c>
      <c r="AO95" s="191">
        <f t="shared" si="84"/>
        <v>3</v>
      </c>
      <c r="AP95" s="191">
        <f ca="1">OP!$D$5+$AN95-1</f>
        <v>40</v>
      </c>
      <c r="AQ95" s="191" t="str">
        <f t="shared" si="85"/>
        <v/>
      </c>
      <c r="AR95" s="352">
        <f t="shared" ca="1" si="86"/>
        <v>0</v>
      </c>
      <c r="AS95" s="352"/>
      <c r="AT95" s="352"/>
      <c r="AU95" s="436"/>
      <c r="AV95" s="353" t="str">
        <f t="shared" ca="1" si="87"/>
        <v/>
      </c>
      <c r="AW95" s="422" t="str">
        <f t="shared" si="88"/>
        <v/>
      </c>
      <c r="AX95" s="423" t="str">
        <f ca="1">IF(AND($AW95=1,$AP95&lt;16,$AN94&lt;OP!$C$24),OP!$C$49,"")</f>
        <v/>
      </c>
      <c r="AY95" s="340"/>
      <c r="AZ95" s="465">
        <f t="shared" ca="1" si="89"/>
        <v>7.3698599999999999E-5</v>
      </c>
      <c r="BA95" s="464">
        <f t="shared" ca="1" si="90"/>
        <v>2.2109589000000002E-3</v>
      </c>
      <c r="BB95" s="465">
        <f t="shared" ca="1" si="90"/>
        <v>2.2846575E-3</v>
      </c>
      <c r="BC95" s="466">
        <f t="shared" ca="1" si="91"/>
        <v>45505</v>
      </c>
      <c r="BD95" s="467">
        <f t="shared" ca="1" si="115"/>
        <v>45506</v>
      </c>
      <c r="BE95" s="467">
        <f t="shared" ca="1" si="92"/>
        <v>45535</v>
      </c>
      <c r="BF95" s="468">
        <f ca="1">IF(計算!$BC95&lt;OP!$C$3,0,BD95-BC95)</f>
        <v>1</v>
      </c>
      <c r="BG95" s="468">
        <f ca="1">IF($BE95&gt;DATE(YEAR($BD$9)+OP!$C$57,MONTH($BD$9),DAY($BD$9)),0,$BE95-$BD95+1)</f>
        <v>30</v>
      </c>
      <c r="BH95" s="469">
        <f t="shared" ca="1" si="93"/>
        <v>31</v>
      </c>
      <c r="BI95" t="str">
        <f t="shared" si="128"/>
        <v/>
      </c>
      <c r="BJ95">
        <v>2</v>
      </c>
      <c r="BN95" s="468">
        <f t="shared" si="116"/>
        <v>8</v>
      </c>
      <c r="BO95" s="468">
        <f t="shared" si="117"/>
        <v>2</v>
      </c>
      <c r="BP95" s="467">
        <f t="shared" ca="1" si="94"/>
        <v>45506</v>
      </c>
      <c r="BQ95" s="475">
        <f t="shared" ca="1" si="126"/>
        <v>40</v>
      </c>
      <c r="BR95" s="475" t="str">
        <f t="shared" si="118"/>
        <v/>
      </c>
      <c r="BS95" s="471" t="str">
        <f t="shared" si="95"/>
        <v/>
      </c>
      <c r="BT95" s="472" t="str">
        <f t="shared" si="129"/>
        <v/>
      </c>
      <c r="BU95" s="472">
        <f t="shared" ca="1" si="96"/>
        <v>0</v>
      </c>
      <c r="BV95" s="472">
        <f t="shared" ca="1" si="96"/>
        <v>0</v>
      </c>
      <c r="BW95" s="472"/>
      <c r="BX95" s="473">
        <f t="shared" ca="1" si="97"/>
        <v>7361.4440223880001</v>
      </c>
      <c r="BY95" s="473">
        <f t="shared" si="98"/>
        <v>0</v>
      </c>
      <c r="BZ95" s="473">
        <f t="shared" ca="1" si="72"/>
        <v>16.818378296999999</v>
      </c>
      <c r="CA95" s="476">
        <f t="shared" ca="1" si="99"/>
        <v>0</v>
      </c>
      <c r="CB95" s="494">
        <f ca="1">IF(OR($Q94&lt;&gt;1,OP!$D$5+$BN95-1&lt;16,$BN95-1&lt;1),0,ROUND(ROUND(ROUND(((VLOOKUP($BN95-1,MORE_PV,5,0)/10000)*VLOOKUP($BN95,MORE_PV,$CB$5,0)),3)*VLOOKUP($BN95,more1,5,0),0)/$R94,0))</f>
        <v>0</v>
      </c>
      <c r="CC95" s="473">
        <f t="shared" ca="1" si="100"/>
        <v>0</v>
      </c>
      <c r="CD95" s="477"/>
      <c r="CE95" s="468">
        <f t="shared" si="119"/>
        <v>8</v>
      </c>
      <c r="CF95" s="468">
        <f t="shared" si="120"/>
        <v>2</v>
      </c>
      <c r="CG95" s="467">
        <f t="shared" ca="1" si="73"/>
        <v>45506</v>
      </c>
      <c r="CH95" s="475">
        <f t="shared" ca="1" si="127"/>
        <v>40</v>
      </c>
      <c r="CI95" s="513" t="str">
        <f t="shared" si="121"/>
        <v/>
      </c>
      <c r="CJ95" s="511">
        <f t="shared" si="101"/>
        <v>0</v>
      </c>
      <c r="CK95" s="512">
        <f t="shared" si="102"/>
        <v>0</v>
      </c>
      <c r="CL95" s="511">
        <f t="shared" ca="1" si="122"/>
        <v>0</v>
      </c>
      <c r="CM95" s="511">
        <f ca="1">ROUND(CS95-IF(OR($CE95&gt;=OP!$C$24,AND(CH95=15,CF95=12),CS95=0),0,(CT95-CR95)),$CM$7)</f>
        <v>0</v>
      </c>
      <c r="CN95" s="511"/>
      <c r="CO95" s="351">
        <f t="shared" ca="1" si="103"/>
        <v>31943</v>
      </c>
      <c r="CP95" s="473">
        <f t="shared" si="104"/>
        <v>0</v>
      </c>
      <c r="CQ95" s="473">
        <f t="shared" ca="1" si="74"/>
        <v>72.978814522999997</v>
      </c>
      <c r="CR95" s="476">
        <f t="shared" ca="1" si="105"/>
        <v>0</v>
      </c>
      <c r="CS95" s="494">
        <f ca="1">IF(OR($Q94&lt;&gt;1,OP!$D$5+$CE95-1&lt;16,$CE95-1&lt;1),0,ROUND(ROUND(ROUND(((VLOOKUP($CE95-1,MORE_PV,5,0)/10000)*VLOOKUP($CE95,MORE_PV,$CS$5,0)),3)*VLOOKUP($CE95,more1,5,0),0)/$R94,0))</f>
        <v>0</v>
      </c>
      <c r="CT95" s="473">
        <f>IF($AW95=1,IF(N($CR95+$CS95)&lt;N($AX95)*OP!$C$50,N($CR95+$CS95),MIN(N($CR95+$CS95),N($AX95))),0)</f>
        <v>0</v>
      </c>
      <c r="CV95" s="503">
        <f t="shared" ca="1" si="106"/>
        <v>31942.711002315998</v>
      </c>
      <c r="CW95" s="503">
        <f t="shared" ca="1" si="107"/>
        <v>0</v>
      </c>
      <c r="CX95" s="503">
        <f t="shared" ca="1" si="108"/>
        <v>32013.329818988001</v>
      </c>
    </row>
    <row r="96" spans="1:102" ht="16.5" hidden="1">
      <c r="A96" s="450">
        <f ca="1">OP!$D$5+$B96-1</f>
        <v>118</v>
      </c>
      <c r="B96" s="192">
        <v>86</v>
      </c>
      <c r="C96" s="219">
        <f ca="1">ROUND(VLOOKUP(OP!$C$55,PV0,B96+2,0)*OP!$C$28,0)</f>
        <v>0</v>
      </c>
      <c r="D96" s="189">
        <f t="shared" ca="1" si="109"/>
        <v>0</v>
      </c>
      <c r="E96" s="221">
        <f t="shared" ca="1" si="110"/>
        <v>2.69E-2</v>
      </c>
      <c r="F96" s="222">
        <f t="shared" ca="1" si="111"/>
        <v>6.8999999999999999E-3</v>
      </c>
      <c r="G96" s="223">
        <f t="shared" ca="1" si="123"/>
        <v>2775315</v>
      </c>
      <c r="H96" s="224">
        <f t="shared" ca="1" si="124"/>
        <v>0</v>
      </c>
      <c r="I96" s="450">
        <f t="shared" ca="1" si="125"/>
        <v>12</v>
      </c>
      <c r="J96" s="192">
        <f t="shared" si="75"/>
        <v>8</v>
      </c>
      <c r="K96" s="192">
        <f t="shared" si="76"/>
        <v>4</v>
      </c>
      <c r="L96" s="192" t="str">
        <f t="shared" si="69"/>
        <v/>
      </c>
      <c r="M96" s="216">
        <f t="shared" ca="1" si="77"/>
        <v>0</v>
      </c>
      <c r="N96" s="216"/>
      <c r="O96" s="216"/>
      <c r="P96" s="216"/>
      <c r="Q96" s="456" t="str">
        <f t="shared" ca="1" si="78"/>
        <v/>
      </c>
      <c r="R96" s="450">
        <f t="shared" ca="1" si="79"/>
        <v>1</v>
      </c>
      <c r="S96" s="191">
        <f t="shared" si="80"/>
        <v>8</v>
      </c>
      <c r="T96" s="191">
        <f t="shared" si="81"/>
        <v>4</v>
      </c>
      <c r="U96" s="191">
        <f ca="1">OP!$D$5+$S96-1</f>
        <v>40</v>
      </c>
      <c r="V96" s="191" t="str">
        <f t="shared" si="82"/>
        <v/>
      </c>
      <c r="W96" s="350">
        <f ca="1">IF(Q96&lt;&gt;1,0,VLOOKUP(OP!$C$55,PVFB,$S96+2,0))</f>
        <v>0</v>
      </c>
      <c r="X96" s="473">
        <f t="shared" ca="1" si="112"/>
        <v>0</v>
      </c>
      <c r="Y96" s="348">
        <f t="shared" ca="1" si="113"/>
        <v>0</v>
      </c>
      <c r="Z96" s="348">
        <f t="shared" ca="1" si="114"/>
        <v>8012</v>
      </c>
      <c r="AA96" s="348">
        <f ca="1">IF(Q96&lt;&gt;1,0,VLOOKUP(OP!$C$55,PVFB,$S96+2,0))</f>
        <v>0</v>
      </c>
      <c r="AB96" s="488" t="str">
        <f ca="1">IF(AND(S96&lt;OP!$C$24,$U96&lt;15),0,IF(AND($U96&lt;15,$T96=12),ROUND(VLOOKUP($S96,DOWN16,5,0),3),IF($T96=12,ROUND(($Z96/10000)*$AA96,3)+IF(AND($P$7="購買增額繳清保險",T96=12,U96=110),VLOOKUP(S96,$B$10:$H$121,7,0),0),"")))</f>
        <v/>
      </c>
      <c r="AC96" s="350" t="str">
        <f ca="1">IF(AND(S96&lt;OP!$C$24,$U96&lt;15),0,IF(AND($U96&lt;16,$T96=12),VLOOKUP($S96,DOWN16,4,0),IF($T96=12,ROUND(VLOOKUP(OP!$C$55,_DIE2,$S96+1,0)*(Z96/10000),0)+IF(AND($P$7="購買增額繳清保險",T96=12,U96=110),VLOOKUP(S96,$B$10:$H$121,7,0),0),"")))</f>
        <v/>
      </c>
      <c r="AD96" s="347"/>
      <c r="AE96" s="350" t="str">
        <f t="shared" ca="1" si="70"/>
        <v/>
      </c>
      <c r="AF96" s="351" t="str">
        <f t="shared" ca="1" si="71"/>
        <v/>
      </c>
      <c r="AG96" s="340"/>
      <c r="AH96" s="340"/>
      <c r="AI96" s="340"/>
      <c r="AJ96" s="340"/>
      <c r="AK96" s="340"/>
      <c r="AL96" s="340"/>
      <c r="AM96" s="340"/>
      <c r="AN96" s="191">
        <f t="shared" si="83"/>
        <v>8</v>
      </c>
      <c r="AO96" s="191">
        <f t="shared" si="84"/>
        <v>4</v>
      </c>
      <c r="AP96" s="191">
        <f ca="1">OP!$D$5+$AN96-1</f>
        <v>40</v>
      </c>
      <c r="AQ96" s="191" t="str">
        <f t="shared" si="85"/>
        <v/>
      </c>
      <c r="AR96" s="352">
        <f t="shared" ca="1" si="86"/>
        <v>0</v>
      </c>
      <c r="AS96" s="352"/>
      <c r="AT96" s="352"/>
      <c r="AU96" s="436"/>
      <c r="AV96" s="353" t="str">
        <f t="shared" ca="1" si="87"/>
        <v/>
      </c>
      <c r="AW96" s="422" t="str">
        <f t="shared" si="88"/>
        <v/>
      </c>
      <c r="AX96" s="423" t="str">
        <f ca="1">IF(AND($AW96=1,$AP96&lt;16,$AN95&lt;OP!$C$24),OP!$C$49,"")</f>
        <v/>
      </c>
      <c r="AY96" s="340"/>
      <c r="AZ96" s="465">
        <f t="shared" ca="1" si="89"/>
        <v>7.3698599999999999E-5</v>
      </c>
      <c r="BA96" s="464">
        <f t="shared" ca="1" si="90"/>
        <v>2.1372602999999999E-3</v>
      </c>
      <c r="BB96" s="465">
        <f t="shared" ca="1" si="90"/>
        <v>2.2109589000000002E-3</v>
      </c>
      <c r="BC96" s="466">
        <f t="shared" ca="1" si="91"/>
        <v>45536</v>
      </c>
      <c r="BD96" s="467">
        <f t="shared" ca="1" si="115"/>
        <v>45537</v>
      </c>
      <c r="BE96" s="467">
        <f t="shared" ca="1" si="92"/>
        <v>45565</v>
      </c>
      <c r="BF96" s="468">
        <f ca="1">IF(計算!$BC96&lt;OP!$C$3,0,BD96-BC96)</f>
        <v>1</v>
      </c>
      <c r="BG96" s="468">
        <f ca="1">IF($BE96&gt;DATE(YEAR($BD$9)+OP!$C$57,MONTH($BD$9),DAY($BD$9)),0,$BE96-$BD96+1)</f>
        <v>29</v>
      </c>
      <c r="BH96" s="469">
        <f t="shared" ca="1" si="93"/>
        <v>30</v>
      </c>
      <c r="BI96" t="str">
        <f t="shared" si="128"/>
        <v/>
      </c>
      <c r="BJ96">
        <v>3</v>
      </c>
      <c r="BN96" s="468">
        <f t="shared" si="116"/>
        <v>8</v>
      </c>
      <c r="BO96" s="468">
        <f t="shared" si="117"/>
        <v>3</v>
      </c>
      <c r="BP96" s="467">
        <f t="shared" ca="1" si="94"/>
        <v>45537</v>
      </c>
      <c r="BQ96" s="475">
        <f t="shared" ca="1" si="126"/>
        <v>40</v>
      </c>
      <c r="BR96" s="475" t="str">
        <f t="shared" si="118"/>
        <v/>
      </c>
      <c r="BS96" s="471" t="str">
        <f t="shared" si="95"/>
        <v/>
      </c>
      <c r="BT96" s="472" t="str">
        <f t="shared" si="129"/>
        <v/>
      </c>
      <c r="BU96" s="472">
        <f t="shared" ca="1" si="96"/>
        <v>0</v>
      </c>
      <c r="BV96" s="472">
        <f t="shared" ca="1" si="96"/>
        <v>0</v>
      </c>
      <c r="BW96" s="472"/>
      <c r="BX96" s="473">
        <f t="shared" ca="1" si="97"/>
        <v>7378.2624006850001</v>
      </c>
      <c r="BY96" s="473">
        <f t="shared" si="98"/>
        <v>0</v>
      </c>
      <c r="BZ96" s="473">
        <f t="shared" ca="1" si="72"/>
        <v>16.313034921</v>
      </c>
      <c r="CA96" s="476">
        <f t="shared" ca="1" si="99"/>
        <v>0</v>
      </c>
      <c r="CB96" s="494">
        <f ca="1">IF(OR($Q95&lt;&gt;1,OP!$D$5+$BN96-1&lt;16,$BN96-1&lt;1),0,ROUND(ROUND(ROUND(((VLOOKUP($BN96-1,MORE_PV,5,0)/10000)*VLOOKUP($BN96,MORE_PV,$CB$5,0)),3)*VLOOKUP($BN96,more1,5,0),0)/$R95,0))</f>
        <v>0</v>
      </c>
      <c r="CC96" s="473">
        <f t="shared" ca="1" si="100"/>
        <v>0</v>
      </c>
      <c r="CD96" s="477"/>
      <c r="CE96" s="468">
        <f t="shared" si="119"/>
        <v>8</v>
      </c>
      <c r="CF96" s="468">
        <f t="shared" si="120"/>
        <v>3</v>
      </c>
      <c r="CG96" s="467">
        <f t="shared" ca="1" si="73"/>
        <v>45537</v>
      </c>
      <c r="CH96" s="475">
        <f t="shared" ca="1" si="127"/>
        <v>40</v>
      </c>
      <c r="CI96" s="513" t="str">
        <f t="shared" si="121"/>
        <v/>
      </c>
      <c r="CJ96" s="511">
        <f t="shared" si="101"/>
        <v>0</v>
      </c>
      <c r="CK96" s="512">
        <f t="shared" si="102"/>
        <v>0</v>
      </c>
      <c r="CL96" s="511">
        <f t="shared" ca="1" si="122"/>
        <v>0</v>
      </c>
      <c r="CM96" s="511">
        <f ca="1">ROUND(CS96-IF(OR($CE96&gt;=OP!$C$24,AND(CH96=15,CF96=12),CS96=0),0,(CT96-CR96)),$CM$7)</f>
        <v>0</v>
      </c>
      <c r="CN96" s="511"/>
      <c r="CO96" s="351">
        <f t="shared" ca="1" si="103"/>
        <v>32016</v>
      </c>
      <c r="CP96" s="473">
        <f t="shared" si="104"/>
        <v>0</v>
      </c>
      <c r="CQ96" s="473">
        <f t="shared" ca="1" si="74"/>
        <v>70.786060141999997</v>
      </c>
      <c r="CR96" s="476">
        <f t="shared" ca="1" si="105"/>
        <v>0</v>
      </c>
      <c r="CS96" s="494">
        <f ca="1">IF(OR($Q95&lt;&gt;1,OP!$D$5+$CE96-1&lt;16,$CE96-1&lt;1),0,ROUND(ROUND(ROUND(((VLOOKUP($CE96-1,MORE_PV,5,0)/10000)*VLOOKUP($CE96,MORE_PV,$CS$5,0)),3)*VLOOKUP($CE96,more1,5,0),0)/$R95,0))</f>
        <v>0</v>
      </c>
      <c r="CT96" s="473">
        <f>IF($AW96=1,IF(N($CR96+$CS96)&lt;N($AX96)*OP!$C$50,N($CR96+$CS96),MIN(N($CR96+$CS96),N($AX96))),0)</f>
        <v>0</v>
      </c>
      <c r="CV96" s="503">
        <f t="shared" ca="1" si="106"/>
        <v>32015.689156576998</v>
      </c>
      <c r="CW96" s="503">
        <f t="shared" ca="1" si="107"/>
        <v>0</v>
      </c>
      <c r="CX96" s="503">
        <f t="shared" ca="1" si="108"/>
        <v>32084.109975470001</v>
      </c>
    </row>
    <row r="97" spans="1:102" ht="16.5" hidden="1">
      <c r="A97" s="450">
        <f ca="1">OP!$D$5+$B97-1</f>
        <v>119</v>
      </c>
      <c r="B97" s="192">
        <v>87</v>
      </c>
      <c r="C97" s="219">
        <f ca="1">ROUND(VLOOKUP(OP!$C$55,PV0,B97+2,0)*OP!$C$28,0)</f>
        <v>0</v>
      </c>
      <c r="D97" s="189">
        <f t="shared" ca="1" si="109"/>
        <v>0</v>
      </c>
      <c r="E97" s="221">
        <f t="shared" ca="1" si="110"/>
        <v>2.69E-2</v>
      </c>
      <c r="F97" s="222">
        <f t="shared" ca="1" si="111"/>
        <v>6.8999999999999999E-3</v>
      </c>
      <c r="G97" s="223">
        <f t="shared" ca="1" si="123"/>
        <v>2777770</v>
      </c>
      <c r="H97" s="224">
        <f t="shared" ca="1" si="124"/>
        <v>0</v>
      </c>
      <c r="I97" s="450">
        <f t="shared" ca="1" si="125"/>
        <v>12</v>
      </c>
      <c r="J97" s="192">
        <f t="shared" si="75"/>
        <v>8</v>
      </c>
      <c r="K97" s="192">
        <f t="shared" si="76"/>
        <v>5</v>
      </c>
      <c r="L97" s="192" t="str">
        <f t="shared" si="69"/>
        <v/>
      </c>
      <c r="M97" s="216">
        <f t="shared" ca="1" si="77"/>
        <v>0</v>
      </c>
      <c r="N97" s="216"/>
      <c r="O97" s="216"/>
      <c r="P97" s="216"/>
      <c r="Q97" s="456" t="str">
        <f t="shared" ca="1" si="78"/>
        <v/>
      </c>
      <c r="R97" s="450">
        <f t="shared" ca="1" si="79"/>
        <v>1</v>
      </c>
      <c r="S97" s="191">
        <f t="shared" si="80"/>
        <v>8</v>
      </c>
      <c r="T97" s="191">
        <f t="shared" si="81"/>
        <v>5</v>
      </c>
      <c r="U97" s="191">
        <f ca="1">OP!$D$5+$S97-1</f>
        <v>40</v>
      </c>
      <c r="V97" s="191" t="str">
        <f t="shared" si="82"/>
        <v/>
      </c>
      <c r="W97" s="350">
        <f ca="1">IF(Q97&lt;&gt;1,0,VLOOKUP(OP!$C$55,PVFB,$S97+2,0))</f>
        <v>0</v>
      </c>
      <c r="X97" s="473">
        <f t="shared" ca="1" si="112"/>
        <v>0</v>
      </c>
      <c r="Y97" s="348">
        <f t="shared" ca="1" si="113"/>
        <v>0</v>
      </c>
      <c r="Z97" s="348">
        <f t="shared" ca="1" si="114"/>
        <v>8012</v>
      </c>
      <c r="AA97" s="348">
        <f ca="1">IF(Q97&lt;&gt;1,0,VLOOKUP(OP!$C$55,PVFB,$S97+2,0))</f>
        <v>0</v>
      </c>
      <c r="AB97" s="488" t="str">
        <f ca="1">IF(AND(S97&lt;OP!$C$24,$U97&lt;15),0,IF(AND($U97&lt;15,$T97=12),ROUND(VLOOKUP($S97,DOWN16,5,0),3),IF($T97=12,ROUND(($Z97/10000)*$AA97,3)+IF(AND($P$7="購買增額繳清保險",T97=12,U97=110),VLOOKUP(S97,$B$10:$H$121,7,0),0),"")))</f>
        <v/>
      </c>
      <c r="AC97" s="350" t="str">
        <f ca="1">IF(AND(S97&lt;OP!$C$24,$U97&lt;15),0,IF(AND($U97&lt;16,$T97=12),VLOOKUP($S97,DOWN16,4,0),IF($T97=12,ROUND(VLOOKUP(OP!$C$55,_DIE2,$S97+1,0)*(Z97/10000),0)+IF(AND($P$7="購買增額繳清保險",T97=12,U97=110),VLOOKUP(S97,$B$10:$H$121,7,0),0),"")))</f>
        <v/>
      </c>
      <c r="AD97" s="347"/>
      <c r="AE97" s="350" t="str">
        <f t="shared" ca="1" si="70"/>
        <v/>
      </c>
      <c r="AF97" s="351" t="str">
        <f t="shared" ca="1" si="71"/>
        <v/>
      </c>
      <c r="AG97" s="340"/>
      <c r="AH97" s="340"/>
      <c r="AI97" s="340"/>
      <c r="AJ97" s="340"/>
      <c r="AK97" s="340"/>
      <c r="AL97" s="340"/>
      <c r="AM97" s="340"/>
      <c r="AN97" s="191">
        <f t="shared" si="83"/>
        <v>8</v>
      </c>
      <c r="AO97" s="191">
        <f t="shared" si="84"/>
        <v>5</v>
      </c>
      <c r="AP97" s="191">
        <f ca="1">OP!$D$5+$AN97-1</f>
        <v>40</v>
      </c>
      <c r="AQ97" s="191" t="str">
        <f t="shared" si="85"/>
        <v/>
      </c>
      <c r="AR97" s="352">
        <f t="shared" ca="1" si="86"/>
        <v>0</v>
      </c>
      <c r="AS97" s="352"/>
      <c r="AT97" s="352"/>
      <c r="AU97" s="436"/>
      <c r="AV97" s="353" t="str">
        <f t="shared" ca="1" si="87"/>
        <v/>
      </c>
      <c r="AW97" s="422" t="str">
        <f t="shared" si="88"/>
        <v/>
      </c>
      <c r="AX97" s="423" t="str">
        <f ca="1">IF(AND($AW97=1,$AP97&lt;16,$AN96&lt;OP!$C$24),OP!$C$49,"")</f>
        <v/>
      </c>
      <c r="AY97" s="340"/>
      <c r="AZ97" s="465">
        <f t="shared" ca="1" si="89"/>
        <v>7.3698599999999999E-5</v>
      </c>
      <c r="BA97" s="464">
        <f t="shared" ca="1" si="90"/>
        <v>2.2109589000000002E-3</v>
      </c>
      <c r="BB97" s="465">
        <f t="shared" ca="1" si="90"/>
        <v>2.2846575E-3</v>
      </c>
      <c r="BC97" s="466">
        <f t="shared" ca="1" si="91"/>
        <v>45566</v>
      </c>
      <c r="BD97" s="467">
        <f t="shared" ca="1" si="115"/>
        <v>45567</v>
      </c>
      <c r="BE97" s="467">
        <f t="shared" ca="1" si="92"/>
        <v>45596</v>
      </c>
      <c r="BF97" s="468">
        <f ca="1">IF(計算!$BC97&lt;OP!$C$3,0,BD97-BC97)</f>
        <v>1</v>
      </c>
      <c r="BG97" s="468">
        <f ca="1">IF($BE97&gt;DATE(YEAR($BD$9)+OP!$C$57,MONTH($BD$9),DAY($BD$9)),0,$BE97-$BD97+1)</f>
        <v>30</v>
      </c>
      <c r="BH97" s="469">
        <f t="shared" ca="1" si="93"/>
        <v>31</v>
      </c>
      <c r="BI97" t="str">
        <f t="shared" si="128"/>
        <v/>
      </c>
      <c r="BJ97">
        <v>4</v>
      </c>
      <c r="BN97" s="468">
        <f t="shared" si="116"/>
        <v>8</v>
      </c>
      <c r="BO97" s="468">
        <f t="shared" si="117"/>
        <v>4</v>
      </c>
      <c r="BP97" s="467">
        <f t="shared" ca="1" si="94"/>
        <v>45567</v>
      </c>
      <c r="BQ97" s="475">
        <f t="shared" ca="1" si="126"/>
        <v>40</v>
      </c>
      <c r="BR97" s="475" t="str">
        <f t="shared" si="118"/>
        <v/>
      </c>
      <c r="BS97" s="471" t="str">
        <f t="shared" si="95"/>
        <v/>
      </c>
      <c r="BT97" s="472" t="str">
        <f t="shared" si="129"/>
        <v/>
      </c>
      <c r="BU97" s="472">
        <f t="shared" ca="1" si="96"/>
        <v>0</v>
      </c>
      <c r="BV97" s="472">
        <f t="shared" ca="1" si="96"/>
        <v>0</v>
      </c>
      <c r="BW97" s="472"/>
      <c r="BX97" s="473">
        <f t="shared" ca="1" si="97"/>
        <v>7394.5754356059997</v>
      </c>
      <c r="BY97" s="473">
        <f t="shared" si="98"/>
        <v>0</v>
      </c>
      <c r="BZ97" s="473">
        <f t="shared" ca="1" si="72"/>
        <v>16.894072227999999</v>
      </c>
      <c r="CA97" s="476">
        <f t="shared" ca="1" si="99"/>
        <v>0</v>
      </c>
      <c r="CB97" s="494">
        <f ca="1">IF(OR($Q96&lt;&gt;1,OP!$D$5+$BN97-1&lt;16,$BN97-1&lt;1),0,ROUND(ROUND(ROUND(((VLOOKUP($BN97-1,MORE_PV,5,0)/10000)*VLOOKUP($BN97,MORE_PV,$CB$5,0)),3)*VLOOKUP($BN97,more1,5,0),0)/$R96,0))</f>
        <v>0</v>
      </c>
      <c r="CC97" s="473">
        <f t="shared" ca="1" si="100"/>
        <v>0</v>
      </c>
      <c r="CD97" s="477"/>
      <c r="CE97" s="468">
        <f t="shared" si="119"/>
        <v>8</v>
      </c>
      <c r="CF97" s="468">
        <f t="shared" si="120"/>
        <v>4</v>
      </c>
      <c r="CG97" s="467">
        <f t="shared" ca="1" si="73"/>
        <v>45567</v>
      </c>
      <c r="CH97" s="475">
        <f t="shared" ca="1" si="127"/>
        <v>40</v>
      </c>
      <c r="CI97" s="513" t="str">
        <f t="shared" si="121"/>
        <v/>
      </c>
      <c r="CJ97" s="511">
        <f t="shared" si="101"/>
        <v>0</v>
      </c>
      <c r="CK97" s="512">
        <f t="shared" si="102"/>
        <v>0</v>
      </c>
      <c r="CL97" s="511">
        <f t="shared" ca="1" si="122"/>
        <v>0</v>
      </c>
      <c r="CM97" s="511">
        <f ca="1">ROUND(CS97-IF(OR($CE97&gt;=OP!$C$24,AND(CH97=15,CF97=12),CS97=0),0,(CT97-CR97)),$CM$7)</f>
        <v>0</v>
      </c>
      <c r="CN97" s="511"/>
      <c r="CO97" s="351">
        <f t="shared" ca="1" si="103"/>
        <v>32086</v>
      </c>
      <c r="CP97" s="473">
        <f t="shared" si="104"/>
        <v>0</v>
      </c>
      <c r="CQ97" s="473">
        <f t="shared" ca="1" si="74"/>
        <v>73.305520544999993</v>
      </c>
      <c r="CR97" s="476">
        <f t="shared" ca="1" si="105"/>
        <v>0</v>
      </c>
      <c r="CS97" s="494">
        <f ca="1">IF(OR($Q96&lt;&gt;1,OP!$D$5+$CE97-1&lt;16,$CE97-1&lt;1),0,ROUND(ROUND(ROUND(((VLOOKUP($CE97-1,MORE_PV,5,0)/10000)*VLOOKUP($CE97,MORE_PV,$CS$5,0)),3)*VLOOKUP($CE97,more1,5,0),0)/$R96,0))</f>
        <v>0</v>
      </c>
      <c r="CT97" s="473">
        <f>IF($AW97=1,IF(N($CR97+$CS97)&lt;N($AX97)*OP!$C$50,N($CR97+$CS97),MIN(N($CR97+$CS97),N($AX97))),0)</f>
        <v>0</v>
      </c>
      <c r="CV97" s="503">
        <f t="shared" ca="1" si="106"/>
        <v>32086.474529456998</v>
      </c>
      <c r="CW97" s="503">
        <f t="shared" ca="1" si="107"/>
        <v>0</v>
      </c>
      <c r="CX97" s="503">
        <f t="shared" ca="1" si="108"/>
        <v>32157.411177956001</v>
      </c>
    </row>
    <row r="98" spans="1:102" ht="16.5" hidden="1">
      <c r="A98" s="450">
        <f ca="1">OP!$D$5+$B98-1</f>
        <v>120</v>
      </c>
      <c r="B98" s="192">
        <v>88</v>
      </c>
      <c r="C98" s="219">
        <f ca="1">ROUND(VLOOKUP(OP!$C$55,PV0,B98+2,0)*OP!$C$28,0)</f>
        <v>0</v>
      </c>
      <c r="D98" s="189">
        <f t="shared" ca="1" si="109"/>
        <v>0</v>
      </c>
      <c r="E98" s="221">
        <f t="shared" ca="1" si="110"/>
        <v>2.69E-2</v>
      </c>
      <c r="F98" s="222">
        <f t="shared" ca="1" si="111"/>
        <v>6.8999999999999999E-3</v>
      </c>
      <c r="G98" s="223">
        <f t="shared" ca="1" si="123"/>
        <v>2780228</v>
      </c>
      <c r="H98" s="224">
        <f t="shared" ca="1" si="124"/>
        <v>0</v>
      </c>
      <c r="I98" s="450">
        <f t="shared" ca="1" si="125"/>
        <v>12</v>
      </c>
      <c r="J98" s="192">
        <f t="shared" si="75"/>
        <v>8</v>
      </c>
      <c r="K98" s="192">
        <f t="shared" si="76"/>
        <v>6</v>
      </c>
      <c r="L98" s="192" t="str">
        <f t="shared" si="69"/>
        <v/>
      </c>
      <c r="M98" s="216">
        <f t="shared" ca="1" si="77"/>
        <v>0</v>
      </c>
      <c r="N98" s="216"/>
      <c r="O98" s="216"/>
      <c r="P98" s="216"/>
      <c r="Q98" s="456" t="str">
        <f t="shared" ca="1" si="78"/>
        <v/>
      </c>
      <c r="R98" s="450">
        <f t="shared" ca="1" si="79"/>
        <v>1</v>
      </c>
      <c r="S98" s="191">
        <f t="shared" si="80"/>
        <v>8</v>
      </c>
      <c r="T98" s="191">
        <f t="shared" si="81"/>
        <v>6</v>
      </c>
      <c r="U98" s="191">
        <f ca="1">OP!$D$5+$S98-1</f>
        <v>40</v>
      </c>
      <c r="V98" s="191" t="str">
        <f t="shared" si="82"/>
        <v/>
      </c>
      <c r="W98" s="350">
        <f ca="1">IF(Q98&lt;&gt;1,0,VLOOKUP(OP!$C$55,PVFB,$S98+2,0))</f>
        <v>0</v>
      </c>
      <c r="X98" s="473">
        <f t="shared" ca="1" si="112"/>
        <v>0</v>
      </c>
      <c r="Y98" s="348">
        <f t="shared" ca="1" si="113"/>
        <v>0</v>
      </c>
      <c r="Z98" s="348">
        <f t="shared" ca="1" si="114"/>
        <v>8012</v>
      </c>
      <c r="AA98" s="348">
        <f ca="1">IF(Q98&lt;&gt;1,0,VLOOKUP(OP!$C$55,PVFB,$S98+2,0))</f>
        <v>0</v>
      </c>
      <c r="AB98" s="488" t="str">
        <f ca="1">IF(AND(S98&lt;OP!$C$24,$U98&lt;15),0,IF(AND($U98&lt;15,$T98=12),ROUND(VLOOKUP($S98,DOWN16,5,0),3),IF($T98=12,ROUND(($Z98/10000)*$AA98,3)+IF(AND($P$7="購買增額繳清保險",T98=12,U98=110),VLOOKUP(S98,$B$10:$H$121,7,0),0),"")))</f>
        <v/>
      </c>
      <c r="AC98" s="350" t="str">
        <f ca="1">IF(AND(S98&lt;OP!$C$24,$U98&lt;15),0,IF(AND($U98&lt;16,$T98=12),VLOOKUP($S98,DOWN16,4,0),IF($T98=12,ROUND(VLOOKUP(OP!$C$55,_DIE2,$S98+1,0)*(Z98/10000),0)+IF(AND($P$7="購買增額繳清保險",T98=12,U98=110),VLOOKUP(S98,$B$10:$H$121,7,0),0),"")))</f>
        <v/>
      </c>
      <c r="AD98" s="347"/>
      <c r="AE98" s="350" t="str">
        <f t="shared" ca="1" si="70"/>
        <v/>
      </c>
      <c r="AF98" s="351" t="str">
        <f t="shared" ca="1" si="71"/>
        <v/>
      </c>
      <c r="AG98" s="340"/>
      <c r="AH98" s="340"/>
      <c r="AI98" s="340"/>
      <c r="AJ98" s="340"/>
      <c r="AK98" s="340"/>
      <c r="AL98" s="340"/>
      <c r="AM98" s="340"/>
      <c r="AN98" s="191">
        <f t="shared" si="83"/>
        <v>8</v>
      </c>
      <c r="AO98" s="191">
        <f t="shared" si="84"/>
        <v>6</v>
      </c>
      <c r="AP98" s="191">
        <f ca="1">OP!$D$5+$AN98-1</f>
        <v>40</v>
      </c>
      <c r="AQ98" s="191" t="str">
        <f t="shared" si="85"/>
        <v/>
      </c>
      <c r="AR98" s="352">
        <f t="shared" ca="1" si="86"/>
        <v>0</v>
      </c>
      <c r="AS98" s="352"/>
      <c r="AT98" s="352"/>
      <c r="AU98" s="436"/>
      <c r="AV98" s="353" t="str">
        <f t="shared" ca="1" si="87"/>
        <v/>
      </c>
      <c r="AW98" s="422" t="str">
        <f t="shared" si="88"/>
        <v/>
      </c>
      <c r="AX98" s="423" t="str">
        <f ca="1">IF(AND($AW98=1,$AP98&lt;16,$AN97&lt;OP!$C$24),OP!$C$49,"")</f>
        <v/>
      </c>
      <c r="AY98" s="340"/>
      <c r="AZ98" s="465">
        <f t="shared" ca="1" si="89"/>
        <v>7.3698599999999999E-5</v>
      </c>
      <c r="BA98" s="464">
        <f t="shared" ca="1" si="90"/>
        <v>2.1372602999999999E-3</v>
      </c>
      <c r="BB98" s="465">
        <f t="shared" ca="1" si="90"/>
        <v>2.2109589000000002E-3</v>
      </c>
      <c r="BC98" s="466">
        <f t="shared" ca="1" si="91"/>
        <v>45597</v>
      </c>
      <c r="BD98" s="467">
        <f t="shared" ca="1" si="115"/>
        <v>45598</v>
      </c>
      <c r="BE98" s="467">
        <f t="shared" ca="1" si="92"/>
        <v>45626</v>
      </c>
      <c r="BF98" s="468">
        <f ca="1">IF(計算!$BC98&lt;OP!$C$3,0,BD98-BC98)</f>
        <v>1</v>
      </c>
      <c r="BG98" s="468">
        <f ca="1">IF($BE98&gt;DATE(YEAR($BD$9)+OP!$C$57,MONTH($BD$9),DAY($BD$9)),0,$BE98-$BD98+1)</f>
        <v>29</v>
      </c>
      <c r="BH98" s="469">
        <f t="shared" ca="1" si="93"/>
        <v>30</v>
      </c>
      <c r="BI98" t="str">
        <f t="shared" si="128"/>
        <v/>
      </c>
      <c r="BJ98">
        <v>5</v>
      </c>
      <c r="BN98" s="468">
        <f t="shared" si="116"/>
        <v>8</v>
      </c>
      <c r="BO98" s="468">
        <f t="shared" si="117"/>
        <v>5</v>
      </c>
      <c r="BP98" s="467">
        <f t="shared" ca="1" si="94"/>
        <v>45598</v>
      </c>
      <c r="BQ98" s="475">
        <f t="shared" ca="1" si="126"/>
        <v>40</v>
      </c>
      <c r="BR98" s="475" t="str">
        <f t="shared" si="118"/>
        <v/>
      </c>
      <c r="BS98" s="471" t="str">
        <f t="shared" si="95"/>
        <v/>
      </c>
      <c r="BT98" s="472" t="str">
        <f t="shared" si="129"/>
        <v/>
      </c>
      <c r="BU98" s="472">
        <f t="shared" ca="1" si="96"/>
        <v>0</v>
      </c>
      <c r="BV98" s="472">
        <f t="shared" ca="1" si="96"/>
        <v>0</v>
      </c>
      <c r="BW98" s="472"/>
      <c r="BX98" s="473">
        <f t="shared" ca="1" si="97"/>
        <v>7411.4695078340001</v>
      </c>
      <c r="BY98" s="473">
        <f t="shared" si="98"/>
        <v>0</v>
      </c>
      <c r="BZ98" s="473">
        <f t="shared" ca="1" si="72"/>
        <v>16.38645447</v>
      </c>
      <c r="CA98" s="476">
        <f t="shared" ca="1" si="99"/>
        <v>0</v>
      </c>
      <c r="CB98" s="494">
        <f ca="1">IF(OR($Q97&lt;&gt;1,OP!$D$5+$BN98-1&lt;16,$BN98-1&lt;1),0,ROUND(ROUND(ROUND(((VLOOKUP($BN98-1,MORE_PV,5,0)/10000)*VLOOKUP($BN98,MORE_PV,$CB$5,0)),3)*VLOOKUP($BN98,more1,5,0),0)/$R97,0))</f>
        <v>0</v>
      </c>
      <c r="CC98" s="473">
        <f t="shared" ca="1" si="100"/>
        <v>0</v>
      </c>
      <c r="CD98" s="477"/>
      <c r="CE98" s="468">
        <f t="shared" si="119"/>
        <v>8</v>
      </c>
      <c r="CF98" s="468">
        <f t="shared" si="120"/>
        <v>5</v>
      </c>
      <c r="CG98" s="467">
        <f t="shared" ca="1" si="73"/>
        <v>45598</v>
      </c>
      <c r="CH98" s="475">
        <f t="shared" ca="1" si="127"/>
        <v>40</v>
      </c>
      <c r="CI98" s="513" t="str">
        <f t="shared" si="121"/>
        <v/>
      </c>
      <c r="CJ98" s="511">
        <f t="shared" si="101"/>
        <v>0</v>
      </c>
      <c r="CK98" s="512">
        <f t="shared" si="102"/>
        <v>0</v>
      </c>
      <c r="CL98" s="511">
        <f t="shared" ca="1" si="122"/>
        <v>0</v>
      </c>
      <c r="CM98" s="511">
        <f ca="1">ROUND(CS98-IF(OR($CE98&gt;=OP!$C$24,AND(CH98=15,CF98=12),CS98=0),0,(CT98-CR98)),$CM$7)</f>
        <v>0</v>
      </c>
      <c r="CN98" s="511"/>
      <c r="CO98" s="351">
        <f t="shared" ca="1" si="103"/>
        <v>32160</v>
      </c>
      <c r="CP98" s="473">
        <f t="shared" si="104"/>
        <v>0</v>
      </c>
      <c r="CQ98" s="473">
        <f t="shared" ca="1" si="74"/>
        <v>71.104438224000006</v>
      </c>
      <c r="CR98" s="476">
        <f t="shared" ca="1" si="105"/>
        <v>0</v>
      </c>
      <c r="CS98" s="494">
        <f ca="1">IF(OR($Q97&lt;&gt;1,OP!$D$5+$CE98-1&lt;16,$CE98-1&lt;1),0,ROUND(ROUND(ROUND(((VLOOKUP($CE98-1,MORE_PV,5,0)/10000)*VLOOKUP($CE98,MORE_PV,$CS$5,0)),3)*VLOOKUP($CE98,more1,5,0),0)/$R97,0))</f>
        <v>0</v>
      </c>
      <c r="CT98" s="473">
        <f>IF($AW98=1,IF(N($CR98+$CS98)&lt;N($AX98)*OP!$C$50,N($CR98+$CS98),MIN(N($CR98+$CS98),N($AX98))),0)</f>
        <v>0</v>
      </c>
      <c r="CV98" s="503">
        <f t="shared" ca="1" si="106"/>
        <v>32159.781134139001</v>
      </c>
      <c r="CW98" s="503">
        <f t="shared" ca="1" si="107"/>
        <v>0</v>
      </c>
      <c r="CX98" s="503">
        <f t="shared" ca="1" si="108"/>
        <v>32228.509892401002</v>
      </c>
    </row>
    <row r="99" spans="1:102" ht="16.5" hidden="1">
      <c r="A99" s="450">
        <f ca="1">OP!$D$5+$B99-1</f>
        <v>121</v>
      </c>
      <c r="B99" s="192">
        <v>89</v>
      </c>
      <c r="C99" s="219">
        <f ca="1">ROUND(VLOOKUP(OP!$C$55,PV0,B99+2,0)*OP!$C$28,0)</f>
        <v>0</v>
      </c>
      <c r="D99" s="189">
        <f t="shared" ca="1" si="109"/>
        <v>0</v>
      </c>
      <c r="E99" s="221">
        <f t="shared" ca="1" si="110"/>
        <v>2.69E-2</v>
      </c>
      <c r="F99" s="222">
        <f t="shared" ca="1" si="111"/>
        <v>6.8999999999999999E-3</v>
      </c>
      <c r="G99" s="223">
        <f t="shared" ca="1" si="123"/>
        <v>2782688</v>
      </c>
      <c r="H99" s="224">
        <f t="shared" ca="1" si="124"/>
        <v>0</v>
      </c>
      <c r="I99" s="450">
        <f t="shared" ca="1" si="125"/>
        <v>12</v>
      </c>
      <c r="J99" s="192">
        <f t="shared" si="75"/>
        <v>8</v>
      </c>
      <c r="K99" s="192">
        <f t="shared" si="76"/>
        <v>7</v>
      </c>
      <c r="L99" s="192" t="str">
        <f t="shared" si="69"/>
        <v/>
      </c>
      <c r="M99" s="216">
        <f t="shared" ca="1" si="77"/>
        <v>0</v>
      </c>
      <c r="N99" s="216"/>
      <c r="O99" s="216"/>
      <c r="P99" s="216"/>
      <c r="Q99" s="456" t="str">
        <f t="shared" ca="1" si="78"/>
        <v/>
      </c>
      <c r="R99" s="450">
        <f t="shared" ca="1" si="79"/>
        <v>1</v>
      </c>
      <c r="S99" s="191">
        <f t="shared" si="80"/>
        <v>8</v>
      </c>
      <c r="T99" s="191">
        <f t="shared" si="81"/>
        <v>7</v>
      </c>
      <c r="U99" s="191">
        <f ca="1">OP!$D$5+$S99-1</f>
        <v>40</v>
      </c>
      <c r="V99" s="191" t="str">
        <f t="shared" si="82"/>
        <v/>
      </c>
      <c r="W99" s="350">
        <f ca="1">IF(Q99&lt;&gt;1,0,VLOOKUP(OP!$C$55,PVFB,$S99+2,0))</f>
        <v>0</v>
      </c>
      <c r="X99" s="473">
        <f t="shared" ca="1" si="112"/>
        <v>0</v>
      </c>
      <c r="Y99" s="348">
        <f t="shared" ca="1" si="113"/>
        <v>0</v>
      </c>
      <c r="Z99" s="348">
        <f t="shared" ca="1" si="114"/>
        <v>8012</v>
      </c>
      <c r="AA99" s="348">
        <f ca="1">IF(Q99&lt;&gt;1,0,VLOOKUP(OP!$C$55,PVFB,$S99+2,0))</f>
        <v>0</v>
      </c>
      <c r="AB99" s="488" t="str">
        <f ca="1">IF(AND(S99&lt;OP!$C$24,$U99&lt;15),0,IF(AND($U99&lt;15,$T99=12),ROUND(VLOOKUP($S99,DOWN16,5,0),3),IF($T99=12,ROUND(($Z99/10000)*$AA99,3)+IF(AND($P$7="購買增額繳清保險",T99=12,U99=110),VLOOKUP(S99,$B$10:$H$121,7,0),0),"")))</f>
        <v/>
      </c>
      <c r="AC99" s="350" t="str">
        <f ca="1">IF(AND(S99&lt;OP!$C$24,$U99&lt;15),0,IF(AND($U99&lt;16,$T99=12),VLOOKUP($S99,DOWN16,4,0),IF($T99=12,ROUND(VLOOKUP(OP!$C$55,_DIE2,$S99+1,0)*(Z99/10000),0)+IF(AND($P$7="購買增額繳清保險",T99=12,U99=110),VLOOKUP(S99,$B$10:$H$121,7,0),0),"")))</f>
        <v/>
      </c>
      <c r="AD99" s="347"/>
      <c r="AE99" s="350" t="str">
        <f t="shared" ca="1" si="70"/>
        <v/>
      </c>
      <c r="AF99" s="351" t="str">
        <f t="shared" ca="1" si="71"/>
        <v/>
      </c>
      <c r="AG99" s="340"/>
      <c r="AH99" s="340"/>
      <c r="AI99" s="340"/>
      <c r="AJ99" s="340"/>
      <c r="AK99" s="340"/>
      <c r="AL99" s="340"/>
      <c r="AM99" s="340"/>
      <c r="AN99" s="191">
        <f t="shared" si="83"/>
        <v>8</v>
      </c>
      <c r="AO99" s="191">
        <f t="shared" si="84"/>
        <v>7</v>
      </c>
      <c r="AP99" s="191">
        <f ca="1">OP!$D$5+$AN99-1</f>
        <v>40</v>
      </c>
      <c r="AQ99" s="191" t="str">
        <f t="shared" si="85"/>
        <v/>
      </c>
      <c r="AR99" s="352">
        <f t="shared" ca="1" si="86"/>
        <v>0</v>
      </c>
      <c r="AS99" s="352"/>
      <c r="AT99" s="352"/>
      <c r="AU99" s="436"/>
      <c r="AV99" s="353" t="str">
        <f t="shared" ca="1" si="87"/>
        <v/>
      </c>
      <c r="AW99" s="422" t="str">
        <f t="shared" si="88"/>
        <v/>
      </c>
      <c r="AX99" s="423" t="str">
        <f ca="1">IF(AND($AW99=1,$AP99&lt;16,$AN98&lt;OP!$C$24),OP!$C$49,"")</f>
        <v/>
      </c>
      <c r="AY99" s="340"/>
      <c r="AZ99" s="465">
        <f t="shared" ca="1" si="89"/>
        <v>7.3698599999999999E-5</v>
      </c>
      <c r="BA99" s="464">
        <f t="shared" ca="1" si="90"/>
        <v>2.2109589000000002E-3</v>
      </c>
      <c r="BB99" s="465">
        <f t="shared" ca="1" si="90"/>
        <v>2.2846575E-3</v>
      </c>
      <c r="BC99" s="466">
        <f t="shared" ca="1" si="91"/>
        <v>45627</v>
      </c>
      <c r="BD99" s="467">
        <f t="shared" ca="1" si="115"/>
        <v>45628</v>
      </c>
      <c r="BE99" s="467">
        <f t="shared" ca="1" si="92"/>
        <v>45657</v>
      </c>
      <c r="BF99" s="468">
        <f ca="1">IF(計算!$BC99&lt;OP!$C$3,0,BD99-BC99)</f>
        <v>1</v>
      </c>
      <c r="BG99" s="468">
        <f ca="1">IF($BE99&gt;DATE(YEAR($BD$9)+OP!$C$57,MONTH($BD$9),DAY($BD$9)),0,$BE99-$BD99+1)</f>
        <v>30</v>
      </c>
      <c r="BH99" s="469">
        <f t="shared" ca="1" si="93"/>
        <v>31</v>
      </c>
      <c r="BI99" t="str">
        <f t="shared" si="128"/>
        <v/>
      </c>
      <c r="BJ99">
        <v>6</v>
      </c>
      <c r="BN99" s="468">
        <f t="shared" si="116"/>
        <v>8</v>
      </c>
      <c r="BO99" s="468">
        <f t="shared" si="117"/>
        <v>6</v>
      </c>
      <c r="BP99" s="467">
        <f t="shared" ca="1" si="94"/>
        <v>45628</v>
      </c>
      <c r="BQ99" s="475">
        <f t="shared" ca="1" si="126"/>
        <v>40</v>
      </c>
      <c r="BR99" s="475" t="str">
        <f t="shared" si="118"/>
        <v/>
      </c>
      <c r="BS99" s="471" t="str">
        <f t="shared" si="95"/>
        <v/>
      </c>
      <c r="BT99" s="472" t="str">
        <f t="shared" si="129"/>
        <v/>
      </c>
      <c r="BU99" s="472">
        <f t="shared" ca="1" si="96"/>
        <v>0</v>
      </c>
      <c r="BV99" s="472">
        <f t="shared" ca="1" si="96"/>
        <v>0</v>
      </c>
      <c r="BW99" s="472"/>
      <c r="BX99" s="473">
        <f t="shared" ca="1" si="97"/>
        <v>7427.8559623040001</v>
      </c>
      <c r="BY99" s="473">
        <f t="shared" si="98"/>
        <v>0</v>
      </c>
      <c r="BZ99" s="473">
        <f t="shared" ca="1" si="72"/>
        <v>16.970106832999999</v>
      </c>
      <c r="CA99" s="476">
        <f t="shared" ca="1" si="99"/>
        <v>0</v>
      </c>
      <c r="CB99" s="494">
        <f ca="1">IF(OR($Q98&lt;&gt;1,OP!$D$5+$BN99-1&lt;16,$BN99-1&lt;1),0,ROUND(ROUND(ROUND(((VLOOKUP($BN99-1,MORE_PV,5,0)/10000)*VLOOKUP($BN99,MORE_PV,$CB$5,0)),3)*VLOOKUP($BN99,more1,5,0),0)/$R98,0))</f>
        <v>0</v>
      </c>
      <c r="CC99" s="473">
        <f t="shared" ca="1" si="100"/>
        <v>0</v>
      </c>
      <c r="CD99" s="477"/>
      <c r="CE99" s="468">
        <f t="shared" si="119"/>
        <v>8</v>
      </c>
      <c r="CF99" s="468">
        <f t="shared" si="120"/>
        <v>6</v>
      </c>
      <c r="CG99" s="467">
        <f t="shared" ca="1" si="73"/>
        <v>45628</v>
      </c>
      <c r="CH99" s="475">
        <f t="shared" ca="1" si="127"/>
        <v>40</v>
      </c>
      <c r="CI99" s="513" t="str">
        <f t="shared" si="121"/>
        <v/>
      </c>
      <c r="CJ99" s="511">
        <f t="shared" si="101"/>
        <v>0</v>
      </c>
      <c r="CK99" s="512">
        <f t="shared" si="102"/>
        <v>0</v>
      </c>
      <c r="CL99" s="511">
        <f t="shared" ca="1" si="122"/>
        <v>0</v>
      </c>
      <c r="CM99" s="511">
        <f ca="1">ROUND(CS99-IF(OR($CE99&gt;=OP!$C$24,AND(CH99=15,CF99=12),CS99=0),0,(CT99-CR99)),$CM$7)</f>
        <v>0</v>
      </c>
      <c r="CN99" s="511"/>
      <c r="CO99" s="351">
        <f t="shared" ca="1" si="103"/>
        <v>32231</v>
      </c>
      <c r="CP99" s="473">
        <f t="shared" si="104"/>
        <v>0</v>
      </c>
      <c r="CQ99" s="473">
        <f t="shared" ca="1" si="74"/>
        <v>73.636795883000005</v>
      </c>
      <c r="CR99" s="476">
        <f t="shared" ca="1" si="105"/>
        <v>0</v>
      </c>
      <c r="CS99" s="494">
        <f ca="1">IF(OR($Q98&lt;&gt;1,OP!$D$5+$CE99-1&lt;16,$CE99-1&lt;1),0,ROUND(ROUND(ROUND(((VLOOKUP($CE99-1,MORE_PV,5,0)/10000)*VLOOKUP($CE99,MORE_PV,$CS$5,0)),3)*VLOOKUP($CE99,more1,5,0),0)/$R98,0))</f>
        <v>0</v>
      </c>
      <c r="CT99" s="473">
        <f>IF($AW99=1,IF(N($CR99+$CS99)&lt;N($AX99)*OP!$C$50,N($CR99+$CS99),MIN(N($CR99+$CS99),N($AX99))),0)</f>
        <v>0</v>
      </c>
      <c r="CV99" s="503">
        <f t="shared" ca="1" si="106"/>
        <v>32230.88508846</v>
      </c>
      <c r="CW99" s="503">
        <f t="shared" ca="1" si="107"/>
        <v>0</v>
      </c>
      <c r="CX99" s="503">
        <f t="shared" ca="1" si="108"/>
        <v>32302.140999241001</v>
      </c>
    </row>
    <row r="100" spans="1:102" ht="16.5" hidden="1">
      <c r="A100" s="450">
        <f ca="1">OP!$D$5+$B100-1</f>
        <v>122</v>
      </c>
      <c r="B100" s="192">
        <v>90</v>
      </c>
      <c r="C100" s="219">
        <f ca="1">ROUND(VLOOKUP(OP!$C$55,PV0,B100+2,0)*OP!$C$28,0)</f>
        <v>0</v>
      </c>
      <c r="D100" s="189">
        <f t="shared" ca="1" si="109"/>
        <v>0</v>
      </c>
      <c r="E100" s="221">
        <f t="shared" ca="1" si="110"/>
        <v>2.69E-2</v>
      </c>
      <c r="F100" s="222">
        <f t="shared" ca="1" si="111"/>
        <v>6.8999999999999999E-3</v>
      </c>
      <c r="G100" s="223">
        <f t="shared" ca="1" si="123"/>
        <v>2785150</v>
      </c>
      <c r="H100" s="224">
        <f t="shared" ca="1" si="124"/>
        <v>0</v>
      </c>
      <c r="I100" s="450">
        <f t="shared" ca="1" si="125"/>
        <v>12</v>
      </c>
      <c r="J100" s="192">
        <f t="shared" si="75"/>
        <v>8</v>
      </c>
      <c r="K100" s="192">
        <f t="shared" si="76"/>
        <v>8</v>
      </c>
      <c r="L100" s="192" t="str">
        <f t="shared" si="69"/>
        <v/>
      </c>
      <c r="M100" s="216">
        <f t="shared" ca="1" si="77"/>
        <v>0</v>
      </c>
      <c r="N100" s="216"/>
      <c r="O100" s="216"/>
      <c r="P100" s="216"/>
      <c r="Q100" s="456" t="str">
        <f t="shared" ca="1" si="78"/>
        <v/>
      </c>
      <c r="R100" s="450">
        <f t="shared" ca="1" si="79"/>
        <v>1</v>
      </c>
      <c r="S100" s="191">
        <f t="shared" si="80"/>
        <v>8</v>
      </c>
      <c r="T100" s="191">
        <f t="shared" si="81"/>
        <v>8</v>
      </c>
      <c r="U100" s="191">
        <f ca="1">OP!$D$5+$S100-1</f>
        <v>40</v>
      </c>
      <c r="V100" s="191" t="str">
        <f t="shared" si="82"/>
        <v/>
      </c>
      <c r="W100" s="350">
        <f ca="1">IF(Q100&lt;&gt;1,0,VLOOKUP(OP!$C$55,PVFB,$S100+2,0))</f>
        <v>0</v>
      </c>
      <c r="X100" s="473">
        <f t="shared" ca="1" si="112"/>
        <v>0</v>
      </c>
      <c r="Y100" s="348">
        <f t="shared" ca="1" si="113"/>
        <v>0</v>
      </c>
      <c r="Z100" s="348">
        <f t="shared" ca="1" si="114"/>
        <v>8012</v>
      </c>
      <c r="AA100" s="348">
        <f ca="1">IF(Q100&lt;&gt;1,0,VLOOKUP(OP!$C$55,PVFB,$S100+2,0))</f>
        <v>0</v>
      </c>
      <c r="AB100" s="488" t="str">
        <f ca="1">IF(AND(S100&lt;OP!$C$24,$U100&lt;15),0,IF(AND($U100&lt;15,$T100=12),ROUND(VLOOKUP($S100,DOWN16,5,0),3),IF($T100=12,ROUND(($Z100/10000)*$AA100,3)+IF(AND($P$7="購買增額繳清保險",T100=12,U100=110),VLOOKUP(S100,$B$10:$H$121,7,0),0),"")))</f>
        <v/>
      </c>
      <c r="AC100" s="350" t="str">
        <f ca="1">IF(AND(S100&lt;OP!$C$24,$U100&lt;15),0,IF(AND($U100&lt;16,$T100=12),VLOOKUP($S100,DOWN16,4,0),IF($T100=12,ROUND(VLOOKUP(OP!$C$55,_DIE2,$S100+1,0)*(Z100/10000),0)+IF(AND($P$7="購買增額繳清保險",T100=12,U100=110),VLOOKUP(S100,$B$10:$H$121,7,0),0),"")))</f>
        <v/>
      </c>
      <c r="AD100" s="347"/>
      <c r="AE100" s="350" t="str">
        <f t="shared" ca="1" si="70"/>
        <v/>
      </c>
      <c r="AF100" s="351" t="str">
        <f t="shared" ca="1" si="71"/>
        <v/>
      </c>
      <c r="AG100" s="340"/>
      <c r="AH100" s="340"/>
      <c r="AI100" s="340"/>
      <c r="AJ100" s="340"/>
      <c r="AK100" s="340"/>
      <c r="AL100" s="340"/>
      <c r="AM100" s="340"/>
      <c r="AN100" s="191">
        <f t="shared" si="83"/>
        <v>8</v>
      </c>
      <c r="AO100" s="191">
        <f t="shared" si="84"/>
        <v>8</v>
      </c>
      <c r="AP100" s="191">
        <f ca="1">OP!$D$5+$AN100-1</f>
        <v>40</v>
      </c>
      <c r="AQ100" s="191" t="str">
        <f t="shared" si="85"/>
        <v/>
      </c>
      <c r="AR100" s="352">
        <f t="shared" ca="1" si="86"/>
        <v>0</v>
      </c>
      <c r="AS100" s="352"/>
      <c r="AT100" s="352"/>
      <c r="AU100" s="436"/>
      <c r="AV100" s="353" t="str">
        <f t="shared" ca="1" si="87"/>
        <v/>
      </c>
      <c r="AW100" s="422" t="str">
        <f t="shared" si="88"/>
        <v/>
      </c>
      <c r="AX100" s="423" t="str">
        <f ca="1">IF(AND($AW100=1,$AP100&lt;16,$AN99&lt;OP!$C$24),OP!$C$49,"")</f>
        <v/>
      </c>
      <c r="AY100" s="340"/>
      <c r="AZ100" s="465">
        <f t="shared" ca="1" si="89"/>
        <v>7.3698599999999999E-5</v>
      </c>
      <c r="BA100" s="464">
        <f t="shared" ca="1" si="90"/>
        <v>2.2109589000000002E-3</v>
      </c>
      <c r="BB100" s="465">
        <f t="shared" ca="1" si="90"/>
        <v>2.2846575E-3</v>
      </c>
      <c r="BC100" s="466">
        <f t="shared" ca="1" si="91"/>
        <v>45658</v>
      </c>
      <c r="BD100" s="467">
        <f t="shared" ca="1" si="115"/>
        <v>45659</v>
      </c>
      <c r="BE100" s="467">
        <f t="shared" ca="1" si="92"/>
        <v>45688</v>
      </c>
      <c r="BF100" s="468">
        <f ca="1">IF(計算!$BC100&lt;OP!$C$3,0,BD100-BC100)</f>
        <v>1</v>
      </c>
      <c r="BG100" s="468">
        <f ca="1">IF($BE100&gt;DATE(YEAR($BD$9)+OP!$C$57,MONTH($BD$9),DAY($BD$9)),0,$BE100-$BD100+1)</f>
        <v>30</v>
      </c>
      <c r="BH100" s="469">
        <f t="shared" ca="1" si="93"/>
        <v>31</v>
      </c>
      <c r="BI100" t="str">
        <f t="shared" si="128"/>
        <v/>
      </c>
      <c r="BJ100">
        <v>7</v>
      </c>
      <c r="BN100" s="468">
        <f t="shared" si="116"/>
        <v>8</v>
      </c>
      <c r="BO100" s="468">
        <f t="shared" si="117"/>
        <v>7</v>
      </c>
      <c r="BP100" s="467">
        <f t="shared" ca="1" si="94"/>
        <v>45659</v>
      </c>
      <c r="BQ100" s="475">
        <f t="shared" ca="1" si="126"/>
        <v>40</v>
      </c>
      <c r="BR100" s="475" t="str">
        <f t="shared" si="118"/>
        <v/>
      </c>
      <c r="BS100" s="471" t="str">
        <f t="shared" si="95"/>
        <v/>
      </c>
      <c r="BT100" s="472" t="str">
        <f t="shared" si="129"/>
        <v/>
      </c>
      <c r="BU100" s="472">
        <f t="shared" ca="1" si="96"/>
        <v>0</v>
      </c>
      <c r="BV100" s="472">
        <f t="shared" ca="1" si="96"/>
        <v>0</v>
      </c>
      <c r="BW100" s="472"/>
      <c r="BX100" s="473">
        <f t="shared" ca="1" si="97"/>
        <v>7444.8260691369996</v>
      </c>
      <c r="BY100" s="473">
        <f t="shared" si="98"/>
        <v>0</v>
      </c>
      <c r="BZ100" s="473">
        <f t="shared" ca="1" si="72"/>
        <v>17.008877715000001</v>
      </c>
      <c r="CA100" s="476">
        <f t="shared" ca="1" si="99"/>
        <v>0</v>
      </c>
      <c r="CB100" s="494">
        <f ca="1">IF(OR($Q99&lt;&gt;1,OP!$D$5+$BN100-1&lt;16,$BN100-1&lt;1),0,ROUND(ROUND(ROUND(((VLOOKUP($BN100-1,MORE_PV,5,0)/10000)*VLOOKUP($BN100,MORE_PV,$CB$5,0)),3)*VLOOKUP($BN100,more1,5,0),0)/$R99,0))</f>
        <v>0</v>
      </c>
      <c r="CC100" s="473">
        <f t="shared" ca="1" si="100"/>
        <v>0</v>
      </c>
      <c r="CD100" s="477"/>
      <c r="CE100" s="468">
        <f t="shared" si="119"/>
        <v>8</v>
      </c>
      <c r="CF100" s="468">
        <f t="shared" si="120"/>
        <v>7</v>
      </c>
      <c r="CG100" s="467">
        <f t="shared" ca="1" si="73"/>
        <v>45659</v>
      </c>
      <c r="CH100" s="475">
        <f t="shared" ca="1" si="127"/>
        <v>40</v>
      </c>
      <c r="CI100" s="513" t="str">
        <f t="shared" si="121"/>
        <v/>
      </c>
      <c r="CJ100" s="511">
        <f t="shared" si="101"/>
        <v>0</v>
      </c>
      <c r="CK100" s="512">
        <f t="shared" si="102"/>
        <v>0</v>
      </c>
      <c r="CL100" s="511">
        <f t="shared" ca="1" si="122"/>
        <v>0</v>
      </c>
      <c r="CM100" s="511">
        <f ca="1">ROUND(CS100-IF(OR($CE100&gt;=OP!$C$24,AND(CH100=15,CF100=12),CS100=0),0,(CT100-CR100)),$CM$7)</f>
        <v>0</v>
      </c>
      <c r="CN100" s="511"/>
      <c r="CO100" s="351">
        <f t="shared" ca="1" si="103"/>
        <v>32305</v>
      </c>
      <c r="CP100" s="473">
        <f t="shared" si="104"/>
        <v>0</v>
      </c>
      <c r="CQ100" s="473">
        <f t="shared" ca="1" si="74"/>
        <v>73.805860538000005</v>
      </c>
      <c r="CR100" s="476">
        <f t="shared" ca="1" si="105"/>
        <v>0</v>
      </c>
      <c r="CS100" s="494">
        <f ca="1">IF(OR($Q99&lt;&gt;1,OP!$D$5+$CE100-1&lt;16,$CE100-1&lt;1),0,ROUND(ROUND(ROUND(((VLOOKUP($CE100-1,MORE_PV,5,0)/10000)*VLOOKUP($CE100,MORE_PV,$CS$5,0)),3)*VLOOKUP($CE100,more1,5,0),0)/$R99,0))</f>
        <v>0</v>
      </c>
      <c r="CT100" s="473">
        <f>IF($AW100=1,IF(N($CR100+$CS100)&lt;N($AX100)*OP!$C$50,N($CR100+$CS100),MIN(N($CR100+$CS100),N($AX100))),0)</f>
        <v>0</v>
      </c>
      <c r="CV100" s="503">
        <f t="shared" ca="1" si="106"/>
        <v>32304.521621809999</v>
      </c>
      <c r="CW100" s="503">
        <f t="shared" ca="1" si="107"/>
        <v>0</v>
      </c>
      <c r="CX100" s="503">
        <f t="shared" ca="1" si="108"/>
        <v>32375.940327941</v>
      </c>
    </row>
    <row r="101" spans="1:102" ht="16.5" hidden="1">
      <c r="A101" s="450">
        <f ca="1">OP!$D$5+$B101-1</f>
        <v>123</v>
      </c>
      <c r="B101" s="192">
        <v>91</v>
      </c>
      <c r="C101" s="219">
        <f ca="1">ROUND(VLOOKUP(OP!$C$55,PV0,B101+2,0)*OP!$C$28,0)</f>
        <v>0</v>
      </c>
      <c r="D101" s="189">
        <f t="shared" ca="1" si="109"/>
        <v>0</v>
      </c>
      <c r="E101" s="221">
        <f t="shared" ca="1" si="110"/>
        <v>2.69E-2</v>
      </c>
      <c r="F101" s="222">
        <f t="shared" ca="1" si="111"/>
        <v>6.8999999999999999E-3</v>
      </c>
      <c r="G101" s="223">
        <f t="shared" ca="1" si="123"/>
        <v>2787614</v>
      </c>
      <c r="H101" s="224">
        <f t="shared" ca="1" si="124"/>
        <v>0</v>
      </c>
      <c r="I101" s="450">
        <f t="shared" ca="1" si="125"/>
        <v>12</v>
      </c>
      <c r="J101" s="192">
        <f t="shared" si="75"/>
        <v>8</v>
      </c>
      <c r="K101" s="192">
        <f t="shared" si="76"/>
        <v>9</v>
      </c>
      <c r="L101" s="192" t="str">
        <f t="shared" si="69"/>
        <v/>
      </c>
      <c r="M101" s="216">
        <f t="shared" ca="1" si="77"/>
        <v>0</v>
      </c>
      <c r="N101" s="216"/>
      <c r="O101" s="216"/>
      <c r="P101" s="216"/>
      <c r="Q101" s="456" t="str">
        <f t="shared" ca="1" si="78"/>
        <v/>
      </c>
      <c r="R101" s="450">
        <f t="shared" ca="1" si="79"/>
        <v>1</v>
      </c>
      <c r="S101" s="191">
        <f t="shared" si="80"/>
        <v>8</v>
      </c>
      <c r="T101" s="191">
        <f t="shared" si="81"/>
        <v>9</v>
      </c>
      <c r="U101" s="191">
        <f ca="1">OP!$D$5+$S101-1</f>
        <v>40</v>
      </c>
      <c r="V101" s="191" t="str">
        <f t="shared" si="82"/>
        <v/>
      </c>
      <c r="W101" s="350">
        <f ca="1">IF(Q101&lt;&gt;1,0,VLOOKUP(OP!$C$55,PVFB,$S101+2,0))</f>
        <v>0</v>
      </c>
      <c r="X101" s="473">
        <f t="shared" ca="1" si="112"/>
        <v>0</v>
      </c>
      <c r="Y101" s="348">
        <f t="shared" ca="1" si="113"/>
        <v>0</v>
      </c>
      <c r="Z101" s="348">
        <f t="shared" ca="1" si="114"/>
        <v>8012</v>
      </c>
      <c r="AA101" s="348">
        <f ca="1">IF(Q101&lt;&gt;1,0,VLOOKUP(OP!$C$55,PVFB,$S101+2,0))</f>
        <v>0</v>
      </c>
      <c r="AB101" s="488" t="str">
        <f ca="1">IF(AND(S101&lt;OP!$C$24,$U101&lt;15),0,IF(AND($U101&lt;15,$T101=12),ROUND(VLOOKUP($S101,DOWN16,5,0),3),IF($T101=12,ROUND(($Z101/10000)*$AA101,3)+IF(AND($P$7="購買增額繳清保險",T101=12,U101=110),VLOOKUP(S101,$B$10:$H$121,7,0),0),"")))</f>
        <v/>
      </c>
      <c r="AC101" s="350" t="str">
        <f ca="1">IF(AND(S101&lt;OP!$C$24,$U101&lt;15),0,IF(AND($U101&lt;16,$T101=12),VLOOKUP($S101,DOWN16,4,0),IF($T101=12,ROUND(VLOOKUP(OP!$C$55,_DIE2,$S101+1,0)*(Z101/10000),0)+IF(AND($P$7="購買增額繳清保險",T101=12,U101=110),VLOOKUP(S101,$B$10:$H$121,7,0),0),"")))</f>
        <v/>
      </c>
      <c r="AD101" s="347"/>
      <c r="AE101" s="350" t="str">
        <f t="shared" ca="1" si="70"/>
        <v/>
      </c>
      <c r="AF101" s="351" t="str">
        <f t="shared" ca="1" si="71"/>
        <v/>
      </c>
      <c r="AG101" s="340"/>
      <c r="AH101" s="340"/>
      <c r="AI101" s="340"/>
      <c r="AJ101" s="340"/>
      <c r="AK101" s="340"/>
      <c r="AL101" s="340"/>
      <c r="AM101" s="340"/>
      <c r="AN101" s="191">
        <f t="shared" si="83"/>
        <v>8</v>
      </c>
      <c r="AO101" s="191">
        <f t="shared" si="84"/>
        <v>9</v>
      </c>
      <c r="AP101" s="191">
        <f ca="1">OP!$D$5+$AN101-1</f>
        <v>40</v>
      </c>
      <c r="AQ101" s="191" t="str">
        <f t="shared" si="85"/>
        <v/>
      </c>
      <c r="AR101" s="352">
        <f t="shared" ca="1" si="86"/>
        <v>0</v>
      </c>
      <c r="AS101" s="352"/>
      <c r="AT101" s="352"/>
      <c r="AU101" s="436"/>
      <c r="AV101" s="353" t="str">
        <f t="shared" ca="1" si="87"/>
        <v/>
      </c>
      <c r="AW101" s="422" t="str">
        <f t="shared" si="88"/>
        <v/>
      </c>
      <c r="AX101" s="423" t="str">
        <f ca="1">IF(AND($AW101=1,$AP101&lt;16,$AN100&lt;OP!$C$24),OP!$C$49,"")</f>
        <v/>
      </c>
      <c r="AY101" s="340"/>
      <c r="AZ101" s="465">
        <f t="shared" ca="1" si="89"/>
        <v>7.3698599999999999E-5</v>
      </c>
      <c r="BA101" s="464">
        <f t="shared" ca="1" si="90"/>
        <v>1.9898630000000001E-3</v>
      </c>
      <c r="BB101" s="465">
        <f t="shared" ca="1" si="90"/>
        <v>2.0635616E-3</v>
      </c>
      <c r="BC101" s="466">
        <f t="shared" ca="1" si="91"/>
        <v>45689</v>
      </c>
      <c r="BD101" s="467">
        <f t="shared" ca="1" si="115"/>
        <v>45690</v>
      </c>
      <c r="BE101" s="467">
        <f t="shared" ca="1" si="92"/>
        <v>45716</v>
      </c>
      <c r="BF101" s="468">
        <f ca="1">IF(計算!$BC101&lt;OP!$C$3,0,BD101-BC101)</f>
        <v>1</v>
      </c>
      <c r="BG101" s="468">
        <f ca="1">IF($BE101&gt;DATE(YEAR($BD$9)+OP!$C$57,MONTH($BD$9),DAY($BD$9)),0,$BE101-$BD101+1)</f>
        <v>27</v>
      </c>
      <c r="BH101" s="469">
        <f t="shared" ca="1" si="93"/>
        <v>28</v>
      </c>
      <c r="BI101" t="str">
        <f t="shared" si="128"/>
        <v/>
      </c>
      <c r="BJ101">
        <v>8</v>
      </c>
      <c r="BN101" s="468">
        <f t="shared" si="116"/>
        <v>8</v>
      </c>
      <c r="BO101" s="468">
        <f t="shared" si="117"/>
        <v>8</v>
      </c>
      <c r="BP101" s="467">
        <f t="shared" ca="1" si="94"/>
        <v>45690</v>
      </c>
      <c r="BQ101" s="475">
        <f t="shared" ca="1" si="126"/>
        <v>40</v>
      </c>
      <c r="BR101" s="475" t="str">
        <f t="shared" si="118"/>
        <v/>
      </c>
      <c r="BS101" s="471" t="str">
        <f t="shared" si="95"/>
        <v/>
      </c>
      <c r="BT101" s="472" t="str">
        <f t="shared" si="129"/>
        <v/>
      </c>
      <c r="BU101" s="472">
        <f t="shared" ca="1" si="96"/>
        <v>0</v>
      </c>
      <c r="BV101" s="472">
        <f t="shared" ca="1" si="96"/>
        <v>0</v>
      </c>
      <c r="BW101" s="472"/>
      <c r="BX101" s="473">
        <f t="shared" ca="1" si="97"/>
        <v>7461.834946852</v>
      </c>
      <c r="BY101" s="473">
        <f t="shared" si="98"/>
        <v>0</v>
      </c>
      <c r="BZ101" s="473">
        <f t="shared" ca="1" si="72"/>
        <v>15.397956062</v>
      </c>
      <c r="CA101" s="476">
        <f t="shared" ca="1" si="99"/>
        <v>0</v>
      </c>
      <c r="CB101" s="494">
        <f ca="1">IF(OR($Q100&lt;&gt;1,OP!$D$5+$BN101-1&lt;16,$BN101-1&lt;1),0,ROUND(ROUND(ROUND(((VLOOKUP($BN101-1,MORE_PV,5,0)/10000)*VLOOKUP($BN101,MORE_PV,$CB$5,0)),3)*VLOOKUP($BN101,more1,5,0),0)/$R100,0))</f>
        <v>0</v>
      </c>
      <c r="CC101" s="473">
        <f t="shared" ca="1" si="100"/>
        <v>0</v>
      </c>
      <c r="CD101" s="477"/>
      <c r="CE101" s="468">
        <f t="shared" si="119"/>
        <v>8</v>
      </c>
      <c r="CF101" s="468">
        <f t="shared" si="120"/>
        <v>8</v>
      </c>
      <c r="CG101" s="467">
        <f t="shared" ca="1" si="73"/>
        <v>45690</v>
      </c>
      <c r="CH101" s="475">
        <f t="shared" ca="1" si="127"/>
        <v>40</v>
      </c>
      <c r="CI101" s="513" t="str">
        <f t="shared" si="121"/>
        <v/>
      </c>
      <c r="CJ101" s="511">
        <f t="shared" si="101"/>
        <v>0</v>
      </c>
      <c r="CK101" s="512">
        <f t="shared" si="102"/>
        <v>0</v>
      </c>
      <c r="CL101" s="511">
        <f t="shared" ca="1" si="122"/>
        <v>0</v>
      </c>
      <c r="CM101" s="511">
        <f ca="1">ROUND(CS101-IF(OR($CE101&gt;=OP!$C$24,AND(CH101=15,CF101=12),CS101=0),0,(CT101-CR101)),$CM$7)</f>
        <v>0</v>
      </c>
      <c r="CN101" s="511"/>
      <c r="CO101" s="351">
        <f t="shared" ca="1" si="103"/>
        <v>32378</v>
      </c>
      <c r="CP101" s="473">
        <f t="shared" si="104"/>
        <v>0</v>
      </c>
      <c r="CQ101" s="473">
        <f t="shared" ca="1" si="74"/>
        <v>66.813997485000002</v>
      </c>
      <c r="CR101" s="476">
        <f t="shared" ca="1" si="105"/>
        <v>0</v>
      </c>
      <c r="CS101" s="494">
        <f ca="1">IF(OR($Q100&lt;&gt;1,OP!$D$5+$CE101-1&lt;16,$CE101-1&lt;1),0,ROUND(ROUND(ROUND(((VLOOKUP($CE101-1,MORE_PV,5,0)/10000)*VLOOKUP($CE101,MORE_PV,$CS$5,0)),3)*VLOOKUP($CE101,more1,5,0),0)/$R100,0))</f>
        <v>0</v>
      </c>
      <c r="CT101" s="473">
        <f>IF($AW101=1,IF(N($CR101+$CS101)&lt;N($AX101)*OP!$C$50,N($CR101+$CS101),MIN(N($CR101+$CS101),N($AX101))),0)</f>
        <v>0</v>
      </c>
      <c r="CV101" s="503">
        <f t="shared" ca="1" si="106"/>
        <v>32378.326389417001</v>
      </c>
      <c r="CW101" s="503">
        <f t="shared" ca="1" si="107"/>
        <v>0</v>
      </c>
      <c r="CX101" s="503">
        <f t="shared" ca="1" si="108"/>
        <v>32442.750075166001</v>
      </c>
    </row>
    <row r="102" spans="1:102" ht="16.5" hidden="1">
      <c r="A102" s="450">
        <f ca="1">OP!$D$5+$B102-1</f>
        <v>124</v>
      </c>
      <c r="B102" s="192">
        <v>92</v>
      </c>
      <c r="C102" s="219">
        <f ca="1">ROUND(VLOOKUP(OP!$C$55,PV0,B102+2,0)*OP!$C$28,0)</f>
        <v>0</v>
      </c>
      <c r="D102" s="189">
        <f t="shared" ca="1" si="109"/>
        <v>0</v>
      </c>
      <c r="E102" s="221">
        <f t="shared" ca="1" si="110"/>
        <v>2.69E-2</v>
      </c>
      <c r="F102" s="222">
        <f t="shared" ca="1" si="111"/>
        <v>6.8999999999999999E-3</v>
      </c>
      <c r="G102" s="223">
        <f t="shared" ca="1" si="123"/>
        <v>2790080</v>
      </c>
      <c r="H102" s="224">
        <f t="shared" ca="1" si="124"/>
        <v>0</v>
      </c>
      <c r="I102" s="450">
        <f t="shared" ca="1" si="125"/>
        <v>12</v>
      </c>
      <c r="J102" s="192">
        <f t="shared" si="75"/>
        <v>8</v>
      </c>
      <c r="K102" s="192">
        <f t="shared" si="76"/>
        <v>10</v>
      </c>
      <c r="L102" s="192" t="str">
        <f t="shared" si="69"/>
        <v/>
      </c>
      <c r="M102" s="216">
        <f t="shared" ca="1" si="77"/>
        <v>0</v>
      </c>
      <c r="N102" s="216"/>
      <c r="O102" s="216"/>
      <c r="P102" s="216"/>
      <c r="Q102" s="456" t="str">
        <f t="shared" ca="1" si="78"/>
        <v/>
      </c>
      <c r="R102" s="450">
        <f t="shared" ca="1" si="79"/>
        <v>1</v>
      </c>
      <c r="S102" s="191">
        <f t="shared" si="80"/>
        <v>8</v>
      </c>
      <c r="T102" s="191">
        <f t="shared" si="81"/>
        <v>10</v>
      </c>
      <c r="U102" s="191">
        <f ca="1">OP!$D$5+$S102-1</f>
        <v>40</v>
      </c>
      <c r="V102" s="191" t="str">
        <f t="shared" si="82"/>
        <v/>
      </c>
      <c r="W102" s="350">
        <f ca="1">IF(Q102&lt;&gt;1,0,VLOOKUP(OP!$C$55,PVFB,$S102+2,0))</f>
        <v>0</v>
      </c>
      <c r="X102" s="473">
        <f t="shared" ca="1" si="112"/>
        <v>0</v>
      </c>
      <c r="Y102" s="348">
        <f t="shared" ca="1" si="113"/>
        <v>0</v>
      </c>
      <c r="Z102" s="348">
        <f t="shared" ca="1" si="114"/>
        <v>8012</v>
      </c>
      <c r="AA102" s="348">
        <f ca="1">IF(Q102&lt;&gt;1,0,VLOOKUP(OP!$C$55,PVFB,$S102+2,0))</f>
        <v>0</v>
      </c>
      <c r="AB102" s="488" t="str">
        <f ca="1">IF(AND(S102&lt;OP!$C$24,$U102&lt;15),0,IF(AND($U102&lt;15,$T102=12),ROUND(VLOOKUP($S102,DOWN16,5,0),3),IF($T102=12,ROUND(($Z102/10000)*$AA102,3)+IF(AND($P$7="購買增額繳清保險",T102=12,U102=110),VLOOKUP(S102,$B$10:$H$121,7,0),0),"")))</f>
        <v/>
      </c>
      <c r="AC102" s="350" t="str">
        <f ca="1">IF(AND(S102&lt;OP!$C$24,$U102&lt;15),0,IF(AND($U102&lt;16,$T102=12),VLOOKUP($S102,DOWN16,4,0),IF($T102=12,ROUND(VLOOKUP(OP!$C$55,_DIE2,$S102+1,0)*(Z102/10000),0)+IF(AND($P$7="購買增額繳清保險",T102=12,U102=110),VLOOKUP(S102,$B$10:$H$121,7,0),0),"")))</f>
        <v/>
      </c>
      <c r="AD102" s="347"/>
      <c r="AE102" s="350" t="str">
        <f t="shared" ca="1" si="70"/>
        <v/>
      </c>
      <c r="AF102" s="351" t="str">
        <f t="shared" ca="1" si="71"/>
        <v/>
      </c>
      <c r="AG102" s="340"/>
      <c r="AH102" s="340"/>
      <c r="AI102" s="340"/>
      <c r="AJ102" s="340"/>
      <c r="AK102" s="340"/>
      <c r="AL102" s="340"/>
      <c r="AM102" s="340"/>
      <c r="AN102" s="191">
        <f t="shared" si="83"/>
        <v>8</v>
      </c>
      <c r="AO102" s="191">
        <f t="shared" si="84"/>
        <v>10</v>
      </c>
      <c r="AP102" s="191">
        <f ca="1">OP!$D$5+$AN102-1</f>
        <v>40</v>
      </c>
      <c r="AQ102" s="191" t="str">
        <f t="shared" si="85"/>
        <v/>
      </c>
      <c r="AR102" s="352">
        <f t="shared" ca="1" si="86"/>
        <v>0</v>
      </c>
      <c r="AS102" s="352"/>
      <c r="AT102" s="352"/>
      <c r="AU102" s="436"/>
      <c r="AV102" s="353" t="str">
        <f t="shared" ca="1" si="87"/>
        <v/>
      </c>
      <c r="AW102" s="422" t="str">
        <f t="shared" si="88"/>
        <v/>
      </c>
      <c r="AX102" s="423" t="str">
        <f ca="1">IF(AND($AW102=1,$AP102&lt;16,$AN101&lt;OP!$C$24),OP!$C$49,"")</f>
        <v/>
      </c>
      <c r="AY102" s="340"/>
      <c r="AZ102" s="465">
        <f t="shared" ca="1" si="89"/>
        <v>7.3698599999999999E-5</v>
      </c>
      <c r="BA102" s="464">
        <f t="shared" ca="1" si="90"/>
        <v>2.2109589000000002E-3</v>
      </c>
      <c r="BB102" s="465">
        <f t="shared" ca="1" si="90"/>
        <v>2.2846575E-3</v>
      </c>
      <c r="BC102" s="466">
        <f t="shared" ca="1" si="91"/>
        <v>45717</v>
      </c>
      <c r="BD102" s="467">
        <f t="shared" ca="1" si="115"/>
        <v>45718</v>
      </c>
      <c r="BE102" s="467">
        <f t="shared" ca="1" si="92"/>
        <v>45747</v>
      </c>
      <c r="BF102" s="468">
        <f ca="1">IF(計算!$BC102&lt;OP!$C$3,0,BD102-BC102)</f>
        <v>1</v>
      </c>
      <c r="BG102" s="468">
        <f ca="1">IF($BE102&gt;DATE(YEAR($BD$9)+OP!$C$57,MONTH($BD$9),DAY($BD$9)),0,$BE102-$BD102+1)</f>
        <v>30</v>
      </c>
      <c r="BH102" s="469">
        <f t="shared" ca="1" si="93"/>
        <v>31</v>
      </c>
      <c r="BI102" t="str">
        <f t="shared" si="128"/>
        <v/>
      </c>
      <c r="BJ102">
        <v>9</v>
      </c>
      <c r="BN102" s="468">
        <f t="shared" si="116"/>
        <v>8</v>
      </c>
      <c r="BO102" s="468">
        <f t="shared" si="117"/>
        <v>9</v>
      </c>
      <c r="BP102" s="467">
        <f t="shared" ca="1" si="94"/>
        <v>45718</v>
      </c>
      <c r="BQ102" s="475">
        <f t="shared" ca="1" si="126"/>
        <v>40</v>
      </c>
      <c r="BR102" s="475" t="str">
        <f t="shared" si="118"/>
        <v/>
      </c>
      <c r="BS102" s="471" t="str">
        <f t="shared" si="95"/>
        <v/>
      </c>
      <c r="BT102" s="472" t="str">
        <f t="shared" si="129"/>
        <v/>
      </c>
      <c r="BU102" s="472">
        <f t="shared" ca="1" si="96"/>
        <v>0</v>
      </c>
      <c r="BV102" s="472">
        <f t="shared" ca="1" si="96"/>
        <v>0</v>
      </c>
      <c r="BW102" s="472"/>
      <c r="BX102" s="473">
        <f t="shared" ca="1" si="97"/>
        <v>7477.2329029140001</v>
      </c>
      <c r="BY102" s="473">
        <f t="shared" si="98"/>
        <v>0</v>
      </c>
      <c r="BZ102" s="473">
        <f t="shared" ca="1" si="72"/>
        <v>17.082916230999999</v>
      </c>
      <c r="CA102" s="476">
        <f t="shared" ca="1" si="99"/>
        <v>0</v>
      </c>
      <c r="CB102" s="494">
        <f ca="1">IF(OR($Q101&lt;&gt;1,OP!$D$5+$BN102-1&lt;16,$BN102-1&lt;1),0,ROUND(ROUND(ROUND(((VLOOKUP($BN102-1,MORE_PV,5,0)/10000)*VLOOKUP($BN102,MORE_PV,$CB$5,0)),3)*VLOOKUP($BN102,more1,5,0),0)/$R101,0))</f>
        <v>0</v>
      </c>
      <c r="CC102" s="473">
        <f t="shared" ca="1" si="100"/>
        <v>0</v>
      </c>
      <c r="CD102" s="477"/>
      <c r="CE102" s="468">
        <f t="shared" si="119"/>
        <v>8</v>
      </c>
      <c r="CF102" s="468">
        <f t="shared" si="120"/>
        <v>9</v>
      </c>
      <c r="CG102" s="467">
        <f t="shared" ca="1" si="73"/>
        <v>45718</v>
      </c>
      <c r="CH102" s="475">
        <f t="shared" ca="1" si="127"/>
        <v>40</v>
      </c>
      <c r="CI102" s="513" t="str">
        <f t="shared" si="121"/>
        <v/>
      </c>
      <c r="CJ102" s="511">
        <f t="shared" si="101"/>
        <v>0</v>
      </c>
      <c r="CK102" s="512">
        <f t="shared" si="102"/>
        <v>0</v>
      </c>
      <c r="CL102" s="511">
        <f t="shared" ca="1" si="122"/>
        <v>0</v>
      </c>
      <c r="CM102" s="511">
        <f ca="1">ROUND(CS102-IF(OR($CE102&gt;=OP!$C$24,AND(CH102=15,CF102=12),CS102=0),0,(CT102-CR102)),$CM$7)</f>
        <v>0</v>
      </c>
      <c r="CN102" s="511"/>
      <c r="CO102" s="351">
        <f t="shared" ca="1" si="103"/>
        <v>32445</v>
      </c>
      <c r="CP102" s="473">
        <f t="shared" si="104"/>
        <v>0</v>
      </c>
      <c r="CQ102" s="473">
        <f t="shared" ca="1" si="74"/>
        <v>74.125712587999999</v>
      </c>
      <c r="CR102" s="476">
        <f t="shared" ca="1" si="105"/>
        <v>0</v>
      </c>
      <c r="CS102" s="494">
        <f ca="1">IF(OR($Q101&lt;&gt;1,OP!$D$5+$CE102-1&lt;16,$CE102-1&lt;1),0,ROUND(ROUND(ROUND(((VLOOKUP($CE102-1,MORE_PV,5,0)/10000)*VLOOKUP($CE102,MORE_PV,$CS$5,0)),3)*VLOOKUP($CE102,more1,5,0),0)/$R101,0))</f>
        <v>0</v>
      </c>
      <c r="CT102" s="473">
        <f>IF($AW102=1,IF(N($CR102+$CS102)&lt;N($AX102)*OP!$C$50,N($CR102+$CS102),MIN(N($CR102+$CS102),N($AX102))),0)</f>
        <v>0</v>
      </c>
      <c r="CV102" s="503">
        <f t="shared" ca="1" si="106"/>
        <v>32445.141060426999</v>
      </c>
      <c r="CW102" s="503">
        <f t="shared" ca="1" si="107"/>
        <v>0</v>
      </c>
      <c r="CX102" s="503">
        <f t="shared" ca="1" si="108"/>
        <v>32516.870647446001</v>
      </c>
    </row>
    <row r="103" spans="1:102" ht="16.5" hidden="1">
      <c r="A103" s="450">
        <f ca="1">OP!$D$5+$B103-1</f>
        <v>125</v>
      </c>
      <c r="B103" s="192">
        <v>93</v>
      </c>
      <c r="C103" s="219">
        <f ca="1">ROUND(VLOOKUP(OP!$C$55,PV0,B103+2,0)*OP!$C$28,0)</f>
        <v>0</v>
      </c>
      <c r="D103" s="189">
        <f t="shared" ca="1" si="109"/>
        <v>0</v>
      </c>
      <c r="E103" s="221">
        <f t="shared" ca="1" si="110"/>
        <v>2.69E-2</v>
      </c>
      <c r="F103" s="222">
        <f t="shared" ca="1" si="111"/>
        <v>6.8999999999999999E-3</v>
      </c>
      <c r="G103" s="223">
        <f t="shared" ca="1" si="123"/>
        <v>2792549</v>
      </c>
      <c r="H103" s="224">
        <f t="shared" ca="1" si="124"/>
        <v>0</v>
      </c>
      <c r="I103" s="450">
        <f t="shared" ca="1" si="125"/>
        <v>12</v>
      </c>
      <c r="J103" s="192">
        <f t="shared" si="75"/>
        <v>8</v>
      </c>
      <c r="K103" s="192">
        <f t="shared" si="76"/>
        <v>11</v>
      </c>
      <c r="L103" s="192" t="str">
        <f t="shared" si="69"/>
        <v/>
      </c>
      <c r="M103" s="216">
        <f t="shared" ca="1" si="77"/>
        <v>0</v>
      </c>
      <c r="N103" s="216"/>
      <c r="O103" s="216"/>
      <c r="P103" s="216"/>
      <c r="Q103" s="456" t="str">
        <f t="shared" ca="1" si="78"/>
        <v/>
      </c>
      <c r="R103" s="450">
        <f t="shared" ca="1" si="79"/>
        <v>1</v>
      </c>
      <c r="S103" s="191">
        <f t="shared" si="80"/>
        <v>8</v>
      </c>
      <c r="T103" s="191">
        <f t="shared" si="81"/>
        <v>11</v>
      </c>
      <c r="U103" s="191">
        <f ca="1">OP!$D$5+$S103-1</f>
        <v>40</v>
      </c>
      <c r="V103" s="191" t="str">
        <f t="shared" si="82"/>
        <v/>
      </c>
      <c r="W103" s="350">
        <f ca="1">IF(Q103&lt;&gt;1,0,VLOOKUP(OP!$C$55,PVFB,$S103+2,0))</f>
        <v>0</v>
      </c>
      <c r="X103" s="473">
        <f t="shared" ca="1" si="112"/>
        <v>0</v>
      </c>
      <c r="Y103" s="348">
        <f t="shared" ca="1" si="113"/>
        <v>0</v>
      </c>
      <c r="Z103" s="348">
        <f t="shared" ca="1" si="114"/>
        <v>8012</v>
      </c>
      <c r="AA103" s="348">
        <f ca="1">IF(Q103&lt;&gt;1,0,VLOOKUP(OP!$C$55,PVFB,$S103+2,0))</f>
        <v>0</v>
      </c>
      <c r="AB103" s="488" t="str">
        <f ca="1">IF(AND(S103&lt;OP!$C$24,$U103&lt;15),0,IF(AND($U103&lt;15,$T103=12),ROUND(VLOOKUP($S103,DOWN16,5,0),3),IF($T103=12,ROUND(($Z103/10000)*$AA103,3)+IF(AND($P$7="購買增額繳清保險",T103=12,U103=110),VLOOKUP(S103,$B$10:$H$121,7,0),0),"")))</f>
        <v/>
      </c>
      <c r="AC103" s="350" t="str">
        <f ca="1">IF(AND(S103&lt;OP!$C$24,$U103&lt;15),0,IF(AND($U103&lt;16,$T103=12),VLOOKUP($S103,DOWN16,4,0),IF($T103=12,ROUND(VLOOKUP(OP!$C$55,_DIE2,$S103+1,0)*(Z103/10000),0)+IF(AND($P$7="購買增額繳清保險",T103=12,U103=110),VLOOKUP(S103,$B$10:$H$121,7,0),0),"")))</f>
        <v/>
      </c>
      <c r="AD103" s="347"/>
      <c r="AE103" s="350" t="str">
        <f t="shared" ca="1" si="70"/>
        <v/>
      </c>
      <c r="AF103" s="351" t="str">
        <f t="shared" ca="1" si="71"/>
        <v/>
      </c>
      <c r="AG103" s="340"/>
      <c r="AH103" s="340"/>
      <c r="AI103" s="340"/>
      <c r="AJ103" s="340"/>
      <c r="AK103" s="340"/>
      <c r="AL103" s="340"/>
      <c r="AM103" s="340"/>
      <c r="AN103" s="191">
        <f t="shared" si="83"/>
        <v>8</v>
      </c>
      <c r="AO103" s="191">
        <f t="shared" si="84"/>
        <v>11</v>
      </c>
      <c r="AP103" s="191">
        <f ca="1">OP!$D$5+$AN103-1</f>
        <v>40</v>
      </c>
      <c r="AQ103" s="191" t="str">
        <f t="shared" si="85"/>
        <v/>
      </c>
      <c r="AR103" s="352">
        <f t="shared" ca="1" si="86"/>
        <v>0</v>
      </c>
      <c r="AS103" s="352"/>
      <c r="AT103" s="352"/>
      <c r="AU103" s="436"/>
      <c r="AV103" s="353" t="str">
        <f t="shared" ca="1" si="87"/>
        <v/>
      </c>
      <c r="AW103" s="422" t="str">
        <f t="shared" si="88"/>
        <v/>
      </c>
      <c r="AX103" s="423" t="str">
        <f ca="1">IF(AND($AW103=1,$AP103&lt;16,$AN102&lt;OP!$C$24),OP!$C$49,"")</f>
        <v/>
      </c>
      <c r="AY103" s="340"/>
      <c r="AZ103" s="465">
        <f t="shared" ca="1" si="89"/>
        <v>7.3698599999999999E-5</v>
      </c>
      <c r="BA103" s="464">
        <f t="shared" ca="1" si="90"/>
        <v>2.1372602999999999E-3</v>
      </c>
      <c r="BB103" s="465">
        <f t="shared" ca="1" si="90"/>
        <v>2.2109589000000002E-3</v>
      </c>
      <c r="BC103" s="466">
        <f t="shared" ca="1" si="91"/>
        <v>45748</v>
      </c>
      <c r="BD103" s="467">
        <f t="shared" ca="1" si="115"/>
        <v>45749</v>
      </c>
      <c r="BE103" s="467">
        <f t="shared" ca="1" si="92"/>
        <v>45777</v>
      </c>
      <c r="BF103" s="468">
        <f ca="1">IF(計算!$BC103&lt;OP!$C$3,0,BD103-BC103)</f>
        <v>1</v>
      </c>
      <c r="BG103" s="468">
        <f ca="1">IF($BE103&gt;DATE(YEAR($BD$9)+OP!$C$57,MONTH($BD$9),DAY($BD$9)),0,$BE103-$BD103+1)</f>
        <v>29</v>
      </c>
      <c r="BH103" s="469">
        <f t="shared" ca="1" si="93"/>
        <v>30</v>
      </c>
      <c r="BI103" t="str">
        <f t="shared" si="128"/>
        <v/>
      </c>
      <c r="BJ103">
        <v>10</v>
      </c>
      <c r="BN103" s="468">
        <f t="shared" si="116"/>
        <v>8</v>
      </c>
      <c r="BO103" s="468">
        <f t="shared" si="117"/>
        <v>10</v>
      </c>
      <c r="BP103" s="467">
        <f t="shared" ca="1" si="94"/>
        <v>45749</v>
      </c>
      <c r="BQ103" s="475">
        <f t="shared" ca="1" si="126"/>
        <v>40</v>
      </c>
      <c r="BR103" s="475" t="str">
        <f t="shared" si="118"/>
        <v/>
      </c>
      <c r="BS103" s="471" t="str">
        <f t="shared" si="95"/>
        <v/>
      </c>
      <c r="BT103" s="472" t="str">
        <f t="shared" si="129"/>
        <v/>
      </c>
      <c r="BU103" s="472">
        <f t="shared" ca="1" si="96"/>
        <v>0</v>
      </c>
      <c r="BV103" s="472">
        <f t="shared" ca="1" si="96"/>
        <v>0</v>
      </c>
      <c r="BW103" s="472"/>
      <c r="BX103" s="473">
        <f t="shared" ca="1" si="97"/>
        <v>7494.3158191450002</v>
      </c>
      <c r="BY103" s="473">
        <f t="shared" si="98"/>
        <v>0</v>
      </c>
      <c r="BZ103" s="473">
        <f t="shared" ca="1" si="72"/>
        <v>16.569624260000001</v>
      </c>
      <c r="CA103" s="476">
        <f t="shared" ca="1" si="99"/>
        <v>0</v>
      </c>
      <c r="CB103" s="494">
        <f ca="1">IF(OR($Q102&lt;&gt;1,OP!$D$5+$BN103-1&lt;16,$BN103-1&lt;1),0,ROUND(ROUND(ROUND(((VLOOKUP($BN103-1,MORE_PV,5,0)/10000)*VLOOKUP($BN103,MORE_PV,$CB$5,0)),3)*VLOOKUP($BN103,more1,5,0),0)/$R102,0))</f>
        <v>0</v>
      </c>
      <c r="CC103" s="473">
        <f t="shared" ca="1" si="100"/>
        <v>0</v>
      </c>
      <c r="CD103" s="477"/>
      <c r="CE103" s="468">
        <f t="shared" si="119"/>
        <v>8</v>
      </c>
      <c r="CF103" s="468">
        <f t="shared" si="120"/>
        <v>10</v>
      </c>
      <c r="CG103" s="467">
        <f t="shared" ca="1" si="73"/>
        <v>45749</v>
      </c>
      <c r="CH103" s="475">
        <f t="shared" ca="1" si="127"/>
        <v>40</v>
      </c>
      <c r="CI103" s="513" t="str">
        <f t="shared" si="121"/>
        <v/>
      </c>
      <c r="CJ103" s="511">
        <f t="shared" si="101"/>
        <v>0</v>
      </c>
      <c r="CK103" s="512">
        <f t="shared" si="102"/>
        <v>0</v>
      </c>
      <c r="CL103" s="511">
        <f t="shared" ca="1" si="122"/>
        <v>0</v>
      </c>
      <c r="CM103" s="511">
        <f ca="1">ROUND(CS103-IF(OR($CE103&gt;=OP!$C$24,AND(CH103=15,CF103=12),CS103=0),0,(CT103-CR103)),$CM$7)</f>
        <v>0</v>
      </c>
      <c r="CN103" s="511"/>
      <c r="CO103" s="351">
        <f t="shared" ca="1" si="103"/>
        <v>32519</v>
      </c>
      <c r="CP103" s="473">
        <f t="shared" si="104"/>
        <v>0</v>
      </c>
      <c r="CQ103" s="473">
        <f t="shared" ca="1" si="74"/>
        <v>71.898172469000002</v>
      </c>
      <c r="CR103" s="476">
        <f t="shared" ca="1" si="105"/>
        <v>0</v>
      </c>
      <c r="CS103" s="494">
        <f ca="1">IF(OR($Q102&lt;&gt;1,OP!$D$5+$CE103-1&lt;16,$CE103-1&lt;1),0,ROUND(ROUND(ROUND(((VLOOKUP($CE103-1,MORE_PV,5,0)/10000)*VLOOKUP($CE103,MORE_PV,$CS$5,0)),3)*VLOOKUP($CE103,more1,5,0),0)/$R102,0))</f>
        <v>0</v>
      </c>
      <c r="CT103" s="473">
        <f>IF($AW103=1,IF(N($CR103+$CS103)&lt;N($AX103)*OP!$C$50,N($CR103+$CS103),MIN(N($CR103+$CS103),N($AX103))),0)</f>
        <v>0</v>
      </c>
      <c r="CV103" s="503">
        <f t="shared" ca="1" si="106"/>
        <v>32519.267095289</v>
      </c>
      <c r="CW103" s="503">
        <f t="shared" ca="1" si="107"/>
        <v>0</v>
      </c>
      <c r="CX103" s="503">
        <f t="shared" ca="1" si="108"/>
        <v>32588.764112003999</v>
      </c>
    </row>
    <row r="104" spans="1:102" ht="16.5" hidden="1">
      <c r="A104" s="450">
        <f ca="1">OP!$D$5+$B104-1</f>
        <v>126</v>
      </c>
      <c r="B104" s="192">
        <v>94</v>
      </c>
      <c r="C104" s="219">
        <f ca="1">ROUND(VLOOKUP(OP!$C$55,PV0,B104+2,0)*OP!$C$28,0)</f>
        <v>0</v>
      </c>
      <c r="D104" s="189">
        <f t="shared" ca="1" si="109"/>
        <v>0</v>
      </c>
      <c r="E104" s="221">
        <f t="shared" ca="1" si="110"/>
        <v>2.69E-2</v>
      </c>
      <c r="F104" s="222">
        <f t="shared" ca="1" si="111"/>
        <v>6.8999999999999999E-3</v>
      </c>
      <c r="G104" s="223">
        <f t="shared" ca="1" si="123"/>
        <v>2795020</v>
      </c>
      <c r="H104" s="224">
        <f t="shared" ca="1" si="124"/>
        <v>0</v>
      </c>
      <c r="I104" s="450">
        <f t="shared" ca="1" si="125"/>
        <v>12</v>
      </c>
      <c r="J104" s="192">
        <f t="shared" si="75"/>
        <v>8</v>
      </c>
      <c r="K104" s="192">
        <f t="shared" si="76"/>
        <v>12</v>
      </c>
      <c r="L104" s="192">
        <f t="shared" si="69"/>
        <v>8</v>
      </c>
      <c r="M104" s="216">
        <f t="shared" ca="1" si="77"/>
        <v>15004</v>
      </c>
      <c r="N104" s="216"/>
      <c r="O104" s="216"/>
      <c r="P104" s="216"/>
      <c r="Q104" s="456">
        <f t="shared" ca="1" si="78"/>
        <v>1</v>
      </c>
      <c r="R104" s="450">
        <f t="shared" ca="1" si="79"/>
        <v>1</v>
      </c>
      <c r="S104" s="191">
        <f t="shared" si="80"/>
        <v>8</v>
      </c>
      <c r="T104" s="191">
        <f t="shared" si="81"/>
        <v>12</v>
      </c>
      <c r="U104" s="191">
        <f ca="1">OP!$D$5+$S104-1</f>
        <v>40</v>
      </c>
      <c r="V104" s="191">
        <f t="shared" si="82"/>
        <v>8</v>
      </c>
      <c r="W104" s="350">
        <f ca="1">IF(Q104&lt;&gt;1,0,VLOOKUP(OP!$C$55,PVFB,$S104+2,0))</f>
        <v>31130</v>
      </c>
      <c r="X104" s="473">
        <f t="shared" ca="1" si="112"/>
        <v>7475</v>
      </c>
      <c r="Y104" s="348">
        <f t="shared" ca="1" si="113"/>
        <v>0</v>
      </c>
      <c r="Z104" s="348">
        <f t="shared" ca="1" si="114"/>
        <v>8012</v>
      </c>
      <c r="AA104" s="348">
        <f ca="1">IF(Q104&lt;&gt;1,0,VLOOKUP(OP!$C$55,PVFB,$S104+2,0))</f>
        <v>31130</v>
      </c>
      <c r="AB104" s="488">
        <f ca="1">IF(AND(S104&lt;OP!$C$24,$U104&lt;15),0,IF(AND($U104&lt;15,$T104=12),ROUND(VLOOKUP($S104,DOWN16,5,0),3),IF($T104=12,ROUND(($Z104/10000)*$AA104,3)+IF(AND($P$7="購買增額繳清保險",T104=12,U104=110),VLOOKUP(S104,$B$10:$H$121,7,0),0),"")))</f>
        <v>24941.356</v>
      </c>
      <c r="AC104" s="350">
        <f ca="1">IF(AND(S104&lt;OP!$C$24,$U104&lt;15),0,IF(AND($U104&lt;16,$T104=12),VLOOKUP($S104,DOWN16,4,0),IF($T104=12,ROUND(VLOOKUP(OP!$C$55,_DIE2,$S104+1,0)*(Z104/10000),0)+IF(AND($P$7="購買增額繳清保險",T104=12,U104=110),VLOOKUP(S104,$B$10:$H$121,7,0),0),"")))</f>
        <v>25514</v>
      </c>
      <c r="AD104" s="347"/>
      <c r="AE104" s="350" t="str">
        <f t="shared" ca="1" si="70"/>
        <v/>
      </c>
      <c r="AF104" s="351" t="str">
        <f t="shared" ca="1" si="71"/>
        <v/>
      </c>
      <c r="AG104" s="340"/>
      <c r="AH104" s="340"/>
      <c r="AI104" s="340"/>
      <c r="AJ104" s="340"/>
      <c r="AK104" s="340"/>
      <c r="AL104" s="340"/>
      <c r="AM104" s="340"/>
      <c r="AN104" s="191">
        <f t="shared" si="83"/>
        <v>8</v>
      </c>
      <c r="AO104" s="191">
        <f t="shared" si="84"/>
        <v>12</v>
      </c>
      <c r="AP104" s="191">
        <f ca="1">OP!$D$5+$AN104-1</f>
        <v>40</v>
      </c>
      <c r="AQ104" s="191">
        <f t="shared" si="85"/>
        <v>8</v>
      </c>
      <c r="AR104" s="352">
        <f t="shared" ca="1" si="86"/>
        <v>39969</v>
      </c>
      <c r="AS104" s="352"/>
      <c r="AT104" s="352"/>
      <c r="AU104" s="436"/>
      <c r="AV104" s="353">
        <f t="shared" ca="1" si="87"/>
        <v>1</v>
      </c>
      <c r="AW104" s="422" t="str">
        <f t="shared" si="88"/>
        <v/>
      </c>
      <c r="AX104" s="423" t="str">
        <f ca="1">IF(AND($AW104=1,$AP104&lt;16,$AN103&lt;OP!$C$24),OP!$C$49,"")</f>
        <v/>
      </c>
      <c r="AY104" s="340"/>
      <c r="AZ104" s="465">
        <f t="shared" ca="1" si="89"/>
        <v>7.3698599999999999E-5</v>
      </c>
      <c r="BA104" s="464">
        <f t="shared" ca="1" si="90"/>
        <v>2.2109589000000002E-3</v>
      </c>
      <c r="BB104" s="465">
        <f t="shared" ca="1" si="90"/>
        <v>2.2846575E-3</v>
      </c>
      <c r="BC104" s="466">
        <f t="shared" ca="1" si="91"/>
        <v>45778</v>
      </c>
      <c r="BD104" s="467">
        <f t="shared" ca="1" si="115"/>
        <v>45779</v>
      </c>
      <c r="BE104" s="467">
        <f t="shared" ca="1" si="92"/>
        <v>45808</v>
      </c>
      <c r="BF104" s="468">
        <f ca="1">IF(計算!$BC104&lt;OP!$C$3,0,BD104-BC104)</f>
        <v>1</v>
      </c>
      <c r="BG104" s="468">
        <f ca="1">IF($BE104&gt;DATE(YEAR($BD$9)+OP!$C$57,MONTH($BD$9),DAY($BD$9)),0,$BE104-$BD104+1)</f>
        <v>30</v>
      </c>
      <c r="BH104" s="469">
        <f t="shared" ca="1" si="93"/>
        <v>31</v>
      </c>
      <c r="BI104" t="str">
        <f t="shared" si="128"/>
        <v/>
      </c>
      <c r="BJ104">
        <v>11</v>
      </c>
      <c r="BN104" s="468">
        <f t="shared" si="116"/>
        <v>8</v>
      </c>
      <c r="BO104" s="468">
        <f t="shared" si="117"/>
        <v>11</v>
      </c>
      <c r="BP104" s="467">
        <f t="shared" ca="1" si="94"/>
        <v>45779</v>
      </c>
      <c r="BQ104" s="475">
        <f t="shared" ca="1" si="126"/>
        <v>40</v>
      </c>
      <c r="BR104" s="475" t="str">
        <f t="shared" si="118"/>
        <v/>
      </c>
      <c r="BS104" s="471" t="str">
        <f t="shared" si="95"/>
        <v/>
      </c>
      <c r="BT104" s="472" t="str">
        <f t="shared" si="129"/>
        <v/>
      </c>
      <c r="BU104" s="472">
        <f t="shared" ca="1" si="96"/>
        <v>0</v>
      </c>
      <c r="BV104" s="472">
        <f t="shared" ca="1" si="96"/>
        <v>0</v>
      </c>
      <c r="BW104" s="472"/>
      <c r="BX104" s="473">
        <f t="shared" ca="1" si="97"/>
        <v>7510.8854434049999</v>
      </c>
      <c r="BY104" s="473">
        <f t="shared" si="98"/>
        <v>0</v>
      </c>
      <c r="BZ104" s="473">
        <f t="shared" ca="1" si="72"/>
        <v>17.15980076</v>
      </c>
      <c r="CA104" s="476">
        <f t="shared" ca="1" si="99"/>
        <v>0</v>
      </c>
      <c r="CB104" s="494">
        <f ca="1">IF(OR($Q103&lt;&gt;1,OP!$D$5+$BN104-1&lt;16,$BN104-1&lt;1),0,ROUND(ROUND(ROUND(((VLOOKUP($BN104-1,MORE_PV,5,0)/10000)*VLOOKUP($BN104,MORE_PV,$CB$5,0)),3)*VLOOKUP($BN104,more1,5,0),0)/$R103,0))</f>
        <v>0</v>
      </c>
      <c r="CC104" s="473">
        <f t="shared" ca="1" si="100"/>
        <v>0</v>
      </c>
      <c r="CD104" s="477"/>
      <c r="CE104" s="468">
        <f t="shared" si="119"/>
        <v>8</v>
      </c>
      <c r="CF104" s="468">
        <f t="shared" si="120"/>
        <v>11</v>
      </c>
      <c r="CG104" s="467">
        <f t="shared" ca="1" si="73"/>
        <v>45779</v>
      </c>
      <c r="CH104" s="475">
        <f t="shared" ca="1" si="127"/>
        <v>40</v>
      </c>
      <c r="CI104" s="513" t="str">
        <f t="shared" si="121"/>
        <v/>
      </c>
      <c r="CJ104" s="511">
        <f t="shared" si="101"/>
        <v>0</v>
      </c>
      <c r="CK104" s="512">
        <f t="shared" si="102"/>
        <v>0</v>
      </c>
      <c r="CL104" s="511">
        <f t="shared" ca="1" si="122"/>
        <v>0</v>
      </c>
      <c r="CM104" s="511">
        <f ca="1">ROUND(CS104-IF(OR($CE104&gt;=OP!$C$24,AND(CH104=15,CF104=12),CS104=0),0,(CT104-CR104)),$CM$7)</f>
        <v>0</v>
      </c>
      <c r="CN104" s="511"/>
      <c r="CO104" s="351">
        <f t="shared" ca="1" si="103"/>
        <v>32591</v>
      </c>
      <c r="CP104" s="473">
        <f t="shared" si="104"/>
        <v>0</v>
      </c>
      <c r="CQ104" s="473">
        <f t="shared" ca="1" si="74"/>
        <v>74.459272583000001</v>
      </c>
      <c r="CR104" s="476">
        <f t="shared" ca="1" si="105"/>
        <v>0</v>
      </c>
      <c r="CS104" s="494">
        <f ca="1">IF(OR($Q103&lt;&gt;1,OP!$D$5+$CE104-1&lt;16,$CE104-1&lt;1),0,ROUND(ROUND(ROUND(((VLOOKUP($CE104-1,MORE_PV,5,0)/10000)*VLOOKUP($CE104,MORE_PV,$CS$5,0)),3)*VLOOKUP($CE104,more1,5,0),0)/$R103,0))</f>
        <v>0</v>
      </c>
      <c r="CT104" s="473">
        <f>IF($AW104=1,IF(N($CR104+$CS104)&lt;N($AX104)*OP!$C$50,N($CR104+$CS104),MIN(N($CR104+$CS104),N($AX104))),0)</f>
        <v>0</v>
      </c>
      <c r="CV104" s="503">
        <f t="shared" ca="1" si="106"/>
        <v>32591.165858295</v>
      </c>
      <c r="CW104" s="503">
        <f t="shared" ca="1" si="107"/>
        <v>0</v>
      </c>
      <c r="CX104" s="503">
        <f t="shared" ca="1" si="108"/>
        <v>32663.218276348001</v>
      </c>
    </row>
    <row r="105" spans="1:102" ht="16.5" hidden="1">
      <c r="A105" s="450">
        <f ca="1">OP!$D$5+$B105-1</f>
        <v>127</v>
      </c>
      <c r="B105" s="192">
        <v>95</v>
      </c>
      <c r="C105" s="219">
        <f ca="1">ROUND(VLOOKUP(OP!$C$55,PV0,B105+2,0)*OP!$C$28,0)</f>
        <v>0</v>
      </c>
      <c r="D105" s="189">
        <f t="shared" ca="1" si="109"/>
        <v>0</v>
      </c>
      <c r="E105" s="221">
        <f t="shared" ca="1" si="110"/>
        <v>2.69E-2</v>
      </c>
      <c r="F105" s="222">
        <f t="shared" ca="1" si="111"/>
        <v>6.8999999999999999E-3</v>
      </c>
      <c r="G105" s="223">
        <f t="shared" ca="1" si="123"/>
        <v>2797493</v>
      </c>
      <c r="H105" s="224">
        <f t="shared" ca="1" si="124"/>
        <v>0</v>
      </c>
      <c r="I105" s="450">
        <f t="shared" ca="1" si="125"/>
        <v>12</v>
      </c>
      <c r="J105" s="192">
        <f t="shared" si="75"/>
        <v>9</v>
      </c>
      <c r="K105" s="192">
        <f t="shared" si="76"/>
        <v>1</v>
      </c>
      <c r="L105" s="192" t="str">
        <f t="shared" si="69"/>
        <v/>
      </c>
      <c r="M105" s="216">
        <f t="shared" ca="1" si="77"/>
        <v>0</v>
      </c>
      <c r="N105" s="216"/>
      <c r="O105" s="216"/>
      <c r="P105" s="216"/>
      <c r="Q105" s="456" t="str">
        <f t="shared" ca="1" si="78"/>
        <v/>
      </c>
      <c r="R105" s="450">
        <f t="shared" ca="1" si="79"/>
        <v>1</v>
      </c>
      <c r="S105" s="191">
        <f t="shared" si="80"/>
        <v>9</v>
      </c>
      <c r="T105" s="191">
        <f t="shared" si="81"/>
        <v>1</v>
      </c>
      <c r="U105" s="191">
        <f ca="1">OP!$D$5+$S105-1</f>
        <v>41</v>
      </c>
      <c r="V105" s="191" t="str">
        <f t="shared" si="82"/>
        <v/>
      </c>
      <c r="W105" s="350">
        <f ca="1">IF(Q105&lt;&gt;1,0,VLOOKUP(OP!$C$55,PVFB,$S105+2,0))</f>
        <v>0</v>
      </c>
      <c r="X105" s="473">
        <f t="shared" ca="1" si="112"/>
        <v>0</v>
      </c>
      <c r="Y105" s="348">
        <f t="shared" ca="1" si="113"/>
        <v>0</v>
      </c>
      <c r="Z105" s="348">
        <f t="shared" ca="1" si="114"/>
        <v>8012</v>
      </c>
      <c r="AA105" s="348">
        <f ca="1">IF(Q105&lt;&gt;1,0,VLOOKUP(OP!$C$55,PVFB,$S105+2,0))</f>
        <v>0</v>
      </c>
      <c r="AB105" s="488" t="str">
        <f ca="1">IF(AND(S105&lt;OP!$C$24,$U105&lt;15),0,IF(AND($U105&lt;15,$T105=12),ROUND(VLOOKUP($S105,DOWN16,5,0),3),IF($T105=12,ROUND(($Z105/10000)*$AA105,3)+IF(AND($P$7="購買增額繳清保險",T105=12,U105=110),VLOOKUP(S105,$B$10:$H$121,7,0),0),"")))</f>
        <v/>
      </c>
      <c r="AC105" s="350" t="str">
        <f ca="1">IF(AND(S105&lt;OP!$C$24,$U105&lt;15),0,IF(AND($U105&lt;16,$T105=12),VLOOKUP($S105,DOWN16,4,0),IF($T105=12,ROUND(VLOOKUP(OP!$C$55,_DIE2,$S105+1,0)*(Z105/10000),0)+IF(AND($P$7="購買增額繳清保險",T105=12,U105=110),VLOOKUP(S105,$B$10:$H$121,7,0),0),"")))</f>
        <v/>
      </c>
      <c r="AD105" s="347"/>
      <c r="AE105" s="350" t="str">
        <f t="shared" ca="1" si="70"/>
        <v/>
      </c>
      <c r="AF105" s="351" t="str">
        <f t="shared" ca="1" si="71"/>
        <v/>
      </c>
      <c r="AG105" s="340"/>
      <c r="AH105" s="340"/>
      <c r="AI105" s="340"/>
      <c r="AJ105" s="340"/>
      <c r="AK105" s="340"/>
      <c r="AL105" s="340"/>
      <c r="AM105" s="340"/>
      <c r="AN105" s="191">
        <f t="shared" si="83"/>
        <v>9</v>
      </c>
      <c r="AO105" s="191">
        <f t="shared" si="84"/>
        <v>1</v>
      </c>
      <c r="AP105" s="191">
        <f ca="1">OP!$D$5+$AN105-1</f>
        <v>41</v>
      </c>
      <c r="AQ105" s="191" t="str">
        <f t="shared" si="85"/>
        <v/>
      </c>
      <c r="AR105" s="352">
        <f t="shared" ca="1" si="86"/>
        <v>0</v>
      </c>
      <c r="AS105" s="352"/>
      <c r="AT105" s="352"/>
      <c r="AU105" s="436"/>
      <c r="AV105" s="353" t="str">
        <f t="shared" ca="1" si="87"/>
        <v/>
      </c>
      <c r="AW105" s="422">
        <f t="shared" si="88"/>
        <v>1</v>
      </c>
      <c r="AX105" s="423" t="str">
        <f ca="1">IF(AND($AW105=1,$AP105&lt;16,$AN104&lt;OP!$C$24),OP!$C$49,"")</f>
        <v/>
      </c>
      <c r="AY105" s="340"/>
      <c r="AZ105" s="465">
        <f t="shared" ca="1" si="89"/>
        <v>7.3698599999999999E-5</v>
      </c>
      <c r="BA105" s="464">
        <f t="shared" ca="1" si="90"/>
        <v>2.1372602999999999E-3</v>
      </c>
      <c r="BB105" s="465">
        <f t="shared" ca="1" si="90"/>
        <v>2.2109589000000002E-3</v>
      </c>
      <c r="BC105" s="466">
        <f t="shared" ca="1" si="91"/>
        <v>45809</v>
      </c>
      <c r="BD105" s="467">
        <f t="shared" ca="1" si="115"/>
        <v>45810</v>
      </c>
      <c r="BE105" s="467">
        <f t="shared" ca="1" si="92"/>
        <v>45838</v>
      </c>
      <c r="BF105" s="468">
        <f ca="1">IF(計算!$BC105&lt;OP!$C$3,0,BD105-BC105)</f>
        <v>1</v>
      </c>
      <c r="BG105" s="468">
        <f ca="1">IF($BE105&gt;DATE(YEAR($BD$9)+OP!$C$57,MONTH($BD$9),DAY($BD$9)),0,$BE105-$BD105+1)</f>
        <v>29</v>
      </c>
      <c r="BH105" s="469">
        <f t="shared" ca="1" si="93"/>
        <v>30</v>
      </c>
      <c r="BI105">
        <f t="shared" ca="1" si="128"/>
        <v>365</v>
      </c>
      <c r="BJ105">
        <v>12</v>
      </c>
      <c r="BN105" s="468">
        <f t="shared" si="116"/>
        <v>8</v>
      </c>
      <c r="BO105" s="468">
        <f t="shared" si="117"/>
        <v>12</v>
      </c>
      <c r="BP105" s="467">
        <f t="shared" ca="1" si="94"/>
        <v>45810</v>
      </c>
      <c r="BQ105" s="475">
        <f t="shared" ca="1" si="126"/>
        <v>40</v>
      </c>
      <c r="BR105" s="475">
        <f t="shared" si="118"/>
        <v>8</v>
      </c>
      <c r="BS105" s="471">
        <f t="shared" ca="1" si="95"/>
        <v>7475</v>
      </c>
      <c r="BT105" s="472">
        <f t="shared" ca="1" si="129"/>
        <v>15004</v>
      </c>
      <c r="BU105" s="472">
        <f t="shared" ca="1" si="96"/>
        <v>7303</v>
      </c>
      <c r="BV105" s="472">
        <f t="shared" ca="1" si="96"/>
        <v>172</v>
      </c>
      <c r="BW105" s="472">
        <f ca="1">ROUND(SUM(BY105,BZ93:BZ104),0)</f>
        <v>200</v>
      </c>
      <c r="BX105" s="473">
        <f t="shared" ca="1" si="97"/>
        <v>15003.60005056</v>
      </c>
      <c r="BY105" s="473">
        <f t="shared" ca="1" si="98"/>
        <v>0.55480639499999995</v>
      </c>
      <c r="BZ105" s="473">
        <f t="shared" ca="1" si="72"/>
        <v>32.066598745</v>
      </c>
      <c r="CA105" s="476">
        <f t="shared" ca="1" si="99"/>
        <v>7303</v>
      </c>
      <c r="CB105" s="494">
        <f ca="1">IF(OR($Q104&lt;&gt;1,OP!$D$5+$BN105-1&lt;16,$BN105-1&lt;1),0,ROUND(ROUND(ROUND(((VLOOKUP($BN105-1,MORE_PV,5,0)/10000)*VLOOKUP($BN105,MORE_PV,$CB$5,0)),3)*VLOOKUP($BN105,more1,5,0),0)/$R104,0))</f>
        <v>172</v>
      </c>
      <c r="CC105" s="473">
        <f t="shared" ca="1" si="100"/>
        <v>0</v>
      </c>
      <c r="CD105" s="477"/>
      <c r="CE105" s="468">
        <f t="shared" si="119"/>
        <v>8</v>
      </c>
      <c r="CF105" s="468">
        <f t="shared" si="120"/>
        <v>12</v>
      </c>
      <c r="CG105" s="467">
        <f t="shared" ca="1" si="73"/>
        <v>45810</v>
      </c>
      <c r="CH105" s="475">
        <f t="shared" ca="1" si="127"/>
        <v>40</v>
      </c>
      <c r="CI105" s="513">
        <f t="shared" si="121"/>
        <v>8</v>
      </c>
      <c r="CJ105" s="511">
        <f t="shared" ca="1" si="101"/>
        <v>7647</v>
      </c>
      <c r="CK105" s="512">
        <f t="shared" ca="1" si="102"/>
        <v>39968.625509807003</v>
      </c>
      <c r="CL105" s="511">
        <f t="shared" ca="1" si="122"/>
        <v>7475</v>
      </c>
      <c r="CM105" s="511">
        <f ca="1">ROUND(CS105-IF(OR($CE105&gt;=OP!$C$24,AND(CH105=15,CF105=12),CS105=0),0,(CT105-CR105)),$CM$7)</f>
        <v>172</v>
      </c>
      <c r="CN105" s="511">
        <f ca="1">ROUND(SUM(CP105,CQ93:CQ104),$CN$7)</f>
        <v>866.09895566199998</v>
      </c>
      <c r="CO105" s="351">
        <f t="shared" ca="1" si="103"/>
        <v>39969</v>
      </c>
      <c r="CP105" s="473">
        <f t="shared" ca="1" si="104"/>
        <v>2.4073986170000001</v>
      </c>
      <c r="CQ105" s="473">
        <f t="shared" ca="1" si="74"/>
        <v>85.424156930999999</v>
      </c>
      <c r="CR105" s="476">
        <f t="shared" ca="1" si="105"/>
        <v>7303</v>
      </c>
      <c r="CS105" s="494">
        <f ca="1">IF(OR($Q104&lt;&gt;1,OP!$D$5+$CE105-1&lt;16,$CE105-1&lt;1),0,ROUND(ROUND(ROUND(((VLOOKUP($CE105-1,MORE_PV,5,0)/10000)*VLOOKUP($CE105,MORE_PV,$CS$5,0)),3)*VLOOKUP($CE105,more1,5,0),0)/$R104,0))</f>
        <v>172</v>
      </c>
      <c r="CT105" s="473">
        <f ca="1">IF($AW105=1,IF(N($CR105+$CS105)&lt;N($AX105)*OP!$C$50,N($CR105+$CS105),MIN(N($CR105+$CS105),N($AX105))),0)</f>
        <v>0</v>
      </c>
      <c r="CV105" s="503">
        <f t="shared" ca="1" si="106"/>
        <v>39968.625509806996</v>
      </c>
      <c r="CW105" s="503">
        <f t="shared" ca="1" si="107"/>
        <v>7318.6084119710004</v>
      </c>
      <c r="CX105" s="503">
        <f t="shared" ca="1" si="108"/>
        <v>40054.04372147</v>
      </c>
    </row>
    <row r="106" spans="1:102" ht="16.5" hidden="1">
      <c r="A106" s="450">
        <f ca="1">OP!$D$5+$B106-1</f>
        <v>128</v>
      </c>
      <c r="B106" s="192">
        <v>96</v>
      </c>
      <c r="C106" s="219">
        <f ca="1">ROUND(VLOOKUP(OP!$C$55,PV0,B106+2,0)*OP!$C$28,0)</f>
        <v>0</v>
      </c>
      <c r="D106" s="189">
        <f t="shared" ca="1" si="109"/>
        <v>0</v>
      </c>
      <c r="E106" s="221">
        <f t="shared" ca="1" si="110"/>
        <v>2.69E-2</v>
      </c>
      <c r="F106" s="222">
        <f t="shared" ca="1" si="111"/>
        <v>6.8999999999999999E-3</v>
      </c>
      <c r="G106" s="223">
        <f t="shared" ca="1" si="123"/>
        <v>2799968</v>
      </c>
      <c r="H106" s="224">
        <f t="shared" ca="1" si="124"/>
        <v>0</v>
      </c>
      <c r="I106" s="450">
        <f t="shared" ca="1" si="125"/>
        <v>12</v>
      </c>
      <c r="J106" s="192">
        <f t="shared" si="75"/>
        <v>9</v>
      </c>
      <c r="K106" s="192">
        <f t="shared" si="76"/>
        <v>2</v>
      </c>
      <c r="L106" s="192" t="str">
        <f t="shared" si="69"/>
        <v/>
      </c>
      <c r="M106" s="216">
        <f t="shared" ca="1" si="77"/>
        <v>0</v>
      </c>
      <c r="N106" s="216"/>
      <c r="O106" s="216"/>
      <c r="P106" s="216"/>
      <c r="Q106" s="456" t="str">
        <f t="shared" ca="1" si="78"/>
        <v/>
      </c>
      <c r="R106" s="450">
        <f t="shared" ca="1" si="79"/>
        <v>1</v>
      </c>
      <c r="S106" s="191">
        <f t="shared" si="80"/>
        <v>9</v>
      </c>
      <c r="T106" s="191">
        <f t="shared" si="81"/>
        <v>2</v>
      </c>
      <c r="U106" s="191">
        <f ca="1">OP!$D$5+$S106-1</f>
        <v>41</v>
      </c>
      <c r="V106" s="191" t="str">
        <f t="shared" si="82"/>
        <v/>
      </c>
      <c r="W106" s="350">
        <f ca="1">IF(Q106&lt;&gt;1,0,VLOOKUP(OP!$C$55,PVFB,$S106+2,0))</f>
        <v>0</v>
      </c>
      <c r="X106" s="473">
        <f t="shared" ca="1" si="112"/>
        <v>0</v>
      </c>
      <c r="Y106" s="348">
        <f t="shared" ca="1" si="113"/>
        <v>0</v>
      </c>
      <c r="Z106" s="348">
        <f t="shared" ca="1" si="114"/>
        <v>8012</v>
      </c>
      <c r="AA106" s="348">
        <f ca="1">IF(Q106&lt;&gt;1,0,VLOOKUP(OP!$C$55,PVFB,$S106+2,0))</f>
        <v>0</v>
      </c>
      <c r="AB106" s="488" t="str">
        <f ca="1">IF(AND(S106&lt;OP!$C$24,$U106&lt;15),0,IF(AND($U106&lt;15,$T106=12),ROUND(VLOOKUP($S106,DOWN16,5,0),3),IF($T106=12,ROUND(($Z106/10000)*$AA106,3)+IF(AND($P$7="購買增額繳清保險",T106=12,U106=110),VLOOKUP(S106,$B$10:$H$121,7,0),0),"")))</f>
        <v/>
      </c>
      <c r="AC106" s="350" t="str">
        <f ca="1">IF(AND(S106&lt;OP!$C$24,$U106&lt;15),0,IF(AND($U106&lt;16,$T106=12),VLOOKUP($S106,DOWN16,4,0),IF($T106=12,ROUND(VLOOKUP(OP!$C$55,_DIE2,$S106+1,0)*(Z106/10000),0)+IF(AND($P$7="購買增額繳清保險",T106=12,U106=110),VLOOKUP(S106,$B$10:$H$121,7,0),0),"")))</f>
        <v/>
      </c>
      <c r="AD106" s="347"/>
      <c r="AE106" s="350" t="str">
        <f t="shared" ca="1" si="70"/>
        <v/>
      </c>
      <c r="AF106" s="351" t="str">
        <f t="shared" ca="1" si="71"/>
        <v/>
      </c>
      <c r="AG106" s="340"/>
      <c r="AH106" s="340"/>
      <c r="AI106" s="340"/>
      <c r="AJ106" s="340"/>
      <c r="AK106" s="340"/>
      <c r="AL106" s="340"/>
      <c r="AM106" s="340"/>
      <c r="AN106" s="191">
        <f t="shared" si="83"/>
        <v>9</v>
      </c>
      <c r="AO106" s="191">
        <f t="shared" si="84"/>
        <v>2</v>
      </c>
      <c r="AP106" s="191">
        <f ca="1">OP!$D$5+$AN106-1</f>
        <v>41</v>
      </c>
      <c r="AQ106" s="191" t="str">
        <f t="shared" si="85"/>
        <v/>
      </c>
      <c r="AR106" s="352">
        <f t="shared" ca="1" si="86"/>
        <v>0</v>
      </c>
      <c r="AS106" s="352"/>
      <c r="AT106" s="352"/>
      <c r="AU106" s="436"/>
      <c r="AV106" s="353" t="str">
        <f t="shared" ca="1" si="87"/>
        <v/>
      </c>
      <c r="AW106" s="422" t="str">
        <f t="shared" si="88"/>
        <v/>
      </c>
      <c r="AX106" s="423" t="str">
        <f ca="1">IF(AND($AW106=1,$AP106&lt;16,$AN105&lt;OP!$C$24),OP!$C$49,"")</f>
        <v/>
      </c>
      <c r="AY106" s="340"/>
      <c r="AZ106" s="465">
        <f t="shared" ca="1" si="89"/>
        <v>7.3698599999999999E-5</v>
      </c>
      <c r="BA106" s="464">
        <f t="shared" ca="1" si="90"/>
        <v>2.2109589000000002E-3</v>
      </c>
      <c r="BB106" s="465">
        <f t="shared" ca="1" si="90"/>
        <v>2.2846575E-3</v>
      </c>
      <c r="BC106" s="466">
        <f t="shared" ca="1" si="91"/>
        <v>45839</v>
      </c>
      <c r="BD106" s="467">
        <f t="shared" ca="1" si="115"/>
        <v>45840</v>
      </c>
      <c r="BE106" s="467">
        <f t="shared" ca="1" si="92"/>
        <v>45869</v>
      </c>
      <c r="BF106" s="468">
        <f ca="1">IF(計算!$BC106&lt;OP!$C$3,0,BD106-BC106)</f>
        <v>1</v>
      </c>
      <c r="BG106" s="468">
        <f ca="1">IF($BE106&gt;DATE(YEAR($BD$9)+OP!$C$57,MONTH($BD$9),DAY($BD$9)),0,$BE106-$BD106+1)</f>
        <v>30</v>
      </c>
      <c r="BH106" s="469">
        <f t="shared" ca="1" si="93"/>
        <v>31</v>
      </c>
      <c r="BI106" t="str">
        <f t="shared" si="128"/>
        <v/>
      </c>
      <c r="BJ106">
        <v>1</v>
      </c>
      <c r="BN106" s="468">
        <f t="shared" si="116"/>
        <v>9</v>
      </c>
      <c r="BO106" s="468">
        <f t="shared" si="117"/>
        <v>1</v>
      </c>
      <c r="BP106" s="467">
        <f t="shared" ca="1" si="94"/>
        <v>45840</v>
      </c>
      <c r="BQ106" s="475">
        <f t="shared" ca="1" si="126"/>
        <v>41</v>
      </c>
      <c r="BR106" s="475" t="str">
        <f t="shared" si="118"/>
        <v/>
      </c>
      <c r="BS106" s="471" t="str">
        <f t="shared" si="95"/>
        <v/>
      </c>
      <c r="BT106" s="472" t="str">
        <f t="shared" si="129"/>
        <v/>
      </c>
      <c r="BU106" s="472">
        <f t="shared" ca="1" si="96"/>
        <v>0</v>
      </c>
      <c r="BV106" s="472">
        <f t="shared" ca="1" si="96"/>
        <v>0</v>
      </c>
      <c r="BW106" s="472"/>
      <c r="BX106" s="473">
        <f t="shared" ca="1" si="97"/>
        <v>15035.666649305</v>
      </c>
      <c r="BY106" s="473">
        <f t="shared" si="98"/>
        <v>0</v>
      </c>
      <c r="BZ106" s="473">
        <f t="shared" ca="1" si="72"/>
        <v>34.351348578</v>
      </c>
      <c r="CA106" s="476">
        <f t="shared" ca="1" si="99"/>
        <v>0</v>
      </c>
      <c r="CB106" s="494">
        <f ca="1">IF(OR($Q105&lt;&gt;1,OP!$D$5+$BN106-1&lt;16,$BN106-1&lt;1),0,ROUND(ROUND(ROUND(((VLOOKUP($BN106-1,MORE_PV,5,0)/10000)*VLOOKUP($BN106,MORE_PV,$CB$5,0)),3)*VLOOKUP($BN106,more1,5,0),0)/$R105,0))</f>
        <v>0</v>
      </c>
      <c r="CC106" s="473">
        <f t="shared" ca="1" si="100"/>
        <v>0</v>
      </c>
      <c r="CD106" s="477"/>
      <c r="CE106" s="468">
        <f t="shared" si="119"/>
        <v>9</v>
      </c>
      <c r="CF106" s="468">
        <f t="shared" si="120"/>
        <v>1</v>
      </c>
      <c r="CG106" s="467">
        <f t="shared" ca="1" si="73"/>
        <v>45840</v>
      </c>
      <c r="CH106" s="475">
        <f t="shared" ca="1" si="127"/>
        <v>41</v>
      </c>
      <c r="CI106" s="513" t="str">
        <f t="shared" si="121"/>
        <v/>
      </c>
      <c r="CJ106" s="511">
        <f t="shared" si="101"/>
        <v>0</v>
      </c>
      <c r="CK106" s="512">
        <f t="shared" si="102"/>
        <v>0</v>
      </c>
      <c r="CL106" s="511">
        <f t="shared" ca="1" si="122"/>
        <v>0</v>
      </c>
      <c r="CM106" s="511">
        <f ca="1">ROUND(CS106-IF(OR($CE106&gt;=OP!$C$24,AND(CH106=15,CF106=12),CS106=0),0,(CT106-CR106)),$CM$7)</f>
        <v>0</v>
      </c>
      <c r="CN106" s="511"/>
      <c r="CO106" s="351">
        <f t="shared" ca="1" si="103"/>
        <v>40057</v>
      </c>
      <c r="CP106" s="473">
        <f t="shared" si="104"/>
        <v>0</v>
      </c>
      <c r="CQ106" s="473">
        <f t="shared" ca="1" si="74"/>
        <v>91.516525478000005</v>
      </c>
      <c r="CR106" s="476">
        <f t="shared" ca="1" si="105"/>
        <v>0</v>
      </c>
      <c r="CS106" s="494">
        <f ca="1">IF(OR($Q105&lt;&gt;1,OP!$D$5+$CE106-1&lt;16,$CE106-1&lt;1),0,ROUND(ROUND(ROUND(((VLOOKUP($CE106-1,MORE_PV,5,0)/10000)*VLOOKUP($CE106,MORE_PV,$CS$5,0)),3)*VLOOKUP($CE106,more1,5,0),0)/$R105,0))</f>
        <v>0</v>
      </c>
      <c r="CT106" s="473">
        <f>IF($AW106=1,IF(N($CR106+$CS106)&lt;N($AX106)*OP!$C$50,N($CR106+$CS106),MIN(N($CR106+$CS106),N($AX106))),0)</f>
        <v>0</v>
      </c>
      <c r="CV106" s="503">
        <f t="shared" ca="1" si="106"/>
        <v>40056.995648417003</v>
      </c>
      <c r="CW106" s="503">
        <f t="shared" ca="1" si="107"/>
        <v>0</v>
      </c>
      <c r="CX106" s="503">
        <f t="shared" ca="1" si="108"/>
        <v>40145.553492863997</v>
      </c>
    </row>
    <row r="107" spans="1:102" ht="16.5" hidden="1">
      <c r="A107" s="450">
        <f ca="1">OP!$D$5+$B107-1</f>
        <v>129</v>
      </c>
      <c r="B107" s="192">
        <v>97</v>
      </c>
      <c r="C107" s="219">
        <f ca="1">ROUND(VLOOKUP(OP!$C$55,PV0,B107+2,0)*OP!$C$28,0)</f>
        <v>0</v>
      </c>
      <c r="D107" s="189">
        <f t="shared" ref="D107:D121" ca="1" si="130">IF($D$8=1,$C106,IF($D$8=2,($C106+$C107)/2,IF($D$8=3,$C107,0)))</f>
        <v>0</v>
      </c>
      <c r="E107" s="221">
        <f t="shared" ref="E107:E121" ca="1" si="131">ROUND($G$3,4)</f>
        <v>2.69E-2</v>
      </c>
      <c r="F107" s="222">
        <f t="shared" ref="F107:F121" ca="1" si="132">MAX(0,ROUND($E107-$G$2,5))</f>
        <v>6.8999999999999999E-3</v>
      </c>
      <c r="G107" s="223">
        <f t="shared" ca="1" si="123"/>
        <v>2802445</v>
      </c>
      <c r="H107" s="224">
        <f t="shared" ca="1" si="124"/>
        <v>0</v>
      </c>
      <c r="I107" s="450">
        <f t="shared" ca="1" si="125"/>
        <v>12</v>
      </c>
      <c r="J107" s="192">
        <f t="shared" si="75"/>
        <v>9</v>
      </c>
      <c r="K107" s="192">
        <f t="shared" si="76"/>
        <v>3</v>
      </c>
      <c r="L107" s="192" t="str">
        <f t="shared" si="69"/>
        <v/>
      </c>
      <c r="M107" s="216">
        <f t="shared" ca="1" si="77"/>
        <v>0</v>
      </c>
      <c r="N107" s="216"/>
      <c r="O107" s="216"/>
      <c r="P107" s="216"/>
      <c r="Q107" s="456" t="str">
        <f t="shared" ca="1" si="78"/>
        <v/>
      </c>
      <c r="R107" s="450">
        <f t="shared" ca="1" si="79"/>
        <v>1</v>
      </c>
      <c r="S107" s="191">
        <f t="shared" si="80"/>
        <v>9</v>
      </c>
      <c r="T107" s="191">
        <f t="shared" si="81"/>
        <v>3</v>
      </c>
      <c r="U107" s="191">
        <f ca="1">OP!$D$5+$S107-1</f>
        <v>41</v>
      </c>
      <c r="V107" s="191" t="str">
        <f t="shared" si="82"/>
        <v/>
      </c>
      <c r="W107" s="350">
        <f ca="1">IF(Q107&lt;&gt;1,0,VLOOKUP(OP!$C$55,PVFB,$S107+2,0))</f>
        <v>0</v>
      </c>
      <c r="X107" s="473">
        <f t="shared" ca="1" si="112"/>
        <v>0</v>
      </c>
      <c r="Y107" s="348">
        <f t="shared" ca="1" si="113"/>
        <v>0</v>
      </c>
      <c r="Z107" s="348">
        <f t="shared" ca="1" si="114"/>
        <v>8012</v>
      </c>
      <c r="AA107" s="348">
        <f ca="1">IF(Q107&lt;&gt;1,0,VLOOKUP(OP!$C$55,PVFB,$S107+2,0))</f>
        <v>0</v>
      </c>
      <c r="AB107" s="488" t="str">
        <f ca="1">IF(AND(S107&lt;OP!$C$24,$U107&lt;15),0,IF(AND($U107&lt;15,$T107=12),ROUND(VLOOKUP($S107,DOWN16,5,0),3),IF($T107=12,ROUND(($Z107/10000)*$AA107,3)+IF(AND($P$7="購買增額繳清保險",T107=12,U107=110),VLOOKUP(S107,$B$10:$H$121,7,0),0),"")))</f>
        <v/>
      </c>
      <c r="AC107" s="350" t="str">
        <f ca="1">IF(AND(S107&lt;OP!$C$24,$U107&lt;15),0,IF(AND($U107&lt;16,$T107=12),VLOOKUP($S107,DOWN16,4,0),IF($T107=12,ROUND(VLOOKUP(OP!$C$55,_DIE2,$S107+1,0)*(Z107/10000),0)+IF(AND($P$7="購買增額繳清保險",T107=12,U107=110),VLOOKUP(S107,$B$10:$H$121,7,0),0),"")))</f>
        <v/>
      </c>
      <c r="AD107" s="347"/>
      <c r="AE107" s="350" t="str">
        <f t="shared" ca="1" si="70"/>
        <v/>
      </c>
      <c r="AF107" s="351" t="str">
        <f t="shared" ca="1" si="71"/>
        <v/>
      </c>
      <c r="AG107" s="340"/>
      <c r="AH107" s="340"/>
      <c r="AI107" s="340"/>
      <c r="AJ107" s="340"/>
      <c r="AK107" s="340"/>
      <c r="AL107" s="340"/>
      <c r="AM107" s="340"/>
      <c r="AN107" s="191">
        <f t="shared" si="83"/>
        <v>9</v>
      </c>
      <c r="AO107" s="191">
        <f t="shared" si="84"/>
        <v>3</v>
      </c>
      <c r="AP107" s="191">
        <f ca="1">OP!$D$5+$AN107-1</f>
        <v>41</v>
      </c>
      <c r="AQ107" s="191" t="str">
        <f t="shared" si="85"/>
        <v/>
      </c>
      <c r="AR107" s="352">
        <f t="shared" ca="1" si="86"/>
        <v>0</v>
      </c>
      <c r="AS107" s="352"/>
      <c r="AT107" s="352"/>
      <c r="AU107" s="436"/>
      <c r="AV107" s="353" t="str">
        <f t="shared" ca="1" si="87"/>
        <v/>
      </c>
      <c r="AW107" s="422" t="str">
        <f t="shared" si="88"/>
        <v/>
      </c>
      <c r="AX107" s="423" t="str">
        <f ca="1">IF(AND($AW107=1,$AP107&lt;16,$AN106&lt;OP!$C$24),OP!$C$49,"")</f>
        <v/>
      </c>
      <c r="AY107" s="340"/>
      <c r="AZ107" s="465">
        <f t="shared" ca="1" si="89"/>
        <v>7.3698599999999999E-5</v>
      </c>
      <c r="BA107" s="464">
        <f t="shared" ca="1" si="90"/>
        <v>2.2109589000000002E-3</v>
      </c>
      <c r="BB107" s="465">
        <f t="shared" ca="1" si="90"/>
        <v>2.2846575E-3</v>
      </c>
      <c r="BC107" s="466">
        <f t="shared" ca="1" si="91"/>
        <v>45870</v>
      </c>
      <c r="BD107" s="467">
        <f t="shared" ca="1" si="115"/>
        <v>45871</v>
      </c>
      <c r="BE107" s="467">
        <f t="shared" ca="1" si="92"/>
        <v>45900</v>
      </c>
      <c r="BF107" s="468">
        <f ca="1">IF(計算!$BC107&lt;OP!$C$3,0,BD107-BC107)</f>
        <v>1</v>
      </c>
      <c r="BG107" s="468">
        <f ca="1">IF($BE107&gt;DATE(YEAR($BD$9)+OP!$C$57,MONTH($BD$9),DAY($BD$9)),0,$BE107-$BD107+1)</f>
        <v>30</v>
      </c>
      <c r="BH107" s="469">
        <f t="shared" ca="1" si="93"/>
        <v>31</v>
      </c>
      <c r="BI107" t="str">
        <f t="shared" si="128"/>
        <v/>
      </c>
      <c r="BJ107">
        <v>2</v>
      </c>
      <c r="BN107" s="468">
        <f t="shared" si="116"/>
        <v>9</v>
      </c>
      <c r="BO107" s="468">
        <f t="shared" si="117"/>
        <v>2</v>
      </c>
      <c r="BP107" s="467">
        <f t="shared" ca="1" si="94"/>
        <v>45871</v>
      </c>
      <c r="BQ107" s="475">
        <f t="shared" ca="1" si="126"/>
        <v>41</v>
      </c>
      <c r="BR107" s="475" t="str">
        <f t="shared" si="118"/>
        <v/>
      </c>
      <c r="BS107" s="471" t="str">
        <f t="shared" si="95"/>
        <v/>
      </c>
      <c r="BT107" s="472" t="str">
        <f t="shared" si="129"/>
        <v/>
      </c>
      <c r="BU107" s="472">
        <f t="shared" ca="1" si="96"/>
        <v>0</v>
      </c>
      <c r="BV107" s="472">
        <f t="shared" ca="1" si="96"/>
        <v>0</v>
      </c>
      <c r="BW107" s="472"/>
      <c r="BX107" s="473">
        <f t="shared" ca="1" si="97"/>
        <v>15070.017997883</v>
      </c>
      <c r="BY107" s="473">
        <f t="shared" si="98"/>
        <v>0</v>
      </c>
      <c r="BZ107" s="473">
        <f t="shared" ca="1" si="72"/>
        <v>34.429829644000002</v>
      </c>
      <c r="CA107" s="476">
        <f t="shared" ca="1" si="99"/>
        <v>0</v>
      </c>
      <c r="CB107" s="494">
        <f ca="1">IF(OR($Q106&lt;&gt;1,OP!$D$5+$BN107-1&lt;16,$BN107-1&lt;1),0,ROUND(ROUND(ROUND(((VLOOKUP($BN107-1,MORE_PV,5,0)/10000)*VLOOKUP($BN107,MORE_PV,$CB$5,0)),3)*VLOOKUP($BN107,more1,5,0),0)/$R106,0))</f>
        <v>0</v>
      </c>
      <c r="CC107" s="473">
        <f t="shared" ca="1" si="100"/>
        <v>0</v>
      </c>
      <c r="CD107" s="477"/>
      <c r="CE107" s="468">
        <f t="shared" si="119"/>
        <v>9</v>
      </c>
      <c r="CF107" s="468">
        <f t="shared" si="120"/>
        <v>2</v>
      </c>
      <c r="CG107" s="467">
        <f t="shared" ca="1" si="73"/>
        <v>45871</v>
      </c>
      <c r="CH107" s="475">
        <f t="shared" ca="1" si="127"/>
        <v>41</v>
      </c>
      <c r="CI107" s="513" t="str">
        <f t="shared" si="121"/>
        <v/>
      </c>
      <c r="CJ107" s="511">
        <f t="shared" si="101"/>
        <v>0</v>
      </c>
      <c r="CK107" s="512">
        <f t="shared" si="102"/>
        <v>0</v>
      </c>
      <c r="CL107" s="511">
        <f t="shared" ca="1" si="122"/>
        <v>0</v>
      </c>
      <c r="CM107" s="511">
        <f ca="1">ROUND(CS107-IF(OR($CE107&gt;=OP!$C$24,AND(CH107=15,CF107=12),CS107=0),0,(CT107-CR107)),$CM$7)</f>
        <v>0</v>
      </c>
      <c r="CN107" s="511"/>
      <c r="CO107" s="351">
        <f t="shared" ca="1" si="103"/>
        <v>40149</v>
      </c>
      <c r="CP107" s="473">
        <f t="shared" si="104"/>
        <v>0</v>
      </c>
      <c r="CQ107" s="473">
        <f t="shared" ca="1" si="74"/>
        <v>91.726713967999999</v>
      </c>
      <c r="CR107" s="476">
        <f t="shared" ca="1" si="105"/>
        <v>0</v>
      </c>
      <c r="CS107" s="494">
        <f ca="1">IF(OR($Q106&lt;&gt;1,OP!$D$5+$CE107-1&lt;16,$CE107-1&lt;1),0,ROUND(ROUND(ROUND(((VLOOKUP($CE107-1,MORE_PV,5,0)/10000)*VLOOKUP($CE107,MORE_PV,$CS$5,0)),3)*VLOOKUP($CE107,more1,5,0),0)/$R106,0))</f>
        <v>0</v>
      </c>
      <c r="CT107" s="473">
        <f>IF($AW107=1,IF(N($CR107+$CS107)&lt;N($AX107)*OP!$C$50,N($CR107+$CS107),MIN(N($CR107+$CS107),N($AX107))),0)</f>
        <v>0</v>
      </c>
      <c r="CV107" s="503">
        <f t="shared" ca="1" si="106"/>
        <v>40148.512163952997</v>
      </c>
      <c r="CW107" s="503">
        <f t="shared" ca="1" si="107"/>
        <v>0</v>
      </c>
      <c r="CX107" s="503">
        <f t="shared" ca="1" si="108"/>
        <v>40237.272332742999</v>
      </c>
    </row>
    <row r="108" spans="1:102" ht="16.5" hidden="1">
      <c r="A108" s="450">
        <f ca="1">OP!$D$5+$B108-1</f>
        <v>130</v>
      </c>
      <c r="B108" s="192">
        <v>98</v>
      </c>
      <c r="C108" s="219">
        <f ca="1">ROUND(VLOOKUP(OP!$C$55,PV0,B108+2,0)*OP!$C$28,0)</f>
        <v>0</v>
      </c>
      <c r="D108" s="189">
        <f t="shared" ca="1" si="130"/>
        <v>0</v>
      </c>
      <c r="E108" s="221">
        <f t="shared" ca="1" si="131"/>
        <v>2.69E-2</v>
      </c>
      <c r="F108" s="222">
        <f t="shared" ca="1" si="132"/>
        <v>6.8999999999999999E-3</v>
      </c>
      <c r="G108" s="223">
        <f t="shared" ref="G108:G121" ca="1" si="133">IF(B108=$P$4+1,IF($G$6="現金給付",($H108*$I108),ROUND(VLOOKUP(B108,more,2,0),0)),IF($G$6="現金給付",$G107+($H108*$I108),ROUND(VLOOKUP(B108,more,2,0),0)))</f>
        <v>2804924</v>
      </c>
      <c r="H108" s="224">
        <f t="shared" ca="1" si="124"/>
        <v>0</v>
      </c>
      <c r="I108" s="450">
        <f t="shared" ca="1" si="125"/>
        <v>12</v>
      </c>
      <c r="J108" s="192">
        <f t="shared" si="75"/>
        <v>9</v>
      </c>
      <c r="K108" s="192">
        <f t="shared" si="76"/>
        <v>4</v>
      </c>
      <c r="L108" s="192" t="str">
        <f t="shared" si="69"/>
        <v/>
      </c>
      <c r="M108" s="216">
        <f t="shared" ca="1" si="77"/>
        <v>0</v>
      </c>
      <c r="N108" s="216"/>
      <c r="O108" s="216"/>
      <c r="P108" s="216"/>
      <c r="Q108" s="456" t="str">
        <f t="shared" ca="1" si="78"/>
        <v/>
      </c>
      <c r="R108" s="450">
        <f t="shared" ca="1" si="79"/>
        <v>1</v>
      </c>
      <c r="S108" s="191">
        <f t="shared" si="80"/>
        <v>9</v>
      </c>
      <c r="T108" s="191">
        <f t="shared" si="81"/>
        <v>4</v>
      </c>
      <c r="U108" s="191">
        <f ca="1">OP!$D$5+$S108-1</f>
        <v>41</v>
      </c>
      <c r="V108" s="191" t="str">
        <f t="shared" si="82"/>
        <v/>
      </c>
      <c r="W108" s="350">
        <f ca="1">IF(Q108&lt;&gt;1,0,VLOOKUP(OP!$C$55,PVFB,$S108+2,0))</f>
        <v>0</v>
      </c>
      <c r="X108" s="473">
        <f t="shared" ca="1" si="112"/>
        <v>0</v>
      </c>
      <c r="Y108" s="348">
        <f t="shared" ca="1" si="113"/>
        <v>0</v>
      </c>
      <c r="Z108" s="348">
        <f t="shared" ca="1" si="114"/>
        <v>8012</v>
      </c>
      <c r="AA108" s="348">
        <f ca="1">IF(Q108&lt;&gt;1,0,VLOOKUP(OP!$C$55,PVFB,$S108+2,0))</f>
        <v>0</v>
      </c>
      <c r="AB108" s="488" t="str">
        <f ca="1">IF(AND(S108&lt;OP!$C$24,$U108&lt;15),0,IF(AND($U108&lt;15,$T108=12),ROUND(VLOOKUP($S108,DOWN16,5,0),3),IF($T108=12,ROUND(($Z108/10000)*$AA108,3)+IF(AND($P$7="購買增額繳清保險",T108=12,U108=110),VLOOKUP(S108,$B$10:$H$121,7,0),0),"")))</f>
        <v/>
      </c>
      <c r="AC108" s="350" t="str">
        <f ca="1">IF(AND(S108&lt;OP!$C$24,$U108&lt;15),0,IF(AND($U108&lt;16,$T108=12),VLOOKUP($S108,DOWN16,4,0),IF($T108=12,ROUND(VLOOKUP(OP!$C$55,_DIE2,$S108+1,0)*(Z108/10000),0)+IF(AND($P$7="購買增額繳清保險",T108=12,U108=110),VLOOKUP(S108,$B$10:$H$121,7,0),0),"")))</f>
        <v/>
      </c>
      <c r="AD108" s="347"/>
      <c r="AE108" s="350" t="str">
        <f t="shared" ca="1" si="70"/>
        <v/>
      </c>
      <c r="AF108" s="351" t="str">
        <f t="shared" ca="1" si="71"/>
        <v/>
      </c>
      <c r="AG108" s="340"/>
      <c r="AH108" s="340"/>
      <c r="AI108" s="340"/>
      <c r="AJ108" s="340"/>
      <c r="AK108" s="340"/>
      <c r="AL108" s="340"/>
      <c r="AM108" s="340"/>
      <c r="AN108" s="191">
        <f t="shared" si="83"/>
        <v>9</v>
      </c>
      <c r="AO108" s="191">
        <f t="shared" si="84"/>
        <v>4</v>
      </c>
      <c r="AP108" s="191">
        <f ca="1">OP!$D$5+$AN108-1</f>
        <v>41</v>
      </c>
      <c r="AQ108" s="191" t="str">
        <f t="shared" si="85"/>
        <v/>
      </c>
      <c r="AR108" s="352">
        <f t="shared" ca="1" si="86"/>
        <v>0</v>
      </c>
      <c r="AS108" s="352"/>
      <c r="AT108" s="352"/>
      <c r="AU108" s="436"/>
      <c r="AV108" s="353" t="str">
        <f t="shared" ca="1" si="87"/>
        <v/>
      </c>
      <c r="AW108" s="422" t="str">
        <f t="shared" si="88"/>
        <v/>
      </c>
      <c r="AX108" s="423" t="str">
        <f ca="1">IF(AND($AW108=1,$AP108&lt;16,$AN107&lt;OP!$C$24),OP!$C$49,"")</f>
        <v/>
      </c>
      <c r="AY108" s="340"/>
      <c r="AZ108" s="465">
        <f t="shared" ca="1" si="89"/>
        <v>7.3698599999999999E-5</v>
      </c>
      <c r="BA108" s="464">
        <f t="shared" ca="1" si="90"/>
        <v>2.1372602999999999E-3</v>
      </c>
      <c r="BB108" s="465">
        <f t="shared" ca="1" si="90"/>
        <v>2.2109589000000002E-3</v>
      </c>
      <c r="BC108" s="466">
        <f t="shared" ca="1" si="91"/>
        <v>45901</v>
      </c>
      <c r="BD108" s="467">
        <f t="shared" ca="1" si="115"/>
        <v>45902</v>
      </c>
      <c r="BE108" s="467">
        <f t="shared" ca="1" si="92"/>
        <v>45930</v>
      </c>
      <c r="BF108" s="468">
        <f ca="1">IF(計算!$BC108&lt;OP!$C$3,0,BD108-BC108)</f>
        <v>1</v>
      </c>
      <c r="BG108" s="468">
        <f ca="1">IF($BE108&gt;DATE(YEAR($BD$9)+OP!$C$57,MONTH($BD$9),DAY($BD$9)),0,$BE108-$BD108+1)</f>
        <v>29</v>
      </c>
      <c r="BH108" s="469">
        <f t="shared" ca="1" si="93"/>
        <v>30</v>
      </c>
      <c r="BI108" t="str">
        <f t="shared" si="128"/>
        <v/>
      </c>
      <c r="BJ108">
        <v>3</v>
      </c>
      <c r="BN108" s="468">
        <f t="shared" si="116"/>
        <v>9</v>
      </c>
      <c r="BO108" s="468">
        <f t="shared" si="117"/>
        <v>3</v>
      </c>
      <c r="BP108" s="467">
        <f t="shared" ca="1" si="94"/>
        <v>45902</v>
      </c>
      <c r="BQ108" s="475">
        <f t="shared" ca="1" si="126"/>
        <v>41</v>
      </c>
      <c r="BR108" s="475" t="str">
        <f t="shared" si="118"/>
        <v/>
      </c>
      <c r="BS108" s="471" t="str">
        <f t="shared" si="95"/>
        <v/>
      </c>
      <c r="BT108" s="472" t="str">
        <f t="shared" si="129"/>
        <v/>
      </c>
      <c r="BU108" s="472">
        <f t="shared" ca="1" si="96"/>
        <v>0</v>
      </c>
      <c r="BV108" s="472">
        <f t="shared" ca="1" si="96"/>
        <v>0</v>
      </c>
      <c r="BW108" s="472"/>
      <c r="BX108" s="473">
        <f t="shared" ca="1" si="97"/>
        <v>15104.447827526999</v>
      </c>
      <c r="BY108" s="473">
        <f t="shared" si="98"/>
        <v>0</v>
      </c>
      <c r="BZ108" s="473">
        <f t="shared" ca="1" si="72"/>
        <v>33.395313354000002</v>
      </c>
      <c r="CA108" s="476">
        <f t="shared" ca="1" si="99"/>
        <v>0</v>
      </c>
      <c r="CB108" s="494">
        <f ca="1">IF(OR($Q107&lt;&gt;1,OP!$D$5+$BN108-1&lt;16,$BN108-1&lt;1),0,ROUND(ROUND(ROUND(((VLOOKUP($BN108-1,MORE_PV,5,0)/10000)*VLOOKUP($BN108,MORE_PV,$CB$5,0)),3)*VLOOKUP($BN108,more1,5,0),0)/$R107,0))</f>
        <v>0</v>
      </c>
      <c r="CC108" s="473">
        <f t="shared" ca="1" si="100"/>
        <v>0</v>
      </c>
      <c r="CD108" s="477"/>
      <c r="CE108" s="468">
        <f t="shared" si="119"/>
        <v>9</v>
      </c>
      <c r="CF108" s="468">
        <f t="shared" si="120"/>
        <v>3</v>
      </c>
      <c r="CG108" s="467">
        <f t="shared" ca="1" si="73"/>
        <v>45902</v>
      </c>
      <c r="CH108" s="475">
        <f t="shared" ca="1" si="127"/>
        <v>41</v>
      </c>
      <c r="CI108" s="513" t="str">
        <f t="shared" si="121"/>
        <v/>
      </c>
      <c r="CJ108" s="511">
        <f t="shared" si="101"/>
        <v>0</v>
      </c>
      <c r="CK108" s="512">
        <f t="shared" si="102"/>
        <v>0</v>
      </c>
      <c r="CL108" s="511">
        <f t="shared" ca="1" si="122"/>
        <v>0</v>
      </c>
      <c r="CM108" s="511">
        <f ca="1">ROUND(CS108-IF(OR($CE108&gt;=OP!$C$24,AND(CH108=15,CF108=12),CS108=0),0,(CT108-CR108)),$CM$7)</f>
        <v>0</v>
      </c>
      <c r="CN108" s="511"/>
      <c r="CO108" s="351">
        <f t="shared" ca="1" si="103"/>
        <v>40240</v>
      </c>
      <c r="CP108" s="473">
        <f t="shared" si="104"/>
        <v>0</v>
      </c>
      <c r="CQ108" s="473">
        <f t="shared" ca="1" si="74"/>
        <v>88.968986135999998</v>
      </c>
      <c r="CR108" s="476">
        <f t="shared" ca="1" si="105"/>
        <v>0</v>
      </c>
      <c r="CS108" s="494">
        <f ca="1">IF(OR($Q107&lt;&gt;1,OP!$D$5+$CE108-1&lt;16,$CE108-1&lt;1),0,ROUND(ROUND(ROUND(((VLOOKUP($CE108-1,MORE_PV,5,0)/10000)*VLOOKUP($CE108,MORE_PV,$CS$5,0)),3)*VLOOKUP($CE108,more1,5,0),0)/$R107,0))</f>
        <v>0</v>
      </c>
      <c r="CT108" s="473">
        <f>IF($AW108=1,IF(N($CR108+$CS108)&lt;N($AX108)*OP!$C$50,N($CR108+$CS108),MIN(N($CR108+$CS108),N($AX108))),0)</f>
        <v>0</v>
      </c>
      <c r="CV108" s="503">
        <f t="shared" ca="1" si="106"/>
        <v>40240.237763382</v>
      </c>
      <c r="CW108" s="503">
        <f t="shared" ca="1" si="107"/>
        <v>0</v>
      </c>
      <c r="CX108" s="503">
        <f t="shared" ca="1" si="108"/>
        <v>40326.235288119002</v>
      </c>
    </row>
    <row r="109" spans="1:102" ht="16.5" hidden="1">
      <c r="A109" s="450">
        <f ca="1">OP!$D$5+$B109-1</f>
        <v>131</v>
      </c>
      <c r="B109" s="192">
        <v>99</v>
      </c>
      <c r="C109" s="219">
        <f ca="1">ROUND(VLOOKUP(OP!$C$55,PV0,B109+2,0)*OP!$C$28,0)</f>
        <v>0</v>
      </c>
      <c r="D109" s="189">
        <f t="shared" ca="1" si="130"/>
        <v>0</v>
      </c>
      <c r="E109" s="221">
        <f t="shared" ca="1" si="131"/>
        <v>2.69E-2</v>
      </c>
      <c r="F109" s="222">
        <f t="shared" ca="1" si="132"/>
        <v>6.8999999999999999E-3</v>
      </c>
      <c r="G109" s="223">
        <f t="shared" ca="1" si="133"/>
        <v>2807406</v>
      </c>
      <c r="H109" s="224">
        <f t="shared" ca="1" si="124"/>
        <v>0</v>
      </c>
      <c r="I109" s="450">
        <f t="shared" ca="1" si="125"/>
        <v>12</v>
      </c>
      <c r="J109" s="192">
        <f t="shared" si="75"/>
        <v>9</v>
      </c>
      <c r="K109" s="192">
        <f t="shared" si="76"/>
        <v>5</v>
      </c>
      <c r="L109" s="192" t="str">
        <f t="shared" si="69"/>
        <v/>
      </c>
      <c r="M109" s="216">
        <f t="shared" ca="1" si="77"/>
        <v>0</v>
      </c>
      <c r="N109" s="216"/>
      <c r="O109" s="216"/>
      <c r="P109" s="216"/>
      <c r="Q109" s="456" t="str">
        <f t="shared" ca="1" si="78"/>
        <v/>
      </c>
      <c r="R109" s="450">
        <f t="shared" ca="1" si="79"/>
        <v>1</v>
      </c>
      <c r="S109" s="191">
        <f t="shared" si="80"/>
        <v>9</v>
      </c>
      <c r="T109" s="191">
        <f t="shared" si="81"/>
        <v>5</v>
      </c>
      <c r="U109" s="191">
        <f ca="1">OP!$D$5+$S109-1</f>
        <v>41</v>
      </c>
      <c r="V109" s="191" t="str">
        <f t="shared" si="82"/>
        <v/>
      </c>
      <c r="W109" s="350">
        <f ca="1">IF(Q109&lt;&gt;1,0,VLOOKUP(OP!$C$55,PVFB,$S109+2,0))</f>
        <v>0</v>
      </c>
      <c r="X109" s="473">
        <f t="shared" ca="1" si="112"/>
        <v>0</v>
      </c>
      <c r="Y109" s="348">
        <f t="shared" ca="1" si="113"/>
        <v>0</v>
      </c>
      <c r="Z109" s="348">
        <f t="shared" ca="1" si="114"/>
        <v>8012</v>
      </c>
      <c r="AA109" s="348">
        <f ca="1">IF(Q109&lt;&gt;1,0,VLOOKUP(OP!$C$55,PVFB,$S109+2,0))</f>
        <v>0</v>
      </c>
      <c r="AB109" s="488" t="str">
        <f ca="1">IF(AND(S109&lt;OP!$C$24,$U109&lt;15),0,IF(AND($U109&lt;15,$T109=12),ROUND(VLOOKUP($S109,DOWN16,5,0),3),IF($T109=12,ROUND(($Z109/10000)*$AA109,3)+IF(AND($P$7="購買增額繳清保險",T109=12,U109=110),VLOOKUP(S109,$B$10:$H$121,7,0),0),"")))</f>
        <v/>
      </c>
      <c r="AC109" s="350" t="str">
        <f ca="1">IF(AND(S109&lt;OP!$C$24,$U109&lt;15),0,IF(AND($U109&lt;16,$T109=12),VLOOKUP($S109,DOWN16,4,0),IF($T109=12,ROUND(VLOOKUP(OP!$C$55,_DIE2,$S109+1,0)*(Z109/10000),0)+IF(AND($P$7="購買增額繳清保險",T109=12,U109=110),VLOOKUP(S109,$B$10:$H$121,7,0),0),"")))</f>
        <v/>
      </c>
      <c r="AD109" s="347"/>
      <c r="AE109" s="350" t="str">
        <f t="shared" ca="1" si="70"/>
        <v/>
      </c>
      <c r="AF109" s="351" t="str">
        <f t="shared" ca="1" si="71"/>
        <v/>
      </c>
      <c r="AG109" s="340"/>
      <c r="AH109" s="340"/>
      <c r="AI109" s="340"/>
      <c r="AJ109" s="340"/>
      <c r="AK109" s="340"/>
      <c r="AL109" s="340"/>
      <c r="AM109" s="340"/>
      <c r="AN109" s="191">
        <f t="shared" si="83"/>
        <v>9</v>
      </c>
      <c r="AO109" s="191">
        <f t="shared" si="84"/>
        <v>5</v>
      </c>
      <c r="AP109" s="191">
        <f ca="1">OP!$D$5+$AN109-1</f>
        <v>41</v>
      </c>
      <c r="AQ109" s="191" t="str">
        <f t="shared" si="85"/>
        <v/>
      </c>
      <c r="AR109" s="352">
        <f t="shared" ca="1" si="86"/>
        <v>0</v>
      </c>
      <c r="AS109" s="352"/>
      <c r="AT109" s="352"/>
      <c r="AU109" s="436"/>
      <c r="AV109" s="353" t="str">
        <f t="shared" ca="1" si="87"/>
        <v/>
      </c>
      <c r="AW109" s="422" t="str">
        <f t="shared" si="88"/>
        <v/>
      </c>
      <c r="AX109" s="423" t="str">
        <f ca="1">IF(AND($AW109=1,$AP109&lt;16,$AN108&lt;OP!$C$24),OP!$C$49,"")</f>
        <v/>
      </c>
      <c r="AY109" s="340"/>
      <c r="AZ109" s="465">
        <f t="shared" ca="1" si="89"/>
        <v>7.3698599999999999E-5</v>
      </c>
      <c r="BA109" s="464">
        <f t="shared" ca="1" si="90"/>
        <v>2.2109589000000002E-3</v>
      </c>
      <c r="BB109" s="465">
        <f t="shared" ca="1" si="90"/>
        <v>2.2846575E-3</v>
      </c>
      <c r="BC109" s="466">
        <f t="shared" ca="1" si="91"/>
        <v>45931</v>
      </c>
      <c r="BD109" s="467">
        <f t="shared" ca="1" si="115"/>
        <v>45932</v>
      </c>
      <c r="BE109" s="467">
        <f t="shared" ca="1" si="92"/>
        <v>45961</v>
      </c>
      <c r="BF109" s="468">
        <f ca="1">IF(計算!$BC109&lt;OP!$C$3,0,BD109-BC109)</f>
        <v>1</v>
      </c>
      <c r="BG109" s="468">
        <f ca="1">IF($BE109&gt;DATE(YEAR($BD$9)+OP!$C$57,MONTH($BD$9),DAY($BD$9)),0,$BE109-$BD109+1)</f>
        <v>30</v>
      </c>
      <c r="BH109" s="469">
        <f t="shared" ca="1" si="93"/>
        <v>31</v>
      </c>
      <c r="BI109" t="str">
        <f t="shared" si="128"/>
        <v/>
      </c>
      <c r="BJ109">
        <v>4</v>
      </c>
      <c r="BN109" s="468">
        <f t="shared" si="116"/>
        <v>9</v>
      </c>
      <c r="BO109" s="468">
        <f t="shared" si="117"/>
        <v>4</v>
      </c>
      <c r="BP109" s="467">
        <f t="shared" ca="1" si="94"/>
        <v>45932</v>
      </c>
      <c r="BQ109" s="475">
        <f t="shared" ca="1" si="126"/>
        <v>41</v>
      </c>
      <c r="BR109" s="475" t="str">
        <f t="shared" si="118"/>
        <v/>
      </c>
      <c r="BS109" s="471" t="str">
        <f t="shared" si="95"/>
        <v/>
      </c>
      <c r="BT109" s="472" t="str">
        <f t="shared" si="129"/>
        <v/>
      </c>
      <c r="BU109" s="472">
        <f t="shared" ca="1" si="96"/>
        <v>0</v>
      </c>
      <c r="BV109" s="472">
        <f t="shared" ca="1" si="96"/>
        <v>0</v>
      </c>
      <c r="BW109" s="472"/>
      <c r="BX109" s="473">
        <f t="shared" ca="1" si="97"/>
        <v>15137.843140880999</v>
      </c>
      <c r="BY109" s="473">
        <f t="shared" si="98"/>
        <v>0</v>
      </c>
      <c r="BZ109" s="473">
        <f t="shared" ca="1" si="72"/>
        <v>34.584786866000002</v>
      </c>
      <c r="CA109" s="476">
        <f t="shared" ca="1" si="99"/>
        <v>0</v>
      </c>
      <c r="CB109" s="494">
        <f ca="1">IF(OR($Q108&lt;&gt;1,OP!$D$5+$BN109-1&lt;16,$BN109-1&lt;1),0,ROUND(ROUND(ROUND(((VLOOKUP($BN109-1,MORE_PV,5,0)/10000)*VLOOKUP($BN109,MORE_PV,$CB$5,0)),3)*VLOOKUP($BN109,more1,5,0),0)/$R108,0))</f>
        <v>0</v>
      </c>
      <c r="CC109" s="473">
        <f t="shared" ca="1" si="100"/>
        <v>0</v>
      </c>
      <c r="CD109" s="477"/>
      <c r="CE109" s="468">
        <f t="shared" si="119"/>
        <v>9</v>
      </c>
      <c r="CF109" s="468">
        <f t="shared" si="120"/>
        <v>4</v>
      </c>
      <c r="CG109" s="467">
        <f t="shared" ca="1" si="73"/>
        <v>45932</v>
      </c>
      <c r="CH109" s="475">
        <f t="shared" ca="1" si="127"/>
        <v>41</v>
      </c>
      <c r="CI109" s="513" t="str">
        <f t="shared" si="121"/>
        <v/>
      </c>
      <c r="CJ109" s="511">
        <f t="shared" si="101"/>
        <v>0</v>
      </c>
      <c r="CK109" s="512">
        <f t="shared" si="102"/>
        <v>0</v>
      </c>
      <c r="CL109" s="511">
        <f t="shared" ca="1" si="122"/>
        <v>0</v>
      </c>
      <c r="CM109" s="511">
        <f ca="1">ROUND(CS109-IF(OR($CE109&gt;=OP!$C$24,AND(CH109=15,CF109=12),CS109=0),0,(CT109-CR109)),$CM$7)</f>
        <v>0</v>
      </c>
      <c r="CN109" s="511"/>
      <c r="CO109" s="351">
        <f t="shared" ca="1" si="103"/>
        <v>40329</v>
      </c>
      <c r="CP109" s="473">
        <f t="shared" si="104"/>
        <v>0</v>
      </c>
      <c r="CQ109" s="473">
        <f t="shared" ca="1" si="74"/>
        <v>92.137952318000004</v>
      </c>
      <c r="CR109" s="476">
        <f t="shared" ca="1" si="105"/>
        <v>0</v>
      </c>
      <c r="CS109" s="494">
        <f ca="1">IF(OR($Q108&lt;&gt;1,OP!$D$5+$CE109-1&lt;16,$CE109-1&lt;1),0,ROUND(ROUND(ROUND(((VLOOKUP($CE109-1,MORE_PV,5,0)/10000)*VLOOKUP($CE109,MORE_PV,$CS$5,0)),3)*VLOOKUP($CE109,more1,5,0),0)/$R108,0))</f>
        <v>0</v>
      </c>
      <c r="CT109" s="473">
        <f>IF($AW109=1,IF(N($CR109+$CS109)&lt;N($AX109)*OP!$C$50,N($CR109+$CS109),MIN(N($CR109+$CS109),N($AX109))),0)</f>
        <v>0</v>
      </c>
      <c r="CV109" s="503">
        <f t="shared" ca="1" si="106"/>
        <v>40329.207275203</v>
      </c>
      <c r="CW109" s="503">
        <f t="shared" ca="1" si="107"/>
        <v>0</v>
      </c>
      <c r="CX109" s="503">
        <f t="shared" ca="1" si="108"/>
        <v>40418.366924016998</v>
      </c>
    </row>
    <row r="110" spans="1:102" ht="16.5" hidden="1">
      <c r="A110" s="450">
        <f ca="1">OP!$D$5+$B110-1</f>
        <v>132</v>
      </c>
      <c r="B110" s="192">
        <v>100</v>
      </c>
      <c r="C110" s="219">
        <f ca="1">ROUND(VLOOKUP(OP!$C$55,PV0,B110+2,0)*OP!$C$28,0)</f>
        <v>0</v>
      </c>
      <c r="D110" s="189">
        <f t="shared" ca="1" si="130"/>
        <v>0</v>
      </c>
      <c r="E110" s="221">
        <f t="shared" ca="1" si="131"/>
        <v>2.69E-2</v>
      </c>
      <c r="F110" s="222">
        <f t="shared" ca="1" si="132"/>
        <v>6.8999999999999999E-3</v>
      </c>
      <c r="G110" s="223">
        <f t="shared" ca="1" si="133"/>
        <v>2809890</v>
      </c>
      <c r="H110" s="224">
        <f t="shared" ca="1" si="124"/>
        <v>0</v>
      </c>
      <c r="I110" s="450">
        <f t="shared" ca="1" si="125"/>
        <v>12</v>
      </c>
      <c r="J110" s="192">
        <f t="shared" si="75"/>
        <v>9</v>
      </c>
      <c r="K110" s="192">
        <f t="shared" si="76"/>
        <v>6</v>
      </c>
      <c r="L110" s="192" t="str">
        <f t="shared" si="69"/>
        <v/>
      </c>
      <c r="M110" s="216">
        <f t="shared" ca="1" si="77"/>
        <v>0</v>
      </c>
      <c r="N110" s="216"/>
      <c r="O110" s="216"/>
      <c r="P110" s="216"/>
      <c r="Q110" s="456" t="str">
        <f t="shared" ca="1" si="78"/>
        <v/>
      </c>
      <c r="R110" s="450">
        <f t="shared" ca="1" si="79"/>
        <v>1</v>
      </c>
      <c r="S110" s="191">
        <f t="shared" si="80"/>
        <v>9</v>
      </c>
      <c r="T110" s="191">
        <f t="shared" si="81"/>
        <v>6</v>
      </c>
      <c r="U110" s="191">
        <f ca="1">OP!$D$5+$S110-1</f>
        <v>41</v>
      </c>
      <c r="V110" s="191" t="str">
        <f t="shared" si="82"/>
        <v/>
      </c>
      <c r="W110" s="350">
        <f ca="1">IF(Q110&lt;&gt;1,0,VLOOKUP(OP!$C$55,PVFB,$S110+2,0))</f>
        <v>0</v>
      </c>
      <c r="X110" s="473">
        <f t="shared" ca="1" si="112"/>
        <v>0</v>
      </c>
      <c r="Y110" s="348">
        <f t="shared" ca="1" si="113"/>
        <v>0</v>
      </c>
      <c r="Z110" s="348">
        <f t="shared" ca="1" si="114"/>
        <v>8012</v>
      </c>
      <c r="AA110" s="348">
        <f ca="1">IF(Q110&lt;&gt;1,0,VLOOKUP(OP!$C$55,PVFB,$S110+2,0))</f>
        <v>0</v>
      </c>
      <c r="AB110" s="488" t="str">
        <f ca="1">IF(AND(S110&lt;OP!$C$24,$U110&lt;15),0,IF(AND($U110&lt;15,$T110=12),ROUND(VLOOKUP($S110,DOWN16,5,0),3),IF($T110=12,ROUND(($Z110/10000)*$AA110,3)+IF(AND($P$7="購買增額繳清保險",T110=12,U110=110),VLOOKUP(S110,$B$10:$H$121,7,0),0),"")))</f>
        <v/>
      </c>
      <c r="AC110" s="350" t="str">
        <f ca="1">IF(AND(S110&lt;OP!$C$24,$U110&lt;15),0,IF(AND($U110&lt;16,$T110=12),VLOOKUP($S110,DOWN16,4,0),IF($T110=12,ROUND(VLOOKUP(OP!$C$55,_DIE2,$S110+1,0)*(Z110/10000),0)+IF(AND($P$7="購買增額繳清保險",T110=12,U110=110),VLOOKUP(S110,$B$10:$H$121,7,0),0),"")))</f>
        <v/>
      </c>
      <c r="AD110" s="347"/>
      <c r="AE110" s="350" t="str">
        <f t="shared" ca="1" si="70"/>
        <v/>
      </c>
      <c r="AF110" s="351" t="str">
        <f t="shared" ca="1" si="71"/>
        <v/>
      </c>
      <c r="AG110" s="340"/>
      <c r="AH110" s="340"/>
      <c r="AI110" s="340"/>
      <c r="AJ110" s="340"/>
      <c r="AK110" s="340"/>
      <c r="AL110" s="340"/>
      <c r="AM110" s="340"/>
      <c r="AN110" s="191">
        <f t="shared" si="83"/>
        <v>9</v>
      </c>
      <c r="AO110" s="191">
        <f t="shared" si="84"/>
        <v>6</v>
      </c>
      <c r="AP110" s="191">
        <f ca="1">OP!$D$5+$AN110-1</f>
        <v>41</v>
      </c>
      <c r="AQ110" s="191" t="str">
        <f t="shared" si="85"/>
        <v/>
      </c>
      <c r="AR110" s="352">
        <f t="shared" ca="1" si="86"/>
        <v>0</v>
      </c>
      <c r="AS110" s="352"/>
      <c r="AT110" s="352"/>
      <c r="AU110" s="436"/>
      <c r="AV110" s="353" t="str">
        <f t="shared" ca="1" si="87"/>
        <v/>
      </c>
      <c r="AW110" s="422" t="str">
        <f t="shared" si="88"/>
        <v/>
      </c>
      <c r="AX110" s="423" t="str">
        <f ca="1">IF(AND($AW110=1,$AP110&lt;16,$AN109&lt;OP!$C$24),OP!$C$49,"")</f>
        <v/>
      </c>
      <c r="AY110" s="340"/>
      <c r="AZ110" s="465">
        <f t="shared" ca="1" si="89"/>
        <v>7.3698599999999999E-5</v>
      </c>
      <c r="BA110" s="464">
        <f t="shared" ca="1" si="90"/>
        <v>2.1372602999999999E-3</v>
      </c>
      <c r="BB110" s="465">
        <f t="shared" ca="1" si="90"/>
        <v>2.2109589000000002E-3</v>
      </c>
      <c r="BC110" s="466">
        <f t="shared" ca="1" si="91"/>
        <v>45962</v>
      </c>
      <c r="BD110" s="467">
        <f t="shared" ca="1" si="115"/>
        <v>45963</v>
      </c>
      <c r="BE110" s="467">
        <f t="shared" ca="1" si="92"/>
        <v>45991</v>
      </c>
      <c r="BF110" s="468">
        <f ca="1">IF(計算!$BC110&lt;OP!$C$3,0,BD110-BC110)</f>
        <v>1</v>
      </c>
      <c r="BG110" s="468">
        <f ca="1">IF($BE110&gt;DATE(YEAR($BD$9)+OP!$C$57,MONTH($BD$9),DAY($BD$9)),0,$BE110-$BD110+1)</f>
        <v>29</v>
      </c>
      <c r="BH110" s="469">
        <f t="shared" ca="1" si="93"/>
        <v>30</v>
      </c>
      <c r="BI110" t="str">
        <f t="shared" si="128"/>
        <v/>
      </c>
      <c r="BJ110">
        <v>5</v>
      </c>
      <c r="BN110" s="468">
        <f t="shared" si="116"/>
        <v>9</v>
      </c>
      <c r="BO110" s="468">
        <f t="shared" si="117"/>
        <v>5</v>
      </c>
      <c r="BP110" s="467">
        <f t="shared" ca="1" si="94"/>
        <v>45963</v>
      </c>
      <c r="BQ110" s="475">
        <f t="shared" ca="1" si="126"/>
        <v>41</v>
      </c>
      <c r="BR110" s="475" t="str">
        <f t="shared" si="118"/>
        <v/>
      </c>
      <c r="BS110" s="471" t="str">
        <f t="shared" si="95"/>
        <v/>
      </c>
      <c r="BT110" s="472" t="str">
        <f t="shared" si="129"/>
        <v/>
      </c>
      <c r="BU110" s="472">
        <f t="shared" ca="1" si="96"/>
        <v>0</v>
      </c>
      <c r="BV110" s="472">
        <f t="shared" ca="1" si="96"/>
        <v>0</v>
      </c>
      <c r="BW110" s="472"/>
      <c r="BX110" s="473">
        <f t="shared" ca="1" si="97"/>
        <v>15172.427927747</v>
      </c>
      <c r="BY110" s="473">
        <f t="shared" si="98"/>
        <v>0</v>
      </c>
      <c r="BZ110" s="473">
        <f t="shared" ca="1" si="72"/>
        <v>33.545614561000001</v>
      </c>
      <c r="CA110" s="476">
        <f t="shared" ca="1" si="99"/>
        <v>0</v>
      </c>
      <c r="CB110" s="494">
        <f ca="1">IF(OR($Q109&lt;&gt;1,OP!$D$5+$BN110-1&lt;16,$BN110-1&lt;1),0,ROUND(ROUND(ROUND(((VLOOKUP($BN110-1,MORE_PV,5,0)/10000)*VLOOKUP($BN110,MORE_PV,$CB$5,0)),3)*VLOOKUP($BN110,more1,5,0),0)/$R109,0))</f>
        <v>0</v>
      </c>
      <c r="CC110" s="473">
        <f t="shared" ca="1" si="100"/>
        <v>0</v>
      </c>
      <c r="CD110" s="477"/>
      <c r="CE110" s="468">
        <f t="shared" si="119"/>
        <v>9</v>
      </c>
      <c r="CF110" s="468">
        <f t="shared" si="120"/>
        <v>5</v>
      </c>
      <c r="CG110" s="467">
        <f t="shared" ca="1" si="73"/>
        <v>45963</v>
      </c>
      <c r="CH110" s="475">
        <f t="shared" ca="1" si="127"/>
        <v>41</v>
      </c>
      <c r="CI110" s="513" t="str">
        <f t="shared" si="121"/>
        <v/>
      </c>
      <c r="CJ110" s="511">
        <f t="shared" si="101"/>
        <v>0</v>
      </c>
      <c r="CK110" s="512">
        <f t="shared" si="102"/>
        <v>0</v>
      </c>
      <c r="CL110" s="511">
        <f t="shared" ca="1" si="122"/>
        <v>0</v>
      </c>
      <c r="CM110" s="511">
        <f ca="1">ROUND(CS110-IF(OR($CE110&gt;=OP!$C$24,AND(CH110=15,CF110=12),CS110=0),0,(CT110-CR110)),$CM$7)</f>
        <v>0</v>
      </c>
      <c r="CN110" s="511"/>
      <c r="CO110" s="351">
        <f t="shared" ca="1" si="103"/>
        <v>40421</v>
      </c>
      <c r="CP110" s="473">
        <f t="shared" si="104"/>
        <v>0</v>
      </c>
      <c r="CQ110" s="473">
        <f t="shared" ca="1" si="74"/>
        <v>89.369169697000004</v>
      </c>
      <c r="CR110" s="476">
        <f t="shared" ca="1" si="105"/>
        <v>0</v>
      </c>
      <c r="CS110" s="494">
        <f ca="1">IF(OR($Q109&lt;&gt;1,OP!$D$5+$CE110-1&lt;16,$CE110-1&lt;1),0,ROUND(ROUND(ROUND(((VLOOKUP($CE110-1,MORE_PV,5,0)/10000)*VLOOKUP($CE110,MORE_PV,$CS$5,0)),3)*VLOOKUP($CE110,more1,5,0),0)/$R109,0))</f>
        <v>0</v>
      </c>
      <c r="CT110" s="473">
        <f>IF($AW110=1,IF(N($CR110+$CS110)&lt;N($AX110)*OP!$C$50,N($CR110+$CS110),MIN(N($CR110+$CS110),N($AX110))),0)</f>
        <v>0</v>
      </c>
      <c r="CV110" s="503">
        <f t="shared" ca="1" si="106"/>
        <v>40421.345701074002</v>
      </c>
      <c r="CW110" s="503">
        <f t="shared" ca="1" si="107"/>
        <v>0</v>
      </c>
      <c r="CX110" s="503">
        <f t="shared" ca="1" si="108"/>
        <v>40507.730272091001</v>
      </c>
    </row>
    <row r="111" spans="1:102" ht="16.5" hidden="1">
      <c r="A111" s="450">
        <f ca="1">OP!$D$5+$B111-1</f>
        <v>133</v>
      </c>
      <c r="B111" s="192">
        <v>101</v>
      </c>
      <c r="C111" s="219">
        <f ca="1">ROUND(VLOOKUP(OP!$C$55,PV0,B111+2,0)*OP!$C$28,0)</f>
        <v>0</v>
      </c>
      <c r="D111" s="189">
        <f t="shared" ca="1" si="130"/>
        <v>0</v>
      </c>
      <c r="E111" s="221">
        <f t="shared" ca="1" si="131"/>
        <v>2.69E-2</v>
      </c>
      <c r="F111" s="222">
        <f t="shared" ca="1" si="132"/>
        <v>6.8999999999999999E-3</v>
      </c>
      <c r="G111" s="223">
        <f t="shared" ca="1" si="133"/>
        <v>2812376</v>
      </c>
      <c r="H111" s="224">
        <f t="shared" ca="1" si="124"/>
        <v>0</v>
      </c>
      <c r="I111" s="450">
        <f t="shared" ca="1" si="125"/>
        <v>12</v>
      </c>
      <c r="J111" s="192">
        <f t="shared" si="75"/>
        <v>9</v>
      </c>
      <c r="K111" s="192">
        <f t="shared" si="76"/>
        <v>7</v>
      </c>
      <c r="L111" s="192" t="str">
        <f t="shared" si="69"/>
        <v/>
      </c>
      <c r="M111" s="216">
        <f t="shared" ca="1" si="77"/>
        <v>0</v>
      </c>
      <c r="N111" s="216"/>
      <c r="O111" s="216"/>
      <c r="P111" s="216"/>
      <c r="Q111" s="456" t="str">
        <f t="shared" ca="1" si="78"/>
        <v/>
      </c>
      <c r="R111" s="450">
        <f t="shared" ca="1" si="79"/>
        <v>1</v>
      </c>
      <c r="S111" s="191">
        <f t="shared" si="80"/>
        <v>9</v>
      </c>
      <c r="T111" s="191">
        <f t="shared" si="81"/>
        <v>7</v>
      </c>
      <c r="U111" s="191">
        <f ca="1">OP!$D$5+$S111-1</f>
        <v>41</v>
      </c>
      <c r="V111" s="191" t="str">
        <f t="shared" si="82"/>
        <v/>
      </c>
      <c r="W111" s="350">
        <f ca="1">IF(Q111&lt;&gt;1,0,VLOOKUP(OP!$C$55,PVFB,$S111+2,0))</f>
        <v>0</v>
      </c>
      <c r="X111" s="473">
        <f t="shared" ca="1" si="112"/>
        <v>0</v>
      </c>
      <c r="Y111" s="348">
        <f t="shared" ca="1" si="113"/>
        <v>0</v>
      </c>
      <c r="Z111" s="348">
        <f t="shared" ca="1" si="114"/>
        <v>8012</v>
      </c>
      <c r="AA111" s="348">
        <f ca="1">IF(Q111&lt;&gt;1,0,VLOOKUP(OP!$C$55,PVFB,$S111+2,0))</f>
        <v>0</v>
      </c>
      <c r="AB111" s="488" t="str">
        <f ca="1">IF(AND(S111&lt;OP!$C$24,$U111&lt;15),0,IF(AND($U111&lt;15,$T111=12),ROUND(VLOOKUP($S111,DOWN16,5,0),3),IF($T111=12,ROUND(($Z111/10000)*$AA111,3)+IF(AND($P$7="購買增額繳清保險",T111=12,U111=110),VLOOKUP(S111,$B$10:$H$121,7,0),0),"")))</f>
        <v/>
      </c>
      <c r="AC111" s="350" t="str">
        <f ca="1">IF(AND(S111&lt;OP!$C$24,$U111&lt;15),0,IF(AND($U111&lt;16,$T111=12),VLOOKUP($S111,DOWN16,4,0),IF($T111=12,ROUND(VLOOKUP(OP!$C$55,_DIE2,$S111+1,0)*(Z111/10000),0)+IF(AND($P$7="購買增額繳清保險",T111=12,U111=110),VLOOKUP(S111,$B$10:$H$121,7,0),0),"")))</f>
        <v/>
      </c>
      <c r="AD111" s="347"/>
      <c r="AE111" s="350" t="str">
        <f t="shared" ca="1" si="70"/>
        <v/>
      </c>
      <c r="AF111" s="351" t="str">
        <f t="shared" ca="1" si="71"/>
        <v/>
      </c>
      <c r="AG111" s="340"/>
      <c r="AH111" s="340"/>
      <c r="AI111" s="340"/>
      <c r="AJ111" s="340"/>
      <c r="AK111" s="340"/>
      <c r="AL111" s="340"/>
      <c r="AM111" s="340"/>
      <c r="AN111" s="191">
        <f t="shared" si="83"/>
        <v>9</v>
      </c>
      <c r="AO111" s="191">
        <f t="shared" si="84"/>
        <v>7</v>
      </c>
      <c r="AP111" s="191">
        <f ca="1">OP!$D$5+$AN111-1</f>
        <v>41</v>
      </c>
      <c r="AQ111" s="191" t="str">
        <f t="shared" si="85"/>
        <v/>
      </c>
      <c r="AR111" s="352">
        <f t="shared" ca="1" si="86"/>
        <v>0</v>
      </c>
      <c r="AS111" s="352"/>
      <c r="AT111" s="352"/>
      <c r="AU111" s="436"/>
      <c r="AV111" s="353" t="str">
        <f t="shared" ca="1" si="87"/>
        <v/>
      </c>
      <c r="AW111" s="422" t="str">
        <f t="shared" si="88"/>
        <v/>
      </c>
      <c r="AX111" s="423" t="str">
        <f ca="1">IF(AND($AW111=1,$AP111&lt;16,$AN110&lt;OP!$C$24),OP!$C$49,"")</f>
        <v/>
      </c>
      <c r="AY111" s="340"/>
      <c r="AZ111" s="465">
        <f t="shared" ca="1" si="89"/>
        <v>7.3698599999999999E-5</v>
      </c>
      <c r="BA111" s="464">
        <f t="shared" ca="1" si="90"/>
        <v>2.2109589000000002E-3</v>
      </c>
      <c r="BB111" s="465">
        <f t="shared" ca="1" si="90"/>
        <v>2.2846575E-3</v>
      </c>
      <c r="BC111" s="466">
        <f t="shared" ca="1" si="91"/>
        <v>45992</v>
      </c>
      <c r="BD111" s="467">
        <f t="shared" ca="1" si="115"/>
        <v>45993</v>
      </c>
      <c r="BE111" s="467">
        <f t="shared" ca="1" si="92"/>
        <v>46022</v>
      </c>
      <c r="BF111" s="468">
        <f ca="1">IF(計算!$BC111&lt;OP!$C$3,0,BD111-BC111)</f>
        <v>1</v>
      </c>
      <c r="BG111" s="468">
        <f ca="1">IF($BE111&gt;DATE(YEAR($BD$9)+OP!$C$57,MONTH($BD$9),DAY($BD$9)),0,$BE111-$BD111+1)</f>
        <v>30</v>
      </c>
      <c r="BH111" s="469">
        <f t="shared" ca="1" si="93"/>
        <v>31</v>
      </c>
      <c r="BI111" t="str">
        <f t="shared" si="128"/>
        <v/>
      </c>
      <c r="BJ111">
        <v>6</v>
      </c>
      <c r="BN111" s="468">
        <f t="shared" si="116"/>
        <v>9</v>
      </c>
      <c r="BO111" s="468">
        <f t="shared" si="117"/>
        <v>6</v>
      </c>
      <c r="BP111" s="467">
        <f t="shared" ca="1" si="94"/>
        <v>45993</v>
      </c>
      <c r="BQ111" s="475">
        <f t="shared" ca="1" si="126"/>
        <v>41</v>
      </c>
      <c r="BR111" s="475" t="str">
        <f t="shared" si="118"/>
        <v/>
      </c>
      <c r="BS111" s="471" t="str">
        <f t="shared" si="95"/>
        <v/>
      </c>
      <c r="BT111" s="472" t="str">
        <f t="shared" si="129"/>
        <v/>
      </c>
      <c r="BU111" s="472">
        <f t="shared" ca="1" si="96"/>
        <v>0</v>
      </c>
      <c r="BV111" s="472">
        <f t="shared" ca="1" si="96"/>
        <v>0</v>
      </c>
      <c r="BW111" s="472"/>
      <c r="BX111" s="473">
        <f t="shared" ca="1" si="97"/>
        <v>15205.973542308</v>
      </c>
      <c r="BY111" s="473">
        <f t="shared" si="98"/>
        <v>0</v>
      </c>
      <c r="BZ111" s="473">
        <f t="shared" ca="1" si="72"/>
        <v>34.740441498000003</v>
      </c>
      <c r="CA111" s="476">
        <f t="shared" ca="1" si="99"/>
        <v>0</v>
      </c>
      <c r="CB111" s="494">
        <f ca="1">IF(OR($Q110&lt;&gt;1,OP!$D$5+$BN111-1&lt;16,$BN111-1&lt;1),0,ROUND(ROUND(ROUND(((VLOOKUP($BN111-1,MORE_PV,5,0)/10000)*VLOOKUP($BN111,MORE_PV,$CB$5,0)),3)*VLOOKUP($BN111,more1,5,0),0)/$R110,0))</f>
        <v>0</v>
      </c>
      <c r="CC111" s="473">
        <f t="shared" ca="1" si="100"/>
        <v>0</v>
      </c>
      <c r="CD111" s="477"/>
      <c r="CE111" s="468">
        <f t="shared" si="119"/>
        <v>9</v>
      </c>
      <c r="CF111" s="468">
        <f t="shared" si="120"/>
        <v>6</v>
      </c>
      <c r="CG111" s="467">
        <f t="shared" ca="1" si="73"/>
        <v>45993</v>
      </c>
      <c r="CH111" s="475">
        <f t="shared" ca="1" si="127"/>
        <v>41</v>
      </c>
      <c r="CI111" s="513" t="str">
        <f t="shared" si="121"/>
        <v/>
      </c>
      <c r="CJ111" s="511">
        <f t="shared" si="101"/>
        <v>0</v>
      </c>
      <c r="CK111" s="512">
        <f t="shared" si="102"/>
        <v>0</v>
      </c>
      <c r="CL111" s="511">
        <f t="shared" ca="1" si="122"/>
        <v>0</v>
      </c>
      <c r="CM111" s="511">
        <f ca="1">ROUND(CS111-IF(OR($CE111&gt;=OP!$C$24,AND(CH111=15,CF111=12),CS111=0),0,(CT111-CR111)),$CM$7)</f>
        <v>0</v>
      </c>
      <c r="CN111" s="511"/>
      <c r="CO111" s="351">
        <f t="shared" ca="1" si="103"/>
        <v>40511</v>
      </c>
      <c r="CP111" s="473">
        <f t="shared" si="104"/>
        <v>0</v>
      </c>
      <c r="CQ111" s="473">
        <f t="shared" ca="1" si="74"/>
        <v>92.553759983000006</v>
      </c>
      <c r="CR111" s="476">
        <f t="shared" ca="1" si="105"/>
        <v>0</v>
      </c>
      <c r="CS111" s="494">
        <f ca="1">IF(OR($Q110&lt;&gt;1,OP!$D$5+$CE111-1&lt;16,$CE111-1&lt;1),0,ROUND(ROUND(ROUND(((VLOOKUP($CE111-1,MORE_PV,5,0)/10000)*VLOOKUP($CE111,MORE_PV,$CS$5,0)),3)*VLOOKUP($CE111,more1,5,0),0)/$R110,0))</f>
        <v>0</v>
      </c>
      <c r="CT111" s="473">
        <f>IF($AW111=1,IF(N($CR111+$CS111)&lt;N($AX111)*OP!$C$50,N($CR111+$CS111),MIN(N($CR111+$CS111),N($AX111))),0)</f>
        <v>0</v>
      </c>
      <c r="CV111" s="503">
        <f t="shared" ca="1" si="106"/>
        <v>40510.715635100998</v>
      </c>
      <c r="CW111" s="503">
        <f t="shared" ca="1" si="107"/>
        <v>0</v>
      </c>
      <c r="CX111" s="503">
        <f t="shared" ca="1" si="108"/>
        <v>40600.276561865001</v>
      </c>
    </row>
    <row r="112" spans="1:102" ht="16.5" hidden="1">
      <c r="A112" s="450">
        <f ca="1">OP!$D$5+$B112-1</f>
        <v>134</v>
      </c>
      <c r="B112" s="192">
        <v>102</v>
      </c>
      <c r="C112" s="219">
        <f ca="1">ROUND(VLOOKUP(OP!$C$55,PV0,B112+2,0)*OP!$C$28,0)</f>
        <v>0</v>
      </c>
      <c r="D112" s="189">
        <f t="shared" ca="1" si="130"/>
        <v>0</v>
      </c>
      <c r="E112" s="221">
        <f t="shared" ca="1" si="131"/>
        <v>2.69E-2</v>
      </c>
      <c r="F112" s="222">
        <f t="shared" ca="1" si="132"/>
        <v>6.8999999999999999E-3</v>
      </c>
      <c r="G112" s="223">
        <f t="shared" ca="1" si="133"/>
        <v>2814864</v>
      </c>
      <c r="H112" s="224">
        <f t="shared" ca="1" si="124"/>
        <v>0</v>
      </c>
      <c r="I112" s="450">
        <f t="shared" ca="1" si="125"/>
        <v>12</v>
      </c>
      <c r="J112" s="192">
        <f t="shared" si="75"/>
        <v>9</v>
      </c>
      <c r="K112" s="192">
        <f t="shared" si="76"/>
        <v>8</v>
      </c>
      <c r="L112" s="192" t="str">
        <f t="shared" si="69"/>
        <v/>
      </c>
      <c r="M112" s="216">
        <f t="shared" ca="1" si="77"/>
        <v>0</v>
      </c>
      <c r="N112" s="216"/>
      <c r="O112" s="216"/>
      <c r="P112" s="216"/>
      <c r="Q112" s="456" t="str">
        <f t="shared" ca="1" si="78"/>
        <v/>
      </c>
      <c r="R112" s="450">
        <f t="shared" ca="1" si="79"/>
        <v>1</v>
      </c>
      <c r="S112" s="191">
        <f t="shared" si="80"/>
        <v>9</v>
      </c>
      <c r="T112" s="191">
        <f t="shared" si="81"/>
        <v>8</v>
      </c>
      <c r="U112" s="191">
        <f ca="1">OP!$D$5+$S112-1</f>
        <v>41</v>
      </c>
      <c r="V112" s="191" t="str">
        <f t="shared" si="82"/>
        <v/>
      </c>
      <c r="W112" s="350">
        <f ca="1">IF(Q112&lt;&gt;1,0,VLOOKUP(OP!$C$55,PVFB,$S112+2,0))</f>
        <v>0</v>
      </c>
      <c r="X112" s="473">
        <f t="shared" ca="1" si="112"/>
        <v>0</v>
      </c>
      <c r="Y112" s="348">
        <f t="shared" ca="1" si="113"/>
        <v>0</v>
      </c>
      <c r="Z112" s="348">
        <f t="shared" ca="1" si="114"/>
        <v>8012</v>
      </c>
      <c r="AA112" s="348">
        <f ca="1">IF(Q112&lt;&gt;1,0,VLOOKUP(OP!$C$55,PVFB,$S112+2,0))</f>
        <v>0</v>
      </c>
      <c r="AB112" s="488" t="str">
        <f ca="1">IF(AND(S112&lt;OP!$C$24,$U112&lt;15),0,IF(AND($U112&lt;15,$T112=12),ROUND(VLOOKUP($S112,DOWN16,5,0),3),IF($T112=12,ROUND(($Z112/10000)*$AA112,3)+IF(AND($P$7="購買增額繳清保險",T112=12,U112=110),VLOOKUP(S112,$B$10:$H$121,7,0),0),"")))</f>
        <v/>
      </c>
      <c r="AC112" s="350" t="str">
        <f ca="1">IF(AND(S112&lt;OP!$C$24,$U112&lt;15),0,IF(AND($U112&lt;16,$T112=12),VLOOKUP($S112,DOWN16,4,0),IF($T112=12,ROUND(VLOOKUP(OP!$C$55,_DIE2,$S112+1,0)*(Z112/10000),0)+IF(AND($P$7="購買增額繳清保險",T112=12,U112=110),VLOOKUP(S112,$B$10:$H$121,7,0),0),"")))</f>
        <v/>
      </c>
      <c r="AD112" s="347"/>
      <c r="AE112" s="350" t="str">
        <f t="shared" ca="1" si="70"/>
        <v/>
      </c>
      <c r="AF112" s="351" t="str">
        <f t="shared" ca="1" si="71"/>
        <v/>
      </c>
      <c r="AG112" s="340"/>
      <c r="AH112" s="340"/>
      <c r="AI112" s="340"/>
      <c r="AJ112" s="340"/>
      <c r="AK112" s="340"/>
      <c r="AL112" s="340"/>
      <c r="AM112" s="340"/>
      <c r="AN112" s="191">
        <f t="shared" si="83"/>
        <v>9</v>
      </c>
      <c r="AO112" s="191">
        <f t="shared" si="84"/>
        <v>8</v>
      </c>
      <c r="AP112" s="191">
        <f ca="1">OP!$D$5+$AN112-1</f>
        <v>41</v>
      </c>
      <c r="AQ112" s="191" t="str">
        <f t="shared" si="85"/>
        <v/>
      </c>
      <c r="AR112" s="352">
        <f t="shared" ca="1" si="86"/>
        <v>0</v>
      </c>
      <c r="AS112" s="352"/>
      <c r="AT112" s="352"/>
      <c r="AU112" s="436"/>
      <c r="AV112" s="353" t="str">
        <f t="shared" ca="1" si="87"/>
        <v/>
      </c>
      <c r="AW112" s="422" t="str">
        <f t="shared" si="88"/>
        <v/>
      </c>
      <c r="AX112" s="423" t="str">
        <f ca="1">IF(AND($AW112=1,$AP112&lt;16,$AN111&lt;OP!$C$24),OP!$C$49,"")</f>
        <v/>
      </c>
      <c r="AY112" s="340"/>
      <c r="AZ112" s="465">
        <f t="shared" ca="1" si="89"/>
        <v>7.3698599999999999E-5</v>
      </c>
      <c r="BA112" s="464">
        <f t="shared" ca="1" si="90"/>
        <v>2.2109589000000002E-3</v>
      </c>
      <c r="BB112" s="465">
        <f t="shared" ca="1" si="90"/>
        <v>2.2846575E-3</v>
      </c>
      <c r="BC112" s="466">
        <f t="shared" ca="1" si="91"/>
        <v>46023</v>
      </c>
      <c r="BD112" s="467">
        <f t="shared" ca="1" si="115"/>
        <v>46024</v>
      </c>
      <c r="BE112" s="467">
        <f t="shared" ca="1" si="92"/>
        <v>46053</v>
      </c>
      <c r="BF112" s="468">
        <f ca="1">IF(計算!$BC112&lt;OP!$C$3,0,BD112-BC112)</f>
        <v>1</v>
      </c>
      <c r="BG112" s="468">
        <f ca="1">IF($BE112&gt;DATE(YEAR($BD$9)+OP!$C$57,MONTH($BD$9),DAY($BD$9)),0,$BE112-$BD112+1)</f>
        <v>30</v>
      </c>
      <c r="BH112" s="469">
        <f t="shared" ca="1" si="93"/>
        <v>31</v>
      </c>
      <c r="BI112" t="str">
        <f t="shared" si="128"/>
        <v/>
      </c>
      <c r="BJ112">
        <v>7</v>
      </c>
      <c r="BN112" s="468">
        <f t="shared" si="116"/>
        <v>9</v>
      </c>
      <c r="BO112" s="468">
        <f t="shared" si="117"/>
        <v>7</v>
      </c>
      <c r="BP112" s="467">
        <f t="shared" ca="1" si="94"/>
        <v>46024</v>
      </c>
      <c r="BQ112" s="475">
        <f t="shared" ca="1" si="126"/>
        <v>41</v>
      </c>
      <c r="BR112" s="475" t="str">
        <f t="shared" si="118"/>
        <v/>
      </c>
      <c r="BS112" s="471" t="str">
        <f t="shared" si="95"/>
        <v/>
      </c>
      <c r="BT112" s="472" t="str">
        <f t="shared" si="129"/>
        <v/>
      </c>
      <c r="BU112" s="472">
        <f t="shared" ca="1" si="96"/>
        <v>0</v>
      </c>
      <c r="BV112" s="472">
        <f t="shared" ca="1" si="96"/>
        <v>0</v>
      </c>
      <c r="BW112" s="472"/>
      <c r="BX112" s="473">
        <f t="shared" ca="1" si="97"/>
        <v>15240.713983805999</v>
      </c>
      <c r="BY112" s="473">
        <f t="shared" si="98"/>
        <v>0</v>
      </c>
      <c r="BZ112" s="473">
        <f t="shared" ca="1" si="72"/>
        <v>34.819811508000001</v>
      </c>
      <c r="CA112" s="476">
        <f t="shared" ca="1" si="99"/>
        <v>0</v>
      </c>
      <c r="CB112" s="494">
        <f ca="1">IF(OR($Q111&lt;&gt;1,OP!$D$5+$BN112-1&lt;16,$BN112-1&lt;1),0,ROUND(ROUND(ROUND(((VLOOKUP($BN112-1,MORE_PV,5,0)/10000)*VLOOKUP($BN112,MORE_PV,$CB$5,0)),3)*VLOOKUP($BN112,more1,5,0),0)/$R111,0))</f>
        <v>0</v>
      </c>
      <c r="CC112" s="473">
        <f t="shared" ca="1" si="100"/>
        <v>0</v>
      </c>
      <c r="CD112" s="477"/>
      <c r="CE112" s="468">
        <f t="shared" si="119"/>
        <v>9</v>
      </c>
      <c r="CF112" s="468">
        <f t="shared" si="120"/>
        <v>7</v>
      </c>
      <c r="CG112" s="467">
        <f t="shared" ca="1" si="73"/>
        <v>46024</v>
      </c>
      <c r="CH112" s="475">
        <f t="shared" ca="1" si="127"/>
        <v>41</v>
      </c>
      <c r="CI112" s="513" t="str">
        <f t="shared" si="121"/>
        <v/>
      </c>
      <c r="CJ112" s="511">
        <f t="shared" si="101"/>
        <v>0</v>
      </c>
      <c r="CK112" s="512">
        <f t="shared" si="102"/>
        <v>0</v>
      </c>
      <c r="CL112" s="511">
        <f t="shared" ca="1" si="122"/>
        <v>0</v>
      </c>
      <c r="CM112" s="511">
        <f ca="1">ROUND(CS112-IF(OR($CE112&gt;=OP!$C$24,AND(CH112=15,CF112=12),CS112=0),0,(CT112-CR112)),$CM$7)</f>
        <v>0</v>
      </c>
      <c r="CN112" s="511"/>
      <c r="CO112" s="351">
        <f t="shared" ca="1" si="103"/>
        <v>40603</v>
      </c>
      <c r="CP112" s="473">
        <f t="shared" si="104"/>
        <v>0</v>
      </c>
      <c r="CQ112" s="473">
        <f t="shared" ca="1" si="74"/>
        <v>92.763948472999999</v>
      </c>
      <c r="CR112" s="476">
        <f t="shared" ca="1" si="105"/>
        <v>0</v>
      </c>
      <c r="CS112" s="494">
        <f ca="1">IF(OR($Q111&lt;&gt;1,OP!$D$5+$CE112-1&lt;16,$CE112-1&lt;1),0,ROUND(ROUND(ROUND(((VLOOKUP($CE112-1,MORE_PV,5,0)/10000)*VLOOKUP($CE112,MORE_PV,$CS$5,0)),3)*VLOOKUP($CE112,more1,5,0),0)/$R111,0))</f>
        <v>0</v>
      </c>
      <c r="CT112" s="473">
        <f>IF($AW112=1,IF(N($CR112+$CS112)&lt;N($AX112)*OP!$C$50,N($CR112+$CS112),MIN(N($CR112+$CS112),N($AX112))),0)</f>
        <v>0</v>
      </c>
      <c r="CV112" s="503">
        <f t="shared" ca="1" si="106"/>
        <v>40603.268745406996</v>
      </c>
      <c r="CW112" s="503">
        <f t="shared" ca="1" si="107"/>
        <v>0</v>
      </c>
      <c r="CX112" s="503">
        <f t="shared" ca="1" si="108"/>
        <v>40693.034288214003</v>
      </c>
    </row>
    <row r="113" spans="1:102" ht="16.5" hidden="1">
      <c r="A113" s="450">
        <f ca="1">OP!$D$5+$B113-1</f>
        <v>135</v>
      </c>
      <c r="B113" s="192">
        <v>103</v>
      </c>
      <c r="C113" s="219">
        <f ca="1">ROUND(VLOOKUP(OP!$C$55,PV0,B113+2,0)*OP!$C$28,0)</f>
        <v>0</v>
      </c>
      <c r="D113" s="189">
        <f t="shared" ca="1" si="130"/>
        <v>0</v>
      </c>
      <c r="E113" s="221">
        <f t="shared" ca="1" si="131"/>
        <v>2.69E-2</v>
      </c>
      <c r="F113" s="222">
        <f t="shared" ca="1" si="132"/>
        <v>6.8999999999999999E-3</v>
      </c>
      <c r="G113" s="223">
        <f t="shared" ca="1" si="133"/>
        <v>2817354</v>
      </c>
      <c r="H113" s="224">
        <f t="shared" ca="1" si="124"/>
        <v>0</v>
      </c>
      <c r="I113" s="450">
        <f t="shared" ca="1" si="125"/>
        <v>12</v>
      </c>
      <c r="J113" s="192">
        <f t="shared" si="75"/>
        <v>9</v>
      </c>
      <c r="K113" s="192">
        <f t="shared" si="76"/>
        <v>9</v>
      </c>
      <c r="L113" s="192" t="str">
        <f t="shared" si="69"/>
        <v/>
      </c>
      <c r="M113" s="216">
        <f t="shared" ca="1" si="77"/>
        <v>0</v>
      </c>
      <c r="N113" s="216"/>
      <c r="O113" s="216"/>
      <c r="P113" s="216"/>
      <c r="Q113" s="456" t="str">
        <f t="shared" ca="1" si="78"/>
        <v/>
      </c>
      <c r="R113" s="450">
        <f t="shared" ca="1" si="79"/>
        <v>1</v>
      </c>
      <c r="S113" s="191">
        <f t="shared" si="80"/>
        <v>9</v>
      </c>
      <c r="T113" s="191">
        <f t="shared" si="81"/>
        <v>9</v>
      </c>
      <c r="U113" s="191">
        <f ca="1">OP!$D$5+$S113-1</f>
        <v>41</v>
      </c>
      <c r="V113" s="191" t="str">
        <f t="shared" si="82"/>
        <v/>
      </c>
      <c r="W113" s="350">
        <f ca="1">IF(Q113&lt;&gt;1,0,VLOOKUP(OP!$C$55,PVFB,$S113+2,0))</f>
        <v>0</v>
      </c>
      <c r="X113" s="473">
        <f t="shared" ca="1" si="112"/>
        <v>0</v>
      </c>
      <c r="Y113" s="348">
        <f t="shared" ca="1" si="113"/>
        <v>0</v>
      </c>
      <c r="Z113" s="348">
        <f t="shared" ca="1" si="114"/>
        <v>8012</v>
      </c>
      <c r="AA113" s="348">
        <f ca="1">IF(Q113&lt;&gt;1,0,VLOOKUP(OP!$C$55,PVFB,$S113+2,0))</f>
        <v>0</v>
      </c>
      <c r="AB113" s="488" t="str">
        <f ca="1">IF(AND(S113&lt;OP!$C$24,$U113&lt;15),0,IF(AND($U113&lt;15,$T113=12),ROUND(VLOOKUP($S113,DOWN16,5,0),3),IF($T113=12,ROUND(($Z113/10000)*$AA113,3)+IF(AND($P$7="購買增額繳清保險",T113=12,U113=110),VLOOKUP(S113,$B$10:$H$121,7,0),0),"")))</f>
        <v/>
      </c>
      <c r="AC113" s="350" t="str">
        <f ca="1">IF(AND(S113&lt;OP!$C$24,$U113&lt;15),0,IF(AND($U113&lt;16,$T113=12),VLOOKUP($S113,DOWN16,4,0),IF($T113=12,ROUND(VLOOKUP(OP!$C$55,_DIE2,$S113+1,0)*(Z113/10000),0)+IF(AND($P$7="購買增額繳清保險",T113=12,U113=110),VLOOKUP(S113,$B$10:$H$121,7,0),0),"")))</f>
        <v/>
      </c>
      <c r="AD113" s="347"/>
      <c r="AE113" s="350" t="str">
        <f t="shared" ca="1" si="70"/>
        <v/>
      </c>
      <c r="AF113" s="351" t="str">
        <f t="shared" ca="1" si="71"/>
        <v/>
      </c>
      <c r="AG113" s="340"/>
      <c r="AH113" s="340"/>
      <c r="AI113" s="340"/>
      <c r="AJ113" s="340"/>
      <c r="AK113" s="340"/>
      <c r="AL113" s="340"/>
      <c r="AM113" s="340"/>
      <c r="AN113" s="191">
        <f t="shared" si="83"/>
        <v>9</v>
      </c>
      <c r="AO113" s="191">
        <f t="shared" si="84"/>
        <v>9</v>
      </c>
      <c r="AP113" s="191">
        <f ca="1">OP!$D$5+$AN113-1</f>
        <v>41</v>
      </c>
      <c r="AQ113" s="191" t="str">
        <f t="shared" si="85"/>
        <v/>
      </c>
      <c r="AR113" s="352">
        <f t="shared" ca="1" si="86"/>
        <v>0</v>
      </c>
      <c r="AS113" s="352"/>
      <c r="AT113" s="352"/>
      <c r="AU113" s="436"/>
      <c r="AV113" s="353" t="str">
        <f t="shared" ca="1" si="87"/>
        <v/>
      </c>
      <c r="AW113" s="422" t="str">
        <f t="shared" si="88"/>
        <v/>
      </c>
      <c r="AX113" s="423" t="str">
        <f ca="1">IF(AND($AW113=1,$AP113&lt;16,$AN112&lt;OP!$C$24),OP!$C$49,"")</f>
        <v/>
      </c>
      <c r="AY113" s="340"/>
      <c r="AZ113" s="465">
        <f t="shared" ca="1" si="89"/>
        <v>7.3698599999999999E-5</v>
      </c>
      <c r="BA113" s="464">
        <f t="shared" ca="1" si="90"/>
        <v>1.9898630000000001E-3</v>
      </c>
      <c r="BB113" s="465">
        <f t="shared" ca="1" si="90"/>
        <v>2.0635616E-3</v>
      </c>
      <c r="BC113" s="466">
        <f t="shared" ca="1" si="91"/>
        <v>46054</v>
      </c>
      <c r="BD113" s="467">
        <f t="shared" ca="1" si="115"/>
        <v>46055</v>
      </c>
      <c r="BE113" s="467">
        <f t="shared" ca="1" si="92"/>
        <v>46081</v>
      </c>
      <c r="BF113" s="468">
        <f ca="1">IF(計算!$BC113&lt;OP!$C$3,0,BD113-BC113)</f>
        <v>1</v>
      </c>
      <c r="BG113" s="468">
        <f ca="1">IF($BE113&gt;DATE(YEAR($BD$9)+OP!$C$57,MONTH($BD$9),DAY($BD$9)),0,$BE113-$BD113+1)</f>
        <v>27</v>
      </c>
      <c r="BH113" s="469">
        <f t="shared" ca="1" si="93"/>
        <v>28</v>
      </c>
      <c r="BI113" t="str">
        <f t="shared" si="128"/>
        <v/>
      </c>
      <c r="BJ113">
        <v>8</v>
      </c>
      <c r="BN113" s="468">
        <f t="shared" si="116"/>
        <v>9</v>
      </c>
      <c r="BO113" s="468">
        <f t="shared" si="117"/>
        <v>8</v>
      </c>
      <c r="BP113" s="467">
        <f t="shared" ca="1" si="94"/>
        <v>46055</v>
      </c>
      <c r="BQ113" s="475">
        <f t="shared" ca="1" si="126"/>
        <v>41</v>
      </c>
      <c r="BR113" s="475" t="str">
        <f t="shared" si="118"/>
        <v/>
      </c>
      <c r="BS113" s="471" t="str">
        <f t="shared" si="95"/>
        <v/>
      </c>
      <c r="BT113" s="472" t="str">
        <f t="shared" si="129"/>
        <v/>
      </c>
      <c r="BU113" s="472">
        <f t="shared" ca="1" si="96"/>
        <v>0</v>
      </c>
      <c r="BV113" s="472">
        <f t="shared" ca="1" si="96"/>
        <v>0</v>
      </c>
      <c r="BW113" s="472"/>
      <c r="BX113" s="473">
        <f t="shared" ca="1" si="97"/>
        <v>15275.533795314001</v>
      </c>
      <c r="BY113" s="473">
        <f t="shared" si="98"/>
        <v>0</v>
      </c>
      <c r="BZ113" s="473">
        <f t="shared" ca="1" si="72"/>
        <v>31.52200496</v>
      </c>
      <c r="CA113" s="476">
        <f t="shared" ca="1" si="99"/>
        <v>0</v>
      </c>
      <c r="CB113" s="494">
        <f ca="1">IF(OR($Q112&lt;&gt;1,OP!$D$5+$BN113-1&lt;16,$BN113-1&lt;1),0,ROUND(ROUND(ROUND(((VLOOKUP($BN113-1,MORE_PV,5,0)/10000)*VLOOKUP($BN113,MORE_PV,$CB$5,0)),3)*VLOOKUP($BN113,more1,5,0),0)/$R112,0))</f>
        <v>0</v>
      </c>
      <c r="CC113" s="473">
        <f t="shared" ca="1" si="100"/>
        <v>0</v>
      </c>
      <c r="CD113" s="477"/>
      <c r="CE113" s="468">
        <f t="shared" si="119"/>
        <v>9</v>
      </c>
      <c r="CF113" s="468">
        <f t="shared" si="120"/>
        <v>8</v>
      </c>
      <c r="CG113" s="467">
        <f t="shared" ca="1" si="73"/>
        <v>46055</v>
      </c>
      <c r="CH113" s="475">
        <f t="shared" ca="1" si="127"/>
        <v>41</v>
      </c>
      <c r="CI113" s="513" t="str">
        <f t="shared" si="121"/>
        <v/>
      </c>
      <c r="CJ113" s="511">
        <f t="shared" si="101"/>
        <v>0</v>
      </c>
      <c r="CK113" s="512">
        <f t="shared" si="102"/>
        <v>0</v>
      </c>
      <c r="CL113" s="511">
        <f t="shared" ca="1" si="122"/>
        <v>0</v>
      </c>
      <c r="CM113" s="511">
        <f ca="1">ROUND(CS113-IF(OR($CE113&gt;=OP!$C$24,AND(CH113=15,CF113=12),CS113=0),0,(CT113-CR113)),$CM$7)</f>
        <v>0</v>
      </c>
      <c r="CN113" s="511"/>
      <c r="CO113" s="351">
        <f t="shared" ca="1" si="103"/>
        <v>40696</v>
      </c>
      <c r="CP113" s="473">
        <f t="shared" si="104"/>
        <v>0</v>
      </c>
      <c r="CQ113" s="473">
        <f t="shared" ca="1" si="74"/>
        <v>83.978702874000007</v>
      </c>
      <c r="CR113" s="476">
        <f t="shared" ca="1" si="105"/>
        <v>0</v>
      </c>
      <c r="CS113" s="494">
        <f ca="1">IF(OR($Q112&lt;&gt;1,OP!$D$5+$CE113-1&lt;16,$CE113-1&lt;1),0,ROUND(ROUND(ROUND(((VLOOKUP($CE113-1,MORE_PV,5,0)/10000)*VLOOKUP($CE113,MORE_PV,$CS$5,0)),3)*VLOOKUP($CE113,more1,5,0),0)/$R112,0))</f>
        <v>0</v>
      </c>
      <c r="CT113" s="473">
        <f>IF($AW113=1,IF(N($CR113+$CS113)&lt;N($AX113)*OP!$C$50,N($CR113+$CS113),MIN(N($CR113+$CS113),N($AX113))),0)</f>
        <v>0</v>
      </c>
      <c r="CV113" s="503">
        <f t="shared" ca="1" si="106"/>
        <v>40696.033307871003</v>
      </c>
      <c r="CW113" s="503">
        <f t="shared" ca="1" si="107"/>
        <v>0</v>
      </c>
      <c r="CX113" s="503">
        <f t="shared" ca="1" si="108"/>
        <v>40777.006871158999</v>
      </c>
    </row>
    <row r="114" spans="1:102" ht="16.5" hidden="1">
      <c r="A114" s="450">
        <f ca="1">OP!$D$5+$B114-1</f>
        <v>136</v>
      </c>
      <c r="B114" s="192">
        <v>104</v>
      </c>
      <c r="C114" s="219">
        <f ca="1">ROUND(VLOOKUP(OP!$C$55,PV0,B114+2,0)*OP!$C$28,0)</f>
        <v>0</v>
      </c>
      <c r="D114" s="189">
        <f t="shared" ca="1" si="130"/>
        <v>0</v>
      </c>
      <c r="E114" s="221">
        <f t="shared" ca="1" si="131"/>
        <v>2.69E-2</v>
      </c>
      <c r="F114" s="222">
        <f t="shared" ca="1" si="132"/>
        <v>6.8999999999999999E-3</v>
      </c>
      <c r="G114" s="223">
        <f t="shared" ca="1" si="133"/>
        <v>2819847</v>
      </c>
      <c r="H114" s="224">
        <f t="shared" ca="1" si="124"/>
        <v>0</v>
      </c>
      <c r="I114" s="450">
        <f t="shared" ca="1" si="125"/>
        <v>12</v>
      </c>
      <c r="J114" s="192">
        <f t="shared" si="75"/>
        <v>9</v>
      </c>
      <c r="K114" s="192">
        <f t="shared" si="76"/>
        <v>10</v>
      </c>
      <c r="L114" s="192" t="str">
        <f t="shared" si="69"/>
        <v/>
      </c>
      <c r="M114" s="216">
        <f t="shared" ca="1" si="77"/>
        <v>0</v>
      </c>
      <c r="N114" s="216"/>
      <c r="O114" s="216"/>
      <c r="P114" s="216"/>
      <c r="Q114" s="456" t="str">
        <f t="shared" ca="1" si="78"/>
        <v/>
      </c>
      <c r="R114" s="450">
        <f t="shared" ca="1" si="79"/>
        <v>1</v>
      </c>
      <c r="S114" s="191">
        <f t="shared" si="80"/>
        <v>9</v>
      </c>
      <c r="T114" s="191">
        <f t="shared" si="81"/>
        <v>10</v>
      </c>
      <c r="U114" s="191">
        <f ca="1">OP!$D$5+$S114-1</f>
        <v>41</v>
      </c>
      <c r="V114" s="191" t="str">
        <f t="shared" si="82"/>
        <v/>
      </c>
      <c r="W114" s="350">
        <f ca="1">IF(Q114&lt;&gt;1,0,VLOOKUP(OP!$C$55,PVFB,$S114+2,0))</f>
        <v>0</v>
      </c>
      <c r="X114" s="473">
        <f t="shared" ca="1" si="112"/>
        <v>0</v>
      </c>
      <c r="Y114" s="348">
        <f t="shared" ca="1" si="113"/>
        <v>0</v>
      </c>
      <c r="Z114" s="348">
        <f t="shared" ca="1" si="114"/>
        <v>8012</v>
      </c>
      <c r="AA114" s="348">
        <f ca="1">IF(Q114&lt;&gt;1,0,VLOOKUP(OP!$C$55,PVFB,$S114+2,0))</f>
        <v>0</v>
      </c>
      <c r="AB114" s="488" t="str">
        <f ca="1">IF(AND(S114&lt;OP!$C$24,$U114&lt;15),0,IF(AND($U114&lt;15,$T114=12),ROUND(VLOOKUP($S114,DOWN16,5,0),3),IF($T114=12,ROUND(($Z114/10000)*$AA114,3)+IF(AND($P$7="購買增額繳清保險",T114=12,U114=110),VLOOKUP(S114,$B$10:$H$121,7,0),0),"")))</f>
        <v/>
      </c>
      <c r="AC114" s="350" t="str">
        <f ca="1">IF(AND(S114&lt;OP!$C$24,$U114&lt;15),0,IF(AND($U114&lt;16,$T114=12),VLOOKUP($S114,DOWN16,4,0),IF($T114=12,ROUND(VLOOKUP(OP!$C$55,_DIE2,$S114+1,0)*(Z114/10000),0)+IF(AND($P$7="購買增額繳清保險",T114=12,U114=110),VLOOKUP(S114,$B$10:$H$121,7,0),0),"")))</f>
        <v/>
      </c>
      <c r="AD114" s="347"/>
      <c r="AE114" s="350" t="str">
        <f t="shared" ca="1" si="70"/>
        <v/>
      </c>
      <c r="AF114" s="351" t="str">
        <f t="shared" ca="1" si="71"/>
        <v/>
      </c>
      <c r="AG114" s="340"/>
      <c r="AH114" s="340"/>
      <c r="AI114" s="340"/>
      <c r="AJ114" s="340"/>
      <c r="AK114" s="340"/>
      <c r="AL114" s="340"/>
      <c r="AM114" s="340"/>
      <c r="AN114" s="191">
        <f t="shared" si="83"/>
        <v>9</v>
      </c>
      <c r="AO114" s="191">
        <f t="shared" si="84"/>
        <v>10</v>
      </c>
      <c r="AP114" s="191">
        <f ca="1">OP!$D$5+$AN114-1</f>
        <v>41</v>
      </c>
      <c r="AQ114" s="191" t="str">
        <f t="shared" si="85"/>
        <v/>
      </c>
      <c r="AR114" s="352">
        <f t="shared" ca="1" si="86"/>
        <v>0</v>
      </c>
      <c r="AS114" s="352"/>
      <c r="AT114" s="352"/>
      <c r="AU114" s="436"/>
      <c r="AV114" s="353" t="str">
        <f t="shared" ca="1" si="87"/>
        <v/>
      </c>
      <c r="AW114" s="422" t="str">
        <f t="shared" si="88"/>
        <v/>
      </c>
      <c r="AX114" s="423" t="str">
        <f ca="1">IF(AND($AW114=1,$AP114&lt;16,$AN113&lt;OP!$C$24),OP!$C$49,"")</f>
        <v/>
      </c>
      <c r="AY114" s="340"/>
      <c r="AZ114" s="465">
        <f t="shared" ca="1" si="89"/>
        <v>7.3698599999999999E-5</v>
      </c>
      <c r="BA114" s="464">
        <f t="shared" ca="1" si="90"/>
        <v>2.2109589000000002E-3</v>
      </c>
      <c r="BB114" s="465">
        <f t="shared" ca="1" si="90"/>
        <v>2.2846575E-3</v>
      </c>
      <c r="BC114" s="466">
        <f t="shared" ca="1" si="91"/>
        <v>46082</v>
      </c>
      <c r="BD114" s="467">
        <f t="shared" ca="1" si="115"/>
        <v>46083</v>
      </c>
      <c r="BE114" s="467">
        <f t="shared" ca="1" si="92"/>
        <v>46112</v>
      </c>
      <c r="BF114" s="468">
        <f ca="1">IF(計算!$BC114&lt;OP!$C$3,0,BD114-BC114)</f>
        <v>1</v>
      </c>
      <c r="BG114" s="468">
        <f ca="1">IF($BE114&gt;DATE(YEAR($BD$9)+OP!$C$57,MONTH($BD$9),DAY($BD$9)),0,$BE114-$BD114+1)</f>
        <v>30</v>
      </c>
      <c r="BH114" s="469">
        <f t="shared" ca="1" si="93"/>
        <v>31</v>
      </c>
      <c r="BI114" t="str">
        <f t="shared" si="128"/>
        <v/>
      </c>
      <c r="BJ114">
        <v>9</v>
      </c>
      <c r="BN114" s="468">
        <f t="shared" si="116"/>
        <v>9</v>
      </c>
      <c r="BO114" s="468">
        <f t="shared" si="117"/>
        <v>9</v>
      </c>
      <c r="BP114" s="467">
        <f t="shared" ca="1" si="94"/>
        <v>46083</v>
      </c>
      <c r="BQ114" s="475">
        <f t="shared" ca="1" si="126"/>
        <v>41</v>
      </c>
      <c r="BR114" s="475" t="str">
        <f t="shared" si="118"/>
        <v/>
      </c>
      <c r="BS114" s="471" t="str">
        <f t="shared" si="95"/>
        <v/>
      </c>
      <c r="BT114" s="472" t="str">
        <f t="shared" si="129"/>
        <v/>
      </c>
      <c r="BU114" s="472">
        <f t="shared" ca="1" si="96"/>
        <v>0</v>
      </c>
      <c r="BV114" s="472">
        <f t="shared" ca="1" si="96"/>
        <v>0</v>
      </c>
      <c r="BW114" s="472"/>
      <c r="BX114" s="473">
        <f t="shared" ca="1" si="97"/>
        <v>15307.055800274</v>
      </c>
      <c r="BY114" s="473">
        <f t="shared" si="98"/>
        <v>0</v>
      </c>
      <c r="BZ114" s="473">
        <f t="shared" ca="1" si="72"/>
        <v>34.971379837000001</v>
      </c>
      <c r="CA114" s="476">
        <f t="shared" ca="1" si="99"/>
        <v>0</v>
      </c>
      <c r="CB114" s="494">
        <f ca="1">IF(OR($Q113&lt;&gt;1,OP!$D$5+$BN114-1&lt;16,$BN114-1&lt;1),0,ROUND(ROUND(ROUND(((VLOOKUP($BN114-1,MORE_PV,5,0)/10000)*VLOOKUP($BN114,MORE_PV,$CB$5,0)),3)*VLOOKUP($BN114,more1,5,0),0)/$R113,0))</f>
        <v>0</v>
      </c>
      <c r="CC114" s="473">
        <f t="shared" ca="1" si="100"/>
        <v>0</v>
      </c>
      <c r="CD114" s="477"/>
      <c r="CE114" s="468">
        <f t="shared" si="119"/>
        <v>9</v>
      </c>
      <c r="CF114" s="468">
        <f t="shared" si="120"/>
        <v>9</v>
      </c>
      <c r="CG114" s="467">
        <f t="shared" ca="1" si="73"/>
        <v>46083</v>
      </c>
      <c r="CH114" s="475">
        <f t="shared" ca="1" si="127"/>
        <v>41</v>
      </c>
      <c r="CI114" s="513" t="str">
        <f t="shared" si="121"/>
        <v/>
      </c>
      <c r="CJ114" s="511">
        <f t="shared" si="101"/>
        <v>0</v>
      </c>
      <c r="CK114" s="512">
        <f t="shared" si="102"/>
        <v>0</v>
      </c>
      <c r="CL114" s="511">
        <f t="shared" ca="1" si="122"/>
        <v>0</v>
      </c>
      <c r="CM114" s="511">
        <f ca="1">ROUND(CS114-IF(OR($CE114&gt;=OP!$C$24,AND(CH114=15,CF114=12),CS114=0),0,(CT114-CR114)),$CM$7)</f>
        <v>0</v>
      </c>
      <c r="CN114" s="511"/>
      <c r="CO114" s="351">
        <f t="shared" ca="1" si="103"/>
        <v>40780</v>
      </c>
      <c r="CP114" s="473">
        <f t="shared" si="104"/>
        <v>0</v>
      </c>
      <c r="CQ114" s="473">
        <f t="shared" ca="1" si="74"/>
        <v>93.168332849999999</v>
      </c>
      <c r="CR114" s="476">
        <f t="shared" ca="1" si="105"/>
        <v>0</v>
      </c>
      <c r="CS114" s="494">
        <f ca="1">IF(OR($Q113&lt;&gt;1,OP!$D$5+$CE114-1&lt;16,$CE114-1&lt;1),0,ROUND(ROUND(ROUND(((VLOOKUP($CE114-1,MORE_PV,5,0)/10000)*VLOOKUP($CE114,MORE_PV,$CS$5,0)),3)*VLOOKUP($CE114,more1,5,0),0)/$R113,0))</f>
        <v>0</v>
      </c>
      <c r="CT114" s="473">
        <f>IF($AW114=1,IF(N($CR114+$CS114)&lt;N($AX114)*OP!$C$50,N($CR114+$CS114),MIN(N($CR114+$CS114),N($AX114))),0)</f>
        <v>0</v>
      </c>
      <c r="CV114" s="503">
        <f t="shared" ca="1" si="106"/>
        <v>40780.012079478001</v>
      </c>
      <c r="CW114" s="503">
        <f t="shared" ca="1" si="107"/>
        <v>0</v>
      </c>
      <c r="CX114" s="503">
        <f t="shared" ca="1" si="108"/>
        <v>40870.168365735</v>
      </c>
    </row>
    <row r="115" spans="1:102" ht="16.5" hidden="1">
      <c r="A115" s="450">
        <f ca="1">OP!$D$5+$B115-1</f>
        <v>137</v>
      </c>
      <c r="B115" s="192">
        <v>105</v>
      </c>
      <c r="C115" s="219">
        <f ca="1">ROUND(VLOOKUP(OP!$C$55,PV0,B115+2,0)*OP!$C$28,0)</f>
        <v>0</v>
      </c>
      <c r="D115" s="189">
        <f t="shared" ca="1" si="130"/>
        <v>0</v>
      </c>
      <c r="E115" s="221">
        <f t="shared" ca="1" si="131"/>
        <v>2.69E-2</v>
      </c>
      <c r="F115" s="222">
        <f t="shared" ca="1" si="132"/>
        <v>6.8999999999999999E-3</v>
      </c>
      <c r="G115" s="223">
        <f t="shared" ca="1" si="133"/>
        <v>2822342</v>
      </c>
      <c r="H115" s="224">
        <f t="shared" ca="1" si="124"/>
        <v>0</v>
      </c>
      <c r="I115" s="450">
        <f t="shared" ca="1" si="125"/>
        <v>12</v>
      </c>
      <c r="J115" s="192">
        <f t="shared" si="75"/>
        <v>9</v>
      </c>
      <c r="K115" s="192">
        <f t="shared" si="76"/>
        <v>11</v>
      </c>
      <c r="L115" s="192" t="str">
        <f t="shared" si="69"/>
        <v/>
      </c>
      <c r="M115" s="216">
        <f t="shared" ca="1" si="77"/>
        <v>0</v>
      </c>
      <c r="N115" s="216"/>
      <c r="O115" s="216"/>
      <c r="P115" s="216"/>
      <c r="Q115" s="456" t="str">
        <f t="shared" ca="1" si="78"/>
        <v/>
      </c>
      <c r="R115" s="450">
        <f t="shared" ca="1" si="79"/>
        <v>1</v>
      </c>
      <c r="S115" s="191">
        <f t="shared" si="80"/>
        <v>9</v>
      </c>
      <c r="T115" s="191">
        <f t="shared" si="81"/>
        <v>11</v>
      </c>
      <c r="U115" s="191">
        <f ca="1">OP!$D$5+$S115-1</f>
        <v>41</v>
      </c>
      <c r="V115" s="191" t="str">
        <f t="shared" si="82"/>
        <v/>
      </c>
      <c r="W115" s="350">
        <f ca="1">IF(Q115&lt;&gt;1,0,VLOOKUP(OP!$C$55,PVFB,$S115+2,0))</f>
        <v>0</v>
      </c>
      <c r="X115" s="473">
        <f t="shared" ca="1" si="112"/>
        <v>0</v>
      </c>
      <c r="Y115" s="348">
        <f t="shared" ca="1" si="113"/>
        <v>0</v>
      </c>
      <c r="Z115" s="348">
        <f t="shared" ca="1" si="114"/>
        <v>8012</v>
      </c>
      <c r="AA115" s="348">
        <f ca="1">IF(Q115&lt;&gt;1,0,VLOOKUP(OP!$C$55,PVFB,$S115+2,0))</f>
        <v>0</v>
      </c>
      <c r="AB115" s="488" t="str">
        <f ca="1">IF(AND(S115&lt;OP!$C$24,$U115&lt;15),0,IF(AND($U115&lt;15,$T115=12),ROUND(VLOOKUP($S115,DOWN16,5,0),3),IF($T115=12,ROUND(($Z115/10000)*$AA115,3)+IF(AND($P$7="購買增額繳清保險",T115=12,U115=110),VLOOKUP(S115,$B$10:$H$121,7,0),0),"")))</f>
        <v/>
      </c>
      <c r="AC115" s="350" t="str">
        <f ca="1">IF(AND(S115&lt;OP!$C$24,$U115&lt;15),0,IF(AND($U115&lt;16,$T115=12),VLOOKUP($S115,DOWN16,4,0),IF($T115=12,ROUND(VLOOKUP(OP!$C$55,_DIE2,$S115+1,0)*(Z115/10000),0)+IF(AND($P$7="購買增額繳清保險",T115=12,U115=110),VLOOKUP(S115,$B$10:$H$121,7,0),0),"")))</f>
        <v/>
      </c>
      <c r="AD115" s="347"/>
      <c r="AE115" s="350" t="str">
        <f t="shared" ca="1" si="70"/>
        <v/>
      </c>
      <c r="AF115" s="351" t="str">
        <f t="shared" ca="1" si="71"/>
        <v/>
      </c>
      <c r="AG115" s="340"/>
      <c r="AH115" s="340"/>
      <c r="AI115" s="340"/>
      <c r="AJ115" s="340"/>
      <c r="AK115" s="340"/>
      <c r="AL115" s="340"/>
      <c r="AM115" s="340"/>
      <c r="AN115" s="191">
        <f t="shared" si="83"/>
        <v>9</v>
      </c>
      <c r="AO115" s="191">
        <f t="shared" si="84"/>
        <v>11</v>
      </c>
      <c r="AP115" s="191">
        <f ca="1">OP!$D$5+$AN115-1</f>
        <v>41</v>
      </c>
      <c r="AQ115" s="191" t="str">
        <f t="shared" si="85"/>
        <v/>
      </c>
      <c r="AR115" s="352">
        <f t="shared" ca="1" si="86"/>
        <v>0</v>
      </c>
      <c r="AS115" s="352"/>
      <c r="AT115" s="352"/>
      <c r="AU115" s="436"/>
      <c r="AV115" s="353" t="str">
        <f t="shared" ca="1" si="87"/>
        <v/>
      </c>
      <c r="AW115" s="422" t="str">
        <f t="shared" si="88"/>
        <v/>
      </c>
      <c r="AX115" s="423" t="str">
        <f ca="1">IF(AND($AW115=1,$AP115&lt;16,$AN114&lt;OP!$C$24),OP!$C$49,"")</f>
        <v/>
      </c>
      <c r="AY115" s="340"/>
      <c r="AZ115" s="465">
        <f t="shared" ca="1" si="89"/>
        <v>7.3698599999999999E-5</v>
      </c>
      <c r="BA115" s="464">
        <f t="shared" ca="1" si="90"/>
        <v>2.1372602999999999E-3</v>
      </c>
      <c r="BB115" s="465">
        <f t="shared" ca="1" si="90"/>
        <v>2.2109589000000002E-3</v>
      </c>
      <c r="BC115" s="466">
        <f t="shared" ca="1" si="91"/>
        <v>46113</v>
      </c>
      <c r="BD115" s="467">
        <f t="shared" ca="1" si="115"/>
        <v>46114</v>
      </c>
      <c r="BE115" s="467">
        <f t="shared" ca="1" si="92"/>
        <v>46142</v>
      </c>
      <c r="BF115" s="468">
        <f ca="1">IF(計算!$BC115&lt;OP!$C$3,0,BD115-BC115)</f>
        <v>1</v>
      </c>
      <c r="BG115" s="468">
        <f ca="1">IF($BE115&gt;DATE(YEAR($BD$9)+OP!$C$57,MONTH($BD$9),DAY($BD$9)),0,$BE115-$BD115+1)</f>
        <v>29</v>
      </c>
      <c r="BH115" s="469">
        <f t="shared" ca="1" si="93"/>
        <v>30</v>
      </c>
      <c r="BI115" t="str">
        <f t="shared" si="128"/>
        <v/>
      </c>
      <c r="BJ115">
        <v>10</v>
      </c>
      <c r="BN115" s="468">
        <f t="shared" si="116"/>
        <v>9</v>
      </c>
      <c r="BO115" s="468">
        <f t="shared" si="117"/>
        <v>10</v>
      </c>
      <c r="BP115" s="467">
        <f t="shared" ca="1" si="94"/>
        <v>46114</v>
      </c>
      <c r="BQ115" s="475">
        <f t="shared" ca="1" si="126"/>
        <v>41</v>
      </c>
      <c r="BR115" s="475" t="str">
        <f t="shared" si="118"/>
        <v/>
      </c>
      <c r="BS115" s="471" t="str">
        <f t="shared" si="95"/>
        <v/>
      </c>
      <c r="BT115" s="472" t="str">
        <f t="shared" si="129"/>
        <v/>
      </c>
      <c r="BU115" s="472">
        <f t="shared" ca="1" si="96"/>
        <v>0</v>
      </c>
      <c r="BV115" s="472">
        <f t="shared" ca="1" si="96"/>
        <v>0</v>
      </c>
      <c r="BW115" s="472"/>
      <c r="BX115" s="473">
        <f t="shared" ca="1" si="97"/>
        <v>15342.027180110999</v>
      </c>
      <c r="BY115" s="473">
        <f t="shared" si="98"/>
        <v>0</v>
      </c>
      <c r="BZ115" s="473">
        <f t="shared" ca="1" si="72"/>
        <v>33.920591537999996</v>
      </c>
      <c r="CA115" s="476">
        <f t="shared" ca="1" si="99"/>
        <v>0</v>
      </c>
      <c r="CB115" s="494">
        <f ca="1">IF(OR($Q114&lt;&gt;1,OP!$D$5+$BN115-1&lt;16,$BN115-1&lt;1),0,ROUND(ROUND(ROUND(((VLOOKUP($BN115-1,MORE_PV,5,0)/10000)*VLOOKUP($BN115,MORE_PV,$CB$5,0)),3)*VLOOKUP($BN115,more1,5,0),0)/$R114,0))</f>
        <v>0</v>
      </c>
      <c r="CC115" s="473">
        <f t="shared" ca="1" si="100"/>
        <v>0</v>
      </c>
      <c r="CD115" s="477"/>
      <c r="CE115" s="468">
        <f t="shared" si="119"/>
        <v>9</v>
      </c>
      <c r="CF115" s="468">
        <f t="shared" si="120"/>
        <v>10</v>
      </c>
      <c r="CG115" s="467">
        <f t="shared" ca="1" si="73"/>
        <v>46114</v>
      </c>
      <c r="CH115" s="475">
        <f t="shared" ca="1" si="127"/>
        <v>41</v>
      </c>
      <c r="CI115" s="513" t="str">
        <f t="shared" si="121"/>
        <v/>
      </c>
      <c r="CJ115" s="511">
        <f t="shared" si="101"/>
        <v>0</v>
      </c>
      <c r="CK115" s="512">
        <f t="shared" si="102"/>
        <v>0</v>
      </c>
      <c r="CL115" s="511">
        <f t="shared" ca="1" si="122"/>
        <v>0</v>
      </c>
      <c r="CM115" s="511">
        <f ca="1">ROUND(CS115-IF(OR($CE115&gt;=OP!$C$24,AND(CH115=15,CF115=12),CS115=0),0,(CT115-CR115)),$CM$7)</f>
        <v>0</v>
      </c>
      <c r="CN115" s="511"/>
      <c r="CO115" s="351">
        <f t="shared" ca="1" si="103"/>
        <v>40873</v>
      </c>
      <c r="CP115" s="473">
        <f t="shared" si="104"/>
        <v>0</v>
      </c>
      <c r="CQ115" s="473">
        <f t="shared" ca="1" si="74"/>
        <v>90.368523120000006</v>
      </c>
      <c r="CR115" s="476">
        <f t="shared" ca="1" si="105"/>
        <v>0</v>
      </c>
      <c r="CS115" s="494">
        <f ca="1">IF(OR($Q114&lt;&gt;1,OP!$D$5+$CE115-1&lt;16,$CE115-1&lt;1),0,ROUND(ROUND(ROUND(((VLOOKUP($CE115-1,MORE_PV,5,0)/10000)*VLOOKUP($CE115,MORE_PV,$CS$5,0)),3)*VLOOKUP($CE115,more1,5,0),0)/$R114,0))</f>
        <v>0</v>
      </c>
      <c r="CT115" s="473">
        <f>IF($AW115=1,IF(N($CR115+$CS115)&lt;N($AX115)*OP!$C$50,N($CR115+$CS115),MIN(N($CR115+$CS115),N($AX115))),0)</f>
        <v>0</v>
      </c>
      <c r="CV115" s="503">
        <f t="shared" ca="1" si="106"/>
        <v>40873.180439925003</v>
      </c>
      <c r="CW115" s="503">
        <f t="shared" ca="1" si="107"/>
        <v>0</v>
      </c>
      <c r="CX115" s="503">
        <f t="shared" ca="1" si="108"/>
        <v>40960.530628228</v>
      </c>
    </row>
    <row r="116" spans="1:102" ht="16.5" hidden="1">
      <c r="A116" s="450">
        <f ca="1">OP!$D$5+$B116-1</f>
        <v>138</v>
      </c>
      <c r="B116" s="192">
        <v>106</v>
      </c>
      <c r="C116" s="219">
        <f ca="1">ROUND(VLOOKUP(OP!$C$55,PV0,B116+2,0)*OP!$C$28,0)</f>
        <v>0</v>
      </c>
      <c r="D116" s="189">
        <f t="shared" ca="1" si="130"/>
        <v>0</v>
      </c>
      <c r="E116" s="221">
        <f t="shared" ca="1" si="131"/>
        <v>2.69E-2</v>
      </c>
      <c r="F116" s="222">
        <f t="shared" ca="1" si="132"/>
        <v>6.8999999999999999E-3</v>
      </c>
      <c r="G116" s="223">
        <f t="shared" ca="1" si="133"/>
        <v>2824839</v>
      </c>
      <c r="H116" s="224">
        <f t="shared" ca="1" si="124"/>
        <v>0</v>
      </c>
      <c r="I116" s="450">
        <f t="shared" ca="1" si="125"/>
        <v>12</v>
      </c>
      <c r="J116" s="192">
        <f t="shared" si="75"/>
        <v>9</v>
      </c>
      <c r="K116" s="192">
        <f t="shared" si="76"/>
        <v>12</v>
      </c>
      <c r="L116" s="192">
        <f t="shared" si="69"/>
        <v>9</v>
      </c>
      <c r="M116" s="216">
        <f t="shared" ca="1" si="77"/>
        <v>23038</v>
      </c>
      <c r="N116" s="216"/>
      <c r="O116" s="216"/>
      <c r="P116" s="216"/>
      <c r="Q116" s="456">
        <f t="shared" ca="1" si="78"/>
        <v>1</v>
      </c>
      <c r="R116" s="450">
        <f t="shared" ca="1" si="79"/>
        <v>1</v>
      </c>
      <c r="S116" s="191">
        <f t="shared" si="80"/>
        <v>9</v>
      </c>
      <c r="T116" s="191">
        <f t="shared" si="81"/>
        <v>12</v>
      </c>
      <c r="U116" s="191">
        <f ca="1">OP!$D$5+$S116-1</f>
        <v>41</v>
      </c>
      <c r="V116" s="191">
        <f t="shared" si="82"/>
        <v>9</v>
      </c>
      <c r="W116" s="350">
        <f ca="1">IF(Q116&lt;&gt;1,0,VLOOKUP(OP!$C$55,PVFB,$S116+2,0))</f>
        <v>31751</v>
      </c>
      <c r="X116" s="473">
        <f t="shared" ca="1" si="112"/>
        <v>7625</v>
      </c>
      <c r="Y116" s="348">
        <f t="shared" ca="1" si="113"/>
        <v>0</v>
      </c>
      <c r="Z116" s="348">
        <f t="shared" ca="1" si="114"/>
        <v>8012</v>
      </c>
      <c r="AA116" s="348">
        <f ca="1">IF(Q116&lt;&gt;1,0,VLOOKUP(OP!$C$55,PVFB,$S116+2,0))</f>
        <v>31751</v>
      </c>
      <c r="AB116" s="488">
        <f ca="1">IF(AND(S116&lt;OP!$C$24,$U116&lt;15),0,IF(AND($U116&lt;15,$T116=12),ROUND(VLOOKUP($S116,DOWN16,5,0),3),IF($T116=12,ROUND(($Z116/10000)*$AA116,3)+IF(AND($P$7="購買增額繳清保險",T116=12,U116=110),VLOOKUP(S116,$B$10:$H$121,7,0),0),"")))</f>
        <v>25438.901000000002</v>
      </c>
      <c r="AC116" s="350">
        <f ca="1">IF(AND(S116&lt;OP!$C$24,$U116&lt;15),0,IF(AND($U116&lt;16,$T116=12),VLOOKUP($S116,DOWN16,4,0),IF($T116=12,ROUND(VLOOKUP(OP!$C$55,_DIE2,$S116+1,0)*(Z116/10000),0)+IF(AND($P$7="購買增額繳清保險",T116=12,U116=110),VLOOKUP(S116,$B$10:$H$121,7,0),0),"")))</f>
        <v>25514</v>
      </c>
      <c r="AD116" s="347"/>
      <c r="AE116" s="350" t="str">
        <f t="shared" ca="1" si="70"/>
        <v/>
      </c>
      <c r="AF116" s="351" t="str">
        <f t="shared" ca="1" si="71"/>
        <v/>
      </c>
      <c r="AG116" s="340"/>
      <c r="AH116" s="340"/>
      <c r="AI116" s="340"/>
      <c r="AJ116" s="340"/>
      <c r="AK116" s="340"/>
      <c r="AL116" s="340"/>
      <c r="AM116" s="340"/>
      <c r="AN116" s="191">
        <f t="shared" si="83"/>
        <v>9</v>
      </c>
      <c r="AO116" s="191">
        <f t="shared" si="84"/>
        <v>12</v>
      </c>
      <c r="AP116" s="191">
        <f ca="1">OP!$D$5+$AN116-1</f>
        <v>41</v>
      </c>
      <c r="AQ116" s="191">
        <f t="shared" si="85"/>
        <v>9</v>
      </c>
      <c r="AR116" s="352">
        <f t="shared" ca="1" si="86"/>
        <v>48506</v>
      </c>
      <c r="AS116" s="352"/>
      <c r="AT116" s="352"/>
      <c r="AU116" s="436"/>
      <c r="AV116" s="353">
        <f t="shared" ca="1" si="87"/>
        <v>1</v>
      </c>
      <c r="AW116" s="422" t="str">
        <f t="shared" si="88"/>
        <v/>
      </c>
      <c r="AX116" s="423" t="str">
        <f ca="1">IF(AND($AW116=1,$AP116&lt;16,$AN115&lt;OP!$C$24),OP!$C$49,"")</f>
        <v/>
      </c>
      <c r="AY116" s="340"/>
      <c r="AZ116" s="465">
        <f t="shared" ca="1" si="89"/>
        <v>7.3698599999999999E-5</v>
      </c>
      <c r="BA116" s="464">
        <f t="shared" ca="1" si="90"/>
        <v>2.2109589000000002E-3</v>
      </c>
      <c r="BB116" s="465">
        <f t="shared" ca="1" si="90"/>
        <v>2.2846575E-3</v>
      </c>
      <c r="BC116" s="466">
        <f t="shared" ca="1" si="91"/>
        <v>46143</v>
      </c>
      <c r="BD116" s="467">
        <f t="shared" ca="1" si="115"/>
        <v>46144</v>
      </c>
      <c r="BE116" s="467">
        <f t="shared" ca="1" si="92"/>
        <v>46173</v>
      </c>
      <c r="BF116" s="468">
        <f ca="1">IF(計算!$BC116&lt;OP!$C$3,0,BD116-BC116)</f>
        <v>1</v>
      </c>
      <c r="BG116" s="468">
        <f ca="1">IF($BE116&gt;DATE(YEAR($BD$9)+OP!$C$57,MONTH($BD$9),DAY($BD$9)),0,$BE116-$BD116+1)</f>
        <v>30</v>
      </c>
      <c r="BH116" s="469">
        <f t="shared" ca="1" si="93"/>
        <v>31</v>
      </c>
      <c r="BI116" t="str">
        <f t="shared" si="128"/>
        <v/>
      </c>
      <c r="BJ116">
        <v>11</v>
      </c>
      <c r="BN116" s="468">
        <f t="shared" si="116"/>
        <v>9</v>
      </c>
      <c r="BO116" s="468">
        <f t="shared" si="117"/>
        <v>11</v>
      </c>
      <c r="BP116" s="467">
        <f t="shared" ca="1" si="94"/>
        <v>46144</v>
      </c>
      <c r="BQ116" s="475">
        <f t="shared" ca="1" si="126"/>
        <v>41</v>
      </c>
      <c r="BR116" s="475" t="str">
        <f t="shared" si="118"/>
        <v/>
      </c>
      <c r="BS116" s="471" t="str">
        <f t="shared" si="95"/>
        <v/>
      </c>
      <c r="BT116" s="472" t="str">
        <f t="shared" si="129"/>
        <v/>
      </c>
      <c r="BU116" s="472">
        <f t="shared" ca="1" si="96"/>
        <v>0</v>
      </c>
      <c r="BV116" s="472">
        <f t="shared" ca="1" si="96"/>
        <v>0</v>
      </c>
      <c r="BW116" s="472"/>
      <c r="BX116" s="473">
        <f t="shared" ca="1" si="97"/>
        <v>15375.947771649</v>
      </c>
      <c r="BY116" s="473">
        <f t="shared" si="98"/>
        <v>0</v>
      </c>
      <c r="BZ116" s="473">
        <f t="shared" ca="1" si="72"/>
        <v>35.128774395999997</v>
      </c>
      <c r="CA116" s="476">
        <f t="shared" ca="1" si="99"/>
        <v>0</v>
      </c>
      <c r="CB116" s="494">
        <f ca="1">IF(OR($Q115&lt;&gt;1,OP!$D$5+$BN116-1&lt;16,$BN116-1&lt;1),0,ROUND(ROUND(ROUND(((VLOOKUP($BN116-1,MORE_PV,5,0)/10000)*VLOOKUP($BN116,MORE_PV,$CB$5,0)),3)*VLOOKUP($BN116,more1,5,0),0)/$R115,0))</f>
        <v>0</v>
      </c>
      <c r="CC116" s="473">
        <f t="shared" ca="1" si="100"/>
        <v>0</v>
      </c>
      <c r="CD116" s="477"/>
      <c r="CE116" s="468">
        <f t="shared" si="119"/>
        <v>9</v>
      </c>
      <c r="CF116" s="468">
        <f t="shared" si="120"/>
        <v>11</v>
      </c>
      <c r="CG116" s="467">
        <f t="shared" ca="1" si="73"/>
        <v>46144</v>
      </c>
      <c r="CH116" s="475">
        <f t="shared" ca="1" si="127"/>
        <v>41</v>
      </c>
      <c r="CI116" s="513" t="str">
        <f t="shared" si="121"/>
        <v/>
      </c>
      <c r="CJ116" s="511">
        <f t="shared" si="101"/>
        <v>0</v>
      </c>
      <c r="CK116" s="512">
        <f t="shared" si="102"/>
        <v>0</v>
      </c>
      <c r="CL116" s="511">
        <f t="shared" ca="1" si="122"/>
        <v>0</v>
      </c>
      <c r="CM116" s="511">
        <f ca="1">ROUND(CS116-IF(OR($CE116&gt;=OP!$C$24,AND(CH116=15,CF116=12),CS116=0),0,(CT116-CR116)),$CM$7)</f>
        <v>0</v>
      </c>
      <c r="CN116" s="511"/>
      <c r="CO116" s="351">
        <f t="shared" ca="1" si="103"/>
        <v>40964</v>
      </c>
      <c r="CP116" s="473">
        <f t="shared" si="104"/>
        <v>0</v>
      </c>
      <c r="CQ116" s="473">
        <f t="shared" ca="1" si="74"/>
        <v>93.588709829999999</v>
      </c>
      <c r="CR116" s="476">
        <f t="shared" ca="1" si="105"/>
        <v>0</v>
      </c>
      <c r="CS116" s="494">
        <f ca="1">IF(OR($Q115&lt;&gt;1,OP!$D$5+$CE116-1&lt;16,$CE116-1&lt;1),0,ROUND(ROUND(ROUND(((VLOOKUP($CE116-1,MORE_PV,5,0)/10000)*VLOOKUP($CE116,MORE_PV,$CS$5,0)),3)*VLOOKUP($CE116,more1,5,0),0)/$R115,0))</f>
        <v>0</v>
      </c>
      <c r="CT116" s="473">
        <f>IF($AW116=1,IF(N($CR116+$CS116)&lt;N($AX116)*OP!$C$50,N($CR116+$CS116),MIN(N($CR116+$CS116),N($AX116))),0)</f>
        <v>0</v>
      </c>
      <c r="CV116" s="503">
        <f t="shared" ca="1" si="106"/>
        <v>40963.549361990998</v>
      </c>
      <c r="CW116" s="503">
        <f t="shared" ca="1" si="107"/>
        <v>0</v>
      </c>
      <c r="CX116" s="503">
        <f t="shared" ca="1" si="108"/>
        <v>41054.111411732003</v>
      </c>
    </row>
    <row r="117" spans="1:102" ht="16.5" hidden="1">
      <c r="A117" s="450">
        <f ca="1">OP!$D$5+$B117-1</f>
        <v>139</v>
      </c>
      <c r="B117" s="192">
        <v>107</v>
      </c>
      <c r="C117" s="219">
        <f ca="1">ROUND(VLOOKUP(OP!$C$55,PV0,B117+2,0)*OP!$C$28,0)</f>
        <v>0</v>
      </c>
      <c r="D117" s="189">
        <f t="shared" ca="1" si="130"/>
        <v>0</v>
      </c>
      <c r="E117" s="221">
        <f t="shared" ca="1" si="131"/>
        <v>2.69E-2</v>
      </c>
      <c r="F117" s="222">
        <f t="shared" ca="1" si="132"/>
        <v>6.8999999999999999E-3</v>
      </c>
      <c r="G117" s="223">
        <f t="shared" ca="1" si="133"/>
        <v>2827338</v>
      </c>
      <c r="H117" s="224">
        <f t="shared" ca="1" si="124"/>
        <v>0</v>
      </c>
      <c r="I117" s="450">
        <f t="shared" ca="1" si="125"/>
        <v>12</v>
      </c>
      <c r="J117" s="192">
        <f t="shared" si="75"/>
        <v>10</v>
      </c>
      <c r="K117" s="192">
        <f t="shared" si="76"/>
        <v>1</v>
      </c>
      <c r="L117" s="192" t="str">
        <f t="shared" si="69"/>
        <v/>
      </c>
      <c r="M117" s="216">
        <f t="shared" ca="1" si="77"/>
        <v>0</v>
      </c>
      <c r="N117" s="216"/>
      <c r="O117" s="216"/>
      <c r="P117" s="216"/>
      <c r="Q117" s="456" t="str">
        <f t="shared" ca="1" si="78"/>
        <v/>
      </c>
      <c r="R117" s="450">
        <f t="shared" ca="1" si="79"/>
        <v>1</v>
      </c>
      <c r="S117" s="191">
        <f t="shared" si="80"/>
        <v>10</v>
      </c>
      <c r="T117" s="191">
        <f t="shared" si="81"/>
        <v>1</v>
      </c>
      <c r="U117" s="191">
        <f ca="1">OP!$D$5+$S117-1</f>
        <v>42</v>
      </c>
      <c r="V117" s="191" t="str">
        <f t="shared" si="82"/>
        <v/>
      </c>
      <c r="W117" s="350">
        <f ca="1">IF(Q117&lt;&gt;1,0,VLOOKUP(OP!$C$55,PVFB,$S117+2,0))</f>
        <v>0</v>
      </c>
      <c r="X117" s="473">
        <f t="shared" ca="1" si="112"/>
        <v>0</v>
      </c>
      <c r="Y117" s="348">
        <f t="shared" ca="1" si="113"/>
        <v>0</v>
      </c>
      <c r="Z117" s="348">
        <f t="shared" ca="1" si="114"/>
        <v>8012</v>
      </c>
      <c r="AA117" s="348">
        <f ca="1">IF(Q117&lt;&gt;1,0,VLOOKUP(OP!$C$55,PVFB,$S117+2,0))</f>
        <v>0</v>
      </c>
      <c r="AB117" s="488" t="str">
        <f ca="1">IF(AND(S117&lt;OP!$C$24,$U117&lt;15),0,IF(AND($U117&lt;15,$T117=12),ROUND(VLOOKUP($S117,DOWN16,5,0),3),IF($T117=12,ROUND(($Z117/10000)*$AA117,3)+IF(AND($P$7="購買增額繳清保險",T117=12,U117=110),VLOOKUP(S117,$B$10:$H$121,7,0),0),"")))</f>
        <v/>
      </c>
      <c r="AC117" s="350" t="str">
        <f ca="1">IF(AND(S117&lt;OP!$C$24,$U117&lt;15),0,IF(AND($U117&lt;16,$T117=12),VLOOKUP($S117,DOWN16,4,0),IF($T117=12,ROUND(VLOOKUP(OP!$C$55,_DIE2,$S117+1,0)*(Z117/10000),0)+IF(AND($P$7="購買增額繳清保險",T117=12,U117=110),VLOOKUP(S117,$B$10:$H$121,7,0),0),"")))</f>
        <v/>
      </c>
      <c r="AD117" s="347"/>
      <c r="AE117" s="350" t="str">
        <f t="shared" ca="1" si="70"/>
        <v/>
      </c>
      <c r="AF117" s="351" t="str">
        <f t="shared" ca="1" si="71"/>
        <v/>
      </c>
      <c r="AG117" s="340"/>
      <c r="AH117" s="340"/>
      <c r="AI117" s="340"/>
      <c r="AJ117" s="340"/>
      <c r="AK117" s="340"/>
      <c r="AL117" s="340"/>
      <c r="AM117" s="340"/>
      <c r="AN117" s="191">
        <f t="shared" si="83"/>
        <v>10</v>
      </c>
      <c r="AO117" s="191">
        <f t="shared" si="84"/>
        <v>1</v>
      </c>
      <c r="AP117" s="191">
        <f ca="1">OP!$D$5+$AN117-1</f>
        <v>42</v>
      </c>
      <c r="AQ117" s="191" t="str">
        <f t="shared" si="85"/>
        <v/>
      </c>
      <c r="AR117" s="352">
        <f t="shared" ca="1" si="86"/>
        <v>0</v>
      </c>
      <c r="AS117" s="352"/>
      <c r="AT117" s="352"/>
      <c r="AU117" s="436"/>
      <c r="AV117" s="353" t="str">
        <f t="shared" ca="1" si="87"/>
        <v/>
      </c>
      <c r="AW117" s="422">
        <f t="shared" si="88"/>
        <v>1</v>
      </c>
      <c r="AX117" s="423" t="str">
        <f ca="1">IF(AND($AW117=1,$AP117&lt;16,$AN116&lt;OP!$C$24),OP!$C$49,"")</f>
        <v/>
      </c>
      <c r="AY117" s="340"/>
      <c r="AZ117" s="465">
        <f t="shared" ca="1" si="89"/>
        <v>7.3698599999999999E-5</v>
      </c>
      <c r="BA117" s="464">
        <f t="shared" ca="1" si="90"/>
        <v>2.1372602999999999E-3</v>
      </c>
      <c r="BB117" s="465">
        <f t="shared" ca="1" si="90"/>
        <v>2.2109589000000002E-3</v>
      </c>
      <c r="BC117" s="466">
        <f t="shared" ca="1" si="91"/>
        <v>46174</v>
      </c>
      <c r="BD117" s="467">
        <f t="shared" ca="1" si="115"/>
        <v>46175</v>
      </c>
      <c r="BE117" s="467">
        <f t="shared" ca="1" si="92"/>
        <v>46203</v>
      </c>
      <c r="BF117" s="468">
        <f ca="1">IF(計算!$BC117&lt;OP!$C$3,0,BD117-BC117)</f>
        <v>1</v>
      </c>
      <c r="BG117" s="468">
        <f ca="1">IF($BE117&gt;DATE(YEAR($BD$9)+OP!$C$57,MONTH($BD$9),DAY($BD$9)),0,$BE117-$BD117+1)</f>
        <v>29</v>
      </c>
      <c r="BH117" s="469">
        <f t="shared" ca="1" si="93"/>
        <v>30</v>
      </c>
      <c r="BI117">
        <f t="shared" ca="1" si="128"/>
        <v>365</v>
      </c>
      <c r="BJ117">
        <v>12</v>
      </c>
      <c r="BN117" s="468">
        <f t="shared" si="116"/>
        <v>9</v>
      </c>
      <c r="BO117" s="468">
        <f t="shared" si="117"/>
        <v>12</v>
      </c>
      <c r="BP117" s="467">
        <f t="shared" ca="1" si="94"/>
        <v>46175</v>
      </c>
      <c r="BQ117" s="475">
        <f t="shared" ca="1" si="126"/>
        <v>41</v>
      </c>
      <c r="BR117" s="475">
        <f t="shared" si="118"/>
        <v>9</v>
      </c>
      <c r="BS117" s="471">
        <f t="shared" ca="1" si="95"/>
        <v>7625</v>
      </c>
      <c r="BT117" s="472">
        <f t="shared" ca="1" si="129"/>
        <v>23038</v>
      </c>
      <c r="BU117" s="472">
        <f t="shared" ca="1" si="96"/>
        <v>7449</v>
      </c>
      <c r="BV117" s="472">
        <f t="shared" ca="1" si="96"/>
        <v>176</v>
      </c>
      <c r="BW117" s="472">
        <f ca="1">ROUND(SUM(BY117,BZ105:BZ116),0)</f>
        <v>409</v>
      </c>
      <c r="BX117" s="473">
        <f t="shared" ca="1" si="97"/>
        <v>23037.212320810999</v>
      </c>
      <c r="BY117" s="473">
        <f t="shared" ca="1" si="98"/>
        <v>1.1357747659999999</v>
      </c>
      <c r="BZ117" s="473">
        <f t="shared" ca="1" si="72"/>
        <v>49.236519315999999</v>
      </c>
      <c r="CA117" s="476">
        <f t="shared" ca="1" si="99"/>
        <v>7449</v>
      </c>
      <c r="CB117" s="494">
        <f ca="1">IF(OR($Q116&lt;&gt;1,OP!$D$5+$BN117-1&lt;16,$BN117-1&lt;1),0,ROUND(ROUND(ROUND(((VLOOKUP($BN117-1,MORE_PV,5,0)/10000)*VLOOKUP($BN117,MORE_PV,$CB$5,0)),3)*VLOOKUP($BN117,more1,5,0),0)/$R116,0))</f>
        <v>176</v>
      </c>
      <c r="CC117" s="473">
        <f t="shared" ca="1" si="100"/>
        <v>0</v>
      </c>
      <c r="CD117" s="477"/>
      <c r="CE117" s="468">
        <f t="shared" si="119"/>
        <v>9</v>
      </c>
      <c r="CF117" s="468">
        <f t="shared" si="120"/>
        <v>12</v>
      </c>
      <c r="CG117" s="467">
        <f t="shared" ca="1" si="73"/>
        <v>46175</v>
      </c>
      <c r="CH117" s="475">
        <f t="shared" ca="1" si="127"/>
        <v>41</v>
      </c>
      <c r="CI117" s="513">
        <f t="shared" si="121"/>
        <v>9</v>
      </c>
      <c r="CJ117" s="511">
        <f t="shared" ca="1" si="101"/>
        <v>7801</v>
      </c>
      <c r="CK117" s="512">
        <f t="shared" ca="1" si="102"/>
        <v>48506.137042267001</v>
      </c>
      <c r="CL117" s="511">
        <f t="shared" ca="1" si="122"/>
        <v>7625</v>
      </c>
      <c r="CM117" s="511">
        <f ca="1">ROUND(CS117-IF(OR($CE117&gt;=OP!$C$24,AND(CH117=15,CF117=12),CS117=0),0,(CT117-CR117)),$CM$7)</f>
        <v>176</v>
      </c>
      <c r="CN117" s="511">
        <f ca="1">ROUND(SUM(CP117,CQ105:CQ116),$CN$7)</f>
        <v>1088.591368465</v>
      </c>
      <c r="CO117" s="351">
        <f t="shared" ca="1" si="103"/>
        <v>48506</v>
      </c>
      <c r="CP117" s="473">
        <f t="shared" ca="1" si="104"/>
        <v>3.025886807</v>
      </c>
      <c r="CQ117" s="473">
        <f t="shared" ca="1" si="74"/>
        <v>103.669948112</v>
      </c>
      <c r="CR117" s="476">
        <f t="shared" ca="1" si="105"/>
        <v>7449</v>
      </c>
      <c r="CS117" s="494">
        <f ca="1">IF(OR($Q116&lt;&gt;1,OP!$D$5+$CE117-1&lt;16,$CE117-1&lt;1),0,ROUND(ROUND(ROUND(((VLOOKUP($CE117-1,MORE_PV,5,0)/10000)*VLOOKUP($CE117,MORE_PV,$CS$5,0)),3)*VLOOKUP($CE117,more1,5,0),0)/$R116,0))</f>
        <v>176</v>
      </c>
      <c r="CT117" s="473">
        <f ca="1">IF($AW117=1,IF(N($CR117+$CS117)&lt;N($AX117)*OP!$C$50,N($CR117+$CS117),MIN(N($CR117+$CS117),N($AX117))),0)</f>
        <v>0</v>
      </c>
      <c r="CV117" s="503">
        <f t="shared" ca="1" si="106"/>
        <v>48506.137042267001</v>
      </c>
      <c r="CW117" s="503">
        <f t="shared" ca="1" si="107"/>
        <v>7464.9204519750001</v>
      </c>
      <c r="CX117" s="503">
        <f t="shared" ca="1" si="108"/>
        <v>48609.800816714</v>
      </c>
    </row>
    <row r="118" spans="1:102" ht="16.5" hidden="1">
      <c r="A118" s="450">
        <f ca="1">OP!$D$5+$B118-1</f>
        <v>140</v>
      </c>
      <c r="B118" s="192">
        <v>108</v>
      </c>
      <c r="C118" s="219">
        <f ca="1">ROUND(VLOOKUP(OP!$C$55,PV0,B118+2,0)*OP!$C$28,0)</f>
        <v>0</v>
      </c>
      <c r="D118" s="189">
        <f t="shared" ca="1" si="130"/>
        <v>0</v>
      </c>
      <c r="E118" s="221">
        <f t="shared" ca="1" si="131"/>
        <v>2.69E-2</v>
      </c>
      <c r="F118" s="222">
        <f t="shared" ca="1" si="132"/>
        <v>6.8999999999999999E-3</v>
      </c>
      <c r="G118" s="223">
        <f t="shared" ca="1" si="133"/>
        <v>2829839</v>
      </c>
      <c r="H118" s="224">
        <f t="shared" ca="1" si="124"/>
        <v>0</v>
      </c>
      <c r="I118" s="450">
        <f t="shared" ca="1" si="125"/>
        <v>12</v>
      </c>
      <c r="J118" s="192">
        <f t="shared" si="75"/>
        <v>10</v>
      </c>
      <c r="K118" s="192">
        <f t="shared" si="76"/>
        <v>2</v>
      </c>
      <c r="L118" s="192" t="str">
        <f t="shared" si="69"/>
        <v/>
      </c>
      <c r="M118" s="216">
        <f t="shared" ca="1" si="77"/>
        <v>0</v>
      </c>
      <c r="N118" s="216"/>
      <c r="O118" s="216"/>
      <c r="P118" s="216"/>
      <c r="Q118" s="456" t="str">
        <f t="shared" ca="1" si="78"/>
        <v/>
      </c>
      <c r="R118" s="450">
        <f t="shared" ca="1" si="79"/>
        <v>1</v>
      </c>
      <c r="S118" s="191">
        <f t="shared" si="80"/>
        <v>10</v>
      </c>
      <c r="T118" s="191">
        <f t="shared" si="81"/>
        <v>2</v>
      </c>
      <c r="U118" s="191">
        <f ca="1">OP!$D$5+$S118-1</f>
        <v>42</v>
      </c>
      <c r="V118" s="191" t="str">
        <f t="shared" si="82"/>
        <v/>
      </c>
      <c r="W118" s="350">
        <f ca="1">IF(Q118&lt;&gt;1,0,VLOOKUP(OP!$C$55,PVFB,$S118+2,0))</f>
        <v>0</v>
      </c>
      <c r="X118" s="473">
        <f t="shared" ca="1" si="112"/>
        <v>0</v>
      </c>
      <c r="Y118" s="348">
        <f t="shared" ca="1" si="113"/>
        <v>0</v>
      </c>
      <c r="Z118" s="348">
        <f t="shared" ca="1" si="114"/>
        <v>8012</v>
      </c>
      <c r="AA118" s="348">
        <f ca="1">IF(Q118&lt;&gt;1,0,VLOOKUP(OP!$C$55,PVFB,$S118+2,0))</f>
        <v>0</v>
      </c>
      <c r="AB118" s="488" t="str">
        <f ca="1">IF(AND(S118&lt;OP!$C$24,$U118&lt;15),0,IF(AND($U118&lt;15,$T118=12),ROUND(VLOOKUP($S118,DOWN16,5,0),3),IF($T118=12,ROUND(($Z118/10000)*$AA118,3)+IF(AND($P$7="購買增額繳清保險",T118=12,U118=110),VLOOKUP(S118,$B$10:$H$121,7,0),0),"")))</f>
        <v/>
      </c>
      <c r="AC118" s="350" t="str">
        <f ca="1">IF(AND(S118&lt;OP!$C$24,$U118&lt;15),0,IF(AND($U118&lt;16,$T118=12),VLOOKUP($S118,DOWN16,4,0),IF($T118=12,ROUND(VLOOKUP(OP!$C$55,_DIE2,$S118+1,0)*(Z118/10000),0)+IF(AND($P$7="購買增額繳清保險",T118=12,U118=110),VLOOKUP(S118,$B$10:$H$121,7,0),0),"")))</f>
        <v/>
      </c>
      <c r="AD118" s="347"/>
      <c r="AE118" s="350" t="str">
        <f t="shared" ca="1" si="70"/>
        <v/>
      </c>
      <c r="AF118" s="351" t="str">
        <f t="shared" ca="1" si="71"/>
        <v/>
      </c>
      <c r="AG118" s="340"/>
      <c r="AH118" s="340"/>
      <c r="AI118" s="340"/>
      <c r="AJ118" s="340"/>
      <c r="AK118" s="340"/>
      <c r="AL118" s="340"/>
      <c r="AM118" s="340"/>
      <c r="AN118" s="191">
        <f t="shared" si="83"/>
        <v>10</v>
      </c>
      <c r="AO118" s="191">
        <f t="shared" si="84"/>
        <v>2</v>
      </c>
      <c r="AP118" s="191">
        <f ca="1">OP!$D$5+$AN118-1</f>
        <v>42</v>
      </c>
      <c r="AQ118" s="191" t="str">
        <f t="shared" si="85"/>
        <v/>
      </c>
      <c r="AR118" s="352">
        <f t="shared" ca="1" si="86"/>
        <v>0</v>
      </c>
      <c r="AS118" s="352"/>
      <c r="AT118" s="352"/>
      <c r="AU118" s="436"/>
      <c r="AV118" s="353" t="str">
        <f t="shared" ca="1" si="87"/>
        <v/>
      </c>
      <c r="AW118" s="422" t="str">
        <f t="shared" si="88"/>
        <v/>
      </c>
      <c r="AX118" s="423" t="str">
        <f ca="1">IF(AND($AW118=1,$AP118&lt;16,$AN117&lt;OP!$C$24),OP!$C$49,"")</f>
        <v/>
      </c>
      <c r="AY118" s="340"/>
      <c r="AZ118" s="465">
        <f t="shared" ca="1" si="89"/>
        <v>7.3698599999999999E-5</v>
      </c>
      <c r="BA118" s="464">
        <f t="shared" ca="1" si="90"/>
        <v>2.2109589000000002E-3</v>
      </c>
      <c r="BB118" s="465">
        <f t="shared" ca="1" si="90"/>
        <v>2.2846575E-3</v>
      </c>
      <c r="BC118" s="466">
        <f t="shared" ca="1" si="91"/>
        <v>46204</v>
      </c>
      <c r="BD118" s="467">
        <f t="shared" ca="1" si="115"/>
        <v>46205</v>
      </c>
      <c r="BE118" s="467">
        <f t="shared" ca="1" si="92"/>
        <v>46234</v>
      </c>
      <c r="BF118" s="468">
        <f ca="1">IF(計算!$BC118&lt;OP!$C$3,0,BD118-BC118)</f>
        <v>1</v>
      </c>
      <c r="BG118" s="468">
        <f ca="1">IF($BE118&gt;DATE(YEAR($BD$9)+OP!$C$57,MONTH($BD$9),DAY($BD$9)),0,$BE118-$BD118+1)</f>
        <v>30</v>
      </c>
      <c r="BH118" s="469">
        <f t="shared" ca="1" si="93"/>
        <v>31</v>
      </c>
      <c r="BI118" t="str">
        <f t="shared" si="128"/>
        <v/>
      </c>
      <c r="BJ118">
        <v>1</v>
      </c>
      <c r="BN118" s="468">
        <f t="shared" si="116"/>
        <v>10</v>
      </c>
      <c r="BO118" s="468">
        <f t="shared" si="117"/>
        <v>1</v>
      </c>
      <c r="BP118" s="467">
        <f t="shared" ca="1" si="94"/>
        <v>46205</v>
      </c>
      <c r="BQ118" s="475">
        <f t="shared" ca="1" si="126"/>
        <v>42</v>
      </c>
      <c r="BR118" s="475" t="str">
        <f t="shared" si="118"/>
        <v/>
      </c>
      <c r="BS118" s="471" t="str">
        <f t="shared" si="95"/>
        <v/>
      </c>
      <c r="BT118" s="472" t="str">
        <f t="shared" si="129"/>
        <v/>
      </c>
      <c r="BU118" s="472">
        <f t="shared" ca="1" si="96"/>
        <v>0</v>
      </c>
      <c r="BV118" s="472">
        <f t="shared" ca="1" si="96"/>
        <v>0</v>
      </c>
      <c r="BW118" s="472"/>
      <c r="BX118" s="473">
        <f t="shared" ca="1" si="97"/>
        <v>23086.448840126999</v>
      </c>
      <c r="BY118" s="473">
        <f t="shared" si="98"/>
        <v>0</v>
      </c>
      <c r="BZ118" s="473">
        <f t="shared" ca="1" si="72"/>
        <v>52.744628491</v>
      </c>
      <c r="CA118" s="476">
        <f t="shared" ca="1" si="99"/>
        <v>0</v>
      </c>
      <c r="CB118" s="494">
        <f ca="1">IF(OR($Q117&lt;&gt;1,OP!$D$5+$BN118-1&lt;16,$BN118-1&lt;1),0,ROUND(ROUND(ROUND(((VLOOKUP($BN118-1,MORE_PV,5,0)/10000)*VLOOKUP($BN118,MORE_PV,$CB$5,0)),3)*VLOOKUP($BN118,more1,5,0),0)/$R117,0))</f>
        <v>0</v>
      </c>
      <c r="CC118" s="473">
        <f t="shared" ca="1" si="100"/>
        <v>0</v>
      </c>
      <c r="CD118" s="477"/>
      <c r="CE118" s="468">
        <f t="shared" si="119"/>
        <v>10</v>
      </c>
      <c r="CF118" s="468">
        <f t="shared" si="120"/>
        <v>1</v>
      </c>
      <c r="CG118" s="467">
        <f t="shared" ca="1" si="73"/>
        <v>46205</v>
      </c>
      <c r="CH118" s="475">
        <f t="shared" ca="1" si="127"/>
        <v>42</v>
      </c>
      <c r="CI118" s="513" t="str">
        <f t="shared" si="121"/>
        <v/>
      </c>
      <c r="CJ118" s="511">
        <f t="shared" si="101"/>
        <v>0</v>
      </c>
      <c r="CK118" s="512">
        <f t="shared" si="102"/>
        <v>0</v>
      </c>
      <c r="CL118" s="511">
        <f t="shared" ca="1" si="122"/>
        <v>0</v>
      </c>
      <c r="CM118" s="511">
        <f ca="1">ROUND(CS118-IF(OR($CE118&gt;=OP!$C$24,AND(CH118=15,CF118=12),CS118=0),0,(CT118-CR118)),$CM$7)</f>
        <v>0</v>
      </c>
      <c r="CN118" s="511"/>
      <c r="CO118" s="351">
        <f t="shared" ca="1" si="103"/>
        <v>48613</v>
      </c>
      <c r="CP118" s="473">
        <f t="shared" si="104"/>
        <v>0</v>
      </c>
      <c r="CQ118" s="473">
        <f t="shared" ca="1" si="74"/>
        <v>111.064055048</v>
      </c>
      <c r="CR118" s="476">
        <f t="shared" ca="1" si="105"/>
        <v>0</v>
      </c>
      <c r="CS118" s="494">
        <f ca="1">IF(OR($Q117&lt;&gt;1,OP!$D$5+$CE118-1&lt;16,$CE118-1&lt;1),0,ROUND(ROUND(ROUND(((VLOOKUP($CE118-1,MORE_PV,5,0)/10000)*VLOOKUP($CE118,MORE_PV,$CS$5,0)),3)*VLOOKUP($CE118,more1,5,0),0)/$R117,0))</f>
        <v>0</v>
      </c>
      <c r="CT118" s="473">
        <f>IF($AW118=1,IF(N($CR118+$CS118)&lt;N($AX118)*OP!$C$50,N($CR118+$CS118),MIN(N($CR118+$CS118),N($AX118))),0)</f>
        <v>0</v>
      </c>
      <c r="CV118" s="503">
        <f t="shared" ca="1" si="106"/>
        <v>48613.383290979997</v>
      </c>
      <c r="CW118" s="503">
        <f t="shared" ca="1" si="107"/>
        <v>0</v>
      </c>
      <c r="CX118" s="503">
        <f t="shared" ca="1" si="108"/>
        <v>48720.857562723002</v>
      </c>
    </row>
    <row r="119" spans="1:102" ht="16.5" hidden="1">
      <c r="A119" s="450">
        <f ca="1">OP!$D$5+$B119-1</f>
        <v>141</v>
      </c>
      <c r="B119" s="192">
        <v>109</v>
      </c>
      <c r="C119" s="219">
        <f ca="1">ROUND(VLOOKUP(OP!$C$55,PV0,B119+2,0)*OP!$C$28,0)</f>
        <v>0</v>
      </c>
      <c r="D119" s="189">
        <f t="shared" ca="1" si="130"/>
        <v>0</v>
      </c>
      <c r="E119" s="221">
        <f t="shared" ca="1" si="131"/>
        <v>2.69E-2</v>
      </c>
      <c r="F119" s="222">
        <f t="shared" ca="1" si="132"/>
        <v>6.8999999999999999E-3</v>
      </c>
      <c r="G119" s="223">
        <f t="shared" ca="1" si="133"/>
        <v>2832343</v>
      </c>
      <c r="H119" s="224">
        <f t="shared" ca="1" si="124"/>
        <v>0</v>
      </c>
      <c r="I119" s="450">
        <f t="shared" ca="1" si="125"/>
        <v>12</v>
      </c>
      <c r="J119" s="192">
        <f t="shared" si="75"/>
        <v>10</v>
      </c>
      <c r="K119" s="192">
        <f t="shared" si="76"/>
        <v>3</v>
      </c>
      <c r="L119" s="192" t="str">
        <f t="shared" si="69"/>
        <v/>
      </c>
      <c r="M119" s="216">
        <f t="shared" ca="1" si="77"/>
        <v>0</v>
      </c>
      <c r="N119" s="216"/>
      <c r="O119" s="216"/>
      <c r="P119" s="216"/>
      <c r="Q119" s="456" t="str">
        <f t="shared" ca="1" si="78"/>
        <v/>
      </c>
      <c r="R119" s="450">
        <f t="shared" ca="1" si="79"/>
        <v>1</v>
      </c>
      <c r="S119" s="191">
        <f t="shared" si="80"/>
        <v>10</v>
      </c>
      <c r="T119" s="191">
        <f t="shared" si="81"/>
        <v>3</v>
      </c>
      <c r="U119" s="191">
        <f ca="1">OP!$D$5+$S119-1</f>
        <v>42</v>
      </c>
      <c r="V119" s="191" t="str">
        <f t="shared" si="82"/>
        <v/>
      </c>
      <c r="W119" s="350">
        <f ca="1">IF(Q119&lt;&gt;1,0,VLOOKUP(OP!$C$55,PVFB,$S119+2,0))</f>
        <v>0</v>
      </c>
      <c r="X119" s="473">
        <f t="shared" ca="1" si="112"/>
        <v>0</v>
      </c>
      <c r="Y119" s="348">
        <f t="shared" ca="1" si="113"/>
        <v>0</v>
      </c>
      <c r="Z119" s="348">
        <f t="shared" ca="1" si="114"/>
        <v>8012</v>
      </c>
      <c r="AA119" s="348">
        <f ca="1">IF(Q119&lt;&gt;1,0,VLOOKUP(OP!$C$55,PVFB,$S119+2,0))</f>
        <v>0</v>
      </c>
      <c r="AB119" s="488" t="str">
        <f ca="1">IF(AND(S119&lt;OP!$C$24,$U119&lt;15),0,IF(AND($U119&lt;15,$T119=12),ROUND(VLOOKUP($S119,DOWN16,5,0),3),IF($T119=12,ROUND(($Z119/10000)*$AA119,3)+IF(AND($P$7="購買增額繳清保險",T119=12,U119=110),VLOOKUP(S119,$B$10:$H$121,7,0),0),"")))</f>
        <v/>
      </c>
      <c r="AC119" s="350" t="str">
        <f ca="1">IF(AND(S119&lt;OP!$C$24,$U119&lt;15),0,IF(AND($U119&lt;16,$T119=12),VLOOKUP($S119,DOWN16,4,0),IF($T119=12,ROUND(VLOOKUP(OP!$C$55,_DIE2,$S119+1,0)*(Z119/10000),0)+IF(AND($P$7="購買增額繳清保險",T119=12,U119=110),VLOOKUP(S119,$B$10:$H$121,7,0),0),"")))</f>
        <v/>
      </c>
      <c r="AD119" s="347"/>
      <c r="AE119" s="350" t="str">
        <f t="shared" ca="1" si="70"/>
        <v/>
      </c>
      <c r="AF119" s="351" t="str">
        <f t="shared" ca="1" si="71"/>
        <v/>
      </c>
      <c r="AG119" s="340"/>
      <c r="AH119" s="340"/>
      <c r="AI119" s="340"/>
      <c r="AJ119" s="340"/>
      <c r="AK119" s="340"/>
      <c r="AL119" s="340"/>
      <c r="AM119" s="340"/>
      <c r="AN119" s="191">
        <f t="shared" si="83"/>
        <v>10</v>
      </c>
      <c r="AO119" s="191">
        <f t="shared" si="84"/>
        <v>3</v>
      </c>
      <c r="AP119" s="191">
        <f ca="1">OP!$D$5+$AN119-1</f>
        <v>42</v>
      </c>
      <c r="AQ119" s="191" t="str">
        <f t="shared" si="85"/>
        <v/>
      </c>
      <c r="AR119" s="352">
        <f t="shared" ca="1" si="86"/>
        <v>0</v>
      </c>
      <c r="AS119" s="352"/>
      <c r="AT119" s="352"/>
      <c r="AU119" s="436"/>
      <c r="AV119" s="353" t="str">
        <f t="shared" ca="1" si="87"/>
        <v/>
      </c>
      <c r="AW119" s="422" t="str">
        <f t="shared" si="88"/>
        <v/>
      </c>
      <c r="AX119" s="423" t="str">
        <f ca="1">IF(AND($AW119=1,$AP119&lt;16,$AN118&lt;OP!$C$24),OP!$C$49,"")</f>
        <v/>
      </c>
      <c r="AY119" s="340"/>
      <c r="AZ119" s="465">
        <f t="shared" ca="1" si="89"/>
        <v>7.3698599999999999E-5</v>
      </c>
      <c r="BA119" s="464">
        <f t="shared" ca="1" si="90"/>
        <v>2.2109589000000002E-3</v>
      </c>
      <c r="BB119" s="465">
        <f t="shared" ca="1" si="90"/>
        <v>2.2846575E-3</v>
      </c>
      <c r="BC119" s="466">
        <f t="shared" ca="1" si="91"/>
        <v>46235</v>
      </c>
      <c r="BD119" s="467">
        <f t="shared" ca="1" si="115"/>
        <v>46236</v>
      </c>
      <c r="BE119" s="467">
        <f t="shared" ca="1" si="92"/>
        <v>46265</v>
      </c>
      <c r="BF119" s="468">
        <f ca="1">IF(計算!$BC119&lt;OP!$C$3,0,BD119-BC119)</f>
        <v>1</v>
      </c>
      <c r="BG119" s="468">
        <f ca="1">IF($BE119&gt;DATE(YEAR($BD$9)+OP!$C$57,MONTH($BD$9),DAY($BD$9)),0,$BE119-$BD119+1)</f>
        <v>30</v>
      </c>
      <c r="BH119" s="469">
        <f t="shared" ca="1" si="93"/>
        <v>31</v>
      </c>
      <c r="BI119" t="str">
        <f t="shared" si="128"/>
        <v/>
      </c>
      <c r="BJ119">
        <v>2</v>
      </c>
      <c r="BN119" s="468">
        <f t="shared" si="116"/>
        <v>10</v>
      </c>
      <c r="BO119" s="468">
        <f t="shared" si="117"/>
        <v>2</v>
      </c>
      <c r="BP119" s="467">
        <f t="shared" ca="1" si="94"/>
        <v>46236</v>
      </c>
      <c r="BQ119" s="475">
        <f t="shared" ca="1" si="126"/>
        <v>42</v>
      </c>
      <c r="BR119" s="475" t="str">
        <f t="shared" si="118"/>
        <v/>
      </c>
      <c r="BS119" s="471" t="str">
        <f t="shared" si="95"/>
        <v/>
      </c>
      <c r="BT119" s="472" t="str">
        <f t="shared" si="129"/>
        <v/>
      </c>
      <c r="BU119" s="472">
        <f t="shared" ca="1" si="96"/>
        <v>0</v>
      </c>
      <c r="BV119" s="472">
        <f t="shared" ca="1" si="96"/>
        <v>0</v>
      </c>
      <c r="BW119" s="472"/>
      <c r="BX119" s="473">
        <f t="shared" ca="1" si="97"/>
        <v>23139.193468617999</v>
      </c>
      <c r="BY119" s="473">
        <f t="shared" si="98"/>
        <v>0</v>
      </c>
      <c r="BZ119" s="473">
        <f t="shared" ca="1" si="72"/>
        <v>52.865131902000002</v>
      </c>
      <c r="CA119" s="476">
        <f t="shared" ca="1" si="99"/>
        <v>0</v>
      </c>
      <c r="CB119" s="494">
        <f ca="1">IF(OR($Q118&lt;&gt;1,OP!$D$5+$BN119-1&lt;16,$BN119-1&lt;1),0,ROUND(ROUND(ROUND(((VLOOKUP($BN119-1,MORE_PV,5,0)/10000)*VLOOKUP($BN119,MORE_PV,$CB$5,0)),3)*VLOOKUP($BN119,more1,5,0),0)/$R118,0))</f>
        <v>0</v>
      </c>
      <c r="CC119" s="473">
        <f t="shared" ca="1" si="100"/>
        <v>0</v>
      </c>
      <c r="CD119" s="477"/>
      <c r="CE119" s="468">
        <f t="shared" si="119"/>
        <v>10</v>
      </c>
      <c r="CF119" s="468">
        <f t="shared" si="120"/>
        <v>2</v>
      </c>
      <c r="CG119" s="467">
        <f t="shared" ca="1" si="73"/>
        <v>46236</v>
      </c>
      <c r="CH119" s="475">
        <f t="shared" ca="1" si="127"/>
        <v>42</v>
      </c>
      <c r="CI119" s="513" t="str">
        <f t="shared" si="121"/>
        <v/>
      </c>
      <c r="CJ119" s="511">
        <f t="shared" si="101"/>
        <v>0</v>
      </c>
      <c r="CK119" s="512">
        <f t="shared" si="102"/>
        <v>0</v>
      </c>
      <c r="CL119" s="511">
        <f t="shared" ca="1" si="122"/>
        <v>0</v>
      </c>
      <c r="CM119" s="511">
        <f ca="1">ROUND(CS119-IF(OR($CE119&gt;=OP!$C$24,AND(CH119=15,CF119=12),CS119=0),0,(CT119-CR119)),$CM$7)</f>
        <v>0</v>
      </c>
      <c r="CN119" s="511"/>
      <c r="CO119" s="351">
        <f t="shared" ca="1" si="103"/>
        <v>48724</v>
      </c>
      <c r="CP119" s="473">
        <f t="shared" si="104"/>
        <v>0</v>
      </c>
      <c r="CQ119" s="473">
        <f t="shared" ca="1" si="74"/>
        <v>111.31765203</v>
      </c>
      <c r="CR119" s="476">
        <f t="shared" ca="1" si="105"/>
        <v>0</v>
      </c>
      <c r="CS119" s="494">
        <f ca="1">IF(OR($Q118&lt;&gt;1,OP!$D$5+$CE119-1&lt;16,$CE119-1&lt;1),0,ROUND(ROUND(ROUND(((VLOOKUP($CE119-1,MORE_PV,5,0)/10000)*VLOOKUP($CE119,MORE_PV,$CS$5,0)),3)*VLOOKUP($CE119,more1,5,0),0)/$R118,0))</f>
        <v>0</v>
      </c>
      <c r="CT119" s="473">
        <f>IF($AW119=1,IF(N($CR119+$CS119)&lt;N($AX119)*OP!$C$50,N($CR119+$CS119),MIN(N($CR119+$CS119),N($AX119))),0)</f>
        <v>0</v>
      </c>
      <c r="CV119" s="503">
        <f t="shared" ca="1" si="106"/>
        <v>48724.448221715997</v>
      </c>
      <c r="CW119" s="503">
        <f t="shared" ca="1" si="107"/>
        <v>0</v>
      </c>
      <c r="CX119" s="503">
        <f t="shared" ca="1" si="108"/>
        <v>48832.168035360002</v>
      </c>
    </row>
    <row r="120" spans="1:102" ht="16.5" hidden="1">
      <c r="A120" s="450">
        <f ca="1">OP!$D$5+$B120-1</f>
        <v>142</v>
      </c>
      <c r="B120" s="192">
        <v>110</v>
      </c>
      <c r="C120" s="219">
        <f ca="1">ROUND(VLOOKUP(OP!$C$55,PV0,B120+2,0)*OP!$C$28,0)</f>
        <v>0</v>
      </c>
      <c r="D120" s="189">
        <f t="shared" ca="1" si="130"/>
        <v>0</v>
      </c>
      <c r="E120" s="221">
        <f t="shared" ca="1" si="131"/>
        <v>2.69E-2</v>
      </c>
      <c r="F120" s="222">
        <f t="shared" ca="1" si="132"/>
        <v>6.8999999999999999E-3</v>
      </c>
      <c r="G120" s="223">
        <f t="shared" ca="1" si="133"/>
        <v>2834849</v>
      </c>
      <c r="H120" s="224">
        <f t="shared" ca="1" si="124"/>
        <v>0</v>
      </c>
      <c r="I120" s="450">
        <f t="shared" ca="1" si="125"/>
        <v>12</v>
      </c>
      <c r="J120" s="192">
        <f t="shared" si="75"/>
        <v>10</v>
      </c>
      <c r="K120" s="192">
        <f t="shared" si="76"/>
        <v>4</v>
      </c>
      <c r="L120" s="192" t="str">
        <f t="shared" si="69"/>
        <v/>
      </c>
      <c r="M120" s="216">
        <f t="shared" ca="1" si="77"/>
        <v>0</v>
      </c>
      <c r="N120" s="216"/>
      <c r="O120" s="216"/>
      <c r="P120" s="216"/>
      <c r="Q120" s="456" t="str">
        <f t="shared" ca="1" si="78"/>
        <v/>
      </c>
      <c r="R120" s="450">
        <f t="shared" ca="1" si="79"/>
        <v>1</v>
      </c>
      <c r="S120" s="191">
        <f t="shared" si="80"/>
        <v>10</v>
      </c>
      <c r="T120" s="191">
        <f t="shared" si="81"/>
        <v>4</v>
      </c>
      <c r="U120" s="191">
        <f ca="1">OP!$D$5+$S120-1</f>
        <v>42</v>
      </c>
      <c r="V120" s="191" t="str">
        <f t="shared" si="82"/>
        <v/>
      </c>
      <c r="W120" s="350">
        <f ca="1">IF(Q120&lt;&gt;1,0,VLOOKUP(OP!$C$55,PVFB,$S120+2,0))</f>
        <v>0</v>
      </c>
      <c r="X120" s="473">
        <f t="shared" ca="1" si="112"/>
        <v>0</v>
      </c>
      <c r="Y120" s="348">
        <f t="shared" ca="1" si="113"/>
        <v>0</v>
      </c>
      <c r="Z120" s="348">
        <f t="shared" ca="1" si="114"/>
        <v>8012</v>
      </c>
      <c r="AA120" s="348">
        <f ca="1">IF(Q120&lt;&gt;1,0,VLOOKUP(OP!$C$55,PVFB,$S120+2,0))</f>
        <v>0</v>
      </c>
      <c r="AB120" s="488" t="str">
        <f ca="1">IF(AND(S120&lt;OP!$C$24,$U120&lt;15),0,IF(AND($U120&lt;15,$T120=12),ROUND(VLOOKUP($S120,DOWN16,5,0),3),IF($T120=12,ROUND(($Z120/10000)*$AA120,3)+IF(AND($P$7="購買增額繳清保險",T120=12,U120=110),VLOOKUP(S120,$B$10:$H$121,7,0),0),"")))</f>
        <v/>
      </c>
      <c r="AC120" s="350" t="str">
        <f ca="1">IF(AND(S120&lt;OP!$C$24,$U120&lt;15),0,IF(AND($U120&lt;16,$T120=12),VLOOKUP($S120,DOWN16,4,0),IF($T120=12,ROUND(VLOOKUP(OP!$C$55,_DIE2,$S120+1,0)*(Z120/10000),0)+IF(AND($P$7="購買增額繳清保險",T120=12,U120=110),VLOOKUP(S120,$B$10:$H$121,7,0),0),"")))</f>
        <v/>
      </c>
      <c r="AD120" s="347"/>
      <c r="AE120" s="350" t="str">
        <f t="shared" ca="1" si="70"/>
        <v/>
      </c>
      <c r="AF120" s="351" t="str">
        <f t="shared" ca="1" si="71"/>
        <v/>
      </c>
      <c r="AG120" s="340"/>
      <c r="AH120" s="340"/>
      <c r="AI120" s="340"/>
      <c r="AJ120" s="340"/>
      <c r="AK120" s="340"/>
      <c r="AL120" s="340"/>
      <c r="AM120" s="340"/>
      <c r="AN120" s="191">
        <f t="shared" si="83"/>
        <v>10</v>
      </c>
      <c r="AO120" s="191">
        <f t="shared" si="84"/>
        <v>4</v>
      </c>
      <c r="AP120" s="191">
        <f ca="1">OP!$D$5+$AN120-1</f>
        <v>42</v>
      </c>
      <c r="AQ120" s="191" t="str">
        <f t="shared" si="85"/>
        <v/>
      </c>
      <c r="AR120" s="352">
        <f t="shared" ca="1" si="86"/>
        <v>0</v>
      </c>
      <c r="AS120" s="352"/>
      <c r="AT120" s="352"/>
      <c r="AU120" s="436"/>
      <c r="AV120" s="353" t="str">
        <f t="shared" ca="1" si="87"/>
        <v/>
      </c>
      <c r="AW120" s="422" t="str">
        <f t="shared" si="88"/>
        <v/>
      </c>
      <c r="AX120" s="423" t="str">
        <f ca="1">IF(AND($AW120=1,$AP120&lt;16,$AN119&lt;OP!$C$24),OP!$C$49,"")</f>
        <v/>
      </c>
      <c r="AY120" s="340"/>
      <c r="AZ120" s="465">
        <f t="shared" ca="1" si="89"/>
        <v>7.3698599999999999E-5</v>
      </c>
      <c r="BA120" s="464">
        <f t="shared" ca="1" si="90"/>
        <v>2.1372602999999999E-3</v>
      </c>
      <c r="BB120" s="465">
        <f t="shared" ca="1" si="90"/>
        <v>2.2109589000000002E-3</v>
      </c>
      <c r="BC120" s="466">
        <f t="shared" ca="1" si="91"/>
        <v>46266</v>
      </c>
      <c r="BD120" s="467">
        <f t="shared" ca="1" si="115"/>
        <v>46267</v>
      </c>
      <c r="BE120" s="467">
        <f t="shared" ca="1" si="92"/>
        <v>46295</v>
      </c>
      <c r="BF120" s="468">
        <f ca="1">IF(計算!$BC120&lt;OP!$C$3,0,BD120-BC120)</f>
        <v>1</v>
      </c>
      <c r="BG120" s="468">
        <f ca="1">IF($BE120&gt;DATE(YEAR($BD$9)+OP!$C$57,MONTH($BD$9),DAY($BD$9)),0,$BE120-$BD120+1)</f>
        <v>29</v>
      </c>
      <c r="BH120" s="469">
        <f t="shared" ca="1" si="93"/>
        <v>30</v>
      </c>
      <c r="BI120" t="str">
        <f t="shared" si="128"/>
        <v/>
      </c>
      <c r="BJ120">
        <v>3</v>
      </c>
      <c r="BN120" s="468">
        <f t="shared" si="116"/>
        <v>10</v>
      </c>
      <c r="BO120" s="468">
        <f t="shared" si="117"/>
        <v>3</v>
      </c>
      <c r="BP120" s="467">
        <f t="shared" ca="1" si="94"/>
        <v>46267</v>
      </c>
      <c r="BQ120" s="475">
        <f t="shared" ca="1" si="126"/>
        <v>42</v>
      </c>
      <c r="BR120" s="475" t="str">
        <f t="shared" si="118"/>
        <v/>
      </c>
      <c r="BS120" s="471" t="str">
        <f t="shared" si="95"/>
        <v/>
      </c>
      <c r="BT120" s="472" t="str">
        <f t="shared" si="129"/>
        <v/>
      </c>
      <c r="BU120" s="472">
        <f t="shared" ca="1" si="96"/>
        <v>0</v>
      </c>
      <c r="BV120" s="472">
        <f t="shared" ca="1" si="96"/>
        <v>0</v>
      </c>
      <c r="BW120" s="472"/>
      <c r="BX120" s="473">
        <f t="shared" ca="1" si="97"/>
        <v>23192.058600519998</v>
      </c>
      <c r="BY120" s="473">
        <f t="shared" si="98"/>
        <v>0</v>
      </c>
      <c r="BZ120" s="473">
        <f t="shared" ca="1" si="72"/>
        <v>51.276688372000002</v>
      </c>
      <c r="CA120" s="476">
        <f t="shared" ca="1" si="99"/>
        <v>0</v>
      </c>
      <c r="CB120" s="494">
        <f ca="1">IF(OR($Q119&lt;&gt;1,OP!$D$5+$BN120-1&lt;16,$BN120-1&lt;1),0,ROUND(ROUND(ROUND(((VLOOKUP($BN120-1,MORE_PV,5,0)/10000)*VLOOKUP($BN120,MORE_PV,$CB$5,0)),3)*VLOOKUP($BN120,more1,5,0),0)/$R119,0))</f>
        <v>0</v>
      </c>
      <c r="CC120" s="473">
        <f t="shared" ca="1" si="100"/>
        <v>0</v>
      </c>
      <c r="CD120" s="477"/>
      <c r="CE120" s="468">
        <f t="shared" si="119"/>
        <v>10</v>
      </c>
      <c r="CF120" s="468">
        <f t="shared" si="120"/>
        <v>3</v>
      </c>
      <c r="CG120" s="467">
        <f t="shared" ca="1" si="73"/>
        <v>46267</v>
      </c>
      <c r="CH120" s="475">
        <f t="shared" ca="1" si="127"/>
        <v>42</v>
      </c>
      <c r="CI120" s="513" t="str">
        <f t="shared" si="121"/>
        <v/>
      </c>
      <c r="CJ120" s="511">
        <f t="shared" si="101"/>
        <v>0</v>
      </c>
      <c r="CK120" s="512">
        <f t="shared" si="102"/>
        <v>0</v>
      </c>
      <c r="CL120" s="511">
        <f t="shared" ca="1" si="122"/>
        <v>0</v>
      </c>
      <c r="CM120" s="511">
        <f ca="1">ROUND(CS120-IF(OR($CE120&gt;=OP!$C$24,AND(CH120=15,CF120=12),CS120=0),0,(CT120-CR120)),$CM$7)</f>
        <v>0</v>
      </c>
      <c r="CN120" s="511"/>
      <c r="CO120" s="351">
        <f t="shared" ca="1" si="103"/>
        <v>48836</v>
      </c>
      <c r="CP120" s="473">
        <f t="shared" si="104"/>
        <v>0</v>
      </c>
      <c r="CQ120" s="473">
        <f t="shared" ca="1" si="74"/>
        <v>107.97438884</v>
      </c>
      <c r="CR120" s="476">
        <f t="shared" ca="1" si="105"/>
        <v>0</v>
      </c>
      <c r="CS120" s="494">
        <f ca="1">IF(OR($Q119&lt;&gt;1,OP!$D$5+$CE120-1&lt;16,$CE120-1&lt;1),0,ROUND(ROUND(ROUND(((VLOOKUP($CE120-1,MORE_PV,5,0)/10000)*VLOOKUP($CE120,MORE_PV,$CS$5,0)),3)*VLOOKUP($CE120,more1,5,0),0)/$R119,0))</f>
        <v>0</v>
      </c>
      <c r="CT120" s="473">
        <f>IF($AW120=1,IF(N($CR120+$CS120)&lt;N($AX120)*OP!$C$50,N($CR120+$CS120),MIN(N($CR120+$CS120),N($AX120))),0)</f>
        <v>0</v>
      </c>
      <c r="CV120" s="503">
        <f t="shared" ca="1" si="106"/>
        <v>48835.766897779002</v>
      </c>
      <c r="CW120" s="503">
        <f t="shared" ca="1" si="107"/>
        <v>0</v>
      </c>
      <c r="CX120" s="503">
        <f t="shared" ca="1" si="108"/>
        <v>48940.133951884003</v>
      </c>
    </row>
    <row r="121" spans="1:102" ht="16.5" hidden="1">
      <c r="A121" s="450">
        <f ca="1">OP!$D$5+$B121-1</f>
        <v>143</v>
      </c>
      <c r="B121" s="192">
        <v>111</v>
      </c>
      <c r="C121" s="219">
        <f ca="1">ROUND(VLOOKUP(OP!$C$55,PV0,B121+2,0)*OP!$C$28,0)</f>
        <v>0</v>
      </c>
      <c r="D121" s="189">
        <f t="shared" ca="1" si="130"/>
        <v>0</v>
      </c>
      <c r="E121" s="221">
        <f t="shared" ca="1" si="131"/>
        <v>2.69E-2</v>
      </c>
      <c r="F121" s="222">
        <f t="shared" ca="1" si="132"/>
        <v>6.8999999999999999E-3</v>
      </c>
      <c r="G121" s="223">
        <f t="shared" ca="1" si="133"/>
        <v>2837357</v>
      </c>
      <c r="H121" s="224">
        <f t="shared" ca="1" si="124"/>
        <v>0</v>
      </c>
      <c r="I121" s="450">
        <f t="shared" ca="1" si="125"/>
        <v>12</v>
      </c>
      <c r="J121" s="192">
        <f t="shared" si="75"/>
        <v>10</v>
      </c>
      <c r="K121" s="192">
        <f t="shared" si="76"/>
        <v>5</v>
      </c>
      <c r="L121" s="192" t="str">
        <f t="shared" si="69"/>
        <v/>
      </c>
      <c r="M121" s="216">
        <f t="shared" ca="1" si="77"/>
        <v>0</v>
      </c>
      <c r="N121" s="216"/>
      <c r="O121" s="216"/>
      <c r="P121" s="216"/>
      <c r="Q121" s="456" t="str">
        <f t="shared" ca="1" si="78"/>
        <v/>
      </c>
      <c r="R121" s="450">
        <f t="shared" ca="1" si="79"/>
        <v>1</v>
      </c>
      <c r="S121" s="191">
        <f t="shared" si="80"/>
        <v>10</v>
      </c>
      <c r="T121" s="191">
        <f t="shared" si="81"/>
        <v>5</v>
      </c>
      <c r="U121" s="191">
        <f ca="1">OP!$D$5+$S121-1</f>
        <v>42</v>
      </c>
      <c r="V121" s="191" t="str">
        <f t="shared" si="82"/>
        <v/>
      </c>
      <c r="W121" s="350">
        <f ca="1">IF(Q121&lt;&gt;1,0,VLOOKUP(OP!$C$55,PVFB,$S121+2,0))</f>
        <v>0</v>
      </c>
      <c r="X121" s="473">
        <f t="shared" ca="1" si="112"/>
        <v>0</v>
      </c>
      <c r="Y121" s="348">
        <f t="shared" ca="1" si="113"/>
        <v>0</v>
      </c>
      <c r="Z121" s="348">
        <f t="shared" ca="1" si="114"/>
        <v>8012</v>
      </c>
      <c r="AA121" s="348">
        <f ca="1">IF(Q121&lt;&gt;1,0,VLOOKUP(OP!$C$55,PVFB,$S121+2,0))</f>
        <v>0</v>
      </c>
      <c r="AB121" s="488" t="str">
        <f ca="1">IF(AND(S121&lt;OP!$C$24,$U121&lt;15),0,IF(AND($U121&lt;15,$T121=12),ROUND(VLOOKUP($S121,DOWN16,5,0),3),IF($T121=12,ROUND(($Z121/10000)*$AA121,3)+IF(AND($P$7="購買增額繳清保險",T121=12,U121=110),VLOOKUP(S121,$B$10:$H$121,7,0),0),"")))</f>
        <v/>
      </c>
      <c r="AC121" s="350" t="str">
        <f ca="1">IF(AND(S121&lt;OP!$C$24,$U121&lt;15),0,IF(AND($U121&lt;16,$T121=12),VLOOKUP($S121,DOWN16,4,0),IF($T121=12,ROUND(VLOOKUP(OP!$C$55,_DIE2,$S121+1,0)*(Z121/10000),0)+IF(AND($P$7="購買增額繳清保險",T121=12,U121=110),VLOOKUP(S121,$B$10:$H$121,7,0),0),"")))</f>
        <v/>
      </c>
      <c r="AD121" s="347"/>
      <c r="AE121" s="350" t="str">
        <f t="shared" ca="1" si="70"/>
        <v/>
      </c>
      <c r="AF121" s="351" t="str">
        <f t="shared" ca="1" si="71"/>
        <v/>
      </c>
      <c r="AG121" s="340"/>
      <c r="AH121" s="340"/>
      <c r="AI121" s="340"/>
      <c r="AJ121" s="340"/>
      <c r="AK121" s="340"/>
      <c r="AL121" s="340"/>
      <c r="AM121" s="340"/>
      <c r="AN121" s="191">
        <f t="shared" si="83"/>
        <v>10</v>
      </c>
      <c r="AO121" s="191">
        <f t="shared" si="84"/>
        <v>5</v>
      </c>
      <c r="AP121" s="191">
        <f ca="1">OP!$D$5+$AN121-1</f>
        <v>42</v>
      </c>
      <c r="AQ121" s="191" t="str">
        <f t="shared" si="85"/>
        <v/>
      </c>
      <c r="AR121" s="352">
        <f t="shared" ca="1" si="86"/>
        <v>0</v>
      </c>
      <c r="AS121" s="352"/>
      <c r="AT121" s="352"/>
      <c r="AU121" s="436"/>
      <c r="AV121" s="353" t="str">
        <f t="shared" ca="1" si="87"/>
        <v/>
      </c>
      <c r="AW121" s="422" t="str">
        <f t="shared" si="88"/>
        <v/>
      </c>
      <c r="AX121" s="423" t="str">
        <f ca="1">IF(AND($AW121=1,$AP121&lt;16,$AN120&lt;OP!$C$24),OP!$C$49,"")</f>
        <v/>
      </c>
      <c r="AY121" s="340"/>
      <c r="AZ121" s="465">
        <f t="shared" ca="1" si="89"/>
        <v>7.3698599999999999E-5</v>
      </c>
      <c r="BA121" s="464">
        <f t="shared" ca="1" si="90"/>
        <v>2.2109589000000002E-3</v>
      </c>
      <c r="BB121" s="465">
        <f t="shared" ca="1" si="90"/>
        <v>2.2846575E-3</v>
      </c>
      <c r="BC121" s="466">
        <f t="shared" ca="1" si="91"/>
        <v>46296</v>
      </c>
      <c r="BD121" s="467">
        <f t="shared" ca="1" si="115"/>
        <v>46297</v>
      </c>
      <c r="BE121" s="467">
        <f t="shared" ca="1" si="92"/>
        <v>46326</v>
      </c>
      <c r="BF121" s="468">
        <f ca="1">IF(計算!$BC121&lt;OP!$C$3,0,BD121-BC121)</f>
        <v>1</v>
      </c>
      <c r="BG121" s="468">
        <f ca="1">IF($BE121&gt;DATE(YEAR($BD$9)+OP!$C$57,MONTH($BD$9),DAY($BD$9)),0,$BE121-$BD121+1)</f>
        <v>30</v>
      </c>
      <c r="BH121" s="469">
        <f t="shared" ca="1" si="93"/>
        <v>31</v>
      </c>
      <c r="BI121" t="str">
        <f t="shared" si="128"/>
        <v/>
      </c>
      <c r="BJ121">
        <v>4</v>
      </c>
      <c r="BN121" s="468">
        <f t="shared" si="116"/>
        <v>10</v>
      </c>
      <c r="BO121" s="468">
        <f t="shared" si="117"/>
        <v>4</v>
      </c>
      <c r="BP121" s="467">
        <f t="shared" ca="1" si="94"/>
        <v>46297</v>
      </c>
      <c r="BQ121" s="475">
        <f t="shared" ca="1" si="126"/>
        <v>42</v>
      </c>
      <c r="BR121" s="475" t="str">
        <f t="shared" si="118"/>
        <v/>
      </c>
      <c r="BS121" s="471" t="str">
        <f t="shared" si="95"/>
        <v/>
      </c>
      <c r="BT121" s="472" t="str">
        <f t="shared" si="129"/>
        <v/>
      </c>
      <c r="BU121" s="472">
        <f t="shared" ca="1" si="96"/>
        <v>0</v>
      </c>
      <c r="BV121" s="472">
        <f t="shared" ca="1" si="96"/>
        <v>0</v>
      </c>
      <c r="BW121" s="472"/>
      <c r="BX121" s="473">
        <f t="shared" ca="1" si="97"/>
        <v>23243.335288892002</v>
      </c>
      <c r="BY121" s="473">
        <f t="shared" si="98"/>
        <v>0</v>
      </c>
      <c r="BZ121" s="473">
        <f t="shared" ca="1" si="72"/>
        <v>53.103060292999999</v>
      </c>
      <c r="CA121" s="476">
        <f t="shared" ca="1" si="99"/>
        <v>0</v>
      </c>
      <c r="CB121" s="494">
        <f ca="1">IF(OR($Q120&lt;&gt;1,OP!$D$5+$BN121-1&lt;16,$BN121-1&lt;1),0,ROUND(ROUND(ROUND(((VLOOKUP($BN121-1,MORE_PV,5,0)/10000)*VLOOKUP($BN121,MORE_PV,$CB$5,0)),3)*VLOOKUP($BN121,more1,5,0),0)/$R120,0))</f>
        <v>0</v>
      </c>
      <c r="CC121" s="473">
        <f t="shared" ca="1" si="100"/>
        <v>0</v>
      </c>
      <c r="CD121" s="477"/>
      <c r="CE121" s="468">
        <f t="shared" si="119"/>
        <v>10</v>
      </c>
      <c r="CF121" s="468">
        <f t="shared" si="120"/>
        <v>4</v>
      </c>
      <c r="CG121" s="467">
        <f t="shared" ca="1" si="73"/>
        <v>46297</v>
      </c>
      <c r="CH121" s="475">
        <f t="shared" ca="1" si="127"/>
        <v>42</v>
      </c>
      <c r="CI121" s="513" t="str">
        <f t="shared" si="121"/>
        <v/>
      </c>
      <c r="CJ121" s="511">
        <f t="shared" si="101"/>
        <v>0</v>
      </c>
      <c r="CK121" s="512">
        <f t="shared" si="102"/>
        <v>0</v>
      </c>
      <c r="CL121" s="511">
        <f t="shared" ca="1" si="122"/>
        <v>0</v>
      </c>
      <c r="CM121" s="511">
        <f ca="1">ROUND(CS121-IF(OR($CE121&gt;=OP!$C$24,AND(CH121=15,CF121=12),CS121=0),0,(CT121-CR121)),$CM$7)</f>
        <v>0</v>
      </c>
      <c r="CN121" s="511"/>
      <c r="CO121" s="351">
        <f t="shared" ca="1" si="103"/>
        <v>48944</v>
      </c>
      <c r="CP121" s="473">
        <f t="shared" si="104"/>
        <v>0</v>
      </c>
      <c r="CQ121" s="473">
        <f t="shared" ca="1" si="74"/>
        <v>111.82027668000001</v>
      </c>
      <c r="CR121" s="476">
        <f t="shared" ca="1" si="105"/>
        <v>0</v>
      </c>
      <c r="CS121" s="494">
        <f ca="1">IF(OR($Q120&lt;&gt;1,OP!$D$5+$CE121-1&lt;16,$CE121-1&lt;1),0,ROUND(ROUND(ROUND(((VLOOKUP($CE121-1,MORE_PV,5,0)/10000)*VLOOKUP($CE121,MORE_PV,$CS$5,0)),3)*VLOOKUP($CE121,more1,5,0),0)/$R120,0))</f>
        <v>0</v>
      </c>
      <c r="CT121" s="473">
        <f>IF($AW121=1,IF(N($CR121+$CS121)&lt;N($AX121)*OP!$C$50,N($CR121+$CS121),MIN(N($CR121+$CS121),N($AX121))),0)</f>
        <v>0</v>
      </c>
      <c r="CV121" s="503">
        <f t="shared" ca="1" si="106"/>
        <v>48943.740771240002</v>
      </c>
      <c r="CW121" s="503">
        <f t="shared" ca="1" si="107"/>
        <v>0</v>
      </c>
      <c r="CX121" s="503">
        <f t="shared" ca="1" si="108"/>
        <v>49051.945395968003</v>
      </c>
    </row>
    <row r="122" spans="1:102" ht="16.5" hidden="1">
      <c r="A122" s="80"/>
      <c r="B122" s="80"/>
      <c r="C122" s="80"/>
      <c r="D122" s="80"/>
      <c r="E122" s="80"/>
      <c r="F122" s="80"/>
      <c r="G122" s="80"/>
      <c r="H122" s="80"/>
      <c r="I122" s="80"/>
      <c r="J122" s="192">
        <f t="shared" si="75"/>
        <v>10</v>
      </c>
      <c r="K122" s="192">
        <f t="shared" si="76"/>
        <v>6</v>
      </c>
      <c r="L122" s="192" t="str">
        <f t="shared" si="69"/>
        <v/>
      </c>
      <c r="M122" s="216">
        <f t="shared" ca="1" si="77"/>
        <v>0</v>
      </c>
      <c r="N122" s="216"/>
      <c r="O122" s="216"/>
      <c r="P122" s="216"/>
      <c r="Q122" s="456" t="str">
        <f t="shared" ca="1" si="78"/>
        <v/>
      </c>
      <c r="R122" s="450">
        <f t="shared" ca="1" si="79"/>
        <v>1</v>
      </c>
      <c r="S122" s="191">
        <f t="shared" si="80"/>
        <v>10</v>
      </c>
      <c r="T122" s="191">
        <f t="shared" si="81"/>
        <v>6</v>
      </c>
      <c r="U122" s="191">
        <f ca="1">OP!$D$5+$S122-1</f>
        <v>42</v>
      </c>
      <c r="V122" s="191" t="str">
        <f t="shared" si="82"/>
        <v/>
      </c>
      <c r="W122" s="350">
        <f ca="1">IF(Q122&lt;&gt;1,0,VLOOKUP(OP!$C$55,PVFB,$S122+2,0))</f>
        <v>0</v>
      </c>
      <c r="X122" s="473">
        <f t="shared" ca="1" si="112"/>
        <v>0</v>
      </c>
      <c r="Y122" s="348">
        <f t="shared" ca="1" si="113"/>
        <v>0</v>
      </c>
      <c r="Z122" s="348">
        <f t="shared" ca="1" si="114"/>
        <v>8012</v>
      </c>
      <c r="AA122" s="348">
        <f ca="1">IF(Q122&lt;&gt;1,0,VLOOKUP(OP!$C$55,PVFB,$S122+2,0))</f>
        <v>0</v>
      </c>
      <c r="AB122" s="488" t="str">
        <f ca="1">IF(AND(S122&lt;OP!$C$24,$U122&lt;15),0,IF(AND($U122&lt;15,$T122=12),ROUND(VLOOKUP($S122,DOWN16,5,0),3),IF($T122=12,ROUND(($Z122/10000)*$AA122,3)+IF(AND($P$7="購買增額繳清保險",T122=12,U122=110),VLOOKUP(S122,$B$10:$H$121,7,0),0),"")))</f>
        <v/>
      </c>
      <c r="AC122" s="350" t="str">
        <f ca="1">IF(AND(S122&lt;OP!$C$24,$U122&lt;15),0,IF(AND($U122&lt;16,$T122=12),VLOOKUP($S122,DOWN16,4,0),IF($T122=12,ROUND(VLOOKUP(OP!$C$55,_DIE2,$S122+1,0)*(Z122/10000),0)+IF(AND($P$7="購買增額繳清保險",T122=12,U122=110),VLOOKUP(S122,$B$10:$H$121,7,0),0),"")))</f>
        <v/>
      </c>
      <c r="AD122" s="347"/>
      <c r="AE122" s="350" t="str">
        <f t="shared" ca="1" si="70"/>
        <v/>
      </c>
      <c r="AF122" s="351" t="str">
        <f t="shared" ca="1" si="71"/>
        <v/>
      </c>
      <c r="AG122" s="340"/>
      <c r="AH122" s="340"/>
      <c r="AI122" s="340"/>
      <c r="AJ122" s="340"/>
      <c r="AK122" s="340"/>
      <c r="AL122" s="340"/>
      <c r="AM122" s="340"/>
      <c r="AN122" s="191">
        <f t="shared" si="83"/>
        <v>10</v>
      </c>
      <c r="AO122" s="191">
        <f t="shared" si="84"/>
        <v>6</v>
      </c>
      <c r="AP122" s="191">
        <f ca="1">OP!$D$5+$AN122-1</f>
        <v>42</v>
      </c>
      <c r="AQ122" s="191" t="str">
        <f t="shared" si="85"/>
        <v/>
      </c>
      <c r="AR122" s="352">
        <f t="shared" ca="1" si="86"/>
        <v>0</v>
      </c>
      <c r="AS122" s="352"/>
      <c r="AT122" s="352"/>
      <c r="AU122" s="436"/>
      <c r="AV122" s="353" t="str">
        <f t="shared" ca="1" si="87"/>
        <v/>
      </c>
      <c r="AW122" s="422" t="str">
        <f t="shared" si="88"/>
        <v/>
      </c>
      <c r="AX122" s="423" t="str">
        <f ca="1">IF(AND($AW122=1,$AP122&lt;16,$AN121&lt;OP!$C$24),OP!$C$49,"")</f>
        <v/>
      </c>
      <c r="AY122" s="340"/>
      <c r="AZ122" s="465">
        <f t="shared" ca="1" si="89"/>
        <v>7.3698599999999999E-5</v>
      </c>
      <c r="BA122" s="464">
        <f t="shared" ca="1" si="90"/>
        <v>2.1372602999999999E-3</v>
      </c>
      <c r="BB122" s="465">
        <f t="shared" ca="1" si="90"/>
        <v>2.2109589000000002E-3</v>
      </c>
      <c r="BC122" s="466">
        <f t="shared" ca="1" si="91"/>
        <v>46327</v>
      </c>
      <c r="BD122" s="467">
        <f t="shared" ca="1" si="115"/>
        <v>46328</v>
      </c>
      <c r="BE122" s="467">
        <f t="shared" ca="1" si="92"/>
        <v>46356</v>
      </c>
      <c r="BF122" s="468">
        <f ca="1">IF(計算!$BC122&lt;OP!$C$3,0,BD122-BC122)</f>
        <v>1</v>
      </c>
      <c r="BG122" s="468">
        <f ca="1">IF($BE122&gt;DATE(YEAR($BD$9)+OP!$C$57,MONTH($BD$9),DAY($BD$9)),0,$BE122-$BD122+1)</f>
        <v>29</v>
      </c>
      <c r="BH122" s="469">
        <f t="shared" ca="1" si="93"/>
        <v>30</v>
      </c>
      <c r="BI122" t="str">
        <f t="shared" si="128"/>
        <v/>
      </c>
      <c r="BJ122">
        <v>5</v>
      </c>
      <c r="BN122" s="468">
        <f t="shared" si="116"/>
        <v>10</v>
      </c>
      <c r="BO122" s="468">
        <f t="shared" si="117"/>
        <v>5</v>
      </c>
      <c r="BP122" s="467">
        <f t="shared" ca="1" si="94"/>
        <v>46328</v>
      </c>
      <c r="BQ122" s="475">
        <f t="shared" ca="1" si="126"/>
        <v>42</v>
      </c>
      <c r="BR122" s="475" t="str">
        <f t="shared" si="118"/>
        <v/>
      </c>
      <c r="BS122" s="471" t="str">
        <f t="shared" si="95"/>
        <v/>
      </c>
      <c r="BT122" s="472" t="str">
        <f t="shared" si="129"/>
        <v/>
      </c>
      <c r="BU122" s="472">
        <f t="shared" ca="1" si="96"/>
        <v>0</v>
      </c>
      <c r="BV122" s="472">
        <f t="shared" ca="1" si="96"/>
        <v>0</v>
      </c>
      <c r="BW122" s="472"/>
      <c r="BX122" s="473">
        <f t="shared" ca="1" si="97"/>
        <v>23296.438349184999</v>
      </c>
      <c r="BY122" s="473">
        <f t="shared" si="98"/>
        <v>0</v>
      </c>
      <c r="BZ122" s="473">
        <f t="shared" ca="1" si="72"/>
        <v>51.507467706</v>
      </c>
      <c r="CA122" s="476">
        <f t="shared" ca="1" si="99"/>
        <v>0</v>
      </c>
      <c r="CB122" s="494">
        <f ca="1">IF(OR($Q121&lt;&gt;1,OP!$D$5+$BN122-1&lt;16,$BN122-1&lt;1),0,ROUND(ROUND(ROUND(((VLOOKUP($BN122-1,MORE_PV,5,0)/10000)*VLOOKUP($BN122,MORE_PV,$CB$5,0)),3)*VLOOKUP($BN122,more1,5,0),0)/$R121,0))</f>
        <v>0</v>
      </c>
      <c r="CC122" s="473">
        <f t="shared" ca="1" si="100"/>
        <v>0</v>
      </c>
      <c r="CD122" s="477"/>
      <c r="CE122" s="468">
        <f t="shared" si="119"/>
        <v>10</v>
      </c>
      <c r="CF122" s="468">
        <f t="shared" si="120"/>
        <v>5</v>
      </c>
      <c r="CG122" s="467">
        <f t="shared" ca="1" si="73"/>
        <v>46328</v>
      </c>
      <c r="CH122" s="475">
        <f t="shared" ca="1" si="127"/>
        <v>42</v>
      </c>
      <c r="CI122" s="513" t="str">
        <f t="shared" si="121"/>
        <v/>
      </c>
      <c r="CJ122" s="511">
        <f t="shared" si="101"/>
        <v>0</v>
      </c>
      <c r="CK122" s="512">
        <f t="shared" si="102"/>
        <v>0</v>
      </c>
      <c r="CL122" s="511">
        <f t="shared" ca="1" si="122"/>
        <v>0</v>
      </c>
      <c r="CM122" s="511">
        <f ca="1">ROUND(CS122-IF(OR($CE122&gt;=OP!$C$24,AND(CH122=15,CF122=12),CS122=0),0,(CT122-CR122)),$CM$7)</f>
        <v>0</v>
      </c>
      <c r="CN122" s="511"/>
      <c r="CO122" s="351">
        <f t="shared" ca="1" si="103"/>
        <v>49056</v>
      </c>
      <c r="CP122" s="473">
        <f t="shared" si="104"/>
        <v>0</v>
      </c>
      <c r="CQ122" s="473">
        <f t="shared" ca="1" si="74"/>
        <v>108.460799798</v>
      </c>
      <c r="CR122" s="476">
        <f t="shared" ca="1" si="105"/>
        <v>0</v>
      </c>
      <c r="CS122" s="494">
        <f ca="1">IF(OR($Q121&lt;&gt;1,OP!$D$5+$CE122-1&lt;16,$CE122-1&lt;1),0,ROUND(ROUND(ROUND(((VLOOKUP($CE122-1,MORE_PV,5,0)/10000)*VLOOKUP($CE122,MORE_PV,$CS$5,0)),3)*VLOOKUP($CE122,more1,5,0),0)/$R121,0))</f>
        <v>0</v>
      </c>
      <c r="CT122" s="473">
        <f>IF($AW122=1,IF(N($CR122+$CS122)&lt;N($AX122)*OP!$C$50,N($CR122+$CS122),MIN(N($CR122+$CS122),N($AX122))),0)</f>
        <v>0</v>
      </c>
      <c r="CV122" s="503">
        <f t="shared" ca="1" si="106"/>
        <v>49055.560455671002</v>
      </c>
      <c r="CW122" s="503">
        <f t="shared" ca="1" si="107"/>
        <v>0</v>
      </c>
      <c r="CX122" s="503">
        <f t="shared" ca="1" si="108"/>
        <v>49160.397231203999</v>
      </c>
    </row>
    <row r="123" spans="1:102" ht="16.5" hidden="1">
      <c r="A123" s="80"/>
      <c r="B123" s="80"/>
      <c r="C123" s="80"/>
      <c r="D123" s="80"/>
      <c r="E123" s="80"/>
      <c r="F123" s="80"/>
      <c r="G123" s="80"/>
      <c r="H123" s="80"/>
      <c r="I123" s="80"/>
      <c r="J123" s="192">
        <f t="shared" si="75"/>
        <v>10</v>
      </c>
      <c r="K123" s="192">
        <f t="shared" si="76"/>
        <v>7</v>
      </c>
      <c r="L123" s="192" t="str">
        <f t="shared" si="69"/>
        <v/>
      </c>
      <c r="M123" s="216">
        <f t="shared" ca="1" si="77"/>
        <v>0</v>
      </c>
      <c r="N123" s="216"/>
      <c r="O123" s="216"/>
      <c r="P123" s="216"/>
      <c r="Q123" s="456" t="str">
        <f t="shared" ca="1" si="78"/>
        <v/>
      </c>
      <c r="R123" s="450">
        <f t="shared" ca="1" si="79"/>
        <v>1</v>
      </c>
      <c r="S123" s="191">
        <f t="shared" si="80"/>
        <v>10</v>
      </c>
      <c r="T123" s="191">
        <f t="shared" si="81"/>
        <v>7</v>
      </c>
      <c r="U123" s="191">
        <f ca="1">OP!$D$5+$S123-1</f>
        <v>42</v>
      </c>
      <c r="V123" s="191" t="str">
        <f t="shared" si="82"/>
        <v/>
      </c>
      <c r="W123" s="350">
        <f ca="1">IF(Q123&lt;&gt;1,0,VLOOKUP(OP!$C$55,PVFB,$S123+2,0))</f>
        <v>0</v>
      </c>
      <c r="X123" s="473">
        <f t="shared" ca="1" si="112"/>
        <v>0</v>
      </c>
      <c r="Y123" s="348">
        <f t="shared" ca="1" si="113"/>
        <v>0</v>
      </c>
      <c r="Z123" s="348">
        <f t="shared" ca="1" si="114"/>
        <v>8012</v>
      </c>
      <c r="AA123" s="348">
        <f ca="1">IF(Q123&lt;&gt;1,0,VLOOKUP(OP!$C$55,PVFB,$S123+2,0))</f>
        <v>0</v>
      </c>
      <c r="AB123" s="488" t="str">
        <f ca="1">IF(AND(S123&lt;OP!$C$24,$U123&lt;15),0,IF(AND($U123&lt;15,$T123=12),ROUND(VLOOKUP($S123,DOWN16,5,0),3),IF($T123=12,ROUND(($Z123/10000)*$AA123,3)+IF(AND($P$7="購買增額繳清保險",T123=12,U123=110),VLOOKUP(S123,$B$10:$H$121,7,0),0),"")))</f>
        <v/>
      </c>
      <c r="AC123" s="350" t="str">
        <f ca="1">IF(AND(S123&lt;OP!$C$24,$U123&lt;15),0,IF(AND($U123&lt;16,$T123=12),VLOOKUP($S123,DOWN16,4,0),IF($T123=12,ROUND(VLOOKUP(OP!$C$55,_DIE2,$S123+1,0)*(Z123/10000),0)+IF(AND($P$7="購買增額繳清保險",T123=12,U123=110),VLOOKUP(S123,$B$10:$H$121,7,0),0),"")))</f>
        <v/>
      </c>
      <c r="AD123" s="347"/>
      <c r="AE123" s="350" t="str">
        <f t="shared" ca="1" si="70"/>
        <v/>
      </c>
      <c r="AF123" s="351" t="str">
        <f t="shared" ca="1" si="71"/>
        <v/>
      </c>
      <c r="AG123" s="340"/>
      <c r="AH123" s="340"/>
      <c r="AI123" s="340"/>
      <c r="AJ123" s="340"/>
      <c r="AK123" s="340"/>
      <c r="AL123" s="340"/>
      <c r="AM123" s="340"/>
      <c r="AN123" s="191">
        <f t="shared" si="83"/>
        <v>10</v>
      </c>
      <c r="AO123" s="191">
        <f t="shared" si="84"/>
        <v>7</v>
      </c>
      <c r="AP123" s="191">
        <f ca="1">OP!$D$5+$AN123-1</f>
        <v>42</v>
      </c>
      <c r="AQ123" s="191" t="str">
        <f t="shared" si="85"/>
        <v/>
      </c>
      <c r="AR123" s="352">
        <f t="shared" ca="1" si="86"/>
        <v>0</v>
      </c>
      <c r="AS123" s="352"/>
      <c r="AT123" s="352"/>
      <c r="AU123" s="436"/>
      <c r="AV123" s="353" t="str">
        <f t="shared" ca="1" si="87"/>
        <v/>
      </c>
      <c r="AW123" s="422" t="str">
        <f t="shared" si="88"/>
        <v/>
      </c>
      <c r="AX123" s="423" t="str">
        <f ca="1">IF(AND($AW123=1,$AP123&lt;16,$AN122&lt;OP!$C$24),OP!$C$49,"")</f>
        <v/>
      </c>
      <c r="AY123" s="340"/>
      <c r="AZ123" s="465">
        <f t="shared" ca="1" si="89"/>
        <v>7.3698599999999999E-5</v>
      </c>
      <c r="BA123" s="464">
        <f t="shared" ca="1" si="90"/>
        <v>2.2109589000000002E-3</v>
      </c>
      <c r="BB123" s="465">
        <f t="shared" ca="1" si="90"/>
        <v>2.2846575E-3</v>
      </c>
      <c r="BC123" s="466">
        <f t="shared" ca="1" si="91"/>
        <v>46357</v>
      </c>
      <c r="BD123" s="467">
        <f t="shared" ca="1" si="115"/>
        <v>46358</v>
      </c>
      <c r="BE123" s="467">
        <f t="shared" ca="1" si="92"/>
        <v>46387</v>
      </c>
      <c r="BF123" s="468">
        <f ca="1">IF(計算!$BC123&lt;OP!$C$3,0,BD123-BC123)</f>
        <v>1</v>
      </c>
      <c r="BG123" s="468">
        <f ca="1">IF($BE123&gt;DATE(YEAR($BD$9)+OP!$C$57,MONTH($BD$9),DAY($BD$9)),0,$BE123-$BD123+1)</f>
        <v>30</v>
      </c>
      <c r="BH123" s="469">
        <f t="shared" ca="1" si="93"/>
        <v>31</v>
      </c>
      <c r="BI123" t="str">
        <f t="shared" si="128"/>
        <v/>
      </c>
      <c r="BJ123">
        <v>6</v>
      </c>
      <c r="BN123" s="468">
        <f t="shared" si="116"/>
        <v>10</v>
      </c>
      <c r="BO123" s="468">
        <f t="shared" si="117"/>
        <v>6</v>
      </c>
      <c r="BP123" s="467">
        <f t="shared" ca="1" si="94"/>
        <v>46358</v>
      </c>
      <c r="BQ123" s="475">
        <f t="shared" ca="1" si="126"/>
        <v>42</v>
      </c>
      <c r="BR123" s="475" t="str">
        <f t="shared" si="118"/>
        <v/>
      </c>
      <c r="BS123" s="471" t="str">
        <f t="shared" si="95"/>
        <v/>
      </c>
      <c r="BT123" s="472" t="str">
        <f t="shared" si="129"/>
        <v/>
      </c>
      <c r="BU123" s="472">
        <f t="shared" ca="1" si="96"/>
        <v>0</v>
      </c>
      <c r="BV123" s="472">
        <f t="shared" ca="1" si="96"/>
        <v>0</v>
      </c>
      <c r="BW123" s="472"/>
      <c r="BX123" s="473">
        <f t="shared" ca="1" si="97"/>
        <v>23347.945816890999</v>
      </c>
      <c r="BY123" s="473">
        <f t="shared" si="98"/>
        <v>0</v>
      </c>
      <c r="BZ123" s="473">
        <f t="shared" ca="1" si="72"/>
        <v>53.342059519999999</v>
      </c>
      <c r="CA123" s="476">
        <f t="shared" ca="1" si="99"/>
        <v>0</v>
      </c>
      <c r="CB123" s="494">
        <f ca="1">IF(OR($Q122&lt;&gt;1,OP!$D$5+$BN123-1&lt;16,$BN123-1&lt;1),0,ROUND(ROUND(ROUND(((VLOOKUP($BN123-1,MORE_PV,5,0)/10000)*VLOOKUP($BN123,MORE_PV,$CB$5,0)),3)*VLOOKUP($BN123,more1,5,0),0)/$R122,0))</f>
        <v>0</v>
      </c>
      <c r="CC123" s="473">
        <f t="shared" ca="1" si="100"/>
        <v>0</v>
      </c>
      <c r="CD123" s="477"/>
      <c r="CE123" s="468">
        <f t="shared" si="119"/>
        <v>10</v>
      </c>
      <c r="CF123" s="468">
        <f t="shared" si="120"/>
        <v>6</v>
      </c>
      <c r="CG123" s="467">
        <f t="shared" ca="1" si="73"/>
        <v>46358</v>
      </c>
      <c r="CH123" s="475">
        <f t="shared" ca="1" si="127"/>
        <v>42</v>
      </c>
      <c r="CI123" s="513" t="str">
        <f t="shared" si="121"/>
        <v/>
      </c>
      <c r="CJ123" s="511">
        <f t="shared" si="101"/>
        <v>0</v>
      </c>
      <c r="CK123" s="512">
        <f t="shared" si="102"/>
        <v>0</v>
      </c>
      <c r="CL123" s="511">
        <f t="shared" ca="1" si="122"/>
        <v>0</v>
      </c>
      <c r="CM123" s="511">
        <f ca="1">ROUND(CS123-IF(OR($CE123&gt;=OP!$C$24,AND(CH123=15,CF123=12),CS123=0),0,(CT123-CR123)),$CM$7)</f>
        <v>0</v>
      </c>
      <c r="CN123" s="511"/>
      <c r="CO123" s="351">
        <f t="shared" ca="1" si="103"/>
        <v>49164</v>
      </c>
      <c r="CP123" s="473">
        <f t="shared" si="104"/>
        <v>0</v>
      </c>
      <c r="CQ123" s="473">
        <f t="shared" ca="1" si="74"/>
        <v>112.32290132999999</v>
      </c>
      <c r="CR123" s="476">
        <f t="shared" ca="1" si="105"/>
        <v>0</v>
      </c>
      <c r="CS123" s="494">
        <f ca="1">IF(OR($Q122&lt;&gt;1,OP!$D$5+$CE123-1&lt;16,$CE123-1&lt;1),0,ROUND(ROUND(ROUND(((VLOOKUP($CE123-1,MORE_PV,5,0)/10000)*VLOOKUP($CE123,MORE_PV,$CS$5,0)),3)*VLOOKUP($CE123,more1,5,0),0)/$R122,0))</f>
        <v>0</v>
      </c>
      <c r="CT123" s="473">
        <f>IF($AW123=1,IF(N($CR123+$CS123)&lt;N($AX123)*OP!$C$50,N($CR123+$CS123),MIN(N($CR123+$CS123),N($AX123))),0)</f>
        <v>0</v>
      </c>
      <c r="CV123" s="503">
        <f t="shared" ca="1" si="106"/>
        <v>49164.020283655002</v>
      </c>
      <c r="CW123" s="503">
        <f t="shared" ca="1" si="107"/>
        <v>0</v>
      </c>
      <c r="CX123" s="503">
        <f t="shared" ca="1" si="108"/>
        <v>49272.711901440998</v>
      </c>
    </row>
    <row r="124" spans="1:102" ht="16.5" hidden="1">
      <c r="B124" s="80"/>
      <c r="C124" s="80"/>
      <c r="D124" s="80"/>
      <c r="E124" s="80"/>
      <c r="F124" s="80"/>
      <c r="G124" s="80"/>
      <c r="H124" s="80"/>
      <c r="I124" s="80"/>
      <c r="J124" s="192">
        <f t="shared" si="75"/>
        <v>10</v>
      </c>
      <c r="K124" s="192">
        <f t="shared" si="76"/>
        <v>8</v>
      </c>
      <c r="L124" s="192" t="str">
        <f t="shared" si="69"/>
        <v/>
      </c>
      <c r="M124" s="216">
        <f t="shared" ca="1" si="77"/>
        <v>0</v>
      </c>
      <c r="N124" s="216"/>
      <c r="O124" s="216"/>
      <c r="P124" s="216"/>
      <c r="Q124" s="456" t="str">
        <f t="shared" ca="1" si="78"/>
        <v/>
      </c>
      <c r="R124" s="450">
        <f t="shared" ca="1" si="79"/>
        <v>1</v>
      </c>
      <c r="S124" s="191">
        <f t="shared" si="80"/>
        <v>10</v>
      </c>
      <c r="T124" s="191">
        <f t="shared" si="81"/>
        <v>8</v>
      </c>
      <c r="U124" s="191">
        <f ca="1">OP!$D$5+$S124-1</f>
        <v>42</v>
      </c>
      <c r="V124" s="191" t="str">
        <f t="shared" si="82"/>
        <v/>
      </c>
      <c r="W124" s="350">
        <f ca="1">IF(Q124&lt;&gt;1,0,VLOOKUP(OP!$C$55,PVFB,$S124+2,0))</f>
        <v>0</v>
      </c>
      <c r="X124" s="473">
        <f t="shared" ca="1" si="112"/>
        <v>0</v>
      </c>
      <c r="Y124" s="348">
        <f t="shared" ca="1" si="113"/>
        <v>0</v>
      </c>
      <c r="Z124" s="348">
        <f t="shared" ca="1" si="114"/>
        <v>8012</v>
      </c>
      <c r="AA124" s="348">
        <f ca="1">IF(Q124&lt;&gt;1,0,VLOOKUP(OP!$C$55,PVFB,$S124+2,0))</f>
        <v>0</v>
      </c>
      <c r="AB124" s="488" t="str">
        <f ca="1">IF(AND(S124&lt;OP!$C$24,$U124&lt;15),0,IF(AND($U124&lt;15,$T124=12),ROUND(VLOOKUP($S124,DOWN16,5,0),3),IF($T124=12,ROUND(($Z124/10000)*$AA124,3)+IF(AND($P$7="購買增額繳清保險",T124=12,U124=110),VLOOKUP(S124,$B$10:$H$121,7,0),0),"")))</f>
        <v/>
      </c>
      <c r="AC124" s="350" t="str">
        <f ca="1">IF(AND(S124&lt;OP!$C$24,$U124&lt;15),0,IF(AND($U124&lt;16,$T124=12),VLOOKUP($S124,DOWN16,4,0),IF($T124=12,ROUND(VLOOKUP(OP!$C$55,_DIE2,$S124+1,0)*(Z124/10000),0)+IF(AND($P$7="購買增額繳清保險",T124=12,U124=110),VLOOKUP(S124,$B$10:$H$121,7,0),0),"")))</f>
        <v/>
      </c>
      <c r="AD124" s="347"/>
      <c r="AE124" s="350" t="str">
        <f t="shared" ca="1" si="70"/>
        <v/>
      </c>
      <c r="AF124" s="351" t="str">
        <f t="shared" ca="1" si="71"/>
        <v/>
      </c>
      <c r="AG124" s="340"/>
      <c r="AH124" s="340"/>
      <c r="AI124" s="340"/>
      <c r="AJ124" s="340"/>
      <c r="AK124" s="340"/>
      <c r="AL124" s="340"/>
      <c r="AM124" s="340"/>
      <c r="AN124" s="191">
        <f t="shared" si="83"/>
        <v>10</v>
      </c>
      <c r="AO124" s="191">
        <f t="shared" si="84"/>
        <v>8</v>
      </c>
      <c r="AP124" s="191">
        <f ca="1">OP!$D$5+$AN124-1</f>
        <v>42</v>
      </c>
      <c r="AQ124" s="191" t="str">
        <f t="shared" si="85"/>
        <v/>
      </c>
      <c r="AR124" s="352">
        <f t="shared" ca="1" si="86"/>
        <v>0</v>
      </c>
      <c r="AS124" s="352"/>
      <c r="AT124" s="352"/>
      <c r="AU124" s="436"/>
      <c r="AV124" s="353" t="str">
        <f t="shared" ca="1" si="87"/>
        <v/>
      </c>
      <c r="AW124" s="422" t="str">
        <f t="shared" si="88"/>
        <v/>
      </c>
      <c r="AX124" s="423" t="str">
        <f ca="1">IF(AND($AW124=1,$AP124&lt;16,$AN123&lt;OP!$C$24),OP!$C$49,"")</f>
        <v/>
      </c>
      <c r="AY124" s="340"/>
      <c r="AZ124" s="465">
        <f t="shared" ca="1" si="89"/>
        <v>7.3698599999999999E-5</v>
      </c>
      <c r="BA124" s="464">
        <f t="shared" ca="1" si="90"/>
        <v>2.2109589000000002E-3</v>
      </c>
      <c r="BB124" s="465">
        <f t="shared" ca="1" si="90"/>
        <v>2.2846575E-3</v>
      </c>
      <c r="BC124" s="466">
        <f t="shared" ca="1" si="91"/>
        <v>46388</v>
      </c>
      <c r="BD124" s="467">
        <f t="shared" ca="1" si="115"/>
        <v>46389</v>
      </c>
      <c r="BE124" s="467">
        <f t="shared" ca="1" si="92"/>
        <v>46418</v>
      </c>
      <c r="BF124" s="468">
        <f ca="1">IF(計算!$BC124&lt;OP!$C$3,0,BD124-BC124)</f>
        <v>1</v>
      </c>
      <c r="BG124" s="468">
        <f ca="1">IF($BE124&gt;DATE(YEAR($BD$9)+OP!$C$57,MONTH($BD$9),DAY($BD$9)),0,$BE124-$BD124+1)</f>
        <v>30</v>
      </c>
      <c r="BH124" s="469">
        <f t="shared" ca="1" si="93"/>
        <v>31</v>
      </c>
      <c r="BI124" t="str">
        <f t="shared" si="128"/>
        <v/>
      </c>
      <c r="BJ124">
        <v>7</v>
      </c>
      <c r="BN124" s="468">
        <f t="shared" si="116"/>
        <v>10</v>
      </c>
      <c r="BO124" s="468">
        <f t="shared" si="117"/>
        <v>7</v>
      </c>
      <c r="BP124" s="467">
        <f t="shared" ca="1" si="94"/>
        <v>46389</v>
      </c>
      <c r="BQ124" s="475">
        <f t="shared" ca="1" si="126"/>
        <v>42</v>
      </c>
      <c r="BR124" s="475" t="str">
        <f t="shared" si="118"/>
        <v/>
      </c>
      <c r="BS124" s="471" t="str">
        <f t="shared" si="95"/>
        <v/>
      </c>
      <c r="BT124" s="472" t="str">
        <f t="shared" si="129"/>
        <v/>
      </c>
      <c r="BU124" s="472">
        <f t="shared" ca="1" si="96"/>
        <v>0</v>
      </c>
      <c r="BV124" s="472">
        <f t="shared" ca="1" si="96"/>
        <v>0</v>
      </c>
      <c r="BW124" s="472"/>
      <c r="BX124" s="473">
        <f t="shared" ca="1" si="97"/>
        <v>23401.287876410999</v>
      </c>
      <c r="BY124" s="473">
        <f t="shared" si="98"/>
        <v>0</v>
      </c>
      <c r="BZ124" s="473">
        <f t="shared" ca="1" si="72"/>
        <v>53.463927857000002</v>
      </c>
      <c r="CA124" s="476">
        <f t="shared" ca="1" si="99"/>
        <v>0</v>
      </c>
      <c r="CB124" s="494">
        <f ca="1">IF(OR($Q123&lt;&gt;1,OP!$D$5+$BN124-1&lt;16,$BN124-1&lt;1),0,ROUND(ROUND(ROUND(((VLOOKUP($BN124-1,MORE_PV,5,0)/10000)*VLOOKUP($BN124,MORE_PV,$CB$5,0)),3)*VLOOKUP($BN124,more1,5,0),0)/$R123,0))</f>
        <v>0</v>
      </c>
      <c r="CC124" s="473">
        <f t="shared" ca="1" si="100"/>
        <v>0</v>
      </c>
      <c r="CD124" s="477"/>
      <c r="CE124" s="468">
        <f t="shared" si="119"/>
        <v>10</v>
      </c>
      <c r="CF124" s="468">
        <f t="shared" si="120"/>
        <v>7</v>
      </c>
      <c r="CG124" s="467">
        <f t="shared" ca="1" si="73"/>
        <v>46389</v>
      </c>
      <c r="CH124" s="475">
        <f t="shared" ca="1" si="127"/>
        <v>42</v>
      </c>
      <c r="CI124" s="513" t="str">
        <f t="shared" si="121"/>
        <v/>
      </c>
      <c r="CJ124" s="511">
        <f t="shared" si="101"/>
        <v>0</v>
      </c>
      <c r="CK124" s="512">
        <f t="shared" si="102"/>
        <v>0</v>
      </c>
      <c r="CL124" s="511">
        <f t="shared" ca="1" si="122"/>
        <v>0</v>
      </c>
      <c r="CM124" s="511">
        <f ca="1">ROUND(CS124-IF(OR($CE124&gt;=OP!$C$24,AND(CH124=15,CF124=12),CS124=0),0,(CT124-CR124)),$CM$7)</f>
        <v>0</v>
      </c>
      <c r="CN124" s="511"/>
      <c r="CO124" s="351">
        <f t="shared" ca="1" si="103"/>
        <v>49276</v>
      </c>
      <c r="CP124" s="473">
        <f t="shared" si="104"/>
        <v>0</v>
      </c>
      <c r="CQ124" s="473">
        <f t="shared" ca="1" si="74"/>
        <v>112.57878297000001</v>
      </c>
      <c r="CR124" s="476">
        <f t="shared" ca="1" si="105"/>
        <v>0</v>
      </c>
      <c r="CS124" s="494">
        <f ca="1">IF(OR($Q123&lt;&gt;1,OP!$D$5+$CE124-1&lt;16,$CE124-1&lt;1),0,ROUND(ROUND(ROUND(((VLOOKUP($CE124-1,MORE_PV,5,0)/10000)*VLOOKUP($CE124,MORE_PV,$CS$5,0)),3)*VLOOKUP($CE124,more1,5,0),0)/$R123,0))</f>
        <v>0</v>
      </c>
      <c r="CT124" s="473">
        <f>IF($AW124=1,IF(N($CR124+$CS124)&lt;N($AX124)*OP!$C$50,N($CR124+$CS124),MIN(N($CR124+$CS124),N($AX124))),0)</f>
        <v>0</v>
      </c>
      <c r="CV124" s="503">
        <f t="shared" ca="1" si="106"/>
        <v>49276.343231325998</v>
      </c>
      <c r="CW124" s="503">
        <f t="shared" ca="1" si="107"/>
        <v>0</v>
      </c>
      <c r="CX124" s="503">
        <f t="shared" ca="1" si="108"/>
        <v>49385.283172231997</v>
      </c>
    </row>
    <row r="125" spans="1:102" ht="16.5" hidden="1">
      <c r="B125" s="80"/>
      <c r="C125" s="80"/>
      <c r="D125" s="80"/>
      <c r="E125" s="80"/>
      <c r="F125" s="80"/>
      <c r="G125" s="80"/>
      <c r="H125" s="80"/>
      <c r="I125" s="80"/>
      <c r="J125" s="192">
        <f t="shared" si="75"/>
        <v>10</v>
      </c>
      <c r="K125" s="192">
        <f t="shared" si="76"/>
        <v>9</v>
      </c>
      <c r="L125" s="192" t="str">
        <f t="shared" si="69"/>
        <v/>
      </c>
      <c r="M125" s="216">
        <f t="shared" ca="1" si="77"/>
        <v>0</v>
      </c>
      <c r="N125" s="216"/>
      <c r="O125" s="216"/>
      <c r="P125" s="216"/>
      <c r="Q125" s="456" t="str">
        <f t="shared" ca="1" si="78"/>
        <v/>
      </c>
      <c r="R125" s="450">
        <f t="shared" ca="1" si="79"/>
        <v>1</v>
      </c>
      <c r="S125" s="191">
        <f t="shared" si="80"/>
        <v>10</v>
      </c>
      <c r="T125" s="191">
        <f t="shared" si="81"/>
        <v>9</v>
      </c>
      <c r="U125" s="191">
        <f ca="1">OP!$D$5+$S125-1</f>
        <v>42</v>
      </c>
      <c r="V125" s="191" t="str">
        <f t="shared" si="82"/>
        <v/>
      </c>
      <c r="W125" s="350">
        <f ca="1">IF(Q125&lt;&gt;1,0,VLOOKUP(OP!$C$55,PVFB,$S125+2,0))</f>
        <v>0</v>
      </c>
      <c r="X125" s="473">
        <f t="shared" ca="1" si="112"/>
        <v>0</v>
      </c>
      <c r="Y125" s="348">
        <f t="shared" ca="1" si="113"/>
        <v>0</v>
      </c>
      <c r="Z125" s="348">
        <f t="shared" ca="1" si="114"/>
        <v>8012</v>
      </c>
      <c r="AA125" s="348">
        <f ca="1">IF(Q125&lt;&gt;1,0,VLOOKUP(OP!$C$55,PVFB,$S125+2,0))</f>
        <v>0</v>
      </c>
      <c r="AB125" s="488" t="str">
        <f ca="1">IF(AND(S125&lt;OP!$C$24,$U125&lt;15),0,IF(AND($U125&lt;15,$T125=12),ROUND(VLOOKUP($S125,DOWN16,5,0),3),IF($T125=12,ROUND(($Z125/10000)*$AA125,3)+IF(AND($P$7="購買增額繳清保險",T125=12,U125=110),VLOOKUP(S125,$B$10:$H$121,7,0),0),"")))</f>
        <v/>
      </c>
      <c r="AC125" s="350" t="str">
        <f ca="1">IF(AND(S125&lt;OP!$C$24,$U125&lt;15),0,IF(AND($U125&lt;16,$T125=12),VLOOKUP($S125,DOWN16,4,0),IF($T125=12,ROUND(VLOOKUP(OP!$C$55,_DIE2,$S125+1,0)*(Z125/10000),0)+IF(AND($P$7="購買增額繳清保險",T125=12,U125=110),VLOOKUP(S125,$B$10:$H$121,7,0),0),"")))</f>
        <v/>
      </c>
      <c r="AD125" s="347"/>
      <c r="AE125" s="350" t="str">
        <f t="shared" ca="1" si="70"/>
        <v/>
      </c>
      <c r="AF125" s="351" t="str">
        <f t="shared" ca="1" si="71"/>
        <v/>
      </c>
      <c r="AG125" s="340"/>
      <c r="AH125" s="340"/>
      <c r="AI125" s="340"/>
      <c r="AJ125" s="340"/>
      <c r="AK125" s="340"/>
      <c r="AL125" s="340"/>
      <c r="AM125" s="340"/>
      <c r="AN125" s="191">
        <f t="shared" si="83"/>
        <v>10</v>
      </c>
      <c r="AO125" s="191">
        <f t="shared" si="84"/>
        <v>9</v>
      </c>
      <c r="AP125" s="191">
        <f ca="1">OP!$D$5+$AN125-1</f>
        <v>42</v>
      </c>
      <c r="AQ125" s="191" t="str">
        <f t="shared" si="85"/>
        <v/>
      </c>
      <c r="AR125" s="352">
        <f t="shared" ca="1" si="86"/>
        <v>0</v>
      </c>
      <c r="AS125" s="352"/>
      <c r="AT125" s="352"/>
      <c r="AU125" s="436"/>
      <c r="AV125" s="353" t="str">
        <f t="shared" ca="1" si="87"/>
        <v/>
      </c>
      <c r="AW125" s="422" t="str">
        <f t="shared" si="88"/>
        <v/>
      </c>
      <c r="AX125" s="423" t="str">
        <f ca="1">IF(AND($AW125=1,$AP125&lt;16,$AN124&lt;OP!$C$24),OP!$C$49,"")</f>
        <v/>
      </c>
      <c r="AY125" s="340"/>
      <c r="AZ125" s="465">
        <f t="shared" ca="1" si="89"/>
        <v>7.3698599999999999E-5</v>
      </c>
      <c r="BA125" s="464">
        <f t="shared" ca="1" si="90"/>
        <v>1.9898630000000001E-3</v>
      </c>
      <c r="BB125" s="465">
        <f t="shared" ca="1" si="90"/>
        <v>2.0635616E-3</v>
      </c>
      <c r="BC125" s="466">
        <f t="shared" ca="1" si="91"/>
        <v>46419</v>
      </c>
      <c r="BD125" s="467">
        <f t="shared" ca="1" si="115"/>
        <v>46420</v>
      </c>
      <c r="BE125" s="467">
        <f t="shared" ca="1" si="92"/>
        <v>46446</v>
      </c>
      <c r="BF125" s="468">
        <f ca="1">IF(計算!$BC125&lt;OP!$C$3,0,BD125-BC125)</f>
        <v>1</v>
      </c>
      <c r="BG125" s="468">
        <f ca="1">IF($BE125&gt;DATE(YEAR($BD$9)+OP!$C$57,MONTH($BD$9),DAY($BD$9)),0,$BE125-$BD125+1)</f>
        <v>27</v>
      </c>
      <c r="BH125" s="469">
        <f t="shared" ca="1" si="93"/>
        <v>28</v>
      </c>
      <c r="BI125" t="str">
        <f t="shared" si="128"/>
        <v/>
      </c>
      <c r="BJ125">
        <v>8</v>
      </c>
      <c r="BN125" s="468">
        <f t="shared" si="116"/>
        <v>10</v>
      </c>
      <c r="BO125" s="468">
        <f t="shared" si="117"/>
        <v>8</v>
      </c>
      <c r="BP125" s="467">
        <f t="shared" ca="1" si="94"/>
        <v>46420</v>
      </c>
      <c r="BQ125" s="475">
        <f t="shared" ca="1" si="126"/>
        <v>42</v>
      </c>
      <c r="BR125" s="475" t="str">
        <f t="shared" si="118"/>
        <v/>
      </c>
      <c r="BS125" s="471" t="str">
        <f t="shared" si="95"/>
        <v/>
      </c>
      <c r="BT125" s="472" t="str">
        <f t="shared" si="129"/>
        <v/>
      </c>
      <c r="BU125" s="472">
        <f t="shared" ca="1" si="96"/>
        <v>0</v>
      </c>
      <c r="BV125" s="472">
        <f t="shared" ca="1" si="96"/>
        <v>0</v>
      </c>
      <c r="BW125" s="472"/>
      <c r="BX125" s="473">
        <f t="shared" ca="1" si="97"/>
        <v>23454.751804267999</v>
      </c>
      <c r="BY125" s="473">
        <f t="shared" si="98"/>
        <v>0</v>
      </c>
      <c r="BZ125" s="473">
        <f t="shared" ca="1" si="72"/>
        <v>48.400325160999998</v>
      </c>
      <c r="CA125" s="476">
        <f t="shared" ca="1" si="99"/>
        <v>0</v>
      </c>
      <c r="CB125" s="494">
        <f ca="1">IF(OR($Q124&lt;&gt;1,OP!$D$5+$BN125-1&lt;16,$BN125-1&lt;1),0,ROUND(ROUND(ROUND(((VLOOKUP($BN125-1,MORE_PV,5,0)/10000)*VLOOKUP($BN125,MORE_PV,$CB$5,0)),3)*VLOOKUP($BN125,more1,5,0),0)/$R124,0))</f>
        <v>0</v>
      </c>
      <c r="CC125" s="473">
        <f t="shared" ca="1" si="100"/>
        <v>0</v>
      </c>
      <c r="CD125" s="477"/>
      <c r="CE125" s="468">
        <f t="shared" si="119"/>
        <v>10</v>
      </c>
      <c r="CF125" s="468">
        <f t="shared" si="120"/>
        <v>8</v>
      </c>
      <c r="CG125" s="467">
        <f t="shared" ca="1" si="73"/>
        <v>46420</v>
      </c>
      <c r="CH125" s="475">
        <f t="shared" ca="1" si="127"/>
        <v>42</v>
      </c>
      <c r="CI125" s="513" t="str">
        <f t="shared" si="121"/>
        <v/>
      </c>
      <c r="CJ125" s="511">
        <f t="shared" si="101"/>
        <v>0</v>
      </c>
      <c r="CK125" s="512">
        <f t="shared" si="102"/>
        <v>0</v>
      </c>
      <c r="CL125" s="511">
        <f t="shared" ca="1" si="122"/>
        <v>0</v>
      </c>
      <c r="CM125" s="511">
        <f ca="1">ROUND(CS125-IF(OR($CE125&gt;=OP!$C$24,AND(CH125=15,CF125=12),CS125=0),0,(CT125-CR125)),$CM$7)</f>
        <v>0</v>
      </c>
      <c r="CN125" s="511"/>
      <c r="CO125" s="351">
        <f t="shared" ca="1" si="103"/>
        <v>49389</v>
      </c>
      <c r="CP125" s="473">
        <f t="shared" si="104"/>
        <v>0</v>
      </c>
      <c r="CQ125" s="473">
        <f t="shared" ca="1" si="74"/>
        <v>101.91724386200001</v>
      </c>
      <c r="CR125" s="476">
        <f t="shared" ca="1" si="105"/>
        <v>0</v>
      </c>
      <c r="CS125" s="494">
        <f ca="1">IF(OR($Q124&lt;&gt;1,OP!$D$5+$CE125-1&lt;16,$CE125-1&lt;1),0,ROUND(ROUND(ROUND(((VLOOKUP($CE125-1,MORE_PV,5,0)/10000)*VLOOKUP($CE125,MORE_PV,$CS$5,0)),3)*VLOOKUP($CE125,more1,5,0),0)/$R124,0))</f>
        <v>0</v>
      </c>
      <c r="CT125" s="473">
        <f>IF($AW125=1,IF(N($CR125+$CS125)&lt;N($AX125)*OP!$C$50,N($CR125+$CS125),MIN(N($CR125+$CS125),N($AX125))),0)</f>
        <v>0</v>
      </c>
      <c r="CV125" s="503">
        <f t="shared" ca="1" si="106"/>
        <v>49388.922798462001</v>
      </c>
      <c r="CW125" s="503">
        <f t="shared" ca="1" si="107"/>
        <v>0</v>
      </c>
      <c r="CX125" s="503">
        <f t="shared" ca="1" si="108"/>
        <v>49487.192746191002</v>
      </c>
    </row>
    <row r="126" spans="1:102" ht="16.5" hidden="1">
      <c r="B126" s="80"/>
      <c r="C126" s="80"/>
      <c r="D126" s="80"/>
      <c r="E126" s="80"/>
      <c r="F126" s="80"/>
      <c r="G126" s="80"/>
      <c r="H126" s="80"/>
      <c r="I126" s="80"/>
      <c r="J126" s="192">
        <f t="shared" si="75"/>
        <v>10</v>
      </c>
      <c r="K126" s="192">
        <f t="shared" si="76"/>
        <v>10</v>
      </c>
      <c r="L126" s="192" t="str">
        <f t="shared" si="69"/>
        <v/>
      </c>
      <c r="M126" s="216">
        <f t="shared" ca="1" si="77"/>
        <v>0</v>
      </c>
      <c r="N126" s="216"/>
      <c r="O126" s="216"/>
      <c r="P126" s="216"/>
      <c r="Q126" s="456" t="str">
        <f t="shared" ca="1" si="78"/>
        <v/>
      </c>
      <c r="R126" s="450">
        <f t="shared" ca="1" si="79"/>
        <v>1</v>
      </c>
      <c r="S126" s="191">
        <f t="shared" si="80"/>
        <v>10</v>
      </c>
      <c r="T126" s="191">
        <f t="shared" si="81"/>
        <v>10</v>
      </c>
      <c r="U126" s="191">
        <f ca="1">OP!$D$5+$S126-1</f>
        <v>42</v>
      </c>
      <c r="V126" s="191" t="str">
        <f t="shared" si="82"/>
        <v/>
      </c>
      <c r="W126" s="350">
        <f ca="1">IF(Q126&lt;&gt;1,0,VLOOKUP(OP!$C$55,PVFB,$S126+2,0))</f>
        <v>0</v>
      </c>
      <c r="X126" s="473">
        <f t="shared" ca="1" si="112"/>
        <v>0</v>
      </c>
      <c r="Y126" s="348">
        <f t="shared" ca="1" si="113"/>
        <v>0</v>
      </c>
      <c r="Z126" s="348">
        <f t="shared" ca="1" si="114"/>
        <v>8012</v>
      </c>
      <c r="AA126" s="348">
        <f ca="1">IF(Q126&lt;&gt;1,0,VLOOKUP(OP!$C$55,PVFB,$S126+2,0))</f>
        <v>0</v>
      </c>
      <c r="AB126" s="488" t="str">
        <f ca="1">IF(AND(S126&lt;OP!$C$24,$U126&lt;15),0,IF(AND($U126&lt;15,$T126=12),ROUND(VLOOKUP($S126,DOWN16,5,0),3),IF($T126=12,ROUND(($Z126/10000)*$AA126,3)+IF(AND($P$7="購買增額繳清保險",T126=12,U126=110),VLOOKUP(S126,$B$10:$H$121,7,0),0),"")))</f>
        <v/>
      </c>
      <c r="AC126" s="350" t="str">
        <f ca="1">IF(AND(S126&lt;OP!$C$24,$U126&lt;15),0,IF(AND($U126&lt;16,$T126=12),VLOOKUP($S126,DOWN16,4,0),IF($T126=12,ROUND(VLOOKUP(OP!$C$55,_DIE2,$S126+1,0)*(Z126/10000),0)+IF(AND($P$7="購買增額繳清保險",T126=12,U126=110),VLOOKUP(S126,$B$10:$H$121,7,0),0),"")))</f>
        <v/>
      </c>
      <c r="AD126" s="347"/>
      <c r="AE126" s="350" t="str">
        <f t="shared" ca="1" si="70"/>
        <v/>
      </c>
      <c r="AF126" s="351" t="str">
        <f t="shared" ca="1" si="71"/>
        <v/>
      </c>
      <c r="AG126" s="340"/>
      <c r="AH126" s="340"/>
      <c r="AI126" s="340"/>
      <c r="AJ126" s="340"/>
      <c r="AK126" s="340"/>
      <c r="AL126" s="340"/>
      <c r="AM126" s="340"/>
      <c r="AN126" s="191">
        <f t="shared" si="83"/>
        <v>10</v>
      </c>
      <c r="AO126" s="191">
        <f t="shared" si="84"/>
        <v>10</v>
      </c>
      <c r="AP126" s="191">
        <f ca="1">OP!$D$5+$AN126-1</f>
        <v>42</v>
      </c>
      <c r="AQ126" s="191" t="str">
        <f t="shared" si="85"/>
        <v/>
      </c>
      <c r="AR126" s="352">
        <f t="shared" ca="1" si="86"/>
        <v>0</v>
      </c>
      <c r="AS126" s="352"/>
      <c r="AT126" s="352"/>
      <c r="AU126" s="436"/>
      <c r="AV126" s="353" t="str">
        <f t="shared" ca="1" si="87"/>
        <v/>
      </c>
      <c r="AW126" s="422" t="str">
        <f t="shared" si="88"/>
        <v/>
      </c>
      <c r="AX126" s="423" t="str">
        <f ca="1">IF(AND($AW126=1,$AP126&lt;16,$AN125&lt;OP!$C$24),OP!$C$49,"")</f>
        <v/>
      </c>
      <c r="AY126" s="340"/>
      <c r="AZ126" s="465">
        <f t="shared" ca="1" si="89"/>
        <v>7.3698599999999999E-5</v>
      </c>
      <c r="BA126" s="464">
        <f t="shared" ca="1" si="90"/>
        <v>2.2109589000000002E-3</v>
      </c>
      <c r="BB126" s="465">
        <f t="shared" ca="1" si="90"/>
        <v>2.2846575E-3</v>
      </c>
      <c r="BC126" s="466">
        <f t="shared" ca="1" si="91"/>
        <v>46447</v>
      </c>
      <c r="BD126" s="467">
        <f t="shared" ca="1" si="115"/>
        <v>46448</v>
      </c>
      <c r="BE126" s="467">
        <f t="shared" ca="1" si="92"/>
        <v>46477</v>
      </c>
      <c r="BF126" s="468">
        <f ca="1">IF(計算!$BC126&lt;OP!$C$3,0,BD126-BC126)</f>
        <v>1</v>
      </c>
      <c r="BG126" s="468">
        <f ca="1">IF($BE126&gt;DATE(YEAR($BD$9)+OP!$C$57,MONTH($BD$9),DAY($BD$9)),0,$BE126-$BD126+1)</f>
        <v>30</v>
      </c>
      <c r="BH126" s="469">
        <f t="shared" ca="1" si="93"/>
        <v>31</v>
      </c>
      <c r="BI126" t="str">
        <f t="shared" si="128"/>
        <v/>
      </c>
      <c r="BJ126">
        <v>9</v>
      </c>
      <c r="BN126" s="468">
        <f t="shared" si="116"/>
        <v>10</v>
      </c>
      <c r="BO126" s="468">
        <f t="shared" si="117"/>
        <v>9</v>
      </c>
      <c r="BP126" s="467">
        <f t="shared" ca="1" si="94"/>
        <v>46448</v>
      </c>
      <c r="BQ126" s="475">
        <f t="shared" ca="1" si="126"/>
        <v>42</v>
      </c>
      <c r="BR126" s="475" t="str">
        <f t="shared" si="118"/>
        <v/>
      </c>
      <c r="BS126" s="471" t="str">
        <f t="shared" si="95"/>
        <v/>
      </c>
      <c r="BT126" s="472" t="str">
        <f t="shared" si="129"/>
        <v/>
      </c>
      <c r="BU126" s="472">
        <f t="shared" ca="1" si="96"/>
        <v>0</v>
      </c>
      <c r="BV126" s="472">
        <f t="shared" ca="1" si="96"/>
        <v>0</v>
      </c>
      <c r="BW126" s="472"/>
      <c r="BX126" s="473">
        <f t="shared" ca="1" si="97"/>
        <v>23503.152129429</v>
      </c>
      <c r="BY126" s="473">
        <f t="shared" si="98"/>
        <v>0</v>
      </c>
      <c r="BZ126" s="473">
        <f t="shared" ca="1" si="72"/>
        <v>53.696652786000001</v>
      </c>
      <c r="CA126" s="476">
        <f t="shared" ca="1" si="99"/>
        <v>0</v>
      </c>
      <c r="CB126" s="494">
        <f ca="1">IF(OR($Q125&lt;&gt;1,OP!$D$5+$BN126-1&lt;16,$BN126-1&lt;1),0,ROUND(ROUND(ROUND(((VLOOKUP($BN126-1,MORE_PV,5,0)/10000)*VLOOKUP($BN126,MORE_PV,$CB$5,0)),3)*VLOOKUP($BN126,more1,5,0),0)/$R125,0))</f>
        <v>0</v>
      </c>
      <c r="CC126" s="473">
        <f t="shared" ca="1" si="100"/>
        <v>0</v>
      </c>
      <c r="CD126" s="477"/>
      <c r="CE126" s="468">
        <f t="shared" si="119"/>
        <v>10</v>
      </c>
      <c r="CF126" s="468">
        <f t="shared" si="120"/>
        <v>9</v>
      </c>
      <c r="CG126" s="467">
        <f t="shared" ca="1" si="73"/>
        <v>46448</v>
      </c>
      <c r="CH126" s="475">
        <f t="shared" ca="1" si="127"/>
        <v>42</v>
      </c>
      <c r="CI126" s="513" t="str">
        <f t="shared" si="121"/>
        <v/>
      </c>
      <c r="CJ126" s="511">
        <f t="shared" si="101"/>
        <v>0</v>
      </c>
      <c r="CK126" s="512">
        <f t="shared" si="102"/>
        <v>0</v>
      </c>
      <c r="CL126" s="511">
        <f t="shared" ca="1" si="122"/>
        <v>0</v>
      </c>
      <c r="CM126" s="511">
        <f ca="1">ROUND(CS126-IF(OR($CE126&gt;=OP!$C$24,AND(CH126=15,CF126=12),CS126=0),0,(CT126-CR126)),$CM$7)</f>
        <v>0</v>
      </c>
      <c r="CN126" s="511"/>
      <c r="CO126" s="351">
        <f t="shared" ca="1" si="103"/>
        <v>49491</v>
      </c>
      <c r="CP126" s="473">
        <f t="shared" si="104"/>
        <v>0</v>
      </c>
      <c r="CQ126" s="473">
        <f t="shared" ca="1" si="74"/>
        <v>113.06998433299999</v>
      </c>
      <c r="CR126" s="476">
        <f t="shared" ca="1" si="105"/>
        <v>0</v>
      </c>
      <c r="CS126" s="494">
        <f ca="1">IF(OR($Q125&lt;&gt;1,OP!$D$5+$CE126-1&lt;16,$CE126-1&lt;1),0,ROUND(ROUND(ROUND(((VLOOKUP($CE126-1,MORE_PV,5,0)/10000)*VLOOKUP($CE126,MORE_PV,$CS$5,0)),3)*VLOOKUP($CE126,more1,5,0),0)/$R125,0))</f>
        <v>0</v>
      </c>
      <c r="CT126" s="473">
        <f>IF($AW126=1,IF(N($CR126+$CS126)&lt;N($AX126)*OP!$C$50,N($CR126+$CS126),MIN(N($CR126+$CS126),N($AX126))),0)</f>
        <v>0</v>
      </c>
      <c r="CV126" s="503">
        <f t="shared" ca="1" si="106"/>
        <v>49490.839883013999</v>
      </c>
      <c r="CW126" s="503">
        <f t="shared" ca="1" si="107"/>
        <v>0</v>
      </c>
      <c r="CX126" s="503">
        <f t="shared" ca="1" si="108"/>
        <v>49600.254032252997</v>
      </c>
    </row>
    <row r="127" spans="1:102" ht="16.5" hidden="1">
      <c r="B127" s="80"/>
      <c r="C127" s="80"/>
      <c r="D127" s="80"/>
      <c r="E127" s="80"/>
      <c r="F127" s="80"/>
      <c r="G127" s="80"/>
      <c r="H127" s="80"/>
      <c r="I127" s="80"/>
      <c r="J127" s="192">
        <f t="shared" si="75"/>
        <v>10</v>
      </c>
      <c r="K127" s="192">
        <f t="shared" si="76"/>
        <v>11</v>
      </c>
      <c r="L127" s="192" t="str">
        <f t="shared" si="69"/>
        <v/>
      </c>
      <c r="M127" s="216">
        <f t="shared" ca="1" si="77"/>
        <v>0</v>
      </c>
      <c r="N127" s="216"/>
      <c r="O127" s="216"/>
      <c r="P127" s="216"/>
      <c r="Q127" s="456" t="str">
        <f t="shared" ca="1" si="78"/>
        <v/>
      </c>
      <c r="R127" s="450">
        <f t="shared" ca="1" si="79"/>
        <v>1</v>
      </c>
      <c r="S127" s="191">
        <f t="shared" si="80"/>
        <v>10</v>
      </c>
      <c r="T127" s="191">
        <f t="shared" si="81"/>
        <v>11</v>
      </c>
      <c r="U127" s="191">
        <f ca="1">OP!$D$5+$S127-1</f>
        <v>42</v>
      </c>
      <c r="V127" s="191" t="str">
        <f t="shared" si="82"/>
        <v/>
      </c>
      <c r="W127" s="350">
        <f ca="1">IF(Q127&lt;&gt;1,0,VLOOKUP(OP!$C$55,PVFB,$S127+2,0))</f>
        <v>0</v>
      </c>
      <c r="X127" s="473">
        <f t="shared" ca="1" si="112"/>
        <v>0</v>
      </c>
      <c r="Y127" s="348">
        <f t="shared" ca="1" si="113"/>
        <v>0</v>
      </c>
      <c r="Z127" s="348">
        <f t="shared" ca="1" si="114"/>
        <v>8012</v>
      </c>
      <c r="AA127" s="348">
        <f ca="1">IF(Q127&lt;&gt;1,0,VLOOKUP(OP!$C$55,PVFB,$S127+2,0))</f>
        <v>0</v>
      </c>
      <c r="AB127" s="488" t="str">
        <f ca="1">IF(AND(S127&lt;OP!$C$24,$U127&lt;15),0,IF(AND($U127&lt;15,$T127=12),ROUND(VLOOKUP($S127,DOWN16,5,0),3),IF($T127=12,ROUND(($Z127/10000)*$AA127,3)+IF(AND($P$7="購買增額繳清保險",T127=12,U127=110),VLOOKUP(S127,$B$10:$H$121,7,0),0),"")))</f>
        <v/>
      </c>
      <c r="AC127" s="350" t="str">
        <f ca="1">IF(AND(S127&lt;OP!$C$24,$U127&lt;15),0,IF(AND($U127&lt;16,$T127=12),VLOOKUP($S127,DOWN16,4,0),IF($T127=12,ROUND(VLOOKUP(OP!$C$55,_DIE2,$S127+1,0)*(Z127/10000),0)+IF(AND($P$7="購買增額繳清保險",T127=12,U127=110),VLOOKUP(S127,$B$10:$H$121,7,0),0),"")))</f>
        <v/>
      </c>
      <c r="AD127" s="347"/>
      <c r="AE127" s="350" t="str">
        <f t="shared" ca="1" si="70"/>
        <v/>
      </c>
      <c r="AF127" s="351" t="str">
        <f t="shared" ca="1" si="71"/>
        <v/>
      </c>
      <c r="AG127" s="340"/>
      <c r="AH127" s="340"/>
      <c r="AI127" s="340"/>
      <c r="AJ127" s="340"/>
      <c r="AK127" s="340"/>
      <c r="AL127" s="340"/>
      <c r="AM127" s="340"/>
      <c r="AN127" s="191">
        <f t="shared" si="83"/>
        <v>10</v>
      </c>
      <c r="AO127" s="191">
        <f t="shared" si="84"/>
        <v>11</v>
      </c>
      <c r="AP127" s="191">
        <f ca="1">OP!$D$5+$AN127-1</f>
        <v>42</v>
      </c>
      <c r="AQ127" s="191" t="str">
        <f t="shared" si="85"/>
        <v/>
      </c>
      <c r="AR127" s="352">
        <f t="shared" ca="1" si="86"/>
        <v>0</v>
      </c>
      <c r="AS127" s="352"/>
      <c r="AT127" s="352"/>
      <c r="AU127" s="436"/>
      <c r="AV127" s="353" t="str">
        <f t="shared" ca="1" si="87"/>
        <v/>
      </c>
      <c r="AW127" s="422" t="str">
        <f t="shared" si="88"/>
        <v/>
      </c>
      <c r="AX127" s="423" t="str">
        <f ca="1">IF(AND($AW127=1,$AP127&lt;16,$AN126&lt;OP!$C$24),OP!$C$49,"")</f>
        <v/>
      </c>
      <c r="AY127" s="340"/>
      <c r="AZ127" s="465">
        <f t="shared" ca="1" si="89"/>
        <v>7.3698599999999999E-5</v>
      </c>
      <c r="BA127" s="464">
        <f t="shared" ca="1" si="90"/>
        <v>2.1372602999999999E-3</v>
      </c>
      <c r="BB127" s="465">
        <f t="shared" ca="1" si="90"/>
        <v>2.2109589000000002E-3</v>
      </c>
      <c r="BC127" s="466">
        <f t="shared" ca="1" si="91"/>
        <v>46478</v>
      </c>
      <c r="BD127" s="467">
        <f t="shared" ca="1" si="115"/>
        <v>46479</v>
      </c>
      <c r="BE127" s="467">
        <f t="shared" ca="1" si="92"/>
        <v>46507</v>
      </c>
      <c r="BF127" s="468">
        <f ca="1">IF(計算!$BC127&lt;OP!$C$3,0,BD127-BC127)</f>
        <v>1</v>
      </c>
      <c r="BG127" s="468">
        <f ca="1">IF($BE127&gt;DATE(YEAR($BD$9)+OP!$C$57,MONTH($BD$9),DAY($BD$9)),0,$BE127-$BD127+1)</f>
        <v>29</v>
      </c>
      <c r="BH127" s="469">
        <f t="shared" ca="1" si="93"/>
        <v>30</v>
      </c>
      <c r="BI127" t="str">
        <f t="shared" si="128"/>
        <v/>
      </c>
      <c r="BJ127">
        <v>10</v>
      </c>
      <c r="BN127" s="468">
        <f t="shared" si="116"/>
        <v>10</v>
      </c>
      <c r="BO127" s="468">
        <f t="shared" si="117"/>
        <v>10</v>
      </c>
      <c r="BP127" s="467">
        <f t="shared" ca="1" si="94"/>
        <v>46479</v>
      </c>
      <c r="BQ127" s="475">
        <f t="shared" ca="1" si="126"/>
        <v>42</v>
      </c>
      <c r="BR127" s="475" t="str">
        <f t="shared" si="118"/>
        <v/>
      </c>
      <c r="BS127" s="471" t="str">
        <f t="shared" si="95"/>
        <v/>
      </c>
      <c r="BT127" s="472" t="str">
        <f t="shared" si="129"/>
        <v/>
      </c>
      <c r="BU127" s="472">
        <f t="shared" ca="1" si="96"/>
        <v>0</v>
      </c>
      <c r="BV127" s="472">
        <f t="shared" ca="1" si="96"/>
        <v>0</v>
      </c>
      <c r="BW127" s="472"/>
      <c r="BX127" s="473">
        <f t="shared" ca="1" si="97"/>
        <v>23556.848782214998</v>
      </c>
      <c r="BY127" s="473">
        <f t="shared" si="98"/>
        <v>0</v>
      </c>
      <c r="BZ127" s="473">
        <f t="shared" ca="1" si="72"/>
        <v>52.083224471000001</v>
      </c>
      <c r="CA127" s="476">
        <f t="shared" ca="1" si="99"/>
        <v>0</v>
      </c>
      <c r="CB127" s="494">
        <f ca="1">IF(OR($Q126&lt;&gt;1,OP!$D$5+$BN127-1&lt;16,$BN127-1&lt;1),0,ROUND(ROUND(ROUND(((VLOOKUP($BN127-1,MORE_PV,5,0)/10000)*VLOOKUP($BN127,MORE_PV,$CB$5,0)),3)*VLOOKUP($BN127,more1,5,0),0)/$R126,0))</f>
        <v>0</v>
      </c>
      <c r="CC127" s="473">
        <f t="shared" ca="1" si="100"/>
        <v>0</v>
      </c>
      <c r="CD127" s="477"/>
      <c r="CE127" s="468">
        <f t="shared" si="119"/>
        <v>10</v>
      </c>
      <c r="CF127" s="468">
        <f t="shared" si="120"/>
        <v>10</v>
      </c>
      <c r="CG127" s="467">
        <f t="shared" ca="1" si="73"/>
        <v>46479</v>
      </c>
      <c r="CH127" s="475">
        <f t="shared" ca="1" si="127"/>
        <v>42</v>
      </c>
      <c r="CI127" s="513" t="str">
        <f t="shared" si="121"/>
        <v/>
      </c>
      <c r="CJ127" s="511">
        <f t="shared" si="101"/>
        <v>0</v>
      </c>
      <c r="CK127" s="512">
        <f t="shared" si="102"/>
        <v>0</v>
      </c>
      <c r="CL127" s="511">
        <f t="shared" ca="1" si="122"/>
        <v>0</v>
      </c>
      <c r="CM127" s="511">
        <f ca="1">ROUND(CS127-IF(OR($CE127&gt;=OP!$C$24,AND(CH127=15,CF127=12),CS127=0),0,(CT127-CR127)),$CM$7)</f>
        <v>0</v>
      </c>
      <c r="CN127" s="511"/>
      <c r="CO127" s="351">
        <f t="shared" ca="1" si="103"/>
        <v>49604</v>
      </c>
      <c r="CP127" s="473">
        <f t="shared" si="104"/>
        <v>0</v>
      </c>
      <c r="CQ127" s="473">
        <f t="shared" ca="1" si="74"/>
        <v>109.67240527600001</v>
      </c>
      <c r="CR127" s="476">
        <f t="shared" ca="1" si="105"/>
        <v>0</v>
      </c>
      <c r="CS127" s="494">
        <f ca="1">IF(OR($Q126&lt;&gt;1,OP!$D$5+$CE127-1&lt;16,$CE127-1&lt;1),0,ROUND(ROUND(ROUND(((VLOOKUP($CE127-1,MORE_PV,5,0)/10000)*VLOOKUP($CE127,MORE_PV,$CS$5,0)),3)*VLOOKUP($CE127,more1,5,0),0)/$R126,0))</f>
        <v>0</v>
      </c>
      <c r="CT127" s="473">
        <f>IF($AW127=1,IF(N($CR127+$CS127)&lt;N($AX127)*OP!$C$50,N($CR127+$CS127),MIN(N($CR127+$CS127),N($AX127))),0)</f>
        <v>0</v>
      </c>
      <c r="CV127" s="503">
        <f t="shared" ca="1" si="106"/>
        <v>49603.909501535003</v>
      </c>
      <c r="CW127" s="503">
        <f t="shared" ca="1" si="107"/>
        <v>0</v>
      </c>
      <c r="CX127" s="503">
        <f t="shared" ca="1" si="108"/>
        <v>49709.918155348001</v>
      </c>
    </row>
    <row r="128" spans="1:102" ht="16.5" hidden="1">
      <c r="B128" s="80"/>
      <c r="C128" s="80"/>
      <c r="D128" s="80"/>
      <c r="E128" s="80"/>
      <c r="F128" s="80"/>
      <c r="G128" s="80"/>
      <c r="H128" s="80"/>
      <c r="I128" s="80"/>
      <c r="J128" s="192">
        <f t="shared" si="75"/>
        <v>10</v>
      </c>
      <c r="K128" s="192">
        <f t="shared" si="76"/>
        <v>12</v>
      </c>
      <c r="L128" s="192">
        <f t="shared" si="69"/>
        <v>10</v>
      </c>
      <c r="M128" s="216">
        <f t="shared" ca="1" si="77"/>
        <v>31442</v>
      </c>
      <c r="N128" s="216"/>
      <c r="O128" s="216"/>
      <c r="P128" s="216"/>
      <c r="Q128" s="456">
        <f t="shared" ca="1" si="78"/>
        <v>1</v>
      </c>
      <c r="R128" s="450">
        <f t="shared" ca="1" si="79"/>
        <v>1</v>
      </c>
      <c r="S128" s="191">
        <f t="shared" si="80"/>
        <v>10</v>
      </c>
      <c r="T128" s="191">
        <f t="shared" si="81"/>
        <v>12</v>
      </c>
      <c r="U128" s="191">
        <f ca="1">OP!$D$5+$S128-1</f>
        <v>42</v>
      </c>
      <c r="V128" s="191">
        <f t="shared" si="82"/>
        <v>10</v>
      </c>
      <c r="W128" s="350">
        <f ca="1">IF(Q128&lt;&gt;1,0,VLOOKUP(OP!$C$55,PVFB,$S128+2,0))</f>
        <v>32386</v>
      </c>
      <c r="X128" s="473">
        <f t="shared" ca="1" si="112"/>
        <v>7777</v>
      </c>
      <c r="Y128" s="348">
        <f t="shared" ca="1" si="113"/>
        <v>0</v>
      </c>
      <c r="Z128" s="348">
        <f t="shared" ca="1" si="114"/>
        <v>8012</v>
      </c>
      <c r="AA128" s="348">
        <f ca="1">IF(Q128&lt;&gt;1,0,VLOOKUP(OP!$C$55,PVFB,$S128+2,0))</f>
        <v>32386</v>
      </c>
      <c r="AB128" s="488">
        <f ca="1">IF(AND(S128&lt;OP!$C$24,$U128&lt;15),0,IF(AND($U128&lt;15,$T128=12),ROUND(VLOOKUP($S128,DOWN16,5,0),3),IF($T128=12,ROUND(($Z128/10000)*$AA128,3)+IF(AND($P$7="購買增額繳清保險",T128=12,U128=110),VLOOKUP(S128,$B$10:$H$121,7,0),0),"")))</f>
        <v>25947.663</v>
      </c>
      <c r="AC128" s="350">
        <f ca="1">IF(AND(S128&lt;OP!$C$24,$U128&lt;15),0,IF(AND($U128&lt;16,$T128=12),VLOOKUP($S128,DOWN16,4,0),IF($T128=12,ROUND(VLOOKUP(OP!$C$55,_DIE2,$S128+1,0)*(Z128/10000),0)+IF(AND($P$7="購買增額繳清保險",T128=12,U128=110),VLOOKUP(S128,$B$10:$H$121,7,0),0),"")))</f>
        <v>25948</v>
      </c>
      <c r="AD128" s="347"/>
      <c r="AE128" s="350" t="str">
        <f t="shared" ca="1" si="70"/>
        <v/>
      </c>
      <c r="AF128" s="351" t="str">
        <f t="shared" ca="1" si="71"/>
        <v/>
      </c>
      <c r="AG128" s="340"/>
      <c r="AH128" s="340"/>
      <c r="AI128" s="340"/>
      <c r="AJ128" s="340"/>
      <c r="AK128" s="340"/>
      <c r="AL128" s="340"/>
      <c r="AM128" s="340"/>
      <c r="AN128" s="191">
        <f t="shared" si="83"/>
        <v>10</v>
      </c>
      <c r="AO128" s="191">
        <f t="shared" si="84"/>
        <v>12</v>
      </c>
      <c r="AP128" s="191">
        <f ca="1">OP!$D$5+$AN128-1</f>
        <v>42</v>
      </c>
      <c r="AQ128" s="191">
        <f t="shared" si="85"/>
        <v>10</v>
      </c>
      <c r="AR128" s="352">
        <f t="shared" ca="1" si="86"/>
        <v>57425</v>
      </c>
      <c r="AS128" s="352"/>
      <c r="AT128" s="352"/>
      <c r="AU128" s="436"/>
      <c r="AV128" s="353">
        <f t="shared" ca="1" si="87"/>
        <v>1</v>
      </c>
      <c r="AW128" s="422" t="str">
        <f t="shared" si="88"/>
        <v/>
      </c>
      <c r="AX128" s="423" t="str">
        <f ca="1">IF(AND($AW128=1,$AP128&lt;16,$AN127&lt;OP!$C$24),OP!$C$49,"")</f>
        <v/>
      </c>
      <c r="AY128" s="340"/>
      <c r="AZ128" s="465">
        <f t="shared" ca="1" si="89"/>
        <v>7.3698599999999999E-5</v>
      </c>
      <c r="BA128" s="464">
        <f t="shared" ca="1" si="90"/>
        <v>2.2109589000000002E-3</v>
      </c>
      <c r="BB128" s="465">
        <f t="shared" ca="1" si="90"/>
        <v>2.2846575E-3</v>
      </c>
      <c r="BC128" s="466">
        <f t="shared" ca="1" si="91"/>
        <v>46508</v>
      </c>
      <c r="BD128" s="467">
        <f t="shared" ca="1" si="115"/>
        <v>46509</v>
      </c>
      <c r="BE128" s="467">
        <f t="shared" ca="1" si="92"/>
        <v>46538</v>
      </c>
      <c r="BF128" s="468">
        <f ca="1">IF(計算!$BC128&lt;OP!$C$3,0,BD128-BC128)</f>
        <v>1</v>
      </c>
      <c r="BG128" s="468">
        <f ca="1">IF($BE128&gt;DATE(YEAR($BD$9)+OP!$C$57,MONTH($BD$9),DAY($BD$9)),0,$BE128-$BD128+1)</f>
        <v>30</v>
      </c>
      <c r="BH128" s="469">
        <f t="shared" ca="1" si="93"/>
        <v>31</v>
      </c>
      <c r="BI128" t="str">
        <f t="shared" si="128"/>
        <v/>
      </c>
      <c r="BJ128">
        <v>11</v>
      </c>
      <c r="BN128" s="468">
        <f t="shared" si="116"/>
        <v>10</v>
      </c>
      <c r="BO128" s="468">
        <f t="shared" si="117"/>
        <v>11</v>
      </c>
      <c r="BP128" s="467">
        <f t="shared" ca="1" si="94"/>
        <v>46509</v>
      </c>
      <c r="BQ128" s="475">
        <f t="shared" ca="1" si="126"/>
        <v>42</v>
      </c>
      <c r="BR128" s="475" t="str">
        <f t="shared" si="118"/>
        <v/>
      </c>
      <c r="BS128" s="471" t="str">
        <f t="shared" si="95"/>
        <v/>
      </c>
      <c r="BT128" s="472" t="str">
        <f t="shared" si="129"/>
        <v/>
      </c>
      <c r="BU128" s="472">
        <f t="shared" ca="1" si="96"/>
        <v>0</v>
      </c>
      <c r="BV128" s="472">
        <f t="shared" ca="1" si="96"/>
        <v>0</v>
      </c>
      <c r="BW128" s="472"/>
      <c r="BX128" s="473">
        <f t="shared" ca="1" si="97"/>
        <v>23608.932006685998</v>
      </c>
      <c r="BY128" s="473">
        <f t="shared" si="98"/>
        <v>0</v>
      </c>
      <c r="BZ128" s="473">
        <f t="shared" ca="1" si="72"/>
        <v>53.938323576000002</v>
      </c>
      <c r="CA128" s="476">
        <f t="shared" ca="1" si="99"/>
        <v>0</v>
      </c>
      <c r="CB128" s="494">
        <f ca="1">IF(OR($Q127&lt;&gt;1,OP!$D$5+$BN128-1&lt;16,$BN128-1&lt;1),0,ROUND(ROUND(ROUND(((VLOOKUP($BN128-1,MORE_PV,5,0)/10000)*VLOOKUP($BN128,MORE_PV,$CB$5,0)),3)*VLOOKUP($BN128,more1,5,0),0)/$R127,0))</f>
        <v>0</v>
      </c>
      <c r="CC128" s="473">
        <f t="shared" ca="1" si="100"/>
        <v>0</v>
      </c>
      <c r="CD128" s="477"/>
      <c r="CE128" s="468">
        <f t="shared" si="119"/>
        <v>10</v>
      </c>
      <c r="CF128" s="468">
        <f t="shared" si="120"/>
        <v>11</v>
      </c>
      <c r="CG128" s="467">
        <f t="shared" ca="1" si="73"/>
        <v>46509</v>
      </c>
      <c r="CH128" s="475">
        <f t="shared" ca="1" si="127"/>
        <v>42</v>
      </c>
      <c r="CI128" s="513" t="str">
        <f t="shared" si="121"/>
        <v/>
      </c>
      <c r="CJ128" s="511">
        <f t="shared" si="101"/>
        <v>0</v>
      </c>
      <c r="CK128" s="512">
        <f t="shared" si="102"/>
        <v>0</v>
      </c>
      <c r="CL128" s="511">
        <f t="shared" ca="1" si="122"/>
        <v>0</v>
      </c>
      <c r="CM128" s="511">
        <f ca="1">ROUND(CS128-IF(OR($CE128&gt;=OP!$C$24,AND(CH128=15,CF128=12),CS128=0),0,(CT128-CR128)),$CM$7)</f>
        <v>0</v>
      </c>
      <c r="CN128" s="511"/>
      <c r="CO128" s="351">
        <f t="shared" ca="1" si="103"/>
        <v>49714</v>
      </c>
      <c r="CP128" s="473">
        <f t="shared" si="104"/>
        <v>0</v>
      </c>
      <c r="CQ128" s="473">
        <f t="shared" ca="1" si="74"/>
        <v>113.579462955</v>
      </c>
      <c r="CR128" s="476">
        <f t="shared" ca="1" si="105"/>
        <v>0</v>
      </c>
      <c r="CS128" s="494">
        <f ca="1">IF(OR($Q127&lt;&gt;1,OP!$D$5+$CE128-1&lt;16,$CE128-1&lt;1),0,ROUND(ROUND(ROUND(((VLOOKUP($CE128-1,MORE_PV,5,0)/10000)*VLOOKUP($CE128,MORE_PV,$CS$5,0)),3)*VLOOKUP($CE128,more1,5,0),0)/$R127,0))</f>
        <v>0</v>
      </c>
      <c r="CT128" s="473">
        <f>IF($AW128=1,IF(N($CR128+$CS128)&lt;N($AX128)*OP!$C$50,N($CR128+$CS128),MIN(N($CR128+$CS128),N($AX128))),0)</f>
        <v>0</v>
      </c>
      <c r="CV128" s="503">
        <f t="shared" ca="1" si="106"/>
        <v>49713.581706721998</v>
      </c>
      <c r="CW128" s="503">
        <f t="shared" ca="1" si="107"/>
        <v>0</v>
      </c>
      <c r="CX128" s="503">
        <f t="shared" ca="1" si="108"/>
        <v>49823.488292686001</v>
      </c>
    </row>
    <row r="129" spans="2:102" ht="16.5" hidden="1">
      <c r="B129" s="80"/>
      <c r="C129" s="80"/>
      <c r="D129" s="80"/>
      <c r="E129" s="80"/>
      <c r="F129" s="80"/>
      <c r="G129" s="80"/>
      <c r="H129" s="80"/>
      <c r="I129" s="80"/>
      <c r="J129" s="192">
        <f t="shared" si="75"/>
        <v>11</v>
      </c>
      <c r="K129" s="192">
        <f t="shared" si="76"/>
        <v>1</v>
      </c>
      <c r="L129" s="192" t="str">
        <f t="shared" si="69"/>
        <v/>
      </c>
      <c r="M129" s="216">
        <f t="shared" ca="1" si="77"/>
        <v>0</v>
      </c>
      <c r="N129" s="216"/>
      <c r="O129" s="216"/>
      <c r="P129" s="216"/>
      <c r="Q129" s="456" t="str">
        <f t="shared" ca="1" si="78"/>
        <v/>
      </c>
      <c r="R129" s="450">
        <f t="shared" ca="1" si="79"/>
        <v>1</v>
      </c>
      <c r="S129" s="191">
        <f t="shared" si="80"/>
        <v>11</v>
      </c>
      <c r="T129" s="191">
        <f t="shared" si="81"/>
        <v>1</v>
      </c>
      <c r="U129" s="191">
        <f ca="1">OP!$D$5+$S129-1</f>
        <v>43</v>
      </c>
      <c r="V129" s="191" t="str">
        <f t="shared" si="82"/>
        <v/>
      </c>
      <c r="W129" s="350">
        <f ca="1">IF(Q129&lt;&gt;1,0,VLOOKUP(OP!$C$55,PVFB,$S129+2,0))</f>
        <v>0</v>
      </c>
      <c r="X129" s="473">
        <f t="shared" ca="1" si="112"/>
        <v>0</v>
      </c>
      <c r="Y129" s="348">
        <f t="shared" ca="1" si="113"/>
        <v>0</v>
      </c>
      <c r="Z129" s="348">
        <f t="shared" ca="1" si="114"/>
        <v>8012</v>
      </c>
      <c r="AA129" s="348">
        <f ca="1">IF(Q129&lt;&gt;1,0,VLOOKUP(OP!$C$55,PVFB,$S129+2,0))</f>
        <v>0</v>
      </c>
      <c r="AB129" s="488" t="str">
        <f ca="1">IF(AND(S129&lt;OP!$C$24,$U129&lt;15),0,IF(AND($U129&lt;15,$T129=12),ROUND(VLOOKUP($S129,DOWN16,5,0),3),IF($T129=12,ROUND(($Z129/10000)*$AA129,3)+IF(AND($P$7="購買增額繳清保險",T129=12,U129=110),VLOOKUP(S129,$B$10:$H$121,7,0),0),"")))</f>
        <v/>
      </c>
      <c r="AC129" s="350" t="str">
        <f ca="1">IF(AND(S129&lt;OP!$C$24,$U129&lt;15),0,IF(AND($U129&lt;16,$T129=12),VLOOKUP($S129,DOWN16,4,0),IF($T129=12,ROUND(VLOOKUP(OP!$C$55,_DIE2,$S129+1,0)*(Z129/10000),0)+IF(AND($P$7="購買增額繳清保險",T129=12,U129=110),VLOOKUP(S129,$B$10:$H$121,7,0),0),"")))</f>
        <v/>
      </c>
      <c r="AD129" s="347"/>
      <c r="AE129" s="350" t="str">
        <f t="shared" ca="1" si="70"/>
        <v/>
      </c>
      <c r="AF129" s="351" t="str">
        <f t="shared" ca="1" si="71"/>
        <v/>
      </c>
      <c r="AG129" s="340"/>
      <c r="AH129" s="340"/>
      <c r="AI129" s="340"/>
      <c r="AJ129" s="340"/>
      <c r="AK129" s="340"/>
      <c r="AL129" s="340"/>
      <c r="AM129" s="340"/>
      <c r="AN129" s="191">
        <f t="shared" si="83"/>
        <v>11</v>
      </c>
      <c r="AO129" s="191">
        <f t="shared" si="84"/>
        <v>1</v>
      </c>
      <c r="AP129" s="191">
        <f ca="1">OP!$D$5+$AN129-1</f>
        <v>43</v>
      </c>
      <c r="AQ129" s="191" t="str">
        <f t="shared" si="85"/>
        <v/>
      </c>
      <c r="AR129" s="352">
        <f t="shared" ca="1" si="86"/>
        <v>0</v>
      </c>
      <c r="AS129" s="352"/>
      <c r="AT129" s="352"/>
      <c r="AU129" s="436"/>
      <c r="AV129" s="353" t="str">
        <f t="shared" ca="1" si="87"/>
        <v/>
      </c>
      <c r="AW129" s="422">
        <f t="shared" si="88"/>
        <v>1</v>
      </c>
      <c r="AX129" s="423" t="str">
        <f ca="1">IF(AND($AW129=1,$AP129&lt;16,$AN128&lt;OP!$C$24),OP!$C$49,"")</f>
        <v/>
      </c>
      <c r="AY129" s="340"/>
      <c r="AZ129" s="465">
        <f t="shared" ca="1" si="89"/>
        <v>7.3698599999999999E-5</v>
      </c>
      <c r="BA129" s="464">
        <f t="shared" ca="1" si="90"/>
        <v>2.1372602999999999E-3</v>
      </c>
      <c r="BB129" s="465">
        <f t="shared" ca="1" si="90"/>
        <v>2.2109589000000002E-3</v>
      </c>
      <c r="BC129" s="466">
        <f t="shared" ca="1" si="91"/>
        <v>46539</v>
      </c>
      <c r="BD129" s="467">
        <f t="shared" ca="1" si="115"/>
        <v>46540</v>
      </c>
      <c r="BE129" s="467">
        <f t="shared" ca="1" si="92"/>
        <v>46568</v>
      </c>
      <c r="BF129" s="468">
        <f ca="1">IF(計算!$BC129&lt;OP!$C$3,0,BD129-BC129)</f>
        <v>1</v>
      </c>
      <c r="BG129" s="468">
        <f ca="1">IF($BE129&gt;DATE(YEAR($BD$9)+OP!$C$57,MONTH($BD$9),DAY($BD$9)),0,$BE129-$BD129+1)</f>
        <v>29</v>
      </c>
      <c r="BH129" s="469">
        <f t="shared" ca="1" si="93"/>
        <v>30</v>
      </c>
      <c r="BI129">
        <f t="shared" ca="1" si="128"/>
        <v>365</v>
      </c>
      <c r="BJ129">
        <v>12</v>
      </c>
      <c r="BN129" s="468">
        <f t="shared" si="116"/>
        <v>10</v>
      </c>
      <c r="BO129" s="468">
        <f t="shared" si="117"/>
        <v>12</v>
      </c>
      <c r="BP129" s="467">
        <f t="shared" ca="1" si="94"/>
        <v>46540</v>
      </c>
      <c r="BQ129" s="475">
        <f t="shared" ca="1" si="126"/>
        <v>42</v>
      </c>
      <c r="BR129" s="475">
        <f t="shared" si="118"/>
        <v>10</v>
      </c>
      <c r="BS129" s="471">
        <f t="shared" ca="1" si="95"/>
        <v>7777</v>
      </c>
      <c r="BT129" s="472">
        <f t="shared" ca="1" si="129"/>
        <v>31442</v>
      </c>
      <c r="BU129" s="472">
        <f t="shared" ca="1" si="96"/>
        <v>7598</v>
      </c>
      <c r="BV129" s="472">
        <f t="shared" ca="1" si="96"/>
        <v>179</v>
      </c>
      <c r="BW129" s="472">
        <f ca="1">ROUND(SUM(BY129,BZ117:BZ128),0)</f>
        <v>627</v>
      </c>
      <c r="BX129" s="473">
        <f t="shared" ca="1" si="97"/>
        <v>31441.614250677001</v>
      </c>
      <c r="BY129" s="473">
        <f t="shared" ca="1" si="98"/>
        <v>1.7439204150000001</v>
      </c>
      <c r="BZ129" s="473">
        <f t="shared" ca="1" si="72"/>
        <v>67.198913906000001</v>
      </c>
      <c r="CA129" s="476">
        <f t="shared" ca="1" si="99"/>
        <v>7598</v>
      </c>
      <c r="CB129" s="494">
        <f ca="1">IF(OR($Q128&lt;&gt;1,OP!$D$5+$BN129-1&lt;16,$BN129-1&lt;1),0,ROUND(ROUND(ROUND(((VLOOKUP($BN129-1,MORE_PV,5,0)/10000)*VLOOKUP($BN129,MORE_PV,$CB$5,0)),3)*VLOOKUP($BN129,more1,5,0),0)/$R128,0))</f>
        <v>179</v>
      </c>
      <c r="CC129" s="473">
        <f t="shared" ca="1" si="100"/>
        <v>0</v>
      </c>
      <c r="CD129" s="477"/>
      <c r="CE129" s="468">
        <f t="shared" si="119"/>
        <v>10</v>
      </c>
      <c r="CF129" s="468">
        <f t="shared" si="120"/>
        <v>12</v>
      </c>
      <c r="CG129" s="467">
        <f t="shared" ca="1" si="73"/>
        <v>46540</v>
      </c>
      <c r="CH129" s="475">
        <f t="shared" ca="1" si="127"/>
        <v>42</v>
      </c>
      <c r="CI129" s="513">
        <f t="shared" si="121"/>
        <v>10</v>
      </c>
      <c r="CJ129" s="511">
        <f t="shared" ca="1" si="101"/>
        <v>7956</v>
      </c>
      <c r="CK129" s="512">
        <f t="shared" ca="1" si="102"/>
        <v>57425.160214019998</v>
      </c>
      <c r="CL129" s="511">
        <f t="shared" ca="1" si="122"/>
        <v>7777</v>
      </c>
      <c r="CM129" s="511">
        <f ca="1">ROUND(CS129-IF(OR($CE129&gt;=OP!$C$24,AND(CH129=15,CF129=12),CS129=0),0,(CT129-CR129)),$CM$7)</f>
        <v>179</v>
      </c>
      <c r="CN129" s="511">
        <f ca="1">ROUND(SUM(CP129,CQ117:CQ128),$CN$7)</f>
        <v>1321.1201240820001</v>
      </c>
      <c r="CO129" s="351">
        <f t="shared" ca="1" si="103"/>
        <v>57425</v>
      </c>
      <c r="CP129" s="473">
        <f t="shared" ca="1" si="104"/>
        <v>3.6722228480000001</v>
      </c>
      <c r="CQ129" s="473">
        <f t="shared" ca="1" si="74"/>
        <v>122.73217272799999</v>
      </c>
      <c r="CR129" s="476">
        <f t="shared" ca="1" si="105"/>
        <v>7598</v>
      </c>
      <c r="CS129" s="494">
        <f ca="1">IF(OR($Q128&lt;&gt;1,OP!$D$5+$CE129-1&lt;16,$CE129-1&lt;1),0,ROUND(ROUND(ROUND(((VLOOKUP($CE129-1,MORE_PV,5,0)/10000)*VLOOKUP($CE129,MORE_PV,$CS$5,0)),3)*VLOOKUP($CE129,more1,5,0),0)/$R128,0))</f>
        <v>179</v>
      </c>
      <c r="CT129" s="473">
        <f ca="1">IF($AW129=1,IF(N($CR129+$CS129)&lt;N($AX129)*OP!$C$50,N($CR129+$CS129),MIN(N($CR129+$CS129),N($AX129))),0)</f>
        <v>0</v>
      </c>
      <c r="CV129" s="503">
        <f t="shared" ca="1" si="106"/>
        <v>57425.160214019998</v>
      </c>
      <c r="CW129" s="503">
        <f t="shared" ca="1" si="107"/>
        <v>7614.2389037590001</v>
      </c>
      <c r="CX129" s="503">
        <f t="shared" ca="1" si="108"/>
        <v>57547.884881314996</v>
      </c>
    </row>
    <row r="130" spans="2:102" ht="16.5" hidden="1">
      <c r="B130" s="80"/>
      <c r="C130" s="80"/>
      <c r="D130" s="80"/>
      <c r="E130" s="80"/>
      <c r="F130" s="80"/>
      <c r="G130" s="80"/>
      <c r="H130" s="80"/>
      <c r="I130" s="80"/>
      <c r="J130" s="192">
        <f t="shared" si="75"/>
        <v>11</v>
      </c>
      <c r="K130" s="192">
        <f t="shared" si="76"/>
        <v>2</v>
      </c>
      <c r="L130" s="192" t="str">
        <f t="shared" si="69"/>
        <v/>
      </c>
      <c r="M130" s="216">
        <f t="shared" ca="1" si="77"/>
        <v>0</v>
      </c>
      <c r="N130" s="216"/>
      <c r="O130" s="216"/>
      <c r="P130" s="216"/>
      <c r="Q130" s="456" t="str">
        <f t="shared" ca="1" si="78"/>
        <v/>
      </c>
      <c r="R130" s="450">
        <f t="shared" ca="1" si="79"/>
        <v>1</v>
      </c>
      <c r="S130" s="191">
        <f t="shared" si="80"/>
        <v>11</v>
      </c>
      <c r="T130" s="191">
        <f t="shared" si="81"/>
        <v>2</v>
      </c>
      <c r="U130" s="191">
        <f ca="1">OP!$D$5+$S130-1</f>
        <v>43</v>
      </c>
      <c r="V130" s="191" t="str">
        <f t="shared" si="82"/>
        <v/>
      </c>
      <c r="W130" s="350">
        <f ca="1">IF(Q130&lt;&gt;1,0,VLOOKUP(OP!$C$55,PVFB,$S130+2,0))</f>
        <v>0</v>
      </c>
      <c r="X130" s="473">
        <f t="shared" ca="1" si="112"/>
        <v>0</v>
      </c>
      <c r="Y130" s="348">
        <f t="shared" ca="1" si="113"/>
        <v>0</v>
      </c>
      <c r="Z130" s="348">
        <f t="shared" ca="1" si="114"/>
        <v>8012</v>
      </c>
      <c r="AA130" s="348">
        <f ca="1">IF(Q130&lt;&gt;1,0,VLOOKUP(OP!$C$55,PVFB,$S130+2,0))</f>
        <v>0</v>
      </c>
      <c r="AB130" s="488" t="str">
        <f ca="1">IF(AND(S130&lt;OP!$C$24,$U130&lt;15),0,IF(AND($U130&lt;15,$T130=12),ROUND(VLOOKUP($S130,DOWN16,5,0),3),IF($T130=12,ROUND(($Z130/10000)*$AA130,3)+IF(AND($P$7="購買增額繳清保險",T130=12,U130=110),VLOOKUP(S130,$B$10:$H$121,7,0),0),"")))</f>
        <v/>
      </c>
      <c r="AC130" s="350" t="str">
        <f ca="1">IF(AND(S130&lt;OP!$C$24,$U130&lt;15),0,IF(AND($U130&lt;16,$T130=12),VLOOKUP($S130,DOWN16,4,0),IF($T130=12,ROUND(VLOOKUP(OP!$C$55,_DIE2,$S130+1,0)*(Z130/10000),0)+IF(AND($P$7="購買增額繳清保險",T130=12,U130=110),VLOOKUP(S130,$B$10:$H$121,7,0),0),"")))</f>
        <v/>
      </c>
      <c r="AD130" s="347"/>
      <c r="AE130" s="350" t="str">
        <f t="shared" ca="1" si="70"/>
        <v/>
      </c>
      <c r="AF130" s="351" t="str">
        <f t="shared" ca="1" si="71"/>
        <v/>
      </c>
      <c r="AG130" s="340"/>
      <c r="AH130" s="340"/>
      <c r="AI130" s="340"/>
      <c r="AJ130" s="340"/>
      <c r="AK130" s="340"/>
      <c r="AL130" s="340"/>
      <c r="AM130" s="340"/>
      <c r="AN130" s="191">
        <f t="shared" si="83"/>
        <v>11</v>
      </c>
      <c r="AO130" s="191">
        <f t="shared" si="84"/>
        <v>2</v>
      </c>
      <c r="AP130" s="191">
        <f ca="1">OP!$D$5+$AN130-1</f>
        <v>43</v>
      </c>
      <c r="AQ130" s="191" t="str">
        <f t="shared" si="85"/>
        <v/>
      </c>
      <c r="AR130" s="352">
        <f t="shared" ca="1" si="86"/>
        <v>0</v>
      </c>
      <c r="AS130" s="352"/>
      <c r="AT130" s="352"/>
      <c r="AU130" s="436"/>
      <c r="AV130" s="353" t="str">
        <f t="shared" ca="1" si="87"/>
        <v/>
      </c>
      <c r="AW130" s="422" t="str">
        <f t="shared" si="88"/>
        <v/>
      </c>
      <c r="AX130" s="423" t="str">
        <f ca="1">IF(AND($AW130=1,$AP130&lt;16,$AN129&lt;OP!$C$24),OP!$C$49,"")</f>
        <v/>
      </c>
      <c r="AY130" s="340"/>
      <c r="AZ130" s="465">
        <f t="shared" ca="1" si="89"/>
        <v>7.3698599999999999E-5</v>
      </c>
      <c r="BA130" s="464">
        <f t="shared" ca="1" si="90"/>
        <v>2.2109589000000002E-3</v>
      </c>
      <c r="BB130" s="465">
        <f t="shared" ca="1" si="90"/>
        <v>2.2846575E-3</v>
      </c>
      <c r="BC130" s="466">
        <f t="shared" ca="1" si="91"/>
        <v>46569</v>
      </c>
      <c r="BD130" s="467">
        <f t="shared" ca="1" si="115"/>
        <v>46570</v>
      </c>
      <c r="BE130" s="467">
        <f t="shared" ca="1" si="92"/>
        <v>46599</v>
      </c>
      <c r="BF130" s="468">
        <f ca="1">IF(計算!$BC130&lt;OP!$C$3,0,BD130-BC130)</f>
        <v>1</v>
      </c>
      <c r="BG130" s="468">
        <f ca="1">IF($BE130&gt;DATE(YEAR($BD$9)+OP!$C$57,MONTH($BD$9),DAY($BD$9)),0,$BE130-$BD130+1)</f>
        <v>30</v>
      </c>
      <c r="BH130" s="469">
        <f t="shared" ca="1" si="93"/>
        <v>31</v>
      </c>
      <c r="BI130" t="str">
        <f t="shared" si="128"/>
        <v/>
      </c>
      <c r="BJ130">
        <v>1</v>
      </c>
      <c r="BN130" s="468">
        <f t="shared" si="116"/>
        <v>11</v>
      </c>
      <c r="BO130" s="468">
        <f t="shared" si="117"/>
        <v>1</v>
      </c>
      <c r="BP130" s="467">
        <f t="shared" ca="1" si="94"/>
        <v>46570</v>
      </c>
      <c r="BQ130" s="475">
        <f t="shared" ca="1" si="126"/>
        <v>43</v>
      </c>
      <c r="BR130" s="475" t="str">
        <f t="shared" si="118"/>
        <v/>
      </c>
      <c r="BS130" s="471" t="str">
        <f t="shared" si="95"/>
        <v/>
      </c>
      <c r="BT130" s="472" t="str">
        <f t="shared" si="129"/>
        <v/>
      </c>
      <c r="BU130" s="472">
        <f t="shared" ca="1" si="96"/>
        <v>0</v>
      </c>
      <c r="BV130" s="472">
        <f t="shared" ca="1" si="96"/>
        <v>0</v>
      </c>
      <c r="BW130" s="472"/>
      <c r="BX130" s="473">
        <f t="shared" ca="1" si="97"/>
        <v>31508.813164583</v>
      </c>
      <c r="BY130" s="473">
        <f t="shared" si="98"/>
        <v>0</v>
      </c>
      <c r="BZ130" s="473">
        <f t="shared" ca="1" si="72"/>
        <v>71.986846313000001</v>
      </c>
      <c r="CA130" s="476">
        <f t="shared" ca="1" si="99"/>
        <v>0</v>
      </c>
      <c r="CB130" s="494">
        <f ca="1">IF(OR($Q129&lt;&gt;1,OP!$D$5+$BN130-1&lt;16,$BN130-1&lt;1),0,ROUND(ROUND(ROUND(((VLOOKUP($BN130-1,MORE_PV,5,0)/10000)*VLOOKUP($BN130,MORE_PV,$CB$5,0)),3)*VLOOKUP($BN130,more1,5,0),0)/$R129,0))</f>
        <v>0</v>
      </c>
      <c r="CC130" s="473">
        <f t="shared" ca="1" si="100"/>
        <v>0</v>
      </c>
      <c r="CD130" s="477"/>
      <c r="CE130" s="468">
        <f t="shared" si="119"/>
        <v>11</v>
      </c>
      <c r="CF130" s="468">
        <f t="shared" si="120"/>
        <v>1</v>
      </c>
      <c r="CG130" s="467">
        <f t="shared" ca="1" si="73"/>
        <v>46570</v>
      </c>
      <c r="CH130" s="475">
        <f t="shared" ca="1" si="127"/>
        <v>43</v>
      </c>
      <c r="CI130" s="513" t="str">
        <f t="shared" si="121"/>
        <v/>
      </c>
      <c r="CJ130" s="511">
        <f t="shared" si="101"/>
        <v>0</v>
      </c>
      <c r="CK130" s="512">
        <f t="shared" si="102"/>
        <v>0</v>
      </c>
      <c r="CL130" s="511">
        <f t="shared" ca="1" si="122"/>
        <v>0</v>
      </c>
      <c r="CM130" s="511">
        <f ca="1">ROUND(CS130-IF(OR($CE130&gt;=OP!$C$24,AND(CH130=15,CF130=12),CS130=0),0,(CT130-CR130)),$CM$7)</f>
        <v>0</v>
      </c>
      <c r="CN130" s="511"/>
      <c r="CO130" s="351">
        <f t="shared" ca="1" si="103"/>
        <v>57552</v>
      </c>
      <c r="CP130" s="473">
        <f t="shared" si="104"/>
        <v>0</v>
      </c>
      <c r="CQ130" s="473">
        <f t="shared" ca="1" si="74"/>
        <v>131.48660844</v>
      </c>
      <c r="CR130" s="476">
        <f t="shared" ca="1" si="105"/>
        <v>0</v>
      </c>
      <c r="CS130" s="494">
        <f ca="1">IF(OR($Q129&lt;&gt;1,OP!$D$5+$CE130-1&lt;16,$CE130-1&lt;1),0,ROUND(ROUND(ROUND(((VLOOKUP($CE130-1,MORE_PV,5,0)/10000)*VLOOKUP($CE130,MORE_PV,$CS$5,0)),3)*VLOOKUP($CE130,more1,5,0),0)/$R129,0))</f>
        <v>0</v>
      </c>
      <c r="CT130" s="473">
        <f>IF($AW130=1,IF(N($CR130+$CS130)&lt;N($AX130)*OP!$C$50,N($CR130+$CS130),MIN(N($CR130+$CS130),N($AX130))),0)</f>
        <v>0</v>
      </c>
      <c r="CV130" s="503">
        <f t="shared" ca="1" si="106"/>
        <v>57552.126079864</v>
      </c>
      <c r="CW130" s="503">
        <f t="shared" ca="1" si="107"/>
        <v>0</v>
      </c>
      <c r="CX130" s="503">
        <f t="shared" ca="1" si="108"/>
        <v>57679.362088118003</v>
      </c>
    </row>
    <row r="131" spans="2:102" ht="16.5" hidden="1">
      <c r="B131" s="80"/>
      <c r="C131" s="80"/>
      <c r="D131" s="80"/>
      <c r="E131" s="80"/>
      <c r="F131" s="80"/>
      <c r="G131" s="80"/>
      <c r="H131" s="80"/>
      <c r="I131" s="80"/>
      <c r="J131" s="192">
        <f t="shared" si="75"/>
        <v>11</v>
      </c>
      <c r="K131" s="192">
        <f t="shared" si="76"/>
        <v>3</v>
      </c>
      <c r="L131" s="192" t="str">
        <f t="shared" si="69"/>
        <v/>
      </c>
      <c r="M131" s="216">
        <f t="shared" ca="1" si="77"/>
        <v>0</v>
      </c>
      <c r="N131" s="216"/>
      <c r="O131" s="216"/>
      <c r="P131" s="216"/>
      <c r="Q131" s="456" t="str">
        <f t="shared" ca="1" si="78"/>
        <v/>
      </c>
      <c r="R131" s="450">
        <f t="shared" ca="1" si="79"/>
        <v>1</v>
      </c>
      <c r="S131" s="191">
        <f t="shared" si="80"/>
        <v>11</v>
      </c>
      <c r="T131" s="191">
        <f t="shared" si="81"/>
        <v>3</v>
      </c>
      <c r="U131" s="191">
        <f ca="1">OP!$D$5+$S131-1</f>
        <v>43</v>
      </c>
      <c r="V131" s="191" t="str">
        <f t="shared" si="82"/>
        <v/>
      </c>
      <c r="W131" s="350">
        <f ca="1">IF(Q131&lt;&gt;1,0,VLOOKUP(OP!$C$55,PVFB,$S131+2,0))</f>
        <v>0</v>
      </c>
      <c r="X131" s="473">
        <f t="shared" ca="1" si="112"/>
        <v>0</v>
      </c>
      <c r="Y131" s="348">
        <f t="shared" ca="1" si="113"/>
        <v>0</v>
      </c>
      <c r="Z131" s="348">
        <f t="shared" ca="1" si="114"/>
        <v>8012</v>
      </c>
      <c r="AA131" s="348">
        <f ca="1">IF(Q131&lt;&gt;1,0,VLOOKUP(OP!$C$55,PVFB,$S131+2,0))</f>
        <v>0</v>
      </c>
      <c r="AB131" s="488" t="str">
        <f ca="1">IF(AND(S131&lt;OP!$C$24,$U131&lt;15),0,IF(AND($U131&lt;15,$T131=12),ROUND(VLOOKUP($S131,DOWN16,5,0),3),IF($T131=12,ROUND(($Z131/10000)*$AA131,3)+IF(AND($P$7="購買增額繳清保險",T131=12,U131=110),VLOOKUP(S131,$B$10:$H$121,7,0),0),"")))</f>
        <v/>
      </c>
      <c r="AC131" s="350" t="str">
        <f ca="1">IF(AND(S131&lt;OP!$C$24,$U131&lt;15),0,IF(AND($U131&lt;16,$T131=12),VLOOKUP($S131,DOWN16,4,0),IF($T131=12,ROUND(VLOOKUP(OP!$C$55,_DIE2,$S131+1,0)*(Z131/10000),0)+IF(AND($P$7="購買增額繳清保險",T131=12,U131=110),VLOOKUP(S131,$B$10:$H$121,7,0),0),"")))</f>
        <v/>
      </c>
      <c r="AD131" s="347"/>
      <c r="AE131" s="350" t="str">
        <f t="shared" ca="1" si="70"/>
        <v/>
      </c>
      <c r="AF131" s="351" t="str">
        <f t="shared" ca="1" si="71"/>
        <v/>
      </c>
      <c r="AG131" s="340"/>
      <c r="AH131" s="340"/>
      <c r="AI131" s="340"/>
      <c r="AJ131" s="340"/>
      <c r="AK131" s="340"/>
      <c r="AL131" s="340"/>
      <c r="AM131" s="340"/>
      <c r="AN131" s="191">
        <f t="shared" si="83"/>
        <v>11</v>
      </c>
      <c r="AO131" s="191">
        <f t="shared" si="84"/>
        <v>3</v>
      </c>
      <c r="AP131" s="191">
        <f ca="1">OP!$D$5+$AN131-1</f>
        <v>43</v>
      </c>
      <c r="AQ131" s="191" t="str">
        <f t="shared" si="85"/>
        <v/>
      </c>
      <c r="AR131" s="352">
        <f t="shared" ca="1" si="86"/>
        <v>0</v>
      </c>
      <c r="AS131" s="352"/>
      <c r="AT131" s="352"/>
      <c r="AU131" s="436"/>
      <c r="AV131" s="353" t="str">
        <f t="shared" ca="1" si="87"/>
        <v/>
      </c>
      <c r="AW131" s="422" t="str">
        <f t="shared" si="88"/>
        <v/>
      </c>
      <c r="AX131" s="423" t="str">
        <f ca="1">IF(AND($AW131=1,$AP131&lt;16,$AN130&lt;OP!$C$24),OP!$C$49,"")</f>
        <v/>
      </c>
      <c r="AY131" s="340"/>
      <c r="AZ131" s="465">
        <f t="shared" ca="1" si="89"/>
        <v>7.3698599999999999E-5</v>
      </c>
      <c r="BA131" s="464">
        <f t="shared" ca="1" si="90"/>
        <v>2.2109589000000002E-3</v>
      </c>
      <c r="BB131" s="465">
        <f t="shared" ca="1" si="90"/>
        <v>2.2846575E-3</v>
      </c>
      <c r="BC131" s="466">
        <f t="shared" ca="1" si="91"/>
        <v>46600</v>
      </c>
      <c r="BD131" s="467">
        <f t="shared" ca="1" si="115"/>
        <v>46601</v>
      </c>
      <c r="BE131" s="467">
        <f t="shared" ca="1" si="92"/>
        <v>46630</v>
      </c>
      <c r="BF131" s="468">
        <f ca="1">IF(計算!$BC131&lt;OP!$C$3,0,BD131-BC131)</f>
        <v>1</v>
      </c>
      <c r="BG131" s="468">
        <f ca="1">IF($BE131&gt;DATE(YEAR($BD$9)+OP!$C$57,MONTH($BD$9),DAY($BD$9)),0,$BE131-$BD131+1)</f>
        <v>30</v>
      </c>
      <c r="BH131" s="469">
        <f t="shared" ca="1" si="93"/>
        <v>31</v>
      </c>
      <c r="BI131" t="str">
        <f t="shared" si="128"/>
        <v/>
      </c>
      <c r="BJ131">
        <v>2</v>
      </c>
      <c r="BN131" s="468">
        <f t="shared" si="116"/>
        <v>11</v>
      </c>
      <c r="BO131" s="468">
        <f t="shared" si="117"/>
        <v>2</v>
      </c>
      <c r="BP131" s="467">
        <f t="shared" ca="1" si="94"/>
        <v>46601</v>
      </c>
      <c r="BQ131" s="475">
        <f t="shared" ca="1" si="126"/>
        <v>43</v>
      </c>
      <c r="BR131" s="475" t="str">
        <f t="shared" si="118"/>
        <v/>
      </c>
      <c r="BS131" s="471" t="str">
        <f t="shared" si="95"/>
        <v/>
      </c>
      <c r="BT131" s="472" t="str">
        <f t="shared" si="129"/>
        <v/>
      </c>
      <c r="BU131" s="472">
        <f t="shared" ca="1" si="96"/>
        <v>0</v>
      </c>
      <c r="BV131" s="472">
        <f t="shared" ca="1" si="96"/>
        <v>0</v>
      </c>
      <c r="BW131" s="472"/>
      <c r="BX131" s="473">
        <f t="shared" ca="1" si="97"/>
        <v>31580.800010896</v>
      </c>
      <c r="BY131" s="473">
        <f t="shared" si="98"/>
        <v>0</v>
      </c>
      <c r="BZ131" s="473">
        <f t="shared" ca="1" si="72"/>
        <v>72.151311601000003</v>
      </c>
      <c r="CA131" s="476">
        <f t="shared" ca="1" si="99"/>
        <v>0</v>
      </c>
      <c r="CB131" s="494">
        <f ca="1">IF(OR($Q130&lt;&gt;1,OP!$D$5+$BN131-1&lt;16,$BN131-1&lt;1),0,ROUND(ROUND(ROUND(((VLOOKUP($BN131-1,MORE_PV,5,0)/10000)*VLOOKUP($BN131,MORE_PV,$CB$5,0)),3)*VLOOKUP($BN131,more1,5,0),0)/$R130,0))</f>
        <v>0</v>
      </c>
      <c r="CC131" s="473">
        <f t="shared" ca="1" si="100"/>
        <v>0</v>
      </c>
      <c r="CD131" s="477"/>
      <c r="CE131" s="468">
        <f t="shared" si="119"/>
        <v>11</v>
      </c>
      <c r="CF131" s="468">
        <f t="shared" si="120"/>
        <v>2</v>
      </c>
      <c r="CG131" s="467">
        <f t="shared" ca="1" si="73"/>
        <v>46601</v>
      </c>
      <c r="CH131" s="475">
        <f t="shared" ca="1" si="127"/>
        <v>43</v>
      </c>
      <c r="CI131" s="513" t="str">
        <f t="shared" si="121"/>
        <v/>
      </c>
      <c r="CJ131" s="511">
        <f t="shared" si="101"/>
        <v>0</v>
      </c>
      <c r="CK131" s="512">
        <f t="shared" si="102"/>
        <v>0</v>
      </c>
      <c r="CL131" s="511">
        <f t="shared" ca="1" si="122"/>
        <v>0</v>
      </c>
      <c r="CM131" s="511">
        <f ca="1">ROUND(CS131-IF(OR($CE131&gt;=OP!$C$24,AND(CH131=15,CF131=12),CS131=0),0,(CT131-CR131)),$CM$7)</f>
        <v>0</v>
      </c>
      <c r="CN131" s="511"/>
      <c r="CO131" s="351">
        <f t="shared" ca="1" si="103"/>
        <v>57684</v>
      </c>
      <c r="CP131" s="473">
        <f t="shared" si="104"/>
        <v>0</v>
      </c>
      <c r="CQ131" s="473">
        <f t="shared" ca="1" si="74"/>
        <v>131.78818322999999</v>
      </c>
      <c r="CR131" s="476">
        <f t="shared" ca="1" si="105"/>
        <v>0</v>
      </c>
      <c r="CS131" s="494">
        <f ca="1">IF(OR($Q130&lt;&gt;1,OP!$D$5+$CE131-1&lt;16,$CE131-1&lt;1),0,ROUND(ROUND(ROUND(((VLOOKUP($CE131-1,MORE_PV,5,0)/10000)*VLOOKUP($CE131,MORE_PV,$CS$5,0)),3)*VLOOKUP($CE131,more1,5,0),0)/$R130,0))</f>
        <v>0</v>
      </c>
      <c r="CT131" s="473">
        <f>IF($AW131=1,IF(N($CR131+$CS131)&lt;N($AX131)*OP!$C$50,N($CR131+$CS131),MIN(N($CR131+$CS131),N($AX131))),0)</f>
        <v>0</v>
      </c>
      <c r="CV131" s="503">
        <f t="shared" ca="1" si="106"/>
        <v>57683.612976352997</v>
      </c>
      <c r="CW131" s="503">
        <f t="shared" ca="1" si="107"/>
        <v>0</v>
      </c>
      <c r="CX131" s="503">
        <f t="shared" ca="1" si="108"/>
        <v>57811.139675307997</v>
      </c>
    </row>
    <row r="132" spans="2:102" ht="16.5" hidden="1">
      <c r="B132" s="80"/>
      <c r="C132" s="80"/>
      <c r="D132" s="80"/>
      <c r="E132" s="80"/>
      <c r="F132" s="80"/>
      <c r="G132" s="80"/>
      <c r="H132" s="80"/>
      <c r="I132" s="80"/>
      <c r="J132" s="192">
        <f t="shared" si="75"/>
        <v>11</v>
      </c>
      <c r="K132" s="192">
        <f t="shared" si="76"/>
        <v>4</v>
      </c>
      <c r="L132" s="192" t="str">
        <f t="shared" si="69"/>
        <v/>
      </c>
      <c r="M132" s="216">
        <f t="shared" ca="1" si="77"/>
        <v>0</v>
      </c>
      <c r="N132" s="216"/>
      <c r="O132" s="216"/>
      <c r="P132" s="216"/>
      <c r="Q132" s="456" t="str">
        <f t="shared" ca="1" si="78"/>
        <v/>
      </c>
      <c r="R132" s="450">
        <f t="shared" ca="1" si="79"/>
        <v>1</v>
      </c>
      <c r="S132" s="191">
        <f t="shared" si="80"/>
        <v>11</v>
      </c>
      <c r="T132" s="191">
        <f t="shared" si="81"/>
        <v>4</v>
      </c>
      <c r="U132" s="191">
        <f ca="1">OP!$D$5+$S132-1</f>
        <v>43</v>
      </c>
      <c r="V132" s="191" t="str">
        <f t="shared" si="82"/>
        <v/>
      </c>
      <c r="W132" s="350">
        <f ca="1">IF(Q132&lt;&gt;1,0,VLOOKUP(OP!$C$55,PVFB,$S132+2,0))</f>
        <v>0</v>
      </c>
      <c r="X132" s="473">
        <f t="shared" ca="1" si="112"/>
        <v>0</v>
      </c>
      <c r="Y132" s="348">
        <f t="shared" ca="1" si="113"/>
        <v>0</v>
      </c>
      <c r="Z132" s="348">
        <f t="shared" ca="1" si="114"/>
        <v>8012</v>
      </c>
      <c r="AA132" s="348">
        <f ca="1">IF(Q132&lt;&gt;1,0,VLOOKUP(OP!$C$55,PVFB,$S132+2,0))</f>
        <v>0</v>
      </c>
      <c r="AB132" s="488" t="str">
        <f ca="1">IF(AND(S132&lt;OP!$C$24,$U132&lt;15),0,IF(AND($U132&lt;15,$T132=12),ROUND(VLOOKUP($S132,DOWN16,5,0),3),IF($T132=12,ROUND(($Z132/10000)*$AA132,3)+IF(AND($P$7="購買增額繳清保險",T132=12,U132=110),VLOOKUP(S132,$B$10:$H$121,7,0),0),"")))</f>
        <v/>
      </c>
      <c r="AC132" s="350" t="str">
        <f ca="1">IF(AND(S132&lt;OP!$C$24,$U132&lt;15),0,IF(AND($U132&lt;16,$T132=12),VLOOKUP($S132,DOWN16,4,0),IF($T132=12,ROUND(VLOOKUP(OP!$C$55,_DIE2,$S132+1,0)*(Z132/10000),0)+IF(AND($P$7="購買增額繳清保險",T132=12,U132=110),VLOOKUP(S132,$B$10:$H$121,7,0),0),"")))</f>
        <v/>
      </c>
      <c r="AD132" s="347"/>
      <c r="AE132" s="350" t="str">
        <f t="shared" ca="1" si="70"/>
        <v/>
      </c>
      <c r="AF132" s="351" t="str">
        <f t="shared" ca="1" si="71"/>
        <v/>
      </c>
      <c r="AG132" s="340"/>
      <c r="AH132" s="340"/>
      <c r="AI132" s="340"/>
      <c r="AJ132" s="340"/>
      <c r="AK132" s="340"/>
      <c r="AL132" s="340"/>
      <c r="AM132" s="340"/>
      <c r="AN132" s="191">
        <f t="shared" si="83"/>
        <v>11</v>
      </c>
      <c r="AO132" s="191">
        <f t="shared" si="84"/>
        <v>4</v>
      </c>
      <c r="AP132" s="191">
        <f ca="1">OP!$D$5+$AN132-1</f>
        <v>43</v>
      </c>
      <c r="AQ132" s="191" t="str">
        <f t="shared" si="85"/>
        <v/>
      </c>
      <c r="AR132" s="352">
        <f t="shared" ca="1" si="86"/>
        <v>0</v>
      </c>
      <c r="AS132" s="352"/>
      <c r="AT132" s="352"/>
      <c r="AU132" s="436"/>
      <c r="AV132" s="353" t="str">
        <f t="shared" ca="1" si="87"/>
        <v/>
      </c>
      <c r="AW132" s="422" t="str">
        <f t="shared" si="88"/>
        <v/>
      </c>
      <c r="AX132" s="423" t="str">
        <f ca="1">IF(AND($AW132=1,$AP132&lt;16,$AN131&lt;OP!$C$24),OP!$C$49,"")</f>
        <v/>
      </c>
      <c r="AY132" s="340"/>
      <c r="AZ132" s="465">
        <f t="shared" ca="1" si="89"/>
        <v>7.3698599999999999E-5</v>
      </c>
      <c r="BA132" s="464">
        <f t="shared" ca="1" si="90"/>
        <v>2.1372602999999999E-3</v>
      </c>
      <c r="BB132" s="465">
        <f t="shared" ca="1" si="90"/>
        <v>2.2109589000000002E-3</v>
      </c>
      <c r="BC132" s="466">
        <f t="shared" ca="1" si="91"/>
        <v>46631</v>
      </c>
      <c r="BD132" s="467">
        <f t="shared" ca="1" si="115"/>
        <v>46632</v>
      </c>
      <c r="BE132" s="467">
        <f t="shared" ca="1" si="92"/>
        <v>46660</v>
      </c>
      <c r="BF132" s="468">
        <f ca="1">IF(計算!$BC132&lt;OP!$C$3,0,BD132-BC132)</f>
        <v>1</v>
      </c>
      <c r="BG132" s="468">
        <f ca="1">IF($BE132&gt;DATE(YEAR($BD$9)+OP!$C$57,MONTH($BD$9),DAY($BD$9)),0,$BE132-$BD132+1)</f>
        <v>29</v>
      </c>
      <c r="BH132" s="469">
        <f t="shared" ca="1" si="93"/>
        <v>30</v>
      </c>
      <c r="BI132" t="str">
        <f t="shared" si="128"/>
        <v/>
      </c>
      <c r="BJ132">
        <v>3</v>
      </c>
      <c r="BN132" s="468">
        <f t="shared" si="116"/>
        <v>11</v>
      </c>
      <c r="BO132" s="468">
        <f t="shared" si="117"/>
        <v>3</v>
      </c>
      <c r="BP132" s="467">
        <f t="shared" ca="1" si="94"/>
        <v>46632</v>
      </c>
      <c r="BQ132" s="475">
        <f t="shared" ca="1" si="126"/>
        <v>43</v>
      </c>
      <c r="BR132" s="475" t="str">
        <f t="shared" si="118"/>
        <v/>
      </c>
      <c r="BS132" s="471" t="str">
        <f t="shared" si="95"/>
        <v/>
      </c>
      <c r="BT132" s="472" t="str">
        <f t="shared" si="129"/>
        <v/>
      </c>
      <c r="BU132" s="472">
        <f t="shared" ca="1" si="96"/>
        <v>0</v>
      </c>
      <c r="BV132" s="472">
        <f t="shared" ca="1" si="96"/>
        <v>0</v>
      </c>
      <c r="BW132" s="472"/>
      <c r="BX132" s="473">
        <f t="shared" ca="1" si="97"/>
        <v>31652.951322497</v>
      </c>
      <c r="BY132" s="473">
        <f t="shared" si="98"/>
        <v>0</v>
      </c>
      <c r="BZ132" s="473">
        <f t="shared" ca="1" si="72"/>
        <v>69.983374437999998</v>
      </c>
      <c r="CA132" s="476">
        <f t="shared" ca="1" si="99"/>
        <v>0</v>
      </c>
      <c r="CB132" s="494">
        <f ca="1">IF(OR($Q131&lt;&gt;1,OP!$D$5+$BN132-1&lt;16,$BN132-1&lt;1),0,ROUND(ROUND(ROUND(((VLOOKUP($BN132-1,MORE_PV,5,0)/10000)*VLOOKUP($BN132,MORE_PV,$CB$5,0)),3)*VLOOKUP($BN132,more1,5,0),0)/$R131,0))</f>
        <v>0</v>
      </c>
      <c r="CC132" s="473">
        <f t="shared" ca="1" si="100"/>
        <v>0</v>
      </c>
      <c r="CD132" s="477"/>
      <c r="CE132" s="468">
        <f t="shared" si="119"/>
        <v>11</v>
      </c>
      <c r="CF132" s="468">
        <f t="shared" si="120"/>
        <v>3</v>
      </c>
      <c r="CG132" s="467">
        <f t="shared" ca="1" si="73"/>
        <v>46632</v>
      </c>
      <c r="CH132" s="475">
        <f t="shared" ca="1" si="127"/>
        <v>43</v>
      </c>
      <c r="CI132" s="513" t="str">
        <f t="shared" si="121"/>
        <v/>
      </c>
      <c r="CJ132" s="511">
        <f t="shared" si="101"/>
        <v>0</v>
      </c>
      <c r="CK132" s="512">
        <f t="shared" si="102"/>
        <v>0</v>
      </c>
      <c r="CL132" s="511">
        <f t="shared" ca="1" si="122"/>
        <v>0</v>
      </c>
      <c r="CM132" s="511">
        <f ca="1">ROUND(CS132-IF(OR($CE132&gt;=OP!$C$24,AND(CH132=15,CF132=12),CS132=0),0,(CT132-CR132)),$CM$7)</f>
        <v>0</v>
      </c>
      <c r="CN132" s="511"/>
      <c r="CO132" s="351">
        <f t="shared" ca="1" si="103"/>
        <v>57815</v>
      </c>
      <c r="CP132" s="473">
        <f t="shared" si="104"/>
        <v>0</v>
      </c>
      <c r="CQ132" s="473">
        <f t="shared" ca="1" si="74"/>
        <v>127.826588804</v>
      </c>
      <c r="CR132" s="476">
        <f t="shared" ca="1" si="105"/>
        <v>0</v>
      </c>
      <c r="CS132" s="494">
        <f ca="1">IF(OR($Q131&lt;&gt;1,OP!$D$5+$CE132-1&lt;16,$CE132-1&lt;1),0,ROUND(ROUND(ROUND(((VLOOKUP($CE132-1,MORE_PV,5,0)/10000)*VLOOKUP($CE132,MORE_PV,$CS$5,0)),3)*VLOOKUP($CE132,more1,5,0),0)/$R131,0))</f>
        <v>0</v>
      </c>
      <c r="CT132" s="473">
        <f>IF($AW132=1,IF(N($CR132+$CS132)&lt;N($AX132)*OP!$C$50,N($CR132+$CS132),MIN(N($CR132+$CS132),N($AX132))),0)</f>
        <v>0</v>
      </c>
      <c r="CV132" s="503">
        <f t="shared" ca="1" si="106"/>
        <v>57815.400275366999</v>
      </c>
      <c r="CW132" s="503">
        <f t="shared" ca="1" si="107"/>
        <v>0</v>
      </c>
      <c r="CX132" s="503">
        <f t="shared" ca="1" si="108"/>
        <v>57938.957729091999</v>
      </c>
    </row>
    <row r="133" spans="2:102" ht="16.5" hidden="1">
      <c r="B133" s="80"/>
      <c r="C133" s="80"/>
      <c r="D133" s="80"/>
      <c r="E133" s="80"/>
      <c r="F133" s="80"/>
      <c r="G133" s="80"/>
      <c r="H133" s="80"/>
      <c r="I133" s="80"/>
      <c r="J133" s="192">
        <f t="shared" si="75"/>
        <v>11</v>
      </c>
      <c r="K133" s="192">
        <f t="shared" si="76"/>
        <v>5</v>
      </c>
      <c r="L133" s="192" t="str">
        <f t="shared" si="69"/>
        <v/>
      </c>
      <c r="M133" s="216">
        <f t="shared" ca="1" si="77"/>
        <v>0</v>
      </c>
      <c r="N133" s="216"/>
      <c r="O133" s="216"/>
      <c r="P133" s="216"/>
      <c r="Q133" s="456" t="str">
        <f t="shared" ca="1" si="78"/>
        <v/>
      </c>
      <c r="R133" s="450">
        <f t="shared" ca="1" si="79"/>
        <v>1</v>
      </c>
      <c r="S133" s="191">
        <f t="shared" si="80"/>
        <v>11</v>
      </c>
      <c r="T133" s="191">
        <f t="shared" si="81"/>
        <v>5</v>
      </c>
      <c r="U133" s="191">
        <f ca="1">OP!$D$5+$S133-1</f>
        <v>43</v>
      </c>
      <c r="V133" s="191" t="str">
        <f t="shared" si="82"/>
        <v/>
      </c>
      <c r="W133" s="350">
        <f ca="1">IF(Q133&lt;&gt;1,0,VLOOKUP(OP!$C$55,PVFB,$S133+2,0))</f>
        <v>0</v>
      </c>
      <c r="X133" s="473">
        <f t="shared" ca="1" si="112"/>
        <v>0</v>
      </c>
      <c r="Y133" s="348">
        <f t="shared" ca="1" si="113"/>
        <v>0</v>
      </c>
      <c r="Z133" s="348">
        <f t="shared" ca="1" si="114"/>
        <v>8012</v>
      </c>
      <c r="AA133" s="348">
        <f ca="1">IF(Q133&lt;&gt;1,0,VLOOKUP(OP!$C$55,PVFB,$S133+2,0))</f>
        <v>0</v>
      </c>
      <c r="AB133" s="488" t="str">
        <f ca="1">IF(AND(S133&lt;OP!$C$24,$U133&lt;15),0,IF(AND($U133&lt;15,$T133=12),ROUND(VLOOKUP($S133,DOWN16,5,0),3),IF($T133=12,ROUND(($Z133/10000)*$AA133,3)+IF(AND($P$7="購買增額繳清保險",T133=12,U133=110),VLOOKUP(S133,$B$10:$H$121,7,0),0),"")))</f>
        <v/>
      </c>
      <c r="AC133" s="350" t="str">
        <f ca="1">IF(AND(S133&lt;OP!$C$24,$U133&lt;15),0,IF(AND($U133&lt;16,$T133=12),VLOOKUP($S133,DOWN16,4,0),IF($T133=12,ROUND(VLOOKUP(OP!$C$55,_DIE2,$S133+1,0)*(Z133/10000),0)+IF(AND($P$7="購買增額繳清保險",T133=12,U133=110),VLOOKUP(S133,$B$10:$H$121,7,0),0),"")))</f>
        <v/>
      </c>
      <c r="AD133" s="347"/>
      <c r="AE133" s="350" t="str">
        <f t="shared" ca="1" si="70"/>
        <v/>
      </c>
      <c r="AF133" s="351" t="str">
        <f t="shared" ca="1" si="71"/>
        <v/>
      </c>
      <c r="AG133" s="340"/>
      <c r="AH133" s="340"/>
      <c r="AI133" s="340"/>
      <c r="AJ133" s="340"/>
      <c r="AK133" s="340"/>
      <c r="AL133" s="340"/>
      <c r="AM133" s="340"/>
      <c r="AN133" s="191">
        <f t="shared" si="83"/>
        <v>11</v>
      </c>
      <c r="AO133" s="191">
        <f t="shared" si="84"/>
        <v>5</v>
      </c>
      <c r="AP133" s="191">
        <f ca="1">OP!$D$5+$AN133-1</f>
        <v>43</v>
      </c>
      <c r="AQ133" s="191" t="str">
        <f t="shared" si="85"/>
        <v/>
      </c>
      <c r="AR133" s="352">
        <f t="shared" ca="1" si="86"/>
        <v>0</v>
      </c>
      <c r="AS133" s="352"/>
      <c r="AT133" s="352"/>
      <c r="AU133" s="436"/>
      <c r="AV133" s="353" t="str">
        <f t="shared" ca="1" si="87"/>
        <v/>
      </c>
      <c r="AW133" s="422" t="str">
        <f t="shared" si="88"/>
        <v/>
      </c>
      <c r="AX133" s="423" t="str">
        <f ca="1">IF(AND($AW133=1,$AP133&lt;16,$AN132&lt;OP!$C$24),OP!$C$49,"")</f>
        <v/>
      </c>
      <c r="AY133" s="340"/>
      <c r="AZ133" s="465">
        <f t="shared" ca="1" si="89"/>
        <v>7.3698599999999999E-5</v>
      </c>
      <c r="BA133" s="464">
        <f t="shared" ca="1" si="90"/>
        <v>2.2109589000000002E-3</v>
      </c>
      <c r="BB133" s="465">
        <f t="shared" ca="1" si="90"/>
        <v>2.2846575E-3</v>
      </c>
      <c r="BC133" s="466">
        <f t="shared" ca="1" si="91"/>
        <v>46661</v>
      </c>
      <c r="BD133" s="467">
        <f t="shared" ca="1" si="115"/>
        <v>46662</v>
      </c>
      <c r="BE133" s="467">
        <f t="shared" ca="1" si="92"/>
        <v>46691</v>
      </c>
      <c r="BF133" s="468">
        <f ca="1">IF(計算!$BC133&lt;OP!$C$3,0,BD133-BC133)</f>
        <v>1</v>
      </c>
      <c r="BG133" s="468">
        <f ca="1">IF($BE133&gt;DATE(YEAR($BD$9)+OP!$C$57,MONTH($BD$9),DAY($BD$9)),0,$BE133-$BD133+1)</f>
        <v>30</v>
      </c>
      <c r="BH133" s="469">
        <f t="shared" ca="1" si="93"/>
        <v>31</v>
      </c>
      <c r="BI133" t="str">
        <f t="shared" si="128"/>
        <v/>
      </c>
      <c r="BJ133">
        <v>4</v>
      </c>
      <c r="BN133" s="468">
        <f t="shared" si="116"/>
        <v>11</v>
      </c>
      <c r="BO133" s="468">
        <f t="shared" si="117"/>
        <v>4</v>
      </c>
      <c r="BP133" s="467">
        <f t="shared" ca="1" si="94"/>
        <v>46662</v>
      </c>
      <c r="BQ133" s="475">
        <f t="shared" ca="1" si="126"/>
        <v>43</v>
      </c>
      <c r="BR133" s="475" t="str">
        <f t="shared" si="118"/>
        <v/>
      </c>
      <c r="BS133" s="471" t="str">
        <f t="shared" si="95"/>
        <v/>
      </c>
      <c r="BT133" s="472" t="str">
        <f t="shared" si="129"/>
        <v/>
      </c>
      <c r="BU133" s="472">
        <f t="shared" ca="1" si="96"/>
        <v>0</v>
      </c>
      <c r="BV133" s="472">
        <f t="shared" ca="1" si="96"/>
        <v>0</v>
      </c>
      <c r="BW133" s="472"/>
      <c r="BX133" s="473">
        <f t="shared" ca="1" si="97"/>
        <v>31722.934696935001</v>
      </c>
      <c r="BY133" s="473">
        <f t="shared" si="98"/>
        <v>0</v>
      </c>
      <c r="BZ133" s="473">
        <f t="shared" ca="1" si="72"/>
        <v>72.476040677</v>
      </c>
      <c r="CA133" s="476">
        <f t="shared" ca="1" si="99"/>
        <v>0</v>
      </c>
      <c r="CB133" s="494">
        <f ca="1">IF(OR($Q132&lt;&gt;1,OP!$D$5+$BN133-1&lt;16,$BN133-1&lt;1),0,ROUND(ROUND(ROUND(((VLOOKUP($BN133-1,MORE_PV,5,0)/10000)*VLOOKUP($BN133,MORE_PV,$CB$5,0)),3)*VLOOKUP($BN133,more1,5,0),0)/$R132,0))</f>
        <v>0</v>
      </c>
      <c r="CC133" s="473">
        <f t="shared" ca="1" si="100"/>
        <v>0</v>
      </c>
      <c r="CD133" s="477"/>
      <c r="CE133" s="468">
        <f t="shared" si="119"/>
        <v>11</v>
      </c>
      <c r="CF133" s="468">
        <f t="shared" si="120"/>
        <v>4</v>
      </c>
      <c r="CG133" s="467">
        <f t="shared" ca="1" si="73"/>
        <v>46662</v>
      </c>
      <c r="CH133" s="475">
        <f t="shared" ca="1" si="127"/>
        <v>43</v>
      </c>
      <c r="CI133" s="513" t="str">
        <f t="shared" si="121"/>
        <v/>
      </c>
      <c r="CJ133" s="511">
        <f t="shared" si="101"/>
        <v>0</v>
      </c>
      <c r="CK133" s="512">
        <f t="shared" si="102"/>
        <v>0</v>
      </c>
      <c r="CL133" s="511">
        <f t="shared" ca="1" si="122"/>
        <v>0</v>
      </c>
      <c r="CM133" s="511">
        <f ca="1">ROUND(CS133-IF(OR($CE133&gt;=OP!$C$24,AND(CH133=15,CF133=12),CS133=0),0,(CT133-CR133)),$CM$7)</f>
        <v>0</v>
      </c>
      <c r="CN133" s="511"/>
      <c r="CO133" s="351">
        <f t="shared" ca="1" si="103"/>
        <v>57943</v>
      </c>
      <c r="CP133" s="473">
        <f t="shared" si="104"/>
        <v>0</v>
      </c>
      <c r="CQ133" s="473">
        <f t="shared" ca="1" si="74"/>
        <v>132.37990952300001</v>
      </c>
      <c r="CR133" s="476">
        <f t="shared" ca="1" si="105"/>
        <v>0</v>
      </c>
      <c r="CS133" s="494">
        <f ca="1">IF(OR($Q132&lt;&gt;1,OP!$D$5+$CE133-1&lt;16,$CE133-1&lt;1),0,ROUND(ROUND(ROUND(((VLOOKUP($CE133-1,MORE_PV,5,0)/10000)*VLOOKUP($CE133,MORE_PV,$CS$5,0)),3)*VLOOKUP($CE133,more1,5,0),0)/$R132,0))</f>
        <v>0</v>
      </c>
      <c r="CT133" s="473">
        <f>IF($AW133=1,IF(N($CR133+$CS133)&lt;N($AX133)*OP!$C$50,N($CR133+$CS133),MIN(N($CR133+$CS133),N($AX133))),0)</f>
        <v>0</v>
      </c>
      <c r="CV133" s="503">
        <f t="shared" ca="1" si="106"/>
        <v>57943.227749161997</v>
      </c>
      <c r="CW133" s="503">
        <f t="shared" ca="1" si="107"/>
        <v>0</v>
      </c>
      <c r="CX133" s="503">
        <f t="shared" ca="1" si="108"/>
        <v>58071.32840341</v>
      </c>
    </row>
    <row r="134" spans="2:102" ht="16.5" hidden="1">
      <c r="B134" s="80"/>
      <c r="C134" s="80"/>
      <c r="D134" s="80"/>
      <c r="E134" s="80"/>
      <c r="F134" s="80"/>
      <c r="G134" s="80"/>
      <c r="H134" s="80"/>
      <c r="I134" s="80"/>
      <c r="J134" s="192">
        <f t="shared" si="75"/>
        <v>11</v>
      </c>
      <c r="K134" s="192">
        <f t="shared" si="76"/>
        <v>6</v>
      </c>
      <c r="L134" s="192" t="str">
        <f t="shared" si="69"/>
        <v/>
      </c>
      <c r="M134" s="216">
        <f t="shared" ca="1" si="77"/>
        <v>0</v>
      </c>
      <c r="N134" s="216"/>
      <c r="O134" s="216"/>
      <c r="P134" s="216"/>
      <c r="Q134" s="456" t="str">
        <f t="shared" ca="1" si="78"/>
        <v/>
      </c>
      <c r="R134" s="450">
        <f t="shared" ca="1" si="79"/>
        <v>1</v>
      </c>
      <c r="S134" s="191">
        <f t="shared" si="80"/>
        <v>11</v>
      </c>
      <c r="T134" s="191">
        <f t="shared" si="81"/>
        <v>6</v>
      </c>
      <c r="U134" s="191">
        <f ca="1">OP!$D$5+$S134-1</f>
        <v>43</v>
      </c>
      <c r="V134" s="191" t="str">
        <f t="shared" si="82"/>
        <v/>
      </c>
      <c r="W134" s="350">
        <f ca="1">IF(Q134&lt;&gt;1,0,VLOOKUP(OP!$C$55,PVFB,$S134+2,0))</f>
        <v>0</v>
      </c>
      <c r="X134" s="473">
        <f t="shared" ca="1" si="112"/>
        <v>0</v>
      </c>
      <c r="Y134" s="348">
        <f t="shared" ca="1" si="113"/>
        <v>0</v>
      </c>
      <c r="Z134" s="348">
        <f t="shared" ca="1" si="114"/>
        <v>8012</v>
      </c>
      <c r="AA134" s="348">
        <f ca="1">IF(Q134&lt;&gt;1,0,VLOOKUP(OP!$C$55,PVFB,$S134+2,0))</f>
        <v>0</v>
      </c>
      <c r="AB134" s="488" t="str">
        <f ca="1">IF(AND(S134&lt;OP!$C$24,$U134&lt;15),0,IF(AND($U134&lt;15,$T134=12),ROUND(VLOOKUP($S134,DOWN16,5,0),3),IF($T134=12,ROUND(($Z134/10000)*$AA134,3)+IF(AND($P$7="購買增額繳清保險",T134=12,U134=110),VLOOKUP(S134,$B$10:$H$121,7,0),0),"")))</f>
        <v/>
      </c>
      <c r="AC134" s="350" t="str">
        <f ca="1">IF(AND(S134&lt;OP!$C$24,$U134&lt;15),0,IF(AND($U134&lt;16,$T134=12),VLOOKUP($S134,DOWN16,4,0),IF($T134=12,ROUND(VLOOKUP(OP!$C$55,_DIE2,$S134+1,0)*(Z134/10000),0)+IF(AND($P$7="購買增額繳清保險",T134=12,U134=110),VLOOKUP(S134,$B$10:$H$121,7,0),0),"")))</f>
        <v/>
      </c>
      <c r="AD134" s="347"/>
      <c r="AE134" s="350" t="str">
        <f t="shared" ca="1" si="70"/>
        <v/>
      </c>
      <c r="AF134" s="351" t="str">
        <f t="shared" ca="1" si="71"/>
        <v/>
      </c>
      <c r="AG134" s="340"/>
      <c r="AH134" s="340"/>
      <c r="AI134" s="340"/>
      <c r="AJ134" s="340"/>
      <c r="AK134" s="340"/>
      <c r="AL134" s="340"/>
      <c r="AM134" s="340"/>
      <c r="AN134" s="191">
        <f t="shared" si="83"/>
        <v>11</v>
      </c>
      <c r="AO134" s="191">
        <f t="shared" si="84"/>
        <v>6</v>
      </c>
      <c r="AP134" s="191">
        <f ca="1">OP!$D$5+$AN134-1</f>
        <v>43</v>
      </c>
      <c r="AQ134" s="191" t="str">
        <f t="shared" si="85"/>
        <v/>
      </c>
      <c r="AR134" s="352">
        <f t="shared" ca="1" si="86"/>
        <v>0</v>
      </c>
      <c r="AS134" s="352"/>
      <c r="AT134" s="352"/>
      <c r="AU134" s="436"/>
      <c r="AV134" s="353" t="str">
        <f t="shared" ca="1" si="87"/>
        <v/>
      </c>
      <c r="AW134" s="422" t="str">
        <f t="shared" si="88"/>
        <v/>
      </c>
      <c r="AX134" s="423" t="str">
        <f ca="1">IF(AND($AW134=1,$AP134&lt;16,$AN133&lt;OP!$C$24),OP!$C$49,"")</f>
        <v/>
      </c>
      <c r="AY134" s="340"/>
      <c r="AZ134" s="465">
        <f t="shared" ca="1" si="89"/>
        <v>7.3698599999999999E-5</v>
      </c>
      <c r="BA134" s="464">
        <f t="shared" ca="1" si="90"/>
        <v>2.1372602999999999E-3</v>
      </c>
      <c r="BB134" s="465">
        <f t="shared" ca="1" si="90"/>
        <v>2.2109589000000002E-3</v>
      </c>
      <c r="BC134" s="466">
        <f t="shared" ca="1" si="91"/>
        <v>46692</v>
      </c>
      <c r="BD134" s="467">
        <f t="shared" ca="1" si="115"/>
        <v>46693</v>
      </c>
      <c r="BE134" s="467">
        <f t="shared" ca="1" si="92"/>
        <v>46721</v>
      </c>
      <c r="BF134" s="468">
        <f ca="1">IF(計算!$BC134&lt;OP!$C$3,0,BD134-BC134)</f>
        <v>1</v>
      </c>
      <c r="BG134" s="468">
        <f ca="1">IF($BE134&gt;DATE(YEAR($BD$9)+OP!$C$57,MONTH($BD$9),DAY($BD$9)),0,$BE134-$BD134+1)</f>
        <v>29</v>
      </c>
      <c r="BH134" s="469">
        <f t="shared" ca="1" si="93"/>
        <v>30</v>
      </c>
      <c r="BI134" t="str">
        <f t="shared" si="128"/>
        <v/>
      </c>
      <c r="BJ134">
        <v>5</v>
      </c>
      <c r="BN134" s="468">
        <f t="shared" si="116"/>
        <v>11</v>
      </c>
      <c r="BO134" s="468">
        <f t="shared" si="117"/>
        <v>5</v>
      </c>
      <c r="BP134" s="467">
        <f t="shared" ca="1" si="94"/>
        <v>46693</v>
      </c>
      <c r="BQ134" s="475">
        <f t="shared" ca="1" si="126"/>
        <v>43</v>
      </c>
      <c r="BR134" s="475" t="str">
        <f t="shared" si="118"/>
        <v/>
      </c>
      <c r="BS134" s="471" t="str">
        <f t="shared" si="95"/>
        <v/>
      </c>
      <c r="BT134" s="472" t="str">
        <f t="shared" si="129"/>
        <v/>
      </c>
      <c r="BU134" s="472">
        <f t="shared" ca="1" si="96"/>
        <v>0</v>
      </c>
      <c r="BV134" s="472">
        <f t="shared" ca="1" si="96"/>
        <v>0</v>
      </c>
      <c r="BW134" s="472"/>
      <c r="BX134" s="473">
        <f t="shared" ca="1" si="97"/>
        <v>31795.410737612001</v>
      </c>
      <c r="BY134" s="473">
        <f t="shared" si="98"/>
        <v>0</v>
      </c>
      <c r="BZ134" s="473">
        <f t="shared" ca="1" si="72"/>
        <v>70.298346348999999</v>
      </c>
      <c r="CA134" s="476">
        <f t="shared" ca="1" si="99"/>
        <v>0</v>
      </c>
      <c r="CB134" s="494">
        <f ca="1">IF(OR($Q133&lt;&gt;1,OP!$D$5+$BN134-1&lt;16,$BN134-1&lt;1),0,ROUND(ROUND(ROUND(((VLOOKUP($BN134-1,MORE_PV,5,0)/10000)*VLOOKUP($BN134,MORE_PV,$CB$5,0)),3)*VLOOKUP($BN134,more1,5,0),0)/$R133,0))</f>
        <v>0</v>
      </c>
      <c r="CC134" s="473">
        <f t="shared" ca="1" si="100"/>
        <v>0</v>
      </c>
      <c r="CD134" s="477"/>
      <c r="CE134" s="468">
        <f t="shared" si="119"/>
        <v>11</v>
      </c>
      <c r="CF134" s="468">
        <f t="shared" si="120"/>
        <v>5</v>
      </c>
      <c r="CG134" s="467">
        <f t="shared" ca="1" si="73"/>
        <v>46693</v>
      </c>
      <c r="CH134" s="475">
        <f t="shared" ca="1" si="127"/>
        <v>43</v>
      </c>
      <c r="CI134" s="513" t="str">
        <f t="shared" si="121"/>
        <v/>
      </c>
      <c r="CJ134" s="511">
        <f t="shared" si="101"/>
        <v>0</v>
      </c>
      <c r="CK134" s="512">
        <f t="shared" si="102"/>
        <v>0</v>
      </c>
      <c r="CL134" s="511">
        <f t="shared" ca="1" si="122"/>
        <v>0</v>
      </c>
      <c r="CM134" s="511">
        <f ca="1">ROUND(CS134-IF(OR($CE134&gt;=OP!$C$24,AND(CH134=15,CF134=12),CS134=0),0,(CT134-CR134)),$CM$7)</f>
        <v>0</v>
      </c>
      <c r="CN134" s="511"/>
      <c r="CO134" s="351">
        <f t="shared" ca="1" si="103"/>
        <v>58076</v>
      </c>
      <c r="CP134" s="473">
        <f t="shared" si="104"/>
        <v>0</v>
      </c>
      <c r="CQ134" s="473">
        <f t="shared" ca="1" si="74"/>
        <v>128.40364907599999</v>
      </c>
      <c r="CR134" s="476">
        <f t="shared" ca="1" si="105"/>
        <v>0</v>
      </c>
      <c r="CS134" s="494">
        <f ca="1">IF(OR($Q133&lt;&gt;1,OP!$D$5+$CE134-1&lt;16,$CE134-1&lt;1),0,ROUND(ROUND(ROUND(((VLOOKUP($CE134-1,MORE_PV,5,0)/10000)*VLOOKUP($CE134,MORE_PV,$CS$5,0)),3)*VLOOKUP($CE134,more1,5,0),0)/$R133,0))</f>
        <v>0</v>
      </c>
      <c r="CT134" s="473">
        <f>IF($AW134=1,IF(N($CR134+$CS134)&lt;N($AX134)*OP!$C$50,N($CR134+$CS134),MIN(N($CR134+$CS134),N($AX134))),0)</f>
        <v>0</v>
      </c>
      <c r="CV134" s="503">
        <f t="shared" ca="1" si="106"/>
        <v>58075.608179012997</v>
      </c>
      <c r="CW134" s="503">
        <f t="shared" ca="1" si="107"/>
        <v>0</v>
      </c>
      <c r="CX134" s="503">
        <f t="shared" ca="1" si="108"/>
        <v>58199.721723777999</v>
      </c>
    </row>
    <row r="135" spans="2:102" ht="16.5" hidden="1">
      <c r="B135" s="80"/>
      <c r="C135" s="80"/>
      <c r="D135" s="80"/>
      <c r="E135" s="80"/>
      <c r="F135" s="80"/>
      <c r="G135" s="80"/>
      <c r="H135" s="80"/>
      <c r="I135" s="80"/>
      <c r="J135" s="192">
        <f t="shared" si="75"/>
        <v>11</v>
      </c>
      <c r="K135" s="192">
        <f t="shared" si="76"/>
        <v>7</v>
      </c>
      <c r="L135" s="192" t="str">
        <f t="shared" si="69"/>
        <v/>
      </c>
      <c r="M135" s="216">
        <f t="shared" ca="1" si="77"/>
        <v>0</v>
      </c>
      <c r="N135" s="216"/>
      <c r="O135" s="216"/>
      <c r="P135" s="216"/>
      <c r="Q135" s="456" t="str">
        <f t="shared" ca="1" si="78"/>
        <v/>
      </c>
      <c r="R135" s="450">
        <f t="shared" ca="1" si="79"/>
        <v>1</v>
      </c>
      <c r="S135" s="191">
        <f t="shared" si="80"/>
        <v>11</v>
      </c>
      <c r="T135" s="191">
        <f t="shared" si="81"/>
        <v>7</v>
      </c>
      <c r="U135" s="191">
        <f ca="1">OP!$D$5+$S135-1</f>
        <v>43</v>
      </c>
      <c r="V135" s="191" t="str">
        <f t="shared" si="82"/>
        <v/>
      </c>
      <c r="W135" s="350">
        <f ca="1">IF(Q135&lt;&gt;1,0,VLOOKUP(OP!$C$55,PVFB,$S135+2,0))</f>
        <v>0</v>
      </c>
      <c r="X135" s="473">
        <f t="shared" ca="1" si="112"/>
        <v>0</v>
      </c>
      <c r="Y135" s="348">
        <f t="shared" ca="1" si="113"/>
        <v>0</v>
      </c>
      <c r="Z135" s="348">
        <f t="shared" ca="1" si="114"/>
        <v>8012</v>
      </c>
      <c r="AA135" s="348">
        <f ca="1">IF(Q135&lt;&gt;1,0,VLOOKUP(OP!$C$55,PVFB,$S135+2,0))</f>
        <v>0</v>
      </c>
      <c r="AB135" s="488" t="str">
        <f ca="1">IF(AND(S135&lt;OP!$C$24,$U135&lt;15),0,IF(AND($U135&lt;15,$T135=12),ROUND(VLOOKUP($S135,DOWN16,5,0),3),IF($T135=12,ROUND(($Z135/10000)*$AA135,3)+IF(AND($P$7="購買增額繳清保險",T135=12,U135=110),VLOOKUP(S135,$B$10:$H$121,7,0),0),"")))</f>
        <v/>
      </c>
      <c r="AC135" s="350" t="str">
        <f ca="1">IF(AND(S135&lt;OP!$C$24,$U135&lt;15),0,IF(AND($U135&lt;16,$T135=12),VLOOKUP($S135,DOWN16,4,0),IF($T135=12,ROUND(VLOOKUP(OP!$C$55,_DIE2,$S135+1,0)*(Z135/10000),0)+IF(AND($P$7="購買增額繳清保險",T135=12,U135=110),VLOOKUP(S135,$B$10:$H$121,7,0),0),"")))</f>
        <v/>
      </c>
      <c r="AD135" s="347"/>
      <c r="AE135" s="350" t="str">
        <f t="shared" ca="1" si="70"/>
        <v/>
      </c>
      <c r="AF135" s="351" t="str">
        <f t="shared" ca="1" si="71"/>
        <v/>
      </c>
      <c r="AG135" s="340"/>
      <c r="AH135" s="340"/>
      <c r="AI135" s="340"/>
      <c r="AJ135" s="340"/>
      <c r="AK135" s="340"/>
      <c r="AL135" s="340"/>
      <c r="AM135" s="340"/>
      <c r="AN135" s="191">
        <f t="shared" si="83"/>
        <v>11</v>
      </c>
      <c r="AO135" s="191">
        <f t="shared" si="84"/>
        <v>7</v>
      </c>
      <c r="AP135" s="191">
        <f ca="1">OP!$D$5+$AN135-1</f>
        <v>43</v>
      </c>
      <c r="AQ135" s="191" t="str">
        <f t="shared" si="85"/>
        <v/>
      </c>
      <c r="AR135" s="352">
        <f t="shared" ca="1" si="86"/>
        <v>0</v>
      </c>
      <c r="AS135" s="352"/>
      <c r="AT135" s="352"/>
      <c r="AU135" s="436"/>
      <c r="AV135" s="353" t="str">
        <f t="shared" ca="1" si="87"/>
        <v/>
      </c>
      <c r="AW135" s="422" t="str">
        <f t="shared" si="88"/>
        <v/>
      </c>
      <c r="AX135" s="423" t="str">
        <f ca="1">IF(AND($AW135=1,$AP135&lt;16,$AN134&lt;OP!$C$24),OP!$C$49,"")</f>
        <v/>
      </c>
      <c r="AY135" s="340"/>
      <c r="AZ135" s="465">
        <f t="shared" ca="1" si="89"/>
        <v>7.3698599999999999E-5</v>
      </c>
      <c r="BA135" s="464">
        <f t="shared" ca="1" si="90"/>
        <v>2.2109589000000002E-3</v>
      </c>
      <c r="BB135" s="465">
        <f t="shared" ca="1" si="90"/>
        <v>2.2846575E-3</v>
      </c>
      <c r="BC135" s="466">
        <f t="shared" ca="1" si="91"/>
        <v>46722</v>
      </c>
      <c r="BD135" s="467">
        <f t="shared" ca="1" si="115"/>
        <v>46723</v>
      </c>
      <c r="BE135" s="467">
        <f t="shared" ca="1" si="92"/>
        <v>46752</v>
      </c>
      <c r="BF135" s="468">
        <f ca="1">IF(計算!$BC135&lt;OP!$C$3,0,BD135-BC135)</f>
        <v>1</v>
      </c>
      <c r="BG135" s="468">
        <f ca="1">IF($BE135&gt;DATE(YEAR($BD$9)+OP!$C$57,MONTH($BD$9),DAY($BD$9)),0,$BE135-$BD135+1)</f>
        <v>30</v>
      </c>
      <c r="BH135" s="469">
        <f t="shared" ca="1" si="93"/>
        <v>31</v>
      </c>
      <c r="BI135" t="str">
        <f t="shared" si="128"/>
        <v/>
      </c>
      <c r="BJ135">
        <v>6</v>
      </c>
      <c r="BN135" s="468">
        <f t="shared" si="116"/>
        <v>11</v>
      </c>
      <c r="BO135" s="468">
        <f t="shared" si="117"/>
        <v>6</v>
      </c>
      <c r="BP135" s="467">
        <f t="shared" ca="1" si="94"/>
        <v>46723</v>
      </c>
      <c r="BQ135" s="475">
        <f t="shared" ca="1" si="126"/>
        <v>43</v>
      </c>
      <c r="BR135" s="475" t="str">
        <f t="shared" si="118"/>
        <v/>
      </c>
      <c r="BS135" s="471" t="str">
        <f t="shared" si="95"/>
        <v/>
      </c>
      <c r="BT135" s="472" t="str">
        <f t="shared" si="129"/>
        <v/>
      </c>
      <c r="BU135" s="472">
        <f t="shared" ca="1" si="96"/>
        <v>0</v>
      </c>
      <c r="BV135" s="472">
        <f t="shared" ca="1" si="96"/>
        <v>0</v>
      </c>
      <c r="BW135" s="472"/>
      <c r="BX135" s="473">
        <f t="shared" ca="1" si="97"/>
        <v>31865.709083960999</v>
      </c>
      <c r="BY135" s="473">
        <f t="shared" si="98"/>
        <v>0</v>
      </c>
      <c r="BZ135" s="473">
        <f t="shared" ca="1" si="72"/>
        <v>72.802231250999995</v>
      </c>
      <c r="CA135" s="476">
        <f t="shared" ca="1" si="99"/>
        <v>0</v>
      </c>
      <c r="CB135" s="494">
        <f ca="1">IF(OR($Q134&lt;&gt;1,OP!$D$5+$BN135-1&lt;16,$BN135-1&lt;1),0,ROUND(ROUND(ROUND(((VLOOKUP($BN135-1,MORE_PV,5,0)/10000)*VLOOKUP($BN135,MORE_PV,$CB$5,0)),3)*VLOOKUP($BN135,more1,5,0),0)/$R134,0))</f>
        <v>0</v>
      </c>
      <c r="CC135" s="473">
        <f t="shared" ca="1" si="100"/>
        <v>0</v>
      </c>
      <c r="CD135" s="477"/>
      <c r="CE135" s="468">
        <f t="shared" si="119"/>
        <v>11</v>
      </c>
      <c r="CF135" s="468">
        <f t="shared" si="120"/>
        <v>6</v>
      </c>
      <c r="CG135" s="467">
        <f t="shared" ca="1" si="73"/>
        <v>46723</v>
      </c>
      <c r="CH135" s="475">
        <f t="shared" ca="1" si="127"/>
        <v>43</v>
      </c>
      <c r="CI135" s="513" t="str">
        <f t="shared" si="121"/>
        <v/>
      </c>
      <c r="CJ135" s="511">
        <f t="shared" si="101"/>
        <v>0</v>
      </c>
      <c r="CK135" s="512">
        <f t="shared" si="102"/>
        <v>0</v>
      </c>
      <c r="CL135" s="511">
        <f t="shared" ca="1" si="122"/>
        <v>0</v>
      </c>
      <c r="CM135" s="511">
        <f ca="1">ROUND(CS135-IF(OR($CE135&gt;=OP!$C$24,AND(CH135=15,CF135=12),CS135=0),0,(CT135-CR135)),$CM$7)</f>
        <v>0</v>
      </c>
      <c r="CN135" s="511"/>
      <c r="CO135" s="351">
        <f t="shared" ca="1" si="103"/>
        <v>58204</v>
      </c>
      <c r="CP135" s="473">
        <f t="shared" si="104"/>
        <v>0</v>
      </c>
      <c r="CQ135" s="473">
        <f t="shared" ca="1" si="74"/>
        <v>132.97620513000001</v>
      </c>
      <c r="CR135" s="476">
        <f t="shared" ca="1" si="105"/>
        <v>0</v>
      </c>
      <c r="CS135" s="494">
        <f ca="1">IF(OR($Q134&lt;&gt;1,OP!$D$5+$CE135-1&lt;16,$CE135-1&lt;1),0,ROUND(ROUND(ROUND(((VLOOKUP($CE135-1,MORE_PV,5,0)/10000)*VLOOKUP($CE135,MORE_PV,$CS$5,0)),3)*VLOOKUP($CE135,more1,5,0),0)/$R134,0))</f>
        <v>0</v>
      </c>
      <c r="CT135" s="473">
        <f>IF($AW135=1,IF(N($CR135+$CS135)&lt;N($AX135)*OP!$C$50,N($CR135+$CS135),MIN(N($CR135+$CS135),N($AX135))),0)</f>
        <v>0</v>
      </c>
      <c r="CV135" s="503">
        <f t="shared" ca="1" si="106"/>
        <v>58204.010961788998</v>
      </c>
      <c r="CW135" s="503">
        <f t="shared" ca="1" si="107"/>
        <v>0</v>
      </c>
      <c r="CX135" s="503">
        <f t="shared" ca="1" si="108"/>
        <v>58332.688154511998</v>
      </c>
    </row>
    <row r="136" spans="2:102" ht="16.5" hidden="1">
      <c r="B136" s="80"/>
      <c r="C136" s="80"/>
      <c r="D136" s="80"/>
      <c r="E136" s="80"/>
      <c r="F136" s="80"/>
      <c r="G136" s="80"/>
      <c r="H136" s="80"/>
      <c r="I136" s="80"/>
      <c r="J136" s="192">
        <f t="shared" si="75"/>
        <v>11</v>
      </c>
      <c r="K136" s="192">
        <f t="shared" si="76"/>
        <v>8</v>
      </c>
      <c r="L136" s="192" t="str">
        <f t="shared" si="69"/>
        <v/>
      </c>
      <c r="M136" s="216">
        <f t="shared" ca="1" si="77"/>
        <v>0</v>
      </c>
      <c r="N136" s="216"/>
      <c r="O136" s="216"/>
      <c r="P136" s="216"/>
      <c r="Q136" s="456" t="str">
        <f t="shared" ca="1" si="78"/>
        <v/>
      </c>
      <c r="R136" s="450">
        <f t="shared" ca="1" si="79"/>
        <v>1</v>
      </c>
      <c r="S136" s="191">
        <f t="shared" si="80"/>
        <v>11</v>
      </c>
      <c r="T136" s="191">
        <f t="shared" si="81"/>
        <v>8</v>
      </c>
      <c r="U136" s="191">
        <f ca="1">OP!$D$5+$S136-1</f>
        <v>43</v>
      </c>
      <c r="V136" s="191" t="str">
        <f t="shared" si="82"/>
        <v/>
      </c>
      <c r="W136" s="350">
        <f ca="1">IF(Q136&lt;&gt;1,0,VLOOKUP(OP!$C$55,PVFB,$S136+2,0))</f>
        <v>0</v>
      </c>
      <c r="X136" s="473">
        <f t="shared" ca="1" si="112"/>
        <v>0</v>
      </c>
      <c r="Y136" s="348">
        <f t="shared" ca="1" si="113"/>
        <v>0</v>
      </c>
      <c r="Z136" s="348">
        <f t="shared" ca="1" si="114"/>
        <v>8012</v>
      </c>
      <c r="AA136" s="348">
        <f ca="1">IF(Q136&lt;&gt;1,0,VLOOKUP(OP!$C$55,PVFB,$S136+2,0))</f>
        <v>0</v>
      </c>
      <c r="AB136" s="488" t="str">
        <f ca="1">IF(AND(S136&lt;OP!$C$24,$U136&lt;15),0,IF(AND($U136&lt;15,$T136=12),ROUND(VLOOKUP($S136,DOWN16,5,0),3),IF($T136=12,ROUND(($Z136/10000)*$AA136,3)+IF(AND($P$7="購買增額繳清保險",T136=12,U136=110),VLOOKUP(S136,$B$10:$H$121,7,0),0),"")))</f>
        <v/>
      </c>
      <c r="AC136" s="350" t="str">
        <f ca="1">IF(AND(S136&lt;OP!$C$24,$U136&lt;15),0,IF(AND($U136&lt;16,$T136=12),VLOOKUP($S136,DOWN16,4,0),IF($T136=12,ROUND(VLOOKUP(OP!$C$55,_DIE2,$S136+1,0)*(Z136/10000),0)+IF(AND($P$7="購買增額繳清保險",T136=12,U136=110),VLOOKUP(S136,$B$10:$H$121,7,0),0),"")))</f>
        <v/>
      </c>
      <c r="AD136" s="347"/>
      <c r="AE136" s="350" t="str">
        <f t="shared" ca="1" si="70"/>
        <v/>
      </c>
      <c r="AF136" s="351" t="str">
        <f t="shared" ca="1" si="71"/>
        <v/>
      </c>
      <c r="AG136" s="340"/>
      <c r="AH136" s="340"/>
      <c r="AI136" s="340"/>
      <c r="AJ136" s="340"/>
      <c r="AK136" s="340"/>
      <c r="AL136" s="340"/>
      <c r="AM136" s="340"/>
      <c r="AN136" s="191">
        <f t="shared" si="83"/>
        <v>11</v>
      </c>
      <c r="AO136" s="191">
        <f t="shared" si="84"/>
        <v>8</v>
      </c>
      <c r="AP136" s="191">
        <f ca="1">OP!$D$5+$AN136-1</f>
        <v>43</v>
      </c>
      <c r="AQ136" s="191" t="str">
        <f t="shared" si="85"/>
        <v/>
      </c>
      <c r="AR136" s="352">
        <f t="shared" ca="1" si="86"/>
        <v>0</v>
      </c>
      <c r="AS136" s="352"/>
      <c r="AT136" s="352"/>
      <c r="AU136" s="436"/>
      <c r="AV136" s="353" t="str">
        <f t="shared" ca="1" si="87"/>
        <v/>
      </c>
      <c r="AW136" s="422" t="str">
        <f t="shared" si="88"/>
        <v/>
      </c>
      <c r="AX136" s="423" t="str">
        <f ca="1">IF(AND($AW136=1,$AP136&lt;16,$AN135&lt;OP!$C$24),OP!$C$49,"")</f>
        <v/>
      </c>
      <c r="AY136" s="340"/>
      <c r="AZ136" s="465">
        <f t="shared" ca="1" si="89"/>
        <v>7.3698599999999999E-5</v>
      </c>
      <c r="BA136" s="464">
        <f t="shared" ca="1" si="90"/>
        <v>2.2109589000000002E-3</v>
      </c>
      <c r="BB136" s="465">
        <f t="shared" ca="1" si="90"/>
        <v>2.2846575E-3</v>
      </c>
      <c r="BC136" s="466">
        <f t="shared" ca="1" si="91"/>
        <v>46753</v>
      </c>
      <c r="BD136" s="467">
        <f t="shared" ca="1" si="115"/>
        <v>46754</v>
      </c>
      <c r="BE136" s="467">
        <f t="shared" ca="1" si="92"/>
        <v>46783</v>
      </c>
      <c r="BF136" s="468">
        <f ca="1">IF(計算!$BC136&lt;OP!$C$3,0,BD136-BC136)</f>
        <v>1</v>
      </c>
      <c r="BG136" s="468">
        <f ca="1">IF($BE136&gt;DATE(YEAR($BD$9)+OP!$C$57,MONTH($BD$9),DAY($BD$9)),0,$BE136-$BD136+1)</f>
        <v>30</v>
      </c>
      <c r="BH136" s="469">
        <f t="shared" ca="1" si="93"/>
        <v>31</v>
      </c>
      <c r="BI136" t="str">
        <f t="shared" si="128"/>
        <v/>
      </c>
      <c r="BJ136">
        <v>7</v>
      </c>
      <c r="BN136" s="468">
        <f t="shared" si="116"/>
        <v>11</v>
      </c>
      <c r="BO136" s="468">
        <f t="shared" si="117"/>
        <v>7</v>
      </c>
      <c r="BP136" s="467">
        <f t="shared" ca="1" si="94"/>
        <v>46754</v>
      </c>
      <c r="BQ136" s="475">
        <f t="shared" ca="1" si="126"/>
        <v>43</v>
      </c>
      <c r="BR136" s="475" t="str">
        <f t="shared" si="118"/>
        <v/>
      </c>
      <c r="BS136" s="471" t="str">
        <f t="shared" si="95"/>
        <v/>
      </c>
      <c r="BT136" s="472" t="str">
        <f t="shared" si="129"/>
        <v/>
      </c>
      <c r="BU136" s="472">
        <f t="shared" ca="1" si="96"/>
        <v>0</v>
      </c>
      <c r="BV136" s="472">
        <f t="shared" ca="1" si="96"/>
        <v>0</v>
      </c>
      <c r="BW136" s="472"/>
      <c r="BX136" s="473">
        <f t="shared" ca="1" si="97"/>
        <v>31938.511315211999</v>
      </c>
      <c r="BY136" s="473">
        <f t="shared" si="98"/>
        <v>0</v>
      </c>
      <c r="BZ136" s="473">
        <f t="shared" ca="1" si="72"/>
        <v>72.968559415000001</v>
      </c>
      <c r="CA136" s="476">
        <f t="shared" ca="1" si="99"/>
        <v>0</v>
      </c>
      <c r="CB136" s="494">
        <f ca="1">IF(OR($Q135&lt;&gt;1,OP!$D$5+$BN136-1&lt;16,$BN136-1&lt;1),0,ROUND(ROUND(ROUND(((VLOOKUP($BN136-1,MORE_PV,5,0)/10000)*VLOOKUP($BN136,MORE_PV,$CB$5,0)),3)*VLOOKUP($BN136,more1,5,0),0)/$R135,0))</f>
        <v>0</v>
      </c>
      <c r="CC136" s="473">
        <f t="shared" ca="1" si="100"/>
        <v>0</v>
      </c>
      <c r="CD136" s="477"/>
      <c r="CE136" s="468">
        <f t="shared" si="119"/>
        <v>11</v>
      </c>
      <c r="CF136" s="468">
        <f t="shared" si="120"/>
        <v>7</v>
      </c>
      <c r="CG136" s="467">
        <f t="shared" ca="1" si="73"/>
        <v>46754</v>
      </c>
      <c r="CH136" s="475">
        <f t="shared" ca="1" si="127"/>
        <v>43</v>
      </c>
      <c r="CI136" s="513" t="str">
        <f t="shared" si="121"/>
        <v/>
      </c>
      <c r="CJ136" s="511">
        <f t="shared" si="101"/>
        <v>0</v>
      </c>
      <c r="CK136" s="512">
        <f t="shared" si="102"/>
        <v>0</v>
      </c>
      <c r="CL136" s="511">
        <f t="shared" ca="1" si="122"/>
        <v>0</v>
      </c>
      <c r="CM136" s="511">
        <f ca="1">ROUND(CS136-IF(OR($CE136&gt;=OP!$C$24,AND(CH136=15,CF136=12),CS136=0),0,(CT136-CR136)),$CM$7)</f>
        <v>0</v>
      </c>
      <c r="CN136" s="511"/>
      <c r="CO136" s="351">
        <f t="shared" ca="1" si="103"/>
        <v>58337</v>
      </c>
      <c r="CP136" s="473">
        <f t="shared" si="104"/>
        <v>0</v>
      </c>
      <c r="CQ136" s="473">
        <f t="shared" ca="1" si="74"/>
        <v>133.28006457800001</v>
      </c>
      <c r="CR136" s="476">
        <f t="shared" ca="1" si="105"/>
        <v>0</v>
      </c>
      <c r="CS136" s="494">
        <f ca="1">IF(OR($Q135&lt;&gt;1,OP!$D$5+$CE136-1&lt;16,$CE136-1&lt;1),0,ROUND(ROUND(ROUND(((VLOOKUP($CE136-1,MORE_PV,5,0)/10000)*VLOOKUP($CE136,MORE_PV,$CS$5,0)),3)*VLOOKUP($CE136,more1,5,0),0)/$R135,0))</f>
        <v>0</v>
      </c>
      <c r="CT136" s="473">
        <f>IF($AW136=1,IF(N($CR136+$CS136)&lt;N($AX136)*OP!$C$50,N($CR136+$CS136),MIN(N($CR136+$CS136),N($AX136))),0)</f>
        <v>0</v>
      </c>
      <c r="CV136" s="503">
        <f t="shared" ca="1" si="106"/>
        <v>58336.987191963002</v>
      </c>
      <c r="CW136" s="503">
        <f t="shared" ca="1" si="107"/>
        <v>0</v>
      </c>
      <c r="CX136" s="503">
        <f t="shared" ca="1" si="108"/>
        <v>58465.958367999003</v>
      </c>
    </row>
    <row r="137" spans="2:102" ht="16.5" hidden="1">
      <c r="B137" s="80"/>
      <c r="C137" s="80"/>
      <c r="D137" s="80"/>
      <c r="E137" s="80"/>
      <c r="F137" s="80"/>
      <c r="G137" s="80"/>
      <c r="H137" s="80"/>
      <c r="I137" s="80"/>
      <c r="J137" s="192">
        <f t="shared" si="75"/>
        <v>11</v>
      </c>
      <c r="K137" s="192">
        <f t="shared" si="76"/>
        <v>9</v>
      </c>
      <c r="L137" s="192" t="str">
        <f t="shared" ref="L137:L200" si="134">IF($K137=12,$J137,"")</f>
        <v/>
      </c>
      <c r="M137" s="216">
        <f t="shared" ca="1" si="77"/>
        <v>0</v>
      </c>
      <c r="N137" s="216"/>
      <c r="O137" s="216"/>
      <c r="P137" s="216"/>
      <c r="Q137" s="456" t="str">
        <f t="shared" ca="1" si="78"/>
        <v/>
      </c>
      <c r="R137" s="450">
        <f t="shared" ca="1" si="79"/>
        <v>1</v>
      </c>
      <c r="S137" s="191">
        <f t="shared" si="80"/>
        <v>11</v>
      </c>
      <c r="T137" s="191">
        <f t="shared" si="81"/>
        <v>9</v>
      </c>
      <c r="U137" s="191">
        <f ca="1">OP!$D$5+$S137-1</f>
        <v>43</v>
      </c>
      <c r="V137" s="191" t="str">
        <f t="shared" si="82"/>
        <v/>
      </c>
      <c r="W137" s="350">
        <f ca="1">IF(Q137&lt;&gt;1,0,VLOOKUP(OP!$C$55,PVFB,$S137+2,0))</f>
        <v>0</v>
      </c>
      <c r="X137" s="473">
        <f t="shared" ca="1" si="112"/>
        <v>0</v>
      </c>
      <c r="Y137" s="348">
        <f t="shared" ca="1" si="113"/>
        <v>0</v>
      </c>
      <c r="Z137" s="348">
        <f t="shared" ca="1" si="114"/>
        <v>8012</v>
      </c>
      <c r="AA137" s="348">
        <f ca="1">IF(Q137&lt;&gt;1,0,VLOOKUP(OP!$C$55,PVFB,$S137+2,0))</f>
        <v>0</v>
      </c>
      <c r="AB137" s="488" t="str">
        <f ca="1">IF(AND(S137&lt;OP!$C$24,$U137&lt;15),0,IF(AND($U137&lt;15,$T137=12),ROUND(VLOOKUP($S137,DOWN16,5,0),3),IF($T137=12,ROUND(($Z137/10000)*$AA137,3)+IF(AND($P$7="購買增額繳清保險",T137=12,U137=110),VLOOKUP(S137,$B$10:$H$121,7,0),0),"")))</f>
        <v/>
      </c>
      <c r="AC137" s="350" t="str">
        <f ca="1">IF(AND(S137&lt;OP!$C$24,$U137&lt;15),0,IF(AND($U137&lt;16,$T137=12),VLOOKUP($S137,DOWN16,4,0),IF($T137=12,ROUND(VLOOKUP(OP!$C$55,_DIE2,$S137+1,0)*(Z137/10000),0)+IF(AND($P$7="購買增額繳清保險",T137=12,U137=110),VLOOKUP(S137,$B$10:$H$121,7,0),0),"")))</f>
        <v/>
      </c>
      <c r="AD137" s="347"/>
      <c r="AE137" s="350" t="str">
        <f t="shared" ref="AE137:AE200" ca="1" si="135">IF(AND($U$9&lt;16,$T137=12),VLOOKUP($S137,DOWN16,4,0),"")</f>
        <v/>
      </c>
      <c r="AF137" s="351" t="str">
        <f t="shared" ref="AF137:AF200" ca="1" si="136">IF(AND($U$9&lt;16,$T137=12),VLOOKUP($S137,DOWN16,5,0),"")</f>
        <v/>
      </c>
      <c r="AG137" s="340"/>
      <c r="AH137" s="340"/>
      <c r="AI137" s="340"/>
      <c r="AJ137" s="340"/>
      <c r="AK137" s="340"/>
      <c r="AL137" s="340"/>
      <c r="AM137" s="340"/>
      <c r="AN137" s="191">
        <f t="shared" si="83"/>
        <v>11</v>
      </c>
      <c r="AO137" s="191">
        <f t="shared" si="84"/>
        <v>9</v>
      </c>
      <c r="AP137" s="191">
        <f ca="1">OP!$D$5+$AN137-1</f>
        <v>43</v>
      </c>
      <c r="AQ137" s="191" t="str">
        <f t="shared" si="85"/>
        <v/>
      </c>
      <c r="AR137" s="352">
        <f t="shared" ca="1" si="86"/>
        <v>0</v>
      </c>
      <c r="AS137" s="352"/>
      <c r="AT137" s="352"/>
      <c r="AU137" s="436"/>
      <c r="AV137" s="353" t="str">
        <f t="shared" ca="1" si="87"/>
        <v/>
      </c>
      <c r="AW137" s="422" t="str">
        <f t="shared" si="88"/>
        <v/>
      </c>
      <c r="AX137" s="423" t="str">
        <f ca="1">IF(AND($AW137=1,$AP137&lt;16,$AN136&lt;OP!$C$24),OP!$C$49,"")</f>
        <v/>
      </c>
      <c r="AY137" s="340"/>
      <c r="AZ137" s="465">
        <f t="shared" ca="1" si="89"/>
        <v>7.3698599999999999E-5</v>
      </c>
      <c r="BA137" s="464">
        <f t="shared" ca="1" si="90"/>
        <v>2.0635616E-3</v>
      </c>
      <c r="BB137" s="465">
        <f t="shared" ca="1" si="90"/>
        <v>2.1372602999999999E-3</v>
      </c>
      <c r="BC137" s="466">
        <f t="shared" ca="1" si="91"/>
        <v>46784</v>
      </c>
      <c r="BD137" s="467">
        <f t="shared" ca="1" si="115"/>
        <v>46785</v>
      </c>
      <c r="BE137" s="467">
        <f t="shared" ca="1" si="92"/>
        <v>46812</v>
      </c>
      <c r="BF137" s="468">
        <f ca="1">IF(計算!$BC137&lt;OP!$C$3,0,BD137-BC137)</f>
        <v>1</v>
      </c>
      <c r="BG137" s="468">
        <f ca="1">IF($BE137&gt;DATE(YEAR($BD$9)+OP!$C$57,MONTH($BD$9),DAY($BD$9)),0,$BE137-$BD137+1)</f>
        <v>28</v>
      </c>
      <c r="BH137" s="469">
        <f t="shared" ca="1" si="93"/>
        <v>29</v>
      </c>
      <c r="BI137" t="str">
        <f t="shared" si="128"/>
        <v/>
      </c>
      <c r="BJ137">
        <v>8</v>
      </c>
      <c r="BN137" s="468">
        <f t="shared" si="116"/>
        <v>11</v>
      </c>
      <c r="BO137" s="468">
        <f t="shared" si="117"/>
        <v>8</v>
      </c>
      <c r="BP137" s="467">
        <f t="shared" ca="1" si="94"/>
        <v>46785</v>
      </c>
      <c r="BQ137" s="475">
        <f t="shared" ca="1" si="126"/>
        <v>43</v>
      </c>
      <c r="BR137" s="475" t="str">
        <f t="shared" si="118"/>
        <v/>
      </c>
      <c r="BS137" s="471" t="str">
        <f t="shared" si="95"/>
        <v/>
      </c>
      <c r="BT137" s="472" t="str">
        <f t="shared" si="129"/>
        <v/>
      </c>
      <c r="BU137" s="472">
        <f t="shared" ca="1" si="96"/>
        <v>0</v>
      </c>
      <c r="BV137" s="472">
        <f t="shared" ca="1" si="96"/>
        <v>0</v>
      </c>
      <c r="BW137" s="472"/>
      <c r="BX137" s="473">
        <f t="shared" ca="1" si="97"/>
        <v>32011.479874626999</v>
      </c>
      <c r="BY137" s="473">
        <f t="shared" si="98"/>
        <v>0</v>
      </c>
      <c r="BZ137" s="473">
        <f t="shared" ref="BZ137:BZ200" ca="1" si="137">ROUND(BX137*IF(BO137=12,$BA137,$BB137),$CB$6)</f>
        <v>68.416865079999994</v>
      </c>
      <c r="CA137" s="476">
        <f t="shared" ca="1" si="99"/>
        <v>0</v>
      </c>
      <c r="CB137" s="494">
        <f ca="1">IF(OR($Q136&lt;&gt;1,OP!$D$5+$BN137-1&lt;16,$BN137-1&lt;1),0,ROUND(ROUND(ROUND(((VLOOKUP($BN137-1,MORE_PV,5,0)/10000)*VLOOKUP($BN137,MORE_PV,$CB$5,0)),3)*VLOOKUP($BN137,more1,5,0),0)/$R136,0))</f>
        <v>0</v>
      </c>
      <c r="CC137" s="473">
        <f t="shared" ca="1" si="100"/>
        <v>0</v>
      </c>
      <c r="CD137" s="477"/>
      <c r="CE137" s="468">
        <f t="shared" si="119"/>
        <v>11</v>
      </c>
      <c r="CF137" s="468">
        <f t="shared" si="120"/>
        <v>8</v>
      </c>
      <c r="CG137" s="467">
        <f t="shared" ref="CG137:CG200" ca="1" si="138">BD137</f>
        <v>46785</v>
      </c>
      <c r="CH137" s="475">
        <f t="shared" ca="1" si="127"/>
        <v>43</v>
      </c>
      <c r="CI137" s="513" t="str">
        <f t="shared" si="121"/>
        <v/>
      </c>
      <c r="CJ137" s="511">
        <f t="shared" si="101"/>
        <v>0</v>
      </c>
      <c r="CK137" s="512">
        <f t="shared" si="102"/>
        <v>0</v>
      </c>
      <c r="CL137" s="511">
        <f t="shared" ca="1" si="122"/>
        <v>0</v>
      </c>
      <c r="CM137" s="511">
        <f ca="1">ROUND(CS137-IF(OR($CE137&gt;=OP!$C$24,AND(CH137=15,CF137=12),CS137=0),0,(CT137-CR137)),$CM$7)</f>
        <v>0</v>
      </c>
      <c r="CN137" s="511"/>
      <c r="CO137" s="351">
        <f t="shared" ca="1" si="103"/>
        <v>58470</v>
      </c>
      <c r="CP137" s="473">
        <f t="shared" si="104"/>
        <v>0</v>
      </c>
      <c r="CQ137" s="473">
        <f t="shared" ref="CQ137:CQ200" ca="1" si="139">ROUND(IF(CF137=12,CO137*$BA137,CO137*$BB137),$CS$6)</f>
        <v>124.96560974099999</v>
      </c>
      <c r="CR137" s="476">
        <f t="shared" ca="1" si="105"/>
        <v>0</v>
      </c>
      <c r="CS137" s="494">
        <f ca="1">IF(OR($Q136&lt;&gt;1,OP!$D$5+$CE137-1&lt;16,$CE137-1&lt;1),0,ROUND(ROUND(ROUND(((VLOOKUP($CE137-1,MORE_PV,5,0)/10000)*VLOOKUP($CE137,MORE_PV,$CS$5,0)),3)*VLOOKUP($CE137,more1,5,0),0)/$R136,0))</f>
        <v>0</v>
      </c>
      <c r="CT137" s="473">
        <f>IF($AW137=1,IF(N($CR137+$CS137)&lt;N($AX137)*OP!$C$50,N($CR137+$CS137),MIN(N($CR137+$CS137),N($AX137))),0)</f>
        <v>0</v>
      </c>
      <c r="CV137" s="503">
        <f t="shared" ca="1" si="106"/>
        <v>58470.267227277996</v>
      </c>
      <c r="CW137" s="503">
        <f t="shared" ca="1" si="107"/>
        <v>0</v>
      </c>
      <c r="CX137" s="503">
        <f t="shared" ca="1" si="108"/>
        <v>58590.915339719999</v>
      </c>
    </row>
    <row r="138" spans="2:102" ht="16.5" hidden="1">
      <c r="B138" s="80"/>
      <c r="C138" s="80"/>
      <c r="D138" s="80"/>
      <c r="E138" s="80"/>
      <c r="F138" s="80"/>
      <c r="G138" s="80"/>
      <c r="H138" s="80"/>
      <c r="I138" s="80"/>
      <c r="J138" s="192">
        <f t="shared" ref="J138:J201" si="140">IF(K137=12,J137+1,J137)</f>
        <v>11</v>
      </c>
      <c r="K138" s="192">
        <f t="shared" ref="K138:K201" si="141">IF(K137=12,1,K137+1)</f>
        <v>10</v>
      </c>
      <c r="L138" s="192" t="str">
        <f t="shared" si="134"/>
        <v/>
      </c>
      <c r="M138" s="216">
        <f t="shared" ref="M138:M201" ca="1" si="142">IF($Q138=1,VLOOKUP(L138,$BR$9:$BT$1341,3,0),0)</f>
        <v>0</v>
      </c>
      <c r="N138" s="216"/>
      <c r="O138" s="216"/>
      <c r="P138" s="216"/>
      <c r="Q138" s="456" t="str">
        <f t="shared" ref="Q138:Q201" ca="1" si="143">IF(OR($U138&gt;=$I$5,AND($G$5=1,$K138=12),AND($G$5=2,OR($K138=6,$K138=12)),AND($G$5=4,OR($K138=3,$K138=6,$K138=9,$K138=12)),$G$5=12),1,"")</f>
        <v/>
      </c>
      <c r="R138" s="450">
        <f t="shared" ref="R138:R201" ca="1" si="144">IF($U138&lt;$I$5,$G$5,$I$6)</f>
        <v>1</v>
      </c>
      <c r="S138" s="191">
        <f t="shared" ref="S138:S201" si="145">IF(T137=12,S137+1,S137)</f>
        <v>11</v>
      </c>
      <c r="T138" s="191">
        <f t="shared" ref="T138:T201" si="146">IF(T137=12,1,T137+1)</f>
        <v>10</v>
      </c>
      <c r="U138" s="191">
        <f ca="1">OP!$D$5+$S138-1</f>
        <v>43</v>
      </c>
      <c r="V138" s="191" t="str">
        <f t="shared" ref="V138:V201" si="147">IF($T138=12,$S138,"")</f>
        <v/>
      </c>
      <c r="W138" s="350">
        <f ca="1">IF(Q138&lt;&gt;1,0,VLOOKUP(OP!$C$55,PVFB,$S138+2,0))</f>
        <v>0</v>
      </c>
      <c r="X138" s="473">
        <f t="shared" ca="1" si="112"/>
        <v>0</v>
      </c>
      <c r="Y138" s="348">
        <f t="shared" ca="1" si="113"/>
        <v>0</v>
      </c>
      <c r="Z138" s="348">
        <f t="shared" ca="1" si="114"/>
        <v>8012</v>
      </c>
      <c r="AA138" s="348">
        <f ca="1">IF(Q138&lt;&gt;1,0,VLOOKUP(OP!$C$55,PVFB,$S138+2,0))</f>
        <v>0</v>
      </c>
      <c r="AB138" s="488" t="str">
        <f ca="1">IF(AND(S138&lt;OP!$C$24,$U138&lt;15),0,IF(AND($U138&lt;15,$T138=12),ROUND(VLOOKUP($S138,DOWN16,5,0),3),IF($T138=12,ROUND(($Z138/10000)*$AA138,3)+IF(AND($P$7="購買增額繳清保險",T138=12,U138=110),VLOOKUP(S138,$B$10:$H$121,7,0),0),"")))</f>
        <v/>
      </c>
      <c r="AC138" s="350" t="str">
        <f ca="1">IF(AND(S138&lt;OP!$C$24,$U138&lt;15),0,IF(AND($U138&lt;16,$T138=12),VLOOKUP($S138,DOWN16,4,0),IF($T138=12,ROUND(VLOOKUP(OP!$C$55,_DIE2,$S138+1,0)*(Z138/10000),0)+IF(AND($P$7="購買增額繳清保險",T138=12,U138=110),VLOOKUP(S138,$B$10:$H$121,7,0),0),"")))</f>
        <v/>
      </c>
      <c r="AD138" s="347"/>
      <c r="AE138" s="350" t="str">
        <f t="shared" ca="1" si="135"/>
        <v/>
      </c>
      <c r="AF138" s="351" t="str">
        <f t="shared" ca="1" si="136"/>
        <v/>
      </c>
      <c r="AG138" s="340"/>
      <c r="AH138" s="340"/>
      <c r="AI138" s="340"/>
      <c r="AJ138" s="340"/>
      <c r="AK138" s="340"/>
      <c r="AL138" s="340"/>
      <c r="AM138" s="340"/>
      <c r="AN138" s="191">
        <f t="shared" ref="AN138:AN201" si="148">IF(AO137=12,AN137+1,AN137)</f>
        <v>11</v>
      </c>
      <c r="AO138" s="191">
        <f t="shared" ref="AO138:AO201" si="149">IF(AO137=12,1,AO137+1)</f>
        <v>10</v>
      </c>
      <c r="AP138" s="191">
        <f ca="1">OP!$D$5+$AN138-1</f>
        <v>43</v>
      </c>
      <c r="AQ138" s="191" t="str">
        <f t="shared" ref="AQ138:AQ201" si="150">IF($K138=12,$AN138,"")</f>
        <v/>
      </c>
      <c r="AR138" s="352">
        <f t="shared" ref="AR138:AR201" ca="1" si="151">IF($AV138=1,ROUND(VLOOKUP($AQ138,$CI$9:$CK$225,3,0),0),0)</f>
        <v>0</v>
      </c>
      <c r="AS138" s="352"/>
      <c r="AT138" s="352"/>
      <c r="AU138" s="436"/>
      <c r="AV138" s="353" t="str">
        <f t="shared" ref="AV138:AV201" ca="1" si="152">IF(AND($AP138&gt;15,$AN138&lt;=$P$4,$AO138&lt;&gt;12),"",IF(AND($AP138&gt;15,$AN138&lt;=$P$4,$AO138=12),1,IF(OR(AND($G$5=1,$AO138=12),AND($G$5=2,OR($AO138=6,$AO138=12)),AND($G$5=4,OR($AO138=3,$AO138=6,$AO138=9,$AO138=12)),$G$5=12),1,"")))</f>
        <v/>
      </c>
      <c r="AW138" s="422" t="str">
        <f t="shared" ref="AW138:AW201" si="153">IF(OR(AND($AW$7=0,$AN138=1,$AO138=1),AND($AW$7=1,$AO138=1),AND($AW$7=2,OR($AO138=1,$AO138=7)),AND($AW$7=4,OR($AO138=1,$AO138=4,$AO138=7,$AO138=10)),$AW$7=12),1,"")</f>
        <v/>
      </c>
      <c r="AX138" s="423" t="str">
        <f ca="1">IF(AND($AW138=1,$AP138&lt;16,$AN137&lt;OP!$C$24),OP!$C$49,"")</f>
        <v/>
      </c>
      <c r="AY138" s="340"/>
      <c r="AZ138" s="465">
        <f t="shared" ref="AZ138:AZ201" ca="1" si="154">ROUND(($G$3*BF138/365),10)</f>
        <v>7.3698599999999999E-5</v>
      </c>
      <c r="BA138" s="464">
        <f t="shared" ref="BA138:BB201" ca="1" si="155">ROUND(($G$3*BG138/365),10)</f>
        <v>2.2109589000000002E-3</v>
      </c>
      <c r="BB138" s="465">
        <f t="shared" ca="1" si="155"/>
        <v>2.2846575E-3</v>
      </c>
      <c r="BC138" s="466">
        <f t="shared" ref="BC138:BC201" ca="1" si="156">DATE(YEAR(BD138),MONTH(BD138),1)</f>
        <v>46813</v>
      </c>
      <c r="BD138" s="467">
        <f t="shared" ca="1" si="115"/>
        <v>46814</v>
      </c>
      <c r="BE138" s="467">
        <f t="shared" ref="BE138:BE201" ca="1" si="157">DATE(YEAR(BD138),MONTH(BD138),DAY(DATE(YEAR(BD138),MONTH(BD138)+1,0)))</f>
        <v>46843</v>
      </c>
      <c r="BF138" s="468">
        <f ca="1">IF(計算!$BC138&lt;OP!$C$3,0,BD138-BC138)</f>
        <v>1</v>
      </c>
      <c r="BG138" s="468">
        <f ca="1">IF($BE138&gt;DATE(YEAR($BD$9)+OP!$C$57,MONTH($BD$9),DAY($BD$9)),0,$BE138-$BD138+1)</f>
        <v>30</v>
      </c>
      <c r="BH138" s="469">
        <f t="shared" ref="BH138:BH201" ca="1" si="158">BF138+BG138</f>
        <v>31</v>
      </c>
      <c r="BI138" t="str">
        <f t="shared" si="128"/>
        <v/>
      </c>
      <c r="BJ138">
        <v>9</v>
      </c>
      <c r="BN138" s="468">
        <f t="shared" si="116"/>
        <v>11</v>
      </c>
      <c r="BO138" s="468">
        <f t="shared" si="117"/>
        <v>9</v>
      </c>
      <c r="BP138" s="467">
        <f t="shared" ref="BP138:BP201" ca="1" si="159">BD138</f>
        <v>46814</v>
      </c>
      <c r="BQ138" s="475">
        <f t="shared" ca="1" si="126"/>
        <v>43</v>
      </c>
      <c r="BR138" s="475" t="str">
        <f t="shared" si="118"/>
        <v/>
      </c>
      <c r="BS138" s="471" t="str">
        <f t="shared" ref="BS138:BS201" si="160">IF(BW138&lt;&gt;"",ROUND(BU138,0)+ROUND(BV138,0),"")</f>
        <v/>
      </c>
      <c r="BT138" s="472" t="str">
        <f t="shared" si="129"/>
        <v/>
      </c>
      <c r="BU138" s="472">
        <f t="shared" ref="BU138:BV201" ca="1" si="161">ROUND(CA138,0)</f>
        <v>0</v>
      </c>
      <c r="BV138" s="472">
        <f t="shared" ca="1" si="161"/>
        <v>0</v>
      </c>
      <c r="BW138" s="472"/>
      <c r="BX138" s="473">
        <f t="shared" ref="BX138:BX201" ca="1" si="162">IF(BN138&lt;=$P$4,0,ROUNDDOWN(IF($Q137=1,CA138+CB138-CC138,0)+BX137+BY138+BZ137,VLOOKUP(LEN(ROUNDDOWN(IF($Q137=1,CA138+CB138-CC138,0)+BX137+BY138+BZ137,0)),$BK$9:$BL$24,2,0)))</f>
        <v>32079.896739707001</v>
      </c>
      <c r="BY138" s="473">
        <f t="shared" ref="BY138:BY201" si="163">IF(BO138=12,ROUND((BX137+BZ137)*$AZ138,$CB$6),0)</f>
        <v>0</v>
      </c>
      <c r="BZ138" s="473">
        <f t="shared" ca="1" si="137"/>
        <v>73.291576685999999</v>
      </c>
      <c r="CA138" s="476">
        <f t="shared" ref="CA138:CA201" ca="1" si="164">IF($Q137=1,ROUND(VLOOKUP($BN138,more1,3,0)*VLOOKUP($BN138,more1,5,0)/$R137,0),0)</f>
        <v>0</v>
      </c>
      <c r="CB138" s="494">
        <f ca="1">IF(OR($Q137&lt;&gt;1,OP!$D$5+$BN138-1&lt;16,$BN138-1&lt;1),0,ROUND(ROUND(ROUND(((VLOOKUP($BN138-1,MORE_PV,5,0)/10000)*VLOOKUP($BN138,MORE_PV,$CB$5,0)),3)*VLOOKUP($BN138,more1,5,0),0)/$R137,0))</f>
        <v>0</v>
      </c>
      <c r="CC138" s="473">
        <f t="shared" ref="CC138:CC201" ca="1" si="165">IF(AND($BN138=$P$4,$BO138=12),$CA138+$CB138,IF(AND($BN138&gt;$P$4,$Q137=1,$G$6="現金給付",$CA138+$CB138&gt;=$P$3),$CA138+$CB138,0))</f>
        <v>0</v>
      </c>
      <c r="CD138" s="477"/>
      <c r="CE138" s="468">
        <f t="shared" si="119"/>
        <v>11</v>
      </c>
      <c r="CF138" s="468">
        <f t="shared" si="120"/>
        <v>9</v>
      </c>
      <c r="CG138" s="467">
        <f t="shared" ca="1" si="138"/>
        <v>46814</v>
      </c>
      <c r="CH138" s="475">
        <f t="shared" ca="1" si="127"/>
        <v>43</v>
      </c>
      <c r="CI138" s="513" t="str">
        <f t="shared" si="121"/>
        <v/>
      </c>
      <c r="CJ138" s="511">
        <f t="shared" ref="CJ138:CJ201" si="166">IF(CN138&lt;&gt;"",ROUND(CL138,$CJ$7)+ROUND(CM138,$CJ$7),0)</f>
        <v>0</v>
      </c>
      <c r="CK138" s="512">
        <f t="shared" ref="CK138:CK201" si="167">IF(CN138&lt;&gt;"",ROUND($CV138,$CK$7),0)</f>
        <v>0</v>
      </c>
      <c r="CL138" s="511">
        <f t="shared" ca="1" si="122"/>
        <v>0</v>
      </c>
      <c r="CM138" s="511">
        <f ca="1">ROUND(CS138-IF(OR($CE138&gt;=OP!$C$24,AND(CH138=15,CF138=12),CS138=0),0,(CT138-CR138)),$CM$7)</f>
        <v>0</v>
      </c>
      <c r="CN138" s="511"/>
      <c r="CO138" s="351">
        <f t="shared" ref="CO138:CO201" ca="1" si="168">ROUND($CV138,$CO$7)</f>
        <v>58595</v>
      </c>
      <c r="CP138" s="473">
        <f t="shared" ref="CP138:CP201" si="169">IF(CF138=12,ROUND((CO137+CQ137)*$AZ138,$CS$6),0)</f>
        <v>0</v>
      </c>
      <c r="CQ138" s="473">
        <f t="shared" ca="1" si="139"/>
        <v>133.86950621299999</v>
      </c>
      <c r="CR138" s="476">
        <f t="shared" ref="CR138:CR201" ca="1" si="170">IF($Q137=1,ROUND(VLOOKUP($CE138,more1,3,0)*VLOOKUP($CE138,more1,5,0)/$R137,0),0)</f>
        <v>0</v>
      </c>
      <c r="CS138" s="494">
        <f ca="1">IF(OR($Q137&lt;&gt;1,OP!$D$5+$CE138-1&lt;16,$CE138-1&lt;1),0,ROUND(ROUND(ROUND(((VLOOKUP($CE138-1,MORE_PV,5,0)/10000)*VLOOKUP($CE138,MORE_PV,$CS$5,0)),3)*VLOOKUP($CE138,more1,5,0),0)/$R137,0))</f>
        <v>0</v>
      </c>
      <c r="CT138" s="473">
        <f>IF($AW138=1,IF(N($CR138+$CS138)&lt;N($AX138)*OP!$C$50,N($CR138+$CS138),MIN(N($CR138+$CS138),N($AX138))),0)</f>
        <v>0</v>
      </c>
      <c r="CV138" s="503">
        <f t="shared" ref="CV138:CV201" ca="1" si="171">ROUND($CX137*(1+$AZ138),$CW$6)+$CR138</f>
        <v>58595.233408152999</v>
      </c>
      <c r="CW138" s="503">
        <f t="shared" ref="CW138:CW201" ca="1" si="172">ROUND(($CR138-CT138)*(1+$BA138),$CW$6)</f>
        <v>0</v>
      </c>
      <c r="CX138" s="503">
        <f t="shared" ref="CX138:CX201" ca="1" si="173">$CW138+ROUND((CX137*(1+$BB138)),$CW$6)</f>
        <v>58724.775513883003</v>
      </c>
    </row>
    <row r="139" spans="2:102" ht="16.5" hidden="1">
      <c r="B139" s="80"/>
      <c r="C139" s="80"/>
      <c r="D139" s="80"/>
      <c r="E139" s="80"/>
      <c r="F139" s="80"/>
      <c r="G139" s="80"/>
      <c r="H139" s="80"/>
      <c r="I139" s="80"/>
      <c r="J139" s="192">
        <f t="shared" si="140"/>
        <v>11</v>
      </c>
      <c r="K139" s="192">
        <f t="shared" si="141"/>
        <v>11</v>
      </c>
      <c r="L139" s="192" t="str">
        <f t="shared" si="134"/>
        <v/>
      </c>
      <c r="M139" s="216">
        <f t="shared" ca="1" si="142"/>
        <v>0</v>
      </c>
      <c r="N139" s="216"/>
      <c r="O139" s="216"/>
      <c r="P139" s="216"/>
      <c r="Q139" s="456" t="str">
        <f t="shared" ca="1" si="143"/>
        <v/>
      </c>
      <c r="R139" s="450">
        <f t="shared" ca="1" si="144"/>
        <v>1</v>
      </c>
      <c r="S139" s="191">
        <f t="shared" si="145"/>
        <v>11</v>
      </c>
      <c r="T139" s="191">
        <f t="shared" si="146"/>
        <v>11</v>
      </c>
      <c r="U139" s="191">
        <f ca="1">OP!$D$5+$S139-1</f>
        <v>43</v>
      </c>
      <c r="V139" s="191" t="str">
        <f t="shared" si="147"/>
        <v/>
      </c>
      <c r="W139" s="350">
        <f ca="1">IF(Q139&lt;&gt;1,0,VLOOKUP(OP!$C$55,PVFB,$S139+2,0))</f>
        <v>0</v>
      </c>
      <c r="X139" s="473">
        <f t="shared" ref="X139:X202" ca="1" si="174">IF(AND($U139=15,$T139=12),$CO140,IF(AND($U139&gt;15,$S139&lt;=$P$4,$T139=12),($BS140)*$R139,IF($Q139=1,($BS140),0)))</f>
        <v>0</v>
      </c>
      <c r="Y139" s="348">
        <f t="shared" ref="Y139:Y202" ca="1" si="175">IF(AND($P$7="購買增額繳清保險",U139&gt;=110),0,IF(AND($U139=15,$W139&lt;&gt;0,$T139=12),ROUND(($X139)/($W139/10000),0),IF(AND($S139&lt;=$P$4,$W139&lt;&gt;0,$T139=12,$U139&gt;15),ROUND(($X139)/($W139/10000),0),0)))</f>
        <v>0</v>
      </c>
      <c r="Z139" s="348">
        <f t="shared" ref="Z139:Z202" ca="1" si="176">Z138+Y139</f>
        <v>8012</v>
      </c>
      <c r="AA139" s="348">
        <f ca="1">IF(Q139&lt;&gt;1,0,VLOOKUP(OP!$C$55,PVFB,$S139+2,0))</f>
        <v>0</v>
      </c>
      <c r="AB139" s="488" t="str">
        <f ca="1">IF(AND(S139&lt;OP!$C$24,$U139&lt;15),0,IF(AND($U139&lt;15,$T139=12),ROUND(VLOOKUP($S139,DOWN16,5,0),3),IF($T139=12,ROUND(($Z139/10000)*$AA139,3)+IF(AND($P$7="購買增額繳清保險",T139=12,U139=110),VLOOKUP(S139,$B$10:$H$121,7,0),0),"")))</f>
        <v/>
      </c>
      <c r="AC139" s="350" t="str">
        <f ca="1">IF(AND(S139&lt;OP!$C$24,$U139&lt;15),0,IF(AND($U139&lt;16,$T139=12),VLOOKUP($S139,DOWN16,4,0),IF($T139=12,ROUND(VLOOKUP(OP!$C$55,_DIE2,$S139+1,0)*(Z139/10000),0)+IF(AND($P$7="購買增額繳清保險",T139=12,U139=110),VLOOKUP(S139,$B$10:$H$121,7,0),0),"")))</f>
        <v/>
      </c>
      <c r="AD139" s="347"/>
      <c r="AE139" s="350" t="str">
        <f t="shared" ca="1" si="135"/>
        <v/>
      </c>
      <c r="AF139" s="351" t="str">
        <f t="shared" ca="1" si="136"/>
        <v/>
      </c>
      <c r="AG139" s="340"/>
      <c r="AH139" s="340"/>
      <c r="AI139" s="340"/>
      <c r="AJ139" s="340"/>
      <c r="AK139" s="340"/>
      <c r="AL139" s="340"/>
      <c r="AM139" s="340"/>
      <c r="AN139" s="191">
        <f t="shared" si="148"/>
        <v>11</v>
      </c>
      <c r="AO139" s="191">
        <f t="shared" si="149"/>
        <v>11</v>
      </c>
      <c r="AP139" s="191">
        <f ca="1">OP!$D$5+$AN139-1</f>
        <v>43</v>
      </c>
      <c r="AQ139" s="191" t="str">
        <f t="shared" si="150"/>
        <v/>
      </c>
      <c r="AR139" s="352">
        <f t="shared" ca="1" si="151"/>
        <v>0</v>
      </c>
      <c r="AS139" s="352"/>
      <c r="AT139" s="352"/>
      <c r="AU139" s="436"/>
      <c r="AV139" s="353" t="str">
        <f t="shared" ca="1" si="152"/>
        <v/>
      </c>
      <c r="AW139" s="422" t="str">
        <f t="shared" si="153"/>
        <v/>
      </c>
      <c r="AX139" s="423" t="str">
        <f ca="1">IF(AND($AW139=1,$AP139&lt;16,$AN138&lt;OP!$C$24),OP!$C$49,"")</f>
        <v/>
      </c>
      <c r="AY139" s="340"/>
      <c r="AZ139" s="465">
        <f t="shared" ca="1" si="154"/>
        <v>7.3698599999999999E-5</v>
      </c>
      <c r="BA139" s="464">
        <f t="shared" ca="1" si="155"/>
        <v>2.1372602999999999E-3</v>
      </c>
      <c r="BB139" s="465">
        <f t="shared" ca="1" si="155"/>
        <v>2.2109589000000002E-3</v>
      </c>
      <c r="BC139" s="466">
        <f t="shared" ca="1" si="156"/>
        <v>46844</v>
      </c>
      <c r="BD139" s="467">
        <f t="shared" ref="BD139:BD202" ca="1" si="177">DATE(YEAR(BD138),MONTH(BD138)+1,MIN(DAY($BD$9),DAY(DATE(YEAR(BD138),MONTH(BD138)+2,0))))</f>
        <v>46845</v>
      </c>
      <c r="BE139" s="467">
        <f t="shared" ca="1" si="157"/>
        <v>46873</v>
      </c>
      <c r="BF139" s="468">
        <f ca="1">IF(計算!$BC139&lt;OP!$C$3,0,BD139-BC139)</f>
        <v>1</v>
      </c>
      <c r="BG139" s="468">
        <f ca="1">IF($BE139&gt;DATE(YEAR($BD$9)+OP!$C$57,MONTH($BD$9),DAY($BD$9)),0,$BE139-$BD139+1)</f>
        <v>29</v>
      </c>
      <c r="BH139" s="469">
        <f t="shared" ca="1" si="158"/>
        <v>30</v>
      </c>
      <c r="BI139" t="str">
        <f t="shared" si="128"/>
        <v/>
      </c>
      <c r="BJ139">
        <v>10</v>
      </c>
      <c r="BN139" s="468">
        <f t="shared" ref="BN139:BN202" si="178">IF(BO138=12,BN138+1,BN138)</f>
        <v>11</v>
      </c>
      <c r="BO139" s="468">
        <f t="shared" ref="BO139:BO202" si="179">IF(BO138=12,1,BO138+1)</f>
        <v>10</v>
      </c>
      <c r="BP139" s="467">
        <f t="shared" ca="1" si="159"/>
        <v>46845</v>
      </c>
      <c r="BQ139" s="475">
        <f t="shared" ca="1" si="126"/>
        <v>43</v>
      </c>
      <c r="BR139" s="475" t="str">
        <f t="shared" ref="BR139:BR202" si="180">IF(BO139=12,BN139,"")</f>
        <v/>
      </c>
      <c r="BS139" s="471" t="str">
        <f t="shared" si="160"/>
        <v/>
      </c>
      <c r="BT139" s="472" t="str">
        <f t="shared" si="129"/>
        <v/>
      </c>
      <c r="BU139" s="472">
        <f t="shared" ca="1" si="161"/>
        <v>0</v>
      </c>
      <c r="BV139" s="472">
        <f t="shared" ca="1" si="161"/>
        <v>0</v>
      </c>
      <c r="BW139" s="472"/>
      <c r="BX139" s="473">
        <f t="shared" ca="1" si="162"/>
        <v>32153.188316393</v>
      </c>
      <c r="BY139" s="473">
        <f t="shared" si="163"/>
        <v>0</v>
      </c>
      <c r="BZ139" s="473">
        <f t="shared" ca="1" si="137"/>
        <v>71.089377872</v>
      </c>
      <c r="CA139" s="476">
        <f t="shared" ca="1" si="164"/>
        <v>0</v>
      </c>
      <c r="CB139" s="494">
        <f ca="1">IF(OR($Q138&lt;&gt;1,OP!$D$5+$BN139-1&lt;16,$BN139-1&lt;1),0,ROUND(ROUND(ROUND(((VLOOKUP($BN139-1,MORE_PV,5,0)/10000)*VLOOKUP($BN139,MORE_PV,$CB$5,0)),3)*VLOOKUP($BN139,more1,5,0),0)/$R138,0))</f>
        <v>0</v>
      </c>
      <c r="CC139" s="473">
        <f t="shared" ca="1" si="165"/>
        <v>0</v>
      </c>
      <c r="CD139" s="477"/>
      <c r="CE139" s="468">
        <f t="shared" ref="CE139:CE202" si="181">IF(CF138=12,CE138+1,CE138)</f>
        <v>11</v>
      </c>
      <c r="CF139" s="468">
        <f t="shared" ref="CF139:CF202" si="182">IF(CF138=12,1,CF138+1)</f>
        <v>10</v>
      </c>
      <c r="CG139" s="467">
        <f t="shared" ca="1" si="138"/>
        <v>46845</v>
      </c>
      <c r="CH139" s="475">
        <f t="shared" ca="1" si="127"/>
        <v>43</v>
      </c>
      <c r="CI139" s="513" t="str">
        <f t="shared" ref="CI139:CI202" si="183">IF(CF139=12,CE139,"")</f>
        <v/>
      </c>
      <c r="CJ139" s="511">
        <f t="shared" si="166"/>
        <v>0</v>
      </c>
      <c r="CK139" s="512">
        <f t="shared" si="167"/>
        <v>0</v>
      </c>
      <c r="CL139" s="511">
        <f t="shared" ref="CL139:CL202" ca="1" si="184">ROUND(CR139-(CT139-CS139),$CL$7)</f>
        <v>0</v>
      </c>
      <c r="CM139" s="511">
        <f ca="1">ROUND(CS139-IF(OR($CE139&gt;=OP!$C$24,AND(CH139=15,CF139=12),CS139=0),0,(CT139-CR139)),$CM$7)</f>
        <v>0</v>
      </c>
      <c r="CN139" s="511"/>
      <c r="CO139" s="351">
        <f t="shared" ca="1" si="168"/>
        <v>58729</v>
      </c>
      <c r="CP139" s="473">
        <f t="shared" si="169"/>
        <v>0</v>
      </c>
      <c r="CQ139" s="473">
        <f t="shared" ca="1" si="139"/>
        <v>129.84740523799999</v>
      </c>
      <c r="CR139" s="476">
        <f t="shared" ca="1" si="170"/>
        <v>0</v>
      </c>
      <c r="CS139" s="494">
        <f ca="1">IF(OR($Q138&lt;&gt;1,OP!$D$5+$CE139-1&lt;16,$CE139-1&lt;1),0,ROUND(ROUND(ROUND(((VLOOKUP($CE139-1,MORE_PV,5,0)/10000)*VLOOKUP($CE139,MORE_PV,$CS$5,0)),3)*VLOOKUP($CE139,more1,5,0),0)/$R138,0))</f>
        <v>0</v>
      </c>
      <c r="CT139" s="473">
        <f>IF($AW139=1,IF(N($CR139+$CS139)&lt;N($AX139)*OP!$C$50,N($CR139+$CS139),MIN(N($CR139+$CS139),N($AX139))),0)</f>
        <v>0</v>
      </c>
      <c r="CV139" s="503">
        <f t="shared" ca="1" si="171"/>
        <v>58729.103447624002</v>
      </c>
      <c r="CW139" s="503">
        <f t="shared" ca="1" si="172"/>
        <v>0</v>
      </c>
      <c r="CX139" s="503">
        <f t="shared" ca="1" si="173"/>
        <v>58854.613578955999</v>
      </c>
    </row>
    <row r="140" spans="2:102" ht="16.5" hidden="1">
      <c r="B140" s="80"/>
      <c r="C140" s="80"/>
      <c r="D140" s="80"/>
      <c r="E140" s="80"/>
      <c r="F140" s="80"/>
      <c r="G140" s="80"/>
      <c r="H140" s="80"/>
      <c r="I140" s="80"/>
      <c r="J140" s="192">
        <f t="shared" si="140"/>
        <v>11</v>
      </c>
      <c r="K140" s="192">
        <f t="shared" si="141"/>
        <v>12</v>
      </c>
      <c r="L140" s="192">
        <f t="shared" si="134"/>
        <v>11</v>
      </c>
      <c r="M140" s="216">
        <f t="shared" ca="1" si="142"/>
        <v>40234</v>
      </c>
      <c r="N140" s="216"/>
      <c r="O140" s="216"/>
      <c r="P140" s="216"/>
      <c r="Q140" s="456">
        <f t="shared" ca="1" si="143"/>
        <v>1</v>
      </c>
      <c r="R140" s="450">
        <f t="shared" ca="1" si="144"/>
        <v>1</v>
      </c>
      <c r="S140" s="191">
        <f t="shared" si="145"/>
        <v>11</v>
      </c>
      <c r="T140" s="191">
        <f t="shared" si="146"/>
        <v>12</v>
      </c>
      <c r="U140" s="191">
        <f ca="1">OP!$D$5+$S140-1</f>
        <v>43</v>
      </c>
      <c r="V140" s="191">
        <f t="shared" si="147"/>
        <v>11</v>
      </c>
      <c r="W140" s="350">
        <f ca="1">IF(Q140&lt;&gt;1,0,VLOOKUP(OP!$C$55,PVFB,$S140+2,0))</f>
        <v>33034</v>
      </c>
      <c r="X140" s="473">
        <f t="shared" ca="1" si="174"/>
        <v>7933</v>
      </c>
      <c r="Y140" s="348">
        <f t="shared" ca="1" si="175"/>
        <v>0</v>
      </c>
      <c r="Z140" s="348">
        <f t="shared" ca="1" si="176"/>
        <v>8012</v>
      </c>
      <c r="AA140" s="348">
        <f ca="1">IF(Q140&lt;&gt;1,0,VLOOKUP(OP!$C$55,PVFB,$S140+2,0))</f>
        <v>33034</v>
      </c>
      <c r="AB140" s="488">
        <f ca="1">IF(AND(S140&lt;OP!$C$24,$U140&lt;15),0,IF(AND($U140&lt;15,$T140=12),ROUND(VLOOKUP($S140,DOWN16,5,0),3),IF($T140=12,ROUND(($Z140/10000)*$AA140,3)+IF(AND($P$7="購買增額繳清保險",T140=12,U140=110),VLOOKUP(S140,$B$10:$H$121,7,0),0),"")))</f>
        <v>26466.841</v>
      </c>
      <c r="AC140" s="350">
        <f ca="1">IF(AND(S140&lt;OP!$C$24,$U140&lt;15),0,IF(AND($U140&lt;16,$T140=12),VLOOKUP($S140,DOWN16,4,0),IF($T140=12,ROUND(VLOOKUP(OP!$C$55,_DIE2,$S140+1,0)*(Z140/10000),0)+IF(AND($P$7="購買增額繳清保險",T140=12,U140=110),VLOOKUP(S140,$B$10:$H$121,7,0),0),"")))</f>
        <v>26467</v>
      </c>
      <c r="AD140" s="347"/>
      <c r="AE140" s="350" t="str">
        <f t="shared" ca="1" si="135"/>
        <v/>
      </c>
      <c r="AF140" s="351" t="str">
        <f t="shared" ca="1" si="136"/>
        <v/>
      </c>
      <c r="AG140" s="340"/>
      <c r="AH140" s="340"/>
      <c r="AI140" s="340"/>
      <c r="AJ140" s="340"/>
      <c r="AK140" s="340"/>
      <c r="AL140" s="340"/>
      <c r="AM140" s="340"/>
      <c r="AN140" s="191">
        <f t="shared" si="148"/>
        <v>11</v>
      </c>
      <c r="AO140" s="191">
        <f t="shared" si="149"/>
        <v>12</v>
      </c>
      <c r="AP140" s="191">
        <f ca="1">OP!$D$5+$AN140-1</f>
        <v>43</v>
      </c>
      <c r="AQ140" s="191">
        <f t="shared" si="150"/>
        <v>11</v>
      </c>
      <c r="AR140" s="352">
        <f t="shared" ca="1" si="151"/>
        <v>66743</v>
      </c>
      <c r="AS140" s="352"/>
      <c r="AT140" s="352"/>
      <c r="AU140" s="436"/>
      <c r="AV140" s="353">
        <f t="shared" ca="1" si="152"/>
        <v>1</v>
      </c>
      <c r="AW140" s="422" t="str">
        <f t="shared" si="153"/>
        <v/>
      </c>
      <c r="AX140" s="423" t="str">
        <f ca="1">IF(AND($AW140=1,$AP140&lt;16,$AN139&lt;OP!$C$24),OP!$C$49,"")</f>
        <v/>
      </c>
      <c r="AY140" s="340"/>
      <c r="AZ140" s="465">
        <f t="shared" ca="1" si="154"/>
        <v>7.3698599999999999E-5</v>
      </c>
      <c r="BA140" s="464">
        <f t="shared" ca="1" si="155"/>
        <v>2.2109589000000002E-3</v>
      </c>
      <c r="BB140" s="465">
        <f t="shared" ca="1" si="155"/>
        <v>2.2846575E-3</v>
      </c>
      <c r="BC140" s="466">
        <f t="shared" ca="1" si="156"/>
        <v>46874</v>
      </c>
      <c r="BD140" s="467">
        <f t="shared" ca="1" si="177"/>
        <v>46875</v>
      </c>
      <c r="BE140" s="467">
        <f t="shared" ca="1" si="157"/>
        <v>46904</v>
      </c>
      <c r="BF140" s="468">
        <f ca="1">IF(計算!$BC140&lt;OP!$C$3,0,BD140-BC140)</f>
        <v>1</v>
      </c>
      <c r="BG140" s="468">
        <f ca="1">IF($BE140&gt;DATE(YEAR($BD$9)+OP!$C$57,MONTH($BD$9),DAY($BD$9)),0,$BE140-$BD140+1)</f>
        <v>30</v>
      </c>
      <c r="BH140" s="469">
        <f t="shared" ca="1" si="158"/>
        <v>31</v>
      </c>
      <c r="BI140" t="str">
        <f t="shared" si="128"/>
        <v/>
      </c>
      <c r="BJ140">
        <v>11</v>
      </c>
      <c r="BN140" s="468">
        <f t="shared" si="178"/>
        <v>11</v>
      </c>
      <c r="BO140" s="468">
        <f t="shared" si="179"/>
        <v>11</v>
      </c>
      <c r="BP140" s="467">
        <f t="shared" ca="1" si="159"/>
        <v>46875</v>
      </c>
      <c r="BQ140" s="475">
        <f t="shared" ref="BQ140:BQ203" ca="1" si="185">IF(BO139=12,BQ139+1,BQ139)</f>
        <v>43</v>
      </c>
      <c r="BR140" s="475" t="str">
        <f t="shared" si="180"/>
        <v/>
      </c>
      <c r="BS140" s="471" t="str">
        <f t="shared" si="160"/>
        <v/>
      </c>
      <c r="BT140" s="472" t="str">
        <f t="shared" si="129"/>
        <v/>
      </c>
      <c r="BU140" s="472">
        <f t="shared" ca="1" si="161"/>
        <v>0</v>
      </c>
      <c r="BV140" s="472">
        <f t="shared" ca="1" si="161"/>
        <v>0</v>
      </c>
      <c r="BW140" s="472"/>
      <c r="BX140" s="473">
        <f t="shared" ca="1" si="162"/>
        <v>32224.277694265002</v>
      </c>
      <c r="BY140" s="473">
        <f t="shared" si="163"/>
        <v>0</v>
      </c>
      <c r="BZ140" s="473">
        <f t="shared" ca="1" si="137"/>
        <v>73.621437716000003</v>
      </c>
      <c r="CA140" s="476">
        <f t="shared" ca="1" si="164"/>
        <v>0</v>
      </c>
      <c r="CB140" s="494">
        <f ca="1">IF(OR($Q139&lt;&gt;1,OP!$D$5+$BN140-1&lt;16,$BN140-1&lt;1),0,ROUND(ROUND(ROUND(((VLOOKUP($BN140-1,MORE_PV,5,0)/10000)*VLOOKUP($BN140,MORE_PV,$CB$5,0)),3)*VLOOKUP($BN140,more1,5,0),0)/$R139,0))</f>
        <v>0</v>
      </c>
      <c r="CC140" s="473">
        <f t="shared" ca="1" si="165"/>
        <v>0</v>
      </c>
      <c r="CD140" s="477"/>
      <c r="CE140" s="468">
        <f t="shared" si="181"/>
        <v>11</v>
      </c>
      <c r="CF140" s="468">
        <f t="shared" si="182"/>
        <v>11</v>
      </c>
      <c r="CG140" s="467">
        <f t="shared" ca="1" si="138"/>
        <v>46875</v>
      </c>
      <c r="CH140" s="475">
        <f t="shared" ref="CH140:CH203" ca="1" si="186">IF(CF139=12,CH139+1,CH139)</f>
        <v>43</v>
      </c>
      <c r="CI140" s="513" t="str">
        <f t="shared" si="183"/>
        <v/>
      </c>
      <c r="CJ140" s="511">
        <f t="shared" si="166"/>
        <v>0</v>
      </c>
      <c r="CK140" s="512">
        <f t="shared" si="167"/>
        <v>0</v>
      </c>
      <c r="CL140" s="511">
        <f t="shared" ca="1" si="184"/>
        <v>0</v>
      </c>
      <c r="CM140" s="511">
        <f ca="1">ROUND(CS140-IF(OR($CE140&gt;=OP!$C$24,AND(CH140=15,CF140=12),CS140=0),0,(CT140-CR140)),$CM$7)</f>
        <v>0</v>
      </c>
      <c r="CN140" s="511"/>
      <c r="CO140" s="351">
        <f t="shared" ca="1" si="168"/>
        <v>58859</v>
      </c>
      <c r="CP140" s="473">
        <f t="shared" si="169"/>
        <v>0</v>
      </c>
      <c r="CQ140" s="473">
        <f t="shared" ca="1" si="139"/>
        <v>134.472655793</v>
      </c>
      <c r="CR140" s="476">
        <f t="shared" ca="1" si="170"/>
        <v>0</v>
      </c>
      <c r="CS140" s="494">
        <f ca="1">IF(OR($Q139&lt;&gt;1,OP!$D$5+$CE140-1&lt;16,$CE140-1&lt;1),0,ROUND(ROUND(ROUND(((VLOOKUP($CE140-1,MORE_PV,5,0)/10000)*VLOOKUP($CE140,MORE_PV,$CS$5,0)),3)*VLOOKUP($CE140,more1,5,0),0)/$R139,0))</f>
        <v>0</v>
      </c>
      <c r="CT140" s="473">
        <f>IF($AW140=1,IF(N($CR140+$CS140)&lt;N($AX140)*OP!$C$50,N($CR140+$CS140),MIN(N($CR140+$CS140),N($AX140))),0)</f>
        <v>0</v>
      </c>
      <c r="CV140" s="503">
        <f t="shared" ca="1" si="171"/>
        <v>58858.951081580002</v>
      </c>
      <c r="CW140" s="503">
        <f t="shared" ca="1" si="172"/>
        <v>0</v>
      </c>
      <c r="CX140" s="503">
        <f t="shared" ca="1" si="173"/>
        <v>58989.076213278997</v>
      </c>
    </row>
    <row r="141" spans="2:102" ht="16.5" hidden="1">
      <c r="B141" s="80"/>
      <c r="C141" s="80"/>
      <c r="D141" s="80"/>
      <c r="E141" s="80"/>
      <c r="F141" s="80"/>
      <c r="G141" s="80"/>
      <c r="H141" s="80"/>
      <c r="I141" s="80"/>
      <c r="J141" s="192">
        <f t="shared" si="140"/>
        <v>12</v>
      </c>
      <c r="K141" s="192">
        <f t="shared" si="141"/>
        <v>1</v>
      </c>
      <c r="L141" s="192" t="str">
        <f t="shared" si="134"/>
        <v/>
      </c>
      <c r="M141" s="216">
        <f t="shared" ca="1" si="142"/>
        <v>0</v>
      </c>
      <c r="N141" s="216"/>
      <c r="O141" s="216"/>
      <c r="P141" s="216"/>
      <c r="Q141" s="456" t="str">
        <f t="shared" ca="1" si="143"/>
        <v/>
      </c>
      <c r="R141" s="450">
        <f t="shared" ca="1" si="144"/>
        <v>1</v>
      </c>
      <c r="S141" s="191">
        <f t="shared" si="145"/>
        <v>12</v>
      </c>
      <c r="T141" s="191">
        <f t="shared" si="146"/>
        <v>1</v>
      </c>
      <c r="U141" s="191">
        <f ca="1">OP!$D$5+$S141-1</f>
        <v>44</v>
      </c>
      <c r="V141" s="191" t="str">
        <f t="shared" si="147"/>
        <v/>
      </c>
      <c r="W141" s="350">
        <f ca="1">IF(Q141&lt;&gt;1,0,VLOOKUP(OP!$C$55,PVFB,$S141+2,0))</f>
        <v>0</v>
      </c>
      <c r="X141" s="473">
        <f t="shared" ca="1" si="174"/>
        <v>0</v>
      </c>
      <c r="Y141" s="348">
        <f t="shared" ca="1" si="175"/>
        <v>0</v>
      </c>
      <c r="Z141" s="348">
        <f t="shared" ca="1" si="176"/>
        <v>8012</v>
      </c>
      <c r="AA141" s="348">
        <f ca="1">IF(Q141&lt;&gt;1,0,VLOOKUP(OP!$C$55,PVFB,$S141+2,0))</f>
        <v>0</v>
      </c>
      <c r="AB141" s="488" t="str">
        <f ca="1">IF(AND(S141&lt;OP!$C$24,$U141&lt;15),0,IF(AND($U141&lt;15,$T141=12),ROUND(VLOOKUP($S141,DOWN16,5,0),3),IF($T141=12,ROUND(($Z141/10000)*$AA141,3)+IF(AND($P$7="購買增額繳清保險",T141=12,U141=110),VLOOKUP(S141,$B$10:$H$121,7,0),0),"")))</f>
        <v/>
      </c>
      <c r="AC141" s="350" t="str">
        <f ca="1">IF(AND(S141&lt;OP!$C$24,$U141&lt;15),0,IF(AND($U141&lt;16,$T141=12),VLOOKUP($S141,DOWN16,4,0),IF($T141=12,ROUND(VLOOKUP(OP!$C$55,_DIE2,$S141+1,0)*(Z141/10000),0)+IF(AND($P$7="購買增額繳清保險",T141=12,U141=110),VLOOKUP(S141,$B$10:$H$121,7,0),0),"")))</f>
        <v/>
      </c>
      <c r="AD141" s="347"/>
      <c r="AE141" s="350" t="str">
        <f t="shared" ca="1" si="135"/>
        <v/>
      </c>
      <c r="AF141" s="351" t="str">
        <f t="shared" ca="1" si="136"/>
        <v/>
      </c>
      <c r="AG141" s="340"/>
      <c r="AH141" s="340"/>
      <c r="AI141" s="340"/>
      <c r="AJ141" s="340"/>
      <c r="AK141" s="340"/>
      <c r="AL141" s="340"/>
      <c r="AM141" s="340"/>
      <c r="AN141" s="191">
        <f t="shared" si="148"/>
        <v>12</v>
      </c>
      <c r="AO141" s="191">
        <f t="shared" si="149"/>
        <v>1</v>
      </c>
      <c r="AP141" s="191">
        <f ca="1">OP!$D$5+$AN141-1</f>
        <v>44</v>
      </c>
      <c r="AQ141" s="191" t="str">
        <f t="shared" si="150"/>
        <v/>
      </c>
      <c r="AR141" s="352">
        <f t="shared" ca="1" si="151"/>
        <v>0</v>
      </c>
      <c r="AS141" s="352"/>
      <c r="AT141" s="352"/>
      <c r="AU141" s="436"/>
      <c r="AV141" s="353" t="str">
        <f t="shared" ca="1" si="152"/>
        <v/>
      </c>
      <c r="AW141" s="422">
        <f t="shared" si="153"/>
        <v>1</v>
      </c>
      <c r="AX141" s="423" t="str">
        <f ca="1">IF(AND($AW141=1,$AP141&lt;16,$AN140&lt;OP!$C$24),OP!$C$49,"")</f>
        <v/>
      </c>
      <c r="AY141" s="340"/>
      <c r="AZ141" s="465">
        <f t="shared" ca="1" si="154"/>
        <v>7.3698599999999999E-5</v>
      </c>
      <c r="BA141" s="464">
        <f t="shared" ca="1" si="155"/>
        <v>2.1372602999999999E-3</v>
      </c>
      <c r="BB141" s="465">
        <f t="shared" ca="1" si="155"/>
        <v>2.2109589000000002E-3</v>
      </c>
      <c r="BC141" s="466">
        <f t="shared" ca="1" si="156"/>
        <v>46905</v>
      </c>
      <c r="BD141" s="467">
        <f t="shared" ca="1" si="177"/>
        <v>46906</v>
      </c>
      <c r="BE141" s="467">
        <f t="shared" ca="1" si="157"/>
        <v>46934</v>
      </c>
      <c r="BF141" s="468">
        <f ca="1">IF(計算!$BC141&lt;OP!$C$3,0,BD141-BC141)</f>
        <v>1</v>
      </c>
      <c r="BG141" s="468">
        <f ca="1">IF($BE141&gt;DATE(YEAR($BD$9)+OP!$C$57,MONTH($BD$9),DAY($BD$9)),0,$BE141-$BD141+1)</f>
        <v>29</v>
      </c>
      <c r="BH141" s="469">
        <f t="shared" ca="1" si="158"/>
        <v>30</v>
      </c>
      <c r="BI141">
        <f t="shared" ca="1" si="128"/>
        <v>366</v>
      </c>
      <c r="BJ141">
        <v>12</v>
      </c>
      <c r="BN141" s="468">
        <f t="shared" si="178"/>
        <v>11</v>
      </c>
      <c r="BO141" s="468">
        <f t="shared" si="179"/>
        <v>12</v>
      </c>
      <c r="BP141" s="467">
        <f t="shared" ca="1" si="159"/>
        <v>46906</v>
      </c>
      <c r="BQ141" s="475">
        <f t="shared" ca="1" si="185"/>
        <v>43</v>
      </c>
      <c r="BR141" s="475">
        <f t="shared" si="180"/>
        <v>11</v>
      </c>
      <c r="BS141" s="471">
        <f t="shared" ca="1" si="160"/>
        <v>7933</v>
      </c>
      <c r="BT141" s="472">
        <f t="shared" ca="1" si="129"/>
        <v>40234</v>
      </c>
      <c r="BU141" s="472">
        <f t="shared" ca="1" si="161"/>
        <v>7750</v>
      </c>
      <c r="BV141" s="472">
        <f t="shared" ca="1" si="161"/>
        <v>183</v>
      </c>
      <c r="BW141" s="472">
        <f ca="1">ROUND(SUM(BY141,BZ129:BZ140),0)</f>
        <v>859</v>
      </c>
      <c r="BX141" s="473">
        <f t="shared" ca="1" si="162"/>
        <v>40233.279441929997</v>
      </c>
      <c r="BY141" s="473">
        <f t="shared" ca="1" si="163"/>
        <v>2.3803099489999999</v>
      </c>
      <c r="BZ141" s="473">
        <f t="shared" ca="1" si="137"/>
        <v>85.988990889999997</v>
      </c>
      <c r="CA141" s="476">
        <f t="shared" ca="1" si="164"/>
        <v>7750</v>
      </c>
      <c r="CB141" s="494">
        <f ca="1">IF(OR($Q140&lt;&gt;1,OP!$D$5+$BN141-1&lt;16,$BN141-1&lt;1),0,ROUND(ROUND(ROUND(((VLOOKUP($BN141-1,MORE_PV,5,0)/10000)*VLOOKUP($BN141,MORE_PV,$CB$5,0)),3)*VLOOKUP($BN141,more1,5,0),0)/$R140,0))</f>
        <v>183</v>
      </c>
      <c r="CC141" s="473">
        <f t="shared" ca="1" si="165"/>
        <v>0</v>
      </c>
      <c r="CD141" s="477"/>
      <c r="CE141" s="468">
        <f t="shared" si="181"/>
        <v>11</v>
      </c>
      <c r="CF141" s="468">
        <f t="shared" si="182"/>
        <v>12</v>
      </c>
      <c r="CG141" s="467">
        <f t="shared" ca="1" si="138"/>
        <v>46906</v>
      </c>
      <c r="CH141" s="475">
        <f t="shared" ca="1" si="186"/>
        <v>43</v>
      </c>
      <c r="CI141" s="513">
        <f t="shared" si="183"/>
        <v>11</v>
      </c>
      <c r="CJ141" s="511">
        <f t="shared" ca="1" si="166"/>
        <v>8116</v>
      </c>
      <c r="CK141" s="512">
        <f t="shared" ca="1" si="167"/>
        <v>66743.423625611002</v>
      </c>
      <c r="CL141" s="511">
        <f t="shared" ca="1" si="184"/>
        <v>7933</v>
      </c>
      <c r="CM141" s="511">
        <f ca="1">ROUND(CS141-IF(OR($CE141&gt;=OP!$C$24,AND(CH141=15,CF141=12),CS141=0),0,(CT141-CR141)),$CM$7)</f>
        <v>183</v>
      </c>
      <c r="CN141" s="511">
        <f ca="1">ROUND(SUM(CP141,CQ129:CQ140),$CN$7)</f>
        <v>1568.3762948379999</v>
      </c>
      <c r="CO141" s="351">
        <f t="shared" ca="1" si="168"/>
        <v>66743</v>
      </c>
      <c r="CP141" s="473">
        <f t="shared" ca="1" si="169"/>
        <v>4.3477363440000003</v>
      </c>
      <c r="CQ141" s="473">
        <f t="shared" ca="1" si="139"/>
        <v>142.64716420299999</v>
      </c>
      <c r="CR141" s="476">
        <f t="shared" ca="1" si="170"/>
        <v>7750</v>
      </c>
      <c r="CS141" s="494">
        <f ca="1">IF(OR($Q140&lt;&gt;1,OP!$D$5+$CE141-1&lt;16,$CE141-1&lt;1),0,ROUND(ROUND(ROUND(((VLOOKUP($CE141-1,MORE_PV,5,0)/10000)*VLOOKUP($CE141,MORE_PV,$CS$5,0)),3)*VLOOKUP($CE141,more1,5,0),0)/$R140,0))</f>
        <v>183</v>
      </c>
      <c r="CT141" s="473">
        <f ca="1">IF($AW141=1,IF(N($CR141+$CS141)&lt;N($AX141)*OP!$C$50,N($CR141+$CS141),MIN(N($CR141+$CS141),N($AX141))),0)</f>
        <v>0</v>
      </c>
      <c r="CV141" s="503">
        <f t="shared" ca="1" si="171"/>
        <v>66743.423625611002</v>
      </c>
      <c r="CW141" s="503">
        <f t="shared" ca="1" si="172"/>
        <v>7766.5637673250003</v>
      </c>
      <c r="CX141" s="503">
        <f t="shared" ca="1" si="173"/>
        <v>66886.062403660995</v>
      </c>
    </row>
    <row r="142" spans="2:102" ht="16.5" hidden="1">
      <c r="B142" s="80"/>
      <c r="C142" s="80"/>
      <c r="D142" s="80"/>
      <c r="E142" s="80"/>
      <c r="F142" s="80"/>
      <c r="G142" s="80"/>
      <c r="H142" s="80"/>
      <c r="I142" s="80"/>
      <c r="J142" s="192">
        <f t="shared" si="140"/>
        <v>12</v>
      </c>
      <c r="K142" s="192">
        <f t="shared" si="141"/>
        <v>2</v>
      </c>
      <c r="L142" s="192" t="str">
        <f t="shared" si="134"/>
        <v/>
      </c>
      <c r="M142" s="216">
        <f t="shared" ca="1" si="142"/>
        <v>0</v>
      </c>
      <c r="N142" s="216"/>
      <c r="O142" s="216"/>
      <c r="P142" s="216"/>
      <c r="Q142" s="456" t="str">
        <f t="shared" ca="1" si="143"/>
        <v/>
      </c>
      <c r="R142" s="450">
        <f t="shared" ca="1" si="144"/>
        <v>1</v>
      </c>
      <c r="S142" s="191">
        <f t="shared" si="145"/>
        <v>12</v>
      </c>
      <c r="T142" s="191">
        <f t="shared" si="146"/>
        <v>2</v>
      </c>
      <c r="U142" s="191">
        <f ca="1">OP!$D$5+$S142-1</f>
        <v>44</v>
      </c>
      <c r="V142" s="191" t="str">
        <f t="shared" si="147"/>
        <v/>
      </c>
      <c r="W142" s="350">
        <f ca="1">IF(Q142&lt;&gt;1,0,VLOOKUP(OP!$C$55,PVFB,$S142+2,0))</f>
        <v>0</v>
      </c>
      <c r="X142" s="473">
        <f t="shared" ca="1" si="174"/>
        <v>0</v>
      </c>
      <c r="Y142" s="348">
        <f t="shared" ca="1" si="175"/>
        <v>0</v>
      </c>
      <c r="Z142" s="348">
        <f t="shared" ca="1" si="176"/>
        <v>8012</v>
      </c>
      <c r="AA142" s="348">
        <f ca="1">IF(Q142&lt;&gt;1,0,VLOOKUP(OP!$C$55,PVFB,$S142+2,0))</f>
        <v>0</v>
      </c>
      <c r="AB142" s="488" t="str">
        <f ca="1">IF(AND(S142&lt;OP!$C$24,$U142&lt;15),0,IF(AND($U142&lt;15,$T142=12),ROUND(VLOOKUP($S142,DOWN16,5,0),3),IF($T142=12,ROUND(($Z142/10000)*$AA142,3)+IF(AND($P$7="購買增額繳清保險",T142=12,U142=110),VLOOKUP(S142,$B$10:$H$121,7,0),0),"")))</f>
        <v/>
      </c>
      <c r="AC142" s="350" t="str">
        <f ca="1">IF(AND(S142&lt;OP!$C$24,$U142&lt;15),0,IF(AND($U142&lt;16,$T142=12),VLOOKUP($S142,DOWN16,4,0),IF($T142=12,ROUND(VLOOKUP(OP!$C$55,_DIE2,$S142+1,0)*(Z142/10000),0)+IF(AND($P$7="購買增額繳清保險",T142=12,U142=110),VLOOKUP(S142,$B$10:$H$121,7,0),0),"")))</f>
        <v/>
      </c>
      <c r="AD142" s="347"/>
      <c r="AE142" s="350" t="str">
        <f t="shared" ca="1" si="135"/>
        <v/>
      </c>
      <c r="AF142" s="351" t="str">
        <f t="shared" ca="1" si="136"/>
        <v/>
      </c>
      <c r="AG142" s="340"/>
      <c r="AH142" s="340"/>
      <c r="AI142" s="340"/>
      <c r="AJ142" s="340"/>
      <c r="AK142" s="340"/>
      <c r="AL142" s="340"/>
      <c r="AM142" s="340"/>
      <c r="AN142" s="191">
        <f t="shared" si="148"/>
        <v>12</v>
      </c>
      <c r="AO142" s="191">
        <f t="shared" si="149"/>
        <v>2</v>
      </c>
      <c r="AP142" s="191">
        <f ca="1">OP!$D$5+$AN142-1</f>
        <v>44</v>
      </c>
      <c r="AQ142" s="191" t="str">
        <f t="shared" si="150"/>
        <v/>
      </c>
      <c r="AR142" s="352">
        <f t="shared" ca="1" si="151"/>
        <v>0</v>
      </c>
      <c r="AS142" s="352"/>
      <c r="AT142" s="352"/>
      <c r="AU142" s="436"/>
      <c r="AV142" s="353" t="str">
        <f t="shared" ca="1" si="152"/>
        <v/>
      </c>
      <c r="AW142" s="422" t="str">
        <f t="shared" si="153"/>
        <v/>
      </c>
      <c r="AX142" s="423" t="str">
        <f ca="1">IF(AND($AW142=1,$AP142&lt;16,$AN141&lt;OP!$C$24),OP!$C$49,"")</f>
        <v/>
      </c>
      <c r="AY142" s="340"/>
      <c r="AZ142" s="465">
        <f t="shared" ca="1" si="154"/>
        <v>7.3698599999999999E-5</v>
      </c>
      <c r="BA142" s="464">
        <f t="shared" ca="1" si="155"/>
        <v>2.2109589000000002E-3</v>
      </c>
      <c r="BB142" s="465">
        <f t="shared" ca="1" si="155"/>
        <v>2.2846575E-3</v>
      </c>
      <c r="BC142" s="466">
        <f t="shared" ca="1" si="156"/>
        <v>46935</v>
      </c>
      <c r="BD142" s="467">
        <f t="shared" ca="1" si="177"/>
        <v>46936</v>
      </c>
      <c r="BE142" s="467">
        <f t="shared" ca="1" si="157"/>
        <v>46965</v>
      </c>
      <c r="BF142" s="468">
        <f ca="1">IF(計算!$BC142&lt;OP!$C$3,0,BD142-BC142)</f>
        <v>1</v>
      </c>
      <c r="BG142" s="468">
        <f ca="1">IF($BE142&gt;DATE(YEAR($BD$9)+OP!$C$57,MONTH($BD$9),DAY($BD$9)),0,$BE142-$BD142+1)</f>
        <v>30</v>
      </c>
      <c r="BH142" s="469">
        <f t="shared" ca="1" si="158"/>
        <v>31</v>
      </c>
      <c r="BI142" t="str">
        <f t="shared" si="128"/>
        <v/>
      </c>
      <c r="BJ142">
        <v>1</v>
      </c>
      <c r="BN142" s="468">
        <f t="shared" si="178"/>
        <v>12</v>
      </c>
      <c r="BO142" s="468">
        <f t="shared" si="179"/>
        <v>1</v>
      </c>
      <c r="BP142" s="467">
        <f t="shared" ca="1" si="159"/>
        <v>46936</v>
      </c>
      <c r="BQ142" s="475">
        <f t="shared" ca="1" si="185"/>
        <v>44</v>
      </c>
      <c r="BR142" s="475" t="str">
        <f t="shared" si="180"/>
        <v/>
      </c>
      <c r="BS142" s="471" t="str">
        <f t="shared" si="160"/>
        <v/>
      </c>
      <c r="BT142" s="472" t="str">
        <f t="shared" si="129"/>
        <v/>
      </c>
      <c r="BU142" s="472">
        <f t="shared" ca="1" si="161"/>
        <v>0</v>
      </c>
      <c r="BV142" s="472">
        <f t="shared" ca="1" si="161"/>
        <v>0</v>
      </c>
      <c r="BW142" s="472"/>
      <c r="BX142" s="473">
        <f t="shared" ca="1" si="162"/>
        <v>40319.268432819998</v>
      </c>
      <c r="BY142" s="473">
        <f t="shared" si="163"/>
        <v>0</v>
      </c>
      <c r="BZ142" s="473">
        <f t="shared" ca="1" si="137"/>
        <v>92.11571902</v>
      </c>
      <c r="CA142" s="476">
        <f t="shared" ca="1" si="164"/>
        <v>0</v>
      </c>
      <c r="CB142" s="494">
        <f ca="1">IF(OR($Q141&lt;&gt;1,OP!$D$5+$BN142-1&lt;16,$BN142-1&lt;1),0,ROUND(ROUND(ROUND(((VLOOKUP($BN142-1,MORE_PV,5,0)/10000)*VLOOKUP($BN142,MORE_PV,$CB$5,0)),3)*VLOOKUP($BN142,more1,5,0),0)/$R141,0))</f>
        <v>0</v>
      </c>
      <c r="CC142" s="473">
        <f t="shared" ca="1" si="165"/>
        <v>0</v>
      </c>
      <c r="CD142" s="477"/>
      <c r="CE142" s="468">
        <f t="shared" si="181"/>
        <v>12</v>
      </c>
      <c r="CF142" s="468">
        <f t="shared" si="182"/>
        <v>1</v>
      </c>
      <c r="CG142" s="467">
        <f t="shared" ca="1" si="138"/>
        <v>46936</v>
      </c>
      <c r="CH142" s="475">
        <f t="shared" ca="1" si="186"/>
        <v>44</v>
      </c>
      <c r="CI142" s="513" t="str">
        <f t="shared" si="183"/>
        <v/>
      </c>
      <c r="CJ142" s="511">
        <f t="shared" si="166"/>
        <v>0</v>
      </c>
      <c r="CK142" s="512">
        <f t="shared" si="167"/>
        <v>0</v>
      </c>
      <c r="CL142" s="511">
        <f t="shared" ca="1" si="184"/>
        <v>0</v>
      </c>
      <c r="CM142" s="511">
        <f ca="1">ROUND(CS142-IF(OR($CE142&gt;=OP!$C$24,AND(CH142=15,CF142=12),CS142=0),0,(CT142-CR142)),$CM$7)</f>
        <v>0</v>
      </c>
      <c r="CN142" s="511"/>
      <c r="CO142" s="351">
        <f t="shared" ca="1" si="168"/>
        <v>66891</v>
      </c>
      <c r="CP142" s="473">
        <f t="shared" si="169"/>
        <v>0</v>
      </c>
      <c r="CQ142" s="473">
        <f t="shared" ca="1" si="139"/>
        <v>152.82302483300001</v>
      </c>
      <c r="CR142" s="476">
        <f t="shared" ca="1" si="170"/>
        <v>0</v>
      </c>
      <c r="CS142" s="494">
        <f ca="1">IF(OR($Q141&lt;&gt;1,OP!$D$5+$CE142-1&lt;16,$CE142-1&lt;1),0,ROUND(ROUND(ROUND(((VLOOKUP($CE142-1,MORE_PV,5,0)/10000)*VLOOKUP($CE142,MORE_PV,$CS$5,0)),3)*VLOOKUP($CE142,more1,5,0),0)/$R141,0))</f>
        <v>0</v>
      </c>
      <c r="CT142" s="473">
        <f>IF($AW142=1,IF(N($CR142+$CS142)&lt;N($AX142)*OP!$C$50,N($CR142+$CS142),MIN(N($CR142+$CS142),N($AX142))),0)</f>
        <v>0</v>
      </c>
      <c r="CV142" s="503">
        <f t="shared" ca="1" si="171"/>
        <v>66890.991812819993</v>
      </c>
      <c r="CW142" s="503">
        <f t="shared" ca="1" si="172"/>
        <v>0</v>
      </c>
      <c r="CX142" s="503">
        <f t="shared" ca="1" si="173"/>
        <v>67038.874147776995</v>
      </c>
    </row>
    <row r="143" spans="2:102" ht="16.5" hidden="1">
      <c r="B143" s="80"/>
      <c r="C143" s="80"/>
      <c r="D143" s="80"/>
      <c r="E143" s="80"/>
      <c r="F143" s="80"/>
      <c r="G143" s="80"/>
      <c r="H143" s="80"/>
      <c r="I143" s="80"/>
      <c r="J143" s="192">
        <f t="shared" si="140"/>
        <v>12</v>
      </c>
      <c r="K143" s="192">
        <f t="shared" si="141"/>
        <v>3</v>
      </c>
      <c r="L143" s="192" t="str">
        <f t="shared" si="134"/>
        <v/>
      </c>
      <c r="M143" s="216">
        <f t="shared" ca="1" si="142"/>
        <v>0</v>
      </c>
      <c r="N143" s="216"/>
      <c r="O143" s="216"/>
      <c r="P143" s="216"/>
      <c r="Q143" s="456" t="str">
        <f t="shared" ca="1" si="143"/>
        <v/>
      </c>
      <c r="R143" s="450">
        <f t="shared" ca="1" si="144"/>
        <v>1</v>
      </c>
      <c r="S143" s="191">
        <f t="shared" si="145"/>
        <v>12</v>
      </c>
      <c r="T143" s="191">
        <f t="shared" si="146"/>
        <v>3</v>
      </c>
      <c r="U143" s="191">
        <f ca="1">OP!$D$5+$S143-1</f>
        <v>44</v>
      </c>
      <c r="V143" s="191" t="str">
        <f t="shared" si="147"/>
        <v/>
      </c>
      <c r="W143" s="350">
        <f ca="1">IF(Q143&lt;&gt;1,0,VLOOKUP(OP!$C$55,PVFB,$S143+2,0))</f>
        <v>0</v>
      </c>
      <c r="X143" s="473">
        <f t="shared" ca="1" si="174"/>
        <v>0</v>
      </c>
      <c r="Y143" s="348">
        <f t="shared" ca="1" si="175"/>
        <v>0</v>
      </c>
      <c r="Z143" s="348">
        <f t="shared" ca="1" si="176"/>
        <v>8012</v>
      </c>
      <c r="AA143" s="348">
        <f ca="1">IF(Q143&lt;&gt;1,0,VLOOKUP(OP!$C$55,PVFB,$S143+2,0))</f>
        <v>0</v>
      </c>
      <c r="AB143" s="488" t="str">
        <f ca="1">IF(AND(S143&lt;OP!$C$24,$U143&lt;15),0,IF(AND($U143&lt;15,$T143=12),ROUND(VLOOKUP($S143,DOWN16,5,0),3),IF($T143=12,ROUND(($Z143/10000)*$AA143,3)+IF(AND($P$7="購買增額繳清保險",T143=12,U143=110),VLOOKUP(S143,$B$10:$H$121,7,0),0),"")))</f>
        <v/>
      </c>
      <c r="AC143" s="350" t="str">
        <f ca="1">IF(AND(S143&lt;OP!$C$24,$U143&lt;15),0,IF(AND($U143&lt;16,$T143=12),VLOOKUP($S143,DOWN16,4,0),IF($T143=12,ROUND(VLOOKUP(OP!$C$55,_DIE2,$S143+1,0)*(Z143/10000),0)+IF(AND($P$7="購買增額繳清保險",T143=12,U143=110),VLOOKUP(S143,$B$10:$H$121,7,0),0),"")))</f>
        <v/>
      </c>
      <c r="AD143" s="347"/>
      <c r="AE143" s="350" t="str">
        <f t="shared" ca="1" si="135"/>
        <v/>
      </c>
      <c r="AF143" s="351" t="str">
        <f t="shared" ca="1" si="136"/>
        <v/>
      </c>
      <c r="AG143" s="340"/>
      <c r="AH143" s="340"/>
      <c r="AI143" s="340"/>
      <c r="AJ143" s="340"/>
      <c r="AK143" s="340"/>
      <c r="AL143" s="340"/>
      <c r="AM143" s="340"/>
      <c r="AN143" s="191">
        <f t="shared" si="148"/>
        <v>12</v>
      </c>
      <c r="AO143" s="191">
        <f t="shared" si="149"/>
        <v>3</v>
      </c>
      <c r="AP143" s="191">
        <f ca="1">OP!$D$5+$AN143-1</f>
        <v>44</v>
      </c>
      <c r="AQ143" s="191" t="str">
        <f t="shared" si="150"/>
        <v/>
      </c>
      <c r="AR143" s="352">
        <f t="shared" ca="1" si="151"/>
        <v>0</v>
      </c>
      <c r="AS143" s="352"/>
      <c r="AT143" s="352"/>
      <c r="AU143" s="436"/>
      <c r="AV143" s="353" t="str">
        <f t="shared" ca="1" si="152"/>
        <v/>
      </c>
      <c r="AW143" s="422" t="str">
        <f t="shared" si="153"/>
        <v/>
      </c>
      <c r="AX143" s="423" t="str">
        <f ca="1">IF(AND($AW143=1,$AP143&lt;16,$AN142&lt;OP!$C$24),OP!$C$49,"")</f>
        <v/>
      </c>
      <c r="AY143" s="340"/>
      <c r="AZ143" s="465">
        <f t="shared" ca="1" si="154"/>
        <v>7.3698599999999999E-5</v>
      </c>
      <c r="BA143" s="464">
        <f t="shared" ca="1" si="155"/>
        <v>2.2109589000000002E-3</v>
      </c>
      <c r="BB143" s="465">
        <f t="shared" ca="1" si="155"/>
        <v>2.2846575E-3</v>
      </c>
      <c r="BC143" s="466">
        <f t="shared" ca="1" si="156"/>
        <v>46966</v>
      </c>
      <c r="BD143" s="467">
        <f t="shared" ca="1" si="177"/>
        <v>46967</v>
      </c>
      <c r="BE143" s="467">
        <f t="shared" ca="1" si="157"/>
        <v>46996</v>
      </c>
      <c r="BF143" s="468">
        <f ca="1">IF(計算!$BC143&lt;OP!$C$3,0,BD143-BC143)</f>
        <v>1</v>
      </c>
      <c r="BG143" s="468">
        <f ca="1">IF($BE143&gt;DATE(YEAR($BD$9)+OP!$C$57,MONTH($BD$9),DAY($BD$9)),0,$BE143-$BD143+1)</f>
        <v>30</v>
      </c>
      <c r="BH143" s="469">
        <f t="shared" ca="1" si="158"/>
        <v>31</v>
      </c>
      <c r="BI143" t="str">
        <f t="shared" si="128"/>
        <v/>
      </c>
      <c r="BJ143">
        <v>2</v>
      </c>
      <c r="BN143" s="468">
        <f t="shared" si="178"/>
        <v>12</v>
      </c>
      <c r="BO143" s="468">
        <f t="shared" si="179"/>
        <v>2</v>
      </c>
      <c r="BP143" s="467">
        <f t="shared" ca="1" si="159"/>
        <v>46967</v>
      </c>
      <c r="BQ143" s="475">
        <f t="shared" ca="1" si="185"/>
        <v>44</v>
      </c>
      <c r="BR143" s="475" t="str">
        <f t="shared" si="180"/>
        <v/>
      </c>
      <c r="BS143" s="471" t="str">
        <f t="shared" si="160"/>
        <v/>
      </c>
      <c r="BT143" s="472" t="str">
        <f t="shared" si="129"/>
        <v/>
      </c>
      <c r="BU143" s="472">
        <f t="shared" ca="1" si="161"/>
        <v>0</v>
      </c>
      <c r="BV143" s="472">
        <f t="shared" ca="1" si="161"/>
        <v>0</v>
      </c>
      <c r="BW143" s="472"/>
      <c r="BX143" s="473">
        <f t="shared" ca="1" si="162"/>
        <v>40411.38415184</v>
      </c>
      <c r="BY143" s="473">
        <f t="shared" si="163"/>
        <v>0</v>
      </c>
      <c r="BZ143" s="473">
        <f t="shared" ca="1" si="137"/>
        <v>92.326171888000005</v>
      </c>
      <c r="CA143" s="476">
        <f t="shared" ca="1" si="164"/>
        <v>0</v>
      </c>
      <c r="CB143" s="494">
        <f ca="1">IF(OR($Q142&lt;&gt;1,OP!$D$5+$BN143-1&lt;16,$BN143-1&lt;1),0,ROUND(ROUND(ROUND(((VLOOKUP($BN143-1,MORE_PV,5,0)/10000)*VLOOKUP($BN143,MORE_PV,$CB$5,0)),3)*VLOOKUP($BN143,more1,5,0),0)/$R142,0))</f>
        <v>0</v>
      </c>
      <c r="CC143" s="473">
        <f t="shared" ca="1" si="165"/>
        <v>0</v>
      </c>
      <c r="CD143" s="477"/>
      <c r="CE143" s="468">
        <f t="shared" si="181"/>
        <v>12</v>
      </c>
      <c r="CF143" s="468">
        <f t="shared" si="182"/>
        <v>2</v>
      </c>
      <c r="CG143" s="467">
        <f t="shared" ca="1" si="138"/>
        <v>46967</v>
      </c>
      <c r="CH143" s="475">
        <f t="shared" ca="1" si="186"/>
        <v>44</v>
      </c>
      <c r="CI143" s="513" t="str">
        <f t="shared" si="183"/>
        <v/>
      </c>
      <c r="CJ143" s="511">
        <f t="shared" si="166"/>
        <v>0</v>
      </c>
      <c r="CK143" s="512">
        <f t="shared" si="167"/>
        <v>0</v>
      </c>
      <c r="CL143" s="511">
        <f t="shared" ca="1" si="184"/>
        <v>0</v>
      </c>
      <c r="CM143" s="511">
        <f ca="1">ROUND(CS143-IF(OR($CE143&gt;=OP!$C$24,AND(CH143=15,CF143=12),CS143=0),0,(CT143-CR143)),$CM$7)</f>
        <v>0</v>
      </c>
      <c r="CN143" s="511"/>
      <c r="CO143" s="351">
        <f t="shared" ca="1" si="168"/>
        <v>67044</v>
      </c>
      <c r="CP143" s="473">
        <f t="shared" si="169"/>
        <v>0</v>
      </c>
      <c r="CQ143" s="473">
        <f t="shared" ca="1" si="139"/>
        <v>153.17257742999999</v>
      </c>
      <c r="CR143" s="476">
        <f t="shared" ca="1" si="170"/>
        <v>0</v>
      </c>
      <c r="CS143" s="494">
        <f ca="1">IF(OR($Q142&lt;&gt;1,OP!$D$5+$CE143-1&lt;16,$CE143-1&lt;1),0,ROUND(ROUND(ROUND(((VLOOKUP($CE143-1,MORE_PV,5,0)/10000)*VLOOKUP($CE143,MORE_PV,$CS$5,0)),3)*VLOOKUP($CE143,more1,5,0),0)/$R142,0))</f>
        <v>0</v>
      </c>
      <c r="CT143" s="473">
        <f>IF($AW143=1,IF(N($CR143+$CS143)&lt;N($AX143)*OP!$C$50,N($CR143+$CS143),MIN(N($CR143+$CS143),N($AX143))),0)</f>
        <v>0</v>
      </c>
      <c r="CV143" s="503">
        <f t="shared" ca="1" si="171"/>
        <v>67043.814818946994</v>
      </c>
      <c r="CW143" s="503">
        <f t="shared" ca="1" si="172"/>
        <v>0</v>
      </c>
      <c r="CX143" s="503">
        <f t="shared" ca="1" si="173"/>
        <v>67192.03501439</v>
      </c>
    </row>
    <row r="144" spans="2:102" ht="16.5" hidden="1">
      <c r="B144" s="80"/>
      <c r="C144" s="80"/>
      <c r="D144" s="80"/>
      <c r="E144" s="80"/>
      <c r="F144" s="80"/>
      <c r="G144" s="80"/>
      <c r="H144" s="80"/>
      <c r="I144" s="80"/>
      <c r="J144" s="192">
        <f t="shared" si="140"/>
        <v>12</v>
      </c>
      <c r="K144" s="192">
        <f t="shared" si="141"/>
        <v>4</v>
      </c>
      <c r="L144" s="192" t="str">
        <f t="shared" si="134"/>
        <v/>
      </c>
      <c r="M144" s="216">
        <f t="shared" ca="1" si="142"/>
        <v>0</v>
      </c>
      <c r="N144" s="216"/>
      <c r="O144" s="216"/>
      <c r="P144" s="216"/>
      <c r="Q144" s="456" t="str">
        <f t="shared" ca="1" si="143"/>
        <v/>
      </c>
      <c r="R144" s="450">
        <f t="shared" ca="1" si="144"/>
        <v>1</v>
      </c>
      <c r="S144" s="191">
        <f t="shared" si="145"/>
        <v>12</v>
      </c>
      <c r="T144" s="191">
        <f t="shared" si="146"/>
        <v>4</v>
      </c>
      <c r="U144" s="191">
        <f ca="1">OP!$D$5+$S144-1</f>
        <v>44</v>
      </c>
      <c r="V144" s="191" t="str">
        <f t="shared" si="147"/>
        <v/>
      </c>
      <c r="W144" s="350">
        <f ca="1">IF(Q144&lt;&gt;1,0,VLOOKUP(OP!$C$55,PVFB,$S144+2,0))</f>
        <v>0</v>
      </c>
      <c r="X144" s="473">
        <f t="shared" ca="1" si="174"/>
        <v>0</v>
      </c>
      <c r="Y144" s="348">
        <f t="shared" ca="1" si="175"/>
        <v>0</v>
      </c>
      <c r="Z144" s="348">
        <f t="shared" ca="1" si="176"/>
        <v>8012</v>
      </c>
      <c r="AA144" s="348">
        <f ca="1">IF(Q144&lt;&gt;1,0,VLOOKUP(OP!$C$55,PVFB,$S144+2,0))</f>
        <v>0</v>
      </c>
      <c r="AB144" s="488" t="str">
        <f ca="1">IF(AND(S144&lt;OP!$C$24,$U144&lt;15),0,IF(AND($U144&lt;15,$T144=12),ROUND(VLOOKUP($S144,DOWN16,5,0),3),IF($T144=12,ROUND(($Z144/10000)*$AA144,3)+IF(AND($P$7="購買增額繳清保險",T144=12,U144=110),VLOOKUP(S144,$B$10:$H$121,7,0),0),"")))</f>
        <v/>
      </c>
      <c r="AC144" s="350" t="str">
        <f ca="1">IF(AND(S144&lt;OP!$C$24,$U144&lt;15),0,IF(AND($U144&lt;16,$T144=12),VLOOKUP($S144,DOWN16,4,0),IF($T144=12,ROUND(VLOOKUP(OP!$C$55,_DIE2,$S144+1,0)*(Z144/10000),0)+IF(AND($P$7="購買增額繳清保險",T144=12,U144=110),VLOOKUP(S144,$B$10:$H$121,7,0),0),"")))</f>
        <v/>
      </c>
      <c r="AD144" s="347"/>
      <c r="AE144" s="350" t="str">
        <f t="shared" ca="1" si="135"/>
        <v/>
      </c>
      <c r="AF144" s="351" t="str">
        <f t="shared" ca="1" si="136"/>
        <v/>
      </c>
      <c r="AG144" s="340"/>
      <c r="AH144" s="340"/>
      <c r="AI144" s="340"/>
      <c r="AJ144" s="340"/>
      <c r="AK144" s="340"/>
      <c r="AL144" s="340"/>
      <c r="AM144" s="340"/>
      <c r="AN144" s="191">
        <f t="shared" si="148"/>
        <v>12</v>
      </c>
      <c r="AO144" s="191">
        <f t="shared" si="149"/>
        <v>4</v>
      </c>
      <c r="AP144" s="191">
        <f ca="1">OP!$D$5+$AN144-1</f>
        <v>44</v>
      </c>
      <c r="AQ144" s="191" t="str">
        <f t="shared" si="150"/>
        <v/>
      </c>
      <c r="AR144" s="352">
        <f t="shared" ca="1" si="151"/>
        <v>0</v>
      </c>
      <c r="AS144" s="352"/>
      <c r="AT144" s="352"/>
      <c r="AU144" s="436"/>
      <c r="AV144" s="353" t="str">
        <f t="shared" ca="1" si="152"/>
        <v/>
      </c>
      <c r="AW144" s="422" t="str">
        <f t="shared" si="153"/>
        <v/>
      </c>
      <c r="AX144" s="423" t="str">
        <f ca="1">IF(AND($AW144=1,$AP144&lt;16,$AN143&lt;OP!$C$24),OP!$C$49,"")</f>
        <v/>
      </c>
      <c r="AY144" s="340"/>
      <c r="AZ144" s="465">
        <f t="shared" ca="1" si="154"/>
        <v>7.3698599999999999E-5</v>
      </c>
      <c r="BA144" s="464">
        <f t="shared" ca="1" si="155"/>
        <v>2.1372602999999999E-3</v>
      </c>
      <c r="BB144" s="465">
        <f t="shared" ca="1" si="155"/>
        <v>2.2109589000000002E-3</v>
      </c>
      <c r="BC144" s="466">
        <f t="shared" ca="1" si="156"/>
        <v>46997</v>
      </c>
      <c r="BD144" s="467">
        <f t="shared" ca="1" si="177"/>
        <v>46998</v>
      </c>
      <c r="BE144" s="467">
        <f t="shared" ca="1" si="157"/>
        <v>47026</v>
      </c>
      <c r="BF144" s="468">
        <f ca="1">IF(計算!$BC144&lt;OP!$C$3,0,BD144-BC144)</f>
        <v>1</v>
      </c>
      <c r="BG144" s="468">
        <f ca="1">IF($BE144&gt;DATE(YEAR($BD$9)+OP!$C$57,MONTH($BD$9),DAY($BD$9)),0,$BE144-$BD144+1)</f>
        <v>29</v>
      </c>
      <c r="BH144" s="469">
        <f t="shared" ca="1" si="158"/>
        <v>30</v>
      </c>
      <c r="BI144" t="str">
        <f t="shared" si="128"/>
        <v/>
      </c>
      <c r="BJ144">
        <v>3</v>
      </c>
      <c r="BN144" s="468">
        <f t="shared" si="178"/>
        <v>12</v>
      </c>
      <c r="BO144" s="468">
        <f t="shared" si="179"/>
        <v>3</v>
      </c>
      <c r="BP144" s="467">
        <f t="shared" ca="1" si="159"/>
        <v>46998</v>
      </c>
      <c r="BQ144" s="475">
        <f t="shared" ca="1" si="185"/>
        <v>44</v>
      </c>
      <c r="BR144" s="475" t="str">
        <f t="shared" si="180"/>
        <v/>
      </c>
      <c r="BS144" s="471" t="str">
        <f t="shared" si="160"/>
        <v/>
      </c>
      <c r="BT144" s="472" t="str">
        <f t="shared" si="129"/>
        <v/>
      </c>
      <c r="BU144" s="472">
        <f t="shared" ca="1" si="161"/>
        <v>0</v>
      </c>
      <c r="BV144" s="472">
        <f t="shared" ca="1" si="161"/>
        <v>0</v>
      </c>
      <c r="BW144" s="472"/>
      <c r="BX144" s="473">
        <f t="shared" ca="1" si="162"/>
        <v>40503.710323728003</v>
      </c>
      <c r="BY144" s="473">
        <f t="shared" si="163"/>
        <v>0</v>
      </c>
      <c r="BZ144" s="473">
        <f t="shared" ca="1" si="137"/>
        <v>89.552038823000004</v>
      </c>
      <c r="CA144" s="476">
        <f t="shared" ca="1" si="164"/>
        <v>0</v>
      </c>
      <c r="CB144" s="494">
        <f ca="1">IF(OR($Q143&lt;&gt;1,OP!$D$5+$BN144-1&lt;16,$BN144-1&lt;1),0,ROUND(ROUND(ROUND(((VLOOKUP($BN144-1,MORE_PV,5,0)/10000)*VLOOKUP($BN144,MORE_PV,$CB$5,0)),3)*VLOOKUP($BN144,more1,5,0),0)/$R143,0))</f>
        <v>0</v>
      </c>
      <c r="CC144" s="473">
        <f t="shared" ca="1" si="165"/>
        <v>0</v>
      </c>
      <c r="CD144" s="477"/>
      <c r="CE144" s="468">
        <f t="shared" si="181"/>
        <v>12</v>
      </c>
      <c r="CF144" s="468">
        <f t="shared" si="182"/>
        <v>3</v>
      </c>
      <c r="CG144" s="467">
        <f t="shared" ca="1" si="138"/>
        <v>46998</v>
      </c>
      <c r="CH144" s="475">
        <f t="shared" ca="1" si="186"/>
        <v>44</v>
      </c>
      <c r="CI144" s="513" t="str">
        <f t="shared" si="183"/>
        <v/>
      </c>
      <c r="CJ144" s="511">
        <f t="shared" si="166"/>
        <v>0</v>
      </c>
      <c r="CK144" s="512">
        <f t="shared" si="167"/>
        <v>0</v>
      </c>
      <c r="CL144" s="511">
        <f t="shared" ca="1" si="184"/>
        <v>0</v>
      </c>
      <c r="CM144" s="511">
        <f ca="1">ROUND(CS144-IF(OR($CE144&gt;=OP!$C$24,AND(CH144=15,CF144=12),CS144=0),0,(CT144-CR144)),$CM$7)</f>
        <v>0</v>
      </c>
      <c r="CN144" s="511"/>
      <c r="CO144" s="351">
        <f t="shared" ca="1" si="168"/>
        <v>67197</v>
      </c>
      <c r="CP144" s="473">
        <f t="shared" si="169"/>
        <v>0</v>
      </c>
      <c r="CQ144" s="473">
        <f t="shared" ca="1" si="139"/>
        <v>148.56980520299999</v>
      </c>
      <c r="CR144" s="476">
        <f t="shared" ca="1" si="170"/>
        <v>0</v>
      </c>
      <c r="CS144" s="494">
        <f ca="1">IF(OR($Q143&lt;&gt;1,OP!$D$5+$CE144-1&lt;16,$CE144-1&lt;1),0,ROUND(ROUND(ROUND(((VLOOKUP($CE144-1,MORE_PV,5,0)/10000)*VLOOKUP($CE144,MORE_PV,$CS$5,0)),3)*VLOOKUP($CE144,more1,5,0),0)/$R143,0))</f>
        <v>0</v>
      </c>
      <c r="CT144" s="473">
        <f>IF($AW144=1,IF(N($CR144+$CS144)&lt;N($AX144)*OP!$C$50,N($CR144+$CS144),MIN(N($CR144+$CS144),N($AX144))),0)</f>
        <v>0</v>
      </c>
      <c r="CV144" s="503">
        <f t="shared" ca="1" si="171"/>
        <v>67196.986973302002</v>
      </c>
      <c r="CW144" s="503">
        <f t="shared" ca="1" si="172"/>
        <v>0</v>
      </c>
      <c r="CX144" s="503">
        <f t="shared" ca="1" si="173"/>
        <v>67340.593842214003</v>
      </c>
    </row>
    <row r="145" spans="2:102" ht="16.5" hidden="1">
      <c r="B145" s="80"/>
      <c r="C145" s="80"/>
      <c r="D145" s="80"/>
      <c r="E145" s="80"/>
      <c r="F145" s="80"/>
      <c r="G145" s="80"/>
      <c r="H145" s="80"/>
      <c r="I145" s="80"/>
      <c r="J145" s="192">
        <f t="shared" si="140"/>
        <v>12</v>
      </c>
      <c r="K145" s="192">
        <f t="shared" si="141"/>
        <v>5</v>
      </c>
      <c r="L145" s="192" t="str">
        <f t="shared" si="134"/>
        <v/>
      </c>
      <c r="M145" s="216">
        <f t="shared" ca="1" si="142"/>
        <v>0</v>
      </c>
      <c r="N145" s="216"/>
      <c r="O145" s="216"/>
      <c r="P145" s="216"/>
      <c r="Q145" s="456" t="str">
        <f t="shared" ca="1" si="143"/>
        <v/>
      </c>
      <c r="R145" s="450">
        <f t="shared" ca="1" si="144"/>
        <v>1</v>
      </c>
      <c r="S145" s="191">
        <f t="shared" si="145"/>
        <v>12</v>
      </c>
      <c r="T145" s="191">
        <f t="shared" si="146"/>
        <v>5</v>
      </c>
      <c r="U145" s="191">
        <f ca="1">OP!$D$5+$S145-1</f>
        <v>44</v>
      </c>
      <c r="V145" s="191" t="str">
        <f t="shared" si="147"/>
        <v/>
      </c>
      <c r="W145" s="350">
        <f ca="1">IF(Q145&lt;&gt;1,0,VLOOKUP(OP!$C$55,PVFB,$S145+2,0))</f>
        <v>0</v>
      </c>
      <c r="X145" s="473">
        <f t="shared" ca="1" si="174"/>
        <v>0</v>
      </c>
      <c r="Y145" s="348">
        <f t="shared" ca="1" si="175"/>
        <v>0</v>
      </c>
      <c r="Z145" s="348">
        <f t="shared" ca="1" si="176"/>
        <v>8012</v>
      </c>
      <c r="AA145" s="348">
        <f ca="1">IF(Q145&lt;&gt;1,0,VLOOKUP(OP!$C$55,PVFB,$S145+2,0))</f>
        <v>0</v>
      </c>
      <c r="AB145" s="488" t="str">
        <f ca="1">IF(AND(S145&lt;OP!$C$24,$U145&lt;15),0,IF(AND($U145&lt;15,$T145=12),ROUND(VLOOKUP($S145,DOWN16,5,0),3),IF($T145=12,ROUND(($Z145/10000)*$AA145,3)+IF(AND($P$7="購買增額繳清保險",T145=12,U145=110),VLOOKUP(S145,$B$10:$H$121,7,0),0),"")))</f>
        <v/>
      </c>
      <c r="AC145" s="350" t="str">
        <f ca="1">IF(AND(S145&lt;OP!$C$24,$U145&lt;15),0,IF(AND($U145&lt;16,$T145=12),VLOOKUP($S145,DOWN16,4,0),IF($T145=12,ROUND(VLOOKUP(OP!$C$55,_DIE2,$S145+1,0)*(Z145/10000),0)+IF(AND($P$7="購買增額繳清保險",T145=12,U145=110),VLOOKUP(S145,$B$10:$H$121,7,0),0),"")))</f>
        <v/>
      </c>
      <c r="AD145" s="347"/>
      <c r="AE145" s="350" t="str">
        <f t="shared" ca="1" si="135"/>
        <v/>
      </c>
      <c r="AF145" s="351" t="str">
        <f t="shared" ca="1" si="136"/>
        <v/>
      </c>
      <c r="AG145" s="340"/>
      <c r="AH145" s="340"/>
      <c r="AI145" s="340"/>
      <c r="AJ145" s="340"/>
      <c r="AK145" s="340"/>
      <c r="AL145" s="340"/>
      <c r="AM145" s="340"/>
      <c r="AN145" s="191">
        <f t="shared" si="148"/>
        <v>12</v>
      </c>
      <c r="AO145" s="191">
        <f t="shared" si="149"/>
        <v>5</v>
      </c>
      <c r="AP145" s="191">
        <f ca="1">OP!$D$5+$AN145-1</f>
        <v>44</v>
      </c>
      <c r="AQ145" s="191" t="str">
        <f t="shared" si="150"/>
        <v/>
      </c>
      <c r="AR145" s="352">
        <f t="shared" ca="1" si="151"/>
        <v>0</v>
      </c>
      <c r="AS145" s="352"/>
      <c r="AT145" s="352"/>
      <c r="AU145" s="436"/>
      <c r="AV145" s="353" t="str">
        <f t="shared" ca="1" si="152"/>
        <v/>
      </c>
      <c r="AW145" s="422" t="str">
        <f t="shared" si="153"/>
        <v/>
      </c>
      <c r="AX145" s="423" t="str">
        <f ca="1">IF(AND($AW145=1,$AP145&lt;16,$AN144&lt;OP!$C$24),OP!$C$49,"")</f>
        <v/>
      </c>
      <c r="AY145" s="340"/>
      <c r="AZ145" s="465">
        <f t="shared" ca="1" si="154"/>
        <v>7.3698599999999999E-5</v>
      </c>
      <c r="BA145" s="464">
        <f t="shared" ca="1" si="155"/>
        <v>2.2109589000000002E-3</v>
      </c>
      <c r="BB145" s="465">
        <f t="shared" ca="1" si="155"/>
        <v>2.2846575E-3</v>
      </c>
      <c r="BC145" s="466">
        <f t="shared" ca="1" si="156"/>
        <v>47027</v>
      </c>
      <c r="BD145" s="467">
        <f t="shared" ca="1" si="177"/>
        <v>47028</v>
      </c>
      <c r="BE145" s="467">
        <f t="shared" ca="1" si="157"/>
        <v>47057</v>
      </c>
      <c r="BF145" s="468">
        <f ca="1">IF(計算!$BC145&lt;OP!$C$3,0,BD145-BC145)</f>
        <v>1</v>
      </c>
      <c r="BG145" s="468">
        <f ca="1">IF($BE145&gt;DATE(YEAR($BD$9)+OP!$C$57,MONTH($BD$9),DAY($BD$9)),0,$BE145-$BD145+1)</f>
        <v>30</v>
      </c>
      <c r="BH145" s="469">
        <f t="shared" ca="1" si="158"/>
        <v>31</v>
      </c>
      <c r="BI145" t="str">
        <f t="shared" si="128"/>
        <v/>
      </c>
      <c r="BJ145">
        <v>4</v>
      </c>
      <c r="BN145" s="468">
        <f t="shared" si="178"/>
        <v>12</v>
      </c>
      <c r="BO145" s="468">
        <f t="shared" si="179"/>
        <v>4</v>
      </c>
      <c r="BP145" s="467">
        <f t="shared" ca="1" si="159"/>
        <v>47028</v>
      </c>
      <c r="BQ145" s="475">
        <f t="shared" ca="1" si="185"/>
        <v>44</v>
      </c>
      <c r="BR145" s="475" t="str">
        <f t="shared" si="180"/>
        <v/>
      </c>
      <c r="BS145" s="471" t="str">
        <f t="shared" si="160"/>
        <v/>
      </c>
      <c r="BT145" s="472" t="str">
        <f t="shared" si="129"/>
        <v/>
      </c>
      <c r="BU145" s="472">
        <f t="shared" ca="1" si="161"/>
        <v>0</v>
      </c>
      <c r="BV145" s="472">
        <f t="shared" ca="1" si="161"/>
        <v>0</v>
      </c>
      <c r="BW145" s="472"/>
      <c r="BX145" s="473">
        <f t="shared" ca="1" si="162"/>
        <v>40593.262362551002</v>
      </c>
      <c r="BY145" s="473">
        <f t="shared" si="163"/>
        <v>0</v>
      </c>
      <c r="BZ145" s="473">
        <f t="shared" ca="1" si="137"/>
        <v>92.741701305999996</v>
      </c>
      <c r="CA145" s="476">
        <f t="shared" ca="1" si="164"/>
        <v>0</v>
      </c>
      <c r="CB145" s="494">
        <f ca="1">IF(OR($Q144&lt;&gt;1,OP!$D$5+$BN145-1&lt;16,$BN145-1&lt;1),0,ROUND(ROUND(ROUND(((VLOOKUP($BN145-1,MORE_PV,5,0)/10000)*VLOOKUP($BN145,MORE_PV,$CB$5,0)),3)*VLOOKUP($BN145,more1,5,0),0)/$R144,0))</f>
        <v>0</v>
      </c>
      <c r="CC145" s="473">
        <f t="shared" ca="1" si="165"/>
        <v>0</v>
      </c>
      <c r="CD145" s="477"/>
      <c r="CE145" s="468">
        <f t="shared" si="181"/>
        <v>12</v>
      </c>
      <c r="CF145" s="468">
        <f t="shared" si="182"/>
        <v>4</v>
      </c>
      <c r="CG145" s="467">
        <f t="shared" ca="1" si="138"/>
        <v>47028</v>
      </c>
      <c r="CH145" s="475">
        <f t="shared" ca="1" si="186"/>
        <v>44</v>
      </c>
      <c r="CI145" s="513" t="str">
        <f t="shared" si="183"/>
        <v/>
      </c>
      <c r="CJ145" s="511">
        <f t="shared" si="166"/>
        <v>0</v>
      </c>
      <c r="CK145" s="512">
        <f t="shared" si="167"/>
        <v>0</v>
      </c>
      <c r="CL145" s="511">
        <f t="shared" ca="1" si="184"/>
        <v>0</v>
      </c>
      <c r="CM145" s="511">
        <f ca="1">ROUND(CS145-IF(OR($CE145&gt;=OP!$C$24,AND(CH145=15,CF145=12),CS145=0),0,(CT145-CR145)),$CM$7)</f>
        <v>0</v>
      </c>
      <c r="CN145" s="511"/>
      <c r="CO145" s="351">
        <f t="shared" ca="1" si="168"/>
        <v>67346</v>
      </c>
      <c r="CP145" s="473">
        <f t="shared" si="169"/>
        <v>0</v>
      </c>
      <c r="CQ145" s="473">
        <f t="shared" ca="1" si="139"/>
        <v>153.86254399500001</v>
      </c>
      <c r="CR145" s="476">
        <f t="shared" ca="1" si="170"/>
        <v>0</v>
      </c>
      <c r="CS145" s="494">
        <f ca="1">IF(OR($Q144&lt;&gt;1,OP!$D$5+$CE145-1&lt;16,$CE145-1&lt;1),0,ROUND(ROUND(ROUND(((VLOOKUP($CE145-1,MORE_PV,5,0)/10000)*VLOOKUP($CE145,MORE_PV,$CS$5,0)),3)*VLOOKUP($CE145,more1,5,0),0)/$R144,0))</f>
        <v>0</v>
      </c>
      <c r="CT145" s="473">
        <f>IF($AW145=1,IF(N($CR145+$CS145)&lt;N($AX145)*OP!$C$50,N($CR145+$CS145),MIN(N($CR145+$CS145),N($AX145))),0)</f>
        <v>0</v>
      </c>
      <c r="CV145" s="503">
        <f t="shared" ca="1" si="171"/>
        <v>67345.556749702999</v>
      </c>
      <c r="CW145" s="503">
        <f t="shared" ca="1" si="172"/>
        <v>0</v>
      </c>
      <c r="CX145" s="503">
        <f t="shared" ca="1" si="173"/>
        <v>67494.444034989996</v>
      </c>
    </row>
    <row r="146" spans="2:102" ht="16.5" hidden="1">
      <c r="B146" s="80"/>
      <c r="C146" s="80"/>
      <c r="D146" s="80"/>
      <c r="E146" s="80"/>
      <c r="F146" s="80"/>
      <c r="G146" s="80"/>
      <c r="H146" s="80"/>
      <c r="I146" s="80"/>
      <c r="J146" s="192">
        <f t="shared" si="140"/>
        <v>12</v>
      </c>
      <c r="K146" s="192">
        <f t="shared" si="141"/>
        <v>6</v>
      </c>
      <c r="L146" s="192" t="str">
        <f t="shared" si="134"/>
        <v/>
      </c>
      <c r="M146" s="216">
        <f t="shared" ca="1" si="142"/>
        <v>0</v>
      </c>
      <c r="N146" s="216"/>
      <c r="O146" s="216"/>
      <c r="P146" s="216"/>
      <c r="Q146" s="456" t="str">
        <f t="shared" ca="1" si="143"/>
        <v/>
      </c>
      <c r="R146" s="450">
        <f t="shared" ca="1" si="144"/>
        <v>1</v>
      </c>
      <c r="S146" s="191">
        <f t="shared" si="145"/>
        <v>12</v>
      </c>
      <c r="T146" s="191">
        <f t="shared" si="146"/>
        <v>6</v>
      </c>
      <c r="U146" s="191">
        <f ca="1">OP!$D$5+$S146-1</f>
        <v>44</v>
      </c>
      <c r="V146" s="191" t="str">
        <f t="shared" si="147"/>
        <v/>
      </c>
      <c r="W146" s="350">
        <f ca="1">IF(Q146&lt;&gt;1,0,VLOOKUP(OP!$C$55,PVFB,$S146+2,0))</f>
        <v>0</v>
      </c>
      <c r="X146" s="473">
        <f t="shared" ca="1" si="174"/>
        <v>0</v>
      </c>
      <c r="Y146" s="348">
        <f t="shared" ca="1" si="175"/>
        <v>0</v>
      </c>
      <c r="Z146" s="348">
        <f t="shared" ca="1" si="176"/>
        <v>8012</v>
      </c>
      <c r="AA146" s="348">
        <f ca="1">IF(Q146&lt;&gt;1,0,VLOOKUP(OP!$C$55,PVFB,$S146+2,0))</f>
        <v>0</v>
      </c>
      <c r="AB146" s="488" t="str">
        <f ca="1">IF(AND(S146&lt;OP!$C$24,$U146&lt;15),0,IF(AND($U146&lt;15,$T146=12),ROUND(VLOOKUP($S146,DOWN16,5,0),3),IF($T146=12,ROUND(($Z146/10000)*$AA146,3)+IF(AND($P$7="購買增額繳清保險",T146=12,U146=110),VLOOKUP(S146,$B$10:$H$121,7,0),0),"")))</f>
        <v/>
      </c>
      <c r="AC146" s="350" t="str">
        <f ca="1">IF(AND(S146&lt;OP!$C$24,$U146&lt;15),0,IF(AND($U146&lt;16,$T146=12),VLOOKUP($S146,DOWN16,4,0),IF($T146=12,ROUND(VLOOKUP(OP!$C$55,_DIE2,$S146+1,0)*(Z146/10000),0)+IF(AND($P$7="購買增額繳清保險",T146=12,U146=110),VLOOKUP(S146,$B$10:$H$121,7,0),0),"")))</f>
        <v/>
      </c>
      <c r="AD146" s="347"/>
      <c r="AE146" s="350" t="str">
        <f t="shared" ca="1" si="135"/>
        <v/>
      </c>
      <c r="AF146" s="351" t="str">
        <f t="shared" ca="1" si="136"/>
        <v/>
      </c>
      <c r="AG146" s="340"/>
      <c r="AH146" s="340"/>
      <c r="AI146" s="340"/>
      <c r="AJ146" s="340"/>
      <c r="AK146" s="340"/>
      <c r="AL146" s="340"/>
      <c r="AM146" s="340"/>
      <c r="AN146" s="191">
        <f t="shared" si="148"/>
        <v>12</v>
      </c>
      <c r="AO146" s="191">
        <f t="shared" si="149"/>
        <v>6</v>
      </c>
      <c r="AP146" s="191">
        <f ca="1">OP!$D$5+$AN146-1</f>
        <v>44</v>
      </c>
      <c r="AQ146" s="191" t="str">
        <f t="shared" si="150"/>
        <v/>
      </c>
      <c r="AR146" s="352">
        <f t="shared" ca="1" si="151"/>
        <v>0</v>
      </c>
      <c r="AS146" s="352"/>
      <c r="AT146" s="352"/>
      <c r="AU146" s="436"/>
      <c r="AV146" s="353" t="str">
        <f t="shared" ca="1" si="152"/>
        <v/>
      </c>
      <c r="AW146" s="422" t="str">
        <f t="shared" si="153"/>
        <v/>
      </c>
      <c r="AX146" s="423" t="str">
        <f ca="1">IF(AND($AW146=1,$AP146&lt;16,$AN145&lt;OP!$C$24),OP!$C$49,"")</f>
        <v/>
      </c>
      <c r="AY146" s="340"/>
      <c r="AZ146" s="465">
        <f t="shared" ca="1" si="154"/>
        <v>7.3698599999999999E-5</v>
      </c>
      <c r="BA146" s="464">
        <f t="shared" ca="1" si="155"/>
        <v>2.1372602999999999E-3</v>
      </c>
      <c r="BB146" s="465">
        <f t="shared" ca="1" si="155"/>
        <v>2.2109589000000002E-3</v>
      </c>
      <c r="BC146" s="466">
        <f t="shared" ca="1" si="156"/>
        <v>47058</v>
      </c>
      <c r="BD146" s="467">
        <f t="shared" ca="1" si="177"/>
        <v>47059</v>
      </c>
      <c r="BE146" s="467">
        <f t="shared" ca="1" si="157"/>
        <v>47087</v>
      </c>
      <c r="BF146" s="468">
        <f ca="1">IF(計算!$BC146&lt;OP!$C$3,0,BD146-BC146)</f>
        <v>1</v>
      </c>
      <c r="BG146" s="468">
        <f ca="1">IF($BE146&gt;DATE(YEAR($BD$9)+OP!$C$57,MONTH($BD$9),DAY($BD$9)),0,$BE146-$BD146+1)</f>
        <v>29</v>
      </c>
      <c r="BH146" s="469">
        <f t="shared" ca="1" si="158"/>
        <v>30</v>
      </c>
      <c r="BI146" t="str">
        <f t="shared" si="128"/>
        <v/>
      </c>
      <c r="BJ146">
        <v>5</v>
      </c>
      <c r="BN146" s="468">
        <f t="shared" si="178"/>
        <v>12</v>
      </c>
      <c r="BO146" s="468">
        <f t="shared" si="179"/>
        <v>5</v>
      </c>
      <c r="BP146" s="467">
        <f t="shared" ca="1" si="159"/>
        <v>47059</v>
      </c>
      <c r="BQ146" s="475">
        <f t="shared" ca="1" si="185"/>
        <v>44</v>
      </c>
      <c r="BR146" s="475" t="str">
        <f t="shared" si="180"/>
        <v/>
      </c>
      <c r="BS146" s="471" t="str">
        <f t="shared" si="160"/>
        <v/>
      </c>
      <c r="BT146" s="472" t="str">
        <f t="shared" si="129"/>
        <v/>
      </c>
      <c r="BU146" s="472">
        <f t="shared" ca="1" si="161"/>
        <v>0</v>
      </c>
      <c r="BV146" s="472">
        <f t="shared" ca="1" si="161"/>
        <v>0</v>
      </c>
      <c r="BW146" s="472"/>
      <c r="BX146" s="473">
        <f t="shared" ca="1" si="162"/>
        <v>40686.004063856999</v>
      </c>
      <c r="BY146" s="473">
        <f t="shared" si="163"/>
        <v>0</v>
      </c>
      <c r="BZ146" s="473">
        <f t="shared" ca="1" si="137"/>
        <v>89.955082790000006</v>
      </c>
      <c r="CA146" s="476">
        <f t="shared" ca="1" si="164"/>
        <v>0</v>
      </c>
      <c r="CB146" s="494">
        <f ca="1">IF(OR($Q145&lt;&gt;1,OP!$D$5+$BN146-1&lt;16,$BN146-1&lt;1),0,ROUND(ROUND(ROUND(((VLOOKUP($BN146-1,MORE_PV,5,0)/10000)*VLOOKUP($BN146,MORE_PV,$CB$5,0)),3)*VLOOKUP($BN146,more1,5,0),0)/$R145,0))</f>
        <v>0</v>
      </c>
      <c r="CC146" s="473">
        <f t="shared" ca="1" si="165"/>
        <v>0</v>
      </c>
      <c r="CD146" s="477"/>
      <c r="CE146" s="468">
        <f t="shared" si="181"/>
        <v>12</v>
      </c>
      <c r="CF146" s="468">
        <f t="shared" si="182"/>
        <v>5</v>
      </c>
      <c r="CG146" s="467">
        <f t="shared" ca="1" si="138"/>
        <v>47059</v>
      </c>
      <c r="CH146" s="475">
        <f t="shared" ca="1" si="186"/>
        <v>44</v>
      </c>
      <c r="CI146" s="513" t="str">
        <f t="shared" si="183"/>
        <v/>
      </c>
      <c r="CJ146" s="511">
        <f t="shared" si="166"/>
        <v>0</v>
      </c>
      <c r="CK146" s="512">
        <f t="shared" si="167"/>
        <v>0</v>
      </c>
      <c r="CL146" s="511">
        <f t="shared" ca="1" si="184"/>
        <v>0</v>
      </c>
      <c r="CM146" s="511">
        <f ca="1">ROUND(CS146-IF(OR($CE146&gt;=OP!$C$24,AND(CH146=15,CF146=12),CS146=0),0,(CT146-CR146)),$CM$7)</f>
        <v>0</v>
      </c>
      <c r="CN146" s="511"/>
      <c r="CO146" s="351">
        <f t="shared" ca="1" si="168"/>
        <v>67499</v>
      </c>
      <c r="CP146" s="473">
        <f t="shared" si="169"/>
        <v>0</v>
      </c>
      <c r="CQ146" s="473">
        <f t="shared" ca="1" si="139"/>
        <v>149.237514791</v>
      </c>
      <c r="CR146" s="476">
        <f t="shared" ca="1" si="170"/>
        <v>0</v>
      </c>
      <c r="CS146" s="494">
        <f ca="1">IF(OR($Q145&lt;&gt;1,OP!$D$5+$CE146-1&lt;16,$CE146-1&lt;1),0,ROUND(ROUND(ROUND(((VLOOKUP($CE146-1,MORE_PV,5,0)/10000)*VLOOKUP($CE146,MORE_PV,$CS$5,0)),3)*VLOOKUP($CE146,more1,5,0),0)/$R145,0))</f>
        <v>0</v>
      </c>
      <c r="CT146" s="473">
        <f>IF($AW146=1,IF(N($CR146+$CS146)&lt;N($AX146)*OP!$C$50,N($CR146+$CS146),MIN(N($CR146+$CS146),N($AX146))),0)</f>
        <v>0</v>
      </c>
      <c r="CV146" s="503">
        <f t="shared" ca="1" si="171"/>
        <v>67499.418281022998</v>
      </c>
      <c r="CW146" s="503">
        <f t="shared" ca="1" si="172"/>
        <v>0</v>
      </c>
      <c r="CX146" s="503">
        <f t="shared" ca="1" si="173"/>
        <v>67643.67147673</v>
      </c>
    </row>
    <row r="147" spans="2:102" ht="16.5" hidden="1">
      <c r="B147" s="80"/>
      <c r="C147" s="80"/>
      <c r="D147" s="80"/>
      <c r="E147" s="80"/>
      <c r="F147" s="80"/>
      <c r="G147" s="80"/>
      <c r="H147" s="80"/>
      <c r="I147" s="80"/>
      <c r="J147" s="192">
        <f t="shared" si="140"/>
        <v>12</v>
      </c>
      <c r="K147" s="192">
        <f t="shared" si="141"/>
        <v>7</v>
      </c>
      <c r="L147" s="192" t="str">
        <f t="shared" si="134"/>
        <v/>
      </c>
      <c r="M147" s="216">
        <f t="shared" ca="1" si="142"/>
        <v>0</v>
      </c>
      <c r="N147" s="216"/>
      <c r="O147" s="216"/>
      <c r="P147" s="216"/>
      <c r="Q147" s="456" t="str">
        <f t="shared" ca="1" si="143"/>
        <v/>
      </c>
      <c r="R147" s="450">
        <f t="shared" ca="1" si="144"/>
        <v>1</v>
      </c>
      <c r="S147" s="191">
        <f t="shared" si="145"/>
        <v>12</v>
      </c>
      <c r="T147" s="191">
        <f t="shared" si="146"/>
        <v>7</v>
      </c>
      <c r="U147" s="191">
        <f ca="1">OP!$D$5+$S147-1</f>
        <v>44</v>
      </c>
      <c r="V147" s="191" t="str">
        <f t="shared" si="147"/>
        <v/>
      </c>
      <c r="W147" s="350">
        <f ca="1">IF(Q147&lt;&gt;1,0,VLOOKUP(OP!$C$55,PVFB,$S147+2,0))</f>
        <v>0</v>
      </c>
      <c r="X147" s="473">
        <f t="shared" ca="1" si="174"/>
        <v>0</v>
      </c>
      <c r="Y147" s="348">
        <f t="shared" ca="1" si="175"/>
        <v>0</v>
      </c>
      <c r="Z147" s="348">
        <f t="shared" ca="1" si="176"/>
        <v>8012</v>
      </c>
      <c r="AA147" s="348">
        <f ca="1">IF(Q147&lt;&gt;1,0,VLOOKUP(OP!$C$55,PVFB,$S147+2,0))</f>
        <v>0</v>
      </c>
      <c r="AB147" s="488" t="str">
        <f ca="1">IF(AND(S147&lt;OP!$C$24,$U147&lt;15),0,IF(AND($U147&lt;15,$T147=12),ROUND(VLOOKUP($S147,DOWN16,5,0),3),IF($T147=12,ROUND(($Z147/10000)*$AA147,3)+IF(AND($P$7="購買增額繳清保險",T147=12,U147=110),VLOOKUP(S147,$B$10:$H$121,7,0),0),"")))</f>
        <v/>
      </c>
      <c r="AC147" s="350" t="str">
        <f ca="1">IF(AND(S147&lt;OP!$C$24,$U147&lt;15),0,IF(AND($U147&lt;16,$T147=12),VLOOKUP($S147,DOWN16,4,0),IF($T147=12,ROUND(VLOOKUP(OP!$C$55,_DIE2,$S147+1,0)*(Z147/10000),0)+IF(AND($P$7="購買增額繳清保險",T147=12,U147=110),VLOOKUP(S147,$B$10:$H$121,7,0),0),"")))</f>
        <v/>
      </c>
      <c r="AD147" s="347"/>
      <c r="AE147" s="350" t="str">
        <f t="shared" ca="1" si="135"/>
        <v/>
      </c>
      <c r="AF147" s="351" t="str">
        <f t="shared" ca="1" si="136"/>
        <v/>
      </c>
      <c r="AG147" s="340"/>
      <c r="AH147" s="340"/>
      <c r="AI147" s="340"/>
      <c r="AJ147" s="340"/>
      <c r="AK147" s="340"/>
      <c r="AL147" s="340"/>
      <c r="AM147" s="340"/>
      <c r="AN147" s="191">
        <f t="shared" si="148"/>
        <v>12</v>
      </c>
      <c r="AO147" s="191">
        <f t="shared" si="149"/>
        <v>7</v>
      </c>
      <c r="AP147" s="191">
        <f ca="1">OP!$D$5+$AN147-1</f>
        <v>44</v>
      </c>
      <c r="AQ147" s="191" t="str">
        <f t="shared" si="150"/>
        <v/>
      </c>
      <c r="AR147" s="352">
        <f t="shared" ca="1" si="151"/>
        <v>0</v>
      </c>
      <c r="AS147" s="352"/>
      <c r="AT147" s="352"/>
      <c r="AU147" s="436"/>
      <c r="AV147" s="353" t="str">
        <f t="shared" ca="1" si="152"/>
        <v/>
      </c>
      <c r="AW147" s="422" t="str">
        <f t="shared" si="153"/>
        <v/>
      </c>
      <c r="AX147" s="423" t="str">
        <f ca="1">IF(AND($AW147=1,$AP147&lt;16,$AN146&lt;OP!$C$24),OP!$C$49,"")</f>
        <v/>
      </c>
      <c r="AY147" s="340"/>
      <c r="AZ147" s="465">
        <f t="shared" ca="1" si="154"/>
        <v>7.3698599999999999E-5</v>
      </c>
      <c r="BA147" s="464">
        <f t="shared" ca="1" si="155"/>
        <v>2.2109589000000002E-3</v>
      </c>
      <c r="BB147" s="465">
        <f t="shared" ca="1" si="155"/>
        <v>2.2846575E-3</v>
      </c>
      <c r="BC147" s="466">
        <f t="shared" ca="1" si="156"/>
        <v>47088</v>
      </c>
      <c r="BD147" s="467">
        <f t="shared" ca="1" si="177"/>
        <v>47089</v>
      </c>
      <c r="BE147" s="467">
        <f t="shared" ca="1" si="157"/>
        <v>47118</v>
      </c>
      <c r="BF147" s="468">
        <f ca="1">IF(計算!$BC147&lt;OP!$C$3,0,BD147-BC147)</f>
        <v>1</v>
      </c>
      <c r="BG147" s="468">
        <f ca="1">IF($BE147&gt;DATE(YEAR($BD$9)+OP!$C$57,MONTH($BD$9),DAY($BD$9)),0,$BE147-$BD147+1)</f>
        <v>30</v>
      </c>
      <c r="BH147" s="469">
        <f t="shared" ca="1" si="158"/>
        <v>31</v>
      </c>
      <c r="BI147" t="str">
        <f t="shared" si="128"/>
        <v/>
      </c>
      <c r="BJ147">
        <v>6</v>
      </c>
      <c r="BN147" s="468">
        <f t="shared" si="178"/>
        <v>12</v>
      </c>
      <c r="BO147" s="468">
        <f t="shared" si="179"/>
        <v>6</v>
      </c>
      <c r="BP147" s="467">
        <f t="shared" ca="1" si="159"/>
        <v>47089</v>
      </c>
      <c r="BQ147" s="475">
        <f t="shared" ca="1" si="185"/>
        <v>44</v>
      </c>
      <c r="BR147" s="475" t="str">
        <f t="shared" si="180"/>
        <v/>
      </c>
      <c r="BS147" s="471" t="str">
        <f t="shared" si="160"/>
        <v/>
      </c>
      <c r="BT147" s="472" t="str">
        <f t="shared" si="129"/>
        <v/>
      </c>
      <c r="BU147" s="472">
        <f t="shared" ca="1" si="161"/>
        <v>0</v>
      </c>
      <c r="BV147" s="472">
        <f t="shared" ca="1" si="161"/>
        <v>0</v>
      </c>
      <c r="BW147" s="472"/>
      <c r="BX147" s="473">
        <f t="shared" ca="1" si="162"/>
        <v>40775.959146647001</v>
      </c>
      <c r="BY147" s="473">
        <f t="shared" si="163"/>
        <v>0</v>
      </c>
      <c r="BZ147" s="473">
        <f t="shared" ca="1" si="137"/>
        <v>93.159100883999997</v>
      </c>
      <c r="CA147" s="476">
        <f t="shared" ca="1" si="164"/>
        <v>0</v>
      </c>
      <c r="CB147" s="494">
        <f ca="1">IF(OR($Q146&lt;&gt;1,OP!$D$5+$BN147-1&lt;16,$BN147-1&lt;1),0,ROUND(ROUND(ROUND(((VLOOKUP($BN147-1,MORE_PV,5,0)/10000)*VLOOKUP($BN147,MORE_PV,$CB$5,0)),3)*VLOOKUP($BN147,more1,5,0),0)/$R146,0))</f>
        <v>0</v>
      </c>
      <c r="CC147" s="473">
        <f t="shared" ca="1" si="165"/>
        <v>0</v>
      </c>
      <c r="CD147" s="477"/>
      <c r="CE147" s="468">
        <f t="shared" si="181"/>
        <v>12</v>
      </c>
      <c r="CF147" s="468">
        <f t="shared" si="182"/>
        <v>6</v>
      </c>
      <c r="CG147" s="467">
        <f t="shared" ca="1" si="138"/>
        <v>47089</v>
      </c>
      <c r="CH147" s="475">
        <f t="shared" ca="1" si="186"/>
        <v>44</v>
      </c>
      <c r="CI147" s="513" t="str">
        <f t="shared" si="183"/>
        <v/>
      </c>
      <c r="CJ147" s="511">
        <f t="shared" si="166"/>
        <v>0</v>
      </c>
      <c r="CK147" s="512">
        <f t="shared" si="167"/>
        <v>0</v>
      </c>
      <c r="CL147" s="511">
        <f t="shared" ca="1" si="184"/>
        <v>0</v>
      </c>
      <c r="CM147" s="511">
        <f ca="1">ROUND(CS147-IF(OR($CE147&gt;=OP!$C$24,AND(CH147=15,CF147=12),CS147=0),0,(CT147-CR147)),$CM$7)</f>
        <v>0</v>
      </c>
      <c r="CN147" s="511"/>
      <c r="CO147" s="351">
        <f t="shared" ca="1" si="168"/>
        <v>67649</v>
      </c>
      <c r="CP147" s="473">
        <f t="shared" si="169"/>
        <v>0</v>
      </c>
      <c r="CQ147" s="473">
        <f t="shared" ca="1" si="139"/>
        <v>154.55479521800001</v>
      </c>
      <c r="CR147" s="476">
        <f t="shared" ca="1" si="170"/>
        <v>0</v>
      </c>
      <c r="CS147" s="494">
        <f ca="1">IF(OR($Q146&lt;&gt;1,OP!$D$5+$CE147-1&lt;16,$CE147-1&lt;1),0,ROUND(ROUND(ROUND(((VLOOKUP($CE147-1,MORE_PV,5,0)/10000)*VLOOKUP($CE147,MORE_PV,$CS$5,0)),3)*VLOOKUP($CE147,more1,5,0),0)/$R146,0))</f>
        <v>0</v>
      </c>
      <c r="CT147" s="473">
        <f>IF($AW147=1,IF(N($CR147+$CS147)&lt;N($AX147)*OP!$C$50,N($CR147+$CS147),MIN(N($CR147+$CS147),N($AX147))),0)</f>
        <v>0</v>
      </c>
      <c r="CV147" s="503">
        <f t="shared" ca="1" si="171"/>
        <v>67648.656720617</v>
      </c>
      <c r="CW147" s="503">
        <f t="shared" ca="1" si="172"/>
        <v>0</v>
      </c>
      <c r="CX147" s="503">
        <f t="shared" ca="1" si="173"/>
        <v>67798.214098097</v>
      </c>
    </row>
    <row r="148" spans="2:102" ht="16.5" hidden="1">
      <c r="B148" s="80"/>
      <c r="C148" s="80"/>
      <c r="D148" s="80"/>
      <c r="E148" s="80"/>
      <c r="F148" s="80"/>
      <c r="G148" s="80"/>
      <c r="H148" s="80"/>
      <c r="I148" s="80"/>
      <c r="J148" s="192">
        <f t="shared" si="140"/>
        <v>12</v>
      </c>
      <c r="K148" s="192">
        <f t="shared" si="141"/>
        <v>8</v>
      </c>
      <c r="L148" s="192" t="str">
        <f t="shared" si="134"/>
        <v/>
      </c>
      <c r="M148" s="216">
        <f t="shared" ca="1" si="142"/>
        <v>0</v>
      </c>
      <c r="N148" s="216"/>
      <c r="O148" s="216"/>
      <c r="P148" s="216"/>
      <c r="Q148" s="456" t="str">
        <f t="shared" ca="1" si="143"/>
        <v/>
      </c>
      <c r="R148" s="450">
        <f t="shared" ca="1" si="144"/>
        <v>1</v>
      </c>
      <c r="S148" s="191">
        <f t="shared" si="145"/>
        <v>12</v>
      </c>
      <c r="T148" s="191">
        <f t="shared" si="146"/>
        <v>8</v>
      </c>
      <c r="U148" s="191">
        <f ca="1">OP!$D$5+$S148-1</f>
        <v>44</v>
      </c>
      <c r="V148" s="191" t="str">
        <f t="shared" si="147"/>
        <v/>
      </c>
      <c r="W148" s="350">
        <f ca="1">IF(Q148&lt;&gt;1,0,VLOOKUP(OP!$C$55,PVFB,$S148+2,0))</f>
        <v>0</v>
      </c>
      <c r="X148" s="473">
        <f t="shared" ca="1" si="174"/>
        <v>0</v>
      </c>
      <c r="Y148" s="348">
        <f t="shared" ca="1" si="175"/>
        <v>0</v>
      </c>
      <c r="Z148" s="348">
        <f t="shared" ca="1" si="176"/>
        <v>8012</v>
      </c>
      <c r="AA148" s="348">
        <f ca="1">IF(Q148&lt;&gt;1,0,VLOOKUP(OP!$C$55,PVFB,$S148+2,0))</f>
        <v>0</v>
      </c>
      <c r="AB148" s="488" t="str">
        <f ca="1">IF(AND(S148&lt;OP!$C$24,$U148&lt;15),0,IF(AND($U148&lt;15,$T148=12),ROUND(VLOOKUP($S148,DOWN16,5,0),3),IF($T148=12,ROUND(($Z148/10000)*$AA148,3)+IF(AND($P$7="購買增額繳清保險",T148=12,U148=110),VLOOKUP(S148,$B$10:$H$121,7,0),0),"")))</f>
        <v/>
      </c>
      <c r="AC148" s="350" t="str">
        <f ca="1">IF(AND(S148&lt;OP!$C$24,$U148&lt;15),0,IF(AND($U148&lt;16,$T148=12),VLOOKUP($S148,DOWN16,4,0),IF($T148=12,ROUND(VLOOKUP(OP!$C$55,_DIE2,$S148+1,0)*(Z148/10000),0)+IF(AND($P$7="購買增額繳清保險",T148=12,U148=110),VLOOKUP(S148,$B$10:$H$121,7,0),0),"")))</f>
        <v/>
      </c>
      <c r="AD148" s="347"/>
      <c r="AE148" s="350" t="str">
        <f t="shared" ca="1" si="135"/>
        <v/>
      </c>
      <c r="AF148" s="351" t="str">
        <f t="shared" ca="1" si="136"/>
        <v/>
      </c>
      <c r="AG148" s="340"/>
      <c r="AH148" s="340"/>
      <c r="AI148" s="340"/>
      <c r="AJ148" s="340"/>
      <c r="AK148" s="340"/>
      <c r="AL148" s="340"/>
      <c r="AM148" s="340"/>
      <c r="AN148" s="191">
        <f t="shared" si="148"/>
        <v>12</v>
      </c>
      <c r="AO148" s="191">
        <f t="shared" si="149"/>
        <v>8</v>
      </c>
      <c r="AP148" s="191">
        <f ca="1">OP!$D$5+$AN148-1</f>
        <v>44</v>
      </c>
      <c r="AQ148" s="191" t="str">
        <f t="shared" si="150"/>
        <v/>
      </c>
      <c r="AR148" s="352">
        <f t="shared" ca="1" si="151"/>
        <v>0</v>
      </c>
      <c r="AS148" s="352"/>
      <c r="AT148" s="352"/>
      <c r="AU148" s="436"/>
      <c r="AV148" s="353" t="str">
        <f t="shared" ca="1" si="152"/>
        <v/>
      </c>
      <c r="AW148" s="422" t="str">
        <f t="shared" si="153"/>
        <v/>
      </c>
      <c r="AX148" s="423" t="str">
        <f ca="1">IF(AND($AW148=1,$AP148&lt;16,$AN147&lt;OP!$C$24),OP!$C$49,"")</f>
        <v/>
      </c>
      <c r="AY148" s="340"/>
      <c r="AZ148" s="465">
        <f t="shared" ca="1" si="154"/>
        <v>7.3698599999999999E-5</v>
      </c>
      <c r="BA148" s="464">
        <f t="shared" ca="1" si="155"/>
        <v>2.2109589000000002E-3</v>
      </c>
      <c r="BB148" s="465">
        <f t="shared" ca="1" si="155"/>
        <v>2.2846575E-3</v>
      </c>
      <c r="BC148" s="466">
        <f t="shared" ca="1" si="156"/>
        <v>47119</v>
      </c>
      <c r="BD148" s="467">
        <f t="shared" ca="1" si="177"/>
        <v>47120</v>
      </c>
      <c r="BE148" s="467">
        <f t="shared" ca="1" si="157"/>
        <v>47149</v>
      </c>
      <c r="BF148" s="468">
        <f ca="1">IF(計算!$BC148&lt;OP!$C$3,0,BD148-BC148)</f>
        <v>1</v>
      </c>
      <c r="BG148" s="468">
        <f ca="1">IF($BE148&gt;DATE(YEAR($BD$9)+OP!$C$57,MONTH($BD$9),DAY($BD$9)),0,$BE148-$BD148+1)</f>
        <v>30</v>
      </c>
      <c r="BH148" s="469">
        <f t="shared" ca="1" si="158"/>
        <v>31</v>
      </c>
      <c r="BI148" t="str">
        <f t="shared" si="128"/>
        <v/>
      </c>
      <c r="BJ148">
        <v>7</v>
      </c>
      <c r="BN148" s="468">
        <f t="shared" si="178"/>
        <v>12</v>
      </c>
      <c r="BO148" s="468">
        <f t="shared" si="179"/>
        <v>7</v>
      </c>
      <c r="BP148" s="467">
        <f t="shared" ca="1" si="159"/>
        <v>47120</v>
      </c>
      <c r="BQ148" s="475">
        <f t="shared" ca="1" si="185"/>
        <v>44</v>
      </c>
      <c r="BR148" s="475" t="str">
        <f t="shared" si="180"/>
        <v/>
      </c>
      <c r="BS148" s="471" t="str">
        <f t="shared" si="160"/>
        <v/>
      </c>
      <c r="BT148" s="472" t="str">
        <f t="shared" si="129"/>
        <v/>
      </c>
      <c r="BU148" s="472">
        <f t="shared" ca="1" si="161"/>
        <v>0</v>
      </c>
      <c r="BV148" s="472">
        <f t="shared" ca="1" si="161"/>
        <v>0</v>
      </c>
      <c r="BW148" s="472"/>
      <c r="BX148" s="473">
        <f t="shared" ca="1" si="162"/>
        <v>40869.118247530998</v>
      </c>
      <c r="BY148" s="473">
        <f t="shared" si="163"/>
        <v>0</v>
      </c>
      <c r="BZ148" s="473">
        <f t="shared" ca="1" si="137"/>
        <v>93.371937523</v>
      </c>
      <c r="CA148" s="476">
        <f t="shared" ca="1" si="164"/>
        <v>0</v>
      </c>
      <c r="CB148" s="494">
        <f ca="1">IF(OR($Q147&lt;&gt;1,OP!$D$5+$BN148-1&lt;16,$BN148-1&lt;1),0,ROUND(ROUND(ROUND(((VLOOKUP($BN148-1,MORE_PV,5,0)/10000)*VLOOKUP($BN148,MORE_PV,$CB$5,0)),3)*VLOOKUP($BN148,more1,5,0),0)/$R147,0))</f>
        <v>0</v>
      </c>
      <c r="CC148" s="473">
        <f t="shared" ca="1" si="165"/>
        <v>0</v>
      </c>
      <c r="CD148" s="477"/>
      <c r="CE148" s="468">
        <f t="shared" si="181"/>
        <v>12</v>
      </c>
      <c r="CF148" s="468">
        <f t="shared" si="182"/>
        <v>7</v>
      </c>
      <c r="CG148" s="467">
        <f t="shared" ca="1" si="138"/>
        <v>47120</v>
      </c>
      <c r="CH148" s="475">
        <f t="shared" ca="1" si="186"/>
        <v>44</v>
      </c>
      <c r="CI148" s="513" t="str">
        <f t="shared" si="183"/>
        <v/>
      </c>
      <c r="CJ148" s="511">
        <f t="shared" si="166"/>
        <v>0</v>
      </c>
      <c r="CK148" s="512">
        <f t="shared" si="167"/>
        <v>0</v>
      </c>
      <c r="CL148" s="511">
        <f t="shared" ca="1" si="184"/>
        <v>0</v>
      </c>
      <c r="CM148" s="511">
        <f ca="1">ROUND(CS148-IF(OR($CE148&gt;=OP!$C$24,AND(CH148=15,CF148=12),CS148=0),0,(CT148-CR148)),$CM$7)</f>
        <v>0</v>
      </c>
      <c r="CN148" s="511"/>
      <c r="CO148" s="351">
        <f t="shared" ca="1" si="168"/>
        <v>67803</v>
      </c>
      <c r="CP148" s="473">
        <f t="shared" si="169"/>
        <v>0</v>
      </c>
      <c r="CQ148" s="473">
        <f t="shared" ca="1" si="139"/>
        <v>154.906632473</v>
      </c>
      <c r="CR148" s="476">
        <f t="shared" ca="1" si="170"/>
        <v>0</v>
      </c>
      <c r="CS148" s="494">
        <f ca="1">IF(OR($Q147&lt;&gt;1,OP!$D$5+$CE148-1&lt;16,$CE148-1&lt;1),0,ROUND(ROUND(ROUND(((VLOOKUP($CE148-1,MORE_PV,5,0)/10000)*VLOOKUP($CE148,MORE_PV,$CS$5,0)),3)*VLOOKUP($CE148,more1,5,0),0)/$R147,0))</f>
        <v>0</v>
      </c>
      <c r="CT148" s="473">
        <f>IF($AW148=1,IF(N($CR148+$CS148)&lt;N($AX148)*OP!$C$50,N($CR148+$CS148),MIN(N($CR148+$CS148),N($AX148))),0)</f>
        <v>0</v>
      </c>
      <c r="CV148" s="503">
        <f t="shared" ca="1" si="171"/>
        <v>67803.210731558996</v>
      </c>
      <c r="CW148" s="503">
        <f t="shared" ca="1" si="172"/>
        <v>0</v>
      </c>
      <c r="CX148" s="503">
        <f t="shared" ca="1" si="173"/>
        <v>67953.109796422999</v>
      </c>
    </row>
    <row r="149" spans="2:102" ht="16.5" hidden="1">
      <c r="B149" s="80"/>
      <c r="C149" s="80"/>
      <c r="D149" s="80"/>
      <c r="E149" s="80"/>
      <c r="F149" s="80"/>
      <c r="G149" s="80"/>
      <c r="H149" s="80"/>
      <c r="I149" s="80"/>
      <c r="J149" s="192">
        <f t="shared" si="140"/>
        <v>12</v>
      </c>
      <c r="K149" s="192">
        <f t="shared" si="141"/>
        <v>9</v>
      </c>
      <c r="L149" s="192" t="str">
        <f t="shared" si="134"/>
        <v/>
      </c>
      <c r="M149" s="216">
        <f t="shared" ca="1" si="142"/>
        <v>0</v>
      </c>
      <c r="N149" s="216"/>
      <c r="O149" s="216"/>
      <c r="P149" s="216"/>
      <c r="Q149" s="456" t="str">
        <f t="shared" ca="1" si="143"/>
        <v/>
      </c>
      <c r="R149" s="450">
        <f t="shared" ca="1" si="144"/>
        <v>1</v>
      </c>
      <c r="S149" s="191">
        <f t="shared" si="145"/>
        <v>12</v>
      </c>
      <c r="T149" s="191">
        <f t="shared" si="146"/>
        <v>9</v>
      </c>
      <c r="U149" s="191">
        <f ca="1">OP!$D$5+$S149-1</f>
        <v>44</v>
      </c>
      <c r="V149" s="191" t="str">
        <f t="shared" si="147"/>
        <v/>
      </c>
      <c r="W149" s="350">
        <f ca="1">IF(Q149&lt;&gt;1,0,VLOOKUP(OP!$C$55,PVFB,$S149+2,0))</f>
        <v>0</v>
      </c>
      <c r="X149" s="473">
        <f t="shared" ca="1" si="174"/>
        <v>0</v>
      </c>
      <c r="Y149" s="348">
        <f t="shared" ca="1" si="175"/>
        <v>0</v>
      </c>
      <c r="Z149" s="348">
        <f t="shared" ca="1" si="176"/>
        <v>8012</v>
      </c>
      <c r="AA149" s="348">
        <f ca="1">IF(Q149&lt;&gt;1,0,VLOOKUP(OP!$C$55,PVFB,$S149+2,0))</f>
        <v>0</v>
      </c>
      <c r="AB149" s="488" t="str">
        <f ca="1">IF(AND(S149&lt;OP!$C$24,$U149&lt;15),0,IF(AND($U149&lt;15,$T149=12),ROUND(VLOOKUP($S149,DOWN16,5,0),3),IF($T149=12,ROUND(($Z149/10000)*$AA149,3)+IF(AND($P$7="購買增額繳清保險",T149=12,U149=110),VLOOKUP(S149,$B$10:$H$121,7,0),0),"")))</f>
        <v/>
      </c>
      <c r="AC149" s="350" t="str">
        <f ca="1">IF(AND(S149&lt;OP!$C$24,$U149&lt;15),0,IF(AND($U149&lt;16,$T149=12),VLOOKUP($S149,DOWN16,4,0),IF($T149=12,ROUND(VLOOKUP(OP!$C$55,_DIE2,$S149+1,0)*(Z149/10000),0)+IF(AND($P$7="購買增額繳清保險",T149=12,U149=110),VLOOKUP(S149,$B$10:$H$121,7,0),0),"")))</f>
        <v/>
      </c>
      <c r="AD149" s="347"/>
      <c r="AE149" s="350" t="str">
        <f t="shared" ca="1" si="135"/>
        <v/>
      </c>
      <c r="AF149" s="351" t="str">
        <f t="shared" ca="1" si="136"/>
        <v/>
      </c>
      <c r="AG149" s="340"/>
      <c r="AH149" s="340"/>
      <c r="AI149" s="340"/>
      <c r="AJ149" s="340"/>
      <c r="AK149" s="340"/>
      <c r="AL149" s="340"/>
      <c r="AM149" s="340"/>
      <c r="AN149" s="191">
        <f t="shared" si="148"/>
        <v>12</v>
      </c>
      <c r="AO149" s="191">
        <f t="shared" si="149"/>
        <v>9</v>
      </c>
      <c r="AP149" s="191">
        <f ca="1">OP!$D$5+$AN149-1</f>
        <v>44</v>
      </c>
      <c r="AQ149" s="191" t="str">
        <f t="shared" si="150"/>
        <v/>
      </c>
      <c r="AR149" s="352">
        <f t="shared" ca="1" si="151"/>
        <v>0</v>
      </c>
      <c r="AS149" s="352"/>
      <c r="AT149" s="352"/>
      <c r="AU149" s="436"/>
      <c r="AV149" s="353" t="str">
        <f t="shared" ca="1" si="152"/>
        <v/>
      </c>
      <c r="AW149" s="422" t="str">
        <f t="shared" si="153"/>
        <v/>
      </c>
      <c r="AX149" s="423" t="str">
        <f ca="1">IF(AND($AW149=1,$AP149&lt;16,$AN148&lt;OP!$C$24),OP!$C$49,"")</f>
        <v/>
      </c>
      <c r="AY149" s="340"/>
      <c r="AZ149" s="465">
        <f t="shared" ca="1" si="154"/>
        <v>7.3698599999999999E-5</v>
      </c>
      <c r="BA149" s="464">
        <f t="shared" ca="1" si="155"/>
        <v>1.9898630000000001E-3</v>
      </c>
      <c r="BB149" s="465">
        <f t="shared" ca="1" si="155"/>
        <v>2.0635616E-3</v>
      </c>
      <c r="BC149" s="466">
        <f t="shared" ca="1" si="156"/>
        <v>47150</v>
      </c>
      <c r="BD149" s="467">
        <f t="shared" ca="1" si="177"/>
        <v>47151</v>
      </c>
      <c r="BE149" s="467">
        <f t="shared" ca="1" si="157"/>
        <v>47177</v>
      </c>
      <c r="BF149" s="468">
        <f ca="1">IF(計算!$BC149&lt;OP!$C$3,0,BD149-BC149)</f>
        <v>1</v>
      </c>
      <c r="BG149" s="468">
        <f ca="1">IF($BE149&gt;DATE(YEAR($BD$9)+OP!$C$57,MONTH($BD$9),DAY($BD$9)),0,$BE149-$BD149+1)</f>
        <v>27</v>
      </c>
      <c r="BH149" s="469">
        <f t="shared" ca="1" si="158"/>
        <v>28</v>
      </c>
      <c r="BI149" t="str">
        <f t="shared" ref="BI149:BI212" si="187">IF(BJ149=12,BD149-BD137,"")</f>
        <v/>
      </c>
      <c r="BJ149">
        <v>8</v>
      </c>
      <c r="BN149" s="468">
        <f t="shared" si="178"/>
        <v>12</v>
      </c>
      <c r="BO149" s="468">
        <f t="shared" si="179"/>
        <v>8</v>
      </c>
      <c r="BP149" s="467">
        <f t="shared" ca="1" si="159"/>
        <v>47151</v>
      </c>
      <c r="BQ149" s="475">
        <f t="shared" ca="1" si="185"/>
        <v>44</v>
      </c>
      <c r="BR149" s="475" t="str">
        <f t="shared" si="180"/>
        <v/>
      </c>
      <c r="BS149" s="471" t="str">
        <f t="shared" si="160"/>
        <v/>
      </c>
      <c r="BT149" s="472" t="str">
        <f t="shared" si="129"/>
        <v/>
      </c>
      <c r="BU149" s="472">
        <f t="shared" ca="1" si="161"/>
        <v>0</v>
      </c>
      <c r="BV149" s="472">
        <f t="shared" ca="1" si="161"/>
        <v>0</v>
      </c>
      <c r="BW149" s="472"/>
      <c r="BX149" s="473">
        <f t="shared" ca="1" si="162"/>
        <v>40962.490185053997</v>
      </c>
      <c r="BY149" s="473">
        <f t="shared" si="163"/>
        <v>0</v>
      </c>
      <c r="BZ149" s="473">
        <f t="shared" ca="1" si="137"/>
        <v>84.528621786000002</v>
      </c>
      <c r="CA149" s="476">
        <f t="shared" ca="1" si="164"/>
        <v>0</v>
      </c>
      <c r="CB149" s="494">
        <f ca="1">IF(OR($Q148&lt;&gt;1,OP!$D$5+$BN149-1&lt;16,$BN149-1&lt;1),0,ROUND(ROUND(ROUND(((VLOOKUP($BN149-1,MORE_PV,5,0)/10000)*VLOOKUP($BN149,MORE_PV,$CB$5,0)),3)*VLOOKUP($BN149,more1,5,0),0)/$R148,0))</f>
        <v>0</v>
      </c>
      <c r="CC149" s="473">
        <f t="shared" ca="1" si="165"/>
        <v>0</v>
      </c>
      <c r="CD149" s="477"/>
      <c r="CE149" s="468">
        <f t="shared" si="181"/>
        <v>12</v>
      </c>
      <c r="CF149" s="468">
        <f t="shared" si="182"/>
        <v>8</v>
      </c>
      <c r="CG149" s="467">
        <f t="shared" ca="1" si="138"/>
        <v>47151</v>
      </c>
      <c r="CH149" s="475">
        <f t="shared" ca="1" si="186"/>
        <v>44</v>
      </c>
      <c r="CI149" s="513" t="str">
        <f t="shared" si="183"/>
        <v/>
      </c>
      <c r="CJ149" s="511">
        <f t="shared" si="166"/>
        <v>0</v>
      </c>
      <c r="CK149" s="512">
        <f t="shared" si="167"/>
        <v>0</v>
      </c>
      <c r="CL149" s="511">
        <f t="shared" ca="1" si="184"/>
        <v>0</v>
      </c>
      <c r="CM149" s="511">
        <f ca="1">ROUND(CS149-IF(OR($CE149&gt;=OP!$C$24,AND(CH149=15,CF149=12),CS149=0),0,(CT149-CR149)),$CM$7)</f>
        <v>0</v>
      </c>
      <c r="CN149" s="511"/>
      <c r="CO149" s="351">
        <f t="shared" ca="1" si="168"/>
        <v>67958</v>
      </c>
      <c r="CP149" s="473">
        <f t="shared" si="169"/>
        <v>0</v>
      </c>
      <c r="CQ149" s="473">
        <f t="shared" ca="1" si="139"/>
        <v>140.235519213</v>
      </c>
      <c r="CR149" s="476">
        <f t="shared" ca="1" si="170"/>
        <v>0</v>
      </c>
      <c r="CS149" s="494">
        <f ca="1">IF(OR($Q148&lt;&gt;1,OP!$D$5+$CE149-1&lt;16,$CE149-1&lt;1),0,ROUND(ROUND(ROUND(((VLOOKUP($CE149-1,MORE_PV,5,0)/10000)*VLOOKUP($CE149,MORE_PV,$CS$5,0)),3)*VLOOKUP($CE149,more1,5,0),0)/$R148,0))</f>
        <v>0</v>
      </c>
      <c r="CT149" s="473">
        <f>IF($AW149=1,IF(N($CR149+$CS149)&lt;N($AX149)*OP!$C$50,N($CR149+$CS149),MIN(N($CR149+$CS149),N($AX149))),0)</f>
        <v>0</v>
      </c>
      <c r="CV149" s="503">
        <f t="shared" ca="1" si="171"/>
        <v>67958.117845481</v>
      </c>
      <c r="CW149" s="503">
        <f t="shared" ca="1" si="172"/>
        <v>0</v>
      </c>
      <c r="CX149" s="503">
        <f t="shared" ca="1" si="173"/>
        <v>68093.335224399998</v>
      </c>
    </row>
    <row r="150" spans="2:102" ht="16.5" hidden="1">
      <c r="B150" s="80"/>
      <c r="C150" s="80"/>
      <c r="D150" s="80"/>
      <c r="E150" s="80"/>
      <c r="F150" s="80"/>
      <c r="G150" s="80"/>
      <c r="H150" s="80"/>
      <c r="I150" s="80"/>
      <c r="J150" s="192">
        <f t="shared" si="140"/>
        <v>12</v>
      </c>
      <c r="K150" s="192">
        <f t="shared" si="141"/>
        <v>10</v>
      </c>
      <c r="L150" s="192" t="str">
        <f t="shared" si="134"/>
        <v/>
      </c>
      <c r="M150" s="216">
        <f t="shared" ca="1" si="142"/>
        <v>0</v>
      </c>
      <c r="N150" s="216"/>
      <c r="O150" s="216"/>
      <c r="P150" s="216"/>
      <c r="Q150" s="456" t="str">
        <f t="shared" ca="1" si="143"/>
        <v/>
      </c>
      <c r="R150" s="450">
        <f t="shared" ca="1" si="144"/>
        <v>1</v>
      </c>
      <c r="S150" s="191">
        <f t="shared" si="145"/>
        <v>12</v>
      </c>
      <c r="T150" s="191">
        <f t="shared" si="146"/>
        <v>10</v>
      </c>
      <c r="U150" s="191">
        <f ca="1">OP!$D$5+$S150-1</f>
        <v>44</v>
      </c>
      <c r="V150" s="191" t="str">
        <f t="shared" si="147"/>
        <v/>
      </c>
      <c r="W150" s="350">
        <f ca="1">IF(Q150&lt;&gt;1,0,VLOOKUP(OP!$C$55,PVFB,$S150+2,0))</f>
        <v>0</v>
      </c>
      <c r="X150" s="473">
        <f t="shared" ca="1" si="174"/>
        <v>0</v>
      </c>
      <c r="Y150" s="348">
        <f t="shared" ca="1" si="175"/>
        <v>0</v>
      </c>
      <c r="Z150" s="348">
        <f t="shared" ca="1" si="176"/>
        <v>8012</v>
      </c>
      <c r="AA150" s="348">
        <f ca="1">IF(Q150&lt;&gt;1,0,VLOOKUP(OP!$C$55,PVFB,$S150+2,0))</f>
        <v>0</v>
      </c>
      <c r="AB150" s="488" t="str">
        <f ca="1">IF(AND(S150&lt;OP!$C$24,$U150&lt;15),0,IF(AND($U150&lt;15,$T150=12),ROUND(VLOOKUP($S150,DOWN16,5,0),3),IF($T150=12,ROUND(($Z150/10000)*$AA150,3)+IF(AND($P$7="購買增額繳清保險",T150=12,U150=110),VLOOKUP(S150,$B$10:$H$121,7,0),0),"")))</f>
        <v/>
      </c>
      <c r="AC150" s="350" t="str">
        <f ca="1">IF(AND(S150&lt;OP!$C$24,$U150&lt;15),0,IF(AND($U150&lt;16,$T150=12),VLOOKUP($S150,DOWN16,4,0),IF($T150=12,ROUND(VLOOKUP(OP!$C$55,_DIE2,$S150+1,0)*(Z150/10000),0)+IF(AND($P$7="購買增額繳清保險",T150=12,U150=110),VLOOKUP(S150,$B$10:$H$121,7,0),0),"")))</f>
        <v/>
      </c>
      <c r="AD150" s="347"/>
      <c r="AE150" s="350" t="str">
        <f t="shared" ca="1" si="135"/>
        <v/>
      </c>
      <c r="AF150" s="351" t="str">
        <f t="shared" ca="1" si="136"/>
        <v/>
      </c>
      <c r="AG150" s="340"/>
      <c r="AH150" s="340"/>
      <c r="AI150" s="340"/>
      <c r="AJ150" s="340"/>
      <c r="AK150" s="340"/>
      <c r="AL150" s="340"/>
      <c r="AM150" s="340"/>
      <c r="AN150" s="191">
        <f t="shared" si="148"/>
        <v>12</v>
      </c>
      <c r="AO150" s="191">
        <f t="shared" si="149"/>
        <v>10</v>
      </c>
      <c r="AP150" s="191">
        <f ca="1">OP!$D$5+$AN150-1</f>
        <v>44</v>
      </c>
      <c r="AQ150" s="191" t="str">
        <f t="shared" si="150"/>
        <v/>
      </c>
      <c r="AR150" s="352">
        <f t="shared" ca="1" si="151"/>
        <v>0</v>
      </c>
      <c r="AS150" s="352"/>
      <c r="AT150" s="352"/>
      <c r="AU150" s="436"/>
      <c r="AV150" s="353" t="str">
        <f t="shared" ca="1" si="152"/>
        <v/>
      </c>
      <c r="AW150" s="422" t="str">
        <f t="shared" si="153"/>
        <v/>
      </c>
      <c r="AX150" s="423" t="str">
        <f ca="1">IF(AND($AW150=1,$AP150&lt;16,$AN149&lt;OP!$C$24),OP!$C$49,"")</f>
        <v/>
      </c>
      <c r="AY150" s="340"/>
      <c r="AZ150" s="465">
        <f t="shared" ca="1" si="154"/>
        <v>7.3698599999999999E-5</v>
      </c>
      <c r="BA150" s="464">
        <f t="shared" ca="1" si="155"/>
        <v>2.2109589000000002E-3</v>
      </c>
      <c r="BB150" s="465">
        <f t="shared" ca="1" si="155"/>
        <v>2.2846575E-3</v>
      </c>
      <c r="BC150" s="466">
        <f t="shared" ca="1" si="156"/>
        <v>47178</v>
      </c>
      <c r="BD150" s="467">
        <f t="shared" ca="1" si="177"/>
        <v>47179</v>
      </c>
      <c r="BE150" s="467">
        <f t="shared" ca="1" si="157"/>
        <v>47208</v>
      </c>
      <c r="BF150" s="468">
        <f ca="1">IF(計算!$BC150&lt;OP!$C$3,0,BD150-BC150)</f>
        <v>1</v>
      </c>
      <c r="BG150" s="468">
        <f ca="1">IF($BE150&gt;DATE(YEAR($BD$9)+OP!$C$57,MONTH($BD$9),DAY($BD$9)),0,$BE150-$BD150+1)</f>
        <v>30</v>
      </c>
      <c r="BH150" s="469">
        <f t="shared" ca="1" si="158"/>
        <v>31</v>
      </c>
      <c r="BI150" t="str">
        <f t="shared" si="187"/>
        <v/>
      </c>
      <c r="BJ150">
        <v>9</v>
      </c>
      <c r="BN150" s="468">
        <f t="shared" si="178"/>
        <v>12</v>
      </c>
      <c r="BO150" s="468">
        <f t="shared" si="179"/>
        <v>9</v>
      </c>
      <c r="BP150" s="467">
        <f t="shared" ca="1" si="159"/>
        <v>47179</v>
      </c>
      <c r="BQ150" s="475">
        <f t="shared" ca="1" si="185"/>
        <v>44</v>
      </c>
      <c r="BR150" s="475" t="str">
        <f t="shared" si="180"/>
        <v/>
      </c>
      <c r="BS150" s="471" t="str">
        <f t="shared" si="160"/>
        <v/>
      </c>
      <c r="BT150" s="472" t="str">
        <f t="shared" ref="BT150:BT213" si="188">IF(BW150&lt;&gt;"",IF(BN150&gt;=$P$4+1,ROUND(BU150,0)+ROUND(BV150,0)+ROUND(BW150,0)+BT138,0),"")</f>
        <v/>
      </c>
      <c r="BU150" s="472">
        <f t="shared" ca="1" si="161"/>
        <v>0</v>
      </c>
      <c r="BV150" s="472">
        <f t="shared" ca="1" si="161"/>
        <v>0</v>
      </c>
      <c r="BW150" s="472"/>
      <c r="BX150" s="473">
        <f t="shared" ca="1" si="162"/>
        <v>41047.018806840002</v>
      </c>
      <c r="BY150" s="473">
        <f t="shared" si="163"/>
        <v>0</v>
      </c>
      <c r="BZ150" s="473">
        <f t="shared" ca="1" si="137"/>
        <v>93.778379369999996</v>
      </c>
      <c r="CA150" s="476">
        <f t="shared" ca="1" si="164"/>
        <v>0</v>
      </c>
      <c r="CB150" s="494">
        <f ca="1">IF(OR($Q149&lt;&gt;1,OP!$D$5+$BN150-1&lt;16,$BN150-1&lt;1),0,ROUND(ROUND(ROUND(((VLOOKUP($BN150-1,MORE_PV,5,0)/10000)*VLOOKUP($BN150,MORE_PV,$CB$5,0)),3)*VLOOKUP($BN150,more1,5,0),0)/$R149,0))</f>
        <v>0</v>
      </c>
      <c r="CC150" s="473">
        <f t="shared" ca="1" si="165"/>
        <v>0</v>
      </c>
      <c r="CD150" s="477"/>
      <c r="CE150" s="468">
        <f t="shared" si="181"/>
        <v>12</v>
      </c>
      <c r="CF150" s="468">
        <f t="shared" si="182"/>
        <v>9</v>
      </c>
      <c r="CG150" s="467">
        <f t="shared" ca="1" si="138"/>
        <v>47179</v>
      </c>
      <c r="CH150" s="475">
        <f t="shared" ca="1" si="186"/>
        <v>44</v>
      </c>
      <c r="CI150" s="513" t="str">
        <f t="shared" si="183"/>
        <v/>
      </c>
      <c r="CJ150" s="511">
        <f t="shared" si="166"/>
        <v>0</v>
      </c>
      <c r="CK150" s="512">
        <f t="shared" si="167"/>
        <v>0</v>
      </c>
      <c r="CL150" s="511">
        <f t="shared" ca="1" si="184"/>
        <v>0</v>
      </c>
      <c r="CM150" s="511">
        <f ca="1">ROUND(CS150-IF(OR($CE150&gt;=OP!$C$24,AND(CH150=15,CF150=12),CS150=0),0,(CT150-CR150)),$CM$7)</f>
        <v>0</v>
      </c>
      <c r="CN150" s="511"/>
      <c r="CO150" s="351">
        <f t="shared" ca="1" si="168"/>
        <v>68098</v>
      </c>
      <c r="CP150" s="473">
        <f t="shared" si="169"/>
        <v>0</v>
      </c>
      <c r="CQ150" s="473">
        <f t="shared" ca="1" si="139"/>
        <v>155.58060643499999</v>
      </c>
      <c r="CR150" s="476">
        <f t="shared" ca="1" si="170"/>
        <v>0</v>
      </c>
      <c r="CS150" s="494">
        <f ca="1">IF(OR($Q149&lt;&gt;1,OP!$D$5+$CE150-1&lt;16,$CE150-1&lt;1),0,ROUND(ROUND(ROUND(((VLOOKUP($CE150-1,MORE_PV,5,0)/10000)*VLOOKUP($CE150,MORE_PV,$CS$5,0)),3)*VLOOKUP($CE150,more1,5,0),0)/$R149,0))</f>
        <v>0</v>
      </c>
      <c r="CT150" s="473">
        <f>IF($AW150=1,IF(N($CR150+$CS150)&lt;N($AX150)*OP!$C$50,N($CR150+$CS150),MIN(N($CR150+$CS150),N($AX150))),0)</f>
        <v>0</v>
      </c>
      <c r="CV150" s="503">
        <f t="shared" ca="1" si="171"/>
        <v>68098.353607875004</v>
      </c>
      <c r="CW150" s="503">
        <f t="shared" ca="1" si="172"/>
        <v>0</v>
      </c>
      <c r="CX150" s="503">
        <f t="shared" ca="1" si="173"/>
        <v>68248.905173420004</v>
      </c>
    </row>
    <row r="151" spans="2:102" ht="16.5" hidden="1">
      <c r="B151" s="80"/>
      <c r="C151" s="80"/>
      <c r="D151" s="80"/>
      <c r="E151" s="80"/>
      <c r="F151" s="80"/>
      <c r="G151" s="80"/>
      <c r="H151" s="80"/>
      <c r="I151" s="80"/>
      <c r="J151" s="192">
        <f t="shared" si="140"/>
        <v>12</v>
      </c>
      <c r="K151" s="192">
        <f t="shared" si="141"/>
        <v>11</v>
      </c>
      <c r="L151" s="192" t="str">
        <f t="shared" si="134"/>
        <v/>
      </c>
      <c r="M151" s="216">
        <f t="shared" ca="1" si="142"/>
        <v>0</v>
      </c>
      <c r="N151" s="216"/>
      <c r="O151" s="216"/>
      <c r="P151" s="216"/>
      <c r="Q151" s="456" t="str">
        <f t="shared" ca="1" si="143"/>
        <v/>
      </c>
      <c r="R151" s="450">
        <f t="shared" ca="1" si="144"/>
        <v>1</v>
      </c>
      <c r="S151" s="191">
        <f t="shared" si="145"/>
        <v>12</v>
      </c>
      <c r="T151" s="191">
        <f t="shared" si="146"/>
        <v>11</v>
      </c>
      <c r="U151" s="191">
        <f ca="1">OP!$D$5+$S151-1</f>
        <v>44</v>
      </c>
      <c r="V151" s="191" t="str">
        <f t="shared" si="147"/>
        <v/>
      </c>
      <c r="W151" s="350">
        <f ca="1">IF(Q151&lt;&gt;1,0,VLOOKUP(OP!$C$55,PVFB,$S151+2,0))</f>
        <v>0</v>
      </c>
      <c r="X151" s="473">
        <f t="shared" ca="1" si="174"/>
        <v>0</v>
      </c>
      <c r="Y151" s="348">
        <f t="shared" ca="1" si="175"/>
        <v>0</v>
      </c>
      <c r="Z151" s="348">
        <f t="shared" ca="1" si="176"/>
        <v>8012</v>
      </c>
      <c r="AA151" s="348">
        <f ca="1">IF(Q151&lt;&gt;1,0,VLOOKUP(OP!$C$55,PVFB,$S151+2,0))</f>
        <v>0</v>
      </c>
      <c r="AB151" s="488" t="str">
        <f ca="1">IF(AND(S151&lt;OP!$C$24,$U151&lt;15),0,IF(AND($U151&lt;15,$T151=12),ROUND(VLOOKUP($S151,DOWN16,5,0),3),IF($T151=12,ROUND(($Z151/10000)*$AA151,3)+IF(AND($P$7="購買增額繳清保險",T151=12,U151=110),VLOOKUP(S151,$B$10:$H$121,7,0),0),"")))</f>
        <v/>
      </c>
      <c r="AC151" s="350" t="str">
        <f ca="1">IF(AND(S151&lt;OP!$C$24,$U151&lt;15),0,IF(AND($U151&lt;16,$T151=12),VLOOKUP($S151,DOWN16,4,0),IF($T151=12,ROUND(VLOOKUP(OP!$C$55,_DIE2,$S151+1,0)*(Z151/10000),0)+IF(AND($P$7="購買增額繳清保險",T151=12,U151=110),VLOOKUP(S151,$B$10:$H$121,7,0),0),"")))</f>
        <v/>
      </c>
      <c r="AD151" s="347"/>
      <c r="AE151" s="350" t="str">
        <f t="shared" ca="1" si="135"/>
        <v/>
      </c>
      <c r="AF151" s="351" t="str">
        <f t="shared" ca="1" si="136"/>
        <v/>
      </c>
      <c r="AG151" s="340"/>
      <c r="AH151" s="340"/>
      <c r="AI151" s="340"/>
      <c r="AJ151" s="340"/>
      <c r="AK151" s="340"/>
      <c r="AL151" s="340"/>
      <c r="AM151" s="340"/>
      <c r="AN151" s="191">
        <f t="shared" si="148"/>
        <v>12</v>
      </c>
      <c r="AO151" s="191">
        <f t="shared" si="149"/>
        <v>11</v>
      </c>
      <c r="AP151" s="191">
        <f ca="1">OP!$D$5+$AN151-1</f>
        <v>44</v>
      </c>
      <c r="AQ151" s="191" t="str">
        <f t="shared" si="150"/>
        <v/>
      </c>
      <c r="AR151" s="352">
        <f t="shared" ca="1" si="151"/>
        <v>0</v>
      </c>
      <c r="AS151" s="352"/>
      <c r="AT151" s="352"/>
      <c r="AU151" s="436"/>
      <c r="AV151" s="353" t="str">
        <f t="shared" ca="1" si="152"/>
        <v/>
      </c>
      <c r="AW151" s="422" t="str">
        <f t="shared" si="153"/>
        <v/>
      </c>
      <c r="AX151" s="423" t="str">
        <f ca="1">IF(AND($AW151=1,$AP151&lt;16,$AN150&lt;OP!$C$24),OP!$C$49,"")</f>
        <v/>
      </c>
      <c r="AY151" s="340"/>
      <c r="AZ151" s="465">
        <f t="shared" ca="1" si="154"/>
        <v>7.3698599999999999E-5</v>
      </c>
      <c r="BA151" s="464">
        <f t="shared" ca="1" si="155"/>
        <v>2.1372602999999999E-3</v>
      </c>
      <c r="BB151" s="465">
        <f t="shared" ca="1" si="155"/>
        <v>2.2109589000000002E-3</v>
      </c>
      <c r="BC151" s="466">
        <f t="shared" ca="1" si="156"/>
        <v>47209</v>
      </c>
      <c r="BD151" s="467">
        <f t="shared" ca="1" si="177"/>
        <v>47210</v>
      </c>
      <c r="BE151" s="467">
        <f t="shared" ca="1" si="157"/>
        <v>47238</v>
      </c>
      <c r="BF151" s="468">
        <f ca="1">IF(計算!$BC151&lt;OP!$C$3,0,BD151-BC151)</f>
        <v>1</v>
      </c>
      <c r="BG151" s="468">
        <f ca="1">IF($BE151&gt;DATE(YEAR($BD$9)+OP!$C$57,MONTH($BD$9),DAY($BD$9)),0,$BE151-$BD151+1)</f>
        <v>29</v>
      </c>
      <c r="BH151" s="469">
        <f t="shared" ca="1" si="158"/>
        <v>30</v>
      </c>
      <c r="BI151" t="str">
        <f t="shared" si="187"/>
        <v/>
      </c>
      <c r="BJ151">
        <v>10</v>
      </c>
      <c r="BN151" s="468">
        <f t="shared" si="178"/>
        <v>12</v>
      </c>
      <c r="BO151" s="468">
        <f t="shared" si="179"/>
        <v>10</v>
      </c>
      <c r="BP151" s="467">
        <f t="shared" ca="1" si="159"/>
        <v>47210</v>
      </c>
      <c r="BQ151" s="475">
        <f t="shared" ca="1" si="185"/>
        <v>44</v>
      </c>
      <c r="BR151" s="475" t="str">
        <f t="shared" si="180"/>
        <v/>
      </c>
      <c r="BS151" s="471" t="str">
        <f t="shared" si="160"/>
        <v/>
      </c>
      <c r="BT151" s="472" t="str">
        <f t="shared" si="188"/>
        <v/>
      </c>
      <c r="BU151" s="472">
        <f t="shared" ca="1" si="161"/>
        <v>0</v>
      </c>
      <c r="BV151" s="472">
        <f t="shared" ca="1" si="161"/>
        <v>0</v>
      </c>
      <c r="BW151" s="472"/>
      <c r="BX151" s="473">
        <f t="shared" ca="1" si="162"/>
        <v>41140.797186210002</v>
      </c>
      <c r="BY151" s="473">
        <f t="shared" si="163"/>
        <v>0</v>
      </c>
      <c r="BZ151" s="473">
        <f t="shared" ca="1" si="137"/>
        <v>90.960611692000001</v>
      </c>
      <c r="CA151" s="476">
        <f t="shared" ca="1" si="164"/>
        <v>0</v>
      </c>
      <c r="CB151" s="494">
        <f ca="1">IF(OR($Q150&lt;&gt;1,OP!$D$5+$BN151-1&lt;16,$BN151-1&lt;1),0,ROUND(ROUND(ROUND(((VLOOKUP($BN151-1,MORE_PV,5,0)/10000)*VLOOKUP($BN151,MORE_PV,$CB$5,0)),3)*VLOOKUP($BN151,more1,5,0),0)/$R150,0))</f>
        <v>0</v>
      </c>
      <c r="CC151" s="473">
        <f t="shared" ca="1" si="165"/>
        <v>0</v>
      </c>
      <c r="CD151" s="477"/>
      <c r="CE151" s="468">
        <f t="shared" si="181"/>
        <v>12</v>
      </c>
      <c r="CF151" s="468">
        <f t="shared" si="182"/>
        <v>10</v>
      </c>
      <c r="CG151" s="467">
        <f t="shared" ca="1" si="138"/>
        <v>47210</v>
      </c>
      <c r="CH151" s="475">
        <f t="shared" ca="1" si="186"/>
        <v>44</v>
      </c>
      <c r="CI151" s="513" t="str">
        <f t="shared" si="183"/>
        <v/>
      </c>
      <c r="CJ151" s="511">
        <f t="shared" si="166"/>
        <v>0</v>
      </c>
      <c r="CK151" s="512">
        <f t="shared" si="167"/>
        <v>0</v>
      </c>
      <c r="CL151" s="511">
        <f t="shared" ca="1" si="184"/>
        <v>0</v>
      </c>
      <c r="CM151" s="511">
        <f ca="1">ROUND(CS151-IF(OR($CE151&gt;=OP!$C$24,AND(CH151=15,CF151=12),CS151=0),0,(CT151-CR151)),$CM$7)</f>
        <v>0</v>
      </c>
      <c r="CN151" s="511"/>
      <c r="CO151" s="351">
        <f t="shared" ca="1" si="168"/>
        <v>68254</v>
      </c>
      <c r="CP151" s="473">
        <f t="shared" si="169"/>
        <v>0</v>
      </c>
      <c r="CQ151" s="473">
        <f t="shared" ca="1" si="139"/>
        <v>150.906788761</v>
      </c>
      <c r="CR151" s="476">
        <f t="shared" ca="1" si="170"/>
        <v>0</v>
      </c>
      <c r="CS151" s="494">
        <f ca="1">IF(OR($Q150&lt;&gt;1,OP!$D$5+$CE151-1&lt;16,$CE151-1&lt;1),0,ROUND(ROUND(ROUND(((VLOOKUP($CE151-1,MORE_PV,5,0)/10000)*VLOOKUP($CE151,MORE_PV,$CS$5,0)),3)*VLOOKUP($CE151,more1,5,0),0)/$R150,0))</f>
        <v>0</v>
      </c>
      <c r="CT151" s="473">
        <f>IF($AW151=1,IF(N($CR151+$CS151)&lt;N($AX151)*OP!$C$50,N($CR151+$CS151),MIN(N($CR151+$CS151),N($AX151))),0)</f>
        <v>0</v>
      </c>
      <c r="CV151" s="503">
        <f t="shared" ca="1" si="171"/>
        <v>68253.935022182995</v>
      </c>
      <c r="CW151" s="503">
        <f t="shared" ca="1" si="172"/>
        <v>0</v>
      </c>
      <c r="CX151" s="503">
        <f t="shared" ca="1" si="173"/>
        <v>68399.800697728002</v>
      </c>
    </row>
    <row r="152" spans="2:102" ht="16.5" hidden="1">
      <c r="B152" s="80"/>
      <c r="C152" s="80"/>
      <c r="D152" s="80"/>
      <c r="E152" s="80"/>
      <c r="F152" s="80"/>
      <c r="G152" s="80"/>
      <c r="H152" s="80"/>
      <c r="I152" s="80"/>
      <c r="J152" s="192">
        <f t="shared" si="140"/>
        <v>12</v>
      </c>
      <c r="K152" s="192">
        <f t="shared" si="141"/>
        <v>12</v>
      </c>
      <c r="L152" s="192">
        <f t="shared" si="134"/>
        <v>12</v>
      </c>
      <c r="M152" s="216">
        <f t="shared" ca="1" si="142"/>
        <v>49421</v>
      </c>
      <c r="N152" s="216"/>
      <c r="O152" s="216"/>
      <c r="P152" s="216"/>
      <c r="Q152" s="456">
        <f t="shared" ca="1" si="143"/>
        <v>1</v>
      </c>
      <c r="R152" s="450">
        <f t="shared" ca="1" si="144"/>
        <v>1</v>
      </c>
      <c r="S152" s="191">
        <f t="shared" si="145"/>
        <v>12</v>
      </c>
      <c r="T152" s="191">
        <f t="shared" si="146"/>
        <v>12</v>
      </c>
      <c r="U152" s="191">
        <f ca="1">OP!$D$5+$S152-1</f>
        <v>44</v>
      </c>
      <c r="V152" s="191">
        <f t="shared" si="147"/>
        <v>12</v>
      </c>
      <c r="W152" s="350">
        <f ca="1">IF(Q152&lt;&gt;1,0,VLOOKUP(OP!$C$55,PVFB,$S152+2,0))</f>
        <v>33695</v>
      </c>
      <c r="X152" s="473">
        <f t="shared" ca="1" si="174"/>
        <v>8091</v>
      </c>
      <c r="Y152" s="348">
        <f t="shared" ca="1" si="175"/>
        <v>0</v>
      </c>
      <c r="Z152" s="348">
        <f t="shared" ca="1" si="176"/>
        <v>8012</v>
      </c>
      <c r="AA152" s="348">
        <f ca="1">IF(Q152&lt;&gt;1,0,VLOOKUP(OP!$C$55,PVFB,$S152+2,0))</f>
        <v>33695</v>
      </c>
      <c r="AB152" s="488">
        <f ca="1">IF(AND(S152&lt;OP!$C$24,$U152&lt;15),0,IF(AND($U152&lt;15,$T152=12),ROUND(VLOOKUP($S152,DOWN16,5,0),3),IF($T152=12,ROUND(($Z152/10000)*$AA152,3)+IF(AND($P$7="購買增額繳清保險",T152=12,U152=110),VLOOKUP(S152,$B$10:$H$121,7,0),0),"")))</f>
        <v>26996.434000000001</v>
      </c>
      <c r="AC152" s="350">
        <f ca="1">IF(AND(S152&lt;OP!$C$24,$U152&lt;15),0,IF(AND($U152&lt;16,$T152=12),VLOOKUP($S152,DOWN16,4,0),IF($T152=12,ROUND(VLOOKUP(OP!$C$55,_DIE2,$S152+1,0)*(Z152/10000),0)+IF(AND($P$7="購買增額繳清保險",T152=12,U152=110),VLOOKUP(S152,$B$10:$H$121,7,0),0),"")))</f>
        <v>26996</v>
      </c>
      <c r="AD152" s="347"/>
      <c r="AE152" s="350" t="str">
        <f t="shared" ca="1" si="135"/>
        <v/>
      </c>
      <c r="AF152" s="351" t="str">
        <f t="shared" ca="1" si="136"/>
        <v/>
      </c>
      <c r="AG152" s="340"/>
      <c r="AH152" s="340"/>
      <c r="AI152" s="340"/>
      <c r="AJ152" s="340"/>
      <c r="AK152" s="340"/>
      <c r="AL152" s="340"/>
      <c r="AM152" s="340"/>
      <c r="AN152" s="191">
        <f t="shared" si="148"/>
        <v>12</v>
      </c>
      <c r="AO152" s="191">
        <f t="shared" si="149"/>
        <v>12</v>
      </c>
      <c r="AP152" s="191">
        <f ca="1">OP!$D$5+$AN152-1</f>
        <v>44</v>
      </c>
      <c r="AQ152" s="191">
        <f t="shared" si="150"/>
        <v>12</v>
      </c>
      <c r="AR152" s="352">
        <f t="shared" ca="1" si="151"/>
        <v>76466</v>
      </c>
      <c r="AS152" s="352"/>
      <c r="AT152" s="352"/>
      <c r="AU152" s="436"/>
      <c r="AV152" s="353">
        <f t="shared" ca="1" si="152"/>
        <v>1</v>
      </c>
      <c r="AW152" s="422" t="str">
        <f t="shared" si="153"/>
        <v/>
      </c>
      <c r="AX152" s="423" t="str">
        <f ca="1">IF(AND($AW152=1,$AP152&lt;16,$AN151&lt;OP!$C$24),OP!$C$49,"")</f>
        <v/>
      </c>
      <c r="AY152" s="340"/>
      <c r="AZ152" s="465">
        <f t="shared" ca="1" si="154"/>
        <v>7.3698599999999999E-5</v>
      </c>
      <c r="BA152" s="464">
        <f t="shared" ca="1" si="155"/>
        <v>2.2109589000000002E-3</v>
      </c>
      <c r="BB152" s="465">
        <f t="shared" ca="1" si="155"/>
        <v>2.2846575E-3</v>
      </c>
      <c r="BC152" s="466">
        <f t="shared" ca="1" si="156"/>
        <v>47239</v>
      </c>
      <c r="BD152" s="467">
        <f t="shared" ca="1" si="177"/>
        <v>47240</v>
      </c>
      <c r="BE152" s="467">
        <f t="shared" ca="1" si="157"/>
        <v>47269</v>
      </c>
      <c r="BF152" s="468">
        <f ca="1">IF(計算!$BC152&lt;OP!$C$3,0,BD152-BC152)</f>
        <v>1</v>
      </c>
      <c r="BG152" s="468">
        <f ca="1">IF($BE152&gt;DATE(YEAR($BD$9)+OP!$C$57,MONTH($BD$9),DAY($BD$9)),0,$BE152-$BD152+1)</f>
        <v>30</v>
      </c>
      <c r="BH152" s="469">
        <f t="shared" ca="1" si="158"/>
        <v>31</v>
      </c>
      <c r="BI152" t="str">
        <f t="shared" si="187"/>
        <v/>
      </c>
      <c r="BJ152">
        <v>11</v>
      </c>
      <c r="BN152" s="468">
        <f t="shared" si="178"/>
        <v>12</v>
      </c>
      <c r="BO152" s="468">
        <f t="shared" si="179"/>
        <v>11</v>
      </c>
      <c r="BP152" s="467">
        <f t="shared" ca="1" si="159"/>
        <v>47240</v>
      </c>
      <c r="BQ152" s="475">
        <f t="shared" ca="1" si="185"/>
        <v>44</v>
      </c>
      <c r="BR152" s="475" t="str">
        <f t="shared" si="180"/>
        <v/>
      </c>
      <c r="BS152" s="471" t="str">
        <f t="shared" si="160"/>
        <v/>
      </c>
      <c r="BT152" s="472" t="str">
        <f t="shared" si="188"/>
        <v/>
      </c>
      <c r="BU152" s="472">
        <f t="shared" ca="1" si="161"/>
        <v>0</v>
      </c>
      <c r="BV152" s="472">
        <f t="shared" ca="1" si="161"/>
        <v>0</v>
      </c>
      <c r="BW152" s="472"/>
      <c r="BX152" s="473">
        <f t="shared" ca="1" si="162"/>
        <v>41231.757797901999</v>
      </c>
      <c r="BY152" s="473">
        <f t="shared" si="163"/>
        <v>0</v>
      </c>
      <c r="BZ152" s="473">
        <f t="shared" ca="1" si="137"/>
        <v>94.200444691000001</v>
      </c>
      <c r="CA152" s="476">
        <f t="shared" ca="1" si="164"/>
        <v>0</v>
      </c>
      <c r="CB152" s="494">
        <f ca="1">IF(OR($Q151&lt;&gt;1,OP!$D$5+$BN152-1&lt;16,$BN152-1&lt;1),0,ROUND(ROUND(ROUND(((VLOOKUP($BN152-1,MORE_PV,5,0)/10000)*VLOOKUP($BN152,MORE_PV,$CB$5,0)),3)*VLOOKUP($BN152,more1,5,0),0)/$R151,0))</f>
        <v>0</v>
      </c>
      <c r="CC152" s="473">
        <f t="shared" ca="1" si="165"/>
        <v>0</v>
      </c>
      <c r="CD152" s="477"/>
      <c r="CE152" s="468">
        <f t="shared" si="181"/>
        <v>12</v>
      </c>
      <c r="CF152" s="468">
        <f t="shared" si="182"/>
        <v>11</v>
      </c>
      <c r="CG152" s="467">
        <f t="shared" ca="1" si="138"/>
        <v>47240</v>
      </c>
      <c r="CH152" s="475">
        <f t="shared" ca="1" si="186"/>
        <v>44</v>
      </c>
      <c r="CI152" s="513" t="str">
        <f t="shared" si="183"/>
        <v/>
      </c>
      <c r="CJ152" s="511">
        <f t="shared" si="166"/>
        <v>0</v>
      </c>
      <c r="CK152" s="512">
        <f t="shared" si="167"/>
        <v>0</v>
      </c>
      <c r="CL152" s="511">
        <f t="shared" ca="1" si="184"/>
        <v>0</v>
      </c>
      <c r="CM152" s="511">
        <f ca="1">ROUND(CS152-IF(OR($CE152&gt;=OP!$C$24,AND(CH152=15,CF152=12),CS152=0),0,(CT152-CR152)),$CM$7)</f>
        <v>0</v>
      </c>
      <c r="CN152" s="511"/>
      <c r="CO152" s="351">
        <f t="shared" ca="1" si="168"/>
        <v>68405</v>
      </c>
      <c r="CP152" s="473">
        <f t="shared" si="169"/>
        <v>0</v>
      </c>
      <c r="CQ152" s="473">
        <f t="shared" ca="1" si="139"/>
        <v>156.28199628799999</v>
      </c>
      <c r="CR152" s="476">
        <f t="shared" ca="1" si="170"/>
        <v>0</v>
      </c>
      <c r="CS152" s="494">
        <f ca="1">IF(OR($Q151&lt;&gt;1,OP!$D$5+$CE152-1&lt;16,$CE152-1&lt;1),0,ROUND(ROUND(ROUND(((VLOOKUP($CE152-1,MORE_PV,5,0)/10000)*VLOOKUP($CE152,MORE_PV,$CS$5,0)),3)*VLOOKUP($CE152,more1,5,0),0)/$R151,0))</f>
        <v>0</v>
      </c>
      <c r="CT152" s="473">
        <f>IF($AW152=1,IF(N($CR152+$CS152)&lt;N($AX152)*OP!$C$50,N($CR152+$CS152),MIN(N($CR152+$CS152),N($AX152))),0)</f>
        <v>0</v>
      </c>
      <c r="CV152" s="503">
        <f t="shared" ca="1" si="171"/>
        <v>68404.841667279994</v>
      </c>
      <c r="CW152" s="503">
        <f t="shared" ca="1" si="172"/>
        <v>0</v>
      </c>
      <c r="CX152" s="503">
        <f t="shared" ca="1" si="173"/>
        <v>68556.070815390995</v>
      </c>
    </row>
    <row r="153" spans="2:102" ht="16.5" hidden="1">
      <c r="B153" s="80"/>
      <c r="C153" s="80"/>
      <c r="D153" s="80"/>
      <c r="E153" s="80"/>
      <c r="F153" s="80"/>
      <c r="G153" s="80"/>
      <c r="H153" s="80"/>
      <c r="I153" s="80"/>
      <c r="J153" s="192">
        <f t="shared" si="140"/>
        <v>13</v>
      </c>
      <c r="K153" s="192">
        <f t="shared" si="141"/>
        <v>1</v>
      </c>
      <c r="L153" s="192" t="str">
        <f t="shared" si="134"/>
        <v/>
      </c>
      <c r="M153" s="216">
        <f t="shared" ca="1" si="142"/>
        <v>0</v>
      </c>
      <c r="N153" s="216"/>
      <c r="O153" s="216"/>
      <c r="P153" s="216"/>
      <c r="Q153" s="456" t="str">
        <f t="shared" ca="1" si="143"/>
        <v/>
      </c>
      <c r="R153" s="450">
        <f t="shared" ca="1" si="144"/>
        <v>1</v>
      </c>
      <c r="S153" s="191">
        <f t="shared" si="145"/>
        <v>13</v>
      </c>
      <c r="T153" s="191">
        <f t="shared" si="146"/>
        <v>1</v>
      </c>
      <c r="U153" s="191">
        <f ca="1">OP!$D$5+$S153-1</f>
        <v>45</v>
      </c>
      <c r="V153" s="191" t="str">
        <f t="shared" si="147"/>
        <v/>
      </c>
      <c r="W153" s="350">
        <f ca="1">IF(Q153&lt;&gt;1,0,VLOOKUP(OP!$C$55,PVFB,$S153+2,0))</f>
        <v>0</v>
      </c>
      <c r="X153" s="473">
        <f t="shared" ca="1" si="174"/>
        <v>0</v>
      </c>
      <c r="Y153" s="348">
        <f t="shared" ca="1" si="175"/>
        <v>0</v>
      </c>
      <c r="Z153" s="348">
        <f t="shared" ca="1" si="176"/>
        <v>8012</v>
      </c>
      <c r="AA153" s="348">
        <f ca="1">IF(Q153&lt;&gt;1,0,VLOOKUP(OP!$C$55,PVFB,$S153+2,0))</f>
        <v>0</v>
      </c>
      <c r="AB153" s="488" t="str">
        <f ca="1">IF(AND(S153&lt;OP!$C$24,$U153&lt;15),0,IF(AND($U153&lt;15,$T153=12),ROUND(VLOOKUP($S153,DOWN16,5,0),3),IF($T153=12,ROUND(($Z153/10000)*$AA153,3)+IF(AND($P$7="購買增額繳清保險",T153=12,U153=110),VLOOKUP(S153,$B$10:$H$121,7,0),0),"")))</f>
        <v/>
      </c>
      <c r="AC153" s="350" t="str">
        <f ca="1">IF(AND(S153&lt;OP!$C$24,$U153&lt;15),0,IF(AND($U153&lt;16,$T153=12),VLOOKUP($S153,DOWN16,4,0),IF($T153=12,ROUND(VLOOKUP(OP!$C$55,_DIE2,$S153+1,0)*(Z153/10000),0)+IF(AND($P$7="購買增額繳清保險",T153=12,U153=110),VLOOKUP(S153,$B$10:$H$121,7,0),0),"")))</f>
        <v/>
      </c>
      <c r="AD153" s="347"/>
      <c r="AE153" s="350" t="str">
        <f t="shared" ca="1" si="135"/>
        <v/>
      </c>
      <c r="AF153" s="351" t="str">
        <f t="shared" ca="1" si="136"/>
        <v/>
      </c>
      <c r="AG153" s="340"/>
      <c r="AH153" s="340"/>
      <c r="AI153" s="340"/>
      <c r="AJ153" s="340"/>
      <c r="AK153" s="340"/>
      <c r="AL153" s="340"/>
      <c r="AM153" s="340"/>
      <c r="AN153" s="191">
        <f t="shared" si="148"/>
        <v>13</v>
      </c>
      <c r="AO153" s="191">
        <f t="shared" si="149"/>
        <v>1</v>
      </c>
      <c r="AP153" s="191">
        <f ca="1">OP!$D$5+$AN153-1</f>
        <v>45</v>
      </c>
      <c r="AQ153" s="191" t="str">
        <f t="shared" si="150"/>
        <v/>
      </c>
      <c r="AR153" s="352">
        <f t="shared" ca="1" si="151"/>
        <v>0</v>
      </c>
      <c r="AS153" s="352"/>
      <c r="AT153" s="352"/>
      <c r="AU153" s="436"/>
      <c r="AV153" s="353" t="str">
        <f t="shared" ca="1" si="152"/>
        <v/>
      </c>
      <c r="AW153" s="422">
        <f t="shared" si="153"/>
        <v>1</v>
      </c>
      <c r="AX153" s="423" t="str">
        <f ca="1">IF(AND($AW153=1,$AP153&lt;16,$AN152&lt;OP!$C$24),OP!$C$49,"")</f>
        <v/>
      </c>
      <c r="AY153" s="340"/>
      <c r="AZ153" s="465">
        <f t="shared" ca="1" si="154"/>
        <v>7.3698599999999999E-5</v>
      </c>
      <c r="BA153" s="464">
        <f t="shared" ca="1" si="155"/>
        <v>2.1372602999999999E-3</v>
      </c>
      <c r="BB153" s="465">
        <f t="shared" ca="1" si="155"/>
        <v>2.2109589000000002E-3</v>
      </c>
      <c r="BC153" s="466">
        <f t="shared" ca="1" si="156"/>
        <v>47270</v>
      </c>
      <c r="BD153" s="467">
        <f t="shared" ca="1" si="177"/>
        <v>47271</v>
      </c>
      <c r="BE153" s="467">
        <f t="shared" ca="1" si="157"/>
        <v>47299</v>
      </c>
      <c r="BF153" s="468">
        <f ca="1">IF(計算!$BC153&lt;OP!$C$3,0,BD153-BC153)</f>
        <v>1</v>
      </c>
      <c r="BG153" s="468">
        <f ca="1">IF($BE153&gt;DATE(YEAR($BD$9)+OP!$C$57,MONTH($BD$9),DAY($BD$9)),0,$BE153-$BD153+1)</f>
        <v>29</v>
      </c>
      <c r="BH153" s="469">
        <f t="shared" ca="1" si="158"/>
        <v>30</v>
      </c>
      <c r="BI153">
        <f t="shared" ca="1" si="187"/>
        <v>365</v>
      </c>
      <c r="BJ153">
        <v>12</v>
      </c>
      <c r="BN153" s="468">
        <f t="shared" si="178"/>
        <v>12</v>
      </c>
      <c r="BO153" s="468">
        <f t="shared" si="179"/>
        <v>12</v>
      </c>
      <c r="BP153" s="467">
        <f t="shared" ca="1" si="159"/>
        <v>47271</v>
      </c>
      <c r="BQ153" s="475">
        <f t="shared" ca="1" si="185"/>
        <v>44</v>
      </c>
      <c r="BR153" s="475">
        <f t="shared" si="180"/>
        <v>12</v>
      </c>
      <c r="BS153" s="471">
        <f t="shared" ca="1" si="160"/>
        <v>8091</v>
      </c>
      <c r="BT153" s="472">
        <f t="shared" ca="1" si="188"/>
        <v>49421</v>
      </c>
      <c r="BU153" s="472">
        <f t="shared" ca="1" si="161"/>
        <v>7905</v>
      </c>
      <c r="BV153" s="472">
        <f t="shared" ca="1" si="161"/>
        <v>186</v>
      </c>
      <c r="BW153" s="472">
        <f ca="1">ROUND(SUM(BY153,BZ141:BZ152),0)</f>
        <v>1096</v>
      </c>
      <c r="BX153" s="473">
        <f t="shared" ca="1" si="162"/>
        <v>49420.003907858998</v>
      </c>
      <c r="BY153" s="473">
        <f t="shared" ca="1" si="163"/>
        <v>3.0456652659999999</v>
      </c>
      <c r="BZ153" s="473">
        <f t="shared" ca="1" si="137"/>
        <v>105.623412378</v>
      </c>
      <c r="CA153" s="476">
        <f t="shared" ca="1" si="164"/>
        <v>7905</v>
      </c>
      <c r="CB153" s="494">
        <f ca="1">IF(OR($Q152&lt;&gt;1,OP!$D$5+$BN153-1&lt;16,$BN153-1&lt;1),0,ROUND(ROUND(ROUND(((VLOOKUP($BN153-1,MORE_PV,5,0)/10000)*VLOOKUP($BN153,MORE_PV,$CB$5,0)),3)*VLOOKUP($BN153,more1,5,0),0)/$R152,0))</f>
        <v>186</v>
      </c>
      <c r="CC153" s="473">
        <f t="shared" ca="1" si="165"/>
        <v>0</v>
      </c>
      <c r="CD153" s="477"/>
      <c r="CE153" s="468">
        <f t="shared" si="181"/>
        <v>12</v>
      </c>
      <c r="CF153" s="468">
        <f t="shared" si="182"/>
        <v>12</v>
      </c>
      <c r="CG153" s="467">
        <f t="shared" ca="1" si="138"/>
        <v>47271</v>
      </c>
      <c r="CH153" s="475">
        <f t="shared" ca="1" si="186"/>
        <v>44</v>
      </c>
      <c r="CI153" s="513">
        <f t="shared" si="183"/>
        <v>12</v>
      </c>
      <c r="CJ153" s="511">
        <f t="shared" ca="1" si="166"/>
        <v>8277</v>
      </c>
      <c r="CK153" s="512">
        <f t="shared" ca="1" si="167"/>
        <v>76466.123301832005</v>
      </c>
      <c r="CL153" s="511">
        <f t="shared" ca="1" si="184"/>
        <v>8091</v>
      </c>
      <c r="CM153" s="511">
        <f ca="1">ROUND(CS153-IF(OR($CE153&gt;=OP!$C$24,AND(CH153=15,CF153=12),CS153=0),0,(CT153-CR153)),$CM$7)</f>
        <v>186</v>
      </c>
      <c r="CN153" s="511">
        <f ca="1">ROUND(SUM(CP153,CQ141:CQ152),$CN$7)</f>
        <v>1817.83183934</v>
      </c>
      <c r="CO153" s="351">
        <f t="shared" ca="1" si="168"/>
        <v>76466</v>
      </c>
      <c r="CP153" s="473">
        <f t="shared" ca="1" si="169"/>
        <v>5.0528704969999998</v>
      </c>
      <c r="CQ153" s="473">
        <f t="shared" ca="1" si="139"/>
        <v>163.42774610000001</v>
      </c>
      <c r="CR153" s="476">
        <f t="shared" ca="1" si="170"/>
        <v>7905</v>
      </c>
      <c r="CS153" s="494">
        <f ca="1">IF(OR($Q152&lt;&gt;1,OP!$D$5+$CE153-1&lt;16,$CE153-1&lt;1),0,ROUND(ROUND(ROUND(((VLOOKUP($CE153-1,MORE_PV,5,0)/10000)*VLOOKUP($CE153,MORE_PV,$CS$5,0)),3)*VLOOKUP($CE153,more1,5,0),0)/$R152,0))</f>
        <v>186</v>
      </c>
      <c r="CT153" s="473">
        <f ca="1">IF($AW153=1,IF(N($CR153+$CS153)&lt;N($AX153)*OP!$C$50,N($CR153+$CS153),MIN(N($CR153+$CS153),N($AX153))),0)</f>
        <v>0</v>
      </c>
      <c r="CV153" s="503">
        <f t="shared" ca="1" si="171"/>
        <v>76466.123301832005</v>
      </c>
      <c r="CW153" s="503">
        <f t="shared" ca="1" si="172"/>
        <v>7921.8950426720003</v>
      </c>
      <c r="CX153" s="503">
        <f t="shared" ca="1" si="173"/>
        <v>76629.540512980995</v>
      </c>
    </row>
    <row r="154" spans="2:102" ht="16.5" hidden="1">
      <c r="B154" s="80"/>
      <c r="C154" s="80"/>
      <c r="D154" s="80"/>
      <c r="E154" s="80"/>
      <c r="F154" s="80"/>
      <c r="G154" s="80"/>
      <c r="H154" s="80"/>
      <c r="I154" s="80"/>
      <c r="J154" s="192">
        <f t="shared" si="140"/>
        <v>13</v>
      </c>
      <c r="K154" s="192">
        <f t="shared" si="141"/>
        <v>2</v>
      </c>
      <c r="L154" s="192" t="str">
        <f t="shared" si="134"/>
        <v/>
      </c>
      <c r="M154" s="216">
        <f t="shared" ca="1" si="142"/>
        <v>0</v>
      </c>
      <c r="N154" s="216"/>
      <c r="O154" s="216"/>
      <c r="P154" s="216"/>
      <c r="Q154" s="456" t="str">
        <f t="shared" ca="1" si="143"/>
        <v/>
      </c>
      <c r="R154" s="450">
        <f t="shared" ca="1" si="144"/>
        <v>1</v>
      </c>
      <c r="S154" s="191">
        <f t="shared" si="145"/>
        <v>13</v>
      </c>
      <c r="T154" s="191">
        <f t="shared" si="146"/>
        <v>2</v>
      </c>
      <c r="U154" s="191">
        <f ca="1">OP!$D$5+$S154-1</f>
        <v>45</v>
      </c>
      <c r="V154" s="191" t="str">
        <f t="shared" si="147"/>
        <v/>
      </c>
      <c r="W154" s="350">
        <f ca="1">IF(Q154&lt;&gt;1,0,VLOOKUP(OP!$C$55,PVFB,$S154+2,0))</f>
        <v>0</v>
      </c>
      <c r="X154" s="473">
        <f t="shared" ca="1" si="174"/>
        <v>0</v>
      </c>
      <c r="Y154" s="348">
        <f t="shared" ca="1" si="175"/>
        <v>0</v>
      </c>
      <c r="Z154" s="348">
        <f t="shared" ca="1" si="176"/>
        <v>8012</v>
      </c>
      <c r="AA154" s="348">
        <f ca="1">IF(Q154&lt;&gt;1,0,VLOOKUP(OP!$C$55,PVFB,$S154+2,0))</f>
        <v>0</v>
      </c>
      <c r="AB154" s="488" t="str">
        <f ca="1">IF(AND(S154&lt;OP!$C$24,$U154&lt;15),0,IF(AND($U154&lt;15,$T154=12),ROUND(VLOOKUP($S154,DOWN16,5,0),3),IF($T154=12,ROUND(($Z154/10000)*$AA154,3)+IF(AND($P$7="購買增額繳清保險",T154=12,U154=110),VLOOKUP(S154,$B$10:$H$121,7,0),0),"")))</f>
        <v/>
      </c>
      <c r="AC154" s="350" t="str">
        <f ca="1">IF(AND(S154&lt;OP!$C$24,$U154&lt;15),0,IF(AND($U154&lt;16,$T154=12),VLOOKUP($S154,DOWN16,4,0),IF($T154=12,ROUND(VLOOKUP(OP!$C$55,_DIE2,$S154+1,0)*(Z154/10000),0)+IF(AND($P$7="購買增額繳清保險",T154=12,U154=110),VLOOKUP(S154,$B$10:$H$121,7,0),0),"")))</f>
        <v/>
      </c>
      <c r="AD154" s="347"/>
      <c r="AE154" s="350" t="str">
        <f t="shared" ca="1" si="135"/>
        <v/>
      </c>
      <c r="AF154" s="351" t="str">
        <f t="shared" ca="1" si="136"/>
        <v/>
      </c>
      <c r="AG154" s="340"/>
      <c r="AH154" s="340"/>
      <c r="AI154" s="340"/>
      <c r="AJ154" s="340"/>
      <c r="AK154" s="340"/>
      <c r="AL154" s="340"/>
      <c r="AM154" s="340"/>
      <c r="AN154" s="191">
        <f t="shared" si="148"/>
        <v>13</v>
      </c>
      <c r="AO154" s="191">
        <f t="shared" si="149"/>
        <v>2</v>
      </c>
      <c r="AP154" s="191">
        <f ca="1">OP!$D$5+$AN154-1</f>
        <v>45</v>
      </c>
      <c r="AQ154" s="191" t="str">
        <f t="shared" si="150"/>
        <v/>
      </c>
      <c r="AR154" s="352">
        <f t="shared" ca="1" si="151"/>
        <v>0</v>
      </c>
      <c r="AS154" s="352"/>
      <c r="AT154" s="352"/>
      <c r="AU154" s="436"/>
      <c r="AV154" s="353" t="str">
        <f t="shared" ca="1" si="152"/>
        <v/>
      </c>
      <c r="AW154" s="422" t="str">
        <f t="shared" si="153"/>
        <v/>
      </c>
      <c r="AX154" s="423" t="str">
        <f ca="1">IF(AND($AW154=1,$AP154&lt;16,$AN153&lt;OP!$C$24),OP!$C$49,"")</f>
        <v/>
      </c>
      <c r="AY154" s="340"/>
      <c r="AZ154" s="465">
        <f t="shared" ca="1" si="154"/>
        <v>7.3698599999999999E-5</v>
      </c>
      <c r="BA154" s="464">
        <f t="shared" ca="1" si="155"/>
        <v>2.2109589000000002E-3</v>
      </c>
      <c r="BB154" s="465">
        <f t="shared" ca="1" si="155"/>
        <v>2.2846575E-3</v>
      </c>
      <c r="BC154" s="466">
        <f t="shared" ca="1" si="156"/>
        <v>47300</v>
      </c>
      <c r="BD154" s="467">
        <f t="shared" ca="1" si="177"/>
        <v>47301</v>
      </c>
      <c r="BE154" s="467">
        <f t="shared" ca="1" si="157"/>
        <v>47330</v>
      </c>
      <c r="BF154" s="468">
        <f ca="1">IF(計算!$BC154&lt;OP!$C$3,0,BD154-BC154)</f>
        <v>1</v>
      </c>
      <c r="BG154" s="468">
        <f ca="1">IF($BE154&gt;DATE(YEAR($BD$9)+OP!$C$57,MONTH($BD$9),DAY($BD$9)),0,$BE154-$BD154+1)</f>
        <v>30</v>
      </c>
      <c r="BH154" s="469">
        <f t="shared" ca="1" si="158"/>
        <v>31</v>
      </c>
      <c r="BI154" t="str">
        <f t="shared" si="187"/>
        <v/>
      </c>
      <c r="BJ154">
        <v>1</v>
      </c>
      <c r="BN154" s="468">
        <f t="shared" si="178"/>
        <v>13</v>
      </c>
      <c r="BO154" s="468">
        <f t="shared" si="179"/>
        <v>1</v>
      </c>
      <c r="BP154" s="467">
        <f t="shared" ca="1" si="159"/>
        <v>47301</v>
      </c>
      <c r="BQ154" s="475">
        <f t="shared" ca="1" si="185"/>
        <v>45</v>
      </c>
      <c r="BR154" s="475" t="str">
        <f t="shared" si="180"/>
        <v/>
      </c>
      <c r="BS154" s="471" t="str">
        <f t="shared" si="160"/>
        <v/>
      </c>
      <c r="BT154" s="472" t="str">
        <f t="shared" si="188"/>
        <v/>
      </c>
      <c r="BU154" s="472">
        <f t="shared" ca="1" si="161"/>
        <v>0</v>
      </c>
      <c r="BV154" s="472">
        <f t="shared" ca="1" si="161"/>
        <v>0</v>
      </c>
      <c r="BW154" s="472"/>
      <c r="BX154" s="473">
        <f t="shared" ca="1" si="162"/>
        <v>49525.627320236999</v>
      </c>
      <c r="BY154" s="473">
        <f t="shared" si="163"/>
        <v>0</v>
      </c>
      <c r="BZ154" s="473">
        <f t="shared" ca="1" si="137"/>
        <v>113.149095899</v>
      </c>
      <c r="CA154" s="476">
        <f t="shared" ca="1" si="164"/>
        <v>0</v>
      </c>
      <c r="CB154" s="494">
        <f ca="1">IF(OR($Q153&lt;&gt;1,OP!$D$5+$BN154-1&lt;16,$BN154-1&lt;1),0,ROUND(ROUND(ROUND(((VLOOKUP($BN154-1,MORE_PV,5,0)/10000)*VLOOKUP($BN154,MORE_PV,$CB$5,0)),3)*VLOOKUP($BN154,more1,5,0),0)/$R153,0))</f>
        <v>0</v>
      </c>
      <c r="CC154" s="473">
        <f t="shared" ca="1" si="165"/>
        <v>0</v>
      </c>
      <c r="CD154" s="477"/>
      <c r="CE154" s="468">
        <f t="shared" si="181"/>
        <v>13</v>
      </c>
      <c r="CF154" s="468">
        <f t="shared" si="182"/>
        <v>1</v>
      </c>
      <c r="CG154" s="467">
        <f t="shared" ca="1" si="138"/>
        <v>47301</v>
      </c>
      <c r="CH154" s="475">
        <f t="shared" ca="1" si="186"/>
        <v>45</v>
      </c>
      <c r="CI154" s="513" t="str">
        <f t="shared" si="183"/>
        <v/>
      </c>
      <c r="CJ154" s="511">
        <f t="shared" si="166"/>
        <v>0</v>
      </c>
      <c r="CK154" s="512">
        <f t="shared" si="167"/>
        <v>0</v>
      </c>
      <c r="CL154" s="511">
        <f t="shared" ca="1" si="184"/>
        <v>0</v>
      </c>
      <c r="CM154" s="511">
        <f ca="1">ROUND(CS154-IF(OR($CE154&gt;=OP!$C$24,AND(CH154=15,CF154=12),CS154=0),0,(CT154-CR154)),$CM$7)</f>
        <v>0</v>
      </c>
      <c r="CN154" s="511"/>
      <c r="CO154" s="351">
        <f t="shared" ca="1" si="168"/>
        <v>76635</v>
      </c>
      <c r="CP154" s="473">
        <f t="shared" si="169"/>
        <v>0</v>
      </c>
      <c r="CQ154" s="473">
        <f t="shared" ca="1" si="139"/>
        <v>175.08472751299999</v>
      </c>
      <c r="CR154" s="476">
        <f t="shared" ca="1" si="170"/>
        <v>0</v>
      </c>
      <c r="CS154" s="494">
        <f ca="1">IF(OR($Q153&lt;&gt;1,OP!$D$5+$CE154-1&lt;16,$CE154-1&lt;1),0,ROUND(ROUND(ROUND(((VLOOKUP($CE154-1,MORE_PV,5,0)/10000)*VLOOKUP($CE154,MORE_PV,$CS$5,0)),3)*VLOOKUP($CE154,more1,5,0),0)/$R153,0))</f>
        <v>0</v>
      </c>
      <c r="CT154" s="473">
        <f>IF($AW154=1,IF(N($CR154+$CS154)&lt;N($AX154)*OP!$C$50,N($CR154+$CS154),MIN(N($CR154+$CS154),N($AX154))),0)</f>
        <v>0</v>
      </c>
      <c r="CV154" s="503">
        <f t="shared" ca="1" si="171"/>
        <v>76635.188002834999</v>
      </c>
      <c r="CW154" s="503">
        <f t="shared" ca="1" si="172"/>
        <v>0</v>
      </c>
      <c r="CX154" s="503">
        <f t="shared" ca="1" si="173"/>
        <v>76804.612767436003</v>
      </c>
    </row>
    <row r="155" spans="2:102" ht="16.5" hidden="1">
      <c r="B155" s="80"/>
      <c r="C155" s="80"/>
      <c r="D155" s="80"/>
      <c r="E155" s="80"/>
      <c r="F155" s="80"/>
      <c r="G155" s="80"/>
      <c r="H155" s="80"/>
      <c r="I155" s="80"/>
      <c r="J155" s="192">
        <f t="shared" si="140"/>
        <v>13</v>
      </c>
      <c r="K155" s="192">
        <f t="shared" si="141"/>
        <v>3</v>
      </c>
      <c r="L155" s="192" t="str">
        <f t="shared" si="134"/>
        <v/>
      </c>
      <c r="M155" s="216">
        <f t="shared" ca="1" si="142"/>
        <v>0</v>
      </c>
      <c r="N155" s="216"/>
      <c r="O155" s="216"/>
      <c r="P155" s="216"/>
      <c r="Q155" s="456" t="str">
        <f t="shared" ca="1" si="143"/>
        <v/>
      </c>
      <c r="R155" s="450">
        <f t="shared" ca="1" si="144"/>
        <v>1</v>
      </c>
      <c r="S155" s="191">
        <f t="shared" si="145"/>
        <v>13</v>
      </c>
      <c r="T155" s="191">
        <f t="shared" si="146"/>
        <v>3</v>
      </c>
      <c r="U155" s="191">
        <f ca="1">OP!$D$5+$S155-1</f>
        <v>45</v>
      </c>
      <c r="V155" s="191" t="str">
        <f t="shared" si="147"/>
        <v/>
      </c>
      <c r="W155" s="350">
        <f ca="1">IF(Q155&lt;&gt;1,0,VLOOKUP(OP!$C$55,PVFB,$S155+2,0))</f>
        <v>0</v>
      </c>
      <c r="X155" s="473">
        <f t="shared" ca="1" si="174"/>
        <v>0</v>
      </c>
      <c r="Y155" s="348">
        <f t="shared" ca="1" si="175"/>
        <v>0</v>
      </c>
      <c r="Z155" s="348">
        <f t="shared" ca="1" si="176"/>
        <v>8012</v>
      </c>
      <c r="AA155" s="348">
        <f ca="1">IF(Q155&lt;&gt;1,0,VLOOKUP(OP!$C$55,PVFB,$S155+2,0))</f>
        <v>0</v>
      </c>
      <c r="AB155" s="488" t="str">
        <f ca="1">IF(AND(S155&lt;OP!$C$24,$U155&lt;15),0,IF(AND($U155&lt;15,$T155=12),ROUND(VLOOKUP($S155,DOWN16,5,0),3),IF($T155=12,ROUND(($Z155/10000)*$AA155,3)+IF(AND($P$7="購買增額繳清保險",T155=12,U155=110),VLOOKUP(S155,$B$10:$H$121,7,0),0),"")))</f>
        <v/>
      </c>
      <c r="AC155" s="350" t="str">
        <f ca="1">IF(AND(S155&lt;OP!$C$24,$U155&lt;15),0,IF(AND($U155&lt;16,$T155=12),VLOOKUP($S155,DOWN16,4,0),IF($T155=12,ROUND(VLOOKUP(OP!$C$55,_DIE2,$S155+1,0)*(Z155/10000),0)+IF(AND($P$7="購買增額繳清保險",T155=12,U155=110),VLOOKUP(S155,$B$10:$H$121,7,0),0),"")))</f>
        <v/>
      </c>
      <c r="AD155" s="347"/>
      <c r="AE155" s="350" t="str">
        <f t="shared" ca="1" si="135"/>
        <v/>
      </c>
      <c r="AF155" s="351" t="str">
        <f t="shared" ca="1" si="136"/>
        <v/>
      </c>
      <c r="AG155" s="340"/>
      <c r="AH155" s="340"/>
      <c r="AI155" s="340"/>
      <c r="AJ155" s="340"/>
      <c r="AK155" s="340"/>
      <c r="AL155" s="340"/>
      <c r="AM155" s="340"/>
      <c r="AN155" s="191">
        <f t="shared" si="148"/>
        <v>13</v>
      </c>
      <c r="AO155" s="191">
        <f t="shared" si="149"/>
        <v>3</v>
      </c>
      <c r="AP155" s="191">
        <f ca="1">OP!$D$5+$AN155-1</f>
        <v>45</v>
      </c>
      <c r="AQ155" s="191" t="str">
        <f t="shared" si="150"/>
        <v/>
      </c>
      <c r="AR155" s="352">
        <f t="shared" ca="1" si="151"/>
        <v>0</v>
      </c>
      <c r="AS155" s="352"/>
      <c r="AT155" s="352"/>
      <c r="AU155" s="436"/>
      <c r="AV155" s="353" t="str">
        <f t="shared" ca="1" si="152"/>
        <v/>
      </c>
      <c r="AW155" s="422" t="str">
        <f t="shared" si="153"/>
        <v/>
      </c>
      <c r="AX155" s="423" t="str">
        <f ca="1">IF(AND($AW155=1,$AP155&lt;16,$AN154&lt;OP!$C$24),OP!$C$49,"")</f>
        <v/>
      </c>
      <c r="AY155" s="340"/>
      <c r="AZ155" s="465">
        <f t="shared" ca="1" si="154"/>
        <v>7.3698599999999999E-5</v>
      </c>
      <c r="BA155" s="464">
        <f t="shared" ca="1" si="155"/>
        <v>2.2109589000000002E-3</v>
      </c>
      <c r="BB155" s="465">
        <f t="shared" ca="1" si="155"/>
        <v>2.2846575E-3</v>
      </c>
      <c r="BC155" s="466">
        <f t="shared" ca="1" si="156"/>
        <v>47331</v>
      </c>
      <c r="BD155" s="467">
        <f t="shared" ca="1" si="177"/>
        <v>47332</v>
      </c>
      <c r="BE155" s="467">
        <f t="shared" ca="1" si="157"/>
        <v>47361</v>
      </c>
      <c r="BF155" s="468">
        <f ca="1">IF(計算!$BC155&lt;OP!$C$3,0,BD155-BC155)</f>
        <v>1</v>
      </c>
      <c r="BG155" s="468">
        <f ca="1">IF($BE155&gt;DATE(YEAR($BD$9)+OP!$C$57,MONTH($BD$9),DAY($BD$9)),0,$BE155-$BD155+1)</f>
        <v>30</v>
      </c>
      <c r="BH155" s="469">
        <f t="shared" ca="1" si="158"/>
        <v>31</v>
      </c>
      <c r="BI155" t="str">
        <f t="shared" si="187"/>
        <v/>
      </c>
      <c r="BJ155">
        <v>2</v>
      </c>
      <c r="BN155" s="468">
        <f t="shared" si="178"/>
        <v>13</v>
      </c>
      <c r="BO155" s="468">
        <f t="shared" si="179"/>
        <v>2</v>
      </c>
      <c r="BP155" s="467">
        <f t="shared" ca="1" si="159"/>
        <v>47332</v>
      </c>
      <c r="BQ155" s="475">
        <f t="shared" ca="1" si="185"/>
        <v>45</v>
      </c>
      <c r="BR155" s="475" t="str">
        <f t="shared" si="180"/>
        <v/>
      </c>
      <c r="BS155" s="471" t="str">
        <f t="shared" si="160"/>
        <v/>
      </c>
      <c r="BT155" s="472" t="str">
        <f t="shared" si="188"/>
        <v/>
      </c>
      <c r="BU155" s="472">
        <f t="shared" ca="1" si="161"/>
        <v>0</v>
      </c>
      <c r="BV155" s="472">
        <f t="shared" ca="1" si="161"/>
        <v>0</v>
      </c>
      <c r="BW155" s="472"/>
      <c r="BX155" s="473">
        <f t="shared" ca="1" si="162"/>
        <v>49638.776416136003</v>
      </c>
      <c r="BY155" s="473">
        <f t="shared" si="163"/>
        <v>0</v>
      </c>
      <c r="BZ155" s="473">
        <f t="shared" ca="1" si="137"/>
        <v>113.40760283</v>
      </c>
      <c r="CA155" s="476">
        <f t="shared" ca="1" si="164"/>
        <v>0</v>
      </c>
      <c r="CB155" s="494">
        <f ca="1">IF(OR($Q154&lt;&gt;1,OP!$D$5+$BN155-1&lt;16,$BN155-1&lt;1),0,ROUND(ROUND(ROUND(((VLOOKUP($BN155-1,MORE_PV,5,0)/10000)*VLOOKUP($BN155,MORE_PV,$CB$5,0)),3)*VLOOKUP($BN155,more1,5,0),0)/$R154,0))</f>
        <v>0</v>
      </c>
      <c r="CC155" s="473">
        <f t="shared" ca="1" si="165"/>
        <v>0</v>
      </c>
      <c r="CD155" s="477"/>
      <c r="CE155" s="468">
        <f t="shared" si="181"/>
        <v>13</v>
      </c>
      <c r="CF155" s="468">
        <f t="shared" si="182"/>
        <v>2</v>
      </c>
      <c r="CG155" s="467">
        <f t="shared" ca="1" si="138"/>
        <v>47332</v>
      </c>
      <c r="CH155" s="475">
        <f t="shared" ca="1" si="186"/>
        <v>45</v>
      </c>
      <c r="CI155" s="513" t="str">
        <f t="shared" si="183"/>
        <v/>
      </c>
      <c r="CJ155" s="511">
        <f t="shared" si="166"/>
        <v>0</v>
      </c>
      <c r="CK155" s="512">
        <f t="shared" si="167"/>
        <v>0</v>
      </c>
      <c r="CL155" s="511">
        <f t="shared" ca="1" si="184"/>
        <v>0</v>
      </c>
      <c r="CM155" s="511">
        <f ca="1">ROUND(CS155-IF(OR($CE155&gt;=OP!$C$24,AND(CH155=15,CF155=12),CS155=0),0,(CT155-CR155)),$CM$7)</f>
        <v>0</v>
      </c>
      <c r="CN155" s="511"/>
      <c r="CO155" s="351">
        <f t="shared" ca="1" si="168"/>
        <v>76810</v>
      </c>
      <c r="CP155" s="473">
        <f t="shared" si="169"/>
        <v>0</v>
      </c>
      <c r="CQ155" s="473">
        <f t="shared" ca="1" si="139"/>
        <v>175.48454257500001</v>
      </c>
      <c r="CR155" s="476">
        <f t="shared" ca="1" si="170"/>
        <v>0</v>
      </c>
      <c r="CS155" s="494">
        <f ca="1">IF(OR($Q154&lt;&gt;1,OP!$D$5+$CE155-1&lt;16,$CE155-1&lt;1),0,ROUND(ROUND(ROUND(((VLOOKUP($CE155-1,MORE_PV,5,0)/10000)*VLOOKUP($CE155,MORE_PV,$CS$5,0)),3)*VLOOKUP($CE155,more1,5,0),0)/$R154,0))</f>
        <v>0</v>
      </c>
      <c r="CT155" s="473">
        <f>IF($AW155=1,IF(N($CR155+$CS155)&lt;N($AX155)*OP!$C$50,N($CR155+$CS155),MIN(N($CR155+$CS155),N($AX155))),0)</f>
        <v>0</v>
      </c>
      <c r="CV155" s="503">
        <f t="shared" ca="1" si="171"/>
        <v>76810.273159870994</v>
      </c>
      <c r="CW155" s="503">
        <f t="shared" ca="1" si="172"/>
        <v>0</v>
      </c>
      <c r="CX155" s="503">
        <f t="shared" ca="1" si="173"/>
        <v>76980.085002029999</v>
      </c>
    </row>
    <row r="156" spans="2:102" ht="16.5" hidden="1">
      <c r="B156" s="80"/>
      <c r="C156" s="80"/>
      <c r="D156" s="80"/>
      <c r="E156" s="80"/>
      <c r="F156" s="80"/>
      <c r="G156" s="80"/>
      <c r="H156" s="80"/>
      <c r="I156" s="80"/>
      <c r="J156" s="192">
        <f t="shared" si="140"/>
        <v>13</v>
      </c>
      <c r="K156" s="192">
        <f t="shared" si="141"/>
        <v>4</v>
      </c>
      <c r="L156" s="192" t="str">
        <f t="shared" si="134"/>
        <v/>
      </c>
      <c r="M156" s="216">
        <f t="shared" ca="1" si="142"/>
        <v>0</v>
      </c>
      <c r="N156" s="216"/>
      <c r="O156" s="216"/>
      <c r="P156" s="216"/>
      <c r="Q156" s="456" t="str">
        <f t="shared" ca="1" si="143"/>
        <v/>
      </c>
      <c r="R156" s="450">
        <f t="shared" ca="1" si="144"/>
        <v>1</v>
      </c>
      <c r="S156" s="191">
        <f t="shared" si="145"/>
        <v>13</v>
      </c>
      <c r="T156" s="191">
        <f t="shared" si="146"/>
        <v>4</v>
      </c>
      <c r="U156" s="191">
        <f ca="1">OP!$D$5+$S156-1</f>
        <v>45</v>
      </c>
      <c r="V156" s="191" t="str">
        <f t="shared" si="147"/>
        <v/>
      </c>
      <c r="W156" s="350">
        <f ca="1">IF(Q156&lt;&gt;1,0,VLOOKUP(OP!$C$55,PVFB,$S156+2,0))</f>
        <v>0</v>
      </c>
      <c r="X156" s="473">
        <f t="shared" ca="1" si="174"/>
        <v>0</v>
      </c>
      <c r="Y156" s="348">
        <f t="shared" ca="1" si="175"/>
        <v>0</v>
      </c>
      <c r="Z156" s="348">
        <f t="shared" ca="1" si="176"/>
        <v>8012</v>
      </c>
      <c r="AA156" s="348">
        <f ca="1">IF(Q156&lt;&gt;1,0,VLOOKUP(OP!$C$55,PVFB,$S156+2,0))</f>
        <v>0</v>
      </c>
      <c r="AB156" s="488" t="str">
        <f ca="1">IF(AND(S156&lt;OP!$C$24,$U156&lt;15),0,IF(AND($U156&lt;15,$T156=12),ROUND(VLOOKUP($S156,DOWN16,5,0),3),IF($T156=12,ROUND(($Z156/10000)*$AA156,3)+IF(AND($P$7="購買增額繳清保險",T156=12,U156=110),VLOOKUP(S156,$B$10:$H$121,7,0),0),"")))</f>
        <v/>
      </c>
      <c r="AC156" s="350" t="str">
        <f ca="1">IF(AND(S156&lt;OP!$C$24,$U156&lt;15),0,IF(AND($U156&lt;16,$T156=12),VLOOKUP($S156,DOWN16,4,0),IF($T156=12,ROUND(VLOOKUP(OP!$C$55,_DIE2,$S156+1,0)*(Z156/10000),0)+IF(AND($P$7="購買增額繳清保險",T156=12,U156=110),VLOOKUP(S156,$B$10:$H$121,7,0),0),"")))</f>
        <v/>
      </c>
      <c r="AD156" s="347"/>
      <c r="AE156" s="350" t="str">
        <f t="shared" ca="1" si="135"/>
        <v/>
      </c>
      <c r="AF156" s="351" t="str">
        <f t="shared" ca="1" si="136"/>
        <v/>
      </c>
      <c r="AG156" s="340"/>
      <c r="AH156" s="340"/>
      <c r="AI156" s="340"/>
      <c r="AJ156" s="340"/>
      <c r="AK156" s="340"/>
      <c r="AL156" s="340"/>
      <c r="AM156" s="340"/>
      <c r="AN156" s="191">
        <f t="shared" si="148"/>
        <v>13</v>
      </c>
      <c r="AO156" s="191">
        <f t="shared" si="149"/>
        <v>4</v>
      </c>
      <c r="AP156" s="191">
        <f ca="1">OP!$D$5+$AN156-1</f>
        <v>45</v>
      </c>
      <c r="AQ156" s="191" t="str">
        <f t="shared" si="150"/>
        <v/>
      </c>
      <c r="AR156" s="352">
        <f t="shared" ca="1" si="151"/>
        <v>0</v>
      </c>
      <c r="AS156" s="352"/>
      <c r="AT156" s="352"/>
      <c r="AU156" s="436"/>
      <c r="AV156" s="353" t="str">
        <f t="shared" ca="1" si="152"/>
        <v/>
      </c>
      <c r="AW156" s="422" t="str">
        <f t="shared" si="153"/>
        <v/>
      </c>
      <c r="AX156" s="423" t="str">
        <f ca="1">IF(AND($AW156=1,$AP156&lt;16,$AN155&lt;OP!$C$24),OP!$C$49,"")</f>
        <v/>
      </c>
      <c r="AY156" s="340"/>
      <c r="AZ156" s="465">
        <f t="shared" ca="1" si="154"/>
        <v>7.3698599999999999E-5</v>
      </c>
      <c r="BA156" s="464">
        <f t="shared" ca="1" si="155"/>
        <v>2.1372602999999999E-3</v>
      </c>
      <c r="BB156" s="465">
        <f t="shared" ca="1" si="155"/>
        <v>2.2109589000000002E-3</v>
      </c>
      <c r="BC156" s="466">
        <f t="shared" ca="1" si="156"/>
        <v>47362</v>
      </c>
      <c r="BD156" s="467">
        <f t="shared" ca="1" si="177"/>
        <v>47363</v>
      </c>
      <c r="BE156" s="467">
        <f t="shared" ca="1" si="157"/>
        <v>47391</v>
      </c>
      <c r="BF156" s="468">
        <f ca="1">IF(計算!$BC156&lt;OP!$C$3,0,BD156-BC156)</f>
        <v>1</v>
      </c>
      <c r="BG156" s="468">
        <f ca="1">IF($BE156&gt;DATE(YEAR($BD$9)+OP!$C$57,MONTH($BD$9),DAY($BD$9)),0,$BE156-$BD156+1)</f>
        <v>29</v>
      </c>
      <c r="BH156" s="469">
        <f t="shared" ca="1" si="158"/>
        <v>30</v>
      </c>
      <c r="BI156" t="str">
        <f t="shared" si="187"/>
        <v/>
      </c>
      <c r="BJ156">
        <v>3</v>
      </c>
      <c r="BN156" s="468">
        <f t="shared" si="178"/>
        <v>13</v>
      </c>
      <c r="BO156" s="468">
        <f t="shared" si="179"/>
        <v>3</v>
      </c>
      <c r="BP156" s="467">
        <f t="shared" ca="1" si="159"/>
        <v>47363</v>
      </c>
      <c r="BQ156" s="475">
        <f t="shared" ca="1" si="185"/>
        <v>45</v>
      </c>
      <c r="BR156" s="475" t="str">
        <f t="shared" si="180"/>
        <v/>
      </c>
      <c r="BS156" s="471" t="str">
        <f t="shared" si="160"/>
        <v/>
      </c>
      <c r="BT156" s="472" t="str">
        <f t="shared" si="188"/>
        <v/>
      </c>
      <c r="BU156" s="472">
        <f t="shared" ca="1" si="161"/>
        <v>0</v>
      </c>
      <c r="BV156" s="472">
        <f t="shared" ca="1" si="161"/>
        <v>0</v>
      </c>
      <c r="BW156" s="472"/>
      <c r="BX156" s="473">
        <f t="shared" ca="1" si="162"/>
        <v>49752.184018966</v>
      </c>
      <c r="BY156" s="473">
        <f t="shared" si="163"/>
        <v>0</v>
      </c>
      <c r="BZ156" s="473">
        <f t="shared" ca="1" si="137"/>
        <v>110.000034051</v>
      </c>
      <c r="CA156" s="476">
        <f t="shared" ca="1" si="164"/>
        <v>0</v>
      </c>
      <c r="CB156" s="494">
        <f ca="1">IF(OR($Q155&lt;&gt;1,OP!$D$5+$BN156-1&lt;16,$BN156-1&lt;1),0,ROUND(ROUND(ROUND(((VLOOKUP($BN156-1,MORE_PV,5,0)/10000)*VLOOKUP($BN156,MORE_PV,$CB$5,0)),3)*VLOOKUP($BN156,more1,5,0),0)/$R155,0))</f>
        <v>0</v>
      </c>
      <c r="CC156" s="473">
        <f t="shared" ca="1" si="165"/>
        <v>0</v>
      </c>
      <c r="CD156" s="477"/>
      <c r="CE156" s="468">
        <f t="shared" si="181"/>
        <v>13</v>
      </c>
      <c r="CF156" s="468">
        <f t="shared" si="182"/>
        <v>3</v>
      </c>
      <c r="CG156" s="467">
        <f t="shared" ca="1" si="138"/>
        <v>47363</v>
      </c>
      <c r="CH156" s="475">
        <f t="shared" ca="1" si="186"/>
        <v>45</v>
      </c>
      <c r="CI156" s="513" t="str">
        <f t="shared" si="183"/>
        <v/>
      </c>
      <c r="CJ156" s="511">
        <f t="shared" si="166"/>
        <v>0</v>
      </c>
      <c r="CK156" s="512">
        <f t="shared" si="167"/>
        <v>0</v>
      </c>
      <c r="CL156" s="511">
        <f t="shared" ca="1" si="184"/>
        <v>0</v>
      </c>
      <c r="CM156" s="511">
        <f ca="1">ROUND(CS156-IF(OR($CE156&gt;=OP!$C$24,AND(CH156=15,CF156=12),CS156=0),0,(CT156-CR156)),$CM$7)</f>
        <v>0</v>
      </c>
      <c r="CN156" s="511"/>
      <c r="CO156" s="351">
        <f t="shared" ca="1" si="168"/>
        <v>76986</v>
      </c>
      <c r="CP156" s="473">
        <f t="shared" si="169"/>
        <v>0</v>
      </c>
      <c r="CQ156" s="473">
        <f t="shared" ca="1" si="139"/>
        <v>170.21288187499999</v>
      </c>
      <c r="CR156" s="476">
        <f t="shared" ca="1" si="170"/>
        <v>0</v>
      </c>
      <c r="CS156" s="494">
        <f ca="1">IF(OR($Q155&lt;&gt;1,OP!$D$5+$CE156-1&lt;16,$CE156-1&lt;1),0,ROUND(ROUND(ROUND(((VLOOKUP($CE156-1,MORE_PV,5,0)/10000)*VLOOKUP($CE156,MORE_PV,$CS$5,0)),3)*VLOOKUP($CE156,more1,5,0),0)/$R155,0))</f>
        <v>0</v>
      </c>
      <c r="CT156" s="473">
        <f>IF($AW156=1,IF(N($CR156+$CS156)&lt;N($AX156)*OP!$C$50,N($CR156+$CS156),MIN(N($CR156+$CS156),N($AX156))),0)</f>
        <v>0</v>
      </c>
      <c r="CV156" s="503">
        <f t="shared" ca="1" si="171"/>
        <v>76985.758326523006</v>
      </c>
      <c r="CW156" s="503">
        <f t="shared" ca="1" si="172"/>
        <v>0</v>
      </c>
      <c r="CX156" s="503">
        <f t="shared" ca="1" si="173"/>
        <v>77150.284806088006</v>
      </c>
    </row>
    <row r="157" spans="2:102" ht="16.5" hidden="1">
      <c r="B157" s="80"/>
      <c r="C157" s="80"/>
      <c r="D157" s="80"/>
      <c r="E157" s="80"/>
      <c r="F157" s="80"/>
      <c r="G157" s="80"/>
      <c r="H157" s="80"/>
      <c r="I157" s="80"/>
      <c r="J157" s="192">
        <f t="shared" si="140"/>
        <v>13</v>
      </c>
      <c r="K157" s="192">
        <f t="shared" si="141"/>
        <v>5</v>
      </c>
      <c r="L157" s="192" t="str">
        <f t="shared" si="134"/>
        <v/>
      </c>
      <c r="M157" s="216">
        <f t="shared" ca="1" si="142"/>
        <v>0</v>
      </c>
      <c r="N157" s="216"/>
      <c r="O157" s="216"/>
      <c r="P157" s="216"/>
      <c r="Q157" s="456" t="str">
        <f t="shared" ca="1" si="143"/>
        <v/>
      </c>
      <c r="R157" s="450">
        <f t="shared" ca="1" si="144"/>
        <v>1</v>
      </c>
      <c r="S157" s="191">
        <f t="shared" si="145"/>
        <v>13</v>
      </c>
      <c r="T157" s="191">
        <f t="shared" si="146"/>
        <v>5</v>
      </c>
      <c r="U157" s="191">
        <f ca="1">OP!$D$5+$S157-1</f>
        <v>45</v>
      </c>
      <c r="V157" s="191" t="str">
        <f t="shared" si="147"/>
        <v/>
      </c>
      <c r="W157" s="350">
        <f ca="1">IF(Q157&lt;&gt;1,0,VLOOKUP(OP!$C$55,PVFB,$S157+2,0))</f>
        <v>0</v>
      </c>
      <c r="X157" s="473">
        <f t="shared" ca="1" si="174"/>
        <v>0</v>
      </c>
      <c r="Y157" s="348">
        <f t="shared" ca="1" si="175"/>
        <v>0</v>
      </c>
      <c r="Z157" s="348">
        <f t="shared" ca="1" si="176"/>
        <v>8012</v>
      </c>
      <c r="AA157" s="348">
        <f ca="1">IF(Q157&lt;&gt;1,0,VLOOKUP(OP!$C$55,PVFB,$S157+2,0))</f>
        <v>0</v>
      </c>
      <c r="AB157" s="488" t="str">
        <f ca="1">IF(AND(S157&lt;OP!$C$24,$U157&lt;15),0,IF(AND($U157&lt;15,$T157=12),ROUND(VLOOKUP($S157,DOWN16,5,0),3),IF($T157=12,ROUND(($Z157/10000)*$AA157,3)+IF(AND($P$7="購買增額繳清保險",T157=12,U157=110),VLOOKUP(S157,$B$10:$H$121,7,0),0),"")))</f>
        <v/>
      </c>
      <c r="AC157" s="350" t="str">
        <f ca="1">IF(AND(S157&lt;OP!$C$24,$U157&lt;15),0,IF(AND($U157&lt;16,$T157=12),VLOOKUP($S157,DOWN16,4,0),IF($T157=12,ROUND(VLOOKUP(OP!$C$55,_DIE2,$S157+1,0)*(Z157/10000),0)+IF(AND($P$7="購買增額繳清保險",T157=12,U157=110),VLOOKUP(S157,$B$10:$H$121,7,0),0),"")))</f>
        <v/>
      </c>
      <c r="AD157" s="347"/>
      <c r="AE157" s="350" t="str">
        <f t="shared" ca="1" si="135"/>
        <v/>
      </c>
      <c r="AF157" s="351" t="str">
        <f t="shared" ca="1" si="136"/>
        <v/>
      </c>
      <c r="AG157" s="340"/>
      <c r="AH157" s="340"/>
      <c r="AI157" s="340"/>
      <c r="AJ157" s="340"/>
      <c r="AK157" s="340"/>
      <c r="AL157" s="340"/>
      <c r="AM157" s="340"/>
      <c r="AN157" s="191">
        <f t="shared" si="148"/>
        <v>13</v>
      </c>
      <c r="AO157" s="191">
        <f t="shared" si="149"/>
        <v>5</v>
      </c>
      <c r="AP157" s="191">
        <f ca="1">OP!$D$5+$AN157-1</f>
        <v>45</v>
      </c>
      <c r="AQ157" s="191" t="str">
        <f t="shared" si="150"/>
        <v/>
      </c>
      <c r="AR157" s="352">
        <f t="shared" ca="1" si="151"/>
        <v>0</v>
      </c>
      <c r="AS157" s="352"/>
      <c r="AT157" s="352"/>
      <c r="AU157" s="436"/>
      <c r="AV157" s="353" t="str">
        <f t="shared" ca="1" si="152"/>
        <v/>
      </c>
      <c r="AW157" s="422" t="str">
        <f t="shared" si="153"/>
        <v/>
      </c>
      <c r="AX157" s="423" t="str">
        <f ca="1">IF(AND($AW157=1,$AP157&lt;16,$AN156&lt;OP!$C$24),OP!$C$49,"")</f>
        <v/>
      </c>
      <c r="AY157" s="340"/>
      <c r="AZ157" s="465">
        <f t="shared" ca="1" si="154"/>
        <v>7.3698599999999999E-5</v>
      </c>
      <c r="BA157" s="464">
        <f t="shared" ca="1" si="155"/>
        <v>2.2109589000000002E-3</v>
      </c>
      <c r="BB157" s="465">
        <f t="shared" ca="1" si="155"/>
        <v>2.2846575E-3</v>
      </c>
      <c r="BC157" s="466">
        <f t="shared" ca="1" si="156"/>
        <v>47392</v>
      </c>
      <c r="BD157" s="467">
        <f t="shared" ca="1" si="177"/>
        <v>47393</v>
      </c>
      <c r="BE157" s="467">
        <f t="shared" ca="1" si="157"/>
        <v>47422</v>
      </c>
      <c r="BF157" s="468">
        <f ca="1">IF(計算!$BC157&lt;OP!$C$3,0,BD157-BC157)</f>
        <v>1</v>
      </c>
      <c r="BG157" s="468">
        <f ca="1">IF($BE157&gt;DATE(YEAR($BD$9)+OP!$C$57,MONTH($BD$9),DAY($BD$9)),0,$BE157-$BD157+1)</f>
        <v>30</v>
      </c>
      <c r="BH157" s="469">
        <f t="shared" ca="1" si="158"/>
        <v>31</v>
      </c>
      <c r="BI157" t="str">
        <f t="shared" si="187"/>
        <v/>
      </c>
      <c r="BJ157">
        <v>4</v>
      </c>
      <c r="BN157" s="468">
        <f t="shared" si="178"/>
        <v>13</v>
      </c>
      <c r="BO157" s="468">
        <f t="shared" si="179"/>
        <v>4</v>
      </c>
      <c r="BP157" s="467">
        <f t="shared" ca="1" si="159"/>
        <v>47393</v>
      </c>
      <c r="BQ157" s="475">
        <f t="shared" ca="1" si="185"/>
        <v>45</v>
      </c>
      <c r="BR157" s="475" t="str">
        <f t="shared" si="180"/>
        <v/>
      </c>
      <c r="BS157" s="471" t="str">
        <f t="shared" si="160"/>
        <v/>
      </c>
      <c r="BT157" s="472" t="str">
        <f t="shared" si="188"/>
        <v/>
      </c>
      <c r="BU157" s="472">
        <f t="shared" ca="1" si="161"/>
        <v>0</v>
      </c>
      <c r="BV157" s="472">
        <f t="shared" ca="1" si="161"/>
        <v>0</v>
      </c>
      <c r="BW157" s="472"/>
      <c r="BX157" s="473">
        <f t="shared" ca="1" si="162"/>
        <v>49862.184053017001</v>
      </c>
      <c r="BY157" s="473">
        <f t="shared" si="163"/>
        <v>0</v>
      </c>
      <c r="BZ157" s="473">
        <f t="shared" ca="1" si="137"/>
        <v>113.91801276299999</v>
      </c>
      <c r="CA157" s="476">
        <f t="shared" ca="1" si="164"/>
        <v>0</v>
      </c>
      <c r="CB157" s="494">
        <f ca="1">IF(OR($Q156&lt;&gt;1,OP!$D$5+$BN157-1&lt;16,$BN157-1&lt;1),0,ROUND(ROUND(ROUND(((VLOOKUP($BN157-1,MORE_PV,5,0)/10000)*VLOOKUP($BN157,MORE_PV,$CB$5,0)),3)*VLOOKUP($BN157,more1,5,0),0)/$R156,0))</f>
        <v>0</v>
      </c>
      <c r="CC157" s="473">
        <f t="shared" ca="1" si="165"/>
        <v>0</v>
      </c>
      <c r="CD157" s="477"/>
      <c r="CE157" s="468">
        <f t="shared" si="181"/>
        <v>13</v>
      </c>
      <c r="CF157" s="468">
        <f t="shared" si="182"/>
        <v>4</v>
      </c>
      <c r="CG157" s="467">
        <f t="shared" ca="1" si="138"/>
        <v>47393</v>
      </c>
      <c r="CH157" s="475">
        <f t="shared" ca="1" si="186"/>
        <v>45</v>
      </c>
      <c r="CI157" s="513" t="str">
        <f t="shared" si="183"/>
        <v/>
      </c>
      <c r="CJ157" s="511">
        <f t="shared" si="166"/>
        <v>0</v>
      </c>
      <c r="CK157" s="512">
        <f t="shared" si="167"/>
        <v>0</v>
      </c>
      <c r="CL157" s="511">
        <f t="shared" ca="1" si="184"/>
        <v>0</v>
      </c>
      <c r="CM157" s="511">
        <f ca="1">ROUND(CS157-IF(OR($CE157&gt;=OP!$C$24,AND(CH157=15,CF157=12),CS157=0),0,(CT157-CR157)),$CM$7)</f>
        <v>0</v>
      </c>
      <c r="CN157" s="511"/>
      <c r="CO157" s="351">
        <f t="shared" ca="1" si="168"/>
        <v>77156</v>
      </c>
      <c r="CP157" s="473">
        <f t="shared" si="169"/>
        <v>0</v>
      </c>
      <c r="CQ157" s="473">
        <f t="shared" ca="1" si="139"/>
        <v>176.27503407</v>
      </c>
      <c r="CR157" s="476">
        <f t="shared" ca="1" si="170"/>
        <v>0</v>
      </c>
      <c r="CS157" s="494">
        <f ca="1">IF(OR($Q156&lt;&gt;1,OP!$D$5+$CE157-1&lt;16,$CE157-1&lt;1),0,ROUND(ROUND(ROUND(((VLOOKUP($CE157-1,MORE_PV,5,0)/10000)*VLOOKUP($CE157,MORE_PV,$CS$5,0)),3)*VLOOKUP($CE157,more1,5,0),0)/$R156,0))</f>
        <v>0</v>
      </c>
      <c r="CT157" s="473">
        <f>IF($AW157=1,IF(N($CR157+$CS157)&lt;N($AX157)*OP!$C$50,N($CR157+$CS157),MIN(N($CR157+$CS157),N($AX157))),0)</f>
        <v>0</v>
      </c>
      <c r="CV157" s="503">
        <f t="shared" ca="1" si="171"/>
        <v>77155.970674067998</v>
      </c>
      <c r="CW157" s="503">
        <f t="shared" ca="1" si="172"/>
        <v>0</v>
      </c>
      <c r="CX157" s="503">
        <f t="shared" ca="1" si="173"/>
        <v>77326.546782897</v>
      </c>
    </row>
    <row r="158" spans="2:102" ht="16.5" hidden="1">
      <c r="B158" s="80"/>
      <c r="C158" s="80"/>
      <c r="D158" s="80"/>
      <c r="E158" s="80"/>
      <c r="F158" s="80"/>
      <c r="G158" s="80"/>
      <c r="H158" s="80"/>
      <c r="I158" s="80"/>
      <c r="J158" s="192">
        <f t="shared" si="140"/>
        <v>13</v>
      </c>
      <c r="K158" s="192">
        <f t="shared" si="141"/>
        <v>6</v>
      </c>
      <c r="L158" s="192" t="str">
        <f t="shared" si="134"/>
        <v/>
      </c>
      <c r="M158" s="216">
        <f t="shared" ca="1" si="142"/>
        <v>0</v>
      </c>
      <c r="N158" s="216"/>
      <c r="O158" s="216"/>
      <c r="P158" s="216"/>
      <c r="Q158" s="456" t="str">
        <f t="shared" ca="1" si="143"/>
        <v/>
      </c>
      <c r="R158" s="450">
        <f t="shared" ca="1" si="144"/>
        <v>1</v>
      </c>
      <c r="S158" s="191">
        <f t="shared" si="145"/>
        <v>13</v>
      </c>
      <c r="T158" s="191">
        <f t="shared" si="146"/>
        <v>6</v>
      </c>
      <c r="U158" s="191">
        <f ca="1">OP!$D$5+$S158-1</f>
        <v>45</v>
      </c>
      <c r="V158" s="191" t="str">
        <f t="shared" si="147"/>
        <v/>
      </c>
      <c r="W158" s="350">
        <f ca="1">IF(Q158&lt;&gt;1,0,VLOOKUP(OP!$C$55,PVFB,$S158+2,0))</f>
        <v>0</v>
      </c>
      <c r="X158" s="473">
        <f t="shared" ca="1" si="174"/>
        <v>0</v>
      </c>
      <c r="Y158" s="348">
        <f t="shared" ca="1" si="175"/>
        <v>0</v>
      </c>
      <c r="Z158" s="348">
        <f t="shared" ca="1" si="176"/>
        <v>8012</v>
      </c>
      <c r="AA158" s="348">
        <f ca="1">IF(Q158&lt;&gt;1,0,VLOOKUP(OP!$C$55,PVFB,$S158+2,0))</f>
        <v>0</v>
      </c>
      <c r="AB158" s="488" t="str">
        <f ca="1">IF(AND(S158&lt;OP!$C$24,$U158&lt;15),0,IF(AND($U158&lt;15,$T158=12),ROUND(VLOOKUP($S158,DOWN16,5,0),3),IF($T158=12,ROUND(($Z158/10000)*$AA158,3)+IF(AND($P$7="購買增額繳清保險",T158=12,U158=110),VLOOKUP(S158,$B$10:$H$121,7,0),0),"")))</f>
        <v/>
      </c>
      <c r="AC158" s="350" t="str">
        <f ca="1">IF(AND(S158&lt;OP!$C$24,$U158&lt;15),0,IF(AND($U158&lt;16,$T158=12),VLOOKUP($S158,DOWN16,4,0),IF($T158=12,ROUND(VLOOKUP(OP!$C$55,_DIE2,$S158+1,0)*(Z158/10000),0)+IF(AND($P$7="購買增額繳清保險",T158=12,U158=110),VLOOKUP(S158,$B$10:$H$121,7,0),0),"")))</f>
        <v/>
      </c>
      <c r="AD158" s="347"/>
      <c r="AE158" s="350" t="str">
        <f t="shared" ca="1" si="135"/>
        <v/>
      </c>
      <c r="AF158" s="351" t="str">
        <f t="shared" ca="1" si="136"/>
        <v/>
      </c>
      <c r="AG158" s="340"/>
      <c r="AH158" s="340"/>
      <c r="AI158" s="340"/>
      <c r="AJ158" s="340"/>
      <c r="AK158" s="340"/>
      <c r="AL158" s="340"/>
      <c r="AM158" s="340"/>
      <c r="AN158" s="191">
        <f t="shared" si="148"/>
        <v>13</v>
      </c>
      <c r="AO158" s="191">
        <f t="shared" si="149"/>
        <v>6</v>
      </c>
      <c r="AP158" s="191">
        <f ca="1">OP!$D$5+$AN158-1</f>
        <v>45</v>
      </c>
      <c r="AQ158" s="191" t="str">
        <f t="shared" si="150"/>
        <v/>
      </c>
      <c r="AR158" s="352">
        <f t="shared" ca="1" si="151"/>
        <v>0</v>
      </c>
      <c r="AS158" s="352"/>
      <c r="AT158" s="352"/>
      <c r="AU158" s="436"/>
      <c r="AV158" s="353" t="str">
        <f t="shared" ca="1" si="152"/>
        <v/>
      </c>
      <c r="AW158" s="422" t="str">
        <f t="shared" si="153"/>
        <v/>
      </c>
      <c r="AX158" s="423" t="str">
        <f ca="1">IF(AND($AW158=1,$AP158&lt;16,$AN157&lt;OP!$C$24),OP!$C$49,"")</f>
        <v/>
      </c>
      <c r="AY158" s="340"/>
      <c r="AZ158" s="465">
        <f t="shared" ca="1" si="154"/>
        <v>7.3698599999999999E-5</v>
      </c>
      <c r="BA158" s="464">
        <f t="shared" ca="1" si="155"/>
        <v>2.1372602999999999E-3</v>
      </c>
      <c r="BB158" s="465">
        <f t="shared" ca="1" si="155"/>
        <v>2.2109589000000002E-3</v>
      </c>
      <c r="BC158" s="466">
        <f t="shared" ca="1" si="156"/>
        <v>47423</v>
      </c>
      <c r="BD158" s="467">
        <f t="shared" ca="1" si="177"/>
        <v>47424</v>
      </c>
      <c r="BE158" s="467">
        <f t="shared" ca="1" si="157"/>
        <v>47452</v>
      </c>
      <c r="BF158" s="468">
        <f ca="1">IF(計算!$BC158&lt;OP!$C$3,0,BD158-BC158)</f>
        <v>1</v>
      </c>
      <c r="BG158" s="468">
        <f ca="1">IF($BE158&gt;DATE(YEAR($BD$9)+OP!$C$57,MONTH($BD$9),DAY($BD$9)),0,$BE158-$BD158+1)</f>
        <v>29</v>
      </c>
      <c r="BH158" s="469">
        <f t="shared" ca="1" si="158"/>
        <v>30</v>
      </c>
      <c r="BI158" t="str">
        <f t="shared" si="187"/>
        <v/>
      </c>
      <c r="BJ158">
        <v>5</v>
      </c>
      <c r="BN158" s="468">
        <f t="shared" si="178"/>
        <v>13</v>
      </c>
      <c r="BO158" s="468">
        <f t="shared" si="179"/>
        <v>5</v>
      </c>
      <c r="BP158" s="467">
        <f t="shared" ca="1" si="159"/>
        <v>47424</v>
      </c>
      <c r="BQ158" s="475">
        <f t="shared" ca="1" si="185"/>
        <v>45</v>
      </c>
      <c r="BR158" s="475" t="str">
        <f t="shared" si="180"/>
        <v/>
      </c>
      <c r="BS158" s="471" t="str">
        <f t="shared" si="160"/>
        <v/>
      </c>
      <c r="BT158" s="472" t="str">
        <f t="shared" si="188"/>
        <v/>
      </c>
      <c r="BU158" s="472">
        <f t="shared" ca="1" si="161"/>
        <v>0</v>
      </c>
      <c r="BV158" s="472">
        <f t="shared" ca="1" si="161"/>
        <v>0</v>
      </c>
      <c r="BW158" s="472"/>
      <c r="BX158" s="473">
        <f t="shared" ca="1" si="162"/>
        <v>49976.102065780004</v>
      </c>
      <c r="BY158" s="473">
        <f t="shared" si="163"/>
        <v>0</v>
      </c>
      <c r="BZ158" s="473">
        <f t="shared" ca="1" si="137"/>
        <v>110.49510764999999</v>
      </c>
      <c r="CA158" s="476">
        <f t="shared" ca="1" si="164"/>
        <v>0</v>
      </c>
      <c r="CB158" s="494">
        <f ca="1">IF(OR($Q157&lt;&gt;1,OP!$D$5+$BN158-1&lt;16,$BN158-1&lt;1),0,ROUND(ROUND(ROUND(((VLOOKUP($BN158-1,MORE_PV,5,0)/10000)*VLOOKUP($BN158,MORE_PV,$CB$5,0)),3)*VLOOKUP($BN158,more1,5,0),0)/$R157,0))</f>
        <v>0</v>
      </c>
      <c r="CC158" s="473">
        <f t="shared" ca="1" si="165"/>
        <v>0</v>
      </c>
      <c r="CD158" s="477"/>
      <c r="CE158" s="468">
        <f t="shared" si="181"/>
        <v>13</v>
      </c>
      <c r="CF158" s="468">
        <f t="shared" si="182"/>
        <v>5</v>
      </c>
      <c r="CG158" s="467">
        <f t="shared" ca="1" si="138"/>
        <v>47424</v>
      </c>
      <c r="CH158" s="475">
        <f t="shared" ca="1" si="186"/>
        <v>45</v>
      </c>
      <c r="CI158" s="513" t="str">
        <f t="shared" si="183"/>
        <v/>
      </c>
      <c r="CJ158" s="511">
        <f t="shared" si="166"/>
        <v>0</v>
      </c>
      <c r="CK158" s="512">
        <f t="shared" si="167"/>
        <v>0</v>
      </c>
      <c r="CL158" s="511">
        <f t="shared" ca="1" si="184"/>
        <v>0</v>
      </c>
      <c r="CM158" s="511">
        <f ca="1">ROUND(CS158-IF(OR($CE158&gt;=OP!$C$24,AND(CH158=15,CF158=12),CS158=0),0,(CT158-CR158)),$CM$7)</f>
        <v>0</v>
      </c>
      <c r="CN158" s="511"/>
      <c r="CO158" s="351">
        <f t="shared" ca="1" si="168"/>
        <v>77332</v>
      </c>
      <c r="CP158" s="473">
        <f t="shared" si="169"/>
        <v>0</v>
      </c>
      <c r="CQ158" s="473">
        <f t="shared" ca="1" si="139"/>
        <v>170.977873655</v>
      </c>
      <c r="CR158" s="476">
        <f t="shared" ca="1" si="170"/>
        <v>0</v>
      </c>
      <c r="CS158" s="494">
        <f ca="1">IF(OR($Q157&lt;&gt;1,OP!$D$5+$CE158-1&lt;16,$CE158-1&lt;1),0,ROUND(ROUND(ROUND(((VLOOKUP($CE158-1,MORE_PV,5,0)/10000)*VLOOKUP($CE158,MORE_PV,$CS$5,0)),3)*VLOOKUP($CE158,more1,5,0),0)/$R157,0))</f>
        <v>0</v>
      </c>
      <c r="CT158" s="473">
        <f>IF($AW158=1,IF(N($CR158+$CS158)&lt;N($AX158)*OP!$C$50,N($CR158+$CS158),MIN(N($CR158+$CS158),N($AX158))),0)</f>
        <v>0</v>
      </c>
      <c r="CV158" s="503">
        <f t="shared" ca="1" si="171"/>
        <v>77332.245641137997</v>
      </c>
      <c r="CW158" s="503">
        <f t="shared" ca="1" si="172"/>
        <v>0</v>
      </c>
      <c r="CX158" s="503">
        <f t="shared" ca="1" si="173"/>
        <v>77497.512599712994</v>
      </c>
    </row>
    <row r="159" spans="2:102" ht="16.5" hidden="1">
      <c r="B159" s="80"/>
      <c r="C159" s="80"/>
      <c r="D159" s="80"/>
      <c r="E159" s="80"/>
      <c r="F159" s="80"/>
      <c r="G159" s="80"/>
      <c r="H159" s="80"/>
      <c r="I159" s="80"/>
      <c r="J159" s="192">
        <f t="shared" si="140"/>
        <v>13</v>
      </c>
      <c r="K159" s="192">
        <f t="shared" si="141"/>
        <v>7</v>
      </c>
      <c r="L159" s="192" t="str">
        <f t="shared" si="134"/>
        <v/>
      </c>
      <c r="M159" s="216">
        <f t="shared" ca="1" si="142"/>
        <v>0</v>
      </c>
      <c r="N159" s="216"/>
      <c r="O159" s="216"/>
      <c r="P159" s="216"/>
      <c r="Q159" s="456" t="str">
        <f t="shared" ca="1" si="143"/>
        <v/>
      </c>
      <c r="R159" s="450">
        <f t="shared" ca="1" si="144"/>
        <v>1</v>
      </c>
      <c r="S159" s="191">
        <f t="shared" si="145"/>
        <v>13</v>
      </c>
      <c r="T159" s="191">
        <f t="shared" si="146"/>
        <v>7</v>
      </c>
      <c r="U159" s="191">
        <f ca="1">OP!$D$5+$S159-1</f>
        <v>45</v>
      </c>
      <c r="V159" s="191" t="str">
        <f t="shared" si="147"/>
        <v/>
      </c>
      <c r="W159" s="350">
        <f ca="1">IF(Q159&lt;&gt;1,0,VLOOKUP(OP!$C$55,PVFB,$S159+2,0))</f>
        <v>0</v>
      </c>
      <c r="X159" s="473">
        <f t="shared" ca="1" si="174"/>
        <v>0</v>
      </c>
      <c r="Y159" s="348">
        <f t="shared" ca="1" si="175"/>
        <v>0</v>
      </c>
      <c r="Z159" s="348">
        <f t="shared" ca="1" si="176"/>
        <v>8012</v>
      </c>
      <c r="AA159" s="348">
        <f ca="1">IF(Q159&lt;&gt;1,0,VLOOKUP(OP!$C$55,PVFB,$S159+2,0))</f>
        <v>0</v>
      </c>
      <c r="AB159" s="488" t="str">
        <f ca="1">IF(AND(S159&lt;OP!$C$24,$U159&lt;15),0,IF(AND($U159&lt;15,$T159=12),ROUND(VLOOKUP($S159,DOWN16,5,0),3),IF($T159=12,ROUND(($Z159/10000)*$AA159,3)+IF(AND($P$7="購買增額繳清保險",T159=12,U159=110),VLOOKUP(S159,$B$10:$H$121,7,0),0),"")))</f>
        <v/>
      </c>
      <c r="AC159" s="350" t="str">
        <f ca="1">IF(AND(S159&lt;OP!$C$24,$U159&lt;15),0,IF(AND($U159&lt;16,$T159=12),VLOOKUP($S159,DOWN16,4,0),IF($T159=12,ROUND(VLOOKUP(OP!$C$55,_DIE2,$S159+1,0)*(Z159/10000),0)+IF(AND($P$7="購買增額繳清保險",T159=12,U159=110),VLOOKUP(S159,$B$10:$H$121,7,0),0),"")))</f>
        <v/>
      </c>
      <c r="AD159" s="347"/>
      <c r="AE159" s="350" t="str">
        <f t="shared" ca="1" si="135"/>
        <v/>
      </c>
      <c r="AF159" s="351" t="str">
        <f t="shared" ca="1" si="136"/>
        <v/>
      </c>
      <c r="AG159" s="340"/>
      <c r="AH159" s="340"/>
      <c r="AI159" s="340"/>
      <c r="AJ159" s="340"/>
      <c r="AK159" s="340"/>
      <c r="AL159" s="340"/>
      <c r="AM159" s="340"/>
      <c r="AN159" s="191">
        <f t="shared" si="148"/>
        <v>13</v>
      </c>
      <c r="AO159" s="191">
        <f t="shared" si="149"/>
        <v>7</v>
      </c>
      <c r="AP159" s="191">
        <f ca="1">OP!$D$5+$AN159-1</f>
        <v>45</v>
      </c>
      <c r="AQ159" s="191" t="str">
        <f t="shared" si="150"/>
        <v/>
      </c>
      <c r="AR159" s="352">
        <f t="shared" ca="1" si="151"/>
        <v>0</v>
      </c>
      <c r="AS159" s="352"/>
      <c r="AT159" s="352"/>
      <c r="AU159" s="436"/>
      <c r="AV159" s="353" t="str">
        <f t="shared" ca="1" si="152"/>
        <v/>
      </c>
      <c r="AW159" s="422" t="str">
        <f t="shared" si="153"/>
        <v/>
      </c>
      <c r="AX159" s="423" t="str">
        <f ca="1">IF(AND($AW159=1,$AP159&lt;16,$AN158&lt;OP!$C$24),OP!$C$49,"")</f>
        <v/>
      </c>
      <c r="AY159" s="340"/>
      <c r="AZ159" s="465">
        <f t="shared" ca="1" si="154"/>
        <v>7.3698599999999999E-5</v>
      </c>
      <c r="BA159" s="464">
        <f t="shared" ca="1" si="155"/>
        <v>2.2109589000000002E-3</v>
      </c>
      <c r="BB159" s="465">
        <f t="shared" ca="1" si="155"/>
        <v>2.2846575E-3</v>
      </c>
      <c r="BC159" s="466">
        <f t="shared" ca="1" si="156"/>
        <v>47453</v>
      </c>
      <c r="BD159" s="467">
        <f t="shared" ca="1" si="177"/>
        <v>47454</v>
      </c>
      <c r="BE159" s="467">
        <f t="shared" ca="1" si="157"/>
        <v>47483</v>
      </c>
      <c r="BF159" s="468">
        <f ca="1">IF(計算!$BC159&lt;OP!$C$3,0,BD159-BC159)</f>
        <v>1</v>
      </c>
      <c r="BG159" s="468">
        <f ca="1">IF($BE159&gt;DATE(YEAR($BD$9)+OP!$C$57,MONTH($BD$9),DAY($BD$9)),0,$BE159-$BD159+1)</f>
        <v>30</v>
      </c>
      <c r="BH159" s="469">
        <f t="shared" ca="1" si="158"/>
        <v>31</v>
      </c>
      <c r="BI159" t="str">
        <f t="shared" si="187"/>
        <v/>
      </c>
      <c r="BJ159">
        <v>6</v>
      </c>
      <c r="BN159" s="468">
        <f t="shared" si="178"/>
        <v>13</v>
      </c>
      <c r="BO159" s="468">
        <f t="shared" si="179"/>
        <v>6</v>
      </c>
      <c r="BP159" s="467">
        <f t="shared" ca="1" si="159"/>
        <v>47454</v>
      </c>
      <c r="BQ159" s="475">
        <f t="shared" ca="1" si="185"/>
        <v>45</v>
      </c>
      <c r="BR159" s="475" t="str">
        <f t="shared" si="180"/>
        <v/>
      </c>
      <c r="BS159" s="471" t="str">
        <f t="shared" si="160"/>
        <v/>
      </c>
      <c r="BT159" s="472" t="str">
        <f t="shared" si="188"/>
        <v/>
      </c>
      <c r="BU159" s="472">
        <f t="shared" ca="1" si="161"/>
        <v>0</v>
      </c>
      <c r="BV159" s="472">
        <f t="shared" ca="1" si="161"/>
        <v>0</v>
      </c>
      <c r="BW159" s="472"/>
      <c r="BX159" s="473">
        <f t="shared" ca="1" si="162"/>
        <v>50086.597173429996</v>
      </c>
      <c r="BY159" s="473">
        <f t="shared" si="163"/>
        <v>0</v>
      </c>
      <c r="BZ159" s="473">
        <f t="shared" ca="1" si="137"/>
        <v>114.43071988200001</v>
      </c>
      <c r="CA159" s="476">
        <f t="shared" ca="1" si="164"/>
        <v>0</v>
      </c>
      <c r="CB159" s="494">
        <f ca="1">IF(OR($Q158&lt;&gt;1,OP!$D$5+$BN159-1&lt;16,$BN159-1&lt;1),0,ROUND(ROUND(ROUND(((VLOOKUP($BN159-1,MORE_PV,5,0)/10000)*VLOOKUP($BN159,MORE_PV,$CB$5,0)),3)*VLOOKUP($BN159,more1,5,0),0)/$R158,0))</f>
        <v>0</v>
      </c>
      <c r="CC159" s="473">
        <f t="shared" ca="1" si="165"/>
        <v>0</v>
      </c>
      <c r="CD159" s="477"/>
      <c r="CE159" s="468">
        <f t="shared" si="181"/>
        <v>13</v>
      </c>
      <c r="CF159" s="468">
        <f t="shared" si="182"/>
        <v>6</v>
      </c>
      <c r="CG159" s="467">
        <f t="shared" ca="1" si="138"/>
        <v>47454</v>
      </c>
      <c r="CH159" s="475">
        <f t="shared" ca="1" si="186"/>
        <v>45</v>
      </c>
      <c r="CI159" s="513" t="str">
        <f t="shared" si="183"/>
        <v/>
      </c>
      <c r="CJ159" s="511">
        <f t="shared" si="166"/>
        <v>0</v>
      </c>
      <c r="CK159" s="512">
        <f t="shared" si="167"/>
        <v>0</v>
      </c>
      <c r="CL159" s="511">
        <f t="shared" ca="1" si="184"/>
        <v>0</v>
      </c>
      <c r="CM159" s="511">
        <f ca="1">ROUND(CS159-IF(OR($CE159&gt;=OP!$C$24,AND(CH159=15,CF159=12),CS159=0),0,(CT159-CR159)),$CM$7)</f>
        <v>0</v>
      </c>
      <c r="CN159" s="511"/>
      <c r="CO159" s="351">
        <f t="shared" ca="1" si="168"/>
        <v>77503</v>
      </c>
      <c r="CP159" s="473">
        <f t="shared" si="169"/>
        <v>0</v>
      </c>
      <c r="CQ159" s="473">
        <f t="shared" ca="1" si="139"/>
        <v>177.06781022300001</v>
      </c>
      <c r="CR159" s="476">
        <f t="shared" ca="1" si="170"/>
        <v>0</v>
      </c>
      <c r="CS159" s="494">
        <f ca="1">IF(OR($Q158&lt;&gt;1,OP!$D$5+$CE159-1&lt;16,$CE159-1&lt;1),0,ROUND(ROUND(ROUND(((VLOOKUP($CE159-1,MORE_PV,5,0)/10000)*VLOOKUP($CE159,MORE_PV,$CS$5,0)),3)*VLOOKUP($CE159,more1,5,0),0)/$R158,0))</f>
        <v>0</v>
      </c>
      <c r="CT159" s="473">
        <f>IF($AW159=1,IF(N($CR159+$CS159)&lt;N($AX159)*OP!$C$50,N($CR159+$CS159),MIN(N($CR159+$CS159),N($AX159))),0)</f>
        <v>0</v>
      </c>
      <c r="CV159" s="503">
        <f t="shared" ca="1" si="171"/>
        <v>77503.224057895</v>
      </c>
      <c r="CW159" s="503">
        <f t="shared" ca="1" si="172"/>
        <v>0</v>
      </c>
      <c r="CX159" s="503">
        <f t="shared" ca="1" si="173"/>
        <v>77674.567873104999</v>
      </c>
    </row>
    <row r="160" spans="2:102" ht="16.5" hidden="1">
      <c r="B160" s="80"/>
      <c r="C160" s="80"/>
      <c r="D160" s="80"/>
      <c r="E160" s="80"/>
      <c r="F160" s="80"/>
      <c r="G160" s="80"/>
      <c r="H160" s="80"/>
      <c r="I160" s="80"/>
      <c r="J160" s="192">
        <f t="shared" si="140"/>
        <v>13</v>
      </c>
      <c r="K160" s="192">
        <f t="shared" si="141"/>
        <v>8</v>
      </c>
      <c r="L160" s="192" t="str">
        <f t="shared" si="134"/>
        <v/>
      </c>
      <c r="M160" s="216">
        <f t="shared" ca="1" si="142"/>
        <v>0</v>
      </c>
      <c r="N160" s="216"/>
      <c r="O160" s="216"/>
      <c r="P160" s="216"/>
      <c r="Q160" s="456" t="str">
        <f t="shared" ca="1" si="143"/>
        <v/>
      </c>
      <c r="R160" s="450">
        <f t="shared" ca="1" si="144"/>
        <v>1</v>
      </c>
      <c r="S160" s="191">
        <f t="shared" si="145"/>
        <v>13</v>
      </c>
      <c r="T160" s="191">
        <f t="shared" si="146"/>
        <v>8</v>
      </c>
      <c r="U160" s="191">
        <f ca="1">OP!$D$5+$S160-1</f>
        <v>45</v>
      </c>
      <c r="V160" s="191" t="str">
        <f t="shared" si="147"/>
        <v/>
      </c>
      <c r="W160" s="350">
        <f ca="1">IF(Q160&lt;&gt;1,0,VLOOKUP(OP!$C$55,PVFB,$S160+2,0))</f>
        <v>0</v>
      </c>
      <c r="X160" s="473">
        <f t="shared" ca="1" si="174"/>
        <v>0</v>
      </c>
      <c r="Y160" s="348">
        <f t="shared" ca="1" si="175"/>
        <v>0</v>
      </c>
      <c r="Z160" s="348">
        <f t="shared" ca="1" si="176"/>
        <v>8012</v>
      </c>
      <c r="AA160" s="348">
        <f ca="1">IF(Q160&lt;&gt;1,0,VLOOKUP(OP!$C$55,PVFB,$S160+2,0))</f>
        <v>0</v>
      </c>
      <c r="AB160" s="488" t="str">
        <f ca="1">IF(AND(S160&lt;OP!$C$24,$U160&lt;15),0,IF(AND($U160&lt;15,$T160=12),ROUND(VLOOKUP($S160,DOWN16,5,0),3),IF($T160=12,ROUND(($Z160/10000)*$AA160,3)+IF(AND($P$7="購買增額繳清保險",T160=12,U160=110),VLOOKUP(S160,$B$10:$H$121,7,0),0),"")))</f>
        <v/>
      </c>
      <c r="AC160" s="350" t="str">
        <f ca="1">IF(AND(S160&lt;OP!$C$24,$U160&lt;15),0,IF(AND($U160&lt;16,$T160=12),VLOOKUP($S160,DOWN16,4,0),IF($T160=12,ROUND(VLOOKUP(OP!$C$55,_DIE2,$S160+1,0)*(Z160/10000),0)+IF(AND($P$7="購買增額繳清保險",T160=12,U160=110),VLOOKUP(S160,$B$10:$H$121,7,0),0),"")))</f>
        <v/>
      </c>
      <c r="AD160" s="347"/>
      <c r="AE160" s="350" t="str">
        <f t="shared" ca="1" si="135"/>
        <v/>
      </c>
      <c r="AF160" s="351" t="str">
        <f t="shared" ca="1" si="136"/>
        <v/>
      </c>
      <c r="AG160" s="340"/>
      <c r="AH160" s="340"/>
      <c r="AI160" s="340"/>
      <c r="AJ160" s="340"/>
      <c r="AK160" s="340"/>
      <c r="AL160" s="340"/>
      <c r="AM160" s="340"/>
      <c r="AN160" s="191">
        <f t="shared" si="148"/>
        <v>13</v>
      </c>
      <c r="AO160" s="191">
        <f t="shared" si="149"/>
        <v>8</v>
      </c>
      <c r="AP160" s="191">
        <f ca="1">OP!$D$5+$AN160-1</f>
        <v>45</v>
      </c>
      <c r="AQ160" s="191" t="str">
        <f t="shared" si="150"/>
        <v/>
      </c>
      <c r="AR160" s="352">
        <f t="shared" ca="1" si="151"/>
        <v>0</v>
      </c>
      <c r="AS160" s="352"/>
      <c r="AT160" s="352"/>
      <c r="AU160" s="436"/>
      <c r="AV160" s="353" t="str">
        <f t="shared" ca="1" si="152"/>
        <v/>
      </c>
      <c r="AW160" s="422" t="str">
        <f t="shared" si="153"/>
        <v/>
      </c>
      <c r="AX160" s="423" t="str">
        <f ca="1">IF(AND($AW160=1,$AP160&lt;16,$AN159&lt;OP!$C$24),OP!$C$49,"")</f>
        <v/>
      </c>
      <c r="AY160" s="340"/>
      <c r="AZ160" s="465">
        <f t="shared" ca="1" si="154"/>
        <v>7.3698599999999999E-5</v>
      </c>
      <c r="BA160" s="464">
        <f t="shared" ca="1" si="155"/>
        <v>2.2109589000000002E-3</v>
      </c>
      <c r="BB160" s="465">
        <f t="shared" ca="1" si="155"/>
        <v>2.2846575E-3</v>
      </c>
      <c r="BC160" s="466">
        <f t="shared" ca="1" si="156"/>
        <v>47484</v>
      </c>
      <c r="BD160" s="467">
        <f t="shared" ca="1" si="177"/>
        <v>47485</v>
      </c>
      <c r="BE160" s="467">
        <f t="shared" ca="1" si="157"/>
        <v>47514</v>
      </c>
      <c r="BF160" s="468">
        <f ca="1">IF(計算!$BC160&lt;OP!$C$3,0,BD160-BC160)</f>
        <v>1</v>
      </c>
      <c r="BG160" s="468">
        <f ca="1">IF($BE160&gt;DATE(YEAR($BD$9)+OP!$C$57,MONTH($BD$9),DAY($BD$9)),0,$BE160-$BD160+1)</f>
        <v>30</v>
      </c>
      <c r="BH160" s="469">
        <f t="shared" ca="1" si="158"/>
        <v>31</v>
      </c>
      <c r="BI160" t="str">
        <f t="shared" si="187"/>
        <v/>
      </c>
      <c r="BJ160">
        <v>7</v>
      </c>
      <c r="BN160" s="468">
        <f t="shared" si="178"/>
        <v>13</v>
      </c>
      <c r="BO160" s="468">
        <f t="shared" si="179"/>
        <v>7</v>
      </c>
      <c r="BP160" s="467">
        <f t="shared" ca="1" si="159"/>
        <v>47485</v>
      </c>
      <c r="BQ160" s="475">
        <f t="shared" ca="1" si="185"/>
        <v>45</v>
      </c>
      <c r="BR160" s="475" t="str">
        <f t="shared" si="180"/>
        <v/>
      </c>
      <c r="BS160" s="471" t="str">
        <f t="shared" si="160"/>
        <v/>
      </c>
      <c r="BT160" s="472" t="str">
        <f t="shared" si="188"/>
        <v/>
      </c>
      <c r="BU160" s="472">
        <f t="shared" ca="1" si="161"/>
        <v>0</v>
      </c>
      <c r="BV160" s="472">
        <f t="shared" ca="1" si="161"/>
        <v>0</v>
      </c>
      <c r="BW160" s="472"/>
      <c r="BX160" s="473">
        <f t="shared" ca="1" si="162"/>
        <v>50201.027893311999</v>
      </c>
      <c r="BY160" s="473">
        <f t="shared" si="163"/>
        <v>0</v>
      </c>
      <c r="BZ160" s="473">
        <f t="shared" ca="1" si="137"/>
        <v>114.692154884</v>
      </c>
      <c r="CA160" s="476">
        <f t="shared" ca="1" si="164"/>
        <v>0</v>
      </c>
      <c r="CB160" s="494">
        <f ca="1">IF(OR($Q159&lt;&gt;1,OP!$D$5+$BN160-1&lt;16,$BN160-1&lt;1),0,ROUND(ROUND(ROUND(((VLOOKUP($BN160-1,MORE_PV,5,0)/10000)*VLOOKUP($BN160,MORE_PV,$CB$5,0)),3)*VLOOKUP($BN160,more1,5,0),0)/$R159,0))</f>
        <v>0</v>
      </c>
      <c r="CC160" s="473">
        <f t="shared" ca="1" si="165"/>
        <v>0</v>
      </c>
      <c r="CD160" s="477"/>
      <c r="CE160" s="468">
        <f t="shared" si="181"/>
        <v>13</v>
      </c>
      <c r="CF160" s="468">
        <f t="shared" si="182"/>
        <v>7</v>
      </c>
      <c r="CG160" s="467">
        <f t="shared" ca="1" si="138"/>
        <v>47485</v>
      </c>
      <c r="CH160" s="475">
        <f t="shared" ca="1" si="186"/>
        <v>45</v>
      </c>
      <c r="CI160" s="513" t="str">
        <f t="shared" si="183"/>
        <v/>
      </c>
      <c r="CJ160" s="511">
        <f t="shared" si="166"/>
        <v>0</v>
      </c>
      <c r="CK160" s="512">
        <f t="shared" si="167"/>
        <v>0</v>
      </c>
      <c r="CL160" s="511">
        <f t="shared" ca="1" si="184"/>
        <v>0</v>
      </c>
      <c r="CM160" s="511">
        <f ca="1">ROUND(CS160-IF(OR($CE160&gt;=OP!$C$24,AND(CH160=15,CF160=12),CS160=0),0,(CT160-CR160)),$CM$7)</f>
        <v>0</v>
      </c>
      <c r="CN160" s="511"/>
      <c r="CO160" s="351">
        <f t="shared" ca="1" si="168"/>
        <v>77680</v>
      </c>
      <c r="CP160" s="473">
        <f t="shared" si="169"/>
        <v>0</v>
      </c>
      <c r="CQ160" s="473">
        <f t="shared" ca="1" si="139"/>
        <v>177.47219459999999</v>
      </c>
      <c r="CR160" s="476">
        <f t="shared" ca="1" si="170"/>
        <v>0</v>
      </c>
      <c r="CS160" s="494">
        <f ca="1">IF(OR($Q159&lt;&gt;1,OP!$D$5+$CE160-1&lt;16,$CE160-1&lt;1),0,ROUND(ROUND(ROUND(((VLOOKUP($CE160-1,MORE_PV,5,0)/10000)*VLOOKUP($CE160,MORE_PV,$CS$5,0)),3)*VLOOKUP($CE160,more1,5,0),0)/$R159,0))</f>
        <v>0</v>
      </c>
      <c r="CT160" s="473">
        <f>IF($AW160=1,IF(N($CR160+$CS160)&lt;N($AX160)*OP!$C$50,N($CR160+$CS160),MIN(N($CR160+$CS160),N($AX160))),0)</f>
        <v>0</v>
      </c>
      <c r="CV160" s="503">
        <f t="shared" ca="1" si="171"/>
        <v>77680.292380012994</v>
      </c>
      <c r="CW160" s="503">
        <f t="shared" ca="1" si="172"/>
        <v>0</v>
      </c>
      <c r="CX160" s="503">
        <f t="shared" ca="1" si="173"/>
        <v>77852.027657155995</v>
      </c>
    </row>
    <row r="161" spans="2:102" ht="16.5" hidden="1">
      <c r="B161" s="80"/>
      <c r="C161" s="80"/>
      <c r="D161" s="80"/>
      <c r="E161" s="80"/>
      <c r="F161" s="80"/>
      <c r="G161" s="80"/>
      <c r="H161" s="80"/>
      <c r="I161" s="80"/>
      <c r="J161" s="192">
        <f t="shared" si="140"/>
        <v>13</v>
      </c>
      <c r="K161" s="192">
        <f t="shared" si="141"/>
        <v>9</v>
      </c>
      <c r="L161" s="192" t="str">
        <f t="shared" si="134"/>
        <v/>
      </c>
      <c r="M161" s="216">
        <f t="shared" ca="1" si="142"/>
        <v>0</v>
      </c>
      <c r="N161" s="216"/>
      <c r="O161" s="216"/>
      <c r="P161" s="216"/>
      <c r="Q161" s="456" t="str">
        <f t="shared" ca="1" si="143"/>
        <v/>
      </c>
      <c r="R161" s="450">
        <f t="shared" ca="1" si="144"/>
        <v>1</v>
      </c>
      <c r="S161" s="191">
        <f t="shared" si="145"/>
        <v>13</v>
      </c>
      <c r="T161" s="191">
        <f t="shared" si="146"/>
        <v>9</v>
      </c>
      <c r="U161" s="191">
        <f ca="1">OP!$D$5+$S161-1</f>
        <v>45</v>
      </c>
      <c r="V161" s="191" t="str">
        <f t="shared" si="147"/>
        <v/>
      </c>
      <c r="W161" s="350">
        <f ca="1">IF(Q161&lt;&gt;1,0,VLOOKUP(OP!$C$55,PVFB,$S161+2,0))</f>
        <v>0</v>
      </c>
      <c r="X161" s="473">
        <f t="shared" ca="1" si="174"/>
        <v>0</v>
      </c>
      <c r="Y161" s="348">
        <f t="shared" ca="1" si="175"/>
        <v>0</v>
      </c>
      <c r="Z161" s="348">
        <f t="shared" ca="1" si="176"/>
        <v>8012</v>
      </c>
      <c r="AA161" s="348">
        <f ca="1">IF(Q161&lt;&gt;1,0,VLOOKUP(OP!$C$55,PVFB,$S161+2,0))</f>
        <v>0</v>
      </c>
      <c r="AB161" s="488" t="str">
        <f ca="1">IF(AND(S161&lt;OP!$C$24,$U161&lt;15),0,IF(AND($U161&lt;15,$T161=12),ROUND(VLOOKUP($S161,DOWN16,5,0),3),IF($T161=12,ROUND(($Z161/10000)*$AA161,3)+IF(AND($P$7="購買增額繳清保險",T161=12,U161=110),VLOOKUP(S161,$B$10:$H$121,7,0),0),"")))</f>
        <v/>
      </c>
      <c r="AC161" s="350" t="str">
        <f ca="1">IF(AND(S161&lt;OP!$C$24,$U161&lt;15),0,IF(AND($U161&lt;16,$T161=12),VLOOKUP($S161,DOWN16,4,0),IF($T161=12,ROUND(VLOOKUP(OP!$C$55,_DIE2,$S161+1,0)*(Z161/10000),0)+IF(AND($P$7="購買增額繳清保險",T161=12,U161=110),VLOOKUP(S161,$B$10:$H$121,7,0),0),"")))</f>
        <v/>
      </c>
      <c r="AD161" s="347"/>
      <c r="AE161" s="350" t="str">
        <f t="shared" ca="1" si="135"/>
        <v/>
      </c>
      <c r="AF161" s="351" t="str">
        <f t="shared" ca="1" si="136"/>
        <v/>
      </c>
      <c r="AG161" s="340"/>
      <c r="AH161" s="340"/>
      <c r="AI161" s="340"/>
      <c r="AJ161" s="340"/>
      <c r="AK161" s="340"/>
      <c r="AL161" s="340"/>
      <c r="AM161" s="340"/>
      <c r="AN161" s="191">
        <f t="shared" si="148"/>
        <v>13</v>
      </c>
      <c r="AO161" s="191">
        <f t="shared" si="149"/>
        <v>9</v>
      </c>
      <c r="AP161" s="191">
        <f ca="1">OP!$D$5+$AN161-1</f>
        <v>45</v>
      </c>
      <c r="AQ161" s="191" t="str">
        <f t="shared" si="150"/>
        <v/>
      </c>
      <c r="AR161" s="352">
        <f t="shared" ca="1" si="151"/>
        <v>0</v>
      </c>
      <c r="AS161" s="352"/>
      <c r="AT161" s="352"/>
      <c r="AU161" s="436"/>
      <c r="AV161" s="353" t="str">
        <f t="shared" ca="1" si="152"/>
        <v/>
      </c>
      <c r="AW161" s="422" t="str">
        <f t="shared" si="153"/>
        <v/>
      </c>
      <c r="AX161" s="423" t="str">
        <f ca="1">IF(AND($AW161=1,$AP161&lt;16,$AN160&lt;OP!$C$24),OP!$C$49,"")</f>
        <v/>
      </c>
      <c r="AY161" s="340"/>
      <c r="AZ161" s="465">
        <f t="shared" ca="1" si="154"/>
        <v>7.3698599999999999E-5</v>
      </c>
      <c r="BA161" s="464">
        <f t="shared" ca="1" si="155"/>
        <v>1.9898630000000001E-3</v>
      </c>
      <c r="BB161" s="465">
        <f t="shared" ca="1" si="155"/>
        <v>2.0635616E-3</v>
      </c>
      <c r="BC161" s="466">
        <f t="shared" ca="1" si="156"/>
        <v>47515</v>
      </c>
      <c r="BD161" s="467">
        <f t="shared" ca="1" si="177"/>
        <v>47516</v>
      </c>
      <c r="BE161" s="467">
        <f t="shared" ca="1" si="157"/>
        <v>47542</v>
      </c>
      <c r="BF161" s="468">
        <f ca="1">IF(計算!$BC161&lt;OP!$C$3,0,BD161-BC161)</f>
        <v>1</v>
      </c>
      <c r="BG161" s="468">
        <f ca="1">IF($BE161&gt;DATE(YEAR($BD$9)+OP!$C$57,MONTH($BD$9),DAY($BD$9)),0,$BE161-$BD161+1)</f>
        <v>27</v>
      </c>
      <c r="BH161" s="469">
        <f t="shared" ca="1" si="158"/>
        <v>28</v>
      </c>
      <c r="BI161" t="str">
        <f t="shared" si="187"/>
        <v/>
      </c>
      <c r="BJ161">
        <v>8</v>
      </c>
      <c r="BN161" s="468">
        <f t="shared" si="178"/>
        <v>13</v>
      </c>
      <c r="BO161" s="468">
        <f t="shared" si="179"/>
        <v>8</v>
      </c>
      <c r="BP161" s="467">
        <f t="shared" ca="1" si="159"/>
        <v>47516</v>
      </c>
      <c r="BQ161" s="475">
        <f t="shared" ca="1" si="185"/>
        <v>45</v>
      </c>
      <c r="BR161" s="475" t="str">
        <f t="shared" si="180"/>
        <v/>
      </c>
      <c r="BS161" s="471" t="str">
        <f t="shared" si="160"/>
        <v/>
      </c>
      <c r="BT161" s="472" t="str">
        <f t="shared" si="188"/>
        <v/>
      </c>
      <c r="BU161" s="472">
        <f t="shared" ca="1" si="161"/>
        <v>0</v>
      </c>
      <c r="BV161" s="472">
        <f t="shared" ca="1" si="161"/>
        <v>0</v>
      </c>
      <c r="BW161" s="472"/>
      <c r="BX161" s="473">
        <f t="shared" ca="1" si="162"/>
        <v>50315.720048196003</v>
      </c>
      <c r="BY161" s="473">
        <f t="shared" si="163"/>
        <v>0</v>
      </c>
      <c r="BZ161" s="473">
        <f t="shared" ca="1" si="137"/>
        <v>103.829587768</v>
      </c>
      <c r="CA161" s="476">
        <f t="shared" ca="1" si="164"/>
        <v>0</v>
      </c>
      <c r="CB161" s="494">
        <f ca="1">IF(OR($Q160&lt;&gt;1,OP!$D$5+$BN161-1&lt;16,$BN161-1&lt;1),0,ROUND(ROUND(ROUND(((VLOOKUP($BN161-1,MORE_PV,5,0)/10000)*VLOOKUP($BN161,MORE_PV,$CB$5,0)),3)*VLOOKUP($BN161,more1,5,0),0)/$R160,0))</f>
        <v>0</v>
      </c>
      <c r="CC161" s="473">
        <f t="shared" ca="1" si="165"/>
        <v>0</v>
      </c>
      <c r="CD161" s="477"/>
      <c r="CE161" s="468">
        <f t="shared" si="181"/>
        <v>13</v>
      </c>
      <c r="CF161" s="468">
        <f t="shared" si="182"/>
        <v>8</v>
      </c>
      <c r="CG161" s="467">
        <f t="shared" ca="1" si="138"/>
        <v>47516</v>
      </c>
      <c r="CH161" s="475">
        <f t="shared" ca="1" si="186"/>
        <v>45</v>
      </c>
      <c r="CI161" s="513" t="str">
        <f t="shared" si="183"/>
        <v/>
      </c>
      <c r="CJ161" s="511">
        <f t="shared" si="166"/>
        <v>0</v>
      </c>
      <c r="CK161" s="512">
        <f t="shared" si="167"/>
        <v>0</v>
      </c>
      <c r="CL161" s="511">
        <f t="shared" ca="1" si="184"/>
        <v>0</v>
      </c>
      <c r="CM161" s="511">
        <f ca="1">ROUND(CS161-IF(OR($CE161&gt;=OP!$C$24,AND(CH161=15,CF161=12),CS161=0),0,(CT161-CR161)),$CM$7)</f>
        <v>0</v>
      </c>
      <c r="CN161" s="511"/>
      <c r="CO161" s="351">
        <f t="shared" ca="1" si="168"/>
        <v>77858</v>
      </c>
      <c r="CP161" s="473">
        <f t="shared" si="169"/>
        <v>0</v>
      </c>
      <c r="CQ161" s="473">
        <f t="shared" ca="1" si="139"/>
        <v>160.66477905299999</v>
      </c>
      <c r="CR161" s="476">
        <f t="shared" ca="1" si="170"/>
        <v>0</v>
      </c>
      <c r="CS161" s="494">
        <f ca="1">IF(OR($Q160&lt;&gt;1,OP!$D$5+$CE161-1&lt;16,$CE161-1&lt;1),0,ROUND(ROUND(ROUND(((VLOOKUP($CE161-1,MORE_PV,5,0)/10000)*VLOOKUP($CE161,MORE_PV,$CS$5,0)),3)*VLOOKUP($CE161,more1,5,0),0)/$R160,0))</f>
        <v>0</v>
      </c>
      <c r="CT161" s="473">
        <f>IF($AW161=1,IF(N($CR161+$CS161)&lt;N($AX161)*OP!$C$50,N($CR161+$CS161),MIN(N($CR161+$CS161),N($AX161))),0)</f>
        <v>0</v>
      </c>
      <c r="CV161" s="503">
        <f t="shared" ca="1" si="171"/>
        <v>77857.765242602007</v>
      </c>
      <c r="CW161" s="503">
        <f t="shared" ca="1" si="172"/>
        <v>0</v>
      </c>
      <c r="CX161" s="503">
        <f t="shared" ca="1" si="173"/>
        <v>78012.680111911002</v>
      </c>
    </row>
    <row r="162" spans="2:102" ht="16.5" hidden="1">
      <c r="B162" s="80"/>
      <c r="C162" s="80"/>
      <c r="D162" s="80"/>
      <c r="E162" s="80"/>
      <c r="F162" s="80"/>
      <c r="G162" s="80"/>
      <c r="H162" s="80"/>
      <c r="I162" s="80"/>
      <c r="J162" s="192">
        <f t="shared" si="140"/>
        <v>13</v>
      </c>
      <c r="K162" s="192">
        <f t="shared" si="141"/>
        <v>10</v>
      </c>
      <c r="L162" s="192" t="str">
        <f t="shared" si="134"/>
        <v/>
      </c>
      <c r="M162" s="216">
        <f t="shared" ca="1" si="142"/>
        <v>0</v>
      </c>
      <c r="N162" s="216"/>
      <c r="O162" s="216"/>
      <c r="P162" s="216"/>
      <c r="Q162" s="456" t="str">
        <f t="shared" ca="1" si="143"/>
        <v/>
      </c>
      <c r="R162" s="450">
        <f t="shared" ca="1" si="144"/>
        <v>1</v>
      </c>
      <c r="S162" s="191">
        <f t="shared" si="145"/>
        <v>13</v>
      </c>
      <c r="T162" s="191">
        <f t="shared" si="146"/>
        <v>10</v>
      </c>
      <c r="U162" s="191">
        <f ca="1">OP!$D$5+$S162-1</f>
        <v>45</v>
      </c>
      <c r="V162" s="191" t="str">
        <f t="shared" si="147"/>
        <v/>
      </c>
      <c r="W162" s="350">
        <f ca="1">IF(Q162&lt;&gt;1,0,VLOOKUP(OP!$C$55,PVFB,$S162+2,0))</f>
        <v>0</v>
      </c>
      <c r="X162" s="473">
        <f t="shared" ca="1" si="174"/>
        <v>0</v>
      </c>
      <c r="Y162" s="348">
        <f t="shared" ca="1" si="175"/>
        <v>0</v>
      </c>
      <c r="Z162" s="348">
        <f t="shared" ca="1" si="176"/>
        <v>8012</v>
      </c>
      <c r="AA162" s="348">
        <f ca="1">IF(Q162&lt;&gt;1,0,VLOOKUP(OP!$C$55,PVFB,$S162+2,0))</f>
        <v>0</v>
      </c>
      <c r="AB162" s="488" t="str">
        <f ca="1">IF(AND(S162&lt;OP!$C$24,$U162&lt;15),0,IF(AND($U162&lt;15,$T162=12),ROUND(VLOOKUP($S162,DOWN16,5,0),3),IF($T162=12,ROUND(($Z162/10000)*$AA162,3)+IF(AND($P$7="購買增額繳清保險",T162=12,U162=110),VLOOKUP(S162,$B$10:$H$121,7,0),0),"")))</f>
        <v/>
      </c>
      <c r="AC162" s="350" t="str">
        <f ca="1">IF(AND(S162&lt;OP!$C$24,$U162&lt;15),0,IF(AND($U162&lt;16,$T162=12),VLOOKUP($S162,DOWN16,4,0),IF($T162=12,ROUND(VLOOKUP(OP!$C$55,_DIE2,$S162+1,0)*(Z162/10000),0)+IF(AND($P$7="購買增額繳清保險",T162=12,U162=110),VLOOKUP(S162,$B$10:$H$121,7,0),0),"")))</f>
        <v/>
      </c>
      <c r="AD162" s="347"/>
      <c r="AE162" s="350" t="str">
        <f t="shared" ca="1" si="135"/>
        <v/>
      </c>
      <c r="AF162" s="351" t="str">
        <f t="shared" ca="1" si="136"/>
        <v/>
      </c>
      <c r="AG162" s="340"/>
      <c r="AH162" s="340"/>
      <c r="AI162" s="340"/>
      <c r="AJ162" s="340"/>
      <c r="AK162" s="340"/>
      <c r="AL162" s="340"/>
      <c r="AM162" s="340"/>
      <c r="AN162" s="191">
        <f t="shared" si="148"/>
        <v>13</v>
      </c>
      <c r="AO162" s="191">
        <f t="shared" si="149"/>
        <v>10</v>
      </c>
      <c r="AP162" s="191">
        <f ca="1">OP!$D$5+$AN162-1</f>
        <v>45</v>
      </c>
      <c r="AQ162" s="191" t="str">
        <f t="shared" si="150"/>
        <v/>
      </c>
      <c r="AR162" s="352">
        <f t="shared" ca="1" si="151"/>
        <v>0</v>
      </c>
      <c r="AS162" s="352"/>
      <c r="AT162" s="352"/>
      <c r="AU162" s="436"/>
      <c r="AV162" s="353" t="str">
        <f t="shared" ca="1" si="152"/>
        <v/>
      </c>
      <c r="AW162" s="422" t="str">
        <f t="shared" si="153"/>
        <v/>
      </c>
      <c r="AX162" s="423" t="str">
        <f ca="1">IF(AND($AW162=1,$AP162&lt;16,$AN161&lt;OP!$C$24),OP!$C$49,"")</f>
        <v/>
      </c>
      <c r="AY162" s="340"/>
      <c r="AZ162" s="465">
        <f t="shared" ca="1" si="154"/>
        <v>7.3698599999999999E-5</v>
      </c>
      <c r="BA162" s="464">
        <f t="shared" ca="1" si="155"/>
        <v>2.2109589000000002E-3</v>
      </c>
      <c r="BB162" s="465">
        <f t="shared" ca="1" si="155"/>
        <v>2.2846575E-3</v>
      </c>
      <c r="BC162" s="466">
        <f t="shared" ca="1" si="156"/>
        <v>47543</v>
      </c>
      <c r="BD162" s="467">
        <f t="shared" ca="1" si="177"/>
        <v>47544</v>
      </c>
      <c r="BE162" s="467">
        <f t="shared" ca="1" si="157"/>
        <v>47573</v>
      </c>
      <c r="BF162" s="468">
        <f ca="1">IF(計算!$BC162&lt;OP!$C$3,0,BD162-BC162)</f>
        <v>1</v>
      </c>
      <c r="BG162" s="468">
        <f ca="1">IF($BE162&gt;DATE(YEAR($BD$9)+OP!$C$57,MONTH($BD$9),DAY($BD$9)),0,$BE162-$BD162+1)</f>
        <v>30</v>
      </c>
      <c r="BH162" s="469">
        <f t="shared" ca="1" si="158"/>
        <v>31</v>
      </c>
      <c r="BI162" t="str">
        <f t="shared" si="187"/>
        <v/>
      </c>
      <c r="BJ162">
        <v>9</v>
      </c>
      <c r="BN162" s="468">
        <f t="shared" si="178"/>
        <v>13</v>
      </c>
      <c r="BO162" s="468">
        <f t="shared" si="179"/>
        <v>9</v>
      </c>
      <c r="BP162" s="467">
        <f t="shared" ca="1" si="159"/>
        <v>47544</v>
      </c>
      <c r="BQ162" s="475">
        <f t="shared" ca="1" si="185"/>
        <v>45</v>
      </c>
      <c r="BR162" s="475" t="str">
        <f t="shared" si="180"/>
        <v/>
      </c>
      <c r="BS162" s="471" t="str">
        <f t="shared" si="160"/>
        <v/>
      </c>
      <c r="BT162" s="472" t="str">
        <f t="shared" si="188"/>
        <v/>
      </c>
      <c r="BU162" s="472">
        <f t="shared" ca="1" si="161"/>
        <v>0</v>
      </c>
      <c r="BV162" s="472">
        <f t="shared" ca="1" si="161"/>
        <v>0</v>
      </c>
      <c r="BW162" s="472"/>
      <c r="BX162" s="473">
        <f t="shared" ca="1" si="162"/>
        <v>50419.549635964002</v>
      </c>
      <c r="BY162" s="473">
        <f t="shared" si="163"/>
        <v>0</v>
      </c>
      <c r="BZ162" s="473">
        <f t="shared" ca="1" si="137"/>
        <v>115.19140222199999</v>
      </c>
      <c r="CA162" s="476">
        <f t="shared" ca="1" si="164"/>
        <v>0</v>
      </c>
      <c r="CB162" s="494">
        <f ca="1">IF(OR($Q161&lt;&gt;1,OP!$D$5+$BN162-1&lt;16,$BN162-1&lt;1),0,ROUND(ROUND(ROUND(((VLOOKUP($BN162-1,MORE_PV,5,0)/10000)*VLOOKUP($BN162,MORE_PV,$CB$5,0)),3)*VLOOKUP($BN162,more1,5,0),0)/$R161,0))</f>
        <v>0</v>
      </c>
      <c r="CC162" s="473">
        <f t="shared" ca="1" si="165"/>
        <v>0</v>
      </c>
      <c r="CD162" s="477"/>
      <c r="CE162" s="468">
        <f t="shared" si="181"/>
        <v>13</v>
      </c>
      <c r="CF162" s="468">
        <f t="shared" si="182"/>
        <v>9</v>
      </c>
      <c r="CG162" s="467">
        <f t="shared" ca="1" si="138"/>
        <v>47544</v>
      </c>
      <c r="CH162" s="475">
        <f t="shared" ca="1" si="186"/>
        <v>45</v>
      </c>
      <c r="CI162" s="513" t="str">
        <f t="shared" si="183"/>
        <v/>
      </c>
      <c r="CJ162" s="511">
        <f t="shared" si="166"/>
        <v>0</v>
      </c>
      <c r="CK162" s="512">
        <f t="shared" si="167"/>
        <v>0</v>
      </c>
      <c r="CL162" s="511">
        <f t="shared" ca="1" si="184"/>
        <v>0</v>
      </c>
      <c r="CM162" s="511">
        <f ca="1">ROUND(CS162-IF(OR($CE162&gt;=OP!$C$24,AND(CH162=15,CF162=12),CS162=0),0,(CT162-CR162)),$CM$7)</f>
        <v>0</v>
      </c>
      <c r="CN162" s="511"/>
      <c r="CO162" s="351">
        <f t="shared" ca="1" si="168"/>
        <v>78018</v>
      </c>
      <c r="CP162" s="473">
        <f t="shared" si="169"/>
        <v>0</v>
      </c>
      <c r="CQ162" s="473">
        <f t="shared" ca="1" si="139"/>
        <v>178.244408835</v>
      </c>
      <c r="CR162" s="476">
        <f t="shared" ca="1" si="170"/>
        <v>0</v>
      </c>
      <c r="CS162" s="494">
        <f ca="1">IF(OR($Q161&lt;&gt;1,OP!$D$5+$CE162-1&lt;16,$CE162-1&lt;1),0,ROUND(ROUND(ROUND(((VLOOKUP($CE162-1,MORE_PV,5,0)/10000)*VLOOKUP($CE162,MORE_PV,$CS$5,0)),3)*VLOOKUP($CE162,more1,5,0),0)/$R161,0))</f>
        <v>0</v>
      </c>
      <c r="CT162" s="473">
        <f>IF($AW162=1,IF(N($CR162+$CS162)&lt;N($AX162)*OP!$C$50,N($CR162+$CS162),MIN(N($CR162+$CS162),N($AX162))),0)</f>
        <v>0</v>
      </c>
      <c r="CV162" s="503">
        <f t="shared" ca="1" si="171"/>
        <v>78018.429537218006</v>
      </c>
      <c r="CW162" s="503">
        <f t="shared" ca="1" si="172"/>
        <v>0</v>
      </c>
      <c r="CX162" s="503">
        <f t="shared" ca="1" si="173"/>
        <v>78190.912366624005</v>
      </c>
    </row>
    <row r="163" spans="2:102" ht="16.5" hidden="1">
      <c r="B163" s="80"/>
      <c r="C163" s="80"/>
      <c r="D163" s="80"/>
      <c r="E163" s="80"/>
      <c r="F163" s="80"/>
      <c r="G163" s="80"/>
      <c r="H163" s="80"/>
      <c r="I163" s="80"/>
      <c r="J163" s="192">
        <f t="shared" si="140"/>
        <v>13</v>
      </c>
      <c r="K163" s="192">
        <f t="shared" si="141"/>
        <v>11</v>
      </c>
      <c r="L163" s="192" t="str">
        <f t="shared" si="134"/>
        <v/>
      </c>
      <c r="M163" s="216">
        <f t="shared" ca="1" si="142"/>
        <v>0</v>
      </c>
      <c r="N163" s="216"/>
      <c r="O163" s="216"/>
      <c r="P163" s="216"/>
      <c r="Q163" s="456" t="str">
        <f t="shared" ca="1" si="143"/>
        <v/>
      </c>
      <c r="R163" s="450">
        <f t="shared" ca="1" si="144"/>
        <v>1</v>
      </c>
      <c r="S163" s="191">
        <f t="shared" si="145"/>
        <v>13</v>
      </c>
      <c r="T163" s="191">
        <f t="shared" si="146"/>
        <v>11</v>
      </c>
      <c r="U163" s="191">
        <f ca="1">OP!$D$5+$S163-1</f>
        <v>45</v>
      </c>
      <c r="V163" s="191" t="str">
        <f t="shared" si="147"/>
        <v/>
      </c>
      <c r="W163" s="350">
        <f ca="1">IF(Q163&lt;&gt;1,0,VLOOKUP(OP!$C$55,PVFB,$S163+2,0))</f>
        <v>0</v>
      </c>
      <c r="X163" s="473">
        <f t="shared" ca="1" si="174"/>
        <v>0</v>
      </c>
      <c r="Y163" s="348">
        <f t="shared" ca="1" si="175"/>
        <v>0</v>
      </c>
      <c r="Z163" s="348">
        <f t="shared" ca="1" si="176"/>
        <v>8012</v>
      </c>
      <c r="AA163" s="348">
        <f ca="1">IF(Q163&lt;&gt;1,0,VLOOKUP(OP!$C$55,PVFB,$S163+2,0))</f>
        <v>0</v>
      </c>
      <c r="AB163" s="488" t="str">
        <f ca="1">IF(AND(S163&lt;OP!$C$24,$U163&lt;15),0,IF(AND($U163&lt;15,$T163=12),ROUND(VLOOKUP($S163,DOWN16,5,0),3),IF($T163=12,ROUND(($Z163/10000)*$AA163,3)+IF(AND($P$7="購買增額繳清保險",T163=12,U163=110),VLOOKUP(S163,$B$10:$H$121,7,0),0),"")))</f>
        <v/>
      </c>
      <c r="AC163" s="350" t="str">
        <f ca="1">IF(AND(S163&lt;OP!$C$24,$U163&lt;15),0,IF(AND($U163&lt;16,$T163=12),VLOOKUP($S163,DOWN16,4,0),IF($T163=12,ROUND(VLOOKUP(OP!$C$55,_DIE2,$S163+1,0)*(Z163/10000),0)+IF(AND($P$7="購買增額繳清保險",T163=12,U163=110),VLOOKUP(S163,$B$10:$H$121,7,0),0),"")))</f>
        <v/>
      </c>
      <c r="AD163" s="347"/>
      <c r="AE163" s="350" t="str">
        <f t="shared" ca="1" si="135"/>
        <v/>
      </c>
      <c r="AF163" s="351" t="str">
        <f t="shared" ca="1" si="136"/>
        <v/>
      </c>
      <c r="AG163" s="340"/>
      <c r="AH163" s="340"/>
      <c r="AI163" s="340"/>
      <c r="AJ163" s="340"/>
      <c r="AK163" s="340"/>
      <c r="AL163" s="340"/>
      <c r="AM163" s="340"/>
      <c r="AN163" s="191">
        <f t="shared" si="148"/>
        <v>13</v>
      </c>
      <c r="AO163" s="191">
        <f t="shared" si="149"/>
        <v>11</v>
      </c>
      <c r="AP163" s="191">
        <f ca="1">OP!$D$5+$AN163-1</f>
        <v>45</v>
      </c>
      <c r="AQ163" s="191" t="str">
        <f t="shared" si="150"/>
        <v/>
      </c>
      <c r="AR163" s="352">
        <f t="shared" ca="1" si="151"/>
        <v>0</v>
      </c>
      <c r="AS163" s="352"/>
      <c r="AT163" s="352"/>
      <c r="AU163" s="436"/>
      <c r="AV163" s="353" t="str">
        <f t="shared" ca="1" si="152"/>
        <v/>
      </c>
      <c r="AW163" s="422" t="str">
        <f t="shared" si="153"/>
        <v/>
      </c>
      <c r="AX163" s="423" t="str">
        <f ca="1">IF(AND($AW163=1,$AP163&lt;16,$AN162&lt;OP!$C$24),OP!$C$49,"")</f>
        <v/>
      </c>
      <c r="AY163" s="340"/>
      <c r="AZ163" s="465">
        <f t="shared" ca="1" si="154"/>
        <v>7.3698599999999999E-5</v>
      </c>
      <c r="BA163" s="464">
        <f t="shared" ca="1" si="155"/>
        <v>2.1372602999999999E-3</v>
      </c>
      <c r="BB163" s="465">
        <f t="shared" ca="1" si="155"/>
        <v>2.2109589000000002E-3</v>
      </c>
      <c r="BC163" s="466">
        <f t="shared" ca="1" si="156"/>
        <v>47574</v>
      </c>
      <c r="BD163" s="467">
        <f t="shared" ca="1" si="177"/>
        <v>47575</v>
      </c>
      <c r="BE163" s="467">
        <f t="shared" ca="1" si="157"/>
        <v>47603</v>
      </c>
      <c r="BF163" s="468">
        <f ca="1">IF(計算!$BC163&lt;OP!$C$3,0,BD163-BC163)</f>
        <v>1</v>
      </c>
      <c r="BG163" s="468">
        <f ca="1">IF($BE163&gt;DATE(YEAR($BD$9)+OP!$C$57,MONTH($BD$9),DAY($BD$9)),0,$BE163-$BD163+1)</f>
        <v>29</v>
      </c>
      <c r="BH163" s="469">
        <f t="shared" ca="1" si="158"/>
        <v>30</v>
      </c>
      <c r="BI163" t="str">
        <f t="shared" si="187"/>
        <v/>
      </c>
      <c r="BJ163">
        <v>10</v>
      </c>
      <c r="BN163" s="468">
        <f t="shared" si="178"/>
        <v>13</v>
      </c>
      <c r="BO163" s="468">
        <f t="shared" si="179"/>
        <v>10</v>
      </c>
      <c r="BP163" s="467">
        <f t="shared" ca="1" si="159"/>
        <v>47575</v>
      </c>
      <c r="BQ163" s="475">
        <f t="shared" ca="1" si="185"/>
        <v>45</v>
      </c>
      <c r="BR163" s="475" t="str">
        <f t="shared" si="180"/>
        <v/>
      </c>
      <c r="BS163" s="471" t="str">
        <f t="shared" si="160"/>
        <v/>
      </c>
      <c r="BT163" s="472" t="str">
        <f t="shared" si="188"/>
        <v/>
      </c>
      <c r="BU163" s="472">
        <f t="shared" ca="1" si="161"/>
        <v>0</v>
      </c>
      <c r="BV163" s="472">
        <f t="shared" ca="1" si="161"/>
        <v>0</v>
      </c>
      <c r="BW163" s="472"/>
      <c r="BX163" s="473">
        <f t="shared" ca="1" si="162"/>
        <v>50534.741038186003</v>
      </c>
      <c r="BY163" s="473">
        <f t="shared" si="163"/>
        <v>0</v>
      </c>
      <c r="BZ163" s="473">
        <f t="shared" ca="1" si="137"/>
        <v>111.730235458</v>
      </c>
      <c r="CA163" s="476">
        <f t="shared" ca="1" si="164"/>
        <v>0</v>
      </c>
      <c r="CB163" s="494">
        <f ca="1">IF(OR($Q162&lt;&gt;1,OP!$D$5+$BN163-1&lt;16,$BN163-1&lt;1),0,ROUND(ROUND(ROUND(((VLOOKUP($BN163-1,MORE_PV,5,0)/10000)*VLOOKUP($BN163,MORE_PV,$CB$5,0)),3)*VLOOKUP($BN163,more1,5,0),0)/$R162,0))</f>
        <v>0</v>
      </c>
      <c r="CC163" s="473">
        <f t="shared" ca="1" si="165"/>
        <v>0</v>
      </c>
      <c r="CD163" s="477"/>
      <c r="CE163" s="468">
        <f t="shared" si="181"/>
        <v>13</v>
      </c>
      <c r="CF163" s="468">
        <f t="shared" si="182"/>
        <v>10</v>
      </c>
      <c r="CG163" s="467">
        <f t="shared" ca="1" si="138"/>
        <v>47575</v>
      </c>
      <c r="CH163" s="475">
        <f t="shared" ca="1" si="186"/>
        <v>45</v>
      </c>
      <c r="CI163" s="513" t="str">
        <f t="shared" si="183"/>
        <v/>
      </c>
      <c r="CJ163" s="511">
        <f t="shared" si="166"/>
        <v>0</v>
      </c>
      <c r="CK163" s="512">
        <f t="shared" si="167"/>
        <v>0</v>
      </c>
      <c r="CL163" s="511">
        <f t="shared" ca="1" si="184"/>
        <v>0</v>
      </c>
      <c r="CM163" s="511">
        <f ca="1">ROUND(CS163-IF(OR($CE163&gt;=OP!$C$24,AND(CH163=15,CF163=12),CS163=0),0,(CT163-CR163)),$CM$7)</f>
        <v>0</v>
      </c>
      <c r="CN163" s="511"/>
      <c r="CO163" s="351">
        <f t="shared" ca="1" si="168"/>
        <v>78197</v>
      </c>
      <c r="CP163" s="473">
        <f t="shared" si="169"/>
        <v>0</v>
      </c>
      <c r="CQ163" s="473">
        <f t="shared" ca="1" si="139"/>
        <v>172.890353103</v>
      </c>
      <c r="CR163" s="476">
        <f t="shared" ca="1" si="170"/>
        <v>0</v>
      </c>
      <c r="CS163" s="494">
        <f ca="1">IF(OR($Q162&lt;&gt;1,OP!$D$5+$CE163-1&lt;16,$CE163-1&lt;1),0,ROUND(ROUND(ROUND(((VLOOKUP($CE163-1,MORE_PV,5,0)/10000)*VLOOKUP($CE163,MORE_PV,$CS$5,0)),3)*VLOOKUP($CE163,more1,5,0),0)/$R162,0))</f>
        <v>0</v>
      </c>
      <c r="CT163" s="473">
        <f>IF($AW163=1,IF(N($CR163+$CS163)&lt;N($AX163)*OP!$C$50,N($CR163+$CS163),MIN(N($CR163+$CS163),N($AX163))),0)</f>
        <v>0</v>
      </c>
      <c r="CV163" s="503">
        <f t="shared" ca="1" si="171"/>
        <v>78196.674927397995</v>
      </c>
      <c r="CW163" s="503">
        <f t="shared" ca="1" si="172"/>
        <v>0</v>
      </c>
      <c r="CX163" s="503">
        <f t="shared" ca="1" si="173"/>
        <v>78363.789260220001</v>
      </c>
    </row>
    <row r="164" spans="2:102" ht="16.5" hidden="1">
      <c r="B164" s="80"/>
      <c r="C164" s="80"/>
      <c r="D164" s="80"/>
      <c r="E164" s="80"/>
      <c r="F164" s="80"/>
      <c r="G164" s="80"/>
      <c r="H164" s="80"/>
      <c r="I164" s="80"/>
      <c r="J164" s="192">
        <f t="shared" si="140"/>
        <v>13</v>
      </c>
      <c r="K164" s="192">
        <f t="shared" si="141"/>
        <v>12</v>
      </c>
      <c r="L164" s="192">
        <f t="shared" si="134"/>
        <v>13</v>
      </c>
      <c r="M164" s="216">
        <f t="shared" ca="1" si="142"/>
        <v>59020</v>
      </c>
      <c r="N164" s="216"/>
      <c r="O164" s="216"/>
      <c r="P164" s="216"/>
      <c r="Q164" s="456">
        <f t="shared" ca="1" si="143"/>
        <v>1</v>
      </c>
      <c r="R164" s="450">
        <f t="shared" ca="1" si="144"/>
        <v>1</v>
      </c>
      <c r="S164" s="191">
        <f t="shared" si="145"/>
        <v>13</v>
      </c>
      <c r="T164" s="191">
        <f t="shared" si="146"/>
        <v>12</v>
      </c>
      <c r="U164" s="191">
        <f ca="1">OP!$D$5+$S164-1</f>
        <v>45</v>
      </c>
      <c r="V164" s="191">
        <f t="shared" si="147"/>
        <v>13</v>
      </c>
      <c r="W164" s="350">
        <f ca="1">IF(Q164&lt;&gt;1,0,VLOOKUP(OP!$C$55,PVFB,$S164+2,0))</f>
        <v>34369</v>
      </c>
      <c r="X164" s="473">
        <f t="shared" ca="1" si="174"/>
        <v>8253</v>
      </c>
      <c r="Y164" s="348">
        <f t="shared" ca="1" si="175"/>
        <v>0</v>
      </c>
      <c r="Z164" s="348">
        <f t="shared" ca="1" si="176"/>
        <v>8012</v>
      </c>
      <c r="AA164" s="348">
        <f ca="1">IF(Q164&lt;&gt;1,0,VLOOKUP(OP!$C$55,PVFB,$S164+2,0))</f>
        <v>34369</v>
      </c>
      <c r="AB164" s="488">
        <f ca="1">IF(AND(S164&lt;OP!$C$24,$U164&lt;15),0,IF(AND($U164&lt;15,$T164=12),ROUND(VLOOKUP($S164,DOWN16,5,0),3),IF($T164=12,ROUND(($Z164/10000)*$AA164,3)+IF(AND($P$7="購買增額繳清保險",T164=12,U164=110),VLOOKUP(S164,$B$10:$H$121,7,0),0),"")))</f>
        <v>27536.442999999999</v>
      </c>
      <c r="AC164" s="350">
        <f ca="1">IF(AND(S164&lt;OP!$C$24,$U164&lt;15),0,IF(AND($U164&lt;16,$T164=12),VLOOKUP($S164,DOWN16,4,0),IF($T164=12,ROUND(VLOOKUP(OP!$C$55,_DIE2,$S164+1,0)*(Z164/10000),0)+IF(AND($P$7="購買增額繳清保險",T164=12,U164=110),VLOOKUP(S164,$B$10:$H$121,7,0),0),"")))</f>
        <v>27536</v>
      </c>
      <c r="AD164" s="347"/>
      <c r="AE164" s="350" t="str">
        <f t="shared" ca="1" si="135"/>
        <v/>
      </c>
      <c r="AF164" s="351" t="str">
        <f t="shared" ca="1" si="136"/>
        <v/>
      </c>
      <c r="AG164" s="340"/>
      <c r="AH164" s="340"/>
      <c r="AI164" s="340"/>
      <c r="AJ164" s="340"/>
      <c r="AK164" s="340"/>
      <c r="AL164" s="340"/>
      <c r="AM164" s="340"/>
      <c r="AN164" s="191">
        <f t="shared" si="148"/>
        <v>13</v>
      </c>
      <c r="AO164" s="191">
        <f t="shared" si="149"/>
        <v>12</v>
      </c>
      <c r="AP164" s="191">
        <f ca="1">OP!$D$5+$AN164-1</f>
        <v>45</v>
      </c>
      <c r="AQ164" s="191">
        <f t="shared" si="150"/>
        <v>13</v>
      </c>
      <c r="AR164" s="352">
        <f t="shared" ca="1" si="151"/>
        <v>86612</v>
      </c>
      <c r="AS164" s="352"/>
      <c r="AT164" s="352"/>
      <c r="AU164" s="436"/>
      <c r="AV164" s="353">
        <f t="shared" ca="1" si="152"/>
        <v>1</v>
      </c>
      <c r="AW164" s="422" t="str">
        <f t="shared" si="153"/>
        <v/>
      </c>
      <c r="AX164" s="423" t="str">
        <f ca="1">IF(AND($AW164=1,$AP164&lt;16,$AN163&lt;OP!$C$24),OP!$C$49,"")</f>
        <v/>
      </c>
      <c r="AY164" s="340"/>
      <c r="AZ164" s="465">
        <f t="shared" ca="1" si="154"/>
        <v>7.3698599999999999E-5</v>
      </c>
      <c r="BA164" s="464">
        <f t="shared" ca="1" si="155"/>
        <v>2.2109589000000002E-3</v>
      </c>
      <c r="BB164" s="465">
        <f t="shared" ca="1" si="155"/>
        <v>2.2846575E-3</v>
      </c>
      <c r="BC164" s="466">
        <f t="shared" ca="1" si="156"/>
        <v>47604</v>
      </c>
      <c r="BD164" s="467">
        <f t="shared" ca="1" si="177"/>
        <v>47605</v>
      </c>
      <c r="BE164" s="467">
        <f t="shared" ca="1" si="157"/>
        <v>47634</v>
      </c>
      <c r="BF164" s="468">
        <f ca="1">IF(計算!$BC164&lt;OP!$C$3,0,BD164-BC164)</f>
        <v>1</v>
      </c>
      <c r="BG164" s="468">
        <f ca="1">IF($BE164&gt;DATE(YEAR($BD$9)+OP!$C$57,MONTH($BD$9),DAY($BD$9)),0,$BE164-$BD164+1)</f>
        <v>30</v>
      </c>
      <c r="BH164" s="469">
        <f t="shared" ca="1" si="158"/>
        <v>31</v>
      </c>
      <c r="BI164" t="str">
        <f t="shared" si="187"/>
        <v/>
      </c>
      <c r="BJ164">
        <v>11</v>
      </c>
      <c r="BN164" s="468">
        <f t="shared" si="178"/>
        <v>13</v>
      </c>
      <c r="BO164" s="468">
        <f t="shared" si="179"/>
        <v>11</v>
      </c>
      <c r="BP164" s="467">
        <f t="shared" ca="1" si="159"/>
        <v>47605</v>
      </c>
      <c r="BQ164" s="475">
        <f t="shared" ca="1" si="185"/>
        <v>45</v>
      </c>
      <c r="BR164" s="475" t="str">
        <f t="shared" si="180"/>
        <v/>
      </c>
      <c r="BS164" s="471" t="str">
        <f t="shared" si="160"/>
        <v/>
      </c>
      <c r="BT164" s="472" t="str">
        <f t="shared" si="188"/>
        <v/>
      </c>
      <c r="BU164" s="472">
        <f t="shared" ca="1" si="161"/>
        <v>0</v>
      </c>
      <c r="BV164" s="472">
        <f t="shared" ca="1" si="161"/>
        <v>0</v>
      </c>
      <c r="BW164" s="472"/>
      <c r="BX164" s="473">
        <f t="shared" ca="1" si="162"/>
        <v>50646.471273643998</v>
      </c>
      <c r="BY164" s="473">
        <f t="shared" si="163"/>
        <v>0</v>
      </c>
      <c r="BZ164" s="473">
        <f t="shared" ca="1" si="137"/>
        <v>115.70984044399999</v>
      </c>
      <c r="CA164" s="476">
        <f t="shared" ca="1" si="164"/>
        <v>0</v>
      </c>
      <c r="CB164" s="494">
        <f ca="1">IF(OR($Q163&lt;&gt;1,OP!$D$5+$BN164-1&lt;16,$BN164-1&lt;1),0,ROUND(ROUND(ROUND(((VLOOKUP($BN164-1,MORE_PV,5,0)/10000)*VLOOKUP($BN164,MORE_PV,$CB$5,0)),3)*VLOOKUP($BN164,more1,5,0),0)/$R163,0))</f>
        <v>0</v>
      </c>
      <c r="CC164" s="473">
        <f t="shared" ca="1" si="165"/>
        <v>0</v>
      </c>
      <c r="CD164" s="477"/>
      <c r="CE164" s="468">
        <f t="shared" si="181"/>
        <v>13</v>
      </c>
      <c r="CF164" s="468">
        <f t="shared" si="182"/>
        <v>11</v>
      </c>
      <c r="CG164" s="467">
        <f t="shared" ca="1" si="138"/>
        <v>47605</v>
      </c>
      <c r="CH164" s="475">
        <f t="shared" ca="1" si="186"/>
        <v>45</v>
      </c>
      <c r="CI164" s="513" t="str">
        <f t="shared" si="183"/>
        <v/>
      </c>
      <c r="CJ164" s="511">
        <f t="shared" si="166"/>
        <v>0</v>
      </c>
      <c r="CK164" s="512">
        <f t="shared" si="167"/>
        <v>0</v>
      </c>
      <c r="CL164" s="511">
        <f t="shared" ca="1" si="184"/>
        <v>0</v>
      </c>
      <c r="CM164" s="511">
        <f ca="1">ROUND(CS164-IF(OR($CE164&gt;=OP!$C$24,AND(CH164=15,CF164=12),CS164=0),0,(CT164-CR164)),$CM$7)</f>
        <v>0</v>
      </c>
      <c r="CN164" s="511"/>
      <c r="CO164" s="351">
        <f t="shared" ca="1" si="168"/>
        <v>78370</v>
      </c>
      <c r="CP164" s="473">
        <f t="shared" si="169"/>
        <v>0</v>
      </c>
      <c r="CQ164" s="473">
        <f t="shared" ca="1" si="139"/>
        <v>179.04860827499999</v>
      </c>
      <c r="CR164" s="476">
        <f t="shared" ca="1" si="170"/>
        <v>0</v>
      </c>
      <c r="CS164" s="494">
        <f ca="1">IF(OR($Q163&lt;&gt;1,OP!$D$5+$CE164-1&lt;16,$CE164-1&lt;1),0,ROUND(ROUND(ROUND(((VLOOKUP($CE164-1,MORE_PV,5,0)/10000)*VLOOKUP($CE164,MORE_PV,$CS$5,0)),3)*VLOOKUP($CE164,more1,5,0),0)/$R163,0))</f>
        <v>0</v>
      </c>
      <c r="CT164" s="473">
        <f>IF($AW164=1,IF(N($CR164+$CS164)&lt;N($AX164)*OP!$C$50,N($CR164+$CS164),MIN(N($CR164+$CS164),N($AX164))),0)</f>
        <v>0</v>
      </c>
      <c r="CV164" s="503">
        <f t="shared" ca="1" si="171"/>
        <v>78369.564561779</v>
      </c>
      <c r="CW164" s="503">
        <f t="shared" ca="1" si="172"/>
        <v>0</v>
      </c>
      <c r="CX164" s="503">
        <f t="shared" ca="1" si="173"/>
        <v>78542.823679081994</v>
      </c>
    </row>
    <row r="165" spans="2:102" ht="16.5" hidden="1">
      <c r="B165" s="80"/>
      <c r="C165" s="80"/>
      <c r="D165" s="80"/>
      <c r="E165" s="80"/>
      <c r="F165" s="80"/>
      <c r="G165" s="80"/>
      <c r="H165" s="80"/>
      <c r="I165" s="80"/>
      <c r="J165" s="192">
        <f t="shared" si="140"/>
        <v>14</v>
      </c>
      <c r="K165" s="192">
        <f t="shared" si="141"/>
        <v>1</v>
      </c>
      <c r="L165" s="192" t="str">
        <f t="shared" si="134"/>
        <v/>
      </c>
      <c r="M165" s="216">
        <f t="shared" ca="1" si="142"/>
        <v>0</v>
      </c>
      <c r="N165" s="216"/>
      <c r="O165" s="216"/>
      <c r="P165" s="216"/>
      <c r="Q165" s="456" t="str">
        <f t="shared" ca="1" si="143"/>
        <v/>
      </c>
      <c r="R165" s="450">
        <f t="shared" ca="1" si="144"/>
        <v>1</v>
      </c>
      <c r="S165" s="191">
        <f t="shared" si="145"/>
        <v>14</v>
      </c>
      <c r="T165" s="191">
        <f t="shared" si="146"/>
        <v>1</v>
      </c>
      <c r="U165" s="191">
        <f ca="1">OP!$D$5+$S165-1</f>
        <v>46</v>
      </c>
      <c r="V165" s="191" t="str">
        <f t="shared" si="147"/>
        <v/>
      </c>
      <c r="W165" s="350">
        <f ca="1">IF(Q165&lt;&gt;1,0,VLOOKUP(OP!$C$55,PVFB,$S165+2,0))</f>
        <v>0</v>
      </c>
      <c r="X165" s="473">
        <f t="shared" ca="1" si="174"/>
        <v>0</v>
      </c>
      <c r="Y165" s="348">
        <f t="shared" ca="1" si="175"/>
        <v>0</v>
      </c>
      <c r="Z165" s="348">
        <f t="shared" ca="1" si="176"/>
        <v>8012</v>
      </c>
      <c r="AA165" s="348">
        <f ca="1">IF(Q165&lt;&gt;1,0,VLOOKUP(OP!$C$55,PVFB,$S165+2,0))</f>
        <v>0</v>
      </c>
      <c r="AB165" s="488" t="str">
        <f ca="1">IF(AND(S165&lt;OP!$C$24,$U165&lt;15),0,IF(AND($U165&lt;15,$T165=12),ROUND(VLOOKUP($S165,DOWN16,5,0),3),IF($T165=12,ROUND(($Z165/10000)*$AA165,3)+IF(AND($P$7="購買增額繳清保險",T165=12,U165=110),VLOOKUP(S165,$B$10:$H$121,7,0),0),"")))</f>
        <v/>
      </c>
      <c r="AC165" s="350" t="str">
        <f ca="1">IF(AND(S165&lt;OP!$C$24,$U165&lt;15),0,IF(AND($U165&lt;16,$T165=12),VLOOKUP($S165,DOWN16,4,0),IF($T165=12,ROUND(VLOOKUP(OP!$C$55,_DIE2,$S165+1,0)*(Z165/10000),0)+IF(AND($P$7="購買增額繳清保險",T165=12,U165=110),VLOOKUP(S165,$B$10:$H$121,7,0),0),"")))</f>
        <v/>
      </c>
      <c r="AD165" s="347"/>
      <c r="AE165" s="350" t="str">
        <f t="shared" ca="1" si="135"/>
        <v/>
      </c>
      <c r="AF165" s="351" t="str">
        <f t="shared" ca="1" si="136"/>
        <v/>
      </c>
      <c r="AG165" s="340"/>
      <c r="AH165" s="340"/>
      <c r="AI165" s="340"/>
      <c r="AJ165" s="340"/>
      <c r="AK165" s="340"/>
      <c r="AL165" s="340"/>
      <c r="AM165" s="340"/>
      <c r="AN165" s="191">
        <f t="shared" si="148"/>
        <v>14</v>
      </c>
      <c r="AO165" s="191">
        <f t="shared" si="149"/>
        <v>1</v>
      </c>
      <c r="AP165" s="191">
        <f ca="1">OP!$D$5+$AN165-1</f>
        <v>46</v>
      </c>
      <c r="AQ165" s="191" t="str">
        <f t="shared" si="150"/>
        <v/>
      </c>
      <c r="AR165" s="352">
        <f t="shared" ca="1" si="151"/>
        <v>0</v>
      </c>
      <c r="AS165" s="352"/>
      <c r="AT165" s="352"/>
      <c r="AU165" s="436"/>
      <c r="AV165" s="353" t="str">
        <f t="shared" ca="1" si="152"/>
        <v/>
      </c>
      <c r="AW165" s="422">
        <f t="shared" si="153"/>
        <v>1</v>
      </c>
      <c r="AX165" s="423" t="str">
        <f ca="1">IF(AND($AW165=1,$AP165&lt;16,$AN164&lt;OP!$C$24),OP!$C$49,"")</f>
        <v/>
      </c>
      <c r="AY165" s="340"/>
      <c r="AZ165" s="465">
        <f t="shared" ca="1" si="154"/>
        <v>7.3698599999999999E-5</v>
      </c>
      <c r="BA165" s="464">
        <f t="shared" ca="1" si="155"/>
        <v>2.1372602999999999E-3</v>
      </c>
      <c r="BB165" s="465">
        <f t="shared" ca="1" si="155"/>
        <v>2.2109589000000002E-3</v>
      </c>
      <c r="BC165" s="466">
        <f t="shared" ca="1" si="156"/>
        <v>47635</v>
      </c>
      <c r="BD165" s="467">
        <f t="shared" ca="1" si="177"/>
        <v>47636</v>
      </c>
      <c r="BE165" s="467">
        <f t="shared" ca="1" si="157"/>
        <v>47664</v>
      </c>
      <c r="BF165" s="468">
        <f ca="1">IF(計算!$BC165&lt;OP!$C$3,0,BD165-BC165)</f>
        <v>1</v>
      </c>
      <c r="BG165" s="468">
        <f ca="1">IF($BE165&gt;DATE(YEAR($BD$9)+OP!$C$57,MONTH($BD$9),DAY($BD$9)),0,$BE165-$BD165+1)</f>
        <v>29</v>
      </c>
      <c r="BH165" s="469">
        <f t="shared" ca="1" si="158"/>
        <v>30</v>
      </c>
      <c r="BI165">
        <f t="shared" ca="1" si="187"/>
        <v>365</v>
      </c>
      <c r="BJ165">
        <v>12</v>
      </c>
      <c r="BN165" s="468">
        <f t="shared" si="178"/>
        <v>13</v>
      </c>
      <c r="BO165" s="468">
        <f t="shared" si="179"/>
        <v>12</v>
      </c>
      <c r="BP165" s="467">
        <f t="shared" ca="1" si="159"/>
        <v>47636</v>
      </c>
      <c r="BQ165" s="475">
        <f t="shared" ca="1" si="185"/>
        <v>45</v>
      </c>
      <c r="BR165" s="475">
        <f t="shared" si="180"/>
        <v>13</v>
      </c>
      <c r="BS165" s="471">
        <f t="shared" ca="1" si="160"/>
        <v>8253</v>
      </c>
      <c r="BT165" s="472">
        <f t="shared" ca="1" si="188"/>
        <v>59020</v>
      </c>
      <c r="BU165" s="472">
        <f t="shared" ca="1" si="161"/>
        <v>8063</v>
      </c>
      <c r="BV165" s="472">
        <f t="shared" ca="1" si="161"/>
        <v>190</v>
      </c>
      <c r="BW165" s="472">
        <f ca="1">ROUND(SUM(BY165,BZ153:BZ164),0)</f>
        <v>1346</v>
      </c>
      <c r="BX165" s="473">
        <f t="shared" ca="1" si="162"/>
        <v>59018.922215769002</v>
      </c>
      <c r="BY165" s="473">
        <f t="shared" ca="1" si="163"/>
        <v>3.741101681</v>
      </c>
      <c r="BZ165" s="473">
        <f t="shared" ca="1" si="137"/>
        <v>126.138799401</v>
      </c>
      <c r="CA165" s="476">
        <f t="shared" ca="1" si="164"/>
        <v>8063</v>
      </c>
      <c r="CB165" s="494">
        <f ca="1">IF(OR($Q164&lt;&gt;1,OP!$D$5+$BN165-1&lt;16,$BN165-1&lt;1),0,ROUND(ROUND(ROUND(((VLOOKUP($BN165-1,MORE_PV,5,0)/10000)*VLOOKUP($BN165,MORE_PV,$CB$5,0)),3)*VLOOKUP($BN165,more1,5,0),0)/$R164,0))</f>
        <v>190</v>
      </c>
      <c r="CC165" s="473">
        <f t="shared" ca="1" si="165"/>
        <v>0</v>
      </c>
      <c r="CD165" s="477"/>
      <c r="CE165" s="468">
        <f t="shared" si="181"/>
        <v>13</v>
      </c>
      <c r="CF165" s="468">
        <f t="shared" si="182"/>
        <v>12</v>
      </c>
      <c r="CG165" s="467">
        <f t="shared" ca="1" si="138"/>
        <v>47636</v>
      </c>
      <c r="CH165" s="475">
        <f t="shared" ca="1" si="186"/>
        <v>45</v>
      </c>
      <c r="CI165" s="513">
        <f t="shared" si="183"/>
        <v>13</v>
      </c>
      <c r="CJ165" s="511">
        <f t="shared" ca="1" si="166"/>
        <v>8443</v>
      </c>
      <c r="CK165" s="512">
        <f t="shared" ca="1" si="167"/>
        <v>86611.612175226997</v>
      </c>
      <c r="CL165" s="511">
        <f t="shared" ca="1" si="184"/>
        <v>8253</v>
      </c>
      <c r="CM165" s="511">
        <f ca="1">ROUND(CS165-IF(OR($CE165&gt;=OP!$C$24,AND(CH165=15,CF165=12),CS165=0),0,(CT165-CR165)),$CM$7)</f>
        <v>190</v>
      </c>
      <c r="CN165" s="511">
        <f ca="1">ROUND(SUM(CP165,CQ153:CQ164),$CN$7)</f>
        <v>2082.6399147910001</v>
      </c>
      <c r="CO165" s="351">
        <f t="shared" ca="1" si="168"/>
        <v>86612</v>
      </c>
      <c r="CP165" s="473">
        <f t="shared" ca="1" si="169"/>
        <v>5.7889549139999996</v>
      </c>
      <c r="CQ165" s="473">
        <f t="shared" ca="1" si="139"/>
        <v>185.11238910399999</v>
      </c>
      <c r="CR165" s="476">
        <f t="shared" ca="1" si="170"/>
        <v>8063</v>
      </c>
      <c r="CS165" s="494">
        <f ca="1">IF(OR($Q164&lt;&gt;1,OP!$D$5+$CE165-1&lt;16,$CE165-1&lt;1),0,ROUND(ROUND(ROUND(((VLOOKUP($CE165-1,MORE_PV,5,0)/10000)*VLOOKUP($CE165,MORE_PV,$CS$5,0)),3)*VLOOKUP($CE165,more1,5,0),0)/$R164,0))</f>
        <v>190</v>
      </c>
      <c r="CT165" s="473">
        <f ca="1">IF($AW165=1,IF(N($CR165+$CS165)&lt;N($AX165)*OP!$C$50,N($CR165+$CS165),MIN(N($CR165+$CS165),N($AX165))),0)</f>
        <v>0</v>
      </c>
      <c r="CV165" s="503">
        <f t="shared" ca="1" si="171"/>
        <v>86611.612175226997</v>
      </c>
      <c r="CW165" s="503">
        <f t="shared" ca="1" si="172"/>
        <v>8080.2327297989996</v>
      </c>
      <c r="CX165" s="503">
        <f t="shared" ca="1" si="173"/>
        <v>86796.711363925002</v>
      </c>
    </row>
    <row r="166" spans="2:102" ht="16.5" hidden="1">
      <c r="B166" s="80"/>
      <c r="C166" s="80"/>
      <c r="D166" s="80"/>
      <c r="E166" s="80"/>
      <c r="F166" s="80"/>
      <c r="G166" s="80"/>
      <c r="H166" s="80"/>
      <c r="I166" s="80"/>
      <c r="J166" s="192">
        <f t="shared" si="140"/>
        <v>14</v>
      </c>
      <c r="K166" s="192">
        <f t="shared" si="141"/>
        <v>2</v>
      </c>
      <c r="L166" s="192" t="str">
        <f t="shared" si="134"/>
        <v/>
      </c>
      <c r="M166" s="216">
        <f t="shared" ca="1" si="142"/>
        <v>0</v>
      </c>
      <c r="N166" s="216"/>
      <c r="O166" s="216"/>
      <c r="P166" s="216"/>
      <c r="Q166" s="456" t="str">
        <f t="shared" ca="1" si="143"/>
        <v/>
      </c>
      <c r="R166" s="450">
        <f t="shared" ca="1" si="144"/>
        <v>1</v>
      </c>
      <c r="S166" s="191">
        <f t="shared" si="145"/>
        <v>14</v>
      </c>
      <c r="T166" s="191">
        <f t="shared" si="146"/>
        <v>2</v>
      </c>
      <c r="U166" s="191">
        <f ca="1">OP!$D$5+$S166-1</f>
        <v>46</v>
      </c>
      <c r="V166" s="191" t="str">
        <f t="shared" si="147"/>
        <v/>
      </c>
      <c r="W166" s="350">
        <f ca="1">IF(Q166&lt;&gt;1,0,VLOOKUP(OP!$C$55,PVFB,$S166+2,0))</f>
        <v>0</v>
      </c>
      <c r="X166" s="473">
        <f t="shared" ca="1" si="174"/>
        <v>0</v>
      </c>
      <c r="Y166" s="348">
        <f t="shared" ca="1" si="175"/>
        <v>0</v>
      </c>
      <c r="Z166" s="348">
        <f t="shared" ca="1" si="176"/>
        <v>8012</v>
      </c>
      <c r="AA166" s="348">
        <f ca="1">IF(Q166&lt;&gt;1,0,VLOOKUP(OP!$C$55,PVFB,$S166+2,0))</f>
        <v>0</v>
      </c>
      <c r="AB166" s="488" t="str">
        <f ca="1">IF(AND(S166&lt;OP!$C$24,$U166&lt;15),0,IF(AND($U166&lt;15,$T166=12),ROUND(VLOOKUP($S166,DOWN16,5,0),3),IF($T166=12,ROUND(($Z166/10000)*$AA166,3)+IF(AND($P$7="購買增額繳清保險",T166=12,U166=110),VLOOKUP(S166,$B$10:$H$121,7,0),0),"")))</f>
        <v/>
      </c>
      <c r="AC166" s="350" t="str">
        <f ca="1">IF(AND(S166&lt;OP!$C$24,$U166&lt;15),0,IF(AND($U166&lt;16,$T166=12),VLOOKUP($S166,DOWN16,4,0),IF($T166=12,ROUND(VLOOKUP(OP!$C$55,_DIE2,$S166+1,0)*(Z166/10000),0)+IF(AND($P$7="購買增額繳清保險",T166=12,U166=110),VLOOKUP(S166,$B$10:$H$121,7,0),0),"")))</f>
        <v/>
      </c>
      <c r="AD166" s="347"/>
      <c r="AE166" s="350" t="str">
        <f t="shared" ca="1" si="135"/>
        <v/>
      </c>
      <c r="AF166" s="351" t="str">
        <f t="shared" ca="1" si="136"/>
        <v/>
      </c>
      <c r="AG166" s="340"/>
      <c r="AH166" s="340"/>
      <c r="AI166" s="340"/>
      <c r="AJ166" s="340"/>
      <c r="AK166" s="340"/>
      <c r="AL166" s="340"/>
      <c r="AM166" s="340"/>
      <c r="AN166" s="191">
        <f t="shared" si="148"/>
        <v>14</v>
      </c>
      <c r="AO166" s="191">
        <f t="shared" si="149"/>
        <v>2</v>
      </c>
      <c r="AP166" s="191">
        <f ca="1">OP!$D$5+$AN166-1</f>
        <v>46</v>
      </c>
      <c r="AQ166" s="191" t="str">
        <f t="shared" si="150"/>
        <v/>
      </c>
      <c r="AR166" s="352">
        <f t="shared" ca="1" si="151"/>
        <v>0</v>
      </c>
      <c r="AS166" s="352"/>
      <c r="AT166" s="352"/>
      <c r="AU166" s="436"/>
      <c r="AV166" s="353" t="str">
        <f t="shared" ca="1" si="152"/>
        <v/>
      </c>
      <c r="AW166" s="422" t="str">
        <f t="shared" si="153"/>
        <v/>
      </c>
      <c r="AX166" s="423" t="str">
        <f ca="1">IF(AND($AW166=1,$AP166&lt;16,$AN165&lt;OP!$C$24),OP!$C$49,"")</f>
        <v/>
      </c>
      <c r="AY166" s="340"/>
      <c r="AZ166" s="465">
        <f t="shared" ca="1" si="154"/>
        <v>7.3698599999999999E-5</v>
      </c>
      <c r="BA166" s="464">
        <f t="shared" ca="1" si="155"/>
        <v>2.2109589000000002E-3</v>
      </c>
      <c r="BB166" s="465">
        <f t="shared" ca="1" si="155"/>
        <v>2.2846575E-3</v>
      </c>
      <c r="BC166" s="466">
        <f t="shared" ca="1" si="156"/>
        <v>47665</v>
      </c>
      <c r="BD166" s="467">
        <f t="shared" ca="1" si="177"/>
        <v>47666</v>
      </c>
      <c r="BE166" s="467">
        <f t="shared" ca="1" si="157"/>
        <v>47695</v>
      </c>
      <c r="BF166" s="468">
        <f ca="1">IF(計算!$BC166&lt;OP!$C$3,0,BD166-BC166)</f>
        <v>1</v>
      </c>
      <c r="BG166" s="468">
        <f ca="1">IF($BE166&gt;DATE(YEAR($BD$9)+OP!$C$57,MONTH($BD$9),DAY($BD$9)),0,$BE166-$BD166+1)</f>
        <v>30</v>
      </c>
      <c r="BH166" s="469">
        <f t="shared" ca="1" si="158"/>
        <v>31</v>
      </c>
      <c r="BI166" t="str">
        <f t="shared" si="187"/>
        <v/>
      </c>
      <c r="BJ166">
        <v>1</v>
      </c>
      <c r="BN166" s="468">
        <f t="shared" si="178"/>
        <v>14</v>
      </c>
      <c r="BO166" s="468">
        <f t="shared" si="179"/>
        <v>1</v>
      </c>
      <c r="BP166" s="467">
        <f t="shared" ca="1" si="159"/>
        <v>47666</v>
      </c>
      <c r="BQ166" s="475">
        <f t="shared" ca="1" si="185"/>
        <v>46</v>
      </c>
      <c r="BR166" s="475" t="str">
        <f t="shared" si="180"/>
        <v/>
      </c>
      <c r="BS166" s="471" t="str">
        <f t="shared" si="160"/>
        <v/>
      </c>
      <c r="BT166" s="472" t="str">
        <f t="shared" si="188"/>
        <v/>
      </c>
      <c r="BU166" s="472">
        <f t="shared" ca="1" si="161"/>
        <v>0</v>
      </c>
      <c r="BV166" s="472">
        <f t="shared" ca="1" si="161"/>
        <v>0</v>
      </c>
      <c r="BW166" s="472"/>
      <c r="BX166" s="473">
        <f t="shared" ca="1" si="162"/>
        <v>59145.061015170002</v>
      </c>
      <c r="BY166" s="473">
        <f t="shared" si="163"/>
        <v>0</v>
      </c>
      <c r="BZ166" s="473">
        <f t="shared" ca="1" si="137"/>
        <v>135.126207236</v>
      </c>
      <c r="CA166" s="476">
        <f t="shared" ca="1" si="164"/>
        <v>0</v>
      </c>
      <c r="CB166" s="494">
        <f ca="1">IF(OR($Q165&lt;&gt;1,OP!$D$5+$BN166-1&lt;16,$BN166-1&lt;1),0,ROUND(ROUND(ROUND(((VLOOKUP($BN166-1,MORE_PV,5,0)/10000)*VLOOKUP($BN166,MORE_PV,$CB$5,0)),3)*VLOOKUP($BN166,more1,5,0),0)/$R165,0))</f>
        <v>0</v>
      </c>
      <c r="CC166" s="473">
        <f t="shared" ca="1" si="165"/>
        <v>0</v>
      </c>
      <c r="CD166" s="477"/>
      <c r="CE166" s="468">
        <f t="shared" si="181"/>
        <v>14</v>
      </c>
      <c r="CF166" s="468">
        <f t="shared" si="182"/>
        <v>1</v>
      </c>
      <c r="CG166" s="467">
        <f t="shared" ca="1" si="138"/>
        <v>47666</v>
      </c>
      <c r="CH166" s="475">
        <f t="shared" ca="1" si="186"/>
        <v>46</v>
      </c>
      <c r="CI166" s="513" t="str">
        <f t="shared" si="183"/>
        <v/>
      </c>
      <c r="CJ166" s="511">
        <f t="shared" si="166"/>
        <v>0</v>
      </c>
      <c r="CK166" s="512">
        <f t="shared" si="167"/>
        <v>0</v>
      </c>
      <c r="CL166" s="511">
        <f t="shared" ca="1" si="184"/>
        <v>0</v>
      </c>
      <c r="CM166" s="511">
        <f ca="1">ROUND(CS166-IF(OR($CE166&gt;=OP!$C$24,AND(CH166=15,CF166=12),CS166=0),0,(CT166-CR166)),$CM$7)</f>
        <v>0</v>
      </c>
      <c r="CN166" s="511"/>
      <c r="CO166" s="351">
        <f t="shared" ca="1" si="168"/>
        <v>86803</v>
      </c>
      <c r="CP166" s="473">
        <f t="shared" si="169"/>
        <v>0</v>
      </c>
      <c r="CQ166" s="473">
        <f t="shared" ca="1" si="139"/>
        <v>198.315124973</v>
      </c>
      <c r="CR166" s="476">
        <f t="shared" ca="1" si="170"/>
        <v>0</v>
      </c>
      <c r="CS166" s="494">
        <f ca="1">IF(OR($Q165&lt;&gt;1,OP!$D$5+$CE166-1&lt;16,$CE166-1&lt;1),0,ROUND(ROUND(ROUND(((VLOOKUP($CE166-1,MORE_PV,5,0)/10000)*VLOOKUP($CE166,MORE_PV,$CS$5,0)),3)*VLOOKUP($CE166,more1,5,0),0)/$R165,0))</f>
        <v>0</v>
      </c>
      <c r="CT166" s="473">
        <f>IF($AW166=1,IF(N($CR166+$CS166)&lt;N($AX166)*OP!$C$50,N($CR166+$CS166),MIN(N($CR166+$CS166),N($AX166))),0)</f>
        <v>0</v>
      </c>
      <c r="CV166" s="503">
        <f t="shared" ca="1" si="171"/>
        <v>86803.108160036994</v>
      </c>
      <c r="CW166" s="503">
        <f t="shared" ca="1" si="172"/>
        <v>0</v>
      </c>
      <c r="CX166" s="503">
        <f t="shared" ca="1" si="173"/>
        <v>86995.012121517997</v>
      </c>
    </row>
    <row r="167" spans="2:102" ht="16.5" hidden="1">
      <c r="B167" s="80"/>
      <c r="C167" s="80"/>
      <c r="D167" s="80"/>
      <c r="E167" s="80"/>
      <c r="F167" s="80"/>
      <c r="G167" s="80"/>
      <c r="H167" s="80"/>
      <c r="I167" s="80"/>
      <c r="J167" s="192">
        <f t="shared" si="140"/>
        <v>14</v>
      </c>
      <c r="K167" s="192">
        <f t="shared" si="141"/>
        <v>3</v>
      </c>
      <c r="L167" s="192" t="str">
        <f t="shared" si="134"/>
        <v/>
      </c>
      <c r="M167" s="216">
        <f t="shared" ca="1" si="142"/>
        <v>0</v>
      </c>
      <c r="N167" s="216"/>
      <c r="O167" s="216"/>
      <c r="P167" s="216"/>
      <c r="Q167" s="456" t="str">
        <f t="shared" ca="1" si="143"/>
        <v/>
      </c>
      <c r="R167" s="450">
        <f t="shared" ca="1" si="144"/>
        <v>1</v>
      </c>
      <c r="S167" s="191">
        <f t="shared" si="145"/>
        <v>14</v>
      </c>
      <c r="T167" s="191">
        <f t="shared" si="146"/>
        <v>3</v>
      </c>
      <c r="U167" s="191">
        <f ca="1">OP!$D$5+$S167-1</f>
        <v>46</v>
      </c>
      <c r="V167" s="191" t="str">
        <f t="shared" si="147"/>
        <v/>
      </c>
      <c r="W167" s="350">
        <f ca="1">IF(Q167&lt;&gt;1,0,VLOOKUP(OP!$C$55,PVFB,$S167+2,0))</f>
        <v>0</v>
      </c>
      <c r="X167" s="473">
        <f t="shared" ca="1" si="174"/>
        <v>0</v>
      </c>
      <c r="Y167" s="348">
        <f t="shared" ca="1" si="175"/>
        <v>0</v>
      </c>
      <c r="Z167" s="348">
        <f t="shared" ca="1" si="176"/>
        <v>8012</v>
      </c>
      <c r="AA167" s="348">
        <f ca="1">IF(Q167&lt;&gt;1,0,VLOOKUP(OP!$C$55,PVFB,$S167+2,0))</f>
        <v>0</v>
      </c>
      <c r="AB167" s="488" t="str">
        <f ca="1">IF(AND(S167&lt;OP!$C$24,$U167&lt;15),0,IF(AND($U167&lt;15,$T167=12),ROUND(VLOOKUP($S167,DOWN16,5,0),3),IF($T167=12,ROUND(($Z167/10000)*$AA167,3)+IF(AND($P$7="購買增額繳清保險",T167=12,U167=110),VLOOKUP(S167,$B$10:$H$121,7,0),0),"")))</f>
        <v/>
      </c>
      <c r="AC167" s="350" t="str">
        <f ca="1">IF(AND(S167&lt;OP!$C$24,$U167&lt;15),0,IF(AND($U167&lt;16,$T167=12),VLOOKUP($S167,DOWN16,4,0),IF($T167=12,ROUND(VLOOKUP(OP!$C$55,_DIE2,$S167+1,0)*(Z167/10000),0)+IF(AND($P$7="購買增額繳清保險",T167=12,U167=110),VLOOKUP(S167,$B$10:$H$121,7,0),0),"")))</f>
        <v/>
      </c>
      <c r="AD167" s="347"/>
      <c r="AE167" s="350" t="str">
        <f t="shared" ca="1" si="135"/>
        <v/>
      </c>
      <c r="AF167" s="351" t="str">
        <f t="shared" ca="1" si="136"/>
        <v/>
      </c>
      <c r="AG167" s="340"/>
      <c r="AH167" s="340"/>
      <c r="AI167" s="340"/>
      <c r="AJ167" s="340"/>
      <c r="AK167" s="340"/>
      <c r="AL167" s="340"/>
      <c r="AM167" s="340"/>
      <c r="AN167" s="191">
        <f t="shared" si="148"/>
        <v>14</v>
      </c>
      <c r="AO167" s="191">
        <f t="shared" si="149"/>
        <v>3</v>
      </c>
      <c r="AP167" s="191">
        <f ca="1">OP!$D$5+$AN167-1</f>
        <v>46</v>
      </c>
      <c r="AQ167" s="191" t="str">
        <f t="shared" si="150"/>
        <v/>
      </c>
      <c r="AR167" s="352">
        <f t="shared" ca="1" si="151"/>
        <v>0</v>
      </c>
      <c r="AS167" s="352"/>
      <c r="AT167" s="352"/>
      <c r="AU167" s="436"/>
      <c r="AV167" s="353" t="str">
        <f t="shared" ca="1" si="152"/>
        <v/>
      </c>
      <c r="AW167" s="422" t="str">
        <f t="shared" si="153"/>
        <v/>
      </c>
      <c r="AX167" s="423" t="str">
        <f ca="1">IF(AND($AW167=1,$AP167&lt;16,$AN166&lt;OP!$C$24),OP!$C$49,"")</f>
        <v/>
      </c>
      <c r="AY167" s="340"/>
      <c r="AZ167" s="465">
        <f t="shared" ca="1" si="154"/>
        <v>7.3698599999999999E-5</v>
      </c>
      <c r="BA167" s="464">
        <f t="shared" ca="1" si="155"/>
        <v>2.2109589000000002E-3</v>
      </c>
      <c r="BB167" s="465">
        <f t="shared" ca="1" si="155"/>
        <v>2.2846575E-3</v>
      </c>
      <c r="BC167" s="466">
        <f t="shared" ca="1" si="156"/>
        <v>47696</v>
      </c>
      <c r="BD167" s="467">
        <f t="shared" ca="1" si="177"/>
        <v>47697</v>
      </c>
      <c r="BE167" s="467">
        <f t="shared" ca="1" si="157"/>
        <v>47726</v>
      </c>
      <c r="BF167" s="468">
        <f ca="1">IF(計算!$BC167&lt;OP!$C$3,0,BD167-BC167)</f>
        <v>1</v>
      </c>
      <c r="BG167" s="468">
        <f ca="1">IF($BE167&gt;DATE(YEAR($BD$9)+OP!$C$57,MONTH($BD$9),DAY($BD$9)),0,$BE167-$BD167+1)</f>
        <v>30</v>
      </c>
      <c r="BH167" s="469">
        <f t="shared" ca="1" si="158"/>
        <v>31</v>
      </c>
      <c r="BI167" t="str">
        <f t="shared" si="187"/>
        <v/>
      </c>
      <c r="BJ167">
        <v>2</v>
      </c>
      <c r="BN167" s="468">
        <f t="shared" si="178"/>
        <v>14</v>
      </c>
      <c r="BO167" s="468">
        <f t="shared" si="179"/>
        <v>2</v>
      </c>
      <c r="BP167" s="467">
        <f t="shared" ca="1" si="159"/>
        <v>47697</v>
      </c>
      <c r="BQ167" s="475">
        <f t="shared" ca="1" si="185"/>
        <v>46</v>
      </c>
      <c r="BR167" s="475" t="str">
        <f t="shared" si="180"/>
        <v/>
      </c>
      <c r="BS167" s="471" t="str">
        <f t="shared" si="160"/>
        <v/>
      </c>
      <c r="BT167" s="472" t="str">
        <f t="shared" si="188"/>
        <v/>
      </c>
      <c r="BU167" s="472">
        <f t="shared" ca="1" si="161"/>
        <v>0</v>
      </c>
      <c r="BV167" s="472">
        <f t="shared" ca="1" si="161"/>
        <v>0</v>
      </c>
      <c r="BW167" s="472"/>
      <c r="BX167" s="473">
        <f t="shared" ca="1" si="162"/>
        <v>59280.187222405999</v>
      </c>
      <c r="BY167" s="473">
        <f t="shared" si="163"/>
        <v>0</v>
      </c>
      <c r="BZ167" s="473">
        <f t="shared" ca="1" si="137"/>
        <v>135.43492433899999</v>
      </c>
      <c r="CA167" s="476">
        <f t="shared" ca="1" si="164"/>
        <v>0</v>
      </c>
      <c r="CB167" s="494">
        <f ca="1">IF(OR($Q166&lt;&gt;1,OP!$D$5+$BN167-1&lt;16,$BN167-1&lt;1),0,ROUND(ROUND(ROUND(((VLOOKUP($BN167-1,MORE_PV,5,0)/10000)*VLOOKUP($BN167,MORE_PV,$CB$5,0)),3)*VLOOKUP($BN167,more1,5,0),0)/$R166,0))</f>
        <v>0</v>
      </c>
      <c r="CC167" s="473">
        <f t="shared" ca="1" si="165"/>
        <v>0</v>
      </c>
      <c r="CD167" s="477"/>
      <c r="CE167" s="468">
        <f t="shared" si="181"/>
        <v>14</v>
      </c>
      <c r="CF167" s="468">
        <f t="shared" si="182"/>
        <v>2</v>
      </c>
      <c r="CG167" s="467">
        <f t="shared" ca="1" si="138"/>
        <v>47697</v>
      </c>
      <c r="CH167" s="475">
        <f t="shared" ca="1" si="186"/>
        <v>46</v>
      </c>
      <c r="CI167" s="513" t="str">
        <f t="shared" si="183"/>
        <v/>
      </c>
      <c r="CJ167" s="511">
        <f t="shared" si="166"/>
        <v>0</v>
      </c>
      <c r="CK167" s="512">
        <f t="shared" si="167"/>
        <v>0</v>
      </c>
      <c r="CL167" s="511">
        <f t="shared" ca="1" si="184"/>
        <v>0</v>
      </c>
      <c r="CM167" s="511">
        <f ca="1">ROUND(CS167-IF(OR($CE167&gt;=OP!$C$24,AND(CH167=15,CF167=12),CS167=0),0,(CT167-CR167)),$CM$7)</f>
        <v>0</v>
      </c>
      <c r="CN167" s="511"/>
      <c r="CO167" s="351">
        <f t="shared" ca="1" si="168"/>
        <v>87001</v>
      </c>
      <c r="CP167" s="473">
        <f t="shared" si="169"/>
        <v>0</v>
      </c>
      <c r="CQ167" s="473">
        <f t="shared" ca="1" si="139"/>
        <v>198.76748715799999</v>
      </c>
      <c r="CR167" s="476">
        <f t="shared" ca="1" si="170"/>
        <v>0</v>
      </c>
      <c r="CS167" s="494">
        <f ca="1">IF(OR($Q166&lt;&gt;1,OP!$D$5+$CE167-1&lt;16,$CE167-1&lt;1),0,ROUND(ROUND(ROUND(((VLOOKUP($CE167-1,MORE_PV,5,0)/10000)*VLOOKUP($CE167,MORE_PV,$CS$5,0)),3)*VLOOKUP($CE167,more1,5,0),0)/$R166,0))</f>
        <v>0</v>
      </c>
      <c r="CT167" s="473">
        <f>IF($AW167=1,IF(N($CR167+$CS167)&lt;N($AX167)*OP!$C$50,N($CR167+$CS167),MIN(N($CR167+$CS167),N($AX167))),0)</f>
        <v>0</v>
      </c>
      <c r="CV167" s="503">
        <f t="shared" ca="1" si="171"/>
        <v>87001.423532118002</v>
      </c>
      <c r="CW167" s="503">
        <f t="shared" ca="1" si="172"/>
        <v>0</v>
      </c>
      <c r="CX167" s="503">
        <f t="shared" ca="1" si="173"/>
        <v>87193.765928424007</v>
      </c>
    </row>
    <row r="168" spans="2:102" ht="16.5" hidden="1">
      <c r="B168" s="80"/>
      <c r="C168" s="80"/>
      <c r="D168" s="80"/>
      <c r="E168" s="80"/>
      <c r="F168" s="80"/>
      <c r="G168" s="80"/>
      <c r="H168" s="80"/>
      <c r="I168" s="80"/>
      <c r="J168" s="192">
        <f t="shared" si="140"/>
        <v>14</v>
      </c>
      <c r="K168" s="192">
        <f t="shared" si="141"/>
        <v>4</v>
      </c>
      <c r="L168" s="192" t="str">
        <f t="shared" si="134"/>
        <v/>
      </c>
      <c r="M168" s="216">
        <f t="shared" ca="1" si="142"/>
        <v>0</v>
      </c>
      <c r="N168" s="216"/>
      <c r="O168" s="216"/>
      <c r="P168" s="216"/>
      <c r="Q168" s="456" t="str">
        <f t="shared" ca="1" si="143"/>
        <v/>
      </c>
      <c r="R168" s="450">
        <f t="shared" ca="1" si="144"/>
        <v>1</v>
      </c>
      <c r="S168" s="191">
        <f t="shared" si="145"/>
        <v>14</v>
      </c>
      <c r="T168" s="191">
        <f t="shared" si="146"/>
        <v>4</v>
      </c>
      <c r="U168" s="191">
        <f ca="1">OP!$D$5+$S168-1</f>
        <v>46</v>
      </c>
      <c r="V168" s="191" t="str">
        <f t="shared" si="147"/>
        <v/>
      </c>
      <c r="W168" s="350">
        <f ca="1">IF(Q168&lt;&gt;1,0,VLOOKUP(OP!$C$55,PVFB,$S168+2,0))</f>
        <v>0</v>
      </c>
      <c r="X168" s="473">
        <f t="shared" ca="1" si="174"/>
        <v>0</v>
      </c>
      <c r="Y168" s="348">
        <f t="shared" ca="1" si="175"/>
        <v>0</v>
      </c>
      <c r="Z168" s="348">
        <f t="shared" ca="1" si="176"/>
        <v>8012</v>
      </c>
      <c r="AA168" s="348">
        <f ca="1">IF(Q168&lt;&gt;1,0,VLOOKUP(OP!$C$55,PVFB,$S168+2,0))</f>
        <v>0</v>
      </c>
      <c r="AB168" s="488" t="str">
        <f ca="1">IF(AND(S168&lt;OP!$C$24,$U168&lt;15),0,IF(AND($U168&lt;15,$T168=12),ROUND(VLOOKUP($S168,DOWN16,5,0),3),IF($T168=12,ROUND(($Z168/10000)*$AA168,3)+IF(AND($P$7="購買增額繳清保險",T168=12,U168=110),VLOOKUP(S168,$B$10:$H$121,7,0),0),"")))</f>
        <v/>
      </c>
      <c r="AC168" s="350" t="str">
        <f ca="1">IF(AND(S168&lt;OP!$C$24,$U168&lt;15),0,IF(AND($U168&lt;16,$T168=12),VLOOKUP($S168,DOWN16,4,0),IF($T168=12,ROUND(VLOOKUP(OP!$C$55,_DIE2,$S168+1,0)*(Z168/10000),0)+IF(AND($P$7="購買增額繳清保險",T168=12,U168=110),VLOOKUP(S168,$B$10:$H$121,7,0),0),"")))</f>
        <v/>
      </c>
      <c r="AD168" s="347"/>
      <c r="AE168" s="350" t="str">
        <f t="shared" ca="1" si="135"/>
        <v/>
      </c>
      <c r="AF168" s="351" t="str">
        <f t="shared" ca="1" si="136"/>
        <v/>
      </c>
      <c r="AG168" s="340"/>
      <c r="AH168" s="340"/>
      <c r="AI168" s="340"/>
      <c r="AJ168" s="340"/>
      <c r="AK168" s="340"/>
      <c r="AL168" s="340"/>
      <c r="AM168" s="340"/>
      <c r="AN168" s="191">
        <f t="shared" si="148"/>
        <v>14</v>
      </c>
      <c r="AO168" s="191">
        <f t="shared" si="149"/>
        <v>4</v>
      </c>
      <c r="AP168" s="191">
        <f ca="1">OP!$D$5+$AN168-1</f>
        <v>46</v>
      </c>
      <c r="AQ168" s="191" t="str">
        <f t="shared" si="150"/>
        <v/>
      </c>
      <c r="AR168" s="352">
        <f t="shared" ca="1" si="151"/>
        <v>0</v>
      </c>
      <c r="AS168" s="352"/>
      <c r="AT168" s="352"/>
      <c r="AU168" s="436"/>
      <c r="AV168" s="353" t="str">
        <f t="shared" ca="1" si="152"/>
        <v/>
      </c>
      <c r="AW168" s="422" t="str">
        <f t="shared" si="153"/>
        <v/>
      </c>
      <c r="AX168" s="423" t="str">
        <f ca="1">IF(AND($AW168=1,$AP168&lt;16,$AN167&lt;OP!$C$24),OP!$C$49,"")</f>
        <v/>
      </c>
      <c r="AY168" s="340"/>
      <c r="AZ168" s="465">
        <f t="shared" ca="1" si="154"/>
        <v>7.3698599999999999E-5</v>
      </c>
      <c r="BA168" s="464">
        <f t="shared" ca="1" si="155"/>
        <v>2.1372602999999999E-3</v>
      </c>
      <c r="BB168" s="465">
        <f t="shared" ca="1" si="155"/>
        <v>2.2109589000000002E-3</v>
      </c>
      <c r="BC168" s="466">
        <f t="shared" ca="1" si="156"/>
        <v>47727</v>
      </c>
      <c r="BD168" s="467">
        <f t="shared" ca="1" si="177"/>
        <v>47728</v>
      </c>
      <c r="BE168" s="467">
        <f t="shared" ca="1" si="157"/>
        <v>47756</v>
      </c>
      <c r="BF168" s="468">
        <f ca="1">IF(計算!$BC168&lt;OP!$C$3,0,BD168-BC168)</f>
        <v>1</v>
      </c>
      <c r="BG168" s="468">
        <f ca="1">IF($BE168&gt;DATE(YEAR($BD$9)+OP!$C$57,MONTH($BD$9),DAY($BD$9)),0,$BE168-$BD168+1)</f>
        <v>29</v>
      </c>
      <c r="BH168" s="469">
        <f t="shared" ca="1" si="158"/>
        <v>30</v>
      </c>
      <c r="BI168" t="str">
        <f t="shared" si="187"/>
        <v/>
      </c>
      <c r="BJ168">
        <v>3</v>
      </c>
      <c r="BN168" s="468">
        <f t="shared" si="178"/>
        <v>14</v>
      </c>
      <c r="BO168" s="468">
        <f t="shared" si="179"/>
        <v>3</v>
      </c>
      <c r="BP168" s="467">
        <f t="shared" ca="1" si="159"/>
        <v>47728</v>
      </c>
      <c r="BQ168" s="475">
        <f t="shared" ca="1" si="185"/>
        <v>46</v>
      </c>
      <c r="BR168" s="475" t="str">
        <f t="shared" si="180"/>
        <v/>
      </c>
      <c r="BS168" s="471" t="str">
        <f t="shared" si="160"/>
        <v/>
      </c>
      <c r="BT168" s="472" t="str">
        <f t="shared" si="188"/>
        <v/>
      </c>
      <c r="BU168" s="472">
        <f t="shared" ca="1" si="161"/>
        <v>0</v>
      </c>
      <c r="BV168" s="472">
        <f t="shared" ca="1" si="161"/>
        <v>0</v>
      </c>
      <c r="BW168" s="472"/>
      <c r="BX168" s="473">
        <f t="shared" ca="1" si="162"/>
        <v>59415.622146745001</v>
      </c>
      <c r="BY168" s="473">
        <f t="shared" si="163"/>
        <v>0</v>
      </c>
      <c r="BZ168" s="473">
        <f t="shared" ca="1" si="137"/>
        <v>131.36549858399999</v>
      </c>
      <c r="CA168" s="476">
        <f t="shared" ca="1" si="164"/>
        <v>0</v>
      </c>
      <c r="CB168" s="494">
        <f ca="1">IF(OR($Q167&lt;&gt;1,OP!$D$5+$BN168-1&lt;16,$BN168-1&lt;1),0,ROUND(ROUND(ROUND(((VLOOKUP($BN168-1,MORE_PV,5,0)/10000)*VLOOKUP($BN168,MORE_PV,$CB$5,0)),3)*VLOOKUP($BN168,more1,5,0),0)/$R167,0))</f>
        <v>0</v>
      </c>
      <c r="CC168" s="473">
        <f t="shared" ca="1" si="165"/>
        <v>0</v>
      </c>
      <c r="CD168" s="477"/>
      <c r="CE168" s="468">
        <f t="shared" si="181"/>
        <v>14</v>
      </c>
      <c r="CF168" s="468">
        <f t="shared" si="182"/>
        <v>3</v>
      </c>
      <c r="CG168" s="467">
        <f t="shared" ca="1" si="138"/>
        <v>47728</v>
      </c>
      <c r="CH168" s="475">
        <f t="shared" ca="1" si="186"/>
        <v>46</v>
      </c>
      <c r="CI168" s="513" t="str">
        <f t="shared" si="183"/>
        <v/>
      </c>
      <c r="CJ168" s="511">
        <f t="shared" si="166"/>
        <v>0</v>
      </c>
      <c r="CK168" s="512">
        <f t="shared" si="167"/>
        <v>0</v>
      </c>
      <c r="CL168" s="511">
        <f t="shared" ca="1" si="184"/>
        <v>0</v>
      </c>
      <c r="CM168" s="511">
        <f ca="1">ROUND(CS168-IF(OR($CE168&gt;=OP!$C$24,AND(CH168=15,CF168=12),CS168=0),0,(CT168-CR168)),$CM$7)</f>
        <v>0</v>
      </c>
      <c r="CN168" s="511"/>
      <c r="CO168" s="351">
        <f t="shared" ca="1" si="168"/>
        <v>87200</v>
      </c>
      <c r="CP168" s="473">
        <f t="shared" si="169"/>
        <v>0</v>
      </c>
      <c r="CQ168" s="473">
        <f t="shared" ca="1" si="139"/>
        <v>192.79561608</v>
      </c>
      <c r="CR168" s="476">
        <f t="shared" ca="1" si="170"/>
        <v>0</v>
      </c>
      <c r="CS168" s="494">
        <f ca="1">IF(OR($Q167&lt;&gt;1,OP!$D$5+$CE168-1&lt;16,$CE168-1&lt;1),0,ROUND(ROUND(ROUND(((VLOOKUP($CE168-1,MORE_PV,5,0)/10000)*VLOOKUP($CE168,MORE_PV,$CS$5,0)),3)*VLOOKUP($CE168,more1,5,0),0)/$R167,0))</f>
        <v>0</v>
      </c>
      <c r="CT168" s="473">
        <f>IF($AW168=1,IF(N($CR168+$CS168)&lt;N($AX168)*OP!$C$50,N($CR168+$CS168),MIN(N($CR168+$CS168),N($AX168))),0)</f>
        <v>0</v>
      </c>
      <c r="CV168" s="503">
        <f t="shared" ca="1" si="171"/>
        <v>87200.191986902006</v>
      </c>
      <c r="CW168" s="503">
        <f t="shared" ca="1" si="172"/>
        <v>0</v>
      </c>
      <c r="CX168" s="503">
        <f t="shared" ca="1" si="173"/>
        <v>87386.547761227994</v>
      </c>
    </row>
    <row r="169" spans="2:102" ht="16.5" hidden="1">
      <c r="B169" s="80"/>
      <c r="C169" s="80"/>
      <c r="D169" s="80"/>
      <c r="E169" s="80"/>
      <c r="F169" s="80"/>
      <c r="G169" s="80"/>
      <c r="H169" s="80"/>
      <c r="I169" s="80"/>
      <c r="J169" s="192">
        <f t="shared" si="140"/>
        <v>14</v>
      </c>
      <c r="K169" s="192">
        <f t="shared" si="141"/>
        <v>5</v>
      </c>
      <c r="L169" s="192" t="str">
        <f t="shared" si="134"/>
        <v/>
      </c>
      <c r="M169" s="216">
        <f t="shared" ca="1" si="142"/>
        <v>0</v>
      </c>
      <c r="N169" s="216"/>
      <c r="O169" s="216"/>
      <c r="P169" s="216"/>
      <c r="Q169" s="456" t="str">
        <f t="shared" ca="1" si="143"/>
        <v/>
      </c>
      <c r="R169" s="450">
        <f t="shared" ca="1" si="144"/>
        <v>1</v>
      </c>
      <c r="S169" s="191">
        <f t="shared" si="145"/>
        <v>14</v>
      </c>
      <c r="T169" s="191">
        <f t="shared" si="146"/>
        <v>5</v>
      </c>
      <c r="U169" s="191">
        <f ca="1">OP!$D$5+$S169-1</f>
        <v>46</v>
      </c>
      <c r="V169" s="191" t="str">
        <f t="shared" si="147"/>
        <v/>
      </c>
      <c r="W169" s="350">
        <f ca="1">IF(Q169&lt;&gt;1,0,VLOOKUP(OP!$C$55,PVFB,$S169+2,0))</f>
        <v>0</v>
      </c>
      <c r="X169" s="473">
        <f t="shared" ca="1" si="174"/>
        <v>0</v>
      </c>
      <c r="Y169" s="348">
        <f t="shared" ca="1" si="175"/>
        <v>0</v>
      </c>
      <c r="Z169" s="348">
        <f t="shared" ca="1" si="176"/>
        <v>8012</v>
      </c>
      <c r="AA169" s="348">
        <f ca="1">IF(Q169&lt;&gt;1,0,VLOOKUP(OP!$C$55,PVFB,$S169+2,0))</f>
        <v>0</v>
      </c>
      <c r="AB169" s="488" t="str">
        <f ca="1">IF(AND(S169&lt;OP!$C$24,$U169&lt;15),0,IF(AND($U169&lt;15,$T169=12),ROUND(VLOOKUP($S169,DOWN16,5,0),3),IF($T169=12,ROUND(($Z169/10000)*$AA169,3)+IF(AND($P$7="購買增額繳清保險",T169=12,U169=110),VLOOKUP(S169,$B$10:$H$121,7,0),0),"")))</f>
        <v/>
      </c>
      <c r="AC169" s="350" t="str">
        <f ca="1">IF(AND(S169&lt;OP!$C$24,$U169&lt;15),0,IF(AND($U169&lt;16,$T169=12),VLOOKUP($S169,DOWN16,4,0),IF($T169=12,ROUND(VLOOKUP(OP!$C$55,_DIE2,$S169+1,0)*(Z169/10000),0)+IF(AND($P$7="購買增額繳清保險",T169=12,U169=110),VLOOKUP(S169,$B$10:$H$121,7,0),0),"")))</f>
        <v/>
      </c>
      <c r="AD169" s="347"/>
      <c r="AE169" s="350" t="str">
        <f t="shared" ca="1" si="135"/>
        <v/>
      </c>
      <c r="AF169" s="351" t="str">
        <f t="shared" ca="1" si="136"/>
        <v/>
      </c>
      <c r="AG169" s="340"/>
      <c r="AH169" s="340"/>
      <c r="AI169" s="340"/>
      <c r="AJ169" s="340"/>
      <c r="AK169" s="340"/>
      <c r="AL169" s="340"/>
      <c r="AM169" s="340"/>
      <c r="AN169" s="191">
        <f t="shared" si="148"/>
        <v>14</v>
      </c>
      <c r="AO169" s="191">
        <f t="shared" si="149"/>
        <v>5</v>
      </c>
      <c r="AP169" s="191">
        <f ca="1">OP!$D$5+$AN169-1</f>
        <v>46</v>
      </c>
      <c r="AQ169" s="191" t="str">
        <f t="shared" si="150"/>
        <v/>
      </c>
      <c r="AR169" s="352">
        <f t="shared" ca="1" si="151"/>
        <v>0</v>
      </c>
      <c r="AS169" s="352"/>
      <c r="AT169" s="352"/>
      <c r="AU169" s="436"/>
      <c r="AV169" s="353" t="str">
        <f t="shared" ca="1" si="152"/>
        <v/>
      </c>
      <c r="AW169" s="422" t="str">
        <f t="shared" si="153"/>
        <v/>
      </c>
      <c r="AX169" s="423" t="str">
        <f ca="1">IF(AND($AW169=1,$AP169&lt;16,$AN168&lt;OP!$C$24),OP!$C$49,"")</f>
        <v/>
      </c>
      <c r="AY169" s="340"/>
      <c r="AZ169" s="465">
        <f t="shared" ca="1" si="154"/>
        <v>7.3698599999999999E-5</v>
      </c>
      <c r="BA169" s="464">
        <f t="shared" ca="1" si="155"/>
        <v>2.2109589000000002E-3</v>
      </c>
      <c r="BB169" s="465">
        <f t="shared" ca="1" si="155"/>
        <v>2.2846575E-3</v>
      </c>
      <c r="BC169" s="466">
        <f t="shared" ca="1" si="156"/>
        <v>47757</v>
      </c>
      <c r="BD169" s="467">
        <f t="shared" ca="1" si="177"/>
        <v>47758</v>
      </c>
      <c r="BE169" s="467">
        <f t="shared" ca="1" si="157"/>
        <v>47787</v>
      </c>
      <c r="BF169" s="468">
        <f ca="1">IF(計算!$BC169&lt;OP!$C$3,0,BD169-BC169)</f>
        <v>1</v>
      </c>
      <c r="BG169" s="468">
        <f ca="1">IF($BE169&gt;DATE(YEAR($BD$9)+OP!$C$57,MONTH($BD$9),DAY($BD$9)),0,$BE169-$BD169+1)</f>
        <v>30</v>
      </c>
      <c r="BH169" s="469">
        <f t="shared" ca="1" si="158"/>
        <v>31</v>
      </c>
      <c r="BI169" t="str">
        <f t="shared" si="187"/>
        <v/>
      </c>
      <c r="BJ169">
        <v>4</v>
      </c>
      <c r="BN169" s="468">
        <f t="shared" si="178"/>
        <v>14</v>
      </c>
      <c r="BO169" s="468">
        <f t="shared" si="179"/>
        <v>4</v>
      </c>
      <c r="BP169" s="467">
        <f t="shared" ca="1" si="159"/>
        <v>47758</v>
      </c>
      <c r="BQ169" s="475">
        <f t="shared" ca="1" si="185"/>
        <v>46</v>
      </c>
      <c r="BR169" s="475" t="str">
        <f t="shared" si="180"/>
        <v/>
      </c>
      <c r="BS169" s="471" t="str">
        <f t="shared" si="160"/>
        <v/>
      </c>
      <c r="BT169" s="472" t="str">
        <f t="shared" si="188"/>
        <v/>
      </c>
      <c r="BU169" s="472">
        <f t="shared" ca="1" si="161"/>
        <v>0</v>
      </c>
      <c r="BV169" s="472">
        <f t="shared" ca="1" si="161"/>
        <v>0</v>
      </c>
      <c r="BW169" s="472"/>
      <c r="BX169" s="473">
        <f t="shared" ca="1" si="162"/>
        <v>59546.987645328998</v>
      </c>
      <c r="BY169" s="473">
        <f t="shared" si="163"/>
        <v>0</v>
      </c>
      <c r="BZ169" s="473">
        <f t="shared" ca="1" si="137"/>
        <v>136.044471926</v>
      </c>
      <c r="CA169" s="476">
        <f t="shared" ca="1" si="164"/>
        <v>0</v>
      </c>
      <c r="CB169" s="494">
        <f ca="1">IF(OR($Q168&lt;&gt;1,OP!$D$5+$BN169-1&lt;16,$BN169-1&lt;1),0,ROUND(ROUND(ROUND(((VLOOKUP($BN169-1,MORE_PV,5,0)/10000)*VLOOKUP($BN169,MORE_PV,$CB$5,0)),3)*VLOOKUP($BN169,more1,5,0),0)/$R168,0))</f>
        <v>0</v>
      </c>
      <c r="CC169" s="473">
        <f t="shared" ca="1" si="165"/>
        <v>0</v>
      </c>
      <c r="CD169" s="477"/>
      <c r="CE169" s="468">
        <f t="shared" si="181"/>
        <v>14</v>
      </c>
      <c r="CF169" s="468">
        <f t="shared" si="182"/>
        <v>4</v>
      </c>
      <c r="CG169" s="467">
        <f t="shared" ca="1" si="138"/>
        <v>47758</v>
      </c>
      <c r="CH169" s="475">
        <f t="shared" ca="1" si="186"/>
        <v>46</v>
      </c>
      <c r="CI169" s="513" t="str">
        <f t="shared" si="183"/>
        <v/>
      </c>
      <c r="CJ169" s="511">
        <f t="shared" si="166"/>
        <v>0</v>
      </c>
      <c r="CK169" s="512">
        <f t="shared" si="167"/>
        <v>0</v>
      </c>
      <c r="CL169" s="511">
        <f t="shared" ca="1" si="184"/>
        <v>0</v>
      </c>
      <c r="CM169" s="511">
        <f ca="1">ROUND(CS169-IF(OR($CE169&gt;=OP!$C$24,AND(CH169=15,CF169=12),CS169=0),0,(CT169-CR169)),$CM$7)</f>
        <v>0</v>
      </c>
      <c r="CN169" s="511"/>
      <c r="CO169" s="351">
        <f t="shared" ca="1" si="168"/>
        <v>87393</v>
      </c>
      <c r="CP169" s="473">
        <f t="shared" si="169"/>
        <v>0</v>
      </c>
      <c r="CQ169" s="473">
        <f t="shared" ca="1" si="139"/>
        <v>199.663072898</v>
      </c>
      <c r="CR169" s="476">
        <f t="shared" ca="1" si="170"/>
        <v>0</v>
      </c>
      <c r="CS169" s="494">
        <f ca="1">IF(OR($Q168&lt;&gt;1,OP!$D$5+$CE169-1&lt;16,$CE169-1&lt;1),0,ROUND(ROUND(ROUND(((VLOOKUP($CE169-1,MORE_PV,5,0)/10000)*VLOOKUP($CE169,MORE_PV,$CS$5,0)),3)*VLOOKUP($CE169,more1,5,0),0)/$R168,0))</f>
        <v>0</v>
      </c>
      <c r="CT169" s="473">
        <f>IF($AW169=1,IF(N($CR169+$CS169)&lt;N($AX169)*OP!$C$50,N($CR169+$CS169),MIN(N($CR169+$CS169),N($AX169))),0)</f>
        <v>0</v>
      </c>
      <c r="CV169" s="503">
        <f t="shared" ca="1" si="171"/>
        <v>87392.988027457002</v>
      </c>
      <c r="CW169" s="503">
        <f t="shared" ca="1" si="172"/>
        <v>0</v>
      </c>
      <c r="CX169" s="503">
        <f t="shared" ca="1" si="173"/>
        <v>87586.19609297</v>
      </c>
    </row>
    <row r="170" spans="2:102" ht="16.5" hidden="1">
      <c r="B170" s="80"/>
      <c r="C170" s="80"/>
      <c r="D170" s="80"/>
      <c r="E170" s="80"/>
      <c r="F170" s="80"/>
      <c r="G170" s="80"/>
      <c r="H170" s="80"/>
      <c r="I170" s="80"/>
      <c r="J170" s="192">
        <f t="shared" si="140"/>
        <v>14</v>
      </c>
      <c r="K170" s="192">
        <f t="shared" si="141"/>
        <v>6</v>
      </c>
      <c r="L170" s="192" t="str">
        <f t="shared" si="134"/>
        <v/>
      </c>
      <c r="M170" s="216">
        <f t="shared" ca="1" si="142"/>
        <v>0</v>
      </c>
      <c r="N170" s="216"/>
      <c r="O170" s="216"/>
      <c r="P170" s="216"/>
      <c r="Q170" s="456" t="str">
        <f t="shared" ca="1" si="143"/>
        <v/>
      </c>
      <c r="R170" s="450">
        <f t="shared" ca="1" si="144"/>
        <v>1</v>
      </c>
      <c r="S170" s="191">
        <f t="shared" si="145"/>
        <v>14</v>
      </c>
      <c r="T170" s="191">
        <f t="shared" si="146"/>
        <v>6</v>
      </c>
      <c r="U170" s="191">
        <f ca="1">OP!$D$5+$S170-1</f>
        <v>46</v>
      </c>
      <c r="V170" s="191" t="str">
        <f t="shared" si="147"/>
        <v/>
      </c>
      <c r="W170" s="350">
        <f ca="1">IF(Q170&lt;&gt;1,0,VLOOKUP(OP!$C$55,PVFB,$S170+2,0))</f>
        <v>0</v>
      </c>
      <c r="X170" s="473">
        <f t="shared" ca="1" si="174"/>
        <v>0</v>
      </c>
      <c r="Y170" s="348">
        <f t="shared" ca="1" si="175"/>
        <v>0</v>
      </c>
      <c r="Z170" s="348">
        <f t="shared" ca="1" si="176"/>
        <v>8012</v>
      </c>
      <c r="AA170" s="348">
        <f ca="1">IF(Q170&lt;&gt;1,0,VLOOKUP(OP!$C$55,PVFB,$S170+2,0))</f>
        <v>0</v>
      </c>
      <c r="AB170" s="488" t="str">
        <f ca="1">IF(AND(S170&lt;OP!$C$24,$U170&lt;15),0,IF(AND($U170&lt;15,$T170=12),ROUND(VLOOKUP($S170,DOWN16,5,0),3),IF($T170=12,ROUND(($Z170/10000)*$AA170,3)+IF(AND($P$7="購買增額繳清保險",T170=12,U170=110),VLOOKUP(S170,$B$10:$H$121,7,0),0),"")))</f>
        <v/>
      </c>
      <c r="AC170" s="350" t="str">
        <f ca="1">IF(AND(S170&lt;OP!$C$24,$U170&lt;15),0,IF(AND($U170&lt;16,$T170=12),VLOOKUP($S170,DOWN16,4,0),IF($T170=12,ROUND(VLOOKUP(OP!$C$55,_DIE2,$S170+1,0)*(Z170/10000),0)+IF(AND($P$7="購買增額繳清保險",T170=12,U170=110),VLOOKUP(S170,$B$10:$H$121,7,0),0),"")))</f>
        <v/>
      </c>
      <c r="AD170" s="347"/>
      <c r="AE170" s="350" t="str">
        <f t="shared" ca="1" si="135"/>
        <v/>
      </c>
      <c r="AF170" s="351" t="str">
        <f t="shared" ca="1" si="136"/>
        <v/>
      </c>
      <c r="AG170" s="340"/>
      <c r="AH170" s="340"/>
      <c r="AI170" s="340"/>
      <c r="AJ170" s="340"/>
      <c r="AK170" s="340"/>
      <c r="AL170" s="340"/>
      <c r="AM170" s="340"/>
      <c r="AN170" s="191">
        <f t="shared" si="148"/>
        <v>14</v>
      </c>
      <c r="AO170" s="191">
        <f t="shared" si="149"/>
        <v>6</v>
      </c>
      <c r="AP170" s="191">
        <f ca="1">OP!$D$5+$AN170-1</f>
        <v>46</v>
      </c>
      <c r="AQ170" s="191" t="str">
        <f t="shared" si="150"/>
        <v/>
      </c>
      <c r="AR170" s="352">
        <f t="shared" ca="1" si="151"/>
        <v>0</v>
      </c>
      <c r="AS170" s="352"/>
      <c r="AT170" s="352"/>
      <c r="AU170" s="436"/>
      <c r="AV170" s="353" t="str">
        <f t="shared" ca="1" si="152"/>
        <v/>
      </c>
      <c r="AW170" s="422" t="str">
        <f t="shared" si="153"/>
        <v/>
      </c>
      <c r="AX170" s="423" t="str">
        <f ca="1">IF(AND($AW170=1,$AP170&lt;16,$AN169&lt;OP!$C$24),OP!$C$49,"")</f>
        <v/>
      </c>
      <c r="AY170" s="340"/>
      <c r="AZ170" s="465">
        <f t="shared" ca="1" si="154"/>
        <v>7.3698599999999999E-5</v>
      </c>
      <c r="BA170" s="464">
        <f t="shared" ca="1" si="155"/>
        <v>2.1372602999999999E-3</v>
      </c>
      <c r="BB170" s="465">
        <f t="shared" ca="1" si="155"/>
        <v>2.2109589000000002E-3</v>
      </c>
      <c r="BC170" s="466">
        <f t="shared" ca="1" si="156"/>
        <v>47788</v>
      </c>
      <c r="BD170" s="467">
        <f t="shared" ca="1" si="177"/>
        <v>47789</v>
      </c>
      <c r="BE170" s="467">
        <f t="shared" ca="1" si="157"/>
        <v>47817</v>
      </c>
      <c r="BF170" s="468">
        <f ca="1">IF(計算!$BC170&lt;OP!$C$3,0,BD170-BC170)</f>
        <v>1</v>
      </c>
      <c r="BG170" s="468">
        <f ca="1">IF($BE170&gt;DATE(YEAR($BD$9)+OP!$C$57,MONTH($BD$9),DAY($BD$9)),0,$BE170-$BD170+1)</f>
        <v>29</v>
      </c>
      <c r="BH170" s="469">
        <f t="shared" ca="1" si="158"/>
        <v>30</v>
      </c>
      <c r="BI170" t="str">
        <f t="shared" si="187"/>
        <v/>
      </c>
      <c r="BJ170">
        <v>5</v>
      </c>
      <c r="BN170" s="468">
        <f t="shared" si="178"/>
        <v>14</v>
      </c>
      <c r="BO170" s="468">
        <f t="shared" si="179"/>
        <v>5</v>
      </c>
      <c r="BP170" s="467">
        <f t="shared" ca="1" si="159"/>
        <v>47789</v>
      </c>
      <c r="BQ170" s="475">
        <f t="shared" ca="1" si="185"/>
        <v>46</v>
      </c>
      <c r="BR170" s="475" t="str">
        <f t="shared" si="180"/>
        <v/>
      </c>
      <c r="BS170" s="471" t="str">
        <f t="shared" si="160"/>
        <v/>
      </c>
      <c r="BT170" s="472" t="str">
        <f t="shared" si="188"/>
        <v/>
      </c>
      <c r="BU170" s="472">
        <f t="shared" ca="1" si="161"/>
        <v>0</v>
      </c>
      <c r="BV170" s="472">
        <f t="shared" ca="1" si="161"/>
        <v>0</v>
      </c>
      <c r="BW170" s="472"/>
      <c r="BX170" s="473">
        <f t="shared" ca="1" si="162"/>
        <v>59683.032117255003</v>
      </c>
      <c r="BY170" s="473">
        <f t="shared" si="163"/>
        <v>0</v>
      </c>
      <c r="BZ170" s="473">
        <f t="shared" ca="1" si="137"/>
        <v>131.956731039</v>
      </c>
      <c r="CA170" s="476">
        <f t="shared" ca="1" si="164"/>
        <v>0</v>
      </c>
      <c r="CB170" s="494">
        <f ca="1">IF(OR($Q169&lt;&gt;1,OP!$D$5+$BN170-1&lt;16,$BN170-1&lt;1),0,ROUND(ROUND(ROUND(((VLOOKUP($BN170-1,MORE_PV,5,0)/10000)*VLOOKUP($BN170,MORE_PV,$CB$5,0)),3)*VLOOKUP($BN170,more1,5,0),0)/$R169,0))</f>
        <v>0</v>
      </c>
      <c r="CC170" s="473">
        <f t="shared" ca="1" si="165"/>
        <v>0</v>
      </c>
      <c r="CD170" s="477"/>
      <c r="CE170" s="468">
        <f t="shared" si="181"/>
        <v>14</v>
      </c>
      <c r="CF170" s="468">
        <f t="shared" si="182"/>
        <v>5</v>
      </c>
      <c r="CG170" s="467">
        <f t="shared" ca="1" si="138"/>
        <v>47789</v>
      </c>
      <c r="CH170" s="475">
        <f t="shared" ca="1" si="186"/>
        <v>46</v>
      </c>
      <c r="CI170" s="513" t="str">
        <f t="shared" si="183"/>
        <v/>
      </c>
      <c r="CJ170" s="511">
        <f t="shared" si="166"/>
        <v>0</v>
      </c>
      <c r="CK170" s="512">
        <f t="shared" si="167"/>
        <v>0</v>
      </c>
      <c r="CL170" s="511">
        <f t="shared" ca="1" si="184"/>
        <v>0</v>
      </c>
      <c r="CM170" s="511">
        <f ca="1">ROUND(CS170-IF(OR($CE170&gt;=OP!$C$24,AND(CH170=15,CF170=12),CS170=0),0,(CT170-CR170)),$CM$7)</f>
        <v>0</v>
      </c>
      <c r="CN170" s="511"/>
      <c r="CO170" s="351">
        <f t="shared" ca="1" si="168"/>
        <v>87593</v>
      </c>
      <c r="CP170" s="473">
        <f t="shared" si="169"/>
        <v>0</v>
      </c>
      <c r="CQ170" s="473">
        <f t="shared" ca="1" si="139"/>
        <v>193.664522928</v>
      </c>
      <c r="CR170" s="476">
        <f t="shared" ca="1" si="170"/>
        <v>0</v>
      </c>
      <c r="CS170" s="494">
        <f ca="1">IF(OR($Q169&lt;&gt;1,OP!$D$5+$CE170-1&lt;16,$CE170-1&lt;1),0,ROUND(ROUND(ROUND(((VLOOKUP($CE170-1,MORE_PV,5,0)/10000)*VLOOKUP($CE170,MORE_PV,$CS$5,0)),3)*VLOOKUP($CE170,more1,5,0),0)/$R169,0))</f>
        <v>0</v>
      </c>
      <c r="CT170" s="473">
        <f>IF($AW170=1,IF(N($CR170+$CS170)&lt;N($AX170)*OP!$C$50,N($CR170+$CS170),MIN(N($CR170+$CS170),N($AX170))),0)</f>
        <v>0</v>
      </c>
      <c r="CV170" s="503">
        <f t="shared" ca="1" si="171"/>
        <v>87592.651073001005</v>
      </c>
      <c r="CW170" s="503">
        <f t="shared" ca="1" si="172"/>
        <v>0</v>
      </c>
      <c r="CX170" s="503">
        <f t="shared" ca="1" si="173"/>
        <v>87779.845572738996</v>
      </c>
    </row>
    <row r="171" spans="2:102" ht="16.5" hidden="1">
      <c r="B171" s="80"/>
      <c r="C171" s="80"/>
      <c r="D171" s="80"/>
      <c r="E171" s="80"/>
      <c r="F171" s="80"/>
      <c r="G171" s="80"/>
      <c r="H171" s="80"/>
      <c r="I171" s="80"/>
      <c r="J171" s="192">
        <f t="shared" si="140"/>
        <v>14</v>
      </c>
      <c r="K171" s="192">
        <f t="shared" si="141"/>
        <v>7</v>
      </c>
      <c r="L171" s="192" t="str">
        <f t="shared" si="134"/>
        <v/>
      </c>
      <c r="M171" s="216">
        <f t="shared" ca="1" si="142"/>
        <v>0</v>
      </c>
      <c r="N171" s="216"/>
      <c r="O171" s="216"/>
      <c r="P171" s="216"/>
      <c r="Q171" s="456" t="str">
        <f t="shared" ca="1" si="143"/>
        <v/>
      </c>
      <c r="R171" s="450">
        <f t="shared" ca="1" si="144"/>
        <v>1</v>
      </c>
      <c r="S171" s="191">
        <f t="shared" si="145"/>
        <v>14</v>
      </c>
      <c r="T171" s="191">
        <f t="shared" si="146"/>
        <v>7</v>
      </c>
      <c r="U171" s="191">
        <f ca="1">OP!$D$5+$S171-1</f>
        <v>46</v>
      </c>
      <c r="V171" s="191" t="str">
        <f t="shared" si="147"/>
        <v/>
      </c>
      <c r="W171" s="350">
        <f ca="1">IF(Q171&lt;&gt;1,0,VLOOKUP(OP!$C$55,PVFB,$S171+2,0))</f>
        <v>0</v>
      </c>
      <c r="X171" s="473">
        <f t="shared" ca="1" si="174"/>
        <v>0</v>
      </c>
      <c r="Y171" s="348">
        <f t="shared" ca="1" si="175"/>
        <v>0</v>
      </c>
      <c r="Z171" s="348">
        <f t="shared" ca="1" si="176"/>
        <v>8012</v>
      </c>
      <c r="AA171" s="348">
        <f ca="1">IF(Q171&lt;&gt;1,0,VLOOKUP(OP!$C$55,PVFB,$S171+2,0))</f>
        <v>0</v>
      </c>
      <c r="AB171" s="488" t="str">
        <f ca="1">IF(AND(S171&lt;OP!$C$24,$U171&lt;15),0,IF(AND($U171&lt;15,$T171=12),ROUND(VLOOKUP($S171,DOWN16,5,0),3),IF($T171=12,ROUND(($Z171/10000)*$AA171,3)+IF(AND($P$7="購買增額繳清保險",T171=12,U171=110),VLOOKUP(S171,$B$10:$H$121,7,0),0),"")))</f>
        <v/>
      </c>
      <c r="AC171" s="350" t="str">
        <f ca="1">IF(AND(S171&lt;OP!$C$24,$U171&lt;15),0,IF(AND($U171&lt;16,$T171=12),VLOOKUP($S171,DOWN16,4,0),IF($T171=12,ROUND(VLOOKUP(OP!$C$55,_DIE2,$S171+1,0)*(Z171/10000),0)+IF(AND($P$7="購買增額繳清保險",T171=12,U171=110),VLOOKUP(S171,$B$10:$H$121,7,0),0),"")))</f>
        <v/>
      </c>
      <c r="AD171" s="347"/>
      <c r="AE171" s="350" t="str">
        <f t="shared" ca="1" si="135"/>
        <v/>
      </c>
      <c r="AF171" s="351" t="str">
        <f t="shared" ca="1" si="136"/>
        <v/>
      </c>
      <c r="AG171" s="340"/>
      <c r="AH171" s="340"/>
      <c r="AI171" s="340"/>
      <c r="AJ171" s="340"/>
      <c r="AK171" s="340"/>
      <c r="AL171" s="340"/>
      <c r="AM171" s="340"/>
      <c r="AN171" s="191">
        <f t="shared" si="148"/>
        <v>14</v>
      </c>
      <c r="AO171" s="191">
        <f t="shared" si="149"/>
        <v>7</v>
      </c>
      <c r="AP171" s="191">
        <f ca="1">OP!$D$5+$AN171-1</f>
        <v>46</v>
      </c>
      <c r="AQ171" s="191" t="str">
        <f t="shared" si="150"/>
        <v/>
      </c>
      <c r="AR171" s="352">
        <f t="shared" ca="1" si="151"/>
        <v>0</v>
      </c>
      <c r="AS171" s="352"/>
      <c r="AT171" s="352"/>
      <c r="AU171" s="436"/>
      <c r="AV171" s="353" t="str">
        <f t="shared" ca="1" si="152"/>
        <v/>
      </c>
      <c r="AW171" s="422" t="str">
        <f t="shared" si="153"/>
        <v/>
      </c>
      <c r="AX171" s="423" t="str">
        <f ca="1">IF(AND($AW171=1,$AP171&lt;16,$AN170&lt;OP!$C$24),OP!$C$49,"")</f>
        <v/>
      </c>
      <c r="AY171" s="340"/>
      <c r="AZ171" s="465">
        <f t="shared" ca="1" si="154"/>
        <v>7.3698599999999999E-5</v>
      </c>
      <c r="BA171" s="464">
        <f t="shared" ca="1" si="155"/>
        <v>2.2109589000000002E-3</v>
      </c>
      <c r="BB171" s="465">
        <f t="shared" ca="1" si="155"/>
        <v>2.2846575E-3</v>
      </c>
      <c r="BC171" s="466">
        <f t="shared" ca="1" si="156"/>
        <v>47818</v>
      </c>
      <c r="BD171" s="467">
        <f t="shared" ca="1" si="177"/>
        <v>47819</v>
      </c>
      <c r="BE171" s="467">
        <f t="shared" ca="1" si="157"/>
        <v>47848</v>
      </c>
      <c r="BF171" s="468">
        <f ca="1">IF(計算!$BC171&lt;OP!$C$3,0,BD171-BC171)</f>
        <v>1</v>
      </c>
      <c r="BG171" s="468">
        <f ca="1">IF($BE171&gt;DATE(YEAR($BD$9)+OP!$C$57,MONTH($BD$9),DAY($BD$9)),0,$BE171-$BD171+1)</f>
        <v>30</v>
      </c>
      <c r="BH171" s="469">
        <f t="shared" ca="1" si="158"/>
        <v>31</v>
      </c>
      <c r="BI171" t="str">
        <f t="shared" si="187"/>
        <v/>
      </c>
      <c r="BJ171">
        <v>6</v>
      </c>
      <c r="BN171" s="468">
        <f t="shared" si="178"/>
        <v>14</v>
      </c>
      <c r="BO171" s="468">
        <f t="shared" si="179"/>
        <v>6</v>
      </c>
      <c r="BP171" s="467">
        <f t="shared" ca="1" si="159"/>
        <v>47819</v>
      </c>
      <c r="BQ171" s="475">
        <f t="shared" ca="1" si="185"/>
        <v>46</v>
      </c>
      <c r="BR171" s="475" t="str">
        <f t="shared" si="180"/>
        <v/>
      </c>
      <c r="BS171" s="471" t="str">
        <f t="shared" si="160"/>
        <v/>
      </c>
      <c r="BT171" s="472" t="str">
        <f t="shared" si="188"/>
        <v/>
      </c>
      <c r="BU171" s="472">
        <f t="shared" ca="1" si="161"/>
        <v>0</v>
      </c>
      <c r="BV171" s="472">
        <f t="shared" ca="1" si="161"/>
        <v>0</v>
      </c>
      <c r="BW171" s="472"/>
      <c r="BX171" s="473">
        <f t="shared" ca="1" si="162"/>
        <v>59814.988848294</v>
      </c>
      <c r="BY171" s="473">
        <f t="shared" si="163"/>
        <v>0</v>
      </c>
      <c r="BZ171" s="473">
        <f t="shared" ca="1" si="137"/>
        <v>136.65676288500001</v>
      </c>
      <c r="CA171" s="476">
        <f t="shared" ca="1" si="164"/>
        <v>0</v>
      </c>
      <c r="CB171" s="494">
        <f ca="1">IF(OR($Q170&lt;&gt;1,OP!$D$5+$BN171-1&lt;16,$BN171-1&lt;1),0,ROUND(ROUND(ROUND(((VLOOKUP($BN171-1,MORE_PV,5,0)/10000)*VLOOKUP($BN171,MORE_PV,$CB$5,0)),3)*VLOOKUP($BN171,more1,5,0),0)/$R170,0))</f>
        <v>0</v>
      </c>
      <c r="CC171" s="473">
        <f t="shared" ca="1" si="165"/>
        <v>0</v>
      </c>
      <c r="CD171" s="477"/>
      <c r="CE171" s="468">
        <f t="shared" si="181"/>
        <v>14</v>
      </c>
      <c r="CF171" s="468">
        <f t="shared" si="182"/>
        <v>6</v>
      </c>
      <c r="CG171" s="467">
        <f t="shared" ca="1" si="138"/>
        <v>47819</v>
      </c>
      <c r="CH171" s="475">
        <f t="shared" ca="1" si="186"/>
        <v>46</v>
      </c>
      <c r="CI171" s="513" t="str">
        <f t="shared" si="183"/>
        <v/>
      </c>
      <c r="CJ171" s="511">
        <f t="shared" si="166"/>
        <v>0</v>
      </c>
      <c r="CK171" s="512">
        <f t="shared" si="167"/>
        <v>0</v>
      </c>
      <c r="CL171" s="511">
        <f t="shared" ca="1" si="184"/>
        <v>0</v>
      </c>
      <c r="CM171" s="511">
        <f ca="1">ROUND(CS171-IF(OR($CE171&gt;=OP!$C$24,AND(CH171=15,CF171=12),CS171=0),0,(CT171-CR171)),$CM$7)</f>
        <v>0</v>
      </c>
      <c r="CN171" s="511"/>
      <c r="CO171" s="351">
        <f t="shared" ca="1" si="168"/>
        <v>87786</v>
      </c>
      <c r="CP171" s="473">
        <f t="shared" si="169"/>
        <v>0</v>
      </c>
      <c r="CQ171" s="473">
        <f t="shared" ca="1" si="139"/>
        <v>200.56094329499999</v>
      </c>
      <c r="CR171" s="476">
        <f t="shared" ca="1" si="170"/>
        <v>0</v>
      </c>
      <c r="CS171" s="494">
        <f ca="1">IF(OR($Q170&lt;&gt;1,OP!$D$5+$CE171-1&lt;16,$CE171-1&lt;1),0,ROUND(ROUND(ROUND(((VLOOKUP($CE171-1,MORE_PV,5,0)/10000)*VLOOKUP($CE171,MORE_PV,$CS$5,0)),3)*VLOOKUP($CE171,more1,5,0),0)/$R170,0))</f>
        <v>0</v>
      </c>
      <c r="CT171" s="473">
        <f>IF($AW171=1,IF(N($CR171+$CS171)&lt;N($AX171)*OP!$C$50,N($CR171+$CS171),MIN(N($CR171+$CS171),N($AX171))),0)</f>
        <v>0</v>
      </c>
      <c r="CV171" s="503">
        <f t="shared" ca="1" si="171"/>
        <v>87786.314824465997</v>
      </c>
      <c r="CW171" s="503">
        <f t="shared" ca="1" si="172"/>
        <v>0</v>
      </c>
      <c r="CX171" s="503">
        <f t="shared" ca="1" si="173"/>
        <v>87980.392455276</v>
      </c>
    </row>
    <row r="172" spans="2:102" ht="16.5" hidden="1">
      <c r="B172" s="80"/>
      <c r="C172" s="80"/>
      <c r="D172" s="80"/>
      <c r="E172" s="80"/>
      <c r="F172" s="80"/>
      <c r="G172" s="80"/>
      <c r="H172" s="80"/>
      <c r="I172" s="80"/>
      <c r="J172" s="192">
        <f t="shared" si="140"/>
        <v>14</v>
      </c>
      <c r="K172" s="192">
        <f t="shared" si="141"/>
        <v>8</v>
      </c>
      <c r="L172" s="192" t="str">
        <f t="shared" si="134"/>
        <v/>
      </c>
      <c r="M172" s="216">
        <f t="shared" ca="1" si="142"/>
        <v>0</v>
      </c>
      <c r="N172" s="216"/>
      <c r="O172" s="216"/>
      <c r="P172" s="216"/>
      <c r="Q172" s="456" t="str">
        <f t="shared" ca="1" si="143"/>
        <v/>
      </c>
      <c r="R172" s="450">
        <f t="shared" ca="1" si="144"/>
        <v>1</v>
      </c>
      <c r="S172" s="191">
        <f t="shared" si="145"/>
        <v>14</v>
      </c>
      <c r="T172" s="191">
        <f t="shared" si="146"/>
        <v>8</v>
      </c>
      <c r="U172" s="191">
        <f ca="1">OP!$D$5+$S172-1</f>
        <v>46</v>
      </c>
      <c r="V172" s="191" t="str">
        <f t="shared" si="147"/>
        <v/>
      </c>
      <c r="W172" s="350">
        <f ca="1">IF(Q172&lt;&gt;1,0,VLOOKUP(OP!$C$55,PVFB,$S172+2,0))</f>
        <v>0</v>
      </c>
      <c r="X172" s="473">
        <f t="shared" ca="1" si="174"/>
        <v>0</v>
      </c>
      <c r="Y172" s="348">
        <f t="shared" ca="1" si="175"/>
        <v>0</v>
      </c>
      <c r="Z172" s="348">
        <f t="shared" ca="1" si="176"/>
        <v>8012</v>
      </c>
      <c r="AA172" s="348">
        <f ca="1">IF(Q172&lt;&gt;1,0,VLOOKUP(OP!$C$55,PVFB,$S172+2,0))</f>
        <v>0</v>
      </c>
      <c r="AB172" s="488" t="str">
        <f ca="1">IF(AND(S172&lt;OP!$C$24,$U172&lt;15),0,IF(AND($U172&lt;15,$T172=12),ROUND(VLOOKUP($S172,DOWN16,5,0),3),IF($T172=12,ROUND(($Z172/10000)*$AA172,3)+IF(AND($P$7="購買增額繳清保險",T172=12,U172=110),VLOOKUP(S172,$B$10:$H$121,7,0),0),"")))</f>
        <v/>
      </c>
      <c r="AC172" s="350" t="str">
        <f ca="1">IF(AND(S172&lt;OP!$C$24,$U172&lt;15),0,IF(AND($U172&lt;16,$T172=12),VLOOKUP($S172,DOWN16,4,0),IF($T172=12,ROUND(VLOOKUP(OP!$C$55,_DIE2,$S172+1,0)*(Z172/10000),0)+IF(AND($P$7="購買增額繳清保險",T172=12,U172=110),VLOOKUP(S172,$B$10:$H$121,7,0),0),"")))</f>
        <v/>
      </c>
      <c r="AD172" s="347"/>
      <c r="AE172" s="350" t="str">
        <f t="shared" ca="1" si="135"/>
        <v/>
      </c>
      <c r="AF172" s="351" t="str">
        <f t="shared" ca="1" si="136"/>
        <v/>
      </c>
      <c r="AG172" s="340"/>
      <c r="AH172" s="340"/>
      <c r="AI172" s="340"/>
      <c r="AJ172" s="340"/>
      <c r="AK172" s="340"/>
      <c r="AL172" s="340"/>
      <c r="AM172" s="340"/>
      <c r="AN172" s="191">
        <f t="shared" si="148"/>
        <v>14</v>
      </c>
      <c r="AO172" s="191">
        <f t="shared" si="149"/>
        <v>8</v>
      </c>
      <c r="AP172" s="191">
        <f ca="1">OP!$D$5+$AN172-1</f>
        <v>46</v>
      </c>
      <c r="AQ172" s="191" t="str">
        <f t="shared" si="150"/>
        <v/>
      </c>
      <c r="AR172" s="352">
        <f t="shared" ca="1" si="151"/>
        <v>0</v>
      </c>
      <c r="AS172" s="352"/>
      <c r="AT172" s="352"/>
      <c r="AU172" s="436"/>
      <c r="AV172" s="353" t="str">
        <f t="shared" ca="1" si="152"/>
        <v/>
      </c>
      <c r="AW172" s="422" t="str">
        <f t="shared" si="153"/>
        <v/>
      </c>
      <c r="AX172" s="423" t="str">
        <f ca="1">IF(AND($AW172=1,$AP172&lt;16,$AN171&lt;OP!$C$24),OP!$C$49,"")</f>
        <v/>
      </c>
      <c r="AY172" s="340"/>
      <c r="AZ172" s="465">
        <f t="shared" ca="1" si="154"/>
        <v>7.3698599999999999E-5</v>
      </c>
      <c r="BA172" s="464">
        <f t="shared" ca="1" si="155"/>
        <v>2.2109589000000002E-3</v>
      </c>
      <c r="BB172" s="465">
        <f t="shared" ca="1" si="155"/>
        <v>2.2846575E-3</v>
      </c>
      <c r="BC172" s="466">
        <f t="shared" ca="1" si="156"/>
        <v>47849</v>
      </c>
      <c r="BD172" s="467">
        <f t="shared" ca="1" si="177"/>
        <v>47850</v>
      </c>
      <c r="BE172" s="467">
        <f t="shared" ca="1" si="157"/>
        <v>47879</v>
      </c>
      <c r="BF172" s="468">
        <f ca="1">IF(計算!$BC172&lt;OP!$C$3,0,BD172-BC172)</f>
        <v>1</v>
      </c>
      <c r="BG172" s="468">
        <f ca="1">IF($BE172&gt;DATE(YEAR($BD$9)+OP!$C$57,MONTH($BD$9),DAY($BD$9)),0,$BE172-$BD172+1)</f>
        <v>30</v>
      </c>
      <c r="BH172" s="469">
        <f t="shared" ca="1" si="158"/>
        <v>31</v>
      </c>
      <c r="BI172" t="str">
        <f t="shared" si="187"/>
        <v/>
      </c>
      <c r="BJ172">
        <v>7</v>
      </c>
      <c r="BN172" s="468">
        <f t="shared" si="178"/>
        <v>14</v>
      </c>
      <c r="BO172" s="468">
        <f t="shared" si="179"/>
        <v>7</v>
      </c>
      <c r="BP172" s="467">
        <f t="shared" ca="1" si="159"/>
        <v>47850</v>
      </c>
      <c r="BQ172" s="475">
        <f t="shared" ca="1" si="185"/>
        <v>46</v>
      </c>
      <c r="BR172" s="475" t="str">
        <f t="shared" si="180"/>
        <v/>
      </c>
      <c r="BS172" s="471" t="str">
        <f t="shared" si="160"/>
        <v/>
      </c>
      <c r="BT172" s="472" t="str">
        <f t="shared" si="188"/>
        <v/>
      </c>
      <c r="BU172" s="472">
        <f t="shared" ca="1" si="161"/>
        <v>0</v>
      </c>
      <c r="BV172" s="472">
        <f t="shared" ca="1" si="161"/>
        <v>0</v>
      </c>
      <c r="BW172" s="472"/>
      <c r="BX172" s="473">
        <f t="shared" ca="1" si="162"/>
        <v>59951.645611179003</v>
      </c>
      <c r="BY172" s="473">
        <f t="shared" si="163"/>
        <v>0</v>
      </c>
      <c r="BZ172" s="473">
        <f t="shared" ca="1" si="137"/>
        <v>136.96897678299999</v>
      </c>
      <c r="CA172" s="476">
        <f t="shared" ca="1" si="164"/>
        <v>0</v>
      </c>
      <c r="CB172" s="494">
        <f ca="1">IF(OR($Q171&lt;&gt;1,OP!$D$5+$BN172-1&lt;16,$BN172-1&lt;1),0,ROUND(ROUND(ROUND(((VLOOKUP($BN172-1,MORE_PV,5,0)/10000)*VLOOKUP($BN172,MORE_PV,$CB$5,0)),3)*VLOOKUP($BN172,more1,5,0),0)/$R171,0))</f>
        <v>0</v>
      </c>
      <c r="CC172" s="473">
        <f t="shared" ca="1" si="165"/>
        <v>0</v>
      </c>
      <c r="CD172" s="477"/>
      <c r="CE172" s="468">
        <f t="shared" si="181"/>
        <v>14</v>
      </c>
      <c r="CF172" s="468">
        <f t="shared" si="182"/>
        <v>7</v>
      </c>
      <c r="CG172" s="467">
        <f t="shared" ca="1" si="138"/>
        <v>47850</v>
      </c>
      <c r="CH172" s="475">
        <f t="shared" ca="1" si="186"/>
        <v>46</v>
      </c>
      <c r="CI172" s="513" t="str">
        <f t="shared" si="183"/>
        <v/>
      </c>
      <c r="CJ172" s="511">
        <f t="shared" si="166"/>
        <v>0</v>
      </c>
      <c r="CK172" s="512">
        <f t="shared" si="167"/>
        <v>0</v>
      </c>
      <c r="CL172" s="511">
        <f t="shared" ca="1" si="184"/>
        <v>0</v>
      </c>
      <c r="CM172" s="511">
        <f ca="1">ROUND(CS172-IF(OR($CE172&gt;=OP!$C$24,AND(CH172=15,CF172=12),CS172=0),0,(CT172-CR172)),$CM$7)</f>
        <v>0</v>
      </c>
      <c r="CN172" s="511"/>
      <c r="CO172" s="351">
        <f t="shared" ca="1" si="168"/>
        <v>87987</v>
      </c>
      <c r="CP172" s="473">
        <f t="shared" si="169"/>
        <v>0</v>
      </c>
      <c r="CQ172" s="473">
        <f t="shared" ca="1" si="139"/>
        <v>201.02015945299999</v>
      </c>
      <c r="CR172" s="476">
        <f t="shared" ca="1" si="170"/>
        <v>0</v>
      </c>
      <c r="CS172" s="494">
        <f ca="1">IF(OR($Q171&lt;&gt;1,OP!$D$5+$CE172-1&lt;16,$CE172-1&lt;1),0,ROUND(ROUND(ROUND(((VLOOKUP($CE172-1,MORE_PV,5,0)/10000)*VLOOKUP($CE172,MORE_PV,$CS$5,0)),3)*VLOOKUP($CE172,more1,5,0),0)/$R171,0))</f>
        <v>0</v>
      </c>
      <c r="CT172" s="473">
        <f>IF($AW172=1,IF(N($CR172+$CS172)&lt;N($AX172)*OP!$C$50,N($CR172+$CS172),MIN(N($CR172+$CS172),N($AX172))),0)</f>
        <v>0</v>
      </c>
      <c r="CV172" s="503">
        <f t="shared" ca="1" si="171"/>
        <v>87986.876487026995</v>
      </c>
      <c r="CW172" s="503">
        <f t="shared" ca="1" si="172"/>
        <v>0</v>
      </c>
      <c r="CX172" s="503">
        <f t="shared" ca="1" si="173"/>
        <v>88181.397518751997</v>
      </c>
    </row>
    <row r="173" spans="2:102" ht="16.5" hidden="1">
      <c r="B173" s="80"/>
      <c r="C173" s="80"/>
      <c r="D173" s="80"/>
      <c r="E173" s="80"/>
      <c r="F173" s="80"/>
      <c r="G173" s="80"/>
      <c r="H173" s="80"/>
      <c r="I173" s="80"/>
      <c r="J173" s="192">
        <f t="shared" si="140"/>
        <v>14</v>
      </c>
      <c r="K173" s="192">
        <f t="shared" si="141"/>
        <v>9</v>
      </c>
      <c r="L173" s="192" t="str">
        <f t="shared" si="134"/>
        <v/>
      </c>
      <c r="M173" s="216">
        <f t="shared" ca="1" si="142"/>
        <v>0</v>
      </c>
      <c r="N173" s="216"/>
      <c r="O173" s="216"/>
      <c r="P173" s="216"/>
      <c r="Q173" s="456" t="str">
        <f t="shared" ca="1" si="143"/>
        <v/>
      </c>
      <c r="R173" s="450">
        <f t="shared" ca="1" si="144"/>
        <v>1</v>
      </c>
      <c r="S173" s="191">
        <f t="shared" si="145"/>
        <v>14</v>
      </c>
      <c r="T173" s="191">
        <f t="shared" si="146"/>
        <v>9</v>
      </c>
      <c r="U173" s="191">
        <f ca="1">OP!$D$5+$S173-1</f>
        <v>46</v>
      </c>
      <c r="V173" s="191" t="str">
        <f t="shared" si="147"/>
        <v/>
      </c>
      <c r="W173" s="350">
        <f ca="1">IF(Q173&lt;&gt;1,0,VLOOKUP(OP!$C$55,PVFB,$S173+2,0))</f>
        <v>0</v>
      </c>
      <c r="X173" s="473">
        <f t="shared" ca="1" si="174"/>
        <v>0</v>
      </c>
      <c r="Y173" s="348">
        <f t="shared" ca="1" si="175"/>
        <v>0</v>
      </c>
      <c r="Z173" s="348">
        <f t="shared" ca="1" si="176"/>
        <v>8012</v>
      </c>
      <c r="AA173" s="348">
        <f ca="1">IF(Q173&lt;&gt;1,0,VLOOKUP(OP!$C$55,PVFB,$S173+2,0))</f>
        <v>0</v>
      </c>
      <c r="AB173" s="488" t="str">
        <f ca="1">IF(AND(S173&lt;OP!$C$24,$U173&lt;15),0,IF(AND($U173&lt;15,$T173=12),ROUND(VLOOKUP($S173,DOWN16,5,0),3),IF($T173=12,ROUND(($Z173/10000)*$AA173,3)+IF(AND($P$7="購買增額繳清保險",T173=12,U173=110),VLOOKUP(S173,$B$10:$H$121,7,0),0),"")))</f>
        <v/>
      </c>
      <c r="AC173" s="350" t="str">
        <f ca="1">IF(AND(S173&lt;OP!$C$24,$U173&lt;15),0,IF(AND($U173&lt;16,$T173=12),VLOOKUP($S173,DOWN16,4,0),IF($T173=12,ROUND(VLOOKUP(OP!$C$55,_DIE2,$S173+1,0)*(Z173/10000),0)+IF(AND($P$7="購買增額繳清保險",T173=12,U173=110),VLOOKUP(S173,$B$10:$H$121,7,0),0),"")))</f>
        <v/>
      </c>
      <c r="AD173" s="347"/>
      <c r="AE173" s="350" t="str">
        <f t="shared" ca="1" si="135"/>
        <v/>
      </c>
      <c r="AF173" s="351" t="str">
        <f t="shared" ca="1" si="136"/>
        <v/>
      </c>
      <c r="AG173" s="340"/>
      <c r="AH173" s="340"/>
      <c r="AI173" s="340"/>
      <c r="AJ173" s="340"/>
      <c r="AK173" s="340"/>
      <c r="AL173" s="340"/>
      <c r="AM173" s="340"/>
      <c r="AN173" s="191">
        <f t="shared" si="148"/>
        <v>14</v>
      </c>
      <c r="AO173" s="191">
        <f t="shared" si="149"/>
        <v>9</v>
      </c>
      <c r="AP173" s="191">
        <f ca="1">OP!$D$5+$AN173-1</f>
        <v>46</v>
      </c>
      <c r="AQ173" s="191" t="str">
        <f t="shared" si="150"/>
        <v/>
      </c>
      <c r="AR173" s="352">
        <f t="shared" ca="1" si="151"/>
        <v>0</v>
      </c>
      <c r="AS173" s="352"/>
      <c r="AT173" s="352"/>
      <c r="AU173" s="436"/>
      <c r="AV173" s="353" t="str">
        <f t="shared" ca="1" si="152"/>
        <v/>
      </c>
      <c r="AW173" s="422" t="str">
        <f t="shared" si="153"/>
        <v/>
      </c>
      <c r="AX173" s="423" t="str">
        <f ca="1">IF(AND($AW173=1,$AP173&lt;16,$AN172&lt;OP!$C$24),OP!$C$49,"")</f>
        <v/>
      </c>
      <c r="AY173" s="340"/>
      <c r="AZ173" s="465">
        <f t="shared" ca="1" si="154"/>
        <v>7.3698599999999999E-5</v>
      </c>
      <c r="BA173" s="464">
        <f t="shared" ca="1" si="155"/>
        <v>1.9898630000000001E-3</v>
      </c>
      <c r="BB173" s="465">
        <f t="shared" ca="1" si="155"/>
        <v>2.0635616E-3</v>
      </c>
      <c r="BC173" s="466">
        <f t="shared" ca="1" si="156"/>
        <v>47880</v>
      </c>
      <c r="BD173" s="467">
        <f t="shared" ca="1" si="177"/>
        <v>47881</v>
      </c>
      <c r="BE173" s="467">
        <f t="shared" ca="1" si="157"/>
        <v>47907</v>
      </c>
      <c r="BF173" s="468">
        <f ca="1">IF(計算!$BC173&lt;OP!$C$3,0,BD173-BC173)</f>
        <v>1</v>
      </c>
      <c r="BG173" s="468">
        <f ca="1">IF($BE173&gt;DATE(YEAR($BD$9)+OP!$C$57,MONTH($BD$9),DAY($BD$9)),0,$BE173-$BD173+1)</f>
        <v>27</v>
      </c>
      <c r="BH173" s="469">
        <f t="shared" ca="1" si="158"/>
        <v>28</v>
      </c>
      <c r="BI173" t="str">
        <f t="shared" si="187"/>
        <v/>
      </c>
      <c r="BJ173">
        <v>8</v>
      </c>
      <c r="BN173" s="468">
        <f t="shared" si="178"/>
        <v>14</v>
      </c>
      <c r="BO173" s="468">
        <f t="shared" si="179"/>
        <v>8</v>
      </c>
      <c r="BP173" s="467">
        <f t="shared" ca="1" si="159"/>
        <v>47881</v>
      </c>
      <c r="BQ173" s="475">
        <f t="shared" ca="1" si="185"/>
        <v>46</v>
      </c>
      <c r="BR173" s="475" t="str">
        <f t="shared" si="180"/>
        <v/>
      </c>
      <c r="BS173" s="471" t="str">
        <f t="shared" si="160"/>
        <v/>
      </c>
      <c r="BT173" s="472" t="str">
        <f t="shared" si="188"/>
        <v/>
      </c>
      <c r="BU173" s="472">
        <f t="shared" ca="1" si="161"/>
        <v>0</v>
      </c>
      <c r="BV173" s="472">
        <f t="shared" ca="1" si="161"/>
        <v>0</v>
      </c>
      <c r="BW173" s="472"/>
      <c r="BX173" s="473">
        <f t="shared" ca="1" si="162"/>
        <v>60088.614587962002</v>
      </c>
      <c r="BY173" s="473">
        <f t="shared" si="163"/>
        <v>0</v>
      </c>
      <c r="BZ173" s="473">
        <f t="shared" ca="1" si="137"/>
        <v>123.996557661</v>
      </c>
      <c r="CA173" s="476">
        <f t="shared" ca="1" si="164"/>
        <v>0</v>
      </c>
      <c r="CB173" s="494">
        <f ca="1">IF(OR($Q172&lt;&gt;1,OP!$D$5+$BN173-1&lt;16,$BN173-1&lt;1),0,ROUND(ROUND(ROUND(((VLOOKUP($BN173-1,MORE_PV,5,0)/10000)*VLOOKUP($BN173,MORE_PV,$CB$5,0)),3)*VLOOKUP($BN173,more1,5,0),0)/$R172,0))</f>
        <v>0</v>
      </c>
      <c r="CC173" s="473">
        <f t="shared" ca="1" si="165"/>
        <v>0</v>
      </c>
      <c r="CD173" s="477"/>
      <c r="CE173" s="468">
        <f t="shared" si="181"/>
        <v>14</v>
      </c>
      <c r="CF173" s="468">
        <f t="shared" si="182"/>
        <v>8</v>
      </c>
      <c r="CG173" s="467">
        <f t="shared" ca="1" si="138"/>
        <v>47881</v>
      </c>
      <c r="CH173" s="475">
        <f t="shared" ca="1" si="186"/>
        <v>46</v>
      </c>
      <c r="CI173" s="513" t="str">
        <f t="shared" si="183"/>
        <v/>
      </c>
      <c r="CJ173" s="511">
        <f t="shared" si="166"/>
        <v>0</v>
      </c>
      <c r="CK173" s="512">
        <f t="shared" si="167"/>
        <v>0</v>
      </c>
      <c r="CL173" s="511">
        <f t="shared" ca="1" si="184"/>
        <v>0</v>
      </c>
      <c r="CM173" s="511">
        <f ca="1">ROUND(CS173-IF(OR($CE173&gt;=OP!$C$24,AND(CH173=15,CF173=12),CS173=0),0,(CT173-CR173)),$CM$7)</f>
        <v>0</v>
      </c>
      <c r="CN173" s="511"/>
      <c r="CO173" s="351">
        <f t="shared" ca="1" si="168"/>
        <v>88188</v>
      </c>
      <c r="CP173" s="473">
        <f t="shared" si="169"/>
        <v>0</v>
      </c>
      <c r="CQ173" s="473">
        <f t="shared" ca="1" si="139"/>
        <v>181.981370381</v>
      </c>
      <c r="CR173" s="476">
        <f t="shared" ca="1" si="170"/>
        <v>0</v>
      </c>
      <c r="CS173" s="494">
        <f ca="1">IF(OR($Q172&lt;&gt;1,OP!$D$5+$CE173-1&lt;16,$CE173-1&lt;1),0,ROUND(ROUND(ROUND(((VLOOKUP($CE173-1,MORE_PV,5,0)/10000)*VLOOKUP($CE173,MORE_PV,$CS$5,0)),3)*VLOOKUP($CE173,more1,5,0),0)/$R172,0))</f>
        <v>0</v>
      </c>
      <c r="CT173" s="473">
        <f>IF($AW173=1,IF(N($CR173+$CS173)&lt;N($AX173)*OP!$C$50,N($CR173+$CS173),MIN(N($CR173+$CS173),N($AX173))),0)</f>
        <v>0</v>
      </c>
      <c r="CV173" s="503">
        <f t="shared" ca="1" si="171"/>
        <v>88187.896364294997</v>
      </c>
      <c r="CW173" s="503">
        <f t="shared" ca="1" si="172"/>
        <v>0</v>
      </c>
      <c r="CX173" s="503">
        <f t="shared" ca="1" si="173"/>
        <v>88363.365264506006</v>
      </c>
    </row>
    <row r="174" spans="2:102" ht="16.5" hidden="1">
      <c r="B174" s="80"/>
      <c r="C174" s="80"/>
      <c r="D174" s="80"/>
      <c r="E174" s="80"/>
      <c r="F174" s="80"/>
      <c r="G174" s="80"/>
      <c r="H174" s="80"/>
      <c r="I174" s="80"/>
      <c r="J174" s="192">
        <f t="shared" si="140"/>
        <v>14</v>
      </c>
      <c r="K174" s="192">
        <f t="shared" si="141"/>
        <v>10</v>
      </c>
      <c r="L174" s="192" t="str">
        <f t="shared" si="134"/>
        <v/>
      </c>
      <c r="M174" s="216">
        <f t="shared" ca="1" si="142"/>
        <v>0</v>
      </c>
      <c r="N174" s="216"/>
      <c r="O174" s="216"/>
      <c r="P174" s="216"/>
      <c r="Q174" s="456" t="str">
        <f t="shared" ca="1" si="143"/>
        <v/>
      </c>
      <c r="R174" s="450">
        <f t="shared" ca="1" si="144"/>
        <v>1</v>
      </c>
      <c r="S174" s="191">
        <f t="shared" si="145"/>
        <v>14</v>
      </c>
      <c r="T174" s="191">
        <f t="shared" si="146"/>
        <v>10</v>
      </c>
      <c r="U174" s="191">
        <f ca="1">OP!$D$5+$S174-1</f>
        <v>46</v>
      </c>
      <c r="V174" s="191" t="str">
        <f t="shared" si="147"/>
        <v/>
      </c>
      <c r="W174" s="350">
        <f ca="1">IF(Q174&lt;&gt;1,0,VLOOKUP(OP!$C$55,PVFB,$S174+2,0))</f>
        <v>0</v>
      </c>
      <c r="X174" s="473">
        <f t="shared" ca="1" si="174"/>
        <v>0</v>
      </c>
      <c r="Y174" s="348">
        <f t="shared" ca="1" si="175"/>
        <v>0</v>
      </c>
      <c r="Z174" s="348">
        <f t="shared" ca="1" si="176"/>
        <v>8012</v>
      </c>
      <c r="AA174" s="348">
        <f ca="1">IF(Q174&lt;&gt;1,0,VLOOKUP(OP!$C$55,PVFB,$S174+2,0))</f>
        <v>0</v>
      </c>
      <c r="AB174" s="488" t="str">
        <f ca="1">IF(AND(S174&lt;OP!$C$24,$U174&lt;15),0,IF(AND($U174&lt;15,$T174=12),ROUND(VLOOKUP($S174,DOWN16,5,0),3),IF($T174=12,ROUND(($Z174/10000)*$AA174,3)+IF(AND($P$7="購買增額繳清保險",T174=12,U174=110),VLOOKUP(S174,$B$10:$H$121,7,0),0),"")))</f>
        <v/>
      </c>
      <c r="AC174" s="350" t="str">
        <f ca="1">IF(AND(S174&lt;OP!$C$24,$U174&lt;15),0,IF(AND($U174&lt;16,$T174=12),VLOOKUP($S174,DOWN16,4,0),IF($T174=12,ROUND(VLOOKUP(OP!$C$55,_DIE2,$S174+1,0)*(Z174/10000),0)+IF(AND($P$7="購買增額繳清保險",T174=12,U174=110),VLOOKUP(S174,$B$10:$H$121,7,0),0),"")))</f>
        <v/>
      </c>
      <c r="AD174" s="347"/>
      <c r="AE174" s="350" t="str">
        <f t="shared" ca="1" si="135"/>
        <v/>
      </c>
      <c r="AF174" s="351" t="str">
        <f t="shared" ca="1" si="136"/>
        <v/>
      </c>
      <c r="AG174" s="340"/>
      <c r="AH174" s="340"/>
      <c r="AI174" s="340"/>
      <c r="AJ174" s="340"/>
      <c r="AK174" s="340"/>
      <c r="AL174" s="340"/>
      <c r="AM174" s="340"/>
      <c r="AN174" s="191">
        <f t="shared" si="148"/>
        <v>14</v>
      </c>
      <c r="AO174" s="191">
        <f t="shared" si="149"/>
        <v>10</v>
      </c>
      <c r="AP174" s="191">
        <f ca="1">OP!$D$5+$AN174-1</f>
        <v>46</v>
      </c>
      <c r="AQ174" s="191" t="str">
        <f t="shared" si="150"/>
        <v/>
      </c>
      <c r="AR174" s="352">
        <f t="shared" ca="1" si="151"/>
        <v>0</v>
      </c>
      <c r="AS174" s="352"/>
      <c r="AT174" s="352"/>
      <c r="AU174" s="436"/>
      <c r="AV174" s="353" t="str">
        <f t="shared" ca="1" si="152"/>
        <v/>
      </c>
      <c r="AW174" s="422" t="str">
        <f t="shared" si="153"/>
        <v/>
      </c>
      <c r="AX174" s="423" t="str">
        <f ca="1">IF(AND($AW174=1,$AP174&lt;16,$AN173&lt;OP!$C$24),OP!$C$49,"")</f>
        <v/>
      </c>
      <c r="AY174" s="340"/>
      <c r="AZ174" s="465">
        <f t="shared" ca="1" si="154"/>
        <v>7.3698599999999999E-5</v>
      </c>
      <c r="BA174" s="464">
        <f t="shared" ca="1" si="155"/>
        <v>2.2109589000000002E-3</v>
      </c>
      <c r="BB174" s="465">
        <f t="shared" ca="1" si="155"/>
        <v>2.2846575E-3</v>
      </c>
      <c r="BC174" s="466">
        <f t="shared" ca="1" si="156"/>
        <v>47908</v>
      </c>
      <c r="BD174" s="467">
        <f t="shared" ca="1" si="177"/>
        <v>47909</v>
      </c>
      <c r="BE174" s="467">
        <f t="shared" ca="1" si="157"/>
        <v>47938</v>
      </c>
      <c r="BF174" s="468">
        <f ca="1">IF(計算!$BC174&lt;OP!$C$3,0,BD174-BC174)</f>
        <v>1</v>
      </c>
      <c r="BG174" s="468">
        <f ca="1">IF($BE174&gt;DATE(YEAR($BD$9)+OP!$C$57,MONTH($BD$9),DAY($BD$9)),0,$BE174-$BD174+1)</f>
        <v>30</v>
      </c>
      <c r="BH174" s="469">
        <f t="shared" ca="1" si="158"/>
        <v>31</v>
      </c>
      <c r="BI174" t="str">
        <f t="shared" si="187"/>
        <v/>
      </c>
      <c r="BJ174">
        <v>9</v>
      </c>
      <c r="BN174" s="468">
        <f t="shared" si="178"/>
        <v>14</v>
      </c>
      <c r="BO174" s="468">
        <f t="shared" si="179"/>
        <v>9</v>
      </c>
      <c r="BP174" s="467">
        <f t="shared" ca="1" si="159"/>
        <v>47909</v>
      </c>
      <c r="BQ174" s="475">
        <f t="shared" ca="1" si="185"/>
        <v>46</v>
      </c>
      <c r="BR174" s="475" t="str">
        <f t="shared" si="180"/>
        <v/>
      </c>
      <c r="BS174" s="471" t="str">
        <f t="shared" si="160"/>
        <v/>
      </c>
      <c r="BT174" s="472" t="str">
        <f t="shared" si="188"/>
        <v/>
      </c>
      <c r="BU174" s="472">
        <f t="shared" ca="1" si="161"/>
        <v>0</v>
      </c>
      <c r="BV174" s="472">
        <f t="shared" ca="1" si="161"/>
        <v>0</v>
      </c>
      <c r="BW174" s="472"/>
      <c r="BX174" s="473">
        <f t="shared" ca="1" si="162"/>
        <v>60212.611145622999</v>
      </c>
      <c r="BY174" s="473">
        <f t="shared" si="163"/>
        <v>0</v>
      </c>
      <c r="BZ174" s="473">
        <f t="shared" ca="1" si="137"/>
        <v>137.56519364799999</v>
      </c>
      <c r="CA174" s="476">
        <f t="shared" ca="1" si="164"/>
        <v>0</v>
      </c>
      <c r="CB174" s="494">
        <f ca="1">IF(OR($Q173&lt;&gt;1,OP!$D$5+$BN174-1&lt;16,$BN174-1&lt;1),0,ROUND(ROUND(ROUND(((VLOOKUP($BN174-1,MORE_PV,5,0)/10000)*VLOOKUP($BN174,MORE_PV,$CB$5,0)),3)*VLOOKUP($BN174,more1,5,0),0)/$R173,0))</f>
        <v>0</v>
      </c>
      <c r="CC174" s="473">
        <f t="shared" ca="1" si="165"/>
        <v>0</v>
      </c>
      <c r="CD174" s="477"/>
      <c r="CE174" s="468">
        <f t="shared" si="181"/>
        <v>14</v>
      </c>
      <c r="CF174" s="468">
        <f t="shared" si="182"/>
        <v>9</v>
      </c>
      <c r="CG174" s="467">
        <f t="shared" ca="1" si="138"/>
        <v>47909</v>
      </c>
      <c r="CH174" s="475">
        <f t="shared" ca="1" si="186"/>
        <v>46</v>
      </c>
      <c r="CI174" s="513" t="str">
        <f t="shared" si="183"/>
        <v/>
      </c>
      <c r="CJ174" s="511">
        <f t="shared" si="166"/>
        <v>0</v>
      </c>
      <c r="CK174" s="512">
        <f t="shared" si="167"/>
        <v>0</v>
      </c>
      <c r="CL174" s="511">
        <f t="shared" ca="1" si="184"/>
        <v>0</v>
      </c>
      <c r="CM174" s="511">
        <f ca="1">ROUND(CS174-IF(OR($CE174&gt;=OP!$C$24,AND(CH174=15,CF174=12),CS174=0),0,(CT174-CR174)),$CM$7)</f>
        <v>0</v>
      </c>
      <c r="CN174" s="511"/>
      <c r="CO174" s="351">
        <f t="shared" ca="1" si="168"/>
        <v>88370</v>
      </c>
      <c r="CP174" s="473">
        <f t="shared" si="169"/>
        <v>0</v>
      </c>
      <c r="CQ174" s="473">
        <f t="shared" ca="1" si="139"/>
        <v>201.89518327499999</v>
      </c>
      <c r="CR174" s="476">
        <f t="shared" ca="1" si="170"/>
        <v>0</v>
      </c>
      <c r="CS174" s="494">
        <f ca="1">IF(OR($Q173&lt;&gt;1,OP!$D$5+$CE174-1&lt;16,$CE174-1&lt;1),0,ROUND(ROUND(ROUND(((VLOOKUP($CE174-1,MORE_PV,5,0)/10000)*VLOOKUP($CE174,MORE_PV,$CS$5,0)),3)*VLOOKUP($CE174,more1,5,0),0)/$R173,0))</f>
        <v>0</v>
      </c>
      <c r="CT174" s="473">
        <f>IF($AW174=1,IF(N($CR174+$CS174)&lt;N($AX174)*OP!$C$50,N($CR174+$CS174),MIN(N($CR174+$CS174),N($AX174))),0)</f>
        <v>0</v>
      </c>
      <c r="CV174" s="503">
        <f t="shared" ca="1" si="171"/>
        <v>88369.877520816997</v>
      </c>
      <c r="CW174" s="503">
        <f t="shared" ca="1" si="172"/>
        <v>0</v>
      </c>
      <c r="CX174" s="503">
        <f t="shared" ca="1" si="173"/>
        <v>88565.245289682993</v>
      </c>
    </row>
    <row r="175" spans="2:102" ht="16.5" hidden="1">
      <c r="B175" s="80"/>
      <c r="C175" s="80"/>
      <c r="D175" s="80"/>
      <c r="E175" s="80"/>
      <c r="F175" s="80"/>
      <c r="G175" s="80"/>
      <c r="H175" s="80"/>
      <c r="I175" s="80"/>
      <c r="J175" s="192">
        <f t="shared" si="140"/>
        <v>14</v>
      </c>
      <c r="K175" s="192">
        <f t="shared" si="141"/>
        <v>11</v>
      </c>
      <c r="L175" s="192" t="str">
        <f t="shared" si="134"/>
        <v/>
      </c>
      <c r="M175" s="216">
        <f t="shared" ca="1" si="142"/>
        <v>0</v>
      </c>
      <c r="N175" s="216"/>
      <c r="O175" s="216"/>
      <c r="P175" s="216"/>
      <c r="Q175" s="456" t="str">
        <f t="shared" ca="1" si="143"/>
        <v/>
      </c>
      <c r="R175" s="450">
        <f t="shared" ca="1" si="144"/>
        <v>1</v>
      </c>
      <c r="S175" s="191">
        <f t="shared" si="145"/>
        <v>14</v>
      </c>
      <c r="T175" s="191">
        <f t="shared" si="146"/>
        <v>11</v>
      </c>
      <c r="U175" s="191">
        <f ca="1">OP!$D$5+$S175-1</f>
        <v>46</v>
      </c>
      <c r="V175" s="191" t="str">
        <f t="shared" si="147"/>
        <v/>
      </c>
      <c r="W175" s="350">
        <f ca="1">IF(Q175&lt;&gt;1,0,VLOOKUP(OP!$C$55,PVFB,$S175+2,0))</f>
        <v>0</v>
      </c>
      <c r="X175" s="473">
        <f t="shared" ca="1" si="174"/>
        <v>0</v>
      </c>
      <c r="Y175" s="348">
        <f t="shared" ca="1" si="175"/>
        <v>0</v>
      </c>
      <c r="Z175" s="348">
        <f t="shared" ca="1" si="176"/>
        <v>8012</v>
      </c>
      <c r="AA175" s="348">
        <f ca="1">IF(Q175&lt;&gt;1,0,VLOOKUP(OP!$C$55,PVFB,$S175+2,0))</f>
        <v>0</v>
      </c>
      <c r="AB175" s="488" t="str">
        <f ca="1">IF(AND(S175&lt;OP!$C$24,$U175&lt;15),0,IF(AND($U175&lt;15,$T175=12),ROUND(VLOOKUP($S175,DOWN16,5,0),3),IF($T175=12,ROUND(($Z175/10000)*$AA175,3)+IF(AND($P$7="購買增額繳清保險",T175=12,U175=110),VLOOKUP(S175,$B$10:$H$121,7,0),0),"")))</f>
        <v/>
      </c>
      <c r="AC175" s="350" t="str">
        <f ca="1">IF(AND(S175&lt;OP!$C$24,$U175&lt;15),0,IF(AND($U175&lt;16,$T175=12),VLOOKUP($S175,DOWN16,4,0),IF($T175=12,ROUND(VLOOKUP(OP!$C$55,_DIE2,$S175+1,0)*(Z175/10000),0)+IF(AND($P$7="購買增額繳清保險",T175=12,U175=110),VLOOKUP(S175,$B$10:$H$121,7,0),0),"")))</f>
        <v/>
      </c>
      <c r="AD175" s="347"/>
      <c r="AE175" s="350" t="str">
        <f t="shared" ca="1" si="135"/>
        <v/>
      </c>
      <c r="AF175" s="351" t="str">
        <f t="shared" ca="1" si="136"/>
        <v/>
      </c>
      <c r="AG175" s="340"/>
      <c r="AH175" s="340"/>
      <c r="AI175" s="340"/>
      <c r="AJ175" s="340"/>
      <c r="AK175" s="340"/>
      <c r="AL175" s="340"/>
      <c r="AM175" s="340"/>
      <c r="AN175" s="191">
        <f t="shared" si="148"/>
        <v>14</v>
      </c>
      <c r="AO175" s="191">
        <f t="shared" si="149"/>
        <v>11</v>
      </c>
      <c r="AP175" s="191">
        <f ca="1">OP!$D$5+$AN175-1</f>
        <v>46</v>
      </c>
      <c r="AQ175" s="191" t="str">
        <f t="shared" si="150"/>
        <v/>
      </c>
      <c r="AR175" s="352">
        <f t="shared" ca="1" si="151"/>
        <v>0</v>
      </c>
      <c r="AS175" s="352"/>
      <c r="AT175" s="352"/>
      <c r="AU175" s="436"/>
      <c r="AV175" s="353" t="str">
        <f t="shared" ca="1" si="152"/>
        <v/>
      </c>
      <c r="AW175" s="422" t="str">
        <f t="shared" si="153"/>
        <v/>
      </c>
      <c r="AX175" s="423" t="str">
        <f ca="1">IF(AND($AW175=1,$AP175&lt;16,$AN174&lt;OP!$C$24),OP!$C$49,"")</f>
        <v/>
      </c>
      <c r="AY175" s="340"/>
      <c r="AZ175" s="465">
        <f t="shared" ca="1" si="154"/>
        <v>7.3698599999999999E-5</v>
      </c>
      <c r="BA175" s="464">
        <f t="shared" ca="1" si="155"/>
        <v>2.1372602999999999E-3</v>
      </c>
      <c r="BB175" s="465">
        <f t="shared" ca="1" si="155"/>
        <v>2.2109589000000002E-3</v>
      </c>
      <c r="BC175" s="466">
        <f t="shared" ca="1" si="156"/>
        <v>47939</v>
      </c>
      <c r="BD175" s="467">
        <f t="shared" ca="1" si="177"/>
        <v>47940</v>
      </c>
      <c r="BE175" s="467">
        <f t="shared" ca="1" si="157"/>
        <v>47968</v>
      </c>
      <c r="BF175" s="468">
        <f ca="1">IF(計算!$BC175&lt;OP!$C$3,0,BD175-BC175)</f>
        <v>1</v>
      </c>
      <c r="BG175" s="468">
        <f ca="1">IF($BE175&gt;DATE(YEAR($BD$9)+OP!$C$57,MONTH($BD$9),DAY($BD$9)),0,$BE175-$BD175+1)</f>
        <v>29</v>
      </c>
      <c r="BH175" s="469">
        <f t="shared" ca="1" si="158"/>
        <v>30</v>
      </c>
      <c r="BI175" t="str">
        <f t="shared" si="187"/>
        <v/>
      </c>
      <c r="BJ175">
        <v>10</v>
      </c>
      <c r="BN175" s="468">
        <f t="shared" si="178"/>
        <v>14</v>
      </c>
      <c r="BO175" s="468">
        <f t="shared" si="179"/>
        <v>10</v>
      </c>
      <c r="BP175" s="467">
        <f t="shared" ca="1" si="159"/>
        <v>47940</v>
      </c>
      <c r="BQ175" s="475">
        <f t="shared" ca="1" si="185"/>
        <v>46</v>
      </c>
      <c r="BR175" s="475" t="str">
        <f t="shared" si="180"/>
        <v/>
      </c>
      <c r="BS175" s="471" t="str">
        <f t="shared" si="160"/>
        <v/>
      </c>
      <c r="BT175" s="472" t="str">
        <f t="shared" si="188"/>
        <v/>
      </c>
      <c r="BU175" s="472">
        <f t="shared" ca="1" si="161"/>
        <v>0</v>
      </c>
      <c r="BV175" s="472">
        <f t="shared" ca="1" si="161"/>
        <v>0</v>
      </c>
      <c r="BW175" s="472"/>
      <c r="BX175" s="473">
        <f t="shared" ca="1" si="162"/>
        <v>60350.176339270998</v>
      </c>
      <c r="BY175" s="473">
        <f t="shared" si="163"/>
        <v>0</v>
      </c>
      <c r="BZ175" s="473">
        <f t="shared" ca="1" si="137"/>
        <v>133.431759494</v>
      </c>
      <c r="CA175" s="476">
        <f t="shared" ca="1" si="164"/>
        <v>0</v>
      </c>
      <c r="CB175" s="494">
        <f ca="1">IF(OR($Q174&lt;&gt;1,OP!$D$5+$BN175-1&lt;16,$BN175-1&lt;1),0,ROUND(ROUND(ROUND(((VLOOKUP($BN175-1,MORE_PV,5,0)/10000)*VLOOKUP($BN175,MORE_PV,$CB$5,0)),3)*VLOOKUP($BN175,more1,5,0),0)/$R174,0))</f>
        <v>0</v>
      </c>
      <c r="CC175" s="473">
        <f t="shared" ca="1" si="165"/>
        <v>0</v>
      </c>
      <c r="CD175" s="477"/>
      <c r="CE175" s="468">
        <f t="shared" si="181"/>
        <v>14</v>
      </c>
      <c r="CF175" s="468">
        <f t="shared" si="182"/>
        <v>10</v>
      </c>
      <c r="CG175" s="467">
        <f t="shared" ca="1" si="138"/>
        <v>47940</v>
      </c>
      <c r="CH175" s="475">
        <f t="shared" ca="1" si="186"/>
        <v>46</v>
      </c>
      <c r="CI175" s="513" t="str">
        <f t="shared" si="183"/>
        <v/>
      </c>
      <c r="CJ175" s="511">
        <f t="shared" si="166"/>
        <v>0</v>
      </c>
      <c r="CK175" s="512">
        <f t="shared" si="167"/>
        <v>0</v>
      </c>
      <c r="CL175" s="511">
        <f t="shared" ca="1" si="184"/>
        <v>0</v>
      </c>
      <c r="CM175" s="511">
        <f ca="1">ROUND(CS175-IF(OR($CE175&gt;=OP!$C$24,AND(CH175=15,CF175=12),CS175=0),0,(CT175-CR175)),$CM$7)</f>
        <v>0</v>
      </c>
      <c r="CN175" s="511"/>
      <c r="CO175" s="351">
        <f t="shared" ca="1" si="168"/>
        <v>88572</v>
      </c>
      <c r="CP175" s="473">
        <f t="shared" si="169"/>
        <v>0</v>
      </c>
      <c r="CQ175" s="473">
        <f t="shared" ca="1" si="139"/>
        <v>195.82905169099999</v>
      </c>
      <c r="CR175" s="476">
        <f t="shared" ca="1" si="170"/>
        <v>0</v>
      </c>
      <c r="CS175" s="494">
        <f ca="1">IF(OR($Q174&lt;&gt;1,OP!$D$5+$CE175-1&lt;16,$CE175-1&lt;1),0,ROUND(ROUND(ROUND(((VLOOKUP($CE175-1,MORE_PV,5,0)/10000)*VLOOKUP($CE175,MORE_PV,$CS$5,0)),3)*VLOOKUP($CE175,more1,5,0),0)/$R174,0))</f>
        <v>0</v>
      </c>
      <c r="CT175" s="473">
        <f>IF($AW175=1,IF(N($CR175+$CS175)&lt;N($AX175)*OP!$C$50,N($CR175+$CS175),MIN(N($CR175+$CS175),N($AX175))),0)</f>
        <v>0</v>
      </c>
      <c r="CV175" s="503">
        <f t="shared" ca="1" si="171"/>
        <v>88571.772424270006</v>
      </c>
      <c r="CW175" s="503">
        <f t="shared" ca="1" si="172"/>
        <v>0</v>
      </c>
      <c r="CX175" s="503">
        <f t="shared" ca="1" si="173"/>
        <v>88761.059406986999</v>
      </c>
    </row>
    <row r="176" spans="2:102" ht="16.5" hidden="1">
      <c r="B176" s="80"/>
      <c r="C176" s="80"/>
      <c r="D176" s="80"/>
      <c r="E176" s="80"/>
      <c r="F176" s="80"/>
      <c r="G176" s="80"/>
      <c r="H176" s="80"/>
      <c r="I176" s="80"/>
      <c r="J176" s="192">
        <f t="shared" si="140"/>
        <v>14</v>
      </c>
      <c r="K176" s="192">
        <f t="shared" si="141"/>
        <v>12</v>
      </c>
      <c r="L176" s="192">
        <f t="shared" si="134"/>
        <v>14</v>
      </c>
      <c r="M176" s="216">
        <f t="shared" ca="1" si="142"/>
        <v>69045</v>
      </c>
      <c r="N176" s="216"/>
      <c r="O176" s="216"/>
      <c r="P176" s="216"/>
      <c r="Q176" s="456">
        <f t="shared" ca="1" si="143"/>
        <v>1</v>
      </c>
      <c r="R176" s="450">
        <f t="shared" ca="1" si="144"/>
        <v>1</v>
      </c>
      <c r="S176" s="191">
        <f t="shared" si="145"/>
        <v>14</v>
      </c>
      <c r="T176" s="191">
        <f t="shared" si="146"/>
        <v>12</v>
      </c>
      <c r="U176" s="191">
        <f ca="1">OP!$D$5+$S176-1</f>
        <v>46</v>
      </c>
      <c r="V176" s="191">
        <f t="shared" si="147"/>
        <v>14</v>
      </c>
      <c r="W176" s="350">
        <f ca="1">IF(Q176&lt;&gt;1,0,VLOOKUP(OP!$C$55,PVFB,$S176+2,0))</f>
        <v>35056</v>
      </c>
      <c r="X176" s="473">
        <f t="shared" ca="1" si="174"/>
        <v>8418</v>
      </c>
      <c r="Y176" s="348">
        <f t="shared" ca="1" si="175"/>
        <v>0</v>
      </c>
      <c r="Z176" s="348">
        <f t="shared" ca="1" si="176"/>
        <v>8012</v>
      </c>
      <c r="AA176" s="348">
        <f ca="1">IF(Q176&lt;&gt;1,0,VLOOKUP(OP!$C$55,PVFB,$S176+2,0))</f>
        <v>35056</v>
      </c>
      <c r="AB176" s="488">
        <f ca="1">IF(AND(S176&lt;OP!$C$24,$U176&lt;15),0,IF(AND($U176&lt;15,$T176=12),ROUND(VLOOKUP($S176,DOWN16,5,0),3),IF($T176=12,ROUND(($Z176/10000)*$AA176,3)+IF(AND($P$7="購買增額繳清保險",T176=12,U176=110),VLOOKUP(S176,$B$10:$H$121,7,0),0),"")))</f>
        <v>28086.866999999998</v>
      </c>
      <c r="AC176" s="350">
        <f ca="1">IF(AND(S176&lt;OP!$C$24,$U176&lt;15),0,IF(AND($U176&lt;16,$T176=12),VLOOKUP($S176,DOWN16,4,0),IF($T176=12,ROUND(VLOOKUP(OP!$C$55,_DIE2,$S176+1,0)*(Z176/10000),0)+IF(AND($P$7="購買增額繳清保險",T176=12,U176=110),VLOOKUP(S176,$B$10:$H$121,7,0),0),"")))</f>
        <v>28087</v>
      </c>
      <c r="AD176" s="347"/>
      <c r="AE176" s="350" t="str">
        <f t="shared" ca="1" si="135"/>
        <v/>
      </c>
      <c r="AF176" s="351" t="str">
        <f t="shared" ca="1" si="136"/>
        <v/>
      </c>
      <c r="AG176" s="340"/>
      <c r="AH176" s="340"/>
      <c r="AI176" s="340"/>
      <c r="AJ176" s="340"/>
      <c r="AK176" s="340"/>
      <c r="AL176" s="340"/>
      <c r="AM176" s="340"/>
      <c r="AN176" s="191">
        <f t="shared" si="148"/>
        <v>14</v>
      </c>
      <c r="AO176" s="191">
        <f t="shared" si="149"/>
        <v>12</v>
      </c>
      <c r="AP176" s="191">
        <f ca="1">OP!$D$5+$AN176-1</f>
        <v>46</v>
      </c>
      <c r="AQ176" s="191">
        <f t="shared" si="150"/>
        <v>14</v>
      </c>
      <c r="AR176" s="352">
        <f t="shared" ca="1" si="151"/>
        <v>97194</v>
      </c>
      <c r="AS176" s="352"/>
      <c r="AT176" s="352"/>
      <c r="AU176" s="436"/>
      <c r="AV176" s="353">
        <f t="shared" ca="1" si="152"/>
        <v>1</v>
      </c>
      <c r="AW176" s="422" t="str">
        <f t="shared" si="153"/>
        <v/>
      </c>
      <c r="AX176" s="423" t="str">
        <f ca="1">IF(AND($AW176=1,$AP176&lt;16,$AN175&lt;OP!$C$24),OP!$C$49,"")</f>
        <v/>
      </c>
      <c r="AY176" s="340"/>
      <c r="AZ176" s="465">
        <f t="shared" ca="1" si="154"/>
        <v>7.3698599999999999E-5</v>
      </c>
      <c r="BA176" s="464">
        <f t="shared" ca="1" si="155"/>
        <v>2.2109589000000002E-3</v>
      </c>
      <c r="BB176" s="465">
        <f t="shared" ca="1" si="155"/>
        <v>2.2846575E-3</v>
      </c>
      <c r="BC176" s="466">
        <f t="shared" ca="1" si="156"/>
        <v>47969</v>
      </c>
      <c r="BD176" s="467">
        <f t="shared" ca="1" si="177"/>
        <v>47970</v>
      </c>
      <c r="BE176" s="467">
        <f t="shared" ca="1" si="157"/>
        <v>47999</v>
      </c>
      <c r="BF176" s="468">
        <f ca="1">IF(計算!$BC176&lt;OP!$C$3,0,BD176-BC176)</f>
        <v>1</v>
      </c>
      <c r="BG176" s="468">
        <f ca="1">IF($BE176&gt;DATE(YEAR($BD$9)+OP!$C$57,MONTH($BD$9),DAY($BD$9)),0,$BE176-$BD176+1)</f>
        <v>30</v>
      </c>
      <c r="BH176" s="469">
        <f t="shared" ca="1" si="158"/>
        <v>31</v>
      </c>
      <c r="BI176" t="str">
        <f t="shared" si="187"/>
        <v/>
      </c>
      <c r="BJ176">
        <v>11</v>
      </c>
      <c r="BN176" s="468">
        <f t="shared" si="178"/>
        <v>14</v>
      </c>
      <c r="BO176" s="468">
        <f t="shared" si="179"/>
        <v>11</v>
      </c>
      <c r="BP176" s="467">
        <f t="shared" ca="1" si="159"/>
        <v>47970</v>
      </c>
      <c r="BQ176" s="475">
        <f t="shared" ca="1" si="185"/>
        <v>46</v>
      </c>
      <c r="BR176" s="475" t="str">
        <f t="shared" si="180"/>
        <v/>
      </c>
      <c r="BS176" s="471" t="str">
        <f t="shared" si="160"/>
        <v/>
      </c>
      <c r="BT176" s="472" t="str">
        <f t="shared" si="188"/>
        <v/>
      </c>
      <c r="BU176" s="472">
        <f t="shared" ca="1" si="161"/>
        <v>0</v>
      </c>
      <c r="BV176" s="472">
        <f t="shared" ca="1" si="161"/>
        <v>0</v>
      </c>
      <c r="BW176" s="472"/>
      <c r="BX176" s="473">
        <f t="shared" ca="1" si="162"/>
        <v>60483.608098764998</v>
      </c>
      <c r="BY176" s="473">
        <f t="shared" si="163"/>
        <v>0</v>
      </c>
      <c r="BZ176" s="473">
        <f t="shared" ca="1" si="137"/>
        <v>138.18432887</v>
      </c>
      <c r="CA176" s="476">
        <f t="shared" ca="1" si="164"/>
        <v>0</v>
      </c>
      <c r="CB176" s="494">
        <f ca="1">IF(OR($Q175&lt;&gt;1,OP!$D$5+$BN176-1&lt;16,$BN176-1&lt;1),0,ROUND(ROUND(ROUND(((VLOOKUP($BN176-1,MORE_PV,5,0)/10000)*VLOOKUP($BN176,MORE_PV,$CB$5,0)),3)*VLOOKUP($BN176,more1,5,0),0)/$R175,0))</f>
        <v>0</v>
      </c>
      <c r="CC176" s="473">
        <f t="shared" ca="1" si="165"/>
        <v>0</v>
      </c>
      <c r="CD176" s="477"/>
      <c r="CE176" s="468">
        <f t="shared" si="181"/>
        <v>14</v>
      </c>
      <c r="CF176" s="468">
        <f t="shared" si="182"/>
        <v>11</v>
      </c>
      <c r="CG176" s="467">
        <f t="shared" ca="1" si="138"/>
        <v>47970</v>
      </c>
      <c r="CH176" s="475">
        <f t="shared" ca="1" si="186"/>
        <v>46</v>
      </c>
      <c r="CI176" s="513" t="str">
        <f t="shared" si="183"/>
        <v/>
      </c>
      <c r="CJ176" s="511">
        <f t="shared" si="166"/>
        <v>0</v>
      </c>
      <c r="CK176" s="512">
        <f t="shared" si="167"/>
        <v>0</v>
      </c>
      <c r="CL176" s="511">
        <f t="shared" ca="1" si="184"/>
        <v>0</v>
      </c>
      <c r="CM176" s="511">
        <f ca="1">ROUND(CS176-IF(OR($CE176&gt;=OP!$C$24,AND(CH176=15,CF176=12),CS176=0),0,(CT176-CR176)),$CM$7)</f>
        <v>0</v>
      </c>
      <c r="CN176" s="511"/>
      <c r="CO176" s="351">
        <f t="shared" ca="1" si="168"/>
        <v>88768</v>
      </c>
      <c r="CP176" s="473">
        <f t="shared" si="169"/>
        <v>0</v>
      </c>
      <c r="CQ176" s="473">
        <f t="shared" ca="1" si="139"/>
        <v>202.80447695999999</v>
      </c>
      <c r="CR176" s="476">
        <f t="shared" ca="1" si="170"/>
        <v>0</v>
      </c>
      <c r="CS176" s="494">
        <f ca="1">IF(OR($Q175&lt;&gt;1,OP!$D$5+$CE176-1&lt;16,$CE176-1&lt;1),0,ROUND(ROUND(ROUND(((VLOOKUP($CE176-1,MORE_PV,5,0)/10000)*VLOOKUP($CE176,MORE_PV,$CS$5,0)),3)*VLOOKUP($CE176,more1,5,0),0)/$R175,0))</f>
        <v>0</v>
      </c>
      <c r="CT176" s="473">
        <f>IF($AW176=1,IF(N($CR176+$CS176)&lt;N($AX176)*OP!$C$50,N($CR176+$CS176),MIN(N($CR176+$CS176),N($AX176))),0)</f>
        <v>0</v>
      </c>
      <c r="CV176" s="503">
        <f t="shared" ca="1" si="171"/>
        <v>88767.600972800006</v>
      </c>
      <c r="CW176" s="503">
        <f t="shared" ca="1" si="172"/>
        <v>0</v>
      </c>
      <c r="CX176" s="503">
        <f t="shared" ca="1" si="173"/>
        <v>88963.848027069005</v>
      </c>
    </row>
    <row r="177" spans="2:102" ht="16.5" hidden="1">
      <c r="B177" s="80"/>
      <c r="C177" s="80"/>
      <c r="D177" s="80"/>
      <c r="E177" s="80"/>
      <c r="F177" s="80"/>
      <c r="G177" s="80"/>
      <c r="H177" s="80"/>
      <c r="I177" s="80"/>
      <c r="J177" s="192">
        <f t="shared" si="140"/>
        <v>15</v>
      </c>
      <c r="K177" s="192">
        <f t="shared" si="141"/>
        <v>1</v>
      </c>
      <c r="L177" s="192" t="str">
        <f t="shared" si="134"/>
        <v/>
      </c>
      <c r="M177" s="216">
        <f t="shared" ca="1" si="142"/>
        <v>0</v>
      </c>
      <c r="N177" s="216"/>
      <c r="O177" s="216"/>
      <c r="P177" s="216"/>
      <c r="Q177" s="456" t="str">
        <f t="shared" ca="1" si="143"/>
        <v/>
      </c>
      <c r="R177" s="450">
        <f t="shared" ca="1" si="144"/>
        <v>1</v>
      </c>
      <c r="S177" s="191">
        <f t="shared" si="145"/>
        <v>15</v>
      </c>
      <c r="T177" s="191">
        <f t="shared" si="146"/>
        <v>1</v>
      </c>
      <c r="U177" s="191">
        <f ca="1">OP!$D$5+$S177-1</f>
        <v>47</v>
      </c>
      <c r="V177" s="191" t="str">
        <f t="shared" si="147"/>
        <v/>
      </c>
      <c r="W177" s="350">
        <f ca="1">IF(Q177&lt;&gt;1,0,VLOOKUP(OP!$C$55,PVFB,$S177+2,0))</f>
        <v>0</v>
      </c>
      <c r="X177" s="473">
        <f t="shared" ca="1" si="174"/>
        <v>0</v>
      </c>
      <c r="Y177" s="348">
        <f t="shared" ca="1" si="175"/>
        <v>0</v>
      </c>
      <c r="Z177" s="348">
        <f t="shared" ca="1" si="176"/>
        <v>8012</v>
      </c>
      <c r="AA177" s="348">
        <f ca="1">IF(Q177&lt;&gt;1,0,VLOOKUP(OP!$C$55,PVFB,$S177+2,0))</f>
        <v>0</v>
      </c>
      <c r="AB177" s="488" t="str">
        <f ca="1">IF(AND(S177&lt;OP!$C$24,$U177&lt;15),0,IF(AND($U177&lt;15,$T177=12),ROUND(VLOOKUP($S177,DOWN16,5,0),3),IF($T177=12,ROUND(($Z177/10000)*$AA177,3)+IF(AND($P$7="購買增額繳清保險",T177=12,U177=110),VLOOKUP(S177,$B$10:$H$121,7,0),0),"")))</f>
        <v/>
      </c>
      <c r="AC177" s="350" t="str">
        <f ca="1">IF(AND(S177&lt;OP!$C$24,$U177&lt;15),0,IF(AND($U177&lt;16,$T177=12),VLOOKUP($S177,DOWN16,4,0),IF($T177=12,ROUND(VLOOKUP(OP!$C$55,_DIE2,$S177+1,0)*(Z177/10000),0)+IF(AND($P$7="購買增額繳清保險",T177=12,U177=110),VLOOKUP(S177,$B$10:$H$121,7,0),0),"")))</f>
        <v/>
      </c>
      <c r="AD177" s="347"/>
      <c r="AE177" s="350" t="str">
        <f t="shared" ca="1" si="135"/>
        <v/>
      </c>
      <c r="AF177" s="351" t="str">
        <f t="shared" ca="1" si="136"/>
        <v/>
      </c>
      <c r="AG177" s="340"/>
      <c r="AH177" s="340"/>
      <c r="AI177" s="340"/>
      <c r="AJ177" s="340"/>
      <c r="AK177" s="340"/>
      <c r="AL177" s="340"/>
      <c r="AM177" s="340"/>
      <c r="AN177" s="191">
        <f t="shared" si="148"/>
        <v>15</v>
      </c>
      <c r="AO177" s="191">
        <f t="shared" si="149"/>
        <v>1</v>
      </c>
      <c r="AP177" s="191">
        <f ca="1">OP!$D$5+$AN177-1</f>
        <v>47</v>
      </c>
      <c r="AQ177" s="191" t="str">
        <f t="shared" si="150"/>
        <v/>
      </c>
      <c r="AR177" s="352">
        <f t="shared" ca="1" si="151"/>
        <v>0</v>
      </c>
      <c r="AS177" s="352"/>
      <c r="AT177" s="352"/>
      <c r="AU177" s="436"/>
      <c r="AV177" s="353" t="str">
        <f t="shared" ca="1" si="152"/>
        <v/>
      </c>
      <c r="AW177" s="422">
        <f t="shared" si="153"/>
        <v>1</v>
      </c>
      <c r="AX177" s="423" t="str">
        <f ca="1">IF(AND($AW177=1,$AP177&lt;16,$AN176&lt;OP!$C$24),OP!$C$49,"")</f>
        <v/>
      </c>
      <c r="AY177" s="340"/>
      <c r="AZ177" s="465">
        <f t="shared" ca="1" si="154"/>
        <v>7.3698599999999999E-5</v>
      </c>
      <c r="BA177" s="464">
        <f t="shared" ca="1" si="155"/>
        <v>2.1372602999999999E-3</v>
      </c>
      <c r="BB177" s="465">
        <f t="shared" ca="1" si="155"/>
        <v>2.2109589000000002E-3</v>
      </c>
      <c r="BC177" s="466">
        <f t="shared" ca="1" si="156"/>
        <v>48000</v>
      </c>
      <c r="BD177" s="467">
        <f t="shared" ca="1" si="177"/>
        <v>48001</v>
      </c>
      <c r="BE177" s="467">
        <f t="shared" ca="1" si="157"/>
        <v>48029</v>
      </c>
      <c r="BF177" s="468">
        <f ca="1">IF(計算!$BC177&lt;OP!$C$3,0,BD177-BC177)</f>
        <v>1</v>
      </c>
      <c r="BG177" s="468">
        <f ca="1">IF($BE177&gt;DATE(YEAR($BD$9)+OP!$C$57,MONTH($BD$9),DAY($BD$9)),0,$BE177-$BD177+1)</f>
        <v>29</v>
      </c>
      <c r="BH177" s="469">
        <f t="shared" ca="1" si="158"/>
        <v>30</v>
      </c>
      <c r="BI177">
        <f t="shared" ca="1" si="187"/>
        <v>365</v>
      </c>
      <c r="BJ177">
        <v>12</v>
      </c>
      <c r="BN177" s="468">
        <f t="shared" si="178"/>
        <v>14</v>
      </c>
      <c r="BO177" s="468">
        <f t="shared" si="179"/>
        <v>12</v>
      </c>
      <c r="BP177" s="467">
        <f t="shared" ca="1" si="159"/>
        <v>48001</v>
      </c>
      <c r="BQ177" s="475">
        <f t="shared" ca="1" si="185"/>
        <v>46</v>
      </c>
      <c r="BR177" s="475">
        <f t="shared" si="180"/>
        <v>14</v>
      </c>
      <c r="BS177" s="471">
        <f t="shared" ca="1" si="160"/>
        <v>8418</v>
      </c>
      <c r="BT177" s="472">
        <f t="shared" ca="1" si="188"/>
        <v>69045</v>
      </c>
      <c r="BU177" s="472">
        <f t="shared" ca="1" si="161"/>
        <v>8224</v>
      </c>
      <c r="BV177" s="472">
        <f t="shared" ca="1" si="161"/>
        <v>194</v>
      </c>
      <c r="BW177" s="472">
        <f ca="1">ROUND(SUM(BY177,BZ165:BZ176),0)</f>
        <v>1607</v>
      </c>
      <c r="BX177" s="473">
        <f t="shared" ca="1" si="162"/>
        <v>69044.260168866007</v>
      </c>
      <c r="BY177" s="473">
        <f t="shared" ca="1" si="163"/>
        <v>4.4677412309999998</v>
      </c>
      <c r="BZ177" s="473">
        <f t="shared" ca="1" si="137"/>
        <v>147.56555620200001</v>
      </c>
      <c r="CA177" s="476">
        <f t="shared" ca="1" si="164"/>
        <v>8224</v>
      </c>
      <c r="CB177" s="494">
        <f ca="1">IF(OR($Q176&lt;&gt;1,OP!$D$5+$BN177-1&lt;16,$BN177-1&lt;1),0,ROUND(ROUND(ROUND(((VLOOKUP($BN177-1,MORE_PV,5,0)/10000)*VLOOKUP($BN177,MORE_PV,$CB$5,0)),3)*VLOOKUP($BN177,more1,5,0),0)/$R176,0))</f>
        <v>194</v>
      </c>
      <c r="CC177" s="473">
        <f t="shared" ca="1" si="165"/>
        <v>0</v>
      </c>
      <c r="CD177" s="477"/>
      <c r="CE177" s="468">
        <f t="shared" si="181"/>
        <v>14</v>
      </c>
      <c r="CF177" s="468">
        <f t="shared" si="182"/>
        <v>12</v>
      </c>
      <c r="CG177" s="467">
        <f t="shared" ca="1" si="138"/>
        <v>48001</v>
      </c>
      <c r="CH177" s="475">
        <f t="shared" ca="1" si="186"/>
        <v>46</v>
      </c>
      <c r="CI177" s="513">
        <f t="shared" si="183"/>
        <v>14</v>
      </c>
      <c r="CJ177" s="511">
        <f t="shared" ca="1" si="166"/>
        <v>8612</v>
      </c>
      <c r="CK177" s="512">
        <f t="shared" ca="1" si="167"/>
        <v>97194.404538118994</v>
      </c>
      <c r="CL177" s="511">
        <f t="shared" ca="1" si="184"/>
        <v>8418</v>
      </c>
      <c r="CM177" s="511">
        <f ca="1">ROUND(CS177-IF(OR($CE177&gt;=OP!$C$24,AND(CH177=15,CF177=12),CS177=0),0,(CT177-CR177)),$CM$7)</f>
        <v>194</v>
      </c>
      <c r="CN177" s="511">
        <f ca="1">ROUND(SUM(CP177,CQ165:CQ176),$CN$7)</f>
        <v>2358.9664219269998</v>
      </c>
      <c r="CO177" s="351">
        <f t="shared" ca="1" si="168"/>
        <v>97194</v>
      </c>
      <c r="CP177" s="473">
        <f t="shared" ca="1" si="169"/>
        <v>6.5570237310000001</v>
      </c>
      <c r="CQ177" s="473">
        <f t="shared" ca="1" si="139"/>
        <v>207.728877598</v>
      </c>
      <c r="CR177" s="476">
        <f t="shared" ca="1" si="170"/>
        <v>8224</v>
      </c>
      <c r="CS177" s="494">
        <f ca="1">IF(OR($Q176&lt;&gt;1,OP!$D$5+$CE177-1&lt;16,$CE177-1&lt;1),0,ROUND(ROUND(ROUND(((VLOOKUP($CE177-1,MORE_PV,5,0)/10000)*VLOOKUP($CE177,MORE_PV,$CS$5,0)),3)*VLOOKUP($CE177,more1,5,0),0)/$R176,0))</f>
        <v>194</v>
      </c>
      <c r="CT177" s="473">
        <f ca="1">IF($AW177=1,IF(N($CR177+$CS177)&lt;N($AX177)*OP!$C$50,N($CR177+$CS177),MIN(N($CR177+$CS177),N($AX177))),0)</f>
        <v>0</v>
      </c>
      <c r="CV177" s="503">
        <f t="shared" ca="1" si="171"/>
        <v>97194.404538118994</v>
      </c>
      <c r="CW177" s="503">
        <f t="shared" ca="1" si="172"/>
        <v>8241.5768287070005</v>
      </c>
      <c r="CX177" s="503">
        <f t="shared" ca="1" si="173"/>
        <v>97402.120267349994</v>
      </c>
    </row>
    <row r="178" spans="2:102" ht="16.5" hidden="1">
      <c r="B178" s="80"/>
      <c r="C178" s="80"/>
      <c r="D178" s="80"/>
      <c r="E178" s="80"/>
      <c r="F178" s="80"/>
      <c r="G178" s="80"/>
      <c r="H178" s="80"/>
      <c r="I178" s="80"/>
      <c r="J178" s="192">
        <f t="shared" si="140"/>
        <v>15</v>
      </c>
      <c r="K178" s="192">
        <f t="shared" si="141"/>
        <v>2</v>
      </c>
      <c r="L178" s="192" t="str">
        <f t="shared" si="134"/>
        <v/>
      </c>
      <c r="M178" s="216">
        <f t="shared" ca="1" si="142"/>
        <v>0</v>
      </c>
      <c r="N178" s="216"/>
      <c r="O178" s="216"/>
      <c r="P178" s="216"/>
      <c r="Q178" s="456" t="str">
        <f t="shared" ca="1" si="143"/>
        <v/>
      </c>
      <c r="R178" s="450">
        <f t="shared" ca="1" si="144"/>
        <v>1</v>
      </c>
      <c r="S178" s="191">
        <f t="shared" si="145"/>
        <v>15</v>
      </c>
      <c r="T178" s="191">
        <f t="shared" si="146"/>
        <v>2</v>
      </c>
      <c r="U178" s="191">
        <f ca="1">OP!$D$5+$S178-1</f>
        <v>47</v>
      </c>
      <c r="V178" s="191" t="str">
        <f t="shared" si="147"/>
        <v/>
      </c>
      <c r="W178" s="350">
        <f ca="1">IF(Q178&lt;&gt;1,0,VLOOKUP(OP!$C$55,PVFB,$S178+2,0))</f>
        <v>0</v>
      </c>
      <c r="X178" s="473">
        <f t="shared" ca="1" si="174"/>
        <v>0</v>
      </c>
      <c r="Y178" s="348">
        <f t="shared" ca="1" si="175"/>
        <v>0</v>
      </c>
      <c r="Z178" s="348">
        <f t="shared" ca="1" si="176"/>
        <v>8012</v>
      </c>
      <c r="AA178" s="348">
        <f ca="1">IF(Q178&lt;&gt;1,0,VLOOKUP(OP!$C$55,PVFB,$S178+2,0))</f>
        <v>0</v>
      </c>
      <c r="AB178" s="488" t="str">
        <f ca="1">IF(AND(S178&lt;OP!$C$24,$U178&lt;15),0,IF(AND($U178&lt;15,$T178=12),ROUND(VLOOKUP($S178,DOWN16,5,0),3),IF($T178=12,ROUND(($Z178/10000)*$AA178,3)+IF(AND($P$7="購買增額繳清保險",T178=12,U178=110),VLOOKUP(S178,$B$10:$H$121,7,0),0),"")))</f>
        <v/>
      </c>
      <c r="AC178" s="350" t="str">
        <f ca="1">IF(AND(S178&lt;OP!$C$24,$U178&lt;15),0,IF(AND($U178&lt;16,$T178=12),VLOOKUP($S178,DOWN16,4,0),IF($T178=12,ROUND(VLOOKUP(OP!$C$55,_DIE2,$S178+1,0)*(Z178/10000),0)+IF(AND($P$7="購買增額繳清保險",T178=12,U178=110),VLOOKUP(S178,$B$10:$H$121,7,0),0),"")))</f>
        <v/>
      </c>
      <c r="AD178" s="347"/>
      <c r="AE178" s="350" t="str">
        <f t="shared" ca="1" si="135"/>
        <v/>
      </c>
      <c r="AF178" s="351" t="str">
        <f t="shared" ca="1" si="136"/>
        <v/>
      </c>
      <c r="AG178" s="340"/>
      <c r="AH178" s="340"/>
      <c r="AI178" s="340"/>
      <c r="AJ178" s="340"/>
      <c r="AK178" s="340"/>
      <c r="AL178" s="340"/>
      <c r="AM178" s="340"/>
      <c r="AN178" s="191">
        <f t="shared" si="148"/>
        <v>15</v>
      </c>
      <c r="AO178" s="191">
        <f t="shared" si="149"/>
        <v>2</v>
      </c>
      <c r="AP178" s="191">
        <f ca="1">OP!$D$5+$AN178-1</f>
        <v>47</v>
      </c>
      <c r="AQ178" s="191" t="str">
        <f t="shared" si="150"/>
        <v/>
      </c>
      <c r="AR178" s="352">
        <f t="shared" ca="1" si="151"/>
        <v>0</v>
      </c>
      <c r="AS178" s="352"/>
      <c r="AT178" s="352"/>
      <c r="AU178" s="436"/>
      <c r="AV178" s="353" t="str">
        <f t="shared" ca="1" si="152"/>
        <v/>
      </c>
      <c r="AW178" s="422" t="str">
        <f t="shared" si="153"/>
        <v/>
      </c>
      <c r="AX178" s="423" t="str">
        <f ca="1">IF(AND($AW178=1,$AP178&lt;16,$AN177&lt;OP!$C$24),OP!$C$49,"")</f>
        <v/>
      </c>
      <c r="AY178" s="340"/>
      <c r="AZ178" s="465">
        <f t="shared" ca="1" si="154"/>
        <v>7.3698599999999999E-5</v>
      </c>
      <c r="BA178" s="464">
        <f t="shared" ca="1" si="155"/>
        <v>2.2109589000000002E-3</v>
      </c>
      <c r="BB178" s="465">
        <f t="shared" ca="1" si="155"/>
        <v>2.2846575E-3</v>
      </c>
      <c r="BC178" s="466">
        <f t="shared" ca="1" si="156"/>
        <v>48030</v>
      </c>
      <c r="BD178" s="467">
        <f t="shared" ca="1" si="177"/>
        <v>48031</v>
      </c>
      <c r="BE178" s="467">
        <f t="shared" ca="1" si="157"/>
        <v>48060</v>
      </c>
      <c r="BF178" s="468">
        <f ca="1">IF(計算!$BC178&lt;OP!$C$3,0,BD178-BC178)</f>
        <v>1</v>
      </c>
      <c r="BG178" s="468">
        <f ca="1">IF($BE178&gt;DATE(YEAR($BD$9)+OP!$C$57,MONTH($BD$9),DAY($BD$9)),0,$BE178-$BD178+1)</f>
        <v>30</v>
      </c>
      <c r="BH178" s="469">
        <f t="shared" ca="1" si="158"/>
        <v>31</v>
      </c>
      <c r="BI178" t="str">
        <f t="shared" si="187"/>
        <v/>
      </c>
      <c r="BJ178">
        <v>1</v>
      </c>
      <c r="BN178" s="468">
        <f t="shared" si="178"/>
        <v>15</v>
      </c>
      <c r="BO178" s="468">
        <f t="shared" si="179"/>
        <v>1</v>
      </c>
      <c r="BP178" s="467">
        <f t="shared" ca="1" si="159"/>
        <v>48031</v>
      </c>
      <c r="BQ178" s="475">
        <f t="shared" ca="1" si="185"/>
        <v>47</v>
      </c>
      <c r="BR178" s="475" t="str">
        <f t="shared" si="180"/>
        <v/>
      </c>
      <c r="BS178" s="471" t="str">
        <f t="shared" si="160"/>
        <v/>
      </c>
      <c r="BT178" s="472" t="str">
        <f t="shared" si="188"/>
        <v/>
      </c>
      <c r="BU178" s="472">
        <f t="shared" ca="1" si="161"/>
        <v>0</v>
      </c>
      <c r="BV178" s="472">
        <f t="shared" ca="1" si="161"/>
        <v>0</v>
      </c>
      <c r="BW178" s="472"/>
      <c r="BX178" s="473">
        <f t="shared" ca="1" si="162"/>
        <v>69191.825725068004</v>
      </c>
      <c r="BY178" s="473">
        <f t="shared" si="163"/>
        <v>0</v>
      </c>
      <c r="BZ178" s="473">
        <f t="shared" ca="1" si="137"/>
        <v>158.07962358099999</v>
      </c>
      <c r="CA178" s="476">
        <f t="shared" ca="1" si="164"/>
        <v>0</v>
      </c>
      <c r="CB178" s="494">
        <f ca="1">IF(OR($Q177&lt;&gt;1,OP!$D$5+$BN178-1&lt;16,$BN178-1&lt;1),0,ROUND(ROUND(ROUND(((VLOOKUP($BN178-1,MORE_PV,5,0)/10000)*VLOOKUP($BN178,MORE_PV,$CB$5,0)),3)*VLOOKUP($BN178,more1,5,0),0)/$R177,0))</f>
        <v>0</v>
      </c>
      <c r="CC178" s="473">
        <f t="shared" ca="1" si="165"/>
        <v>0</v>
      </c>
      <c r="CD178" s="477"/>
      <c r="CE178" s="468">
        <f t="shared" si="181"/>
        <v>15</v>
      </c>
      <c r="CF178" s="468">
        <f t="shared" si="182"/>
        <v>1</v>
      </c>
      <c r="CG178" s="467">
        <f t="shared" ca="1" si="138"/>
        <v>48031</v>
      </c>
      <c r="CH178" s="475">
        <f t="shared" ca="1" si="186"/>
        <v>47</v>
      </c>
      <c r="CI178" s="513" t="str">
        <f t="shared" si="183"/>
        <v/>
      </c>
      <c r="CJ178" s="511">
        <f t="shared" si="166"/>
        <v>0</v>
      </c>
      <c r="CK178" s="512">
        <f t="shared" si="167"/>
        <v>0</v>
      </c>
      <c r="CL178" s="511">
        <f t="shared" ca="1" si="184"/>
        <v>0</v>
      </c>
      <c r="CM178" s="511">
        <f ca="1">ROUND(CS178-IF(OR($CE178&gt;=OP!$C$24,AND(CH178=15,CF178=12),CS178=0),0,(CT178-CR178)),$CM$7)</f>
        <v>0</v>
      </c>
      <c r="CN178" s="511"/>
      <c r="CO178" s="351">
        <f t="shared" ca="1" si="168"/>
        <v>97409</v>
      </c>
      <c r="CP178" s="473">
        <f t="shared" si="169"/>
        <v>0</v>
      </c>
      <c r="CQ178" s="473">
        <f t="shared" ca="1" si="139"/>
        <v>222.54620241800001</v>
      </c>
      <c r="CR178" s="476">
        <f t="shared" ca="1" si="170"/>
        <v>0</v>
      </c>
      <c r="CS178" s="494">
        <f ca="1">IF(OR($Q177&lt;&gt;1,OP!$D$5+$CE178-1&lt;16,$CE178-1&lt;1),0,ROUND(ROUND(ROUND(((VLOOKUP($CE178-1,MORE_PV,5,0)/10000)*VLOOKUP($CE178,MORE_PV,$CS$5,0)),3)*VLOOKUP($CE178,more1,5,0),0)/$R177,0))</f>
        <v>0</v>
      </c>
      <c r="CT178" s="473">
        <f>IF($AW178=1,IF(N($CR178+$CS178)&lt;N($AX178)*OP!$C$50,N($CR178+$CS178),MIN(N($CR178+$CS178),N($AX178))),0)</f>
        <v>0</v>
      </c>
      <c r="CV178" s="503">
        <f t="shared" ca="1" si="171"/>
        <v>97409.298667251001</v>
      </c>
      <c r="CW178" s="503">
        <f t="shared" ca="1" si="172"/>
        <v>0</v>
      </c>
      <c r="CX178" s="503">
        <f t="shared" ca="1" si="173"/>
        <v>97624.650751934998</v>
      </c>
    </row>
    <row r="179" spans="2:102" ht="16.5" hidden="1">
      <c r="B179" s="80"/>
      <c r="C179" s="80"/>
      <c r="D179" s="80"/>
      <c r="E179" s="80"/>
      <c r="F179" s="80"/>
      <c r="G179" s="80"/>
      <c r="H179" s="80"/>
      <c r="I179" s="80"/>
      <c r="J179" s="192">
        <f t="shared" si="140"/>
        <v>15</v>
      </c>
      <c r="K179" s="192">
        <f t="shared" si="141"/>
        <v>3</v>
      </c>
      <c r="L179" s="192" t="str">
        <f t="shared" si="134"/>
        <v/>
      </c>
      <c r="M179" s="216">
        <f t="shared" ca="1" si="142"/>
        <v>0</v>
      </c>
      <c r="N179" s="216"/>
      <c r="O179" s="216"/>
      <c r="P179" s="216"/>
      <c r="Q179" s="456" t="str">
        <f t="shared" ca="1" si="143"/>
        <v/>
      </c>
      <c r="R179" s="450">
        <f t="shared" ca="1" si="144"/>
        <v>1</v>
      </c>
      <c r="S179" s="191">
        <f t="shared" si="145"/>
        <v>15</v>
      </c>
      <c r="T179" s="191">
        <f t="shared" si="146"/>
        <v>3</v>
      </c>
      <c r="U179" s="191">
        <f ca="1">OP!$D$5+$S179-1</f>
        <v>47</v>
      </c>
      <c r="V179" s="191" t="str">
        <f t="shared" si="147"/>
        <v/>
      </c>
      <c r="W179" s="350">
        <f ca="1">IF(Q179&lt;&gt;1,0,VLOOKUP(OP!$C$55,PVFB,$S179+2,0))</f>
        <v>0</v>
      </c>
      <c r="X179" s="473">
        <f t="shared" ca="1" si="174"/>
        <v>0</v>
      </c>
      <c r="Y179" s="348">
        <f t="shared" ca="1" si="175"/>
        <v>0</v>
      </c>
      <c r="Z179" s="348">
        <f t="shared" ca="1" si="176"/>
        <v>8012</v>
      </c>
      <c r="AA179" s="348">
        <f ca="1">IF(Q179&lt;&gt;1,0,VLOOKUP(OP!$C$55,PVFB,$S179+2,0))</f>
        <v>0</v>
      </c>
      <c r="AB179" s="488" t="str">
        <f ca="1">IF(AND(S179&lt;OP!$C$24,$U179&lt;15),0,IF(AND($U179&lt;15,$T179=12),ROUND(VLOOKUP($S179,DOWN16,5,0),3),IF($T179=12,ROUND(($Z179/10000)*$AA179,3)+IF(AND($P$7="購買增額繳清保險",T179=12,U179=110),VLOOKUP(S179,$B$10:$H$121,7,0),0),"")))</f>
        <v/>
      </c>
      <c r="AC179" s="350" t="str">
        <f ca="1">IF(AND(S179&lt;OP!$C$24,$U179&lt;15),0,IF(AND($U179&lt;16,$T179=12),VLOOKUP($S179,DOWN16,4,0),IF($T179=12,ROUND(VLOOKUP(OP!$C$55,_DIE2,$S179+1,0)*(Z179/10000),0)+IF(AND($P$7="購買增額繳清保險",T179=12,U179=110),VLOOKUP(S179,$B$10:$H$121,7,0),0),"")))</f>
        <v/>
      </c>
      <c r="AD179" s="347"/>
      <c r="AE179" s="350" t="str">
        <f t="shared" ca="1" si="135"/>
        <v/>
      </c>
      <c r="AF179" s="351" t="str">
        <f t="shared" ca="1" si="136"/>
        <v/>
      </c>
      <c r="AG179" s="340"/>
      <c r="AH179" s="340"/>
      <c r="AI179" s="340"/>
      <c r="AJ179" s="340"/>
      <c r="AK179" s="340"/>
      <c r="AL179" s="340"/>
      <c r="AM179" s="340"/>
      <c r="AN179" s="191">
        <f t="shared" si="148"/>
        <v>15</v>
      </c>
      <c r="AO179" s="191">
        <f t="shared" si="149"/>
        <v>3</v>
      </c>
      <c r="AP179" s="191">
        <f ca="1">OP!$D$5+$AN179-1</f>
        <v>47</v>
      </c>
      <c r="AQ179" s="191" t="str">
        <f t="shared" si="150"/>
        <v/>
      </c>
      <c r="AR179" s="352">
        <f t="shared" ca="1" si="151"/>
        <v>0</v>
      </c>
      <c r="AS179" s="352"/>
      <c r="AT179" s="352"/>
      <c r="AU179" s="436"/>
      <c r="AV179" s="353" t="str">
        <f t="shared" ca="1" si="152"/>
        <v/>
      </c>
      <c r="AW179" s="422" t="str">
        <f t="shared" si="153"/>
        <v/>
      </c>
      <c r="AX179" s="423" t="str">
        <f ca="1">IF(AND($AW179=1,$AP179&lt;16,$AN178&lt;OP!$C$24),OP!$C$49,"")</f>
        <v/>
      </c>
      <c r="AY179" s="340"/>
      <c r="AZ179" s="465">
        <f t="shared" ca="1" si="154"/>
        <v>7.3698599999999999E-5</v>
      </c>
      <c r="BA179" s="464">
        <f t="shared" ca="1" si="155"/>
        <v>2.2109589000000002E-3</v>
      </c>
      <c r="BB179" s="465">
        <f t="shared" ca="1" si="155"/>
        <v>2.2846575E-3</v>
      </c>
      <c r="BC179" s="466">
        <f t="shared" ca="1" si="156"/>
        <v>48061</v>
      </c>
      <c r="BD179" s="467">
        <f t="shared" ca="1" si="177"/>
        <v>48062</v>
      </c>
      <c r="BE179" s="467">
        <f t="shared" ca="1" si="157"/>
        <v>48091</v>
      </c>
      <c r="BF179" s="468">
        <f ca="1">IF(計算!$BC179&lt;OP!$C$3,0,BD179-BC179)</f>
        <v>1</v>
      </c>
      <c r="BG179" s="468">
        <f ca="1">IF($BE179&gt;DATE(YEAR($BD$9)+OP!$C$57,MONTH($BD$9),DAY($BD$9)),0,$BE179-$BD179+1)</f>
        <v>30</v>
      </c>
      <c r="BH179" s="469">
        <f t="shared" ca="1" si="158"/>
        <v>31</v>
      </c>
      <c r="BI179" t="str">
        <f t="shared" si="187"/>
        <v/>
      </c>
      <c r="BJ179">
        <v>2</v>
      </c>
      <c r="BN179" s="468">
        <f t="shared" si="178"/>
        <v>15</v>
      </c>
      <c r="BO179" s="468">
        <f t="shared" si="179"/>
        <v>2</v>
      </c>
      <c r="BP179" s="467">
        <f t="shared" ca="1" si="159"/>
        <v>48062</v>
      </c>
      <c r="BQ179" s="475">
        <f t="shared" ca="1" si="185"/>
        <v>47</v>
      </c>
      <c r="BR179" s="475" t="str">
        <f t="shared" si="180"/>
        <v/>
      </c>
      <c r="BS179" s="471" t="str">
        <f t="shared" si="160"/>
        <v/>
      </c>
      <c r="BT179" s="472" t="str">
        <f t="shared" si="188"/>
        <v/>
      </c>
      <c r="BU179" s="472">
        <f t="shared" ca="1" si="161"/>
        <v>0</v>
      </c>
      <c r="BV179" s="472">
        <f t="shared" ca="1" si="161"/>
        <v>0</v>
      </c>
      <c r="BW179" s="472"/>
      <c r="BX179" s="473">
        <f t="shared" ca="1" si="162"/>
        <v>69349.905348649001</v>
      </c>
      <c r="BY179" s="473">
        <f t="shared" si="163"/>
        <v>0</v>
      </c>
      <c r="BZ179" s="473">
        <f t="shared" ca="1" si="137"/>
        <v>158.44078137899999</v>
      </c>
      <c r="CA179" s="476">
        <f t="shared" ca="1" si="164"/>
        <v>0</v>
      </c>
      <c r="CB179" s="494">
        <f ca="1">IF(OR($Q178&lt;&gt;1,OP!$D$5+$BN179-1&lt;16,$BN179-1&lt;1),0,ROUND(ROUND(ROUND(((VLOOKUP($BN179-1,MORE_PV,5,0)/10000)*VLOOKUP($BN179,MORE_PV,$CB$5,0)),3)*VLOOKUP($BN179,more1,5,0),0)/$R178,0))</f>
        <v>0</v>
      </c>
      <c r="CC179" s="473">
        <f t="shared" ca="1" si="165"/>
        <v>0</v>
      </c>
      <c r="CD179" s="477"/>
      <c r="CE179" s="468">
        <f t="shared" si="181"/>
        <v>15</v>
      </c>
      <c r="CF179" s="468">
        <f t="shared" si="182"/>
        <v>2</v>
      </c>
      <c r="CG179" s="467">
        <f t="shared" ca="1" si="138"/>
        <v>48062</v>
      </c>
      <c r="CH179" s="475">
        <f t="shared" ca="1" si="186"/>
        <v>47</v>
      </c>
      <c r="CI179" s="513" t="str">
        <f t="shared" si="183"/>
        <v/>
      </c>
      <c r="CJ179" s="511">
        <f t="shared" si="166"/>
        <v>0</v>
      </c>
      <c r="CK179" s="512">
        <f t="shared" si="167"/>
        <v>0</v>
      </c>
      <c r="CL179" s="511">
        <f t="shared" ca="1" si="184"/>
        <v>0</v>
      </c>
      <c r="CM179" s="511">
        <f ca="1">ROUND(CS179-IF(OR($CE179&gt;=OP!$C$24,AND(CH179=15,CF179=12),CS179=0),0,(CT179-CR179)),$CM$7)</f>
        <v>0</v>
      </c>
      <c r="CN179" s="511"/>
      <c r="CO179" s="351">
        <f t="shared" ca="1" si="168"/>
        <v>97632</v>
      </c>
      <c r="CP179" s="473">
        <f t="shared" si="169"/>
        <v>0</v>
      </c>
      <c r="CQ179" s="473">
        <f t="shared" ca="1" si="139"/>
        <v>223.05568104</v>
      </c>
      <c r="CR179" s="476">
        <f t="shared" ca="1" si="170"/>
        <v>0</v>
      </c>
      <c r="CS179" s="494">
        <f ca="1">IF(OR($Q178&lt;&gt;1,OP!$D$5+$CE179-1&lt;16,$CE179-1&lt;1),0,ROUND(ROUND(ROUND(((VLOOKUP($CE179-1,MORE_PV,5,0)/10000)*VLOOKUP($CE179,MORE_PV,$CS$5,0)),3)*VLOOKUP($CE179,more1,5,0),0)/$R178,0))</f>
        <v>0</v>
      </c>
      <c r="CT179" s="473">
        <f>IF($AW179=1,IF(N($CR179+$CS179)&lt;N($AX179)*OP!$C$50,N($CR179+$CS179),MIN(N($CR179+$CS179),N($AX179))),0)</f>
        <v>0</v>
      </c>
      <c r="CV179" s="503">
        <f t="shared" ca="1" si="171"/>
        <v>97631.845552020997</v>
      </c>
      <c r="CW179" s="503">
        <f t="shared" ca="1" si="172"/>
        <v>0</v>
      </c>
      <c r="CX179" s="503">
        <f t="shared" ca="1" si="173"/>
        <v>97847.689642459998</v>
      </c>
    </row>
    <row r="180" spans="2:102" ht="16.5" hidden="1">
      <c r="B180" s="80"/>
      <c r="C180" s="80"/>
      <c r="D180" s="80"/>
      <c r="E180" s="80"/>
      <c r="F180" s="80"/>
      <c r="G180" s="80"/>
      <c r="H180" s="80"/>
      <c r="I180" s="80"/>
      <c r="J180" s="192">
        <f t="shared" si="140"/>
        <v>15</v>
      </c>
      <c r="K180" s="192">
        <f t="shared" si="141"/>
        <v>4</v>
      </c>
      <c r="L180" s="192" t="str">
        <f t="shared" si="134"/>
        <v/>
      </c>
      <c r="M180" s="216">
        <f t="shared" ca="1" si="142"/>
        <v>0</v>
      </c>
      <c r="N180" s="216"/>
      <c r="O180" s="216"/>
      <c r="P180" s="216"/>
      <c r="Q180" s="456" t="str">
        <f t="shared" ca="1" si="143"/>
        <v/>
      </c>
      <c r="R180" s="450">
        <f t="shared" ca="1" si="144"/>
        <v>1</v>
      </c>
      <c r="S180" s="191">
        <f t="shared" si="145"/>
        <v>15</v>
      </c>
      <c r="T180" s="191">
        <f t="shared" si="146"/>
        <v>4</v>
      </c>
      <c r="U180" s="191">
        <f ca="1">OP!$D$5+$S180-1</f>
        <v>47</v>
      </c>
      <c r="V180" s="191" t="str">
        <f t="shared" si="147"/>
        <v/>
      </c>
      <c r="W180" s="350">
        <f ca="1">IF(Q180&lt;&gt;1,0,VLOOKUP(OP!$C$55,PVFB,$S180+2,0))</f>
        <v>0</v>
      </c>
      <c r="X180" s="473">
        <f t="shared" ca="1" si="174"/>
        <v>0</v>
      </c>
      <c r="Y180" s="348">
        <f t="shared" ca="1" si="175"/>
        <v>0</v>
      </c>
      <c r="Z180" s="348">
        <f t="shared" ca="1" si="176"/>
        <v>8012</v>
      </c>
      <c r="AA180" s="348">
        <f ca="1">IF(Q180&lt;&gt;1,0,VLOOKUP(OP!$C$55,PVFB,$S180+2,0))</f>
        <v>0</v>
      </c>
      <c r="AB180" s="488" t="str">
        <f ca="1">IF(AND(S180&lt;OP!$C$24,$U180&lt;15),0,IF(AND($U180&lt;15,$T180=12),ROUND(VLOOKUP($S180,DOWN16,5,0),3),IF($T180=12,ROUND(($Z180/10000)*$AA180,3)+IF(AND($P$7="購買增額繳清保險",T180=12,U180=110),VLOOKUP(S180,$B$10:$H$121,7,0),0),"")))</f>
        <v/>
      </c>
      <c r="AC180" s="350" t="str">
        <f ca="1">IF(AND(S180&lt;OP!$C$24,$U180&lt;15),0,IF(AND($U180&lt;16,$T180=12),VLOOKUP($S180,DOWN16,4,0),IF($T180=12,ROUND(VLOOKUP(OP!$C$55,_DIE2,$S180+1,0)*(Z180/10000),0)+IF(AND($P$7="購買增額繳清保險",T180=12,U180=110),VLOOKUP(S180,$B$10:$H$121,7,0),0),"")))</f>
        <v/>
      </c>
      <c r="AD180" s="347"/>
      <c r="AE180" s="350" t="str">
        <f t="shared" ca="1" si="135"/>
        <v/>
      </c>
      <c r="AF180" s="351" t="str">
        <f t="shared" ca="1" si="136"/>
        <v/>
      </c>
      <c r="AG180" s="340"/>
      <c r="AH180" s="340"/>
      <c r="AI180" s="340"/>
      <c r="AJ180" s="340"/>
      <c r="AK180" s="340"/>
      <c r="AL180" s="340"/>
      <c r="AM180" s="340"/>
      <c r="AN180" s="191">
        <f t="shared" si="148"/>
        <v>15</v>
      </c>
      <c r="AO180" s="191">
        <f t="shared" si="149"/>
        <v>4</v>
      </c>
      <c r="AP180" s="191">
        <f ca="1">OP!$D$5+$AN180-1</f>
        <v>47</v>
      </c>
      <c r="AQ180" s="191" t="str">
        <f t="shared" si="150"/>
        <v/>
      </c>
      <c r="AR180" s="352">
        <f t="shared" ca="1" si="151"/>
        <v>0</v>
      </c>
      <c r="AS180" s="352"/>
      <c r="AT180" s="352"/>
      <c r="AU180" s="436"/>
      <c r="AV180" s="353" t="str">
        <f t="shared" ca="1" si="152"/>
        <v/>
      </c>
      <c r="AW180" s="422" t="str">
        <f t="shared" si="153"/>
        <v/>
      </c>
      <c r="AX180" s="423" t="str">
        <f ca="1">IF(AND($AW180=1,$AP180&lt;16,$AN179&lt;OP!$C$24),OP!$C$49,"")</f>
        <v/>
      </c>
      <c r="AY180" s="340"/>
      <c r="AZ180" s="465">
        <f t="shared" ca="1" si="154"/>
        <v>7.3698599999999999E-5</v>
      </c>
      <c r="BA180" s="464">
        <f t="shared" ca="1" si="155"/>
        <v>2.1372602999999999E-3</v>
      </c>
      <c r="BB180" s="465">
        <f t="shared" ca="1" si="155"/>
        <v>2.2109589000000002E-3</v>
      </c>
      <c r="BC180" s="466">
        <f t="shared" ca="1" si="156"/>
        <v>48092</v>
      </c>
      <c r="BD180" s="467">
        <f t="shared" ca="1" si="177"/>
        <v>48093</v>
      </c>
      <c r="BE180" s="467">
        <f t="shared" ca="1" si="157"/>
        <v>48121</v>
      </c>
      <c r="BF180" s="468">
        <f ca="1">IF(計算!$BC180&lt;OP!$C$3,0,BD180-BC180)</f>
        <v>1</v>
      </c>
      <c r="BG180" s="468">
        <f ca="1">IF($BE180&gt;DATE(YEAR($BD$9)+OP!$C$57,MONTH($BD$9),DAY($BD$9)),0,$BE180-$BD180+1)</f>
        <v>29</v>
      </c>
      <c r="BH180" s="469">
        <f t="shared" ca="1" si="158"/>
        <v>30</v>
      </c>
      <c r="BI180" t="str">
        <f t="shared" si="187"/>
        <v/>
      </c>
      <c r="BJ180">
        <v>3</v>
      </c>
      <c r="BN180" s="468">
        <f t="shared" si="178"/>
        <v>15</v>
      </c>
      <c r="BO180" s="468">
        <f t="shared" si="179"/>
        <v>3</v>
      </c>
      <c r="BP180" s="467">
        <f t="shared" ca="1" si="159"/>
        <v>48093</v>
      </c>
      <c r="BQ180" s="475">
        <f t="shared" ca="1" si="185"/>
        <v>47</v>
      </c>
      <c r="BR180" s="475" t="str">
        <f t="shared" si="180"/>
        <v/>
      </c>
      <c r="BS180" s="471" t="str">
        <f t="shared" si="160"/>
        <v/>
      </c>
      <c r="BT180" s="472" t="str">
        <f t="shared" si="188"/>
        <v/>
      </c>
      <c r="BU180" s="472">
        <f t="shared" ca="1" si="161"/>
        <v>0</v>
      </c>
      <c r="BV180" s="472">
        <f t="shared" ca="1" si="161"/>
        <v>0</v>
      </c>
      <c r="BW180" s="472"/>
      <c r="BX180" s="473">
        <f t="shared" ca="1" si="162"/>
        <v>69508.346130028003</v>
      </c>
      <c r="BY180" s="473">
        <f t="shared" si="163"/>
        <v>0</v>
      </c>
      <c r="BZ180" s="473">
        <f t="shared" ca="1" si="137"/>
        <v>153.68009649999999</v>
      </c>
      <c r="CA180" s="476">
        <f t="shared" ca="1" si="164"/>
        <v>0</v>
      </c>
      <c r="CB180" s="494">
        <f ca="1">IF(OR($Q179&lt;&gt;1,OP!$D$5+$BN180-1&lt;16,$BN180-1&lt;1),0,ROUND(ROUND(ROUND(((VLOOKUP($BN180-1,MORE_PV,5,0)/10000)*VLOOKUP($BN180,MORE_PV,$CB$5,0)),3)*VLOOKUP($BN180,more1,5,0),0)/$R179,0))</f>
        <v>0</v>
      </c>
      <c r="CC180" s="473">
        <f t="shared" ca="1" si="165"/>
        <v>0</v>
      </c>
      <c r="CD180" s="477"/>
      <c r="CE180" s="468">
        <f t="shared" si="181"/>
        <v>15</v>
      </c>
      <c r="CF180" s="468">
        <f t="shared" si="182"/>
        <v>3</v>
      </c>
      <c r="CG180" s="467">
        <f t="shared" ca="1" si="138"/>
        <v>48093</v>
      </c>
      <c r="CH180" s="475">
        <f t="shared" ca="1" si="186"/>
        <v>47</v>
      </c>
      <c r="CI180" s="513" t="str">
        <f t="shared" si="183"/>
        <v/>
      </c>
      <c r="CJ180" s="511">
        <f t="shared" si="166"/>
        <v>0</v>
      </c>
      <c r="CK180" s="512">
        <f t="shared" si="167"/>
        <v>0</v>
      </c>
      <c r="CL180" s="511">
        <f t="shared" ca="1" si="184"/>
        <v>0</v>
      </c>
      <c r="CM180" s="511">
        <f ca="1">ROUND(CS180-IF(OR($CE180&gt;=OP!$C$24,AND(CH180=15,CF180=12),CS180=0),0,(CT180-CR180)),$CM$7)</f>
        <v>0</v>
      </c>
      <c r="CN180" s="511"/>
      <c r="CO180" s="351">
        <f t="shared" ca="1" si="168"/>
        <v>97855</v>
      </c>
      <c r="CP180" s="473">
        <f t="shared" si="169"/>
        <v>0</v>
      </c>
      <c r="CQ180" s="473">
        <f t="shared" ca="1" si="139"/>
        <v>216.35338315999999</v>
      </c>
      <c r="CR180" s="476">
        <f t="shared" ca="1" si="170"/>
        <v>0</v>
      </c>
      <c r="CS180" s="494">
        <f ca="1">IF(OR($Q179&lt;&gt;1,OP!$D$5+$CE180-1&lt;16,$CE180-1&lt;1),0,ROUND(ROUND(ROUND(((VLOOKUP($CE180-1,MORE_PV,5,0)/10000)*VLOOKUP($CE180,MORE_PV,$CS$5,0)),3)*VLOOKUP($CE180,more1,5,0),0)/$R179,0))</f>
        <v>0</v>
      </c>
      <c r="CT180" s="473">
        <f>IF($AW180=1,IF(N($CR180+$CS180)&lt;N($AX180)*OP!$C$50,N($CR180+$CS180),MIN(N($CR180+$CS180),N($AX180))),0)</f>
        <v>0</v>
      </c>
      <c r="CV180" s="503">
        <f t="shared" ca="1" si="171"/>
        <v>97854.900880200003</v>
      </c>
      <c r="CW180" s="503">
        <f t="shared" ca="1" si="172"/>
        <v>0</v>
      </c>
      <c r="CX180" s="503">
        <f t="shared" ca="1" si="173"/>
        <v>98064.026862718994</v>
      </c>
    </row>
    <row r="181" spans="2:102" ht="16.5" hidden="1">
      <c r="B181" s="80"/>
      <c r="C181" s="80"/>
      <c r="D181" s="80"/>
      <c r="E181" s="80"/>
      <c r="F181" s="80"/>
      <c r="G181" s="80"/>
      <c r="H181" s="80"/>
      <c r="I181" s="80"/>
      <c r="J181" s="192">
        <f t="shared" si="140"/>
        <v>15</v>
      </c>
      <c r="K181" s="192">
        <f t="shared" si="141"/>
        <v>5</v>
      </c>
      <c r="L181" s="192" t="str">
        <f t="shared" si="134"/>
        <v/>
      </c>
      <c r="M181" s="216">
        <f t="shared" ca="1" si="142"/>
        <v>0</v>
      </c>
      <c r="N181" s="216"/>
      <c r="O181" s="216"/>
      <c r="P181" s="216"/>
      <c r="Q181" s="456" t="str">
        <f t="shared" ca="1" si="143"/>
        <v/>
      </c>
      <c r="R181" s="450">
        <f t="shared" ca="1" si="144"/>
        <v>1</v>
      </c>
      <c r="S181" s="191">
        <f t="shared" si="145"/>
        <v>15</v>
      </c>
      <c r="T181" s="191">
        <f t="shared" si="146"/>
        <v>5</v>
      </c>
      <c r="U181" s="191">
        <f ca="1">OP!$D$5+$S181-1</f>
        <v>47</v>
      </c>
      <c r="V181" s="191" t="str">
        <f t="shared" si="147"/>
        <v/>
      </c>
      <c r="W181" s="350">
        <f ca="1">IF(Q181&lt;&gt;1,0,VLOOKUP(OP!$C$55,PVFB,$S181+2,0))</f>
        <v>0</v>
      </c>
      <c r="X181" s="473">
        <f t="shared" ca="1" si="174"/>
        <v>0</v>
      </c>
      <c r="Y181" s="348">
        <f t="shared" ca="1" si="175"/>
        <v>0</v>
      </c>
      <c r="Z181" s="348">
        <f t="shared" ca="1" si="176"/>
        <v>8012</v>
      </c>
      <c r="AA181" s="348">
        <f ca="1">IF(Q181&lt;&gt;1,0,VLOOKUP(OP!$C$55,PVFB,$S181+2,0))</f>
        <v>0</v>
      </c>
      <c r="AB181" s="488" t="str">
        <f ca="1">IF(AND(S181&lt;OP!$C$24,$U181&lt;15),0,IF(AND($U181&lt;15,$T181=12),ROUND(VLOOKUP($S181,DOWN16,5,0),3),IF($T181=12,ROUND(($Z181/10000)*$AA181,3)+IF(AND($P$7="購買增額繳清保險",T181=12,U181=110),VLOOKUP(S181,$B$10:$H$121,7,0),0),"")))</f>
        <v/>
      </c>
      <c r="AC181" s="350" t="str">
        <f ca="1">IF(AND(S181&lt;OP!$C$24,$U181&lt;15),0,IF(AND($U181&lt;16,$T181=12),VLOOKUP($S181,DOWN16,4,0),IF($T181=12,ROUND(VLOOKUP(OP!$C$55,_DIE2,$S181+1,0)*(Z181/10000),0)+IF(AND($P$7="購買增額繳清保險",T181=12,U181=110),VLOOKUP(S181,$B$10:$H$121,7,0),0),"")))</f>
        <v/>
      </c>
      <c r="AD181" s="347"/>
      <c r="AE181" s="350" t="str">
        <f t="shared" ca="1" si="135"/>
        <v/>
      </c>
      <c r="AF181" s="351" t="str">
        <f t="shared" ca="1" si="136"/>
        <v/>
      </c>
      <c r="AG181" s="340"/>
      <c r="AH181" s="340"/>
      <c r="AI181" s="340"/>
      <c r="AJ181" s="340"/>
      <c r="AK181" s="340"/>
      <c r="AL181" s="340"/>
      <c r="AM181" s="340"/>
      <c r="AN181" s="191">
        <f t="shared" si="148"/>
        <v>15</v>
      </c>
      <c r="AO181" s="191">
        <f t="shared" si="149"/>
        <v>5</v>
      </c>
      <c r="AP181" s="191">
        <f ca="1">OP!$D$5+$AN181-1</f>
        <v>47</v>
      </c>
      <c r="AQ181" s="191" t="str">
        <f t="shared" si="150"/>
        <v/>
      </c>
      <c r="AR181" s="352">
        <f t="shared" ca="1" si="151"/>
        <v>0</v>
      </c>
      <c r="AS181" s="352"/>
      <c r="AT181" s="352"/>
      <c r="AU181" s="436"/>
      <c r="AV181" s="353" t="str">
        <f t="shared" ca="1" si="152"/>
        <v/>
      </c>
      <c r="AW181" s="422" t="str">
        <f t="shared" si="153"/>
        <v/>
      </c>
      <c r="AX181" s="423" t="str">
        <f ca="1">IF(AND($AW181=1,$AP181&lt;16,$AN180&lt;OP!$C$24),OP!$C$49,"")</f>
        <v/>
      </c>
      <c r="AY181" s="340"/>
      <c r="AZ181" s="465">
        <f t="shared" ca="1" si="154"/>
        <v>7.3698599999999999E-5</v>
      </c>
      <c r="BA181" s="464">
        <f t="shared" ca="1" si="155"/>
        <v>2.2109589000000002E-3</v>
      </c>
      <c r="BB181" s="465">
        <f t="shared" ca="1" si="155"/>
        <v>2.2846575E-3</v>
      </c>
      <c r="BC181" s="466">
        <f t="shared" ca="1" si="156"/>
        <v>48122</v>
      </c>
      <c r="BD181" s="467">
        <f t="shared" ca="1" si="177"/>
        <v>48123</v>
      </c>
      <c r="BE181" s="467">
        <f t="shared" ca="1" si="157"/>
        <v>48152</v>
      </c>
      <c r="BF181" s="468">
        <f ca="1">IF(計算!$BC181&lt;OP!$C$3,0,BD181-BC181)</f>
        <v>1</v>
      </c>
      <c r="BG181" s="468">
        <f ca="1">IF($BE181&gt;DATE(YEAR($BD$9)+OP!$C$57,MONTH($BD$9),DAY($BD$9)),0,$BE181-$BD181+1)</f>
        <v>30</v>
      </c>
      <c r="BH181" s="469">
        <f t="shared" ca="1" si="158"/>
        <v>31</v>
      </c>
      <c r="BI181" t="str">
        <f t="shared" si="187"/>
        <v/>
      </c>
      <c r="BJ181">
        <v>4</v>
      </c>
      <c r="BN181" s="468">
        <f t="shared" si="178"/>
        <v>15</v>
      </c>
      <c r="BO181" s="468">
        <f t="shared" si="179"/>
        <v>4</v>
      </c>
      <c r="BP181" s="467">
        <f t="shared" ca="1" si="159"/>
        <v>48123</v>
      </c>
      <c r="BQ181" s="475">
        <f t="shared" ca="1" si="185"/>
        <v>47</v>
      </c>
      <c r="BR181" s="475" t="str">
        <f t="shared" si="180"/>
        <v/>
      </c>
      <c r="BS181" s="471" t="str">
        <f t="shared" si="160"/>
        <v/>
      </c>
      <c r="BT181" s="472" t="str">
        <f t="shared" si="188"/>
        <v/>
      </c>
      <c r="BU181" s="472">
        <f t="shared" ca="1" si="161"/>
        <v>0</v>
      </c>
      <c r="BV181" s="472">
        <f t="shared" ca="1" si="161"/>
        <v>0</v>
      </c>
      <c r="BW181" s="472"/>
      <c r="BX181" s="473">
        <f t="shared" ca="1" si="162"/>
        <v>69662.026226528003</v>
      </c>
      <c r="BY181" s="473">
        <f t="shared" si="163"/>
        <v>0</v>
      </c>
      <c r="BZ181" s="473">
        <f t="shared" ca="1" si="137"/>
        <v>159.153870684</v>
      </c>
      <c r="CA181" s="476">
        <f t="shared" ca="1" si="164"/>
        <v>0</v>
      </c>
      <c r="CB181" s="494">
        <f ca="1">IF(OR($Q180&lt;&gt;1,OP!$D$5+$BN181-1&lt;16,$BN181-1&lt;1),0,ROUND(ROUND(ROUND(((VLOOKUP($BN181-1,MORE_PV,5,0)/10000)*VLOOKUP($BN181,MORE_PV,$CB$5,0)),3)*VLOOKUP($BN181,more1,5,0),0)/$R180,0))</f>
        <v>0</v>
      </c>
      <c r="CC181" s="473">
        <f t="shared" ca="1" si="165"/>
        <v>0</v>
      </c>
      <c r="CD181" s="477"/>
      <c r="CE181" s="468">
        <f t="shared" si="181"/>
        <v>15</v>
      </c>
      <c r="CF181" s="468">
        <f t="shared" si="182"/>
        <v>4</v>
      </c>
      <c r="CG181" s="467">
        <f t="shared" ca="1" si="138"/>
        <v>48123</v>
      </c>
      <c r="CH181" s="475">
        <f t="shared" ca="1" si="186"/>
        <v>47</v>
      </c>
      <c r="CI181" s="513" t="str">
        <f t="shared" si="183"/>
        <v/>
      </c>
      <c r="CJ181" s="511">
        <f t="shared" si="166"/>
        <v>0</v>
      </c>
      <c r="CK181" s="512">
        <f t="shared" si="167"/>
        <v>0</v>
      </c>
      <c r="CL181" s="511">
        <f t="shared" ca="1" si="184"/>
        <v>0</v>
      </c>
      <c r="CM181" s="511">
        <f ca="1">ROUND(CS181-IF(OR($CE181&gt;=OP!$C$24,AND(CH181=15,CF181=12),CS181=0),0,(CT181-CR181)),$CM$7)</f>
        <v>0</v>
      </c>
      <c r="CN181" s="511"/>
      <c r="CO181" s="351">
        <f t="shared" ca="1" si="168"/>
        <v>98071</v>
      </c>
      <c r="CP181" s="473">
        <f t="shared" si="169"/>
        <v>0</v>
      </c>
      <c r="CQ181" s="473">
        <f t="shared" ca="1" si="139"/>
        <v>224.05864568300001</v>
      </c>
      <c r="CR181" s="476">
        <f t="shared" ca="1" si="170"/>
        <v>0</v>
      </c>
      <c r="CS181" s="494">
        <f ca="1">IF(OR($Q180&lt;&gt;1,OP!$D$5+$CE181-1&lt;16,$CE181-1&lt;1),0,ROUND(ROUND(ROUND(((VLOOKUP($CE181-1,MORE_PV,5,0)/10000)*VLOOKUP($CE181,MORE_PV,$CS$5,0)),3)*VLOOKUP($CE181,more1,5,0),0)/$R180,0))</f>
        <v>0</v>
      </c>
      <c r="CT181" s="473">
        <f>IF($AW181=1,IF(N($CR181+$CS181)&lt;N($AX181)*OP!$C$50,N($CR181+$CS181),MIN(N($CR181+$CS181),N($AX181))),0)</f>
        <v>0</v>
      </c>
      <c r="CV181" s="503">
        <f t="shared" ca="1" si="171"/>
        <v>98071.254044208996</v>
      </c>
      <c r="CW181" s="503">
        <f t="shared" ca="1" si="172"/>
        <v>0</v>
      </c>
      <c r="CX181" s="503">
        <f t="shared" ca="1" si="173"/>
        <v>98288.069577171002</v>
      </c>
    </row>
    <row r="182" spans="2:102" ht="16.5" hidden="1">
      <c r="B182" s="80"/>
      <c r="C182" s="80"/>
      <c r="D182" s="80"/>
      <c r="E182" s="80"/>
      <c r="F182" s="80"/>
      <c r="G182" s="80"/>
      <c r="H182" s="80"/>
      <c r="I182" s="80"/>
      <c r="J182" s="192">
        <f t="shared" si="140"/>
        <v>15</v>
      </c>
      <c r="K182" s="192">
        <f t="shared" si="141"/>
        <v>6</v>
      </c>
      <c r="L182" s="192" t="str">
        <f t="shared" si="134"/>
        <v/>
      </c>
      <c r="M182" s="216">
        <f t="shared" ca="1" si="142"/>
        <v>0</v>
      </c>
      <c r="N182" s="216"/>
      <c r="O182" s="216"/>
      <c r="P182" s="216"/>
      <c r="Q182" s="456" t="str">
        <f t="shared" ca="1" si="143"/>
        <v/>
      </c>
      <c r="R182" s="450">
        <f t="shared" ca="1" si="144"/>
        <v>1</v>
      </c>
      <c r="S182" s="191">
        <f t="shared" si="145"/>
        <v>15</v>
      </c>
      <c r="T182" s="191">
        <f t="shared" si="146"/>
        <v>6</v>
      </c>
      <c r="U182" s="191">
        <f ca="1">OP!$D$5+$S182-1</f>
        <v>47</v>
      </c>
      <c r="V182" s="191" t="str">
        <f t="shared" si="147"/>
        <v/>
      </c>
      <c r="W182" s="350">
        <f ca="1">IF(Q182&lt;&gt;1,0,VLOOKUP(OP!$C$55,PVFB,$S182+2,0))</f>
        <v>0</v>
      </c>
      <c r="X182" s="473">
        <f t="shared" ca="1" si="174"/>
        <v>0</v>
      </c>
      <c r="Y182" s="348">
        <f t="shared" ca="1" si="175"/>
        <v>0</v>
      </c>
      <c r="Z182" s="348">
        <f t="shared" ca="1" si="176"/>
        <v>8012</v>
      </c>
      <c r="AA182" s="348">
        <f ca="1">IF(Q182&lt;&gt;1,0,VLOOKUP(OP!$C$55,PVFB,$S182+2,0))</f>
        <v>0</v>
      </c>
      <c r="AB182" s="488" t="str">
        <f ca="1">IF(AND(S182&lt;OP!$C$24,$U182&lt;15),0,IF(AND($U182&lt;15,$T182=12),ROUND(VLOOKUP($S182,DOWN16,5,0),3),IF($T182=12,ROUND(($Z182/10000)*$AA182,3)+IF(AND($P$7="購買增額繳清保險",T182=12,U182=110),VLOOKUP(S182,$B$10:$H$121,7,0),0),"")))</f>
        <v/>
      </c>
      <c r="AC182" s="350" t="str">
        <f ca="1">IF(AND(S182&lt;OP!$C$24,$U182&lt;15),0,IF(AND($U182&lt;16,$T182=12),VLOOKUP($S182,DOWN16,4,0),IF($T182=12,ROUND(VLOOKUP(OP!$C$55,_DIE2,$S182+1,0)*(Z182/10000),0)+IF(AND($P$7="購買增額繳清保險",T182=12,U182=110),VLOOKUP(S182,$B$10:$H$121,7,0),0),"")))</f>
        <v/>
      </c>
      <c r="AD182" s="347"/>
      <c r="AE182" s="350" t="str">
        <f t="shared" ca="1" si="135"/>
        <v/>
      </c>
      <c r="AF182" s="351" t="str">
        <f t="shared" ca="1" si="136"/>
        <v/>
      </c>
      <c r="AG182" s="340"/>
      <c r="AH182" s="340"/>
      <c r="AI182" s="340"/>
      <c r="AJ182" s="340"/>
      <c r="AK182" s="340"/>
      <c r="AL182" s="340"/>
      <c r="AM182" s="340"/>
      <c r="AN182" s="191">
        <f t="shared" si="148"/>
        <v>15</v>
      </c>
      <c r="AO182" s="191">
        <f t="shared" si="149"/>
        <v>6</v>
      </c>
      <c r="AP182" s="191">
        <f ca="1">OP!$D$5+$AN182-1</f>
        <v>47</v>
      </c>
      <c r="AQ182" s="191" t="str">
        <f t="shared" si="150"/>
        <v/>
      </c>
      <c r="AR182" s="352">
        <f t="shared" ca="1" si="151"/>
        <v>0</v>
      </c>
      <c r="AS182" s="352"/>
      <c r="AT182" s="352"/>
      <c r="AU182" s="436"/>
      <c r="AV182" s="353" t="str">
        <f t="shared" ca="1" si="152"/>
        <v/>
      </c>
      <c r="AW182" s="422" t="str">
        <f t="shared" si="153"/>
        <v/>
      </c>
      <c r="AX182" s="423" t="str">
        <f ca="1">IF(AND($AW182=1,$AP182&lt;16,$AN181&lt;OP!$C$24),OP!$C$49,"")</f>
        <v/>
      </c>
      <c r="AY182" s="340"/>
      <c r="AZ182" s="465">
        <f t="shared" ca="1" si="154"/>
        <v>7.3698599999999999E-5</v>
      </c>
      <c r="BA182" s="464">
        <f t="shared" ca="1" si="155"/>
        <v>2.1372602999999999E-3</v>
      </c>
      <c r="BB182" s="465">
        <f t="shared" ca="1" si="155"/>
        <v>2.2109589000000002E-3</v>
      </c>
      <c r="BC182" s="466">
        <f t="shared" ca="1" si="156"/>
        <v>48153</v>
      </c>
      <c r="BD182" s="467">
        <f t="shared" ca="1" si="177"/>
        <v>48154</v>
      </c>
      <c r="BE182" s="467">
        <f t="shared" ca="1" si="157"/>
        <v>48182</v>
      </c>
      <c r="BF182" s="468">
        <f ca="1">IF(計算!$BC182&lt;OP!$C$3,0,BD182-BC182)</f>
        <v>1</v>
      </c>
      <c r="BG182" s="468">
        <f ca="1">IF($BE182&gt;DATE(YEAR($BD$9)+OP!$C$57,MONTH($BD$9),DAY($BD$9)),0,$BE182-$BD182+1)</f>
        <v>29</v>
      </c>
      <c r="BH182" s="469">
        <f t="shared" ca="1" si="158"/>
        <v>30</v>
      </c>
      <c r="BI182" t="str">
        <f t="shared" si="187"/>
        <v/>
      </c>
      <c r="BJ182">
        <v>5</v>
      </c>
      <c r="BN182" s="468">
        <f t="shared" si="178"/>
        <v>15</v>
      </c>
      <c r="BO182" s="468">
        <f t="shared" si="179"/>
        <v>5</v>
      </c>
      <c r="BP182" s="467">
        <f t="shared" ca="1" si="159"/>
        <v>48154</v>
      </c>
      <c r="BQ182" s="475">
        <f t="shared" ca="1" si="185"/>
        <v>47</v>
      </c>
      <c r="BR182" s="475" t="str">
        <f t="shared" si="180"/>
        <v/>
      </c>
      <c r="BS182" s="471" t="str">
        <f t="shared" si="160"/>
        <v/>
      </c>
      <c r="BT182" s="472" t="str">
        <f t="shared" si="188"/>
        <v/>
      </c>
      <c r="BU182" s="472">
        <f t="shared" ca="1" si="161"/>
        <v>0</v>
      </c>
      <c r="BV182" s="472">
        <f t="shared" ca="1" si="161"/>
        <v>0</v>
      </c>
      <c r="BW182" s="472"/>
      <c r="BX182" s="473">
        <f t="shared" ca="1" si="162"/>
        <v>69821.180097211996</v>
      </c>
      <c r="BY182" s="473">
        <f t="shared" si="163"/>
        <v>0</v>
      </c>
      <c r="BZ182" s="473">
        <f t="shared" ca="1" si="137"/>
        <v>154.37175954400001</v>
      </c>
      <c r="CA182" s="476">
        <f t="shared" ca="1" si="164"/>
        <v>0</v>
      </c>
      <c r="CB182" s="494">
        <f ca="1">IF(OR($Q181&lt;&gt;1,OP!$D$5+$BN182-1&lt;16,$BN182-1&lt;1),0,ROUND(ROUND(ROUND(((VLOOKUP($BN182-1,MORE_PV,5,0)/10000)*VLOOKUP($BN182,MORE_PV,$CB$5,0)),3)*VLOOKUP($BN182,more1,5,0),0)/$R181,0))</f>
        <v>0</v>
      </c>
      <c r="CC182" s="473">
        <f t="shared" ca="1" si="165"/>
        <v>0</v>
      </c>
      <c r="CD182" s="477"/>
      <c r="CE182" s="468">
        <f t="shared" si="181"/>
        <v>15</v>
      </c>
      <c r="CF182" s="468">
        <f t="shared" si="182"/>
        <v>5</v>
      </c>
      <c r="CG182" s="467">
        <f t="shared" ca="1" si="138"/>
        <v>48154</v>
      </c>
      <c r="CH182" s="475">
        <f t="shared" ca="1" si="186"/>
        <v>47</v>
      </c>
      <c r="CI182" s="513" t="str">
        <f t="shared" si="183"/>
        <v/>
      </c>
      <c r="CJ182" s="511">
        <f t="shared" si="166"/>
        <v>0</v>
      </c>
      <c r="CK182" s="512">
        <f t="shared" si="167"/>
        <v>0</v>
      </c>
      <c r="CL182" s="511">
        <f t="shared" ca="1" si="184"/>
        <v>0</v>
      </c>
      <c r="CM182" s="511">
        <f ca="1">ROUND(CS182-IF(OR($CE182&gt;=OP!$C$24,AND(CH182=15,CF182=12),CS182=0),0,(CT182-CR182)),$CM$7)</f>
        <v>0</v>
      </c>
      <c r="CN182" s="511"/>
      <c r="CO182" s="351">
        <f t="shared" ca="1" si="168"/>
        <v>98295</v>
      </c>
      <c r="CP182" s="473">
        <f t="shared" si="169"/>
        <v>0</v>
      </c>
      <c r="CQ182" s="473">
        <f t="shared" ca="1" si="139"/>
        <v>217.32620507600001</v>
      </c>
      <c r="CR182" s="476">
        <f t="shared" ca="1" si="170"/>
        <v>0</v>
      </c>
      <c r="CS182" s="494">
        <f ca="1">IF(OR($Q181&lt;&gt;1,OP!$D$5+$CE182-1&lt;16,$CE182-1&lt;1),0,ROUND(ROUND(ROUND(((VLOOKUP($CE182-1,MORE_PV,5,0)/10000)*VLOOKUP($CE182,MORE_PV,$CS$5,0)),3)*VLOOKUP($CE182,more1,5,0),0)/$R181,0))</f>
        <v>0</v>
      </c>
      <c r="CT182" s="473">
        <f>IF($AW182=1,IF(N($CR182+$CS182)&lt;N($AX182)*OP!$C$50,N($CR182+$CS182),MIN(N($CR182+$CS182),N($AX182))),0)</f>
        <v>0</v>
      </c>
      <c r="CV182" s="503">
        <f t="shared" ca="1" si="171"/>
        <v>98295.313270295999</v>
      </c>
      <c r="CW182" s="503">
        <f t="shared" ca="1" si="172"/>
        <v>0</v>
      </c>
      <c r="CX182" s="503">
        <f t="shared" ca="1" si="173"/>
        <v>98505.380459367007</v>
      </c>
    </row>
    <row r="183" spans="2:102" ht="16.5" hidden="1">
      <c r="B183" s="80"/>
      <c r="C183" s="80"/>
      <c r="D183" s="80"/>
      <c r="E183" s="80"/>
      <c r="F183" s="80"/>
      <c r="G183" s="80"/>
      <c r="H183" s="80"/>
      <c r="I183" s="80"/>
      <c r="J183" s="192">
        <f t="shared" si="140"/>
        <v>15</v>
      </c>
      <c r="K183" s="192">
        <f t="shared" si="141"/>
        <v>7</v>
      </c>
      <c r="L183" s="192" t="str">
        <f t="shared" si="134"/>
        <v/>
      </c>
      <c r="M183" s="216">
        <f t="shared" ca="1" si="142"/>
        <v>0</v>
      </c>
      <c r="N183" s="216"/>
      <c r="O183" s="216"/>
      <c r="P183" s="216"/>
      <c r="Q183" s="456" t="str">
        <f t="shared" ca="1" si="143"/>
        <v/>
      </c>
      <c r="R183" s="450">
        <f t="shared" ca="1" si="144"/>
        <v>1</v>
      </c>
      <c r="S183" s="191">
        <f t="shared" si="145"/>
        <v>15</v>
      </c>
      <c r="T183" s="191">
        <f t="shared" si="146"/>
        <v>7</v>
      </c>
      <c r="U183" s="191">
        <f ca="1">OP!$D$5+$S183-1</f>
        <v>47</v>
      </c>
      <c r="V183" s="191" t="str">
        <f t="shared" si="147"/>
        <v/>
      </c>
      <c r="W183" s="350">
        <f ca="1">IF(Q183&lt;&gt;1,0,VLOOKUP(OP!$C$55,PVFB,$S183+2,0))</f>
        <v>0</v>
      </c>
      <c r="X183" s="473">
        <f t="shared" ca="1" si="174"/>
        <v>0</v>
      </c>
      <c r="Y183" s="348">
        <f t="shared" ca="1" si="175"/>
        <v>0</v>
      </c>
      <c r="Z183" s="348">
        <f t="shared" ca="1" si="176"/>
        <v>8012</v>
      </c>
      <c r="AA183" s="348">
        <f ca="1">IF(Q183&lt;&gt;1,0,VLOOKUP(OP!$C$55,PVFB,$S183+2,0))</f>
        <v>0</v>
      </c>
      <c r="AB183" s="488" t="str">
        <f ca="1">IF(AND(S183&lt;OP!$C$24,$U183&lt;15),0,IF(AND($U183&lt;15,$T183=12),ROUND(VLOOKUP($S183,DOWN16,5,0),3),IF($T183=12,ROUND(($Z183/10000)*$AA183,3)+IF(AND($P$7="購買增額繳清保險",T183=12,U183=110),VLOOKUP(S183,$B$10:$H$121,7,0),0),"")))</f>
        <v/>
      </c>
      <c r="AC183" s="350" t="str">
        <f ca="1">IF(AND(S183&lt;OP!$C$24,$U183&lt;15),0,IF(AND($U183&lt;16,$T183=12),VLOOKUP($S183,DOWN16,4,0),IF($T183=12,ROUND(VLOOKUP(OP!$C$55,_DIE2,$S183+1,0)*(Z183/10000),0)+IF(AND($P$7="購買增額繳清保險",T183=12,U183=110),VLOOKUP(S183,$B$10:$H$121,7,0),0),"")))</f>
        <v/>
      </c>
      <c r="AD183" s="347"/>
      <c r="AE183" s="350" t="str">
        <f t="shared" ca="1" si="135"/>
        <v/>
      </c>
      <c r="AF183" s="351" t="str">
        <f t="shared" ca="1" si="136"/>
        <v/>
      </c>
      <c r="AG183" s="340"/>
      <c r="AH183" s="340"/>
      <c r="AI183" s="340"/>
      <c r="AJ183" s="340"/>
      <c r="AK183" s="340"/>
      <c r="AL183" s="340"/>
      <c r="AM183" s="340"/>
      <c r="AN183" s="191">
        <f t="shared" si="148"/>
        <v>15</v>
      </c>
      <c r="AO183" s="191">
        <f t="shared" si="149"/>
        <v>7</v>
      </c>
      <c r="AP183" s="191">
        <f ca="1">OP!$D$5+$AN183-1</f>
        <v>47</v>
      </c>
      <c r="AQ183" s="191" t="str">
        <f t="shared" si="150"/>
        <v/>
      </c>
      <c r="AR183" s="352">
        <f t="shared" ca="1" si="151"/>
        <v>0</v>
      </c>
      <c r="AS183" s="352"/>
      <c r="AT183" s="352"/>
      <c r="AU183" s="436"/>
      <c r="AV183" s="353" t="str">
        <f t="shared" ca="1" si="152"/>
        <v/>
      </c>
      <c r="AW183" s="422" t="str">
        <f t="shared" si="153"/>
        <v/>
      </c>
      <c r="AX183" s="423" t="str">
        <f ca="1">IF(AND($AW183=1,$AP183&lt;16,$AN182&lt;OP!$C$24),OP!$C$49,"")</f>
        <v/>
      </c>
      <c r="AY183" s="340"/>
      <c r="AZ183" s="465">
        <f t="shared" ca="1" si="154"/>
        <v>7.3698599999999999E-5</v>
      </c>
      <c r="BA183" s="464">
        <f t="shared" ca="1" si="155"/>
        <v>2.2109589000000002E-3</v>
      </c>
      <c r="BB183" s="465">
        <f t="shared" ca="1" si="155"/>
        <v>2.2846575E-3</v>
      </c>
      <c r="BC183" s="466">
        <f t="shared" ca="1" si="156"/>
        <v>48183</v>
      </c>
      <c r="BD183" s="467">
        <f t="shared" ca="1" si="177"/>
        <v>48184</v>
      </c>
      <c r="BE183" s="467">
        <f t="shared" ca="1" si="157"/>
        <v>48213</v>
      </c>
      <c r="BF183" s="468">
        <f ca="1">IF(計算!$BC183&lt;OP!$C$3,0,BD183-BC183)</f>
        <v>1</v>
      </c>
      <c r="BG183" s="468">
        <f ca="1">IF($BE183&gt;DATE(YEAR($BD$9)+OP!$C$57,MONTH($BD$9),DAY($BD$9)),0,$BE183-$BD183+1)</f>
        <v>30</v>
      </c>
      <c r="BH183" s="469">
        <f t="shared" ca="1" si="158"/>
        <v>31</v>
      </c>
      <c r="BI183" t="str">
        <f t="shared" si="187"/>
        <v/>
      </c>
      <c r="BJ183">
        <v>6</v>
      </c>
      <c r="BN183" s="468">
        <f t="shared" si="178"/>
        <v>15</v>
      </c>
      <c r="BO183" s="468">
        <f t="shared" si="179"/>
        <v>6</v>
      </c>
      <c r="BP183" s="467">
        <f t="shared" ca="1" si="159"/>
        <v>48184</v>
      </c>
      <c r="BQ183" s="475">
        <f t="shared" ca="1" si="185"/>
        <v>47</v>
      </c>
      <c r="BR183" s="475" t="str">
        <f t="shared" si="180"/>
        <v/>
      </c>
      <c r="BS183" s="471" t="str">
        <f t="shared" si="160"/>
        <v/>
      </c>
      <c r="BT183" s="472" t="str">
        <f t="shared" si="188"/>
        <v/>
      </c>
      <c r="BU183" s="472">
        <f t="shared" ca="1" si="161"/>
        <v>0</v>
      </c>
      <c r="BV183" s="472">
        <f t="shared" ca="1" si="161"/>
        <v>0</v>
      </c>
      <c r="BW183" s="472"/>
      <c r="BX183" s="473">
        <f t="shared" ca="1" si="162"/>
        <v>69975.551856756007</v>
      </c>
      <c r="BY183" s="473">
        <f t="shared" si="163"/>
        <v>0</v>
      </c>
      <c r="BZ183" s="473">
        <f t="shared" ca="1" si="137"/>
        <v>159.870169366</v>
      </c>
      <c r="CA183" s="476">
        <f t="shared" ca="1" si="164"/>
        <v>0</v>
      </c>
      <c r="CB183" s="494">
        <f ca="1">IF(OR($Q182&lt;&gt;1,OP!$D$5+$BN183-1&lt;16,$BN183-1&lt;1),0,ROUND(ROUND(ROUND(((VLOOKUP($BN183-1,MORE_PV,5,0)/10000)*VLOOKUP($BN183,MORE_PV,$CB$5,0)),3)*VLOOKUP($BN183,more1,5,0),0)/$R182,0))</f>
        <v>0</v>
      </c>
      <c r="CC183" s="473">
        <f t="shared" ca="1" si="165"/>
        <v>0</v>
      </c>
      <c r="CD183" s="477"/>
      <c r="CE183" s="468">
        <f t="shared" si="181"/>
        <v>15</v>
      </c>
      <c r="CF183" s="468">
        <f t="shared" si="182"/>
        <v>6</v>
      </c>
      <c r="CG183" s="467">
        <f t="shared" ca="1" si="138"/>
        <v>48184</v>
      </c>
      <c r="CH183" s="475">
        <f t="shared" ca="1" si="186"/>
        <v>47</v>
      </c>
      <c r="CI183" s="513" t="str">
        <f t="shared" si="183"/>
        <v/>
      </c>
      <c r="CJ183" s="511">
        <f t="shared" si="166"/>
        <v>0</v>
      </c>
      <c r="CK183" s="512">
        <f t="shared" si="167"/>
        <v>0</v>
      </c>
      <c r="CL183" s="511">
        <f t="shared" ca="1" si="184"/>
        <v>0</v>
      </c>
      <c r="CM183" s="511">
        <f ca="1">ROUND(CS183-IF(OR($CE183&gt;=OP!$C$24,AND(CH183=15,CF183=12),CS183=0),0,(CT183-CR183)),$CM$7)</f>
        <v>0</v>
      </c>
      <c r="CN183" s="511"/>
      <c r="CO183" s="351">
        <f t="shared" ca="1" si="168"/>
        <v>98513</v>
      </c>
      <c r="CP183" s="473">
        <f t="shared" si="169"/>
        <v>0</v>
      </c>
      <c r="CQ183" s="473">
        <f t="shared" ca="1" si="139"/>
        <v>225.06846429800001</v>
      </c>
      <c r="CR183" s="476">
        <f t="shared" ca="1" si="170"/>
        <v>0</v>
      </c>
      <c r="CS183" s="494">
        <f ca="1">IF(OR($Q182&lt;&gt;1,OP!$D$5+$CE183-1&lt;16,$CE183-1&lt;1),0,ROUND(ROUND(ROUND(((VLOOKUP($CE183-1,MORE_PV,5,0)/10000)*VLOOKUP($CE183,MORE_PV,$CS$5,0)),3)*VLOOKUP($CE183,more1,5,0),0)/$R182,0))</f>
        <v>0</v>
      </c>
      <c r="CT183" s="473">
        <f>IF($AW183=1,IF(N($CR183+$CS183)&lt;N($AX183)*OP!$C$50,N($CR183+$CS183),MIN(N($CR183+$CS183),N($AX183))),0)</f>
        <v>0</v>
      </c>
      <c r="CV183" s="503">
        <f t="shared" ca="1" si="171"/>
        <v>98512.640167998994</v>
      </c>
      <c r="CW183" s="503">
        <f t="shared" ca="1" si="172"/>
        <v>0</v>
      </c>
      <c r="CX183" s="503">
        <f t="shared" ca="1" si="173"/>
        <v>98730.431515624005</v>
      </c>
    </row>
    <row r="184" spans="2:102" ht="16.5" hidden="1">
      <c r="B184" s="80"/>
      <c r="C184" s="80"/>
      <c r="D184" s="80"/>
      <c r="E184" s="80"/>
      <c r="F184" s="80"/>
      <c r="G184" s="80"/>
      <c r="H184" s="80"/>
      <c r="I184" s="80"/>
      <c r="J184" s="192">
        <f t="shared" si="140"/>
        <v>15</v>
      </c>
      <c r="K184" s="192">
        <f t="shared" si="141"/>
        <v>8</v>
      </c>
      <c r="L184" s="192" t="str">
        <f t="shared" si="134"/>
        <v/>
      </c>
      <c r="M184" s="216">
        <f t="shared" ca="1" si="142"/>
        <v>0</v>
      </c>
      <c r="N184" s="216"/>
      <c r="O184" s="216"/>
      <c r="P184" s="216"/>
      <c r="Q184" s="456" t="str">
        <f t="shared" ca="1" si="143"/>
        <v/>
      </c>
      <c r="R184" s="450">
        <f t="shared" ca="1" si="144"/>
        <v>1</v>
      </c>
      <c r="S184" s="191">
        <f t="shared" si="145"/>
        <v>15</v>
      </c>
      <c r="T184" s="191">
        <f t="shared" si="146"/>
        <v>8</v>
      </c>
      <c r="U184" s="191">
        <f ca="1">OP!$D$5+$S184-1</f>
        <v>47</v>
      </c>
      <c r="V184" s="191" t="str">
        <f t="shared" si="147"/>
        <v/>
      </c>
      <c r="W184" s="350">
        <f ca="1">IF(Q184&lt;&gt;1,0,VLOOKUP(OP!$C$55,PVFB,$S184+2,0))</f>
        <v>0</v>
      </c>
      <c r="X184" s="473">
        <f t="shared" ca="1" si="174"/>
        <v>0</v>
      </c>
      <c r="Y184" s="348">
        <f t="shared" ca="1" si="175"/>
        <v>0</v>
      </c>
      <c r="Z184" s="348">
        <f t="shared" ca="1" si="176"/>
        <v>8012</v>
      </c>
      <c r="AA184" s="348">
        <f ca="1">IF(Q184&lt;&gt;1,0,VLOOKUP(OP!$C$55,PVFB,$S184+2,0))</f>
        <v>0</v>
      </c>
      <c r="AB184" s="488" t="str">
        <f ca="1">IF(AND(S184&lt;OP!$C$24,$U184&lt;15),0,IF(AND($U184&lt;15,$T184=12),ROUND(VLOOKUP($S184,DOWN16,5,0),3),IF($T184=12,ROUND(($Z184/10000)*$AA184,3)+IF(AND($P$7="購買增額繳清保險",T184=12,U184=110),VLOOKUP(S184,$B$10:$H$121,7,0),0),"")))</f>
        <v/>
      </c>
      <c r="AC184" s="350" t="str">
        <f ca="1">IF(AND(S184&lt;OP!$C$24,$U184&lt;15),0,IF(AND($U184&lt;16,$T184=12),VLOOKUP($S184,DOWN16,4,0),IF($T184=12,ROUND(VLOOKUP(OP!$C$55,_DIE2,$S184+1,0)*(Z184/10000),0)+IF(AND($P$7="購買增額繳清保險",T184=12,U184=110),VLOOKUP(S184,$B$10:$H$121,7,0),0),"")))</f>
        <v/>
      </c>
      <c r="AD184" s="347"/>
      <c r="AE184" s="350" t="str">
        <f t="shared" ca="1" si="135"/>
        <v/>
      </c>
      <c r="AF184" s="351" t="str">
        <f t="shared" ca="1" si="136"/>
        <v/>
      </c>
      <c r="AG184" s="340"/>
      <c r="AH184" s="340"/>
      <c r="AI184" s="340"/>
      <c r="AJ184" s="340"/>
      <c r="AK184" s="340"/>
      <c r="AL184" s="340"/>
      <c r="AM184" s="340"/>
      <c r="AN184" s="191">
        <f t="shared" si="148"/>
        <v>15</v>
      </c>
      <c r="AO184" s="191">
        <f t="shared" si="149"/>
        <v>8</v>
      </c>
      <c r="AP184" s="191">
        <f ca="1">OP!$D$5+$AN184-1</f>
        <v>47</v>
      </c>
      <c r="AQ184" s="191" t="str">
        <f t="shared" si="150"/>
        <v/>
      </c>
      <c r="AR184" s="352">
        <f t="shared" ca="1" si="151"/>
        <v>0</v>
      </c>
      <c r="AS184" s="352"/>
      <c r="AT184" s="352"/>
      <c r="AU184" s="436"/>
      <c r="AV184" s="353" t="str">
        <f t="shared" ca="1" si="152"/>
        <v/>
      </c>
      <c r="AW184" s="422" t="str">
        <f t="shared" si="153"/>
        <v/>
      </c>
      <c r="AX184" s="423" t="str">
        <f ca="1">IF(AND($AW184=1,$AP184&lt;16,$AN183&lt;OP!$C$24),OP!$C$49,"")</f>
        <v/>
      </c>
      <c r="AY184" s="340"/>
      <c r="AZ184" s="465">
        <f t="shared" ca="1" si="154"/>
        <v>7.3698599999999999E-5</v>
      </c>
      <c r="BA184" s="464">
        <f t="shared" ca="1" si="155"/>
        <v>2.2109589000000002E-3</v>
      </c>
      <c r="BB184" s="465">
        <f t="shared" ca="1" si="155"/>
        <v>2.2846575E-3</v>
      </c>
      <c r="BC184" s="466">
        <f t="shared" ca="1" si="156"/>
        <v>48214</v>
      </c>
      <c r="BD184" s="467">
        <f t="shared" ca="1" si="177"/>
        <v>48215</v>
      </c>
      <c r="BE184" s="467">
        <f t="shared" ca="1" si="157"/>
        <v>48244</v>
      </c>
      <c r="BF184" s="468">
        <f ca="1">IF(計算!$BC184&lt;OP!$C$3,0,BD184-BC184)</f>
        <v>1</v>
      </c>
      <c r="BG184" s="468">
        <f ca="1">IF($BE184&gt;DATE(YEAR($BD$9)+OP!$C$57,MONTH($BD$9),DAY($BD$9)),0,$BE184-$BD184+1)</f>
        <v>30</v>
      </c>
      <c r="BH184" s="469">
        <f t="shared" ca="1" si="158"/>
        <v>31</v>
      </c>
      <c r="BI184" t="str">
        <f t="shared" si="187"/>
        <v/>
      </c>
      <c r="BJ184">
        <v>7</v>
      </c>
      <c r="BN184" s="468">
        <f t="shared" si="178"/>
        <v>15</v>
      </c>
      <c r="BO184" s="468">
        <f t="shared" si="179"/>
        <v>7</v>
      </c>
      <c r="BP184" s="467">
        <f t="shared" ca="1" si="159"/>
        <v>48215</v>
      </c>
      <c r="BQ184" s="475">
        <f t="shared" ca="1" si="185"/>
        <v>47</v>
      </c>
      <c r="BR184" s="475" t="str">
        <f t="shared" si="180"/>
        <v/>
      </c>
      <c r="BS184" s="471" t="str">
        <f t="shared" si="160"/>
        <v/>
      </c>
      <c r="BT184" s="472" t="str">
        <f t="shared" si="188"/>
        <v/>
      </c>
      <c r="BU184" s="472">
        <f t="shared" ca="1" si="161"/>
        <v>0</v>
      </c>
      <c r="BV184" s="472">
        <f t="shared" ca="1" si="161"/>
        <v>0</v>
      </c>
      <c r="BW184" s="472"/>
      <c r="BX184" s="473">
        <f t="shared" ca="1" si="162"/>
        <v>70135.422026122003</v>
      </c>
      <c r="BY184" s="473">
        <f t="shared" si="163"/>
        <v>0</v>
      </c>
      <c r="BZ184" s="473">
        <f t="shared" ca="1" si="137"/>
        <v>160.23541794799999</v>
      </c>
      <c r="CA184" s="476">
        <f t="shared" ca="1" si="164"/>
        <v>0</v>
      </c>
      <c r="CB184" s="494">
        <f ca="1">IF(OR($Q183&lt;&gt;1,OP!$D$5+$BN184-1&lt;16,$BN184-1&lt;1),0,ROUND(ROUND(ROUND(((VLOOKUP($BN184-1,MORE_PV,5,0)/10000)*VLOOKUP($BN184,MORE_PV,$CB$5,0)),3)*VLOOKUP($BN184,more1,5,0),0)/$R183,0))</f>
        <v>0</v>
      </c>
      <c r="CC184" s="473">
        <f t="shared" ca="1" si="165"/>
        <v>0</v>
      </c>
      <c r="CD184" s="477"/>
      <c r="CE184" s="468">
        <f t="shared" si="181"/>
        <v>15</v>
      </c>
      <c r="CF184" s="468">
        <f t="shared" si="182"/>
        <v>7</v>
      </c>
      <c r="CG184" s="467">
        <f t="shared" ca="1" si="138"/>
        <v>48215</v>
      </c>
      <c r="CH184" s="475">
        <f t="shared" ca="1" si="186"/>
        <v>47</v>
      </c>
      <c r="CI184" s="513" t="str">
        <f t="shared" si="183"/>
        <v/>
      </c>
      <c r="CJ184" s="511">
        <f t="shared" si="166"/>
        <v>0</v>
      </c>
      <c r="CK184" s="512">
        <f t="shared" si="167"/>
        <v>0</v>
      </c>
      <c r="CL184" s="511">
        <f t="shared" ca="1" si="184"/>
        <v>0</v>
      </c>
      <c r="CM184" s="511">
        <f ca="1">ROUND(CS184-IF(OR($CE184&gt;=OP!$C$24,AND(CH184=15,CF184=12),CS184=0),0,(CT184-CR184)),$CM$7)</f>
        <v>0</v>
      </c>
      <c r="CN184" s="511"/>
      <c r="CO184" s="351">
        <f t="shared" ca="1" si="168"/>
        <v>98738</v>
      </c>
      <c r="CP184" s="473">
        <f t="shared" si="169"/>
        <v>0</v>
      </c>
      <c r="CQ184" s="473">
        <f t="shared" ca="1" si="139"/>
        <v>225.582512235</v>
      </c>
      <c r="CR184" s="476">
        <f t="shared" ca="1" si="170"/>
        <v>0</v>
      </c>
      <c r="CS184" s="494">
        <f ca="1">IF(OR($Q183&lt;&gt;1,OP!$D$5+$CE184-1&lt;16,$CE184-1&lt;1),0,ROUND(ROUND(ROUND(((VLOOKUP($CE184-1,MORE_PV,5,0)/10000)*VLOOKUP($CE184,MORE_PV,$CS$5,0)),3)*VLOOKUP($CE184,more1,5,0),0)/$R183,0))</f>
        <v>0</v>
      </c>
      <c r="CT184" s="473">
        <f>IF($AW184=1,IF(N($CR184+$CS184)&lt;N($AX184)*OP!$C$50,N($CR184+$CS184),MIN(N($CR184+$CS184),N($AX184))),0)</f>
        <v>0</v>
      </c>
      <c r="CV184" s="503">
        <f t="shared" ca="1" si="171"/>
        <v>98737.707810203996</v>
      </c>
      <c r="CW184" s="503">
        <f t="shared" ca="1" si="172"/>
        <v>0</v>
      </c>
      <c r="CX184" s="503">
        <f t="shared" ca="1" si="173"/>
        <v>98955.996736464003</v>
      </c>
    </row>
    <row r="185" spans="2:102" ht="16.5" hidden="1">
      <c r="B185" s="80"/>
      <c r="C185" s="80"/>
      <c r="D185" s="80"/>
      <c r="E185" s="80"/>
      <c r="F185" s="80"/>
      <c r="G185" s="80"/>
      <c r="H185" s="80"/>
      <c r="I185" s="80"/>
      <c r="J185" s="192">
        <f t="shared" si="140"/>
        <v>15</v>
      </c>
      <c r="K185" s="192">
        <f t="shared" si="141"/>
        <v>9</v>
      </c>
      <c r="L185" s="192" t="str">
        <f t="shared" si="134"/>
        <v/>
      </c>
      <c r="M185" s="216">
        <f t="shared" ca="1" si="142"/>
        <v>0</v>
      </c>
      <c r="N185" s="216"/>
      <c r="O185" s="216"/>
      <c r="P185" s="216"/>
      <c r="Q185" s="456" t="str">
        <f t="shared" ca="1" si="143"/>
        <v/>
      </c>
      <c r="R185" s="450">
        <f t="shared" ca="1" si="144"/>
        <v>1</v>
      </c>
      <c r="S185" s="191">
        <f t="shared" si="145"/>
        <v>15</v>
      </c>
      <c r="T185" s="191">
        <f t="shared" si="146"/>
        <v>9</v>
      </c>
      <c r="U185" s="191">
        <f ca="1">OP!$D$5+$S185-1</f>
        <v>47</v>
      </c>
      <c r="V185" s="191" t="str">
        <f t="shared" si="147"/>
        <v/>
      </c>
      <c r="W185" s="350">
        <f ca="1">IF(Q185&lt;&gt;1,0,VLOOKUP(OP!$C$55,PVFB,$S185+2,0))</f>
        <v>0</v>
      </c>
      <c r="X185" s="473">
        <f t="shared" ca="1" si="174"/>
        <v>0</v>
      </c>
      <c r="Y185" s="348">
        <f t="shared" ca="1" si="175"/>
        <v>0</v>
      </c>
      <c r="Z185" s="348">
        <f t="shared" ca="1" si="176"/>
        <v>8012</v>
      </c>
      <c r="AA185" s="348">
        <f ca="1">IF(Q185&lt;&gt;1,0,VLOOKUP(OP!$C$55,PVFB,$S185+2,0))</f>
        <v>0</v>
      </c>
      <c r="AB185" s="488" t="str">
        <f ca="1">IF(AND(S185&lt;OP!$C$24,$U185&lt;15),0,IF(AND($U185&lt;15,$T185=12),ROUND(VLOOKUP($S185,DOWN16,5,0),3),IF($T185=12,ROUND(($Z185/10000)*$AA185,3)+IF(AND($P$7="購買增額繳清保險",T185=12,U185=110),VLOOKUP(S185,$B$10:$H$121,7,0),0),"")))</f>
        <v/>
      </c>
      <c r="AC185" s="350" t="str">
        <f ca="1">IF(AND(S185&lt;OP!$C$24,$U185&lt;15),0,IF(AND($U185&lt;16,$T185=12),VLOOKUP($S185,DOWN16,4,0),IF($T185=12,ROUND(VLOOKUP(OP!$C$55,_DIE2,$S185+1,0)*(Z185/10000),0)+IF(AND($P$7="購買增額繳清保險",T185=12,U185=110),VLOOKUP(S185,$B$10:$H$121,7,0),0),"")))</f>
        <v/>
      </c>
      <c r="AD185" s="347"/>
      <c r="AE185" s="350" t="str">
        <f t="shared" ca="1" si="135"/>
        <v/>
      </c>
      <c r="AF185" s="351" t="str">
        <f t="shared" ca="1" si="136"/>
        <v/>
      </c>
      <c r="AG185" s="340"/>
      <c r="AH185" s="340"/>
      <c r="AI185" s="340"/>
      <c r="AJ185" s="340"/>
      <c r="AK185" s="340"/>
      <c r="AL185" s="340"/>
      <c r="AM185" s="340"/>
      <c r="AN185" s="191">
        <f t="shared" si="148"/>
        <v>15</v>
      </c>
      <c r="AO185" s="191">
        <f t="shared" si="149"/>
        <v>9</v>
      </c>
      <c r="AP185" s="191">
        <f ca="1">OP!$D$5+$AN185-1</f>
        <v>47</v>
      </c>
      <c r="AQ185" s="191" t="str">
        <f t="shared" si="150"/>
        <v/>
      </c>
      <c r="AR185" s="352">
        <f t="shared" ca="1" si="151"/>
        <v>0</v>
      </c>
      <c r="AS185" s="352"/>
      <c r="AT185" s="352"/>
      <c r="AU185" s="436"/>
      <c r="AV185" s="353" t="str">
        <f t="shared" ca="1" si="152"/>
        <v/>
      </c>
      <c r="AW185" s="422" t="str">
        <f t="shared" si="153"/>
        <v/>
      </c>
      <c r="AX185" s="423" t="str">
        <f ca="1">IF(AND($AW185=1,$AP185&lt;16,$AN184&lt;OP!$C$24),OP!$C$49,"")</f>
        <v/>
      </c>
      <c r="AY185" s="340"/>
      <c r="AZ185" s="465">
        <f t="shared" ca="1" si="154"/>
        <v>7.3698599999999999E-5</v>
      </c>
      <c r="BA185" s="464">
        <f t="shared" ca="1" si="155"/>
        <v>2.0635616E-3</v>
      </c>
      <c r="BB185" s="465">
        <f t="shared" ca="1" si="155"/>
        <v>2.1372602999999999E-3</v>
      </c>
      <c r="BC185" s="466">
        <f t="shared" ca="1" si="156"/>
        <v>48245</v>
      </c>
      <c r="BD185" s="467">
        <f t="shared" ca="1" si="177"/>
        <v>48246</v>
      </c>
      <c r="BE185" s="467">
        <f t="shared" ca="1" si="157"/>
        <v>48273</v>
      </c>
      <c r="BF185" s="468">
        <f ca="1">IF(計算!$BC185&lt;OP!$C$3,0,BD185-BC185)</f>
        <v>1</v>
      </c>
      <c r="BG185" s="468">
        <f ca="1">IF($BE185&gt;DATE(YEAR($BD$9)+OP!$C$57,MONTH($BD$9),DAY($BD$9)),0,$BE185-$BD185+1)</f>
        <v>28</v>
      </c>
      <c r="BH185" s="469">
        <f t="shared" ca="1" si="158"/>
        <v>29</v>
      </c>
      <c r="BI185" t="str">
        <f t="shared" si="187"/>
        <v/>
      </c>
      <c r="BJ185">
        <v>8</v>
      </c>
      <c r="BN185" s="468">
        <f t="shared" si="178"/>
        <v>15</v>
      </c>
      <c r="BO185" s="468">
        <f t="shared" si="179"/>
        <v>8</v>
      </c>
      <c r="BP185" s="467">
        <f t="shared" ca="1" si="159"/>
        <v>48246</v>
      </c>
      <c r="BQ185" s="475">
        <f t="shared" ca="1" si="185"/>
        <v>47</v>
      </c>
      <c r="BR185" s="475" t="str">
        <f t="shared" si="180"/>
        <v/>
      </c>
      <c r="BS185" s="471" t="str">
        <f t="shared" si="160"/>
        <v/>
      </c>
      <c r="BT185" s="472" t="str">
        <f t="shared" si="188"/>
        <v/>
      </c>
      <c r="BU185" s="472">
        <f t="shared" ca="1" si="161"/>
        <v>0</v>
      </c>
      <c r="BV185" s="472">
        <f t="shared" ca="1" si="161"/>
        <v>0</v>
      </c>
      <c r="BW185" s="472"/>
      <c r="BX185" s="473">
        <f t="shared" ca="1" si="162"/>
        <v>70295.657444070006</v>
      </c>
      <c r="BY185" s="473">
        <f t="shared" si="163"/>
        <v>0</v>
      </c>
      <c r="BZ185" s="473">
        <f t="shared" ca="1" si="137"/>
        <v>150.24011791800001</v>
      </c>
      <c r="CA185" s="476">
        <f t="shared" ca="1" si="164"/>
        <v>0</v>
      </c>
      <c r="CB185" s="494">
        <f ca="1">IF(OR($Q184&lt;&gt;1,OP!$D$5+$BN185-1&lt;16,$BN185-1&lt;1),0,ROUND(ROUND(ROUND(((VLOOKUP($BN185-1,MORE_PV,5,0)/10000)*VLOOKUP($BN185,MORE_PV,$CB$5,0)),3)*VLOOKUP($BN185,more1,5,0),0)/$R184,0))</f>
        <v>0</v>
      </c>
      <c r="CC185" s="473">
        <f t="shared" ca="1" si="165"/>
        <v>0</v>
      </c>
      <c r="CD185" s="477"/>
      <c r="CE185" s="468">
        <f t="shared" si="181"/>
        <v>15</v>
      </c>
      <c r="CF185" s="468">
        <f t="shared" si="182"/>
        <v>8</v>
      </c>
      <c r="CG185" s="467">
        <f t="shared" ca="1" si="138"/>
        <v>48246</v>
      </c>
      <c r="CH185" s="475">
        <f t="shared" ca="1" si="186"/>
        <v>47</v>
      </c>
      <c r="CI185" s="513" t="str">
        <f t="shared" si="183"/>
        <v/>
      </c>
      <c r="CJ185" s="511">
        <f t="shared" si="166"/>
        <v>0</v>
      </c>
      <c r="CK185" s="512">
        <f t="shared" si="167"/>
        <v>0</v>
      </c>
      <c r="CL185" s="511">
        <f t="shared" ca="1" si="184"/>
        <v>0</v>
      </c>
      <c r="CM185" s="511">
        <f ca="1">ROUND(CS185-IF(OR($CE185&gt;=OP!$C$24,AND(CH185=15,CF185=12),CS185=0),0,(CT185-CR185)),$CM$7)</f>
        <v>0</v>
      </c>
      <c r="CN185" s="511"/>
      <c r="CO185" s="351">
        <f t="shared" ca="1" si="168"/>
        <v>98963</v>
      </c>
      <c r="CP185" s="473">
        <f t="shared" si="169"/>
        <v>0</v>
      </c>
      <c r="CQ185" s="473">
        <f t="shared" ca="1" si="139"/>
        <v>211.50969106900001</v>
      </c>
      <c r="CR185" s="476">
        <f t="shared" ca="1" si="170"/>
        <v>0</v>
      </c>
      <c r="CS185" s="494">
        <f ca="1">IF(OR($Q184&lt;&gt;1,OP!$D$5+$CE185-1&lt;16,$CE185-1&lt;1),0,ROUND(ROUND(ROUND(((VLOOKUP($CE185-1,MORE_PV,5,0)/10000)*VLOOKUP($CE185,MORE_PV,$CS$5,0)),3)*VLOOKUP($CE185,more1,5,0),0)/$R184,0))</f>
        <v>0</v>
      </c>
      <c r="CT185" s="473">
        <f>IF($AW185=1,IF(N($CR185+$CS185)&lt;N($AX185)*OP!$C$50,N($CR185+$CS185),MIN(N($CR185+$CS185),N($AX185))),0)</f>
        <v>0</v>
      </c>
      <c r="CV185" s="503">
        <f t="shared" ca="1" si="171"/>
        <v>98963.289654884997</v>
      </c>
      <c r="CW185" s="503">
        <f t="shared" ca="1" si="172"/>
        <v>0</v>
      </c>
      <c r="CX185" s="503">
        <f t="shared" ca="1" si="173"/>
        <v>99167.491459736004</v>
      </c>
    </row>
    <row r="186" spans="2:102" ht="16.5" hidden="1">
      <c r="B186" s="80"/>
      <c r="C186" s="80"/>
      <c r="D186" s="80"/>
      <c r="E186" s="80"/>
      <c r="F186" s="80"/>
      <c r="G186" s="80"/>
      <c r="H186" s="80"/>
      <c r="I186" s="80"/>
      <c r="J186" s="192">
        <f t="shared" si="140"/>
        <v>15</v>
      </c>
      <c r="K186" s="192">
        <f t="shared" si="141"/>
        <v>10</v>
      </c>
      <c r="L186" s="192" t="str">
        <f t="shared" si="134"/>
        <v/>
      </c>
      <c r="M186" s="216">
        <f t="shared" ca="1" si="142"/>
        <v>0</v>
      </c>
      <c r="N186" s="216"/>
      <c r="O186" s="216"/>
      <c r="P186" s="216"/>
      <c r="Q186" s="456" t="str">
        <f t="shared" ca="1" si="143"/>
        <v/>
      </c>
      <c r="R186" s="450">
        <f t="shared" ca="1" si="144"/>
        <v>1</v>
      </c>
      <c r="S186" s="191">
        <f t="shared" si="145"/>
        <v>15</v>
      </c>
      <c r="T186" s="191">
        <f t="shared" si="146"/>
        <v>10</v>
      </c>
      <c r="U186" s="191">
        <f ca="1">OP!$D$5+$S186-1</f>
        <v>47</v>
      </c>
      <c r="V186" s="191" t="str">
        <f t="shared" si="147"/>
        <v/>
      </c>
      <c r="W186" s="350">
        <f ca="1">IF(Q186&lt;&gt;1,0,VLOOKUP(OP!$C$55,PVFB,$S186+2,0))</f>
        <v>0</v>
      </c>
      <c r="X186" s="473">
        <f t="shared" ca="1" si="174"/>
        <v>0</v>
      </c>
      <c r="Y186" s="348">
        <f t="shared" ca="1" si="175"/>
        <v>0</v>
      </c>
      <c r="Z186" s="348">
        <f t="shared" ca="1" si="176"/>
        <v>8012</v>
      </c>
      <c r="AA186" s="348">
        <f ca="1">IF(Q186&lt;&gt;1,0,VLOOKUP(OP!$C$55,PVFB,$S186+2,0))</f>
        <v>0</v>
      </c>
      <c r="AB186" s="488" t="str">
        <f ca="1">IF(AND(S186&lt;OP!$C$24,$U186&lt;15),0,IF(AND($U186&lt;15,$T186=12),ROUND(VLOOKUP($S186,DOWN16,5,0),3),IF($T186=12,ROUND(($Z186/10000)*$AA186,3)+IF(AND($P$7="購買增額繳清保險",T186=12,U186=110),VLOOKUP(S186,$B$10:$H$121,7,0),0),"")))</f>
        <v/>
      </c>
      <c r="AC186" s="350" t="str">
        <f ca="1">IF(AND(S186&lt;OP!$C$24,$U186&lt;15),0,IF(AND($U186&lt;16,$T186=12),VLOOKUP($S186,DOWN16,4,0),IF($T186=12,ROUND(VLOOKUP(OP!$C$55,_DIE2,$S186+1,0)*(Z186/10000),0)+IF(AND($P$7="購買增額繳清保險",T186=12,U186=110),VLOOKUP(S186,$B$10:$H$121,7,0),0),"")))</f>
        <v/>
      </c>
      <c r="AD186" s="347"/>
      <c r="AE186" s="350" t="str">
        <f t="shared" ca="1" si="135"/>
        <v/>
      </c>
      <c r="AF186" s="351" t="str">
        <f t="shared" ca="1" si="136"/>
        <v/>
      </c>
      <c r="AG186" s="340"/>
      <c r="AH186" s="340"/>
      <c r="AI186" s="340"/>
      <c r="AJ186" s="340"/>
      <c r="AK186" s="340"/>
      <c r="AL186" s="340"/>
      <c r="AM186" s="340"/>
      <c r="AN186" s="191">
        <f t="shared" si="148"/>
        <v>15</v>
      </c>
      <c r="AO186" s="191">
        <f t="shared" si="149"/>
        <v>10</v>
      </c>
      <c r="AP186" s="191">
        <f ca="1">OP!$D$5+$AN186-1</f>
        <v>47</v>
      </c>
      <c r="AQ186" s="191" t="str">
        <f t="shared" si="150"/>
        <v/>
      </c>
      <c r="AR186" s="352">
        <f t="shared" ca="1" si="151"/>
        <v>0</v>
      </c>
      <c r="AS186" s="352"/>
      <c r="AT186" s="352"/>
      <c r="AU186" s="436"/>
      <c r="AV186" s="353" t="str">
        <f t="shared" ca="1" si="152"/>
        <v/>
      </c>
      <c r="AW186" s="422" t="str">
        <f t="shared" si="153"/>
        <v/>
      </c>
      <c r="AX186" s="423" t="str">
        <f ca="1">IF(AND($AW186=1,$AP186&lt;16,$AN185&lt;OP!$C$24),OP!$C$49,"")</f>
        <v/>
      </c>
      <c r="AY186" s="340"/>
      <c r="AZ186" s="465">
        <f t="shared" ca="1" si="154"/>
        <v>7.3698599999999999E-5</v>
      </c>
      <c r="BA186" s="464">
        <f t="shared" ca="1" si="155"/>
        <v>2.2109589000000002E-3</v>
      </c>
      <c r="BB186" s="465">
        <f t="shared" ca="1" si="155"/>
        <v>2.2846575E-3</v>
      </c>
      <c r="BC186" s="466">
        <f t="shared" ca="1" si="156"/>
        <v>48274</v>
      </c>
      <c r="BD186" s="467">
        <f t="shared" ca="1" si="177"/>
        <v>48275</v>
      </c>
      <c r="BE186" s="467">
        <f t="shared" ca="1" si="157"/>
        <v>48304</v>
      </c>
      <c r="BF186" s="468">
        <f ca="1">IF(計算!$BC186&lt;OP!$C$3,0,BD186-BC186)</f>
        <v>1</v>
      </c>
      <c r="BG186" s="468">
        <f ca="1">IF($BE186&gt;DATE(YEAR($BD$9)+OP!$C$57,MONTH($BD$9),DAY($BD$9)),0,$BE186-$BD186+1)</f>
        <v>30</v>
      </c>
      <c r="BH186" s="469">
        <f t="shared" ca="1" si="158"/>
        <v>31</v>
      </c>
      <c r="BI186" t="str">
        <f t="shared" si="187"/>
        <v/>
      </c>
      <c r="BJ186">
        <v>9</v>
      </c>
      <c r="BN186" s="468">
        <f t="shared" si="178"/>
        <v>15</v>
      </c>
      <c r="BO186" s="468">
        <f t="shared" si="179"/>
        <v>9</v>
      </c>
      <c r="BP186" s="467">
        <f t="shared" ca="1" si="159"/>
        <v>48275</v>
      </c>
      <c r="BQ186" s="475">
        <f t="shared" ca="1" si="185"/>
        <v>47</v>
      </c>
      <c r="BR186" s="475" t="str">
        <f t="shared" si="180"/>
        <v/>
      </c>
      <c r="BS186" s="471" t="str">
        <f t="shared" si="160"/>
        <v/>
      </c>
      <c r="BT186" s="472" t="str">
        <f t="shared" si="188"/>
        <v/>
      </c>
      <c r="BU186" s="472">
        <f t="shared" ca="1" si="161"/>
        <v>0</v>
      </c>
      <c r="BV186" s="472">
        <f t="shared" ca="1" si="161"/>
        <v>0</v>
      </c>
      <c r="BW186" s="472"/>
      <c r="BX186" s="473">
        <f t="shared" ca="1" si="162"/>
        <v>70445.897561987993</v>
      </c>
      <c r="BY186" s="473">
        <f t="shared" si="163"/>
        <v>0</v>
      </c>
      <c r="BZ186" s="473">
        <f t="shared" ca="1" si="137"/>
        <v>160.94474820900001</v>
      </c>
      <c r="CA186" s="476">
        <f t="shared" ca="1" si="164"/>
        <v>0</v>
      </c>
      <c r="CB186" s="494">
        <f ca="1">IF(OR($Q185&lt;&gt;1,OP!$D$5+$BN186-1&lt;16,$BN186-1&lt;1),0,ROUND(ROUND(ROUND(((VLOOKUP($BN186-1,MORE_PV,5,0)/10000)*VLOOKUP($BN186,MORE_PV,$CB$5,0)),3)*VLOOKUP($BN186,more1,5,0),0)/$R185,0))</f>
        <v>0</v>
      </c>
      <c r="CC186" s="473">
        <f t="shared" ca="1" si="165"/>
        <v>0</v>
      </c>
      <c r="CD186" s="477"/>
      <c r="CE186" s="468">
        <f t="shared" si="181"/>
        <v>15</v>
      </c>
      <c r="CF186" s="468">
        <f t="shared" si="182"/>
        <v>9</v>
      </c>
      <c r="CG186" s="467">
        <f t="shared" ca="1" si="138"/>
        <v>48275</v>
      </c>
      <c r="CH186" s="475">
        <f t="shared" ca="1" si="186"/>
        <v>47</v>
      </c>
      <c r="CI186" s="513" t="str">
        <f t="shared" si="183"/>
        <v/>
      </c>
      <c r="CJ186" s="511">
        <f t="shared" si="166"/>
        <v>0</v>
      </c>
      <c r="CK186" s="512">
        <f t="shared" si="167"/>
        <v>0</v>
      </c>
      <c r="CL186" s="511">
        <f t="shared" ca="1" si="184"/>
        <v>0</v>
      </c>
      <c r="CM186" s="511">
        <f ca="1">ROUND(CS186-IF(OR($CE186&gt;=OP!$C$24,AND(CH186=15,CF186=12),CS186=0),0,(CT186-CR186)),$CM$7)</f>
        <v>0</v>
      </c>
      <c r="CN186" s="511"/>
      <c r="CO186" s="351">
        <f t="shared" ca="1" si="168"/>
        <v>99175</v>
      </c>
      <c r="CP186" s="473">
        <f t="shared" si="169"/>
        <v>0</v>
      </c>
      <c r="CQ186" s="473">
        <f t="shared" ca="1" si="139"/>
        <v>226.58090756300001</v>
      </c>
      <c r="CR186" s="476">
        <f t="shared" ca="1" si="170"/>
        <v>0</v>
      </c>
      <c r="CS186" s="494">
        <f ca="1">IF(OR($Q185&lt;&gt;1,OP!$D$5+$CE186-1&lt;16,$CE186-1&lt;1),0,ROUND(ROUND(ROUND(((VLOOKUP($CE186-1,MORE_PV,5,0)/10000)*VLOOKUP($CE186,MORE_PV,$CS$5,0)),3)*VLOOKUP($CE186,more1,5,0),0)/$R185,0))</f>
        <v>0</v>
      </c>
      <c r="CT186" s="473">
        <f>IF($AW186=1,IF(N($CR186+$CS186)&lt;N($AX186)*OP!$C$50,N($CR186+$CS186),MIN(N($CR186+$CS186),N($AX186))),0)</f>
        <v>0</v>
      </c>
      <c r="CV186" s="503">
        <f t="shared" ca="1" si="171"/>
        <v>99174.799965022001</v>
      </c>
      <c r="CW186" s="503">
        <f t="shared" ca="1" si="172"/>
        <v>0</v>
      </c>
      <c r="CX186" s="503">
        <f t="shared" ca="1" si="173"/>
        <v>99394.055212855994</v>
      </c>
    </row>
    <row r="187" spans="2:102" ht="16.5" hidden="1">
      <c r="B187" s="80"/>
      <c r="C187" s="80"/>
      <c r="D187" s="80"/>
      <c r="E187" s="80"/>
      <c r="F187" s="80"/>
      <c r="G187" s="80"/>
      <c r="H187" s="80"/>
      <c r="I187" s="80"/>
      <c r="J187" s="192">
        <f t="shared" si="140"/>
        <v>15</v>
      </c>
      <c r="K187" s="192">
        <f t="shared" si="141"/>
        <v>11</v>
      </c>
      <c r="L187" s="192" t="str">
        <f t="shared" si="134"/>
        <v/>
      </c>
      <c r="M187" s="216">
        <f t="shared" ca="1" si="142"/>
        <v>0</v>
      </c>
      <c r="N187" s="216"/>
      <c r="O187" s="216"/>
      <c r="P187" s="216"/>
      <c r="Q187" s="456" t="str">
        <f t="shared" ca="1" si="143"/>
        <v/>
      </c>
      <c r="R187" s="450">
        <f t="shared" ca="1" si="144"/>
        <v>1</v>
      </c>
      <c r="S187" s="191">
        <f t="shared" si="145"/>
        <v>15</v>
      </c>
      <c r="T187" s="191">
        <f t="shared" si="146"/>
        <v>11</v>
      </c>
      <c r="U187" s="191">
        <f ca="1">OP!$D$5+$S187-1</f>
        <v>47</v>
      </c>
      <c r="V187" s="191" t="str">
        <f t="shared" si="147"/>
        <v/>
      </c>
      <c r="W187" s="350">
        <f ca="1">IF(Q187&lt;&gt;1,0,VLOOKUP(OP!$C$55,PVFB,$S187+2,0))</f>
        <v>0</v>
      </c>
      <c r="X187" s="473">
        <f t="shared" ca="1" si="174"/>
        <v>0</v>
      </c>
      <c r="Y187" s="348">
        <f t="shared" ca="1" si="175"/>
        <v>0</v>
      </c>
      <c r="Z187" s="348">
        <f t="shared" ca="1" si="176"/>
        <v>8012</v>
      </c>
      <c r="AA187" s="348">
        <f ca="1">IF(Q187&lt;&gt;1,0,VLOOKUP(OP!$C$55,PVFB,$S187+2,0))</f>
        <v>0</v>
      </c>
      <c r="AB187" s="488" t="str">
        <f ca="1">IF(AND(S187&lt;OP!$C$24,$U187&lt;15),0,IF(AND($U187&lt;15,$T187=12),ROUND(VLOOKUP($S187,DOWN16,5,0),3),IF($T187=12,ROUND(($Z187/10000)*$AA187,3)+IF(AND($P$7="購買增額繳清保險",T187=12,U187=110),VLOOKUP(S187,$B$10:$H$121,7,0),0),"")))</f>
        <v/>
      </c>
      <c r="AC187" s="350" t="str">
        <f ca="1">IF(AND(S187&lt;OP!$C$24,$U187&lt;15),0,IF(AND($U187&lt;16,$T187=12),VLOOKUP($S187,DOWN16,4,0),IF($T187=12,ROUND(VLOOKUP(OP!$C$55,_DIE2,$S187+1,0)*(Z187/10000),0)+IF(AND($P$7="購買增額繳清保險",T187=12,U187=110),VLOOKUP(S187,$B$10:$H$121,7,0),0),"")))</f>
        <v/>
      </c>
      <c r="AD187" s="347"/>
      <c r="AE187" s="350" t="str">
        <f t="shared" ca="1" si="135"/>
        <v/>
      </c>
      <c r="AF187" s="351" t="str">
        <f t="shared" ca="1" si="136"/>
        <v/>
      </c>
      <c r="AG187" s="340"/>
      <c r="AH187" s="340"/>
      <c r="AI187" s="340"/>
      <c r="AJ187" s="340"/>
      <c r="AK187" s="340"/>
      <c r="AL187" s="340"/>
      <c r="AM187" s="340"/>
      <c r="AN187" s="191">
        <f t="shared" si="148"/>
        <v>15</v>
      </c>
      <c r="AO187" s="191">
        <f t="shared" si="149"/>
        <v>11</v>
      </c>
      <c r="AP187" s="191">
        <f ca="1">OP!$D$5+$AN187-1</f>
        <v>47</v>
      </c>
      <c r="AQ187" s="191" t="str">
        <f t="shared" si="150"/>
        <v/>
      </c>
      <c r="AR187" s="352">
        <f t="shared" ca="1" si="151"/>
        <v>0</v>
      </c>
      <c r="AS187" s="352"/>
      <c r="AT187" s="352"/>
      <c r="AU187" s="436"/>
      <c r="AV187" s="353" t="str">
        <f t="shared" ca="1" si="152"/>
        <v/>
      </c>
      <c r="AW187" s="422" t="str">
        <f t="shared" si="153"/>
        <v/>
      </c>
      <c r="AX187" s="423" t="str">
        <f ca="1">IF(AND($AW187=1,$AP187&lt;16,$AN186&lt;OP!$C$24),OP!$C$49,"")</f>
        <v/>
      </c>
      <c r="AY187" s="340"/>
      <c r="AZ187" s="465">
        <f t="shared" ca="1" si="154"/>
        <v>7.3698599999999999E-5</v>
      </c>
      <c r="BA187" s="464">
        <f t="shared" ca="1" si="155"/>
        <v>2.1372602999999999E-3</v>
      </c>
      <c r="BB187" s="465">
        <f t="shared" ca="1" si="155"/>
        <v>2.2109589000000002E-3</v>
      </c>
      <c r="BC187" s="466">
        <f t="shared" ca="1" si="156"/>
        <v>48305</v>
      </c>
      <c r="BD187" s="467">
        <f t="shared" ca="1" si="177"/>
        <v>48306</v>
      </c>
      <c r="BE187" s="467">
        <f t="shared" ca="1" si="157"/>
        <v>48334</v>
      </c>
      <c r="BF187" s="468">
        <f ca="1">IF(計算!$BC187&lt;OP!$C$3,0,BD187-BC187)</f>
        <v>1</v>
      </c>
      <c r="BG187" s="468">
        <f ca="1">IF($BE187&gt;DATE(YEAR($BD$9)+OP!$C$57,MONTH($BD$9),DAY($BD$9)),0,$BE187-$BD187+1)</f>
        <v>29</v>
      </c>
      <c r="BH187" s="469">
        <f t="shared" ca="1" si="158"/>
        <v>30</v>
      </c>
      <c r="BI187" t="str">
        <f t="shared" si="187"/>
        <v/>
      </c>
      <c r="BJ187">
        <v>10</v>
      </c>
      <c r="BN187" s="468">
        <f t="shared" si="178"/>
        <v>15</v>
      </c>
      <c r="BO187" s="468">
        <f t="shared" si="179"/>
        <v>10</v>
      </c>
      <c r="BP187" s="467">
        <f t="shared" ca="1" si="159"/>
        <v>48306</v>
      </c>
      <c r="BQ187" s="475">
        <f t="shared" ca="1" si="185"/>
        <v>47</v>
      </c>
      <c r="BR187" s="475" t="str">
        <f t="shared" si="180"/>
        <v/>
      </c>
      <c r="BS187" s="471" t="str">
        <f t="shared" si="160"/>
        <v/>
      </c>
      <c r="BT187" s="472" t="str">
        <f t="shared" si="188"/>
        <v/>
      </c>
      <c r="BU187" s="472">
        <f t="shared" ca="1" si="161"/>
        <v>0</v>
      </c>
      <c r="BV187" s="472">
        <f t="shared" ca="1" si="161"/>
        <v>0</v>
      </c>
      <c r="BW187" s="472"/>
      <c r="BX187" s="473">
        <f t="shared" ca="1" si="162"/>
        <v>70606.842310196997</v>
      </c>
      <c r="BY187" s="473">
        <f t="shared" si="163"/>
        <v>0</v>
      </c>
      <c r="BZ187" s="473">
        <f t="shared" ca="1" si="137"/>
        <v>156.10882640700001</v>
      </c>
      <c r="CA187" s="476">
        <f t="shared" ca="1" si="164"/>
        <v>0</v>
      </c>
      <c r="CB187" s="494">
        <f ca="1">IF(OR($Q186&lt;&gt;1,OP!$D$5+$BN187-1&lt;16,$BN187-1&lt;1),0,ROUND(ROUND(ROUND(((VLOOKUP($BN187-1,MORE_PV,5,0)/10000)*VLOOKUP($BN187,MORE_PV,$CB$5,0)),3)*VLOOKUP($BN187,more1,5,0),0)/$R186,0))</f>
        <v>0</v>
      </c>
      <c r="CC187" s="473">
        <f t="shared" ca="1" si="165"/>
        <v>0</v>
      </c>
      <c r="CD187" s="477"/>
      <c r="CE187" s="468">
        <f t="shared" si="181"/>
        <v>15</v>
      </c>
      <c r="CF187" s="468">
        <f t="shared" si="182"/>
        <v>10</v>
      </c>
      <c r="CG187" s="467">
        <f t="shared" ca="1" si="138"/>
        <v>48306</v>
      </c>
      <c r="CH187" s="475">
        <f t="shared" ca="1" si="186"/>
        <v>47</v>
      </c>
      <c r="CI187" s="513" t="str">
        <f t="shared" si="183"/>
        <v/>
      </c>
      <c r="CJ187" s="511">
        <f t="shared" si="166"/>
        <v>0</v>
      </c>
      <c r="CK187" s="512">
        <f t="shared" si="167"/>
        <v>0</v>
      </c>
      <c r="CL187" s="511">
        <f t="shared" ca="1" si="184"/>
        <v>0</v>
      </c>
      <c r="CM187" s="511">
        <f ca="1">ROUND(CS187-IF(OR($CE187&gt;=OP!$C$24,AND(CH187=15,CF187=12),CS187=0),0,(CT187-CR187)),$CM$7)</f>
        <v>0</v>
      </c>
      <c r="CN187" s="511"/>
      <c r="CO187" s="351">
        <f t="shared" ca="1" si="168"/>
        <v>99401</v>
      </c>
      <c r="CP187" s="473">
        <f t="shared" si="169"/>
        <v>0</v>
      </c>
      <c r="CQ187" s="473">
        <f t="shared" ca="1" si="139"/>
        <v>219.77152561899999</v>
      </c>
      <c r="CR187" s="476">
        <f t="shared" ca="1" si="170"/>
        <v>0</v>
      </c>
      <c r="CS187" s="494">
        <f ca="1">IF(OR($Q186&lt;&gt;1,OP!$D$5+$CE187-1&lt;16,$CE187-1&lt;1),0,ROUND(ROUND(ROUND(((VLOOKUP($CE187-1,MORE_PV,5,0)/10000)*VLOOKUP($CE187,MORE_PV,$CS$5,0)),3)*VLOOKUP($CE187,more1,5,0),0)/$R186,0))</f>
        <v>0</v>
      </c>
      <c r="CT187" s="473">
        <f>IF($AW187=1,IF(N($CR187+$CS187)&lt;N($AX187)*OP!$C$50,N($CR187+$CS187),MIN(N($CR187+$CS187),N($AX187))),0)</f>
        <v>0</v>
      </c>
      <c r="CV187" s="503">
        <f t="shared" ca="1" si="171"/>
        <v>99401.380415574007</v>
      </c>
      <c r="CW187" s="503">
        <f t="shared" ca="1" si="172"/>
        <v>0</v>
      </c>
      <c r="CX187" s="503">
        <f t="shared" ca="1" si="173"/>
        <v>99613.811383836</v>
      </c>
    </row>
    <row r="188" spans="2:102" ht="16.5" hidden="1">
      <c r="B188" s="80"/>
      <c r="C188" s="80"/>
      <c r="D188" s="80"/>
      <c r="E188" s="80"/>
      <c r="F188" s="80"/>
      <c r="G188" s="80"/>
      <c r="H188" s="80"/>
      <c r="I188" s="80"/>
      <c r="J188" s="192">
        <f t="shared" si="140"/>
        <v>15</v>
      </c>
      <c r="K188" s="192">
        <f t="shared" si="141"/>
        <v>12</v>
      </c>
      <c r="L188" s="192">
        <f t="shared" si="134"/>
        <v>15</v>
      </c>
      <c r="M188" s="216">
        <f t="shared" ca="1" si="142"/>
        <v>79518</v>
      </c>
      <c r="N188" s="216"/>
      <c r="O188" s="216"/>
      <c r="P188" s="216"/>
      <c r="Q188" s="456">
        <f t="shared" ca="1" si="143"/>
        <v>1</v>
      </c>
      <c r="R188" s="450">
        <f t="shared" ca="1" si="144"/>
        <v>1</v>
      </c>
      <c r="S188" s="191">
        <f t="shared" si="145"/>
        <v>15</v>
      </c>
      <c r="T188" s="191">
        <f t="shared" si="146"/>
        <v>12</v>
      </c>
      <c r="U188" s="191">
        <f ca="1">OP!$D$5+$S188-1</f>
        <v>47</v>
      </c>
      <c r="V188" s="191">
        <f t="shared" si="147"/>
        <v>15</v>
      </c>
      <c r="W188" s="350">
        <f ca="1">IF(Q188&lt;&gt;1,0,VLOOKUP(OP!$C$55,PVFB,$S188+2,0))</f>
        <v>35757</v>
      </c>
      <c r="X188" s="473">
        <f t="shared" ca="1" si="174"/>
        <v>8587</v>
      </c>
      <c r="Y188" s="348">
        <f t="shared" ca="1" si="175"/>
        <v>0</v>
      </c>
      <c r="Z188" s="348">
        <f t="shared" ca="1" si="176"/>
        <v>8012</v>
      </c>
      <c r="AA188" s="348">
        <f ca="1">IF(Q188&lt;&gt;1,0,VLOOKUP(OP!$C$55,PVFB,$S188+2,0))</f>
        <v>35757</v>
      </c>
      <c r="AB188" s="488">
        <f ca="1">IF(AND(S188&lt;OP!$C$24,$U188&lt;15),0,IF(AND($U188&lt;15,$T188=12),ROUND(VLOOKUP($S188,DOWN16,5,0),3),IF($T188=12,ROUND(($Z188/10000)*$AA188,3)+IF(AND($P$7="購買增額繳清保險",T188=12,U188=110),VLOOKUP(S188,$B$10:$H$121,7,0),0),"")))</f>
        <v>28648.508000000002</v>
      </c>
      <c r="AC188" s="350">
        <f ca="1">IF(AND(S188&lt;OP!$C$24,$U188&lt;15),0,IF(AND($U188&lt;16,$T188=12),VLOOKUP($S188,DOWN16,4,0),IF($T188=12,ROUND(VLOOKUP(OP!$C$55,_DIE2,$S188+1,0)*(Z188/10000),0)+IF(AND($P$7="購買增額繳清保險",T188=12,U188=110),VLOOKUP(S188,$B$10:$H$121,7,0),0),"")))</f>
        <v>28649</v>
      </c>
      <c r="AD188" s="347"/>
      <c r="AE188" s="350" t="str">
        <f t="shared" ca="1" si="135"/>
        <v/>
      </c>
      <c r="AF188" s="351" t="str">
        <f t="shared" ca="1" si="136"/>
        <v/>
      </c>
      <c r="AG188" s="340"/>
      <c r="AH188" s="340"/>
      <c r="AI188" s="340"/>
      <c r="AJ188" s="340"/>
      <c r="AK188" s="340"/>
      <c r="AL188" s="340"/>
      <c r="AM188" s="340"/>
      <c r="AN188" s="191">
        <f t="shared" si="148"/>
        <v>15</v>
      </c>
      <c r="AO188" s="191">
        <f t="shared" si="149"/>
        <v>12</v>
      </c>
      <c r="AP188" s="191">
        <f ca="1">OP!$D$5+$AN188-1</f>
        <v>47</v>
      </c>
      <c r="AQ188" s="191">
        <f t="shared" si="150"/>
        <v>15</v>
      </c>
      <c r="AR188" s="352">
        <f t="shared" ca="1" si="151"/>
        <v>108238</v>
      </c>
      <c r="AS188" s="352"/>
      <c r="AT188" s="352"/>
      <c r="AU188" s="436"/>
      <c r="AV188" s="353">
        <f t="shared" ca="1" si="152"/>
        <v>1</v>
      </c>
      <c r="AW188" s="422" t="str">
        <f t="shared" si="153"/>
        <v/>
      </c>
      <c r="AX188" s="423" t="str">
        <f ca="1">IF(AND($AW188=1,$AP188&lt;16,$AN187&lt;OP!$C$24),OP!$C$49,"")</f>
        <v/>
      </c>
      <c r="AY188" s="340"/>
      <c r="AZ188" s="465">
        <f t="shared" ca="1" si="154"/>
        <v>7.3698599999999999E-5</v>
      </c>
      <c r="BA188" s="464">
        <f t="shared" ca="1" si="155"/>
        <v>2.2109589000000002E-3</v>
      </c>
      <c r="BB188" s="465">
        <f t="shared" ca="1" si="155"/>
        <v>2.2846575E-3</v>
      </c>
      <c r="BC188" s="466">
        <f t="shared" ca="1" si="156"/>
        <v>48335</v>
      </c>
      <c r="BD188" s="467">
        <f t="shared" ca="1" si="177"/>
        <v>48336</v>
      </c>
      <c r="BE188" s="467">
        <f t="shared" ca="1" si="157"/>
        <v>48365</v>
      </c>
      <c r="BF188" s="468">
        <f ca="1">IF(計算!$BC188&lt;OP!$C$3,0,BD188-BC188)</f>
        <v>1</v>
      </c>
      <c r="BG188" s="468">
        <f ca="1">IF($BE188&gt;DATE(YEAR($BD$9)+OP!$C$57,MONTH($BD$9),DAY($BD$9)),0,$BE188-$BD188+1)</f>
        <v>30</v>
      </c>
      <c r="BH188" s="469">
        <f t="shared" ca="1" si="158"/>
        <v>31</v>
      </c>
      <c r="BI188" t="str">
        <f t="shared" si="187"/>
        <v/>
      </c>
      <c r="BJ188">
        <v>11</v>
      </c>
      <c r="BN188" s="468">
        <f t="shared" si="178"/>
        <v>15</v>
      </c>
      <c r="BO188" s="468">
        <f t="shared" si="179"/>
        <v>11</v>
      </c>
      <c r="BP188" s="467">
        <f t="shared" ca="1" si="159"/>
        <v>48336</v>
      </c>
      <c r="BQ188" s="475">
        <f t="shared" ca="1" si="185"/>
        <v>47</v>
      </c>
      <c r="BR188" s="475" t="str">
        <f t="shared" si="180"/>
        <v/>
      </c>
      <c r="BS188" s="471" t="str">
        <f t="shared" si="160"/>
        <v/>
      </c>
      <c r="BT188" s="472" t="str">
        <f t="shared" si="188"/>
        <v/>
      </c>
      <c r="BU188" s="472">
        <f t="shared" ca="1" si="161"/>
        <v>0</v>
      </c>
      <c r="BV188" s="472">
        <f t="shared" ca="1" si="161"/>
        <v>0</v>
      </c>
      <c r="BW188" s="472"/>
      <c r="BX188" s="473">
        <f t="shared" ca="1" si="162"/>
        <v>70762.951136603995</v>
      </c>
      <c r="BY188" s="473">
        <f t="shared" si="163"/>
        <v>0</v>
      </c>
      <c r="BZ188" s="473">
        <f t="shared" ca="1" si="137"/>
        <v>161.66910703600001</v>
      </c>
      <c r="CA188" s="476">
        <f t="shared" ca="1" si="164"/>
        <v>0</v>
      </c>
      <c r="CB188" s="494">
        <f ca="1">IF(OR($Q187&lt;&gt;1,OP!$D$5+$BN188-1&lt;16,$BN188-1&lt;1),0,ROUND(ROUND(ROUND(((VLOOKUP($BN188-1,MORE_PV,5,0)/10000)*VLOOKUP($BN188,MORE_PV,$CB$5,0)),3)*VLOOKUP($BN188,more1,5,0),0)/$R187,0))</f>
        <v>0</v>
      </c>
      <c r="CC188" s="473">
        <f t="shared" ca="1" si="165"/>
        <v>0</v>
      </c>
      <c r="CD188" s="477"/>
      <c r="CE188" s="468">
        <f t="shared" si="181"/>
        <v>15</v>
      </c>
      <c r="CF188" s="468">
        <f t="shared" si="182"/>
        <v>11</v>
      </c>
      <c r="CG188" s="467">
        <f t="shared" ca="1" si="138"/>
        <v>48336</v>
      </c>
      <c r="CH188" s="475">
        <f t="shared" ca="1" si="186"/>
        <v>47</v>
      </c>
      <c r="CI188" s="513" t="str">
        <f t="shared" si="183"/>
        <v/>
      </c>
      <c r="CJ188" s="511">
        <f t="shared" si="166"/>
        <v>0</v>
      </c>
      <c r="CK188" s="512">
        <f t="shared" si="167"/>
        <v>0</v>
      </c>
      <c r="CL188" s="511">
        <f t="shared" ca="1" si="184"/>
        <v>0</v>
      </c>
      <c r="CM188" s="511">
        <f ca="1">ROUND(CS188-IF(OR($CE188&gt;=OP!$C$24,AND(CH188=15,CF188=12),CS188=0),0,(CT188-CR188)),$CM$7)</f>
        <v>0</v>
      </c>
      <c r="CN188" s="511"/>
      <c r="CO188" s="351">
        <f t="shared" ca="1" si="168"/>
        <v>99621</v>
      </c>
      <c r="CP188" s="473">
        <f t="shared" si="169"/>
        <v>0</v>
      </c>
      <c r="CQ188" s="473">
        <f t="shared" ca="1" si="139"/>
        <v>227.59986480800001</v>
      </c>
      <c r="CR188" s="476">
        <f t="shared" ca="1" si="170"/>
        <v>0</v>
      </c>
      <c r="CS188" s="494">
        <f ca="1">IF(OR($Q187&lt;&gt;1,OP!$D$5+$CE188-1&lt;16,$CE188-1&lt;1),0,ROUND(ROUND(ROUND(((VLOOKUP($CE188-1,MORE_PV,5,0)/10000)*VLOOKUP($CE188,MORE_PV,$CS$5,0)),3)*VLOOKUP($CE188,more1,5,0),0)/$R187,0))</f>
        <v>0</v>
      </c>
      <c r="CT188" s="473">
        <f>IF($AW188=1,IF(N($CR188+$CS188)&lt;N($AX188)*OP!$C$50,N($CR188+$CS188),MIN(N($CR188+$CS188),N($AX188))),0)</f>
        <v>0</v>
      </c>
      <c r="CV188" s="503">
        <f t="shared" ca="1" si="171"/>
        <v>99621.152782275996</v>
      </c>
      <c r="CW188" s="503">
        <f t="shared" ca="1" si="172"/>
        <v>0</v>
      </c>
      <c r="CX188" s="503">
        <f t="shared" ca="1" si="173"/>
        <v>99841.394825117997</v>
      </c>
    </row>
    <row r="189" spans="2:102" ht="16.5" hidden="1">
      <c r="B189" s="80"/>
      <c r="C189" s="80"/>
      <c r="D189" s="80"/>
      <c r="E189" s="80"/>
      <c r="F189" s="80"/>
      <c r="G189" s="80"/>
      <c r="H189" s="80"/>
      <c r="I189" s="80"/>
      <c r="J189" s="192">
        <f t="shared" si="140"/>
        <v>16</v>
      </c>
      <c r="K189" s="192">
        <f t="shared" si="141"/>
        <v>1</v>
      </c>
      <c r="L189" s="192" t="str">
        <f t="shared" si="134"/>
        <v/>
      </c>
      <c r="M189" s="216">
        <f t="shared" ca="1" si="142"/>
        <v>0</v>
      </c>
      <c r="N189" s="216"/>
      <c r="O189" s="216"/>
      <c r="P189" s="216"/>
      <c r="Q189" s="456" t="str">
        <f t="shared" ca="1" si="143"/>
        <v/>
      </c>
      <c r="R189" s="450">
        <f t="shared" ca="1" si="144"/>
        <v>1</v>
      </c>
      <c r="S189" s="191">
        <f t="shared" si="145"/>
        <v>16</v>
      </c>
      <c r="T189" s="191">
        <f t="shared" si="146"/>
        <v>1</v>
      </c>
      <c r="U189" s="191">
        <f ca="1">OP!$D$5+$S189-1</f>
        <v>48</v>
      </c>
      <c r="V189" s="191" t="str">
        <f t="shared" si="147"/>
        <v/>
      </c>
      <c r="W189" s="350">
        <f ca="1">IF(Q189&lt;&gt;1,0,VLOOKUP(OP!$C$55,PVFB,$S189+2,0))</f>
        <v>0</v>
      </c>
      <c r="X189" s="473">
        <f t="shared" ca="1" si="174"/>
        <v>0</v>
      </c>
      <c r="Y189" s="348">
        <f t="shared" ca="1" si="175"/>
        <v>0</v>
      </c>
      <c r="Z189" s="348">
        <f t="shared" ca="1" si="176"/>
        <v>8012</v>
      </c>
      <c r="AA189" s="348">
        <f ca="1">IF(Q189&lt;&gt;1,0,VLOOKUP(OP!$C$55,PVFB,$S189+2,0))</f>
        <v>0</v>
      </c>
      <c r="AB189" s="488" t="str">
        <f ca="1">IF(AND(S189&lt;OP!$C$24,$U189&lt;15),0,IF(AND($U189&lt;15,$T189=12),ROUND(VLOOKUP($S189,DOWN16,5,0),3),IF($T189=12,ROUND(($Z189/10000)*$AA189,3)+IF(AND($P$7="購買增額繳清保險",T189=12,U189=110),VLOOKUP(S189,$B$10:$H$121,7,0),0),"")))</f>
        <v/>
      </c>
      <c r="AC189" s="350" t="str">
        <f ca="1">IF(AND(S189&lt;OP!$C$24,$U189&lt;15),0,IF(AND($U189&lt;16,$T189=12),VLOOKUP($S189,DOWN16,4,0),IF($T189=12,ROUND(VLOOKUP(OP!$C$55,_DIE2,$S189+1,0)*(Z189/10000),0)+IF(AND($P$7="購買增額繳清保險",T189=12,U189=110),VLOOKUP(S189,$B$10:$H$121,7,0),0),"")))</f>
        <v/>
      </c>
      <c r="AD189" s="347"/>
      <c r="AE189" s="350" t="str">
        <f t="shared" ca="1" si="135"/>
        <v/>
      </c>
      <c r="AF189" s="351" t="str">
        <f t="shared" ca="1" si="136"/>
        <v/>
      </c>
      <c r="AG189" s="340"/>
      <c r="AH189" s="340"/>
      <c r="AI189" s="340"/>
      <c r="AJ189" s="340"/>
      <c r="AK189" s="340"/>
      <c r="AL189" s="340"/>
      <c r="AM189" s="340"/>
      <c r="AN189" s="191">
        <f t="shared" si="148"/>
        <v>16</v>
      </c>
      <c r="AO189" s="191">
        <f t="shared" si="149"/>
        <v>1</v>
      </c>
      <c r="AP189" s="191">
        <f ca="1">OP!$D$5+$AN189-1</f>
        <v>48</v>
      </c>
      <c r="AQ189" s="191" t="str">
        <f t="shared" si="150"/>
        <v/>
      </c>
      <c r="AR189" s="352">
        <f t="shared" ca="1" si="151"/>
        <v>0</v>
      </c>
      <c r="AS189" s="352"/>
      <c r="AT189" s="352"/>
      <c r="AU189" s="436"/>
      <c r="AV189" s="353" t="str">
        <f t="shared" ca="1" si="152"/>
        <v/>
      </c>
      <c r="AW189" s="422">
        <f t="shared" si="153"/>
        <v>1</v>
      </c>
      <c r="AX189" s="423" t="str">
        <f ca="1">IF(AND($AW189=1,$AP189&lt;16,$AN188&lt;OP!$C$24),OP!$C$49,"")</f>
        <v/>
      </c>
      <c r="AY189" s="340"/>
      <c r="AZ189" s="465">
        <f t="shared" ca="1" si="154"/>
        <v>7.3698599999999999E-5</v>
      </c>
      <c r="BA189" s="464">
        <f t="shared" ca="1" si="155"/>
        <v>2.1372602999999999E-3</v>
      </c>
      <c r="BB189" s="465">
        <f t="shared" ca="1" si="155"/>
        <v>2.2109589000000002E-3</v>
      </c>
      <c r="BC189" s="466">
        <f t="shared" ca="1" si="156"/>
        <v>48366</v>
      </c>
      <c r="BD189" s="467">
        <f t="shared" ca="1" si="177"/>
        <v>48367</v>
      </c>
      <c r="BE189" s="467">
        <f t="shared" ca="1" si="157"/>
        <v>48395</v>
      </c>
      <c r="BF189" s="468">
        <f ca="1">IF(計算!$BC189&lt;OP!$C$3,0,BD189-BC189)</f>
        <v>1</v>
      </c>
      <c r="BG189" s="468">
        <f ca="1">IF($BE189&gt;DATE(YEAR($BD$9)+OP!$C$57,MONTH($BD$9),DAY($BD$9)),0,$BE189-$BD189+1)</f>
        <v>29</v>
      </c>
      <c r="BH189" s="469">
        <f t="shared" ca="1" si="158"/>
        <v>30</v>
      </c>
      <c r="BI189">
        <f t="shared" ca="1" si="187"/>
        <v>366</v>
      </c>
      <c r="BJ189">
        <v>12</v>
      </c>
      <c r="BN189" s="468">
        <f t="shared" si="178"/>
        <v>15</v>
      </c>
      <c r="BO189" s="468">
        <f t="shared" si="179"/>
        <v>12</v>
      </c>
      <c r="BP189" s="467">
        <f t="shared" ca="1" si="159"/>
        <v>48367</v>
      </c>
      <c r="BQ189" s="475">
        <f t="shared" ca="1" si="185"/>
        <v>47</v>
      </c>
      <c r="BR189" s="475">
        <f t="shared" si="180"/>
        <v>15</v>
      </c>
      <c r="BS189" s="471">
        <f t="shared" ca="1" si="160"/>
        <v>8587</v>
      </c>
      <c r="BT189" s="472">
        <f t="shared" ca="1" si="188"/>
        <v>79518</v>
      </c>
      <c r="BU189" s="472">
        <f t="shared" ca="1" si="161"/>
        <v>8389</v>
      </c>
      <c r="BV189" s="472">
        <f t="shared" ca="1" si="161"/>
        <v>198</v>
      </c>
      <c r="BW189" s="472">
        <f ca="1">ROUND(SUM(BY189,BZ177:BZ188),0)</f>
        <v>1886</v>
      </c>
      <c r="BX189" s="473">
        <f t="shared" ca="1" si="162"/>
        <v>79516.847288856996</v>
      </c>
      <c r="BY189" s="473">
        <f t="shared" ca="1" si="163"/>
        <v>5.2270452169999997</v>
      </c>
      <c r="BZ189" s="473">
        <f t="shared" ca="1" si="137"/>
        <v>169.94820089199999</v>
      </c>
      <c r="CA189" s="476">
        <f t="shared" ca="1" si="164"/>
        <v>8389</v>
      </c>
      <c r="CB189" s="494">
        <f ca="1">IF(OR($Q188&lt;&gt;1,OP!$D$5+$BN189-1&lt;16,$BN189-1&lt;1),0,ROUND(ROUND(ROUND(((VLOOKUP($BN189-1,MORE_PV,5,0)/10000)*VLOOKUP($BN189,MORE_PV,$CB$5,0)),3)*VLOOKUP($BN189,more1,5,0),0)/$R188,0))</f>
        <v>198</v>
      </c>
      <c r="CC189" s="473">
        <f t="shared" ca="1" si="165"/>
        <v>0</v>
      </c>
      <c r="CD189" s="477"/>
      <c r="CE189" s="468">
        <f t="shared" si="181"/>
        <v>15</v>
      </c>
      <c r="CF189" s="468">
        <f t="shared" si="182"/>
        <v>12</v>
      </c>
      <c r="CG189" s="467">
        <f t="shared" ca="1" si="138"/>
        <v>48367</v>
      </c>
      <c r="CH189" s="475">
        <f t="shared" ca="1" si="186"/>
        <v>47</v>
      </c>
      <c r="CI189" s="513">
        <f t="shared" si="183"/>
        <v>15</v>
      </c>
      <c r="CJ189" s="511">
        <f t="shared" ca="1" si="166"/>
        <v>8785</v>
      </c>
      <c r="CK189" s="512">
        <f t="shared" ca="1" si="167"/>
        <v>108237.752996139</v>
      </c>
      <c r="CL189" s="511">
        <f t="shared" ca="1" si="184"/>
        <v>8587</v>
      </c>
      <c r="CM189" s="511">
        <f ca="1">ROUND(CS189-IF(OR($CE189&gt;=OP!$C$24,AND(CH189=15,CF189=12),CS189=0),0,(CT189-CR189)),$CM$7)</f>
        <v>198</v>
      </c>
      <c r="CN189" s="511">
        <f ca="1">ROUND(SUM(CP189,CQ177:CQ188),$CN$7)</f>
        <v>2654.540662589</v>
      </c>
      <c r="CO189" s="351">
        <f t="shared" ca="1" si="168"/>
        <v>108238</v>
      </c>
      <c r="CP189" s="473">
        <f t="shared" ca="1" si="169"/>
        <v>7.3587020220000001</v>
      </c>
      <c r="CQ189" s="473">
        <f t="shared" ca="1" si="139"/>
        <v>231.332780351</v>
      </c>
      <c r="CR189" s="476">
        <f t="shared" ca="1" si="170"/>
        <v>8389</v>
      </c>
      <c r="CS189" s="494">
        <f ca="1">IF(OR($Q188&lt;&gt;1,OP!$D$5+$CE189-1&lt;16,$CE189-1&lt;1),0,ROUND(ROUND(ROUND(((VLOOKUP($CE189-1,MORE_PV,5,0)/10000)*VLOOKUP($CE189,MORE_PV,$CS$5,0)),3)*VLOOKUP($CE189,more1,5,0),0)/$R188,0))</f>
        <v>198</v>
      </c>
      <c r="CT189" s="473">
        <f ca="1">IF($AW189=1,IF(N($CR189+$CS189)&lt;N($AX189)*OP!$C$50,N($CR189+$CS189),MIN(N($CR189+$CS189),N($AX189))),0)</f>
        <v>0</v>
      </c>
      <c r="CV189" s="503">
        <f t="shared" ca="1" si="171"/>
        <v>108237.752996139</v>
      </c>
      <c r="CW189" s="503">
        <f t="shared" ca="1" si="172"/>
        <v>8406.9294766570001</v>
      </c>
      <c r="CX189" s="503">
        <f t="shared" ca="1" si="173"/>
        <v>108469.069522252</v>
      </c>
    </row>
    <row r="190" spans="2:102" ht="16.5" hidden="1">
      <c r="B190" s="80"/>
      <c r="C190" s="80"/>
      <c r="D190" s="80"/>
      <c r="E190" s="80"/>
      <c r="F190" s="80"/>
      <c r="G190" s="80"/>
      <c r="H190" s="80"/>
      <c r="I190" s="80"/>
      <c r="J190" s="192">
        <f t="shared" si="140"/>
        <v>16</v>
      </c>
      <c r="K190" s="192">
        <f t="shared" si="141"/>
        <v>2</v>
      </c>
      <c r="L190" s="192" t="str">
        <f t="shared" si="134"/>
        <v/>
      </c>
      <c r="M190" s="216">
        <f t="shared" ca="1" si="142"/>
        <v>0</v>
      </c>
      <c r="N190" s="216"/>
      <c r="O190" s="216"/>
      <c r="P190" s="216"/>
      <c r="Q190" s="456" t="str">
        <f t="shared" ca="1" si="143"/>
        <v/>
      </c>
      <c r="R190" s="450">
        <f t="shared" ca="1" si="144"/>
        <v>1</v>
      </c>
      <c r="S190" s="191">
        <f t="shared" si="145"/>
        <v>16</v>
      </c>
      <c r="T190" s="191">
        <f t="shared" si="146"/>
        <v>2</v>
      </c>
      <c r="U190" s="191">
        <f ca="1">OP!$D$5+$S190-1</f>
        <v>48</v>
      </c>
      <c r="V190" s="191" t="str">
        <f t="shared" si="147"/>
        <v/>
      </c>
      <c r="W190" s="350">
        <f ca="1">IF(Q190&lt;&gt;1,0,VLOOKUP(OP!$C$55,PVFB,$S190+2,0))</f>
        <v>0</v>
      </c>
      <c r="X190" s="473">
        <f t="shared" ca="1" si="174"/>
        <v>0</v>
      </c>
      <c r="Y190" s="348">
        <f t="shared" ca="1" si="175"/>
        <v>0</v>
      </c>
      <c r="Z190" s="348">
        <f t="shared" ca="1" si="176"/>
        <v>8012</v>
      </c>
      <c r="AA190" s="348">
        <f ca="1">IF(Q190&lt;&gt;1,0,VLOOKUP(OP!$C$55,PVFB,$S190+2,0))</f>
        <v>0</v>
      </c>
      <c r="AB190" s="488" t="str">
        <f ca="1">IF(AND(S190&lt;OP!$C$24,$U190&lt;15),0,IF(AND($U190&lt;15,$T190=12),ROUND(VLOOKUP($S190,DOWN16,5,0),3),IF($T190=12,ROUND(($Z190/10000)*$AA190,3)+IF(AND($P$7="購買增額繳清保險",T190=12,U190=110),VLOOKUP(S190,$B$10:$H$121,7,0),0),"")))</f>
        <v/>
      </c>
      <c r="AC190" s="350" t="str">
        <f ca="1">IF(AND(S190&lt;OP!$C$24,$U190&lt;15),0,IF(AND($U190&lt;16,$T190=12),VLOOKUP($S190,DOWN16,4,0),IF($T190=12,ROUND(VLOOKUP(OP!$C$55,_DIE2,$S190+1,0)*(Z190/10000),0)+IF(AND($P$7="購買增額繳清保險",T190=12,U190=110),VLOOKUP(S190,$B$10:$H$121,7,0),0),"")))</f>
        <v/>
      </c>
      <c r="AD190" s="347"/>
      <c r="AE190" s="350" t="str">
        <f t="shared" ca="1" si="135"/>
        <v/>
      </c>
      <c r="AF190" s="351" t="str">
        <f t="shared" ca="1" si="136"/>
        <v/>
      </c>
      <c r="AG190" s="340"/>
      <c r="AH190" s="340"/>
      <c r="AI190" s="340"/>
      <c r="AJ190" s="340"/>
      <c r="AK190" s="340"/>
      <c r="AL190" s="340"/>
      <c r="AM190" s="340"/>
      <c r="AN190" s="191">
        <f t="shared" si="148"/>
        <v>16</v>
      </c>
      <c r="AO190" s="191">
        <f t="shared" si="149"/>
        <v>2</v>
      </c>
      <c r="AP190" s="191">
        <f ca="1">OP!$D$5+$AN190-1</f>
        <v>48</v>
      </c>
      <c r="AQ190" s="191" t="str">
        <f t="shared" si="150"/>
        <v/>
      </c>
      <c r="AR190" s="352">
        <f t="shared" ca="1" si="151"/>
        <v>0</v>
      </c>
      <c r="AS190" s="352"/>
      <c r="AT190" s="352"/>
      <c r="AU190" s="436"/>
      <c r="AV190" s="353" t="str">
        <f t="shared" ca="1" si="152"/>
        <v/>
      </c>
      <c r="AW190" s="422" t="str">
        <f t="shared" si="153"/>
        <v/>
      </c>
      <c r="AX190" s="423" t="str">
        <f ca="1">IF(AND($AW190=1,$AP190&lt;16,$AN189&lt;OP!$C$24),OP!$C$49,"")</f>
        <v/>
      </c>
      <c r="AY190" s="340"/>
      <c r="AZ190" s="465">
        <f t="shared" ca="1" si="154"/>
        <v>7.3698599999999999E-5</v>
      </c>
      <c r="BA190" s="464">
        <f t="shared" ca="1" si="155"/>
        <v>2.2109589000000002E-3</v>
      </c>
      <c r="BB190" s="465">
        <f t="shared" ca="1" si="155"/>
        <v>2.2846575E-3</v>
      </c>
      <c r="BC190" s="466">
        <f t="shared" ca="1" si="156"/>
        <v>48396</v>
      </c>
      <c r="BD190" s="467">
        <f t="shared" ca="1" si="177"/>
        <v>48397</v>
      </c>
      <c r="BE190" s="467">
        <f t="shared" ca="1" si="157"/>
        <v>48426</v>
      </c>
      <c r="BF190" s="468">
        <f ca="1">IF(計算!$BC190&lt;OP!$C$3,0,BD190-BC190)</f>
        <v>1</v>
      </c>
      <c r="BG190" s="468">
        <f ca="1">IF($BE190&gt;DATE(YEAR($BD$9)+OP!$C$57,MONTH($BD$9),DAY($BD$9)),0,$BE190-$BD190+1)</f>
        <v>30</v>
      </c>
      <c r="BH190" s="469">
        <f t="shared" ca="1" si="158"/>
        <v>31</v>
      </c>
      <c r="BI190" t="str">
        <f t="shared" si="187"/>
        <v/>
      </c>
      <c r="BJ190">
        <v>1</v>
      </c>
      <c r="BN190" s="468">
        <f t="shared" si="178"/>
        <v>16</v>
      </c>
      <c r="BO190" s="468">
        <f t="shared" si="179"/>
        <v>1</v>
      </c>
      <c r="BP190" s="467">
        <f t="shared" ca="1" si="159"/>
        <v>48397</v>
      </c>
      <c r="BQ190" s="475">
        <f t="shared" ca="1" si="185"/>
        <v>48</v>
      </c>
      <c r="BR190" s="475" t="str">
        <f t="shared" si="180"/>
        <v/>
      </c>
      <c r="BS190" s="471" t="str">
        <f t="shared" si="160"/>
        <v/>
      </c>
      <c r="BT190" s="472" t="str">
        <f t="shared" si="188"/>
        <v/>
      </c>
      <c r="BU190" s="472">
        <f t="shared" ca="1" si="161"/>
        <v>0</v>
      </c>
      <c r="BV190" s="472">
        <f t="shared" ca="1" si="161"/>
        <v>0</v>
      </c>
      <c r="BW190" s="472"/>
      <c r="BX190" s="473">
        <f t="shared" ca="1" si="162"/>
        <v>79686.795489748998</v>
      </c>
      <c r="BY190" s="473">
        <f t="shared" si="163"/>
        <v>0</v>
      </c>
      <c r="BZ190" s="473">
        <f t="shared" ca="1" si="137"/>
        <v>182.05703496699999</v>
      </c>
      <c r="CA190" s="476">
        <f t="shared" ca="1" si="164"/>
        <v>0</v>
      </c>
      <c r="CB190" s="494">
        <f ca="1">IF(OR($Q189&lt;&gt;1,OP!$D$5+$BN190-1&lt;16,$BN190-1&lt;1),0,ROUND(ROUND(ROUND(((VLOOKUP($BN190-1,MORE_PV,5,0)/10000)*VLOOKUP($BN190,MORE_PV,$CB$5,0)),3)*VLOOKUP($BN190,more1,5,0),0)/$R189,0))</f>
        <v>0</v>
      </c>
      <c r="CC190" s="473">
        <f t="shared" ca="1" si="165"/>
        <v>0</v>
      </c>
      <c r="CD190" s="477"/>
      <c r="CE190" s="468">
        <f t="shared" si="181"/>
        <v>16</v>
      </c>
      <c r="CF190" s="468">
        <f t="shared" si="182"/>
        <v>1</v>
      </c>
      <c r="CG190" s="467">
        <f t="shared" ca="1" si="138"/>
        <v>48397</v>
      </c>
      <c r="CH190" s="475">
        <f t="shared" ca="1" si="186"/>
        <v>48</v>
      </c>
      <c r="CI190" s="513" t="str">
        <f t="shared" si="183"/>
        <v/>
      </c>
      <c r="CJ190" s="511">
        <f t="shared" si="166"/>
        <v>0</v>
      </c>
      <c r="CK190" s="512">
        <f t="shared" si="167"/>
        <v>0</v>
      </c>
      <c r="CL190" s="511">
        <f t="shared" ca="1" si="184"/>
        <v>0</v>
      </c>
      <c r="CM190" s="511">
        <f ca="1">ROUND(CS190-IF(OR($CE190&gt;=OP!$C$24,AND(CH190=15,CF190=12),CS190=0),0,(CT190-CR190)),$CM$7)</f>
        <v>0</v>
      </c>
      <c r="CN190" s="511"/>
      <c r="CO190" s="351">
        <f t="shared" ca="1" si="168"/>
        <v>108477</v>
      </c>
      <c r="CP190" s="473">
        <f t="shared" si="169"/>
        <v>0</v>
      </c>
      <c r="CQ190" s="473">
        <f t="shared" ca="1" si="139"/>
        <v>247.832791628</v>
      </c>
      <c r="CR190" s="476">
        <f t="shared" ca="1" si="170"/>
        <v>0</v>
      </c>
      <c r="CS190" s="494">
        <f ca="1">IF(OR($Q189&lt;&gt;1,OP!$D$5+$CE190-1&lt;16,$CE190-1&lt;1),0,ROUND(ROUND(ROUND(((VLOOKUP($CE190-1,MORE_PV,5,0)/10000)*VLOOKUP($CE190,MORE_PV,$CS$5,0)),3)*VLOOKUP($CE190,more1,5,0),0)/$R189,0))</f>
        <v>0</v>
      </c>
      <c r="CT190" s="473">
        <f>IF($AW190=1,IF(N($CR190+$CS190)&lt;N($AX190)*OP!$C$50,N($CR190+$CS190),MIN(N($CR190+$CS190),N($AX190))),0)</f>
        <v>0</v>
      </c>
      <c r="CV190" s="503">
        <f t="shared" ca="1" si="171"/>
        <v>108477.063540819</v>
      </c>
      <c r="CW190" s="503">
        <f t="shared" ca="1" si="172"/>
        <v>0</v>
      </c>
      <c r="CX190" s="503">
        <f t="shared" ca="1" si="173"/>
        <v>108716.884195454</v>
      </c>
    </row>
    <row r="191" spans="2:102" ht="16.5" hidden="1">
      <c r="B191" s="80"/>
      <c r="C191" s="80"/>
      <c r="D191" s="80"/>
      <c r="E191" s="80"/>
      <c r="F191" s="80"/>
      <c r="G191" s="80"/>
      <c r="H191" s="80"/>
      <c r="I191" s="80"/>
      <c r="J191" s="192">
        <f t="shared" si="140"/>
        <v>16</v>
      </c>
      <c r="K191" s="192">
        <f t="shared" si="141"/>
        <v>3</v>
      </c>
      <c r="L191" s="192" t="str">
        <f t="shared" si="134"/>
        <v/>
      </c>
      <c r="M191" s="216">
        <f t="shared" ca="1" si="142"/>
        <v>0</v>
      </c>
      <c r="N191" s="216"/>
      <c r="O191" s="216"/>
      <c r="P191" s="216"/>
      <c r="Q191" s="456" t="str">
        <f t="shared" ca="1" si="143"/>
        <v/>
      </c>
      <c r="R191" s="450">
        <f t="shared" ca="1" si="144"/>
        <v>1</v>
      </c>
      <c r="S191" s="191">
        <f t="shared" si="145"/>
        <v>16</v>
      </c>
      <c r="T191" s="191">
        <f t="shared" si="146"/>
        <v>3</v>
      </c>
      <c r="U191" s="191">
        <f ca="1">OP!$D$5+$S191-1</f>
        <v>48</v>
      </c>
      <c r="V191" s="191" t="str">
        <f t="shared" si="147"/>
        <v/>
      </c>
      <c r="W191" s="350">
        <f ca="1">IF(Q191&lt;&gt;1,0,VLOOKUP(OP!$C$55,PVFB,$S191+2,0))</f>
        <v>0</v>
      </c>
      <c r="X191" s="473">
        <f t="shared" ca="1" si="174"/>
        <v>0</v>
      </c>
      <c r="Y191" s="348">
        <f t="shared" ca="1" si="175"/>
        <v>0</v>
      </c>
      <c r="Z191" s="348">
        <f t="shared" ca="1" si="176"/>
        <v>8012</v>
      </c>
      <c r="AA191" s="348">
        <f ca="1">IF(Q191&lt;&gt;1,0,VLOOKUP(OP!$C$55,PVFB,$S191+2,0))</f>
        <v>0</v>
      </c>
      <c r="AB191" s="488" t="str">
        <f ca="1">IF(AND(S191&lt;OP!$C$24,$U191&lt;15),0,IF(AND($U191&lt;15,$T191=12),ROUND(VLOOKUP($S191,DOWN16,5,0),3),IF($T191=12,ROUND(($Z191/10000)*$AA191,3)+IF(AND($P$7="購買增額繳清保險",T191=12,U191=110),VLOOKUP(S191,$B$10:$H$121,7,0),0),"")))</f>
        <v/>
      </c>
      <c r="AC191" s="350" t="str">
        <f ca="1">IF(AND(S191&lt;OP!$C$24,$U191&lt;15),0,IF(AND($U191&lt;16,$T191=12),VLOOKUP($S191,DOWN16,4,0),IF($T191=12,ROUND(VLOOKUP(OP!$C$55,_DIE2,$S191+1,0)*(Z191/10000),0)+IF(AND($P$7="購買增額繳清保險",T191=12,U191=110),VLOOKUP(S191,$B$10:$H$121,7,0),0),"")))</f>
        <v/>
      </c>
      <c r="AD191" s="347"/>
      <c r="AE191" s="350" t="str">
        <f t="shared" ca="1" si="135"/>
        <v/>
      </c>
      <c r="AF191" s="351" t="str">
        <f t="shared" ca="1" si="136"/>
        <v/>
      </c>
      <c r="AG191" s="340"/>
      <c r="AH191" s="340"/>
      <c r="AI191" s="340"/>
      <c r="AJ191" s="340"/>
      <c r="AK191" s="340"/>
      <c r="AL191" s="340"/>
      <c r="AM191" s="340"/>
      <c r="AN191" s="191">
        <f t="shared" si="148"/>
        <v>16</v>
      </c>
      <c r="AO191" s="191">
        <f t="shared" si="149"/>
        <v>3</v>
      </c>
      <c r="AP191" s="191">
        <f ca="1">OP!$D$5+$AN191-1</f>
        <v>48</v>
      </c>
      <c r="AQ191" s="191" t="str">
        <f t="shared" si="150"/>
        <v/>
      </c>
      <c r="AR191" s="352">
        <f t="shared" ca="1" si="151"/>
        <v>0</v>
      </c>
      <c r="AS191" s="352"/>
      <c r="AT191" s="352"/>
      <c r="AU191" s="436"/>
      <c r="AV191" s="353" t="str">
        <f t="shared" ca="1" si="152"/>
        <v/>
      </c>
      <c r="AW191" s="422" t="str">
        <f t="shared" si="153"/>
        <v/>
      </c>
      <c r="AX191" s="423" t="str">
        <f ca="1">IF(AND($AW191=1,$AP191&lt;16,$AN190&lt;OP!$C$24),OP!$C$49,"")</f>
        <v/>
      </c>
      <c r="AY191" s="340"/>
      <c r="AZ191" s="465">
        <f t="shared" ca="1" si="154"/>
        <v>7.3698599999999999E-5</v>
      </c>
      <c r="BA191" s="464">
        <f t="shared" ca="1" si="155"/>
        <v>2.2109589000000002E-3</v>
      </c>
      <c r="BB191" s="465">
        <f t="shared" ca="1" si="155"/>
        <v>2.2846575E-3</v>
      </c>
      <c r="BC191" s="466">
        <f t="shared" ca="1" si="156"/>
        <v>48427</v>
      </c>
      <c r="BD191" s="467">
        <f t="shared" ca="1" si="177"/>
        <v>48428</v>
      </c>
      <c r="BE191" s="467">
        <f t="shared" ca="1" si="157"/>
        <v>48457</v>
      </c>
      <c r="BF191" s="468">
        <f ca="1">IF(計算!$BC191&lt;OP!$C$3,0,BD191-BC191)</f>
        <v>1</v>
      </c>
      <c r="BG191" s="468">
        <f ca="1">IF($BE191&gt;DATE(YEAR($BD$9)+OP!$C$57,MONTH($BD$9),DAY($BD$9)),0,$BE191-$BD191+1)</f>
        <v>30</v>
      </c>
      <c r="BH191" s="469">
        <f t="shared" ca="1" si="158"/>
        <v>31</v>
      </c>
      <c r="BI191" t="str">
        <f t="shared" si="187"/>
        <v/>
      </c>
      <c r="BJ191">
        <v>2</v>
      </c>
      <c r="BN191" s="468">
        <f t="shared" si="178"/>
        <v>16</v>
      </c>
      <c r="BO191" s="468">
        <f t="shared" si="179"/>
        <v>2</v>
      </c>
      <c r="BP191" s="467">
        <f t="shared" ca="1" si="159"/>
        <v>48428</v>
      </c>
      <c r="BQ191" s="475">
        <f t="shared" ca="1" si="185"/>
        <v>48</v>
      </c>
      <c r="BR191" s="475" t="str">
        <f t="shared" si="180"/>
        <v/>
      </c>
      <c r="BS191" s="471" t="str">
        <f t="shared" si="160"/>
        <v/>
      </c>
      <c r="BT191" s="472" t="str">
        <f t="shared" si="188"/>
        <v/>
      </c>
      <c r="BU191" s="472">
        <f t="shared" ca="1" si="161"/>
        <v>0</v>
      </c>
      <c r="BV191" s="472">
        <f t="shared" ca="1" si="161"/>
        <v>0</v>
      </c>
      <c r="BW191" s="472"/>
      <c r="BX191" s="473">
        <f t="shared" ca="1" si="162"/>
        <v>79868.852524716</v>
      </c>
      <c r="BY191" s="473">
        <f t="shared" si="163"/>
        <v>0</v>
      </c>
      <c r="BZ191" s="473">
        <f t="shared" ca="1" si="137"/>
        <v>182.47297293700001</v>
      </c>
      <c r="CA191" s="476">
        <f t="shared" ca="1" si="164"/>
        <v>0</v>
      </c>
      <c r="CB191" s="494">
        <f ca="1">IF(OR($Q190&lt;&gt;1,OP!$D$5+$BN191-1&lt;16,$BN191-1&lt;1),0,ROUND(ROUND(ROUND(((VLOOKUP($BN191-1,MORE_PV,5,0)/10000)*VLOOKUP($BN191,MORE_PV,$CB$5,0)),3)*VLOOKUP($BN191,more1,5,0),0)/$R190,0))</f>
        <v>0</v>
      </c>
      <c r="CC191" s="473">
        <f t="shared" ca="1" si="165"/>
        <v>0</v>
      </c>
      <c r="CD191" s="477"/>
      <c r="CE191" s="468">
        <f t="shared" si="181"/>
        <v>16</v>
      </c>
      <c r="CF191" s="468">
        <f t="shared" si="182"/>
        <v>2</v>
      </c>
      <c r="CG191" s="467">
        <f t="shared" ca="1" si="138"/>
        <v>48428</v>
      </c>
      <c r="CH191" s="475">
        <f t="shared" ca="1" si="186"/>
        <v>48</v>
      </c>
      <c r="CI191" s="513" t="str">
        <f t="shared" si="183"/>
        <v/>
      </c>
      <c r="CJ191" s="511">
        <f t="shared" si="166"/>
        <v>0</v>
      </c>
      <c r="CK191" s="512">
        <f t="shared" si="167"/>
        <v>0</v>
      </c>
      <c r="CL191" s="511">
        <f t="shared" ca="1" si="184"/>
        <v>0</v>
      </c>
      <c r="CM191" s="511">
        <f ca="1">ROUND(CS191-IF(OR($CE191&gt;=OP!$C$24,AND(CH191=15,CF191=12),CS191=0),0,(CT191-CR191)),$CM$7)</f>
        <v>0</v>
      </c>
      <c r="CN191" s="511"/>
      <c r="CO191" s="351">
        <f t="shared" ca="1" si="168"/>
        <v>108725</v>
      </c>
      <c r="CP191" s="473">
        <f t="shared" si="169"/>
        <v>0</v>
      </c>
      <c r="CQ191" s="473">
        <f t="shared" ca="1" si="139"/>
        <v>248.39938668799999</v>
      </c>
      <c r="CR191" s="476">
        <f t="shared" ca="1" si="170"/>
        <v>0</v>
      </c>
      <c r="CS191" s="494">
        <f ca="1">IF(OR($Q190&lt;&gt;1,OP!$D$5+$CE191-1&lt;16,$CE191-1&lt;1),0,ROUND(ROUND(ROUND(((VLOOKUP($CE191-1,MORE_PV,5,0)/10000)*VLOOKUP($CE191,MORE_PV,$CS$5,0)),3)*VLOOKUP($CE191,more1,5,0),0)/$R190,0))</f>
        <v>0</v>
      </c>
      <c r="CT191" s="473">
        <f>IF($AW191=1,IF(N($CR191+$CS191)&lt;N($AX191)*OP!$C$50,N($CR191+$CS191),MIN(N($CR191+$CS191),N($AX191))),0)</f>
        <v>0</v>
      </c>
      <c r="CV191" s="503">
        <f t="shared" ca="1" si="171"/>
        <v>108724.896477616</v>
      </c>
      <c r="CW191" s="503">
        <f t="shared" ca="1" si="172"/>
        <v>0</v>
      </c>
      <c r="CX191" s="503">
        <f t="shared" ca="1" si="173"/>
        <v>108965.265040308</v>
      </c>
    </row>
    <row r="192" spans="2:102" ht="16.5" hidden="1">
      <c r="B192" s="80"/>
      <c r="C192" s="80"/>
      <c r="D192" s="80"/>
      <c r="E192" s="80"/>
      <c r="F192" s="80"/>
      <c r="G192" s="80"/>
      <c r="H192" s="80"/>
      <c r="I192" s="80"/>
      <c r="J192" s="192">
        <f t="shared" si="140"/>
        <v>16</v>
      </c>
      <c r="K192" s="192">
        <f t="shared" si="141"/>
        <v>4</v>
      </c>
      <c r="L192" s="192" t="str">
        <f t="shared" si="134"/>
        <v/>
      </c>
      <c r="M192" s="216">
        <f t="shared" ca="1" si="142"/>
        <v>0</v>
      </c>
      <c r="N192" s="216"/>
      <c r="O192" s="216"/>
      <c r="P192" s="216"/>
      <c r="Q192" s="456" t="str">
        <f t="shared" ca="1" si="143"/>
        <v/>
      </c>
      <c r="R192" s="450">
        <f t="shared" ca="1" si="144"/>
        <v>1</v>
      </c>
      <c r="S192" s="191">
        <f t="shared" si="145"/>
        <v>16</v>
      </c>
      <c r="T192" s="191">
        <f t="shared" si="146"/>
        <v>4</v>
      </c>
      <c r="U192" s="191">
        <f ca="1">OP!$D$5+$S192-1</f>
        <v>48</v>
      </c>
      <c r="V192" s="191" t="str">
        <f t="shared" si="147"/>
        <v/>
      </c>
      <c r="W192" s="350">
        <f ca="1">IF(Q192&lt;&gt;1,0,VLOOKUP(OP!$C$55,PVFB,$S192+2,0))</f>
        <v>0</v>
      </c>
      <c r="X192" s="473">
        <f t="shared" ca="1" si="174"/>
        <v>0</v>
      </c>
      <c r="Y192" s="348">
        <f t="shared" ca="1" si="175"/>
        <v>0</v>
      </c>
      <c r="Z192" s="348">
        <f t="shared" ca="1" si="176"/>
        <v>8012</v>
      </c>
      <c r="AA192" s="348">
        <f ca="1">IF(Q192&lt;&gt;1,0,VLOOKUP(OP!$C$55,PVFB,$S192+2,0))</f>
        <v>0</v>
      </c>
      <c r="AB192" s="488" t="str">
        <f ca="1">IF(AND(S192&lt;OP!$C$24,$U192&lt;15),0,IF(AND($U192&lt;15,$T192=12),ROUND(VLOOKUP($S192,DOWN16,5,0),3),IF($T192=12,ROUND(($Z192/10000)*$AA192,3)+IF(AND($P$7="購買增額繳清保險",T192=12,U192=110),VLOOKUP(S192,$B$10:$H$121,7,0),0),"")))</f>
        <v/>
      </c>
      <c r="AC192" s="350" t="str">
        <f ca="1">IF(AND(S192&lt;OP!$C$24,$U192&lt;15),0,IF(AND($U192&lt;16,$T192=12),VLOOKUP($S192,DOWN16,4,0),IF($T192=12,ROUND(VLOOKUP(OP!$C$55,_DIE2,$S192+1,0)*(Z192/10000),0)+IF(AND($P$7="購買增額繳清保險",T192=12,U192=110),VLOOKUP(S192,$B$10:$H$121,7,0),0),"")))</f>
        <v/>
      </c>
      <c r="AD192" s="347"/>
      <c r="AE192" s="350" t="str">
        <f t="shared" ca="1" si="135"/>
        <v/>
      </c>
      <c r="AF192" s="351" t="str">
        <f t="shared" ca="1" si="136"/>
        <v/>
      </c>
      <c r="AG192" s="340"/>
      <c r="AH192" s="340"/>
      <c r="AI192" s="340"/>
      <c r="AJ192" s="340"/>
      <c r="AK192" s="340"/>
      <c r="AL192" s="340"/>
      <c r="AM192" s="340"/>
      <c r="AN192" s="191">
        <f t="shared" si="148"/>
        <v>16</v>
      </c>
      <c r="AO192" s="191">
        <f t="shared" si="149"/>
        <v>4</v>
      </c>
      <c r="AP192" s="191">
        <f ca="1">OP!$D$5+$AN192-1</f>
        <v>48</v>
      </c>
      <c r="AQ192" s="191" t="str">
        <f t="shared" si="150"/>
        <v/>
      </c>
      <c r="AR192" s="352">
        <f t="shared" ca="1" si="151"/>
        <v>0</v>
      </c>
      <c r="AS192" s="352"/>
      <c r="AT192" s="352"/>
      <c r="AU192" s="436"/>
      <c r="AV192" s="353" t="str">
        <f t="shared" ca="1" si="152"/>
        <v/>
      </c>
      <c r="AW192" s="422" t="str">
        <f t="shared" si="153"/>
        <v/>
      </c>
      <c r="AX192" s="423" t="str">
        <f ca="1">IF(AND($AW192=1,$AP192&lt;16,$AN191&lt;OP!$C$24),OP!$C$49,"")</f>
        <v/>
      </c>
      <c r="AY192" s="340"/>
      <c r="AZ192" s="465">
        <f t="shared" ca="1" si="154"/>
        <v>7.3698599999999999E-5</v>
      </c>
      <c r="BA192" s="464">
        <f t="shared" ca="1" si="155"/>
        <v>2.1372602999999999E-3</v>
      </c>
      <c r="BB192" s="465">
        <f t="shared" ca="1" si="155"/>
        <v>2.2109589000000002E-3</v>
      </c>
      <c r="BC192" s="466">
        <f t="shared" ca="1" si="156"/>
        <v>48458</v>
      </c>
      <c r="BD192" s="467">
        <f t="shared" ca="1" si="177"/>
        <v>48459</v>
      </c>
      <c r="BE192" s="467">
        <f t="shared" ca="1" si="157"/>
        <v>48487</v>
      </c>
      <c r="BF192" s="468">
        <f ca="1">IF(計算!$BC192&lt;OP!$C$3,0,BD192-BC192)</f>
        <v>1</v>
      </c>
      <c r="BG192" s="468">
        <f ca="1">IF($BE192&gt;DATE(YEAR($BD$9)+OP!$C$57,MONTH($BD$9),DAY($BD$9)),0,$BE192-$BD192+1)</f>
        <v>29</v>
      </c>
      <c r="BH192" s="469">
        <f t="shared" ca="1" si="158"/>
        <v>30</v>
      </c>
      <c r="BI192" t="str">
        <f t="shared" si="187"/>
        <v/>
      </c>
      <c r="BJ192">
        <v>3</v>
      </c>
      <c r="BN192" s="468">
        <f t="shared" si="178"/>
        <v>16</v>
      </c>
      <c r="BO192" s="468">
        <f t="shared" si="179"/>
        <v>3</v>
      </c>
      <c r="BP192" s="467">
        <f t="shared" ca="1" si="159"/>
        <v>48459</v>
      </c>
      <c r="BQ192" s="475">
        <f t="shared" ca="1" si="185"/>
        <v>48</v>
      </c>
      <c r="BR192" s="475" t="str">
        <f t="shared" si="180"/>
        <v/>
      </c>
      <c r="BS192" s="471" t="str">
        <f t="shared" si="160"/>
        <v/>
      </c>
      <c r="BT192" s="472" t="str">
        <f t="shared" si="188"/>
        <v/>
      </c>
      <c r="BU192" s="472">
        <f t="shared" ca="1" si="161"/>
        <v>0</v>
      </c>
      <c r="BV192" s="472">
        <f t="shared" ca="1" si="161"/>
        <v>0</v>
      </c>
      <c r="BW192" s="472"/>
      <c r="BX192" s="473">
        <f t="shared" ca="1" si="162"/>
        <v>80051.325497653001</v>
      </c>
      <c r="BY192" s="473">
        <f t="shared" si="163"/>
        <v>0</v>
      </c>
      <c r="BZ192" s="473">
        <f t="shared" ca="1" si="137"/>
        <v>176.990190566</v>
      </c>
      <c r="CA192" s="476">
        <f t="shared" ca="1" si="164"/>
        <v>0</v>
      </c>
      <c r="CB192" s="494">
        <f ca="1">IF(OR($Q191&lt;&gt;1,OP!$D$5+$BN192-1&lt;16,$BN192-1&lt;1),0,ROUND(ROUND(ROUND(((VLOOKUP($BN192-1,MORE_PV,5,0)/10000)*VLOOKUP($BN192,MORE_PV,$CB$5,0)),3)*VLOOKUP($BN192,more1,5,0),0)/$R191,0))</f>
        <v>0</v>
      </c>
      <c r="CC192" s="473">
        <f t="shared" ca="1" si="165"/>
        <v>0</v>
      </c>
      <c r="CD192" s="477"/>
      <c r="CE192" s="468">
        <f t="shared" si="181"/>
        <v>16</v>
      </c>
      <c r="CF192" s="468">
        <f t="shared" si="182"/>
        <v>3</v>
      </c>
      <c r="CG192" s="467">
        <f t="shared" ca="1" si="138"/>
        <v>48459</v>
      </c>
      <c r="CH192" s="475">
        <f t="shared" ca="1" si="186"/>
        <v>48</v>
      </c>
      <c r="CI192" s="513" t="str">
        <f t="shared" si="183"/>
        <v/>
      </c>
      <c r="CJ192" s="511">
        <f t="shared" si="166"/>
        <v>0</v>
      </c>
      <c r="CK192" s="512">
        <f t="shared" si="167"/>
        <v>0</v>
      </c>
      <c r="CL192" s="511">
        <f t="shared" ca="1" si="184"/>
        <v>0</v>
      </c>
      <c r="CM192" s="511">
        <f ca="1">ROUND(CS192-IF(OR($CE192&gt;=OP!$C$24,AND(CH192=15,CF192=12),CS192=0),0,(CT192-CR192)),$CM$7)</f>
        <v>0</v>
      </c>
      <c r="CN192" s="511"/>
      <c r="CO192" s="351">
        <f t="shared" ca="1" si="168"/>
        <v>108973</v>
      </c>
      <c r="CP192" s="473">
        <f t="shared" si="169"/>
        <v>0</v>
      </c>
      <c r="CQ192" s="473">
        <f t="shared" ca="1" si="139"/>
        <v>240.93482420999999</v>
      </c>
      <c r="CR192" s="476">
        <f t="shared" ca="1" si="170"/>
        <v>0</v>
      </c>
      <c r="CS192" s="494">
        <f ca="1">IF(OR($Q191&lt;&gt;1,OP!$D$5+$CE192-1&lt;16,$CE192-1&lt;1),0,ROUND(ROUND(ROUND(((VLOOKUP($CE192-1,MORE_PV,5,0)/10000)*VLOOKUP($CE192,MORE_PV,$CS$5,0)),3)*VLOOKUP($CE192,more1,5,0),0)/$R191,0))</f>
        <v>0</v>
      </c>
      <c r="CT192" s="473">
        <f>IF($AW192=1,IF(N($CR192+$CS192)&lt;N($AX192)*OP!$C$50,N($CR192+$CS192),MIN(N($CR192+$CS192),N($AX192))),0)</f>
        <v>0</v>
      </c>
      <c r="CV192" s="503">
        <f t="shared" ca="1" si="171"/>
        <v>108973.29562778999</v>
      </c>
      <c r="CW192" s="503">
        <f t="shared" ca="1" si="172"/>
        <v>0</v>
      </c>
      <c r="CX192" s="503">
        <f t="shared" ca="1" si="173"/>
        <v>109206.18276284001</v>
      </c>
    </row>
    <row r="193" spans="2:102" ht="16.5" hidden="1">
      <c r="B193" s="80"/>
      <c r="C193" s="80"/>
      <c r="D193" s="80"/>
      <c r="E193" s="80"/>
      <c r="F193" s="80"/>
      <c r="G193" s="80"/>
      <c r="H193" s="80"/>
      <c r="I193" s="80"/>
      <c r="J193" s="192">
        <f t="shared" si="140"/>
        <v>16</v>
      </c>
      <c r="K193" s="192">
        <f t="shared" si="141"/>
        <v>5</v>
      </c>
      <c r="L193" s="192" t="str">
        <f t="shared" si="134"/>
        <v/>
      </c>
      <c r="M193" s="216">
        <f t="shared" ca="1" si="142"/>
        <v>0</v>
      </c>
      <c r="N193" s="216"/>
      <c r="O193" s="216"/>
      <c r="P193" s="216"/>
      <c r="Q193" s="456" t="str">
        <f t="shared" ca="1" si="143"/>
        <v/>
      </c>
      <c r="R193" s="450">
        <f t="shared" ca="1" si="144"/>
        <v>1</v>
      </c>
      <c r="S193" s="191">
        <f t="shared" si="145"/>
        <v>16</v>
      </c>
      <c r="T193" s="191">
        <f t="shared" si="146"/>
        <v>5</v>
      </c>
      <c r="U193" s="191">
        <f ca="1">OP!$D$5+$S193-1</f>
        <v>48</v>
      </c>
      <c r="V193" s="191" t="str">
        <f t="shared" si="147"/>
        <v/>
      </c>
      <c r="W193" s="350">
        <f ca="1">IF(Q193&lt;&gt;1,0,VLOOKUP(OP!$C$55,PVFB,$S193+2,0))</f>
        <v>0</v>
      </c>
      <c r="X193" s="473">
        <f t="shared" ca="1" si="174"/>
        <v>0</v>
      </c>
      <c r="Y193" s="348">
        <f t="shared" ca="1" si="175"/>
        <v>0</v>
      </c>
      <c r="Z193" s="348">
        <f t="shared" ca="1" si="176"/>
        <v>8012</v>
      </c>
      <c r="AA193" s="348">
        <f ca="1">IF(Q193&lt;&gt;1,0,VLOOKUP(OP!$C$55,PVFB,$S193+2,0))</f>
        <v>0</v>
      </c>
      <c r="AB193" s="488" t="str">
        <f ca="1">IF(AND(S193&lt;OP!$C$24,$U193&lt;15),0,IF(AND($U193&lt;15,$T193=12),ROUND(VLOOKUP($S193,DOWN16,5,0),3),IF($T193=12,ROUND(($Z193/10000)*$AA193,3)+IF(AND($P$7="購買增額繳清保險",T193=12,U193=110),VLOOKUP(S193,$B$10:$H$121,7,0),0),"")))</f>
        <v/>
      </c>
      <c r="AC193" s="350" t="str">
        <f ca="1">IF(AND(S193&lt;OP!$C$24,$U193&lt;15),0,IF(AND($U193&lt;16,$T193=12),VLOOKUP($S193,DOWN16,4,0),IF($T193=12,ROUND(VLOOKUP(OP!$C$55,_DIE2,$S193+1,0)*(Z193/10000),0)+IF(AND($P$7="購買增額繳清保險",T193=12,U193=110),VLOOKUP(S193,$B$10:$H$121,7,0),0),"")))</f>
        <v/>
      </c>
      <c r="AD193" s="347"/>
      <c r="AE193" s="350" t="str">
        <f t="shared" ca="1" si="135"/>
        <v/>
      </c>
      <c r="AF193" s="351" t="str">
        <f t="shared" ca="1" si="136"/>
        <v/>
      </c>
      <c r="AG193" s="340"/>
      <c r="AH193" s="340"/>
      <c r="AI193" s="340"/>
      <c r="AJ193" s="340"/>
      <c r="AK193" s="340"/>
      <c r="AL193" s="340"/>
      <c r="AM193" s="340"/>
      <c r="AN193" s="191">
        <f t="shared" si="148"/>
        <v>16</v>
      </c>
      <c r="AO193" s="191">
        <f t="shared" si="149"/>
        <v>5</v>
      </c>
      <c r="AP193" s="191">
        <f ca="1">OP!$D$5+$AN193-1</f>
        <v>48</v>
      </c>
      <c r="AQ193" s="191" t="str">
        <f t="shared" si="150"/>
        <v/>
      </c>
      <c r="AR193" s="352">
        <f t="shared" ca="1" si="151"/>
        <v>0</v>
      </c>
      <c r="AS193" s="352"/>
      <c r="AT193" s="352"/>
      <c r="AU193" s="436"/>
      <c r="AV193" s="353" t="str">
        <f t="shared" ca="1" si="152"/>
        <v/>
      </c>
      <c r="AW193" s="422" t="str">
        <f t="shared" si="153"/>
        <v/>
      </c>
      <c r="AX193" s="423" t="str">
        <f ca="1">IF(AND($AW193=1,$AP193&lt;16,$AN192&lt;OP!$C$24),OP!$C$49,"")</f>
        <v/>
      </c>
      <c r="AY193" s="340"/>
      <c r="AZ193" s="465">
        <f t="shared" ca="1" si="154"/>
        <v>7.3698599999999999E-5</v>
      </c>
      <c r="BA193" s="464">
        <f t="shared" ca="1" si="155"/>
        <v>2.2109589000000002E-3</v>
      </c>
      <c r="BB193" s="465">
        <f t="shared" ca="1" si="155"/>
        <v>2.2846575E-3</v>
      </c>
      <c r="BC193" s="466">
        <f t="shared" ca="1" si="156"/>
        <v>48488</v>
      </c>
      <c r="BD193" s="467">
        <f t="shared" ca="1" si="177"/>
        <v>48489</v>
      </c>
      <c r="BE193" s="467">
        <f t="shared" ca="1" si="157"/>
        <v>48518</v>
      </c>
      <c r="BF193" s="468">
        <f ca="1">IF(計算!$BC193&lt;OP!$C$3,0,BD193-BC193)</f>
        <v>1</v>
      </c>
      <c r="BG193" s="468">
        <f ca="1">IF($BE193&gt;DATE(YEAR($BD$9)+OP!$C$57,MONTH($BD$9),DAY($BD$9)),0,$BE193-$BD193+1)</f>
        <v>30</v>
      </c>
      <c r="BH193" s="469">
        <f t="shared" ca="1" si="158"/>
        <v>31</v>
      </c>
      <c r="BI193" t="str">
        <f t="shared" si="187"/>
        <v/>
      </c>
      <c r="BJ193">
        <v>4</v>
      </c>
      <c r="BN193" s="468">
        <f t="shared" si="178"/>
        <v>16</v>
      </c>
      <c r="BO193" s="468">
        <f t="shared" si="179"/>
        <v>4</v>
      </c>
      <c r="BP193" s="467">
        <f t="shared" ca="1" si="159"/>
        <v>48489</v>
      </c>
      <c r="BQ193" s="475">
        <f t="shared" ca="1" si="185"/>
        <v>48</v>
      </c>
      <c r="BR193" s="475" t="str">
        <f t="shared" si="180"/>
        <v/>
      </c>
      <c r="BS193" s="471" t="str">
        <f t="shared" si="160"/>
        <v/>
      </c>
      <c r="BT193" s="472" t="str">
        <f t="shared" si="188"/>
        <v/>
      </c>
      <c r="BU193" s="472">
        <f t="shared" ca="1" si="161"/>
        <v>0</v>
      </c>
      <c r="BV193" s="472">
        <f t="shared" ca="1" si="161"/>
        <v>0</v>
      </c>
      <c r="BW193" s="472"/>
      <c r="BX193" s="473">
        <f t="shared" ca="1" si="162"/>
        <v>80228.315688218994</v>
      </c>
      <c r="BY193" s="473">
        <f t="shared" si="163"/>
        <v>0</v>
      </c>
      <c r="BZ193" s="473">
        <f t="shared" ca="1" si="137"/>
        <v>183.294223149</v>
      </c>
      <c r="CA193" s="476">
        <f t="shared" ca="1" si="164"/>
        <v>0</v>
      </c>
      <c r="CB193" s="494">
        <f ca="1">IF(OR($Q192&lt;&gt;1,OP!$D$5+$BN193-1&lt;16,$BN193-1&lt;1),0,ROUND(ROUND(ROUND(((VLOOKUP($BN193-1,MORE_PV,5,0)/10000)*VLOOKUP($BN193,MORE_PV,$CB$5,0)),3)*VLOOKUP($BN193,more1,5,0),0)/$R192,0))</f>
        <v>0</v>
      </c>
      <c r="CC193" s="473">
        <f t="shared" ca="1" si="165"/>
        <v>0</v>
      </c>
      <c r="CD193" s="477"/>
      <c r="CE193" s="468">
        <f t="shared" si="181"/>
        <v>16</v>
      </c>
      <c r="CF193" s="468">
        <f t="shared" si="182"/>
        <v>4</v>
      </c>
      <c r="CG193" s="467">
        <f t="shared" ca="1" si="138"/>
        <v>48489</v>
      </c>
      <c r="CH193" s="475">
        <f t="shared" ca="1" si="186"/>
        <v>48</v>
      </c>
      <c r="CI193" s="513" t="str">
        <f t="shared" si="183"/>
        <v/>
      </c>
      <c r="CJ193" s="511">
        <f t="shared" si="166"/>
        <v>0</v>
      </c>
      <c r="CK193" s="512">
        <f t="shared" si="167"/>
        <v>0</v>
      </c>
      <c r="CL193" s="511">
        <f t="shared" ca="1" si="184"/>
        <v>0</v>
      </c>
      <c r="CM193" s="511">
        <f ca="1">ROUND(CS193-IF(OR($CE193&gt;=OP!$C$24,AND(CH193=15,CF193=12),CS193=0),0,(CT193-CR193)),$CM$7)</f>
        <v>0</v>
      </c>
      <c r="CN193" s="511"/>
      <c r="CO193" s="351">
        <f t="shared" ca="1" si="168"/>
        <v>109214</v>
      </c>
      <c r="CP193" s="473">
        <f t="shared" si="169"/>
        <v>0</v>
      </c>
      <c r="CQ193" s="473">
        <f t="shared" ca="1" si="139"/>
        <v>249.51658420499999</v>
      </c>
      <c r="CR193" s="476">
        <f t="shared" ca="1" si="170"/>
        <v>0</v>
      </c>
      <c r="CS193" s="494">
        <f ca="1">IF(OR($Q192&lt;&gt;1,OP!$D$5+$CE193-1&lt;16,$CE193-1&lt;1),0,ROUND(ROUND(ROUND(((VLOOKUP($CE193-1,MORE_PV,5,0)/10000)*VLOOKUP($CE193,MORE_PV,$CS$5,0)),3)*VLOOKUP($CE193,more1,5,0),0)/$R192,0))</f>
        <v>0</v>
      </c>
      <c r="CT193" s="473">
        <f>IF($AW193=1,IF(N($CR193+$CS193)&lt;N($AX193)*OP!$C$50,N($CR193+$CS193),MIN(N($CR193+$CS193),N($AX193))),0)</f>
        <v>0</v>
      </c>
      <c r="CV193" s="503">
        <f t="shared" ca="1" si="171"/>
        <v>109214.231105621</v>
      </c>
      <c r="CW193" s="503">
        <f t="shared" ca="1" si="172"/>
        <v>0</v>
      </c>
      <c r="CX193" s="503">
        <f t="shared" ca="1" si="173"/>
        <v>109455.68148733499</v>
      </c>
    </row>
    <row r="194" spans="2:102" ht="16.5" hidden="1">
      <c r="B194" s="80"/>
      <c r="C194" s="80"/>
      <c r="D194" s="80"/>
      <c r="E194" s="80"/>
      <c r="F194" s="80"/>
      <c r="G194" s="80"/>
      <c r="H194" s="80"/>
      <c r="I194" s="80"/>
      <c r="J194" s="192">
        <f t="shared" si="140"/>
        <v>16</v>
      </c>
      <c r="K194" s="192">
        <f t="shared" si="141"/>
        <v>6</v>
      </c>
      <c r="L194" s="192" t="str">
        <f t="shared" si="134"/>
        <v/>
      </c>
      <c r="M194" s="216">
        <f t="shared" ca="1" si="142"/>
        <v>0</v>
      </c>
      <c r="N194" s="216"/>
      <c r="O194" s="216"/>
      <c r="P194" s="216"/>
      <c r="Q194" s="456" t="str">
        <f t="shared" ca="1" si="143"/>
        <v/>
      </c>
      <c r="R194" s="450">
        <f t="shared" ca="1" si="144"/>
        <v>1</v>
      </c>
      <c r="S194" s="191">
        <f t="shared" si="145"/>
        <v>16</v>
      </c>
      <c r="T194" s="191">
        <f t="shared" si="146"/>
        <v>6</v>
      </c>
      <c r="U194" s="191">
        <f ca="1">OP!$D$5+$S194-1</f>
        <v>48</v>
      </c>
      <c r="V194" s="191" t="str">
        <f t="shared" si="147"/>
        <v/>
      </c>
      <c r="W194" s="350">
        <f ca="1">IF(Q194&lt;&gt;1,0,VLOOKUP(OP!$C$55,PVFB,$S194+2,0))</f>
        <v>0</v>
      </c>
      <c r="X194" s="473">
        <f t="shared" ca="1" si="174"/>
        <v>0</v>
      </c>
      <c r="Y194" s="348">
        <f t="shared" ca="1" si="175"/>
        <v>0</v>
      </c>
      <c r="Z194" s="348">
        <f t="shared" ca="1" si="176"/>
        <v>8012</v>
      </c>
      <c r="AA194" s="348">
        <f ca="1">IF(Q194&lt;&gt;1,0,VLOOKUP(OP!$C$55,PVFB,$S194+2,0))</f>
        <v>0</v>
      </c>
      <c r="AB194" s="488" t="str">
        <f ca="1">IF(AND(S194&lt;OP!$C$24,$U194&lt;15),0,IF(AND($U194&lt;15,$T194=12),ROUND(VLOOKUP($S194,DOWN16,5,0),3),IF($T194=12,ROUND(($Z194/10000)*$AA194,3)+IF(AND($P$7="購買增額繳清保險",T194=12,U194=110),VLOOKUP(S194,$B$10:$H$121,7,0),0),"")))</f>
        <v/>
      </c>
      <c r="AC194" s="350" t="str">
        <f ca="1">IF(AND(S194&lt;OP!$C$24,$U194&lt;15),0,IF(AND($U194&lt;16,$T194=12),VLOOKUP($S194,DOWN16,4,0),IF($T194=12,ROUND(VLOOKUP(OP!$C$55,_DIE2,$S194+1,0)*(Z194/10000),0)+IF(AND($P$7="購買增額繳清保險",T194=12,U194=110),VLOOKUP(S194,$B$10:$H$121,7,0),0),"")))</f>
        <v/>
      </c>
      <c r="AD194" s="347"/>
      <c r="AE194" s="350" t="str">
        <f t="shared" ca="1" si="135"/>
        <v/>
      </c>
      <c r="AF194" s="351" t="str">
        <f t="shared" ca="1" si="136"/>
        <v/>
      </c>
      <c r="AG194" s="340"/>
      <c r="AH194" s="340"/>
      <c r="AI194" s="340"/>
      <c r="AJ194" s="340"/>
      <c r="AK194" s="340"/>
      <c r="AL194" s="340"/>
      <c r="AM194" s="340"/>
      <c r="AN194" s="191">
        <f t="shared" si="148"/>
        <v>16</v>
      </c>
      <c r="AO194" s="191">
        <f t="shared" si="149"/>
        <v>6</v>
      </c>
      <c r="AP194" s="191">
        <f ca="1">OP!$D$5+$AN194-1</f>
        <v>48</v>
      </c>
      <c r="AQ194" s="191" t="str">
        <f t="shared" si="150"/>
        <v/>
      </c>
      <c r="AR194" s="352">
        <f t="shared" ca="1" si="151"/>
        <v>0</v>
      </c>
      <c r="AS194" s="352"/>
      <c r="AT194" s="352"/>
      <c r="AU194" s="436"/>
      <c r="AV194" s="353" t="str">
        <f t="shared" ca="1" si="152"/>
        <v/>
      </c>
      <c r="AW194" s="422" t="str">
        <f t="shared" si="153"/>
        <v/>
      </c>
      <c r="AX194" s="423" t="str">
        <f ca="1">IF(AND($AW194=1,$AP194&lt;16,$AN193&lt;OP!$C$24),OP!$C$49,"")</f>
        <v/>
      </c>
      <c r="AY194" s="340"/>
      <c r="AZ194" s="465">
        <f t="shared" ca="1" si="154"/>
        <v>7.3698599999999999E-5</v>
      </c>
      <c r="BA194" s="464">
        <f t="shared" ca="1" si="155"/>
        <v>2.1372602999999999E-3</v>
      </c>
      <c r="BB194" s="465">
        <f t="shared" ca="1" si="155"/>
        <v>2.2109589000000002E-3</v>
      </c>
      <c r="BC194" s="466">
        <f t="shared" ca="1" si="156"/>
        <v>48519</v>
      </c>
      <c r="BD194" s="467">
        <f t="shared" ca="1" si="177"/>
        <v>48520</v>
      </c>
      <c r="BE194" s="467">
        <f t="shared" ca="1" si="157"/>
        <v>48548</v>
      </c>
      <c r="BF194" s="468">
        <f ca="1">IF(計算!$BC194&lt;OP!$C$3,0,BD194-BC194)</f>
        <v>1</v>
      </c>
      <c r="BG194" s="468">
        <f ca="1">IF($BE194&gt;DATE(YEAR($BD$9)+OP!$C$57,MONTH($BD$9),DAY($BD$9)),0,$BE194-$BD194+1)</f>
        <v>29</v>
      </c>
      <c r="BH194" s="469">
        <f t="shared" ca="1" si="158"/>
        <v>30</v>
      </c>
      <c r="BI194" t="str">
        <f t="shared" si="187"/>
        <v/>
      </c>
      <c r="BJ194">
        <v>5</v>
      </c>
      <c r="BN194" s="468">
        <f t="shared" si="178"/>
        <v>16</v>
      </c>
      <c r="BO194" s="468">
        <f t="shared" si="179"/>
        <v>5</v>
      </c>
      <c r="BP194" s="467">
        <f t="shared" ca="1" si="159"/>
        <v>48520</v>
      </c>
      <c r="BQ194" s="475">
        <f t="shared" ca="1" si="185"/>
        <v>48</v>
      </c>
      <c r="BR194" s="475" t="str">
        <f t="shared" si="180"/>
        <v/>
      </c>
      <c r="BS194" s="471" t="str">
        <f t="shared" si="160"/>
        <v/>
      </c>
      <c r="BT194" s="472" t="str">
        <f t="shared" si="188"/>
        <v/>
      </c>
      <c r="BU194" s="472">
        <f t="shared" ca="1" si="161"/>
        <v>0</v>
      </c>
      <c r="BV194" s="472">
        <f t="shared" ca="1" si="161"/>
        <v>0</v>
      </c>
      <c r="BW194" s="472"/>
      <c r="BX194" s="473">
        <f t="shared" ca="1" si="162"/>
        <v>80411.609911367996</v>
      </c>
      <c r="BY194" s="473">
        <f t="shared" si="163"/>
        <v>0</v>
      </c>
      <c r="BZ194" s="473">
        <f t="shared" ca="1" si="137"/>
        <v>177.786764597</v>
      </c>
      <c r="CA194" s="476">
        <f t="shared" ca="1" si="164"/>
        <v>0</v>
      </c>
      <c r="CB194" s="494">
        <f ca="1">IF(OR($Q193&lt;&gt;1,OP!$D$5+$BN194-1&lt;16,$BN194-1&lt;1),0,ROUND(ROUND(ROUND(((VLOOKUP($BN194-1,MORE_PV,5,0)/10000)*VLOOKUP($BN194,MORE_PV,$CB$5,0)),3)*VLOOKUP($BN194,more1,5,0),0)/$R193,0))</f>
        <v>0</v>
      </c>
      <c r="CC194" s="473">
        <f t="shared" ca="1" si="165"/>
        <v>0</v>
      </c>
      <c r="CD194" s="477"/>
      <c r="CE194" s="468">
        <f t="shared" si="181"/>
        <v>16</v>
      </c>
      <c r="CF194" s="468">
        <f t="shared" si="182"/>
        <v>5</v>
      </c>
      <c r="CG194" s="467">
        <f t="shared" ca="1" si="138"/>
        <v>48520</v>
      </c>
      <c r="CH194" s="475">
        <f t="shared" ca="1" si="186"/>
        <v>48</v>
      </c>
      <c r="CI194" s="513" t="str">
        <f t="shared" si="183"/>
        <v/>
      </c>
      <c r="CJ194" s="511">
        <f t="shared" si="166"/>
        <v>0</v>
      </c>
      <c r="CK194" s="512">
        <f t="shared" si="167"/>
        <v>0</v>
      </c>
      <c r="CL194" s="511">
        <f t="shared" ca="1" si="184"/>
        <v>0</v>
      </c>
      <c r="CM194" s="511">
        <f ca="1">ROUND(CS194-IF(OR($CE194&gt;=OP!$C$24,AND(CH194=15,CF194=12),CS194=0),0,(CT194-CR194)),$CM$7)</f>
        <v>0</v>
      </c>
      <c r="CN194" s="511"/>
      <c r="CO194" s="351">
        <f t="shared" ca="1" si="168"/>
        <v>109464</v>
      </c>
      <c r="CP194" s="473">
        <f t="shared" si="169"/>
        <v>0</v>
      </c>
      <c r="CQ194" s="473">
        <f t="shared" ca="1" si="139"/>
        <v>242.02040503000001</v>
      </c>
      <c r="CR194" s="476">
        <f t="shared" ca="1" si="170"/>
        <v>0</v>
      </c>
      <c r="CS194" s="494">
        <f ca="1">IF(OR($Q193&lt;&gt;1,OP!$D$5+$CE194-1&lt;16,$CE194-1&lt;1),0,ROUND(ROUND(ROUND(((VLOOKUP($CE194-1,MORE_PV,5,0)/10000)*VLOOKUP($CE194,MORE_PV,$CS$5,0)),3)*VLOOKUP($CE194,more1,5,0),0)/$R193,0))</f>
        <v>0</v>
      </c>
      <c r="CT194" s="473">
        <f>IF($AW194=1,IF(N($CR194+$CS194)&lt;N($AX194)*OP!$C$50,N($CR194+$CS194),MIN(N($CR194+$CS194),N($AX194))),0)</f>
        <v>0</v>
      </c>
      <c r="CV194" s="503">
        <f t="shared" ca="1" si="171"/>
        <v>109463.748217823</v>
      </c>
      <c r="CW194" s="503">
        <f t="shared" ca="1" si="172"/>
        <v>0</v>
      </c>
      <c r="CX194" s="503">
        <f t="shared" ca="1" si="173"/>
        <v>109697.683500475</v>
      </c>
    </row>
    <row r="195" spans="2:102" ht="16.5" hidden="1">
      <c r="B195" s="80"/>
      <c r="C195" s="80"/>
      <c r="D195" s="80"/>
      <c r="E195" s="80"/>
      <c r="F195" s="80"/>
      <c r="G195" s="80"/>
      <c r="H195" s="80"/>
      <c r="I195" s="80"/>
      <c r="J195" s="192">
        <f t="shared" si="140"/>
        <v>16</v>
      </c>
      <c r="K195" s="192">
        <f t="shared" si="141"/>
        <v>7</v>
      </c>
      <c r="L195" s="192" t="str">
        <f t="shared" si="134"/>
        <v/>
      </c>
      <c r="M195" s="216">
        <f t="shared" ca="1" si="142"/>
        <v>0</v>
      </c>
      <c r="N195" s="216"/>
      <c r="O195" s="216"/>
      <c r="P195" s="216"/>
      <c r="Q195" s="456" t="str">
        <f t="shared" ca="1" si="143"/>
        <v/>
      </c>
      <c r="R195" s="450">
        <f t="shared" ca="1" si="144"/>
        <v>1</v>
      </c>
      <c r="S195" s="191">
        <f t="shared" si="145"/>
        <v>16</v>
      </c>
      <c r="T195" s="191">
        <f t="shared" si="146"/>
        <v>7</v>
      </c>
      <c r="U195" s="191">
        <f ca="1">OP!$D$5+$S195-1</f>
        <v>48</v>
      </c>
      <c r="V195" s="191" t="str">
        <f t="shared" si="147"/>
        <v/>
      </c>
      <c r="W195" s="350">
        <f ca="1">IF(Q195&lt;&gt;1,0,VLOOKUP(OP!$C$55,PVFB,$S195+2,0))</f>
        <v>0</v>
      </c>
      <c r="X195" s="473">
        <f t="shared" ca="1" si="174"/>
        <v>0</v>
      </c>
      <c r="Y195" s="348">
        <f t="shared" ca="1" si="175"/>
        <v>0</v>
      </c>
      <c r="Z195" s="348">
        <f t="shared" ca="1" si="176"/>
        <v>8012</v>
      </c>
      <c r="AA195" s="348">
        <f ca="1">IF(Q195&lt;&gt;1,0,VLOOKUP(OP!$C$55,PVFB,$S195+2,0))</f>
        <v>0</v>
      </c>
      <c r="AB195" s="488" t="str">
        <f ca="1">IF(AND(S195&lt;OP!$C$24,$U195&lt;15),0,IF(AND($U195&lt;15,$T195=12),ROUND(VLOOKUP($S195,DOWN16,5,0),3),IF($T195=12,ROUND(($Z195/10000)*$AA195,3)+IF(AND($P$7="購買增額繳清保險",T195=12,U195=110),VLOOKUP(S195,$B$10:$H$121,7,0),0),"")))</f>
        <v/>
      </c>
      <c r="AC195" s="350" t="str">
        <f ca="1">IF(AND(S195&lt;OP!$C$24,$U195&lt;15),0,IF(AND($U195&lt;16,$T195=12),VLOOKUP($S195,DOWN16,4,0),IF($T195=12,ROUND(VLOOKUP(OP!$C$55,_DIE2,$S195+1,0)*(Z195/10000),0)+IF(AND($P$7="購買增額繳清保險",T195=12,U195=110),VLOOKUP(S195,$B$10:$H$121,7,0),0),"")))</f>
        <v/>
      </c>
      <c r="AD195" s="347"/>
      <c r="AE195" s="350" t="str">
        <f t="shared" ca="1" si="135"/>
        <v/>
      </c>
      <c r="AF195" s="351" t="str">
        <f t="shared" ca="1" si="136"/>
        <v/>
      </c>
      <c r="AG195" s="340"/>
      <c r="AH195" s="340"/>
      <c r="AI195" s="340"/>
      <c r="AJ195" s="340"/>
      <c r="AK195" s="340"/>
      <c r="AL195" s="340"/>
      <c r="AM195" s="340"/>
      <c r="AN195" s="191">
        <f t="shared" si="148"/>
        <v>16</v>
      </c>
      <c r="AO195" s="191">
        <f t="shared" si="149"/>
        <v>7</v>
      </c>
      <c r="AP195" s="191">
        <f ca="1">OP!$D$5+$AN195-1</f>
        <v>48</v>
      </c>
      <c r="AQ195" s="191" t="str">
        <f t="shared" si="150"/>
        <v/>
      </c>
      <c r="AR195" s="352">
        <f t="shared" ca="1" si="151"/>
        <v>0</v>
      </c>
      <c r="AS195" s="352"/>
      <c r="AT195" s="352"/>
      <c r="AU195" s="436"/>
      <c r="AV195" s="353" t="str">
        <f t="shared" ca="1" si="152"/>
        <v/>
      </c>
      <c r="AW195" s="422" t="str">
        <f t="shared" si="153"/>
        <v/>
      </c>
      <c r="AX195" s="423" t="str">
        <f ca="1">IF(AND($AW195=1,$AP195&lt;16,$AN194&lt;OP!$C$24),OP!$C$49,"")</f>
        <v/>
      </c>
      <c r="AY195" s="340"/>
      <c r="AZ195" s="465">
        <f t="shared" ca="1" si="154"/>
        <v>7.3698599999999999E-5</v>
      </c>
      <c r="BA195" s="464">
        <f t="shared" ca="1" si="155"/>
        <v>2.2109589000000002E-3</v>
      </c>
      <c r="BB195" s="465">
        <f t="shared" ca="1" si="155"/>
        <v>2.2846575E-3</v>
      </c>
      <c r="BC195" s="466">
        <f t="shared" ca="1" si="156"/>
        <v>48549</v>
      </c>
      <c r="BD195" s="467">
        <f t="shared" ca="1" si="177"/>
        <v>48550</v>
      </c>
      <c r="BE195" s="467">
        <f t="shared" ca="1" si="157"/>
        <v>48579</v>
      </c>
      <c r="BF195" s="468">
        <f ca="1">IF(計算!$BC195&lt;OP!$C$3,0,BD195-BC195)</f>
        <v>1</v>
      </c>
      <c r="BG195" s="468">
        <f ca="1">IF($BE195&gt;DATE(YEAR($BD$9)+OP!$C$57,MONTH($BD$9),DAY($BD$9)),0,$BE195-$BD195+1)</f>
        <v>30</v>
      </c>
      <c r="BH195" s="469">
        <f t="shared" ca="1" si="158"/>
        <v>31</v>
      </c>
      <c r="BI195" t="str">
        <f t="shared" si="187"/>
        <v/>
      </c>
      <c r="BJ195">
        <v>6</v>
      </c>
      <c r="BN195" s="468">
        <f t="shared" si="178"/>
        <v>16</v>
      </c>
      <c r="BO195" s="468">
        <f t="shared" si="179"/>
        <v>6</v>
      </c>
      <c r="BP195" s="467">
        <f t="shared" ca="1" si="159"/>
        <v>48550</v>
      </c>
      <c r="BQ195" s="475">
        <f t="shared" ca="1" si="185"/>
        <v>48</v>
      </c>
      <c r="BR195" s="475" t="str">
        <f t="shared" si="180"/>
        <v/>
      </c>
      <c r="BS195" s="471" t="str">
        <f t="shared" si="160"/>
        <v/>
      </c>
      <c r="BT195" s="472" t="str">
        <f t="shared" si="188"/>
        <v/>
      </c>
      <c r="BU195" s="472">
        <f t="shared" ca="1" si="161"/>
        <v>0</v>
      </c>
      <c r="BV195" s="472">
        <f t="shared" ca="1" si="161"/>
        <v>0</v>
      </c>
      <c r="BW195" s="472"/>
      <c r="BX195" s="473">
        <f t="shared" ca="1" si="162"/>
        <v>80589.396675965007</v>
      </c>
      <c r="BY195" s="473">
        <f t="shared" si="163"/>
        <v>0</v>
      </c>
      <c r="BZ195" s="473">
        <f t="shared" ca="1" si="137"/>
        <v>184.11916953599999</v>
      </c>
      <c r="CA195" s="476">
        <f t="shared" ca="1" si="164"/>
        <v>0</v>
      </c>
      <c r="CB195" s="494">
        <f ca="1">IF(OR($Q194&lt;&gt;1,OP!$D$5+$BN195-1&lt;16,$BN195-1&lt;1),0,ROUND(ROUND(ROUND(((VLOOKUP($BN195-1,MORE_PV,5,0)/10000)*VLOOKUP($BN195,MORE_PV,$CB$5,0)),3)*VLOOKUP($BN195,more1,5,0),0)/$R194,0))</f>
        <v>0</v>
      </c>
      <c r="CC195" s="473">
        <f t="shared" ca="1" si="165"/>
        <v>0</v>
      </c>
      <c r="CD195" s="477"/>
      <c r="CE195" s="468">
        <f t="shared" si="181"/>
        <v>16</v>
      </c>
      <c r="CF195" s="468">
        <f t="shared" si="182"/>
        <v>6</v>
      </c>
      <c r="CG195" s="467">
        <f t="shared" ca="1" si="138"/>
        <v>48550</v>
      </c>
      <c r="CH195" s="475">
        <f t="shared" ca="1" si="186"/>
        <v>48</v>
      </c>
      <c r="CI195" s="513" t="str">
        <f t="shared" si="183"/>
        <v/>
      </c>
      <c r="CJ195" s="511">
        <f t="shared" si="166"/>
        <v>0</v>
      </c>
      <c r="CK195" s="512">
        <f t="shared" si="167"/>
        <v>0</v>
      </c>
      <c r="CL195" s="511">
        <f t="shared" ca="1" si="184"/>
        <v>0</v>
      </c>
      <c r="CM195" s="511">
        <f ca="1">ROUND(CS195-IF(OR($CE195&gt;=OP!$C$24,AND(CH195=15,CF195=12),CS195=0),0,(CT195-CR195)),$CM$7)</f>
        <v>0</v>
      </c>
      <c r="CN195" s="511"/>
      <c r="CO195" s="351">
        <f t="shared" ca="1" si="168"/>
        <v>109706</v>
      </c>
      <c r="CP195" s="473">
        <f t="shared" si="169"/>
        <v>0</v>
      </c>
      <c r="CQ195" s="473">
        <f t="shared" ca="1" si="139"/>
        <v>250.64063569499999</v>
      </c>
      <c r="CR195" s="476">
        <f t="shared" ca="1" si="170"/>
        <v>0</v>
      </c>
      <c r="CS195" s="494">
        <f ca="1">IF(OR($Q194&lt;&gt;1,OP!$D$5+$CE195-1&lt;16,$CE195-1&lt;1),0,ROUND(ROUND(ROUND(((VLOOKUP($CE195-1,MORE_PV,5,0)/10000)*VLOOKUP($CE195,MORE_PV,$CS$5,0)),3)*VLOOKUP($CE195,more1,5,0),0)/$R194,0))</f>
        <v>0</v>
      </c>
      <c r="CT195" s="473">
        <f>IF($AW195=1,IF(N($CR195+$CS195)&lt;N($AX195)*OP!$C$50,N($CR195+$CS195),MIN(N($CR195+$CS195),N($AX195))),0)</f>
        <v>0</v>
      </c>
      <c r="CV195" s="503">
        <f t="shared" ca="1" si="171"/>
        <v>109705.76806617199</v>
      </c>
      <c r="CW195" s="503">
        <f t="shared" ca="1" si="172"/>
        <v>0</v>
      </c>
      <c r="CX195" s="503">
        <f t="shared" ca="1" si="173"/>
        <v>109948.30513581701</v>
      </c>
    </row>
    <row r="196" spans="2:102" ht="16.5" hidden="1">
      <c r="B196" s="80"/>
      <c r="C196" s="80"/>
      <c r="D196" s="80"/>
      <c r="E196" s="80"/>
      <c r="F196" s="80"/>
      <c r="G196" s="80"/>
      <c r="H196" s="80"/>
      <c r="I196" s="80"/>
      <c r="J196" s="192">
        <f t="shared" si="140"/>
        <v>16</v>
      </c>
      <c r="K196" s="192">
        <f t="shared" si="141"/>
        <v>8</v>
      </c>
      <c r="L196" s="192" t="str">
        <f t="shared" si="134"/>
        <v/>
      </c>
      <c r="M196" s="216">
        <f t="shared" ca="1" si="142"/>
        <v>0</v>
      </c>
      <c r="N196" s="216"/>
      <c r="O196" s="216"/>
      <c r="P196" s="216"/>
      <c r="Q196" s="456" t="str">
        <f t="shared" ca="1" si="143"/>
        <v/>
      </c>
      <c r="R196" s="450">
        <f t="shared" ca="1" si="144"/>
        <v>1</v>
      </c>
      <c r="S196" s="191">
        <f t="shared" si="145"/>
        <v>16</v>
      </c>
      <c r="T196" s="191">
        <f t="shared" si="146"/>
        <v>8</v>
      </c>
      <c r="U196" s="191">
        <f ca="1">OP!$D$5+$S196-1</f>
        <v>48</v>
      </c>
      <c r="V196" s="191" t="str">
        <f t="shared" si="147"/>
        <v/>
      </c>
      <c r="W196" s="350">
        <f ca="1">IF(Q196&lt;&gt;1,0,VLOOKUP(OP!$C$55,PVFB,$S196+2,0))</f>
        <v>0</v>
      </c>
      <c r="X196" s="473">
        <f t="shared" ca="1" si="174"/>
        <v>0</v>
      </c>
      <c r="Y196" s="348">
        <f t="shared" ca="1" si="175"/>
        <v>0</v>
      </c>
      <c r="Z196" s="348">
        <f t="shared" ca="1" si="176"/>
        <v>8012</v>
      </c>
      <c r="AA196" s="348">
        <f ca="1">IF(Q196&lt;&gt;1,0,VLOOKUP(OP!$C$55,PVFB,$S196+2,0))</f>
        <v>0</v>
      </c>
      <c r="AB196" s="488" t="str">
        <f ca="1">IF(AND(S196&lt;OP!$C$24,$U196&lt;15),0,IF(AND($U196&lt;15,$T196=12),ROUND(VLOOKUP($S196,DOWN16,5,0),3),IF($T196=12,ROUND(($Z196/10000)*$AA196,3)+IF(AND($P$7="購買增額繳清保險",T196=12,U196=110),VLOOKUP(S196,$B$10:$H$121,7,0),0),"")))</f>
        <v/>
      </c>
      <c r="AC196" s="350" t="str">
        <f ca="1">IF(AND(S196&lt;OP!$C$24,$U196&lt;15),0,IF(AND($U196&lt;16,$T196=12),VLOOKUP($S196,DOWN16,4,0),IF($T196=12,ROUND(VLOOKUP(OP!$C$55,_DIE2,$S196+1,0)*(Z196/10000),0)+IF(AND($P$7="購買增額繳清保險",T196=12,U196=110),VLOOKUP(S196,$B$10:$H$121,7,0),0),"")))</f>
        <v/>
      </c>
      <c r="AD196" s="347"/>
      <c r="AE196" s="350" t="str">
        <f t="shared" ca="1" si="135"/>
        <v/>
      </c>
      <c r="AF196" s="351" t="str">
        <f t="shared" ca="1" si="136"/>
        <v/>
      </c>
      <c r="AG196" s="340"/>
      <c r="AH196" s="340"/>
      <c r="AI196" s="340"/>
      <c r="AJ196" s="340"/>
      <c r="AK196" s="340"/>
      <c r="AL196" s="340"/>
      <c r="AM196" s="340"/>
      <c r="AN196" s="191">
        <f t="shared" si="148"/>
        <v>16</v>
      </c>
      <c r="AO196" s="191">
        <f t="shared" si="149"/>
        <v>8</v>
      </c>
      <c r="AP196" s="191">
        <f ca="1">OP!$D$5+$AN196-1</f>
        <v>48</v>
      </c>
      <c r="AQ196" s="191" t="str">
        <f t="shared" si="150"/>
        <v/>
      </c>
      <c r="AR196" s="352">
        <f t="shared" ca="1" si="151"/>
        <v>0</v>
      </c>
      <c r="AS196" s="352"/>
      <c r="AT196" s="352"/>
      <c r="AU196" s="436"/>
      <c r="AV196" s="353" t="str">
        <f t="shared" ca="1" si="152"/>
        <v/>
      </c>
      <c r="AW196" s="422" t="str">
        <f t="shared" si="153"/>
        <v/>
      </c>
      <c r="AX196" s="423" t="str">
        <f ca="1">IF(AND($AW196=1,$AP196&lt;16,$AN195&lt;OP!$C$24),OP!$C$49,"")</f>
        <v/>
      </c>
      <c r="AY196" s="340"/>
      <c r="AZ196" s="465">
        <f t="shared" ca="1" si="154"/>
        <v>7.3698599999999999E-5</v>
      </c>
      <c r="BA196" s="464">
        <f t="shared" ca="1" si="155"/>
        <v>2.2109589000000002E-3</v>
      </c>
      <c r="BB196" s="465">
        <f t="shared" ca="1" si="155"/>
        <v>2.2846575E-3</v>
      </c>
      <c r="BC196" s="466">
        <f t="shared" ca="1" si="156"/>
        <v>48580</v>
      </c>
      <c r="BD196" s="467">
        <f t="shared" ca="1" si="177"/>
        <v>48581</v>
      </c>
      <c r="BE196" s="467">
        <f t="shared" ca="1" si="157"/>
        <v>48610</v>
      </c>
      <c r="BF196" s="468">
        <f ca="1">IF(計算!$BC196&lt;OP!$C$3,0,BD196-BC196)</f>
        <v>1</v>
      </c>
      <c r="BG196" s="468">
        <f ca="1">IF($BE196&gt;DATE(YEAR($BD$9)+OP!$C$57,MONTH($BD$9),DAY($BD$9)),0,$BE196-$BD196+1)</f>
        <v>30</v>
      </c>
      <c r="BH196" s="469">
        <f t="shared" ca="1" si="158"/>
        <v>31</v>
      </c>
      <c r="BI196" t="str">
        <f t="shared" si="187"/>
        <v/>
      </c>
      <c r="BJ196">
        <v>7</v>
      </c>
      <c r="BN196" s="468">
        <f t="shared" si="178"/>
        <v>16</v>
      </c>
      <c r="BO196" s="468">
        <f t="shared" si="179"/>
        <v>7</v>
      </c>
      <c r="BP196" s="467">
        <f t="shared" ca="1" si="159"/>
        <v>48581</v>
      </c>
      <c r="BQ196" s="475">
        <f t="shared" ca="1" si="185"/>
        <v>48</v>
      </c>
      <c r="BR196" s="475" t="str">
        <f t="shared" si="180"/>
        <v/>
      </c>
      <c r="BS196" s="471" t="str">
        <f t="shared" si="160"/>
        <v/>
      </c>
      <c r="BT196" s="472" t="str">
        <f t="shared" si="188"/>
        <v/>
      </c>
      <c r="BU196" s="472">
        <f t="shared" ca="1" si="161"/>
        <v>0</v>
      </c>
      <c r="BV196" s="472">
        <f t="shared" ca="1" si="161"/>
        <v>0</v>
      </c>
      <c r="BW196" s="472"/>
      <c r="BX196" s="473">
        <f t="shared" ca="1" si="162"/>
        <v>80773.515845500995</v>
      </c>
      <c r="BY196" s="473">
        <f t="shared" si="163"/>
        <v>0</v>
      </c>
      <c r="BZ196" s="473">
        <f t="shared" ca="1" si="137"/>
        <v>184.53981877800001</v>
      </c>
      <c r="CA196" s="476">
        <f t="shared" ca="1" si="164"/>
        <v>0</v>
      </c>
      <c r="CB196" s="494">
        <f ca="1">IF(OR($Q195&lt;&gt;1,OP!$D$5+$BN196-1&lt;16,$BN196-1&lt;1),0,ROUND(ROUND(ROUND(((VLOOKUP($BN196-1,MORE_PV,5,0)/10000)*VLOOKUP($BN196,MORE_PV,$CB$5,0)),3)*VLOOKUP($BN196,more1,5,0),0)/$R195,0))</f>
        <v>0</v>
      </c>
      <c r="CC196" s="473">
        <f t="shared" ca="1" si="165"/>
        <v>0</v>
      </c>
      <c r="CD196" s="477"/>
      <c r="CE196" s="468">
        <f t="shared" si="181"/>
        <v>16</v>
      </c>
      <c r="CF196" s="468">
        <f t="shared" si="182"/>
        <v>7</v>
      </c>
      <c r="CG196" s="467">
        <f t="shared" ca="1" si="138"/>
        <v>48581</v>
      </c>
      <c r="CH196" s="475">
        <f t="shared" ca="1" si="186"/>
        <v>48</v>
      </c>
      <c r="CI196" s="513" t="str">
        <f t="shared" si="183"/>
        <v/>
      </c>
      <c r="CJ196" s="511">
        <f t="shared" si="166"/>
        <v>0</v>
      </c>
      <c r="CK196" s="512">
        <f t="shared" si="167"/>
        <v>0</v>
      </c>
      <c r="CL196" s="511">
        <f t="shared" ca="1" si="184"/>
        <v>0</v>
      </c>
      <c r="CM196" s="511">
        <f ca="1">ROUND(CS196-IF(OR($CE196&gt;=OP!$C$24,AND(CH196=15,CF196=12),CS196=0),0,(CT196-CR196)),$CM$7)</f>
        <v>0</v>
      </c>
      <c r="CN196" s="511"/>
      <c r="CO196" s="351">
        <f t="shared" ca="1" si="168"/>
        <v>109956</v>
      </c>
      <c r="CP196" s="473">
        <f t="shared" si="169"/>
        <v>0</v>
      </c>
      <c r="CQ196" s="473">
        <f t="shared" ca="1" si="139"/>
        <v>251.21180007000001</v>
      </c>
      <c r="CR196" s="476">
        <f t="shared" ca="1" si="170"/>
        <v>0</v>
      </c>
      <c r="CS196" s="494">
        <f ca="1">IF(OR($Q195&lt;&gt;1,OP!$D$5+$CE196-1&lt;16,$CE196-1&lt;1),0,ROUND(ROUND(ROUND(((VLOOKUP($CE196-1,MORE_PV,5,0)/10000)*VLOOKUP($CE196,MORE_PV,$CS$5,0)),3)*VLOOKUP($CE196,more1,5,0),0)/$R195,0))</f>
        <v>0</v>
      </c>
      <c r="CT196" s="473">
        <f>IF($AW196=1,IF(N($CR196+$CS196)&lt;N($AX196)*OP!$C$50,N($CR196+$CS196),MIN(N($CR196+$CS196),N($AX196))),0)</f>
        <v>0</v>
      </c>
      <c r="CV196" s="503">
        <f t="shared" ca="1" si="171"/>
        <v>109956.40817197799</v>
      </c>
      <c r="CW196" s="503">
        <f t="shared" ca="1" si="172"/>
        <v>0</v>
      </c>
      <c r="CX196" s="503">
        <f t="shared" ca="1" si="173"/>
        <v>110199.499355758</v>
      </c>
    </row>
    <row r="197" spans="2:102" ht="16.5" hidden="1">
      <c r="B197" s="80"/>
      <c r="C197" s="80"/>
      <c r="D197" s="80"/>
      <c r="E197" s="80"/>
      <c r="F197" s="80"/>
      <c r="G197" s="80"/>
      <c r="H197" s="80"/>
      <c r="I197" s="80"/>
      <c r="J197" s="192">
        <f t="shared" si="140"/>
        <v>16</v>
      </c>
      <c r="K197" s="192">
        <f t="shared" si="141"/>
        <v>9</v>
      </c>
      <c r="L197" s="192" t="str">
        <f t="shared" si="134"/>
        <v/>
      </c>
      <c r="M197" s="216">
        <f t="shared" ca="1" si="142"/>
        <v>0</v>
      </c>
      <c r="N197" s="216"/>
      <c r="O197" s="216"/>
      <c r="P197" s="216"/>
      <c r="Q197" s="456" t="str">
        <f t="shared" ca="1" si="143"/>
        <v/>
      </c>
      <c r="R197" s="450">
        <f t="shared" ca="1" si="144"/>
        <v>1</v>
      </c>
      <c r="S197" s="191">
        <f t="shared" si="145"/>
        <v>16</v>
      </c>
      <c r="T197" s="191">
        <f t="shared" si="146"/>
        <v>9</v>
      </c>
      <c r="U197" s="191">
        <f ca="1">OP!$D$5+$S197-1</f>
        <v>48</v>
      </c>
      <c r="V197" s="191" t="str">
        <f t="shared" si="147"/>
        <v/>
      </c>
      <c r="W197" s="350">
        <f ca="1">IF(Q197&lt;&gt;1,0,VLOOKUP(OP!$C$55,PVFB,$S197+2,0))</f>
        <v>0</v>
      </c>
      <c r="X197" s="473">
        <f t="shared" ca="1" si="174"/>
        <v>0</v>
      </c>
      <c r="Y197" s="348">
        <f t="shared" ca="1" si="175"/>
        <v>0</v>
      </c>
      <c r="Z197" s="348">
        <f t="shared" ca="1" si="176"/>
        <v>8012</v>
      </c>
      <c r="AA197" s="348">
        <f ca="1">IF(Q197&lt;&gt;1,0,VLOOKUP(OP!$C$55,PVFB,$S197+2,0))</f>
        <v>0</v>
      </c>
      <c r="AB197" s="488" t="str">
        <f ca="1">IF(AND(S197&lt;OP!$C$24,$U197&lt;15),0,IF(AND($U197&lt;15,$T197=12),ROUND(VLOOKUP($S197,DOWN16,5,0),3),IF($T197=12,ROUND(($Z197/10000)*$AA197,3)+IF(AND($P$7="購買增額繳清保險",T197=12,U197=110),VLOOKUP(S197,$B$10:$H$121,7,0),0),"")))</f>
        <v/>
      </c>
      <c r="AC197" s="350" t="str">
        <f ca="1">IF(AND(S197&lt;OP!$C$24,$U197&lt;15),0,IF(AND($U197&lt;16,$T197=12),VLOOKUP($S197,DOWN16,4,0),IF($T197=12,ROUND(VLOOKUP(OP!$C$55,_DIE2,$S197+1,0)*(Z197/10000),0)+IF(AND($P$7="購買增額繳清保險",T197=12,U197=110),VLOOKUP(S197,$B$10:$H$121,7,0),0),"")))</f>
        <v/>
      </c>
      <c r="AD197" s="347"/>
      <c r="AE197" s="350" t="str">
        <f t="shared" ca="1" si="135"/>
        <v/>
      </c>
      <c r="AF197" s="351" t="str">
        <f t="shared" ca="1" si="136"/>
        <v/>
      </c>
      <c r="AG197" s="340"/>
      <c r="AH197" s="340"/>
      <c r="AI197" s="340"/>
      <c r="AJ197" s="340"/>
      <c r="AK197" s="340"/>
      <c r="AL197" s="340"/>
      <c r="AM197" s="340"/>
      <c r="AN197" s="191">
        <f t="shared" si="148"/>
        <v>16</v>
      </c>
      <c r="AO197" s="191">
        <f t="shared" si="149"/>
        <v>9</v>
      </c>
      <c r="AP197" s="191">
        <f ca="1">OP!$D$5+$AN197-1</f>
        <v>48</v>
      </c>
      <c r="AQ197" s="191" t="str">
        <f t="shared" si="150"/>
        <v/>
      </c>
      <c r="AR197" s="352">
        <f t="shared" ca="1" si="151"/>
        <v>0</v>
      </c>
      <c r="AS197" s="352"/>
      <c r="AT197" s="352"/>
      <c r="AU197" s="436"/>
      <c r="AV197" s="353" t="str">
        <f t="shared" ca="1" si="152"/>
        <v/>
      </c>
      <c r="AW197" s="422" t="str">
        <f t="shared" si="153"/>
        <v/>
      </c>
      <c r="AX197" s="423" t="str">
        <f ca="1">IF(AND($AW197=1,$AP197&lt;16,$AN196&lt;OP!$C$24),OP!$C$49,"")</f>
        <v/>
      </c>
      <c r="AY197" s="340"/>
      <c r="AZ197" s="465">
        <f t="shared" ca="1" si="154"/>
        <v>7.3698599999999999E-5</v>
      </c>
      <c r="BA197" s="464">
        <f t="shared" ca="1" si="155"/>
        <v>1.9898630000000001E-3</v>
      </c>
      <c r="BB197" s="465">
        <f t="shared" ca="1" si="155"/>
        <v>2.0635616E-3</v>
      </c>
      <c r="BC197" s="466">
        <f t="shared" ca="1" si="156"/>
        <v>48611</v>
      </c>
      <c r="BD197" s="467">
        <f t="shared" ca="1" si="177"/>
        <v>48612</v>
      </c>
      <c r="BE197" s="467">
        <f t="shared" ca="1" si="157"/>
        <v>48638</v>
      </c>
      <c r="BF197" s="468">
        <f ca="1">IF(計算!$BC197&lt;OP!$C$3,0,BD197-BC197)</f>
        <v>1</v>
      </c>
      <c r="BG197" s="468">
        <f ca="1">IF($BE197&gt;DATE(YEAR($BD$9)+OP!$C$57,MONTH($BD$9),DAY($BD$9)),0,$BE197-$BD197+1)</f>
        <v>27</v>
      </c>
      <c r="BH197" s="469">
        <f t="shared" ca="1" si="158"/>
        <v>28</v>
      </c>
      <c r="BI197" t="str">
        <f t="shared" si="187"/>
        <v/>
      </c>
      <c r="BJ197">
        <v>8</v>
      </c>
      <c r="BN197" s="468">
        <f t="shared" si="178"/>
        <v>16</v>
      </c>
      <c r="BO197" s="468">
        <f t="shared" si="179"/>
        <v>8</v>
      </c>
      <c r="BP197" s="467">
        <f t="shared" ca="1" si="159"/>
        <v>48612</v>
      </c>
      <c r="BQ197" s="475">
        <f t="shared" ca="1" si="185"/>
        <v>48</v>
      </c>
      <c r="BR197" s="475" t="str">
        <f t="shared" si="180"/>
        <v/>
      </c>
      <c r="BS197" s="471" t="str">
        <f t="shared" si="160"/>
        <v/>
      </c>
      <c r="BT197" s="472" t="str">
        <f t="shared" si="188"/>
        <v/>
      </c>
      <c r="BU197" s="472">
        <f t="shared" ca="1" si="161"/>
        <v>0</v>
      </c>
      <c r="BV197" s="472">
        <f t="shared" ca="1" si="161"/>
        <v>0</v>
      </c>
      <c r="BW197" s="472"/>
      <c r="BX197" s="473">
        <f t="shared" ca="1" si="162"/>
        <v>80958.055664279003</v>
      </c>
      <c r="BY197" s="473">
        <f t="shared" si="163"/>
        <v>0</v>
      </c>
      <c r="BZ197" s="473">
        <f t="shared" ca="1" si="137"/>
        <v>167.06193487900001</v>
      </c>
      <c r="CA197" s="476">
        <f t="shared" ca="1" si="164"/>
        <v>0</v>
      </c>
      <c r="CB197" s="494">
        <f ca="1">IF(OR($Q196&lt;&gt;1,OP!$D$5+$BN197-1&lt;16,$BN197-1&lt;1),0,ROUND(ROUND(ROUND(((VLOOKUP($BN197-1,MORE_PV,5,0)/10000)*VLOOKUP($BN197,MORE_PV,$CB$5,0)),3)*VLOOKUP($BN197,more1,5,0),0)/$R196,0))</f>
        <v>0</v>
      </c>
      <c r="CC197" s="473">
        <f t="shared" ca="1" si="165"/>
        <v>0</v>
      </c>
      <c r="CD197" s="477"/>
      <c r="CE197" s="468">
        <f t="shared" si="181"/>
        <v>16</v>
      </c>
      <c r="CF197" s="468">
        <f t="shared" si="182"/>
        <v>8</v>
      </c>
      <c r="CG197" s="467">
        <f t="shared" ca="1" si="138"/>
        <v>48612</v>
      </c>
      <c r="CH197" s="475">
        <f t="shared" ca="1" si="186"/>
        <v>48</v>
      </c>
      <c r="CI197" s="513" t="str">
        <f t="shared" si="183"/>
        <v/>
      </c>
      <c r="CJ197" s="511">
        <f t="shared" si="166"/>
        <v>0</v>
      </c>
      <c r="CK197" s="512">
        <f t="shared" si="167"/>
        <v>0</v>
      </c>
      <c r="CL197" s="511">
        <f t="shared" ca="1" si="184"/>
        <v>0</v>
      </c>
      <c r="CM197" s="511">
        <f ca="1">ROUND(CS197-IF(OR($CE197&gt;=OP!$C$24,AND(CH197=15,CF197=12),CS197=0),0,(CT197-CR197)),$CM$7)</f>
        <v>0</v>
      </c>
      <c r="CN197" s="511"/>
      <c r="CO197" s="351">
        <f t="shared" ca="1" si="168"/>
        <v>110208</v>
      </c>
      <c r="CP197" s="473">
        <f t="shared" si="169"/>
        <v>0</v>
      </c>
      <c r="CQ197" s="473">
        <f t="shared" ca="1" si="139"/>
        <v>227.42099681299999</v>
      </c>
      <c r="CR197" s="476">
        <f t="shared" ca="1" si="170"/>
        <v>0</v>
      </c>
      <c r="CS197" s="494">
        <f ca="1">IF(OR($Q196&lt;&gt;1,OP!$D$5+$CE197-1&lt;16,$CE197-1&lt;1),0,ROUND(ROUND(ROUND(((VLOOKUP($CE197-1,MORE_PV,5,0)/10000)*VLOOKUP($CE197,MORE_PV,$CS$5,0)),3)*VLOOKUP($CE197,more1,5,0),0)/$R196,0))</f>
        <v>0</v>
      </c>
      <c r="CT197" s="473">
        <f>IF($AW197=1,IF(N($CR197+$CS197)&lt;N($AX197)*OP!$C$50,N($CR197+$CS197),MIN(N($CR197+$CS197),N($AX197))),0)</f>
        <v>0</v>
      </c>
      <c r="CV197" s="503">
        <f t="shared" ca="1" si="171"/>
        <v>110207.620904581</v>
      </c>
      <c r="CW197" s="503">
        <f t="shared" ca="1" si="172"/>
        <v>0</v>
      </c>
      <c r="CX197" s="503">
        <f t="shared" ca="1" si="173"/>
        <v>110426.90281096799</v>
      </c>
    </row>
    <row r="198" spans="2:102" ht="16.5" hidden="1">
      <c r="B198" s="80"/>
      <c r="C198" s="80"/>
      <c r="D198" s="80"/>
      <c r="E198" s="80"/>
      <c r="F198" s="80"/>
      <c r="G198" s="80"/>
      <c r="H198" s="80"/>
      <c r="I198" s="80"/>
      <c r="J198" s="192">
        <f t="shared" si="140"/>
        <v>16</v>
      </c>
      <c r="K198" s="192">
        <f t="shared" si="141"/>
        <v>10</v>
      </c>
      <c r="L198" s="192" t="str">
        <f t="shared" si="134"/>
        <v/>
      </c>
      <c r="M198" s="216">
        <f t="shared" ca="1" si="142"/>
        <v>0</v>
      </c>
      <c r="N198" s="216"/>
      <c r="O198" s="216"/>
      <c r="P198" s="216"/>
      <c r="Q198" s="456" t="str">
        <f t="shared" ca="1" si="143"/>
        <v/>
      </c>
      <c r="R198" s="450">
        <f t="shared" ca="1" si="144"/>
        <v>1</v>
      </c>
      <c r="S198" s="191">
        <f t="shared" si="145"/>
        <v>16</v>
      </c>
      <c r="T198" s="191">
        <f t="shared" si="146"/>
        <v>10</v>
      </c>
      <c r="U198" s="191">
        <f ca="1">OP!$D$5+$S198-1</f>
        <v>48</v>
      </c>
      <c r="V198" s="191" t="str">
        <f t="shared" si="147"/>
        <v/>
      </c>
      <c r="W198" s="350">
        <f ca="1">IF(Q198&lt;&gt;1,0,VLOOKUP(OP!$C$55,PVFB,$S198+2,0))</f>
        <v>0</v>
      </c>
      <c r="X198" s="473">
        <f t="shared" ca="1" si="174"/>
        <v>0</v>
      </c>
      <c r="Y198" s="348">
        <f t="shared" ca="1" si="175"/>
        <v>0</v>
      </c>
      <c r="Z198" s="348">
        <f t="shared" ca="1" si="176"/>
        <v>8012</v>
      </c>
      <c r="AA198" s="348">
        <f ca="1">IF(Q198&lt;&gt;1,0,VLOOKUP(OP!$C$55,PVFB,$S198+2,0))</f>
        <v>0</v>
      </c>
      <c r="AB198" s="488" t="str">
        <f ca="1">IF(AND(S198&lt;OP!$C$24,$U198&lt;15),0,IF(AND($U198&lt;15,$T198=12),ROUND(VLOOKUP($S198,DOWN16,5,0),3),IF($T198=12,ROUND(($Z198/10000)*$AA198,3)+IF(AND($P$7="購買增額繳清保險",T198=12,U198=110),VLOOKUP(S198,$B$10:$H$121,7,0),0),"")))</f>
        <v/>
      </c>
      <c r="AC198" s="350" t="str">
        <f ca="1">IF(AND(S198&lt;OP!$C$24,$U198&lt;15),0,IF(AND($U198&lt;16,$T198=12),VLOOKUP($S198,DOWN16,4,0),IF($T198=12,ROUND(VLOOKUP(OP!$C$55,_DIE2,$S198+1,0)*(Z198/10000),0)+IF(AND($P$7="購買增額繳清保險",T198=12,U198=110),VLOOKUP(S198,$B$10:$H$121,7,0),0),"")))</f>
        <v/>
      </c>
      <c r="AD198" s="347"/>
      <c r="AE198" s="350" t="str">
        <f t="shared" ca="1" si="135"/>
        <v/>
      </c>
      <c r="AF198" s="351" t="str">
        <f t="shared" ca="1" si="136"/>
        <v/>
      </c>
      <c r="AG198" s="340"/>
      <c r="AH198" s="340"/>
      <c r="AI198" s="340"/>
      <c r="AJ198" s="340"/>
      <c r="AK198" s="340"/>
      <c r="AL198" s="340"/>
      <c r="AM198" s="340"/>
      <c r="AN198" s="191">
        <f t="shared" si="148"/>
        <v>16</v>
      </c>
      <c r="AO198" s="191">
        <f t="shared" si="149"/>
        <v>10</v>
      </c>
      <c r="AP198" s="191">
        <f ca="1">OP!$D$5+$AN198-1</f>
        <v>48</v>
      </c>
      <c r="AQ198" s="191" t="str">
        <f t="shared" si="150"/>
        <v/>
      </c>
      <c r="AR198" s="352">
        <f t="shared" ca="1" si="151"/>
        <v>0</v>
      </c>
      <c r="AS198" s="352"/>
      <c r="AT198" s="352"/>
      <c r="AU198" s="436"/>
      <c r="AV198" s="353" t="str">
        <f t="shared" ca="1" si="152"/>
        <v/>
      </c>
      <c r="AW198" s="422" t="str">
        <f t="shared" si="153"/>
        <v/>
      </c>
      <c r="AX198" s="423" t="str">
        <f ca="1">IF(AND($AW198=1,$AP198&lt;16,$AN197&lt;OP!$C$24),OP!$C$49,"")</f>
        <v/>
      </c>
      <c r="AY198" s="340"/>
      <c r="AZ198" s="465">
        <f t="shared" ca="1" si="154"/>
        <v>7.3698599999999999E-5</v>
      </c>
      <c r="BA198" s="464">
        <f t="shared" ca="1" si="155"/>
        <v>2.2109589000000002E-3</v>
      </c>
      <c r="BB198" s="465">
        <f t="shared" ca="1" si="155"/>
        <v>2.2846575E-3</v>
      </c>
      <c r="BC198" s="466">
        <f t="shared" ca="1" si="156"/>
        <v>48639</v>
      </c>
      <c r="BD198" s="467">
        <f t="shared" ca="1" si="177"/>
        <v>48640</v>
      </c>
      <c r="BE198" s="467">
        <f t="shared" ca="1" si="157"/>
        <v>48669</v>
      </c>
      <c r="BF198" s="468">
        <f ca="1">IF(計算!$BC198&lt;OP!$C$3,0,BD198-BC198)</f>
        <v>1</v>
      </c>
      <c r="BG198" s="468">
        <f ca="1">IF($BE198&gt;DATE(YEAR($BD$9)+OP!$C$57,MONTH($BD$9),DAY($BD$9)),0,$BE198-$BD198+1)</f>
        <v>30</v>
      </c>
      <c r="BH198" s="469">
        <f t="shared" ca="1" si="158"/>
        <v>31</v>
      </c>
      <c r="BI198" t="str">
        <f t="shared" si="187"/>
        <v/>
      </c>
      <c r="BJ198">
        <v>9</v>
      </c>
      <c r="BN198" s="468">
        <f t="shared" si="178"/>
        <v>16</v>
      </c>
      <c r="BO198" s="468">
        <f t="shared" si="179"/>
        <v>9</v>
      </c>
      <c r="BP198" s="467">
        <f t="shared" ca="1" si="159"/>
        <v>48640</v>
      </c>
      <c r="BQ198" s="475">
        <f t="shared" ca="1" si="185"/>
        <v>48</v>
      </c>
      <c r="BR198" s="475" t="str">
        <f t="shared" si="180"/>
        <v/>
      </c>
      <c r="BS198" s="471" t="str">
        <f t="shared" si="160"/>
        <v/>
      </c>
      <c r="BT198" s="472" t="str">
        <f t="shared" si="188"/>
        <v/>
      </c>
      <c r="BU198" s="472">
        <f t="shared" ca="1" si="161"/>
        <v>0</v>
      </c>
      <c r="BV198" s="472">
        <f t="shared" ca="1" si="161"/>
        <v>0</v>
      </c>
      <c r="BW198" s="472"/>
      <c r="BX198" s="473">
        <f t="shared" ca="1" si="162"/>
        <v>81125.117599157995</v>
      </c>
      <c r="BY198" s="473">
        <f t="shared" si="163"/>
        <v>0</v>
      </c>
      <c r="BZ198" s="473">
        <f t="shared" ca="1" si="137"/>
        <v>185.34310836099999</v>
      </c>
      <c r="CA198" s="476">
        <f t="shared" ca="1" si="164"/>
        <v>0</v>
      </c>
      <c r="CB198" s="494">
        <f ca="1">IF(OR($Q197&lt;&gt;1,OP!$D$5+$BN198-1&lt;16,$BN198-1&lt;1),0,ROUND(ROUND(ROUND(((VLOOKUP($BN198-1,MORE_PV,5,0)/10000)*VLOOKUP($BN198,MORE_PV,$CB$5,0)),3)*VLOOKUP($BN198,more1,5,0),0)/$R197,0))</f>
        <v>0</v>
      </c>
      <c r="CC198" s="473">
        <f t="shared" ca="1" si="165"/>
        <v>0</v>
      </c>
      <c r="CD198" s="477"/>
      <c r="CE198" s="468">
        <f t="shared" si="181"/>
        <v>16</v>
      </c>
      <c r="CF198" s="468">
        <f t="shared" si="182"/>
        <v>9</v>
      </c>
      <c r="CG198" s="467">
        <f t="shared" ca="1" si="138"/>
        <v>48640</v>
      </c>
      <c r="CH198" s="475">
        <f t="shared" ca="1" si="186"/>
        <v>48</v>
      </c>
      <c r="CI198" s="513" t="str">
        <f t="shared" si="183"/>
        <v/>
      </c>
      <c r="CJ198" s="511">
        <f t="shared" si="166"/>
        <v>0</v>
      </c>
      <c r="CK198" s="512">
        <f t="shared" si="167"/>
        <v>0</v>
      </c>
      <c r="CL198" s="511">
        <f t="shared" ca="1" si="184"/>
        <v>0</v>
      </c>
      <c r="CM198" s="511">
        <f ca="1">ROUND(CS198-IF(OR($CE198&gt;=OP!$C$24,AND(CH198=15,CF198=12),CS198=0),0,(CT198-CR198)),$CM$7)</f>
        <v>0</v>
      </c>
      <c r="CN198" s="511"/>
      <c r="CO198" s="351">
        <f t="shared" ca="1" si="168"/>
        <v>110435</v>
      </c>
      <c r="CP198" s="473">
        <f t="shared" si="169"/>
        <v>0</v>
      </c>
      <c r="CQ198" s="473">
        <f t="shared" ca="1" si="139"/>
        <v>252.306151013</v>
      </c>
      <c r="CR198" s="476">
        <f t="shared" ca="1" si="170"/>
        <v>0</v>
      </c>
      <c r="CS198" s="494">
        <f ca="1">IF(OR($Q197&lt;&gt;1,OP!$D$5+$CE198-1&lt;16,$CE198-1&lt;1),0,ROUND(ROUND(ROUND(((VLOOKUP($CE198-1,MORE_PV,5,0)/10000)*VLOOKUP($CE198,MORE_PV,$CS$5,0)),3)*VLOOKUP($CE198,more1,5,0),0)/$R197,0))</f>
        <v>0</v>
      </c>
      <c r="CT198" s="473">
        <f>IF($AW198=1,IF(N($CR198+$CS198)&lt;N($AX198)*OP!$C$50,N($CR198+$CS198),MIN(N($CR198+$CS198),N($AX198))),0)</f>
        <v>0</v>
      </c>
      <c r="CV198" s="503">
        <f t="shared" ca="1" si="171"/>
        <v>110435.04111910801</v>
      </c>
      <c r="CW198" s="503">
        <f t="shared" ca="1" si="172"/>
        <v>0</v>
      </c>
      <c r="CX198" s="503">
        <f t="shared" ca="1" si="173"/>
        <v>110679.190462677</v>
      </c>
    </row>
    <row r="199" spans="2:102" ht="16.5" hidden="1">
      <c r="B199" s="80"/>
      <c r="C199" s="80"/>
      <c r="D199" s="80"/>
      <c r="E199" s="80"/>
      <c r="F199" s="80"/>
      <c r="G199" s="80"/>
      <c r="H199" s="80"/>
      <c r="I199" s="80"/>
      <c r="J199" s="192">
        <f t="shared" si="140"/>
        <v>16</v>
      </c>
      <c r="K199" s="192">
        <f t="shared" si="141"/>
        <v>11</v>
      </c>
      <c r="L199" s="192" t="str">
        <f t="shared" si="134"/>
        <v/>
      </c>
      <c r="M199" s="216">
        <f t="shared" ca="1" si="142"/>
        <v>0</v>
      </c>
      <c r="N199" s="216"/>
      <c r="O199" s="216"/>
      <c r="P199" s="216"/>
      <c r="Q199" s="456" t="str">
        <f t="shared" ca="1" si="143"/>
        <v/>
      </c>
      <c r="R199" s="450">
        <f t="shared" ca="1" si="144"/>
        <v>1</v>
      </c>
      <c r="S199" s="191">
        <f t="shared" si="145"/>
        <v>16</v>
      </c>
      <c r="T199" s="191">
        <f t="shared" si="146"/>
        <v>11</v>
      </c>
      <c r="U199" s="191">
        <f ca="1">OP!$D$5+$S199-1</f>
        <v>48</v>
      </c>
      <c r="V199" s="191" t="str">
        <f t="shared" si="147"/>
        <v/>
      </c>
      <c r="W199" s="350">
        <f ca="1">IF(Q199&lt;&gt;1,0,VLOOKUP(OP!$C$55,PVFB,$S199+2,0))</f>
        <v>0</v>
      </c>
      <c r="X199" s="473">
        <f t="shared" ca="1" si="174"/>
        <v>0</v>
      </c>
      <c r="Y199" s="348">
        <f t="shared" ca="1" si="175"/>
        <v>0</v>
      </c>
      <c r="Z199" s="348">
        <f t="shared" ca="1" si="176"/>
        <v>8012</v>
      </c>
      <c r="AA199" s="348">
        <f ca="1">IF(Q199&lt;&gt;1,0,VLOOKUP(OP!$C$55,PVFB,$S199+2,0))</f>
        <v>0</v>
      </c>
      <c r="AB199" s="488" t="str">
        <f ca="1">IF(AND(S199&lt;OP!$C$24,$U199&lt;15),0,IF(AND($U199&lt;15,$T199=12),ROUND(VLOOKUP($S199,DOWN16,5,0),3),IF($T199=12,ROUND(($Z199/10000)*$AA199,3)+IF(AND($P$7="購買增額繳清保險",T199=12,U199=110),VLOOKUP(S199,$B$10:$H$121,7,0),0),"")))</f>
        <v/>
      </c>
      <c r="AC199" s="350" t="str">
        <f ca="1">IF(AND(S199&lt;OP!$C$24,$U199&lt;15),0,IF(AND($U199&lt;16,$T199=12),VLOOKUP($S199,DOWN16,4,0),IF($T199=12,ROUND(VLOOKUP(OP!$C$55,_DIE2,$S199+1,0)*(Z199/10000),0)+IF(AND($P$7="購買增額繳清保險",T199=12,U199=110),VLOOKUP(S199,$B$10:$H$121,7,0),0),"")))</f>
        <v/>
      </c>
      <c r="AD199" s="347"/>
      <c r="AE199" s="350" t="str">
        <f t="shared" ca="1" si="135"/>
        <v/>
      </c>
      <c r="AF199" s="351" t="str">
        <f t="shared" ca="1" si="136"/>
        <v/>
      </c>
      <c r="AG199" s="340"/>
      <c r="AH199" s="340"/>
      <c r="AI199" s="340"/>
      <c r="AJ199" s="340"/>
      <c r="AK199" s="340"/>
      <c r="AL199" s="340"/>
      <c r="AM199" s="340"/>
      <c r="AN199" s="191">
        <f t="shared" si="148"/>
        <v>16</v>
      </c>
      <c r="AO199" s="191">
        <f t="shared" si="149"/>
        <v>11</v>
      </c>
      <c r="AP199" s="191">
        <f ca="1">OP!$D$5+$AN199-1</f>
        <v>48</v>
      </c>
      <c r="AQ199" s="191" t="str">
        <f t="shared" si="150"/>
        <v/>
      </c>
      <c r="AR199" s="352">
        <f t="shared" ca="1" si="151"/>
        <v>0</v>
      </c>
      <c r="AS199" s="352"/>
      <c r="AT199" s="352"/>
      <c r="AU199" s="436"/>
      <c r="AV199" s="353" t="str">
        <f t="shared" ca="1" si="152"/>
        <v/>
      </c>
      <c r="AW199" s="422" t="str">
        <f t="shared" si="153"/>
        <v/>
      </c>
      <c r="AX199" s="423" t="str">
        <f ca="1">IF(AND($AW199=1,$AP199&lt;16,$AN198&lt;OP!$C$24),OP!$C$49,"")</f>
        <v/>
      </c>
      <c r="AY199" s="340"/>
      <c r="AZ199" s="465">
        <f t="shared" ca="1" si="154"/>
        <v>7.3698599999999999E-5</v>
      </c>
      <c r="BA199" s="464">
        <f t="shared" ca="1" si="155"/>
        <v>2.1372602999999999E-3</v>
      </c>
      <c r="BB199" s="465">
        <f t="shared" ca="1" si="155"/>
        <v>2.2109589000000002E-3</v>
      </c>
      <c r="BC199" s="466">
        <f t="shared" ca="1" si="156"/>
        <v>48670</v>
      </c>
      <c r="BD199" s="467">
        <f t="shared" ca="1" si="177"/>
        <v>48671</v>
      </c>
      <c r="BE199" s="467">
        <f t="shared" ca="1" si="157"/>
        <v>48699</v>
      </c>
      <c r="BF199" s="468">
        <f ca="1">IF(計算!$BC199&lt;OP!$C$3,0,BD199-BC199)</f>
        <v>1</v>
      </c>
      <c r="BG199" s="468">
        <f ca="1">IF($BE199&gt;DATE(YEAR($BD$9)+OP!$C$57,MONTH($BD$9),DAY($BD$9)),0,$BE199-$BD199+1)</f>
        <v>29</v>
      </c>
      <c r="BH199" s="469">
        <f t="shared" ca="1" si="158"/>
        <v>30</v>
      </c>
      <c r="BI199" t="str">
        <f t="shared" si="187"/>
        <v/>
      </c>
      <c r="BJ199">
        <v>10</v>
      </c>
      <c r="BN199" s="468">
        <f t="shared" si="178"/>
        <v>16</v>
      </c>
      <c r="BO199" s="468">
        <f t="shared" si="179"/>
        <v>10</v>
      </c>
      <c r="BP199" s="467">
        <f t="shared" ca="1" si="159"/>
        <v>48671</v>
      </c>
      <c r="BQ199" s="475">
        <f t="shared" ca="1" si="185"/>
        <v>48</v>
      </c>
      <c r="BR199" s="475" t="str">
        <f t="shared" si="180"/>
        <v/>
      </c>
      <c r="BS199" s="471" t="str">
        <f t="shared" si="160"/>
        <v/>
      </c>
      <c r="BT199" s="472" t="str">
        <f t="shared" si="188"/>
        <v/>
      </c>
      <c r="BU199" s="472">
        <f t="shared" ca="1" si="161"/>
        <v>0</v>
      </c>
      <c r="BV199" s="472">
        <f t="shared" ca="1" si="161"/>
        <v>0</v>
      </c>
      <c r="BW199" s="472"/>
      <c r="BX199" s="473">
        <f t="shared" ca="1" si="162"/>
        <v>81310.460707519</v>
      </c>
      <c r="BY199" s="473">
        <f t="shared" si="163"/>
        <v>0</v>
      </c>
      <c r="BZ199" s="473">
        <f t="shared" ca="1" si="137"/>
        <v>179.774086764</v>
      </c>
      <c r="CA199" s="476">
        <f t="shared" ca="1" si="164"/>
        <v>0</v>
      </c>
      <c r="CB199" s="494">
        <f ca="1">IF(OR($Q198&lt;&gt;1,OP!$D$5+$BN199-1&lt;16,$BN199-1&lt;1),0,ROUND(ROUND(ROUND(((VLOOKUP($BN199-1,MORE_PV,5,0)/10000)*VLOOKUP($BN199,MORE_PV,$CB$5,0)),3)*VLOOKUP($BN199,more1,5,0),0)/$R198,0))</f>
        <v>0</v>
      </c>
      <c r="CC199" s="473">
        <f t="shared" ca="1" si="165"/>
        <v>0</v>
      </c>
      <c r="CD199" s="477"/>
      <c r="CE199" s="468">
        <f t="shared" si="181"/>
        <v>16</v>
      </c>
      <c r="CF199" s="468">
        <f t="shared" si="182"/>
        <v>10</v>
      </c>
      <c r="CG199" s="467">
        <f t="shared" ca="1" si="138"/>
        <v>48671</v>
      </c>
      <c r="CH199" s="475">
        <f t="shared" ca="1" si="186"/>
        <v>48</v>
      </c>
      <c r="CI199" s="513" t="str">
        <f t="shared" si="183"/>
        <v/>
      </c>
      <c r="CJ199" s="511">
        <f t="shared" si="166"/>
        <v>0</v>
      </c>
      <c r="CK199" s="512">
        <f t="shared" si="167"/>
        <v>0</v>
      </c>
      <c r="CL199" s="511">
        <f t="shared" ca="1" si="184"/>
        <v>0</v>
      </c>
      <c r="CM199" s="511">
        <f ca="1">ROUND(CS199-IF(OR($CE199&gt;=OP!$C$24,AND(CH199=15,CF199=12),CS199=0),0,(CT199-CR199)),$CM$7)</f>
        <v>0</v>
      </c>
      <c r="CN199" s="511"/>
      <c r="CO199" s="351">
        <f t="shared" ca="1" si="168"/>
        <v>110687</v>
      </c>
      <c r="CP199" s="473">
        <f t="shared" si="169"/>
        <v>0</v>
      </c>
      <c r="CQ199" s="473">
        <f t="shared" ca="1" si="139"/>
        <v>244.72440776400001</v>
      </c>
      <c r="CR199" s="476">
        <f t="shared" ca="1" si="170"/>
        <v>0</v>
      </c>
      <c r="CS199" s="494">
        <f ca="1">IF(OR($Q198&lt;&gt;1,OP!$D$5+$CE199-1&lt;16,$CE199-1&lt;1),0,ROUND(ROUND(ROUND(((VLOOKUP($CE199-1,MORE_PV,5,0)/10000)*VLOOKUP($CE199,MORE_PV,$CS$5,0)),3)*VLOOKUP($CE199,more1,5,0),0)/$R198,0))</f>
        <v>0</v>
      </c>
      <c r="CT199" s="473">
        <f>IF($AW199=1,IF(N($CR199+$CS199)&lt;N($AX199)*OP!$C$50,N($CR199+$CS199),MIN(N($CR199+$CS199),N($AX199))),0)</f>
        <v>0</v>
      </c>
      <c r="CV199" s="503">
        <f t="shared" ca="1" si="171"/>
        <v>110687.347364063</v>
      </c>
      <c r="CW199" s="503">
        <f t="shared" ca="1" si="172"/>
        <v>0</v>
      </c>
      <c r="CX199" s="503">
        <f t="shared" ca="1" si="173"/>
        <v>110923.897603875</v>
      </c>
    </row>
    <row r="200" spans="2:102" ht="16.5" hidden="1">
      <c r="B200" s="80"/>
      <c r="C200" s="80"/>
      <c r="D200" s="80"/>
      <c r="E200" s="80"/>
      <c r="F200" s="80"/>
      <c r="G200" s="80"/>
      <c r="H200" s="80"/>
      <c r="I200" s="80"/>
      <c r="J200" s="192">
        <f t="shared" si="140"/>
        <v>16</v>
      </c>
      <c r="K200" s="192">
        <f t="shared" si="141"/>
        <v>12</v>
      </c>
      <c r="L200" s="192">
        <f t="shared" si="134"/>
        <v>16</v>
      </c>
      <c r="M200" s="216">
        <f t="shared" ca="1" si="142"/>
        <v>90442</v>
      </c>
      <c r="N200" s="216"/>
      <c r="O200" s="216"/>
      <c r="P200" s="216"/>
      <c r="Q200" s="456">
        <f t="shared" ca="1" si="143"/>
        <v>1</v>
      </c>
      <c r="R200" s="450">
        <f t="shared" ca="1" si="144"/>
        <v>1</v>
      </c>
      <c r="S200" s="191">
        <f t="shared" si="145"/>
        <v>16</v>
      </c>
      <c r="T200" s="191">
        <f t="shared" si="146"/>
        <v>12</v>
      </c>
      <c r="U200" s="191">
        <f ca="1">OP!$D$5+$S200-1</f>
        <v>48</v>
      </c>
      <c r="V200" s="191">
        <f t="shared" si="147"/>
        <v>16</v>
      </c>
      <c r="W200" s="350">
        <f ca="1">IF(Q200&lt;&gt;1,0,VLOOKUP(OP!$C$55,PVFB,$S200+2,0))</f>
        <v>36472</v>
      </c>
      <c r="X200" s="473">
        <f t="shared" ca="1" si="174"/>
        <v>8758</v>
      </c>
      <c r="Y200" s="348">
        <f t="shared" ca="1" si="175"/>
        <v>0</v>
      </c>
      <c r="Z200" s="348">
        <f t="shared" ca="1" si="176"/>
        <v>8012</v>
      </c>
      <c r="AA200" s="348">
        <f ca="1">IF(Q200&lt;&gt;1,0,VLOOKUP(OP!$C$55,PVFB,$S200+2,0))</f>
        <v>36472</v>
      </c>
      <c r="AB200" s="488">
        <f ca="1">IF(AND(S200&lt;OP!$C$24,$U200&lt;15),0,IF(AND($U200&lt;15,$T200=12),ROUND(VLOOKUP($S200,DOWN16,5,0),3),IF($T200=12,ROUND(($Z200/10000)*$AA200,3)+IF(AND($P$7="購買增額繳清保險",T200=12,U200=110),VLOOKUP(S200,$B$10:$H$121,7,0),0),"")))</f>
        <v>29221.366000000002</v>
      </c>
      <c r="AC200" s="350">
        <f ca="1">IF(AND(S200&lt;OP!$C$24,$U200&lt;15),0,IF(AND($U200&lt;16,$T200=12),VLOOKUP($S200,DOWN16,4,0),IF($T200=12,ROUND(VLOOKUP(OP!$C$55,_DIE2,$S200+1,0)*(Z200/10000),0)+IF(AND($P$7="購買增額繳清保險",T200=12,U200=110),VLOOKUP(S200,$B$10:$H$121,7,0),0),"")))</f>
        <v>29221</v>
      </c>
      <c r="AD200" s="347"/>
      <c r="AE200" s="350" t="str">
        <f t="shared" ca="1" si="135"/>
        <v/>
      </c>
      <c r="AF200" s="351" t="str">
        <f t="shared" ca="1" si="136"/>
        <v/>
      </c>
      <c r="AG200" s="340"/>
      <c r="AH200" s="340"/>
      <c r="AI200" s="340"/>
      <c r="AJ200" s="340"/>
      <c r="AK200" s="340"/>
      <c r="AL200" s="340"/>
      <c r="AM200" s="340"/>
      <c r="AN200" s="191">
        <f t="shared" si="148"/>
        <v>16</v>
      </c>
      <c r="AO200" s="191">
        <f t="shared" si="149"/>
        <v>12</v>
      </c>
      <c r="AP200" s="191">
        <f ca="1">OP!$D$5+$AN200-1</f>
        <v>48</v>
      </c>
      <c r="AQ200" s="191">
        <f t="shared" si="150"/>
        <v>16</v>
      </c>
      <c r="AR200" s="352">
        <f t="shared" ca="1" si="151"/>
        <v>119742</v>
      </c>
      <c r="AS200" s="352"/>
      <c r="AT200" s="352"/>
      <c r="AU200" s="436"/>
      <c r="AV200" s="353">
        <f t="shared" ca="1" si="152"/>
        <v>1</v>
      </c>
      <c r="AW200" s="422" t="str">
        <f t="shared" si="153"/>
        <v/>
      </c>
      <c r="AX200" s="423" t="str">
        <f ca="1">IF(AND($AW200=1,$AP200&lt;16,$AN199&lt;OP!$C$24),OP!$C$49,"")</f>
        <v/>
      </c>
      <c r="AY200" s="340"/>
      <c r="AZ200" s="465">
        <f t="shared" ca="1" si="154"/>
        <v>7.3698599999999999E-5</v>
      </c>
      <c r="BA200" s="464">
        <f t="shared" ca="1" si="155"/>
        <v>2.2109589000000002E-3</v>
      </c>
      <c r="BB200" s="465">
        <f t="shared" ca="1" si="155"/>
        <v>2.2846575E-3</v>
      </c>
      <c r="BC200" s="466">
        <f t="shared" ca="1" si="156"/>
        <v>48700</v>
      </c>
      <c r="BD200" s="467">
        <f t="shared" ca="1" si="177"/>
        <v>48701</v>
      </c>
      <c r="BE200" s="467">
        <f t="shared" ca="1" si="157"/>
        <v>48730</v>
      </c>
      <c r="BF200" s="468">
        <f ca="1">IF(計算!$BC200&lt;OP!$C$3,0,BD200-BC200)</f>
        <v>1</v>
      </c>
      <c r="BG200" s="468">
        <f ca="1">IF($BE200&gt;DATE(YEAR($BD$9)+OP!$C$57,MONTH($BD$9),DAY($BD$9)),0,$BE200-$BD200+1)</f>
        <v>30</v>
      </c>
      <c r="BH200" s="469">
        <f t="shared" ca="1" si="158"/>
        <v>31</v>
      </c>
      <c r="BI200" t="str">
        <f t="shared" si="187"/>
        <v/>
      </c>
      <c r="BJ200">
        <v>11</v>
      </c>
      <c r="BN200" s="468">
        <f t="shared" si="178"/>
        <v>16</v>
      </c>
      <c r="BO200" s="468">
        <f t="shared" si="179"/>
        <v>11</v>
      </c>
      <c r="BP200" s="467">
        <f t="shared" ca="1" si="159"/>
        <v>48701</v>
      </c>
      <c r="BQ200" s="475">
        <f t="shared" ca="1" si="185"/>
        <v>48</v>
      </c>
      <c r="BR200" s="475" t="str">
        <f t="shared" si="180"/>
        <v/>
      </c>
      <c r="BS200" s="471" t="str">
        <f t="shared" si="160"/>
        <v/>
      </c>
      <c r="BT200" s="472" t="str">
        <f t="shared" si="188"/>
        <v/>
      </c>
      <c r="BU200" s="472">
        <f t="shared" ca="1" si="161"/>
        <v>0</v>
      </c>
      <c r="BV200" s="472">
        <f t="shared" ca="1" si="161"/>
        <v>0</v>
      </c>
      <c r="BW200" s="472"/>
      <c r="BX200" s="473">
        <f t="shared" ca="1" si="162"/>
        <v>81490.234794282995</v>
      </c>
      <c r="BY200" s="473">
        <f t="shared" si="163"/>
        <v>0</v>
      </c>
      <c r="BZ200" s="473">
        <f t="shared" ca="1" si="137"/>
        <v>186.1772761</v>
      </c>
      <c r="CA200" s="476">
        <f t="shared" ca="1" si="164"/>
        <v>0</v>
      </c>
      <c r="CB200" s="494">
        <f ca="1">IF(OR($Q199&lt;&gt;1,OP!$D$5+$BN200-1&lt;16,$BN200-1&lt;1),0,ROUND(ROUND(ROUND(((VLOOKUP($BN200-1,MORE_PV,5,0)/10000)*VLOOKUP($BN200,MORE_PV,$CB$5,0)),3)*VLOOKUP($BN200,more1,5,0),0)/$R199,0))</f>
        <v>0</v>
      </c>
      <c r="CC200" s="473">
        <f t="shared" ca="1" si="165"/>
        <v>0</v>
      </c>
      <c r="CD200" s="477"/>
      <c r="CE200" s="468">
        <f t="shared" si="181"/>
        <v>16</v>
      </c>
      <c r="CF200" s="468">
        <f t="shared" si="182"/>
        <v>11</v>
      </c>
      <c r="CG200" s="467">
        <f t="shared" ca="1" si="138"/>
        <v>48701</v>
      </c>
      <c r="CH200" s="475">
        <f t="shared" ca="1" si="186"/>
        <v>48</v>
      </c>
      <c r="CI200" s="513" t="str">
        <f t="shared" si="183"/>
        <v/>
      </c>
      <c r="CJ200" s="511">
        <f t="shared" si="166"/>
        <v>0</v>
      </c>
      <c r="CK200" s="512">
        <f t="shared" si="167"/>
        <v>0</v>
      </c>
      <c r="CL200" s="511">
        <f t="shared" ca="1" si="184"/>
        <v>0</v>
      </c>
      <c r="CM200" s="511">
        <f ca="1">ROUND(CS200-IF(OR($CE200&gt;=OP!$C$24,AND(CH200=15,CF200=12),CS200=0),0,(CT200-CR200)),$CM$7)</f>
        <v>0</v>
      </c>
      <c r="CN200" s="511"/>
      <c r="CO200" s="351">
        <f t="shared" ca="1" si="168"/>
        <v>110932</v>
      </c>
      <c r="CP200" s="473">
        <f t="shared" si="169"/>
        <v>0</v>
      </c>
      <c r="CQ200" s="473">
        <f t="shared" ca="1" si="139"/>
        <v>253.44162578999999</v>
      </c>
      <c r="CR200" s="476">
        <f t="shared" ca="1" si="170"/>
        <v>0</v>
      </c>
      <c r="CS200" s="494">
        <f ca="1">IF(OR($Q199&lt;&gt;1,OP!$D$5+$CE200-1&lt;16,$CE200-1&lt;1),0,ROUND(ROUND(ROUND(((VLOOKUP($CE200-1,MORE_PV,5,0)/10000)*VLOOKUP($CE200,MORE_PV,$CS$5,0)),3)*VLOOKUP($CE200,more1,5,0),0)/$R199,0))</f>
        <v>0</v>
      </c>
      <c r="CT200" s="473">
        <f>IF($AW200=1,IF(N($CR200+$CS200)&lt;N($AX200)*OP!$C$50,N($CR200+$CS200),MIN(N($CR200+$CS200),N($AX200))),0)</f>
        <v>0</v>
      </c>
      <c r="CV200" s="503">
        <f t="shared" ca="1" si="171"/>
        <v>110932.072539835</v>
      </c>
      <c r="CW200" s="503">
        <f t="shared" ca="1" si="172"/>
        <v>0</v>
      </c>
      <c r="CX200" s="503">
        <f t="shared" ca="1" si="173"/>
        <v>111177.32071846499</v>
      </c>
    </row>
    <row r="201" spans="2:102" ht="16.5" hidden="1">
      <c r="B201" s="80"/>
      <c r="C201" s="80"/>
      <c r="D201" s="80"/>
      <c r="E201" s="80"/>
      <c r="F201" s="80"/>
      <c r="G201" s="80"/>
      <c r="H201" s="80"/>
      <c r="I201" s="80"/>
      <c r="J201" s="192">
        <f t="shared" si="140"/>
        <v>17</v>
      </c>
      <c r="K201" s="192">
        <f t="shared" si="141"/>
        <v>1</v>
      </c>
      <c r="L201" s="192" t="str">
        <f t="shared" ref="L201:L264" si="189">IF($K201=12,$J201,"")</f>
        <v/>
      </c>
      <c r="M201" s="216">
        <f t="shared" ca="1" si="142"/>
        <v>0</v>
      </c>
      <c r="N201" s="216"/>
      <c r="O201" s="216"/>
      <c r="P201" s="216"/>
      <c r="Q201" s="456" t="str">
        <f t="shared" ca="1" si="143"/>
        <v/>
      </c>
      <c r="R201" s="450">
        <f t="shared" ca="1" si="144"/>
        <v>1</v>
      </c>
      <c r="S201" s="191">
        <f t="shared" si="145"/>
        <v>17</v>
      </c>
      <c r="T201" s="191">
        <f t="shared" si="146"/>
        <v>1</v>
      </c>
      <c r="U201" s="191">
        <f ca="1">OP!$D$5+$S201-1</f>
        <v>49</v>
      </c>
      <c r="V201" s="191" t="str">
        <f t="shared" si="147"/>
        <v/>
      </c>
      <c r="W201" s="350">
        <f ca="1">IF(Q201&lt;&gt;1,0,VLOOKUP(OP!$C$55,PVFB,$S201+2,0))</f>
        <v>0</v>
      </c>
      <c r="X201" s="473">
        <f t="shared" ca="1" si="174"/>
        <v>0</v>
      </c>
      <c r="Y201" s="348">
        <f t="shared" ca="1" si="175"/>
        <v>0</v>
      </c>
      <c r="Z201" s="348">
        <f t="shared" ca="1" si="176"/>
        <v>8012</v>
      </c>
      <c r="AA201" s="348">
        <f ca="1">IF(Q201&lt;&gt;1,0,VLOOKUP(OP!$C$55,PVFB,$S201+2,0))</f>
        <v>0</v>
      </c>
      <c r="AB201" s="488" t="str">
        <f ca="1">IF(AND(S201&lt;OP!$C$24,$U201&lt;15),0,IF(AND($U201&lt;15,$T201=12),ROUND(VLOOKUP($S201,DOWN16,5,0),3),IF($T201=12,ROUND(($Z201/10000)*$AA201,3)+IF(AND($P$7="購買增額繳清保險",T201=12,U201=110),VLOOKUP(S201,$B$10:$H$121,7,0),0),"")))</f>
        <v/>
      </c>
      <c r="AC201" s="350" t="str">
        <f ca="1">IF(AND(S201&lt;OP!$C$24,$U201&lt;15),0,IF(AND($U201&lt;16,$T201=12),VLOOKUP($S201,DOWN16,4,0),IF($T201=12,ROUND(VLOOKUP(OP!$C$55,_DIE2,$S201+1,0)*(Z201/10000),0)+IF(AND($P$7="購買增額繳清保險",T201=12,U201=110),VLOOKUP(S201,$B$10:$H$121,7,0),0),"")))</f>
        <v/>
      </c>
      <c r="AD201" s="347"/>
      <c r="AE201" s="350" t="str">
        <f t="shared" ref="AE201:AE212" ca="1" si="190">IF(AND($U$9&lt;16,$T201=12),VLOOKUP($S201,DOWN16,4,0),"")</f>
        <v/>
      </c>
      <c r="AF201" s="351" t="str">
        <f t="shared" ref="AF201:AF212" ca="1" si="191">IF(AND($U$9&lt;16,$T201=12),VLOOKUP($S201,DOWN16,5,0),"")</f>
        <v/>
      </c>
      <c r="AG201" s="340"/>
      <c r="AH201" s="340"/>
      <c r="AI201" s="340"/>
      <c r="AJ201" s="340"/>
      <c r="AK201" s="340"/>
      <c r="AL201" s="340"/>
      <c r="AM201" s="340"/>
      <c r="AN201" s="191">
        <f t="shared" si="148"/>
        <v>17</v>
      </c>
      <c r="AO201" s="191">
        <f t="shared" si="149"/>
        <v>1</v>
      </c>
      <c r="AP201" s="191">
        <f ca="1">OP!$D$5+$AN201-1</f>
        <v>49</v>
      </c>
      <c r="AQ201" s="191" t="str">
        <f t="shared" si="150"/>
        <v/>
      </c>
      <c r="AR201" s="352">
        <f t="shared" ca="1" si="151"/>
        <v>0</v>
      </c>
      <c r="AS201" s="352"/>
      <c r="AT201" s="352"/>
      <c r="AU201" s="436"/>
      <c r="AV201" s="353" t="str">
        <f t="shared" ca="1" si="152"/>
        <v/>
      </c>
      <c r="AW201" s="422">
        <f t="shared" si="153"/>
        <v>1</v>
      </c>
      <c r="AX201" s="423" t="str">
        <f ca="1">IF(AND($AW201=1,$AP201&lt;16,$AN200&lt;OP!$C$24),OP!$C$49,"")</f>
        <v/>
      </c>
      <c r="AY201" s="340"/>
      <c r="AZ201" s="465">
        <f t="shared" ca="1" si="154"/>
        <v>7.3698599999999999E-5</v>
      </c>
      <c r="BA201" s="464">
        <f t="shared" ca="1" si="155"/>
        <v>2.1372602999999999E-3</v>
      </c>
      <c r="BB201" s="465">
        <f t="shared" ca="1" si="155"/>
        <v>2.2109589000000002E-3</v>
      </c>
      <c r="BC201" s="466">
        <f t="shared" ca="1" si="156"/>
        <v>48731</v>
      </c>
      <c r="BD201" s="467">
        <f t="shared" ca="1" si="177"/>
        <v>48732</v>
      </c>
      <c r="BE201" s="467">
        <f t="shared" ca="1" si="157"/>
        <v>48760</v>
      </c>
      <c r="BF201" s="468">
        <f ca="1">IF(計算!$BC201&lt;OP!$C$3,0,BD201-BC201)</f>
        <v>1</v>
      </c>
      <c r="BG201" s="468">
        <f ca="1">IF($BE201&gt;DATE(YEAR($BD$9)+OP!$C$57,MONTH($BD$9),DAY($BD$9)),0,$BE201-$BD201+1)</f>
        <v>29</v>
      </c>
      <c r="BH201" s="469">
        <f t="shared" ca="1" si="158"/>
        <v>30</v>
      </c>
      <c r="BI201">
        <f t="shared" ca="1" si="187"/>
        <v>365</v>
      </c>
      <c r="BJ201">
        <v>12</v>
      </c>
      <c r="BN201" s="468">
        <f t="shared" si="178"/>
        <v>16</v>
      </c>
      <c r="BO201" s="468">
        <f t="shared" si="179"/>
        <v>12</v>
      </c>
      <c r="BP201" s="467">
        <f t="shared" ca="1" si="159"/>
        <v>48732</v>
      </c>
      <c r="BQ201" s="475">
        <f t="shared" ca="1" si="185"/>
        <v>48</v>
      </c>
      <c r="BR201" s="475">
        <f t="shared" si="180"/>
        <v>16</v>
      </c>
      <c r="BS201" s="471">
        <f t="shared" ca="1" si="160"/>
        <v>8758</v>
      </c>
      <c r="BT201" s="472">
        <f t="shared" ca="1" si="188"/>
        <v>90442</v>
      </c>
      <c r="BU201" s="472">
        <f t="shared" ca="1" si="161"/>
        <v>8556</v>
      </c>
      <c r="BV201" s="472">
        <f t="shared" ca="1" si="161"/>
        <v>202</v>
      </c>
      <c r="BW201" s="472">
        <f ca="1">ROUND(SUM(BY201,BZ189:BZ200),0)</f>
        <v>2166</v>
      </c>
      <c r="BX201" s="473">
        <f t="shared" ca="1" si="162"/>
        <v>90440.431507606001</v>
      </c>
      <c r="BY201" s="473">
        <f t="shared" ca="1" si="163"/>
        <v>6.0194372229999997</v>
      </c>
      <c r="BZ201" s="473">
        <f t="shared" ref="BZ201:BZ264" ca="1" si="192">ROUND(BX201*IF(BO201=12,$BA201,$BB201),$CB$6)</f>
        <v>193.29474377599999</v>
      </c>
      <c r="CA201" s="476">
        <f t="shared" ca="1" si="164"/>
        <v>8556</v>
      </c>
      <c r="CB201" s="494">
        <f ca="1">IF(OR($Q200&lt;&gt;1,OP!$D$5+$BN201-1&lt;16,$BN201-1&lt;1),0,ROUND(ROUND(ROUND(((VLOOKUP($BN201-1,MORE_PV,5,0)/10000)*VLOOKUP($BN201,MORE_PV,$CB$5,0)),3)*VLOOKUP($BN201,more1,5,0),0)/$R200,0))</f>
        <v>202</v>
      </c>
      <c r="CC201" s="473">
        <f t="shared" ca="1" si="165"/>
        <v>0</v>
      </c>
      <c r="CD201" s="477"/>
      <c r="CE201" s="468">
        <f t="shared" si="181"/>
        <v>16</v>
      </c>
      <c r="CF201" s="468">
        <f t="shared" si="182"/>
        <v>12</v>
      </c>
      <c r="CG201" s="467">
        <f t="shared" ref="CG201:CG225" ca="1" si="193">BD201</f>
        <v>48732</v>
      </c>
      <c r="CH201" s="475">
        <f t="shared" ca="1" si="186"/>
        <v>48</v>
      </c>
      <c r="CI201" s="513">
        <f t="shared" si="183"/>
        <v>16</v>
      </c>
      <c r="CJ201" s="511">
        <f t="shared" ca="1" si="166"/>
        <v>8960</v>
      </c>
      <c r="CK201" s="512">
        <f t="shared" ca="1" si="167"/>
        <v>119741.514331354</v>
      </c>
      <c r="CL201" s="511">
        <f t="shared" ca="1" si="184"/>
        <v>8758</v>
      </c>
      <c r="CM201" s="511">
        <f ca="1">ROUND(CS201-IF(OR($CE201&gt;=OP!$C$24,AND(CH201=15,CF201=12),CS201=0),0,(CT201-CR201)),$CM$7)</f>
        <v>202</v>
      </c>
      <c r="CN201" s="511">
        <f ca="1">ROUND(SUM(CP201,CQ189:CQ200),$CN$7)</f>
        <v>2947.976600645</v>
      </c>
      <c r="CO201" s="351">
        <f t="shared" ca="1" si="168"/>
        <v>119742</v>
      </c>
      <c r="CP201" s="473">
        <f t="shared" ca="1" si="169"/>
        <v>8.1942113879999994</v>
      </c>
      <c r="CQ201" s="473">
        <f t="shared" ref="CQ201:CQ225" ca="1" si="194">ROUND(IF(CF201=12,CO201*$BA201,CO201*$BB201),$CS$6)</f>
        <v>255.91982284299999</v>
      </c>
      <c r="CR201" s="476">
        <f t="shared" ca="1" si="170"/>
        <v>8556</v>
      </c>
      <c r="CS201" s="494">
        <f ca="1">IF(OR($Q200&lt;&gt;1,OP!$D$5+$CE201-1&lt;16,$CE201-1&lt;1),0,ROUND(ROUND(ROUND(((VLOOKUP($CE201-1,MORE_PV,5,0)/10000)*VLOOKUP($CE201,MORE_PV,$CS$5,0)),3)*VLOOKUP($CE201,more1,5,0),0)/$R200,0))</f>
        <v>202</v>
      </c>
      <c r="CT201" s="473">
        <f ca="1">IF($AW201=1,IF(N($CR201+$CS201)&lt;N($AX201)*OP!$C$50,N($CR201+$CS201),MIN(N($CR201+$CS201),N($AX201))),0)</f>
        <v>0</v>
      </c>
      <c r="CV201" s="503">
        <f t="shared" ca="1" si="171"/>
        <v>119741.514331354</v>
      </c>
      <c r="CW201" s="503">
        <f t="shared" ca="1" si="172"/>
        <v>8574.2863991270005</v>
      </c>
      <c r="CX201" s="503">
        <f t="shared" ca="1" si="173"/>
        <v>119997.41560431299</v>
      </c>
    </row>
    <row r="202" spans="2:102" ht="16.5" hidden="1">
      <c r="B202" s="80"/>
      <c r="C202" s="80"/>
      <c r="D202" s="80"/>
      <c r="E202" s="80"/>
      <c r="F202" s="80"/>
      <c r="G202" s="80"/>
      <c r="H202" s="80"/>
      <c r="I202" s="80"/>
      <c r="J202" s="192">
        <f t="shared" ref="J202:J265" si="195">IF(K201=12,J201+1,J201)</f>
        <v>17</v>
      </c>
      <c r="K202" s="192">
        <f t="shared" ref="K202:K265" si="196">IF(K201=12,1,K201+1)</f>
        <v>2</v>
      </c>
      <c r="L202" s="192" t="str">
        <f t="shared" si="189"/>
        <v/>
      </c>
      <c r="M202" s="216">
        <f t="shared" ref="M202:M265" ca="1" si="197">IF($Q202=1,VLOOKUP(L202,$BR$9:$BT$1341,3,0),0)</f>
        <v>0</v>
      </c>
      <c r="N202" s="216"/>
      <c r="O202" s="216"/>
      <c r="P202" s="216"/>
      <c r="Q202" s="456" t="str">
        <f t="shared" ref="Q202:Q265" ca="1" si="198">IF(OR($U202&gt;=$I$5,AND($G$5=1,$K202=12),AND($G$5=2,OR($K202=6,$K202=12)),AND($G$5=4,OR($K202=3,$K202=6,$K202=9,$K202=12)),$G$5=12),1,"")</f>
        <v/>
      </c>
      <c r="R202" s="450">
        <f t="shared" ref="R202:R265" ca="1" si="199">IF($U202&lt;$I$5,$G$5,$I$6)</f>
        <v>1</v>
      </c>
      <c r="S202" s="191">
        <f t="shared" ref="S202:S212" si="200">IF(T201=12,S201+1,S201)</f>
        <v>17</v>
      </c>
      <c r="T202" s="191">
        <f t="shared" ref="T202:T212" si="201">IF(T201=12,1,T201+1)</f>
        <v>2</v>
      </c>
      <c r="U202" s="191">
        <f ca="1">OP!$D$5+$S202-1</f>
        <v>49</v>
      </c>
      <c r="V202" s="191" t="str">
        <f t="shared" ref="V202:V212" si="202">IF($T202=12,$S202,"")</f>
        <v/>
      </c>
      <c r="W202" s="350">
        <f ca="1">IF(Q202&lt;&gt;1,0,VLOOKUP(OP!$C$55,PVFB,$S202+2,0))</f>
        <v>0</v>
      </c>
      <c r="X202" s="473">
        <f t="shared" ca="1" si="174"/>
        <v>0</v>
      </c>
      <c r="Y202" s="348">
        <f t="shared" ca="1" si="175"/>
        <v>0</v>
      </c>
      <c r="Z202" s="348">
        <f t="shared" ca="1" si="176"/>
        <v>8012</v>
      </c>
      <c r="AA202" s="348">
        <f ca="1">IF(Q202&lt;&gt;1,0,VLOOKUP(OP!$C$55,PVFB,$S202+2,0))</f>
        <v>0</v>
      </c>
      <c r="AB202" s="488" t="str">
        <f ca="1">IF(AND(S202&lt;OP!$C$24,$U202&lt;15),0,IF(AND($U202&lt;15,$T202=12),ROUND(VLOOKUP($S202,DOWN16,5,0),3),IF($T202=12,ROUND(($Z202/10000)*$AA202,3)+IF(AND($P$7="購買增額繳清保險",T202=12,U202=110),VLOOKUP(S202,$B$10:$H$121,7,0),0),"")))</f>
        <v/>
      </c>
      <c r="AC202" s="350" t="str">
        <f ca="1">IF(AND(S202&lt;OP!$C$24,$U202&lt;15),0,IF(AND($U202&lt;16,$T202=12),VLOOKUP($S202,DOWN16,4,0),IF($T202=12,ROUND(VLOOKUP(OP!$C$55,_DIE2,$S202+1,0)*(Z202/10000),0)+IF(AND($P$7="購買增額繳清保險",T202=12,U202=110),VLOOKUP(S202,$B$10:$H$121,7,0),0),"")))</f>
        <v/>
      </c>
      <c r="AD202" s="347"/>
      <c r="AE202" s="350" t="str">
        <f t="shared" ca="1" si="190"/>
        <v/>
      </c>
      <c r="AF202" s="351" t="str">
        <f t="shared" ca="1" si="191"/>
        <v/>
      </c>
      <c r="AG202" s="340"/>
      <c r="AH202" s="340"/>
      <c r="AI202" s="340"/>
      <c r="AJ202" s="340"/>
      <c r="AK202" s="340"/>
      <c r="AL202" s="340"/>
      <c r="AM202" s="340"/>
      <c r="AN202" s="191">
        <f t="shared" ref="AN202:AN212" si="203">IF(AO201=12,AN201+1,AN201)</f>
        <v>17</v>
      </c>
      <c r="AO202" s="191">
        <f t="shared" ref="AO202:AO212" si="204">IF(AO201=12,1,AO201+1)</f>
        <v>2</v>
      </c>
      <c r="AP202" s="191">
        <f ca="1">OP!$D$5+$AN202-1</f>
        <v>49</v>
      </c>
      <c r="AQ202" s="191" t="str">
        <f t="shared" ref="AQ202:AQ212" si="205">IF($K202=12,$AN202,"")</f>
        <v/>
      </c>
      <c r="AR202" s="352">
        <f t="shared" ref="AR202:AR212" ca="1" si="206">IF($AV202=1,ROUND(VLOOKUP($AQ202,$CI$9:$CK$225,3,0),0),0)</f>
        <v>0</v>
      </c>
      <c r="AS202" s="352"/>
      <c r="AT202" s="352"/>
      <c r="AU202" s="436"/>
      <c r="AV202" s="353" t="str">
        <f t="shared" ref="AV202:AV212" ca="1" si="207">IF(AND($AP202&gt;15,$AN202&lt;=$P$4,$AO202&lt;&gt;12),"",IF(AND($AP202&gt;15,$AN202&lt;=$P$4,$AO202=12),1,IF(OR(AND($G$5=1,$AO202=12),AND($G$5=2,OR($AO202=6,$AO202=12)),AND($G$5=4,OR($AO202=3,$AO202=6,$AO202=9,$AO202=12)),$G$5=12),1,"")))</f>
        <v/>
      </c>
      <c r="AW202" s="422" t="str">
        <f t="shared" ref="AW202:AW212" si="208">IF(OR(AND($AW$7=0,$AN202=1,$AO202=1),AND($AW$7=1,$AO202=1),AND($AW$7=2,OR($AO202=1,$AO202=7)),AND($AW$7=4,OR($AO202=1,$AO202=4,$AO202=7,$AO202=10)),$AW$7=12),1,"")</f>
        <v/>
      </c>
      <c r="AX202" s="423" t="str">
        <f ca="1">IF(AND($AW202=1,$AP202&lt;16,$AN201&lt;OP!$C$24),OP!$C$49,"")</f>
        <v/>
      </c>
      <c r="AY202" s="340"/>
      <c r="AZ202" s="465">
        <f t="shared" ref="AZ202:AZ265" ca="1" si="209">ROUND(($G$3*BF202/365),10)</f>
        <v>7.3698599999999999E-5</v>
      </c>
      <c r="BA202" s="464">
        <f t="shared" ref="BA202:BB265" ca="1" si="210">ROUND(($G$3*BG202/365),10)</f>
        <v>2.2109589000000002E-3</v>
      </c>
      <c r="BB202" s="465">
        <f t="shared" ca="1" si="210"/>
        <v>2.2846575E-3</v>
      </c>
      <c r="BC202" s="466">
        <f t="shared" ref="BC202:BC265" ca="1" si="211">DATE(YEAR(BD202),MONTH(BD202),1)</f>
        <v>48761</v>
      </c>
      <c r="BD202" s="467">
        <f t="shared" ca="1" si="177"/>
        <v>48762</v>
      </c>
      <c r="BE202" s="467">
        <f t="shared" ref="BE202:BE265" ca="1" si="212">DATE(YEAR(BD202),MONTH(BD202),DAY(DATE(YEAR(BD202),MONTH(BD202)+1,0)))</f>
        <v>48791</v>
      </c>
      <c r="BF202" s="468">
        <f ca="1">IF(計算!$BC202&lt;OP!$C$3,0,BD202-BC202)</f>
        <v>1</v>
      </c>
      <c r="BG202" s="468">
        <f ca="1">IF($BE202&gt;DATE(YEAR($BD$9)+OP!$C$57,MONTH($BD$9),DAY($BD$9)),0,$BE202-$BD202+1)</f>
        <v>30</v>
      </c>
      <c r="BH202" s="469">
        <f t="shared" ref="BH202:BH265" ca="1" si="213">BF202+BG202</f>
        <v>31</v>
      </c>
      <c r="BI202" t="str">
        <f t="shared" si="187"/>
        <v/>
      </c>
      <c r="BJ202">
        <v>1</v>
      </c>
      <c r="BN202" s="468">
        <f t="shared" si="178"/>
        <v>17</v>
      </c>
      <c r="BO202" s="468">
        <f t="shared" si="179"/>
        <v>1</v>
      </c>
      <c r="BP202" s="467">
        <f t="shared" ref="BP202:BP265" ca="1" si="214">BD202</f>
        <v>48762</v>
      </c>
      <c r="BQ202" s="475">
        <f t="shared" ca="1" si="185"/>
        <v>49</v>
      </c>
      <c r="BR202" s="475" t="str">
        <f t="shared" si="180"/>
        <v/>
      </c>
      <c r="BS202" s="471" t="str">
        <f t="shared" ref="BS202:BS265" si="215">IF(BW202&lt;&gt;"",ROUND(BU202,0)+ROUND(BV202,0),"")</f>
        <v/>
      </c>
      <c r="BT202" s="472" t="str">
        <f t="shared" si="188"/>
        <v/>
      </c>
      <c r="BU202" s="472">
        <f t="shared" ref="BU202:BV265" ca="1" si="216">ROUND(CA202,0)</f>
        <v>0</v>
      </c>
      <c r="BV202" s="472">
        <f t="shared" ca="1" si="216"/>
        <v>0</v>
      </c>
      <c r="BW202" s="472"/>
      <c r="BX202" s="473">
        <f t="shared" ref="BX202:BX265" ca="1" si="217">IF(BN202&lt;=$P$4,0,ROUNDDOWN(IF($Q201=1,CA202+CB202-CC202,0)+BX201+BY202+BZ201,VLOOKUP(LEN(ROUNDDOWN(IF($Q201=1,CA202+CB202-CC202,0)+BX201+BY202+BZ201,0)),$BK$9:$BL$24,2,0)))</f>
        <v>90633.726251382002</v>
      </c>
      <c r="BY202" s="473">
        <f t="shared" ref="BY202:BY265" si="218">IF(BO202=12,ROUND((BX201+BZ201)*$AZ202,$CB$6),0)</f>
        <v>0</v>
      </c>
      <c r="BZ202" s="473">
        <f t="shared" ca="1" si="192"/>
        <v>207.06702243300001</v>
      </c>
      <c r="CA202" s="476">
        <f t="shared" ref="CA202:CA265" ca="1" si="219">IF($Q201=1,ROUND(VLOOKUP($BN202,more1,3,0)*VLOOKUP($BN202,more1,5,0)/$R201,0),0)</f>
        <v>0</v>
      </c>
      <c r="CB202" s="494">
        <f ca="1">IF(OR($Q201&lt;&gt;1,OP!$D$5+$BN202-1&lt;16,$BN202-1&lt;1),0,ROUND(ROUND(ROUND(((VLOOKUP($BN202-1,MORE_PV,5,0)/10000)*VLOOKUP($BN202,MORE_PV,$CB$5,0)),3)*VLOOKUP($BN202,more1,5,0),0)/$R201,0))</f>
        <v>0</v>
      </c>
      <c r="CC202" s="473">
        <f t="shared" ref="CC202:CC265" ca="1" si="220">IF(AND($BN202=$P$4,$BO202=12),$CA202+$CB202,IF(AND($BN202&gt;$P$4,$Q201=1,$G$6="現金給付",$CA202+$CB202&gt;=$P$3),$CA202+$CB202,0))</f>
        <v>0</v>
      </c>
      <c r="CD202" s="477"/>
      <c r="CE202" s="468">
        <f t="shared" si="181"/>
        <v>17</v>
      </c>
      <c r="CF202" s="468">
        <f t="shared" si="182"/>
        <v>1</v>
      </c>
      <c r="CG202" s="467">
        <f t="shared" ca="1" si="193"/>
        <v>48762</v>
      </c>
      <c r="CH202" s="475">
        <f t="shared" ca="1" si="186"/>
        <v>49</v>
      </c>
      <c r="CI202" s="513" t="str">
        <f t="shared" si="183"/>
        <v/>
      </c>
      <c r="CJ202" s="511">
        <f t="shared" ref="CJ202:CJ225" si="221">IF(CN202&lt;&gt;"",ROUND(CL202,$CJ$7)+ROUND(CM202,$CJ$7),0)</f>
        <v>0</v>
      </c>
      <c r="CK202" s="512">
        <f t="shared" ref="CK202:CK225" si="222">IF(CN202&lt;&gt;"",ROUND($CV202,$CK$7),0)</f>
        <v>0</v>
      </c>
      <c r="CL202" s="511">
        <f t="shared" ca="1" si="184"/>
        <v>0</v>
      </c>
      <c r="CM202" s="511">
        <f ca="1">ROUND(CS202-IF(OR($CE202&gt;=OP!$C$24,AND(CH202=15,CF202=12),CS202=0),0,(CT202-CR202)),$CM$7)</f>
        <v>0</v>
      </c>
      <c r="CN202" s="511"/>
      <c r="CO202" s="351">
        <f t="shared" ref="CO202:CO225" ca="1" si="223">ROUND($CV202,$CO$7)</f>
        <v>120006</v>
      </c>
      <c r="CP202" s="473">
        <f t="shared" ref="CP202:CP225" si="224">IF(CF202=12,ROUND((CO201+CQ201)*$AZ202,$CS$6),0)</f>
        <v>0</v>
      </c>
      <c r="CQ202" s="473">
        <f t="shared" ca="1" si="194"/>
        <v>274.17260794499998</v>
      </c>
      <c r="CR202" s="476">
        <f t="shared" ref="CR202:CR225" ca="1" si="225">IF($Q201=1,ROUND(VLOOKUP($CE202,more1,3,0)*VLOOKUP($CE202,more1,5,0)/$R201,0),0)</f>
        <v>0</v>
      </c>
      <c r="CS202" s="494">
        <f ca="1">IF(OR($Q201&lt;&gt;1,OP!$D$5+$CE202-1&lt;16,$CE202-1&lt;1),0,ROUND(ROUND(ROUND(((VLOOKUP($CE202-1,MORE_PV,5,0)/10000)*VLOOKUP($CE202,MORE_PV,$CS$5,0)),3)*VLOOKUP($CE202,more1,5,0),0)/$R201,0))</f>
        <v>0</v>
      </c>
      <c r="CT202" s="473">
        <f>IF($AW202=1,IF(N($CR202+$CS202)&lt;N($AX202)*OP!$C$50,N($CR202+$CS202),MIN(N($CR202+$CS202),N($AX202))),0)</f>
        <v>0</v>
      </c>
      <c r="CV202" s="503">
        <f t="shared" ref="CV202:CV225" ca="1" si="226">ROUND($CX201*(1+$AZ202),$CW$6)+$CR202</f>
        <v>120006.259245847</v>
      </c>
      <c r="CW202" s="503">
        <f t="shared" ref="CW202:CW225" ca="1" si="227">ROUND(($CR202-CT202)*(1+$BA202),$CW$6)</f>
        <v>0</v>
      </c>
      <c r="CX202" s="503">
        <f t="shared" ref="CX202:CX225" ca="1" si="228">$CW202+ROUND((CX201*(1+$BB202)),$CW$6)</f>
        <v>120271.568599854</v>
      </c>
    </row>
    <row r="203" spans="2:102" ht="16.5" hidden="1">
      <c r="B203" s="80"/>
      <c r="C203" s="80"/>
      <c r="D203" s="80"/>
      <c r="E203" s="80"/>
      <c r="F203" s="80"/>
      <c r="G203" s="80"/>
      <c r="H203" s="80"/>
      <c r="I203" s="80"/>
      <c r="J203" s="192">
        <f t="shared" si="195"/>
        <v>17</v>
      </c>
      <c r="K203" s="192">
        <f t="shared" si="196"/>
        <v>3</v>
      </c>
      <c r="L203" s="192" t="str">
        <f t="shared" si="189"/>
        <v/>
      </c>
      <c r="M203" s="216">
        <f t="shared" ca="1" si="197"/>
        <v>0</v>
      </c>
      <c r="N203" s="216"/>
      <c r="O203" s="216"/>
      <c r="P203" s="216"/>
      <c r="Q203" s="456" t="str">
        <f t="shared" ca="1" si="198"/>
        <v/>
      </c>
      <c r="R203" s="450">
        <f t="shared" ca="1" si="199"/>
        <v>1</v>
      </c>
      <c r="S203" s="191">
        <f t="shared" si="200"/>
        <v>17</v>
      </c>
      <c r="T203" s="191">
        <f t="shared" si="201"/>
        <v>3</v>
      </c>
      <c r="U203" s="191">
        <f ca="1">OP!$D$5+$S203-1</f>
        <v>49</v>
      </c>
      <c r="V203" s="191" t="str">
        <f t="shared" si="202"/>
        <v/>
      </c>
      <c r="W203" s="350">
        <f ca="1">IF(Q203&lt;&gt;1,0,VLOOKUP(OP!$C$55,PVFB,$S203+2,0))</f>
        <v>0</v>
      </c>
      <c r="X203" s="473">
        <f t="shared" ref="X203:X266" ca="1" si="229">IF(AND($U203=15,$T203=12),$CO204,IF(AND($U203&gt;15,$S203&lt;=$P$4,$T203=12),($BS204)*$R203,IF($Q203=1,($BS204),0)))</f>
        <v>0</v>
      </c>
      <c r="Y203" s="348">
        <f t="shared" ref="Y203:Y266" ca="1" si="230">IF(AND($P$7="購買增額繳清保險",U203&gt;=110),0,IF(AND($U203=15,$W203&lt;&gt;0,$T203=12),ROUND(($X203)/($W203/10000),0),IF(AND($S203&lt;=$P$4,$W203&lt;&gt;0,$T203=12,$U203&gt;15),ROUND(($X203)/($W203/10000),0),0)))</f>
        <v>0</v>
      </c>
      <c r="Z203" s="348">
        <f t="shared" ref="Z203:Z212" ca="1" si="231">Z202+Y203</f>
        <v>8012</v>
      </c>
      <c r="AA203" s="348">
        <f ca="1">IF(Q203&lt;&gt;1,0,VLOOKUP(OP!$C$55,PVFB,$S203+2,0))</f>
        <v>0</v>
      </c>
      <c r="AB203" s="488" t="str">
        <f ca="1">IF(AND(S203&lt;OP!$C$24,$U203&lt;15),0,IF(AND($U203&lt;15,$T203=12),ROUND(VLOOKUP($S203,DOWN16,5,0),3),IF($T203=12,ROUND(($Z203/10000)*$AA203,3)+IF(AND($P$7="購買增額繳清保險",T203=12,U203=110),VLOOKUP(S203,$B$10:$H$121,7,0),0),"")))</f>
        <v/>
      </c>
      <c r="AC203" s="350" t="str">
        <f ca="1">IF(AND(S203&lt;OP!$C$24,$U203&lt;15),0,IF(AND($U203&lt;16,$T203=12),VLOOKUP($S203,DOWN16,4,0),IF($T203=12,ROUND(VLOOKUP(OP!$C$55,_DIE2,$S203+1,0)*(Z203/10000),0)+IF(AND($P$7="購買增額繳清保險",T203=12,U203=110),VLOOKUP(S203,$B$10:$H$121,7,0),0),"")))</f>
        <v/>
      </c>
      <c r="AD203" s="347"/>
      <c r="AE203" s="350" t="str">
        <f t="shared" ca="1" si="190"/>
        <v/>
      </c>
      <c r="AF203" s="351" t="str">
        <f t="shared" ca="1" si="191"/>
        <v/>
      </c>
      <c r="AG203" s="340"/>
      <c r="AH203" s="340"/>
      <c r="AI203" s="340"/>
      <c r="AJ203" s="340"/>
      <c r="AK203" s="340"/>
      <c r="AL203" s="340"/>
      <c r="AM203" s="340"/>
      <c r="AN203" s="191">
        <f t="shared" si="203"/>
        <v>17</v>
      </c>
      <c r="AO203" s="191">
        <f t="shared" si="204"/>
        <v>3</v>
      </c>
      <c r="AP203" s="191">
        <f ca="1">OP!$D$5+$AN203-1</f>
        <v>49</v>
      </c>
      <c r="AQ203" s="191" t="str">
        <f t="shared" si="205"/>
        <v/>
      </c>
      <c r="AR203" s="352">
        <f t="shared" ca="1" si="206"/>
        <v>0</v>
      </c>
      <c r="AS203" s="352"/>
      <c r="AT203" s="352"/>
      <c r="AU203" s="436"/>
      <c r="AV203" s="353" t="str">
        <f t="shared" ca="1" si="207"/>
        <v/>
      </c>
      <c r="AW203" s="422" t="str">
        <f t="shared" si="208"/>
        <v/>
      </c>
      <c r="AX203" s="423" t="str">
        <f ca="1">IF(AND($AW203=1,$AP203&lt;16,$AN202&lt;OP!$C$24),OP!$C$49,"")</f>
        <v/>
      </c>
      <c r="AY203" s="340"/>
      <c r="AZ203" s="465">
        <f t="shared" ca="1" si="209"/>
        <v>7.3698599999999999E-5</v>
      </c>
      <c r="BA203" s="464">
        <f t="shared" ca="1" si="210"/>
        <v>2.2109589000000002E-3</v>
      </c>
      <c r="BB203" s="465">
        <f t="shared" ca="1" si="210"/>
        <v>2.2846575E-3</v>
      </c>
      <c r="BC203" s="466">
        <f t="shared" ca="1" si="211"/>
        <v>48792</v>
      </c>
      <c r="BD203" s="467">
        <f t="shared" ref="BD203:BD266" ca="1" si="232">DATE(YEAR(BD202),MONTH(BD202)+1,MIN(DAY($BD$9),DAY(DATE(YEAR(BD202),MONTH(BD202)+2,0))))</f>
        <v>48793</v>
      </c>
      <c r="BE203" s="467">
        <f t="shared" ca="1" si="212"/>
        <v>48822</v>
      </c>
      <c r="BF203" s="468">
        <f ca="1">IF(計算!$BC203&lt;OP!$C$3,0,BD203-BC203)</f>
        <v>1</v>
      </c>
      <c r="BG203" s="468">
        <f ca="1">IF($BE203&gt;DATE(YEAR($BD$9)+OP!$C$57,MONTH($BD$9),DAY($BD$9)),0,$BE203-$BD203+1)</f>
        <v>30</v>
      </c>
      <c r="BH203" s="469">
        <f t="shared" ca="1" si="213"/>
        <v>31</v>
      </c>
      <c r="BI203" t="str">
        <f t="shared" si="187"/>
        <v/>
      </c>
      <c r="BJ203">
        <v>2</v>
      </c>
      <c r="BN203" s="468">
        <f t="shared" ref="BN203:BN266" si="233">IF(BO202=12,BN202+1,BN202)</f>
        <v>17</v>
      </c>
      <c r="BO203" s="468">
        <f t="shared" ref="BO203:BO266" si="234">IF(BO202=12,1,BO202+1)</f>
        <v>2</v>
      </c>
      <c r="BP203" s="467">
        <f t="shared" ca="1" si="214"/>
        <v>48793</v>
      </c>
      <c r="BQ203" s="475">
        <f t="shared" ca="1" si="185"/>
        <v>49</v>
      </c>
      <c r="BR203" s="475" t="str">
        <f t="shared" ref="BR203:BR266" si="235">IF(BO203=12,BN203,"")</f>
        <v/>
      </c>
      <c r="BS203" s="471" t="str">
        <f t="shared" si="215"/>
        <v/>
      </c>
      <c r="BT203" s="472" t="str">
        <f t="shared" si="188"/>
        <v/>
      </c>
      <c r="BU203" s="472">
        <f t="shared" ca="1" si="216"/>
        <v>0</v>
      </c>
      <c r="BV203" s="472">
        <f t="shared" ca="1" si="216"/>
        <v>0</v>
      </c>
      <c r="BW203" s="472"/>
      <c r="BX203" s="473">
        <f t="shared" ca="1" si="217"/>
        <v>90840.793273814998</v>
      </c>
      <c r="BY203" s="473">
        <f t="shared" si="218"/>
        <v>0</v>
      </c>
      <c r="BZ203" s="473">
        <f t="shared" ca="1" si="192"/>
        <v>207.54009965899999</v>
      </c>
      <c r="CA203" s="476">
        <f t="shared" ca="1" si="219"/>
        <v>0</v>
      </c>
      <c r="CB203" s="494">
        <f ca="1">IF(OR($Q202&lt;&gt;1,OP!$D$5+$BN203-1&lt;16,$BN203-1&lt;1),0,ROUND(ROUND(ROUND(((VLOOKUP($BN203-1,MORE_PV,5,0)/10000)*VLOOKUP($BN203,MORE_PV,$CB$5,0)),3)*VLOOKUP($BN203,more1,5,0),0)/$R202,0))</f>
        <v>0</v>
      </c>
      <c r="CC203" s="473">
        <f t="shared" ca="1" si="220"/>
        <v>0</v>
      </c>
      <c r="CD203" s="477"/>
      <c r="CE203" s="468">
        <f t="shared" ref="CE203:CE225" si="236">IF(CF202=12,CE202+1,CE202)</f>
        <v>17</v>
      </c>
      <c r="CF203" s="468">
        <f t="shared" ref="CF203:CF225" si="237">IF(CF202=12,1,CF202+1)</f>
        <v>2</v>
      </c>
      <c r="CG203" s="467">
        <f t="shared" ca="1" si="193"/>
        <v>48793</v>
      </c>
      <c r="CH203" s="475">
        <f t="shared" ca="1" si="186"/>
        <v>49</v>
      </c>
      <c r="CI203" s="513" t="str">
        <f t="shared" ref="CI203:CI225" si="238">IF(CF203=12,CE203,"")</f>
        <v/>
      </c>
      <c r="CJ203" s="511">
        <f t="shared" si="221"/>
        <v>0</v>
      </c>
      <c r="CK203" s="512">
        <f t="shared" si="222"/>
        <v>0</v>
      </c>
      <c r="CL203" s="511">
        <f t="shared" ref="CL203:CL225" ca="1" si="239">ROUND(CR203-(CT203-CS203),$CL$7)</f>
        <v>0</v>
      </c>
      <c r="CM203" s="511">
        <f ca="1">ROUND(CS203-IF(OR($CE203&gt;=OP!$C$24,AND(CH203=15,CF203=12),CS203=0),0,(CT203-CR203)),$CM$7)</f>
        <v>0</v>
      </c>
      <c r="CN203" s="511"/>
      <c r="CO203" s="351">
        <f t="shared" ca="1" si="223"/>
        <v>120280</v>
      </c>
      <c r="CP203" s="473">
        <f t="shared" si="224"/>
        <v>0</v>
      </c>
      <c r="CQ203" s="473">
        <f t="shared" ca="1" si="194"/>
        <v>274.79860409999998</v>
      </c>
      <c r="CR203" s="476">
        <f t="shared" ca="1" si="225"/>
        <v>0</v>
      </c>
      <c r="CS203" s="494">
        <f ca="1">IF(OR($Q202&lt;&gt;1,OP!$D$5+$CE203-1&lt;16,$CE203-1&lt;1),0,ROUND(ROUND(ROUND(((VLOOKUP($CE203-1,MORE_PV,5,0)/10000)*VLOOKUP($CE203,MORE_PV,$CS$5,0)),3)*VLOOKUP($CE203,more1,5,0),0)/$R202,0))</f>
        <v>0</v>
      </c>
      <c r="CT203" s="473">
        <f>IF($AW203=1,IF(N($CR203+$CS203)&lt;N($AX203)*OP!$C$50,N($CR203+$CS203),MIN(N($CR203+$CS203),N($AX203))),0)</f>
        <v>0</v>
      </c>
      <c r="CV203" s="503">
        <f t="shared" ca="1" si="226"/>
        <v>120280.43244608</v>
      </c>
      <c r="CW203" s="503">
        <f t="shared" ca="1" si="227"/>
        <v>0</v>
      </c>
      <c r="CX203" s="503">
        <f t="shared" ca="1" si="228"/>
        <v>120546.347941092</v>
      </c>
    </row>
    <row r="204" spans="2:102" ht="16.5" hidden="1">
      <c r="B204" s="80"/>
      <c r="C204" s="80"/>
      <c r="D204" s="80"/>
      <c r="E204" s="80"/>
      <c r="F204" s="80"/>
      <c r="G204" s="80"/>
      <c r="H204" s="80"/>
      <c r="I204" s="80"/>
      <c r="J204" s="192">
        <f t="shared" si="195"/>
        <v>17</v>
      </c>
      <c r="K204" s="192">
        <f t="shared" si="196"/>
        <v>4</v>
      </c>
      <c r="L204" s="192" t="str">
        <f t="shared" si="189"/>
        <v/>
      </c>
      <c r="M204" s="216">
        <f t="shared" ca="1" si="197"/>
        <v>0</v>
      </c>
      <c r="N204" s="216"/>
      <c r="O204" s="216"/>
      <c r="P204" s="216"/>
      <c r="Q204" s="456" t="str">
        <f t="shared" ca="1" si="198"/>
        <v/>
      </c>
      <c r="R204" s="450">
        <f t="shared" ca="1" si="199"/>
        <v>1</v>
      </c>
      <c r="S204" s="191">
        <f t="shared" si="200"/>
        <v>17</v>
      </c>
      <c r="T204" s="191">
        <f t="shared" si="201"/>
        <v>4</v>
      </c>
      <c r="U204" s="191">
        <f ca="1">OP!$D$5+$S204-1</f>
        <v>49</v>
      </c>
      <c r="V204" s="191" t="str">
        <f t="shared" si="202"/>
        <v/>
      </c>
      <c r="W204" s="350">
        <f ca="1">IF(Q204&lt;&gt;1,0,VLOOKUP(OP!$C$55,PVFB,$S204+2,0))</f>
        <v>0</v>
      </c>
      <c r="X204" s="473">
        <f t="shared" ca="1" si="229"/>
        <v>0</v>
      </c>
      <c r="Y204" s="348">
        <f t="shared" ca="1" si="230"/>
        <v>0</v>
      </c>
      <c r="Z204" s="348">
        <f t="shared" ca="1" si="231"/>
        <v>8012</v>
      </c>
      <c r="AA204" s="348">
        <f ca="1">IF(Q204&lt;&gt;1,0,VLOOKUP(OP!$C$55,PVFB,$S204+2,0))</f>
        <v>0</v>
      </c>
      <c r="AB204" s="488" t="str">
        <f ca="1">IF(AND(S204&lt;OP!$C$24,$U204&lt;15),0,IF(AND($U204&lt;15,$T204=12),ROUND(VLOOKUP($S204,DOWN16,5,0),3),IF($T204=12,ROUND(($Z204/10000)*$AA204,3)+IF(AND($P$7="購買增額繳清保險",T204=12,U204=110),VLOOKUP(S204,$B$10:$H$121,7,0),0),"")))</f>
        <v/>
      </c>
      <c r="AC204" s="350" t="str">
        <f ca="1">IF(AND(S204&lt;OP!$C$24,$U204&lt;15),0,IF(AND($U204&lt;16,$T204=12),VLOOKUP($S204,DOWN16,4,0),IF($T204=12,ROUND(VLOOKUP(OP!$C$55,_DIE2,$S204+1,0)*(Z204/10000),0)+IF(AND($P$7="購買增額繳清保險",T204=12,U204=110),VLOOKUP(S204,$B$10:$H$121,7,0),0),"")))</f>
        <v/>
      </c>
      <c r="AD204" s="347"/>
      <c r="AE204" s="350" t="str">
        <f t="shared" ca="1" si="190"/>
        <v/>
      </c>
      <c r="AF204" s="351" t="str">
        <f t="shared" ca="1" si="191"/>
        <v/>
      </c>
      <c r="AG204" s="340"/>
      <c r="AH204" s="340"/>
      <c r="AI204" s="340"/>
      <c r="AJ204" s="340"/>
      <c r="AK204" s="340"/>
      <c r="AL204" s="340"/>
      <c r="AM204" s="340"/>
      <c r="AN204" s="191">
        <f t="shared" si="203"/>
        <v>17</v>
      </c>
      <c r="AO204" s="191">
        <f t="shared" si="204"/>
        <v>4</v>
      </c>
      <c r="AP204" s="191">
        <f ca="1">OP!$D$5+$AN204-1</f>
        <v>49</v>
      </c>
      <c r="AQ204" s="191" t="str">
        <f t="shared" si="205"/>
        <v/>
      </c>
      <c r="AR204" s="352">
        <f t="shared" ca="1" si="206"/>
        <v>0</v>
      </c>
      <c r="AS204" s="352"/>
      <c r="AT204" s="352"/>
      <c r="AU204" s="436"/>
      <c r="AV204" s="353" t="str">
        <f t="shared" ca="1" si="207"/>
        <v/>
      </c>
      <c r="AW204" s="422" t="str">
        <f t="shared" si="208"/>
        <v/>
      </c>
      <c r="AX204" s="423" t="str">
        <f ca="1">IF(AND($AW204=1,$AP204&lt;16,$AN203&lt;OP!$C$24),OP!$C$49,"")</f>
        <v/>
      </c>
      <c r="AY204" s="340"/>
      <c r="AZ204" s="465">
        <f t="shared" ca="1" si="209"/>
        <v>7.3698599999999999E-5</v>
      </c>
      <c r="BA204" s="464">
        <f t="shared" ca="1" si="210"/>
        <v>2.1372602999999999E-3</v>
      </c>
      <c r="BB204" s="465">
        <f t="shared" ca="1" si="210"/>
        <v>2.2109589000000002E-3</v>
      </c>
      <c r="BC204" s="466">
        <f t="shared" ca="1" si="211"/>
        <v>48823</v>
      </c>
      <c r="BD204" s="467">
        <f t="shared" ca="1" si="232"/>
        <v>48824</v>
      </c>
      <c r="BE204" s="467">
        <f t="shared" ca="1" si="212"/>
        <v>48852</v>
      </c>
      <c r="BF204" s="468">
        <f ca="1">IF(計算!$BC204&lt;OP!$C$3,0,BD204-BC204)</f>
        <v>1</v>
      </c>
      <c r="BG204" s="468">
        <f ca="1">IF($BE204&gt;DATE(YEAR($BD$9)+OP!$C$57,MONTH($BD$9),DAY($BD$9)),0,$BE204-$BD204+1)</f>
        <v>29</v>
      </c>
      <c r="BH204" s="469">
        <f t="shared" ca="1" si="213"/>
        <v>30</v>
      </c>
      <c r="BI204" t="str">
        <f t="shared" si="187"/>
        <v/>
      </c>
      <c r="BJ204">
        <v>3</v>
      </c>
      <c r="BN204" s="468">
        <f t="shared" si="233"/>
        <v>17</v>
      </c>
      <c r="BO204" s="468">
        <f t="shared" si="234"/>
        <v>3</v>
      </c>
      <c r="BP204" s="467">
        <f t="shared" ca="1" si="214"/>
        <v>48824</v>
      </c>
      <c r="BQ204" s="475">
        <f t="shared" ref="BQ204:BQ267" ca="1" si="240">IF(BO203=12,BQ203+1,BQ203)</f>
        <v>49</v>
      </c>
      <c r="BR204" s="475" t="str">
        <f t="shared" si="235"/>
        <v/>
      </c>
      <c r="BS204" s="471" t="str">
        <f t="shared" si="215"/>
        <v/>
      </c>
      <c r="BT204" s="472" t="str">
        <f t="shared" si="188"/>
        <v/>
      </c>
      <c r="BU204" s="472">
        <f t="shared" ca="1" si="216"/>
        <v>0</v>
      </c>
      <c r="BV204" s="472">
        <f t="shared" ca="1" si="216"/>
        <v>0</v>
      </c>
      <c r="BW204" s="472"/>
      <c r="BX204" s="473">
        <f t="shared" ca="1" si="217"/>
        <v>91048.333373474001</v>
      </c>
      <c r="BY204" s="473">
        <f t="shared" si="218"/>
        <v>0</v>
      </c>
      <c r="BZ204" s="473">
        <f t="shared" ca="1" si="192"/>
        <v>201.30412300200001</v>
      </c>
      <c r="CA204" s="476">
        <f t="shared" ca="1" si="219"/>
        <v>0</v>
      </c>
      <c r="CB204" s="494">
        <f ca="1">IF(OR($Q203&lt;&gt;1,OP!$D$5+$BN204-1&lt;16,$BN204-1&lt;1),0,ROUND(ROUND(ROUND(((VLOOKUP($BN204-1,MORE_PV,5,0)/10000)*VLOOKUP($BN204,MORE_PV,$CB$5,0)),3)*VLOOKUP($BN204,more1,5,0),0)/$R203,0))</f>
        <v>0</v>
      </c>
      <c r="CC204" s="473">
        <f t="shared" ca="1" si="220"/>
        <v>0</v>
      </c>
      <c r="CD204" s="477"/>
      <c r="CE204" s="468">
        <f t="shared" si="236"/>
        <v>17</v>
      </c>
      <c r="CF204" s="468">
        <f t="shared" si="237"/>
        <v>3</v>
      </c>
      <c r="CG204" s="467">
        <f t="shared" ca="1" si="193"/>
        <v>48824</v>
      </c>
      <c r="CH204" s="475">
        <f t="shared" ref="CH204:CH225" ca="1" si="241">IF(CF203=12,CH203+1,CH203)</f>
        <v>49</v>
      </c>
      <c r="CI204" s="513" t="str">
        <f t="shared" si="238"/>
        <v/>
      </c>
      <c r="CJ204" s="511">
        <f t="shared" si="221"/>
        <v>0</v>
      </c>
      <c r="CK204" s="512">
        <f t="shared" si="222"/>
        <v>0</v>
      </c>
      <c r="CL204" s="511">
        <f t="shared" ca="1" si="239"/>
        <v>0</v>
      </c>
      <c r="CM204" s="511">
        <f ca="1">ROUND(CS204-IF(OR($CE204&gt;=OP!$C$24,AND(CH204=15,CF204=12),CS204=0),0,(CT204-CR204)),$CM$7)</f>
        <v>0</v>
      </c>
      <c r="CN204" s="511"/>
      <c r="CO204" s="351">
        <f t="shared" ca="1" si="223"/>
        <v>120555</v>
      </c>
      <c r="CP204" s="473">
        <f t="shared" si="224"/>
        <v>0</v>
      </c>
      <c r="CQ204" s="473">
        <f t="shared" ca="1" si="194"/>
        <v>266.54215018999997</v>
      </c>
      <c r="CR204" s="476">
        <f t="shared" ca="1" si="225"/>
        <v>0</v>
      </c>
      <c r="CS204" s="494">
        <f ca="1">IF(OR($Q203&lt;&gt;1,OP!$D$5+$CE204-1&lt;16,$CE204-1&lt;1),0,ROUND(ROUND(ROUND(((VLOOKUP($CE204-1,MORE_PV,5,0)/10000)*VLOOKUP($CE204,MORE_PV,$CS$5,0)),3)*VLOOKUP($CE204,more1,5,0),0)/$R203,0))</f>
        <v>0</v>
      </c>
      <c r="CT204" s="473">
        <f>IF($AW204=1,IF(N($CR204+$CS204)&lt;N($AX204)*OP!$C$50,N($CR204+$CS204),MIN(N($CR204+$CS204),N($AX204))),0)</f>
        <v>0</v>
      </c>
      <c r="CV204" s="503">
        <f t="shared" ca="1" si="226"/>
        <v>120555.23203817</v>
      </c>
      <c r="CW204" s="503">
        <f t="shared" ca="1" si="227"/>
        <v>0</v>
      </c>
      <c r="CX204" s="503">
        <f t="shared" ca="1" si="228"/>
        <v>120812.870961935</v>
      </c>
    </row>
    <row r="205" spans="2:102" ht="16.5" hidden="1">
      <c r="B205" s="80"/>
      <c r="C205" s="80"/>
      <c r="D205" s="80"/>
      <c r="E205" s="80"/>
      <c r="F205" s="80"/>
      <c r="G205" s="80"/>
      <c r="H205" s="80"/>
      <c r="I205" s="80"/>
      <c r="J205" s="192">
        <f t="shared" si="195"/>
        <v>17</v>
      </c>
      <c r="K205" s="192">
        <f t="shared" si="196"/>
        <v>5</v>
      </c>
      <c r="L205" s="192" t="str">
        <f t="shared" si="189"/>
        <v/>
      </c>
      <c r="M205" s="216">
        <f t="shared" ca="1" si="197"/>
        <v>0</v>
      </c>
      <c r="N205" s="216"/>
      <c r="O205" s="216"/>
      <c r="P205" s="216"/>
      <c r="Q205" s="456" t="str">
        <f t="shared" ca="1" si="198"/>
        <v/>
      </c>
      <c r="R205" s="450">
        <f t="shared" ca="1" si="199"/>
        <v>1</v>
      </c>
      <c r="S205" s="191">
        <f t="shared" si="200"/>
        <v>17</v>
      </c>
      <c r="T205" s="191">
        <f t="shared" si="201"/>
        <v>5</v>
      </c>
      <c r="U205" s="191">
        <f ca="1">OP!$D$5+$S205-1</f>
        <v>49</v>
      </c>
      <c r="V205" s="191" t="str">
        <f t="shared" si="202"/>
        <v/>
      </c>
      <c r="W205" s="350">
        <f ca="1">IF(Q205&lt;&gt;1,0,VLOOKUP(OP!$C$55,PVFB,$S205+2,0))</f>
        <v>0</v>
      </c>
      <c r="X205" s="473">
        <f t="shared" ca="1" si="229"/>
        <v>0</v>
      </c>
      <c r="Y205" s="348">
        <f t="shared" ca="1" si="230"/>
        <v>0</v>
      </c>
      <c r="Z205" s="348">
        <f t="shared" ca="1" si="231"/>
        <v>8012</v>
      </c>
      <c r="AA205" s="348">
        <f ca="1">IF(Q205&lt;&gt;1,0,VLOOKUP(OP!$C$55,PVFB,$S205+2,0))</f>
        <v>0</v>
      </c>
      <c r="AB205" s="488" t="str">
        <f ca="1">IF(AND(S205&lt;OP!$C$24,$U205&lt;15),0,IF(AND($U205&lt;15,$T205=12),ROUND(VLOOKUP($S205,DOWN16,5,0),3),IF($T205=12,ROUND(($Z205/10000)*$AA205,3)+IF(AND($P$7="購買增額繳清保險",T205=12,U205=110),VLOOKUP(S205,$B$10:$H$121,7,0),0),"")))</f>
        <v/>
      </c>
      <c r="AC205" s="350" t="str">
        <f ca="1">IF(AND(S205&lt;OP!$C$24,$U205&lt;15),0,IF(AND($U205&lt;16,$T205=12),VLOOKUP($S205,DOWN16,4,0),IF($T205=12,ROUND(VLOOKUP(OP!$C$55,_DIE2,$S205+1,0)*(Z205/10000),0)+IF(AND($P$7="購買增額繳清保險",T205=12,U205=110),VLOOKUP(S205,$B$10:$H$121,7,0),0),"")))</f>
        <v/>
      </c>
      <c r="AD205" s="347"/>
      <c r="AE205" s="350" t="str">
        <f t="shared" ca="1" si="190"/>
        <v/>
      </c>
      <c r="AF205" s="351" t="str">
        <f t="shared" ca="1" si="191"/>
        <v/>
      </c>
      <c r="AG205" s="340"/>
      <c r="AH205" s="340"/>
      <c r="AI205" s="340"/>
      <c r="AJ205" s="340"/>
      <c r="AK205" s="340"/>
      <c r="AL205" s="340"/>
      <c r="AM205" s="340"/>
      <c r="AN205" s="191">
        <f t="shared" si="203"/>
        <v>17</v>
      </c>
      <c r="AO205" s="191">
        <f t="shared" si="204"/>
        <v>5</v>
      </c>
      <c r="AP205" s="191">
        <f ca="1">OP!$D$5+$AN205-1</f>
        <v>49</v>
      </c>
      <c r="AQ205" s="191" t="str">
        <f t="shared" si="205"/>
        <v/>
      </c>
      <c r="AR205" s="352">
        <f t="shared" ca="1" si="206"/>
        <v>0</v>
      </c>
      <c r="AS205" s="352"/>
      <c r="AT205" s="352"/>
      <c r="AU205" s="436"/>
      <c r="AV205" s="353" t="str">
        <f t="shared" ca="1" si="207"/>
        <v/>
      </c>
      <c r="AW205" s="422" t="str">
        <f t="shared" si="208"/>
        <v/>
      </c>
      <c r="AX205" s="423" t="str">
        <f ca="1">IF(AND($AW205=1,$AP205&lt;16,$AN204&lt;OP!$C$24),OP!$C$49,"")</f>
        <v/>
      </c>
      <c r="AY205" s="340"/>
      <c r="AZ205" s="465">
        <f t="shared" ca="1" si="209"/>
        <v>7.3698599999999999E-5</v>
      </c>
      <c r="BA205" s="464">
        <f t="shared" ca="1" si="210"/>
        <v>2.2109589000000002E-3</v>
      </c>
      <c r="BB205" s="465">
        <f t="shared" ca="1" si="210"/>
        <v>2.2846575E-3</v>
      </c>
      <c r="BC205" s="466">
        <f t="shared" ca="1" si="211"/>
        <v>48853</v>
      </c>
      <c r="BD205" s="467">
        <f t="shared" ca="1" si="232"/>
        <v>48854</v>
      </c>
      <c r="BE205" s="467">
        <f t="shared" ca="1" si="212"/>
        <v>48883</v>
      </c>
      <c r="BF205" s="468">
        <f ca="1">IF(計算!$BC205&lt;OP!$C$3,0,BD205-BC205)</f>
        <v>1</v>
      </c>
      <c r="BG205" s="468">
        <f ca="1">IF($BE205&gt;DATE(YEAR($BD$9)+OP!$C$57,MONTH($BD$9),DAY($BD$9)),0,$BE205-$BD205+1)</f>
        <v>30</v>
      </c>
      <c r="BH205" s="469">
        <f t="shared" ca="1" si="213"/>
        <v>31</v>
      </c>
      <c r="BI205" t="str">
        <f t="shared" si="187"/>
        <v/>
      </c>
      <c r="BJ205">
        <v>4</v>
      </c>
      <c r="BN205" s="468">
        <f t="shared" si="233"/>
        <v>17</v>
      </c>
      <c r="BO205" s="468">
        <f t="shared" si="234"/>
        <v>4</v>
      </c>
      <c r="BP205" s="467">
        <f t="shared" ca="1" si="214"/>
        <v>48854</v>
      </c>
      <c r="BQ205" s="475">
        <f t="shared" ca="1" si="240"/>
        <v>49</v>
      </c>
      <c r="BR205" s="475" t="str">
        <f t="shared" si="235"/>
        <v/>
      </c>
      <c r="BS205" s="471" t="str">
        <f t="shared" si="215"/>
        <v/>
      </c>
      <c r="BT205" s="472" t="str">
        <f t="shared" si="188"/>
        <v/>
      </c>
      <c r="BU205" s="472">
        <f t="shared" ca="1" si="216"/>
        <v>0</v>
      </c>
      <c r="BV205" s="472">
        <f t="shared" ca="1" si="216"/>
        <v>0</v>
      </c>
      <c r="BW205" s="472"/>
      <c r="BX205" s="473">
        <f t="shared" ca="1" si="217"/>
        <v>91249.637496476003</v>
      </c>
      <c r="BY205" s="473">
        <f t="shared" si="218"/>
        <v>0</v>
      </c>
      <c r="BZ205" s="473">
        <f t="shared" ca="1" si="192"/>
        <v>208.474168679</v>
      </c>
      <c r="CA205" s="476">
        <f t="shared" ca="1" si="219"/>
        <v>0</v>
      </c>
      <c r="CB205" s="494">
        <f ca="1">IF(OR($Q204&lt;&gt;1,OP!$D$5+$BN205-1&lt;16,$BN205-1&lt;1),0,ROUND(ROUND(ROUND(((VLOOKUP($BN205-1,MORE_PV,5,0)/10000)*VLOOKUP($BN205,MORE_PV,$CB$5,0)),3)*VLOOKUP($BN205,more1,5,0),0)/$R204,0))</f>
        <v>0</v>
      </c>
      <c r="CC205" s="473">
        <f t="shared" ca="1" si="220"/>
        <v>0</v>
      </c>
      <c r="CD205" s="477"/>
      <c r="CE205" s="468">
        <f t="shared" si="236"/>
        <v>17</v>
      </c>
      <c r="CF205" s="468">
        <f t="shared" si="237"/>
        <v>4</v>
      </c>
      <c r="CG205" s="467">
        <f t="shared" ca="1" si="193"/>
        <v>48854</v>
      </c>
      <c r="CH205" s="475">
        <f t="shared" ca="1" si="241"/>
        <v>49</v>
      </c>
      <c r="CI205" s="513" t="str">
        <f t="shared" si="238"/>
        <v/>
      </c>
      <c r="CJ205" s="511">
        <f t="shared" si="221"/>
        <v>0</v>
      </c>
      <c r="CK205" s="512">
        <f t="shared" si="222"/>
        <v>0</v>
      </c>
      <c r="CL205" s="511">
        <f t="shared" ca="1" si="239"/>
        <v>0</v>
      </c>
      <c r="CM205" s="511">
        <f ca="1">ROUND(CS205-IF(OR($CE205&gt;=OP!$C$24,AND(CH205=15,CF205=12),CS205=0),0,(CT205-CR205)),$CM$7)</f>
        <v>0</v>
      </c>
      <c r="CN205" s="511"/>
      <c r="CO205" s="351">
        <f t="shared" ca="1" si="223"/>
        <v>120822</v>
      </c>
      <c r="CP205" s="473">
        <f t="shared" si="224"/>
        <v>0</v>
      </c>
      <c r="CQ205" s="473">
        <f t="shared" ca="1" si="194"/>
        <v>276.036888465</v>
      </c>
      <c r="CR205" s="476">
        <f t="shared" ca="1" si="225"/>
        <v>0</v>
      </c>
      <c r="CS205" s="494">
        <f ca="1">IF(OR($Q204&lt;&gt;1,OP!$D$5+$CE205-1&lt;16,$CE205-1&lt;1),0,ROUND(ROUND(ROUND(((VLOOKUP($CE205-1,MORE_PV,5,0)/10000)*VLOOKUP($CE205,MORE_PV,$CS$5,0)),3)*VLOOKUP($CE205,more1,5,0),0)/$R204,0))</f>
        <v>0</v>
      </c>
      <c r="CT205" s="473">
        <f>IF($AW205=1,IF(N($CR205+$CS205)&lt;N($AX205)*OP!$C$50,N($CR205+$CS205),MIN(N($CR205+$CS205),N($AX205))),0)</f>
        <v>0</v>
      </c>
      <c r="CV205" s="503">
        <f t="shared" ca="1" si="226"/>
        <v>120821.774701387</v>
      </c>
      <c r="CW205" s="503">
        <f t="shared" ca="1" si="227"/>
        <v>0</v>
      </c>
      <c r="CX205" s="503">
        <f t="shared" ca="1" si="228"/>
        <v>121088.886993675</v>
      </c>
    </row>
    <row r="206" spans="2:102" ht="16.5" hidden="1">
      <c r="B206" s="80"/>
      <c r="C206" s="80"/>
      <c r="D206" s="80"/>
      <c r="E206" s="80"/>
      <c r="F206" s="80"/>
      <c r="G206" s="80"/>
      <c r="H206" s="80"/>
      <c r="I206" s="80"/>
      <c r="J206" s="192">
        <f t="shared" si="195"/>
        <v>17</v>
      </c>
      <c r="K206" s="192">
        <f t="shared" si="196"/>
        <v>6</v>
      </c>
      <c r="L206" s="192" t="str">
        <f t="shared" si="189"/>
        <v/>
      </c>
      <c r="M206" s="216">
        <f t="shared" ca="1" si="197"/>
        <v>0</v>
      </c>
      <c r="N206" s="216"/>
      <c r="O206" s="216"/>
      <c r="P206" s="216"/>
      <c r="Q206" s="456" t="str">
        <f t="shared" ca="1" si="198"/>
        <v/>
      </c>
      <c r="R206" s="450">
        <f t="shared" ca="1" si="199"/>
        <v>1</v>
      </c>
      <c r="S206" s="191">
        <f t="shared" si="200"/>
        <v>17</v>
      </c>
      <c r="T206" s="191">
        <f t="shared" si="201"/>
        <v>6</v>
      </c>
      <c r="U206" s="191">
        <f ca="1">OP!$D$5+$S206-1</f>
        <v>49</v>
      </c>
      <c r="V206" s="191" t="str">
        <f t="shared" si="202"/>
        <v/>
      </c>
      <c r="W206" s="350">
        <f ca="1">IF(Q206&lt;&gt;1,0,VLOOKUP(OP!$C$55,PVFB,$S206+2,0))</f>
        <v>0</v>
      </c>
      <c r="X206" s="473">
        <f t="shared" ca="1" si="229"/>
        <v>0</v>
      </c>
      <c r="Y206" s="348">
        <f t="shared" ca="1" si="230"/>
        <v>0</v>
      </c>
      <c r="Z206" s="348">
        <f t="shared" ca="1" si="231"/>
        <v>8012</v>
      </c>
      <c r="AA206" s="348">
        <f ca="1">IF(Q206&lt;&gt;1,0,VLOOKUP(OP!$C$55,PVFB,$S206+2,0))</f>
        <v>0</v>
      </c>
      <c r="AB206" s="488" t="str">
        <f ca="1">IF(AND(S206&lt;OP!$C$24,$U206&lt;15),0,IF(AND($U206&lt;15,$T206=12),ROUND(VLOOKUP($S206,DOWN16,5,0),3),IF($T206=12,ROUND(($Z206/10000)*$AA206,3)+IF(AND($P$7="購買增額繳清保險",T206=12,U206=110),VLOOKUP(S206,$B$10:$H$121,7,0),0),"")))</f>
        <v/>
      </c>
      <c r="AC206" s="350" t="str">
        <f ca="1">IF(AND(S206&lt;OP!$C$24,$U206&lt;15),0,IF(AND($U206&lt;16,$T206=12),VLOOKUP($S206,DOWN16,4,0),IF($T206=12,ROUND(VLOOKUP(OP!$C$55,_DIE2,$S206+1,0)*(Z206/10000),0)+IF(AND($P$7="購買增額繳清保險",T206=12,U206=110),VLOOKUP(S206,$B$10:$H$121,7,0),0),"")))</f>
        <v/>
      </c>
      <c r="AD206" s="347"/>
      <c r="AE206" s="350" t="str">
        <f t="shared" ca="1" si="190"/>
        <v/>
      </c>
      <c r="AF206" s="351" t="str">
        <f t="shared" ca="1" si="191"/>
        <v/>
      </c>
      <c r="AG206" s="340"/>
      <c r="AH206" s="340"/>
      <c r="AI206" s="340"/>
      <c r="AJ206" s="340"/>
      <c r="AK206" s="340"/>
      <c r="AL206" s="340"/>
      <c r="AM206" s="340"/>
      <c r="AN206" s="191">
        <f t="shared" si="203"/>
        <v>17</v>
      </c>
      <c r="AO206" s="191">
        <f t="shared" si="204"/>
        <v>6</v>
      </c>
      <c r="AP206" s="191">
        <f ca="1">OP!$D$5+$AN206-1</f>
        <v>49</v>
      </c>
      <c r="AQ206" s="191" t="str">
        <f t="shared" si="205"/>
        <v/>
      </c>
      <c r="AR206" s="352">
        <f t="shared" ca="1" si="206"/>
        <v>0</v>
      </c>
      <c r="AS206" s="352"/>
      <c r="AT206" s="352"/>
      <c r="AU206" s="436"/>
      <c r="AV206" s="353" t="str">
        <f t="shared" ca="1" si="207"/>
        <v/>
      </c>
      <c r="AW206" s="422" t="str">
        <f t="shared" si="208"/>
        <v/>
      </c>
      <c r="AX206" s="423" t="str">
        <f ca="1">IF(AND($AW206=1,$AP206&lt;16,$AN205&lt;OP!$C$24),OP!$C$49,"")</f>
        <v/>
      </c>
      <c r="AY206" s="340"/>
      <c r="AZ206" s="465">
        <f t="shared" ca="1" si="209"/>
        <v>7.3698599999999999E-5</v>
      </c>
      <c r="BA206" s="464">
        <f t="shared" ca="1" si="210"/>
        <v>2.1372602999999999E-3</v>
      </c>
      <c r="BB206" s="465">
        <f t="shared" ca="1" si="210"/>
        <v>2.2109589000000002E-3</v>
      </c>
      <c r="BC206" s="466">
        <f t="shared" ca="1" si="211"/>
        <v>48884</v>
      </c>
      <c r="BD206" s="467">
        <f t="shared" ca="1" si="232"/>
        <v>48885</v>
      </c>
      <c r="BE206" s="467">
        <f t="shared" ca="1" si="212"/>
        <v>48913</v>
      </c>
      <c r="BF206" s="468">
        <f ca="1">IF(計算!$BC206&lt;OP!$C$3,0,BD206-BC206)</f>
        <v>1</v>
      </c>
      <c r="BG206" s="468">
        <f ca="1">IF($BE206&gt;DATE(YEAR($BD$9)+OP!$C$57,MONTH($BD$9),DAY($BD$9)),0,$BE206-$BD206+1)</f>
        <v>29</v>
      </c>
      <c r="BH206" s="469">
        <f t="shared" ca="1" si="213"/>
        <v>30</v>
      </c>
      <c r="BI206" t="str">
        <f t="shared" si="187"/>
        <v/>
      </c>
      <c r="BJ206">
        <v>5</v>
      </c>
      <c r="BN206" s="468">
        <f t="shared" si="233"/>
        <v>17</v>
      </c>
      <c r="BO206" s="468">
        <f t="shared" si="234"/>
        <v>5</v>
      </c>
      <c r="BP206" s="467">
        <f t="shared" ca="1" si="214"/>
        <v>48885</v>
      </c>
      <c r="BQ206" s="475">
        <f t="shared" ca="1" si="240"/>
        <v>49</v>
      </c>
      <c r="BR206" s="475" t="str">
        <f t="shared" si="235"/>
        <v/>
      </c>
      <c r="BS206" s="471" t="str">
        <f t="shared" si="215"/>
        <v/>
      </c>
      <c r="BT206" s="472" t="str">
        <f t="shared" si="188"/>
        <v/>
      </c>
      <c r="BU206" s="472">
        <f t="shared" ca="1" si="216"/>
        <v>0</v>
      </c>
      <c r="BV206" s="472">
        <f t="shared" ca="1" si="216"/>
        <v>0</v>
      </c>
      <c r="BW206" s="472"/>
      <c r="BX206" s="473">
        <f t="shared" ca="1" si="217"/>
        <v>91458.111665154996</v>
      </c>
      <c r="BY206" s="473">
        <f t="shared" si="218"/>
        <v>0</v>
      </c>
      <c r="BZ206" s="473">
        <f t="shared" ca="1" si="192"/>
        <v>202.210125963</v>
      </c>
      <c r="CA206" s="476">
        <f t="shared" ca="1" si="219"/>
        <v>0</v>
      </c>
      <c r="CB206" s="494">
        <f ca="1">IF(OR($Q205&lt;&gt;1,OP!$D$5+$BN206-1&lt;16,$BN206-1&lt;1),0,ROUND(ROUND(ROUND(((VLOOKUP($BN206-1,MORE_PV,5,0)/10000)*VLOOKUP($BN206,MORE_PV,$CB$5,0)),3)*VLOOKUP($BN206,more1,5,0),0)/$R205,0))</f>
        <v>0</v>
      </c>
      <c r="CC206" s="473">
        <f t="shared" ca="1" si="220"/>
        <v>0</v>
      </c>
      <c r="CD206" s="477"/>
      <c r="CE206" s="468">
        <f t="shared" si="236"/>
        <v>17</v>
      </c>
      <c r="CF206" s="468">
        <f t="shared" si="237"/>
        <v>5</v>
      </c>
      <c r="CG206" s="467">
        <f t="shared" ca="1" si="193"/>
        <v>48885</v>
      </c>
      <c r="CH206" s="475">
        <f t="shared" ca="1" si="241"/>
        <v>49</v>
      </c>
      <c r="CI206" s="513" t="str">
        <f t="shared" si="238"/>
        <v/>
      </c>
      <c r="CJ206" s="511">
        <f t="shared" si="221"/>
        <v>0</v>
      </c>
      <c r="CK206" s="512">
        <f t="shared" si="222"/>
        <v>0</v>
      </c>
      <c r="CL206" s="511">
        <f t="shared" ca="1" si="239"/>
        <v>0</v>
      </c>
      <c r="CM206" s="511">
        <f ca="1">ROUND(CS206-IF(OR($CE206&gt;=OP!$C$24,AND(CH206=15,CF206=12),CS206=0),0,(CT206-CR206)),$CM$7)</f>
        <v>0</v>
      </c>
      <c r="CN206" s="511"/>
      <c r="CO206" s="351">
        <f t="shared" ca="1" si="223"/>
        <v>121098</v>
      </c>
      <c r="CP206" s="473">
        <f t="shared" si="224"/>
        <v>0</v>
      </c>
      <c r="CQ206" s="473">
        <f t="shared" ca="1" si="194"/>
        <v>267.742700872</v>
      </c>
      <c r="CR206" s="476">
        <f t="shared" ca="1" si="225"/>
        <v>0</v>
      </c>
      <c r="CS206" s="494">
        <f ca="1">IF(OR($Q205&lt;&gt;1,OP!$D$5+$CE206-1&lt;16,$CE206-1&lt;1),0,ROUND(ROUND(ROUND(((VLOOKUP($CE206-1,MORE_PV,5,0)/10000)*VLOOKUP($CE206,MORE_PV,$CS$5,0)),3)*VLOOKUP($CE206,more1,5,0),0)/$R205,0))</f>
        <v>0</v>
      </c>
      <c r="CT206" s="473">
        <f>IF($AW206=1,IF(N($CR206+$CS206)&lt;N($AX206)*OP!$C$50,N($CR206+$CS206),MIN(N($CR206+$CS206),N($AX206))),0)</f>
        <v>0</v>
      </c>
      <c r="CV206" s="503">
        <f t="shared" ca="1" si="226"/>
        <v>121097.81107512199</v>
      </c>
      <c r="CW206" s="503">
        <f t="shared" ca="1" si="227"/>
        <v>0</v>
      </c>
      <c r="CX206" s="503">
        <f t="shared" ca="1" si="228"/>
        <v>121356.609546065</v>
      </c>
    </row>
    <row r="207" spans="2:102" ht="16.5" hidden="1">
      <c r="B207" s="80"/>
      <c r="C207" s="80"/>
      <c r="D207" s="80"/>
      <c r="E207" s="80"/>
      <c r="F207" s="80"/>
      <c r="G207" s="80"/>
      <c r="H207" s="80"/>
      <c r="I207" s="80"/>
      <c r="J207" s="192">
        <f t="shared" si="195"/>
        <v>17</v>
      </c>
      <c r="K207" s="192">
        <f t="shared" si="196"/>
        <v>7</v>
      </c>
      <c r="L207" s="192" t="str">
        <f t="shared" si="189"/>
        <v/>
      </c>
      <c r="M207" s="216">
        <f t="shared" ca="1" si="197"/>
        <v>0</v>
      </c>
      <c r="N207" s="216"/>
      <c r="O207" s="216"/>
      <c r="P207" s="216"/>
      <c r="Q207" s="456" t="str">
        <f t="shared" ca="1" si="198"/>
        <v/>
      </c>
      <c r="R207" s="450">
        <f t="shared" ca="1" si="199"/>
        <v>1</v>
      </c>
      <c r="S207" s="191">
        <f t="shared" si="200"/>
        <v>17</v>
      </c>
      <c r="T207" s="191">
        <f t="shared" si="201"/>
        <v>7</v>
      </c>
      <c r="U207" s="191">
        <f ca="1">OP!$D$5+$S207-1</f>
        <v>49</v>
      </c>
      <c r="V207" s="191" t="str">
        <f t="shared" si="202"/>
        <v/>
      </c>
      <c r="W207" s="350">
        <f ca="1">IF(Q207&lt;&gt;1,0,VLOOKUP(OP!$C$55,PVFB,$S207+2,0))</f>
        <v>0</v>
      </c>
      <c r="X207" s="473">
        <f t="shared" ca="1" si="229"/>
        <v>0</v>
      </c>
      <c r="Y207" s="348">
        <f t="shared" ca="1" si="230"/>
        <v>0</v>
      </c>
      <c r="Z207" s="348">
        <f t="shared" ca="1" si="231"/>
        <v>8012</v>
      </c>
      <c r="AA207" s="348">
        <f ca="1">IF(Q207&lt;&gt;1,0,VLOOKUP(OP!$C$55,PVFB,$S207+2,0))</f>
        <v>0</v>
      </c>
      <c r="AB207" s="488" t="str">
        <f ca="1">IF(AND(S207&lt;OP!$C$24,$U207&lt;15),0,IF(AND($U207&lt;15,$T207=12),ROUND(VLOOKUP($S207,DOWN16,5,0),3),IF($T207=12,ROUND(($Z207/10000)*$AA207,3)+IF(AND($P$7="購買增額繳清保險",T207=12,U207=110),VLOOKUP(S207,$B$10:$H$121,7,0),0),"")))</f>
        <v/>
      </c>
      <c r="AC207" s="350" t="str">
        <f ca="1">IF(AND(S207&lt;OP!$C$24,$U207&lt;15),0,IF(AND($U207&lt;16,$T207=12),VLOOKUP($S207,DOWN16,4,0),IF($T207=12,ROUND(VLOOKUP(OP!$C$55,_DIE2,$S207+1,0)*(Z207/10000),0)+IF(AND($P$7="購買增額繳清保險",T207=12,U207=110),VLOOKUP(S207,$B$10:$H$121,7,0),0),"")))</f>
        <v/>
      </c>
      <c r="AD207" s="347"/>
      <c r="AE207" s="350" t="str">
        <f t="shared" ca="1" si="190"/>
        <v/>
      </c>
      <c r="AF207" s="351" t="str">
        <f t="shared" ca="1" si="191"/>
        <v/>
      </c>
      <c r="AG207" s="340"/>
      <c r="AH207" s="340"/>
      <c r="AI207" s="340"/>
      <c r="AJ207" s="340"/>
      <c r="AK207" s="340"/>
      <c r="AL207" s="340"/>
      <c r="AM207" s="340"/>
      <c r="AN207" s="191">
        <f t="shared" si="203"/>
        <v>17</v>
      </c>
      <c r="AO207" s="191">
        <f t="shared" si="204"/>
        <v>7</v>
      </c>
      <c r="AP207" s="191">
        <f ca="1">OP!$D$5+$AN207-1</f>
        <v>49</v>
      </c>
      <c r="AQ207" s="191" t="str">
        <f t="shared" si="205"/>
        <v/>
      </c>
      <c r="AR207" s="352">
        <f t="shared" ca="1" si="206"/>
        <v>0</v>
      </c>
      <c r="AS207" s="352"/>
      <c r="AT207" s="352"/>
      <c r="AU207" s="436"/>
      <c r="AV207" s="353" t="str">
        <f t="shared" ca="1" si="207"/>
        <v/>
      </c>
      <c r="AW207" s="422" t="str">
        <f t="shared" si="208"/>
        <v/>
      </c>
      <c r="AX207" s="423" t="str">
        <f ca="1">IF(AND($AW207=1,$AP207&lt;16,$AN206&lt;OP!$C$24),OP!$C$49,"")</f>
        <v/>
      </c>
      <c r="AY207" s="340"/>
      <c r="AZ207" s="465">
        <f t="shared" ca="1" si="209"/>
        <v>7.3698599999999999E-5</v>
      </c>
      <c r="BA207" s="464">
        <f t="shared" ca="1" si="210"/>
        <v>2.2109589000000002E-3</v>
      </c>
      <c r="BB207" s="465">
        <f t="shared" ca="1" si="210"/>
        <v>2.2846575E-3</v>
      </c>
      <c r="BC207" s="466">
        <f t="shared" ca="1" si="211"/>
        <v>48914</v>
      </c>
      <c r="BD207" s="467">
        <f t="shared" ca="1" si="232"/>
        <v>48915</v>
      </c>
      <c r="BE207" s="467">
        <f t="shared" ca="1" si="212"/>
        <v>48944</v>
      </c>
      <c r="BF207" s="468">
        <f ca="1">IF(計算!$BC207&lt;OP!$C$3,0,BD207-BC207)</f>
        <v>1</v>
      </c>
      <c r="BG207" s="468">
        <f ca="1">IF($BE207&gt;DATE(YEAR($BD$9)+OP!$C$57,MONTH($BD$9),DAY($BD$9)),0,$BE207-$BD207+1)</f>
        <v>30</v>
      </c>
      <c r="BH207" s="469">
        <f t="shared" ca="1" si="213"/>
        <v>31</v>
      </c>
      <c r="BI207" t="str">
        <f t="shared" si="187"/>
        <v/>
      </c>
      <c r="BJ207">
        <v>6</v>
      </c>
      <c r="BN207" s="468">
        <f t="shared" si="233"/>
        <v>17</v>
      </c>
      <c r="BO207" s="468">
        <f t="shared" si="234"/>
        <v>6</v>
      </c>
      <c r="BP207" s="467">
        <f t="shared" ca="1" si="214"/>
        <v>48915</v>
      </c>
      <c r="BQ207" s="475">
        <f t="shared" ca="1" si="240"/>
        <v>49</v>
      </c>
      <c r="BR207" s="475" t="str">
        <f t="shared" si="235"/>
        <v/>
      </c>
      <c r="BS207" s="471" t="str">
        <f t="shared" si="215"/>
        <v/>
      </c>
      <c r="BT207" s="472" t="str">
        <f t="shared" si="188"/>
        <v/>
      </c>
      <c r="BU207" s="472">
        <f t="shared" ca="1" si="216"/>
        <v>0</v>
      </c>
      <c r="BV207" s="472">
        <f t="shared" ca="1" si="216"/>
        <v>0</v>
      </c>
      <c r="BW207" s="472"/>
      <c r="BX207" s="473">
        <f t="shared" ca="1" si="217"/>
        <v>91660.321791117996</v>
      </c>
      <c r="BY207" s="473">
        <f t="shared" si="218"/>
        <v>0</v>
      </c>
      <c r="BZ207" s="473">
        <f t="shared" ca="1" si="192"/>
        <v>209.412441632</v>
      </c>
      <c r="CA207" s="476">
        <f t="shared" ca="1" si="219"/>
        <v>0</v>
      </c>
      <c r="CB207" s="494">
        <f ca="1">IF(OR($Q206&lt;&gt;1,OP!$D$5+$BN207-1&lt;16,$BN207-1&lt;1),0,ROUND(ROUND(ROUND(((VLOOKUP($BN207-1,MORE_PV,5,0)/10000)*VLOOKUP($BN207,MORE_PV,$CB$5,0)),3)*VLOOKUP($BN207,more1,5,0),0)/$R206,0))</f>
        <v>0</v>
      </c>
      <c r="CC207" s="473">
        <f t="shared" ca="1" si="220"/>
        <v>0</v>
      </c>
      <c r="CD207" s="477"/>
      <c r="CE207" s="468">
        <f t="shared" si="236"/>
        <v>17</v>
      </c>
      <c r="CF207" s="468">
        <f t="shared" si="237"/>
        <v>6</v>
      </c>
      <c r="CG207" s="467">
        <f t="shared" ca="1" si="193"/>
        <v>48915</v>
      </c>
      <c r="CH207" s="475">
        <f t="shared" ca="1" si="241"/>
        <v>49</v>
      </c>
      <c r="CI207" s="513" t="str">
        <f t="shared" si="238"/>
        <v/>
      </c>
      <c r="CJ207" s="511">
        <f t="shared" si="221"/>
        <v>0</v>
      </c>
      <c r="CK207" s="512">
        <f t="shared" si="222"/>
        <v>0</v>
      </c>
      <c r="CL207" s="511">
        <f t="shared" ca="1" si="239"/>
        <v>0</v>
      </c>
      <c r="CM207" s="511">
        <f ca="1">ROUND(CS207-IF(OR($CE207&gt;=OP!$C$24,AND(CH207=15,CF207=12),CS207=0),0,(CT207-CR207)),$CM$7)</f>
        <v>0</v>
      </c>
      <c r="CN207" s="511"/>
      <c r="CO207" s="351">
        <f t="shared" ca="1" si="223"/>
        <v>121366</v>
      </c>
      <c r="CP207" s="473">
        <f t="shared" si="224"/>
        <v>0</v>
      </c>
      <c r="CQ207" s="473">
        <f t="shared" ca="1" si="194"/>
        <v>277.279742145</v>
      </c>
      <c r="CR207" s="476">
        <f t="shared" ca="1" si="225"/>
        <v>0</v>
      </c>
      <c r="CS207" s="494">
        <f ca="1">IF(OR($Q206&lt;&gt;1,OP!$D$5+$CE207-1&lt;16,$CE207-1&lt;1),0,ROUND(ROUND(ROUND(((VLOOKUP($CE207-1,MORE_PV,5,0)/10000)*VLOOKUP($CE207,MORE_PV,$CS$5,0)),3)*VLOOKUP($CE207,more1,5,0),0)/$R206,0))</f>
        <v>0</v>
      </c>
      <c r="CT207" s="473">
        <f>IF($AW207=1,IF(N($CR207+$CS207)&lt;N($AX207)*OP!$C$50,N($CR207+$CS207),MIN(N($CR207+$CS207),N($AX207))),0)</f>
        <v>0</v>
      </c>
      <c r="CV207" s="503">
        <f t="shared" ca="1" si="226"/>
        <v>121365.55335828901</v>
      </c>
      <c r="CW207" s="503">
        <f t="shared" ca="1" si="227"/>
        <v>0</v>
      </c>
      <c r="CX207" s="503">
        <f t="shared" ca="1" si="228"/>
        <v>121633.867834239</v>
      </c>
    </row>
    <row r="208" spans="2:102" ht="16.5" hidden="1">
      <c r="B208" s="80"/>
      <c r="C208" s="80"/>
      <c r="D208" s="80"/>
      <c r="E208" s="80"/>
      <c r="F208" s="80"/>
      <c r="G208" s="80"/>
      <c r="H208" s="80"/>
      <c r="I208" s="80"/>
      <c r="J208" s="192">
        <f t="shared" si="195"/>
        <v>17</v>
      </c>
      <c r="K208" s="192">
        <f t="shared" si="196"/>
        <v>8</v>
      </c>
      <c r="L208" s="192" t="str">
        <f t="shared" si="189"/>
        <v/>
      </c>
      <c r="M208" s="216">
        <f t="shared" ca="1" si="197"/>
        <v>0</v>
      </c>
      <c r="N208" s="216"/>
      <c r="O208" s="216"/>
      <c r="P208" s="216"/>
      <c r="Q208" s="456" t="str">
        <f t="shared" ca="1" si="198"/>
        <v/>
      </c>
      <c r="R208" s="450">
        <f t="shared" ca="1" si="199"/>
        <v>1</v>
      </c>
      <c r="S208" s="191">
        <f t="shared" si="200"/>
        <v>17</v>
      </c>
      <c r="T208" s="191">
        <f t="shared" si="201"/>
        <v>8</v>
      </c>
      <c r="U208" s="191">
        <f ca="1">OP!$D$5+$S208-1</f>
        <v>49</v>
      </c>
      <c r="V208" s="191" t="str">
        <f t="shared" si="202"/>
        <v/>
      </c>
      <c r="W208" s="350">
        <f ca="1">IF(Q208&lt;&gt;1,0,VLOOKUP(OP!$C$55,PVFB,$S208+2,0))</f>
        <v>0</v>
      </c>
      <c r="X208" s="473">
        <f t="shared" ca="1" si="229"/>
        <v>0</v>
      </c>
      <c r="Y208" s="348">
        <f t="shared" ca="1" si="230"/>
        <v>0</v>
      </c>
      <c r="Z208" s="348">
        <f t="shared" ca="1" si="231"/>
        <v>8012</v>
      </c>
      <c r="AA208" s="348">
        <f ca="1">IF(Q208&lt;&gt;1,0,VLOOKUP(OP!$C$55,PVFB,$S208+2,0))</f>
        <v>0</v>
      </c>
      <c r="AB208" s="488" t="str">
        <f ca="1">IF(AND(S208&lt;OP!$C$24,$U208&lt;15),0,IF(AND($U208&lt;15,$T208=12),ROUND(VLOOKUP($S208,DOWN16,5,0),3),IF($T208=12,ROUND(($Z208/10000)*$AA208,3)+IF(AND($P$7="購買增額繳清保險",T208=12,U208=110),VLOOKUP(S208,$B$10:$H$121,7,0),0),"")))</f>
        <v/>
      </c>
      <c r="AC208" s="350" t="str">
        <f ca="1">IF(AND(S208&lt;OP!$C$24,$U208&lt;15),0,IF(AND($U208&lt;16,$T208=12),VLOOKUP($S208,DOWN16,4,0),IF($T208=12,ROUND(VLOOKUP(OP!$C$55,_DIE2,$S208+1,0)*(Z208/10000),0)+IF(AND($P$7="購買增額繳清保險",T208=12,U208=110),VLOOKUP(S208,$B$10:$H$121,7,0),0),"")))</f>
        <v/>
      </c>
      <c r="AD208" s="347"/>
      <c r="AE208" s="350" t="str">
        <f t="shared" ca="1" si="190"/>
        <v/>
      </c>
      <c r="AF208" s="351" t="str">
        <f t="shared" ca="1" si="191"/>
        <v/>
      </c>
      <c r="AG208" s="340"/>
      <c r="AH208" s="340"/>
      <c r="AI208" s="340"/>
      <c r="AJ208" s="340"/>
      <c r="AK208" s="340"/>
      <c r="AL208" s="340"/>
      <c r="AM208" s="340"/>
      <c r="AN208" s="191">
        <f t="shared" si="203"/>
        <v>17</v>
      </c>
      <c r="AO208" s="191">
        <f t="shared" si="204"/>
        <v>8</v>
      </c>
      <c r="AP208" s="191">
        <f ca="1">OP!$D$5+$AN208-1</f>
        <v>49</v>
      </c>
      <c r="AQ208" s="191" t="str">
        <f t="shared" si="205"/>
        <v/>
      </c>
      <c r="AR208" s="352">
        <f t="shared" ca="1" si="206"/>
        <v>0</v>
      </c>
      <c r="AS208" s="352"/>
      <c r="AT208" s="352"/>
      <c r="AU208" s="436"/>
      <c r="AV208" s="353" t="str">
        <f t="shared" ca="1" si="207"/>
        <v/>
      </c>
      <c r="AW208" s="422" t="str">
        <f t="shared" si="208"/>
        <v/>
      </c>
      <c r="AX208" s="423" t="str">
        <f ca="1">IF(AND($AW208=1,$AP208&lt;16,$AN207&lt;OP!$C$24),OP!$C$49,"")</f>
        <v/>
      </c>
      <c r="AY208" s="340"/>
      <c r="AZ208" s="465">
        <f t="shared" ca="1" si="209"/>
        <v>7.3698599999999999E-5</v>
      </c>
      <c r="BA208" s="464">
        <f t="shared" ca="1" si="210"/>
        <v>2.2109589000000002E-3</v>
      </c>
      <c r="BB208" s="465">
        <f t="shared" ca="1" si="210"/>
        <v>2.2846575E-3</v>
      </c>
      <c r="BC208" s="466">
        <f t="shared" ca="1" si="211"/>
        <v>48945</v>
      </c>
      <c r="BD208" s="467">
        <f t="shared" ca="1" si="232"/>
        <v>48946</v>
      </c>
      <c r="BE208" s="467">
        <f t="shared" ca="1" si="212"/>
        <v>48975</v>
      </c>
      <c r="BF208" s="468">
        <f ca="1">IF(計算!$BC208&lt;OP!$C$3,0,BD208-BC208)</f>
        <v>1</v>
      </c>
      <c r="BG208" s="468">
        <f ca="1">IF($BE208&gt;DATE(YEAR($BD$9)+OP!$C$57,MONTH($BD$9),DAY($BD$9)),0,$BE208-$BD208+1)</f>
        <v>30</v>
      </c>
      <c r="BH208" s="469">
        <f t="shared" ca="1" si="213"/>
        <v>31</v>
      </c>
      <c r="BI208" t="str">
        <f t="shared" si="187"/>
        <v/>
      </c>
      <c r="BJ208">
        <v>7</v>
      </c>
      <c r="BN208" s="468">
        <f t="shared" si="233"/>
        <v>17</v>
      </c>
      <c r="BO208" s="468">
        <f t="shared" si="234"/>
        <v>7</v>
      </c>
      <c r="BP208" s="467">
        <f t="shared" ca="1" si="214"/>
        <v>48946</v>
      </c>
      <c r="BQ208" s="475">
        <f t="shared" ca="1" si="240"/>
        <v>49</v>
      </c>
      <c r="BR208" s="475" t="str">
        <f t="shared" si="235"/>
        <v/>
      </c>
      <c r="BS208" s="471" t="str">
        <f t="shared" si="215"/>
        <v/>
      </c>
      <c r="BT208" s="472" t="str">
        <f t="shared" si="188"/>
        <v/>
      </c>
      <c r="BU208" s="472">
        <f t="shared" ca="1" si="216"/>
        <v>0</v>
      </c>
      <c r="BV208" s="472">
        <f t="shared" ca="1" si="216"/>
        <v>0</v>
      </c>
      <c r="BW208" s="472"/>
      <c r="BX208" s="473">
        <f t="shared" ca="1" si="217"/>
        <v>91869.734232749994</v>
      </c>
      <c r="BY208" s="473">
        <f t="shared" si="218"/>
        <v>0</v>
      </c>
      <c r="BZ208" s="473">
        <f t="shared" ca="1" si="192"/>
        <v>209.890877338</v>
      </c>
      <c r="CA208" s="476">
        <f t="shared" ca="1" si="219"/>
        <v>0</v>
      </c>
      <c r="CB208" s="494">
        <f ca="1">IF(OR($Q207&lt;&gt;1,OP!$D$5+$BN208-1&lt;16,$BN208-1&lt;1),0,ROUND(ROUND(ROUND(((VLOOKUP($BN208-1,MORE_PV,5,0)/10000)*VLOOKUP($BN208,MORE_PV,$CB$5,0)),3)*VLOOKUP($BN208,more1,5,0),0)/$R207,0))</f>
        <v>0</v>
      </c>
      <c r="CC208" s="473">
        <f t="shared" ca="1" si="220"/>
        <v>0</v>
      </c>
      <c r="CD208" s="477"/>
      <c r="CE208" s="468">
        <f t="shared" si="236"/>
        <v>17</v>
      </c>
      <c r="CF208" s="468">
        <f t="shared" si="237"/>
        <v>7</v>
      </c>
      <c r="CG208" s="467">
        <f t="shared" ca="1" si="193"/>
        <v>48946</v>
      </c>
      <c r="CH208" s="475">
        <f t="shared" ca="1" si="241"/>
        <v>49</v>
      </c>
      <c r="CI208" s="513" t="str">
        <f t="shared" si="238"/>
        <v/>
      </c>
      <c r="CJ208" s="511">
        <f t="shared" si="221"/>
        <v>0</v>
      </c>
      <c r="CK208" s="512">
        <f t="shared" si="222"/>
        <v>0</v>
      </c>
      <c r="CL208" s="511">
        <f t="shared" ca="1" si="239"/>
        <v>0</v>
      </c>
      <c r="CM208" s="511">
        <f ca="1">ROUND(CS208-IF(OR($CE208&gt;=OP!$C$24,AND(CH208=15,CF208=12),CS208=0),0,(CT208-CR208)),$CM$7)</f>
        <v>0</v>
      </c>
      <c r="CN208" s="511"/>
      <c r="CO208" s="351">
        <f t="shared" ca="1" si="223"/>
        <v>121643</v>
      </c>
      <c r="CP208" s="473">
        <f t="shared" si="224"/>
        <v>0</v>
      </c>
      <c r="CQ208" s="473">
        <f t="shared" ca="1" si="194"/>
        <v>277.91259227299997</v>
      </c>
      <c r="CR208" s="476">
        <f t="shared" ca="1" si="225"/>
        <v>0</v>
      </c>
      <c r="CS208" s="494">
        <f ca="1">IF(OR($Q207&lt;&gt;1,OP!$D$5+$CE208-1&lt;16,$CE208-1&lt;1),0,ROUND(ROUND(ROUND(((VLOOKUP($CE208-1,MORE_PV,5,0)/10000)*VLOOKUP($CE208,MORE_PV,$CS$5,0)),3)*VLOOKUP($CE208,more1,5,0),0)/$R207,0))</f>
        <v>0</v>
      </c>
      <c r="CT208" s="473">
        <f>IF($AW208=1,IF(N($CR208+$CS208)&lt;N($AX208)*OP!$C$50,N($CR208+$CS208),MIN(N($CR208+$CS208),N($AX208))),0)</f>
        <v>0</v>
      </c>
      <c r="CV208" s="503">
        <f t="shared" ca="1" si="226"/>
        <v>121642.83208001099</v>
      </c>
      <c r="CW208" s="503">
        <f t="shared" ca="1" si="227"/>
        <v>0</v>
      </c>
      <c r="CX208" s="503">
        <f t="shared" ca="1" si="228"/>
        <v>121911.759562641</v>
      </c>
    </row>
    <row r="209" spans="2:102" ht="16.5" hidden="1">
      <c r="B209" s="80"/>
      <c r="C209" s="80"/>
      <c r="D209" s="80"/>
      <c r="E209" s="80"/>
      <c r="F209" s="80"/>
      <c r="G209" s="80"/>
      <c r="H209" s="80"/>
      <c r="I209" s="80"/>
      <c r="J209" s="192">
        <f t="shared" si="195"/>
        <v>17</v>
      </c>
      <c r="K209" s="192">
        <f t="shared" si="196"/>
        <v>9</v>
      </c>
      <c r="L209" s="192" t="str">
        <f t="shared" si="189"/>
        <v/>
      </c>
      <c r="M209" s="216">
        <f t="shared" ca="1" si="197"/>
        <v>0</v>
      </c>
      <c r="N209" s="216"/>
      <c r="O209" s="216"/>
      <c r="P209" s="216"/>
      <c r="Q209" s="456" t="str">
        <f t="shared" ca="1" si="198"/>
        <v/>
      </c>
      <c r="R209" s="450">
        <f t="shared" ca="1" si="199"/>
        <v>1</v>
      </c>
      <c r="S209" s="191">
        <f t="shared" si="200"/>
        <v>17</v>
      </c>
      <c r="T209" s="191">
        <f t="shared" si="201"/>
        <v>9</v>
      </c>
      <c r="U209" s="191">
        <f ca="1">OP!$D$5+$S209-1</f>
        <v>49</v>
      </c>
      <c r="V209" s="191" t="str">
        <f t="shared" si="202"/>
        <v/>
      </c>
      <c r="W209" s="350">
        <f ca="1">IF(Q209&lt;&gt;1,0,VLOOKUP(OP!$C$55,PVFB,$S209+2,0))</f>
        <v>0</v>
      </c>
      <c r="X209" s="473">
        <f t="shared" ca="1" si="229"/>
        <v>0</v>
      </c>
      <c r="Y209" s="348">
        <f t="shared" ca="1" si="230"/>
        <v>0</v>
      </c>
      <c r="Z209" s="348">
        <f t="shared" ca="1" si="231"/>
        <v>8012</v>
      </c>
      <c r="AA209" s="348">
        <f ca="1">IF(Q209&lt;&gt;1,0,VLOOKUP(OP!$C$55,PVFB,$S209+2,0))</f>
        <v>0</v>
      </c>
      <c r="AB209" s="488" t="str">
        <f ca="1">IF(AND(S209&lt;OP!$C$24,$U209&lt;15),0,IF(AND($U209&lt;15,$T209=12),ROUND(VLOOKUP($S209,DOWN16,5,0),3),IF($T209=12,ROUND(($Z209/10000)*$AA209,3)+IF(AND($P$7="購買增額繳清保險",T209=12,U209=110),VLOOKUP(S209,$B$10:$H$121,7,0),0),"")))</f>
        <v/>
      </c>
      <c r="AC209" s="350" t="str">
        <f ca="1">IF(AND(S209&lt;OP!$C$24,$U209&lt;15),0,IF(AND($U209&lt;16,$T209=12),VLOOKUP($S209,DOWN16,4,0),IF($T209=12,ROUND(VLOOKUP(OP!$C$55,_DIE2,$S209+1,0)*(Z209/10000),0)+IF(AND($P$7="購買增額繳清保險",T209=12,U209=110),VLOOKUP(S209,$B$10:$H$121,7,0),0),"")))</f>
        <v/>
      </c>
      <c r="AD209" s="347"/>
      <c r="AE209" s="350" t="str">
        <f t="shared" ca="1" si="190"/>
        <v/>
      </c>
      <c r="AF209" s="351" t="str">
        <f t="shared" ca="1" si="191"/>
        <v/>
      </c>
      <c r="AG209" s="340"/>
      <c r="AH209" s="340"/>
      <c r="AI209" s="340"/>
      <c r="AJ209" s="340"/>
      <c r="AK209" s="340"/>
      <c r="AL209" s="340"/>
      <c r="AM209" s="340"/>
      <c r="AN209" s="191">
        <f t="shared" si="203"/>
        <v>17</v>
      </c>
      <c r="AO209" s="191">
        <f t="shared" si="204"/>
        <v>9</v>
      </c>
      <c r="AP209" s="191">
        <f ca="1">OP!$D$5+$AN209-1</f>
        <v>49</v>
      </c>
      <c r="AQ209" s="191" t="str">
        <f t="shared" si="205"/>
        <v/>
      </c>
      <c r="AR209" s="352">
        <f t="shared" ca="1" si="206"/>
        <v>0</v>
      </c>
      <c r="AS209" s="352"/>
      <c r="AT209" s="352"/>
      <c r="AU209" s="436"/>
      <c r="AV209" s="353" t="str">
        <f t="shared" ca="1" si="207"/>
        <v/>
      </c>
      <c r="AW209" s="422" t="str">
        <f t="shared" si="208"/>
        <v/>
      </c>
      <c r="AX209" s="423" t="str">
        <f ca="1">IF(AND($AW209=1,$AP209&lt;16,$AN208&lt;OP!$C$24),OP!$C$49,"")</f>
        <v/>
      </c>
      <c r="AY209" s="340"/>
      <c r="AZ209" s="465">
        <f t="shared" ca="1" si="209"/>
        <v>7.3698599999999999E-5</v>
      </c>
      <c r="BA209" s="464">
        <f t="shared" ca="1" si="210"/>
        <v>1.9898630000000001E-3</v>
      </c>
      <c r="BB209" s="465">
        <f t="shared" ca="1" si="210"/>
        <v>2.0635616E-3</v>
      </c>
      <c r="BC209" s="466">
        <f t="shared" ca="1" si="211"/>
        <v>48976</v>
      </c>
      <c r="BD209" s="467">
        <f t="shared" ca="1" si="232"/>
        <v>48977</v>
      </c>
      <c r="BE209" s="467">
        <f t="shared" ca="1" si="212"/>
        <v>49003</v>
      </c>
      <c r="BF209" s="468">
        <f ca="1">IF(計算!$BC209&lt;OP!$C$3,0,BD209-BC209)</f>
        <v>1</v>
      </c>
      <c r="BG209" s="468">
        <f ca="1">IF($BE209&gt;DATE(YEAR($BD$9)+OP!$C$57,MONTH($BD$9),DAY($BD$9)),0,$BE209-$BD209+1)</f>
        <v>27</v>
      </c>
      <c r="BH209" s="469">
        <f t="shared" ca="1" si="213"/>
        <v>28</v>
      </c>
      <c r="BI209" t="str">
        <f t="shared" si="187"/>
        <v/>
      </c>
      <c r="BJ209">
        <v>8</v>
      </c>
      <c r="BN209" s="468">
        <f t="shared" si="233"/>
        <v>17</v>
      </c>
      <c r="BO209" s="468">
        <f t="shared" si="234"/>
        <v>8</v>
      </c>
      <c r="BP209" s="467">
        <f t="shared" ca="1" si="214"/>
        <v>48977</v>
      </c>
      <c r="BQ209" s="475">
        <f t="shared" ca="1" si="240"/>
        <v>49</v>
      </c>
      <c r="BR209" s="475" t="str">
        <f t="shared" si="235"/>
        <v/>
      </c>
      <c r="BS209" s="471" t="str">
        <f t="shared" si="215"/>
        <v/>
      </c>
      <c r="BT209" s="472" t="str">
        <f t="shared" si="188"/>
        <v/>
      </c>
      <c r="BU209" s="472">
        <f t="shared" ca="1" si="216"/>
        <v>0</v>
      </c>
      <c r="BV209" s="472">
        <f t="shared" ca="1" si="216"/>
        <v>0</v>
      </c>
      <c r="BW209" s="472"/>
      <c r="BX209" s="473">
        <f t="shared" ca="1" si="217"/>
        <v>92079.625110088004</v>
      </c>
      <c r="BY209" s="473">
        <f t="shared" si="218"/>
        <v>0</v>
      </c>
      <c r="BZ209" s="473">
        <f t="shared" ca="1" si="192"/>
        <v>190.01197852000001</v>
      </c>
      <c r="CA209" s="476">
        <f t="shared" ca="1" si="219"/>
        <v>0</v>
      </c>
      <c r="CB209" s="494">
        <f ca="1">IF(OR($Q208&lt;&gt;1,OP!$D$5+$BN209-1&lt;16,$BN209-1&lt;1),0,ROUND(ROUND(ROUND(((VLOOKUP($BN209-1,MORE_PV,5,0)/10000)*VLOOKUP($BN209,MORE_PV,$CB$5,0)),3)*VLOOKUP($BN209,more1,5,0),0)/$R208,0))</f>
        <v>0</v>
      </c>
      <c r="CC209" s="473">
        <f t="shared" ca="1" si="220"/>
        <v>0</v>
      </c>
      <c r="CD209" s="477"/>
      <c r="CE209" s="468">
        <f t="shared" si="236"/>
        <v>17</v>
      </c>
      <c r="CF209" s="468">
        <f t="shared" si="237"/>
        <v>8</v>
      </c>
      <c r="CG209" s="467">
        <f t="shared" ca="1" si="193"/>
        <v>48977</v>
      </c>
      <c r="CH209" s="475">
        <f t="shared" ca="1" si="241"/>
        <v>49</v>
      </c>
      <c r="CI209" s="513" t="str">
        <f t="shared" si="238"/>
        <v/>
      </c>
      <c r="CJ209" s="511">
        <f t="shared" si="221"/>
        <v>0</v>
      </c>
      <c r="CK209" s="512">
        <f t="shared" si="222"/>
        <v>0</v>
      </c>
      <c r="CL209" s="511">
        <f t="shared" ca="1" si="239"/>
        <v>0</v>
      </c>
      <c r="CM209" s="511">
        <f ca="1">ROUND(CS209-IF(OR($CE209&gt;=OP!$C$24,AND(CH209=15,CF209=12),CS209=0),0,(CT209-CR209)),$CM$7)</f>
        <v>0</v>
      </c>
      <c r="CN209" s="511"/>
      <c r="CO209" s="351">
        <f t="shared" ca="1" si="223"/>
        <v>121921</v>
      </c>
      <c r="CP209" s="473">
        <f t="shared" si="224"/>
        <v>0</v>
      </c>
      <c r="CQ209" s="473">
        <f t="shared" ca="1" si="194"/>
        <v>251.591493834</v>
      </c>
      <c r="CR209" s="476">
        <f t="shared" ca="1" si="225"/>
        <v>0</v>
      </c>
      <c r="CS209" s="494">
        <f ca="1">IF(OR($Q208&lt;&gt;1,OP!$D$5+$CE209-1&lt;16,$CE209-1&lt;1),0,ROUND(ROUND(ROUND(((VLOOKUP($CE209-1,MORE_PV,5,0)/10000)*VLOOKUP($CE209,MORE_PV,$CS$5,0)),3)*VLOOKUP($CE209,more1,5,0),0)/$R208,0))</f>
        <v>0</v>
      </c>
      <c r="CT209" s="473">
        <f>IF($AW209=1,IF(N($CR209+$CS209)&lt;N($AX209)*OP!$C$50,N($CR209+$CS209),MIN(N($CR209+$CS209),N($AX209))),0)</f>
        <v>0</v>
      </c>
      <c r="CV209" s="503">
        <f t="shared" ca="1" si="226"/>
        <v>121920.744288644</v>
      </c>
      <c r="CW209" s="503">
        <f t="shared" ca="1" si="227"/>
        <v>0</v>
      </c>
      <c r="CX209" s="503">
        <f t="shared" ca="1" si="228"/>
        <v>122163.331988263</v>
      </c>
    </row>
    <row r="210" spans="2:102" ht="16.5" hidden="1">
      <c r="B210" s="80"/>
      <c r="C210" s="80"/>
      <c r="D210" s="80"/>
      <c r="E210" s="80"/>
      <c r="F210" s="80"/>
      <c r="G210" s="80"/>
      <c r="H210" s="80"/>
      <c r="I210" s="80"/>
      <c r="J210" s="192">
        <f t="shared" si="195"/>
        <v>17</v>
      </c>
      <c r="K210" s="192">
        <f t="shared" si="196"/>
        <v>10</v>
      </c>
      <c r="L210" s="192" t="str">
        <f t="shared" si="189"/>
        <v/>
      </c>
      <c r="M210" s="216">
        <f t="shared" ca="1" si="197"/>
        <v>0</v>
      </c>
      <c r="N210" s="216"/>
      <c r="O210" s="216"/>
      <c r="P210" s="216"/>
      <c r="Q210" s="456" t="str">
        <f t="shared" ca="1" si="198"/>
        <v/>
      </c>
      <c r="R210" s="450">
        <f t="shared" ca="1" si="199"/>
        <v>1</v>
      </c>
      <c r="S210" s="191">
        <f t="shared" si="200"/>
        <v>17</v>
      </c>
      <c r="T210" s="191">
        <f t="shared" si="201"/>
        <v>10</v>
      </c>
      <c r="U210" s="191">
        <f ca="1">OP!$D$5+$S210-1</f>
        <v>49</v>
      </c>
      <c r="V210" s="191" t="str">
        <f t="shared" si="202"/>
        <v/>
      </c>
      <c r="W210" s="350">
        <f ca="1">IF(Q210&lt;&gt;1,0,VLOOKUP(OP!$C$55,PVFB,$S210+2,0))</f>
        <v>0</v>
      </c>
      <c r="X210" s="473">
        <f t="shared" ca="1" si="229"/>
        <v>0</v>
      </c>
      <c r="Y210" s="348">
        <f t="shared" ca="1" si="230"/>
        <v>0</v>
      </c>
      <c r="Z210" s="348">
        <f t="shared" ca="1" si="231"/>
        <v>8012</v>
      </c>
      <c r="AA210" s="348">
        <f ca="1">IF(Q210&lt;&gt;1,0,VLOOKUP(OP!$C$55,PVFB,$S210+2,0))</f>
        <v>0</v>
      </c>
      <c r="AB210" s="488" t="str">
        <f ca="1">IF(AND(S210&lt;OP!$C$24,$U210&lt;15),0,IF(AND($U210&lt;15,$T210=12),ROUND(VLOOKUP($S210,DOWN16,5,0),3),IF($T210=12,ROUND(($Z210/10000)*$AA210,3)+IF(AND($P$7="購買增額繳清保險",T210=12,U210=110),VLOOKUP(S210,$B$10:$H$121,7,0),0),"")))</f>
        <v/>
      </c>
      <c r="AC210" s="350" t="str">
        <f ca="1">IF(AND(S210&lt;OP!$C$24,$U210&lt;15),0,IF(AND($U210&lt;16,$T210=12),VLOOKUP($S210,DOWN16,4,0),IF($T210=12,ROUND(VLOOKUP(OP!$C$55,_DIE2,$S210+1,0)*(Z210/10000),0)+IF(AND($P$7="購買增額繳清保險",T210=12,U210=110),VLOOKUP(S210,$B$10:$H$121,7,0),0),"")))</f>
        <v/>
      </c>
      <c r="AD210" s="347"/>
      <c r="AE210" s="350" t="str">
        <f t="shared" ca="1" si="190"/>
        <v/>
      </c>
      <c r="AF210" s="351" t="str">
        <f t="shared" ca="1" si="191"/>
        <v/>
      </c>
      <c r="AG210" s="340"/>
      <c r="AH210" s="340"/>
      <c r="AI210" s="340"/>
      <c r="AJ210" s="340"/>
      <c r="AK210" s="340"/>
      <c r="AL210" s="340"/>
      <c r="AM210" s="340"/>
      <c r="AN210" s="191">
        <f t="shared" si="203"/>
        <v>17</v>
      </c>
      <c r="AO210" s="191">
        <f t="shared" si="204"/>
        <v>10</v>
      </c>
      <c r="AP210" s="191">
        <f ca="1">OP!$D$5+$AN210-1</f>
        <v>49</v>
      </c>
      <c r="AQ210" s="191" t="str">
        <f t="shared" si="205"/>
        <v/>
      </c>
      <c r="AR210" s="352">
        <f t="shared" ca="1" si="206"/>
        <v>0</v>
      </c>
      <c r="AS210" s="352"/>
      <c r="AT210" s="352"/>
      <c r="AU210" s="436"/>
      <c r="AV210" s="353" t="str">
        <f t="shared" ca="1" si="207"/>
        <v/>
      </c>
      <c r="AW210" s="422" t="str">
        <f t="shared" si="208"/>
        <v/>
      </c>
      <c r="AX210" s="423" t="str">
        <f ca="1">IF(AND($AW210=1,$AP210&lt;16,$AN209&lt;OP!$C$24),OP!$C$49,"")</f>
        <v/>
      </c>
      <c r="AY210" s="340"/>
      <c r="AZ210" s="465">
        <f t="shared" ca="1" si="209"/>
        <v>7.3698599999999999E-5</v>
      </c>
      <c r="BA210" s="464">
        <f t="shared" ca="1" si="210"/>
        <v>2.2109589000000002E-3</v>
      </c>
      <c r="BB210" s="465">
        <f t="shared" ca="1" si="210"/>
        <v>2.2846575E-3</v>
      </c>
      <c r="BC210" s="466">
        <f t="shared" ca="1" si="211"/>
        <v>49004</v>
      </c>
      <c r="BD210" s="467">
        <f t="shared" ca="1" si="232"/>
        <v>49005</v>
      </c>
      <c r="BE210" s="467">
        <f t="shared" ca="1" si="212"/>
        <v>49034</v>
      </c>
      <c r="BF210" s="468">
        <f ca="1">IF(計算!$BC210&lt;OP!$C$3,0,BD210-BC210)</f>
        <v>1</v>
      </c>
      <c r="BG210" s="468">
        <f ca="1">IF($BE210&gt;DATE(YEAR($BD$9)+OP!$C$57,MONTH($BD$9),DAY($BD$9)),0,$BE210-$BD210+1)</f>
        <v>30</v>
      </c>
      <c r="BH210" s="469">
        <f t="shared" ca="1" si="213"/>
        <v>31</v>
      </c>
      <c r="BI210" t="str">
        <f t="shared" si="187"/>
        <v/>
      </c>
      <c r="BJ210">
        <v>9</v>
      </c>
      <c r="BN210" s="468">
        <f t="shared" si="233"/>
        <v>17</v>
      </c>
      <c r="BO210" s="468">
        <f t="shared" si="234"/>
        <v>9</v>
      </c>
      <c r="BP210" s="467">
        <f t="shared" ca="1" si="214"/>
        <v>49005</v>
      </c>
      <c r="BQ210" s="475">
        <f t="shared" ca="1" si="240"/>
        <v>49</v>
      </c>
      <c r="BR210" s="475" t="str">
        <f t="shared" si="235"/>
        <v/>
      </c>
      <c r="BS210" s="471" t="str">
        <f t="shared" si="215"/>
        <v/>
      </c>
      <c r="BT210" s="472" t="str">
        <f t="shared" si="188"/>
        <v/>
      </c>
      <c r="BU210" s="472">
        <f t="shared" ca="1" si="216"/>
        <v>0</v>
      </c>
      <c r="BV210" s="472">
        <f t="shared" ca="1" si="216"/>
        <v>0</v>
      </c>
      <c r="BW210" s="472"/>
      <c r="BX210" s="473">
        <f t="shared" ca="1" si="217"/>
        <v>92269.637088607997</v>
      </c>
      <c r="BY210" s="473">
        <f t="shared" si="218"/>
        <v>0</v>
      </c>
      <c r="BZ210" s="473">
        <f t="shared" ca="1" si="192"/>
        <v>210.80451839700001</v>
      </c>
      <c r="CA210" s="476">
        <f t="shared" ca="1" si="219"/>
        <v>0</v>
      </c>
      <c r="CB210" s="494">
        <f ca="1">IF(OR($Q209&lt;&gt;1,OP!$D$5+$BN210-1&lt;16,$BN210-1&lt;1),0,ROUND(ROUND(ROUND(((VLOOKUP($BN210-1,MORE_PV,5,0)/10000)*VLOOKUP($BN210,MORE_PV,$CB$5,0)),3)*VLOOKUP($BN210,more1,5,0),0)/$R209,0))</f>
        <v>0</v>
      </c>
      <c r="CC210" s="473">
        <f t="shared" ca="1" si="220"/>
        <v>0</v>
      </c>
      <c r="CD210" s="477"/>
      <c r="CE210" s="468">
        <f t="shared" si="236"/>
        <v>17</v>
      </c>
      <c r="CF210" s="468">
        <f t="shared" si="237"/>
        <v>9</v>
      </c>
      <c r="CG210" s="467">
        <f t="shared" ca="1" si="193"/>
        <v>49005</v>
      </c>
      <c r="CH210" s="475">
        <f t="shared" ca="1" si="241"/>
        <v>49</v>
      </c>
      <c r="CI210" s="513" t="str">
        <f t="shared" si="238"/>
        <v/>
      </c>
      <c r="CJ210" s="511">
        <f t="shared" si="221"/>
        <v>0</v>
      </c>
      <c r="CK210" s="512">
        <f t="shared" si="222"/>
        <v>0</v>
      </c>
      <c r="CL210" s="511">
        <f t="shared" ca="1" si="239"/>
        <v>0</v>
      </c>
      <c r="CM210" s="511">
        <f ca="1">ROUND(CS210-IF(OR($CE210&gt;=OP!$C$24,AND(CH210=15,CF210=12),CS210=0),0,(CT210-CR210)),$CM$7)</f>
        <v>0</v>
      </c>
      <c r="CN210" s="511"/>
      <c r="CO210" s="351">
        <f t="shared" ca="1" si="223"/>
        <v>122172</v>
      </c>
      <c r="CP210" s="473">
        <f t="shared" si="224"/>
        <v>0</v>
      </c>
      <c r="CQ210" s="473">
        <f t="shared" ca="1" si="194"/>
        <v>279.12117609000001</v>
      </c>
      <c r="CR210" s="476">
        <f t="shared" ca="1" si="225"/>
        <v>0</v>
      </c>
      <c r="CS210" s="494">
        <f ca="1">IF(OR($Q209&lt;&gt;1,OP!$D$5+$CE210-1&lt;16,$CE210-1&lt;1),0,ROUND(ROUND(ROUND(((VLOOKUP($CE210-1,MORE_PV,5,0)/10000)*VLOOKUP($CE210,MORE_PV,$CS$5,0)),3)*VLOOKUP($CE210,more1,5,0),0)/$R209,0))</f>
        <v>0</v>
      </c>
      <c r="CT210" s="473">
        <f>IF($AW210=1,IF(N($CR210+$CS210)&lt;N($AX210)*OP!$C$50,N($CR210+$CS210),MIN(N($CR210+$CS210),N($AX210))),0)</f>
        <v>0</v>
      </c>
      <c r="CV210" s="503">
        <f t="shared" ca="1" si="226"/>
        <v>122172.335254802</v>
      </c>
      <c r="CW210" s="503">
        <f t="shared" ca="1" si="227"/>
        <v>0</v>
      </c>
      <c r="CX210" s="503">
        <f t="shared" ca="1" si="228"/>
        <v>122442.43336091501</v>
      </c>
    </row>
    <row r="211" spans="2:102" ht="16.5" hidden="1">
      <c r="B211" s="80"/>
      <c r="C211" s="80"/>
      <c r="D211" s="80"/>
      <c r="E211" s="80"/>
      <c r="F211" s="80"/>
      <c r="G211" s="80"/>
      <c r="H211" s="80"/>
      <c r="I211" s="80"/>
      <c r="J211" s="192">
        <f t="shared" si="195"/>
        <v>17</v>
      </c>
      <c r="K211" s="192">
        <f t="shared" si="196"/>
        <v>11</v>
      </c>
      <c r="L211" s="192" t="str">
        <f t="shared" si="189"/>
        <v/>
      </c>
      <c r="M211" s="216">
        <f t="shared" ca="1" si="197"/>
        <v>0</v>
      </c>
      <c r="N211" s="216"/>
      <c r="O211" s="216"/>
      <c r="P211" s="216"/>
      <c r="Q211" s="456" t="str">
        <f t="shared" ca="1" si="198"/>
        <v/>
      </c>
      <c r="R211" s="450">
        <f t="shared" ca="1" si="199"/>
        <v>1</v>
      </c>
      <c r="S211" s="191">
        <f t="shared" si="200"/>
        <v>17</v>
      </c>
      <c r="T211" s="191">
        <f t="shared" si="201"/>
        <v>11</v>
      </c>
      <c r="U211" s="191">
        <f ca="1">OP!$D$5+$S211-1</f>
        <v>49</v>
      </c>
      <c r="V211" s="191" t="str">
        <f t="shared" si="202"/>
        <v/>
      </c>
      <c r="W211" s="350">
        <f ca="1">IF(Q211&lt;&gt;1,0,VLOOKUP(OP!$C$55,PVFB,$S211+2,0))</f>
        <v>0</v>
      </c>
      <c r="X211" s="473">
        <f t="shared" ca="1" si="229"/>
        <v>0</v>
      </c>
      <c r="Y211" s="348">
        <f t="shared" ca="1" si="230"/>
        <v>0</v>
      </c>
      <c r="Z211" s="348">
        <f t="shared" ca="1" si="231"/>
        <v>8012</v>
      </c>
      <c r="AA211" s="348">
        <f ca="1">IF(Q211&lt;&gt;1,0,VLOOKUP(OP!$C$55,PVFB,$S211+2,0))</f>
        <v>0</v>
      </c>
      <c r="AB211" s="488" t="str">
        <f ca="1">IF(AND(S211&lt;OP!$C$24,$U211&lt;15),0,IF(AND($U211&lt;15,$T211=12),ROUND(VLOOKUP($S211,DOWN16,5,0),3),IF($T211=12,ROUND(($Z211/10000)*$AA211,3)+IF(AND($P$7="購買增額繳清保險",T211=12,U211=110),VLOOKUP(S211,$B$10:$H$121,7,0),0),"")))</f>
        <v/>
      </c>
      <c r="AC211" s="350" t="str">
        <f ca="1">IF(AND(S211&lt;OP!$C$24,$U211&lt;15),0,IF(AND($U211&lt;16,$T211=12),VLOOKUP($S211,DOWN16,4,0),IF($T211=12,ROUND(VLOOKUP(OP!$C$55,_DIE2,$S211+1,0)*(Z211/10000),0)+IF(AND($P$7="購買增額繳清保險",T211=12,U211=110),VLOOKUP(S211,$B$10:$H$121,7,0),0),"")))</f>
        <v/>
      </c>
      <c r="AD211" s="347"/>
      <c r="AE211" s="350" t="str">
        <f t="shared" ca="1" si="190"/>
        <v/>
      </c>
      <c r="AF211" s="351" t="str">
        <f t="shared" ca="1" si="191"/>
        <v/>
      </c>
      <c r="AG211" s="340"/>
      <c r="AH211" s="340"/>
      <c r="AI211" s="340"/>
      <c r="AJ211" s="340"/>
      <c r="AK211" s="340"/>
      <c r="AL211" s="340"/>
      <c r="AM211" s="340"/>
      <c r="AN211" s="191">
        <f t="shared" si="203"/>
        <v>17</v>
      </c>
      <c r="AO211" s="191">
        <f t="shared" si="204"/>
        <v>11</v>
      </c>
      <c r="AP211" s="191">
        <f ca="1">OP!$D$5+$AN211-1</f>
        <v>49</v>
      </c>
      <c r="AQ211" s="191" t="str">
        <f t="shared" si="205"/>
        <v/>
      </c>
      <c r="AR211" s="352">
        <f t="shared" ca="1" si="206"/>
        <v>0</v>
      </c>
      <c r="AS211" s="352"/>
      <c r="AT211" s="352"/>
      <c r="AU211" s="436"/>
      <c r="AV211" s="353" t="str">
        <f t="shared" ca="1" si="207"/>
        <v/>
      </c>
      <c r="AW211" s="422" t="str">
        <f t="shared" si="208"/>
        <v/>
      </c>
      <c r="AX211" s="423" t="str">
        <f ca="1">IF(AND($AW211=1,$AP211&lt;16,$AN210&lt;OP!$C$24),OP!$C$49,"")</f>
        <v/>
      </c>
      <c r="AY211" s="340"/>
      <c r="AZ211" s="465">
        <f t="shared" ca="1" si="209"/>
        <v>7.3698599999999999E-5</v>
      </c>
      <c r="BA211" s="464">
        <f t="shared" ca="1" si="210"/>
        <v>2.1372602999999999E-3</v>
      </c>
      <c r="BB211" s="465">
        <f t="shared" ca="1" si="210"/>
        <v>2.2109589000000002E-3</v>
      </c>
      <c r="BC211" s="466">
        <f t="shared" ca="1" si="211"/>
        <v>49035</v>
      </c>
      <c r="BD211" s="467">
        <f t="shared" ca="1" si="232"/>
        <v>49036</v>
      </c>
      <c r="BE211" s="467">
        <f t="shared" ca="1" si="212"/>
        <v>49064</v>
      </c>
      <c r="BF211" s="468">
        <f ca="1">IF(計算!$BC211&lt;OP!$C$3,0,BD211-BC211)</f>
        <v>1</v>
      </c>
      <c r="BG211" s="468">
        <f ca="1">IF($BE211&gt;DATE(YEAR($BD$9)+OP!$C$57,MONTH($BD$9),DAY($BD$9)),0,$BE211-$BD211+1)</f>
        <v>29</v>
      </c>
      <c r="BH211" s="469">
        <f t="shared" ca="1" si="213"/>
        <v>30</v>
      </c>
      <c r="BI211" t="str">
        <f t="shared" si="187"/>
        <v/>
      </c>
      <c r="BJ211">
        <v>10</v>
      </c>
      <c r="BN211" s="468">
        <f t="shared" si="233"/>
        <v>17</v>
      </c>
      <c r="BO211" s="468">
        <f t="shared" si="234"/>
        <v>10</v>
      </c>
      <c r="BP211" s="467">
        <f t="shared" ca="1" si="214"/>
        <v>49036</v>
      </c>
      <c r="BQ211" s="475">
        <f t="shared" ca="1" si="240"/>
        <v>49</v>
      </c>
      <c r="BR211" s="475" t="str">
        <f t="shared" si="235"/>
        <v/>
      </c>
      <c r="BS211" s="471" t="str">
        <f t="shared" si="215"/>
        <v/>
      </c>
      <c r="BT211" s="472" t="str">
        <f t="shared" si="188"/>
        <v/>
      </c>
      <c r="BU211" s="472">
        <f t="shared" ca="1" si="216"/>
        <v>0</v>
      </c>
      <c r="BV211" s="472">
        <f t="shared" ca="1" si="216"/>
        <v>0</v>
      </c>
      <c r="BW211" s="472"/>
      <c r="BX211" s="473">
        <f t="shared" ca="1" si="217"/>
        <v>92480.441607005007</v>
      </c>
      <c r="BY211" s="473">
        <f t="shared" si="218"/>
        <v>0</v>
      </c>
      <c r="BZ211" s="473">
        <f t="shared" ca="1" si="192"/>
        <v>204.47045544700001</v>
      </c>
      <c r="CA211" s="476">
        <f t="shared" ca="1" si="219"/>
        <v>0</v>
      </c>
      <c r="CB211" s="494">
        <f ca="1">IF(OR($Q210&lt;&gt;1,OP!$D$5+$BN211-1&lt;16,$BN211-1&lt;1),0,ROUND(ROUND(ROUND(((VLOOKUP($BN211-1,MORE_PV,5,0)/10000)*VLOOKUP($BN211,MORE_PV,$CB$5,0)),3)*VLOOKUP($BN211,more1,5,0),0)/$R210,0))</f>
        <v>0</v>
      </c>
      <c r="CC211" s="473">
        <f t="shared" ca="1" si="220"/>
        <v>0</v>
      </c>
      <c r="CD211" s="477"/>
      <c r="CE211" s="468">
        <f t="shared" si="236"/>
        <v>17</v>
      </c>
      <c r="CF211" s="468">
        <f t="shared" si="237"/>
        <v>10</v>
      </c>
      <c r="CG211" s="467">
        <f t="shared" ca="1" si="193"/>
        <v>49036</v>
      </c>
      <c r="CH211" s="475">
        <f t="shared" ca="1" si="241"/>
        <v>49</v>
      </c>
      <c r="CI211" s="513" t="str">
        <f t="shared" si="238"/>
        <v/>
      </c>
      <c r="CJ211" s="511">
        <f t="shared" si="221"/>
        <v>0</v>
      </c>
      <c r="CK211" s="512">
        <f t="shared" si="222"/>
        <v>0</v>
      </c>
      <c r="CL211" s="511">
        <f t="shared" ca="1" si="239"/>
        <v>0</v>
      </c>
      <c r="CM211" s="511">
        <f ca="1">ROUND(CS211-IF(OR($CE211&gt;=OP!$C$24,AND(CH211=15,CF211=12),CS211=0),0,(CT211-CR211)),$CM$7)</f>
        <v>0</v>
      </c>
      <c r="CN211" s="511"/>
      <c r="CO211" s="351">
        <f t="shared" ca="1" si="223"/>
        <v>122451</v>
      </c>
      <c r="CP211" s="473">
        <f t="shared" si="224"/>
        <v>0</v>
      </c>
      <c r="CQ211" s="473">
        <f t="shared" ca="1" si="194"/>
        <v>270.73412826399999</v>
      </c>
      <c r="CR211" s="476">
        <f t="shared" ca="1" si="225"/>
        <v>0</v>
      </c>
      <c r="CS211" s="494">
        <f ca="1">IF(OR($Q210&lt;&gt;1,OP!$D$5+$CE211-1&lt;16,$CE211-1&lt;1),0,ROUND(ROUND(ROUND(((VLOOKUP($CE211-1,MORE_PV,5,0)/10000)*VLOOKUP($CE211,MORE_PV,$CS$5,0)),3)*VLOOKUP($CE211,more1,5,0),0)/$R210,0))</f>
        <v>0</v>
      </c>
      <c r="CT211" s="473">
        <f>IF($AW211=1,IF(N($CR211+$CS211)&lt;N($AX211)*OP!$C$50,N($CR211+$CS211),MIN(N($CR211+$CS211),N($AX211))),0)</f>
        <v>0</v>
      </c>
      <c r="CV211" s="503">
        <f t="shared" ca="1" si="226"/>
        <v>122451.457196834</v>
      </c>
      <c r="CW211" s="503">
        <f t="shared" ca="1" si="227"/>
        <v>0</v>
      </c>
      <c r="CX211" s="503">
        <f t="shared" ca="1" si="228"/>
        <v>122713.148548692</v>
      </c>
    </row>
    <row r="212" spans="2:102" ht="16.5" hidden="1">
      <c r="B212" s="80"/>
      <c r="C212" s="80"/>
      <c r="D212" s="80"/>
      <c r="E212" s="80"/>
      <c r="F212" s="80"/>
      <c r="G212" s="80"/>
      <c r="H212" s="80"/>
      <c r="I212" s="80"/>
      <c r="J212" s="192">
        <f t="shared" si="195"/>
        <v>17</v>
      </c>
      <c r="K212" s="192">
        <f t="shared" si="196"/>
        <v>12</v>
      </c>
      <c r="L212" s="192">
        <f t="shared" si="189"/>
        <v>17</v>
      </c>
      <c r="M212" s="216">
        <f t="shared" ca="1" si="197"/>
        <v>101839</v>
      </c>
      <c r="N212" s="216"/>
      <c r="O212" s="216"/>
      <c r="P212" s="216"/>
      <c r="Q212" s="456">
        <f t="shared" ca="1" si="198"/>
        <v>1</v>
      </c>
      <c r="R212" s="450">
        <f t="shared" ca="1" si="199"/>
        <v>1</v>
      </c>
      <c r="S212" s="191">
        <f t="shared" si="200"/>
        <v>17</v>
      </c>
      <c r="T212" s="191">
        <f t="shared" si="201"/>
        <v>12</v>
      </c>
      <c r="U212" s="191">
        <f ca="1">OP!$D$5+$S212-1</f>
        <v>49</v>
      </c>
      <c r="V212" s="191">
        <f t="shared" si="202"/>
        <v>17</v>
      </c>
      <c r="W212" s="350">
        <f ca="1">IF(Q212&lt;&gt;1,0,VLOOKUP(OP!$C$55,PVFB,$S212+2,0))</f>
        <v>37202</v>
      </c>
      <c r="X212" s="473">
        <f t="shared" ca="1" si="229"/>
        <v>8934</v>
      </c>
      <c r="Y212" s="348">
        <f t="shared" ca="1" si="230"/>
        <v>0</v>
      </c>
      <c r="Z212" s="348">
        <f t="shared" ca="1" si="231"/>
        <v>8012</v>
      </c>
      <c r="AA212" s="348">
        <f ca="1">IF(Q212&lt;&gt;1,0,VLOOKUP(OP!$C$55,PVFB,$S212+2,0))</f>
        <v>37202</v>
      </c>
      <c r="AB212" s="488">
        <f ca="1">IF(AND(S212&lt;OP!$C$24,$U212&lt;15),0,IF(AND($U212&lt;15,$T212=12),ROUND(VLOOKUP($S212,DOWN16,5,0),3),IF($T212=12,ROUND(($Z212/10000)*$AA212,3)+IF(AND($P$7="購買增額繳清保險",T212=12,U212=110),VLOOKUP(S212,$B$10:$H$121,7,0),0),"")))</f>
        <v>29806.241999999998</v>
      </c>
      <c r="AC212" s="350">
        <f ca="1">IF(AND(S212&lt;OP!$C$24,$U212&lt;15),0,IF(AND($U212&lt;16,$T212=12),VLOOKUP($S212,DOWN16,4,0),IF($T212=12,ROUND(VLOOKUP(OP!$C$55,_DIE2,$S212+1,0)*(Z212/10000),0)+IF(AND($P$7="購買增額繳清保險",T212=12,U212=110),VLOOKUP(S212,$B$10:$H$121,7,0),0),"")))</f>
        <v>29806</v>
      </c>
      <c r="AD212" s="347"/>
      <c r="AE212" s="350" t="str">
        <f t="shared" ca="1" si="190"/>
        <v/>
      </c>
      <c r="AF212" s="351" t="str">
        <f t="shared" ca="1" si="191"/>
        <v/>
      </c>
      <c r="AG212" s="340"/>
      <c r="AH212" s="340"/>
      <c r="AI212" s="340"/>
      <c r="AJ212" s="340"/>
      <c r="AK212" s="340"/>
      <c r="AL212" s="340"/>
      <c r="AM212" s="340"/>
      <c r="AN212" s="191">
        <f t="shared" si="203"/>
        <v>17</v>
      </c>
      <c r="AO212" s="191">
        <f t="shared" si="204"/>
        <v>12</v>
      </c>
      <c r="AP212" s="191">
        <f ca="1">OP!$D$5+$AN212-1</f>
        <v>49</v>
      </c>
      <c r="AQ212" s="191">
        <f t="shared" si="205"/>
        <v>17</v>
      </c>
      <c r="AR212" s="352">
        <f t="shared" ca="1" si="206"/>
        <v>131731</v>
      </c>
      <c r="AS212" s="352"/>
      <c r="AT212" s="352"/>
      <c r="AU212" s="436"/>
      <c r="AV212" s="353">
        <f t="shared" ca="1" si="207"/>
        <v>1</v>
      </c>
      <c r="AW212" s="422" t="str">
        <f t="shared" si="208"/>
        <v/>
      </c>
      <c r="AX212" s="423" t="str">
        <f ca="1">IF(AND($AW212=1,$AP212&lt;16,$AN211&lt;OP!$C$24),OP!$C$49,"")</f>
        <v/>
      </c>
      <c r="AY212" s="340"/>
      <c r="AZ212" s="465">
        <f t="shared" ca="1" si="209"/>
        <v>7.3698599999999999E-5</v>
      </c>
      <c r="BA212" s="464">
        <f t="shared" ca="1" si="210"/>
        <v>2.2109589000000002E-3</v>
      </c>
      <c r="BB212" s="465">
        <f t="shared" ca="1" si="210"/>
        <v>2.2846575E-3</v>
      </c>
      <c r="BC212" s="466">
        <f t="shared" ca="1" si="211"/>
        <v>49065</v>
      </c>
      <c r="BD212" s="467">
        <f t="shared" ca="1" si="232"/>
        <v>49066</v>
      </c>
      <c r="BE212" s="467">
        <f t="shared" ca="1" si="212"/>
        <v>49095</v>
      </c>
      <c r="BF212" s="468">
        <f ca="1">IF(計算!$BC212&lt;OP!$C$3,0,BD212-BC212)</f>
        <v>1</v>
      </c>
      <c r="BG212" s="468">
        <f ca="1">IF($BE212&gt;DATE(YEAR($BD$9)+OP!$C$57,MONTH($BD$9),DAY($BD$9)),0,$BE212-$BD212+1)</f>
        <v>30</v>
      </c>
      <c r="BH212" s="469">
        <f t="shared" ca="1" si="213"/>
        <v>31</v>
      </c>
      <c r="BI212" t="str">
        <f t="shared" si="187"/>
        <v/>
      </c>
      <c r="BJ212">
        <v>11</v>
      </c>
      <c r="BN212" s="468">
        <f t="shared" si="233"/>
        <v>17</v>
      </c>
      <c r="BO212" s="468">
        <f t="shared" si="234"/>
        <v>11</v>
      </c>
      <c r="BP212" s="467">
        <f t="shared" ca="1" si="214"/>
        <v>49066</v>
      </c>
      <c r="BQ212" s="475">
        <f t="shared" ca="1" si="240"/>
        <v>49</v>
      </c>
      <c r="BR212" s="475" t="str">
        <f t="shared" si="235"/>
        <v/>
      </c>
      <c r="BS212" s="471" t="str">
        <f t="shared" si="215"/>
        <v/>
      </c>
      <c r="BT212" s="472" t="str">
        <f t="shared" si="188"/>
        <v/>
      </c>
      <c r="BU212" s="472">
        <f t="shared" ca="1" si="216"/>
        <v>0</v>
      </c>
      <c r="BV212" s="472">
        <f t="shared" ca="1" si="216"/>
        <v>0</v>
      </c>
      <c r="BW212" s="472"/>
      <c r="BX212" s="473">
        <f t="shared" ca="1" si="217"/>
        <v>92684.912062452</v>
      </c>
      <c r="BY212" s="473">
        <f t="shared" si="218"/>
        <v>0</v>
      </c>
      <c r="BZ212" s="473">
        <f t="shared" ca="1" si="192"/>
        <v>211.75327948</v>
      </c>
      <c r="CA212" s="476">
        <f t="shared" ca="1" si="219"/>
        <v>0</v>
      </c>
      <c r="CB212" s="494">
        <f ca="1">IF(OR($Q211&lt;&gt;1,OP!$D$5+$BN212-1&lt;16,$BN212-1&lt;1),0,ROUND(ROUND(ROUND(((VLOOKUP($BN212-1,MORE_PV,5,0)/10000)*VLOOKUP($BN212,MORE_PV,$CB$5,0)),3)*VLOOKUP($BN212,more1,5,0),0)/$R211,0))</f>
        <v>0</v>
      </c>
      <c r="CC212" s="473">
        <f t="shared" ca="1" si="220"/>
        <v>0</v>
      </c>
      <c r="CD212" s="477"/>
      <c r="CE212" s="468">
        <f t="shared" si="236"/>
        <v>17</v>
      </c>
      <c r="CF212" s="468">
        <f t="shared" si="237"/>
        <v>11</v>
      </c>
      <c r="CG212" s="467">
        <f t="shared" ca="1" si="193"/>
        <v>49066</v>
      </c>
      <c r="CH212" s="475">
        <f t="shared" ca="1" si="241"/>
        <v>49</v>
      </c>
      <c r="CI212" s="513" t="str">
        <f t="shared" si="238"/>
        <v/>
      </c>
      <c r="CJ212" s="511">
        <f t="shared" si="221"/>
        <v>0</v>
      </c>
      <c r="CK212" s="512">
        <f t="shared" si="222"/>
        <v>0</v>
      </c>
      <c r="CL212" s="511">
        <f t="shared" ca="1" si="239"/>
        <v>0</v>
      </c>
      <c r="CM212" s="511">
        <f ca="1">ROUND(CS212-IF(OR($CE212&gt;=OP!$C$24,AND(CH212=15,CF212=12),CS212=0),0,(CT212-CR212)),$CM$7)</f>
        <v>0</v>
      </c>
      <c r="CN212" s="511"/>
      <c r="CO212" s="351">
        <f t="shared" ca="1" si="223"/>
        <v>122722</v>
      </c>
      <c r="CP212" s="473">
        <f t="shared" si="224"/>
        <v>0</v>
      </c>
      <c r="CQ212" s="473">
        <f t="shared" ca="1" si="194"/>
        <v>280.37773771500002</v>
      </c>
      <c r="CR212" s="476">
        <f t="shared" ca="1" si="225"/>
        <v>0</v>
      </c>
      <c r="CS212" s="494">
        <f ca="1">IF(OR($Q211&lt;&gt;1,OP!$D$5+$CE212-1&lt;16,$CE212-1&lt;1),0,ROUND(ROUND(ROUND(((VLOOKUP($CE212-1,MORE_PV,5,0)/10000)*VLOOKUP($CE212,MORE_PV,$CS$5,0)),3)*VLOOKUP($CE212,more1,5,0),0)/$R211,0))</f>
        <v>0</v>
      </c>
      <c r="CT212" s="473">
        <f>IF($AW212=1,IF(N($CR212+$CS212)&lt;N($AX212)*OP!$C$50,N($CR212+$CS212),MIN(N($CR212+$CS212),N($AX212))),0)</f>
        <v>0</v>
      </c>
      <c r="CV212" s="503">
        <f t="shared" ca="1" si="226"/>
        <v>122722.192335942</v>
      </c>
      <c r="CW212" s="503">
        <f t="shared" ca="1" si="227"/>
        <v>0</v>
      </c>
      <c r="CX212" s="503">
        <f t="shared" ca="1" si="228"/>
        <v>122993.506063872</v>
      </c>
    </row>
    <row r="213" spans="2:102" ht="16.5" hidden="1">
      <c r="B213" s="80"/>
      <c r="C213" s="80"/>
      <c r="D213" s="80"/>
      <c r="E213" s="80"/>
      <c r="F213" s="80"/>
      <c r="G213" s="80"/>
      <c r="H213" s="80"/>
      <c r="I213" s="80"/>
      <c r="J213" s="192">
        <f t="shared" si="195"/>
        <v>18</v>
      </c>
      <c r="K213" s="192">
        <f t="shared" si="196"/>
        <v>1</v>
      </c>
      <c r="L213" s="192" t="str">
        <f t="shared" si="189"/>
        <v/>
      </c>
      <c r="M213" s="216">
        <f t="shared" ca="1" si="197"/>
        <v>0</v>
      </c>
      <c r="N213" s="216"/>
      <c r="O213" s="216"/>
      <c r="P213" s="216"/>
      <c r="Q213" s="456" t="str">
        <f t="shared" ca="1" si="198"/>
        <v/>
      </c>
      <c r="R213" s="450">
        <f t="shared" ca="1" si="199"/>
        <v>1</v>
      </c>
      <c r="S213" s="191">
        <f t="shared" ref="S213:S265" si="242">IF(T212=12,S212+1,S212)</f>
        <v>18</v>
      </c>
      <c r="T213" s="191">
        <f t="shared" ref="T213:T265" si="243">IF(T212=12,1,T212+1)</f>
        <v>1</v>
      </c>
      <c r="U213" s="191">
        <f ca="1">OP!$D$5+$S213-1</f>
        <v>50</v>
      </c>
      <c r="V213" s="191" t="str">
        <f t="shared" ref="V213:V265" si="244">IF($T213=12,$S213,"")</f>
        <v/>
      </c>
      <c r="W213" s="350">
        <f ca="1">IF(Q213&lt;&gt;1,0,VLOOKUP(OP!$C$55,PVFB,$S213+2,0))</f>
        <v>0</v>
      </c>
      <c r="X213" s="473">
        <f t="shared" ca="1" si="229"/>
        <v>0</v>
      </c>
      <c r="Y213" s="348">
        <f t="shared" ca="1" si="230"/>
        <v>0</v>
      </c>
      <c r="Z213" s="348">
        <f t="shared" ref="Z213:Z266" ca="1" si="245">Z212+Y213</f>
        <v>8012</v>
      </c>
      <c r="AA213" s="348">
        <f ca="1">IF(Q213&lt;&gt;1,0,VLOOKUP(OP!$C$55,PVFB,$S213+2,0))</f>
        <v>0</v>
      </c>
      <c r="AB213" s="488" t="str">
        <f ca="1">IF(AND(S213&lt;OP!$C$24,$U213&lt;15),0,IF(AND($U213&lt;15,$T213=12),ROUND(VLOOKUP($S213,DOWN16,5,0),3),IF($T213=12,ROUND(($Z213/10000)*$AA213,3)+IF(AND($P$7="購買增額繳清保險",T213=12,U213=110),VLOOKUP(S213,$B$10:$H$121,7,0),0),"")))</f>
        <v/>
      </c>
      <c r="AC213" s="350" t="str">
        <f ca="1">IF(AND(S213&lt;OP!$C$24,$U213&lt;15),0,IF(AND($U213&lt;16,$T213=12),VLOOKUP($S213,DOWN16,4,0),IF($T213=12,ROUND(VLOOKUP(OP!$C$55,_DIE2,$S213+1,0)*(Z213/10000),0)+IF(AND($P$7="購買增額繳清保險",T213=12,U213=110),VLOOKUP(S213,$B$10:$H$121,7,0),0),"")))</f>
        <v/>
      </c>
      <c r="AD213" s="347"/>
      <c r="AE213" s="350" t="str">
        <f t="shared" ref="AE213:AE264" ca="1" si="246">IF(AND($U$9&lt;16,$T213=12),VLOOKUP($S213,DOWN16,4,0),"")</f>
        <v/>
      </c>
      <c r="AF213" s="351" t="str">
        <f t="shared" ref="AF213:AF264" ca="1" si="247">IF(AND($U$9&lt;16,$T213=12),VLOOKUP($S213,DOWN16,5,0),"")</f>
        <v/>
      </c>
      <c r="AG213" s="340"/>
      <c r="AH213" s="340"/>
      <c r="AI213" s="340"/>
      <c r="AJ213" s="340"/>
      <c r="AK213" s="340"/>
      <c r="AL213" s="340"/>
      <c r="AM213" s="340"/>
      <c r="AN213" s="340"/>
      <c r="AO213" s="340"/>
      <c r="AP213" s="340"/>
      <c r="AQ213" s="340"/>
      <c r="AR213" s="340"/>
      <c r="AS213" s="340"/>
      <c r="AT213" s="340"/>
      <c r="AU213" s="340"/>
      <c r="AV213" s="340"/>
      <c r="AY213" s="340"/>
      <c r="AZ213" s="465">
        <f t="shared" ca="1" si="209"/>
        <v>7.3698599999999999E-5</v>
      </c>
      <c r="BA213" s="464">
        <f t="shared" ca="1" si="210"/>
        <v>2.1372602999999999E-3</v>
      </c>
      <c r="BB213" s="465">
        <f t="shared" ca="1" si="210"/>
        <v>2.2109589000000002E-3</v>
      </c>
      <c r="BC213" s="466">
        <f t="shared" ca="1" si="211"/>
        <v>49096</v>
      </c>
      <c r="BD213" s="467">
        <f t="shared" ca="1" si="232"/>
        <v>49097</v>
      </c>
      <c r="BE213" s="467">
        <f t="shared" ca="1" si="212"/>
        <v>49125</v>
      </c>
      <c r="BF213" s="468">
        <f ca="1">IF(計算!$BC213&lt;OP!$C$3,0,BD213-BC213)</f>
        <v>1</v>
      </c>
      <c r="BG213" s="468">
        <f ca="1">IF($BE213&gt;DATE(YEAR($BD$9)+OP!$C$57,MONTH($BD$9),DAY($BD$9)),0,$BE213-$BD213+1)</f>
        <v>29</v>
      </c>
      <c r="BH213" s="469">
        <f t="shared" ca="1" si="213"/>
        <v>30</v>
      </c>
      <c r="BI213">
        <f t="shared" ref="BI213:BI276" ca="1" si="248">IF(BJ213=12,BD213-BD201,"")</f>
        <v>365</v>
      </c>
      <c r="BJ213">
        <v>12</v>
      </c>
      <c r="BN213" s="468">
        <f t="shared" si="233"/>
        <v>17</v>
      </c>
      <c r="BO213" s="468">
        <f t="shared" si="234"/>
        <v>12</v>
      </c>
      <c r="BP213" s="467">
        <f t="shared" ca="1" si="214"/>
        <v>49097</v>
      </c>
      <c r="BQ213" s="475">
        <f t="shared" ca="1" si="240"/>
        <v>49</v>
      </c>
      <c r="BR213" s="475">
        <f t="shared" si="235"/>
        <v>17</v>
      </c>
      <c r="BS213" s="471">
        <f t="shared" ca="1" si="215"/>
        <v>8934</v>
      </c>
      <c r="BT213" s="472">
        <f t="shared" ca="1" si="188"/>
        <v>101839</v>
      </c>
      <c r="BU213" s="472">
        <f t="shared" ca="1" si="216"/>
        <v>8728</v>
      </c>
      <c r="BV213" s="472">
        <f t="shared" ca="1" si="216"/>
        <v>206</v>
      </c>
      <c r="BW213" s="472">
        <f ca="1">ROUND(SUM(BY213,BZ201:BZ212),0)</f>
        <v>2463</v>
      </c>
      <c r="BX213" s="473">
        <f t="shared" ca="1" si="217"/>
        <v>101837.51169611199</v>
      </c>
      <c r="BY213" s="473">
        <f t="shared" ca="1" si="218"/>
        <v>6.8463541799999996</v>
      </c>
      <c r="BZ213" s="473">
        <f t="shared" ca="1" si="192"/>
        <v>217.65327079900001</v>
      </c>
      <c r="CA213" s="476">
        <f t="shared" ca="1" si="219"/>
        <v>8728</v>
      </c>
      <c r="CB213" s="494">
        <f ca="1">IF(OR($Q212&lt;&gt;1,OP!$D$5+$BN213-1&lt;16,$BN213-1&lt;1),0,ROUND(ROUND(ROUND(((VLOOKUP($BN213-1,MORE_PV,5,0)/10000)*VLOOKUP($BN213,MORE_PV,$CB$5,0)),3)*VLOOKUP($BN213,more1,5,0),0)/$R212,0))</f>
        <v>206</v>
      </c>
      <c r="CC213" s="473">
        <f t="shared" ca="1" si="220"/>
        <v>0</v>
      </c>
      <c r="CD213" s="477"/>
      <c r="CE213" s="468">
        <f t="shared" si="236"/>
        <v>17</v>
      </c>
      <c r="CF213" s="468">
        <f t="shared" si="237"/>
        <v>12</v>
      </c>
      <c r="CG213" s="467">
        <f t="shared" ca="1" si="193"/>
        <v>49097</v>
      </c>
      <c r="CH213" s="475">
        <f t="shared" ca="1" si="241"/>
        <v>49</v>
      </c>
      <c r="CI213" s="513">
        <f t="shared" si="238"/>
        <v>17</v>
      </c>
      <c r="CJ213" s="511">
        <f t="shared" ca="1" si="221"/>
        <v>9140</v>
      </c>
      <c r="CK213" s="512">
        <f t="shared" ca="1" si="222"/>
        <v>131730.57051307801</v>
      </c>
      <c r="CL213" s="511">
        <f t="shared" ca="1" si="239"/>
        <v>8934</v>
      </c>
      <c r="CM213" s="511">
        <f ca="1">ROUND(CS213-IF(OR($CE213&gt;=OP!$C$24,AND(CH213=15,CF213=12),CS213=0),0,(CT213-CR213)),$CM$7)</f>
        <v>206</v>
      </c>
      <c r="CN213" s="511">
        <f ca="1">ROUND(SUM(CP213,CQ201:CQ212),$CN$7)</f>
        <v>3261.2947477719999</v>
      </c>
      <c r="CO213" s="351">
        <f t="shared" ca="1" si="223"/>
        <v>131731</v>
      </c>
      <c r="CP213" s="473">
        <f t="shared" ca="1" si="224"/>
        <v>9.065103036</v>
      </c>
      <c r="CQ213" s="473">
        <f t="shared" ca="1" si="194"/>
        <v>281.543436579</v>
      </c>
      <c r="CR213" s="476">
        <f t="shared" ca="1" si="225"/>
        <v>8728</v>
      </c>
      <c r="CS213" s="494">
        <f ca="1">IF(OR($Q212&lt;&gt;1,OP!$D$5+$CE213-1&lt;16,$CE213-1&lt;1),0,ROUND(ROUND(ROUND(((VLOOKUP($CE213-1,MORE_PV,5,0)/10000)*VLOOKUP($CE213,MORE_PV,$CS$5,0)),3)*VLOOKUP($CE213,more1,5,0),0)/$R212,0))</f>
        <v>206</v>
      </c>
      <c r="CT213" s="473">
        <f>IF($AW213=1,IF(N($CR213+$CS213)&lt;N($AX213)*OP!$C$50,N($CR213+$CS213),MIN(N($CR213+$CS213),N($AX213))),0)</f>
        <v>0</v>
      </c>
      <c r="CV213" s="503">
        <f t="shared" ca="1" si="226"/>
        <v>131730.57051307801</v>
      </c>
      <c r="CW213" s="503">
        <f t="shared" ca="1" si="227"/>
        <v>8746.6540078979997</v>
      </c>
      <c r="CX213" s="503">
        <f t="shared" ca="1" si="228"/>
        <v>132012.09365864401</v>
      </c>
    </row>
    <row r="214" spans="2:102" ht="16.5" hidden="1">
      <c r="B214" s="80"/>
      <c r="C214" s="80"/>
      <c r="D214" s="80"/>
      <c r="E214" s="80"/>
      <c r="F214" s="80"/>
      <c r="G214" s="80"/>
      <c r="H214" s="80"/>
      <c r="I214" s="80"/>
      <c r="J214" s="192">
        <f t="shared" si="195"/>
        <v>18</v>
      </c>
      <c r="K214" s="192">
        <f t="shared" si="196"/>
        <v>2</v>
      </c>
      <c r="L214" s="192" t="str">
        <f t="shared" si="189"/>
        <v/>
      </c>
      <c r="M214" s="216">
        <f t="shared" ca="1" si="197"/>
        <v>0</v>
      </c>
      <c r="N214" s="216"/>
      <c r="O214" s="216"/>
      <c r="P214" s="216"/>
      <c r="Q214" s="456" t="str">
        <f t="shared" ca="1" si="198"/>
        <v/>
      </c>
      <c r="R214" s="450">
        <f t="shared" ca="1" si="199"/>
        <v>1</v>
      </c>
      <c r="S214" s="191">
        <f t="shared" si="242"/>
        <v>18</v>
      </c>
      <c r="T214" s="191">
        <f t="shared" si="243"/>
        <v>2</v>
      </c>
      <c r="U214" s="191">
        <f ca="1">OP!$D$5+$S214-1</f>
        <v>50</v>
      </c>
      <c r="V214" s="191" t="str">
        <f t="shared" si="244"/>
        <v/>
      </c>
      <c r="W214" s="350">
        <f ca="1">IF(Q214&lt;&gt;1,0,VLOOKUP(OP!$C$55,PVFB,$S214+2,0))</f>
        <v>0</v>
      </c>
      <c r="X214" s="473">
        <f t="shared" ca="1" si="229"/>
        <v>0</v>
      </c>
      <c r="Y214" s="348">
        <f t="shared" ca="1" si="230"/>
        <v>0</v>
      </c>
      <c r="Z214" s="348">
        <f t="shared" ca="1" si="245"/>
        <v>8012</v>
      </c>
      <c r="AA214" s="348">
        <f ca="1">IF(Q214&lt;&gt;1,0,VLOOKUP(OP!$C$55,PVFB,$S214+2,0))</f>
        <v>0</v>
      </c>
      <c r="AB214" s="488" t="str">
        <f ca="1">IF(AND(S214&lt;OP!$C$24,$U214&lt;15),0,IF(AND($U214&lt;15,$T214=12),ROUND(VLOOKUP($S214,DOWN16,5,0),3),IF($T214=12,ROUND(($Z214/10000)*$AA214,3)+IF(AND($P$7="購買增額繳清保險",T214=12,U214=110),VLOOKUP(S214,$B$10:$H$121,7,0),0),"")))</f>
        <v/>
      </c>
      <c r="AC214" s="350" t="str">
        <f ca="1">IF(AND(S214&lt;OP!$C$24,$U214&lt;15),0,IF(AND($U214&lt;16,$T214=12),VLOOKUP($S214,DOWN16,4,0),IF($T214=12,ROUND(VLOOKUP(OP!$C$55,_DIE2,$S214+1,0)*(Z214/10000),0)+IF(AND($P$7="購買增額繳清保險",T214=12,U214=110),VLOOKUP(S214,$B$10:$H$121,7,0),0),"")))</f>
        <v/>
      </c>
      <c r="AD214" s="347"/>
      <c r="AE214" s="350" t="str">
        <f t="shared" ca="1" si="246"/>
        <v/>
      </c>
      <c r="AF214" s="351" t="str">
        <f t="shared" ca="1" si="247"/>
        <v/>
      </c>
      <c r="AG214" s="340"/>
      <c r="AH214" s="340"/>
      <c r="AI214" s="340"/>
      <c r="AJ214" s="340"/>
      <c r="AK214" s="340"/>
      <c r="AL214" s="340"/>
      <c r="AM214" s="340"/>
      <c r="AN214" s="340"/>
      <c r="AO214" s="340"/>
      <c r="AP214" s="340"/>
      <c r="AQ214" s="340"/>
      <c r="AR214" s="340"/>
      <c r="AS214" s="340"/>
      <c r="AT214" s="340"/>
      <c r="AU214" s="340"/>
      <c r="AV214" s="340"/>
      <c r="AY214" s="340"/>
      <c r="AZ214" s="465">
        <f t="shared" ca="1" si="209"/>
        <v>7.3698599999999999E-5</v>
      </c>
      <c r="BA214" s="464">
        <f t="shared" ca="1" si="210"/>
        <v>2.2109589000000002E-3</v>
      </c>
      <c r="BB214" s="465">
        <f t="shared" ca="1" si="210"/>
        <v>2.2846575E-3</v>
      </c>
      <c r="BC214" s="466">
        <f t="shared" ca="1" si="211"/>
        <v>49126</v>
      </c>
      <c r="BD214" s="467">
        <f t="shared" ca="1" si="232"/>
        <v>49127</v>
      </c>
      <c r="BE214" s="467">
        <f t="shared" ca="1" si="212"/>
        <v>49156</v>
      </c>
      <c r="BF214" s="468">
        <f ca="1">IF(計算!$BC214&lt;OP!$C$3,0,BD214-BC214)</f>
        <v>1</v>
      </c>
      <c r="BG214" s="468">
        <f ca="1">IF($BE214&gt;DATE(YEAR($BD$9)+OP!$C$57,MONTH($BD$9),DAY($BD$9)),0,$BE214-$BD214+1)</f>
        <v>30</v>
      </c>
      <c r="BH214" s="469">
        <f t="shared" ca="1" si="213"/>
        <v>31</v>
      </c>
      <c r="BI214" t="str">
        <f t="shared" si="248"/>
        <v/>
      </c>
      <c r="BJ214">
        <v>1</v>
      </c>
      <c r="BN214" s="468">
        <f t="shared" si="233"/>
        <v>18</v>
      </c>
      <c r="BO214" s="468">
        <f t="shared" si="234"/>
        <v>1</v>
      </c>
      <c r="BP214" s="467">
        <f t="shared" ca="1" si="214"/>
        <v>49127</v>
      </c>
      <c r="BQ214" s="475">
        <f t="shared" ca="1" si="240"/>
        <v>50</v>
      </c>
      <c r="BR214" s="475" t="str">
        <f t="shared" si="235"/>
        <v/>
      </c>
      <c r="BS214" s="471" t="str">
        <f t="shared" si="215"/>
        <v/>
      </c>
      <c r="BT214" s="472" t="str">
        <f t="shared" ref="BT214:BT277" si="249">IF(BW214&lt;&gt;"",IF(BN214&gt;=$P$4+1,ROUND(BU214,0)+ROUND(BV214,0)+ROUND(BW214,0)+BT202,0),"")</f>
        <v/>
      </c>
      <c r="BU214" s="472">
        <f t="shared" ca="1" si="216"/>
        <v>0</v>
      </c>
      <c r="BV214" s="472">
        <f t="shared" ca="1" si="216"/>
        <v>0</v>
      </c>
      <c r="BW214" s="472"/>
      <c r="BX214" s="473">
        <f t="shared" ca="1" si="217"/>
        <v>102055.164966911</v>
      </c>
      <c r="BY214" s="473">
        <f t="shared" si="218"/>
        <v>0</v>
      </c>
      <c r="BZ214" s="473">
        <f t="shared" ca="1" si="192"/>
        <v>233.161098055</v>
      </c>
      <c r="CA214" s="476">
        <f t="shared" ca="1" si="219"/>
        <v>0</v>
      </c>
      <c r="CB214" s="494">
        <f ca="1">IF(OR($Q213&lt;&gt;1,OP!$D$5+$BN214-1&lt;16,$BN214-1&lt;1),0,ROUND(ROUND(ROUND(((VLOOKUP($BN214-1,MORE_PV,5,0)/10000)*VLOOKUP($BN214,MORE_PV,$CB$5,0)),3)*VLOOKUP($BN214,more1,5,0),0)/$R213,0))</f>
        <v>0</v>
      </c>
      <c r="CC214" s="473">
        <f t="shared" ca="1" si="220"/>
        <v>0</v>
      </c>
      <c r="CD214" s="477"/>
      <c r="CE214" s="468">
        <f t="shared" si="236"/>
        <v>18</v>
      </c>
      <c r="CF214" s="468">
        <f t="shared" si="237"/>
        <v>1</v>
      </c>
      <c r="CG214" s="467">
        <f t="shared" ca="1" si="193"/>
        <v>49127</v>
      </c>
      <c r="CH214" s="475">
        <f t="shared" ca="1" si="241"/>
        <v>50</v>
      </c>
      <c r="CI214" s="513" t="str">
        <f t="shared" si="238"/>
        <v/>
      </c>
      <c r="CJ214" s="511">
        <f t="shared" si="221"/>
        <v>0</v>
      </c>
      <c r="CK214" s="512">
        <f t="shared" si="222"/>
        <v>0</v>
      </c>
      <c r="CL214" s="511">
        <f t="shared" ca="1" si="239"/>
        <v>0</v>
      </c>
      <c r="CM214" s="511">
        <f ca="1">ROUND(CS214-IF(OR($CE214&gt;=OP!$C$24,AND(CH214=15,CF214=12),CS214=0),0,(CT214-CR214)),$CM$7)</f>
        <v>0</v>
      </c>
      <c r="CN214" s="511"/>
      <c r="CO214" s="351">
        <f t="shared" ca="1" si="223"/>
        <v>132022</v>
      </c>
      <c r="CP214" s="473">
        <f t="shared" si="224"/>
        <v>0</v>
      </c>
      <c r="CQ214" s="473">
        <f t="shared" ca="1" si="194"/>
        <v>301.62505246500001</v>
      </c>
      <c r="CR214" s="476">
        <f t="shared" ca="1" si="225"/>
        <v>0</v>
      </c>
      <c r="CS214" s="494">
        <f ca="1">IF(OR($Q213&lt;&gt;1,OP!$D$5+$CE214-1&lt;16,$CE214-1&lt;1),0,ROUND(ROUND(ROUND(((VLOOKUP($CE214-1,MORE_PV,5,0)/10000)*VLOOKUP($CE214,MORE_PV,$CS$5,0)),3)*VLOOKUP($CE214,more1,5,0),0)/$R213,0))</f>
        <v>0</v>
      </c>
      <c r="CT214" s="473">
        <f>IF($AW214=1,IF(N($CR214+$CS214)&lt;N($AX214)*OP!$C$50,N($CR214+$CS214),MIN(N($CR214+$CS214),N($AX214))),0)</f>
        <v>0</v>
      </c>
      <c r="CV214" s="503">
        <f t="shared" ca="1" si="226"/>
        <v>132021.82276513</v>
      </c>
      <c r="CW214" s="503">
        <f t="shared" ca="1" si="227"/>
        <v>0</v>
      </c>
      <c r="CX214" s="503">
        <f t="shared" ca="1" si="228"/>
        <v>132313.696078512</v>
      </c>
    </row>
    <row r="215" spans="2:102" ht="16.5" hidden="1">
      <c r="B215" s="80"/>
      <c r="C215" s="80"/>
      <c r="D215" s="80"/>
      <c r="E215" s="80"/>
      <c r="F215" s="80"/>
      <c r="G215" s="80"/>
      <c r="H215" s="80"/>
      <c r="I215" s="80"/>
      <c r="J215" s="192">
        <f t="shared" si="195"/>
        <v>18</v>
      </c>
      <c r="K215" s="192">
        <f t="shared" si="196"/>
        <v>3</v>
      </c>
      <c r="L215" s="192" t="str">
        <f t="shared" si="189"/>
        <v/>
      </c>
      <c r="M215" s="216">
        <f t="shared" ca="1" si="197"/>
        <v>0</v>
      </c>
      <c r="N215" s="216"/>
      <c r="O215" s="216"/>
      <c r="P215" s="216"/>
      <c r="Q215" s="456" t="str">
        <f t="shared" ca="1" si="198"/>
        <v/>
      </c>
      <c r="R215" s="450">
        <f t="shared" ca="1" si="199"/>
        <v>1</v>
      </c>
      <c r="S215" s="191">
        <f t="shared" si="242"/>
        <v>18</v>
      </c>
      <c r="T215" s="191">
        <f t="shared" si="243"/>
        <v>3</v>
      </c>
      <c r="U215" s="191">
        <f ca="1">OP!$D$5+$S215-1</f>
        <v>50</v>
      </c>
      <c r="V215" s="191" t="str">
        <f t="shared" si="244"/>
        <v/>
      </c>
      <c r="W215" s="350">
        <f ca="1">IF(Q215&lt;&gt;1,0,VLOOKUP(OP!$C$55,PVFB,$S215+2,0))</f>
        <v>0</v>
      </c>
      <c r="X215" s="473">
        <f t="shared" ca="1" si="229"/>
        <v>0</v>
      </c>
      <c r="Y215" s="348">
        <f t="shared" ca="1" si="230"/>
        <v>0</v>
      </c>
      <c r="Z215" s="348">
        <f t="shared" ca="1" si="245"/>
        <v>8012</v>
      </c>
      <c r="AA215" s="348">
        <f ca="1">IF(Q215&lt;&gt;1,0,VLOOKUP(OP!$C$55,PVFB,$S215+2,0))</f>
        <v>0</v>
      </c>
      <c r="AB215" s="488" t="str">
        <f ca="1">IF(AND(S215&lt;OP!$C$24,$U215&lt;15),0,IF(AND($U215&lt;15,$T215=12),ROUND(VLOOKUP($S215,DOWN16,5,0),3),IF($T215=12,ROUND(($Z215/10000)*$AA215,3)+IF(AND($P$7="購買增額繳清保險",T215=12,U215=110),VLOOKUP(S215,$B$10:$H$121,7,0),0),"")))</f>
        <v/>
      </c>
      <c r="AC215" s="350" t="str">
        <f ca="1">IF(AND(S215&lt;OP!$C$24,$U215&lt;15),0,IF(AND($U215&lt;16,$T215=12),VLOOKUP($S215,DOWN16,4,0),IF($T215=12,ROUND(VLOOKUP(OP!$C$55,_DIE2,$S215+1,0)*(Z215/10000),0)+IF(AND($P$7="購買增額繳清保險",T215=12,U215=110),VLOOKUP(S215,$B$10:$H$121,7,0),0),"")))</f>
        <v/>
      </c>
      <c r="AD215" s="347"/>
      <c r="AE215" s="350" t="str">
        <f t="shared" ca="1" si="246"/>
        <v/>
      </c>
      <c r="AF215" s="351" t="str">
        <f t="shared" ca="1" si="247"/>
        <v/>
      </c>
      <c r="AG215" s="340"/>
      <c r="AH215" s="340"/>
      <c r="AI215" s="340"/>
      <c r="AJ215" s="340"/>
      <c r="AK215" s="340"/>
      <c r="AL215" s="340"/>
      <c r="AM215" s="340"/>
      <c r="AN215" s="340"/>
      <c r="AO215" s="340"/>
      <c r="AP215" s="340"/>
      <c r="AQ215" s="340"/>
      <c r="AR215" s="340"/>
      <c r="AS215" s="340"/>
      <c r="AT215" s="340"/>
      <c r="AU215" s="340"/>
      <c r="AV215" s="340"/>
      <c r="AY215" s="340"/>
      <c r="AZ215" s="465">
        <f t="shared" ca="1" si="209"/>
        <v>7.3698599999999999E-5</v>
      </c>
      <c r="BA215" s="464">
        <f t="shared" ca="1" si="210"/>
        <v>2.2109589000000002E-3</v>
      </c>
      <c r="BB215" s="465">
        <f t="shared" ca="1" si="210"/>
        <v>2.2846575E-3</v>
      </c>
      <c r="BC215" s="466">
        <f t="shared" ca="1" si="211"/>
        <v>49157</v>
      </c>
      <c r="BD215" s="467">
        <f t="shared" ca="1" si="232"/>
        <v>49158</v>
      </c>
      <c r="BE215" s="467">
        <f t="shared" ca="1" si="212"/>
        <v>49187</v>
      </c>
      <c r="BF215" s="468">
        <f ca="1">IF(計算!$BC215&lt;OP!$C$3,0,BD215-BC215)</f>
        <v>1</v>
      </c>
      <c r="BG215" s="468">
        <f ca="1">IF($BE215&gt;DATE(YEAR($BD$9)+OP!$C$57,MONTH($BD$9),DAY($BD$9)),0,$BE215-$BD215+1)</f>
        <v>30</v>
      </c>
      <c r="BH215" s="469">
        <f t="shared" ca="1" si="213"/>
        <v>31</v>
      </c>
      <c r="BI215" t="str">
        <f t="shared" si="248"/>
        <v/>
      </c>
      <c r="BJ215">
        <v>2</v>
      </c>
      <c r="BN215" s="468">
        <f t="shared" si="233"/>
        <v>18</v>
      </c>
      <c r="BO215" s="468">
        <f t="shared" si="234"/>
        <v>2</v>
      </c>
      <c r="BP215" s="467">
        <f t="shared" ca="1" si="214"/>
        <v>49158</v>
      </c>
      <c r="BQ215" s="475">
        <f t="shared" ca="1" si="240"/>
        <v>50</v>
      </c>
      <c r="BR215" s="475" t="str">
        <f t="shared" si="235"/>
        <v/>
      </c>
      <c r="BS215" s="471" t="str">
        <f t="shared" si="215"/>
        <v/>
      </c>
      <c r="BT215" s="472" t="str">
        <f t="shared" si="249"/>
        <v/>
      </c>
      <c r="BU215" s="472">
        <f t="shared" ca="1" si="216"/>
        <v>0</v>
      </c>
      <c r="BV215" s="472">
        <f t="shared" ca="1" si="216"/>
        <v>0</v>
      </c>
      <c r="BW215" s="472"/>
      <c r="BX215" s="473">
        <f t="shared" ca="1" si="217"/>
        <v>102288.32606496599</v>
      </c>
      <c r="BY215" s="473">
        <f t="shared" si="218"/>
        <v>0</v>
      </c>
      <c r="BZ215" s="473">
        <f t="shared" ca="1" si="192"/>
        <v>233.693791307</v>
      </c>
      <c r="CA215" s="476">
        <f t="shared" ca="1" si="219"/>
        <v>0</v>
      </c>
      <c r="CB215" s="494">
        <f ca="1">IF(OR($Q214&lt;&gt;1,OP!$D$5+$BN215-1&lt;16,$BN215-1&lt;1),0,ROUND(ROUND(ROUND(((VLOOKUP($BN215-1,MORE_PV,5,0)/10000)*VLOOKUP($BN215,MORE_PV,$CB$5,0)),3)*VLOOKUP($BN215,more1,5,0),0)/$R214,0))</f>
        <v>0</v>
      </c>
      <c r="CC215" s="473">
        <f t="shared" ca="1" si="220"/>
        <v>0</v>
      </c>
      <c r="CD215" s="477"/>
      <c r="CE215" s="468">
        <f t="shared" si="236"/>
        <v>18</v>
      </c>
      <c r="CF215" s="468">
        <f t="shared" si="237"/>
        <v>2</v>
      </c>
      <c r="CG215" s="467">
        <f t="shared" ca="1" si="193"/>
        <v>49158</v>
      </c>
      <c r="CH215" s="475">
        <f t="shared" ca="1" si="241"/>
        <v>50</v>
      </c>
      <c r="CI215" s="513" t="str">
        <f t="shared" si="238"/>
        <v/>
      </c>
      <c r="CJ215" s="511">
        <f t="shared" si="221"/>
        <v>0</v>
      </c>
      <c r="CK215" s="512">
        <f t="shared" si="222"/>
        <v>0</v>
      </c>
      <c r="CL215" s="511">
        <f t="shared" ca="1" si="239"/>
        <v>0</v>
      </c>
      <c r="CM215" s="511">
        <f ca="1">ROUND(CS215-IF(OR($CE215&gt;=OP!$C$24,AND(CH215=15,CF215=12),CS215=0),0,(CT215-CR215)),$CM$7)</f>
        <v>0</v>
      </c>
      <c r="CN215" s="511"/>
      <c r="CO215" s="351">
        <f t="shared" ca="1" si="223"/>
        <v>132323</v>
      </c>
      <c r="CP215" s="473">
        <f t="shared" si="224"/>
        <v>0</v>
      </c>
      <c r="CQ215" s="473">
        <f t="shared" ca="1" si="194"/>
        <v>302.31273437300001</v>
      </c>
      <c r="CR215" s="476">
        <f t="shared" ca="1" si="225"/>
        <v>0</v>
      </c>
      <c r="CS215" s="494">
        <f ca="1">IF(OR($Q214&lt;&gt;1,OP!$D$5+$CE215-1&lt;16,$CE215-1&lt;1),0,ROUND(ROUND(ROUND(((VLOOKUP($CE215-1,MORE_PV,5,0)/10000)*VLOOKUP($CE215,MORE_PV,$CS$5,0)),3)*VLOOKUP($CE215,more1,5,0),0)/$R214,0))</f>
        <v>0</v>
      </c>
      <c r="CT215" s="473">
        <f>IF($AW215=1,IF(N($CR215+$CS215)&lt;N($AX215)*OP!$C$50,N($CR215+$CS215),MIN(N($CR215+$CS215),N($AX215))),0)</f>
        <v>0</v>
      </c>
      <c r="CV215" s="503">
        <f t="shared" ca="1" si="226"/>
        <v>132323.447412674</v>
      </c>
      <c r="CW215" s="503">
        <f t="shared" ca="1" si="227"/>
        <v>0</v>
      </c>
      <c r="CX215" s="503">
        <f t="shared" ca="1" si="228"/>
        <v>132615.98755660999</v>
      </c>
    </row>
    <row r="216" spans="2:102" ht="16.5" hidden="1">
      <c r="B216" s="80"/>
      <c r="C216" s="80"/>
      <c r="D216" s="80"/>
      <c r="E216" s="80"/>
      <c r="F216" s="80"/>
      <c r="G216" s="80"/>
      <c r="H216" s="80"/>
      <c r="I216" s="80"/>
      <c r="J216" s="192">
        <f t="shared" si="195"/>
        <v>18</v>
      </c>
      <c r="K216" s="192">
        <f t="shared" si="196"/>
        <v>4</v>
      </c>
      <c r="L216" s="192" t="str">
        <f t="shared" si="189"/>
        <v/>
      </c>
      <c r="M216" s="216">
        <f t="shared" ca="1" si="197"/>
        <v>0</v>
      </c>
      <c r="N216" s="216"/>
      <c r="O216" s="216"/>
      <c r="P216" s="216"/>
      <c r="Q216" s="456" t="str">
        <f t="shared" ca="1" si="198"/>
        <v/>
      </c>
      <c r="R216" s="450">
        <f t="shared" ca="1" si="199"/>
        <v>1</v>
      </c>
      <c r="S216" s="191">
        <f t="shared" si="242"/>
        <v>18</v>
      </c>
      <c r="T216" s="191">
        <f t="shared" si="243"/>
        <v>4</v>
      </c>
      <c r="U216" s="191">
        <f ca="1">OP!$D$5+$S216-1</f>
        <v>50</v>
      </c>
      <c r="V216" s="191" t="str">
        <f t="shared" si="244"/>
        <v/>
      </c>
      <c r="W216" s="350">
        <f ca="1">IF(Q216&lt;&gt;1,0,VLOOKUP(OP!$C$55,PVFB,$S216+2,0))</f>
        <v>0</v>
      </c>
      <c r="X216" s="473">
        <f t="shared" ca="1" si="229"/>
        <v>0</v>
      </c>
      <c r="Y216" s="348">
        <f t="shared" ca="1" si="230"/>
        <v>0</v>
      </c>
      <c r="Z216" s="348">
        <f t="shared" ca="1" si="245"/>
        <v>8012</v>
      </c>
      <c r="AA216" s="348">
        <f ca="1">IF(Q216&lt;&gt;1,0,VLOOKUP(OP!$C$55,PVFB,$S216+2,0))</f>
        <v>0</v>
      </c>
      <c r="AB216" s="488" t="str">
        <f ca="1">IF(AND(S216&lt;OP!$C$24,$U216&lt;15),0,IF(AND($U216&lt;15,$T216=12),ROUND(VLOOKUP($S216,DOWN16,5,0),3),IF($T216=12,ROUND(($Z216/10000)*$AA216,3)+IF(AND($P$7="購買增額繳清保險",T216=12,U216=110),VLOOKUP(S216,$B$10:$H$121,7,0),0),"")))</f>
        <v/>
      </c>
      <c r="AC216" s="350" t="str">
        <f ca="1">IF(AND(S216&lt;OP!$C$24,$U216&lt;15),0,IF(AND($U216&lt;16,$T216=12),VLOOKUP($S216,DOWN16,4,0),IF($T216=12,ROUND(VLOOKUP(OP!$C$55,_DIE2,$S216+1,0)*(Z216/10000),0)+IF(AND($P$7="購買增額繳清保險",T216=12,U216=110),VLOOKUP(S216,$B$10:$H$121,7,0),0),"")))</f>
        <v/>
      </c>
      <c r="AD216" s="347"/>
      <c r="AE216" s="350" t="str">
        <f t="shared" ca="1" si="246"/>
        <v/>
      </c>
      <c r="AF216" s="351" t="str">
        <f t="shared" ca="1" si="247"/>
        <v/>
      </c>
      <c r="AG216" s="340"/>
      <c r="AH216" s="340"/>
      <c r="AI216" s="340"/>
      <c r="AJ216" s="340"/>
      <c r="AK216" s="340"/>
      <c r="AL216" s="340"/>
      <c r="AM216" s="340"/>
      <c r="AN216" s="340"/>
      <c r="AO216" s="340"/>
      <c r="AP216" s="340"/>
      <c r="AQ216" s="340"/>
      <c r="AR216" s="340"/>
      <c r="AS216" s="340"/>
      <c r="AT216" s="340"/>
      <c r="AU216" s="340"/>
      <c r="AV216" s="340"/>
      <c r="AY216" s="340"/>
      <c r="AZ216" s="465">
        <f t="shared" ca="1" si="209"/>
        <v>7.3698599999999999E-5</v>
      </c>
      <c r="BA216" s="464">
        <f t="shared" ca="1" si="210"/>
        <v>2.1372602999999999E-3</v>
      </c>
      <c r="BB216" s="465">
        <f t="shared" ca="1" si="210"/>
        <v>2.2109589000000002E-3</v>
      </c>
      <c r="BC216" s="466">
        <f t="shared" ca="1" si="211"/>
        <v>49188</v>
      </c>
      <c r="BD216" s="467">
        <f t="shared" ca="1" si="232"/>
        <v>49189</v>
      </c>
      <c r="BE216" s="467">
        <f t="shared" ca="1" si="212"/>
        <v>49217</v>
      </c>
      <c r="BF216" s="468">
        <f ca="1">IF(計算!$BC216&lt;OP!$C$3,0,BD216-BC216)</f>
        <v>1</v>
      </c>
      <c r="BG216" s="468">
        <f ca="1">IF($BE216&gt;DATE(YEAR($BD$9)+OP!$C$57,MONTH($BD$9),DAY($BD$9)),0,$BE216-$BD216+1)</f>
        <v>29</v>
      </c>
      <c r="BH216" s="469">
        <f t="shared" ca="1" si="213"/>
        <v>30</v>
      </c>
      <c r="BI216" t="str">
        <f t="shared" si="248"/>
        <v/>
      </c>
      <c r="BJ216">
        <v>3</v>
      </c>
      <c r="BN216" s="468">
        <f t="shared" si="233"/>
        <v>18</v>
      </c>
      <c r="BO216" s="468">
        <f t="shared" si="234"/>
        <v>3</v>
      </c>
      <c r="BP216" s="467">
        <f t="shared" ca="1" si="214"/>
        <v>49189</v>
      </c>
      <c r="BQ216" s="475">
        <f t="shared" ca="1" si="240"/>
        <v>50</v>
      </c>
      <c r="BR216" s="475" t="str">
        <f t="shared" si="235"/>
        <v/>
      </c>
      <c r="BS216" s="471" t="str">
        <f t="shared" si="215"/>
        <v/>
      </c>
      <c r="BT216" s="472" t="str">
        <f t="shared" si="249"/>
        <v/>
      </c>
      <c r="BU216" s="472">
        <f t="shared" ca="1" si="216"/>
        <v>0</v>
      </c>
      <c r="BV216" s="472">
        <f t="shared" ca="1" si="216"/>
        <v>0</v>
      </c>
      <c r="BW216" s="472"/>
      <c r="BX216" s="473">
        <f t="shared" ca="1" si="217"/>
        <v>102522.01985627299</v>
      </c>
      <c r="BY216" s="473">
        <f t="shared" si="218"/>
        <v>0</v>
      </c>
      <c r="BZ216" s="473">
        <f t="shared" ca="1" si="192"/>
        <v>226.67197224700001</v>
      </c>
      <c r="CA216" s="476">
        <f t="shared" ca="1" si="219"/>
        <v>0</v>
      </c>
      <c r="CB216" s="494">
        <f ca="1">IF(OR($Q215&lt;&gt;1,OP!$D$5+$BN216-1&lt;16,$BN216-1&lt;1),0,ROUND(ROUND(ROUND(((VLOOKUP($BN216-1,MORE_PV,5,0)/10000)*VLOOKUP($BN216,MORE_PV,$CB$5,0)),3)*VLOOKUP($BN216,more1,5,0),0)/$R215,0))</f>
        <v>0</v>
      </c>
      <c r="CC216" s="473">
        <f t="shared" ca="1" si="220"/>
        <v>0</v>
      </c>
      <c r="CD216" s="477"/>
      <c r="CE216" s="468">
        <f t="shared" si="236"/>
        <v>18</v>
      </c>
      <c r="CF216" s="468">
        <f t="shared" si="237"/>
        <v>3</v>
      </c>
      <c r="CG216" s="467">
        <f t="shared" ca="1" si="193"/>
        <v>49189</v>
      </c>
      <c r="CH216" s="475">
        <f t="shared" ca="1" si="241"/>
        <v>50</v>
      </c>
      <c r="CI216" s="513" t="str">
        <f t="shared" si="238"/>
        <v/>
      </c>
      <c r="CJ216" s="511">
        <f t="shared" si="221"/>
        <v>0</v>
      </c>
      <c r="CK216" s="512">
        <f t="shared" si="222"/>
        <v>0</v>
      </c>
      <c r="CL216" s="511">
        <f t="shared" ca="1" si="239"/>
        <v>0</v>
      </c>
      <c r="CM216" s="511">
        <f ca="1">ROUND(CS216-IF(OR($CE216&gt;=OP!$C$24,AND(CH216=15,CF216=12),CS216=0),0,(CT216-CR216)),$CM$7)</f>
        <v>0</v>
      </c>
      <c r="CN216" s="511"/>
      <c r="CO216" s="351">
        <f t="shared" ca="1" si="223"/>
        <v>132626</v>
      </c>
      <c r="CP216" s="473">
        <f t="shared" si="224"/>
        <v>0</v>
      </c>
      <c r="CQ216" s="473">
        <f t="shared" ca="1" si="194"/>
        <v>293.23063507099999</v>
      </c>
      <c r="CR216" s="476">
        <f t="shared" ca="1" si="225"/>
        <v>0</v>
      </c>
      <c r="CS216" s="494">
        <f ca="1">IF(OR($Q215&lt;&gt;1,OP!$D$5+$CE216-1&lt;16,$CE216-1&lt;1),0,ROUND(ROUND(ROUND(((VLOOKUP($CE216-1,MORE_PV,5,0)/10000)*VLOOKUP($CE216,MORE_PV,$CS$5,0)),3)*VLOOKUP($CE216,more1,5,0),0)/$R215,0))</f>
        <v>0</v>
      </c>
      <c r="CT216" s="473">
        <f>IF($AW216=1,IF(N($CR216+$CS216)&lt;N($AX216)*OP!$C$50,N($CR216+$CS216),MIN(N($CR216+$CS216),N($AX216))),0)</f>
        <v>0</v>
      </c>
      <c r="CV216" s="503">
        <f t="shared" ca="1" si="226"/>
        <v>132625.761169231</v>
      </c>
      <c r="CW216" s="503">
        <f t="shared" ca="1" si="227"/>
        <v>0</v>
      </c>
      <c r="CX216" s="503">
        <f t="shared" ca="1" si="228"/>
        <v>132909.196054581</v>
      </c>
    </row>
    <row r="217" spans="2:102" ht="16.5" hidden="1">
      <c r="B217" s="80"/>
      <c r="C217" s="80"/>
      <c r="D217" s="80"/>
      <c r="E217" s="80"/>
      <c r="F217" s="80"/>
      <c r="G217" s="80"/>
      <c r="H217" s="80"/>
      <c r="I217" s="80"/>
      <c r="J217" s="192">
        <f t="shared" si="195"/>
        <v>18</v>
      </c>
      <c r="K217" s="192">
        <f t="shared" si="196"/>
        <v>5</v>
      </c>
      <c r="L217" s="192" t="str">
        <f t="shared" si="189"/>
        <v/>
      </c>
      <c r="M217" s="216">
        <f t="shared" ca="1" si="197"/>
        <v>0</v>
      </c>
      <c r="N217" s="216"/>
      <c r="O217" s="216"/>
      <c r="P217" s="216"/>
      <c r="Q217" s="456" t="str">
        <f t="shared" ca="1" si="198"/>
        <v/>
      </c>
      <c r="R217" s="450">
        <f t="shared" ca="1" si="199"/>
        <v>1</v>
      </c>
      <c r="S217" s="191">
        <f t="shared" si="242"/>
        <v>18</v>
      </c>
      <c r="T217" s="191">
        <f t="shared" si="243"/>
        <v>5</v>
      </c>
      <c r="U217" s="191">
        <f ca="1">OP!$D$5+$S217-1</f>
        <v>50</v>
      </c>
      <c r="V217" s="191" t="str">
        <f t="shared" si="244"/>
        <v/>
      </c>
      <c r="W217" s="350">
        <f ca="1">IF(Q217&lt;&gt;1,0,VLOOKUP(OP!$C$55,PVFB,$S217+2,0))</f>
        <v>0</v>
      </c>
      <c r="X217" s="473">
        <f t="shared" ca="1" si="229"/>
        <v>0</v>
      </c>
      <c r="Y217" s="348">
        <f t="shared" ca="1" si="230"/>
        <v>0</v>
      </c>
      <c r="Z217" s="348">
        <f t="shared" ca="1" si="245"/>
        <v>8012</v>
      </c>
      <c r="AA217" s="348">
        <f ca="1">IF(Q217&lt;&gt;1,0,VLOOKUP(OP!$C$55,PVFB,$S217+2,0))</f>
        <v>0</v>
      </c>
      <c r="AB217" s="488" t="str">
        <f ca="1">IF(AND(S217&lt;OP!$C$24,$U217&lt;15),0,IF(AND($U217&lt;15,$T217=12),ROUND(VLOOKUP($S217,DOWN16,5,0),3),IF($T217=12,ROUND(($Z217/10000)*$AA217,3)+IF(AND($P$7="購買增額繳清保險",T217=12,U217=110),VLOOKUP(S217,$B$10:$H$121,7,0),0),"")))</f>
        <v/>
      </c>
      <c r="AC217" s="350" t="str">
        <f ca="1">IF(AND(S217&lt;OP!$C$24,$U217&lt;15),0,IF(AND($U217&lt;16,$T217=12),VLOOKUP($S217,DOWN16,4,0),IF($T217=12,ROUND(VLOOKUP(OP!$C$55,_DIE2,$S217+1,0)*(Z217/10000),0)+IF(AND($P$7="購買增額繳清保險",T217=12,U217=110),VLOOKUP(S217,$B$10:$H$121,7,0),0),"")))</f>
        <v/>
      </c>
      <c r="AD217" s="347"/>
      <c r="AE217" s="350" t="str">
        <f t="shared" ca="1" si="246"/>
        <v/>
      </c>
      <c r="AF217" s="351" t="str">
        <f t="shared" ca="1" si="247"/>
        <v/>
      </c>
      <c r="AG217" s="340"/>
      <c r="AH217" s="340"/>
      <c r="AI217" s="340"/>
      <c r="AJ217" s="340"/>
      <c r="AK217" s="340"/>
      <c r="AL217" s="340"/>
      <c r="AM217" s="340"/>
      <c r="AN217" s="340"/>
      <c r="AO217" s="340"/>
      <c r="AP217" s="340"/>
      <c r="AQ217" s="340"/>
      <c r="AR217" s="340"/>
      <c r="AS217" s="340"/>
      <c r="AT217" s="340"/>
      <c r="AU217" s="340"/>
      <c r="AV217" s="340"/>
      <c r="AY217" s="340"/>
      <c r="AZ217" s="465">
        <f t="shared" ca="1" si="209"/>
        <v>7.3698599999999999E-5</v>
      </c>
      <c r="BA217" s="464">
        <f t="shared" ca="1" si="210"/>
        <v>2.2109589000000002E-3</v>
      </c>
      <c r="BB217" s="465">
        <f t="shared" ca="1" si="210"/>
        <v>2.2846575E-3</v>
      </c>
      <c r="BC217" s="466">
        <f t="shared" ca="1" si="211"/>
        <v>49218</v>
      </c>
      <c r="BD217" s="467">
        <f t="shared" ca="1" si="232"/>
        <v>49219</v>
      </c>
      <c r="BE217" s="467">
        <f t="shared" ca="1" si="212"/>
        <v>49248</v>
      </c>
      <c r="BF217" s="468">
        <f ca="1">IF(計算!$BC217&lt;OP!$C$3,0,BD217-BC217)</f>
        <v>1</v>
      </c>
      <c r="BG217" s="468">
        <f ca="1">IF($BE217&gt;DATE(YEAR($BD$9)+OP!$C$57,MONTH($BD$9),DAY($BD$9)),0,$BE217-$BD217+1)</f>
        <v>30</v>
      </c>
      <c r="BH217" s="469">
        <f t="shared" ca="1" si="213"/>
        <v>31</v>
      </c>
      <c r="BI217" t="str">
        <f t="shared" si="248"/>
        <v/>
      </c>
      <c r="BJ217">
        <v>4</v>
      </c>
      <c r="BN217" s="468">
        <f t="shared" si="233"/>
        <v>18</v>
      </c>
      <c r="BO217" s="468">
        <f t="shared" si="234"/>
        <v>4</v>
      </c>
      <c r="BP217" s="467">
        <f t="shared" ca="1" si="214"/>
        <v>49219</v>
      </c>
      <c r="BQ217" s="475">
        <f t="shared" ca="1" si="240"/>
        <v>50</v>
      </c>
      <c r="BR217" s="475" t="str">
        <f t="shared" si="235"/>
        <v/>
      </c>
      <c r="BS217" s="471" t="str">
        <f t="shared" si="215"/>
        <v/>
      </c>
      <c r="BT217" s="472" t="str">
        <f t="shared" si="249"/>
        <v/>
      </c>
      <c r="BU217" s="472">
        <f t="shared" ca="1" si="216"/>
        <v>0</v>
      </c>
      <c r="BV217" s="472">
        <f t="shared" ca="1" si="216"/>
        <v>0</v>
      </c>
      <c r="BW217" s="472"/>
      <c r="BX217" s="473">
        <f t="shared" ca="1" si="217"/>
        <v>102748.69182851999</v>
      </c>
      <c r="BY217" s="473">
        <f t="shared" si="218"/>
        <v>0</v>
      </c>
      <c r="BZ217" s="473">
        <f t="shared" ca="1" si="192"/>
        <v>234.74556940100001</v>
      </c>
      <c r="CA217" s="476">
        <f t="shared" ca="1" si="219"/>
        <v>0</v>
      </c>
      <c r="CB217" s="494">
        <f ca="1">IF(OR($Q216&lt;&gt;1,OP!$D$5+$BN217-1&lt;16,$BN217-1&lt;1),0,ROUND(ROUND(ROUND(((VLOOKUP($BN217-1,MORE_PV,5,0)/10000)*VLOOKUP($BN217,MORE_PV,$CB$5,0)),3)*VLOOKUP($BN217,more1,5,0),0)/$R216,0))</f>
        <v>0</v>
      </c>
      <c r="CC217" s="473">
        <f t="shared" ca="1" si="220"/>
        <v>0</v>
      </c>
      <c r="CD217" s="477"/>
      <c r="CE217" s="468">
        <f t="shared" si="236"/>
        <v>18</v>
      </c>
      <c r="CF217" s="468">
        <f t="shared" si="237"/>
        <v>4</v>
      </c>
      <c r="CG217" s="467">
        <f t="shared" ca="1" si="193"/>
        <v>49219</v>
      </c>
      <c r="CH217" s="475">
        <f t="shared" ca="1" si="241"/>
        <v>50</v>
      </c>
      <c r="CI217" s="513" t="str">
        <f t="shared" si="238"/>
        <v/>
      </c>
      <c r="CJ217" s="511">
        <f t="shared" si="221"/>
        <v>0</v>
      </c>
      <c r="CK217" s="512">
        <f t="shared" si="222"/>
        <v>0</v>
      </c>
      <c r="CL217" s="511">
        <f t="shared" ca="1" si="239"/>
        <v>0</v>
      </c>
      <c r="CM217" s="511">
        <f ca="1">ROUND(CS217-IF(OR($CE217&gt;=OP!$C$24,AND(CH217=15,CF217=12),CS217=0),0,(CT217-CR217)),$CM$7)</f>
        <v>0</v>
      </c>
      <c r="CN217" s="511"/>
      <c r="CO217" s="351">
        <f t="shared" ca="1" si="223"/>
        <v>132919</v>
      </c>
      <c r="CP217" s="473">
        <f t="shared" si="224"/>
        <v>0</v>
      </c>
      <c r="CQ217" s="473">
        <f t="shared" ca="1" si="194"/>
        <v>303.674390243</v>
      </c>
      <c r="CR217" s="476">
        <f t="shared" ca="1" si="225"/>
        <v>0</v>
      </c>
      <c r="CS217" s="494">
        <f ca="1">IF(OR($Q216&lt;&gt;1,OP!$D$5+$CE217-1&lt;16,$CE217-1&lt;1),0,ROUND(ROUND(ROUND(((VLOOKUP($CE217-1,MORE_PV,5,0)/10000)*VLOOKUP($CE217,MORE_PV,$CS$5,0)),3)*VLOOKUP($CE217,more1,5,0),0)/$R216,0))</f>
        <v>0</v>
      </c>
      <c r="CT217" s="473">
        <f>IF($AW217=1,IF(N($CR217+$CS217)&lt;N($AX217)*OP!$C$50,N($CR217+$CS217),MIN(N($CR217+$CS217),N($AX217))),0)</f>
        <v>0</v>
      </c>
      <c r="CV217" s="503">
        <f t="shared" ca="1" si="226"/>
        <v>132918.991276257</v>
      </c>
      <c r="CW217" s="503">
        <f t="shared" ca="1" si="227"/>
        <v>0</v>
      </c>
      <c r="CX217" s="503">
        <f t="shared" ca="1" si="228"/>
        <v>133212.84804616601</v>
      </c>
    </row>
    <row r="218" spans="2:102" ht="16.5" hidden="1">
      <c r="B218" s="80"/>
      <c r="C218" s="80"/>
      <c r="D218" s="80"/>
      <c r="E218" s="80"/>
      <c r="F218" s="80"/>
      <c r="G218" s="80"/>
      <c r="H218" s="80"/>
      <c r="I218" s="80"/>
      <c r="J218" s="192">
        <f t="shared" si="195"/>
        <v>18</v>
      </c>
      <c r="K218" s="192">
        <f t="shared" si="196"/>
        <v>6</v>
      </c>
      <c r="L218" s="192" t="str">
        <f t="shared" si="189"/>
        <v/>
      </c>
      <c r="M218" s="216">
        <f t="shared" ca="1" si="197"/>
        <v>0</v>
      </c>
      <c r="N218" s="216"/>
      <c r="O218" s="216"/>
      <c r="P218" s="216"/>
      <c r="Q218" s="456" t="str">
        <f t="shared" ca="1" si="198"/>
        <v/>
      </c>
      <c r="R218" s="450">
        <f t="shared" ca="1" si="199"/>
        <v>1</v>
      </c>
      <c r="S218" s="191">
        <f t="shared" si="242"/>
        <v>18</v>
      </c>
      <c r="T218" s="191">
        <f t="shared" si="243"/>
        <v>6</v>
      </c>
      <c r="U218" s="191">
        <f ca="1">OP!$D$5+$S218-1</f>
        <v>50</v>
      </c>
      <c r="V218" s="191" t="str">
        <f t="shared" si="244"/>
        <v/>
      </c>
      <c r="W218" s="350">
        <f ca="1">IF(Q218&lt;&gt;1,0,VLOOKUP(OP!$C$55,PVFB,$S218+2,0))</f>
        <v>0</v>
      </c>
      <c r="X218" s="473">
        <f t="shared" ca="1" si="229"/>
        <v>0</v>
      </c>
      <c r="Y218" s="348">
        <f t="shared" ca="1" si="230"/>
        <v>0</v>
      </c>
      <c r="Z218" s="348">
        <f t="shared" ca="1" si="245"/>
        <v>8012</v>
      </c>
      <c r="AA218" s="348">
        <f ca="1">IF(Q218&lt;&gt;1,0,VLOOKUP(OP!$C$55,PVFB,$S218+2,0))</f>
        <v>0</v>
      </c>
      <c r="AB218" s="488" t="str">
        <f ca="1">IF(AND(S218&lt;OP!$C$24,$U218&lt;15),0,IF(AND($U218&lt;15,$T218=12),ROUND(VLOOKUP($S218,DOWN16,5,0),3),IF($T218=12,ROUND(($Z218/10000)*$AA218,3)+IF(AND($P$7="購買增額繳清保險",T218=12,U218=110),VLOOKUP(S218,$B$10:$H$121,7,0),0),"")))</f>
        <v/>
      </c>
      <c r="AC218" s="350" t="str">
        <f ca="1">IF(AND(S218&lt;OP!$C$24,$U218&lt;15),0,IF(AND($U218&lt;16,$T218=12),VLOOKUP($S218,DOWN16,4,0),IF($T218=12,ROUND(VLOOKUP(OP!$C$55,_DIE2,$S218+1,0)*(Z218/10000),0)+IF(AND($P$7="購買增額繳清保險",T218=12,U218=110),VLOOKUP(S218,$B$10:$H$121,7,0),0),"")))</f>
        <v/>
      </c>
      <c r="AD218" s="347"/>
      <c r="AE218" s="350" t="str">
        <f t="shared" ca="1" si="246"/>
        <v/>
      </c>
      <c r="AF218" s="351" t="str">
        <f t="shared" ca="1" si="247"/>
        <v/>
      </c>
      <c r="AG218" s="340"/>
      <c r="AH218" s="340"/>
      <c r="AI218" s="340"/>
      <c r="AJ218" s="340"/>
      <c r="AK218" s="340"/>
      <c r="AL218" s="340"/>
      <c r="AM218" s="340"/>
      <c r="AN218" s="340"/>
      <c r="AO218" s="340"/>
      <c r="AP218" s="340"/>
      <c r="AQ218" s="340"/>
      <c r="AR218" s="340"/>
      <c r="AS218" s="340"/>
      <c r="AT218" s="340"/>
      <c r="AU218" s="340"/>
      <c r="AV218" s="340"/>
      <c r="AY218" s="340"/>
      <c r="AZ218" s="465">
        <f t="shared" ca="1" si="209"/>
        <v>7.3698599999999999E-5</v>
      </c>
      <c r="BA218" s="464">
        <f t="shared" ca="1" si="210"/>
        <v>2.1372602999999999E-3</v>
      </c>
      <c r="BB218" s="465">
        <f t="shared" ca="1" si="210"/>
        <v>2.2109589000000002E-3</v>
      </c>
      <c r="BC218" s="466">
        <f t="shared" ca="1" si="211"/>
        <v>49249</v>
      </c>
      <c r="BD218" s="467">
        <f t="shared" ca="1" si="232"/>
        <v>49250</v>
      </c>
      <c r="BE218" s="467">
        <f t="shared" ca="1" si="212"/>
        <v>49278</v>
      </c>
      <c r="BF218" s="468">
        <f ca="1">IF(計算!$BC218&lt;OP!$C$3,0,BD218-BC218)</f>
        <v>1</v>
      </c>
      <c r="BG218" s="468">
        <f ca="1">IF($BE218&gt;DATE(YEAR($BD$9)+OP!$C$57,MONTH($BD$9),DAY($BD$9)),0,$BE218-$BD218+1)</f>
        <v>29</v>
      </c>
      <c r="BH218" s="469">
        <f t="shared" ca="1" si="213"/>
        <v>30</v>
      </c>
      <c r="BI218" t="str">
        <f t="shared" si="248"/>
        <v/>
      </c>
      <c r="BJ218">
        <v>5</v>
      </c>
      <c r="BN218" s="468">
        <f t="shared" si="233"/>
        <v>18</v>
      </c>
      <c r="BO218" s="468">
        <f t="shared" si="234"/>
        <v>5</v>
      </c>
      <c r="BP218" s="467">
        <f t="shared" ca="1" si="214"/>
        <v>49250</v>
      </c>
      <c r="BQ218" s="475">
        <f t="shared" ca="1" si="240"/>
        <v>50</v>
      </c>
      <c r="BR218" s="475" t="str">
        <f t="shared" si="235"/>
        <v/>
      </c>
      <c r="BS218" s="471" t="str">
        <f t="shared" si="215"/>
        <v/>
      </c>
      <c r="BT218" s="472" t="str">
        <f t="shared" si="249"/>
        <v/>
      </c>
      <c r="BU218" s="472">
        <f t="shared" ca="1" si="216"/>
        <v>0</v>
      </c>
      <c r="BV218" s="472">
        <f t="shared" ca="1" si="216"/>
        <v>0</v>
      </c>
      <c r="BW218" s="472"/>
      <c r="BX218" s="473">
        <f t="shared" ca="1" si="217"/>
        <v>102983.43739792101</v>
      </c>
      <c r="BY218" s="473">
        <f t="shared" si="218"/>
        <v>0</v>
      </c>
      <c r="BZ218" s="473">
        <f t="shared" ca="1" si="192"/>
        <v>227.692147468</v>
      </c>
      <c r="CA218" s="476">
        <f t="shared" ca="1" si="219"/>
        <v>0</v>
      </c>
      <c r="CB218" s="494">
        <f ca="1">IF(OR($Q217&lt;&gt;1,OP!$D$5+$BN218-1&lt;16,$BN218-1&lt;1),0,ROUND(ROUND(ROUND(((VLOOKUP($BN218-1,MORE_PV,5,0)/10000)*VLOOKUP($BN218,MORE_PV,$CB$5,0)),3)*VLOOKUP($BN218,more1,5,0),0)/$R217,0))</f>
        <v>0</v>
      </c>
      <c r="CC218" s="473">
        <f t="shared" ca="1" si="220"/>
        <v>0</v>
      </c>
      <c r="CD218" s="477"/>
      <c r="CE218" s="468">
        <f t="shared" si="236"/>
        <v>18</v>
      </c>
      <c r="CF218" s="468">
        <f t="shared" si="237"/>
        <v>5</v>
      </c>
      <c r="CG218" s="467">
        <f t="shared" ca="1" si="193"/>
        <v>49250</v>
      </c>
      <c r="CH218" s="475">
        <f t="shared" ca="1" si="241"/>
        <v>50</v>
      </c>
      <c r="CI218" s="513" t="str">
        <f t="shared" si="238"/>
        <v/>
      </c>
      <c r="CJ218" s="511">
        <f t="shared" si="221"/>
        <v>0</v>
      </c>
      <c r="CK218" s="512">
        <f t="shared" si="222"/>
        <v>0</v>
      </c>
      <c r="CL218" s="511">
        <f t="shared" ca="1" si="239"/>
        <v>0</v>
      </c>
      <c r="CM218" s="511">
        <f ca="1">ROUND(CS218-IF(OR($CE218&gt;=OP!$C$24,AND(CH218=15,CF218=12),CS218=0),0,(CT218-CR218)),$CM$7)</f>
        <v>0</v>
      </c>
      <c r="CN218" s="511"/>
      <c r="CO218" s="351">
        <f t="shared" ca="1" si="223"/>
        <v>133223</v>
      </c>
      <c r="CP218" s="473">
        <f t="shared" si="224"/>
        <v>0</v>
      </c>
      <c r="CQ218" s="473">
        <f t="shared" ca="1" si="194"/>
        <v>294.550577535</v>
      </c>
      <c r="CR218" s="476">
        <f t="shared" ca="1" si="225"/>
        <v>0</v>
      </c>
      <c r="CS218" s="494">
        <f ca="1">IF(OR($Q217&lt;&gt;1,OP!$D$5+$CE218-1&lt;16,$CE218-1&lt;1),0,ROUND(ROUND(ROUND(((VLOOKUP($CE218-1,MORE_PV,5,0)/10000)*VLOOKUP($CE218,MORE_PV,$CS$5,0)),3)*VLOOKUP($CE218,more1,5,0),0)/$R217,0))</f>
        <v>0</v>
      </c>
      <c r="CT218" s="473">
        <f>IF($AW218=1,IF(N($CR218+$CS218)&lt;N($AX218)*OP!$C$50,N($CR218+$CS218),MIN(N($CR218+$CS218),N($AX218))),0)</f>
        <v>0</v>
      </c>
      <c r="CV218" s="503">
        <f t="shared" ca="1" si="226"/>
        <v>133222.66564656899</v>
      </c>
      <c r="CW218" s="503">
        <f t="shared" ca="1" si="227"/>
        <v>0</v>
      </c>
      <c r="CX218" s="503">
        <f t="shared" ca="1" si="228"/>
        <v>133507.376178148</v>
      </c>
    </row>
    <row r="219" spans="2:102" ht="16.5" hidden="1">
      <c r="B219" s="80"/>
      <c r="C219" s="80"/>
      <c r="D219" s="80"/>
      <c r="E219" s="80"/>
      <c r="F219" s="80"/>
      <c r="G219" s="80"/>
      <c r="H219" s="80"/>
      <c r="I219" s="80"/>
      <c r="J219" s="192">
        <f t="shared" si="195"/>
        <v>18</v>
      </c>
      <c r="K219" s="192">
        <f t="shared" si="196"/>
        <v>7</v>
      </c>
      <c r="L219" s="192" t="str">
        <f t="shared" si="189"/>
        <v/>
      </c>
      <c r="M219" s="216">
        <f t="shared" ca="1" si="197"/>
        <v>0</v>
      </c>
      <c r="N219" s="216"/>
      <c r="O219" s="216"/>
      <c r="P219" s="216"/>
      <c r="Q219" s="456" t="str">
        <f t="shared" ca="1" si="198"/>
        <v/>
      </c>
      <c r="R219" s="450">
        <f t="shared" ca="1" si="199"/>
        <v>1</v>
      </c>
      <c r="S219" s="191">
        <f t="shared" si="242"/>
        <v>18</v>
      </c>
      <c r="T219" s="191">
        <f t="shared" si="243"/>
        <v>7</v>
      </c>
      <c r="U219" s="191">
        <f ca="1">OP!$D$5+$S219-1</f>
        <v>50</v>
      </c>
      <c r="V219" s="191" t="str">
        <f t="shared" si="244"/>
        <v/>
      </c>
      <c r="W219" s="350">
        <f ca="1">IF(Q219&lt;&gt;1,0,VLOOKUP(OP!$C$55,PVFB,$S219+2,0))</f>
        <v>0</v>
      </c>
      <c r="X219" s="473">
        <f t="shared" ca="1" si="229"/>
        <v>0</v>
      </c>
      <c r="Y219" s="348">
        <f t="shared" ca="1" si="230"/>
        <v>0</v>
      </c>
      <c r="Z219" s="348">
        <f t="shared" ca="1" si="245"/>
        <v>8012</v>
      </c>
      <c r="AA219" s="348">
        <f ca="1">IF(Q219&lt;&gt;1,0,VLOOKUP(OP!$C$55,PVFB,$S219+2,0))</f>
        <v>0</v>
      </c>
      <c r="AB219" s="488" t="str">
        <f ca="1">IF(AND(S219&lt;OP!$C$24,$U219&lt;15),0,IF(AND($U219&lt;15,$T219=12),ROUND(VLOOKUP($S219,DOWN16,5,0),3),IF($T219=12,ROUND(($Z219/10000)*$AA219,3)+IF(AND($P$7="購買增額繳清保險",T219=12,U219=110),VLOOKUP(S219,$B$10:$H$121,7,0),0),"")))</f>
        <v/>
      </c>
      <c r="AC219" s="350" t="str">
        <f ca="1">IF(AND(S219&lt;OP!$C$24,$U219&lt;15),0,IF(AND($U219&lt;16,$T219=12),VLOOKUP($S219,DOWN16,4,0),IF($T219=12,ROUND(VLOOKUP(OP!$C$55,_DIE2,$S219+1,0)*(Z219/10000),0)+IF(AND($P$7="購買增額繳清保險",T219=12,U219=110),VLOOKUP(S219,$B$10:$H$121,7,0),0),"")))</f>
        <v/>
      </c>
      <c r="AD219" s="347"/>
      <c r="AE219" s="350" t="str">
        <f t="shared" ca="1" si="246"/>
        <v/>
      </c>
      <c r="AF219" s="351" t="str">
        <f t="shared" ca="1" si="247"/>
        <v/>
      </c>
      <c r="AG219" s="340"/>
      <c r="AH219" s="340"/>
      <c r="AI219" s="340"/>
      <c r="AJ219" s="340"/>
      <c r="AK219" s="340"/>
      <c r="AL219" s="340"/>
      <c r="AM219" s="340"/>
      <c r="AN219" s="340"/>
      <c r="AO219" s="340"/>
      <c r="AP219" s="340"/>
      <c r="AQ219" s="340"/>
      <c r="AR219" s="340"/>
      <c r="AS219" s="340"/>
      <c r="AT219" s="340"/>
      <c r="AU219" s="340"/>
      <c r="AV219" s="340"/>
      <c r="AY219" s="340"/>
      <c r="AZ219" s="465">
        <f t="shared" ca="1" si="209"/>
        <v>7.3698599999999999E-5</v>
      </c>
      <c r="BA219" s="464">
        <f t="shared" ca="1" si="210"/>
        <v>2.2109589000000002E-3</v>
      </c>
      <c r="BB219" s="465">
        <f t="shared" ca="1" si="210"/>
        <v>2.2846575E-3</v>
      </c>
      <c r="BC219" s="466">
        <f t="shared" ca="1" si="211"/>
        <v>49279</v>
      </c>
      <c r="BD219" s="467">
        <f t="shared" ca="1" si="232"/>
        <v>49280</v>
      </c>
      <c r="BE219" s="467">
        <f t="shared" ca="1" si="212"/>
        <v>49309</v>
      </c>
      <c r="BF219" s="468">
        <f ca="1">IF(計算!$BC219&lt;OP!$C$3,0,BD219-BC219)</f>
        <v>1</v>
      </c>
      <c r="BG219" s="468">
        <f ca="1">IF($BE219&gt;DATE(YEAR($BD$9)+OP!$C$57,MONTH($BD$9),DAY($BD$9)),0,$BE219-$BD219+1)</f>
        <v>30</v>
      </c>
      <c r="BH219" s="469">
        <f t="shared" ca="1" si="213"/>
        <v>31</v>
      </c>
      <c r="BI219" t="str">
        <f t="shared" si="248"/>
        <v/>
      </c>
      <c r="BJ219">
        <v>6</v>
      </c>
      <c r="BN219" s="468">
        <f t="shared" si="233"/>
        <v>18</v>
      </c>
      <c r="BO219" s="468">
        <f t="shared" si="234"/>
        <v>6</v>
      </c>
      <c r="BP219" s="467">
        <f t="shared" ca="1" si="214"/>
        <v>49280</v>
      </c>
      <c r="BQ219" s="475">
        <f t="shared" ca="1" si="240"/>
        <v>50</v>
      </c>
      <c r="BR219" s="475" t="str">
        <f t="shared" si="235"/>
        <v/>
      </c>
      <c r="BS219" s="471" t="str">
        <f t="shared" si="215"/>
        <v/>
      </c>
      <c r="BT219" s="472" t="str">
        <f t="shared" si="249"/>
        <v/>
      </c>
      <c r="BU219" s="472">
        <f t="shared" ca="1" si="216"/>
        <v>0</v>
      </c>
      <c r="BV219" s="472">
        <f t="shared" ca="1" si="216"/>
        <v>0</v>
      </c>
      <c r="BW219" s="472"/>
      <c r="BX219" s="473">
        <f t="shared" ca="1" si="217"/>
        <v>103211.12954538901</v>
      </c>
      <c r="BY219" s="473">
        <f t="shared" si="218"/>
        <v>0</v>
      </c>
      <c r="BZ219" s="473">
        <f t="shared" ca="1" si="192"/>
        <v>235.80208119900001</v>
      </c>
      <c r="CA219" s="476">
        <f t="shared" ca="1" si="219"/>
        <v>0</v>
      </c>
      <c r="CB219" s="494">
        <f ca="1">IF(OR($Q218&lt;&gt;1,OP!$D$5+$BN219-1&lt;16,$BN219-1&lt;1),0,ROUND(ROUND(ROUND(((VLOOKUP($BN219-1,MORE_PV,5,0)/10000)*VLOOKUP($BN219,MORE_PV,$CB$5,0)),3)*VLOOKUP($BN219,more1,5,0),0)/$R218,0))</f>
        <v>0</v>
      </c>
      <c r="CC219" s="473">
        <f t="shared" ca="1" si="220"/>
        <v>0</v>
      </c>
      <c r="CD219" s="477"/>
      <c r="CE219" s="468">
        <f t="shared" si="236"/>
        <v>18</v>
      </c>
      <c r="CF219" s="468">
        <f t="shared" si="237"/>
        <v>6</v>
      </c>
      <c r="CG219" s="467">
        <f t="shared" ca="1" si="193"/>
        <v>49280</v>
      </c>
      <c r="CH219" s="475">
        <f t="shared" ca="1" si="241"/>
        <v>50</v>
      </c>
      <c r="CI219" s="513" t="str">
        <f t="shared" si="238"/>
        <v/>
      </c>
      <c r="CJ219" s="511">
        <f t="shared" si="221"/>
        <v>0</v>
      </c>
      <c r="CK219" s="512">
        <f t="shared" si="222"/>
        <v>0</v>
      </c>
      <c r="CL219" s="511">
        <f t="shared" ca="1" si="239"/>
        <v>0</v>
      </c>
      <c r="CM219" s="511">
        <f ca="1">ROUND(CS219-IF(OR($CE219&gt;=OP!$C$24,AND(CH219=15,CF219=12),CS219=0),0,(CT219-CR219)),$CM$7)</f>
        <v>0</v>
      </c>
      <c r="CN219" s="511"/>
      <c r="CO219" s="351">
        <f t="shared" ca="1" si="223"/>
        <v>133517</v>
      </c>
      <c r="CP219" s="473">
        <f t="shared" si="224"/>
        <v>0</v>
      </c>
      <c r="CQ219" s="473">
        <f t="shared" ca="1" si="194"/>
        <v>305.04061542800002</v>
      </c>
      <c r="CR219" s="476">
        <f t="shared" ca="1" si="225"/>
        <v>0</v>
      </c>
      <c r="CS219" s="494">
        <f ca="1">IF(OR($Q218&lt;&gt;1,OP!$D$5+$CE219-1&lt;16,$CE219-1&lt;1),0,ROUND(ROUND(ROUND(((VLOOKUP($CE219-1,MORE_PV,5,0)/10000)*VLOOKUP($CE219,MORE_PV,$CS$5,0)),3)*VLOOKUP($CE219,more1,5,0),0)/$R218,0))</f>
        <v>0</v>
      </c>
      <c r="CT219" s="473">
        <f>IF($AW219=1,IF(N($CR219+$CS219)&lt;N($AX219)*OP!$C$50,N($CR219+$CS219),MIN(N($CR219+$CS219),N($AX219))),0)</f>
        <v>0</v>
      </c>
      <c r="CV219" s="503">
        <f t="shared" ca="1" si="226"/>
        <v>133517.21548486201</v>
      </c>
      <c r="CW219" s="503">
        <f t="shared" ca="1" si="227"/>
        <v>0</v>
      </c>
      <c r="CX219" s="503">
        <f t="shared" ca="1" si="228"/>
        <v>133812.394806439</v>
      </c>
    </row>
    <row r="220" spans="2:102" ht="16.5" hidden="1">
      <c r="B220" s="80"/>
      <c r="C220" s="80"/>
      <c r="D220" s="80"/>
      <c r="E220" s="80"/>
      <c r="F220" s="80"/>
      <c r="G220" s="80"/>
      <c r="H220" s="80"/>
      <c r="I220" s="80"/>
      <c r="J220" s="192">
        <f t="shared" si="195"/>
        <v>18</v>
      </c>
      <c r="K220" s="192">
        <f t="shared" si="196"/>
        <v>8</v>
      </c>
      <c r="L220" s="192" t="str">
        <f t="shared" si="189"/>
        <v/>
      </c>
      <c r="M220" s="216">
        <f t="shared" ca="1" si="197"/>
        <v>0</v>
      </c>
      <c r="N220" s="216"/>
      <c r="O220" s="216"/>
      <c r="P220" s="216"/>
      <c r="Q220" s="456" t="str">
        <f t="shared" ca="1" si="198"/>
        <v/>
      </c>
      <c r="R220" s="450">
        <f t="shared" ca="1" si="199"/>
        <v>1</v>
      </c>
      <c r="S220" s="191">
        <f t="shared" si="242"/>
        <v>18</v>
      </c>
      <c r="T220" s="191">
        <f t="shared" si="243"/>
        <v>8</v>
      </c>
      <c r="U220" s="191">
        <f ca="1">OP!$D$5+$S220-1</f>
        <v>50</v>
      </c>
      <c r="V220" s="191" t="str">
        <f t="shared" si="244"/>
        <v/>
      </c>
      <c r="W220" s="350">
        <f ca="1">IF(Q220&lt;&gt;1,0,VLOOKUP(OP!$C$55,PVFB,$S220+2,0))</f>
        <v>0</v>
      </c>
      <c r="X220" s="473">
        <f t="shared" ca="1" si="229"/>
        <v>0</v>
      </c>
      <c r="Y220" s="348">
        <f t="shared" ca="1" si="230"/>
        <v>0</v>
      </c>
      <c r="Z220" s="348">
        <f t="shared" ca="1" si="245"/>
        <v>8012</v>
      </c>
      <c r="AA220" s="348">
        <f ca="1">IF(Q220&lt;&gt;1,0,VLOOKUP(OP!$C$55,PVFB,$S220+2,0))</f>
        <v>0</v>
      </c>
      <c r="AB220" s="488" t="str">
        <f ca="1">IF(AND(S220&lt;OP!$C$24,$U220&lt;15),0,IF(AND($U220&lt;15,$T220=12),ROUND(VLOOKUP($S220,DOWN16,5,0),3),IF($T220=12,ROUND(($Z220/10000)*$AA220,3)+IF(AND($P$7="購買增額繳清保險",T220=12,U220=110),VLOOKUP(S220,$B$10:$H$121,7,0),0),"")))</f>
        <v/>
      </c>
      <c r="AC220" s="350" t="str">
        <f ca="1">IF(AND(S220&lt;OP!$C$24,$U220&lt;15),0,IF(AND($U220&lt;16,$T220=12),VLOOKUP($S220,DOWN16,4,0),IF($T220=12,ROUND(VLOOKUP(OP!$C$55,_DIE2,$S220+1,0)*(Z220/10000),0)+IF(AND($P$7="購買增額繳清保險",T220=12,U220=110),VLOOKUP(S220,$B$10:$H$121,7,0),0),"")))</f>
        <v/>
      </c>
      <c r="AD220" s="347"/>
      <c r="AE220" s="350" t="str">
        <f t="shared" ca="1" si="246"/>
        <v/>
      </c>
      <c r="AF220" s="351" t="str">
        <f t="shared" ca="1" si="247"/>
        <v/>
      </c>
      <c r="AG220" s="340"/>
      <c r="AH220" s="340"/>
      <c r="AI220" s="340"/>
      <c r="AJ220" s="340"/>
      <c r="AK220" s="340"/>
      <c r="AL220" s="340"/>
      <c r="AM220" s="340"/>
      <c r="AN220" s="340"/>
      <c r="AO220" s="340"/>
      <c r="AP220" s="340"/>
      <c r="AQ220" s="340"/>
      <c r="AR220" s="340"/>
      <c r="AS220" s="340"/>
      <c r="AT220" s="340"/>
      <c r="AU220" s="340"/>
      <c r="AV220" s="340"/>
      <c r="AY220" s="340"/>
      <c r="AZ220" s="465">
        <f t="shared" ca="1" si="209"/>
        <v>7.3698599999999999E-5</v>
      </c>
      <c r="BA220" s="464">
        <f t="shared" ca="1" si="210"/>
        <v>2.2109589000000002E-3</v>
      </c>
      <c r="BB220" s="465">
        <f t="shared" ca="1" si="210"/>
        <v>2.2846575E-3</v>
      </c>
      <c r="BC220" s="466">
        <f t="shared" ca="1" si="211"/>
        <v>49310</v>
      </c>
      <c r="BD220" s="467">
        <f t="shared" ca="1" si="232"/>
        <v>49311</v>
      </c>
      <c r="BE220" s="467">
        <f t="shared" ca="1" si="212"/>
        <v>49340</v>
      </c>
      <c r="BF220" s="468">
        <f ca="1">IF(計算!$BC220&lt;OP!$C$3,0,BD220-BC220)</f>
        <v>1</v>
      </c>
      <c r="BG220" s="468">
        <f ca="1">IF($BE220&gt;DATE(YEAR($BD$9)+OP!$C$57,MONTH($BD$9),DAY($BD$9)),0,$BE220-$BD220+1)</f>
        <v>30</v>
      </c>
      <c r="BH220" s="469">
        <f t="shared" ca="1" si="213"/>
        <v>31</v>
      </c>
      <c r="BI220" t="str">
        <f t="shared" si="248"/>
        <v/>
      </c>
      <c r="BJ220">
        <v>7</v>
      </c>
      <c r="BN220" s="468">
        <f t="shared" si="233"/>
        <v>18</v>
      </c>
      <c r="BO220" s="468">
        <f t="shared" si="234"/>
        <v>7</v>
      </c>
      <c r="BP220" s="467">
        <f t="shared" ca="1" si="214"/>
        <v>49311</v>
      </c>
      <c r="BQ220" s="475">
        <f t="shared" ca="1" si="240"/>
        <v>50</v>
      </c>
      <c r="BR220" s="475" t="str">
        <f t="shared" si="235"/>
        <v/>
      </c>
      <c r="BS220" s="471" t="str">
        <f t="shared" si="215"/>
        <v/>
      </c>
      <c r="BT220" s="472" t="str">
        <f t="shared" si="249"/>
        <v/>
      </c>
      <c r="BU220" s="472">
        <f t="shared" ca="1" si="216"/>
        <v>0</v>
      </c>
      <c r="BV220" s="472">
        <f t="shared" ca="1" si="216"/>
        <v>0</v>
      </c>
      <c r="BW220" s="472"/>
      <c r="BX220" s="473">
        <f t="shared" ca="1" si="217"/>
        <v>103446.931626588</v>
      </c>
      <c r="BY220" s="473">
        <f t="shared" si="218"/>
        <v>0</v>
      </c>
      <c r="BZ220" s="473">
        <f t="shared" ca="1" si="192"/>
        <v>236.34080819299999</v>
      </c>
      <c r="CA220" s="476">
        <f t="shared" ca="1" si="219"/>
        <v>0</v>
      </c>
      <c r="CB220" s="494">
        <f ca="1">IF(OR($Q219&lt;&gt;1,OP!$D$5+$BN220-1&lt;16,$BN220-1&lt;1),0,ROUND(ROUND(ROUND(((VLOOKUP($BN220-1,MORE_PV,5,0)/10000)*VLOOKUP($BN220,MORE_PV,$CB$5,0)),3)*VLOOKUP($BN220,more1,5,0),0)/$R219,0))</f>
        <v>0</v>
      </c>
      <c r="CC220" s="473">
        <f t="shared" ca="1" si="220"/>
        <v>0</v>
      </c>
      <c r="CD220" s="477"/>
      <c r="CE220" s="468">
        <f t="shared" si="236"/>
        <v>18</v>
      </c>
      <c r="CF220" s="468">
        <f t="shared" si="237"/>
        <v>7</v>
      </c>
      <c r="CG220" s="467">
        <f t="shared" ca="1" si="193"/>
        <v>49311</v>
      </c>
      <c r="CH220" s="475">
        <f t="shared" ca="1" si="241"/>
        <v>50</v>
      </c>
      <c r="CI220" s="513" t="str">
        <f t="shared" si="238"/>
        <v/>
      </c>
      <c r="CJ220" s="511">
        <f t="shared" si="221"/>
        <v>0</v>
      </c>
      <c r="CK220" s="512">
        <f t="shared" si="222"/>
        <v>0</v>
      </c>
      <c r="CL220" s="511">
        <f t="shared" ca="1" si="239"/>
        <v>0</v>
      </c>
      <c r="CM220" s="511">
        <f ca="1">ROUND(CS220-IF(OR($CE220&gt;=OP!$C$24,AND(CH220=15,CF220=12),CS220=0),0,(CT220-CR220)),$CM$7)</f>
        <v>0</v>
      </c>
      <c r="CN220" s="511"/>
      <c r="CO220" s="351">
        <f t="shared" ca="1" si="223"/>
        <v>133822</v>
      </c>
      <c r="CP220" s="473">
        <f t="shared" si="224"/>
        <v>0</v>
      </c>
      <c r="CQ220" s="473">
        <f t="shared" ca="1" si="194"/>
        <v>305.73743596499997</v>
      </c>
      <c r="CR220" s="476">
        <f t="shared" ca="1" si="225"/>
        <v>0</v>
      </c>
      <c r="CS220" s="494">
        <f ca="1">IF(OR($Q219&lt;&gt;1,OP!$D$5+$CE220-1&lt;16,$CE220-1&lt;1),0,ROUND(ROUND(ROUND(((VLOOKUP($CE220-1,MORE_PV,5,0)/10000)*VLOOKUP($CE220,MORE_PV,$CS$5,0)),3)*VLOOKUP($CE220,more1,5,0),0)/$R219,0))</f>
        <v>0</v>
      </c>
      <c r="CT220" s="473">
        <f>IF($AW220=1,IF(N($CR220+$CS220)&lt;N($AX220)*OP!$C$50,N($CR220+$CS220),MIN(N($CR220+$CS220),N($AX220))),0)</f>
        <v>0</v>
      </c>
      <c r="CV220" s="503">
        <f t="shared" ca="1" si="226"/>
        <v>133822.25659259901</v>
      </c>
      <c r="CW220" s="503">
        <f t="shared" ca="1" si="227"/>
        <v>0</v>
      </c>
      <c r="CX220" s="503">
        <f t="shared" ca="1" si="228"/>
        <v>134118.110297826</v>
      </c>
    </row>
    <row r="221" spans="2:102" ht="16.5" hidden="1">
      <c r="B221" s="80"/>
      <c r="C221" s="80"/>
      <c r="D221" s="80"/>
      <c r="E221" s="80"/>
      <c r="F221" s="80"/>
      <c r="G221" s="80"/>
      <c r="H221" s="80"/>
      <c r="I221" s="80"/>
      <c r="J221" s="192">
        <f t="shared" si="195"/>
        <v>18</v>
      </c>
      <c r="K221" s="192">
        <f t="shared" si="196"/>
        <v>9</v>
      </c>
      <c r="L221" s="192" t="str">
        <f t="shared" si="189"/>
        <v/>
      </c>
      <c r="M221" s="216">
        <f t="shared" ca="1" si="197"/>
        <v>0</v>
      </c>
      <c r="N221" s="216"/>
      <c r="O221" s="216"/>
      <c r="P221" s="216"/>
      <c r="Q221" s="456" t="str">
        <f t="shared" ca="1" si="198"/>
        <v/>
      </c>
      <c r="R221" s="450">
        <f t="shared" ca="1" si="199"/>
        <v>1</v>
      </c>
      <c r="S221" s="191">
        <f t="shared" si="242"/>
        <v>18</v>
      </c>
      <c r="T221" s="191">
        <f t="shared" si="243"/>
        <v>9</v>
      </c>
      <c r="U221" s="191">
        <f ca="1">OP!$D$5+$S221-1</f>
        <v>50</v>
      </c>
      <c r="V221" s="191" t="str">
        <f t="shared" si="244"/>
        <v/>
      </c>
      <c r="W221" s="350">
        <f ca="1">IF(Q221&lt;&gt;1,0,VLOOKUP(OP!$C$55,PVFB,$S221+2,0))</f>
        <v>0</v>
      </c>
      <c r="X221" s="473">
        <f t="shared" ca="1" si="229"/>
        <v>0</v>
      </c>
      <c r="Y221" s="348">
        <f t="shared" ca="1" si="230"/>
        <v>0</v>
      </c>
      <c r="Z221" s="348">
        <f t="shared" ca="1" si="245"/>
        <v>8012</v>
      </c>
      <c r="AA221" s="348">
        <f ca="1">IF(Q221&lt;&gt;1,0,VLOOKUP(OP!$C$55,PVFB,$S221+2,0))</f>
        <v>0</v>
      </c>
      <c r="AB221" s="488" t="str">
        <f ca="1">IF(AND(S221&lt;OP!$C$24,$U221&lt;15),0,IF(AND($U221&lt;15,$T221=12),ROUND(VLOOKUP($S221,DOWN16,5,0),3),IF($T221=12,ROUND(($Z221/10000)*$AA221,3)+IF(AND($P$7="購買增額繳清保險",T221=12,U221=110),VLOOKUP(S221,$B$10:$H$121,7,0),0),"")))</f>
        <v/>
      </c>
      <c r="AC221" s="350" t="str">
        <f ca="1">IF(AND(S221&lt;OP!$C$24,$U221&lt;15),0,IF(AND($U221&lt;16,$T221=12),VLOOKUP($S221,DOWN16,4,0),IF($T221=12,ROUND(VLOOKUP(OP!$C$55,_DIE2,$S221+1,0)*(Z221/10000),0)+IF(AND($P$7="購買增額繳清保險",T221=12,U221=110),VLOOKUP(S221,$B$10:$H$121,7,0),0),"")))</f>
        <v/>
      </c>
      <c r="AD221" s="347"/>
      <c r="AE221" s="350" t="str">
        <f t="shared" ca="1" si="246"/>
        <v/>
      </c>
      <c r="AF221" s="351" t="str">
        <f t="shared" ca="1" si="247"/>
        <v/>
      </c>
      <c r="AG221" s="340"/>
      <c r="AH221" s="340"/>
      <c r="AI221" s="340"/>
      <c r="AJ221" s="340"/>
      <c r="AK221" s="340"/>
      <c r="AL221" s="340"/>
      <c r="AM221" s="340"/>
      <c r="AN221" s="340"/>
      <c r="AO221" s="340"/>
      <c r="AP221" s="340"/>
      <c r="AQ221" s="340"/>
      <c r="AR221" s="340"/>
      <c r="AS221" s="340"/>
      <c r="AT221" s="340"/>
      <c r="AU221" s="340"/>
      <c r="AV221" s="340"/>
      <c r="AY221" s="340"/>
      <c r="AZ221" s="465">
        <f t="shared" ca="1" si="209"/>
        <v>7.3698599999999999E-5</v>
      </c>
      <c r="BA221" s="464">
        <f t="shared" ca="1" si="210"/>
        <v>1.9898630000000001E-3</v>
      </c>
      <c r="BB221" s="465">
        <f t="shared" ca="1" si="210"/>
        <v>2.0635616E-3</v>
      </c>
      <c r="BC221" s="466">
        <f t="shared" ca="1" si="211"/>
        <v>49341</v>
      </c>
      <c r="BD221" s="467">
        <f t="shared" ca="1" si="232"/>
        <v>49342</v>
      </c>
      <c r="BE221" s="467">
        <f t="shared" ca="1" si="212"/>
        <v>49368</v>
      </c>
      <c r="BF221" s="468">
        <f ca="1">IF(計算!$BC221&lt;OP!$C$3,0,BD221-BC221)</f>
        <v>1</v>
      </c>
      <c r="BG221" s="468">
        <f ca="1">IF($BE221&gt;DATE(YEAR($BD$9)+OP!$C$57,MONTH($BD$9),DAY($BD$9)),0,$BE221-$BD221+1)</f>
        <v>27</v>
      </c>
      <c r="BH221" s="469">
        <f t="shared" ca="1" si="213"/>
        <v>28</v>
      </c>
      <c r="BI221" t="str">
        <f t="shared" si="248"/>
        <v/>
      </c>
      <c r="BJ221">
        <v>8</v>
      </c>
      <c r="BN221" s="468">
        <f t="shared" si="233"/>
        <v>18</v>
      </c>
      <c r="BO221" s="468">
        <f t="shared" si="234"/>
        <v>8</v>
      </c>
      <c r="BP221" s="467">
        <f t="shared" ca="1" si="214"/>
        <v>49342</v>
      </c>
      <c r="BQ221" s="475">
        <f t="shared" ca="1" si="240"/>
        <v>50</v>
      </c>
      <c r="BR221" s="475" t="str">
        <f t="shared" si="235"/>
        <v/>
      </c>
      <c r="BS221" s="471" t="str">
        <f t="shared" si="215"/>
        <v/>
      </c>
      <c r="BT221" s="472" t="str">
        <f t="shared" si="249"/>
        <v/>
      </c>
      <c r="BU221" s="472">
        <f t="shared" ca="1" si="216"/>
        <v>0</v>
      </c>
      <c r="BV221" s="472">
        <f t="shared" ca="1" si="216"/>
        <v>0</v>
      </c>
      <c r="BW221" s="472"/>
      <c r="BX221" s="473">
        <f t="shared" ca="1" si="217"/>
        <v>103683.272434781</v>
      </c>
      <c r="BY221" s="473">
        <f t="shared" si="218"/>
        <v>0</v>
      </c>
      <c r="BZ221" s="473">
        <f t="shared" ca="1" si="192"/>
        <v>213.956819559</v>
      </c>
      <c r="CA221" s="476">
        <f t="shared" ca="1" si="219"/>
        <v>0</v>
      </c>
      <c r="CB221" s="494">
        <f ca="1">IF(OR($Q220&lt;&gt;1,OP!$D$5+$BN221-1&lt;16,$BN221-1&lt;1),0,ROUND(ROUND(ROUND(((VLOOKUP($BN221-1,MORE_PV,5,0)/10000)*VLOOKUP($BN221,MORE_PV,$CB$5,0)),3)*VLOOKUP($BN221,more1,5,0),0)/$R220,0))</f>
        <v>0</v>
      </c>
      <c r="CC221" s="473">
        <f t="shared" ca="1" si="220"/>
        <v>0</v>
      </c>
      <c r="CD221" s="477"/>
      <c r="CE221" s="468">
        <f t="shared" si="236"/>
        <v>18</v>
      </c>
      <c r="CF221" s="468">
        <f t="shared" si="237"/>
        <v>8</v>
      </c>
      <c r="CG221" s="467">
        <f t="shared" ca="1" si="193"/>
        <v>49342</v>
      </c>
      <c r="CH221" s="475">
        <f t="shared" ca="1" si="241"/>
        <v>50</v>
      </c>
      <c r="CI221" s="513" t="str">
        <f t="shared" si="238"/>
        <v/>
      </c>
      <c r="CJ221" s="511">
        <f t="shared" si="221"/>
        <v>0</v>
      </c>
      <c r="CK221" s="512">
        <f t="shared" si="222"/>
        <v>0</v>
      </c>
      <c r="CL221" s="511">
        <f t="shared" ca="1" si="239"/>
        <v>0</v>
      </c>
      <c r="CM221" s="511">
        <f ca="1">ROUND(CS221-IF(OR($CE221&gt;=OP!$C$24,AND(CH221=15,CF221=12),CS221=0),0,(CT221-CR221)),$CM$7)</f>
        <v>0</v>
      </c>
      <c r="CN221" s="511"/>
      <c r="CO221" s="351">
        <f t="shared" ca="1" si="223"/>
        <v>134128</v>
      </c>
      <c r="CP221" s="473">
        <f t="shared" si="224"/>
        <v>0</v>
      </c>
      <c r="CQ221" s="473">
        <f t="shared" ca="1" si="194"/>
        <v>276.78139028499999</v>
      </c>
      <c r="CR221" s="476">
        <f t="shared" ca="1" si="225"/>
        <v>0</v>
      </c>
      <c r="CS221" s="494">
        <f ca="1">IF(OR($Q220&lt;&gt;1,OP!$D$5+$CE221-1&lt;16,$CE221-1&lt;1),0,ROUND(ROUND(ROUND(((VLOOKUP($CE221-1,MORE_PV,5,0)/10000)*VLOOKUP($CE221,MORE_PV,$CS$5,0)),3)*VLOOKUP($CE221,more1,5,0),0)/$R220,0))</f>
        <v>0</v>
      </c>
      <c r="CT221" s="473">
        <f>IF($AW221=1,IF(N($CR221+$CS221)&lt;N($AX221)*OP!$C$50,N($CR221+$CS221),MIN(N($CR221+$CS221),N($AX221))),0)</f>
        <v>0</v>
      </c>
      <c r="CV221" s="503">
        <f t="shared" ca="1" si="226"/>
        <v>134127.99461478999</v>
      </c>
      <c r="CW221" s="503">
        <f t="shared" ca="1" si="227"/>
        <v>0</v>
      </c>
      <c r="CX221" s="503">
        <f t="shared" ca="1" si="228"/>
        <v>134394.87128010101</v>
      </c>
    </row>
    <row r="222" spans="2:102" ht="16.5" hidden="1">
      <c r="B222" s="80"/>
      <c r="C222" s="80"/>
      <c r="D222" s="80"/>
      <c r="E222" s="80"/>
      <c r="F222" s="80"/>
      <c r="G222" s="80"/>
      <c r="H222" s="80"/>
      <c r="I222" s="80"/>
      <c r="J222" s="192">
        <f t="shared" si="195"/>
        <v>18</v>
      </c>
      <c r="K222" s="192">
        <f t="shared" si="196"/>
        <v>10</v>
      </c>
      <c r="L222" s="192" t="str">
        <f t="shared" si="189"/>
        <v/>
      </c>
      <c r="M222" s="216">
        <f t="shared" ca="1" si="197"/>
        <v>0</v>
      </c>
      <c r="N222" s="216"/>
      <c r="O222" s="216"/>
      <c r="P222" s="216"/>
      <c r="Q222" s="456" t="str">
        <f t="shared" ca="1" si="198"/>
        <v/>
      </c>
      <c r="R222" s="450">
        <f t="shared" ca="1" si="199"/>
        <v>1</v>
      </c>
      <c r="S222" s="191">
        <f t="shared" si="242"/>
        <v>18</v>
      </c>
      <c r="T222" s="191">
        <f t="shared" si="243"/>
        <v>10</v>
      </c>
      <c r="U222" s="191">
        <f ca="1">OP!$D$5+$S222-1</f>
        <v>50</v>
      </c>
      <c r="V222" s="191" t="str">
        <f t="shared" si="244"/>
        <v/>
      </c>
      <c r="W222" s="350">
        <f ca="1">IF(Q222&lt;&gt;1,0,VLOOKUP(OP!$C$55,PVFB,$S222+2,0))</f>
        <v>0</v>
      </c>
      <c r="X222" s="473">
        <f t="shared" ca="1" si="229"/>
        <v>0</v>
      </c>
      <c r="Y222" s="348">
        <f t="shared" ca="1" si="230"/>
        <v>0</v>
      </c>
      <c r="Z222" s="348">
        <f t="shared" ca="1" si="245"/>
        <v>8012</v>
      </c>
      <c r="AA222" s="348">
        <f ca="1">IF(Q222&lt;&gt;1,0,VLOOKUP(OP!$C$55,PVFB,$S222+2,0))</f>
        <v>0</v>
      </c>
      <c r="AB222" s="488" t="str">
        <f ca="1">IF(AND(S222&lt;OP!$C$24,$U222&lt;15),0,IF(AND($U222&lt;15,$T222=12),ROUND(VLOOKUP($S222,DOWN16,5,0),3),IF($T222=12,ROUND(($Z222/10000)*$AA222,3)+IF(AND($P$7="購買增額繳清保險",T222=12,U222=110),VLOOKUP(S222,$B$10:$H$121,7,0),0),"")))</f>
        <v/>
      </c>
      <c r="AC222" s="350" t="str">
        <f ca="1">IF(AND(S222&lt;OP!$C$24,$U222&lt;15),0,IF(AND($U222&lt;16,$T222=12),VLOOKUP($S222,DOWN16,4,0),IF($T222=12,ROUND(VLOOKUP(OP!$C$55,_DIE2,$S222+1,0)*(Z222/10000),0)+IF(AND($P$7="購買增額繳清保險",T222=12,U222=110),VLOOKUP(S222,$B$10:$H$121,7,0),0),"")))</f>
        <v/>
      </c>
      <c r="AD222" s="347"/>
      <c r="AE222" s="350" t="str">
        <f t="shared" ca="1" si="246"/>
        <v/>
      </c>
      <c r="AF222" s="351" t="str">
        <f t="shared" ca="1" si="247"/>
        <v/>
      </c>
      <c r="AG222" s="340"/>
      <c r="AH222" s="340"/>
      <c r="AI222" s="340"/>
      <c r="AJ222" s="340"/>
      <c r="AK222" s="340"/>
      <c r="AL222" s="340"/>
      <c r="AM222" s="340"/>
      <c r="AN222" s="340"/>
      <c r="AO222" s="340"/>
      <c r="AP222" s="340"/>
      <c r="AQ222" s="340"/>
      <c r="AR222" s="340"/>
      <c r="AS222" s="340"/>
      <c r="AT222" s="340"/>
      <c r="AU222" s="340"/>
      <c r="AV222" s="340"/>
      <c r="AY222" s="340"/>
      <c r="AZ222" s="465">
        <f t="shared" ca="1" si="209"/>
        <v>7.3698599999999999E-5</v>
      </c>
      <c r="BA222" s="464">
        <f t="shared" ca="1" si="210"/>
        <v>2.2109589000000002E-3</v>
      </c>
      <c r="BB222" s="465">
        <f t="shared" ca="1" si="210"/>
        <v>2.2846575E-3</v>
      </c>
      <c r="BC222" s="466">
        <f t="shared" ca="1" si="211"/>
        <v>49369</v>
      </c>
      <c r="BD222" s="467">
        <f t="shared" ca="1" si="232"/>
        <v>49370</v>
      </c>
      <c r="BE222" s="467">
        <f t="shared" ca="1" si="212"/>
        <v>49399</v>
      </c>
      <c r="BF222" s="468">
        <f ca="1">IF(計算!$BC222&lt;OP!$C$3,0,BD222-BC222)</f>
        <v>1</v>
      </c>
      <c r="BG222" s="468">
        <f ca="1">IF($BE222&gt;DATE(YEAR($BD$9)+OP!$C$57,MONTH($BD$9),DAY($BD$9)),0,$BE222-$BD222+1)</f>
        <v>30</v>
      </c>
      <c r="BH222" s="469">
        <f t="shared" ca="1" si="213"/>
        <v>31</v>
      </c>
      <c r="BI222" t="str">
        <f t="shared" si="248"/>
        <v/>
      </c>
      <c r="BJ222">
        <v>9</v>
      </c>
      <c r="BN222" s="468">
        <f t="shared" si="233"/>
        <v>18</v>
      </c>
      <c r="BO222" s="468">
        <f t="shared" si="234"/>
        <v>9</v>
      </c>
      <c r="BP222" s="467">
        <f t="shared" ca="1" si="214"/>
        <v>49370</v>
      </c>
      <c r="BQ222" s="475">
        <f t="shared" ca="1" si="240"/>
        <v>50</v>
      </c>
      <c r="BR222" s="475" t="str">
        <f t="shared" si="235"/>
        <v/>
      </c>
      <c r="BS222" s="471" t="str">
        <f t="shared" si="215"/>
        <v/>
      </c>
      <c r="BT222" s="472" t="str">
        <f t="shared" si="249"/>
        <v/>
      </c>
      <c r="BU222" s="472">
        <f t="shared" ca="1" si="216"/>
        <v>0</v>
      </c>
      <c r="BV222" s="472">
        <f t="shared" ca="1" si="216"/>
        <v>0</v>
      </c>
      <c r="BW222" s="472"/>
      <c r="BX222" s="473">
        <f t="shared" ca="1" si="217"/>
        <v>103897.22925434</v>
      </c>
      <c r="BY222" s="473">
        <f t="shared" si="218"/>
        <v>0</v>
      </c>
      <c r="BZ222" s="473">
        <f t="shared" ca="1" si="192"/>
        <v>237.36958404500001</v>
      </c>
      <c r="CA222" s="476">
        <f t="shared" ca="1" si="219"/>
        <v>0</v>
      </c>
      <c r="CB222" s="494">
        <f ca="1">IF(OR($Q221&lt;&gt;1,OP!$D$5+$BN222-1&lt;16,$BN222-1&lt;1),0,ROUND(ROUND(ROUND(((VLOOKUP($BN222-1,MORE_PV,5,0)/10000)*VLOOKUP($BN222,MORE_PV,$CB$5,0)),3)*VLOOKUP($BN222,more1,5,0),0)/$R221,0))</f>
        <v>0</v>
      </c>
      <c r="CC222" s="473">
        <f t="shared" ca="1" si="220"/>
        <v>0</v>
      </c>
      <c r="CD222" s="477"/>
      <c r="CE222" s="468">
        <f t="shared" si="236"/>
        <v>18</v>
      </c>
      <c r="CF222" s="468">
        <f t="shared" si="237"/>
        <v>9</v>
      </c>
      <c r="CG222" s="467">
        <f t="shared" ca="1" si="193"/>
        <v>49370</v>
      </c>
      <c r="CH222" s="475">
        <f t="shared" ca="1" si="241"/>
        <v>50</v>
      </c>
      <c r="CI222" s="513" t="str">
        <f t="shared" si="238"/>
        <v/>
      </c>
      <c r="CJ222" s="511">
        <f t="shared" si="221"/>
        <v>0</v>
      </c>
      <c r="CK222" s="512">
        <f t="shared" si="222"/>
        <v>0</v>
      </c>
      <c r="CL222" s="511">
        <f t="shared" ca="1" si="239"/>
        <v>0</v>
      </c>
      <c r="CM222" s="511">
        <f ca="1">ROUND(CS222-IF(OR($CE222&gt;=OP!$C$24,AND(CH222=15,CF222=12),CS222=0),0,(CT222-CR222)),$CM$7)</f>
        <v>0</v>
      </c>
      <c r="CN222" s="511"/>
      <c r="CO222" s="351">
        <f t="shared" ca="1" si="223"/>
        <v>134405</v>
      </c>
      <c r="CP222" s="473">
        <f t="shared" si="224"/>
        <v>0</v>
      </c>
      <c r="CQ222" s="473">
        <f t="shared" ca="1" si="194"/>
        <v>307.06939128800002</v>
      </c>
      <c r="CR222" s="476">
        <f t="shared" ca="1" si="225"/>
        <v>0</v>
      </c>
      <c r="CS222" s="494">
        <f ca="1">IF(OR($Q221&lt;&gt;1,OP!$D$5+$CE222-1&lt;16,$CE222-1&lt;1),0,ROUND(ROUND(ROUND(((VLOOKUP($CE222-1,MORE_PV,5,0)/10000)*VLOOKUP($CE222,MORE_PV,$CS$5,0)),3)*VLOOKUP($CE222,more1,5,0),0)/$R221,0))</f>
        <v>0</v>
      </c>
      <c r="CT222" s="473">
        <f>IF($AW222=1,IF(N($CR222+$CS222)&lt;N($AX222)*OP!$C$50,N($CR222+$CS222),MIN(N($CR222+$CS222),N($AX222))),0)</f>
        <v>0</v>
      </c>
      <c r="CV222" s="503">
        <f t="shared" ca="1" si="226"/>
        <v>134404.77599396199</v>
      </c>
      <c r="CW222" s="503">
        <f t="shared" ca="1" si="227"/>
        <v>0</v>
      </c>
      <c r="CX222" s="503">
        <f t="shared" ca="1" si="228"/>
        <v>134701.91753073299</v>
      </c>
    </row>
    <row r="223" spans="2:102" ht="16.5" hidden="1">
      <c r="B223" s="80"/>
      <c r="C223" s="80"/>
      <c r="D223" s="80"/>
      <c r="E223" s="80"/>
      <c r="F223" s="80"/>
      <c r="G223" s="80"/>
      <c r="H223" s="80"/>
      <c r="I223" s="80"/>
      <c r="J223" s="192">
        <f t="shared" si="195"/>
        <v>18</v>
      </c>
      <c r="K223" s="192">
        <f t="shared" si="196"/>
        <v>11</v>
      </c>
      <c r="L223" s="192" t="str">
        <f t="shared" si="189"/>
        <v/>
      </c>
      <c r="M223" s="216">
        <f t="shared" ca="1" si="197"/>
        <v>0</v>
      </c>
      <c r="N223" s="216"/>
      <c r="O223" s="216"/>
      <c r="P223" s="216"/>
      <c r="Q223" s="456" t="str">
        <f t="shared" ca="1" si="198"/>
        <v/>
      </c>
      <c r="R223" s="450">
        <f t="shared" ca="1" si="199"/>
        <v>1</v>
      </c>
      <c r="S223" s="191">
        <f t="shared" si="242"/>
        <v>18</v>
      </c>
      <c r="T223" s="191">
        <f t="shared" si="243"/>
        <v>11</v>
      </c>
      <c r="U223" s="191">
        <f ca="1">OP!$D$5+$S223-1</f>
        <v>50</v>
      </c>
      <c r="V223" s="191" t="str">
        <f t="shared" si="244"/>
        <v/>
      </c>
      <c r="W223" s="350">
        <f ca="1">IF(Q223&lt;&gt;1,0,VLOOKUP(OP!$C$55,PVFB,$S223+2,0))</f>
        <v>0</v>
      </c>
      <c r="X223" s="473">
        <f t="shared" ca="1" si="229"/>
        <v>0</v>
      </c>
      <c r="Y223" s="348">
        <f t="shared" ca="1" si="230"/>
        <v>0</v>
      </c>
      <c r="Z223" s="348">
        <f t="shared" ca="1" si="245"/>
        <v>8012</v>
      </c>
      <c r="AA223" s="348">
        <f ca="1">IF(Q223&lt;&gt;1,0,VLOOKUP(OP!$C$55,PVFB,$S223+2,0))</f>
        <v>0</v>
      </c>
      <c r="AB223" s="488" t="str">
        <f ca="1">IF(AND(S223&lt;OP!$C$24,$U223&lt;15),0,IF(AND($U223&lt;15,$T223=12),ROUND(VLOOKUP($S223,DOWN16,5,0),3),IF($T223=12,ROUND(($Z223/10000)*$AA223,3)+IF(AND($P$7="購買增額繳清保險",T223=12,U223=110),VLOOKUP(S223,$B$10:$H$121,7,0),0),"")))</f>
        <v/>
      </c>
      <c r="AC223" s="350" t="str">
        <f ca="1">IF(AND(S223&lt;OP!$C$24,$U223&lt;15),0,IF(AND($U223&lt;16,$T223=12),VLOOKUP($S223,DOWN16,4,0),IF($T223=12,ROUND(VLOOKUP(OP!$C$55,_DIE2,$S223+1,0)*(Z223/10000),0)+IF(AND($P$7="購買增額繳清保險",T223=12,U223=110),VLOOKUP(S223,$B$10:$H$121,7,0),0),"")))</f>
        <v/>
      </c>
      <c r="AD223" s="347"/>
      <c r="AE223" s="350" t="str">
        <f t="shared" ca="1" si="246"/>
        <v/>
      </c>
      <c r="AF223" s="351" t="str">
        <f t="shared" ca="1" si="247"/>
        <v/>
      </c>
      <c r="AG223" s="340"/>
      <c r="AH223" s="340"/>
      <c r="AI223" s="340"/>
      <c r="AJ223" s="340"/>
      <c r="AK223" s="340"/>
      <c r="AL223" s="340"/>
      <c r="AM223" s="340"/>
      <c r="AN223" s="340"/>
      <c r="AO223" s="340"/>
      <c r="AP223" s="340"/>
      <c r="AQ223" s="340"/>
      <c r="AR223" s="340"/>
      <c r="AS223" s="340"/>
      <c r="AT223" s="340"/>
      <c r="AU223" s="340"/>
      <c r="AV223" s="340"/>
      <c r="AY223" s="340"/>
      <c r="AZ223" s="465">
        <f t="shared" ca="1" si="209"/>
        <v>7.3698599999999999E-5</v>
      </c>
      <c r="BA223" s="464">
        <f t="shared" ca="1" si="210"/>
        <v>2.1372602999999999E-3</v>
      </c>
      <c r="BB223" s="465">
        <f t="shared" ca="1" si="210"/>
        <v>2.2109589000000002E-3</v>
      </c>
      <c r="BC223" s="466">
        <f t="shared" ca="1" si="211"/>
        <v>49400</v>
      </c>
      <c r="BD223" s="467">
        <f t="shared" ca="1" si="232"/>
        <v>49401</v>
      </c>
      <c r="BE223" s="467">
        <f t="shared" ca="1" si="212"/>
        <v>49429</v>
      </c>
      <c r="BF223" s="468">
        <f ca="1">IF(計算!$BC223&lt;OP!$C$3,0,BD223-BC223)</f>
        <v>1</v>
      </c>
      <c r="BG223" s="468">
        <f ca="1">IF($BE223&gt;DATE(YEAR($BD$9)+OP!$C$57,MONTH($BD$9),DAY($BD$9)),0,$BE223-$BD223+1)</f>
        <v>29</v>
      </c>
      <c r="BH223" s="469">
        <f t="shared" ca="1" si="213"/>
        <v>30</v>
      </c>
      <c r="BI223" t="str">
        <f t="shared" si="248"/>
        <v/>
      </c>
      <c r="BJ223">
        <v>10</v>
      </c>
      <c r="BN223" s="468">
        <f t="shared" si="233"/>
        <v>18</v>
      </c>
      <c r="BO223" s="468">
        <f t="shared" si="234"/>
        <v>10</v>
      </c>
      <c r="BP223" s="467">
        <f t="shared" ca="1" si="214"/>
        <v>49401</v>
      </c>
      <c r="BQ223" s="475">
        <f t="shared" ca="1" si="240"/>
        <v>50</v>
      </c>
      <c r="BR223" s="475" t="str">
        <f t="shared" si="235"/>
        <v/>
      </c>
      <c r="BS223" s="471" t="str">
        <f t="shared" si="215"/>
        <v/>
      </c>
      <c r="BT223" s="472" t="str">
        <f t="shared" si="249"/>
        <v/>
      </c>
      <c r="BU223" s="472">
        <f t="shared" ca="1" si="216"/>
        <v>0</v>
      </c>
      <c r="BV223" s="472">
        <f t="shared" ca="1" si="216"/>
        <v>0</v>
      </c>
      <c r="BW223" s="472"/>
      <c r="BX223" s="473">
        <f t="shared" ca="1" si="217"/>
        <v>104134.59883838501</v>
      </c>
      <c r="BY223" s="473">
        <f t="shared" si="218"/>
        <v>0</v>
      </c>
      <c r="BZ223" s="473">
        <f t="shared" ca="1" si="192"/>
        <v>230.23731810000001</v>
      </c>
      <c r="CA223" s="476">
        <f t="shared" ca="1" si="219"/>
        <v>0</v>
      </c>
      <c r="CB223" s="494">
        <f ca="1">IF(OR($Q222&lt;&gt;1,OP!$D$5+$BN223-1&lt;16,$BN223-1&lt;1),0,ROUND(ROUND(ROUND(((VLOOKUP($BN223-1,MORE_PV,5,0)/10000)*VLOOKUP($BN223,MORE_PV,$CB$5,0)),3)*VLOOKUP($BN223,more1,5,0),0)/$R222,0))</f>
        <v>0</v>
      </c>
      <c r="CC223" s="473">
        <f t="shared" ca="1" si="220"/>
        <v>0</v>
      </c>
      <c r="CD223" s="477"/>
      <c r="CE223" s="468">
        <f t="shared" si="236"/>
        <v>18</v>
      </c>
      <c r="CF223" s="468">
        <f t="shared" si="237"/>
        <v>10</v>
      </c>
      <c r="CG223" s="467">
        <f t="shared" ca="1" si="193"/>
        <v>49401</v>
      </c>
      <c r="CH223" s="475">
        <f t="shared" ca="1" si="241"/>
        <v>50</v>
      </c>
      <c r="CI223" s="513" t="str">
        <f t="shared" si="238"/>
        <v/>
      </c>
      <c r="CJ223" s="511">
        <f t="shared" si="221"/>
        <v>0</v>
      </c>
      <c r="CK223" s="512">
        <f t="shared" si="222"/>
        <v>0</v>
      </c>
      <c r="CL223" s="511">
        <f t="shared" ca="1" si="239"/>
        <v>0</v>
      </c>
      <c r="CM223" s="511">
        <f ca="1">ROUND(CS223-IF(OR($CE223&gt;=OP!$C$24,AND(CH223=15,CF223=12),CS223=0),0,(CT223-CR223)),$CM$7)</f>
        <v>0</v>
      </c>
      <c r="CN223" s="511"/>
      <c r="CO223" s="351">
        <f t="shared" ca="1" si="223"/>
        <v>134712</v>
      </c>
      <c r="CP223" s="473">
        <f t="shared" si="224"/>
        <v>0</v>
      </c>
      <c r="CQ223" s="473">
        <f t="shared" ca="1" si="194"/>
        <v>297.84269533700001</v>
      </c>
      <c r="CR223" s="476">
        <f t="shared" ca="1" si="225"/>
        <v>0</v>
      </c>
      <c r="CS223" s="494">
        <f ca="1">IF(OR($Q222&lt;&gt;1,OP!$D$5+$CE223-1&lt;16,$CE223-1&lt;1),0,ROUND(ROUND(ROUND(((VLOOKUP($CE223-1,MORE_PV,5,0)/10000)*VLOOKUP($CE223,MORE_PV,$CS$5,0)),3)*VLOOKUP($CE223,more1,5,0),0)/$R222,0))</f>
        <v>0</v>
      </c>
      <c r="CT223" s="473">
        <f>IF($AW223=1,IF(N($CR223+$CS223)&lt;N($AX223)*OP!$C$50,N($CR223+$CS223),MIN(N($CR223+$CS223),N($AX223))),0)</f>
        <v>0</v>
      </c>
      <c r="CV223" s="503">
        <f t="shared" ca="1" si="226"/>
        <v>134711.844873472</v>
      </c>
      <c r="CW223" s="503">
        <f t="shared" ca="1" si="227"/>
        <v>0</v>
      </c>
      <c r="CX223" s="503">
        <f t="shared" ca="1" si="228"/>
        <v>134999.737934145</v>
      </c>
    </row>
    <row r="224" spans="2:102" ht="16.5" hidden="1">
      <c r="B224" s="80"/>
      <c r="C224" s="80"/>
      <c r="D224" s="80"/>
      <c r="E224" s="80"/>
      <c r="F224" s="80"/>
      <c r="G224" s="80"/>
      <c r="H224" s="80"/>
      <c r="I224" s="80"/>
      <c r="J224" s="192">
        <f t="shared" si="195"/>
        <v>18</v>
      </c>
      <c r="K224" s="192">
        <f t="shared" si="196"/>
        <v>12</v>
      </c>
      <c r="L224" s="192">
        <f t="shared" si="189"/>
        <v>18</v>
      </c>
      <c r="M224" s="216">
        <f t="shared" ca="1" si="197"/>
        <v>113724</v>
      </c>
      <c r="N224" s="216"/>
      <c r="O224" s="216"/>
      <c r="P224" s="216"/>
      <c r="Q224" s="456">
        <f t="shared" ca="1" si="198"/>
        <v>1</v>
      </c>
      <c r="R224" s="450">
        <f t="shared" ca="1" si="199"/>
        <v>1</v>
      </c>
      <c r="S224" s="191">
        <f t="shared" si="242"/>
        <v>18</v>
      </c>
      <c r="T224" s="191">
        <f t="shared" si="243"/>
        <v>12</v>
      </c>
      <c r="U224" s="191">
        <f ca="1">OP!$D$5+$S224-1</f>
        <v>50</v>
      </c>
      <c r="V224" s="191">
        <f t="shared" si="244"/>
        <v>18</v>
      </c>
      <c r="W224" s="350">
        <f ca="1">IF(Q224&lt;&gt;1,0,VLOOKUP(OP!$C$55,PVFB,$S224+2,0))</f>
        <v>37946</v>
      </c>
      <c r="X224" s="473">
        <f t="shared" ca="1" si="229"/>
        <v>9112</v>
      </c>
      <c r="Y224" s="348">
        <f t="shared" ca="1" si="230"/>
        <v>0</v>
      </c>
      <c r="Z224" s="348">
        <f t="shared" ca="1" si="245"/>
        <v>8012</v>
      </c>
      <c r="AA224" s="348">
        <f ca="1">IF(Q224&lt;&gt;1,0,VLOOKUP(OP!$C$55,PVFB,$S224+2,0))</f>
        <v>37946</v>
      </c>
      <c r="AB224" s="488">
        <f ca="1">IF(AND(S224&lt;OP!$C$24,$U224&lt;15),0,IF(AND($U224&lt;15,$T224=12),ROUND(VLOOKUP($S224,DOWN16,5,0),3),IF($T224=12,ROUND(($Z224/10000)*$AA224,3)+IF(AND($P$7="購買增額繳清保險",T224=12,U224=110),VLOOKUP(S224,$B$10:$H$121,7,0),0),"")))</f>
        <v>30402.334999999999</v>
      </c>
      <c r="AC224" s="350">
        <f ca="1">IF(AND(S224&lt;OP!$C$24,$U224&lt;15),0,IF(AND($U224&lt;16,$T224=12),VLOOKUP($S224,DOWN16,4,0),IF($T224=12,ROUND(VLOOKUP(OP!$C$55,_DIE2,$S224+1,0)*(Z224/10000),0)+IF(AND($P$7="購買增額繳清保險",T224=12,U224=110),VLOOKUP(S224,$B$10:$H$121,7,0),0),"")))</f>
        <v>30402</v>
      </c>
      <c r="AD224" s="347"/>
      <c r="AE224" s="350" t="str">
        <f t="shared" ca="1" si="246"/>
        <v/>
      </c>
      <c r="AF224" s="351" t="str">
        <f t="shared" ca="1" si="247"/>
        <v/>
      </c>
      <c r="AG224" s="340"/>
      <c r="AH224" s="340"/>
      <c r="AI224" s="340"/>
      <c r="AJ224" s="340"/>
      <c r="AK224" s="340"/>
      <c r="AL224" s="340"/>
      <c r="AM224" s="340"/>
      <c r="AN224" s="340"/>
      <c r="AO224" s="340"/>
      <c r="AP224" s="340"/>
      <c r="AQ224" s="340"/>
      <c r="AR224" s="340"/>
      <c r="AS224" s="340"/>
      <c r="AT224" s="340"/>
      <c r="AU224" s="340"/>
      <c r="AV224" s="340"/>
      <c r="AY224" s="340"/>
      <c r="AZ224" s="465">
        <f t="shared" ca="1" si="209"/>
        <v>7.3698599999999999E-5</v>
      </c>
      <c r="BA224" s="464">
        <f t="shared" ca="1" si="210"/>
        <v>2.2109589000000002E-3</v>
      </c>
      <c r="BB224" s="465">
        <f t="shared" ca="1" si="210"/>
        <v>2.2846575E-3</v>
      </c>
      <c r="BC224" s="466">
        <f t="shared" ca="1" si="211"/>
        <v>49430</v>
      </c>
      <c r="BD224" s="467">
        <f t="shared" ca="1" si="232"/>
        <v>49431</v>
      </c>
      <c r="BE224" s="467">
        <f t="shared" ca="1" si="212"/>
        <v>49460</v>
      </c>
      <c r="BF224" s="468">
        <f ca="1">IF(計算!$BC224&lt;OP!$C$3,0,BD224-BC224)</f>
        <v>1</v>
      </c>
      <c r="BG224" s="468">
        <f ca="1">IF($BE224&gt;DATE(YEAR($BD$9)+OP!$C$57,MONTH($BD$9),DAY($BD$9)),0,$BE224-$BD224+1)</f>
        <v>30</v>
      </c>
      <c r="BH224" s="469">
        <f t="shared" ca="1" si="213"/>
        <v>31</v>
      </c>
      <c r="BI224" t="str">
        <f t="shared" si="248"/>
        <v/>
      </c>
      <c r="BJ224">
        <v>11</v>
      </c>
      <c r="BN224" s="468">
        <f t="shared" si="233"/>
        <v>18</v>
      </c>
      <c r="BO224" s="468">
        <f t="shared" si="234"/>
        <v>11</v>
      </c>
      <c r="BP224" s="467">
        <f t="shared" ca="1" si="214"/>
        <v>49431</v>
      </c>
      <c r="BQ224" s="475">
        <f t="shared" ca="1" si="240"/>
        <v>50</v>
      </c>
      <c r="BR224" s="475" t="str">
        <f t="shared" si="235"/>
        <v/>
      </c>
      <c r="BS224" s="471" t="str">
        <f t="shared" si="215"/>
        <v/>
      </c>
      <c r="BT224" s="472" t="str">
        <f t="shared" si="249"/>
        <v/>
      </c>
      <c r="BU224" s="472">
        <f t="shared" ca="1" si="216"/>
        <v>0</v>
      </c>
      <c r="BV224" s="472">
        <f t="shared" ca="1" si="216"/>
        <v>0</v>
      </c>
      <c r="BW224" s="472"/>
      <c r="BX224" s="473">
        <f t="shared" ca="1" si="217"/>
        <v>104364.83615648501</v>
      </c>
      <c r="BY224" s="473">
        <f t="shared" si="218"/>
        <v>0</v>
      </c>
      <c r="BZ224" s="473">
        <f t="shared" ca="1" si="192"/>
        <v>238.437905661</v>
      </c>
      <c r="CA224" s="476">
        <f t="shared" ca="1" si="219"/>
        <v>0</v>
      </c>
      <c r="CB224" s="494">
        <f ca="1">IF(OR($Q223&lt;&gt;1,OP!$D$5+$BN224-1&lt;16,$BN224-1&lt;1),0,ROUND(ROUND(ROUND(((VLOOKUP($BN224-1,MORE_PV,5,0)/10000)*VLOOKUP($BN224,MORE_PV,$CB$5,0)),3)*VLOOKUP($BN224,more1,5,0),0)/$R223,0))</f>
        <v>0</v>
      </c>
      <c r="CC224" s="473">
        <f t="shared" ca="1" si="220"/>
        <v>0</v>
      </c>
      <c r="CD224" s="477"/>
      <c r="CE224" s="468">
        <f t="shared" si="236"/>
        <v>18</v>
      </c>
      <c r="CF224" s="468">
        <f t="shared" si="237"/>
        <v>11</v>
      </c>
      <c r="CG224" s="467">
        <f t="shared" ca="1" si="193"/>
        <v>49431</v>
      </c>
      <c r="CH224" s="475">
        <f t="shared" ca="1" si="241"/>
        <v>50</v>
      </c>
      <c r="CI224" s="513" t="str">
        <f t="shared" si="238"/>
        <v/>
      </c>
      <c r="CJ224" s="511">
        <f t="shared" si="221"/>
        <v>0</v>
      </c>
      <c r="CK224" s="512">
        <f t="shared" si="222"/>
        <v>0</v>
      </c>
      <c r="CL224" s="511">
        <f t="shared" ca="1" si="239"/>
        <v>0</v>
      </c>
      <c r="CM224" s="511">
        <f ca="1">ROUND(CS224-IF(OR($CE224&gt;=OP!$C$24,AND(CH224=15,CF224=12),CS224=0),0,(CT224-CR224)),$CM$7)</f>
        <v>0</v>
      </c>
      <c r="CN224" s="511"/>
      <c r="CO224" s="351">
        <f t="shared" ca="1" si="223"/>
        <v>135010</v>
      </c>
      <c r="CP224" s="473">
        <f t="shared" si="224"/>
        <v>0</v>
      </c>
      <c r="CQ224" s="473">
        <f t="shared" ca="1" si="194"/>
        <v>308.45160907500002</v>
      </c>
      <c r="CR224" s="476">
        <f t="shared" ca="1" si="225"/>
        <v>0</v>
      </c>
      <c r="CS224" s="494">
        <f ca="1">IF(OR($Q223&lt;&gt;1,OP!$D$5+$CE224-1&lt;16,$CE224-1&lt;1),0,ROUND(ROUND(ROUND(((VLOOKUP($CE224-1,MORE_PV,5,0)/10000)*VLOOKUP($CE224,MORE_PV,$CS$5,0)),3)*VLOOKUP($CE224,more1,5,0),0)/$R223,0))</f>
        <v>0</v>
      </c>
      <c r="CT224" s="473">
        <f>IF($AW224=1,IF(N($CR224+$CS224)&lt;N($AX224)*OP!$C$50,N($CR224+$CS224),MIN(N($CR224+$CS224),N($AX224))),0)</f>
        <v>0</v>
      </c>
      <c r="CV224" s="503">
        <f t="shared" ca="1" si="226"/>
        <v>135009.687225831</v>
      </c>
      <c r="CW224" s="503">
        <f t="shared" ca="1" si="227"/>
        <v>0</v>
      </c>
      <c r="CX224" s="503">
        <f t="shared" ca="1" si="228"/>
        <v>135308.16609791401</v>
      </c>
    </row>
    <row r="225" spans="2:102" ht="16.5" hidden="1">
      <c r="B225" s="80"/>
      <c r="C225" s="80"/>
      <c r="D225" s="80"/>
      <c r="E225" s="80"/>
      <c r="F225" s="80"/>
      <c r="G225" s="80"/>
      <c r="H225" s="80"/>
      <c r="I225" s="80"/>
      <c r="J225" s="192">
        <f t="shared" si="195"/>
        <v>19</v>
      </c>
      <c r="K225" s="192">
        <f t="shared" si="196"/>
        <v>1</v>
      </c>
      <c r="L225" s="192" t="str">
        <f t="shared" si="189"/>
        <v/>
      </c>
      <c r="M225" s="216">
        <f t="shared" ca="1" si="197"/>
        <v>0</v>
      </c>
      <c r="N225" s="216"/>
      <c r="O225" s="216"/>
      <c r="P225" s="216"/>
      <c r="Q225" s="456" t="str">
        <f t="shared" ca="1" si="198"/>
        <v/>
      </c>
      <c r="R225" s="450">
        <f t="shared" ca="1" si="199"/>
        <v>1</v>
      </c>
      <c r="S225" s="191">
        <f t="shared" si="242"/>
        <v>19</v>
      </c>
      <c r="T225" s="191">
        <f t="shared" si="243"/>
        <v>1</v>
      </c>
      <c r="U225" s="191">
        <f ca="1">OP!$D$5+$S225-1</f>
        <v>51</v>
      </c>
      <c r="V225" s="191" t="str">
        <f t="shared" si="244"/>
        <v/>
      </c>
      <c r="W225" s="350">
        <f ca="1">IF(Q225&lt;&gt;1,0,VLOOKUP(OP!$C$55,PVFB,$S225+2,0))</f>
        <v>0</v>
      </c>
      <c r="X225" s="473">
        <f t="shared" ca="1" si="229"/>
        <v>0</v>
      </c>
      <c r="Y225" s="348">
        <f t="shared" ca="1" si="230"/>
        <v>0</v>
      </c>
      <c r="Z225" s="348">
        <f t="shared" ca="1" si="245"/>
        <v>8012</v>
      </c>
      <c r="AA225" s="348">
        <f ca="1">IF(Q225&lt;&gt;1,0,VLOOKUP(OP!$C$55,PVFB,$S225+2,0))</f>
        <v>0</v>
      </c>
      <c r="AB225" s="488" t="str">
        <f ca="1">IF(AND(S225&lt;OP!$C$24,$U225&lt;15),0,IF(AND($U225&lt;15,$T225=12),ROUND(VLOOKUP($S225,DOWN16,5,0),3),IF($T225=12,ROUND(($Z225/10000)*$AA225,3)+IF(AND($P$7="購買增額繳清保險",T225=12,U225=110),VLOOKUP(S225,$B$10:$H$121,7,0),0),"")))</f>
        <v/>
      </c>
      <c r="AC225" s="350" t="str">
        <f ca="1">IF(AND(S225&lt;OP!$C$24,$U225&lt;15),0,IF(AND($U225&lt;16,$T225=12),VLOOKUP($S225,DOWN16,4,0),IF($T225=12,ROUND(VLOOKUP(OP!$C$55,_DIE2,$S225+1,0)*(Z225/10000),0)+IF(AND($P$7="購買增額繳清保險",T225=12,U225=110),VLOOKUP(S225,$B$10:$H$121,7,0),0),"")))</f>
        <v/>
      </c>
      <c r="AD225" s="347"/>
      <c r="AE225" s="350" t="str">
        <f t="shared" ca="1" si="246"/>
        <v/>
      </c>
      <c r="AF225" s="351" t="str">
        <f t="shared" ca="1" si="247"/>
        <v/>
      </c>
      <c r="AG225" s="340"/>
      <c r="AH225" s="340"/>
      <c r="AI225" s="340"/>
      <c r="AJ225" s="340"/>
      <c r="AK225" s="340"/>
      <c r="AL225" s="340"/>
      <c r="AM225" s="340"/>
      <c r="AN225" s="340"/>
      <c r="AO225" s="340"/>
      <c r="AP225" s="340"/>
      <c r="AQ225" s="340"/>
      <c r="AR225" s="340"/>
      <c r="AS225" s="340"/>
      <c r="AT225" s="340"/>
      <c r="AU225" s="340"/>
      <c r="AV225" s="340"/>
      <c r="AY225" s="340"/>
      <c r="AZ225" s="465">
        <f t="shared" ca="1" si="209"/>
        <v>7.3698599999999999E-5</v>
      </c>
      <c r="BA225" s="464">
        <f t="shared" ca="1" si="210"/>
        <v>2.1372602999999999E-3</v>
      </c>
      <c r="BB225" s="465">
        <f t="shared" ca="1" si="210"/>
        <v>2.2109589000000002E-3</v>
      </c>
      <c r="BC225" s="466">
        <f t="shared" ca="1" si="211"/>
        <v>49461</v>
      </c>
      <c r="BD225" s="467">
        <f t="shared" ca="1" si="232"/>
        <v>49462</v>
      </c>
      <c r="BE225" s="467">
        <f t="shared" ca="1" si="212"/>
        <v>49490</v>
      </c>
      <c r="BF225" s="468">
        <f ca="1">IF(計算!$BC225&lt;OP!$C$3,0,BD225-BC225)</f>
        <v>1</v>
      </c>
      <c r="BG225" s="468">
        <f ca="1">IF($BE225&gt;DATE(YEAR($BD$9)+OP!$C$57,MONTH($BD$9),DAY($BD$9)),0,$BE225-$BD225+1)</f>
        <v>29</v>
      </c>
      <c r="BH225" s="469">
        <f t="shared" ca="1" si="213"/>
        <v>30</v>
      </c>
      <c r="BI225">
        <f t="shared" ca="1" si="248"/>
        <v>365</v>
      </c>
      <c r="BJ225">
        <v>12</v>
      </c>
      <c r="BN225" s="468">
        <f t="shared" si="233"/>
        <v>18</v>
      </c>
      <c r="BO225" s="468">
        <f t="shared" si="234"/>
        <v>12</v>
      </c>
      <c r="BP225" s="467">
        <f t="shared" ca="1" si="214"/>
        <v>49462</v>
      </c>
      <c r="BQ225" s="475">
        <f t="shared" ca="1" si="240"/>
        <v>50</v>
      </c>
      <c r="BR225" s="475">
        <f t="shared" si="235"/>
        <v>18</v>
      </c>
      <c r="BS225" s="471">
        <f t="shared" ca="1" si="215"/>
        <v>9112</v>
      </c>
      <c r="BT225" s="472">
        <f t="shared" ca="1" si="249"/>
        <v>113724</v>
      </c>
      <c r="BU225" s="472">
        <f t="shared" ca="1" si="216"/>
        <v>8902</v>
      </c>
      <c r="BV225" s="472">
        <f t="shared" ca="1" si="216"/>
        <v>210</v>
      </c>
      <c r="BW225" s="472">
        <f ca="1">ROUND(SUM(BY225,BZ213:BZ224),0)</f>
        <v>2773</v>
      </c>
      <c r="BX225" s="473">
        <f t="shared" ca="1" si="217"/>
        <v>113722.983177</v>
      </c>
      <c r="BY225" s="473">
        <f t="shared" ca="1" si="218"/>
        <v>7.7091148540000001</v>
      </c>
      <c r="BZ225" s="473">
        <f t="shared" ca="1" si="192"/>
        <v>243.05561714199999</v>
      </c>
      <c r="CA225" s="476">
        <f t="shared" ca="1" si="219"/>
        <v>8902</v>
      </c>
      <c r="CB225" s="494">
        <f ca="1">IF(OR($Q224&lt;&gt;1,OP!$D$5+$BN225-1&lt;16,$BN225-1&lt;1),0,ROUND(ROUND(ROUND(((VLOOKUP($BN225-1,MORE_PV,5,0)/10000)*VLOOKUP($BN225,MORE_PV,$CB$5,0)),3)*VLOOKUP($BN225,more1,5,0),0)/$R224,0))</f>
        <v>210</v>
      </c>
      <c r="CC225" s="473">
        <f t="shared" ca="1" si="220"/>
        <v>0</v>
      </c>
      <c r="CD225" s="477"/>
      <c r="CE225" s="468">
        <f t="shared" si="236"/>
        <v>18</v>
      </c>
      <c r="CF225" s="468">
        <f t="shared" si="237"/>
        <v>12</v>
      </c>
      <c r="CG225" s="467">
        <f t="shared" ca="1" si="193"/>
        <v>49462</v>
      </c>
      <c r="CH225" s="475">
        <f t="shared" ca="1" si="241"/>
        <v>50</v>
      </c>
      <c r="CI225" s="513">
        <f t="shared" si="238"/>
        <v>18</v>
      </c>
      <c r="CJ225" s="511">
        <f t="shared" ca="1" si="221"/>
        <v>9322</v>
      </c>
      <c r="CK225" s="512">
        <f t="shared" ca="1" si="222"/>
        <v>144220.138120324</v>
      </c>
      <c r="CL225" s="511">
        <f t="shared" ca="1" si="239"/>
        <v>9112</v>
      </c>
      <c r="CM225" s="511">
        <f ca="1">ROUND(CS225-IF(OR($CE225&gt;=OP!$C$24,AND(CH225=15,CF225=12),CS225=0),0,(CT225-CR225)),$CM$7)</f>
        <v>210</v>
      </c>
      <c r="CN225" s="511">
        <f ca="1">ROUND(SUM(CP225,CQ213:CQ224),$CN$7)</f>
        <v>3587.8327440819999</v>
      </c>
      <c r="CO225" s="351">
        <f t="shared" ca="1" si="223"/>
        <v>144220</v>
      </c>
      <c r="CP225" s="473">
        <f t="shared" ca="1" si="224"/>
        <v>9.9727804379999991</v>
      </c>
      <c r="CQ225" s="473">
        <f t="shared" ca="1" si="194"/>
        <v>308.23568046600002</v>
      </c>
      <c r="CR225" s="476">
        <f t="shared" ca="1" si="225"/>
        <v>8902</v>
      </c>
      <c r="CS225" s="494">
        <f ca="1">IF(OR($Q224&lt;&gt;1,OP!$D$5+$CE225-1&lt;16,$CE225-1&lt;1),0,ROUND(ROUND(ROUND(((VLOOKUP($CE225-1,MORE_PV,5,0)/10000)*VLOOKUP($CE225,MORE_PV,$CS$5,0)),3)*VLOOKUP($CE225,more1,5,0),0)/$R224,0))</f>
        <v>210</v>
      </c>
      <c r="CT225" s="473">
        <f>IF($AW225=1,IF(N($CR225+$CS225)&lt;N($AX225)*OP!$C$50,N($CR225+$CS225),MIN(N($CR225+$CS225),N($AX225))),0)</f>
        <v>0</v>
      </c>
      <c r="CV225" s="503">
        <f t="shared" ca="1" si="226"/>
        <v>144220.138120324</v>
      </c>
      <c r="CW225" s="503">
        <f t="shared" ca="1" si="227"/>
        <v>8921.0258911910005</v>
      </c>
      <c r="CX225" s="503">
        <f t="shared" ca="1" si="228"/>
        <v>144528.352783182</v>
      </c>
    </row>
    <row r="226" spans="2:102" ht="16.5" hidden="1">
      <c r="B226" s="80"/>
      <c r="C226" s="80"/>
      <c r="D226" s="80"/>
      <c r="E226" s="80"/>
      <c r="F226" s="80"/>
      <c r="G226" s="80"/>
      <c r="H226" s="80"/>
      <c r="I226" s="80"/>
      <c r="J226" s="192">
        <f t="shared" si="195"/>
        <v>19</v>
      </c>
      <c r="K226" s="192">
        <f t="shared" si="196"/>
        <v>2</v>
      </c>
      <c r="L226" s="192" t="str">
        <f t="shared" si="189"/>
        <v/>
      </c>
      <c r="M226" s="216">
        <f t="shared" ca="1" si="197"/>
        <v>0</v>
      </c>
      <c r="N226" s="216"/>
      <c r="O226" s="216"/>
      <c r="P226" s="216"/>
      <c r="Q226" s="456" t="str">
        <f t="shared" ca="1" si="198"/>
        <v/>
      </c>
      <c r="R226" s="450">
        <f t="shared" ca="1" si="199"/>
        <v>1</v>
      </c>
      <c r="S226" s="191">
        <f t="shared" si="242"/>
        <v>19</v>
      </c>
      <c r="T226" s="191">
        <f t="shared" si="243"/>
        <v>2</v>
      </c>
      <c r="U226" s="191">
        <f ca="1">OP!$D$5+$S226-1</f>
        <v>51</v>
      </c>
      <c r="V226" s="191" t="str">
        <f t="shared" si="244"/>
        <v/>
      </c>
      <c r="W226" s="350">
        <f ca="1">IF(Q226&lt;&gt;1,0,VLOOKUP(OP!$C$55,PVFB,$S226+2,0))</f>
        <v>0</v>
      </c>
      <c r="X226" s="473">
        <f t="shared" ca="1" si="229"/>
        <v>0</v>
      </c>
      <c r="Y226" s="348">
        <f t="shared" ca="1" si="230"/>
        <v>0</v>
      </c>
      <c r="Z226" s="348">
        <f t="shared" ca="1" si="245"/>
        <v>8012</v>
      </c>
      <c r="AA226" s="348">
        <f ca="1">IF(Q226&lt;&gt;1,0,VLOOKUP(OP!$C$55,PVFB,$S226+2,0))</f>
        <v>0</v>
      </c>
      <c r="AB226" s="488" t="str">
        <f ca="1">IF(AND(S226&lt;OP!$C$24,$U226&lt;15),0,IF(AND($U226&lt;15,$T226=12),ROUND(VLOOKUP($S226,DOWN16,5,0),3),IF($T226=12,ROUND(($Z226/10000)*$AA226,3)+IF(AND($P$7="購買增額繳清保險",T226=12,U226=110),VLOOKUP(S226,$B$10:$H$121,7,0),0),"")))</f>
        <v/>
      </c>
      <c r="AC226" s="350" t="str">
        <f ca="1">IF(AND(S226&lt;OP!$C$24,$U226&lt;15),0,IF(AND($U226&lt;16,$T226=12),VLOOKUP($S226,DOWN16,4,0),IF($T226=12,ROUND(VLOOKUP(OP!$C$55,_DIE2,$S226+1,0)*(Z226/10000),0)+IF(AND($P$7="購買增額繳清保險",T226=12,U226=110),VLOOKUP(S226,$B$10:$H$121,7,0),0),"")))</f>
        <v/>
      </c>
      <c r="AD226" s="347"/>
      <c r="AE226" s="350" t="str">
        <f t="shared" ca="1" si="246"/>
        <v/>
      </c>
      <c r="AF226" s="351" t="str">
        <f t="shared" ca="1" si="247"/>
        <v/>
      </c>
      <c r="AG226" s="340"/>
      <c r="AH226" s="340"/>
      <c r="AI226" s="340"/>
      <c r="AJ226" s="340"/>
      <c r="AK226" s="340"/>
      <c r="AL226" s="340"/>
      <c r="AM226" s="340"/>
      <c r="AN226" s="340"/>
      <c r="AO226" s="340"/>
      <c r="AP226" s="340"/>
      <c r="AQ226" s="340"/>
      <c r="AR226" s="340"/>
      <c r="AS226" s="340"/>
      <c r="AT226" s="340"/>
      <c r="AU226" s="340"/>
      <c r="AV226" s="340"/>
      <c r="AY226" s="340"/>
      <c r="AZ226" s="465">
        <f t="shared" ca="1" si="209"/>
        <v>7.3698599999999999E-5</v>
      </c>
      <c r="BA226" s="464">
        <f t="shared" ca="1" si="210"/>
        <v>2.2109589000000002E-3</v>
      </c>
      <c r="BB226" s="465">
        <f t="shared" ca="1" si="210"/>
        <v>2.2846575E-3</v>
      </c>
      <c r="BC226" s="466">
        <f t="shared" ca="1" si="211"/>
        <v>49491</v>
      </c>
      <c r="BD226" s="467">
        <f t="shared" ca="1" si="232"/>
        <v>49492</v>
      </c>
      <c r="BE226" s="467">
        <f t="shared" ca="1" si="212"/>
        <v>49521</v>
      </c>
      <c r="BF226" s="468">
        <f ca="1">IF(計算!$BC226&lt;OP!$C$3,0,BD226-BC226)</f>
        <v>1</v>
      </c>
      <c r="BG226" s="468">
        <f ca="1">IF($BE226&gt;DATE(YEAR($BD$9)+OP!$C$57,MONTH($BD$9),DAY($BD$9)),0,$BE226-$BD226+1)</f>
        <v>30</v>
      </c>
      <c r="BH226" s="469">
        <f t="shared" ca="1" si="213"/>
        <v>31</v>
      </c>
      <c r="BI226" t="str">
        <f t="shared" si="248"/>
        <v/>
      </c>
      <c r="BJ226">
        <v>1</v>
      </c>
      <c r="BN226" s="468">
        <f t="shared" si="233"/>
        <v>19</v>
      </c>
      <c r="BO226" s="468">
        <f t="shared" si="234"/>
        <v>1</v>
      </c>
      <c r="BP226" s="467">
        <f t="shared" ca="1" si="214"/>
        <v>49492</v>
      </c>
      <c r="BQ226" s="475">
        <f t="shared" ca="1" si="240"/>
        <v>51</v>
      </c>
      <c r="BR226" s="475" t="str">
        <f t="shared" si="235"/>
        <v/>
      </c>
      <c r="BS226" s="471" t="str">
        <f t="shared" si="215"/>
        <v/>
      </c>
      <c r="BT226" s="472" t="str">
        <f t="shared" si="249"/>
        <v/>
      </c>
      <c r="BU226" s="472">
        <f t="shared" ca="1" si="216"/>
        <v>0</v>
      </c>
      <c r="BV226" s="472">
        <f t="shared" ca="1" si="216"/>
        <v>0</v>
      </c>
      <c r="BW226" s="472"/>
      <c r="BX226" s="473">
        <f t="shared" ca="1" si="217"/>
        <v>113966.038794142</v>
      </c>
      <c r="BY226" s="473">
        <f t="shared" si="218"/>
        <v>0</v>
      </c>
      <c r="BZ226" s="473">
        <f t="shared" ca="1" si="192"/>
        <v>260.37336527600002</v>
      </c>
      <c r="CA226" s="476">
        <f t="shared" ca="1" si="219"/>
        <v>0</v>
      </c>
      <c r="CB226" s="494">
        <f ca="1">IF(OR($Q225&lt;&gt;1,OP!$D$5+$BN226-1&lt;16,$BN226-1&lt;1),0,ROUND(ROUND(ROUND(((VLOOKUP($BN226-1,MORE_PV,5,0)/10000)*VLOOKUP($BN226,MORE_PV,$CB$5,0)),3)*VLOOKUP($BN226,more1,5,0),0)/$R225,0))</f>
        <v>0</v>
      </c>
      <c r="CC226" s="473">
        <f t="shared" ca="1" si="220"/>
        <v>0</v>
      </c>
      <c r="CD226" s="477"/>
    </row>
    <row r="227" spans="2:102" ht="16.5" hidden="1">
      <c r="B227" s="80"/>
      <c r="C227" s="80"/>
      <c r="D227" s="80"/>
      <c r="E227" s="80"/>
      <c r="F227" s="80"/>
      <c r="G227" s="80"/>
      <c r="H227" s="80"/>
      <c r="I227" s="80"/>
      <c r="J227" s="192">
        <f t="shared" si="195"/>
        <v>19</v>
      </c>
      <c r="K227" s="192">
        <f t="shared" si="196"/>
        <v>3</v>
      </c>
      <c r="L227" s="192" t="str">
        <f t="shared" si="189"/>
        <v/>
      </c>
      <c r="M227" s="216">
        <f t="shared" ca="1" si="197"/>
        <v>0</v>
      </c>
      <c r="N227" s="216"/>
      <c r="O227" s="216"/>
      <c r="P227" s="216"/>
      <c r="Q227" s="456" t="str">
        <f t="shared" ca="1" si="198"/>
        <v/>
      </c>
      <c r="R227" s="450">
        <f t="shared" ca="1" si="199"/>
        <v>1</v>
      </c>
      <c r="S227" s="191">
        <f t="shared" si="242"/>
        <v>19</v>
      </c>
      <c r="T227" s="191">
        <f t="shared" si="243"/>
        <v>3</v>
      </c>
      <c r="U227" s="191">
        <f ca="1">OP!$D$5+$S227-1</f>
        <v>51</v>
      </c>
      <c r="V227" s="191" t="str">
        <f t="shared" si="244"/>
        <v/>
      </c>
      <c r="W227" s="350">
        <f ca="1">IF(Q227&lt;&gt;1,0,VLOOKUP(OP!$C$55,PVFB,$S227+2,0))</f>
        <v>0</v>
      </c>
      <c r="X227" s="473">
        <f t="shared" ca="1" si="229"/>
        <v>0</v>
      </c>
      <c r="Y227" s="348">
        <f t="shared" ca="1" si="230"/>
        <v>0</v>
      </c>
      <c r="Z227" s="348">
        <f t="shared" ca="1" si="245"/>
        <v>8012</v>
      </c>
      <c r="AA227" s="348">
        <f ca="1">IF(Q227&lt;&gt;1,0,VLOOKUP(OP!$C$55,PVFB,$S227+2,0))</f>
        <v>0</v>
      </c>
      <c r="AB227" s="488" t="str">
        <f ca="1">IF(AND(S227&lt;OP!$C$24,$U227&lt;15),0,IF(AND($U227&lt;15,$T227=12),ROUND(VLOOKUP($S227,DOWN16,5,0),3),IF($T227=12,ROUND(($Z227/10000)*$AA227,3)+IF(AND($P$7="購買增額繳清保險",T227=12,U227=110),VLOOKUP(S227,$B$10:$H$121,7,0),0),"")))</f>
        <v/>
      </c>
      <c r="AC227" s="350" t="str">
        <f ca="1">IF(AND(S227&lt;OP!$C$24,$U227&lt;15),0,IF(AND($U227&lt;16,$T227=12),VLOOKUP($S227,DOWN16,4,0),IF($T227=12,ROUND(VLOOKUP(OP!$C$55,_DIE2,$S227+1,0)*(Z227/10000),0)+IF(AND($P$7="購買增額繳清保險",T227=12,U227=110),VLOOKUP(S227,$B$10:$H$121,7,0),0),"")))</f>
        <v/>
      </c>
      <c r="AD227" s="347"/>
      <c r="AE227" s="350" t="str">
        <f t="shared" ca="1" si="246"/>
        <v/>
      </c>
      <c r="AF227" s="351" t="str">
        <f t="shared" ca="1" si="247"/>
        <v/>
      </c>
      <c r="AG227" s="340"/>
      <c r="AH227" s="340"/>
      <c r="AI227" s="340"/>
      <c r="AJ227" s="340"/>
      <c r="AK227" s="340"/>
      <c r="AL227" s="340"/>
      <c r="AM227" s="340"/>
      <c r="AN227" s="340"/>
      <c r="AO227" s="340"/>
      <c r="AP227" s="340"/>
      <c r="AQ227" s="340"/>
      <c r="AR227" s="340"/>
      <c r="AS227" s="340"/>
      <c r="AT227" s="340"/>
      <c r="AU227" s="340"/>
      <c r="AV227" s="340"/>
      <c r="AY227" s="340"/>
      <c r="AZ227" s="465">
        <f t="shared" ca="1" si="209"/>
        <v>7.3698599999999999E-5</v>
      </c>
      <c r="BA227" s="464">
        <f t="shared" ca="1" si="210"/>
        <v>2.2109589000000002E-3</v>
      </c>
      <c r="BB227" s="465">
        <f t="shared" ca="1" si="210"/>
        <v>2.2846575E-3</v>
      </c>
      <c r="BC227" s="466">
        <f t="shared" ca="1" si="211"/>
        <v>49522</v>
      </c>
      <c r="BD227" s="467">
        <f t="shared" ca="1" si="232"/>
        <v>49523</v>
      </c>
      <c r="BE227" s="467">
        <f t="shared" ca="1" si="212"/>
        <v>49552</v>
      </c>
      <c r="BF227" s="468">
        <f ca="1">IF(計算!$BC227&lt;OP!$C$3,0,BD227-BC227)</f>
        <v>1</v>
      </c>
      <c r="BG227" s="468">
        <f ca="1">IF($BE227&gt;DATE(YEAR($BD$9)+OP!$C$57,MONTH($BD$9),DAY($BD$9)),0,$BE227-$BD227+1)</f>
        <v>30</v>
      </c>
      <c r="BH227" s="469">
        <f t="shared" ca="1" si="213"/>
        <v>31</v>
      </c>
      <c r="BI227" t="str">
        <f t="shared" si="248"/>
        <v/>
      </c>
      <c r="BJ227">
        <v>2</v>
      </c>
      <c r="BN227" s="468">
        <f t="shared" si="233"/>
        <v>19</v>
      </c>
      <c r="BO227" s="468">
        <f t="shared" si="234"/>
        <v>2</v>
      </c>
      <c r="BP227" s="467">
        <f t="shared" ca="1" si="214"/>
        <v>49523</v>
      </c>
      <c r="BQ227" s="475">
        <f t="shared" ca="1" si="240"/>
        <v>51</v>
      </c>
      <c r="BR227" s="475" t="str">
        <f t="shared" si="235"/>
        <v/>
      </c>
      <c r="BS227" s="471" t="str">
        <f t="shared" si="215"/>
        <v/>
      </c>
      <c r="BT227" s="472" t="str">
        <f t="shared" si="249"/>
        <v/>
      </c>
      <c r="BU227" s="472">
        <f t="shared" ca="1" si="216"/>
        <v>0</v>
      </c>
      <c r="BV227" s="472">
        <f t="shared" ca="1" si="216"/>
        <v>0</v>
      </c>
      <c r="BW227" s="472"/>
      <c r="BX227" s="473">
        <f t="shared" ca="1" si="217"/>
        <v>114226.412159418</v>
      </c>
      <c r="BY227" s="473">
        <f t="shared" si="218"/>
        <v>0</v>
      </c>
      <c r="BZ227" s="473">
        <f t="shared" ca="1" si="192"/>
        <v>260.96822923799999</v>
      </c>
      <c r="CA227" s="476">
        <f t="shared" ca="1" si="219"/>
        <v>0</v>
      </c>
      <c r="CB227" s="494">
        <f ca="1">IF(OR($Q226&lt;&gt;1,OP!$D$5+$BN227-1&lt;16,$BN227-1&lt;1),0,ROUND(ROUND(ROUND(((VLOOKUP($BN227-1,MORE_PV,5,0)/10000)*VLOOKUP($BN227,MORE_PV,$CB$5,0)),3)*VLOOKUP($BN227,more1,5,0),0)/$R226,0))</f>
        <v>0</v>
      </c>
      <c r="CC227" s="473">
        <f t="shared" ca="1" si="220"/>
        <v>0</v>
      </c>
      <c r="CD227" s="477"/>
    </row>
    <row r="228" spans="2:102" ht="16.5" hidden="1">
      <c r="B228" s="80"/>
      <c r="C228" s="80"/>
      <c r="D228" s="80"/>
      <c r="E228" s="80"/>
      <c r="F228" s="80"/>
      <c r="G228" s="80"/>
      <c r="H228" s="80"/>
      <c r="I228" s="80"/>
      <c r="J228" s="192">
        <f t="shared" si="195"/>
        <v>19</v>
      </c>
      <c r="K228" s="192">
        <f t="shared" si="196"/>
        <v>4</v>
      </c>
      <c r="L228" s="192" t="str">
        <f t="shared" si="189"/>
        <v/>
      </c>
      <c r="M228" s="216">
        <f t="shared" ca="1" si="197"/>
        <v>0</v>
      </c>
      <c r="N228" s="216"/>
      <c r="O228" s="216"/>
      <c r="P228" s="216"/>
      <c r="Q228" s="456" t="str">
        <f t="shared" ca="1" si="198"/>
        <v/>
      </c>
      <c r="R228" s="450">
        <f t="shared" ca="1" si="199"/>
        <v>1</v>
      </c>
      <c r="S228" s="191">
        <f t="shared" si="242"/>
        <v>19</v>
      </c>
      <c r="T228" s="191">
        <f t="shared" si="243"/>
        <v>4</v>
      </c>
      <c r="U228" s="191">
        <f ca="1">OP!$D$5+$S228-1</f>
        <v>51</v>
      </c>
      <c r="V228" s="191" t="str">
        <f t="shared" si="244"/>
        <v/>
      </c>
      <c r="W228" s="350">
        <f ca="1">IF(Q228&lt;&gt;1,0,VLOOKUP(OP!$C$55,PVFB,$S228+2,0))</f>
        <v>0</v>
      </c>
      <c r="X228" s="473">
        <f t="shared" ca="1" si="229"/>
        <v>0</v>
      </c>
      <c r="Y228" s="348">
        <f t="shared" ca="1" si="230"/>
        <v>0</v>
      </c>
      <c r="Z228" s="348">
        <f t="shared" ca="1" si="245"/>
        <v>8012</v>
      </c>
      <c r="AA228" s="348">
        <f ca="1">IF(Q228&lt;&gt;1,0,VLOOKUP(OP!$C$55,PVFB,$S228+2,0))</f>
        <v>0</v>
      </c>
      <c r="AB228" s="488" t="str">
        <f ca="1">IF(AND(S228&lt;OP!$C$24,$U228&lt;15),0,IF(AND($U228&lt;15,$T228=12),ROUND(VLOOKUP($S228,DOWN16,5,0),3),IF($T228=12,ROUND(($Z228/10000)*$AA228,3)+IF(AND($P$7="購買增額繳清保險",T228=12,U228=110),VLOOKUP(S228,$B$10:$H$121,7,0),0),"")))</f>
        <v/>
      </c>
      <c r="AC228" s="350" t="str">
        <f ca="1">IF(AND(S228&lt;OP!$C$24,$U228&lt;15),0,IF(AND($U228&lt;16,$T228=12),VLOOKUP($S228,DOWN16,4,0),IF($T228=12,ROUND(VLOOKUP(OP!$C$55,_DIE2,$S228+1,0)*(Z228/10000),0)+IF(AND($P$7="購買增額繳清保險",T228=12,U228=110),VLOOKUP(S228,$B$10:$H$121,7,0),0),"")))</f>
        <v/>
      </c>
      <c r="AD228" s="347"/>
      <c r="AE228" s="350" t="str">
        <f t="shared" ca="1" si="246"/>
        <v/>
      </c>
      <c r="AF228" s="351" t="str">
        <f t="shared" ca="1" si="247"/>
        <v/>
      </c>
      <c r="AG228" s="340"/>
      <c r="AH228" s="340"/>
      <c r="AI228" s="340"/>
      <c r="AJ228" s="340"/>
      <c r="AK228" s="340"/>
      <c r="AL228" s="340"/>
      <c r="AM228" s="340"/>
      <c r="AN228" s="340"/>
      <c r="AO228" s="340"/>
      <c r="AP228" s="340"/>
      <c r="AQ228" s="340"/>
      <c r="AR228" s="340"/>
      <c r="AS228" s="340"/>
      <c r="AT228" s="340"/>
      <c r="AU228" s="340"/>
      <c r="AV228" s="340"/>
      <c r="AY228" s="340"/>
      <c r="AZ228" s="465">
        <f t="shared" ca="1" si="209"/>
        <v>7.3698599999999999E-5</v>
      </c>
      <c r="BA228" s="464">
        <f t="shared" ca="1" si="210"/>
        <v>2.1372602999999999E-3</v>
      </c>
      <c r="BB228" s="465">
        <f t="shared" ca="1" si="210"/>
        <v>2.2109589000000002E-3</v>
      </c>
      <c r="BC228" s="466">
        <f t="shared" ca="1" si="211"/>
        <v>49553</v>
      </c>
      <c r="BD228" s="467">
        <f t="shared" ca="1" si="232"/>
        <v>49554</v>
      </c>
      <c r="BE228" s="467">
        <f t="shared" ca="1" si="212"/>
        <v>49582</v>
      </c>
      <c r="BF228" s="468">
        <f ca="1">IF(計算!$BC228&lt;OP!$C$3,0,BD228-BC228)</f>
        <v>1</v>
      </c>
      <c r="BG228" s="468">
        <f ca="1">IF($BE228&gt;DATE(YEAR($BD$9)+OP!$C$57,MONTH($BD$9),DAY($BD$9)),0,$BE228-$BD228+1)</f>
        <v>29</v>
      </c>
      <c r="BH228" s="469">
        <f t="shared" ca="1" si="213"/>
        <v>30</v>
      </c>
      <c r="BI228" t="str">
        <f t="shared" si="248"/>
        <v/>
      </c>
      <c r="BJ228">
        <v>3</v>
      </c>
      <c r="BN228" s="468">
        <f t="shared" si="233"/>
        <v>19</v>
      </c>
      <c r="BO228" s="468">
        <f t="shared" si="234"/>
        <v>3</v>
      </c>
      <c r="BP228" s="467">
        <f t="shared" ca="1" si="214"/>
        <v>49554</v>
      </c>
      <c r="BQ228" s="475">
        <f t="shared" ca="1" si="240"/>
        <v>51</v>
      </c>
      <c r="BR228" s="475" t="str">
        <f t="shared" si="235"/>
        <v/>
      </c>
      <c r="BS228" s="471" t="str">
        <f t="shared" si="215"/>
        <v/>
      </c>
      <c r="BT228" s="472" t="str">
        <f t="shared" si="249"/>
        <v/>
      </c>
      <c r="BU228" s="472">
        <f t="shared" ca="1" si="216"/>
        <v>0</v>
      </c>
      <c r="BV228" s="472">
        <f t="shared" ca="1" si="216"/>
        <v>0</v>
      </c>
      <c r="BW228" s="472"/>
      <c r="BX228" s="473">
        <f t="shared" ca="1" si="217"/>
        <v>114487.38038865601</v>
      </c>
      <c r="BY228" s="473">
        <f t="shared" si="218"/>
        <v>0</v>
      </c>
      <c r="BZ228" s="473">
        <f t="shared" ca="1" si="192"/>
        <v>253.12689260799999</v>
      </c>
      <c r="CA228" s="476">
        <f t="shared" ca="1" si="219"/>
        <v>0</v>
      </c>
      <c r="CB228" s="494">
        <f ca="1">IF(OR($Q227&lt;&gt;1,OP!$D$5+$BN228-1&lt;16,$BN228-1&lt;1),0,ROUND(ROUND(ROUND(((VLOOKUP($BN228-1,MORE_PV,5,0)/10000)*VLOOKUP($BN228,MORE_PV,$CB$5,0)),3)*VLOOKUP($BN228,more1,5,0),0)/$R227,0))</f>
        <v>0</v>
      </c>
      <c r="CC228" s="473">
        <f t="shared" ca="1" si="220"/>
        <v>0</v>
      </c>
      <c r="CD228" s="477"/>
    </row>
    <row r="229" spans="2:102" ht="16.5" hidden="1">
      <c r="B229" s="80"/>
      <c r="C229" s="80"/>
      <c r="D229" s="80"/>
      <c r="E229" s="80"/>
      <c r="F229" s="80"/>
      <c r="G229" s="80"/>
      <c r="H229" s="80"/>
      <c r="I229" s="80"/>
      <c r="J229" s="192">
        <f t="shared" si="195"/>
        <v>19</v>
      </c>
      <c r="K229" s="192">
        <f t="shared" si="196"/>
        <v>5</v>
      </c>
      <c r="L229" s="192" t="str">
        <f t="shared" si="189"/>
        <v/>
      </c>
      <c r="M229" s="216">
        <f t="shared" ca="1" si="197"/>
        <v>0</v>
      </c>
      <c r="N229" s="216"/>
      <c r="O229" s="216"/>
      <c r="P229" s="216"/>
      <c r="Q229" s="456" t="str">
        <f t="shared" ca="1" si="198"/>
        <v/>
      </c>
      <c r="R229" s="450">
        <f t="shared" ca="1" si="199"/>
        <v>1</v>
      </c>
      <c r="S229" s="191">
        <f t="shared" si="242"/>
        <v>19</v>
      </c>
      <c r="T229" s="191">
        <f t="shared" si="243"/>
        <v>5</v>
      </c>
      <c r="U229" s="191">
        <f ca="1">OP!$D$5+$S229-1</f>
        <v>51</v>
      </c>
      <c r="V229" s="191" t="str">
        <f t="shared" si="244"/>
        <v/>
      </c>
      <c r="W229" s="350">
        <f ca="1">IF(Q229&lt;&gt;1,0,VLOOKUP(OP!$C$55,PVFB,$S229+2,0))</f>
        <v>0</v>
      </c>
      <c r="X229" s="473">
        <f t="shared" ca="1" si="229"/>
        <v>0</v>
      </c>
      <c r="Y229" s="348">
        <f t="shared" ca="1" si="230"/>
        <v>0</v>
      </c>
      <c r="Z229" s="348">
        <f t="shared" ca="1" si="245"/>
        <v>8012</v>
      </c>
      <c r="AA229" s="348">
        <f ca="1">IF(Q229&lt;&gt;1,0,VLOOKUP(OP!$C$55,PVFB,$S229+2,0))</f>
        <v>0</v>
      </c>
      <c r="AB229" s="488" t="str">
        <f ca="1">IF(AND(S229&lt;OP!$C$24,$U229&lt;15),0,IF(AND($U229&lt;15,$T229=12),ROUND(VLOOKUP($S229,DOWN16,5,0),3),IF($T229=12,ROUND(($Z229/10000)*$AA229,3)+IF(AND($P$7="購買增額繳清保險",T229=12,U229=110),VLOOKUP(S229,$B$10:$H$121,7,0),0),"")))</f>
        <v/>
      </c>
      <c r="AC229" s="350" t="str">
        <f ca="1">IF(AND(S229&lt;OP!$C$24,$U229&lt;15),0,IF(AND($U229&lt;16,$T229=12),VLOOKUP($S229,DOWN16,4,0),IF($T229=12,ROUND(VLOOKUP(OP!$C$55,_DIE2,$S229+1,0)*(Z229/10000),0)+IF(AND($P$7="購買增額繳清保險",T229=12,U229=110),VLOOKUP(S229,$B$10:$H$121,7,0),0),"")))</f>
        <v/>
      </c>
      <c r="AD229" s="347"/>
      <c r="AE229" s="350" t="str">
        <f t="shared" ca="1" si="246"/>
        <v/>
      </c>
      <c r="AF229" s="351" t="str">
        <f t="shared" ca="1" si="247"/>
        <v/>
      </c>
      <c r="AG229" s="340"/>
      <c r="AH229" s="340"/>
      <c r="AI229" s="340"/>
      <c r="AJ229" s="340"/>
      <c r="AK229" s="340"/>
      <c r="AL229" s="340"/>
      <c r="AM229" s="340"/>
      <c r="AN229" s="340"/>
      <c r="AO229" s="340"/>
      <c r="AP229" s="340"/>
      <c r="AQ229" s="340"/>
      <c r="AR229" s="340"/>
      <c r="AS229" s="340"/>
      <c r="AT229" s="340"/>
      <c r="AU229" s="340"/>
      <c r="AV229" s="340"/>
      <c r="AY229" s="340"/>
      <c r="AZ229" s="465">
        <f t="shared" ca="1" si="209"/>
        <v>7.3698599999999999E-5</v>
      </c>
      <c r="BA229" s="464">
        <f t="shared" ca="1" si="210"/>
        <v>2.2109589000000002E-3</v>
      </c>
      <c r="BB229" s="465">
        <f t="shared" ca="1" si="210"/>
        <v>2.2846575E-3</v>
      </c>
      <c r="BC229" s="466">
        <f t="shared" ca="1" si="211"/>
        <v>49583</v>
      </c>
      <c r="BD229" s="467">
        <f t="shared" ca="1" si="232"/>
        <v>49584</v>
      </c>
      <c r="BE229" s="467">
        <f t="shared" ca="1" si="212"/>
        <v>49613</v>
      </c>
      <c r="BF229" s="468">
        <f ca="1">IF(計算!$BC229&lt;OP!$C$3,0,BD229-BC229)</f>
        <v>1</v>
      </c>
      <c r="BG229" s="468">
        <f ca="1">IF($BE229&gt;DATE(YEAR($BD$9)+OP!$C$57,MONTH($BD$9),DAY($BD$9)),0,$BE229-$BD229+1)</f>
        <v>30</v>
      </c>
      <c r="BH229" s="469">
        <f t="shared" ca="1" si="213"/>
        <v>31</v>
      </c>
      <c r="BI229" t="str">
        <f t="shared" si="248"/>
        <v/>
      </c>
      <c r="BJ229">
        <v>4</v>
      </c>
      <c r="BN229" s="468">
        <f t="shared" si="233"/>
        <v>19</v>
      </c>
      <c r="BO229" s="468">
        <f t="shared" si="234"/>
        <v>4</v>
      </c>
      <c r="BP229" s="467">
        <f t="shared" ca="1" si="214"/>
        <v>49584</v>
      </c>
      <c r="BQ229" s="475">
        <f t="shared" ca="1" si="240"/>
        <v>51</v>
      </c>
      <c r="BR229" s="475" t="str">
        <f t="shared" si="235"/>
        <v/>
      </c>
      <c r="BS229" s="471" t="str">
        <f t="shared" si="215"/>
        <v/>
      </c>
      <c r="BT229" s="472" t="str">
        <f t="shared" si="249"/>
        <v/>
      </c>
      <c r="BU229" s="472">
        <f t="shared" ca="1" si="216"/>
        <v>0</v>
      </c>
      <c r="BV229" s="472">
        <f t="shared" ca="1" si="216"/>
        <v>0</v>
      </c>
      <c r="BW229" s="472"/>
      <c r="BX229" s="473">
        <f t="shared" ca="1" si="217"/>
        <v>114740.507281264</v>
      </c>
      <c r="BY229" s="473">
        <f t="shared" si="218"/>
        <v>0</v>
      </c>
      <c r="BZ229" s="473">
        <f t="shared" ca="1" si="192"/>
        <v>262.14276051399997</v>
      </c>
      <c r="CA229" s="476">
        <f t="shared" ca="1" si="219"/>
        <v>0</v>
      </c>
      <c r="CB229" s="494">
        <f ca="1">IF(OR($Q228&lt;&gt;1,OP!$D$5+$BN229-1&lt;16,$BN229-1&lt;1),0,ROUND(ROUND(ROUND(((VLOOKUP($BN229-1,MORE_PV,5,0)/10000)*VLOOKUP($BN229,MORE_PV,$CB$5,0)),3)*VLOOKUP($BN229,more1,5,0),0)/$R228,0))</f>
        <v>0</v>
      </c>
      <c r="CC229" s="473">
        <f t="shared" ca="1" si="220"/>
        <v>0</v>
      </c>
      <c r="CD229" s="477"/>
    </row>
    <row r="230" spans="2:102" ht="16.5" hidden="1">
      <c r="B230" s="80"/>
      <c r="C230" s="80"/>
      <c r="D230" s="80"/>
      <c r="E230" s="80"/>
      <c r="F230" s="80"/>
      <c r="G230" s="80"/>
      <c r="H230" s="80"/>
      <c r="I230" s="80"/>
      <c r="J230" s="192">
        <f t="shared" si="195"/>
        <v>19</v>
      </c>
      <c r="K230" s="192">
        <f t="shared" si="196"/>
        <v>6</v>
      </c>
      <c r="L230" s="192" t="str">
        <f t="shared" si="189"/>
        <v/>
      </c>
      <c r="M230" s="216">
        <f t="shared" ca="1" si="197"/>
        <v>0</v>
      </c>
      <c r="N230" s="216"/>
      <c r="O230" s="216"/>
      <c r="P230" s="216"/>
      <c r="Q230" s="456" t="str">
        <f t="shared" ca="1" si="198"/>
        <v/>
      </c>
      <c r="R230" s="450">
        <f t="shared" ca="1" si="199"/>
        <v>1</v>
      </c>
      <c r="S230" s="191">
        <f t="shared" si="242"/>
        <v>19</v>
      </c>
      <c r="T230" s="191">
        <f t="shared" si="243"/>
        <v>6</v>
      </c>
      <c r="U230" s="191">
        <f ca="1">OP!$D$5+$S230-1</f>
        <v>51</v>
      </c>
      <c r="V230" s="191" t="str">
        <f t="shared" si="244"/>
        <v/>
      </c>
      <c r="W230" s="350">
        <f ca="1">IF(Q230&lt;&gt;1,0,VLOOKUP(OP!$C$55,PVFB,$S230+2,0))</f>
        <v>0</v>
      </c>
      <c r="X230" s="473">
        <f t="shared" ca="1" si="229"/>
        <v>0</v>
      </c>
      <c r="Y230" s="348">
        <f t="shared" ca="1" si="230"/>
        <v>0</v>
      </c>
      <c r="Z230" s="348">
        <f t="shared" ca="1" si="245"/>
        <v>8012</v>
      </c>
      <c r="AA230" s="348">
        <f ca="1">IF(Q230&lt;&gt;1,0,VLOOKUP(OP!$C$55,PVFB,$S230+2,0))</f>
        <v>0</v>
      </c>
      <c r="AB230" s="488" t="str">
        <f ca="1">IF(AND(S230&lt;OP!$C$24,$U230&lt;15),0,IF(AND($U230&lt;15,$T230=12),ROUND(VLOOKUP($S230,DOWN16,5,0),3),IF($T230=12,ROUND(($Z230/10000)*$AA230,3)+IF(AND($P$7="購買增額繳清保險",T230=12,U230=110),VLOOKUP(S230,$B$10:$H$121,7,0),0),"")))</f>
        <v/>
      </c>
      <c r="AC230" s="350" t="str">
        <f ca="1">IF(AND(S230&lt;OP!$C$24,$U230&lt;15),0,IF(AND($U230&lt;16,$T230=12),VLOOKUP($S230,DOWN16,4,0),IF($T230=12,ROUND(VLOOKUP(OP!$C$55,_DIE2,$S230+1,0)*(Z230/10000),0)+IF(AND($P$7="購買增額繳清保險",T230=12,U230=110),VLOOKUP(S230,$B$10:$H$121,7,0),0),"")))</f>
        <v/>
      </c>
      <c r="AD230" s="347"/>
      <c r="AE230" s="350" t="str">
        <f t="shared" ca="1" si="246"/>
        <v/>
      </c>
      <c r="AF230" s="351" t="str">
        <f t="shared" ca="1" si="247"/>
        <v/>
      </c>
      <c r="AG230" s="340"/>
      <c r="AH230" s="340"/>
      <c r="AI230" s="340"/>
      <c r="AJ230" s="340"/>
      <c r="AK230" s="340"/>
      <c r="AL230" s="340"/>
      <c r="AM230" s="340"/>
      <c r="AN230" s="340"/>
      <c r="AO230" s="340"/>
      <c r="AP230" s="340"/>
      <c r="AQ230" s="340"/>
      <c r="AR230" s="340"/>
      <c r="AS230" s="340"/>
      <c r="AT230" s="340"/>
      <c r="AU230" s="340"/>
      <c r="AV230" s="340"/>
      <c r="AY230" s="340"/>
      <c r="AZ230" s="465">
        <f t="shared" ca="1" si="209"/>
        <v>7.3698599999999999E-5</v>
      </c>
      <c r="BA230" s="464">
        <f t="shared" ca="1" si="210"/>
        <v>2.1372602999999999E-3</v>
      </c>
      <c r="BB230" s="465">
        <f t="shared" ca="1" si="210"/>
        <v>2.2109589000000002E-3</v>
      </c>
      <c r="BC230" s="466">
        <f t="shared" ca="1" si="211"/>
        <v>49614</v>
      </c>
      <c r="BD230" s="467">
        <f t="shared" ca="1" si="232"/>
        <v>49615</v>
      </c>
      <c r="BE230" s="467">
        <f t="shared" ca="1" si="212"/>
        <v>49643</v>
      </c>
      <c r="BF230" s="468">
        <f ca="1">IF(計算!$BC230&lt;OP!$C$3,0,BD230-BC230)</f>
        <v>1</v>
      </c>
      <c r="BG230" s="468">
        <f ca="1">IF($BE230&gt;DATE(YEAR($BD$9)+OP!$C$57,MONTH($BD$9),DAY($BD$9)),0,$BE230-$BD230+1)</f>
        <v>29</v>
      </c>
      <c r="BH230" s="469">
        <f t="shared" ca="1" si="213"/>
        <v>30</v>
      </c>
      <c r="BI230" t="str">
        <f t="shared" si="248"/>
        <v/>
      </c>
      <c r="BJ230">
        <v>5</v>
      </c>
      <c r="BN230" s="468">
        <f t="shared" si="233"/>
        <v>19</v>
      </c>
      <c r="BO230" s="468">
        <f t="shared" si="234"/>
        <v>5</v>
      </c>
      <c r="BP230" s="467">
        <f t="shared" ca="1" si="214"/>
        <v>49615</v>
      </c>
      <c r="BQ230" s="475">
        <f t="shared" ca="1" si="240"/>
        <v>51</v>
      </c>
      <c r="BR230" s="475" t="str">
        <f t="shared" si="235"/>
        <v/>
      </c>
      <c r="BS230" s="471" t="str">
        <f t="shared" si="215"/>
        <v/>
      </c>
      <c r="BT230" s="472" t="str">
        <f t="shared" si="249"/>
        <v/>
      </c>
      <c r="BU230" s="472">
        <f t="shared" ca="1" si="216"/>
        <v>0</v>
      </c>
      <c r="BV230" s="472">
        <f t="shared" ca="1" si="216"/>
        <v>0</v>
      </c>
      <c r="BW230" s="472"/>
      <c r="BX230" s="473">
        <f t="shared" ca="1" si="217"/>
        <v>115002.650041778</v>
      </c>
      <c r="BY230" s="473">
        <f t="shared" si="218"/>
        <v>0</v>
      </c>
      <c r="BZ230" s="473">
        <f t="shared" ca="1" si="192"/>
        <v>254.26613263300001</v>
      </c>
      <c r="CA230" s="476">
        <f t="shared" ca="1" si="219"/>
        <v>0</v>
      </c>
      <c r="CB230" s="494">
        <f ca="1">IF(OR($Q229&lt;&gt;1,OP!$D$5+$BN230-1&lt;16,$BN230-1&lt;1),0,ROUND(ROUND(ROUND(((VLOOKUP($BN230-1,MORE_PV,5,0)/10000)*VLOOKUP($BN230,MORE_PV,$CB$5,0)),3)*VLOOKUP($BN230,more1,5,0),0)/$R229,0))</f>
        <v>0</v>
      </c>
      <c r="CC230" s="473">
        <f t="shared" ca="1" si="220"/>
        <v>0</v>
      </c>
      <c r="CD230" s="477"/>
    </row>
    <row r="231" spans="2:102" ht="16.5" hidden="1">
      <c r="B231" s="80"/>
      <c r="C231" s="80"/>
      <c r="D231" s="80"/>
      <c r="E231" s="80"/>
      <c r="F231" s="80"/>
      <c r="G231" s="80"/>
      <c r="H231" s="80"/>
      <c r="I231" s="80"/>
      <c r="J231" s="192">
        <f t="shared" si="195"/>
        <v>19</v>
      </c>
      <c r="K231" s="192">
        <f t="shared" si="196"/>
        <v>7</v>
      </c>
      <c r="L231" s="192" t="str">
        <f t="shared" si="189"/>
        <v/>
      </c>
      <c r="M231" s="216">
        <f t="shared" ca="1" si="197"/>
        <v>0</v>
      </c>
      <c r="N231" s="216"/>
      <c r="O231" s="216"/>
      <c r="P231" s="216"/>
      <c r="Q231" s="456" t="str">
        <f t="shared" ca="1" si="198"/>
        <v/>
      </c>
      <c r="R231" s="450">
        <f t="shared" ca="1" si="199"/>
        <v>1</v>
      </c>
      <c r="S231" s="191">
        <f t="shared" si="242"/>
        <v>19</v>
      </c>
      <c r="T231" s="191">
        <f t="shared" si="243"/>
        <v>7</v>
      </c>
      <c r="U231" s="191">
        <f ca="1">OP!$D$5+$S231-1</f>
        <v>51</v>
      </c>
      <c r="V231" s="191" t="str">
        <f t="shared" si="244"/>
        <v/>
      </c>
      <c r="W231" s="350">
        <f ca="1">IF(Q231&lt;&gt;1,0,VLOOKUP(OP!$C$55,PVFB,$S231+2,0))</f>
        <v>0</v>
      </c>
      <c r="X231" s="473">
        <f t="shared" ca="1" si="229"/>
        <v>0</v>
      </c>
      <c r="Y231" s="348">
        <f t="shared" ca="1" si="230"/>
        <v>0</v>
      </c>
      <c r="Z231" s="348">
        <f t="shared" ca="1" si="245"/>
        <v>8012</v>
      </c>
      <c r="AA231" s="348">
        <f ca="1">IF(Q231&lt;&gt;1,0,VLOOKUP(OP!$C$55,PVFB,$S231+2,0))</f>
        <v>0</v>
      </c>
      <c r="AB231" s="488" t="str">
        <f ca="1">IF(AND(S231&lt;OP!$C$24,$U231&lt;15),0,IF(AND($U231&lt;15,$T231=12),ROUND(VLOOKUP($S231,DOWN16,5,0),3),IF($T231=12,ROUND(($Z231/10000)*$AA231,3)+IF(AND($P$7="購買增額繳清保險",T231=12,U231=110),VLOOKUP(S231,$B$10:$H$121,7,0),0),"")))</f>
        <v/>
      </c>
      <c r="AC231" s="350" t="str">
        <f ca="1">IF(AND(S231&lt;OP!$C$24,$U231&lt;15),0,IF(AND($U231&lt;16,$T231=12),VLOOKUP($S231,DOWN16,4,0),IF($T231=12,ROUND(VLOOKUP(OP!$C$55,_DIE2,$S231+1,0)*(Z231/10000),0)+IF(AND($P$7="購買增額繳清保險",T231=12,U231=110),VLOOKUP(S231,$B$10:$H$121,7,0),0),"")))</f>
        <v/>
      </c>
      <c r="AD231" s="347"/>
      <c r="AE231" s="350" t="str">
        <f t="shared" ca="1" si="246"/>
        <v/>
      </c>
      <c r="AF231" s="351" t="str">
        <f t="shared" ca="1" si="247"/>
        <v/>
      </c>
      <c r="AG231" s="340"/>
      <c r="AH231" s="340"/>
      <c r="AI231" s="340"/>
      <c r="AJ231" s="340"/>
      <c r="AK231" s="340"/>
      <c r="AL231" s="340"/>
      <c r="AM231" s="340"/>
      <c r="AN231" s="340"/>
      <c r="AO231" s="340"/>
      <c r="AP231" s="340"/>
      <c r="AQ231" s="340"/>
      <c r="AR231" s="340"/>
      <c r="AS231" s="340"/>
      <c r="AT231" s="340"/>
      <c r="AU231" s="340"/>
      <c r="AV231" s="340"/>
      <c r="AY231" s="340"/>
      <c r="AZ231" s="465">
        <f t="shared" ca="1" si="209"/>
        <v>7.3698599999999999E-5</v>
      </c>
      <c r="BA231" s="464">
        <f t="shared" ca="1" si="210"/>
        <v>2.2109589000000002E-3</v>
      </c>
      <c r="BB231" s="465">
        <f t="shared" ca="1" si="210"/>
        <v>2.2846575E-3</v>
      </c>
      <c r="BC231" s="466">
        <f t="shared" ca="1" si="211"/>
        <v>49644</v>
      </c>
      <c r="BD231" s="467">
        <f t="shared" ca="1" si="232"/>
        <v>49645</v>
      </c>
      <c r="BE231" s="467">
        <f t="shared" ca="1" si="212"/>
        <v>49674</v>
      </c>
      <c r="BF231" s="468">
        <f ca="1">IF(計算!$BC231&lt;OP!$C$3,0,BD231-BC231)</f>
        <v>1</v>
      </c>
      <c r="BG231" s="468">
        <f ca="1">IF($BE231&gt;DATE(YEAR($BD$9)+OP!$C$57,MONTH($BD$9),DAY($BD$9)),0,$BE231-$BD231+1)</f>
        <v>30</v>
      </c>
      <c r="BH231" s="469">
        <f t="shared" ca="1" si="213"/>
        <v>31</v>
      </c>
      <c r="BI231" t="str">
        <f t="shared" si="248"/>
        <v/>
      </c>
      <c r="BJ231">
        <v>6</v>
      </c>
      <c r="BN231" s="468">
        <f t="shared" si="233"/>
        <v>19</v>
      </c>
      <c r="BO231" s="468">
        <f t="shared" si="234"/>
        <v>6</v>
      </c>
      <c r="BP231" s="467">
        <f t="shared" ca="1" si="214"/>
        <v>49645</v>
      </c>
      <c r="BQ231" s="475">
        <f t="shared" ca="1" si="240"/>
        <v>51</v>
      </c>
      <c r="BR231" s="475" t="str">
        <f t="shared" si="235"/>
        <v/>
      </c>
      <c r="BS231" s="471" t="str">
        <f t="shared" si="215"/>
        <v/>
      </c>
      <c r="BT231" s="472" t="str">
        <f t="shared" si="249"/>
        <v/>
      </c>
      <c r="BU231" s="472">
        <f t="shared" ca="1" si="216"/>
        <v>0</v>
      </c>
      <c r="BV231" s="472">
        <f t="shared" ca="1" si="216"/>
        <v>0</v>
      </c>
      <c r="BW231" s="472"/>
      <c r="BX231" s="473">
        <f t="shared" ca="1" si="217"/>
        <v>115256.916174411</v>
      </c>
      <c r="BY231" s="473">
        <f t="shared" si="218"/>
        <v>0</v>
      </c>
      <c r="BZ231" s="473">
        <f t="shared" ca="1" si="192"/>
        <v>263.32257796499999</v>
      </c>
      <c r="CA231" s="476">
        <f t="shared" ca="1" si="219"/>
        <v>0</v>
      </c>
      <c r="CB231" s="494">
        <f ca="1">IF(OR($Q230&lt;&gt;1,OP!$D$5+$BN231-1&lt;16,$BN231-1&lt;1),0,ROUND(ROUND(ROUND(((VLOOKUP($BN231-1,MORE_PV,5,0)/10000)*VLOOKUP($BN231,MORE_PV,$CB$5,0)),3)*VLOOKUP($BN231,more1,5,0),0)/$R230,0))</f>
        <v>0</v>
      </c>
      <c r="CC231" s="473">
        <f t="shared" ca="1" si="220"/>
        <v>0</v>
      </c>
      <c r="CD231" s="477"/>
    </row>
    <row r="232" spans="2:102" ht="16.5" hidden="1">
      <c r="B232" s="80"/>
      <c r="C232" s="80"/>
      <c r="D232" s="80"/>
      <c r="E232" s="80"/>
      <c r="F232" s="80"/>
      <c r="G232" s="80"/>
      <c r="H232" s="80"/>
      <c r="I232" s="80"/>
      <c r="J232" s="192">
        <f t="shared" si="195"/>
        <v>19</v>
      </c>
      <c r="K232" s="192">
        <f t="shared" si="196"/>
        <v>8</v>
      </c>
      <c r="L232" s="192" t="str">
        <f t="shared" si="189"/>
        <v/>
      </c>
      <c r="M232" s="216">
        <f t="shared" ca="1" si="197"/>
        <v>0</v>
      </c>
      <c r="N232" s="216"/>
      <c r="O232" s="216"/>
      <c r="P232" s="216"/>
      <c r="Q232" s="456" t="str">
        <f t="shared" ca="1" si="198"/>
        <v/>
      </c>
      <c r="R232" s="450">
        <f t="shared" ca="1" si="199"/>
        <v>1</v>
      </c>
      <c r="S232" s="191">
        <f t="shared" si="242"/>
        <v>19</v>
      </c>
      <c r="T232" s="191">
        <f t="shared" si="243"/>
        <v>8</v>
      </c>
      <c r="U232" s="191">
        <f ca="1">OP!$D$5+$S232-1</f>
        <v>51</v>
      </c>
      <c r="V232" s="191" t="str">
        <f t="shared" si="244"/>
        <v/>
      </c>
      <c r="W232" s="350">
        <f ca="1">IF(Q232&lt;&gt;1,0,VLOOKUP(OP!$C$55,PVFB,$S232+2,0))</f>
        <v>0</v>
      </c>
      <c r="X232" s="473">
        <f t="shared" ca="1" si="229"/>
        <v>0</v>
      </c>
      <c r="Y232" s="348">
        <f t="shared" ca="1" si="230"/>
        <v>0</v>
      </c>
      <c r="Z232" s="348">
        <f t="shared" ca="1" si="245"/>
        <v>8012</v>
      </c>
      <c r="AA232" s="348">
        <f ca="1">IF(Q232&lt;&gt;1,0,VLOOKUP(OP!$C$55,PVFB,$S232+2,0))</f>
        <v>0</v>
      </c>
      <c r="AB232" s="488" t="str">
        <f ca="1">IF(AND(S232&lt;OP!$C$24,$U232&lt;15),0,IF(AND($U232&lt;15,$T232=12),ROUND(VLOOKUP($S232,DOWN16,5,0),3),IF($T232=12,ROUND(($Z232/10000)*$AA232,3)+IF(AND($P$7="購買增額繳清保險",T232=12,U232=110),VLOOKUP(S232,$B$10:$H$121,7,0),0),"")))</f>
        <v/>
      </c>
      <c r="AC232" s="350" t="str">
        <f ca="1">IF(AND(S232&lt;OP!$C$24,$U232&lt;15),0,IF(AND($U232&lt;16,$T232=12),VLOOKUP($S232,DOWN16,4,0),IF($T232=12,ROUND(VLOOKUP(OP!$C$55,_DIE2,$S232+1,0)*(Z232/10000),0)+IF(AND($P$7="購買增額繳清保險",T232=12,U232=110),VLOOKUP(S232,$B$10:$H$121,7,0),0),"")))</f>
        <v/>
      </c>
      <c r="AD232" s="347"/>
      <c r="AE232" s="350" t="str">
        <f t="shared" ca="1" si="246"/>
        <v/>
      </c>
      <c r="AF232" s="351" t="str">
        <f t="shared" ca="1" si="247"/>
        <v/>
      </c>
      <c r="AG232" s="340"/>
      <c r="AH232" s="340"/>
      <c r="AI232" s="340"/>
      <c r="AJ232" s="340"/>
      <c r="AK232" s="340"/>
      <c r="AL232" s="340"/>
      <c r="AM232" s="340"/>
      <c r="AN232" s="340"/>
      <c r="AO232" s="340"/>
      <c r="AP232" s="340"/>
      <c r="AQ232" s="340"/>
      <c r="AR232" s="340"/>
      <c r="AS232" s="340"/>
      <c r="AT232" s="340"/>
      <c r="AU232" s="340"/>
      <c r="AV232" s="340"/>
      <c r="AY232" s="340"/>
      <c r="AZ232" s="465">
        <f t="shared" ca="1" si="209"/>
        <v>7.3698599999999999E-5</v>
      </c>
      <c r="BA232" s="464">
        <f t="shared" ca="1" si="210"/>
        <v>2.2109589000000002E-3</v>
      </c>
      <c r="BB232" s="465">
        <f t="shared" ca="1" si="210"/>
        <v>2.2846575E-3</v>
      </c>
      <c r="BC232" s="466">
        <f t="shared" ca="1" si="211"/>
        <v>49675</v>
      </c>
      <c r="BD232" s="467">
        <f t="shared" ca="1" si="232"/>
        <v>49676</v>
      </c>
      <c r="BE232" s="467">
        <f t="shared" ca="1" si="212"/>
        <v>49705</v>
      </c>
      <c r="BF232" s="468">
        <f ca="1">IF(計算!$BC232&lt;OP!$C$3,0,BD232-BC232)</f>
        <v>1</v>
      </c>
      <c r="BG232" s="468">
        <f ca="1">IF($BE232&gt;DATE(YEAR($BD$9)+OP!$C$57,MONTH($BD$9),DAY($BD$9)),0,$BE232-$BD232+1)</f>
        <v>30</v>
      </c>
      <c r="BH232" s="469">
        <f t="shared" ca="1" si="213"/>
        <v>31</v>
      </c>
      <c r="BI232" t="str">
        <f t="shared" si="248"/>
        <v/>
      </c>
      <c r="BJ232">
        <v>7</v>
      </c>
      <c r="BN232" s="468">
        <f t="shared" si="233"/>
        <v>19</v>
      </c>
      <c r="BO232" s="468">
        <f t="shared" si="234"/>
        <v>7</v>
      </c>
      <c r="BP232" s="467">
        <f t="shared" ca="1" si="214"/>
        <v>49676</v>
      </c>
      <c r="BQ232" s="475">
        <f t="shared" ca="1" si="240"/>
        <v>51</v>
      </c>
      <c r="BR232" s="475" t="str">
        <f t="shared" si="235"/>
        <v/>
      </c>
      <c r="BS232" s="471" t="str">
        <f t="shared" si="215"/>
        <v/>
      </c>
      <c r="BT232" s="472" t="str">
        <f t="shared" si="249"/>
        <v/>
      </c>
      <c r="BU232" s="472">
        <f t="shared" ca="1" si="216"/>
        <v>0</v>
      </c>
      <c r="BV232" s="472">
        <f t="shared" ca="1" si="216"/>
        <v>0</v>
      </c>
      <c r="BW232" s="472"/>
      <c r="BX232" s="473">
        <f t="shared" ca="1" si="217"/>
        <v>115520.238752376</v>
      </c>
      <c r="BY232" s="473">
        <f t="shared" si="218"/>
        <v>0</v>
      </c>
      <c r="BZ232" s="473">
        <f t="shared" ca="1" si="192"/>
        <v>263.92417986700002</v>
      </c>
      <c r="CA232" s="476">
        <f t="shared" ca="1" si="219"/>
        <v>0</v>
      </c>
      <c r="CB232" s="494">
        <f ca="1">IF(OR($Q231&lt;&gt;1,OP!$D$5+$BN232-1&lt;16,$BN232-1&lt;1),0,ROUND(ROUND(ROUND(((VLOOKUP($BN232-1,MORE_PV,5,0)/10000)*VLOOKUP($BN232,MORE_PV,$CB$5,0)),3)*VLOOKUP($BN232,more1,5,0),0)/$R231,0))</f>
        <v>0</v>
      </c>
      <c r="CC232" s="473">
        <f t="shared" ca="1" si="220"/>
        <v>0</v>
      </c>
      <c r="CD232" s="477"/>
    </row>
    <row r="233" spans="2:102" ht="16.5" hidden="1">
      <c r="B233" s="80"/>
      <c r="C233" s="80"/>
      <c r="D233" s="80"/>
      <c r="E233" s="80"/>
      <c r="F233" s="80"/>
      <c r="G233" s="80"/>
      <c r="H233" s="80"/>
      <c r="I233" s="80"/>
      <c r="J233" s="192">
        <f t="shared" si="195"/>
        <v>19</v>
      </c>
      <c r="K233" s="192">
        <f t="shared" si="196"/>
        <v>9</v>
      </c>
      <c r="L233" s="192" t="str">
        <f t="shared" si="189"/>
        <v/>
      </c>
      <c r="M233" s="216">
        <f t="shared" ca="1" si="197"/>
        <v>0</v>
      </c>
      <c r="N233" s="216"/>
      <c r="O233" s="216"/>
      <c r="P233" s="216"/>
      <c r="Q233" s="456" t="str">
        <f t="shared" ca="1" si="198"/>
        <v/>
      </c>
      <c r="R233" s="450">
        <f t="shared" ca="1" si="199"/>
        <v>1</v>
      </c>
      <c r="S233" s="191">
        <f t="shared" si="242"/>
        <v>19</v>
      </c>
      <c r="T233" s="191">
        <f t="shared" si="243"/>
        <v>9</v>
      </c>
      <c r="U233" s="191">
        <f ca="1">OP!$D$5+$S233-1</f>
        <v>51</v>
      </c>
      <c r="V233" s="191" t="str">
        <f t="shared" si="244"/>
        <v/>
      </c>
      <c r="W233" s="350">
        <f ca="1">IF(Q233&lt;&gt;1,0,VLOOKUP(OP!$C$55,PVFB,$S233+2,0))</f>
        <v>0</v>
      </c>
      <c r="X233" s="473">
        <f t="shared" ca="1" si="229"/>
        <v>0</v>
      </c>
      <c r="Y233" s="348">
        <f t="shared" ca="1" si="230"/>
        <v>0</v>
      </c>
      <c r="Z233" s="348">
        <f t="shared" ca="1" si="245"/>
        <v>8012</v>
      </c>
      <c r="AA233" s="348">
        <f ca="1">IF(Q233&lt;&gt;1,0,VLOOKUP(OP!$C$55,PVFB,$S233+2,0))</f>
        <v>0</v>
      </c>
      <c r="AB233" s="488" t="str">
        <f ca="1">IF(AND(S233&lt;OP!$C$24,$U233&lt;15),0,IF(AND($U233&lt;15,$T233=12),ROUND(VLOOKUP($S233,DOWN16,5,0),3),IF($T233=12,ROUND(($Z233/10000)*$AA233,3)+IF(AND($P$7="購買增額繳清保險",T233=12,U233=110),VLOOKUP(S233,$B$10:$H$121,7,0),0),"")))</f>
        <v/>
      </c>
      <c r="AC233" s="350" t="str">
        <f ca="1">IF(AND(S233&lt;OP!$C$24,$U233&lt;15),0,IF(AND($U233&lt;16,$T233=12),VLOOKUP($S233,DOWN16,4,0),IF($T233=12,ROUND(VLOOKUP(OP!$C$55,_DIE2,$S233+1,0)*(Z233/10000),0)+IF(AND($P$7="購買增額繳清保險",T233=12,U233=110),VLOOKUP(S233,$B$10:$H$121,7,0),0),"")))</f>
        <v/>
      </c>
      <c r="AD233" s="347"/>
      <c r="AE233" s="350" t="str">
        <f t="shared" ca="1" si="246"/>
        <v/>
      </c>
      <c r="AF233" s="351" t="str">
        <f t="shared" ca="1" si="247"/>
        <v/>
      </c>
      <c r="AG233" s="340"/>
      <c r="AH233" s="340"/>
      <c r="AI233" s="340"/>
      <c r="AJ233" s="340"/>
      <c r="AK233" s="340"/>
      <c r="AL233" s="340"/>
      <c r="AM233" s="340"/>
      <c r="AN233" s="340"/>
      <c r="AO233" s="340"/>
      <c r="AP233" s="340"/>
      <c r="AQ233" s="340"/>
      <c r="AR233" s="340"/>
      <c r="AS233" s="340"/>
      <c r="AT233" s="340"/>
      <c r="AU233" s="340"/>
      <c r="AV233" s="340"/>
      <c r="AY233" s="340"/>
      <c r="AZ233" s="465">
        <f t="shared" ca="1" si="209"/>
        <v>7.3698599999999999E-5</v>
      </c>
      <c r="BA233" s="464">
        <f t="shared" ca="1" si="210"/>
        <v>2.0635616E-3</v>
      </c>
      <c r="BB233" s="465">
        <f t="shared" ca="1" si="210"/>
        <v>2.1372602999999999E-3</v>
      </c>
      <c r="BC233" s="466">
        <f t="shared" ca="1" si="211"/>
        <v>49706</v>
      </c>
      <c r="BD233" s="467">
        <f t="shared" ca="1" si="232"/>
        <v>49707</v>
      </c>
      <c r="BE233" s="467">
        <f t="shared" ca="1" si="212"/>
        <v>49734</v>
      </c>
      <c r="BF233" s="468">
        <f ca="1">IF(計算!$BC233&lt;OP!$C$3,0,BD233-BC233)</f>
        <v>1</v>
      </c>
      <c r="BG233" s="468">
        <f ca="1">IF($BE233&gt;DATE(YEAR($BD$9)+OP!$C$57,MONTH($BD$9),DAY($BD$9)),0,$BE233-$BD233+1)</f>
        <v>28</v>
      </c>
      <c r="BH233" s="469">
        <f t="shared" ca="1" si="213"/>
        <v>29</v>
      </c>
      <c r="BI233" t="str">
        <f t="shared" si="248"/>
        <v/>
      </c>
      <c r="BJ233">
        <v>8</v>
      </c>
      <c r="BN233" s="468">
        <f t="shared" si="233"/>
        <v>19</v>
      </c>
      <c r="BO233" s="468">
        <f t="shared" si="234"/>
        <v>8</v>
      </c>
      <c r="BP233" s="467">
        <f t="shared" ca="1" si="214"/>
        <v>49707</v>
      </c>
      <c r="BQ233" s="475">
        <f t="shared" ca="1" si="240"/>
        <v>51</v>
      </c>
      <c r="BR233" s="475" t="str">
        <f t="shared" si="235"/>
        <v/>
      </c>
      <c r="BS233" s="471" t="str">
        <f t="shared" si="215"/>
        <v/>
      </c>
      <c r="BT233" s="472" t="str">
        <f t="shared" si="249"/>
        <v/>
      </c>
      <c r="BU233" s="472">
        <f t="shared" ca="1" si="216"/>
        <v>0</v>
      </c>
      <c r="BV233" s="472">
        <f t="shared" ca="1" si="216"/>
        <v>0</v>
      </c>
      <c r="BW233" s="472"/>
      <c r="BX233" s="473">
        <f t="shared" ca="1" si="217"/>
        <v>115784.16293224299</v>
      </c>
      <c r="BY233" s="473">
        <f t="shared" si="218"/>
        <v>0</v>
      </c>
      <c r="BZ233" s="473">
        <f t="shared" ca="1" si="192"/>
        <v>247.46089480399999</v>
      </c>
      <c r="CA233" s="476">
        <f t="shared" ca="1" si="219"/>
        <v>0</v>
      </c>
      <c r="CB233" s="494">
        <f ca="1">IF(OR($Q232&lt;&gt;1,OP!$D$5+$BN233-1&lt;16,$BN233-1&lt;1),0,ROUND(ROUND(ROUND(((VLOOKUP($BN233-1,MORE_PV,5,0)/10000)*VLOOKUP($BN233,MORE_PV,$CB$5,0)),3)*VLOOKUP($BN233,more1,5,0),0)/$R232,0))</f>
        <v>0</v>
      </c>
      <c r="CC233" s="473">
        <f t="shared" ca="1" si="220"/>
        <v>0</v>
      </c>
      <c r="CD233" s="477"/>
    </row>
    <row r="234" spans="2:102" ht="16.5" hidden="1">
      <c r="B234" s="80"/>
      <c r="C234" s="80"/>
      <c r="D234" s="80"/>
      <c r="E234" s="80"/>
      <c r="F234" s="80"/>
      <c r="G234" s="80"/>
      <c r="H234" s="80"/>
      <c r="I234" s="80"/>
      <c r="J234" s="192">
        <f t="shared" si="195"/>
        <v>19</v>
      </c>
      <c r="K234" s="192">
        <f t="shared" si="196"/>
        <v>10</v>
      </c>
      <c r="L234" s="192" t="str">
        <f t="shared" si="189"/>
        <v/>
      </c>
      <c r="M234" s="216">
        <f t="shared" ca="1" si="197"/>
        <v>0</v>
      </c>
      <c r="N234" s="216"/>
      <c r="O234" s="216"/>
      <c r="P234" s="216"/>
      <c r="Q234" s="456" t="str">
        <f t="shared" ca="1" si="198"/>
        <v/>
      </c>
      <c r="R234" s="450">
        <f t="shared" ca="1" si="199"/>
        <v>1</v>
      </c>
      <c r="S234" s="191">
        <f t="shared" si="242"/>
        <v>19</v>
      </c>
      <c r="T234" s="191">
        <f t="shared" si="243"/>
        <v>10</v>
      </c>
      <c r="U234" s="191">
        <f ca="1">OP!$D$5+$S234-1</f>
        <v>51</v>
      </c>
      <c r="V234" s="191" t="str">
        <f t="shared" si="244"/>
        <v/>
      </c>
      <c r="W234" s="350">
        <f ca="1">IF(Q234&lt;&gt;1,0,VLOOKUP(OP!$C$55,PVFB,$S234+2,0))</f>
        <v>0</v>
      </c>
      <c r="X234" s="473">
        <f t="shared" ca="1" si="229"/>
        <v>0</v>
      </c>
      <c r="Y234" s="348">
        <f t="shared" ca="1" si="230"/>
        <v>0</v>
      </c>
      <c r="Z234" s="348">
        <f t="shared" ca="1" si="245"/>
        <v>8012</v>
      </c>
      <c r="AA234" s="348">
        <f ca="1">IF(Q234&lt;&gt;1,0,VLOOKUP(OP!$C$55,PVFB,$S234+2,0))</f>
        <v>0</v>
      </c>
      <c r="AB234" s="488" t="str">
        <f ca="1">IF(AND(S234&lt;OP!$C$24,$U234&lt;15),0,IF(AND($U234&lt;15,$T234=12),ROUND(VLOOKUP($S234,DOWN16,5,0),3),IF($T234=12,ROUND(($Z234/10000)*$AA234,3)+IF(AND($P$7="購買增額繳清保險",T234=12,U234=110),VLOOKUP(S234,$B$10:$H$121,7,0),0),"")))</f>
        <v/>
      </c>
      <c r="AC234" s="350" t="str">
        <f ca="1">IF(AND(S234&lt;OP!$C$24,$U234&lt;15),0,IF(AND($U234&lt;16,$T234=12),VLOOKUP($S234,DOWN16,4,0),IF($T234=12,ROUND(VLOOKUP(OP!$C$55,_DIE2,$S234+1,0)*(Z234/10000),0)+IF(AND($P$7="購買增額繳清保險",T234=12,U234=110),VLOOKUP(S234,$B$10:$H$121,7,0),0),"")))</f>
        <v/>
      </c>
      <c r="AD234" s="347"/>
      <c r="AE234" s="350" t="str">
        <f t="shared" ca="1" si="246"/>
        <v/>
      </c>
      <c r="AF234" s="351" t="str">
        <f t="shared" ca="1" si="247"/>
        <v/>
      </c>
      <c r="AG234" s="340"/>
      <c r="AH234" s="340"/>
      <c r="AI234" s="340"/>
      <c r="AJ234" s="340"/>
      <c r="AK234" s="340"/>
      <c r="AL234" s="340"/>
      <c r="AM234" s="340"/>
      <c r="AN234" s="340"/>
      <c r="AO234" s="340"/>
      <c r="AP234" s="340"/>
      <c r="AQ234" s="340"/>
      <c r="AR234" s="340"/>
      <c r="AS234" s="340"/>
      <c r="AT234" s="340"/>
      <c r="AU234" s="340"/>
      <c r="AV234" s="340"/>
      <c r="AY234" s="340"/>
      <c r="AZ234" s="465">
        <f t="shared" ca="1" si="209"/>
        <v>7.3698599999999999E-5</v>
      </c>
      <c r="BA234" s="464">
        <f t="shared" ca="1" si="210"/>
        <v>2.2109589000000002E-3</v>
      </c>
      <c r="BB234" s="465">
        <f t="shared" ca="1" si="210"/>
        <v>2.2846575E-3</v>
      </c>
      <c r="BC234" s="466">
        <f t="shared" ca="1" si="211"/>
        <v>49735</v>
      </c>
      <c r="BD234" s="467">
        <f t="shared" ca="1" si="232"/>
        <v>49736</v>
      </c>
      <c r="BE234" s="467">
        <f t="shared" ca="1" si="212"/>
        <v>49765</v>
      </c>
      <c r="BF234" s="468">
        <f ca="1">IF(計算!$BC234&lt;OP!$C$3,0,BD234-BC234)</f>
        <v>1</v>
      </c>
      <c r="BG234" s="468">
        <f ca="1">IF($BE234&gt;DATE(YEAR($BD$9)+OP!$C$57,MONTH($BD$9),DAY($BD$9)),0,$BE234-$BD234+1)</f>
        <v>30</v>
      </c>
      <c r="BH234" s="469">
        <f t="shared" ca="1" si="213"/>
        <v>31</v>
      </c>
      <c r="BI234" t="str">
        <f t="shared" si="248"/>
        <v/>
      </c>
      <c r="BJ234">
        <v>9</v>
      </c>
      <c r="BN234" s="468">
        <f t="shared" si="233"/>
        <v>19</v>
      </c>
      <c r="BO234" s="468">
        <f t="shared" si="234"/>
        <v>9</v>
      </c>
      <c r="BP234" s="467">
        <f t="shared" ca="1" si="214"/>
        <v>49736</v>
      </c>
      <c r="BQ234" s="475">
        <f t="shared" ca="1" si="240"/>
        <v>51</v>
      </c>
      <c r="BR234" s="475" t="str">
        <f t="shared" si="235"/>
        <v/>
      </c>
      <c r="BS234" s="471" t="str">
        <f t="shared" si="215"/>
        <v/>
      </c>
      <c r="BT234" s="472" t="str">
        <f t="shared" si="249"/>
        <v/>
      </c>
      <c r="BU234" s="472">
        <f t="shared" ca="1" si="216"/>
        <v>0</v>
      </c>
      <c r="BV234" s="472">
        <f t="shared" ca="1" si="216"/>
        <v>0</v>
      </c>
      <c r="BW234" s="472"/>
      <c r="BX234" s="473">
        <f t="shared" ca="1" si="217"/>
        <v>116031.62382704701</v>
      </c>
      <c r="BY234" s="473">
        <f t="shared" si="218"/>
        <v>0</v>
      </c>
      <c r="BZ234" s="473">
        <f t="shared" ca="1" si="192"/>
        <v>265.09251961400003</v>
      </c>
      <c r="CA234" s="476">
        <f t="shared" ca="1" si="219"/>
        <v>0</v>
      </c>
      <c r="CB234" s="494">
        <f ca="1">IF(OR($Q233&lt;&gt;1,OP!$D$5+$BN234-1&lt;16,$BN234-1&lt;1),0,ROUND(ROUND(ROUND(((VLOOKUP($BN234-1,MORE_PV,5,0)/10000)*VLOOKUP($BN234,MORE_PV,$CB$5,0)),3)*VLOOKUP($BN234,more1,5,0),0)/$R233,0))</f>
        <v>0</v>
      </c>
      <c r="CC234" s="473">
        <f t="shared" ca="1" si="220"/>
        <v>0</v>
      </c>
      <c r="CD234" s="477"/>
    </row>
    <row r="235" spans="2:102" ht="16.5" hidden="1">
      <c r="B235" s="80"/>
      <c r="C235" s="80"/>
      <c r="D235" s="80"/>
      <c r="E235" s="80"/>
      <c r="F235" s="80"/>
      <c r="G235" s="80"/>
      <c r="H235" s="80"/>
      <c r="I235" s="80"/>
      <c r="J235" s="192">
        <f t="shared" si="195"/>
        <v>19</v>
      </c>
      <c r="K235" s="192">
        <f t="shared" si="196"/>
        <v>11</v>
      </c>
      <c r="L235" s="192" t="str">
        <f t="shared" si="189"/>
        <v/>
      </c>
      <c r="M235" s="216">
        <f t="shared" ca="1" si="197"/>
        <v>0</v>
      </c>
      <c r="N235" s="216"/>
      <c r="O235" s="216"/>
      <c r="P235" s="216"/>
      <c r="Q235" s="456" t="str">
        <f t="shared" ca="1" si="198"/>
        <v/>
      </c>
      <c r="R235" s="450">
        <f t="shared" ca="1" si="199"/>
        <v>1</v>
      </c>
      <c r="S235" s="191">
        <f t="shared" si="242"/>
        <v>19</v>
      </c>
      <c r="T235" s="191">
        <f t="shared" si="243"/>
        <v>11</v>
      </c>
      <c r="U235" s="191">
        <f ca="1">OP!$D$5+$S235-1</f>
        <v>51</v>
      </c>
      <c r="V235" s="191" t="str">
        <f t="shared" si="244"/>
        <v/>
      </c>
      <c r="W235" s="350">
        <f ca="1">IF(Q235&lt;&gt;1,0,VLOOKUP(OP!$C$55,PVFB,$S235+2,0))</f>
        <v>0</v>
      </c>
      <c r="X235" s="473">
        <f t="shared" ca="1" si="229"/>
        <v>0</v>
      </c>
      <c r="Y235" s="348">
        <f t="shared" ca="1" si="230"/>
        <v>0</v>
      </c>
      <c r="Z235" s="348">
        <f t="shared" ca="1" si="245"/>
        <v>8012</v>
      </c>
      <c r="AA235" s="348">
        <f ca="1">IF(Q235&lt;&gt;1,0,VLOOKUP(OP!$C$55,PVFB,$S235+2,0))</f>
        <v>0</v>
      </c>
      <c r="AB235" s="488" t="str">
        <f ca="1">IF(AND(S235&lt;OP!$C$24,$U235&lt;15),0,IF(AND($U235&lt;15,$T235=12),ROUND(VLOOKUP($S235,DOWN16,5,0),3),IF($T235=12,ROUND(($Z235/10000)*$AA235,3)+IF(AND($P$7="購買增額繳清保險",T235=12,U235=110),VLOOKUP(S235,$B$10:$H$121,7,0),0),"")))</f>
        <v/>
      </c>
      <c r="AC235" s="350" t="str">
        <f ca="1">IF(AND(S235&lt;OP!$C$24,$U235&lt;15),0,IF(AND($U235&lt;16,$T235=12),VLOOKUP($S235,DOWN16,4,0),IF($T235=12,ROUND(VLOOKUP(OP!$C$55,_DIE2,$S235+1,0)*(Z235/10000),0)+IF(AND($P$7="購買增額繳清保險",T235=12,U235=110),VLOOKUP(S235,$B$10:$H$121,7,0),0),"")))</f>
        <v/>
      </c>
      <c r="AD235" s="347"/>
      <c r="AE235" s="350" t="str">
        <f t="shared" ca="1" si="246"/>
        <v/>
      </c>
      <c r="AF235" s="351" t="str">
        <f t="shared" ca="1" si="247"/>
        <v/>
      </c>
      <c r="AG235" s="340"/>
      <c r="AH235" s="340"/>
      <c r="AI235" s="340"/>
      <c r="AJ235" s="340"/>
      <c r="AK235" s="340"/>
      <c r="AL235" s="340"/>
      <c r="AM235" s="340"/>
      <c r="AN235" s="340"/>
      <c r="AO235" s="340"/>
      <c r="AP235" s="340"/>
      <c r="AQ235" s="340"/>
      <c r="AR235" s="340"/>
      <c r="AS235" s="340"/>
      <c r="AT235" s="340"/>
      <c r="AU235" s="340"/>
      <c r="AV235" s="340"/>
      <c r="AY235" s="340"/>
      <c r="AZ235" s="465">
        <f t="shared" ca="1" si="209"/>
        <v>7.3698599999999999E-5</v>
      </c>
      <c r="BA235" s="464">
        <f t="shared" ca="1" si="210"/>
        <v>2.1372602999999999E-3</v>
      </c>
      <c r="BB235" s="465">
        <f t="shared" ca="1" si="210"/>
        <v>2.2109589000000002E-3</v>
      </c>
      <c r="BC235" s="466">
        <f t="shared" ca="1" si="211"/>
        <v>49766</v>
      </c>
      <c r="BD235" s="467">
        <f t="shared" ca="1" si="232"/>
        <v>49767</v>
      </c>
      <c r="BE235" s="467">
        <f t="shared" ca="1" si="212"/>
        <v>49795</v>
      </c>
      <c r="BF235" s="468">
        <f ca="1">IF(計算!$BC235&lt;OP!$C$3,0,BD235-BC235)</f>
        <v>1</v>
      </c>
      <c r="BG235" s="468">
        <f ca="1">IF($BE235&gt;DATE(YEAR($BD$9)+OP!$C$57,MONTH($BD$9),DAY($BD$9)),0,$BE235-$BD235+1)</f>
        <v>29</v>
      </c>
      <c r="BH235" s="469">
        <f t="shared" ca="1" si="213"/>
        <v>30</v>
      </c>
      <c r="BI235" t="str">
        <f t="shared" si="248"/>
        <v/>
      </c>
      <c r="BJ235">
        <v>10</v>
      </c>
      <c r="BN235" s="468">
        <f t="shared" si="233"/>
        <v>19</v>
      </c>
      <c r="BO235" s="468">
        <f t="shared" si="234"/>
        <v>10</v>
      </c>
      <c r="BP235" s="467">
        <f t="shared" ca="1" si="214"/>
        <v>49767</v>
      </c>
      <c r="BQ235" s="475">
        <f t="shared" ca="1" si="240"/>
        <v>51</v>
      </c>
      <c r="BR235" s="475" t="str">
        <f t="shared" si="235"/>
        <v/>
      </c>
      <c r="BS235" s="471" t="str">
        <f t="shared" si="215"/>
        <v/>
      </c>
      <c r="BT235" s="472" t="str">
        <f t="shared" si="249"/>
        <v/>
      </c>
      <c r="BU235" s="472">
        <f t="shared" ca="1" si="216"/>
        <v>0</v>
      </c>
      <c r="BV235" s="472">
        <f t="shared" ca="1" si="216"/>
        <v>0</v>
      </c>
      <c r="BW235" s="472"/>
      <c r="BX235" s="473">
        <f t="shared" ca="1" si="217"/>
        <v>116296.71634666101</v>
      </c>
      <c r="BY235" s="473">
        <f t="shared" si="218"/>
        <v>0</v>
      </c>
      <c r="BZ235" s="473">
        <f t="shared" ca="1" si="192"/>
        <v>257.12726004699999</v>
      </c>
      <c r="CA235" s="476">
        <f t="shared" ca="1" si="219"/>
        <v>0</v>
      </c>
      <c r="CB235" s="494">
        <f ca="1">IF(OR($Q234&lt;&gt;1,OP!$D$5+$BN235-1&lt;16,$BN235-1&lt;1),0,ROUND(ROUND(ROUND(((VLOOKUP($BN235-1,MORE_PV,5,0)/10000)*VLOOKUP($BN235,MORE_PV,$CB$5,0)),3)*VLOOKUP($BN235,more1,5,0),0)/$R234,0))</f>
        <v>0</v>
      </c>
      <c r="CC235" s="473">
        <f t="shared" ca="1" si="220"/>
        <v>0</v>
      </c>
      <c r="CD235" s="477"/>
    </row>
    <row r="236" spans="2:102" ht="16.5" hidden="1">
      <c r="B236" s="80"/>
      <c r="C236" s="80"/>
      <c r="D236" s="80"/>
      <c r="E236" s="80"/>
      <c r="F236" s="80"/>
      <c r="G236" s="80"/>
      <c r="H236" s="80"/>
      <c r="I236" s="80"/>
      <c r="J236" s="192">
        <f t="shared" si="195"/>
        <v>19</v>
      </c>
      <c r="K236" s="192">
        <f t="shared" si="196"/>
        <v>12</v>
      </c>
      <c r="L236" s="192">
        <f t="shared" si="189"/>
        <v>19</v>
      </c>
      <c r="M236" s="216">
        <f t="shared" ca="1" si="197"/>
        <v>126124</v>
      </c>
      <c r="N236" s="216"/>
      <c r="O236" s="216"/>
      <c r="P236" s="216"/>
      <c r="Q236" s="456">
        <f t="shared" ca="1" si="198"/>
        <v>1</v>
      </c>
      <c r="R236" s="450">
        <f t="shared" ca="1" si="199"/>
        <v>1</v>
      </c>
      <c r="S236" s="191">
        <f t="shared" si="242"/>
        <v>19</v>
      </c>
      <c r="T236" s="191">
        <f t="shared" si="243"/>
        <v>12</v>
      </c>
      <c r="U236" s="191">
        <f ca="1">OP!$D$5+$S236-1</f>
        <v>51</v>
      </c>
      <c r="V236" s="191">
        <f t="shared" si="244"/>
        <v>19</v>
      </c>
      <c r="W236" s="350">
        <f ca="1">IF(Q236&lt;&gt;1,0,VLOOKUP(OP!$C$55,PVFB,$S236+2,0))</f>
        <v>38705</v>
      </c>
      <c r="X236" s="473">
        <f t="shared" ca="1" si="229"/>
        <v>9294</v>
      </c>
      <c r="Y236" s="348">
        <f t="shared" ca="1" si="230"/>
        <v>0</v>
      </c>
      <c r="Z236" s="348">
        <f t="shared" ca="1" si="245"/>
        <v>8012</v>
      </c>
      <c r="AA236" s="348">
        <f ca="1">IF(Q236&lt;&gt;1,0,VLOOKUP(OP!$C$55,PVFB,$S236+2,0))</f>
        <v>38705</v>
      </c>
      <c r="AB236" s="488">
        <f ca="1">IF(AND(S236&lt;OP!$C$24,$U236&lt;15),0,IF(AND($U236&lt;15,$T236=12),ROUND(VLOOKUP($S236,DOWN16,5,0),3),IF($T236=12,ROUND(($Z236/10000)*$AA236,3)+IF(AND($P$7="購買增額繳清保險",T236=12,U236=110),VLOOKUP(S236,$B$10:$H$121,7,0),0),"")))</f>
        <v>31010.446</v>
      </c>
      <c r="AC236" s="350">
        <f ca="1">IF(AND(S236&lt;OP!$C$24,$U236&lt;15),0,IF(AND($U236&lt;16,$T236=12),VLOOKUP($S236,DOWN16,4,0),IF($T236=12,ROUND(VLOOKUP(OP!$C$55,_DIE2,$S236+1,0)*(Z236/10000),0)+IF(AND($P$7="購買增額繳清保險",T236=12,U236=110),VLOOKUP(S236,$B$10:$H$121,7,0),0),"")))</f>
        <v>31010</v>
      </c>
      <c r="AD236" s="347"/>
      <c r="AE236" s="350" t="str">
        <f t="shared" ca="1" si="246"/>
        <v/>
      </c>
      <c r="AF236" s="351" t="str">
        <f t="shared" ca="1" si="247"/>
        <v/>
      </c>
      <c r="AG236" s="340"/>
      <c r="AH236" s="340"/>
      <c r="AI236" s="340"/>
      <c r="AJ236" s="340"/>
      <c r="AK236" s="340"/>
      <c r="AL236" s="340"/>
      <c r="AM236" s="340"/>
      <c r="AN236" s="340"/>
      <c r="AO236" s="340"/>
      <c r="AP236" s="340"/>
      <c r="AQ236" s="340"/>
      <c r="AR236" s="340"/>
      <c r="AS236" s="340"/>
      <c r="AT236" s="340"/>
      <c r="AU236" s="340"/>
      <c r="AV236" s="340"/>
      <c r="AY236" s="340"/>
      <c r="AZ236" s="465">
        <f t="shared" ca="1" si="209"/>
        <v>7.3698599999999999E-5</v>
      </c>
      <c r="BA236" s="464">
        <f t="shared" ca="1" si="210"/>
        <v>2.2109589000000002E-3</v>
      </c>
      <c r="BB236" s="465">
        <f t="shared" ca="1" si="210"/>
        <v>2.2846575E-3</v>
      </c>
      <c r="BC236" s="466">
        <f t="shared" ca="1" si="211"/>
        <v>49796</v>
      </c>
      <c r="BD236" s="467">
        <f t="shared" ca="1" si="232"/>
        <v>49797</v>
      </c>
      <c r="BE236" s="467">
        <f t="shared" ca="1" si="212"/>
        <v>49826</v>
      </c>
      <c r="BF236" s="468">
        <f ca="1">IF(計算!$BC236&lt;OP!$C$3,0,BD236-BC236)</f>
        <v>1</v>
      </c>
      <c r="BG236" s="468">
        <f ca="1">IF($BE236&gt;DATE(YEAR($BD$9)+OP!$C$57,MONTH($BD$9),DAY($BD$9)),0,$BE236-$BD236+1)</f>
        <v>30</v>
      </c>
      <c r="BH236" s="469">
        <f t="shared" ca="1" si="213"/>
        <v>31</v>
      </c>
      <c r="BI236" t="str">
        <f t="shared" si="248"/>
        <v/>
      </c>
      <c r="BJ236">
        <v>11</v>
      </c>
      <c r="BN236" s="468">
        <f t="shared" si="233"/>
        <v>19</v>
      </c>
      <c r="BO236" s="468">
        <f t="shared" si="234"/>
        <v>11</v>
      </c>
      <c r="BP236" s="467">
        <f t="shared" ca="1" si="214"/>
        <v>49797</v>
      </c>
      <c r="BQ236" s="475">
        <f t="shared" ca="1" si="240"/>
        <v>51</v>
      </c>
      <c r="BR236" s="475" t="str">
        <f t="shared" si="235"/>
        <v/>
      </c>
      <c r="BS236" s="471" t="str">
        <f t="shared" si="215"/>
        <v/>
      </c>
      <c r="BT236" s="472" t="str">
        <f t="shared" si="249"/>
        <v/>
      </c>
      <c r="BU236" s="472">
        <f t="shared" ca="1" si="216"/>
        <v>0</v>
      </c>
      <c r="BV236" s="472">
        <f t="shared" ca="1" si="216"/>
        <v>0</v>
      </c>
      <c r="BW236" s="472"/>
      <c r="BX236" s="473">
        <f t="shared" ca="1" si="217"/>
        <v>116553.843606708</v>
      </c>
      <c r="BY236" s="473">
        <f t="shared" si="218"/>
        <v>0</v>
      </c>
      <c r="BZ236" s="473">
        <f t="shared" ca="1" si="192"/>
        <v>266.28561294999997</v>
      </c>
      <c r="CA236" s="476">
        <f t="shared" ca="1" si="219"/>
        <v>0</v>
      </c>
      <c r="CB236" s="494">
        <f ca="1">IF(OR($Q235&lt;&gt;1,OP!$D$5+$BN236-1&lt;16,$BN236-1&lt;1),0,ROUND(ROUND(ROUND(((VLOOKUP($BN236-1,MORE_PV,5,0)/10000)*VLOOKUP($BN236,MORE_PV,$CB$5,0)),3)*VLOOKUP($BN236,more1,5,0),0)/$R235,0))</f>
        <v>0</v>
      </c>
      <c r="CC236" s="473">
        <f t="shared" ca="1" si="220"/>
        <v>0</v>
      </c>
      <c r="CD236" s="477"/>
    </row>
    <row r="237" spans="2:102" ht="16.5" hidden="1">
      <c r="B237" s="80"/>
      <c r="C237" s="80"/>
      <c r="D237" s="80"/>
      <c r="E237" s="80"/>
      <c r="F237" s="80"/>
      <c r="G237" s="80"/>
      <c r="H237" s="80"/>
      <c r="I237" s="80"/>
      <c r="J237" s="192">
        <f t="shared" si="195"/>
        <v>20</v>
      </c>
      <c r="K237" s="192">
        <f t="shared" si="196"/>
        <v>1</v>
      </c>
      <c r="L237" s="192" t="str">
        <f t="shared" si="189"/>
        <v/>
      </c>
      <c r="M237" s="216">
        <f t="shared" ca="1" si="197"/>
        <v>0</v>
      </c>
      <c r="N237" s="216"/>
      <c r="O237" s="216"/>
      <c r="P237" s="216"/>
      <c r="Q237" s="456" t="str">
        <f t="shared" ca="1" si="198"/>
        <v/>
      </c>
      <c r="R237" s="450">
        <f t="shared" ca="1" si="199"/>
        <v>1</v>
      </c>
      <c r="S237" s="191">
        <f t="shared" si="242"/>
        <v>20</v>
      </c>
      <c r="T237" s="191">
        <f t="shared" si="243"/>
        <v>1</v>
      </c>
      <c r="U237" s="191">
        <f ca="1">OP!$D$5+$S237-1</f>
        <v>52</v>
      </c>
      <c r="V237" s="191" t="str">
        <f t="shared" si="244"/>
        <v/>
      </c>
      <c r="W237" s="350">
        <f ca="1">IF(Q237&lt;&gt;1,0,VLOOKUP(OP!$C$55,PVFB,$S237+2,0))</f>
        <v>0</v>
      </c>
      <c r="X237" s="473">
        <f t="shared" ca="1" si="229"/>
        <v>0</v>
      </c>
      <c r="Y237" s="348">
        <f t="shared" ca="1" si="230"/>
        <v>0</v>
      </c>
      <c r="Z237" s="348">
        <f t="shared" ca="1" si="245"/>
        <v>8012</v>
      </c>
      <c r="AA237" s="348">
        <f ca="1">IF(Q237&lt;&gt;1,0,VLOOKUP(OP!$C$55,PVFB,$S237+2,0))</f>
        <v>0</v>
      </c>
      <c r="AB237" s="488" t="str">
        <f ca="1">IF(AND(S237&lt;OP!$C$24,$U237&lt;15),0,IF(AND($U237&lt;15,$T237=12),ROUND(VLOOKUP($S237,DOWN16,5,0),3),IF($T237=12,ROUND(($Z237/10000)*$AA237,3)+IF(AND($P$7="購買增額繳清保險",T237=12,U237=110),VLOOKUP(S237,$B$10:$H$121,7,0),0),"")))</f>
        <v/>
      </c>
      <c r="AC237" s="350" t="str">
        <f ca="1">IF(AND(S237&lt;OP!$C$24,$U237&lt;15),0,IF(AND($U237&lt;16,$T237=12),VLOOKUP($S237,DOWN16,4,0),IF($T237=12,ROUND(VLOOKUP(OP!$C$55,_DIE2,$S237+1,0)*(Z237/10000),0)+IF(AND($P$7="購買增額繳清保險",T237=12,U237=110),VLOOKUP(S237,$B$10:$H$121,7,0),0),"")))</f>
        <v/>
      </c>
      <c r="AD237" s="347"/>
      <c r="AE237" s="350" t="str">
        <f t="shared" ca="1" si="246"/>
        <v/>
      </c>
      <c r="AF237" s="351" t="str">
        <f t="shared" ca="1" si="247"/>
        <v/>
      </c>
      <c r="AG237" s="340"/>
      <c r="AH237" s="340"/>
      <c r="AI237" s="340"/>
      <c r="AJ237" s="340"/>
      <c r="AK237" s="340"/>
      <c r="AL237" s="340"/>
      <c r="AM237" s="340"/>
      <c r="AN237" s="340"/>
      <c r="AO237" s="340"/>
      <c r="AP237" s="340"/>
      <c r="AQ237" s="340"/>
      <c r="AR237" s="340"/>
      <c r="AS237" s="340"/>
      <c r="AT237" s="340"/>
      <c r="AU237" s="340"/>
      <c r="AV237" s="340"/>
      <c r="AY237" s="340"/>
      <c r="AZ237" s="465">
        <f t="shared" ca="1" si="209"/>
        <v>7.3698599999999999E-5</v>
      </c>
      <c r="BA237" s="464">
        <f t="shared" ca="1" si="210"/>
        <v>2.1372602999999999E-3</v>
      </c>
      <c r="BB237" s="465">
        <f t="shared" ca="1" si="210"/>
        <v>2.2109589000000002E-3</v>
      </c>
      <c r="BC237" s="479">
        <f t="shared" ca="1" si="211"/>
        <v>49827</v>
      </c>
      <c r="BD237" s="467">
        <f t="shared" ca="1" si="232"/>
        <v>49828</v>
      </c>
      <c r="BE237" s="467">
        <f t="shared" ca="1" si="212"/>
        <v>49856</v>
      </c>
      <c r="BF237" s="481">
        <f ca="1">IF(計算!$BC237&lt;OP!$C$3,0,BD237-BC237)</f>
        <v>1</v>
      </c>
      <c r="BG237" s="481">
        <f ca="1">IF($BE237&gt;DATE(YEAR($BD$9)+OP!$C$57,MONTH($BD$9),DAY($BD$9)),0,$BE237-$BD237+1)</f>
        <v>29</v>
      </c>
      <c r="BH237" s="482">
        <f t="shared" ca="1" si="213"/>
        <v>30</v>
      </c>
      <c r="BI237" s="483">
        <f t="shared" ca="1" si="248"/>
        <v>366</v>
      </c>
      <c r="BJ237" s="483">
        <v>12</v>
      </c>
      <c r="BK237" s="483"/>
      <c r="BL237" s="483"/>
      <c r="BM237" s="483"/>
      <c r="BN237" s="481">
        <f t="shared" si="233"/>
        <v>19</v>
      </c>
      <c r="BO237" s="481">
        <f t="shared" si="234"/>
        <v>12</v>
      </c>
      <c r="BP237" s="480">
        <f t="shared" ca="1" si="214"/>
        <v>49828</v>
      </c>
      <c r="BQ237" s="475">
        <f t="shared" ca="1" si="240"/>
        <v>51</v>
      </c>
      <c r="BR237" s="484">
        <f t="shared" si="235"/>
        <v>19</v>
      </c>
      <c r="BS237" s="471">
        <f t="shared" ca="1" si="215"/>
        <v>9294</v>
      </c>
      <c r="BT237" s="485">
        <f t="shared" ca="1" si="249"/>
        <v>126124</v>
      </c>
      <c r="BU237" s="485">
        <f t="shared" ca="1" si="216"/>
        <v>9080</v>
      </c>
      <c r="BV237" s="485">
        <f t="shared" ca="1" si="216"/>
        <v>214</v>
      </c>
      <c r="BW237" s="485">
        <f ca="1">ROUND(SUM(BY237,BZ225:BZ236),0)</f>
        <v>3106</v>
      </c>
      <c r="BX237" s="473">
        <f t="shared" ca="1" si="217"/>
        <v>126122.738699633</v>
      </c>
      <c r="BY237" s="473">
        <f t="shared" ca="1" si="218"/>
        <v>8.6094799749999993</v>
      </c>
      <c r="BZ237" s="473">
        <f t="shared" ca="1" si="192"/>
        <v>269.55712234999999</v>
      </c>
      <c r="CA237" s="476">
        <f t="shared" ca="1" si="219"/>
        <v>9080</v>
      </c>
      <c r="CB237" s="494">
        <f ca="1">IF(OR($Q236&lt;&gt;1,OP!$D$5+$BN237-1&lt;16,$BN237-1&lt;1),0,ROUND(ROUND(ROUND(((VLOOKUP($BN237-1,MORE_PV,5,0)/10000)*VLOOKUP($BN237,MORE_PV,$CB$5,0)),3)*VLOOKUP($BN237,more1,5,0),0)/$R236,0))</f>
        <v>214</v>
      </c>
      <c r="CC237" s="473">
        <f t="shared" ca="1" si="220"/>
        <v>0</v>
      </c>
      <c r="CD237" s="477"/>
      <c r="CE237" s="483"/>
      <c r="CF237" s="483"/>
      <c r="CG237" s="483"/>
      <c r="CH237" s="483"/>
      <c r="CI237" s="483"/>
      <c r="CJ237" s="483"/>
      <c r="CK237" s="483"/>
      <c r="CL237" s="483"/>
      <c r="CM237" s="483"/>
      <c r="CN237" s="483"/>
      <c r="CO237" s="483"/>
      <c r="CP237" s="483"/>
      <c r="CQ237" s="483"/>
      <c r="CR237" s="483"/>
      <c r="CS237" s="483"/>
      <c r="CT237" s="483"/>
    </row>
    <row r="238" spans="2:102" ht="16.5" hidden="1">
      <c r="B238" s="80"/>
      <c r="C238" s="80"/>
      <c r="D238" s="80"/>
      <c r="E238" s="80"/>
      <c r="F238" s="80"/>
      <c r="G238" s="80"/>
      <c r="H238" s="80"/>
      <c r="I238" s="80"/>
      <c r="J238" s="192">
        <f t="shared" si="195"/>
        <v>20</v>
      </c>
      <c r="K238" s="192">
        <f t="shared" si="196"/>
        <v>2</v>
      </c>
      <c r="L238" s="192" t="str">
        <f t="shared" si="189"/>
        <v/>
      </c>
      <c r="M238" s="216">
        <f t="shared" ca="1" si="197"/>
        <v>0</v>
      </c>
      <c r="N238" s="216"/>
      <c r="O238" s="216"/>
      <c r="P238" s="216"/>
      <c r="Q238" s="456" t="str">
        <f t="shared" ca="1" si="198"/>
        <v/>
      </c>
      <c r="R238" s="450">
        <f t="shared" ca="1" si="199"/>
        <v>1</v>
      </c>
      <c r="S238" s="191">
        <f t="shared" si="242"/>
        <v>20</v>
      </c>
      <c r="T238" s="191">
        <f t="shared" si="243"/>
        <v>2</v>
      </c>
      <c r="U238" s="191">
        <f ca="1">OP!$D$5+$S238-1</f>
        <v>52</v>
      </c>
      <c r="V238" s="191" t="str">
        <f t="shared" si="244"/>
        <v/>
      </c>
      <c r="W238" s="350">
        <f ca="1">IF(Q238&lt;&gt;1,0,VLOOKUP(OP!$C$55,PVFB,$S238+2,0))</f>
        <v>0</v>
      </c>
      <c r="X238" s="473">
        <f t="shared" ca="1" si="229"/>
        <v>0</v>
      </c>
      <c r="Y238" s="348">
        <f t="shared" ca="1" si="230"/>
        <v>0</v>
      </c>
      <c r="Z238" s="348">
        <f t="shared" ca="1" si="245"/>
        <v>8012</v>
      </c>
      <c r="AA238" s="348">
        <f ca="1">IF(Q238&lt;&gt;1,0,VLOOKUP(OP!$C$55,PVFB,$S238+2,0))</f>
        <v>0</v>
      </c>
      <c r="AB238" s="488" t="str">
        <f ca="1">IF(AND(S238&lt;OP!$C$24,$U238&lt;15),0,IF(AND($U238&lt;15,$T238=12),ROUND(VLOOKUP($S238,DOWN16,5,0),3),IF($T238=12,ROUND(($Z238/10000)*$AA238,3)+IF(AND($P$7="購買增額繳清保險",T238=12,U238=110),VLOOKUP(S238,$B$10:$H$121,7,0),0),"")))</f>
        <v/>
      </c>
      <c r="AC238" s="350" t="str">
        <f ca="1">IF(AND(S238&lt;OP!$C$24,$U238&lt;15),0,IF(AND($U238&lt;16,$T238=12),VLOOKUP($S238,DOWN16,4,0),IF($T238=12,ROUND(VLOOKUP(OP!$C$55,_DIE2,$S238+1,0)*(Z238/10000),0)+IF(AND($P$7="購買增額繳清保險",T238=12,U238=110),VLOOKUP(S238,$B$10:$H$121,7,0),0),"")))</f>
        <v/>
      </c>
      <c r="AD238" s="347"/>
      <c r="AE238" s="350" t="str">
        <f t="shared" ca="1" si="246"/>
        <v/>
      </c>
      <c r="AF238" s="351" t="str">
        <f t="shared" ca="1" si="247"/>
        <v/>
      </c>
      <c r="AG238" s="340"/>
      <c r="AH238" s="340"/>
      <c r="AI238" s="340"/>
      <c r="AJ238" s="340"/>
      <c r="AK238" s="340"/>
      <c r="AL238" s="340"/>
      <c r="AM238" s="340"/>
      <c r="AN238" s="340"/>
      <c r="AO238" s="340"/>
      <c r="AP238" s="340"/>
      <c r="AQ238" s="340"/>
      <c r="AR238" s="340"/>
      <c r="AS238" s="340"/>
      <c r="AT238" s="340"/>
      <c r="AU238" s="340"/>
      <c r="AV238" s="340"/>
      <c r="AY238" s="340"/>
      <c r="AZ238" s="465">
        <f t="shared" ca="1" si="209"/>
        <v>7.3698599999999999E-5</v>
      </c>
      <c r="BA238" s="464">
        <f t="shared" ca="1" si="210"/>
        <v>2.2109589000000002E-3</v>
      </c>
      <c r="BB238" s="465">
        <f t="shared" ca="1" si="210"/>
        <v>2.2846575E-3</v>
      </c>
      <c r="BC238" s="466">
        <f t="shared" ca="1" si="211"/>
        <v>49857</v>
      </c>
      <c r="BD238" s="467">
        <f t="shared" ca="1" si="232"/>
        <v>49858</v>
      </c>
      <c r="BE238" s="467">
        <f t="shared" ca="1" si="212"/>
        <v>49887</v>
      </c>
      <c r="BF238" s="468">
        <f ca="1">IF(計算!$BC238&lt;OP!$C$3,0,BD238-BC238)</f>
        <v>1</v>
      </c>
      <c r="BG238" s="468">
        <f ca="1">IF($BE238&gt;DATE(YEAR($BD$9)+OP!$C$57,MONTH($BD$9),DAY($BD$9)),0,$BE238-$BD238+1)</f>
        <v>30</v>
      </c>
      <c r="BH238" s="469">
        <f t="shared" ca="1" si="213"/>
        <v>31</v>
      </c>
      <c r="BI238" t="str">
        <f t="shared" si="248"/>
        <v/>
      </c>
      <c r="BJ238">
        <v>1</v>
      </c>
      <c r="BN238" s="468">
        <f t="shared" si="233"/>
        <v>20</v>
      </c>
      <c r="BO238" s="468">
        <f t="shared" si="234"/>
        <v>1</v>
      </c>
      <c r="BP238" s="467">
        <f t="shared" ca="1" si="214"/>
        <v>49858</v>
      </c>
      <c r="BQ238" s="475">
        <f t="shared" ca="1" si="240"/>
        <v>52</v>
      </c>
      <c r="BR238" s="475" t="str">
        <f t="shared" si="235"/>
        <v/>
      </c>
      <c r="BS238" s="471" t="str">
        <f t="shared" si="215"/>
        <v/>
      </c>
      <c r="BT238" s="472" t="str">
        <f t="shared" si="249"/>
        <v/>
      </c>
      <c r="BU238" s="472">
        <f t="shared" ca="1" si="216"/>
        <v>0</v>
      </c>
      <c r="BV238" s="472">
        <f t="shared" ca="1" si="216"/>
        <v>0</v>
      </c>
      <c r="BW238" s="472"/>
      <c r="BX238" s="473">
        <f t="shared" ca="1" si="217"/>
        <v>126392.295821983</v>
      </c>
      <c r="BY238" s="473">
        <f t="shared" si="218"/>
        <v>0</v>
      </c>
      <c r="BZ238" s="473">
        <f t="shared" ca="1" si="192"/>
        <v>288.76310659199999</v>
      </c>
      <c r="CA238" s="476">
        <f t="shared" ca="1" si="219"/>
        <v>0</v>
      </c>
      <c r="CB238" s="494">
        <f ca="1">IF(OR($Q237&lt;&gt;1,OP!$D$5+$BN238-1&lt;16,$BN238-1&lt;1),0,ROUND(ROUND(ROUND(((VLOOKUP($BN238-1,MORE_PV,5,0)/10000)*VLOOKUP($BN238,MORE_PV,$CB$5,0)),3)*VLOOKUP($BN238,more1,5,0),0)/$R237,0))</f>
        <v>0</v>
      </c>
      <c r="CC238" s="473">
        <f t="shared" ca="1" si="220"/>
        <v>0</v>
      </c>
      <c r="CD238" s="477"/>
    </row>
    <row r="239" spans="2:102" ht="16.5" hidden="1">
      <c r="B239" s="80"/>
      <c r="C239" s="80"/>
      <c r="D239" s="80"/>
      <c r="E239" s="80"/>
      <c r="F239" s="80"/>
      <c r="G239" s="80"/>
      <c r="H239" s="80"/>
      <c r="I239" s="80"/>
      <c r="J239" s="192">
        <f t="shared" si="195"/>
        <v>20</v>
      </c>
      <c r="K239" s="192">
        <f t="shared" si="196"/>
        <v>3</v>
      </c>
      <c r="L239" s="192" t="str">
        <f t="shared" si="189"/>
        <v/>
      </c>
      <c r="M239" s="216">
        <f t="shared" ca="1" si="197"/>
        <v>0</v>
      </c>
      <c r="N239" s="216"/>
      <c r="O239" s="216"/>
      <c r="P239" s="216"/>
      <c r="Q239" s="456" t="str">
        <f t="shared" ca="1" si="198"/>
        <v/>
      </c>
      <c r="R239" s="450">
        <f t="shared" ca="1" si="199"/>
        <v>1</v>
      </c>
      <c r="S239" s="191">
        <f t="shared" si="242"/>
        <v>20</v>
      </c>
      <c r="T239" s="191">
        <f t="shared" si="243"/>
        <v>3</v>
      </c>
      <c r="U239" s="191">
        <f ca="1">OP!$D$5+$S239-1</f>
        <v>52</v>
      </c>
      <c r="V239" s="191" t="str">
        <f t="shared" si="244"/>
        <v/>
      </c>
      <c r="W239" s="350">
        <f ca="1">IF(Q239&lt;&gt;1,0,VLOOKUP(OP!$C$55,PVFB,$S239+2,0))</f>
        <v>0</v>
      </c>
      <c r="X239" s="473">
        <f t="shared" ca="1" si="229"/>
        <v>0</v>
      </c>
      <c r="Y239" s="348">
        <f t="shared" ca="1" si="230"/>
        <v>0</v>
      </c>
      <c r="Z239" s="348">
        <f t="shared" ca="1" si="245"/>
        <v>8012</v>
      </c>
      <c r="AA239" s="348">
        <f ca="1">IF(Q239&lt;&gt;1,0,VLOOKUP(OP!$C$55,PVFB,$S239+2,0))</f>
        <v>0</v>
      </c>
      <c r="AB239" s="488" t="str">
        <f ca="1">IF(AND(S239&lt;OP!$C$24,$U239&lt;15),0,IF(AND($U239&lt;15,$T239=12),ROUND(VLOOKUP($S239,DOWN16,5,0),3),IF($T239=12,ROUND(($Z239/10000)*$AA239,3)+IF(AND($P$7="購買增額繳清保險",T239=12,U239=110),VLOOKUP(S239,$B$10:$H$121,7,0),0),"")))</f>
        <v/>
      </c>
      <c r="AC239" s="350" t="str">
        <f ca="1">IF(AND(S239&lt;OP!$C$24,$U239&lt;15),0,IF(AND($U239&lt;16,$T239=12),VLOOKUP($S239,DOWN16,4,0),IF($T239=12,ROUND(VLOOKUP(OP!$C$55,_DIE2,$S239+1,0)*(Z239/10000),0)+IF(AND($P$7="購買增額繳清保險",T239=12,U239=110),VLOOKUP(S239,$B$10:$H$121,7,0),0),"")))</f>
        <v/>
      </c>
      <c r="AD239" s="347"/>
      <c r="AE239" s="350" t="str">
        <f t="shared" ca="1" si="246"/>
        <v/>
      </c>
      <c r="AF239" s="351" t="str">
        <f t="shared" ca="1" si="247"/>
        <v/>
      </c>
      <c r="AG239" s="340"/>
      <c r="AH239" s="340"/>
      <c r="AI239" s="340"/>
      <c r="AJ239" s="340"/>
      <c r="AK239" s="340"/>
      <c r="AL239" s="340"/>
      <c r="AM239" s="340"/>
      <c r="AN239" s="340"/>
      <c r="AO239" s="340"/>
      <c r="AP239" s="340"/>
      <c r="AQ239" s="340"/>
      <c r="AR239" s="340"/>
      <c r="AS239" s="340"/>
      <c r="AT239" s="340"/>
      <c r="AU239" s="340"/>
      <c r="AV239" s="340"/>
      <c r="AY239" s="340"/>
      <c r="AZ239" s="465">
        <f t="shared" ca="1" si="209"/>
        <v>7.3698599999999999E-5</v>
      </c>
      <c r="BA239" s="464">
        <f t="shared" ca="1" si="210"/>
        <v>2.2109589000000002E-3</v>
      </c>
      <c r="BB239" s="465">
        <f t="shared" ca="1" si="210"/>
        <v>2.2846575E-3</v>
      </c>
      <c r="BC239" s="466">
        <f t="shared" ca="1" si="211"/>
        <v>49888</v>
      </c>
      <c r="BD239" s="467">
        <f t="shared" ca="1" si="232"/>
        <v>49889</v>
      </c>
      <c r="BE239" s="467">
        <f t="shared" ca="1" si="212"/>
        <v>49918</v>
      </c>
      <c r="BF239" s="468">
        <f ca="1">IF(計算!$BC239&lt;OP!$C$3,0,BD239-BC239)</f>
        <v>1</v>
      </c>
      <c r="BG239" s="468">
        <f ca="1">IF($BE239&gt;DATE(YEAR($BD$9)+OP!$C$57,MONTH($BD$9),DAY($BD$9)),0,$BE239-$BD239+1)</f>
        <v>30</v>
      </c>
      <c r="BH239" s="469">
        <f t="shared" ca="1" si="213"/>
        <v>31</v>
      </c>
      <c r="BI239" t="str">
        <f t="shared" si="248"/>
        <v/>
      </c>
      <c r="BJ239">
        <v>2</v>
      </c>
      <c r="BN239" s="468">
        <f t="shared" si="233"/>
        <v>20</v>
      </c>
      <c r="BO239" s="468">
        <f t="shared" si="234"/>
        <v>2</v>
      </c>
      <c r="BP239" s="467">
        <f t="shared" ca="1" si="214"/>
        <v>49889</v>
      </c>
      <c r="BQ239" s="475">
        <f t="shared" ca="1" si="240"/>
        <v>52</v>
      </c>
      <c r="BR239" s="475" t="str">
        <f t="shared" si="235"/>
        <v/>
      </c>
      <c r="BS239" s="471" t="str">
        <f t="shared" si="215"/>
        <v/>
      </c>
      <c r="BT239" s="472" t="str">
        <f t="shared" si="249"/>
        <v/>
      </c>
      <c r="BU239" s="472">
        <f t="shared" ca="1" si="216"/>
        <v>0</v>
      </c>
      <c r="BV239" s="472">
        <f t="shared" ca="1" si="216"/>
        <v>0</v>
      </c>
      <c r="BW239" s="472"/>
      <c r="BX239" s="473">
        <f t="shared" ca="1" si="217"/>
        <v>126681.058928575</v>
      </c>
      <c r="BY239" s="473">
        <f t="shared" si="218"/>
        <v>0</v>
      </c>
      <c r="BZ239" s="473">
        <f t="shared" ca="1" si="192"/>
        <v>289.42283138900001</v>
      </c>
      <c r="CA239" s="476">
        <f t="shared" ca="1" si="219"/>
        <v>0</v>
      </c>
      <c r="CB239" s="494">
        <f ca="1">IF(OR($Q238&lt;&gt;1,OP!$D$5+$BN239-1&lt;16,$BN239-1&lt;1),0,ROUND(ROUND(ROUND(((VLOOKUP($BN239-1,MORE_PV,5,0)/10000)*VLOOKUP($BN239,MORE_PV,$CB$5,0)),3)*VLOOKUP($BN239,more1,5,0),0)/$R238,0))</f>
        <v>0</v>
      </c>
      <c r="CC239" s="473">
        <f t="shared" ca="1" si="220"/>
        <v>0</v>
      </c>
      <c r="CD239" s="477"/>
    </row>
    <row r="240" spans="2:102" ht="16.5" hidden="1">
      <c r="B240" s="80"/>
      <c r="C240" s="80"/>
      <c r="D240" s="80"/>
      <c r="E240" s="80"/>
      <c r="F240" s="80"/>
      <c r="G240" s="80"/>
      <c r="H240" s="80"/>
      <c r="I240" s="80"/>
      <c r="J240" s="192">
        <f t="shared" si="195"/>
        <v>20</v>
      </c>
      <c r="K240" s="192">
        <f t="shared" si="196"/>
        <v>4</v>
      </c>
      <c r="L240" s="192" t="str">
        <f t="shared" si="189"/>
        <v/>
      </c>
      <c r="M240" s="216">
        <f t="shared" ca="1" si="197"/>
        <v>0</v>
      </c>
      <c r="N240" s="216"/>
      <c r="O240" s="216"/>
      <c r="P240" s="216"/>
      <c r="Q240" s="456" t="str">
        <f t="shared" ca="1" si="198"/>
        <v/>
      </c>
      <c r="R240" s="450">
        <f t="shared" ca="1" si="199"/>
        <v>1</v>
      </c>
      <c r="S240" s="191">
        <f t="shared" si="242"/>
        <v>20</v>
      </c>
      <c r="T240" s="191">
        <f t="shared" si="243"/>
        <v>4</v>
      </c>
      <c r="U240" s="191">
        <f ca="1">OP!$D$5+$S240-1</f>
        <v>52</v>
      </c>
      <c r="V240" s="191" t="str">
        <f t="shared" si="244"/>
        <v/>
      </c>
      <c r="W240" s="350">
        <f ca="1">IF(Q240&lt;&gt;1,0,VLOOKUP(OP!$C$55,PVFB,$S240+2,0))</f>
        <v>0</v>
      </c>
      <c r="X240" s="473">
        <f t="shared" ca="1" si="229"/>
        <v>0</v>
      </c>
      <c r="Y240" s="348">
        <f t="shared" ca="1" si="230"/>
        <v>0</v>
      </c>
      <c r="Z240" s="348">
        <f t="shared" ca="1" si="245"/>
        <v>8012</v>
      </c>
      <c r="AA240" s="348">
        <f ca="1">IF(Q240&lt;&gt;1,0,VLOOKUP(OP!$C$55,PVFB,$S240+2,0))</f>
        <v>0</v>
      </c>
      <c r="AB240" s="488" t="str">
        <f ca="1">IF(AND(S240&lt;OP!$C$24,$U240&lt;15),0,IF(AND($U240&lt;15,$T240=12),ROUND(VLOOKUP($S240,DOWN16,5,0),3),IF($T240=12,ROUND(($Z240/10000)*$AA240,3)+IF(AND($P$7="購買增額繳清保險",T240=12,U240=110),VLOOKUP(S240,$B$10:$H$121,7,0),0),"")))</f>
        <v/>
      </c>
      <c r="AC240" s="350" t="str">
        <f ca="1">IF(AND(S240&lt;OP!$C$24,$U240&lt;15),0,IF(AND($U240&lt;16,$T240=12),VLOOKUP($S240,DOWN16,4,0),IF($T240=12,ROUND(VLOOKUP(OP!$C$55,_DIE2,$S240+1,0)*(Z240/10000),0)+IF(AND($P$7="購買增額繳清保險",T240=12,U240=110),VLOOKUP(S240,$B$10:$H$121,7,0),0),"")))</f>
        <v/>
      </c>
      <c r="AD240" s="347"/>
      <c r="AE240" s="350" t="str">
        <f t="shared" ca="1" si="246"/>
        <v/>
      </c>
      <c r="AF240" s="351" t="str">
        <f t="shared" ca="1" si="247"/>
        <v/>
      </c>
      <c r="AG240" s="340"/>
      <c r="AH240" s="340"/>
      <c r="AI240" s="340"/>
      <c r="AJ240" s="340"/>
      <c r="AK240" s="340"/>
      <c r="AL240" s="340"/>
      <c r="AM240" s="340"/>
      <c r="AN240" s="340"/>
      <c r="AO240" s="340"/>
      <c r="AP240" s="340"/>
      <c r="AQ240" s="340"/>
      <c r="AR240" s="340"/>
      <c r="AS240" s="340"/>
      <c r="AT240" s="340"/>
      <c r="AU240" s="340"/>
      <c r="AV240" s="340"/>
      <c r="AY240" s="340"/>
      <c r="AZ240" s="465">
        <f t="shared" ca="1" si="209"/>
        <v>7.3698599999999999E-5</v>
      </c>
      <c r="BA240" s="464">
        <f t="shared" ca="1" si="210"/>
        <v>2.1372602999999999E-3</v>
      </c>
      <c r="BB240" s="465">
        <f t="shared" ca="1" si="210"/>
        <v>2.2109589000000002E-3</v>
      </c>
      <c r="BC240" s="466">
        <f t="shared" ca="1" si="211"/>
        <v>49919</v>
      </c>
      <c r="BD240" s="467">
        <f t="shared" ca="1" si="232"/>
        <v>49920</v>
      </c>
      <c r="BE240" s="467">
        <f t="shared" ca="1" si="212"/>
        <v>49948</v>
      </c>
      <c r="BF240" s="468">
        <f ca="1">IF(計算!$BC240&lt;OP!$C$3,0,BD240-BC240)</f>
        <v>1</v>
      </c>
      <c r="BG240" s="468">
        <f ca="1">IF($BE240&gt;DATE(YEAR($BD$9)+OP!$C$57,MONTH($BD$9),DAY($BD$9)),0,$BE240-$BD240+1)</f>
        <v>29</v>
      </c>
      <c r="BH240" s="469">
        <f t="shared" ca="1" si="213"/>
        <v>30</v>
      </c>
      <c r="BI240" t="str">
        <f t="shared" si="248"/>
        <v/>
      </c>
      <c r="BJ240">
        <v>3</v>
      </c>
      <c r="BN240" s="468">
        <f t="shared" si="233"/>
        <v>20</v>
      </c>
      <c r="BO240" s="468">
        <f t="shared" si="234"/>
        <v>3</v>
      </c>
      <c r="BP240" s="467">
        <f t="shared" ca="1" si="214"/>
        <v>49920</v>
      </c>
      <c r="BQ240" s="475">
        <f t="shared" ca="1" si="240"/>
        <v>52</v>
      </c>
      <c r="BR240" s="475" t="str">
        <f t="shared" si="235"/>
        <v/>
      </c>
      <c r="BS240" s="471" t="str">
        <f t="shared" si="215"/>
        <v/>
      </c>
      <c r="BT240" s="472" t="str">
        <f t="shared" si="249"/>
        <v/>
      </c>
      <c r="BU240" s="472">
        <f t="shared" ca="1" si="216"/>
        <v>0</v>
      </c>
      <c r="BV240" s="472">
        <f t="shared" ca="1" si="216"/>
        <v>0</v>
      </c>
      <c r="BW240" s="472"/>
      <c r="BX240" s="473">
        <f t="shared" ca="1" si="217"/>
        <v>126970.48175996399</v>
      </c>
      <c r="BY240" s="473">
        <f t="shared" si="218"/>
        <v>0</v>
      </c>
      <c r="BZ240" s="473">
        <f t="shared" ca="1" si="192"/>
        <v>280.72651668399999</v>
      </c>
      <c r="CA240" s="476">
        <f t="shared" ca="1" si="219"/>
        <v>0</v>
      </c>
      <c r="CB240" s="494">
        <f ca="1">IF(OR($Q239&lt;&gt;1,OP!$D$5+$BN240-1&lt;16,$BN240-1&lt;1),0,ROUND(ROUND(ROUND(((VLOOKUP($BN240-1,MORE_PV,5,0)/10000)*VLOOKUP($BN240,MORE_PV,$CB$5,0)),3)*VLOOKUP($BN240,more1,5,0),0)/$R239,0))</f>
        <v>0</v>
      </c>
      <c r="CC240" s="473">
        <f t="shared" ca="1" si="220"/>
        <v>0</v>
      </c>
      <c r="CD240" s="477"/>
    </row>
    <row r="241" spans="2:82" ht="16.5" hidden="1">
      <c r="B241" s="80"/>
      <c r="C241" s="80"/>
      <c r="D241" s="80"/>
      <c r="E241" s="80"/>
      <c r="F241" s="80"/>
      <c r="G241" s="80"/>
      <c r="H241" s="80"/>
      <c r="I241" s="80"/>
      <c r="J241" s="192">
        <f t="shared" si="195"/>
        <v>20</v>
      </c>
      <c r="K241" s="192">
        <f t="shared" si="196"/>
        <v>5</v>
      </c>
      <c r="L241" s="192" t="str">
        <f t="shared" si="189"/>
        <v/>
      </c>
      <c r="M241" s="216">
        <f t="shared" ca="1" si="197"/>
        <v>0</v>
      </c>
      <c r="N241" s="216"/>
      <c r="O241" s="216"/>
      <c r="P241" s="216"/>
      <c r="Q241" s="456" t="str">
        <f t="shared" ca="1" si="198"/>
        <v/>
      </c>
      <c r="R241" s="450">
        <f t="shared" ca="1" si="199"/>
        <v>1</v>
      </c>
      <c r="S241" s="191">
        <f t="shared" si="242"/>
        <v>20</v>
      </c>
      <c r="T241" s="191">
        <f t="shared" si="243"/>
        <v>5</v>
      </c>
      <c r="U241" s="191">
        <f ca="1">OP!$D$5+$S241-1</f>
        <v>52</v>
      </c>
      <c r="V241" s="191" t="str">
        <f t="shared" si="244"/>
        <v/>
      </c>
      <c r="W241" s="350">
        <f ca="1">IF(Q241&lt;&gt;1,0,VLOOKUP(OP!$C$55,PVFB,$S241+2,0))</f>
        <v>0</v>
      </c>
      <c r="X241" s="473">
        <f t="shared" ca="1" si="229"/>
        <v>0</v>
      </c>
      <c r="Y241" s="348">
        <f t="shared" ca="1" si="230"/>
        <v>0</v>
      </c>
      <c r="Z241" s="348">
        <f t="shared" ca="1" si="245"/>
        <v>8012</v>
      </c>
      <c r="AA241" s="348">
        <f ca="1">IF(Q241&lt;&gt;1,0,VLOOKUP(OP!$C$55,PVFB,$S241+2,0))</f>
        <v>0</v>
      </c>
      <c r="AB241" s="488" t="str">
        <f ca="1">IF(AND(S241&lt;OP!$C$24,$U241&lt;15),0,IF(AND($U241&lt;15,$T241=12),ROUND(VLOOKUP($S241,DOWN16,5,0),3),IF($T241=12,ROUND(($Z241/10000)*$AA241,3)+IF(AND($P$7="購買增額繳清保險",T241=12,U241=110),VLOOKUP(S241,$B$10:$H$121,7,0),0),"")))</f>
        <v/>
      </c>
      <c r="AC241" s="350" t="str">
        <f ca="1">IF(AND(S241&lt;OP!$C$24,$U241&lt;15),0,IF(AND($U241&lt;16,$T241=12),VLOOKUP($S241,DOWN16,4,0),IF($T241=12,ROUND(VLOOKUP(OP!$C$55,_DIE2,$S241+1,0)*(Z241/10000),0)+IF(AND($P$7="購買增額繳清保險",T241=12,U241=110),VLOOKUP(S241,$B$10:$H$121,7,0),0),"")))</f>
        <v/>
      </c>
      <c r="AD241" s="347"/>
      <c r="AE241" s="350" t="str">
        <f t="shared" ca="1" si="246"/>
        <v/>
      </c>
      <c r="AF241" s="351" t="str">
        <f t="shared" ca="1" si="247"/>
        <v/>
      </c>
      <c r="AG241" s="340"/>
      <c r="AH241" s="340"/>
      <c r="AI241" s="340"/>
      <c r="AJ241" s="340"/>
      <c r="AK241" s="340"/>
      <c r="AL241" s="340"/>
      <c r="AM241" s="340"/>
      <c r="AN241" s="340"/>
      <c r="AO241" s="340"/>
      <c r="AP241" s="340"/>
      <c r="AQ241" s="340"/>
      <c r="AR241" s="340"/>
      <c r="AS241" s="340"/>
      <c r="AT241" s="340"/>
      <c r="AU241" s="340"/>
      <c r="AV241" s="340"/>
      <c r="AY241" s="340"/>
      <c r="AZ241" s="465">
        <f t="shared" ca="1" si="209"/>
        <v>7.3698599999999999E-5</v>
      </c>
      <c r="BA241" s="464">
        <f t="shared" ca="1" si="210"/>
        <v>2.2109589000000002E-3</v>
      </c>
      <c r="BB241" s="465">
        <f t="shared" ca="1" si="210"/>
        <v>2.2846575E-3</v>
      </c>
      <c r="BC241" s="466">
        <f t="shared" ca="1" si="211"/>
        <v>49949</v>
      </c>
      <c r="BD241" s="467">
        <f t="shared" ca="1" si="232"/>
        <v>49950</v>
      </c>
      <c r="BE241" s="467">
        <f t="shared" ca="1" si="212"/>
        <v>49979</v>
      </c>
      <c r="BF241" s="468">
        <f ca="1">IF(計算!$BC241&lt;OP!$C$3,0,BD241-BC241)</f>
        <v>1</v>
      </c>
      <c r="BG241" s="468">
        <f ca="1">IF($BE241&gt;DATE(YEAR($BD$9)+OP!$C$57,MONTH($BD$9),DAY($BD$9)),0,$BE241-$BD241+1)</f>
        <v>30</v>
      </c>
      <c r="BH241" s="469">
        <f t="shared" ca="1" si="213"/>
        <v>31</v>
      </c>
      <c r="BI241" t="str">
        <f t="shared" si="248"/>
        <v/>
      </c>
      <c r="BJ241">
        <v>4</v>
      </c>
      <c r="BN241" s="468">
        <f t="shared" si="233"/>
        <v>20</v>
      </c>
      <c r="BO241" s="468">
        <f t="shared" si="234"/>
        <v>4</v>
      </c>
      <c r="BP241" s="467">
        <f t="shared" ca="1" si="214"/>
        <v>49950</v>
      </c>
      <c r="BQ241" s="475">
        <f t="shared" ca="1" si="240"/>
        <v>52</v>
      </c>
      <c r="BR241" s="475" t="str">
        <f t="shared" si="235"/>
        <v/>
      </c>
      <c r="BS241" s="471" t="str">
        <f t="shared" si="215"/>
        <v/>
      </c>
      <c r="BT241" s="472" t="str">
        <f t="shared" si="249"/>
        <v/>
      </c>
      <c r="BU241" s="472">
        <f t="shared" ca="1" si="216"/>
        <v>0</v>
      </c>
      <c r="BV241" s="472">
        <f t="shared" ca="1" si="216"/>
        <v>0</v>
      </c>
      <c r="BW241" s="472"/>
      <c r="BX241" s="473">
        <f t="shared" ca="1" si="217"/>
        <v>127251.208276648</v>
      </c>
      <c r="BY241" s="473">
        <f t="shared" si="218"/>
        <v>0</v>
      </c>
      <c r="BZ241" s="473">
        <f t="shared" ca="1" si="192"/>
        <v>290.725427373</v>
      </c>
      <c r="CA241" s="476">
        <f t="shared" ca="1" si="219"/>
        <v>0</v>
      </c>
      <c r="CB241" s="494">
        <f ca="1">IF(OR($Q240&lt;&gt;1,OP!$D$5+$BN241-1&lt;16,$BN241-1&lt;1),0,ROUND(ROUND(ROUND(((VLOOKUP($BN241-1,MORE_PV,5,0)/10000)*VLOOKUP($BN241,MORE_PV,$CB$5,0)),3)*VLOOKUP($BN241,more1,5,0),0)/$R240,0))</f>
        <v>0</v>
      </c>
      <c r="CC241" s="473">
        <f t="shared" ca="1" si="220"/>
        <v>0</v>
      </c>
      <c r="CD241" s="477"/>
    </row>
    <row r="242" spans="2:82" ht="16.5" hidden="1">
      <c r="B242" s="80"/>
      <c r="C242" s="80"/>
      <c r="D242" s="80"/>
      <c r="E242" s="80"/>
      <c r="F242" s="80"/>
      <c r="G242" s="80"/>
      <c r="H242" s="80"/>
      <c r="I242" s="80"/>
      <c r="J242" s="192">
        <f t="shared" si="195"/>
        <v>20</v>
      </c>
      <c r="K242" s="192">
        <f t="shared" si="196"/>
        <v>6</v>
      </c>
      <c r="L242" s="192" t="str">
        <f t="shared" si="189"/>
        <v/>
      </c>
      <c r="M242" s="216">
        <f t="shared" ca="1" si="197"/>
        <v>0</v>
      </c>
      <c r="N242" s="216"/>
      <c r="O242" s="216"/>
      <c r="P242" s="216"/>
      <c r="Q242" s="456" t="str">
        <f t="shared" ca="1" si="198"/>
        <v/>
      </c>
      <c r="R242" s="450">
        <f t="shared" ca="1" si="199"/>
        <v>1</v>
      </c>
      <c r="S242" s="191">
        <f t="shared" si="242"/>
        <v>20</v>
      </c>
      <c r="T242" s="191">
        <f t="shared" si="243"/>
        <v>6</v>
      </c>
      <c r="U242" s="191">
        <f ca="1">OP!$D$5+$S242-1</f>
        <v>52</v>
      </c>
      <c r="V242" s="191" t="str">
        <f t="shared" si="244"/>
        <v/>
      </c>
      <c r="W242" s="350">
        <f ca="1">IF(Q242&lt;&gt;1,0,VLOOKUP(OP!$C$55,PVFB,$S242+2,0))</f>
        <v>0</v>
      </c>
      <c r="X242" s="473">
        <f t="shared" ca="1" si="229"/>
        <v>0</v>
      </c>
      <c r="Y242" s="348">
        <f t="shared" ca="1" si="230"/>
        <v>0</v>
      </c>
      <c r="Z242" s="348">
        <f t="shared" ca="1" si="245"/>
        <v>8012</v>
      </c>
      <c r="AA242" s="348">
        <f ca="1">IF(Q242&lt;&gt;1,0,VLOOKUP(OP!$C$55,PVFB,$S242+2,0))</f>
        <v>0</v>
      </c>
      <c r="AB242" s="488" t="str">
        <f ca="1">IF(AND(S242&lt;OP!$C$24,$U242&lt;15),0,IF(AND($U242&lt;15,$T242=12),ROUND(VLOOKUP($S242,DOWN16,5,0),3),IF($T242=12,ROUND(($Z242/10000)*$AA242,3)+IF(AND($P$7="購買增額繳清保險",T242=12,U242=110),VLOOKUP(S242,$B$10:$H$121,7,0),0),"")))</f>
        <v/>
      </c>
      <c r="AC242" s="350" t="str">
        <f ca="1">IF(AND(S242&lt;OP!$C$24,$U242&lt;15),0,IF(AND($U242&lt;16,$T242=12),VLOOKUP($S242,DOWN16,4,0),IF($T242=12,ROUND(VLOOKUP(OP!$C$55,_DIE2,$S242+1,0)*(Z242/10000),0)+IF(AND($P$7="購買增額繳清保險",T242=12,U242=110),VLOOKUP(S242,$B$10:$H$121,7,0),0),"")))</f>
        <v/>
      </c>
      <c r="AD242" s="347"/>
      <c r="AE242" s="350" t="str">
        <f t="shared" ca="1" si="246"/>
        <v/>
      </c>
      <c r="AF242" s="351" t="str">
        <f t="shared" ca="1" si="247"/>
        <v/>
      </c>
      <c r="AG242" s="340"/>
      <c r="AH242" s="340"/>
      <c r="AI242" s="340"/>
      <c r="AJ242" s="340"/>
      <c r="AK242" s="340"/>
      <c r="AL242" s="340"/>
      <c r="AM242" s="340"/>
      <c r="AN242" s="340"/>
      <c r="AO242" s="340"/>
      <c r="AP242" s="340"/>
      <c r="AQ242" s="340"/>
      <c r="AR242" s="340"/>
      <c r="AS242" s="340"/>
      <c r="AT242" s="340"/>
      <c r="AU242" s="340"/>
      <c r="AV242" s="340"/>
      <c r="AY242" s="340"/>
      <c r="AZ242" s="465">
        <f t="shared" ca="1" si="209"/>
        <v>7.3698599999999999E-5</v>
      </c>
      <c r="BA242" s="464">
        <f t="shared" ca="1" si="210"/>
        <v>2.1372602999999999E-3</v>
      </c>
      <c r="BB242" s="465">
        <f t="shared" ca="1" si="210"/>
        <v>2.2109589000000002E-3</v>
      </c>
      <c r="BC242" s="466">
        <f t="shared" ca="1" si="211"/>
        <v>49980</v>
      </c>
      <c r="BD242" s="467">
        <f t="shared" ca="1" si="232"/>
        <v>49981</v>
      </c>
      <c r="BE242" s="467">
        <f t="shared" ca="1" si="212"/>
        <v>50009</v>
      </c>
      <c r="BF242" s="468">
        <f ca="1">IF(計算!$BC242&lt;OP!$C$3,0,BD242-BC242)</f>
        <v>1</v>
      </c>
      <c r="BG242" s="468">
        <f ca="1">IF($BE242&gt;DATE(YEAR($BD$9)+OP!$C$57,MONTH($BD$9),DAY($BD$9)),0,$BE242-$BD242+1)</f>
        <v>29</v>
      </c>
      <c r="BH242" s="469">
        <f t="shared" ca="1" si="213"/>
        <v>30</v>
      </c>
      <c r="BI242" t="str">
        <f t="shared" si="248"/>
        <v/>
      </c>
      <c r="BJ242">
        <v>5</v>
      </c>
      <c r="BN242" s="468">
        <f t="shared" si="233"/>
        <v>20</v>
      </c>
      <c r="BO242" s="468">
        <f t="shared" si="234"/>
        <v>5</v>
      </c>
      <c r="BP242" s="467">
        <f t="shared" ca="1" si="214"/>
        <v>49981</v>
      </c>
      <c r="BQ242" s="475">
        <f t="shared" ca="1" si="240"/>
        <v>52</v>
      </c>
      <c r="BR242" s="475" t="str">
        <f t="shared" si="235"/>
        <v/>
      </c>
      <c r="BS242" s="471" t="str">
        <f t="shared" si="215"/>
        <v/>
      </c>
      <c r="BT242" s="472" t="str">
        <f t="shared" si="249"/>
        <v/>
      </c>
      <c r="BU242" s="472">
        <f t="shared" ca="1" si="216"/>
        <v>0</v>
      </c>
      <c r="BV242" s="472">
        <f t="shared" ca="1" si="216"/>
        <v>0</v>
      </c>
      <c r="BW242" s="472"/>
      <c r="BX242" s="473">
        <f t="shared" ca="1" si="217"/>
        <v>127541.93370402099</v>
      </c>
      <c r="BY242" s="473">
        <f t="shared" si="218"/>
        <v>0</v>
      </c>
      <c r="BZ242" s="473">
        <f t="shared" ca="1" si="192"/>
        <v>281.98997344600002</v>
      </c>
      <c r="CA242" s="476">
        <f t="shared" ca="1" si="219"/>
        <v>0</v>
      </c>
      <c r="CB242" s="494">
        <f ca="1">IF(OR($Q241&lt;&gt;1,OP!$D$5+$BN242-1&lt;16,$BN242-1&lt;1),0,ROUND(ROUND(ROUND(((VLOOKUP($BN242-1,MORE_PV,5,0)/10000)*VLOOKUP($BN242,MORE_PV,$CB$5,0)),3)*VLOOKUP($BN242,more1,5,0),0)/$R241,0))</f>
        <v>0</v>
      </c>
      <c r="CC242" s="473">
        <f t="shared" ca="1" si="220"/>
        <v>0</v>
      </c>
      <c r="CD242" s="477"/>
    </row>
    <row r="243" spans="2:82" ht="16.5" hidden="1">
      <c r="B243" s="80"/>
      <c r="C243" s="80"/>
      <c r="D243" s="80"/>
      <c r="E243" s="80"/>
      <c r="F243" s="80"/>
      <c r="G243" s="80"/>
      <c r="H243" s="80"/>
      <c r="I243" s="80"/>
      <c r="J243" s="192">
        <f t="shared" si="195"/>
        <v>20</v>
      </c>
      <c r="K243" s="192">
        <f t="shared" si="196"/>
        <v>7</v>
      </c>
      <c r="L243" s="192" t="str">
        <f t="shared" si="189"/>
        <v/>
      </c>
      <c r="M243" s="216">
        <f t="shared" ca="1" si="197"/>
        <v>0</v>
      </c>
      <c r="N243" s="216"/>
      <c r="O243" s="216"/>
      <c r="P243" s="216"/>
      <c r="Q243" s="456" t="str">
        <f t="shared" ca="1" si="198"/>
        <v/>
      </c>
      <c r="R243" s="450">
        <f t="shared" ca="1" si="199"/>
        <v>1</v>
      </c>
      <c r="S243" s="191">
        <f t="shared" si="242"/>
        <v>20</v>
      </c>
      <c r="T243" s="191">
        <f t="shared" si="243"/>
        <v>7</v>
      </c>
      <c r="U243" s="191">
        <f ca="1">OP!$D$5+$S243-1</f>
        <v>52</v>
      </c>
      <c r="V243" s="191" t="str">
        <f t="shared" si="244"/>
        <v/>
      </c>
      <c r="W243" s="350">
        <f ca="1">IF(Q243&lt;&gt;1,0,VLOOKUP(OP!$C$55,PVFB,$S243+2,0))</f>
        <v>0</v>
      </c>
      <c r="X243" s="473">
        <f t="shared" ca="1" si="229"/>
        <v>0</v>
      </c>
      <c r="Y243" s="348">
        <f t="shared" ca="1" si="230"/>
        <v>0</v>
      </c>
      <c r="Z243" s="348">
        <f t="shared" ca="1" si="245"/>
        <v>8012</v>
      </c>
      <c r="AA243" s="348">
        <f ca="1">IF(Q243&lt;&gt;1,0,VLOOKUP(OP!$C$55,PVFB,$S243+2,0))</f>
        <v>0</v>
      </c>
      <c r="AB243" s="488" t="str">
        <f ca="1">IF(AND(S243&lt;OP!$C$24,$U243&lt;15),0,IF(AND($U243&lt;15,$T243=12),ROUND(VLOOKUP($S243,DOWN16,5,0),3),IF($T243=12,ROUND(($Z243/10000)*$AA243,3)+IF(AND($P$7="購買增額繳清保險",T243=12,U243=110),VLOOKUP(S243,$B$10:$H$121,7,0),0),"")))</f>
        <v/>
      </c>
      <c r="AC243" s="350" t="str">
        <f ca="1">IF(AND(S243&lt;OP!$C$24,$U243&lt;15),0,IF(AND($U243&lt;16,$T243=12),VLOOKUP($S243,DOWN16,4,0),IF($T243=12,ROUND(VLOOKUP(OP!$C$55,_DIE2,$S243+1,0)*(Z243/10000),0)+IF(AND($P$7="購買增額繳清保險",T243=12,U243=110),VLOOKUP(S243,$B$10:$H$121,7,0),0),"")))</f>
        <v/>
      </c>
      <c r="AD243" s="347"/>
      <c r="AE243" s="350" t="str">
        <f t="shared" ca="1" si="246"/>
        <v/>
      </c>
      <c r="AF243" s="351" t="str">
        <f t="shared" ca="1" si="247"/>
        <v/>
      </c>
      <c r="AG243" s="340"/>
      <c r="AH243" s="340"/>
      <c r="AI243" s="340"/>
      <c r="AJ243" s="340"/>
      <c r="AK243" s="340"/>
      <c r="AL243" s="340"/>
      <c r="AM243" s="340"/>
      <c r="AN243" s="340"/>
      <c r="AO243" s="340"/>
      <c r="AP243" s="340"/>
      <c r="AQ243" s="340"/>
      <c r="AR243" s="340"/>
      <c r="AS243" s="340"/>
      <c r="AT243" s="340"/>
      <c r="AU243" s="340"/>
      <c r="AV243" s="340"/>
      <c r="AY243" s="340"/>
      <c r="AZ243" s="465">
        <f t="shared" ca="1" si="209"/>
        <v>7.3698599999999999E-5</v>
      </c>
      <c r="BA243" s="464">
        <f t="shared" ca="1" si="210"/>
        <v>2.2109589000000002E-3</v>
      </c>
      <c r="BB243" s="465">
        <f t="shared" ca="1" si="210"/>
        <v>2.2846575E-3</v>
      </c>
      <c r="BC243" s="466">
        <f t="shared" ca="1" si="211"/>
        <v>50010</v>
      </c>
      <c r="BD243" s="467">
        <f t="shared" ca="1" si="232"/>
        <v>50011</v>
      </c>
      <c r="BE243" s="467">
        <f t="shared" ca="1" si="212"/>
        <v>50040</v>
      </c>
      <c r="BF243" s="468">
        <f ca="1">IF(計算!$BC243&lt;OP!$C$3,0,BD243-BC243)</f>
        <v>1</v>
      </c>
      <c r="BG243" s="468">
        <f ca="1">IF($BE243&gt;DATE(YEAR($BD$9)+OP!$C$57,MONTH($BD$9),DAY($BD$9)),0,$BE243-$BD243+1)</f>
        <v>30</v>
      </c>
      <c r="BH243" s="469">
        <f t="shared" ca="1" si="213"/>
        <v>31</v>
      </c>
      <c r="BI243" t="str">
        <f t="shared" si="248"/>
        <v/>
      </c>
      <c r="BJ243">
        <v>6</v>
      </c>
      <c r="BN243" s="468">
        <f t="shared" si="233"/>
        <v>20</v>
      </c>
      <c r="BO243" s="468">
        <f t="shared" si="234"/>
        <v>6</v>
      </c>
      <c r="BP243" s="467">
        <f t="shared" ca="1" si="214"/>
        <v>50011</v>
      </c>
      <c r="BQ243" s="475">
        <f t="shared" ca="1" si="240"/>
        <v>52</v>
      </c>
      <c r="BR243" s="475" t="str">
        <f t="shared" si="235"/>
        <v/>
      </c>
      <c r="BS243" s="471" t="str">
        <f t="shared" si="215"/>
        <v/>
      </c>
      <c r="BT243" s="472" t="str">
        <f t="shared" si="249"/>
        <v/>
      </c>
      <c r="BU243" s="472">
        <f t="shared" ca="1" si="216"/>
        <v>0</v>
      </c>
      <c r="BV243" s="472">
        <f t="shared" ca="1" si="216"/>
        <v>0</v>
      </c>
      <c r="BW243" s="472"/>
      <c r="BX243" s="473">
        <f t="shared" ca="1" si="217"/>
        <v>127823.923677467</v>
      </c>
      <c r="BY243" s="473">
        <f t="shared" si="218"/>
        <v>0</v>
      </c>
      <c r="BZ243" s="473">
        <f t="shared" ca="1" si="192"/>
        <v>292.03388590899999</v>
      </c>
      <c r="CA243" s="476">
        <f t="shared" ca="1" si="219"/>
        <v>0</v>
      </c>
      <c r="CB243" s="494">
        <f ca="1">IF(OR($Q242&lt;&gt;1,OP!$D$5+$BN243-1&lt;16,$BN243-1&lt;1),0,ROUND(ROUND(ROUND(((VLOOKUP($BN243-1,MORE_PV,5,0)/10000)*VLOOKUP($BN243,MORE_PV,$CB$5,0)),3)*VLOOKUP($BN243,more1,5,0),0)/$R242,0))</f>
        <v>0</v>
      </c>
      <c r="CC243" s="473">
        <f t="shared" ca="1" si="220"/>
        <v>0</v>
      </c>
      <c r="CD243" s="477"/>
    </row>
    <row r="244" spans="2:82" ht="16.5" hidden="1">
      <c r="B244" s="80"/>
      <c r="C244" s="80"/>
      <c r="D244" s="80"/>
      <c r="E244" s="80"/>
      <c r="F244" s="80"/>
      <c r="G244" s="80"/>
      <c r="H244" s="80"/>
      <c r="I244" s="80"/>
      <c r="J244" s="192">
        <f t="shared" si="195"/>
        <v>20</v>
      </c>
      <c r="K244" s="192">
        <f t="shared" si="196"/>
        <v>8</v>
      </c>
      <c r="L244" s="192" t="str">
        <f t="shared" si="189"/>
        <v/>
      </c>
      <c r="M244" s="216">
        <f t="shared" ca="1" si="197"/>
        <v>0</v>
      </c>
      <c r="N244" s="216"/>
      <c r="O244" s="216"/>
      <c r="P244" s="216"/>
      <c r="Q244" s="456" t="str">
        <f t="shared" ca="1" si="198"/>
        <v/>
      </c>
      <c r="R244" s="450">
        <f t="shared" ca="1" si="199"/>
        <v>1</v>
      </c>
      <c r="S244" s="191">
        <f t="shared" si="242"/>
        <v>20</v>
      </c>
      <c r="T244" s="191">
        <f t="shared" si="243"/>
        <v>8</v>
      </c>
      <c r="U244" s="191">
        <f ca="1">OP!$D$5+$S244-1</f>
        <v>52</v>
      </c>
      <c r="V244" s="191" t="str">
        <f t="shared" si="244"/>
        <v/>
      </c>
      <c r="W244" s="350">
        <f ca="1">IF(Q244&lt;&gt;1,0,VLOOKUP(OP!$C$55,PVFB,$S244+2,0))</f>
        <v>0</v>
      </c>
      <c r="X244" s="473">
        <f t="shared" ca="1" si="229"/>
        <v>0</v>
      </c>
      <c r="Y244" s="348">
        <f t="shared" ca="1" si="230"/>
        <v>0</v>
      </c>
      <c r="Z244" s="348">
        <f t="shared" ca="1" si="245"/>
        <v>8012</v>
      </c>
      <c r="AA244" s="348">
        <f ca="1">IF(Q244&lt;&gt;1,0,VLOOKUP(OP!$C$55,PVFB,$S244+2,0))</f>
        <v>0</v>
      </c>
      <c r="AB244" s="488" t="str">
        <f ca="1">IF(AND(S244&lt;OP!$C$24,$U244&lt;15),0,IF(AND($U244&lt;15,$T244=12),ROUND(VLOOKUP($S244,DOWN16,5,0),3),IF($T244=12,ROUND(($Z244/10000)*$AA244,3)+IF(AND($P$7="購買增額繳清保險",T244=12,U244=110),VLOOKUP(S244,$B$10:$H$121,7,0),0),"")))</f>
        <v/>
      </c>
      <c r="AC244" s="350" t="str">
        <f ca="1">IF(AND(S244&lt;OP!$C$24,$U244&lt;15),0,IF(AND($U244&lt;16,$T244=12),VLOOKUP($S244,DOWN16,4,0),IF($T244=12,ROUND(VLOOKUP(OP!$C$55,_DIE2,$S244+1,0)*(Z244/10000),0)+IF(AND($P$7="購買增額繳清保險",T244=12,U244=110),VLOOKUP(S244,$B$10:$H$121,7,0),0),"")))</f>
        <v/>
      </c>
      <c r="AD244" s="347"/>
      <c r="AE244" s="350" t="str">
        <f t="shared" ca="1" si="246"/>
        <v/>
      </c>
      <c r="AF244" s="351" t="str">
        <f t="shared" ca="1" si="247"/>
        <v/>
      </c>
      <c r="AG244" s="340"/>
      <c r="AH244" s="340"/>
      <c r="AI244" s="340"/>
      <c r="AJ244" s="340"/>
      <c r="AK244" s="340"/>
      <c r="AL244" s="340"/>
      <c r="AM244" s="340"/>
      <c r="AN244" s="340"/>
      <c r="AO244" s="340"/>
      <c r="AP244" s="340"/>
      <c r="AQ244" s="340"/>
      <c r="AR244" s="340"/>
      <c r="AS244" s="340"/>
      <c r="AT244" s="340"/>
      <c r="AU244" s="340"/>
      <c r="AV244" s="340"/>
      <c r="AY244" s="340"/>
      <c r="AZ244" s="465">
        <f t="shared" ca="1" si="209"/>
        <v>7.3698599999999999E-5</v>
      </c>
      <c r="BA244" s="464">
        <f t="shared" ca="1" si="210"/>
        <v>2.2109589000000002E-3</v>
      </c>
      <c r="BB244" s="465">
        <f t="shared" ca="1" si="210"/>
        <v>2.2846575E-3</v>
      </c>
      <c r="BC244" s="466">
        <f t="shared" ca="1" si="211"/>
        <v>50041</v>
      </c>
      <c r="BD244" s="467">
        <f t="shared" ca="1" si="232"/>
        <v>50042</v>
      </c>
      <c r="BE244" s="467">
        <f t="shared" ca="1" si="212"/>
        <v>50071</v>
      </c>
      <c r="BF244" s="468">
        <f ca="1">IF(計算!$BC244&lt;OP!$C$3,0,BD244-BC244)</f>
        <v>1</v>
      </c>
      <c r="BG244" s="468">
        <f ca="1">IF($BE244&gt;DATE(YEAR($BD$9)+OP!$C$57,MONTH($BD$9),DAY($BD$9)),0,$BE244-$BD244+1)</f>
        <v>30</v>
      </c>
      <c r="BH244" s="469">
        <f t="shared" ca="1" si="213"/>
        <v>31</v>
      </c>
      <c r="BI244" t="str">
        <f t="shared" si="248"/>
        <v/>
      </c>
      <c r="BJ244">
        <v>7</v>
      </c>
      <c r="BN244" s="468">
        <f t="shared" si="233"/>
        <v>20</v>
      </c>
      <c r="BO244" s="468">
        <f t="shared" si="234"/>
        <v>7</v>
      </c>
      <c r="BP244" s="467">
        <f t="shared" ca="1" si="214"/>
        <v>50042</v>
      </c>
      <c r="BQ244" s="475">
        <f t="shared" ca="1" si="240"/>
        <v>52</v>
      </c>
      <c r="BR244" s="475" t="str">
        <f t="shared" si="235"/>
        <v/>
      </c>
      <c r="BS244" s="471" t="str">
        <f t="shared" si="215"/>
        <v/>
      </c>
      <c r="BT244" s="472" t="str">
        <f t="shared" si="249"/>
        <v/>
      </c>
      <c r="BU244" s="472">
        <f t="shared" ca="1" si="216"/>
        <v>0</v>
      </c>
      <c r="BV244" s="472">
        <f t="shared" ca="1" si="216"/>
        <v>0</v>
      </c>
      <c r="BW244" s="472"/>
      <c r="BX244" s="473">
        <f t="shared" ca="1" si="217"/>
        <v>128115.957563376</v>
      </c>
      <c r="BY244" s="473">
        <f t="shared" si="218"/>
        <v>0</v>
      </c>
      <c r="BZ244" s="473">
        <f t="shared" ca="1" si="192"/>
        <v>292.70108331699998</v>
      </c>
      <c r="CA244" s="476">
        <f t="shared" ca="1" si="219"/>
        <v>0</v>
      </c>
      <c r="CB244" s="494">
        <f ca="1">IF(OR($Q243&lt;&gt;1,OP!$D$5+$BN244-1&lt;16,$BN244-1&lt;1),0,ROUND(ROUND(ROUND(((VLOOKUP($BN244-1,MORE_PV,5,0)/10000)*VLOOKUP($BN244,MORE_PV,$CB$5,0)),3)*VLOOKUP($BN244,more1,5,0),0)/$R243,0))</f>
        <v>0</v>
      </c>
      <c r="CC244" s="473">
        <f t="shared" ca="1" si="220"/>
        <v>0</v>
      </c>
      <c r="CD244" s="477"/>
    </row>
    <row r="245" spans="2:82" ht="16.5" hidden="1">
      <c r="B245" s="80"/>
      <c r="C245" s="80"/>
      <c r="D245" s="80"/>
      <c r="E245" s="80"/>
      <c r="F245" s="80"/>
      <c r="G245" s="80"/>
      <c r="H245" s="80"/>
      <c r="I245" s="80"/>
      <c r="J245" s="192">
        <f t="shared" si="195"/>
        <v>20</v>
      </c>
      <c r="K245" s="192">
        <f t="shared" si="196"/>
        <v>9</v>
      </c>
      <c r="L245" s="192" t="str">
        <f t="shared" si="189"/>
        <v/>
      </c>
      <c r="M245" s="216">
        <f t="shared" ca="1" si="197"/>
        <v>0</v>
      </c>
      <c r="N245" s="216"/>
      <c r="O245" s="216"/>
      <c r="P245" s="216"/>
      <c r="Q245" s="456" t="str">
        <f t="shared" ca="1" si="198"/>
        <v/>
      </c>
      <c r="R245" s="450">
        <f t="shared" ca="1" si="199"/>
        <v>1</v>
      </c>
      <c r="S245" s="191">
        <f t="shared" si="242"/>
        <v>20</v>
      </c>
      <c r="T245" s="191">
        <f t="shared" si="243"/>
        <v>9</v>
      </c>
      <c r="U245" s="191">
        <f ca="1">OP!$D$5+$S245-1</f>
        <v>52</v>
      </c>
      <c r="V245" s="191" t="str">
        <f t="shared" si="244"/>
        <v/>
      </c>
      <c r="W245" s="350">
        <f ca="1">IF(Q245&lt;&gt;1,0,VLOOKUP(OP!$C$55,PVFB,$S245+2,0))</f>
        <v>0</v>
      </c>
      <c r="X245" s="473">
        <f t="shared" ca="1" si="229"/>
        <v>0</v>
      </c>
      <c r="Y245" s="348">
        <f t="shared" ca="1" si="230"/>
        <v>0</v>
      </c>
      <c r="Z245" s="348">
        <f t="shared" ca="1" si="245"/>
        <v>8012</v>
      </c>
      <c r="AA245" s="348">
        <f ca="1">IF(Q245&lt;&gt;1,0,VLOOKUP(OP!$C$55,PVFB,$S245+2,0))</f>
        <v>0</v>
      </c>
      <c r="AB245" s="488" t="str">
        <f ca="1">IF(AND(S245&lt;OP!$C$24,$U245&lt;15),0,IF(AND($U245&lt;15,$T245=12),ROUND(VLOOKUP($S245,DOWN16,5,0),3),IF($T245=12,ROUND(($Z245/10000)*$AA245,3)+IF(AND($P$7="購買增額繳清保險",T245=12,U245=110),VLOOKUP(S245,$B$10:$H$121,7,0),0),"")))</f>
        <v/>
      </c>
      <c r="AC245" s="350" t="str">
        <f ca="1">IF(AND(S245&lt;OP!$C$24,$U245&lt;15),0,IF(AND($U245&lt;16,$T245=12),VLOOKUP($S245,DOWN16,4,0),IF($T245=12,ROUND(VLOOKUP(OP!$C$55,_DIE2,$S245+1,0)*(Z245/10000),0)+IF(AND($P$7="購買增額繳清保險",T245=12,U245=110),VLOOKUP(S245,$B$10:$H$121,7,0),0),"")))</f>
        <v/>
      </c>
      <c r="AD245" s="347"/>
      <c r="AE245" s="350" t="str">
        <f t="shared" ca="1" si="246"/>
        <v/>
      </c>
      <c r="AF245" s="351" t="str">
        <f t="shared" ca="1" si="247"/>
        <v/>
      </c>
      <c r="AG245" s="340"/>
      <c r="AH245" s="340"/>
      <c r="AI245" s="340"/>
      <c r="AJ245" s="340"/>
      <c r="AK245" s="340"/>
      <c r="AL245" s="340"/>
      <c r="AM245" s="340"/>
      <c r="AN245" s="340"/>
      <c r="AO245" s="340"/>
      <c r="AP245" s="340"/>
      <c r="AQ245" s="340"/>
      <c r="AR245" s="340"/>
      <c r="AS245" s="340"/>
      <c r="AT245" s="340"/>
      <c r="AU245" s="340"/>
      <c r="AV245" s="340"/>
      <c r="AY245" s="340"/>
      <c r="AZ245" s="465">
        <f t="shared" ca="1" si="209"/>
        <v>7.3698599999999999E-5</v>
      </c>
      <c r="BA245" s="464">
        <f t="shared" ca="1" si="210"/>
        <v>1.9898630000000001E-3</v>
      </c>
      <c r="BB245" s="465">
        <f t="shared" ca="1" si="210"/>
        <v>2.0635616E-3</v>
      </c>
      <c r="BC245" s="466">
        <f t="shared" ca="1" si="211"/>
        <v>50072</v>
      </c>
      <c r="BD245" s="467">
        <f t="shared" ca="1" si="232"/>
        <v>50073</v>
      </c>
      <c r="BE245" s="467">
        <f t="shared" ca="1" si="212"/>
        <v>50099</v>
      </c>
      <c r="BF245" s="468">
        <f ca="1">IF(計算!$BC245&lt;OP!$C$3,0,BD245-BC245)</f>
        <v>1</v>
      </c>
      <c r="BG245" s="468">
        <f ca="1">IF($BE245&gt;DATE(YEAR($BD$9)+OP!$C$57,MONTH($BD$9),DAY($BD$9)),0,$BE245-$BD245+1)</f>
        <v>27</v>
      </c>
      <c r="BH245" s="469">
        <f t="shared" ca="1" si="213"/>
        <v>28</v>
      </c>
      <c r="BI245" t="str">
        <f t="shared" si="248"/>
        <v/>
      </c>
      <c r="BJ245">
        <v>8</v>
      </c>
      <c r="BN245" s="468">
        <f t="shared" si="233"/>
        <v>20</v>
      </c>
      <c r="BO245" s="468">
        <f t="shared" si="234"/>
        <v>8</v>
      </c>
      <c r="BP245" s="467">
        <f t="shared" ca="1" si="214"/>
        <v>50073</v>
      </c>
      <c r="BQ245" s="475">
        <f t="shared" ca="1" si="240"/>
        <v>52</v>
      </c>
      <c r="BR245" s="475" t="str">
        <f t="shared" si="235"/>
        <v/>
      </c>
      <c r="BS245" s="471" t="str">
        <f t="shared" si="215"/>
        <v/>
      </c>
      <c r="BT245" s="472" t="str">
        <f t="shared" si="249"/>
        <v/>
      </c>
      <c r="BU245" s="472">
        <f t="shared" ca="1" si="216"/>
        <v>0</v>
      </c>
      <c r="BV245" s="472">
        <f t="shared" ca="1" si="216"/>
        <v>0</v>
      </c>
      <c r="BW245" s="472"/>
      <c r="BX245" s="473">
        <f t="shared" ca="1" si="217"/>
        <v>128408.658646693</v>
      </c>
      <c r="BY245" s="473">
        <f t="shared" si="218"/>
        <v>0</v>
      </c>
      <c r="BZ245" s="473">
        <f t="shared" ca="1" si="192"/>
        <v>264.979177091</v>
      </c>
      <c r="CA245" s="476">
        <f t="shared" ca="1" si="219"/>
        <v>0</v>
      </c>
      <c r="CB245" s="494">
        <f ca="1">IF(OR($Q244&lt;&gt;1,OP!$D$5+$BN245-1&lt;16,$BN245-1&lt;1),0,ROUND(ROUND(ROUND(((VLOOKUP($BN245-1,MORE_PV,5,0)/10000)*VLOOKUP($BN245,MORE_PV,$CB$5,0)),3)*VLOOKUP($BN245,more1,5,0),0)/$R244,0))</f>
        <v>0</v>
      </c>
      <c r="CC245" s="473">
        <f t="shared" ca="1" si="220"/>
        <v>0</v>
      </c>
      <c r="CD245" s="477"/>
    </row>
    <row r="246" spans="2:82" ht="16.5" hidden="1">
      <c r="B246" s="80"/>
      <c r="C246" s="80"/>
      <c r="D246" s="80"/>
      <c r="E246" s="80"/>
      <c r="F246" s="80"/>
      <c r="G246" s="80"/>
      <c r="H246" s="80"/>
      <c r="I246" s="80"/>
      <c r="J246" s="192">
        <f t="shared" si="195"/>
        <v>20</v>
      </c>
      <c r="K246" s="192">
        <f t="shared" si="196"/>
        <v>10</v>
      </c>
      <c r="L246" s="192" t="str">
        <f t="shared" si="189"/>
        <v/>
      </c>
      <c r="M246" s="216">
        <f t="shared" ca="1" si="197"/>
        <v>0</v>
      </c>
      <c r="N246" s="216"/>
      <c r="O246" s="216"/>
      <c r="P246" s="216"/>
      <c r="Q246" s="456" t="str">
        <f t="shared" ca="1" si="198"/>
        <v/>
      </c>
      <c r="R246" s="450">
        <f t="shared" ca="1" si="199"/>
        <v>1</v>
      </c>
      <c r="S246" s="191">
        <f t="shared" si="242"/>
        <v>20</v>
      </c>
      <c r="T246" s="191">
        <f t="shared" si="243"/>
        <v>10</v>
      </c>
      <c r="U246" s="191">
        <f ca="1">OP!$D$5+$S246-1</f>
        <v>52</v>
      </c>
      <c r="V246" s="191" t="str">
        <f t="shared" si="244"/>
        <v/>
      </c>
      <c r="W246" s="350">
        <f ca="1">IF(Q246&lt;&gt;1,0,VLOOKUP(OP!$C$55,PVFB,$S246+2,0))</f>
        <v>0</v>
      </c>
      <c r="X246" s="473">
        <f t="shared" ca="1" si="229"/>
        <v>0</v>
      </c>
      <c r="Y246" s="348">
        <f t="shared" ca="1" si="230"/>
        <v>0</v>
      </c>
      <c r="Z246" s="348">
        <f t="shared" ca="1" si="245"/>
        <v>8012</v>
      </c>
      <c r="AA246" s="348">
        <f ca="1">IF(Q246&lt;&gt;1,0,VLOOKUP(OP!$C$55,PVFB,$S246+2,0))</f>
        <v>0</v>
      </c>
      <c r="AB246" s="488" t="str">
        <f ca="1">IF(AND(S246&lt;OP!$C$24,$U246&lt;15),0,IF(AND($U246&lt;15,$T246=12),ROUND(VLOOKUP($S246,DOWN16,5,0),3),IF($T246=12,ROUND(($Z246/10000)*$AA246,3)+IF(AND($P$7="購買增額繳清保險",T246=12,U246=110),VLOOKUP(S246,$B$10:$H$121,7,0),0),"")))</f>
        <v/>
      </c>
      <c r="AC246" s="350" t="str">
        <f ca="1">IF(AND(S246&lt;OP!$C$24,$U246&lt;15),0,IF(AND($U246&lt;16,$T246=12),VLOOKUP($S246,DOWN16,4,0),IF($T246=12,ROUND(VLOOKUP(OP!$C$55,_DIE2,$S246+1,0)*(Z246/10000),0)+IF(AND($P$7="購買增額繳清保險",T246=12,U246=110),VLOOKUP(S246,$B$10:$H$121,7,0),0),"")))</f>
        <v/>
      </c>
      <c r="AD246" s="347"/>
      <c r="AE246" s="350" t="str">
        <f t="shared" ca="1" si="246"/>
        <v/>
      </c>
      <c r="AF246" s="351" t="str">
        <f t="shared" ca="1" si="247"/>
        <v/>
      </c>
      <c r="AG246" s="340"/>
      <c r="AH246" s="340"/>
      <c r="AI246" s="340"/>
      <c r="AJ246" s="340"/>
      <c r="AK246" s="340"/>
      <c r="AL246" s="340"/>
      <c r="AM246" s="340"/>
      <c r="AN246" s="340"/>
      <c r="AO246" s="340"/>
      <c r="AP246" s="340"/>
      <c r="AQ246" s="340"/>
      <c r="AR246" s="340"/>
      <c r="AS246" s="340"/>
      <c r="AT246" s="340"/>
      <c r="AU246" s="340"/>
      <c r="AV246" s="340"/>
      <c r="AY246" s="340"/>
      <c r="AZ246" s="465">
        <f t="shared" ca="1" si="209"/>
        <v>7.3698599999999999E-5</v>
      </c>
      <c r="BA246" s="464">
        <f t="shared" ca="1" si="210"/>
        <v>2.2109589000000002E-3</v>
      </c>
      <c r="BB246" s="465">
        <f t="shared" ca="1" si="210"/>
        <v>2.2846575E-3</v>
      </c>
      <c r="BC246" s="466">
        <f t="shared" ca="1" si="211"/>
        <v>50100</v>
      </c>
      <c r="BD246" s="467">
        <f t="shared" ca="1" si="232"/>
        <v>50101</v>
      </c>
      <c r="BE246" s="467">
        <f t="shared" ca="1" si="212"/>
        <v>50130</v>
      </c>
      <c r="BF246" s="468">
        <f ca="1">IF(計算!$BC246&lt;OP!$C$3,0,BD246-BC246)</f>
        <v>1</v>
      </c>
      <c r="BG246" s="468">
        <f ca="1">IF($BE246&gt;DATE(YEAR($BD$9)+OP!$C$57,MONTH($BD$9),DAY($BD$9)),0,$BE246-$BD246+1)</f>
        <v>30</v>
      </c>
      <c r="BH246" s="469">
        <f t="shared" ca="1" si="213"/>
        <v>31</v>
      </c>
      <c r="BI246" t="str">
        <f t="shared" si="248"/>
        <v/>
      </c>
      <c r="BJ246">
        <v>9</v>
      </c>
      <c r="BN246" s="468">
        <f t="shared" si="233"/>
        <v>20</v>
      </c>
      <c r="BO246" s="468">
        <f t="shared" si="234"/>
        <v>9</v>
      </c>
      <c r="BP246" s="467">
        <f t="shared" ca="1" si="214"/>
        <v>50101</v>
      </c>
      <c r="BQ246" s="475">
        <f t="shared" ca="1" si="240"/>
        <v>52</v>
      </c>
      <c r="BR246" s="475" t="str">
        <f t="shared" si="235"/>
        <v/>
      </c>
      <c r="BS246" s="471" t="str">
        <f t="shared" si="215"/>
        <v/>
      </c>
      <c r="BT246" s="472" t="str">
        <f t="shared" si="249"/>
        <v/>
      </c>
      <c r="BU246" s="472">
        <f t="shared" ca="1" si="216"/>
        <v>0</v>
      </c>
      <c r="BV246" s="472">
        <f t="shared" ca="1" si="216"/>
        <v>0</v>
      </c>
      <c r="BW246" s="472"/>
      <c r="BX246" s="473">
        <f t="shared" ca="1" si="217"/>
        <v>128673.637823784</v>
      </c>
      <c r="BY246" s="473">
        <f t="shared" si="218"/>
        <v>0</v>
      </c>
      <c r="BZ246" s="473">
        <f t="shared" ca="1" si="192"/>
        <v>293.97519170599998</v>
      </c>
      <c r="CA246" s="476">
        <f t="shared" ca="1" si="219"/>
        <v>0</v>
      </c>
      <c r="CB246" s="494">
        <f ca="1">IF(OR($Q245&lt;&gt;1,OP!$D$5+$BN246-1&lt;16,$BN246-1&lt;1),0,ROUND(ROUND(ROUND(((VLOOKUP($BN246-1,MORE_PV,5,0)/10000)*VLOOKUP($BN246,MORE_PV,$CB$5,0)),3)*VLOOKUP($BN246,more1,5,0),0)/$R245,0))</f>
        <v>0</v>
      </c>
      <c r="CC246" s="473">
        <f t="shared" ca="1" si="220"/>
        <v>0</v>
      </c>
      <c r="CD246" s="477"/>
    </row>
    <row r="247" spans="2:82" ht="16.5" hidden="1">
      <c r="B247" s="80"/>
      <c r="C247" s="80"/>
      <c r="D247" s="80"/>
      <c r="E247" s="80"/>
      <c r="F247" s="80"/>
      <c r="G247" s="80"/>
      <c r="H247" s="80"/>
      <c r="I247" s="80"/>
      <c r="J247" s="192">
        <f t="shared" si="195"/>
        <v>20</v>
      </c>
      <c r="K247" s="192">
        <f t="shared" si="196"/>
        <v>11</v>
      </c>
      <c r="L247" s="192" t="str">
        <f t="shared" si="189"/>
        <v/>
      </c>
      <c r="M247" s="216">
        <f t="shared" ca="1" si="197"/>
        <v>0</v>
      </c>
      <c r="N247" s="216"/>
      <c r="O247" s="216"/>
      <c r="P247" s="216"/>
      <c r="Q247" s="456" t="str">
        <f t="shared" ca="1" si="198"/>
        <v/>
      </c>
      <c r="R247" s="450">
        <f t="shared" ca="1" si="199"/>
        <v>1</v>
      </c>
      <c r="S247" s="191">
        <f t="shared" si="242"/>
        <v>20</v>
      </c>
      <c r="T247" s="191">
        <f t="shared" si="243"/>
        <v>11</v>
      </c>
      <c r="U247" s="191">
        <f ca="1">OP!$D$5+$S247-1</f>
        <v>52</v>
      </c>
      <c r="V247" s="191" t="str">
        <f t="shared" si="244"/>
        <v/>
      </c>
      <c r="W247" s="350">
        <f ca="1">IF(Q247&lt;&gt;1,0,VLOOKUP(OP!$C$55,PVFB,$S247+2,0))</f>
        <v>0</v>
      </c>
      <c r="X247" s="473">
        <f t="shared" ca="1" si="229"/>
        <v>0</v>
      </c>
      <c r="Y247" s="348">
        <f t="shared" ca="1" si="230"/>
        <v>0</v>
      </c>
      <c r="Z247" s="348">
        <f t="shared" ca="1" si="245"/>
        <v>8012</v>
      </c>
      <c r="AA247" s="348">
        <f ca="1">IF(Q247&lt;&gt;1,0,VLOOKUP(OP!$C$55,PVFB,$S247+2,0))</f>
        <v>0</v>
      </c>
      <c r="AB247" s="488" t="str">
        <f ca="1">IF(AND(S247&lt;OP!$C$24,$U247&lt;15),0,IF(AND($U247&lt;15,$T247=12),ROUND(VLOOKUP($S247,DOWN16,5,0),3),IF($T247=12,ROUND(($Z247/10000)*$AA247,3)+IF(AND($P$7="購買增額繳清保險",T247=12,U247=110),VLOOKUP(S247,$B$10:$H$121,7,0),0),"")))</f>
        <v/>
      </c>
      <c r="AC247" s="350" t="str">
        <f ca="1">IF(AND(S247&lt;OP!$C$24,$U247&lt;15),0,IF(AND($U247&lt;16,$T247=12),VLOOKUP($S247,DOWN16,4,0),IF($T247=12,ROUND(VLOOKUP(OP!$C$55,_DIE2,$S247+1,0)*(Z247/10000),0)+IF(AND($P$7="購買增額繳清保險",T247=12,U247=110),VLOOKUP(S247,$B$10:$H$121,7,0),0),"")))</f>
        <v/>
      </c>
      <c r="AD247" s="347"/>
      <c r="AE247" s="350" t="str">
        <f t="shared" ca="1" si="246"/>
        <v/>
      </c>
      <c r="AF247" s="351" t="str">
        <f t="shared" ca="1" si="247"/>
        <v/>
      </c>
      <c r="AG247" s="340"/>
      <c r="AH247" s="340"/>
      <c r="AI247" s="340"/>
      <c r="AJ247" s="340"/>
      <c r="AK247" s="340"/>
      <c r="AL247" s="340"/>
      <c r="AM247" s="340"/>
      <c r="AN247" s="340"/>
      <c r="AO247" s="340"/>
      <c r="AP247" s="340"/>
      <c r="AQ247" s="340"/>
      <c r="AR247" s="340"/>
      <c r="AS247" s="340"/>
      <c r="AT247" s="340"/>
      <c r="AU247" s="340"/>
      <c r="AV247" s="340"/>
      <c r="AY247" s="340"/>
      <c r="AZ247" s="465">
        <f t="shared" ca="1" si="209"/>
        <v>7.3698599999999999E-5</v>
      </c>
      <c r="BA247" s="464">
        <f t="shared" ca="1" si="210"/>
        <v>2.1372602999999999E-3</v>
      </c>
      <c r="BB247" s="465">
        <f t="shared" ca="1" si="210"/>
        <v>2.2109589000000002E-3</v>
      </c>
      <c r="BC247" s="466">
        <f t="shared" ca="1" si="211"/>
        <v>50131</v>
      </c>
      <c r="BD247" s="467">
        <f t="shared" ca="1" si="232"/>
        <v>50132</v>
      </c>
      <c r="BE247" s="467">
        <f t="shared" ca="1" si="212"/>
        <v>50160</v>
      </c>
      <c r="BF247" s="468">
        <f ca="1">IF(計算!$BC247&lt;OP!$C$3,0,BD247-BC247)</f>
        <v>1</v>
      </c>
      <c r="BG247" s="468">
        <f ca="1">IF($BE247&gt;DATE(YEAR($BD$9)+OP!$C$57,MONTH($BD$9),DAY($BD$9)),0,$BE247-$BD247+1)</f>
        <v>29</v>
      </c>
      <c r="BH247" s="469">
        <f t="shared" ca="1" si="213"/>
        <v>30</v>
      </c>
      <c r="BI247" t="str">
        <f t="shared" si="248"/>
        <v/>
      </c>
      <c r="BJ247">
        <v>10</v>
      </c>
      <c r="BN247" s="468">
        <f t="shared" si="233"/>
        <v>20</v>
      </c>
      <c r="BO247" s="468">
        <f t="shared" si="234"/>
        <v>10</v>
      </c>
      <c r="BP247" s="467">
        <f t="shared" ca="1" si="214"/>
        <v>50132</v>
      </c>
      <c r="BQ247" s="475">
        <f t="shared" ca="1" si="240"/>
        <v>52</v>
      </c>
      <c r="BR247" s="475" t="str">
        <f t="shared" si="235"/>
        <v/>
      </c>
      <c r="BS247" s="471" t="str">
        <f t="shared" si="215"/>
        <v/>
      </c>
      <c r="BT247" s="472" t="str">
        <f t="shared" si="249"/>
        <v/>
      </c>
      <c r="BU247" s="472">
        <f t="shared" ca="1" si="216"/>
        <v>0</v>
      </c>
      <c r="BV247" s="472">
        <f t="shared" ca="1" si="216"/>
        <v>0</v>
      </c>
      <c r="BW247" s="472"/>
      <c r="BX247" s="473">
        <f t="shared" ca="1" si="217"/>
        <v>128967.61301549</v>
      </c>
      <c r="BY247" s="473">
        <f t="shared" si="218"/>
        <v>0</v>
      </c>
      <c r="BZ247" s="473">
        <f t="shared" ca="1" si="192"/>
        <v>285.14209180799998</v>
      </c>
      <c r="CA247" s="476">
        <f t="shared" ca="1" si="219"/>
        <v>0</v>
      </c>
      <c r="CB247" s="494">
        <f ca="1">IF(OR($Q246&lt;&gt;1,OP!$D$5+$BN247-1&lt;16,$BN247-1&lt;1),0,ROUND(ROUND(ROUND(((VLOOKUP($BN247-1,MORE_PV,5,0)/10000)*VLOOKUP($BN247,MORE_PV,$CB$5,0)),3)*VLOOKUP($BN247,more1,5,0),0)/$R246,0))</f>
        <v>0</v>
      </c>
      <c r="CC247" s="473">
        <f t="shared" ca="1" si="220"/>
        <v>0</v>
      </c>
      <c r="CD247" s="477"/>
    </row>
    <row r="248" spans="2:82" ht="16.5" hidden="1">
      <c r="B248" s="80"/>
      <c r="C248" s="80"/>
      <c r="D248" s="80"/>
      <c r="E248" s="80"/>
      <c r="F248" s="80"/>
      <c r="G248" s="80"/>
      <c r="H248" s="80"/>
      <c r="I248" s="80"/>
      <c r="J248" s="192">
        <f t="shared" si="195"/>
        <v>20</v>
      </c>
      <c r="K248" s="192">
        <f t="shared" si="196"/>
        <v>12</v>
      </c>
      <c r="L248" s="192">
        <f t="shared" si="189"/>
        <v>20</v>
      </c>
      <c r="M248" s="216">
        <f t="shared" ca="1" si="197"/>
        <v>139039</v>
      </c>
      <c r="N248" s="216"/>
      <c r="O248" s="216"/>
      <c r="P248" s="216"/>
      <c r="Q248" s="456">
        <f t="shared" ca="1" si="198"/>
        <v>1</v>
      </c>
      <c r="R248" s="450">
        <f t="shared" ca="1" si="199"/>
        <v>1</v>
      </c>
      <c r="S248" s="191">
        <f t="shared" si="242"/>
        <v>20</v>
      </c>
      <c r="T248" s="191">
        <f t="shared" si="243"/>
        <v>12</v>
      </c>
      <c r="U248" s="191">
        <f ca="1">OP!$D$5+$S248-1</f>
        <v>52</v>
      </c>
      <c r="V248" s="191">
        <f t="shared" si="244"/>
        <v>20</v>
      </c>
      <c r="W248" s="350">
        <f ca="1">IF(Q248&lt;&gt;1,0,VLOOKUP(OP!$C$55,PVFB,$S248+2,0))</f>
        <v>39479</v>
      </c>
      <c r="X248" s="473">
        <f t="shared" ca="1" si="229"/>
        <v>9480</v>
      </c>
      <c r="Y248" s="348">
        <f t="shared" ca="1" si="230"/>
        <v>0</v>
      </c>
      <c r="Z248" s="348">
        <f t="shared" ca="1" si="245"/>
        <v>8012</v>
      </c>
      <c r="AA248" s="348">
        <f ca="1">IF(Q248&lt;&gt;1,0,VLOOKUP(OP!$C$55,PVFB,$S248+2,0))</f>
        <v>39479</v>
      </c>
      <c r="AB248" s="488">
        <f ca="1">IF(AND(S248&lt;OP!$C$24,$U248&lt;15),0,IF(AND($U248&lt;15,$T248=12),ROUND(VLOOKUP($S248,DOWN16,5,0),3),IF($T248=12,ROUND(($Z248/10000)*$AA248,3)+IF(AND($P$7="購買增額繳清保險",T248=12,U248=110),VLOOKUP(S248,$B$10:$H$121,7,0),0),"")))</f>
        <v>31630.575000000001</v>
      </c>
      <c r="AC248" s="350">
        <f ca="1">IF(AND(S248&lt;OP!$C$24,$U248&lt;15),0,IF(AND($U248&lt;16,$T248=12),VLOOKUP($S248,DOWN16,4,0),IF($T248=12,ROUND(VLOOKUP(OP!$C$55,_DIE2,$S248+1,0)*(Z248/10000),0)+IF(AND($P$7="購買增額繳清保險",T248=12,U248=110),VLOOKUP(S248,$B$10:$H$121,7,0),0),"")))</f>
        <v>31631</v>
      </c>
      <c r="AD248" s="347"/>
      <c r="AE248" s="350" t="str">
        <f t="shared" ca="1" si="246"/>
        <v/>
      </c>
      <c r="AF248" s="351" t="str">
        <f t="shared" ca="1" si="247"/>
        <v/>
      </c>
      <c r="AG248" s="340"/>
      <c r="AH248" s="340"/>
      <c r="AI248" s="340"/>
      <c r="AJ248" s="340"/>
      <c r="AK248" s="340"/>
      <c r="AL248" s="340"/>
      <c r="AM248" s="340"/>
      <c r="AN248" s="340"/>
      <c r="AO248" s="340"/>
      <c r="AP248" s="340"/>
      <c r="AQ248" s="340"/>
      <c r="AR248" s="340"/>
      <c r="AS248" s="340"/>
      <c r="AT248" s="340"/>
      <c r="AU248" s="340"/>
      <c r="AV248" s="340"/>
      <c r="AY248" s="340"/>
      <c r="AZ248" s="465">
        <f t="shared" ca="1" si="209"/>
        <v>7.3698599999999999E-5</v>
      </c>
      <c r="BA248" s="464">
        <f t="shared" ca="1" si="210"/>
        <v>2.2109589000000002E-3</v>
      </c>
      <c r="BB248" s="465">
        <f t="shared" ca="1" si="210"/>
        <v>2.2846575E-3</v>
      </c>
      <c r="BC248" s="466">
        <f t="shared" ca="1" si="211"/>
        <v>50161</v>
      </c>
      <c r="BD248" s="467">
        <f t="shared" ca="1" si="232"/>
        <v>50162</v>
      </c>
      <c r="BE248" s="467">
        <f t="shared" ca="1" si="212"/>
        <v>50191</v>
      </c>
      <c r="BF248" s="468">
        <f ca="1">IF(計算!$BC248&lt;OP!$C$3,0,BD248-BC248)</f>
        <v>1</v>
      </c>
      <c r="BG248" s="468">
        <f ca="1">IF($BE248&gt;DATE(YEAR($BD$9)+OP!$C$57,MONTH($BD$9),DAY($BD$9)),0,$BE248-$BD248+1)</f>
        <v>30</v>
      </c>
      <c r="BH248" s="469">
        <f t="shared" ca="1" si="213"/>
        <v>31</v>
      </c>
      <c r="BI248" t="str">
        <f t="shared" si="248"/>
        <v/>
      </c>
      <c r="BJ248">
        <v>11</v>
      </c>
      <c r="BN248" s="468">
        <f t="shared" si="233"/>
        <v>20</v>
      </c>
      <c r="BO248" s="468">
        <f t="shared" si="234"/>
        <v>11</v>
      </c>
      <c r="BP248" s="467">
        <f t="shared" ca="1" si="214"/>
        <v>50162</v>
      </c>
      <c r="BQ248" s="475">
        <f t="shared" ca="1" si="240"/>
        <v>52</v>
      </c>
      <c r="BR248" s="475" t="str">
        <f t="shared" si="235"/>
        <v/>
      </c>
      <c r="BS248" s="471" t="str">
        <f t="shared" si="215"/>
        <v/>
      </c>
      <c r="BT248" s="472" t="str">
        <f t="shared" si="249"/>
        <v/>
      </c>
      <c r="BU248" s="472">
        <f t="shared" ca="1" si="216"/>
        <v>0</v>
      </c>
      <c r="BV248" s="472">
        <f t="shared" ca="1" si="216"/>
        <v>0</v>
      </c>
      <c r="BW248" s="472"/>
      <c r="BX248" s="473">
        <f t="shared" ca="1" si="217"/>
        <v>129252.755107298</v>
      </c>
      <c r="BY248" s="473">
        <f t="shared" si="218"/>
        <v>0</v>
      </c>
      <c r="BZ248" s="473">
        <f t="shared" ca="1" si="192"/>
        <v>295.29827635200002</v>
      </c>
      <c r="CA248" s="476">
        <f t="shared" ca="1" si="219"/>
        <v>0</v>
      </c>
      <c r="CB248" s="494">
        <f ca="1">IF(OR($Q247&lt;&gt;1,OP!$D$5+$BN248-1&lt;16,$BN248-1&lt;1),0,ROUND(ROUND(ROUND(((VLOOKUP($BN248-1,MORE_PV,5,0)/10000)*VLOOKUP($BN248,MORE_PV,$CB$5,0)),3)*VLOOKUP($BN248,more1,5,0),0)/$R247,0))</f>
        <v>0</v>
      </c>
      <c r="CC248" s="473">
        <f t="shared" ca="1" si="220"/>
        <v>0</v>
      </c>
      <c r="CD248" s="477"/>
    </row>
    <row r="249" spans="2:82" ht="16.5" hidden="1">
      <c r="B249" s="80"/>
      <c r="C249" s="80"/>
      <c r="D249" s="80"/>
      <c r="E249" s="80"/>
      <c r="F249" s="80"/>
      <c r="G249" s="80"/>
      <c r="H249" s="80"/>
      <c r="I249" s="80"/>
      <c r="J249" s="192">
        <f t="shared" si="195"/>
        <v>21</v>
      </c>
      <c r="K249" s="192">
        <f t="shared" si="196"/>
        <v>1</v>
      </c>
      <c r="L249" s="192" t="str">
        <f t="shared" si="189"/>
        <v/>
      </c>
      <c r="M249" s="216">
        <f t="shared" ca="1" si="197"/>
        <v>0</v>
      </c>
      <c r="N249" s="216"/>
      <c r="O249" s="216"/>
      <c r="P249" s="216"/>
      <c r="Q249" s="456" t="str">
        <f t="shared" ca="1" si="198"/>
        <v/>
      </c>
      <c r="R249" s="450">
        <f t="shared" ca="1" si="199"/>
        <v>1</v>
      </c>
      <c r="S249" s="191">
        <f t="shared" si="242"/>
        <v>21</v>
      </c>
      <c r="T249" s="191">
        <f t="shared" si="243"/>
        <v>1</v>
      </c>
      <c r="U249" s="191">
        <f ca="1">OP!$D$5+$S249-1</f>
        <v>53</v>
      </c>
      <c r="V249" s="191" t="str">
        <f t="shared" si="244"/>
        <v/>
      </c>
      <c r="W249" s="350">
        <f ca="1">IF(Q249&lt;&gt;1,0,VLOOKUP(OP!$C$55,PVFB,$S249+2,0))</f>
        <v>0</v>
      </c>
      <c r="X249" s="473">
        <f t="shared" ca="1" si="229"/>
        <v>0</v>
      </c>
      <c r="Y249" s="348">
        <f t="shared" ca="1" si="230"/>
        <v>0</v>
      </c>
      <c r="Z249" s="348">
        <f t="shared" ca="1" si="245"/>
        <v>8012</v>
      </c>
      <c r="AA249" s="348">
        <f ca="1">IF(Q249&lt;&gt;1,0,VLOOKUP(OP!$C$55,PVFB,$S249+2,0))</f>
        <v>0</v>
      </c>
      <c r="AB249" s="488" t="str">
        <f ca="1">IF(AND(S249&lt;OP!$C$24,$U249&lt;15),0,IF(AND($U249&lt;15,$T249=12),ROUND(VLOOKUP($S249,DOWN16,5,0),3),IF($T249=12,ROUND(($Z249/10000)*$AA249,3)+IF(AND($P$7="購買增額繳清保險",T249=12,U249=110),VLOOKUP(S249,$B$10:$H$121,7,0),0),"")))</f>
        <v/>
      </c>
      <c r="AC249" s="350" t="str">
        <f ca="1">IF(AND(S249&lt;OP!$C$24,$U249&lt;15),0,IF(AND($U249&lt;16,$T249=12),VLOOKUP($S249,DOWN16,4,0),IF($T249=12,ROUND(VLOOKUP(OP!$C$55,_DIE2,$S249+1,0)*(Z249/10000),0)+IF(AND($P$7="購買增額繳清保險",T249=12,U249=110),VLOOKUP(S249,$B$10:$H$121,7,0),0),"")))</f>
        <v/>
      </c>
      <c r="AD249" s="347"/>
      <c r="AE249" s="350" t="str">
        <f t="shared" ca="1" si="246"/>
        <v/>
      </c>
      <c r="AF249" s="351" t="str">
        <f t="shared" ca="1" si="247"/>
        <v/>
      </c>
      <c r="AG249" s="340"/>
      <c r="AH249" s="340"/>
      <c r="AI249" s="340"/>
      <c r="AJ249" s="340"/>
      <c r="AK249" s="340"/>
      <c r="AL249" s="340"/>
      <c r="AM249" s="340"/>
      <c r="AN249" s="340"/>
      <c r="AO249" s="340"/>
      <c r="AP249" s="340"/>
      <c r="AQ249" s="340"/>
      <c r="AR249" s="340"/>
      <c r="AS249" s="340"/>
      <c r="AT249" s="340"/>
      <c r="AU249" s="340"/>
      <c r="AV249" s="340"/>
      <c r="AY249" s="340"/>
      <c r="AZ249" s="465">
        <f t="shared" ca="1" si="209"/>
        <v>7.3698599999999999E-5</v>
      </c>
      <c r="BA249" s="464">
        <f t="shared" ca="1" si="210"/>
        <v>2.1372602999999999E-3</v>
      </c>
      <c r="BB249" s="465">
        <f t="shared" ca="1" si="210"/>
        <v>2.2109589000000002E-3</v>
      </c>
      <c r="BC249" s="466">
        <f t="shared" ca="1" si="211"/>
        <v>50192</v>
      </c>
      <c r="BD249" s="467">
        <f t="shared" ca="1" si="232"/>
        <v>50193</v>
      </c>
      <c r="BE249" s="467">
        <f t="shared" ca="1" si="212"/>
        <v>50221</v>
      </c>
      <c r="BF249" s="468">
        <f ca="1">IF(計算!$BC249&lt;OP!$C$3,0,BD249-BC249)</f>
        <v>1</v>
      </c>
      <c r="BG249" s="468">
        <f ca="1">IF($BE249&gt;DATE(YEAR($BD$9)+OP!$C$57,MONTH($BD$9),DAY($BD$9)),0,$BE249-$BD249+1)</f>
        <v>29</v>
      </c>
      <c r="BH249" s="469">
        <f t="shared" ca="1" si="213"/>
        <v>30</v>
      </c>
      <c r="BI249">
        <f t="shared" ca="1" si="248"/>
        <v>365</v>
      </c>
      <c r="BJ249">
        <v>12</v>
      </c>
      <c r="BN249" s="468">
        <f t="shared" si="233"/>
        <v>20</v>
      </c>
      <c r="BO249" s="468">
        <f t="shared" si="234"/>
        <v>12</v>
      </c>
      <c r="BP249" s="467">
        <f t="shared" ca="1" si="214"/>
        <v>50193</v>
      </c>
      <c r="BQ249" s="475">
        <f t="shared" ca="1" si="240"/>
        <v>52</v>
      </c>
      <c r="BR249" s="475">
        <f t="shared" si="235"/>
        <v>20</v>
      </c>
      <c r="BS249" s="471">
        <f t="shared" ca="1" si="215"/>
        <v>9480</v>
      </c>
      <c r="BT249" s="472">
        <f t="shared" ca="1" si="249"/>
        <v>139039</v>
      </c>
      <c r="BU249" s="472">
        <f t="shared" ca="1" si="216"/>
        <v>9262</v>
      </c>
      <c r="BV249" s="472">
        <f t="shared" ca="1" si="216"/>
        <v>218</v>
      </c>
      <c r="BW249" s="472">
        <f ca="1">ROUND(SUM(BY249,BZ237:BZ248),0)</f>
        <v>3435</v>
      </c>
      <c r="BX249" s="473">
        <f t="shared" ca="1" si="217"/>
        <v>139037.600893817</v>
      </c>
      <c r="BY249" s="473">
        <f t="shared" ca="1" si="218"/>
        <v>9.5475101670000004</v>
      </c>
      <c r="BZ249" s="473">
        <f t="shared" ca="1" si="192"/>
        <v>297.15954459800002</v>
      </c>
      <c r="CA249" s="476">
        <f t="shared" ca="1" si="219"/>
        <v>9262</v>
      </c>
      <c r="CB249" s="494">
        <f ca="1">IF(OR($Q248&lt;&gt;1,OP!$D$5+$BN249-1&lt;16,$BN249-1&lt;1),0,ROUND(ROUND(ROUND(((VLOOKUP($BN249-1,MORE_PV,5,0)/10000)*VLOOKUP($BN249,MORE_PV,$CB$5,0)),3)*VLOOKUP($BN249,more1,5,0),0)/$R248,0))</f>
        <v>218</v>
      </c>
      <c r="CC249" s="473">
        <f t="shared" ca="1" si="220"/>
        <v>0</v>
      </c>
      <c r="CD249" s="477"/>
    </row>
    <row r="250" spans="2:82" ht="16.5" hidden="1">
      <c r="B250" s="80"/>
      <c r="C250" s="80"/>
      <c r="D250" s="80"/>
      <c r="E250" s="80"/>
      <c r="F250" s="80"/>
      <c r="G250" s="80"/>
      <c r="H250" s="80"/>
      <c r="I250" s="80"/>
      <c r="J250" s="192">
        <f t="shared" si="195"/>
        <v>21</v>
      </c>
      <c r="K250" s="192">
        <f t="shared" si="196"/>
        <v>2</v>
      </c>
      <c r="L250" s="192" t="str">
        <f t="shared" si="189"/>
        <v/>
      </c>
      <c r="M250" s="216">
        <f t="shared" ca="1" si="197"/>
        <v>0</v>
      </c>
      <c r="N250" s="216"/>
      <c r="O250" s="216"/>
      <c r="P250" s="216"/>
      <c r="Q250" s="456" t="str">
        <f t="shared" ca="1" si="198"/>
        <v/>
      </c>
      <c r="R250" s="450">
        <f t="shared" ca="1" si="199"/>
        <v>1</v>
      </c>
      <c r="S250" s="191">
        <f t="shared" si="242"/>
        <v>21</v>
      </c>
      <c r="T250" s="191">
        <f t="shared" si="243"/>
        <v>2</v>
      </c>
      <c r="U250" s="191">
        <f ca="1">OP!$D$5+$S250-1</f>
        <v>53</v>
      </c>
      <c r="V250" s="191" t="str">
        <f t="shared" si="244"/>
        <v/>
      </c>
      <c r="W250" s="350">
        <f ca="1">IF(Q250&lt;&gt;1,0,VLOOKUP(OP!$C$55,PVFB,$S250+2,0))</f>
        <v>0</v>
      </c>
      <c r="X250" s="473">
        <f t="shared" ca="1" si="229"/>
        <v>0</v>
      </c>
      <c r="Y250" s="348">
        <f t="shared" ca="1" si="230"/>
        <v>0</v>
      </c>
      <c r="Z250" s="348">
        <f t="shared" ca="1" si="245"/>
        <v>8012</v>
      </c>
      <c r="AA250" s="348">
        <f ca="1">IF(Q250&lt;&gt;1,0,VLOOKUP(OP!$C$55,PVFB,$S250+2,0))</f>
        <v>0</v>
      </c>
      <c r="AB250" s="488" t="str">
        <f ca="1">IF(AND(S250&lt;OP!$C$24,$U250&lt;15),0,IF(AND($U250&lt;15,$T250=12),ROUND(VLOOKUP($S250,DOWN16,5,0),3),IF($T250=12,ROUND(($Z250/10000)*$AA250,3)+IF(AND($P$7="購買增額繳清保險",T250=12,U250=110),VLOOKUP(S250,$B$10:$H$121,7,0),0),"")))</f>
        <v/>
      </c>
      <c r="AC250" s="350" t="str">
        <f ca="1">IF(AND(S250&lt;OP!$C$24,$U250&lt;15),0,IF(AND($U250&lt;16,$T250=12),VLOOKUP($S250,DOWN16,4,0),IF($T250=12,ROUND(VLOOKUP(OP!$C$55,_DIE2,$S250+1,0)*(Z250/10000),0)+IF(AND($P$7="購買增額繳清保險",T250=12,U250=110),VLOOKUP(S250,$B$10:$H$121,7,0),0),"")))</f>
        <v/>
      </c>
      <c r="AD250" s="347"/>
      <c r="AE250" s="350" t="str">
        <f t="shared" ca="1" si="246"/>
        <v/>
      </c>
      <c r="AF250" s="351" t="str">
        <f t="shared" ca="1" si="247"/>
        <v/>
      </c>
      <c r="AG250" s="340"/>
      <c r="AH250" s="340"/>
      <c r="AI250" s="340"/>
      <c r="AJ250" s="340"/>
      <c r="AK250" s="340"/>
      <c r="AL250" s="340"/>
      <c r="AM250" s="340"/>
      <c r="AN250" s="340"/>
      <c r="AO250" s="340"/>
      <c r="AP250" s="340"/>
      <c r="AQ250" s="340"/>
      <c r="AR250" s="340"/>
      <c r="AS250" s="340"/>
      <c r="AT250" s="340"/>
      <c r="AU250" s="340"/>
      <c r="AV250" s="340"/>
      <c r="AY250" s="340"/>
      <c r="AZ250" s="465">
        <f t="shared" ca="1" si="209"/>
        <v>7.3698599999999999E-5</v>
      </c>
      <c r="BA250" s="464">
        <f t="shared" ca="1" si="210"/>
        <v>2.2109589000000002E-3</v>
      </c>
      <c r="BB250" s="465">
        <f t="shared" ca="1" si="210"/>
        <v>2.2846575E-3</v>
      </c>
      <c r="BC250" s="466">
        <f t="shared" ca="1" si="211"/>
        <v>50222</v>
      </c>
      <c r="BD250" s="467">
        <f t="shared" ca="1" si="232"/>
        <v>50223</v>
      </c>
      <c r="BE250" s="467">
        <f t="shared" ca="1" si="212"/>
        <v>50252</v>
      </c>
      <c r="BF250" s="468">
        <f ca="1">IF(計算!$BC250&lt;OP!$C$3,0,BD250-BC250)</f>
        <v>1</v>
      </c>
      <c r="BG250" s="468">
        <f ca="1">IF($BE250&gt;DATE(YEAR($BD$9)+OP!$C$57,MONTH($BD$9),DAY($BD$9)),0,$BE250-$BD250+1)</f>
        <v>30</v>
      </c>
      <c r="BH250" s="469">
        <f t="shared" ca="1" si="213"/>
        <v>31</v>
      </c>
      <c r="BI250" t="str">
        <f t="shared" si="248"/>
        <v/>
      </c>
      <c r="BJ250">
        <v>1</v>
      </c>
      <c r="BN250" s="468">
        <f t="shared" si="233"/>
        <v>21</v>
      </c>
      <c r="BO250" s="468">
        <f t="shared" si="234"/>
        <v>1</v>
      </c>
      <c r="BP250" s="467">
        <f t="shared" ca="1" si="214"/>
        <v>50223</v>
      </c>
      <c r="BQ250" s="475">
        <f t="shared" ca="1" si="240"/>
        <v>53</v>
      </c>
      <c r="BR250" s="475" t="str">
        <f t="shared" si="235"/>
        <v/>
      </c>
      <c r="BS250" s="471" t="str">
        <f t="shared" si="215"/>
        <v/>
      </c>
      <c r="BT250" s="472" t="str">
        <f t="shared" si="249"/>
        <v/>
      </c>
      <c r="BU250" s="472">
        <f t="shared" ca="1" si="216"/>
        <v>0</v>
      </c>
      <c r="BV250" s="472">
        <f t="shared" ca="1" si="216"/>
        <v>0</v>
      </c>
      <c r="BW250" s="472"/>
      <c r="BX250" s="473">
        <f t="shared" ca="1" si="217"/>
        <v>139334.76043841499</v>
      </c>
      <c r="BY250" s="473">
        <f t="shared" si="218"/>
        <v>0</v>
      </c>
      <c r="BZ250" s="473">
        <f t="shared" ca="1" si="192"/>
        <v>318.33220544599999</v>
      </c>
      <c r="CA250" s="476">
        <f t="shared" ca="1" si="219"/>
        <v>0</v>
      </c>
      <c r="CB250" s="494">
        <f ca="1">IF(OR($Q249&lt;&gt;1,OP!$D$5+$BN250-1&lt;16,$BN250-1&lt;1),0,ROUND(ROUND(ROUND(((VLOOKUP($BN250-1,MORE_PV,5,0)/10000)*VLOOKUP($BN250,MORE_PV,$CB$5,0)),3)*VLOOKUP($BN250,more1,5,0),0)/$R249,0))</f>
        <v>0</v>
      </c>
      <c r="CC250" s="473">
        <f t="shared" ca="1" si="220"/>
        <v>0</v>
      </c>
      <c r="CD250" s="477"/>
    </row>
    <row r="251" spans="2:82" ht="16.5" hidden="1">
      <c r="B251" s="80"/>
      <c r="C251" s="80"/>
      <c r="D251" s="80"/>
      <c r="E251" s="80"/>
      <c r="F251" s="80"/>
      <c r="G251" s="80"/>
      <c r="H251" s="80"/>
      <c r="I251" s="80"/>
      <c r="J251" s="192">
        <f t="shared" si="195"/>
        <v>21</v>
      </c>
      <c r="K251" s="192">
        <f t="shared" si="196"/>
        <v>3</v>
      </c>
      <c r="L251" s="192" t="str">
        <f t="shared" si="189"/>
        <v/>
      </c>
      <c r="M251" s="216">
        <f t="shared" ca="1" si="197"/>
        <v>0</v>
      </c>
      <c r="N251" s="216"/>
      <c r="O251" s="216"/>
      <c r="P251" s="216"/>
      <c r="Q251" s="456" t="str">
        <f t="shared" ca="1" si="198"/>
        <v/>
      </c>
      <c r="R251" s="450">
        <f t="shared" ca="1" si="199"/>
        <v>1</v>
      </c>
      <c r="S251" s="191">
        <f t="shared" si="242"/>
        <v>21</v>
      </c>
      <c r="T251" s="191">
        <f t="shared" si="243"/>
        <v>3</v>
      </c>
      <c r="U251" s="191">
        <f ca="1">OP!$D$5+$S251-1</f>
        <v>53</v>
      </c>
      <c r="V251" s="191" t="str">
        <f t="shared" si="244"/>
        <v/>
      </c>
      <c r="W251" s="350">
        <f ca="1">IF(Q251&lt;&gt;1,0,VLOOKUP(OP!$C$55,PVFB,$S251+2,0))</f>
        <v>0</v>
      </c>
      <c r="X251" s="473">
        <f t="shared" ca="1" si="229"/>
        <v>0</v>
      </c>
      <c r="Y251" s="348">
        <f t="shared" ca="1" si="230"/>
        <v>0</v>
      </c>
      <c r="Z251" s="348">
        <f t="shared" ca="1" si="245"/>
        <v>8012</v>
      </c>
      <c r="AA251" s="348">
        <f ca="1">IF(Q251&lt;&gt;1,0,VLOOKUP(OP!$C$55,PVFB,$S251+2,0))</f>
        <v>0</v>
      </c>
      <c r="AB251" s="488" t="str">
        <f ca="1">IF(AND(S251&lt;OP!$C$24,$U251&lt;15),0,IF(AND($U251&lt;15,$T251=12),ROUND(VLOOKUP($S251,DOWN16,5,0),3),IF($T251=12,ROUND(($Z251/10000)*$AA251,3)+IF(AND($P$7="購買增額繳清保險",T251=12,U251=110),VLOOKUP(S251,$B$10:$H$121,7,0),0),"")))</f>
        <v/>
      </c>
      <c r="AC251" s="350" t="str">
        <f ca="1">IF(AND(S251&lt;OP!$C$24,$U251&lt;15),0,IF(AND($U251&lt;16,$T251=12),VLOOKUP($S251,DOWN16,4,0),IF($T251=12,ROUND(VLOOKUP(OP!$C$55,_DIE2,$S251+1,0)*(Z251/10000),0)+IF(AND($P$7="購買增額繳清保險",T251=12,U251=110),VLOOKUP(S251,$B$10:$H$121,7,0),0),"")))</f>
        <v/>
      </c>
      <c r="AD251" s="347"/>
      <c r="AE251" s="350" t="str">
        <f t="shared" ca="1" si="246"/>
        <v/>
      </c>
      <c r="AF251" s="351" t="str">
        <f t="shared" ca="1" si="247"/>
        <v/>
      </c>
      <c r="AG251" s="340"/>
      <c r="AH251" s="340"/>
      <c r="AI251" s="340"/>
      <c r="AJ251" s="340"/>
      <c r="AK251" s="340"/>
      <c r="AL251" s="340"/>
      <c r="AM251" s="340"/>
      <c r="AN251" s="340"/>
      <c r="AO251" s="340"/>
      <c r="AP251" s="340"/>
      <c r="AQ251" s="340"/>
      <c r="AR251" s="340"/>
      <c r="AS251" s="340"/>
      <c r="AT251" s="340"/>
      <c r="AU251" s="340"/>
      <c r="AV251" s="340"/>
      <c r="AY251" s="340"/>
      <c r="AZ251" s="465">
        <f t="shared" ca="1" si="209"/>
        <v>7.3698599999999999E-5</v>
      </c>
      <c r="BA251" s="464">
        <f t="shared" ca="1" si="210"/>
        <v>2.2109589000000002E-3</v>
      </c>
      <c r="BB251" s="465">
        <f t="shared" ca="1" si="210"/>
        <v>2.2846575E-3</v>
      </c>
      <c r="BC251" s="466">
        <f t="shared" ca="1" si="211"/>
        <v>50253</v>
      </c>
      <c r="BD251" s="467">
        <f t="shared" ca="1" si="232"/>
        <v>50254</v>
      </c>
      <c r="BE251" s="467">
        <f t="shared" ca="1" si="212"/>
        <v>50283</v>
      </c>
      <c r="BF251" s="468">
        <f ca="1">IF(計算!$BC251&lt;OP!$C$3,0,BD251-BC251)</f>
        <v>1</v>
      </c>
      <c r="BG251" s="468">
        <f ca="1">IF($BE251&gt;DATE(YEAR($BD$9)+OP!$C$57,MONTH($BD$9),DAY($BD$9)),0,$BE251-$BD251+1)</f>
        <v>30</v>
      </c>
      <c r="BH251" s="469">
        <f t="shared" ca="1" si="213"/>
        <v>31</v>
      </c>
      <c r="BI251" t="str">
        <f t="shared" si="248"/>
        <v/>
      </c>
      <c r="BJ251">
        <v>2</v>
      </c>
      <c r="BN251" s="468">
        <f t="shared" si="233"/>
        <v>21</v>
      </c>
      <c r="BO251" s="468">
        <f t="shared" si="234"/>
        <v>2</v>
      </c>
      <c r="BP251" s="467">
        <f t="shared" ca="1" si="214"/>
        <v>50254</v>
      </c>
      <c r="BQ251" s="475">
        <f t="shared" ca="1" si="240"/>
        <v>53</v>
      </c>
      <c r="BR251" s="475" t="str">
        <f t="shared" si="235"/>
        <v/>
      </c>
      <c r="BS251" s="471" t="str">
        <f t="shared" si="215"/>
        <v/>
      </c>
      <c r="BT251" s="472" t="str">
        <f t="shared" si="249"/>
        <v/>
      </c>
      <c r="BU251" s="472">
        <f t="shared" ca="1" si="216"/>
        <v>0</v>
      </c>
      <c r="BV251" s="472">
        <f t="shared" ca="1" si="216"/>
        <v>0</v>
      </c>
      <c r="BW251" s="472"/>
      <c r="BX251" s="473">
        <f t="shared" ca="1" si="217"/>
        <v>139653.09264386099</v>
      </c>
      <c r="BY251" s="473">
        <f t="shared" si="218"/>
        <v>0</v>
      </c>
      <c r="BZ251" s="473">
        <f t="shared" ca="1" si="192"/>
        <v>319.05948550699998</v>
      </c>
      <c r="CA251" s="476">
        <f t="shared" ca="1" si="219"/>
        <v>0</v>
      </c>
      <c r="CB251" s="494">
        <f ca="1">IF(OR($Q250&lt;&gt;1,OP!$D$5+$BN251-1&lt;16,$BN251-1&lt;1),0,ROUND(ROUND(ROUND(((VLOOKUP($BN251-1,MORE_PV,5,0)/10000)*VLOOKUP($BN251,MORE_PV,$CB$5,0)),3)*VLOOKUP($BN251,more1,5,0),0)/$R250,0))</f>
        <v>0</v>
      </c>
      <c r="CC251" s="473">
        <f t="shared" ca="1" si="220"/>
        <v>0</v>
      </c>
      <c r="CD251" s="477"/>
    </row>
    <row r="252" spans="2:82" ht="16.5" hidden="1">
      <c r="B252" s="80"/>
      <c r="C252" s="80"/>
      <c r="D252" s="80"/>
      <c r="E252" s="80"/>
      <c r="F252" s="80"/>
      <c r="G252" s="80"/>
      <c r="H252" s="80"/>
      <c r="I252" s="80"/>
      <c r="J252" s="192">
        <f t="shared" si="195"/>
        <v>21</v>
      </c>
      <c r="K252" s="192">
        <f t="shared" si="196"/>
        <v>4</v>
      </c>
      <c r="L252" s="192" t="str">
        <f t="shared" si="189"/>
        <v/>
      </c>
      <c r="M252" s="216">
        <f t="shared" ca="1" si="197"/>
        <v>0</v>
      </c>
      <c r="N252" s="216"/>
      <c r="O252" s="216"/>
      <c r="P252" s="216"/>
      <c r="Q252" s="456" t="str">
        <f t="shared" ca="1" si="198"/>
        <v/>
      </c>
      <c r="R252" s="450">
        <f t="shared" ca="1" si="199"/>
        <v>1</v>
      </c>
      <c r="S252" s="191">
        <f t="shared" si="242"/>
        <v>21</v>
      </c>
      <c r="T252" s="191">
        <f t="shared" si="243"/>
        <v>4</v>
      </c>
      <c r="U252" s="191">
        <f ca="1">OP!$D$5+$S252-1</f>
        <v>53</v>
      </c>
      <c r="V252" s="191" t="str">
        <f t="shared" si="244"/>
        <v/>
      </c>
      <c r="W252" s="350">
        <f ca="1">IF(Q252&lt;&gt;1,0,VLOOKUP(OP!$C$55,PVFB,$S252+2,0))</f>
        <v>0</v>
      </c>
      <c r="X252" s="473">
        <f t="shared" ca="1" si="229"/>
        <v>0</v>
      </c>
      <c r="Y252" s="348">
        <f t="shared" ca="1" si="230"/>
        <v>0</v>
      </c>
      <c r="Z252" s="348">
        <f t="shared" ca="1" si="245"/>
        <v>8012</v>
      </c>
      <c r="AA252" s="348">
        <f ca="1">IF(Q252&lt;&gt;1,0,VLOOKUP(OP!$C$55,PVFB,$S252+2,0))</f>
        <v>0</v>
      </c>
      <c r="AB252" s="488" t="str">
        <f ca="1">IF(AND(S252&lt;OP!$C$24,$U252&lt;15),0,IF(AND($U252&lt;15,$T252=12),ROUND(VLOOKUP($S252,DOWN16,5,0),3),IF($T252=12,ROUND(($Z252/10000)*$AA252,3)+IF(AND($P$7="購買增額繳清保險",T252=12,U252=110),VLOOKUP(S252,$B$10:$H$121,7,0),0),"")))</f>
        <v/>
      </c>
      <c r="AC252" s="350" t="str">
        <f ca="1">IF(AND(S252&lt;OP!$C$24,$U252&lt;15),0,IF(AND($U252&lt;16,$T252=12),VLOOKUP($S252,DOWN16,4,0),IF($T252=12,ROUND(VLOOKUP(OP!$C$55,_DIE2,$S252+1,0)*(Z252/10000),0)+IF(AND($P$7="購買增額繳清保險",T252=12,U252=110),VLOOKUP(S252,$B$10:$H$121,7,0),0),"")))</f>
        <v/>
      </c>
      <c r="AD252" s="347"/>
      <c r="AE252" s="350" t="str">
        <f t="shared" ca="1" si="246"/>
        <v/>
      </c>
      <c r="AF252" s="351" t="str">
        <f t="shared" ca="1" si="247"/>
        <v/>
      </c>
      <c r="AG252" s="340"/>
      <c r="AH252" s="340"/>
      <c r="AI252" s="340"/>
      <c r="AJ252" s="340"/>
      <c r="AK252" s="340"/>
      <c r="AL252" s="340"/>
      <c r="AM252" s="340"/>
      <c r="AN252" s="340"/>
      <c r="AO252" s="340"/>
      <c r="AP252" s="340"/>
      <c r="AQ252" s="340"/>
      <c r="AR252" s="340"/>
      <c r="AS252" s="340"/>
      <c r="AT252" s="340"/>
      <c r="AU252" s="340"/>
      <c r="AV252" s="340"/>
      <c r="AY252" s="340"/>
      <c r="AZ252" s="465">
        <f t="shared" ca="1" si="209"/>
        <v>7.3698599999999999E-5</v>
      </c>
      <c r="BA252" s="464">
        <f t="shared" ca="1" si="210"/>
        <v>2.1372602999999999E-3</v>
      </c>
      <c r="BB252" s="465">
        <f t="shared" ca="1" si="210"/>
        <v>2.2109589000000002E-3</v>
      </c>
      <c r="BC252" s="466">
        <f t="shared" ca="1" si="211"/>
        <v>50284</v>
      </c>
      <c r="BD252" s="467">
        <f t="shared" ca="1" si="232"/>
        <v>50285</v>
      </c>
      <c r="BE252" s="467">
        <f t="shared" ca="1" si="212"/>
        <v>50313</v>
      </c>
      <c r="BF252" s="468">
        <f ca="1">IF(計算!$BC252&lt;OP!$C$3,0,BD252-BC252)</f>
        <v>1</v>
      </c>
      <c r="BG252" s="468">
        <f ca="1">IF($BE252&gt;DATE(YEAR($BD$9)+OP!$C$57,MONTH($BD$9),DAY($BD$9)),0,$BE252-$BD252+1)</f>
        <v>29</v>
      </c>
      <c r="BH252" s="469">
        <f t="shared" ca="1" si="213"/>
        <v>30</v>
      </c>
      <c r="BI252" t="str">
        <f t="shared" si="248"/>
        <v/>
      </c>
      <c r="BJ252">
        <v>3</v>
      </c>
      <c r="BN252" s="468">
        <f t="shared" si="233"/>
        <v>21</v>
      </c>
      <c r="BO252" s="468">
        <f t="shared" si="234"/>
        <v>3</v>
      </c>
      <c r="BP252" s="467">
        <f t="shared" ca="1" si="214"/>
        <v>50285</v>
      </c>
      <c r="BQ252" s="475">
        <f t="shared" ca="1" si="240"/>
        <v>53</v>
      </c>
      <c r="BR252" s="475" t="str">
        <f t="shared" si="235"/>
        <v/>
      </c>
      <c r="BS252" s="471" t="str">
        <f t="shared" si="215"/>
        <v/>
      </c>
      <c r="BT252" s="472" t="str">
        <f t="shared" si="249"/>
        <v/>
      </c>
      <c r="BU252" s="472">
        <f t="shared" ca="1" si="216"/>
        <v>0</v>
      </c>
      <c r="BV252" s="472">
        <f t="shared" ca="1" si="216"/>
        <v>0</v>
      </c>
      <c r="BW252" s="472"/>
      <c r="BX252" s="473">
        <f t="shared" ca="1" si="217"/>
        <v>139972.15212936801</v>
      </c>
      <c r="BY252" s="473">
        <f t="shared" si="218"/>
        <v>0</v>
      </c>
      <c r="BZ252" s="473">
        <f t="shared" ca="1" si="192"/>
        <v>309.472675503</v>
      </c>
      <c r="CA252" s="476">
        <f t="shared" ca="1" si="219"/>
        <v>0</v>
      </c>
      <c r="CB252" s="494">
        <f ca="1">IF(OR($Q251&lt;&gt;1,OP!$D$5+$BN252-1&lt;16,$BN252-1&lt;1),0,ROUND(ROUND(ROUND(((VLOOKUP($BN252-1,MORE_PV,5,0)/10000)*VLOOKUP($BN252,MORE_PV,$CB$5,0)),3)*VLOOKUP($BN252,more1,5,0),0)/$R251,0))</f>
        <v>0</v>
      </c>
      <c r="CC252" s="473">
        <f t="shared" ca="1" si="220"/>
        <v>0</v>
      </c>
      <c r="CD252" s="477"/>
    </row>
    <row r="253" spans="2:82" ht="16.5" hidden="1">
      <c r="B253" s="80"/>
      <c r="C253" s="80"/>
      <c r="D253" s="80"/>
      <c r="E253" s="80"/>
      <c r="F253" s="80"/>
      <c r="G253" s="80"/>
      <c r="H253" s="80"/>
      <c r="I253" s="80"/>
      <c r="J253" s="192">
        <f t="shared" si="195"/>
        <v>21</v>
      </c>
      <c r="K253" s="192">
        <f t="shared" si="196"/>
        <v>5</v>
      </c>
      <c r="L253" s="192" t="str">
        <f t="shared" si="189"/>
        <v/>
      </c>
      <c r="M253" s="216">
        <f t="shared" ca="1" si="197"/>
        <v>0</v>
      </c>
      <c r="N253" s="216"/>
      <c r="O253" s="216"/>
      <c r="P253" s="216"/>
      <c r="Q253" s="456" t="str">
        <f t="shared" ca="1" si="198"/>
        <v/>
      </c>
      <c r="R253" s="450">
        <f t="shared" ca="1" si="199"/>
        <v>1</v>
      </c>
      <c r="S253" s="191">
        <f t="shared" si="242"/>
        <v>21</v>
      </c>
      <c r="T253" s="191">
        <f t="shared" si="243"/>
        <v>5</v>
      </c>
      <c r="U253" s="191">
        <f ca="1">OP!$D$5+$S253-1</f>
        <v>53</v>
      </c>
      <c r="V253" s="191" t="str">
        <f t="shared" si="244"/>
        <v/>
      </c>
      <c r="W253" s="350">
        <f ca="1">IF(Q253&lt;&gt;1,0,VLOOKUP(OP!$C$55,PVFB,$S253+2,0))</f>
        <v>0</v>
      </c>
      <c r="X253" s="473">
        <f t="shared" ca="1" si="229"/>
        <v>0</v>
      </c>
      <c r="Y253" s="348">
        <f t="shared" ca="1" si="230"/>
        <v>0</v>
      </c>
      <c r="Z253" s="348">
        <f t="shared" ca="1" si="245"/>
        <v>8012</v>
      </c>
      <c r="AA253" s="348">
        <f ca="1">IF(Q253&lt;&gt;1,0,VLOOKUP(OP!$C$55,PVFB,$S253+2,0))</f>
        <v>0</v>
      </c>
      <c r="AB253" s="488" t="str">
        <f ca="1">IF(AND(S253&lt;OP!$C$24,$U253&lt;15),0,IF(AND($U253&lt;15,$T253=12),ROUND(VLOOKUP($S253,DOWN16,5,0),3),IF($T253=12,ROUND(($Z253/10000)*$AA253,3)+IF(AND($P$7="購買增額繳清保險",T253=12,U253=110),VLOOKUP(S253,$B$10:$H$121,7,0),0),"")))</f>
        <v/>
      </c>
      <c r="AC253" s="350" t="str">
        <f ca="1">IF(AND(S253&lt;OP!$C$24,$U253&lt;15),0,IF(AND($U253&lt;16,$T253=12),VLOOKUP($S253,DOWN16,4,0),IF($T253=12,ROUND(VLOOKUP(OP!$C$55,_DIE2,$S253+1,0)*(Z253/10000),0)+IF(AND($P$7="購買增額繳清保險",T253=12,U253=110),VLOOKUP(S253,$B$10:$H$121,7,0),0),"")))</f>
        <v/>
      </c>
      <c r="AD253" s="347"/>
      <c r="AE253" s="350" t="str">
        <f t="shared" ca="1" si="246"/>
        <v/>
      </c>
      <c r="AF253" s="351" t="str">
        <f t="shared" ca="1" si="247"/>
        <v/>
      </c>
      <c r="AG253" s="340"/>
      <c r="AH253" s="340"/>
      <c r="AI253" s="340"/>
      <c r="AJ253" s="340"/>
      <c r="AK253" s="340"/>
      <c r="AL253" s="340"/>
      <c r="AM253" s="340"/>
      <c r="AN253" s="340"/>
      <c r="AO253" s="340"/>
      <c r="AP253" s="340"/>
      <c r="AQ253" s="340"/>
      <c r="AR253" s="340"/>
      <c r="AS253" s="340"/>
      <c r="AT253" s="340"/>
      <c r="AU253" s="340"/>
      <c r="AV253" s="340"/>
      <c r="AY253" s="340"/>
      <c r="AZ253" s="465">
        <f t="shared" ca="1" si="209"/>
        <v>7.3698599999999999E-5</v>
      </c>
      <c r="BA253" s="464">
        <f t="shared" ca="1" si="210"/>
        <v>2.2109589000000002E-3</v>
      </c>
      <c r="BB253" s="465">
        <f t="shared" ca="1" si="210"/>
        <v>2.2846575E-3</v>
      </c>
      <c r="BC253" s="466">
        <f t="shared" ca="1" si="211"/>
        <v>50314</v>
      </c>
      <c r="BD253" s="467">
        <f t="shared" ca="1" si="232"/>
        <v>50315</v>
      </c>
      <c r="BE253" s="467">
        <f t="shared" ca="1" si="212"/>
        <v>50344</v>
      </c>
      <c r="BF253" s="468">
        <f ca="1">IF(計算!$BC253&lt;OP!$C$3,0,BD253-BC253)</f>
        <v>1</v>
      </c>
      <c r="BG253" s="468">
        <f ca="1">IF($BE253&gt;DATE(YEAR($BD$9)+OP!$C$57,MONTH($BD$9),DAY($BD$9)),0,$BE253-$BD253+1)</f>
        <v>30</v>
      </c>
      <c r="BH253" s="469">
        <f t="shared" ca="1" si="213"/>
        <v>31</v>
      </c>
      <c r="BI253" t="str">
        <f t="shared" si="248"/>
        <v/>
      </c>
      <c r="BJ253">
        <v>4</v>
      </c>
      <c r="BN253" s="468">
        <f t="shared" si="233"/>
        <v>21</v>
      </c>
      <c r="BO253" s="468">
        <f t="shared" si="234"/>
        <v>4</v>
      </c>
      <c r="BP253" s="467">
        <f t="shared" ca="1" si="214"/>
        <v>50315</v>
      </c>
      <c r="BQ253" s="475">
        <f t="shared" ca="1" si="240"/>
        <v>53</v>
      </c>
      <c r="BR253" s="475" t="str">
        <f t="shared" si="235"/>
        <v/>
      </c>
      <c r="BS253" s="471" t="str">
        <f t="shared" si="215"/>
        <v/>
      </c>
      <c r="BT253" s="472" t="str">
        <f t="shared" si="249"/>
        <v/>
      </c>
      <c r="BU253" s="472">
        <f t="shared" ca="1" si="216"/>
        <v>0</v>
      </c>
      <c r="BV253" s="472">
        <f t="shared" ca="1" si="216"/>
        <v>0</v>
      </c>
      <c r="BW253" s="472"/>
      <c r="BX253" s="473">
        <f t="shared" ca="1" si="217"/>
        <v>140281.62480487101</v>
      </c>
      <c r="BY253" s="473">
        <f t="shared" si="218"/>
        <v>0</v>
      </c>
      <c r="BZ253" s="473">
        <f t="shared" ca="1" si="192"/>
        <v>320.49546622299999</v>
      </c>
      <c r="CA253" s="476">
        <f t="shared" ca="1" si="219"/>
        <v>0</v>
      </c>
      <c r="CB253" s="494">
        <f ca="1">IF(OR($Q252&lt;&gt;1,OP!$D$5+$BN253-1&lt;16,$BN253-1&lt;1),0,ROUND(ROUND(ROUND(((VLOOKUP($BN253-1,MORE_PV,5,0)/10000)*VLOOKUP($BN253,MORE_PV,$CB$5,0)),3)*VLOOKUP($BN253,more1,5,0),0)/$R252,0))</f>
        <v>0</v>
      </c>
      <c r="CC253" s="473">
        <f t="shared" ca="1" si="220"/>
        <v>0</v>
      </c>
      <c r="CD253" s="477"/>
    </row>
    <row r="254" spans="2:82" ht="16.5" hidden="1">
      <c r="B254" s="80"/>
      <c r="C254" s="80"/>
      <c r="D254" s="80"/>
      <c r="E254" s="80"/>
      <c r="F254" s="80"/>
      <c r="G254" s="80"/>
      <c r="H254" s="80"/>
      <c r="I254" s="80"/>
      <c r="J254" s="192">
        <f t="shared" si="195"/>
        <v>21</v>
      </c>
      <c r="K254" s="192">
        <f t="shared" si="196"/>
        <v>6</v>
      </c>
      <c r="L254" s="192" t="str">
        <f t="shared" si="189"/>
        <v/>
      </c>
      <c r="M254" s="216">
        <f t="shared" ca="1" si="197"/>
        <v>0</v>
      </c>
      <c r="N254" s="216"/>
      <c r="O254" s="216"/>
      <c r="P254" s="216"/>
      <c r="Q254" s="456" t="str">
        <f t="shared" ca="1" si="198"/>
        <v/>
      </c>
      <c r="R254" s="450">
        <f t="shared" ca="1" si="199"/>
        <v>1</v>
      </c>
      <c r="S254" s="191">
        <f t="shared" si="242"/>
        <v>21</v>
      </c>
      <c r="T254" s="191">
        <f t="shared" si="243"/>
        <v>6</v>
      </c>
      <c r="U254" s="191">
        <f ca="1">OP!$D$5+$S254-1</f>
        <v>53</v>
      </c>
      <c r="V254" s="191" t="str">
        <f t="shared" si="244"/>
        <v/>
      </c>
      <c r="W254" s="350">
        <f ca="1">IF(Q254&lt;&gt;1,0,VLOOKUP(OP!$C$55,PVFB,$S254+2,0))</f>
        <v>0</v>
      </c>
      <c r="X254" s="473">
        <f t="shared" ca="1" si="229"/>
        <v>0</v>
      </c>
      <c r="Y254" s="348">
        <f t="shared" ca="1" si="230"/>
        <v>0</v>
      </c>
      <c r="Z254" s="348">
        <f t="shared" ca="1" si="245"/>
        <v>8012</v>
      </c>
      <c r="AA254" s="348">
        <f ca="1">IF(Q254&lt;&gt;1,0,VLOOKUP(OP!$C$55,PVFB,$S254+2,0))</f>
        <v>0</v>
      </c>
      <c r="AB254" s="488" t="str">
        <f ca="1">IF(AND(S254&lt;OP!$C$24,$U254&lt;15),0,IF(AND($U254&lt;15,$T254=12),ROUND(VLOOKUP($S254,DOWN16,5,0),3),IF($T254=12,ROUND(($Z254/10000)*$AA254,3)+IF(AND($P$7="購買增額繳清保險",T254=12,U254=110),VLOOKUP(S254,$B$10:$H$121,7,0),0),"")))</f>
        <v/>
      </c>
      <c r="AC254" s="350" t="str">
        <f ca="1">IF(AND(S254&lt;OP!$C$24,$U254&lt;15),0,IF(AND($U254&lt;16,$T254=12),VLOOKUP($S254,DOWN16,4,0),IF($T254=12,ROUND(VLOOKUP(OP!$C$55,_DIE2,$S254+1,0)*(Z254/10000),0)+IF(AND($P$7="購買增額繳清保險",T254=12,U254=110),VLOOKUP(S254,$B$10:$H$121,7,0),0),"")))</f>
        <v/>
      </c>
      <c r="AD254" s="347"/>
      <c r="AE254" s="350" t="str">
        <f t="shared" ca="1" si="246"/>
        <v/>
      </c>
      <c r="AF254" s="351" t="str">
        <f t="shared" ca="1" si="247"/>
        <v/>
      </c>
      <c r="AG254" s="340"/>
      <c r="AH254" s="340"/>
      <c r="AI254" s="340"/>
      <c r="AJ254" s="340"/>
      <c r="AK254" s="340"/>
      <c r="AL254" s="340"/>
      <c r="AM254" s="340"/>
      <c r="AN254" s="340"/>
      <c r="AO254" s="340"/>
      <c r="AP254" s="340"/>
      <c r="AQ254" s="340"/>
      <c r="AR254" s="340"/>
      <c r="AS254" s="340"/>
      <c r="AT254" s="340"/>
      <c r="AU254" s="340"/>
      <c r="AV254" s="340"/>
      <c r="AY254" s="340"/>
      <c r="AZ254" s="465">
        <f t="shared" ca="1" si="209"/>
        <v>7.3698599999999999E-5</v>
      </c>
      <c r="BA254" s="464">
        <f t="shared" ca="1" si="210"/>
        <v>2.1372602999999999E-3</v>
      </c>
      <c r="BB254" s="465">
        <f t="shared" ca="1" si="210"/>
        <v>2.2109589000000002E-3</v>
      </c>
      <c r="BC254" s="466">
        <f t="shared" ca="1" si="211"/>
        <v>50345</v>
      </c>
      <c r="BD254" s="467">
        <f t="shared" ca="1" si="232"/>
        <v>50346</v>
      </c>
      <c r="BE254" s="467">
        <f t="shared" ca="1" si="212"/>
        <v>50374</v>
      </c>
      <c r="BF254" s="468">
        <f ca="1">IF(計算!$BC254&lt;OP!$C$3,0,BD254-BC254)</f>
        <v>1</v>
      </c>
      <c r="BG254" s="468">
        <f ca="1">IF($BE254&gt;DATE(YEAR($BD$9)+OP!$C$57,MONTH($BD$9),DAY($BD$9)),0,$BE254-$BD254+1)</f>
        <v>29</v>
      </c>
      <c r="BH254" s="469">
        <f t="shared" ca="1" si="213"/>
        <v>30</v>
      </c>
      <c r="BI254" t="str">
        <f t="shared" si="248"/>
        <v/>
      </c>
      <c r="BJ254">
        <v>5</v>
      </c>
      <c r="BN254" s="468">
        <f t="shared" si="233"/>
        <v>21</v>
      </c>
      <c r="BO254" s="468">
        <f t="shared" si="234"/>
        <v>5</v>
      </c>
      <c r="BP254" s="467">
        <f t="shared" ca="1" si="214"/>
        <v>50346</v>
      </c>
      <c r="BQ254" s="475">
        <f t="shared" ca="1" si="240"/>
        <v>53</v>
      </c>
      <c r="BR254" s="475" t="str">
        <f t="shared" si="235"/>
        <v/>
      </c>
      <c r="BS254" s="471" t="str">
        <f t="shared" si="215"/>
        <v/>
      </c>
      <c r="BT254" s="472" t="str">
        <f t="shared" si="249"/>
        <v/>
      </c>
      <c r="BU254" s="472">
        <f t="shared" ca="1" si="216"/>
        <v>0</v>
      </c>
      <c r="BV254" s="472">
        <f t="shared" ca="1" si="216"/>
        <v>0</v>
      </c>
      <c r="BW254" s="472"/>
      <c r="BX254" s="473">
        <f t="shared" ca="1" si="217"/>
        <v>140602.120271094</v>
      </c>
      <c r="BY254" s="473">
        <f t="shared" si="218"/>
        <v>0</v>
      </c>
      <c r="BZ254" s="473">
        <f t="shared" ca="1" si="192"/>
        <v>310.86550917199997</v>
      </c>
      <c r="CA254" s="476">
        <f t="shared" ca="1" si="219"/>
        <v>0</v>
      </c>
      <c r="CB254" s="494">
        <f ca="1">IF(OR($Q253&lt;&gt;1,OP!$D$5+$BN254-1&lt;16,$BN254-1&lt;1),0,ROUND(ROUND(ROUND(((VLOOKUP($BN254-1,MORE_PV,5,0)/10000)*VLOOKUP($BN254,MORE_PV,$CB$5,0)),3)*VLOOKUP($BN254,more1,5,0),0)/$R253,0))</f>
        <v>0</v>
      </c>
      <c r="CC254" s="473">
        <f t="shared" ca="1" si="220"/>
        <v>0</v>
      </c>
      <c r="CD254" s="477"/>
    </row>
    <row r="255" spans="2:82" ht="16.5" hidden="1">
      <c r="B255" s="80"/>
      <c r="C255" s="80"/>
      <c r="D255" s="80"/>
      <c r="E255" s="80"/>
      <c r="F255" s="80"/>
      <c r="G255" s="80"/>
      <c r="H255" s="80"/>
      <c r="I255" s="80"/>
      <c r="J255" s="192">
        <f t="shared" si="195"/>
        <v>21</v>
      </c>
      <c r="K255" s="192">
        <f t="shared" si="196"/>
        <v>7</v>
      </c>
      <c r="L255" s="192" t="str">
        <f t="shared" si="189"/>
        <v/>
      </c>
      <c r="M255" s="216">
        <f t="shared" ca="1" si="197"/>
        <v>0</v>
      </c>
      <c r="N255" s="216"/>
      <c r="O255" s="216"/>
      <c r="P255" s="216"/>
      <c r="Q255" s="456" t="str">
        <f t="shared" ca="1" si="198"/>
        <v/>
      </c>
      <c r="R255" s="450">
        <f t="shared" ca="1" si="199"/>
        <v>1</v>
      </c>
      <c r="S255" s="191">
        <f t="shared" si="242"/>
        <v>21</v>
      </c>
      <c r="T255" s="191">
        <f t="shared" si="243"/>
        <v>7</v>
      </c>
      <c r="U255" s="191">
        <f ca="1">OP!$D$5+$S255-1</f>
        <v>53</v>
      </c>
      <c r="V255" s="191" t="str">
        <f t="shared" si="244"/>
        <v/>
      </c>
      <c r="W255" s="350">
        <f ca="1">IF(Q255&lt;&gt;1,0,VLOOKUP(OP!$C$55,PVFB,$S255+2,0))</f>
        <v>0</v>
      </c>
      <c r="X255" s="473">
        <f t="shared" ca="1" si="229"/>
        <v>0</v>
      </c>
      <c r="Y255" s="348">
        <f t="shared" ca="1" si="230"/>
        <v>0</v>
      </c>
      <c r="Z255" s="348">
        <f t="shared" ca="1" si="245"/>
        <v>8012</v>
      </c>
      <c r="AA255" s="348">
        <f ca="1">IF(Q255&lt;&gt;1,0,VLOOKUP(OP!$C$55,PVFB,$S255+2,0))</f>
        <v>0</v>
      </c>
      <c r="AB255" s="488" t="str">
        <f ca="1">IF(AND(S255&lt;OP!$C$24,$U255&lt;15),0,IF(AND($U255&lt;15,$T255=12),ROUND(VLOOKUP($S255,DOWN16,5,0),3),IF($T255=12,ROUND(($Z255/10000)*$AA255,3)+IF(AND($P$7="購買增額繳清保險",T255=12,U255=110),VLOOKUP(S255,$B$10:$H$121,7,0),0),"")))</f>
        <v/>
      </c>
      <c r="AC255" s="350" t="str">
        <f ca="1">IF(AND(S255&lt;OP!$C$24,$U255&lt;15),0,IF(AND($U255&lt;16,$T255=12),VLOOKUP($S255,DOWN16,4,0),IF($T255=12,ROUND(VLOOKUP(OP!$C$55,_DIE2,$S255+1,0)*(Z255/10000),0)+IF(AND($P$7="購買增額繳清保險",T255=12,U255=110),VLOOKUP(S255,$B$10:$H$121,7,0),0),"")))</f>
        <v/>
      </c>
      <c r="AD255" s="347"/>
      <c r="AE255" s="350" t="str">
        <f t="shared" ca="1" si="246"/>
        <v/>
      </c>
      <c r="AF255" s="351" t="str">
        <f t="shared" ca="1" si="247"/>
        <v/>
      </c>
      <c r="AG255" s="340"/>
      <c r="AH255" s="340"/>
      <c r="AI255" s="340"/>
      <c r="AJ255" s="340"/>
      <c r="AK255" s="340"/>
      <c r="AL255" s="340"/>
      <c r="AM255" s="340"/>
      <c r="AN255" s="340"/>
      <c r="AO255" s="340"/>
      <c r="AP255" s="340"/>
      <c r="AQ255" s="340"/>
      <c r="AR255" s="340"/>
      <c r="AS255" s="340"/>
      <c r="AT255" s="340"/>
      <c r="AU255" s="340"/>
      <c r="AV255" s="340"/>
      <c r="AY255" s="340"/>
      <c r="AZ255" s="465">
        <f t="shared" ca="1" si="209"/>
        <v>7.3698599999999999E-5</v>
      </c>
      <c r="BA255" s="464">
        <f t="shared" ca="1" si="210"/>
        <v>2.2109589000000002E-3</v>
      </c>
      <c r="BB255" s="465">
        <f t="shared" ca="1" si="210"/>
        <v>2.2846575E-3</v>
      </c>
      <c r="BC255" s="466">
        <f t="shared" ca="1" si="211"/>
        <v>50375</v>
      </c>
      <c r="BD255" s="467">
        <f t="shared" ca="1" si="232"/>
        <v>50376</v>
      </c>
      <c r="BE255" s="467">
        <f t="shared" ca="1" si="212"/>
        <v>50405</v>
      </c>
      <c r="BF255" s="468">
        <f ca="1">IF(計算!$BC255&lt;OP!$C$3,0,BD255-BC255)</f>
        <v>1</v>
      </c>
      <c r="BG255" s="468">
        <f ca="1">IF($BE255&gt;DATE(YEAR($BD$9)+OP!$C$57,MONTH($BD$9),DAY($BD$9)),0,$BE255-$BD255+1)</f>
        <v>30</v>
      </c>
      <c r="BH255" s="469">
        <f t="shared" ca="1" si="213"/>
        <v>31</v>
      </c>
      <c r="BI255" t="str">
        <f t="shared" si="248"/>
        <v/>
      </c>
      <c r="BJ255">
        <v>6</v>
      </c>
      <c r="BN255" s="468">
        <f t="shared" si="233"/>
        <v>21</v>
      </c>
      <c r="BO255" s="468">
        <f t="shared" si="234"/>
        <v>6</v>
      </c>
      <c r="BP255" s="467">
        <f t="shared" ca="1" si="214"/>
        <v>50376</v>
      </c>
      <c r="BQ255" s="475">
        <f t="shared" ca="1" si="240"/>
        <v>53</v>
      </c>
      <c r="BR255" s="475" t="str">
        <f t="shared" si="235"/>
        <v/>
      </c>
      <c r="BS255" s="471" t="str">
        <f t="shared" si="215"/>
        <v/>
      </c>
      <c r="BT255" s="472" t="str">
        <f t="shared" si="249"/>
        <v/>
      </c>
      <c r="BU255" s="472">
        <f t="shared" ca="1" si="216"/>
        <v>0</v>
      </c>
      <c r="BV255" s="472">
        <f t="shared" ca="1" si="216"/>
        <v>0</v>
      </c>
      <c r="BW255" s="472"/>
      <c r="BX255" s="473">
        <f t="shared" ca="1" si="217"/>
        <v>140912.985780266</v>
      </c>
      <c r="BY255" s="473">
        <f t="shared" si="218"/>
        <v>0</v>
      </c>
      <c r="BZ255" s="473">
        <f t="shared" ca="1" si="192"/>
        <v>321.93790981000001</v>
      </c>
      <c r="CA255" s="476">
        <f t="shared" ca="1" si="219"/>
        <v>0</v>
      </c>
      <c r="CB255" s="494">
        <f ca="1">IF(OR($Q254&lt;&gt;1,OP!$D$5+$BN255-1&lt;16,$BN255-1&lt;1),0,ROUND(ROUND(ROUND(((VLOOKUP($BN255-1,MORE_PV,5,0)/10000)*VLOOKUP($BN255,MORE_PV,$CB$5,0)),3)*VLOOKUP($BN255,more1,5,0),0)/$R254,0))</f>
        <v>0</v>
      </c>
      <c r="CC255" s="473">
        <f t="shared" ca="1" si="220"/>
        <v>0</v>
      </c>
      <c r="CD255" s="477"/>
    </row>
    <row r="256" spans="2:82" ht="16.5" hidden="1">
      <c r="B256" s="80"/>
      <c r="C256" s="80"/>
      <c r="D256" s="80"/>
      <c r="E256" s="80"/>
      <c r="F256" s="80"/>
      <c r="G256" s="80"/>
      <c r="H256" s="80"/>
      <c r="I256" s="80"/>
      <c r="J256" s="192">
        <f t="shared" si="195"/>
        <v>21</v>
      </c>
      <c r="K256" s="192">
        <f t="shared" si="196"/>
        <v>8</v>
      </c>
      <c r="L256" s="192" t="str">
        <f t="shared" si="189"/>
        <v/>
      </c>
      <c r="M256" s="216">
        <f t="shared" ca="1" si="197"/>
        <v>0</v>
      </c>
      <c r="N256" s="216"/>
      <c r="O256" s="216"/>
      <c r="P256" s="216"/>
      <c r="Q256" s="456" t="str">
        <f t="shared" ca="1" si="198"/>
        <v/>
      </c>
      <c r="R256" s="450">
        <f t="shared" ca="1" si="199"/>
        <v>1</v>
      </c>
      <c r="S256" s="191">
        <f t="shared" si="242"/>
        <v>21</v>
      </c>
      <c r="T256" s="191">
        <f t="shared" si="243"/>
        <v>8</v>
      </c>
      <c r="U256" s="191">
        <f ca="1">OP!$D$5+$S256-1</f>
        <v>53</v>
      </c>
      <c r="V256" s="191" t="str">
        <f t="shared" si="244"/>
        <v/>
      </c>
      <c r="W256" s="350">
        <f ca="1">IF(Q256&lt;&gt;1,0,VLOOKUP(OP!$C$55,PVFB,$S256+2,0))</f>
        <v>0</v>
      </c>
      <c r="X256" s="473">
        <f t="shared" ca="1" si="229"/>
        <v>0</v>
      </c>
      <c r="Y256" s="348">
        <f t="shared" ca="1" si="230"/>
        <v>0</v>
      </c>
      <c r="Z256" s="348">
        <f t="shared" ca="1" si="245"/>
        <v>8012</v>
      </c>
      <c r="AA256" s="348">
        <f ca="1">IF(Q256&lt;&gt;1,0,VLOOKUP(OP!$C$55,PVFB,$S256+2,0))</f>
        <v>0</v>
      </c>
      <c r="AB256" s="488" t="str">
        <f ca="1">IF(AND(S256&lt;OP!$C$24,$U256&lt;15),0,IF(AND($U256&lt;15,$T256=12),ROUND(VLOOKUP($S256,DOWN16,5,0),3),IF($T256=12,ROUND(($Z256/10000)*$AA256,3)+IF(AND($P$7="購買增額繳清保險",T256=12,U256=110),VLOOKUP(S256,$B$10:$H$121,7,0),0),"")))</f>
        <v/>
      </c>
      <c r="AC256" s="350" t="str">
        <f ca="1">IF(AND(S256&lt;OP!$C$24,$U256&lt;15),0,IF(AND($U256&lt;16,$T256=12),VLOOKUP($S256,DOWN16,4,0),IF($T256=12,ROUND(VLOOKUP(OP!$C$55,_DIE2,$S256+1,0)*(Z256/10000),0)+IF(AND($P$7="購買增額繳清保險",T256=12,U256=110),VLOOKUP(S256,$B$10:$H$121,7,0),0),"")))</f>
        <v/>
      </c>
      <c r="AD256" s="347"/>
      <c r="AE256" s="350" t="str">
        <f t="shared" ca="1" si="246"/>
        <v/>
      </c>
      <c r="AF256" s="351" t="str">
        <f t="shared" ca="1" si="247"/>
        <v/>
      </c>
      <c r="AG256" s="340"/>
      <c r="AH256" s="340"/>
      <c r="AI256" s="340"/>
      <c r="AJ256" s="340"/>
      <c r="AK256" s="340"/>
      <c r="AL256" s="340"/>
      <c r="AM256" s="340"/>
      <c r="AN256" s="340"/>
      <c r="AO256" s="340"/>
      <c r="AP256" s="340"/>
      <c r="AQ256" s="340"/>
      <c r="AR256" s="340"/>
      <c r="AS256" s="340"/>
      <c r="AT256" s="340"/>
      <c r="AU256" s="340"/>
      <c r="AV256" s="340"/>
      <c r="AY256" s="340"/>
      <c r="AZ256" s="465">
        <f t="shared" ca="1" si="209"/>
        <v>7.3698599999999999E-5</v>
      </c>
      <c r="BA256" s="464">
        <f t="shared" ca="1" si="210"/>
        <v>2.2109589000000002E-3</v>
      </c>
      <c r="BB256" s="465">
        <f t="shared" ca="1" si="210"/>
        <v>2.2846575E-3</v>
      </c>
      <c r="BC256" s="466">
        <f t="shared" ca="1" si="211"/>
        <v>50406</v>
      </c>
      <c r="BD256" s="467">
        <f t="shared" ca="1" si="232"/>
        <v>50407</v>
      </c>
      <c r="BE256" s="467">
        <f t="shared" ca="1" si="212"/>
        <v>50436</v>
      </c>
      <c r="BF256" s="468">
        <f ca="1">IF(計算!$BC256&lt;OP!$C$3,0,BD256-BC256)</f>
        <v>1</v>
      </c>
      <c r="BG256" s="468">
        <f ca="1">IF($BE256&gt;DATE(YEAR($BD$9)+OP!$C$57,MONTH($BD$9),DAY($BD$9)),0,$BE256-$BD256+1)</f>
        <v>30</v>
      </c>
      <c r="BH256" s="469">
        <f t="shared" ca="1" si="213"/>
        <v>31</v>
      </c>
      <c r="BI256" t="str">
        <f t="shared" si="248"/>
        <v/>
      </c>
      <c r="BJ256">
        <v>7</v>
      </c>
      <c r="BN256" s="468">
        <f t="shared" si="233"/>
        <v>21</v>
      </c>
      <c r="BO256" s="468">
        <f t="shared" si="234"/>
        <v>7</v>
      </c>
      <c r="BP256" s="467">
        <f t="shared" ca="1" si="214"/>
        <v>50407</v>
      </c>
      <c r="BQ256" s="475">
        <f t="shared" ca="1" si="240"/>
        <v>53</v>
      </c>
      <c r="BR256" s="475" t="str">
        <f t="shared" si="235"/>
        <v/>
      </c>
      <c r="BS256" s="471" t="str">
        <f t="shared" si="215"/>
        <v/>
      </c>
      <c r="BT256" s="472" t="str">
        <f t="shared" si="249"/>
        <v/>
      </c>
      <c r="BU256" s="472">
        <f t="shared" ca="1" si="216"/>
        <v>0</v>
      </c>
      <c r="BV256" s="472">
        <f t="shared" ca="1" si="216"/>
        <v>0</v>
      </c>
      <c r="BW256" s="472"/>
      <c r="BX256" s="473">
        <f t="shared" ca="1" si="217"/>
        <v>141234.92369007599</v>
      </c>
      <c r="BY256" s="473">
        <f t="shared" si="218"/>
        <v>0</v>
      </c>
      <c r="BZ256" s="473">
        <f t="shared" ca="1" si="192"/>
        <v>322.67342767000002</v>
      </c>
      <c r="CA256" s="476">
        <f t="shared" ca="1" si="219"/>
        <v>0</v>
      </c>
      <c r="CB256" s="494">
        <f ca="1">IF(OR($Q255&lt;&gt;1,OP!$D$5+$BN256-1&lt;16,$BN256-1&lt;1),0,ROUND(ROUND(ROUND(((VLOOKUP($BN256-1,MORE_PV,5,0)/10000)*VLOOKUP($BN256,MORE_PV,$CB$5,0)),3)*VLOOKUP($BN256,more1,5,0),0)/$R255,0))</f>
        <v>0</v>
      </c>
      <c r="CC256" s="473">
        <f t="shared" ca="1" si="220"/>
        <v>0</v>
      </c>
      <c r="CD256" s="477"/>
    </row>
    <row r="257" spans="2:82" ht="16.5" hidden="1">
      <c r="B257" s="80"/>
      <c r="C257" s="80"/>
      <c r="D257" s="80"/>
      <c r="E257" s="80"/>
      <c r="F257" s="80"/>
      <c r="G257" s="80"/>
      <c r="H257" s="80"/>
      <c r="I257" s="80"/>
      <c r="J257" s="192">
        <f t="shared" si="195"/>
        <v>21</v>
      </c>
      <c r="K257" s="192">
        <f t="shared" si="196"/>
        <v>9</v>
      </c>
      <c r="L257" s="192" t="str">
        <f t="shared" si="189"/>
        <v/>
      </c>
      <c r="M257" s="216">
        <f t="shared" ca="1" si="197"/>
        <v>0</v>
      </c>
      <c r="N257" s="216"/>
      <c r="O257" s="216"/>
      <c r="P257" s="216"/>
      <c r="Q257" s="456" t="str">
        <f t="shared" ca="1" si="198"/>
        <v/>
      </c>
      <c r="R257" s="450">
        <f t="shared" ca="1" si="199"/>
        <v>1</v>
      </c>
      <c r="S257" s="191">
        <f t="shared" si="242"/>
        <v>21</v>
      </c>
      <c r="T257" s="191">
        <f t="shared" si="243"/>
        <v>9</v>
      </c>
      <c r="U257" s="191">
        <f ca="1">OP!$D$5+$S257-1</f>
        <v>53</v>
      </c>
      <c r="V257" s="191" t="str">
        <f t="shared" si="244"/>
        <v/>
      </c>
      <c r="W257" s="350">
        <f ca="1">IF(Q257&lt;&gt;1,0,VLOOKUP(OP!$C$55,PVFB,$S257+2,0))</f>
        <v>0</v>
      </c>
      <c r="X257" s="473">
        <f t="shared" ca="1" si="229"/>
        <v>0</v>
      </c>
      <c r="Y257" s="348">
        <f t="shared" ca="1" si="230"/>
        <v>0</v>
      </c>
      <c r="Z257" s="348">
        <f t="shared" ca="1" si="245"/>
        <v>8012</v>
      </c>
      <c r="AA257" s="348">
        <f ca="1">IF(Q257&lt;&gt;1,0,VLOOKUP(OP!$C$55,PVFB,$S257+2,0))</f>
        <v>0</v>
      </c>
      <c r="AB257" s="488" t="str">
        <f ca="1">IF(AND(S257&lt;OP!$C$24,$U257&lt;15),0,IF(AND($U257&lt;15,$T257=12),ROUND(VLOOKUP($S257,DOWN16,5,0),3),IF($T257=12,ROUND(($Z257/10000)*$AA257,3)+IF(AND($P$7="購買增額繳清保險",T257=12,U257=110),VLOOKUP(S257,$B$10:$H$121,7,0),0),"")))</f>
        <v/>
      </c>
      <c r="AC257" s="350" t="str">
        <f ca="1">IF(AND(S257&lt;OP!$C$24,$U257&lt;15),0,IF(AND($U257&lt;16,$T257=12),VLOOKUP($S257,DOWN16,4,0),IF($T257=12,ROUND(VLOOKUP(OP!$C$55,_DIE2,$S257+1,0)*(Z257/10000),0)+IF(AND($P$7="購買增額繳清保險",T257=12,U257=110),VLOOKUP(S257,$B$10:$H$121,7,0),0),"")))</f>
        <v/>
      </c>
      <c r="AD257" s="347"/>
      <c r="AE257" s="350" t="str">
        <f t="shared" ca="1" si="246"/>
        <v/>
      </c>
      <c r="AF257" s="351" t="str">
        <f t="shared" ca="1" si="247"/>
        <v/>
      </c>
      <c r="AG257" s="340"/>
      <c r="AH257" s="340"/>
      <c r="AI257" s="340"/>
      <c r="AJ257" s="340"/>
      <c r="AK257" s="340"/>
      <c r="AL257" s="340"/>
      <c r="AM257" s="340"/>
      <c r="AN257" s="340"/>
      <c r="AO257" s="340"/>
      <c r="AP257" s="340"/>
      <c r="AQ257" s="340"/>
      <c r="AR257" s="340"/>
      <c r="AS257" s="340"/>
      <c r="AT257" s="340"/>
      <c r="AU257" s="340"/>
      <c r="AV257" s="340"/>
      <c r="AY257" s="340"/>
      <c r="AZ257" s="465">
        <f t="shared" ca="1" si="209"/>
        <v>7.3698599999999999E-5</v>
      </c>
      <c r="BA257" s="464">
        <f t="shared" ca="1" si="210"/>
        <v>1.9898630000000001E-3</v>
      </c>
      <c r="BB257" s="465">
        <f t="shared" ca="1" si="210"/>
        <v>2.0635616E-3</v>
      </c>
      <c r="BC257" s="466">
        <f t="shared" ca="1" si="211"/>
        <v>50437</v>
      </c>
      <c r="BD257" s="467">
        <f t="shared" ca="1" si="232"/>
        <v>50438</v>
      </c>
      <c r="BE257" s="467">
        <f t="shared" ca="1" si="212"/>
        <v>50464</v>
      </c>
      <c r="BF257" s="468">
        <f ca="1">IF(計算!$BC257&lt;OP!$C$3,0,BD257-BC257)</f>
        <v>1</v>
      </c>
      <c r="BG257" s="468">
        <f ca="1">IF($BE257&gt;DATE(YEAR($BD$9)+OP!$C$57,MONTH($BD$9),DAY($BD$9)),0,$BE257-$BD257+1)</f>
        <v>27</v>
      </c>
      <c r="BH257" s="469">
        <f t="shared" ca="1" si="213"/>
        <v>28</v>
      </c>
      <c r="BI257" t="str">
        <f t="shared" si="248"/>
        <v/>
      </c>
      <c r="BJ257">
        <v>8</v>
      </c>
      <c r="BN257" s="468">
        <f t="shared" si="233"/>
        <v>21</v>
      </c>
      <c r="BO257" s="468">
        <f t="shared" si="234"/>
        <v>8</v>
      </c>
      <c r="BP257" s="467">
        <f t="shared" ca="1" si="214"/>
        <v>50438</v>
      </c>
      <c r="BQ257" s="475">
        <f t="shared" ca="1" si="240"/>
        <v>53</v>
      </c>
      <c r="BR257" s="475" t="str">
        <f t="shared" si="235"/>
        <v/>
      </c>
      <c r="BS257" s="471" t="str">
        <f t="shared" si="215"/>
        <v/>
      </c>
      <c r="BT257" s="472" t="str">
        <f t="shared" si="249"/>
        <v/>
      </c>
      <c r="BU257" s="472">
        <f t="shared" ca="1" si="216"/>
        <v>0</v>
      </c>
      <c r="BV257" s="472">
        <f t="shared" ca="1" si="216"/>
        <v>0</v>
      </c>
      <c r="BW257" s="472"/>
      <c r="BX257" s="473">
        <f t="shared" ca="1" si="217"/>
        <v>141557.59711774599</v>
      </c>
      <c r="BY257" s="473">
        <f t="shared" si="218"/>
        <v>0</v>
      </c>
      <c r="BZ257" s="473">
        <f t="shared" ca="1" si="192"/>
        <v>292.11282160000002</v>
      </c>
      <c r="CA257" s="476">
        <f t="shared" ca="1" si="219"/>
        <v>0</v>
      </c>
      <c r="CB257" s="494">
        <f ca="1">IF(OR($Q256&lt;&gt;1,OP!$D$5+$BN257-1&lt;16,$BN257-1&lt;1),0,ROUND(ROUND(ROUND(((VLOOKUP($BN257-1,MORE_PV,5,0)/10000)*VLOOKUP($BN257,MORE_PV,$CB$5,0)),3)*VLOOKUP($BN257,more1,5,0),0)/$R256,0))</f>
        <v>0</v>
      </c>
      <c r="CC257" s="473">
        <f t="shared" ca="1" si="220"/>
        <v>0</v>
      </c>
      <c r="CD257" s="477"/>
    </row>
    <row r="258" spans="2:82" ht="16.5" hidden="1">
      <c r="B258" s="80"/>
      <c r="C258" s="80"/>
      <c r="D258" s="80"/>
      <c r="E258" s="80"/>
      <c r="F258" s="80"/>
      <c r="G258" s="80"/>
      <c r="H258" s="80"/>
      <c r="I258" s="80"/>
      <c r="J258" s="192">
        <f t="shared" si="195"/>
        <v>21</v>
      </c>
      <c r="K258" s="192">
        <f t="shared" si="196"/>
        <v>10</v>
      </c>
      <c r="L258" s="192" t="str">
        <f t="shared" si="189"/>
        <v/>
      </c>
      <c r="M258" s="216">
        <f t="shared" ca="1" si="197"/>
        <v>0</v>
      </c>
      <c r="N258" s="216"/>
      <c r="O258" s="216"/>
      <c r="P258" s="216"/>
      <c r="Q258" s="456" t="str">
        <f t="shared" ca="1" si="198"/>
        <v/>
      </c>
      <c r="R258" s="450">
        <f t="shared" ca="1" si="199"/>
        <v>1</v>
      </c>
      <c r="S258" s="191">
        <f t="shared" si="242"/>
        <v>21</v>
      </c>
      <c r="T258" s="191">
        <f t="shared" si="243"/>
        <v>10</v>
      </c>
      <c r="U258" s="191">
        <f ca="1">OP!$D$5+$S258-1</f>
        <v>53</v>
      </c>
      <c r="V258" s="191" t="str">
        <f t="shared" si="244"/>
        <v/>
      </c>
      <c r="W258" s="350">
        <f ca="1">IF(Q258&lt;&gt;1,0,VLOOKUP(OP!$C$55,PVFB,$S258+2,0))</f>
        <v>0</v>
      </c>
      <c r="X258" s="473">
        <f t="shared" ca="1" si="229"/>
        <v>0</v>
      </c>
      <c r="Y258" s="348">
        <f t="shared" ca="1" si="230"/>
        <v>0</v>
      </c>
      <c r="Z258" s="348">
        <f t="shared" ca="1" si="245"/>
        <v>8012</v>
      </c>
      <c r="AA258" s="348">
        <f ca="1">IF(Q258&lt;&gt;1,0,VLOOKUP(OP!$C$55,PVFB,$S258+2,0))</f>
        <v>0</v>
      </c>
      <c r="AB258" s="488" t="str">
        <f ca="1">IF(AND(S258&lt;OP!$C$24,$U258&lt;15),0,IF(AND($U258&lt;15,$T258=12),ROUND(VLOOKUP($S258,DOWN16,5,0),3),IF($T258=12,ROUND(($Z258/10000)*$AA258,3)+IF(AND($P$7="購買增額繳清保險",T258=12,U258=110),VLOOKUP(S258,$B$10:$H$121,7,0),0),"")))</f>
        <v/>
      </c>
      <c r="AC258" s="350" t="str">
        <f ca="1">IF(AND(S258&lt;OP!$C$24,$U258&lt;15),0,IF(AND($U258&lt;16,$T258=12),VLOOKUP($S258,DOWN16,4,0),IF($T258=12,ROUND(VLOOKUP(OP!$C$55,_DIE2,$S258+1,0)*(Z258/10000),0)+IF(AND($P$7="購買增額繳清保險",T258=12,U258=110),VLOOKUP(S258,$B$10:$H$121,7,0),0),"")))</f>
        <v/>
      </c>
      <c r="AD258" s="347"/>
      <c r="AE258" s="350" t="str">
        <f t="shared" ca="1" si="246"/>
        <v/>
      </c>
      <c r="AF258" s="351" t="str">
        <f t="shared" ca="1" si="247"/>
        <v/>
      </c>
      <c r="AG258" s="340"/>
      <c r="AH258" s="340"/>
      <c r="AI258" s="340"/>
      <c r="AJ258" s="340"/>
      <c r="AK258" s="340"/>
      <c r="AL258" s="340"/>
      <c r="AM258" s="340"/>
      <c r="AN258" s="340"/>
      <c r="AO258" s="340"/>
      <c r="AP258" s="340"/>
      <c r="AQ258" s="340"/>
      <c r="AR258" s="340"/>
      <c r="AS258" s="340"/>
      <c r="AT258" s="340"/>
      <c r="AU258" s="340"/>
      <c r="AV258" s="340"/>
      <c r="AY258" s="340"/>
      <c r="AZ258" s="465">
        <f t="shared" ca="1" si="209"/>
        <v>7.3698599999999999E-5</v>
      </c>
      <c r="BA258" s="464">
        <f t="shared" ca="1" si="210"/>
        <v>2.2109589000000002E-3</v>
      </c>
      <c r="BB258" s="465">
        <f t="shared" ca="1" si="210"/>
        <v>2.2846575E-3</v>
      </c>
      <c r="BC258" s="466">
        <f t="shared" ca="1" si="211"/>
        <v>50465</v>
      </c>
      <c r="BD258" s="467">
        <f t="shared" ca="1" si="232"/>
        <v>50466</v>
      </c>
      <c r="BE258" s="467">
        <f t="shared" ca="1" si="212"/>
        <v>50495</v>
      </c>
      <c r="BF258" s="468">
        <f ca="1">IF(計算!$BC258&lt;OP!$C$3,0,BD258-BC258)</f>
        <v>1</v>
      </c>
      <c r="BG258" s="468">
        <f ca="1">IF($BE258&gt;DATE(YEAR($BD$9)+OP!$C$57,MONTH($BD$9),DAY($BD$9)),0,$BE258-$BD258+1)</f>
        <v>30</v>
      </c>
      <c r="BH258" s="469">
        <f t="shared" ca="1" si="213"/>
        <v>31</v>
      </c>
      <c r="BI258" t="str">
        <f t="shared" si="248"/>
        <v/>
      </c>
      <c r="BJ258">
        <v>9</v>
      </c>
      <c r="BN258" s="468">
        <f t="shared" si="233"/>
        <v>21</v>
      </c>
      <c r="BO258" s="468">
        <f t="shared" si="234"/>
        <v>9</v>
      </c>
      <c r="BP258" s="467">
        <f t="shared" ca="1" si="214"/>
        <v>50466</v>
      </c>
      <c r="BQ258" s="475">
        <f t="shared" ca="1" si="240"/>
        <v>53</v>
      </c>
      <c r="BR258" s="475" t="str">
        <f t="shared" si="235"/>
        <v/>
      </c>
      <c r="BS258" s="471" t="str">
        <f t="shared" si="215"/>
        <v/>
      </c>
      <c r="BT258" s="472" t="str">
        <f t="shared" si="249"/>
        <v/>
      </c>
      <c r="BU258" s="472">
        <f t="shared" ca="1" si="216"/>
        <v>0</v>
      </c>
      <c r="BV258" s="472">
        <f t="shared" ca="1" si="216"/>
        <v>0</v>
      </c>
      <c r="BW258" s="472"/>
      <c r="BX258" s="473">
        <f t="shared" ca="1" si="217"/>
        <v>141849.70993934601</v>
      </c>
      <c r="BY258" s="473">
        <f t="shared" si="218"/>
        <v>0</v>
      </c>
      <c r="BZ258" s="473">
        <f t="shared" ca="1" si="192"/>
        <v>324.07800368599999</v>
      </c>
      <c r="CA258" s="476">
        <f t="shared" ca="1" si="219"/>
        <v>0</v>
      </c>
      <c r="CB258" s="494">
        <f ca="1">IF(OR($Q257&lt;&gt;1,OP!$D$5+$BN258-1&lt;16,$BN258-1&lt;1),0,ROUND(ROUND(ROUND(((VLOOKUP($BN258-1,MORE_PV,5,0)/10000)*VLOOKUP($BN258,MORE_PV,$CB$5,0)),3)*VLOOKUP($BN258,more1,5,0),0)/$R257,0))</f>
        <v>0</v>
      </c>
      <c r="CC258" s="473">
        <f t="shared" ca="1" si="220"/>
        <v>0</v>
      </c>
      <c r="CD258" s="477"/>
    </row>
    <row r="259" spans="2:82" ht="16.5" hidden="1">
      <c r="B259" s="80"/>
      <c r="C259" s="80"/>
      <c r="D259" s="80"/>
      <c r="E259" s="80"/>
      <c r="F259" s="80"/>
      <c r="G259" s="80"/>
      <c r="H259" s="80"/>
      <c r="I259" s="80"/>
      <c r="J259" s="192">
        <f t="shared" si="195"/>
        <v>21</v>
      </c>
      <c r="K259" s="192">
        <f t="shared" si="196"/>
        <v>11</v>
      </c>
      <c r="L259" s="192" t="str">
        <f t="shared" si="189"/>
        <v/>
      </c>
      <c r="M259" s="216">
        <f t="shared" ca="1" si="197"/>
        <v>0</v>
      </c>
      <c r="N259" s="216"/>
      <c r="O259" s="216"/>
      <c r="P259" s="216"/>
      <c r="Q259" s="456" t="str">
        <f t="shared" ca="1" si="198"/>
        <v/>
      </c>
      <c r="R259" s="450">
        <f t="shared" ca="1" si="199"/>
        <v>1</v>
      </c>
      <c r="S259" s="191">
        <f t="shared" si="242"/>
        <v>21</v>
      </c>
      <c r="T259" s="191">
        <f t="shared" si="243"/>
        <v>11</v>
      </c>
      <c r="U259" s="191">
        <f ca="1">OP!$D$5+$S259-1</f>
        <v>53</v>
      </c>
      <c r="V259" s="191" t="str">
        <f t="shared" si="244"/>
        <v/>
      </c>
      <c r="W259" s="350">
        <f ca="1">IF(Q259&lt;&gt;1,0,VLOOKUP(OP!$C$55,PVFB,$S259+2,0))</f>
        <v>0</v>
      </c>
      <c r="X259" s="473">
        <f t="shared" ca="1" si="229"/>
        <v>0</v>
      </c>
      <c r="Y259" s="348">
        <f t="shared" ca="1" si="230"/>
        <v>0</v>
      </c>
      <c r="Z259" s="348">
        <f t="shared" ca="1" si="245"/>
        <v>8012</v>
      </c>
      <c r="AA259" s="348">
        <f ca="1">IF(Q259&lt;&gt;1,0,VLOOKUP(OP!$C$55,PVFB,$S259+2,0))</f>
        <v>0</v>
      </c>
      <c r="AB259" s="488" t="str">
        <f ca="1">IF(AND(S259&lt;OP!$C$24,$U259&lt;15),0,IF(AND($U259&lt;15,$T259=12),ROUND(VLOOKUP($S259,DOWN16,5,0),3),IF($T259=12,ROUND(($Z259/10000)*$AA259,3)+IF(AND($P$7="購買增額繳清保險",T259=12,U259=110),VLOOKUP(S259,$B$10:$H$121,7,0),0),"")))</f>
        <v/>
      </c>
      <c r="AC259" s="350" t="str">
        <f ca="1">IF(AND(S259&lt;OP!$C$24,$U259&lt;15),0,IF(AND($U259&lt;16,$T259=12),VLOOKUP($S259,DOWN16,4,0),IF($T259=12,ROUND(VLOOKUP(OP!$C$55,_DIE2,$S259+1,0)*(Z259/10000),0)+IF(AND($P$7="購買增額繳清保險",T259=12,U259=110),VLOOKUP(S259,$B$10:$H$121,7,0),0),"")))</f>
        <v/>
      </c>
      <c r="AD259" s="347"/>
      <c r="AE259" s="350" t="str">
        <f t="shared" ca="1" si="246"/>
        <v/>
      </c>
      <c r="AF259" s="351" t="str">
        <f t="shared" ca="1" si="247"/>
        <v/>
      </c>
      <c r="AG259" s="340"/>
      <c r="AH259" s="340"/>
      <c r="AI259" s="340"/>
      <c r="AJ259" s="340"/>
      <c r="AK259" s="340"/>
      <c r="AL259" s="340"/>
      <c r="AM259" s="340"/>
      <c r="AN259" s="340"/>
      <c r="AO259" s="340"/>
      <c r="AP259" s="340"/>
      <c r="AQ259" s="340"/>
      <c r="AR259" s="340"/>
      <c r="AS259" s="340"/>
      <c r="AT259" s="340"/>
      <c r="AU259" s="340"/>
      <c r="AV259" s="340"/>
      <c r="AY259" s="340"/>
      <c r="AZ259" s="465">
        <f t="shared" ca="1" si="209"/>
        <v>7.3698599999999999E-5</v>
      </c>
      <c r="BA259" s="464">
        <f t="shared" ca="1" si="210"/>
        <v>2.1372602999999999E-3</v>
      </c>
      <c r="BB259" s="465">
        <f t="shared" ca="1" si="210"/>
        <v>2.2109589000000002E-3</v>
      </c>
      <c r="BC259" s="466">
        <f t="shared" ca="1" si="211"/>
        <v>50496</v>
      </c>
      <c r="BD259" s="467">
        <f t="shared" ca="1" si="232"/>
        <v>50497</v>
      </c>
      <c r="BE259" s="467">
        <f t="shared" ca="1" si="212"/>
        <v>50525</v>
      </c>
      <c r="BF259" s="468">
        <f ca="1">IF(計算!$BC259&lt;OP!$C$3,0,BD259-BC259)</f>
        <v>1</v>
      </c>
      <c r="BG259" s="468">
        <f ca="1">IF($BE259&gt;DATE(YEAR($BD$9)+OP!$C$57,MONTH($BD$9),DAY($BD$9)),0,$BE259-$BD259+1)</f>
        <v>29</v>
      </c>
      <c r="BH259" s="469">
        <f t="shared" ca="1" si="213"/>
        <v>30</v>
      </c>
      <c r="BI259" t="str">
        <f t="shared" si="248"/>
        <v/>
      </c>
      <c r="BJ259">
        <v>10</v>
      </c>
      <c r="BN259" s="468">
        <f t="shared" si="233"/>
        <v>21</v>
      </c>
      <c r="BO259" s="468">
        <f t="shared" si="234"/>
        <v>10</v>
      </c>
      <c r="BP259" s="467">
        <f t="shared" ca="1" si="214"/>
        <v>50497</v>
      </c>
      <c r="BQ259" s="475">
        <f t="shared" ca="1" si="240"/>
        <v>53</v>
      </c>
      <c r="BR259" s="475" t="str">
        <f t="shared" si="235"/>
        <v/>
      </c>
      <c r="BS259" s="471" t="str">
        <f t="shared" si="215"/>
        <v/>
      </c>
      <c r="BT259" s="472" t="str">
        <f t="shared" si="249"/>
        <v/>
      </c>
      <c r="BU259" s="472">
        <f t="shared" ca="1" si="216"/>
        <v>0</v>
      </c>
      <c r="BV259" s="472">
        <f t="shared" ca="1" si="216"/>
        <v>0</v>
      </c>
      <c r="BW259" s="472"/>
      <c r="BX259" s="473">
        <f t="shared" ca="1" si="217"/>
        <v>142173.78794303199</v>
      </c>
      <c r="BY259" s="473">
        <f t="shared" si="218"/>
        <v>0</v>
      </c>
      <c r="BZ259" s="473">
        <f t="shared" ca="1" si="192"/>
        <v>314.34040179900001</v>
      </c>
      <c r="CA259" s="476">
        <f t="shared" ca="1" si="219"/>
        <v>0</v>
      </c>
      <c r="CB259" s="494">
        <f ca="1">IF(OR($Q258&lt;&gt;1,OP!$D$5+$BN259-1&lt;16,$BN259-1&lt;1),0,ROUND(ROUND(ROUND(((VLOOKUP($BN259-1,MORE_PV,5,0)/10000)*VLOOKUP($BN259,MORE_PV,$CB$5,0)),3)*VLOOKUP($BN259,more1,5,0),0)/$R258,0))</f>
        <v>0</v>
      </c>
      <c r="CC259" s="473">
        <f t="shared" ca="1" si="220"/>
        <v>0</v>
      </c>
      <c r="CD259" s="477"/>
    </row>
    <row r="260" spans="2:82" ht="16.5" hidden="1">
      <c r="B260" s="80"/>
      <c r="C260" s="80"/>
      <c r="D260" s="80"/>
      <c r="E260" s="80"/>
      <c r="F260" s="80"/>
      <c r="G260" s="80"/>
      <c r="H260" s="80"/>
      <c r="I260" s="80"/>
      <c r="J260" s="192">
        <f t="shared" si="195"/>
        <v>21</v>
      </c>
      <c r="K260" s="192">
        <f t="shared" si="196"/>
        <v>12</v>
      </c>
      <c r="L260" s="192">
        <f t="shared" si="189"/>
        <v>21</v>
      </c>
      <c r="M260" s="216">
        <f t="shared" ca="1" si="197"/>
        <v>152496</v>
      </c>
      <c r="N260" s="216"/>
      <c r="O260" s="216"/>
      <c r="P260" s="216"/>
      <c r="Q260" s="456">
        <f t="shared" ca="1" si="198"/>
        <v>1</v>
      </c>
      <c r="R260" s="450">
        <f t="shared" ca="1" si="199"/>
        <v>1</v>
      </c>
      <c r="S260" s="191">
        <f t="shared" si="242"/>
        <v>21</v>
      </c>
      <c r="T260" s="191">
        <f t="shared" si="243"/>
        <v>12</v>
      </c>
      <c r="U260" s="191">
        <f ca="1">OP!$D$5+$S260-1</f>
        <v>53</v>
      </c>
      <c r="V260" s="191">
        <f t="shared" si="244"/>
        <v>21</v>
      </c>
      <c r="W260" s="350">
        <f ca="1">IF(Q260&lt;&gt;1,0,VLOOKUP(OP!$C$55,PVFB,$S260+2,0))</f>
        <v>40268</v>
      </c>
      <c r="X260" s="473">
        <f t="shared" ca="1" si="229"/>
        <v>9670</v>
      </c>
      <c r="Y260" s="348">
        <f t="shared" ca="1" si="230"/>
        <v>0</v>
      </c>
      <c r="Z260" s="348">
        <f t="shared" ca="1" si="245"/>
        <v>8012</v>
      </c>
      <c r="AA260" s="348">
        <f ca="1">IF(Q260&lt;&gt;1,0,VLOOKUP(OP!$C$55,PVFB,$S260+2,0))</f>
        <v>40268</v>
      </c>
      <c r="AB260" s="488">
        <f ca="1">IF(AND(S260&lt;OP!$C$24,$U260&lt;15),0,IF(AND($U260&lt;15,$T260=12),ROUND(VLOOKUP($S260,DOWN16,5,0),3),IF($T260=12,ROUND(($Z260/10000)*$AA260,3)+IF(AND($P$7="購買增額繳清保險",T260=12,U260=110),VLOOKUP(S260,$B$10:$H$121,7,0),0),"")))</f>
        <v>32262.722000000002</v>
      </c>
      <c r="AC260" s="350">
        <f ca="1">IF(AND(S260&lt;OP!$C$24,$U260&lt;15),0,IF(AND($U260&lt;16,$T260=12),VLOOKUP($S260,DOWN16,4,0),IF($T260=12,ROUND(VLOOKUP(OP!$C$55,_DIE2,$S260+1,0)*(Z260/10000),0)+IF(AND($P$7="購買增額繳清保險",T260=12,U260=110),VLOOKUP(S260,$B$10:$H$121,7,0),0),"")))</f>
        <v>32263</v>
      </c>
      <c r="AD260" s="347"/>
      <c r="AE260" s="350" t="str">
        <f t="shared" ca="1" si="246"/>
        <v/>
      </c>
      <c r="AF260" s="351" t="str">
        <f t="shared" ca="1" si="247"/>
        <v/>
      </c>
      <c r="AG260" s="340"/>
      <c r="AH260" s="340"/>
      <c r="AI260" s="340"/>
      <c r="AJ260" s="340"/>
      <c r="AK260" s="340"/>
      <c r="AL260" s="340"/>
      <c r="AM260" s="340"/>
      <c r="AN260" s="340"/>
      <c r="AO260" s="340"/>
      <c r="AP260" s="340"/>
      <c r="AQ260" s="340"/>
      <c r="AR260" s="340"/>
      <c r="AS260" s="340"/>
      <c r="AT260" s="340"/>
      <c r="AU260" s="340"/>
      <c r="AV260" s="340"/>
      <c r="AY260" s="340"/>
      <c r="AZ260" s="465">
        <f t="shared" ca="1" si="209"/>
        <v>7.3698599999999999E-5</v>
      </c>
      <c r="BA260" s="464">
        <f t="shared" ca="1" si="210"/>
        <v>2.2109589000000002E-3</v>
      </c>
      <c r="BB260" s="465">
        <f t="shared" ca="1" si="210"/>
        <v>2.2846575E-3</v>
      </c>
      <c r="BC260" s="466">
        <f t="shared" ca="1" si="211"/>
        <v>50526</v>
      </c>
      <c r="BD260" s="467">
        <f t="shared" ca="1" si="232"/>
        <v>50527</v>
      </c>
      <c r="BE260" s="467">
        <f t="shared" ca="1" si="212"/>
        <v>50556</v>
      </c>
      <c r="BF260" s="468">
        <f ca="1">IF(計算!$BC260&lt;OP!$C$3,0,BD260-BC260)</f>
        <v>1</v>
      </c>
      <c r="BG260" s="468">
        <f ca="1">IF($BE260&gt;DATE(YEAR($BD$9)+OP!$C$57,MONTH($BD$9),DAY($BD$9)),0,$BE260-$BD260+1)</f>
        <v>30</v>
      </c>
      <c r="BH260" s="469">
        <f t="shared" ca="1" si="213"/>
        <v>31</v>
      </c>
      <c r="BI260" t="str">
        <f t="shared" si="248"/>
        <v/>
      </c>
      <c r="BJ260">
        <v>11</v>
      </c>
      <c r="BN260" s="468">
        <f t="shared" si="233"/>
        <v>21</v>
      </c>
      <c r="BO260" s="468">
        <f t="shared" si="234"/>
        <v>11</v>
      </c>
      <c r="BP260" s="467">
        <f t="shared" ca="1" si="214"/>
        <v>50527</v>
      </c>
      <c r="BQ260" s="475">
        <f t="shared" ca="1" si="240"/>
        <v>53</v>
      </c>
      <c r="BR260" s="475" t="str">
        <f t="shared" si="235"/>
        <v/>
      </c>
      <c r="BS260" s="471" t="str">
        <f t="shared" si="215"/>
        <v/>
      </c>
      <c r="BT260" s="472" t="str">
        <f t="shared" si="249"/>
        <v/>
      </c>
      <c r="BU260" s="472">
        <f t="shared" ca="1" si="216"/>
        <v>0</v>
      </c>
      <c r="BV260" s="472">
        <f t="shared" ca="1" si="216"/>
        <v>0</v>
      </c>
      <c r="BW260" s="472"/>
      <c r="BX260" s="473">
        <f t="shared" ca="1" si="217"/>
        <v>142488.128344831</v>
      </c>
      <c r="BY260" s="473">
        <f t="shared" si="218"/>
        <v>0</v>
      </c>
      <c r="BZ260" s="473">
        <f t="shared" ca="1" si="192"/>
        <v>325.536571084</v>
      </c>
      <c r="CA260" s="476">
        <f t="shared" ca="1" si="219"/>
        <v>0</v>
      </c>
      <c r="CB260" s="494">
        <f ca="1">IF(OR($Q259&lt;&gt;1,OP!$D$5+$BN260-1&lt;16,$BN260-1&lt;1),0,ROUND(ROUND(ROUND(((VLOOKUP($BN260-1,MORE_PV,5,0)/10000)*VLOOKUP($BN260,MORE_PV,$CB$5,0)),3)*VLOOKUP($BN260,more1,5,0),0)/$R259,0))</f>
        <v>0</v>
      </c>
      <c r="CC260" s="473">
        <f t="shared" ca="1" si="220"/>
        <v>0</v>
      </c>
      <c r="CD260" s="477"/>
    </row>
    <row r="261" spans="2:82" ht="16.5" hidden="1">
      <c r="B261" s="80"/>
      <c r="C261" s="80"/>
      <c r="D261" s="80"/>
      <c r="E261" s="80"/>
      <c r="F261" s="80"/>
      <c r="G261" s="80"/>
      <c r="H261" s="80"/>
      <c r="I261" s="80"/>
      <c r="J261" s="192">
        <f t="shared" si="195"/>
        <v>22</v>
      </c>
      <c r="K261" s="192">
        <f t="shared" si="196"/>
        <v>1</v>
      </c>
      <c r="L261" s="192" t="str">
        <f t="shared" si="189"/>
        <v/>
      </c>
      <c r="M261" s="216">
        <f t="shared" ca="1" si="197"/>
        <v>0</v>
      </c>
      <c r="N261" s="216"/>
      <c r="O261" s="216"/>
      <c r="P261" s="216"/>
      <c r="Q261" s="456" t="str">
        <f t="shared" ca="1" si="198"/>
        <v/>
      </c>
      <c r="R261" s="450">
        <f t="shared" ca="1" si="199"/>
        <v>1</v>
      </c>
      <c r="S261" s="191">
        <f t="shared" si="242"/>
        <v>22</v>
      </c>
      <c r="T261" s="191">
        <f t="shared" si="243"/>
        <v>1</v>
      </c>
      <c r="U261" s="191">
        <f ca="1">OP!$D$5+$S261-1</f>
        <v>54</v>
      </c>
      <c r="V261" s="191" t="str">
        <f t="shared" si="244"/>
        <v/>
      </c>
      <c r="W261" s="350">
        <f ca="1">IF(Q261&lt;&gt;1,0,VLOOKUP(OP!$C$55,PVFB,$S261+2,0))</f>
        <v>0</v>
      </c>
      <c r="X261" s="473">
        <f t="shared" ca="1" si="229"/>
        <v>0</v>
      </c>
      <c r="Y261" s="348">
        <f t="shared" ca="1" si="230"/>
        <v>0</v>
      </c>
      <c r="Z261" s="348">
        <f t="shared" ca="1" si="245"/>
        <v>8012</v>
      </c>
      <c r="AA261" s="348">
        <f ca="1">IF(Q261&lt;&gt;1,0,VLOOKUP(OP!$C$55,PVFB,$S261+2,0))</f>
        <v>0</v>
      </c>
      <c r="AB261" s="488" t="str">
        <f ca="1">IF(AND(S261&lt;OP!$C$24,$U261&lt;15),0,IF(AND($U261&lt;15,$T261=12),ROUND(VLOOKUP($S261,DOWN16,5,0),3),IF($T261=12,ROUND(($Z261/10000)*$AA261,3)+IF(AND($P$7="購買增額繳清保險",T261=12,U261=110),VLOOKUP(S261,$B$10:$H$121,7,0),0),"")))</f>
        <v/>
      </c>
      <c r="AC261" s="350" t="str">
        <f ca="1">IF(AND(S261&lt;OP!$C$24,$U261&lt;15),0,IF(AND($U261&lt;16,$T261=12),VLOOKUP($S261,DOWN16,4,0),IF($T261=12,ROUND(VLOOKUP(OP!$C$55,_DIE2,$S261+1,0)*(Z261/10000),0)+IF(AND($P$7="購買增額繳清保險",T261=12,U261=110),VLOOKUP(S261,$B$10:$H$121,7,0),0),"")))</f>
        <v/>
      </c>
      <c r="AD261" s="347"/>
      <c r="AE261" s="350" t="str">
        <f t="shared" ca="1" si="246"/>
        <v/>
      </c>
      <c r="AF261" s="351" t="str">
        <f t="shared" ca="1" si="247"/>
        <v/>
      </c>
      <c r="AG261" s="340"/>
      <c r="AH261" s="340"/>
      <c r="AI261" s="340"/>
      <c r="AJ261" s="340"/>
      <c r="AK261" s="340"/>
      <c r="AL261" s="340"/>
      <c r="AM261" s="340"/>
      <c r="AN261" s="340"/>
      <c r="AO261" s="340"/>
      <c r="AP261" s="340"/>
      <c r="AQ261" s="340"/>
      <c r="AR261" s="340"/>
      <c r="AS261" s="340"/>
      <c r="AT261" s="340"/>
      <c r="AU261" s="340"/>
      <c r="AV261" s="340"/>
      <c r="AY261" s="340"/>
      <c r="AZ261" s="465">
        <f t="shared" ca="1" si="209"/>
        <v>7.3698599999999999E-5</v>
      </c>
      <c r="BA261" s="464">
        <f t="shared" ca="1" si="210"/>
        <v>2.1372602999999999E-3</v>
      </c>
      <c r="BB261" s="465">
        <f t="shared" ca="1" si="210"/>
        <v>2.2109589000000002E-3</v>
      </c>
      <c r="BC261" s="466">
        <f t="shared" ca="1" si="211"/>
        <v>50557</v>
      </c>
      <c r="BD261" s="467">
        <f t="shared" ca="1" si="232"/>
        <v>50558</v>
      </c>
      <c r="BE261" s="467">
        <f t="shared" ca="1" si="212"/>
        <v>50586</v>
      </c>
      <c r="BF261" s="468">
        <f ca="1">IF(計算!$BC261&lt;OP!$C$3,0,BD261-BC261)</f>
        <v>1</v>
      </c>
      <c r="BG261" s="468">
        <f ca="1">IF($BE261&gt;DATE(YEAR($BD$9)+OP!$C$57,MONTH($BD$9),DAY($BD$9)),0,$BE261-$BD261+1)</f>
        <v>29</v>
      </c>
      <c r="BH261" s="469">
        <f t="shared" ca="1" si="213"/>
        <v>30</v>
      </c>
      <c r="BI261">
        <f t="shared" ca="1" si="248"/>
        <v>365</v>
      </c>
      <c r="BJ261">
        <v>12</v>
      </c>
      <c r="BN261" s="468">
        <f t="shared" si="233"/>
        <v>21</v>
      </c>
      <c r="BO261" s="468">
        <f t="shared" si="234"/>
        <v>12</v>
      </c>
      <c r="BP261" s="467">
        <f t="shared" ca="1" si="214"/>
        <v>50558</v>
      </c>
      <c r="BQ261" s="475">
        <f t="shared" ca="1" si="240"/>
        <v>53</v>
      </c>
      <c r="BR261" s="475">
        <f t="shared" si="235"/>
        <v>21</v>
      </c>
      <c r="BS261" s="471">
        <f t="shared" ca="1" si="215"/>
        <v>9670</v>
      </c>
      <c r="BT261" s="472">
        <f t="shared" ca="1" si="249"/>
        <v>152496</v>
      </c>
      <c r="BU261" s="472">
        <f t="shared" ca="1" si="216"/>
        <v>9447</v>
      </c>
      <c r="BV261" s="472">
        <f t="shared" ca="1" si="216"/>
        <v>223</v>
      </c>
      <c r="BW261" s="472">
        <f ca="1">ROUND(SUM(BY261,BZ249:BZ260),0)</f>
        <v>3787</v>
      </c>
      <c r="BX261" s="473">
        <f t="shared" ca="1" si="217"/>
        <v>152494.19008308</v>
      </c>
      <c r="BY261" s="473">
        <f t="shared" ca="1" si="218"/>
        <v>10.525167164999999</v>
      </c>
      <c r="BZ261" s="473">
        <f t="shared" ca="1" si="192"/>
        <v>325.91977844500002</v>
      </c>
      <c r="CA261" s="476">
        <f t="shared" ca="1" si="219"/>
        <v>9447</v>
      </c>
      <c r="CB261" s="494">
        <f ca="1">IF(OR($Q260&lt;&gt;1,OP!$D$5+$BN261-1&lt;16,$BN261-1&lt;1),0,ROUND(ROUND(ROUND(((VLOOKUP($BN261-1,MORE_PV,5,0)/10000)*VLOOKUP($BN261,MORE_PV,$CB$5,0)),3)*VLOOKUP($BN261,more1,5,0),0)/$R260,0))</f>
        <v>223</v>
      </c>
      <c r="CC261" s="473">
        <f t="shared" ca="1" si="220"/>
        <v>0</v>
      </c>
      <c r="CD261" s="477"/>
    </row>
    <row r="262" spans="2:82" ht="16.5" hidden="1">
      <c r="B262" s="80"/>
      <c r="C262" s="80"/>
      <c r="D262" s="80"/>
      <c r="E262" s="80"/>
      <c r="F262" s="80"/>
      <c r="G262" s="80"/>
      <c r="H262" s="80"/>
      <c r="I262" s="80"/>
      <c r="J262" s="192">
        <f t="shared" si="195"/>
        <v>22</v>
      </c>
      <c r="K262" s="192">
        <f t="shared" si="196"/>
        <v>2</v>
      </c>
      <c r="L262" s="192" t="str">
        <f t="shared" si="189"/>
        <v/>
      </c>
      <c r="M262" s="216">
        <f t="shared" ca="1" si="197"/>
        <v>0</v>
      </c>
      <c r="N262" s="216"/>
      <c r="O262" s="216"/>
      <c r="P262" s="216"/>
      <c r="Q262" s="456" t="str">
        <f t="shared" ca="1" si="198"/>
        <v/>
      </c>
      <c r="R262" s="450">
        <f t="shared" ca="1" si="199"/>
        <v>1</v>
      </c>
      <c r="S262" s="191">
        <f t="shared" si="242"/>
        <v>22</v>
      </c>
      <c r="T262" s="191">
        <f t="shared" si="243"/>
        <v>2</v>
      </c>
      <c r="U262" s="191">
        <f ca="1">OP!$D$5+$S262-1</f>
        <v>54</v>
      </c>
      <c r="V262" s="191" t="str">
        <f t="shared" si="244"/>
        <v/>
      </c>
      <c r="W262" s="350">
        <f ca="1">IF(Q262&lt;&gt;1,0,VLOOKUP(OP!$C$55,PVFB,$S262+2,0))</f>
        <v>0</v>
      </c>
      <c r="X262" s="473">
        <f t="shared" ca="1" si="229"/>
        <v>0</v>
      </c>
      <c r="Y262" s="348">
        <f t="shared" ca="1" si="230"/>
        <v>0</v>
      </c>
      <c r="Z262" s="348">
        <f t="shared" ca="1" si="245"/>
        <v>8012</v>
      </c>
      <c r="AA262" s="348">
        <f ca="1">IF(Q262&lt;&gt;1,0,VLOOKUP(OP!$C$55,PVFB,$S262+2,0))</f>
        <v>0</v>
      </c>
      <c r="AB262" s="488" t="str">
        <f ca="1">IF(AND(S262&lt;OP!$C$24,$U262&lt;15),0,IF(AND($U262&lt;15,$T262=12),ROUND(VLOOKUP($S262,DOWN16,5,0),3),IF($T262=12,ROUND(($Z262/10000)*$AA262,3)+IF(AND($P$7="購買增額繳清保險",T262=12,U262=110),VLOOKUP(S262,$B$10:$H$121,7,0),0),"")))</f>
        <v/>
      </c>
      <c r="AC262" s="350" t="str">
        <f ca="1">IF(AND(S262&lt;OP!$C$24,$U262&lt;15),0,IF(AND($U262&lt;16,$T262=12),VLOOKUP($S262,DOWN16,4,0),IF($T262=12,ROUND(VLOOKUP(OP!$C$55,_DIE2,$S262+1,0)*(Z262/10000),0)+IF(AND($P$7="購買增額繳清保險",T262=12,U262=110),VLOOKUP(S262,$B$10:$H$121,7,0),0),"")))</f>
        <v/>
      </c>
      <c r="AD262" s="347"/>
      <c r="AE262" s="350" t="str">
        <f t="shared" ca="1" si="246"/>
        <v/>
      </c>
      <c r="AF262" s="351" t="str">
        <f t="shared" ca="1" si="247"/>
        <v/>
      </c>
      <c r="AG262" s="340"/>
      <c r="AH262" s="340"/>
      <c r="AI262" s="340"/>
      <c r="AJ262" s="340"/>
      <c r="AK262" s="340"/>
      <c r="AL262" s="340"/>
      <c r="AM262" s="340"/>
      <c r="AN262" s="340"/>
      <c r="AO262" s="340"/>
      <c r="AP262" s="340"/>
      <c r="AQ262" s="340"/>
      <c r="AR262" s="340"/>
      <c r="AS262" s="340"/>
      <c r="AT262" s="340"/>
      <c r="AU262" s="340"/>
      <c r="AV262" s="340"/>
      <c r="AY262" s="340"/>
      <c r="AZ262" s="465">
        <f t="shared" ca="1" si="209"/>
        <v>7.3698599999999999E-5</v>
      </c>
      <c r="BA262" s="464">
        <f t="shared" ca="1" si="210"/>
        <v>2.2109589000000002E-3</v>
      </c>
      <c r="BB262" s="465">
        <f t="shared" ca="1" si="210"/>
        <v>2.2846575E-3</v>
      </c>
      <c r="BC262" s="466">
        <f t="shared" ca="1" si="211"/>
        <v>50587</v>
      </c>
      <c r="BD262" s="467">
        <f t="shared" ca="1" si="232"/>
        <v>50588</v>
      </c>
      <c r="BE262" s="467">
        <f t="shared" ca="1" si="212"/>
        <v>50617</v>
      </c>
      <c r="BF262" s="468">
        <f ca="1">IF(計算!$BC262&lt;OP!$C$3,0,BD262-BC262)</f>
        <v>1</v>
      </c>
      <c r="BG262" s="468">
        <f ca="1">IF($BE262&gt;DATE(YEAR($BD$9)+OP!$C$57,MONTH($BD$9),DAY($BD$9)),0,$BE262-$BD262+1)</f>
        <v>30</v>
      </c>
      <c r="BH262" s="469">
        <f t="shared" ca="1" si="213"/>
        <v>31</v>
      </c>
      <c r="BI262" t="str">
        <f t="shared" si="248"/>
        <v/>
      </c>
      <c r="BJ262">
        <v>1</v>
      </c>
      <c r="BN262" s="468">
        <f t="shared" si="233"/>
        <v>22</v>
      </c>
      <c r="BO262" s="468">
        <f t="shared" si="234"/>
        <v>1</v>
      </c>
      <c r="BP262" s="467">
        <f t="shared" ca="1" si="214"/>
        <v>50588</v>
      </c>
      <c r="BQ262" s="475">
        <f t="shared" ca="1" si="240"/>
        <v>54</v>
      </c>
      <c r="BR262" s="475" t="str">
        <f t="shared" si="235"/>
        <v/>
      </c>
      <c r="BS262" s="471" t="str">
        <f t="shared" si="215"/>
        <v/>
      </c>
      <c r="BT262" s="472" t="str">
        <f t="shared" si="249"/>
        <v/>
      </c>
      <c r="BU262" s="472">
        <f t="shared" ca="1" si="216"/>
        <v>0</v>
      </c>
      <c r="BV262" s="472">
        <f t="shared" ca="1" si="216"/>
        <v>0</v>
      </c>
      <c r="BW262" s="472"/>
      <c r="BX262" s="473">
        <f t="shared" ca="1" si="217"/>
        <v>152820.10986152501</v>
      </c>
      <c r="BY262" s="473">
        <f t="shared" si="218"/>
        <v>0</v>
      </c>
      <c r="BZ262" s="473">
        <f t="shared" ca="1" si="192"/>
        <v>349.141610146</v>
      </c>
      <c r="CA262" s="476">
        <f t="shared" ca="1" si="219"/>
        <v>0</v>
      </c>
      <c r="CB262" s="494">
        <f ca="1">IF(OR($Q261&lt;&gt;1,OP!$D$5+$BN262-1&lt;16,$BN262-1&lt;1),0,ROUND(ROUND(ROUND(((VLOOKUP($BN262-1,MORE_PV,5,0)/10000)*VLOOKUP($BN262,MORE_PV,$CB$5,0)),3)*VLOOKUP($BN262,more1,5,0),0)/$R261,0))</f>
        <v>0</v>
      </c>
      <c r="CC262" s="473">
        <f t="shared" ca="1" si="220"/>
        <v>0</v>
      </c>
      <c r="CD262" s="477"/>
    </row>
    <row r="263" spans="2:82" ht="16.5" hidden="1">
      <c r="B263" s="80"/>
      <c r="C263" s="80"/>
      <c r="D263" s="80"/>
      <c r="E263" s="80"/>
      <c r="F263" s="80"/>
      <c r="G263" s="80"/>
      <c r="H263" s="80"/>
      <c r="I263" s="80"/>
      <c r="J263" s="192">
        <f t="shared" si="195"/>
        <v>22</v>
      </c>
      <c r="K263" s="192">
        <f t="shared" si="196"/>
        <v>3</v>
      </c>
      <c r="L263" s="192" t="str">
        <f t="shared" si="189"/>
        <v/>
      </c>
      <c r="M263" s="216">
        <f t="shared" ca="1" si="197"/>
        <v>0</v>
      </c>
      <c r="N263" s="216"/>
      <c r="O263" s="216"/>
      <c r="P263" s="216"/>
      <c r="Q263" s="456" t="str">
        <f t="shared" ca="1" si="198"/>
        <v/>
      </c>
      <c r="R263" s="450">
        <f t="shared" ca="1" si="199"/>
        <v>1</v>
      </c>
      <c r="S263" s="191">
        <f t="shared" si="242"/>
        <v>22</v>
      </c>
      <c r="T263" s="191">
        <f t="shared" si="243"/>
        <v>3</v>
      </c>
      <c r="U263" s="191">
        <f ca="1">OP!$D$5+$S263-1</f>
        <v>54</v>
      </c>
      <c r="V263" s="191" t="str">
        <f t="shared" si="244"/>
        <v/>
      </c>
      <c r="W263" s="350">
        <f ca="1">IF(Q263&lt;&gt;1,0,VLOOKUP(OP!$C$55,PVFB,$S263+2,0))</f>
        <v>0</v>
      </c>
      <c r="X263" s="473">
        <f t="shared" ca="1" si="229"/>
        <v>0</v>
      </c>
      <c r="Y263" s="348">
        <f t="shared" ca="1" si="230"/>
        <v>0</v>
      </c>
      <c r="Z263" s="348">
        <f t="shared" ca="1" si="245"/>
        <v>8012</v>
      </c>
      <c r="AA263" s="348">
        <f ca="1">IF(Q263&lt;&gt;1,0,VLOOKUP(OP!$C$55,PVFB,$S263+2,0))</f>
        <v>0</v>
      </c>
      <c r="AB263" s="488" t="str">
        <f ca="1">IF(AND(S263&lt;OP!$C$24,$U263&lt;15),0,IF(AND($U263&lt;15,$T263=12),ROUND(VLOOKUP($S263,DOWN16,5,0),3),IF($T263=12,ROUND(($Z263/10000)*$AA263,3)+IF(AND($P$7="購買增額繳清保險",T263=12,U263=110),VLOOKUP(S263,$B$10:$H$121,7,0),0),"")))</f>
        <v/>
      </c>
      <c r="AC263" s="350" t="str">
        <f ca="1">IF(AND(S263&lt;OP!$C$24,$U263&lt;15),0,IF(AND($U263&lt;16,$T263=12),VLOOKUP($S263,DOWN16,4,0),IF($T263=12,ROUND(VLOOKUP(OP!$C$55,_DIE2,$S263+1,0)*(Z263/10000),0)+IF(AND($P$7="購買增額繳清保險",T263=12,U263=110),VLOOKUP(S263,$B$10:$H$121,7,0),0),"")))</f>
        <v/>
      </c>
      <c r="AD263" s="347"/>
      <c r="AE263" s="350" t="str">
        <f t="shared" ca="1" si="246"/>
        <v/>
      </c>
      <c r="AF263" s="351" t="str">
        <f t="shared" ca="1" si="247"/>
        <v/>
      </c>
      <c r="AG263" s="340"/>
      <c r="AH263" s="340"/>
      <c r="AI263" s="340"/>
      <c r="AJ263" s="340"/>
      <c r="AK263" s="340"/>
      <c r="AL263" s="340"/>
      <c r="AM263" s="340"/>
      <c r="AN263" s="340"/>
      <c r="AO263" s="340"/>
      <c r="AP263" s="340"/>
      <c r="AQ263" s="340"/>
      <c r="AR263" s="340"/>
      <c r="AS263" s="340"/>
      <c r="AT263" s="340"/>
      <c r="AU263" s="340"/>
      <c r="AV263" s="340"/>
      <c r="AY263" s="340"/>
      <c r="AZ263" s="465">
        <f t="shared" ca="1" si="209"/>
        <v>7.3698599999999999E-5</v>
      </c>
      <c r="BA263" s="464">
        <f t="shared" ca="1" si="210"/>
        <v>2.2109589000000002E-3</v>
      </c>
      <c r="BB263" s="465">
        <f t="shared" ca="1" si="210"/>
        <v>2.2846575E-3</v>
      </c>
      <c r="BC263" s="466">
        <f t="shared" ca="1" si="211"/>
        <v>50618</v>
      </c>
      <c r="BD263" s="467">
        <f t="shared" ca="1" si="232"/>
        <v>50619</v>
      </c>
      <c r="BE263" s="467">
        <f t="shared" ca="1" si="212"/>
        <v>50648</v>
      </c>
      <c r="BF263" s="468">
        <f ca="1">IF(計算!$BC263&lt;OP!$C$3,0,BD263-BC263)</f>
        <v>1</v>
      </c>
      <c r="BG263" s="468">
        <f ca="1">IF($BE263&gt;DATE(YEAR($BD$9)+OP!$C$57,MONTH($BD$9),DAY($BD$9)),0,$BE263-$BD263+1)</f>
        <v>30</v>
      </c>
      <c r="BH263" s="469">
        <f t="shared" ca="1" si="213"/>
        <v>31</v>
      </c>
      <c r="BI263" t="str">
        <f t="shared" si="248"/>
        <v/>
      </c>
      <c r="BJ263">
        <v>2</v>
      </c>
      <c r="BN263" s="468">
        <f t="shared" si="233"/>
        <v>22</v>
      </c>
      <c r="BO263" s="468">
        <f t="shared" si="234"/>
        <v>2</v>
      </c>
      <c r="BP263" s="467">
        <f t="shared" ca="1" si="214"/>
        <v>50619</v>
      </c>
      <c r="BQ263" s="475">
        <f t="shared" ca="1" si="240"/>
        <v>54</v>
      </c>
      <c r="BR263" s="475" t="str">
        <f t="shared" si="235"/>
        <v/>
      </c>
      <c r="BS263" s="471" t="str">
        <f t="shared" si="215"/>
        <v/>
      </c>
      <c r="BT263" s="472" t="str">
        <f t="shared" si="249"/>
        <v/>
      </c>
      <c r="BU263" s="472">
        <f t="shared" ca="1" si="216"/>
        <v>0</v>
      </c>
      <c r="BV263" s="472">
        <f t="shared" ca="1" si="216"/>
        <v>0</v>
      </c>
      <c r="BW263" s="472"/>
      <c r="BX263" s="473">
        <f t="shared" ca="1" si="217"/>
        <v>153169.25147167101</v>
      </c>
      <c r="BY263" s="473">
        <f t="shared" si="218"/>
        <v>0</v>
      </c>
      <c r="BZ263" s="473">
        <f t="shared" ca="1" si="192"/>
        <v>349.93927914400001</v>
      </c>
      <c r="CA263" s="476">
        <f t="shared" ca="1" si="219"/>
        <v>0</v>
      </c>
      <c r="CB263" s="494">
        <f ca="1">IF(OR($Q262&lt;&gt;1,OP!$D$5+$BN263-1&lt;16,$BN263-1&lt;1),0,ROUND(ROUND(ROUND(((VLOOKUP($BN263-1,MORE_PV,5,0)/10000)*VLOOKUP($BN263,MORE_PV,$CB$5,0)),3)*VLOOKUP($BN263,more1,5,0),0)/$R262,0))</f>
        <v>0</v>
      </c>
      <c r="CC263" s="473">
        <f t="shared" ca="1" si="220"/>
        <v>0</v>
      </c>
      <c r="CD263" s="477"/>
    </row>
    <row r="264" spans="2:82" ht="16.5" hidden="1">
      <c r="B264" s="80"/>
      <c r="C264" s="80"/>
      <c r="D264" s="80"/>
      <c r="E264" s="80"/>
      <c r="F264" s="80"/>
      <c r="G264" s="80"/>
      <c r="H264" s="80"/>
      <c r="I264" s="80"/>
      <c r="J264" s="192">
        <f t="shared" si="195"/>
        <v>22</v>
      </c>
      <c r="K264" s="192">
        <f t="shared" si="196"/>
        <v>4</v>
      </c>
      <c r="L264" s="192" t="str">
        <f t="shared" si="189"/>
        <v/>
      </c>
      <c r="M264" s="216">
        <f t="shared" ca="1" si="197"/>
        <v>0</v>
      </c>
      <c r="N264" s="216"/>
      <c r="O264" s="216"/>
      <c r="P264" s="216"/>
      <c r="Q264" s="456" t="str">
        <f t="shared" ca="1" si="198"/>
        <v/>
      </c>
      <c r="R264" s="450">
        <f t="shared" ca="1" si="199"/>
        <v>1</v>
      </c>
      <c r="S264" s="191">
        <f t="shared" si="242"/>
        <v>22</v>
      </c>
      <c r="T264" s="191">
        <f t="shared" si="243"/>
        <v>4</v>
      </c>
      <c r="U264" s="191">
        <f ca="1">OP!$D$5+$S264-1</f>
        <v>54</v>
      </c>
      <c r="V264" s="191" t="str">
        <f t="shared" si="244"/>
        <v/>
      </c>
      <c r="W264" s="350">
        <f ca="1">IF(Q264&lt;&gt;1,0,VLOOKUP(OP!$C$55,PVFB,$S264+2,0))</f>
        <v>0</v>
      </c>
      <c r="X264" s="473">
        <f t="shared" ca="1" si="229"/>
        <v>0</v>
      </c>
      <c r="Y264" s="348">
        <f t="shared" ca="1" si="230"/>
        <v>0</v>
      </c>
      <c r="Z264" s="348">
        <f t="shared" ca="1" si="245"/>
        <v>8012</v>
      </c>
      <c r="AA264" s="348">
        <f ca="1">IF(Q264&lt;&gt;1,0,VLOOKUP(OP!$C$55,PVFB,$S264+2,0))</f>
        <v>0</v>
      </c>
      <c r="AB264" s="488" t="str">
        <f ca="1">IF(AND(S264&lt;OP!$C$24,$U264&lt;15),0,IF(AND($U264&lt;15,$T264=12),ROUND(VLOOKUP($S264,DOWN16,5,0),3),IF($T264=12,ROUND(($Z264/10000)*$AA264,3)+IF(AND($P$7="購買增額繳清保險",T264=12,U264=110),VLOOKUP(S264,$B$10:$H$121,7,0),0),"")))</f>
        <v/>
      </c>
      <c r="AC264" s="350" t="str">
        <f ca="1">IF(AND(S264&lt;OP!$C$24,$U264&lt;15),0,IF(AND($U264&lt;16,$T264=12),VLOOKUP($S264,DOWN16,4,0),IF($T264=12,ROUND(VLOOKUP(OP!$C$55,_DIE2,$S264+1,0)*(Z264/10000),0)+IF(AND($P$7="購買增額繳清保險",T264=12,U264=110),VLOOKUP(S264,$B$10:$H$121,7,0),0),"")))</f>
        <v/>
      </c>
      <c r="AD264" s="347"/>
      <c r="AE264" s="350" t="str">
        <f t="shared" ca="1" si="246"/>
        <v/>
      </c>
      <c r="AF264" s="351" t="str">
        <f t="shared" ca="1" si="247"/>
        <v/>
      </c>
      <c r="AG264" s="340"/>
      <c r="AH264" s="340"/>
      <c r="AI264" s="340"/>
      <c r="AJ264" s="340"/>
      <c r="AK264" s="340"/>
      <c r="AL264" s="340"/>
      <c r="AM264" s="340"/>
      <c r="AN264" s="340"/>
      <c r="AO264" s="340"/>
      <c r="AP264" s="340"/>
      <c r="AQ264" s="340"/>
      <c r="AR264" s="340"/>
      <c r="AS264" s="340"/>
      <c r="AT264" s="340"/>
      <c r="AU264" s="340"/>
      <c r="AV264" s="340"/>
      <c r="AY264" s="340"/>
      <c r="AZ264" s="465">
        <f t="shared" ca="1" si="209"/>
        <v>7.3698599999999999E-5</v>
      </c>
      <c r="BA264" s="464">
        <f t="shared" ca="1" si="210"/>
        <v>2.1372602999999999E-3</v>
      </c>
      <c r="BB264" s="465">
        <f t="shared" ca="1" si="210"/>
        <v>2.2109589000000002E-3</v>
      </c>
      <c r="BC264" s="466">
        <f t="shared" ca="1" si="211"/>
        <v>50649</v>
      </c>
      <c r="BD264" s="467">
        <f t="shared" ca="1" si="232"/>
        <v>50650</v>
      </c>
      <c r="BE264" s="467">
        <f t="shared" ca="1" si="212"/>
        <v>50678</v>
      </c>
      <c r="BF264" s="468">
        <f ca="1">IF(計算!$BC264&lt;OP!$C$3,0,BD264-BC264)</f>
        <v>1</v>
      </c>
      <c r="BG264" s="468">
        <f ca="1">IF($BE264&gt;DATE(YEAR($BD$9)+OP!$C$57,MONTH($BD$9),DAY($BD$9)),0,$BE264-$BD264+1)</f>
        <v>29</v>
      </c>
      <c r="BH264" s="469">
        <f t="shared" ca="1" si="213"/>
        <v>30</v>
      </c>
      <c r="BI264" t="str">
        <f t="shared" si="248"/>
        <v/>
      </c>
      <c r="BJ264">
        <v>3</v>
      </c>
      <c r="BN264" s="468">
        <f t="shared" si="233"/>
        <v>22</v>
      </c>
      <c r="BO264" s="468">
        <f t="shared" si="234"/>
        <v>3</v>
      </c>
      <c r="BP264" s="467">
        <f t="shared" ca="1" si="214"/>
        <v>50650</v>
      </c>
      <c r="BQ264" s="475">
        <f t="shared" ca="1" si="240"/>
        <v>54</v>
      </c>
      <c r="BR264" s="475" t="str">
        <f t="shared" si="235"/>
        <v/>
      </c>
      <c r="BS264" s="471" t="str">
        <f t="shared" si="215"/>
        <v/>
      </c>
      <c r="BT264" s="472" t="str">
        <f t="shared" si="249"/>
        <v/>
      </c>
      <c r="BU264" s="472">
        <f t="shared" ca="1" si="216"/>
        <v>0</v>
      </c>
      <c r="BV264" s="472">
        <f t="shared" ca="1" si="216"/>
        <v>0</v>
      </c>
      <c r="BW264" s="472"/>
      <c r="BX264" s="473">
        <f t="shared" ca="1" si="217"/>
        <v>153519.190750815</v>
      </c>
      <c r="BY264" s="473">
        <f t="shared" si="218"/>
        <v>0</v>
      </c>
      <c r="BZ264" s="473">
        <f t="shared" ca="1" si="192"/>
        <v>339.42462111100002</v>
      </c>
      <c r="CA264" s="476">
        <f t="shared" ca="1" si="219"/>
        <v>0</v>
      </c>
      <c r="CB264" s="494">
        <f ca="1">IF(OR($Q263&lt;&gt;1,OP!$D$5+$BN264-1&lt;16,$BN264-1&lt;1),0,ROUND(ROUND(ROUND(((VLOOKUP($BN264-1,MORE_PV,5,0)/10000)*VLOOKUP($BN264,MORE_PV,$CB$5,0)),3)*VLOOKUP($BN264,more1,5,0),0)/$R263,0))</f>
        <v>0</v>
      </c>
      <c r="CC264" s="473">
        <f t="shared" ca="1" si="220"/>
        <v>0</v>
      </c>
      <c r="CD264" s="477"/>
    </row>
    <row r="265" spans="2:82" ht="16.5" hidden="1">
      <c r="B265" s="80"/>
      <c r="C265" s="80"/>
      <c r="D265" s="80"/>
      <c r="E265" s="80"/>
      <c r="F265" s="80"/>
      <c r="G265" s="80"/>
      <c r="H265" s="80"/>
      <c r="I265" s="80"/>
      <c r="J265" s="192">
        <f t="shared" si="195"/>
        <v>22</v>
      </c>
      <c r="K265" s="192">
        <f t="shared" si="196"/>
        <v>5</v>
      </c>
      <c r="L265" s="192" t="str">
        <f t="shared" ref="L265:L328" si="250">IF($K265=12,$J265,"")</f>
        <v/>
      </c>
      <c r="M265" s="216">
        <f t="shared" ca="1" si="197"/>
        <v>0</v>
      </c>
      <c r="N265" s="216"/>
      <c r="O265" s="216"/>
      <c r="P265" s="216"/>
      <c r="Q265" s="456" t="str">
        <f t="shared" ca="1" si="198"/>
        <v/>
      </c>
      <c r="R265" s="450">
        <f t="shared" ca="1" si="199"/>
        <v>1</v>
      </c>
      <c r="S265" s="191">
        <f t="shared" si="242"/>
        <v>22</v>
      </c>
      <c r="T265" s="191">
        <f t="shared" si="243"/>
        <v>5</v>
      </c>
      <c r="U265" s="191">
        <f ca="1">OP!$D$5+$S265-1</f>
        <v>54</v>
      </c>
      <c r="V265" s="191" t="str">
        <f t="shared" si="244"/>
        <v/>
      </c>
      <c r="W265" s="350">
        <f ca="1">IF(Q265&lt;&gt;1,0,VLOOKUP(OP!$C$55,PVFB,$S265+2,0))</f>
        <v>0</v>
      </c>
      <c r="X265" s="473">
        <f t="shared" ca="1" si="229"/>
        <v>0</v>
      </c>
      <c r="Y265" s="348">
        <f t="shared" ca="1" si="230"/>
        <v>0</v>
      </c>
      <c r="Z265" s="348">
        <f t="shared" ca="1" si="245"/>
        <v>8012</v>
      </c>
      <c r="AA265" s="348">
        <f ca="1">IF(Q265&lt;&gt;1,0,VLOOKUP(OP!$C$55,PVFB,$S265+2,0))</f>
        <v>0</v>
      </c>
      <c r="AB265" s="488" t="str">
        <f ca="1">IF(AND(S265&lt;OP!$C$24,$U265&lt;15),0,IF(AND($U265&lt;15,$T265=12),ROUND(VLOOKUP($S265,DOWN16,5,0),3),IF($T265=12,ROUND(($Z265/10000)*$AA265,3)+IF(AND($P$7="購買增額繳清保險",T265=12,U265=110),VLOOKUP(S265,$B$10:$H$121,7,0),0),"")))</f>
        <v/>
      </c>
      <c r="AC265" s="350" t="str">
        <f ca="1">IF(AND(S265&lt;OP!$C$24,$U265&lt;15),0,IF(AND($U265&lt;16,$T265=12),VLOOKUP($S265,DOWN16,4,0),IF($T265=12,ROUND(VLOOKUP(OP!$C$55,_DIE2,$S265+1,0)*(Z265/10000),0)+IF(AND($P$7="購買增額繳清保險",T265=12,U265=110),VLOOKUP(S265,$B$10:$H$121,7,0),0),"")))</f>
        <v/>
      </c>
      <c r="AD265" s="347"/>
      <c r="AE265" s="350" t="str">
        <f t="shared" ref="AE265:AE328" ca="1" si="251">IF(AND($U$9&lt;16,$T265=12),VLOOKUP($S265,DOWN16,4,0),"")</f>
        <v/>
      </c>
      <c r="AF265" s="351" t="str">
        <f t="shared" ref="AF265:AF328" ca="1" si="252">IF(AND($U$9&lt;16,$T265=12),VLOOKUP($S265,DOWN16,5,0),"")</f>
        <v/>
      </c>
      <c r="AG265" s="340"/>
      <c r="AH265" s="340"/>
      <c r="AI265" s="340"/>
      <c r="AJ265" s="340"/>
      <c r="AK265" s="340"/>
      <c r="AL265" s="340"/>
      <c r="AM265" s="340"/>
      <c r="AN265" s="340"/>
      <c r="AO265" s="340"/>
      <c r="AP265" s="340"/>
      <c r="AQ265" s="340"/>
      <c r="AR265" s="340"/>
      <c r="AS265" s="340"/>
      <c r="AT265" s="340"/>
      <c r="AU265" s="340"/>
      <c r="AV265" s="340"/>
      <c r="AY265" s="340"/>
      <c r="AZ265" s="465">
        <f t="shared" ca="1" si="209"/>
        <v>7.3698599999999999E-5</v>
      </c>
      <c r="BA265" s="464">
        <f t="shared" ca="1" si="210"/>
        <v>2.2109589000000002E-3</v>
      </c>
      <c r="BB265" s="465">
        <f t="shared" ca="1" si="210"/>
        <v>2.2846575E-3</v>
      </c>
      <c r="BC265" s="466">
        <f t="shared" ca="1" si="211"/>
        <v>50679</v>
      </c>
      <c r="BD265" s="467">
        <f t="shared" ca="1" si="232"/>
        <v>50680</v>
      </c>
      <c r="BE265" s="467">
        <f t="shared" ca="1" si="212"/>
        <v>50709</v>
      </c>
      <c r="BF265" s="468">
        <f ca="1">IF(計算!$BC265&lt;OP!$C$3,0,BD265-BC265)</f>
        <v>1</v>
      </c>
      <c r="BG265" s="468">
        <f ca="1">IF($BE265&gt;DATE(YEAR($BD$9)+OP!$C$57,MONTH($BD$9),DAY($BD$9)),0,$BE265-$BD265+1)</f>
        <v>30</v>
      </c>
      <c r="BH265" s="469">
        <f t="shared" ca="1" si="213"/>
        <v>31</v>
      </c>
      <c r="BI265" t="str">
        <f t="shared" si="248"/>
        <v/>
      </c>
      <c r="BJ265">
        <v>4</v>
      </c>
      <c r="BN265" s="468">
        <f t="shared" si="233"/>
        <v>22</v>
      </c>
      <c r="BO265" s="468">
        <f t="shared" si="234"/>
        <v>4</v>
      </c>
      <c r="BP265" s="467">
        <f t="shared" ca="1" si="214"/>
        <v>50680</v>
      </c>
      <c r="BQ265" s="475">
        <f t="shared" ca="1" si="240"/>
        <v>54</v>
      </c>
      <c r="BR265" s="475" t="str">
        <f t="shared" si="235"/>
        <v/>
      </c>
      <c r="BS265" s="471" t="str">
        <f t="shared" si="215"/>
        <v/>
      </c>
      <c r="BT265" s="472" t="str">
        <f t="shared" si="249"/>
        <v/>
      </c>
      <c r="BU265" s="472">
        <f t="shared" ca="1" si="216"/>
        <v>0</v>
      </c>
      <c r="BV265" s="472">
        <f t="shared" ca="1" si="216"/>
        <v>0</v>
      </c>
      <c r="BW265" s="472"/>
      <c r="BX265" s="473">
        <f t="shared" ca="1" si="217"/>
        <v>153858.61537192599</v>
      </c>
      <c r="BY265" s="473">
        <f t="shared" si="218"/>
        <v>0</v>
      </c>
      <c r="BZ265" s="473">
        <f t="shared" ref="BZ265:BZ328" ca="1" si="253">ROUND(BX265*IF(BO265=12,$BA265,$BB265),$CB$6)</f>
        <v>351.51423954900002</v>
      </c>
      <c r="CA265" s="476">
        <f t="shared" ca="1" si="219"/>
        <v>0</v>
      </c>
      <c r="CB265" s="494">
        <f ca="1">IF(OR($Q264&lt;&gt;1,OP!$D$5+$BN265-1&lt;16,$BN265-1&lt;1),0,ROUND(ROUND(ROUND(((VLOOKUP($BN265-1,MORE_PV,5,0)/10000)*VLOOKUP($BN265,MORE_PV,$CB$5,0)),3)*VLOOKUP($BN265,more1,5,0),0)/$R264,0))</f>
        <v>0</v>
      </c>
      <c r="CC265" s="473">
        <f t="shared" ca="1" si="220"/>
        <v>0</v>
      </c>
      <c r="CD265" s="477"/>
    </row>
    <row r="266" spans="2:82" ht="16.5" hidden="1">
      <c r="B266" s="80"/>
      <c r="C266" s="80"/>
      <c r="D266" s="80"/>
      <c r="E266" s="80"/>
      <c r="F266" s="80"/>
      <c r="G266" s="80"/>
      <c r="H266" s="80"/>
      <c r="I266" s="80"/>
      <c r="J266" s="192">
        <f t="shared" ref="J266:J329" si="254">IF(K265=12,J265+1,J265)</f>
        <v>22</v>
      </c>
      <c r="K266" s="192">
        <f t="shared" ref="K266:K329" si="255">IF(K265=12,1,K265+1)</f>
        <v>6</v>
      </c>
      <c r="L266" s="192" t="str">
        <f t="shared" si="250"/>
        <v/>
      </c>
      <c r="M266" s="216">
        <f t="shared" ref="M266:M329" ca="1" si="256">IF($Q266=1,VLOOKUP(L266,$BR$9:$BT$1341,3,0),0)</f>
        <v>0</v>
      </c>
      <c r="N266" s="216"/>
      <c r="O266" s="216"/>
      <c r="P266" s="216"/>
      <c r="Q266" s="456" t="str">
        <f t="shared" ref="Q266:Q329" ca="1" si="257">IF(OR($U266&gt;=$I$5,AND($G$5=1,$K266=12),AND($G$5=2,OR($K266=6,$K266=12)),AND($G$5=4,OR($K266=3,$K266=6,$K266=9,$K266=12)),$G$5=12),1,"")</f>
        <v/>
      </c>
      <c r="R266" s="450">
        <f t="shared" ref="R266:R329" ca="1" si="258">IF($U266&lt;$I$5,$G$5,$I$6)</f>
        <v>1</v>
      </c>
      <c r="S266" s="191">
        <f t="shared" ref="S266:S329" si="259">IF(T265=12,S265+1,S265)</f>
        <v>22</v>
      </c>
      <c r="T266" s="191">
        <f t="shared" ref="T266:T329" si="260">IF(T265=12,1,T265+1)</f>
        <v>6</v>
      </c>
      <c r="U266" s="191">
        <f ca="1">OP!$D$5+$S266-1</f>
        <v>54</v>
      </c>
      <c r="V266" s="191" t="str">
        <f t="shared" ref="V266:V329" si="261">IF($T266=12,$S266,"")</f>
        <v/>
      </c>
      <c r="W266" s="350">
        <f ca="1">IF(Q266&lt;&gt;1,0,VLOOKUP(OP!$C$55,PVFB,$S266+2,0))</f>
        <v>0</v>
      </c>
      <c r="X266" s="473">
        <f t="shared" ca="1" si="229"/>
        <v>0</v>
      </c>
      <c r="Y266" s="348">
        <f t="shared" ca="1" si="230"/>
        <v>0</v>
      </c>
      <c r="Z266" s="348">
        <f t="shared" ca="1" si="245"/>
        <v>8012</v>
      </c>
      <c r="AA266" s="348">
        <f ca="1">IF(Q266&lt;&gt;1,0,VLOOKUP(OP!$C$55,PVFB,$S266+2,0))</f>
        <v>0</v>
      </c>
      <c r="AB266" s="488" t="str">
        <f ca="1">IF(AND(S266&lt;OP!$C$24,$U266&lt;15),0,IF(AND($U266&lt;15,$T266=12),ROUND(VLOOKUP($S266,DOWN16,5,0),3),IF($T266=12,ROUND(($Z266/10000)*$AA266,3)+IF(AND($P$7="購買增額繳清保險",T266=12,U266=110),VLOOKUP(S266,$B$10:$H$121,7,0),0),"")))</f>
        <v/>
      </c>
      <c r="AC266" s="350" t="str">
        <f ca="1">IF(AND(S266&lt;OP!$C$24,$U266&lt;15),0,IF(AND($U266&lt;16,$T266=12),VLOOKUP($S266,DOWN16,4,0),IF($T266=12,ROUND(VLOOKUP(OP!$C$55,_DIE2,$S266+1,0)*(Z266/10000),0)+IF(AND($P$7="購買增額繳清保險",T266=12,U266=110),VLOOKUP(S266,$B$10:$H$121,7,0),0),"")))</f>
        <v/>
      </c>
      <c r="AD266" s="347"/>
      <c r="AE266" s="350" t="str">
        <f t="shared" ca="1" si="251"/>
        <v/>
      </c>
      <c r="AF266" s="351" t="str">
        <f t="shared" ca="1" si="252"/>
        <v/>
      </c>
      <c r="AG266" s="340"/>
      <c r="AH266" s="340"/>
      <c r="AI266" s="340"/>
      <c r="AJ266" s="340"/>
      <c r="AK266" s="340"/>
      <c r="AL266" s="340"/>
      <c r="AM266" s="340"/>
      <c r="AN266" s="340"/>
      <c r="AO266" s="340"/>
      <c r="AP266" s="340"/>
      <c r="AQ266" s="340"/>
      <c r="AR266" s="340"/>
      <c r="AS266" s="340"/>
      <c r="AT266" s="340"/>
      <c r="AU266" s="340"/>
      <c r="AV266" s="340"/>
      <c r="AY266" s="340"/>
      <c r="AZ266" s="465">
        <f t="shared" ref="AZ266:AZ329" ca="1" si="262">ROUND(($G$3*BF266/365),10)</f>
        <v>7.3698599999999999E-5</v>
      </c>
      <c r="BA266" s="464">
        <f t="shared" ref="BA266:BB329" ca="1" si="263">ROUND(($G$3*BG266/365),10)</f>
        <v>2.1372602999999999E-3</v>
      </c>
      <c r="BB266" s="465">
        <f t="shared" ca="1" si="263"/>
        <v>2.2109589000000002E-3</v>
      </c>
      <c r="BC266" s="466">
        <f t="shared" ref="BC266:BC329" ca="1" si="264">DATE(YEAR(BD266),MONTH(BD266),1)</f>
        <v>50710</v>
      </c>
      <c r="BD266" s="467">
        <f t="shared" ca="1" si="232"/>
        <v>50711</v>
      </c>
      <c r="BE266" s="467">
        <f t="shared" ref="BE266:BE329" ca="1" si="265">DATE(YEAR(BD266),MONTH(BD266),DAY(DATE(YEAR(BD266),MONTH(BD266)+1,0)))</f>
        <v>50739</v>
      </c>
      <c r="BF266" s="468">
        <f ca="1">IF(計算!$BC266&lt;OP!$C$3,0,BD266-BC266)</f>
        <v>1</v>
      </c>
      <c r="BG266" s="468">
        <f ca="1">IF($BE266&gt;DATE(YEAR($BD$9)+OP!$C$57,MONTH($BD$9),DAY($BD$9)),0,$BE266-$BD266+1)</f>
        <v>29</v>
      </c>
      <c r="BH266" s="469">
        <f t="shared" ref="BH266:BH329" ca="1" si="266">BF266+BG266</f>
        <v>30</v>
      </c>
      <c r="BI266" t="str">
        <f t="shared" si="248"/>
        <v/>
      </c>
      <c r="BJ266">
        <v>5</v>
      </c>
      <c r="BN266" s="468">
        <f t="shared" si="233"/>
        <v>22</v>
      </c>
      <c r="BO266" s="468">
        <f t="shared" si="234"/>
        <v>5</v>
      </c>
      <c r="BP266" s="467">
        <f t="shared" ref="BP266:BP329" ca="1" si="267">BD266</f>
        <v>50711</v>
      </c>
      <c r="BQ266" s="475">
        <f t="shared" ca="1" si="240"/>
        <v>54</v>
      </c>
      <c r="BR266" s="475" t="str">
        <f t="shared" si="235"/>
        <v/>
      </c>
      <c r="BS266" s="471" t="str">
        <f t="shared" ref="BS266:BS329" si="268">IF(BW266&lt;&gt;"",ROUND(BU266,0)+ROUND(BV266,0),"")</f>
        <v/>
      </c>
      <c r="BT266" s="472" t="str">
        <f t="shared" si="249"/>
        <v/>
      </c>
      <c r="BU266" s="472">
        <f t="shared" ref="BU266:BV329" ca="1" si="269">ROUND(CA266,0)</f>
        <v>0</v>
      </c>
      <c r="BV266" s="472">
        <f t="shared" ca="1" si="269"/>
        <v>0</v>
      </c>
      <c r="BW266" s="472"/>
      <c r="BX266" s="473">
        <f t="shared" ref="BX266:BX329" ca="1" si="270">IF(BN266&lt;=$P$4,0,ROUNDDOWN(IF($Q265=1,CA266+CB266-CC266,0)+BX265+BY266+BZ265,VLOOKUP(LEN(ROUNDDOWN(IF($Q265=1,CA266+CB266-CC266,0)+BX265+BY266+BZ265,0)),$BK$9:$BL$24,2,0)))</f>
        <v>154210.12961147499</v>
      </c>
      <c r="BY266" s="473">
        <f t="shared" ref="BY266:BY329" si="271">IF(BO266=12,ROUND((BX265+BZ265)*$AZ266,$CB$6),0)</f>
        <v>0</v>
      </c>
      <c r="BZ266" s="473">
        <f t="shared" ca="1" si="253"/>
        <v>340.952258535</v>
      </c>
      <c r="CA266" s="476">
        <f t="shared" ref="CA266:CA329" ca="1" si="272">IF($Q265=1,ROUND(VLOOKUP($BN266,more1,3,0)*VLOOKUP($BN266,more1,5,0)/$R265,0),0)</f>
        <v>0</v>
      </c>
      <c r="CB266" s="494">
        <f ca="1">IF(OR($Q265&lt;&gt;1,OP!$D$5+$BN266-1&lt;16,$BN266-1&lt;1),0,ROUND(ROUND(ROUND(((VLOOKUP($BN266-1,MORE_PV,5,0)/10000)*VLOOKUP($BN266,MORE_PV,$CB$5,0)),3)*VLOOKUP($BN266,more1,5,0),0)/$R265,0))</f>
        <v>0</v>
      </c>
      <c r="CC266" s="473">
        <f t="shared" ref="CC266:CC329" ca="1" si="273">IF(AND($BN266=$P$4,$BO266=12),$CA266+$CB266,IF(AND($BN266&gt;$P$4,$Q265=1,$G$6="現金給付",$CA266+$CB266&gt;=$P$3),$CA266+$CB266,0))</f>
        <v>0</v>
      </c>
      <c r="CD266" s="477"/>
    </row>
    <row r="267" spans="2:82" ht="16.5" hidden="1">
      <c r="B267" s="80"/>
      <c r="C267" s="80"/>
      <c r="D267" s="80"/>
      <c r="E267" s="80"/>
      <c r="F267" s="80"/>
      <c r="G267" s="80"/>
      <c r="H267" s="80"/>
      <c r="I267" s="80"/>
      <c r="J267" s="192">
        <f t="shared" si="254"/>
        <v>22</v>
      </c>
      <c r="K267" s="192">
        <f t="shared" si="255"/>
        <v>7</v>
      </c>
      <c r="L267" s="192" t="str">
        <f t="shared" si="250"/>
        <v/>
      </c>
      <c r="M267" s="216">
        <f t="shared" ca="1" si="256"/>
        <v>0</v>
      </c>
      <c r="N267" s="216"/>
      <c r="O267" s="216"/>
      <c r="P267" s="216"/>
      <c r="Q267" s="456" t="str">
        <f t="shared" ca="1" si="257"/>
        <v/>
      </c>
      <c r="R267" s="450">
        <f t="shared" ca="1" si="258"/>
        <v>1</v>
      </c>
      <c r="S267" s="191">
        <f t="shared" si="259"/>
        <v>22</v>
      </c>
      <c r="T267" s="191">
        <f t="shared" si="260"/>
        <v>7</v>
      </c>
      <c r="U267" s="191">
        <f ca="1">OP!$D$5+$S267-1</f>
        <v>54</v>
      </c>
      <c r="V267" s="191" t="str">
        <f t="shared" si="261"/>
        <v/>
      </c>
      <c r="W267" s="350">
        <f ca="1">IF(Q267&lt;&gt;1,0,VLOOKUP(OP!$C$55,PVFB,$S267+2,0))</f>
        <v>0</v>
      </c>
      <c r="X267" s="473">
        <f t="shared" ref="X267:X330" ca="1" si="274">IF(AND($U267=15,$T267=12),$CO268,IF(AND($U267&gt;15,$S267&lt;=$P$4,$T267=12),($BS268)*$R267,IF($Q267=1,($BS268),0)))</f>
        <v>0</v>
      </c>
      <c r="Y267" s="348">
        <f t="shared" ref="Y267:Y330" ca="1" si="275">IF(AND($P$7="購買增額繳清保險",U267&gt;=110),0,IF(AND($U267=15,$W267&lt;&gt;0,$T267=12),ROUND(($X267)/($W267/10000),0),IF(AND($S267&lt;=$P$4,$W267&lt;&gt;0,$T267=12,$U267&gt;15),ROUND(($X267)/($W267/10000),0),0)))</f>
        <v>0</v>
      </c>
      <c r="Z267" s="348">
        <f t="shared" ref="Z267:Z330" ca="1" si="276">Z266+Y267</f>
        <v>8012</v>
      </c>
      <c r="AA267" s="348">
        <f ca="1">IF(Q267&lt;&gt;1,0,VLOOKUP(OP!$C$55,PVFB,$S267+2,0))</f>
        <v>0</v>
      </c>
      <c r="AB267" s="488" t="str">
        <f ca="1">IF(AND(S267&lt;OP!$C$24,$U267&lt;15),0,IF(AND($U267&lt;15,$T267=12),ROUND(VLOOKUP($S267,DOWN16,5,0),3),IF($T267=12,ROUND(($Z267/10000)*$AA267,3)+IF(AND($P$7="購買增額繳清保險",T267=12,U267=110),VLOOKUP(S267,$B$10:$H$121,7,0),0),"")))</f>
        <v/>
      </c>
      <c r="AC267" s="350" t="str">
        <f ca="1">IF(AND(S267&lt;OP!$C$24,$U267&lt;15),0,IF(AND($U267&lt;16,$T267=12),VLOOKUP($S267,DOWN16,4,0),IF($T267=12,ROUND(VLOOKUP(OP!$C$55,_DIE2,$S267+1,0)*(Z267/10000),0)+IF(AND($P$7="購買增額繳清保險",T267=12,U267=110),VLOOKUP(S267,$B$10:$H$121,7,0),0),"")))</f>
        <v/>
      </c>
      <c r="AD267" s="347"/>
      <c r="AE267" s="350" t="str">
        <f t="shared" ca="1" si="251"/>
        <v/>
      </c>
      <c r="AF267" s="351" t="str">
        <f t="shared" ca="1" si="252"/>
        <v/>
      </c>
      <c r="AG267" s="340"/>
      <c r="AH267" s="340"/>
      <c r="AI267" s="340"/>
      <c r="AJ267" s="340"/>
      <c r="AK267" s="340"/>
      <c r="AL267" s="340"/>
      <c r="AM267" s="340"/>
      <c r="AN267" s="340"/>
      <c r="AO267" s="340"/>
      <c r="AP267" s="340"/>
      <c r="AQ267" s="340"/>
      <c r="AR267" s="340"/>
      <c r="AS267" s="340"/>
      <c r="AT267" s="340"/>
      <c r="AU267" s="340"/>
      <c r="AV267" s="340"/>
      <c r="AY267" s="340"/>
      <c r="AZ267" s="465">
        <f t="shared" ca="1" si="262"/>
        <v>7.3698599999999999E-5</v>
      </c>
      <c r="BA267" s="464">
        <f t="shared" ca="1" si="263"/>
        <v>2.2109589000000002E-3</v>
      </c>
      <c r="BB267" s="465">
        <f t="shared" ca="1" si="263"/>
        <v>2.2846575E-3</v>
      </c>
      <c r="BC267" s="466">
        <f t="shared" ca="1" si="264"/>
        <v>50740</v>
      </c>
      <c r="BD267" s="467">
        <f t="shared" ref="BD267:BD330" ca="1" si="277">DATE(YEAR(BD266),MONTH(BD266)+1,MIN(DAY($BD$9),DAY(DATE(YEAR(BD266),MONTH(BD266)+2,0))))</f>
        <v>50741</v>
      </c>
      <c r="BE267" s="467">
        <f t="shared" ca="1" si="265"/>
        <v>50770</v>
      </c>
      <c r="BF267" s="468">
        <f ca="1">IF(計算!$BC267&lt;OP!$C$3,0,BD267-BC267)</f>
        <v>1</v>
      </c>
      <c r="BG267" s="468">
        <f ca="1">IF($BE267&gt;DATE(YEAR($BD$9)+OP!$C$57,MONTH($BD$9),DAY($BD$9)),0,$BE267-$BD267+1)</f>
        <v>30</v>
      </c>
      <c r="BH267" s="469">
        <f t="shared" ca="1" si="266"/>
        <v>31</v>
      </c>
      <c r="BI267" t="str">
        <f t="shared" si="248"/>
        <v/>
      </c>
      <c r="BJ267">
        <v>6</v>
      </c>
      <c r="BN267" s="468">
        <f t="shared" ref="BN267:BN330" si="278">IF(BO266=12,BN266+1,BN266)</f>
        <v>22</v>
      </c>
      <c r="BO267" s="468">
        <f t="shared" ref="BO267:BO330" si="279">IF(BO266=12,1,BO266+1)</f>
        <v>6</v>
      </c>
      <c r="BP267" s="467">
        <f t="shared" ca="1" si="267"/>
        <v>50741</v>
      </c>
      <c r="BQ267" s="475">
        <f t="shared" ca="1" si="240"/>
        <v>54</v>
      </c>
      <c r="BR267" s="475" t="str">
        <f t="shared" ref="BR267:BR330" si="280">IF(BO267=12,BN267,"")</f>
        <v/>
      </c>
      <c r="BS267" s="471" t="str">
        <f t="shared" si="268"/>
        <v/>
      </c>
      <c r="BT267" s="472" t="str">
        <f t="shared" si="249"/>
        <v/>
      </c>
      <c r="BU267" s="472">
        <f t="shared" ca="1" si="269"/>
        <v>0</v>
      </c>
      <c r="BV267" s="472">
        <f t="shared" ca="1" si="269"/>
        <v>0</v>
      </c>
      <c r="BW267" s="472"/>
      <c r="BX267" s="473">
        <f t="shared" ca="1" si="270"/>
        <v>154551.08187001001</v>
      </c>
      <c r="BY267" s="473">
        <f t="shared" si="271"/>
        <v>0</v>
      </c>
      <c r="BZ267" s="473">
        <f t="shared" ca="1" si="253"/>
        <v>353.09628832700002</v>
      </c>
      <c r="CA267" s="476">
        <f t="shared" ca="1" si="272"/>
        <v>0</v>
      </c>
      <c r="CB267" s="494">
        <f ca="1">IF(OR($Q266&lt;&gt;1,OP!$D$5+$BN267-1&lt;16,$BN267-1&lt;1),0,ROUND(ROUND(ROUND(((VLOOKUP($BN267-1,MORE_PV,5,0)/10000)*VLOOKUP($BN267,MORE_PV,$CB$5,0)),3)*VLOOKUP($BN267,more1,5,0),0)/$R266,0))</f>
        <v>0</v>
      </c>
      <c r="CC267" s="473">
        <f t="shared" ca="1" si="273"/>
        <v>0</v>
      </c>
      <c r="CD267" s="477"/>
    </row>
    <row r="268" spans="2:82" ht="16.5" hidden="1">
      <c r="B268" s="80"/>
      <c r="C268" s="80"/>
      <c r="D268" s="80"/>
      <c r="E268" s="80"/>
      <c r="F268" s="80"/>
      <c r="G268" s="80"/>
      <c r="H268" s="80"/>
      <c r="I268" s="80"/>
      <c r="J268" s="192">
        <f t="shared" si="254"/>
        <v>22</v>
      </c>
      <c r="K268" s="192">
        <f t="shared" si="255"/>
        <v>8</v>
      </c>
      <c r="L268" s="192" t="str">
        <f t="shared" si="250"/>
        <v/>
      </c>
      <c r="M268" s="216">
        <f t="shared" ca="1" si="256"/>
        <v>0</v>
      </c>
      <c r="N268" s="216"/>
      <c r="O268" s="216"/>
      <c r="P268" s="216"/>
      <c r="Q268" s="456" t="str">
        <f t="shared" ca="1" si="257"/>
        <v/>
      </c>
      <c r="R268" s="450">
        <f t="shared" ca="1" si="258"/>
        <v>1</v>
      </c>
      <c r="S268" s="191">
        <f t="shared" si="259"/>
        <v>22</v>
      </c>
      <c r="T268" s="191">
        <f t="shared" si="260"/>
        <v>8</v>
      </c>
      <c r="U268" s="191">
        <f ca="1">OP!$D$5+$S268-1</f>
        <v>54</v>
      </c>
      <c r="V268" s="191" t="str">
        <f t="shared" si="261"/>
        <v/>
      </c>
      <c r="W268" s="350">
        <f ca="1">IF(Q268&lt;&gt;1,0,VLOOKUP(OP!$C$55,PVFB,$S268+2,0))</f>
        <v>0</v>
      </c>
      <c r="X268" s="473">
        <f t="shared" ca="1" si="274"/>
        <v>0</v>
      </c>
      <c r="Y268" s="348">
        <f t="shared" ca="1" si="275"/>
        <v>0</v>
      </c>
      <c r="Z268" s="348">
        <f t="shared" ca="1" si="276"/>
        <v>8012</v>
      </c>
      <c r="AA268" s="348">
        <f ca="1">IF(Q268&lt;&gt;1,0,VLOOKUP(OP!$C$55,PVFB,$S268+2,0))</f>
        <v>0</v>
      </c>
      <c r="AB268" s="488" t="str">
        <f ca="1">IF(AND(S268&lt;OP!$C$24,$U268&lt;15),0,IF(AND($U268&lt;15,$T268=12),ROUND(VLOOKUP($S268,DOWN16,5,0),3),IF($T268=12,ROUND(($Z268/10000)*$AA268,3)+IF(AND($P$7="購買增額繳清保險",T268=12,U268=110),VLOOKUP(S268,$B$10:$H$121,7,0),0),"")))</f>
        <v/>
      </c>
      <c r="AC268" s="350" t="str">
        <f ca="1">IF(AND(S268&lt;OP!$C$24,$U268&lt;15),0,IF(AND($U268&lt;16,$T268=12),VLOOKUP($S268,DOWN16,4,0),IF($T268=12,ROUND(VLOOKUP(OP!$C$55,_DIE2,$S268+1,0)*(Z268/10000),0)+IF(AND($P$7="購買增額繳清保險",T268=12,U268=110),VLOOKUP(S268,$B$10:$H$121,7,0),0),"")))</f>
        <v/>
      </c>
      <c r="AD268" s="347"/>
      <c r="AE268" s="350" t="str">
        <f t="shared" ca="1" si="251"/>
        <v/>
      </c>
      <c r="AF268" s="351" t="str">
        <f t="shared" ca="1" si="252"/>
        <v/>
      </c>
      <c r="AG268" s="340"/>
      <c r="AH268" s="340"/>
      <c r="AI268" s="340"/>
      <c r="AJ268" s="340"/>
      <c r="AK268" s="340"/>
      <c r="AL268" s="340"/>
      <c r="AM268" s="340"/>
      <c r="AN268" s="340"/>
      <c r="AO268" s="340"/>
      <c r="AP268" s="340"/>
      <c r="AQ268" s="340"/>
      <c r="AR268" s="340"/>
      <c r="AS268" s="340"/>
      <c r="AT268" s="340"/>
      <c r="AU268" s="340"/>
      <c r="AV268" s="340"/>
      <c r="AY268" s="340"/>
      <c r="AZ268" s="465">
        <f t="shared" ca="1" si="262"/>
        <v>7.3698599999999999E-5</v>
      </c>
      <c r="BA268" s="464">
        <f t="shared" ca="1" si="263"/>
        <v>2.2109589000000002E-3</v>
      </c>
      <c r="BB268" s="465">
        <f t="shared" ca="1" si="263"/>
        <v>2.2846575E-3</v>
      </c>
      <c r="BC268" s="466">
        <f t="shared" ca="1" si="264"/>
        <v>50771</v>
      </c>
      <c r="BD268" s="467">
        <f t="shared" ca="1" si="277"/>
        <v>50772</v>
      </c>
      <c r="BE268" s="467">
        <f t="shared" ca="1" si="265"/>
        <v>50801</v>
      </c>
      <c r="BF268" s="468">
        <f ca="1">IF(計算!$BC268&lt;OP!$C$3,0,BD268-BC268)</f>
        <v>1</v>
      </c>
      <c r="BG268" s="468">
        <f ca="1">IF($BE268&gt;DATE(YEAR($BD$9)+OP!$C$57,MONTH($BD$9),DAY($BD$9)),0,$BE268-$BD268+1)</f>
        <v>30</v>
      </c>
      <c r="BH268" s="469">
        <f t="shared" ca="1" si="266"/>
        <v>31</v>
      </c>
      <c r="BI268" t="str">
        <f t="shared" si="248"/>
        <v/>
      </c>
      <c r="BJ268">
        <v>7</v>
      </c>
      <c r="BN268" s="468">
        <f t="shared" si="278"/>
        <v>22</v>
      </c>
      <c r="BO268" s="468">
        <f t="shared" si="279"/>
        <v>7</v>
      </c>
      <c r="BP268" s="467">
        <f t="shared" ca="1" si="267"/>
        <v>50772</v>
      </c>
      <c r="BQ268" s="475">
        <f t="shared" ref="BQ268:BQ331" ca="1" si="281">IF(BO267=12,BQ267+1,BQ267)</f>
        <v>54</v>
      </c>
      <c r="BR268" s="475" t="str">
        <f t="shared" si="280"/>
        <v/>
      </c>
      <c r="BS268" s="471" t="str">
        <f t="shared" si="268"/>
        <v/>
      </c>
      <c r="BT268" s="472" t="str">
        <f t="shared" si="249"/>
        <v/>
      </c>
      <c r="BU268" s="472">
        <f t="shared" ca="1" si="269"/>
        <v>0</v>
      </c>
      <c r="BV268" s="472">
        <f t="shared" ca="1" si="269"/>
        <v>0</v>
      </c>
      <c r="BW268" s="472"/>
      <c r="BX268" s="473">
        <f t="shared" ca="1" si="270"/>
        <v>154904.17815833699</v>
      </c>
      <c r="BY268" s="473">
        <f t="shared" si="271"/>
        <v>0</v>
      </c>
      <c r="BZ268" s="473">
        <f t="shared" ca="1" si="253"/>
        <v>353.90299241100001</v>
      </c>
      <c r="CA268" s="476">
        <f t="shared" ca="1" si="272"/>
        <v>0</v>
      </c>
      <c r="CB268" s="494">
        <f ca="1">IF(OR($Q267&lt;&gt;1,OP!$D$5+$BN268-1&lt;16,$BN268-1&lt;1),0,ROUND(ROUND(ROUND(((VLOOKUP($BN268-1,MORE_PV,5,0)/10000)*VLOOKUP($BN268,MORE_PV,$CB$5,0)),3)*VLOOKUP($BN268,more1,5,0),0)/$R267,0))</f>
        <v>0</v>
      </c>
      <c r="CC268" s="473">
        <f t="shared" ca="1" si="273"/>
        <v>0</v>
      </c>
      <c r="CD268" s="477"/>
    </row>
    <row r="269" spans="2:82" ht="16.5" hidden="1">
      <c r="B269" s="80"/>
      <c r="C269" s="80"/>
      <c r="D269" s="80"/>
      <c r="E269" s="80"/>
      <c r="F269" s="80"/>
      <c r="G269" s="80"/>
      <c r="H269" s="80"/>
      <c r="I269" s="80"/>
      <c r="J269" s="192">
        <f t="shared" si="254"/>
        <v>22</v>
      </c>
      <c r="K269" s="192">
        <f t="shared" si="255"/>
        <v>9</v>
      </c>
      <c r="L269" s="192" t="str">
        <f t="shared" si="250"/>
        <v/>
      </c>
      <c r="M269" s="216">
        <f t="shared" ca="1" si="256"/>
        <v>0</v>
      </c>
      <c r="N269" s="216"/>
      <c r="O269" s="216"/>
      <c r="P269" s="216"/>
      <c r="Q269" s="456" t="str">
        <f t="shared" ca="1" si="257"/>
        <v/>
      </c>
      <c r="R269" s="450">
        <f t="shared" ca="1" si="258"/>
        <v>1</v>
      </c>
      <c r="S269" s="191">
        <f t="shared" si="259"/>
        <v>22</v>
      </c>
      <c r="T269" s="191">
        <f t="shared" si="260"/>
        <v>9</v>
      </c>
      <c r="U269" s="191">
        <f ca="1">OP!$D$5+$S269-1</f>
        <v>54</v>
      </c>
      <c r="V269" s="191" t="str">
        <f t="shared" si="261"/>
        <v/>
      </c>
      <c r="W269" s="350">
        <f ca="1">IF(Q269&lt;&gt;1,0,VLOOKUP(OP!$C$55,PVFB,$S269+2,0))</f>
        <v>0</v>
      </c>
      <c r="X269" s="473">
        <f t="shared" ca="1" si="274"/>
        <v>0</v>
      </c>
      <c r="Y269" s="348">
        <f t="shared" ca="1" si="275"/>
        <v>0</v>
      </c>
      <c r="Z269" s="348">
        <f t="shared" ca="1" si="276"/>
        <v>8012</v>
      </c>
      <c r="AA269" s="348">
        <f ca="1">IF(Q269&lt;&gt;1,0,VLOOKUP(OP!$C$55,PVFB,$S269+2,0))</f>
        <v>0</v>
      </c>
      <c r="AB269" s="488" t="str">
        <f ca="1">IF(AND(S269&lt;OP!$C$24,$U269&lt;15),0,IF(AND($U269&lt;15,$T269=12),ROUND(VLOOKUP($S269,DOWN16,5,0),3),IF($T269=12,ROUND(($Z269/10000)*$AA269,3)+IF(AND($P$7="購買增額繳清保險",T269=12,U269=110),VLOOKUP(S269,$B$10:$H$121,7,0),0),"")))</f>
        <v/>
      </c>
      <c r="AC269" s="350" t="str">
        <f ca="1">IF(AND(S269&lt;OP!$C$24,$U269&lt;15),0,IF(AND($U269&lt;16,$T269=12),VLOOKUP($S269,DOWN16,4,0),IF($T269=12,ROUND(VLOOKUP(OP!$C$55,_DIE2,$S269+1,0)*(Z269/10000),0)+IF(AND($P$7="購買增額繳清保險",T269=12,U269=110),VLOOKUP(S269,$B$10:$H$121,7,0),0),"")))</f>
        <v/>
      </c>
      <c r="AD269" s="347"/>
      <c r="AE269" s="350" t="str">
        <f t="shared" ca="1" si="251"/>
        <v/>
      </c>
      <c r="AF269" s="351" t="str">
        <f t="shared" ca="1" si="252"/>
        <v/>
      </c>
      <c r="AG269" s="340"/>
      <c r="AH269" s="340"/>
      <c r="AI269" s="340"/>
      <c r="AJ269" s="340"/>
      <c r="AK269" s="340"/>
      <c r="AL269" s="340"/>
      <c r="AM269" s="340"/>
      <c r="AN269" s="340"/>
      <c r="AO269" s="340"/>
      <c r="AP269" s="340"/>
      <c r="AQ269" s="340"/>
      <c r="AR269" s="340"/>
      <c r="AS269" s="340"/>
      <c r="AT269" s="340"/>
      <c r="AU269" s="340"/>
      <c r="AV269" s="340"/>
      <c r="AY269" s="340"/>
      <c r="AZ269" s="465">
        <f t="shared" ca="1" si="262"/>
        <v>7.3698599999999999E-5</v>
      </c>
      <c r="BA269" s="464">
        <f t="shared" ca="1" si="263"/>
        <v>1.9898630000000001E-3</v>
      </c>
      <c r="BB269" s="465">
        <f t="shared" ca="1" si="263"/>
        <v>2.0635616E-3</v>
      </c>
      <c r="BC269" s="466">
        <f t="shared" ca="1" si="264"/>
        <v>50802</v>
      </c>
      <c r="BD269" s="467">
        <f t="shared" ca="1" si="277"/>
        <v>50803</v>
      </c>
      <c r="BE269" s="467">
        <f t="shared" ca="1" si="265"/>
        <v>50829</v>
      </c>
      <c r="BF269" s="468">
        <f ca="1">IF(計算!$BC269&lt;OP!$C$3,0,BD269-BC269)</f>
        <v>1</v>
      </c>
      <c r="BG269" s="468">
        <f ca="1">IF($BE269&gt;DATE(YEAR($BD$9)+OP!$C$57,MONTH($BD$9),DAY($BD$9)),0,$BE269-$BD269+1)</f>
        <v>27</v>
      </c>
      <c r="BH269" s="469">
        <f t="shared" ca="1" si="266"/>
        <v>28</v>
      </c>
      <c r="BI269" t="str">
        <f t="shared" si="248"/>
        <v/>
      </c>
      <c r="BJ269">
        <v>8</v>
      </c>
      <c r="BN269" s="468">
        <f t="shared" si="278"/>
        <v>22</v>
      </c>
      <c r="BO269" s="468">
        <f t="shared" si="279"/>
        <v>8</v>
      </c>
      <c r="BP269" s="467">
        <f t="shared" ca="1" si="267"/>
        <v>50803</v>
      </c>
      <c r="BQ269" s="475">
        <f t="shared" ca="1" si="281"/>
        <v>54</v>
      </c>
      <c r="BR269" s="475" t="str">
        <f t="shared" si="280"/>
        <v/>
      </c>
      <c r="BS269" s="471" t="str">
        <f t="shared" si="268"/>
        <v/>
      </c>
      <c r="BT269" s="472" t="str">
        <f t="shared" si="249"/>
        <v/>
      </c>
      <c r="BU269" s="472">
        <f t="shared" ca="1" si="269"/>
        <v>0</v>
      </c>
      <c r="BV269" s="472">
        <f t="shared" ca="1" si="269"/>
        <v>0</v>
      </c>
      <c r="BW269" s="472"/>
      <c r="BX269" s="473">
        <f t="shared" ca="1" si="270"/>
        <v>155258.08115074801</v>
      </c>
      <c r="BY269" s="473">
        <f t="shared" si="271"/>
        <v>0</v>
      </c>
      <c r="BZ269" s="473">
        <f t="shared" ca="1" si="253"/>
        <v>320.38461435200003</v>
      </c>
      <c r="CA269" s="476">
        <f t="shared" ca="1" si="272"/>
        <v>0</v>
      </c>
      <c r="CB269" s="494">
        <f ca="1">IF(OR($Q268&lt;&gt;1,OP!$D$5+$BN269-1&lt;16,$BN269-1&lt;1),0,ROUND(ROUND(ROUND(((VLOOKUP($BN269-1,MORE_PV,5,0)/10000)*VLOOKUP($BN269,MORE_PV,$CB$5,0)),3)*VLOOKUP($BN269,more1,5,0),0)/$R268,0))</f>
        <v>0</v>
      </c>
      <c r="CC269" s="473">
        <f t="shared" ca="1" si="273"/>
        <v>0</v>
      </c>
      <c r="CD269" s="477"/>
    </row>
    <row r="270" spans="2:82" ht="16.5" hidden="1">
      <c r="B270" s="80"/>
      <c r="C270" s="80"/>
      <c r="D270" s="80"/>
      <c r="E270" s="80"/>
      <c r="F270" s="80"/>
      <c r="G270" s="80"/>
      <c r="H270" s="80"/>
      <c r="I270" s="80"/>
      <c r="J270" s="192">
        <f t="shared" si="254"/>
        <v>22</v>
      </c>
      <c r="K270" s="192">
        <f t="shared" si="255"/>
        <v>10</v>
      </c>
      <c r="L270" s="192" t="str">
        <f t="shared" si="250"/>
        <v/>
      </c>
      <c r="M270" s="216">
        <f t="shared" ca="1" si="256"/>
        <v>0</v>
      </c>
      <c r="N270" s="216"/>
      <c r="O270" s="216"/>
      <c r="P270" s="216"/>
      <c r="Q270" s="456" t="str">
        <f t="shared" ca="1" si="257"/>
        <v/>
      </c>
      <c r="R270" s="450">
        <f t="shared" ca="1" si="258"/>
        <v>1</v>
      </c>
      <c r="S270" s="191">
        <f t="shared" si="259"/>
        <v>22</v>
      </c>
      <c r="T270" s="191">
        <f t="shared" si="260"/>
        <v>10</v>
      </c>
      <c r="U270" s="191">
        <f ca="1">OP!$D$5+$S270-1</f>
        <v>54</v>
      </c>
      <c r="V270" s="191" t="str">
        <f t="shared" si="261"/>
        <v/>
      </c>
      <c r="W270" s="350">
        <f ca="1">IF(Q270&lt;&gt;1,0,VLOOKUP(OP!$C$55,PVFB,$S270+2,0))</f>
        <v>0</v>
      </c>
      <c r="X270" s="473">
        <f t="shared" ca="1" si="274"/>
        <v>0</v>
      </c>
      <c r="Y270" s="348">
        <f t="shared" ca="1" si="275"/>
        <v>0</v>
      </c>
      <c r="Z270" s="348">
        <f t="shared" ca="1" si="276"/>
        <v>8012</v>
      </c>
      <c r="AA270" s="348">
        <f ca="1">IF(Q270&lt;&gt;1,0,VLOOKUP(OP!$C$55,PVFB,$S270+2,0))</f>
        <v>0</v>
      </c>
      <c r="AB270" s="488" t="str">
        <f ca="1">IF(AND(S270&lt;OP!$C$24,$U270&lt;15),0,IF(AND($U270&lt;15,$T270=12),ROUND(VLOOKUP($S270,DOWN16,5,0),3),IF($T270=12,ROUND(($Z270/10000)*$AA270,3)+IF(AND($P$7="購買增額繳清保險",T270=12,U270=110),VLOOKUP(S270,$B$10:$H$121,7,0),0),"")))</f>
        <v/>
      </c>
      <c r="AC270" s="350" t="str">
        <f ca="1">IF(AND(S270&lt;OP!$C$24,$U270&lt;15),0,IF(AND($U270&lt;16,$T270=12),VLOOKUP($S270,DOWN16,4,0),IF($T270=12,ROUND(VLOOKUP(OP!$C$55,_DIE2,$S270+1,0)*(Z270/10000),0)+IF(AND($P$7="購買增額繳清保險",T270=12,U270=110),VLOOKUP(S270,$B$10:$H$121,7,0),0),"")))</f>
        <v/>
      </c>
      <c r="AD270" s="347"/>
      <c r="AE270" s="350" t="str">
        <f t="shared" ca="1" si="251"/>
        <v/>
      </c>
      <c r="AF270" s="351" t="str">
        <f t="shared" ca="1" si="252"/>
        <v/>
      </c>
      <c r="AG270" s="340"/>
      <c r="AH270" s="340"/>
      <c r="AI270" s="340"/>
      <c r="AJ270" s="340"/>
      <c r="AK270" s="340"/>
      <c r="AL270" s="340"/>
      <c r="AM270" s="340"/>
      <c r="AN270" s="340"/>
      <c r="AO270" s="340"/>
      <c r="AP270" s="340"/>
      <c r="AQ270" s="340"/>
      <c r="AR270" s="340"/>
      <c r="AS270" s="340"/>
      <c r="AT270" s="340"/>
      <c r="AU270" s="340"/>
      <c r="AV270" s="340"/>
      <c r="AY270" s="340"/>
      <c r="AZ270" s="465">
        <f t="shared" ca="1" si="262"/>
        <v>7.3698599999999999E-5</v>
      </c>
      <c r="BA270" s="464">
        <f t="shared" ca="1" si="263"/>
        <v>2.2109589000000002E-3</v>
      </c>
      <c r="BB270" s="465">
        <f t="shared" ca="1" si="263"/>
        <v>2.2846575E-3</v>
      </c>
      <c r="BC270" s="466">
        <f t="shared" ca="1" si="264"/>
        <v>50830</v>
      </c>
      <c r="BD270" s="467">
        <f t="shared" ca="1" si="277"/>
        <v>50831</v>
      </c>
      <c r="BE270" s="467">
        <f t="shared" ca="1" si="265"/>
        <v>50860</v>
      </c>
      <c r="BF270" s="468">
        <f ca="1">IF(計算!$BC270&lt;OP!$C$3,0,BD270-BC270)</f>
        <v>1</v>
      </c>
      <c r="BG270" s="468">
        <f ca="1">IF($BE270&gt;DATE(YEAR($BD$9)+OP!$C$57,MONTH($BD$9),DAY($BD$9)),0,$BE270-$BD270+1)</f>
        <v>30</v>
      </c>
      <c r="BH270" s="469">
        <f t="shared" ca="1" si="266"/>
        <v>31</v>
      </c>
      <c r="BI270" t="str">
        <f t="shared" si="248"/>
        <v/>
      </c>
      <c r="BJ270">
        <v>9</v>
      </c>
      <c r="BN270" s="468">
        <f t="shared" si="278"/>
        <v>22</v>
      </c>
      <c r="BO270" s="468">
        <f t="shared" si="279"/>
        <v>9</v>
      </c>
      <c r="BP270" s="467">
        <f t="shared" ca="1" si="267"/>
        <v>50831</v>
      </c>
      <c r="BQ270" s="475">
        <f t="shared" ca="1" si="281"/>
        <v>54</v>
      </c>
      <c r="BR270" s="475" t="str">
        <f t="shared" si="280"/>
        <v/>
      </c>
      <c r="BS270" s="471" t="str">
        <f t="shared" si="268"/>
        <v/>
      </c>
      <c r="BT270" s="472" t="str">
        <f t="shared" si="249"/>
        <v/>
      </c>
      <c r="BU270" s="472">
        <f t="shared" ca="1" si="269"/>
        <v>0</v>
      </c>
      <c r="BV270" s="472">
        <f t="shared" ca="1" si="269"/>
        <v>0</v>
      </c>
      <c r="BW270" s="472"/>
      <c r="BX270" s="473">
        <f t="shared" ca="1" si="270"/>
        <v>155578.4657651</v>
      </c>
      <c r="BY270" s="473">
        <f t="shared" si="271"/>
        <v>0</v>
      </c>
      <c r="BZ270" s="473">
        <f t="shared" ca="1" si="253"/>
        <v>355.44350864900002</v>
      </c>
      <c r="CA270" s="476">
        <f t="shared" ca="1" si="272"/>
        <v>0</v>
      </c>
      <c r="CB270" s="494">
        <f ca="1">IF(OR($Q269&lt;&gt;1,OP!$D$5+$BN270-1&lt;16,$BN270-1&lt;1),0,ROUND(ROUND(ROUND(((VLOOKUP($BN270-1,MORE_PV,5,0)/10000)*VLOOKUP($BN270,MORE_PV,$CB$5,0)),3)*VLOOKUP($BN270,more1,5,0),0)/$R269,0))</f>
        <v>0</v>
      </c>
      <c r="CC270" s="473">
        <f t="shared" ca="1" si="273"/>
        <v>0</v>
      </c>
      <c r="CD270" s="477"/>
    </row>
    <row r="271" spans="2:82" ht="16.5" hidden="1">
      <c r="B271" s="80"/>
      <c r="C271" s="80"/>
      <c r="D271" s="80"/>
      <c r="E271" s="80"/>
      <c r="F271" s="80"/>
      <c r="G271" s="80"/>
      <c r="H271" s="80"/>
      <c r="I271" s="80"/>
      <c r="J271" s="192">
        <f t="shared" si="254"/>
        <v>22</v>
      </c>
      <c r="K271" s="192">
        <f t="shared" si="255"/>
        <v>11</v>
      </c>
      <c r="L271" s="192" t="str">
        <f t="shared" si="250"/>
        <v/>
      </c>
      <c r="M271" s="216">
        <f t="shared" ca="1" si="256"/>
        <v>0</v>
      </c>
      <c r="N271" s="216"/>
      <c r="O271" s="216"/>
      <c r="P271" s="216"/>
      <c r="Q271" s="456" t="str">
        <f t="shared" ca="1" si="257"/>
        <v/>
      </c>
      <c r="R271" s="450">
        <f t="shared" ca="1" si="258"/>
        <v>1</v>
      </c>
      <c r="S271" s="191">
        <f t="shared" si="259"/>
        <v>22</v>
      </c>
      <c r="T271" s="191">
        <f t="shared" si="260"/>
        <v>11</v>
      </c>
      <c r="U271" s="191">
        <f ca="1">OP!$D$5+$S271-1</f>
        <v>54</v>
      </c>
      <c r="V271" s="191" t="str">
        <f t="shared" si="261"/>
        <v/>
      </c>
      <c r="W271" s="350">
        <f ca="1">IF(Q271&lt;&gt;1,0,VLOOKUP(OP!$C$55,PVFB,$S271+2,0))</f>
        <v>0</v>
      </c>
      <c r="X271" s="473">
        <f t="shared" ca="1" si="274"/>
        <v>0</v>
      </c>
      <c r="Y271" s="348">
        <f t="shared" ca="1" si="275"/>
        <v>0</v>
      </c>
      <c r="Z271" s="348">
        <f t="shared" ca="1" si="276"/>
        <v>8012</v>
      </c>
      <c r="AA271" s="348">
        <f ca="1">IF(Q271&lt;&gt;1,0,VLOOKUP(OP!$C$55,PVFB,$S271+2,0))</f>
        <v>0</v>
      </c>
      <c r="AB271" s="488" t="str">
        <f ca="1">IF(AND(S271&lt;OP!$C$24,$U271&lt;15),0,IF(AND($U271&lt;15,$T271=12),ROUND(VLOOKUP($S271,DOWN16,5,0),3),IF($T271=12,ROUND(($Z271/10000)*$AA271,3)+IF(AND($P$7="購買增額繳清保險",T271=12,U271=110),VLOOKUP(S271,$B$10:$H$121,7,0),0),"")))</f>
        <v/>
      </c>
      <c r="AC271" s="350" t="str">
        <f ca="1">IF(AND(S271&lt;OP!$C$24,$U271&lt;15),0,IF(AND($U271&lt;16,$T271=12),VLOOKUP($S271,DOWN16,4,0),IF($T271=12,ROUND(VLOOKUP(OP!$C$55,_DIE2,$S271+1,0)*(Z271/10000),0)+IF(AND($P$7="購買增額繳清保險",T271=12,U271=110),VLOOKUP(S271,$B$10:$H$121,7,0),0),"")))</f>
        <v/>
      </c>
      <c r="AD271" s="347"/>
      <c r="AE271" s="350" t="str">
        <f t="shared" ca="1" si="251"/>
        <v/>
      </c>
      <c r="AF271" s="351" t="str">
        <f t="shared" ca="1" si="252"/>
        <v/>
      </c>
      <c r="AG271" s="340"/>
      <c r="AH271" s="340"/>
      <c r="AI271" s="340"/>
      <c r="AJ271" s="340"/>
      <c r="AK271" s="340"/>
      <c r="AL271" s="340"/>
      <c r="AM271" s="340"/>
      <c r="AN271" s="340"/>
      <c r="AO271" s="340"/>
      <c r="AP271" s="340"/>
      <c r="AQ271" s="340"/>
      <c r="AR271" s="340"/>
      <c r="AS271" s="340"/>
      <c r="AT271" s="340"/>
      <c r="AU271" s="340"/>
      <c r="AV271" s="340"/>
      <c r="AY271" s="340"/>
      <c r="AZ271" s="465">
        <f t="shared" ca="1" si="262"/>
        <v>7.3698599999999999E-5</v>
      </c>
      <c r="BA271" s="464">
        <f t="shared" ca="1" si="263"/>
        <v>2.1372602999999999E-3</v>
      </c>
      <c r="BB271" s="465">
        <f t="shared" ca="1" si="263"/>
        <v>2.2109589000000002E-3</v>
      </c>
      <c r="BC271" s="466">
        <f t="shared" ca="1" si="264"/>
        <v>50861</v>
      </c>
      <c r="BD271" s="467">
        <f t="shared" ca="1" si="277"/>
        <v>50862</v>
      </c>
      <c r="BE271" s="467">
        <f t="shared" ca="1" si="265"/>
        <v>50890</v>
      </c>
      <c r="BF271" s="468">
        <f ca="1">IF(計算!$BC271&lt;OP!$C$3,0,BD271-BC271)</f>
        <v>1</v>
      </c>
      <c r="BG271" s="468">
        <f ca="1">IF($BE271&gt;DATE(YEAR($BD$9)+OP!$C$57,MONTH($BD$9),DAY($BD$9)),0,$BE271-$BD271+1)</f>
        <v>29</v>
      </c>
      <c r="BH271" s="469">
        <f t="shared" ca="1" si="266"/>
        <v>30</v>
      </c>
      <c r="BI271" t="str">
        <f t="shared" si="248"/>
        <v/>
      </c>
      <c r="BJ271">
        <v>10</v>
      </c>
      <c r="BN271" s="468">
        <f t="shared" si="278"/>
        <v>22</v>
      </c>
      <c r="BO271" s="468">
        <f t="shared" si="279"/>
        <v>10</v>
      </c>
      <c r="BP271" s="467">
        <f t="shared" ca="1" si="267"/>
        <v>50862</v>
      </c>
      <c r="BQ271" s="475">
        <f t="shared" ca="1" si="281"/>
        <v>54</v>
      </c>
      <c r="BR271" s="475" t="str">
        <f t="shared" si="280"/>
        <v/>
      </c>
      <c r="BS271" s="471" t="str">
        <f t="shared" si="268"/>
        <v/>
      </c>
      <c r="BT271" s="472" t="str">
        <f t="shared" si="249"/>
        <v/>
      </c>
      <c r="BU271" s="472">
        <f t="shared" ca="1" si="269"/>
        <v>0</v>
      </c>
      <c r="BV271" s="472">
        <f t="shared" ca="1" si="269"/>
        <v>0</v>
      </c>
      <c r="BW271" s="472"/>
      <c r="BX271" s="473">
        <f t="shared" ca="1" si="270"/>
        <v>155933.90927374901</v>
      </c>
      <c r="BY271" s="473">
        <f t="shared" si="271"/>
        <v>0</v>
      </c>
      <c r="BZ271" s="473">
        <f t="shared" ca="1" si="253"/>
        <v>344.763464521</v>
      </c>
      <c r="CA271" s="476">
        <f t="shared" ca="1" si="272"/>
        <v>0</v>
      </c>
      <c r="CB271" s="494">
        <f ca="1">IF(OR($Q270&lt;&gt;1,OP!$D$5+$BN271-1&lt;16,$BN271-1&lt;1),0,ROUND(ROUND(ROUND(((VLOOKUP($BN271-1,MORE_PV,5,0)/10000)*VLOOKUP($BN271,MORE_PV,$CB$5,0)),3)*VLOOKUP($BN271,more1,5,0),0)/$R270,0))</f>
        <v>0</v>
      </c>
      <c r="CC271" s="473">
        <f t="shared" ca="1" si="273"/>
        <v>0</v>
      </c>
      <c r="CD271" s="477"/>
    </row>
    <row r="272" spans="2:82" ht="16.5" hidden="1">
      <c r="B272" s="80"/>
      <c r="C272" s="80"/>
      <c r="D272" s="80"/>
      <c r="E272" s="80"/>
      <c r="F272" s="80"/>
      <c r="G272" s="80"/>
      <c r="H272" s="80"/>
      <c r="I272" s="80"/>
      <c r="J272" s="192">
        <f t="shared" si="254"/>
        <v>22</v>
      </c>
      <c r="K272" s="192">
        <f t="shared" si="255"/>
        <v>12</v>
      </c>
      <c r="L272" s="192">
        <f t="shared" si="250"/>
        <v>22</v>
      </c>
      <c r="M272" s="216">
        <f t="shared" ca="1" si="256"/>
        <v>166512</v>
      </c>
      <c r="N272" s="216"/>
      <c r="O272" s="216"/>
      <c r="P272" s="216"/>
      <c r="Q272" s="456">
        <f t="shared" ca="1" si="257"/>
        <v>1</v>
      </c>
      <c r="R272" s="450">
        <f t="shared" ca="1" si="258"/>
        <v>1</v>
      </c>
      <c r="S272" s="191">
        <f t="shared" si="259"/>
        <v>22</v>
      </c>
      <c r="T272" s="191">
        <f t="shared" si="260"/>
        <v>12</v>
      </c>
      <c r="U272" s="191">
        <f ca="1">OP!$D$5+$S272-1</f>
        <v>54</v>
      </c>
      <c r="V272" s="191">
        <f t="shared" si="261"/>
        <v>22</v>
      </c>
      <c r="W272" s="350">
        <f ca="1">IF(Q272&lt;&gt;1,0,VLOOKUP(OP!$C$55,PVFB,$S272+2,0))</f>
        <v>41074</v>
      </c>
      <c r="X272" s="473">
        <f t="shared" ca="1" si="274"/>
        <v>9863</v>
      </c>
      <c r="Y272" s="348">
        <f t="shared" ca="1" si="275"/>
        <v>0</v>
      </c>
      <c r="Z272" s="348">
        <f t="shared" ca="1" si="276"/>
        <v>8012</v>
      </c>
      <c r="AA272" s="348">
        <f ca="1">IF(Q272&lt;&gt;1,0,VLOOKUP(OP!$C$55,PVFB,$S272+2,0))</f>
        <v>41074</v>
      </c>
      <c r="AB272" s="488">
        <f ca="1">IF(AND(S272&lt;OP!$C$24,$U272&lt;15),0,IF(AND($U272&lt;15,$T272=12),ROUND(VLOOKUP($S272,DOWN16,5,0),3),IF($T272=12,ROUND(($Z272/10000)*$AA272,3)+IF(AND($P$7="購買增額繳清保險",T272=12,U272=110),VLOOKUP(S272,$B$10:$H$121,7,0),0),"")))</f>
        <v>32908.489000000001</v>
      </c>
      <c r="AC272" s="350">
        <f ca="1">IF(AND(S272&lt;OP!$C$24,$U272&lt;15),0,IF(AND($U272&lt;16,$T272=12),VLOOKUP($S272,DOWN16,4,0),IF($T272=12,ROUND(VLOOKUP(OP!$C$55,_DIE2,$S272+1,0)*(Z272/10000),0)+IF(AND($P$7="購買增額繳清保險",T272=12,U272=110),VLOOKUP(S272,$B$10:$H$121,7,0),0),"")))</f>
        <v>32908</v>
      </c>
      <c r="AD272" s="347"/>
      <c r="AE272" s="350" t="str">
        <f t="shared" ca="1" si="251"/>
        <v/>
      </c>
      <c r="AF272" s="351" t="str">
        <f t="shared" ca="1" si="252"/>
        <v/>
      </c>
      <c r="AG272" s="340"/>
      <c r="AH272" s="340"/>
      <c r="AI272" s="340"/>
      <c r="AJ272" s="340"/>
      <c r="AK272" s="340"/>
      <c r="AL272" s="340"/>
      <c r="AM272" s="340"/>
      <c r="AN272" s="340"/>
      <c r="AO272" s="340"/>
      <c r="AP272" s="340"/>
      <c r="AQ272" s="340"/>
      <c r="AR272" s="340"/>
      <c r="AS272" s="340"/>
      <c r="AT272" s="340"/>
      <c r="AU272" s="340"/>
      <c r="AV272" s="340"/>
      <c r="AY272" s="340"/>
      <c r="AZ272" s="465">
        <f t="shared" ca="1" si="262"/>
        <v>7.3698599999999999E-5</v>
      </c>
      <c r="BA272" s="464">
        <f t="shared" ca="1" si="263"/>
        <v>2.2109589000000002E-3</v>
      </c>
      <c r="BB272" s="465">
        <f t="shared" ca="1" si="263"/>
        <v>2.2846575E-3</v>
      </c>
      <c r="BC272" s="466">
        <f t="shared" ca="1" si="264"/>
        <v>50891</v>
      </c>
      <c r="BD272" s="467">
        <f t="shared" ca="1" si="277"/>
        <v>50892</v>
      </c>
      <c r="BE272" s="467">
        <f t="shared" ca="1" si="265"/>
        <v>50921</v>
      </c>
      <c r="BF272" s="468">
        <f ca="1">IF(計算!$BC272&lt;OP!$C$3,0,BD272-BC272)</f>
        <v>1</v>
      </c>
      <c r="BG272" s="468">
        <f ca="1">IF($BE272&gt;DATE(YEAR($BD$9)+OP!$C$57,MONTH($BD$9),DAY($BD$9)),0,$BE272-$BD272+1)</f>
        <v>30</v>
      </c>
      <c r="BH272" s="469">
        <f t="shared" ca="1" si="266"/>
        <v>31</v>
      </c>
      <c r="BI272" t="str">
        <f t="shared" si="248"/>
        <v/>
      </c>
      <c r="BJ272">
        <v>11</v>
      </c>
      <c r="BN272" s="468">
        <f t="shared" si="278"/>
        <v>22</v>
      </c>
      <c r="BO272" s="468">
        <f t="shared" si="279"/>
        <v>11</v>
      </c>
      <c r="BP272" s="467">
        <f t="shared" ca="1" si="267"/>
        <v>50892</v>
      </c>
      <c r="BQ272" s="475">
        <f t="shared" ca="1" si="281"/>
        <v>54</v>
      </c>
      <c r="BR272" s="475" t="str">
        <f t="shared" si="280"/>
        <v/>
      </c>
      <c r="BS272" s="471" t="str">
        <f t="shared" si="268"/>
        <v/>
      </c>
      <c r="BT272" s="472" t="str">
        <f t="shared" si="249"/>
        <v/>
      </c>
      <c r="BU272" s="472">
        <f t="shared" ca="1" si="269"/>
        <v>0</v>
      </c>
      <c r="BV272" s="472">
        <f t="shared" ca="1" si="269"/>
        <v>0</v>
      </c>
      <c r="BW272" s="472"/>
      <c r="BX272" s="473">
        <f t="shared" ca="1" si="270"/>
        <v>156278.67273826999</v>
      </c>
      <c r="BY272" s="473">
        <f t="shared" si="271"/>
        <v>0</v>
      </c>
      <c r="BZ272" s="473">
        <f t="shared" ca="1" si="253"/>
        <v>357.04324176199998</v>
      </c>
      <c r="CA272" s="476">
        <f t="shared" ca="1" si="272"/>
        <v>0</v>
      </c>
      <c r="CB272" s="494">
        <f ca="1">IF(OR($Q271&lt;&gt;1,OP!$D$5+$BN272-1&lt;16,$BN272-1&lt;1),0,ROUND(ROUND(ROUND(((VLOOKUP($BN272-1,MORE_PV,5,0)/10000)*VLOOKUP($BN272,MORE_PV,$CB$5,0)),3)*VLOOKUP($BN272,more1,5,0),0)/$R271,0))</f>
        <v>0</v>
      </c>
      <c r="CC272" s="473">
        <f t="shared" ca="1" si="273"/>
        <v>0</v>
      </c>
      <c r="CD272" s="477"/>
    </row>
    <row r="273" spans="2:82" ht="16.5" hidden="1">
      <c r="B273" s="80"/>
      <c r="C273" s="80"/>
      <c r="D273" s="80"/>
      <c r="E273" s="80"/>
      <c r="F273" s="80"/>
      <c r="G273" s="80"/>
      <c r="H273" s="80"/>
      <c r="I273" s="80"/>
      <c r="J273" s="192">
        <f t="shared" si="254"/>
        <v>23</v>
      </c>
      <c r="K273" s="192">
        <f t="shared" si="255"/>
        <v>1</v>
      </c>
      <c r="L273" s="192" t="str">
        <f t="shared" si="250"/>
        <v/>
      </c>
      <c r="M273" s="216">
        <f t="shared" ca="1" si="256"/>
        <v>0</v>
      </c>
      <c r="N273" s="216"/>
      <c r="O273" s="216"/>
      <c r="P273" s="216"/>
      <c r="Q273" s="456" t="str">
        <f t="shared" ca="1" si="257"/>
        <v/>
      </c>
      <c r="R273" s="450">
        <f t="shared" ca="1" si="258"/>
        <v>1</v>
      </c>
      <c r="S273" s="191">
        <f t="shared" si="259"/>
        <v>23</v>
      </c>
      <c r="T273" s="191">
        <f t="shared" si="260"/>
        <v>1</v>
      </c>
      <c r="U273" s="191">
        <f ca="1">OP!$D$5+$S273-1</f>
        <v>55</v>
      </c>
      <c r="V273" s="191" t="str">
        <f t="shared" si="261"/>
        <v/>
      </c>
      <c r="W273" s="350">
        <f ca="1">IF(Q273&lt;&gt;1,0,VLOOKUP(OP!$C$55,PVFB,$S273+2,0))</f>
        <v>0</v>
      </c>
      <c r="X273" s="473">
        <f t="shared" ca="1" si="274"/>
        <v>0</v>
      </c>
      <c r="Y273" s="348">
        <f t="shared" ca="1" si="275"/>
        <v>0</v>
      </c>
      <c r="Z273" s="348">
        <f t="shared" ca="1" si="276"/>
        <v>8012</v>
      </c>
      <c r="AA273" s="348">
        <f ca="1">IF(Q273&lt;&gt;1,0,VLOOKUP(OP!$C$55,PVFB,$S273+2,0))</f>
        <v>0</v>
      </c>
      <c r="AB273" s="488" t="str">
        <f ca="1">IF(AND(S273&lt;OP!$C$24,$U273&lt;15),0,IF(AND($U273&lt;15,$T273=12),ROUND(VLOOKUP($S273,DOWN16,5,0),3),IF($T273=12,ROUND(($Z273/10000)*$AA273,3)+IF(AND($P$7="購買增額繳清保險",T273=12,U273=110),VLOOKUP(S273,$B$10:$H$121,7,0),0),"")))</f>
        <v/>
      </c>
      <c r="AC273" s="350" t="str">
        <f ca="1">IF(AND(S273&lt;OP!$C$24,$U273&lt;15),0,IF(AND($U273&lt;16,$T273=12),VLOOKUP($S273,DOWN16,4,0),IF($T273=12,ROUND(VLOOKUP(OP!$C$55,_DIE2,$S273+1,0)*(Z273/10000),0)+IF(AND($P$7="購買增額繳清保險",T273=12,U273=110),VLOOKUP(S273,$B$10:$H$121,7,0),0),"")))</f>
        <v/>
      </c>
      <c r="AD273" s="347"/>
      <c r="AE273" s="350" t="str">
        <f t="shared" ca="1" si="251"/>
        <v/>
      </c>
      <c r="AF273" s="351" t="str">
        <f t="shared" ca="1" si="252"/>
        <v/>
      </c>
      <c r="AG273" s="340"/>
      <c r="AH273" s="340"/>
      <c r="AI273" s="340"/>
      <c r="AJ273" s="340"/>
      <c r="AK273" s="340"/>
      <c r="AL273" s="340"/>
      <c r="AM273" s="340"/>
      <c r="AN273" s="340"/>
      <c r="AO273" s="340"/>
      <c r="AP273" s="340"/>
      <c r="AQ273" s="340"/>
      <c r="AR273" s="340"/>
      <c r="AS273" s="340"/>
      <c r="AT273" s="340"/>
      <c r="AU273" s="340"/>
      <c r="AV273" s="340"/>
      <c r="AY273" s="340"/>
      <c r="AZ273" s="465">
        <f t="shared" ca="1" si="262"/>
        <v>7.3698599999999999E-5</v>
      </c>
      <c r="BA273" s="464">
        <f t="shared" ca="1" si="263"/>
        <v>2.1372602999999999E-3</v>
      </c>
      <c r="BB273" s="465">
        <f t="shared" ca="1" si="263"/>
        <v>2.2109589000000002E-3</v>
      </c>
      <c r="BC273" s="466">
        <f t="shared" ca="1" si="264"/>
        <v>50922</v>
      </c>
      <c r="BD273" s="467">
        <f t="shared" ca="1" si="277"/>
        <v>50923</v>
      </c>
      <c r="BE273" s="467">
        <f t="shared" ca="1" si="265"/>
        <v>50951</v>
      </c>
      <c r="BF273" s="468">
        <f ca="1">IF(計算!$BC273&lt;OP!$C$3,0,BD273-BC273)</f>
        <v>1</v>
      </c>
      <c r="BG273" s="468">
        <f ca="1">IF($BE273&gt;DATE(YEAR($BD$9)+OP!$C$57,MONTH($BD$9),DAY($BD$9)),0,$BE273-$BD273+1)</f>
        <v>29</v>
      </c>
      <c r="BH273" s="469">
        <f t="shared" ca="1" si="266"/>
        <v>30</v>
      </c>
      <c r="BI273">
        <f t="shared" ca="1" si="248"/>
        <v>365</v>
      </c>
      <c r="BJ273">
        <v>12</v>
      </c>
      <c r="BN273" s="468">
        <f t="shared" si="278"/>
        <v>22</v>
      </c>
      <c r="BO273" s="468">
        <f t="shared" si="279"/>
        <v>12</v>
      </c>
      <c r="BP273" s="467">
        <f t="shared" ca="1" si="267"/>
        <v>50923</v>
      </c>
      <c r="BQ273" s="475">
        <f t="shared" ca="1" si="281"/>
        <v>54</v>
      </c>
      <c r="BR273" s="475">
        <f t="shared" si="280"/>
        <v>22</v>
      </c>
      <c r="BS273" s="471">
        <f t="shared" ca="1" si="268"/>
        <v>9863</v>
      </c>
      <c r="BT273" s="472">
        <f t="shared" ca="1" si="249"/>
        <v>166512</v>
      </c>
      <c r="BU273" s="472">
        <f t="shared" ca="1" si="269"/>
        <v>9636</v>
      </c>
      <c r="BV273" s="472">
        <f t="shared" ca="1" si="269"/>
        <v>227</v>
      </c>
      <c r="BW273" s="472">
        <f ca="1">ROUND(SUM(BY273,BZ261:BZ272),0)</f>
        <v>4153</v>
      </c>
      <c r="BX273" s="473">
        <f t="shared" ca="1" si="270"/>
        <v>166510.25981300999</v>
      </c>
      <c r="BY273" s="473">
        <f t="shared" ca="1" si="271"/>
        <v>11.543832977999999</v>
      </c>
      <c r="BZ273" s="473">
        <f t="shared" ca="1" si="253"/>
        <v>355.87576784100003</v>
      </c>
      <c r="CA273" s="476">
        <f t="shared" ca="1" si="272"/>
        <v>9636</v>
      </c>
      <c r="CB273" s="494">
        <f ca="1">IF(OR($Q272&lt;&gt;1,OP!$D$5+$BN273-1&lt;16,$BN273-1&lt;1),0,ROUND(ROUND(ROUND(((VLOOKUP($BN273-1,MORE_PV,5,0)/10000)*VLOOKUP($BN273,MORE_PV,$CB$5,0)),3)*VLOOKUP($BN273,more1,5,0),0)/$R272,0))</f>
        <v>227</v>
      </c>
      <c r="CC273" s="473">
        <f t="shared" ca="1" si="273"/>
        <v>0</v>
      </c>
      <c r="CD273" s="477"/>
    </row>
    <row r="274" spans="2:82" ht="16.5" hidden="1">
      <c r="B274" s="80"/>
      <c r="C274" s="80"/>
      <c r="D274" s="80"/>
      <c r="E274" s="80"/>
      <c r="F274" s="80"/>
      <c r="G274" s="80"/>
      <c r="H274" s="80"/>
      <c r="I274" s="80"/>
      <c r="J274" s="192">
        <f t="shared" si="254"/>
        <v>23</v>
      </c>
      <c r="K274" s="192">
        <f t="shared" si="255"/>
        <v>2</v>
      </c>
      <c r="L274" s="192" t="str">
        <f t="shared" si="250"/>
        <v/>
      </c>
      <c r="M274" s="216">
        <f t="shared" ca="1" si="256"/>
        <v>0</v>
      </c>
      <c r="N274" s="216"/>
      <c r="O274" s="216"/>
      <c r="P274" s="216"/>
      <c r="Q274" s="456" t="str">
        <f t="shared" ca="1" si="257"/>
        <v/>
      </c>
      <c r="R274" s="450">
        <f t="shared" ca="1" si="258"/>
        <v>1</v>
      </c>
      <c r="S274" s="191">
        <f t="shared" si="259"/>
        <v>23</v>
      </c>
      <c r="T274" s="191">
        <f t="shared" si="260"/>
        <v>2</v>
      </c>
      <c r="U274" s="191">
        <f ca="1">OP!$D$5+$S274-1</f>
        <v>55</v>
      </c>
      <c r="V274" s="191" t="str">
        <f t="shared" si="261"/>
        <v/>
      </c>
      <c r="W274" s="350">
        <f ca="1">IF(Q274&lt;&gt;1,0,VLOOKUP(OP!$C$55,PVFB,$S274+2,0))</f>
        <v>0</v>
      </c>
      <c r="X274" s="473">
        <f t="shared" ca="1" si="274"/>
        <v>0</v>
      </c>
      <c r="Y274" s="348">
        <f t="shared" ca="1" si="275"/>
        <v>0</v>
      </c>
      <c r="Z274" s="348">
        <f t="shared" ca="1" si="276"/>
        <v>8012</v>
      </c>
      <c r="AA274" s="348">
        <f ca="1">IF(Q274&lt;&gt;1,0,VLOOKUP(OP!$C$55,PVFB,$S274+2,0))</f>
        <v>0</v>
      </c>
      <c r="AB274" s="488" t="str">
        <f ca="1">IF(AND(S274&lt;OP!$C$24,$U274&lt;15),0,IF(AND($U274&lt;15,$T274=12),ROUND(VLOOKUP($S274,DOWN16,5,0),3),IF($T274=12,ROUND(($Z274/10000)*$AA274,3)+IF(AND($P$7="購買增額繳清保險",T274=12,U274=110),VLOOKUP(S274,$B$10:$H$121,7,0),0),"")))</f>
        <v/>
      </c>
      <c r="AC274" s="350" t="str">
        <f ca="1">IF(AND(S274&lt;OP!$C$24,$U274&lt;15),0,IF(AND($U274&lt;16,$T274=12),VLOOKUP($S274,DOWN16,4,0),IF($T274=12,ROUND(VLOOKUP(OP!$C$55,_DIE2,$S274+1,0)*(Z274/10000),0)+IF(AND($P$7="購買增額繳清保險",T274=12,U274=110),VLOOKUP(S274,$B$10:$H$121,7,0),0),"")))</f>
        <v/>
      </c>
      <c r="AD274" s="347"/>
      <c r="AE274" s="350" t="str">
        <f t="shared" ca="1" si="251"/>
        <v/>
      </c>
      <c r="AF274" s="351" t="str">
        <f t="shared" ca="1" si="252"/>
        <v/>
      </c>
      <c r="AG274" s="340"/>
      <c r="AH274" s="340"/>
      <c r="AI274" s="340"/>
      <c r="AJ274" s="340"/>
      <c r="AK274" s="340"/>
      <c r="AL274" s="340"/>
      <c r="AM274" s="340"/>
      <c r="AN274" s="340"/>
      <c r="AO274" s="340"/>
      <c r="AP274" s="340"/>
      <c r="AQ274" s="340"/>
      <c r="AR274" s="340"/>
      <c r="AS274" s="340"/>
      <c r="AT274" s="340"/>
      <c r="AU274" s="340"/>
      <c r="AV274" s="340"/>
      <c r="AY274" s="340"/>
      <c r="AZ274" s="465">
        <f t="shared" ca="1" si="262"/>
        <v>7.3698599999999999E-5</v>
      </c>
      <c r="BA274" s="464">
        <f t="shared" ca="1" si="263"/>
        <v>2.2109589000000002E-3</v>
      </c>
      <c r="BB274" s="465">
        <f t="shared" ca="1" si="263"/>
        <v>2.2846575E-3</v>
      </c>
      <c r="BC274" s="466">
        <f t="shared" ca="1" si="264"/>
        <v>50952</v>
      </c>
      <c r="BD274" s="467">
        <f t="shared" ca="1" si="277"/>
        <v>50953</v>
      </c>
      <c r="BE274" s="467">
        <f t="shared" ca="1" si="265"/>
        <v>50982</v>
      </c>
      <c r="BF274" s="468">
        <f ca="1">IF(計算!$BC274&lt;OP!$C$3,0,BD274-BC274)</f>
        <v>1</v>
      </c>
      <c r="BG274" s="468">
        <f ca="1">IF($BE274&gt;DATE(YEAR($BD$9)+OP!$C$57,MONTH($BD$9),DAY($BD$9)),0,$BE274-$BD274+1)</f>
        <v>30</v>
      </c>
      <c r="BH274" s="469">
        <f t="shared" ca="1" si="266"/>
        <v>31</v>
      </c>
      <c r="BI274" t="str">
        <f t="shared" si="248"/>
        <v/>
      </c>
      <c r="BJ274">
        <v>1</v>
      </c>
      <c r="BN274" s="468">
        <f t="shared" si="278"/>
        <v>23</v>
      </c>
      <c r="BO274" s="468">
        <f t="shared" si="279"/>
        <v>1</v>
      </c>
      <c r="BP274" s="467">
        <f t="shared" ca="1" si="267"/>
        <v>50953</v>
      </c>
      <c r="BQ274" s="475">
        <f t="shared" ca="1" si="281"/>
        <v>55</v>
      </c>
      <c r="BR274" s="475" t="str">
        <f t="shared" si="280"/>
        <v/>
      </c>
      <c r="BS274" s="471" t="str">
        <f t="shared" si="268"/>
        <v/>
      </c>
      <c r="BT274" s="472" t="str">
        <f t="shared" si="249"/>
        <v/>
      </c>
      <c r="BU274" s="472">
        <f t="shared" ca="1" si="269"/>
        <v>0</v>
      </c>
      <c r="BV274" s="472">
        <f t="shared" ca="1" si="269"/>
        <v>0</v>
      </c>
      <c r="BW274" s="472"/>
      <c r="BX274" s="473">
        <f t="shared" ca="1" si="270"/>
        <v>166866.135580851</v>
      </c>
      <c r="BY274" s="473">
        <f t="shared" si="271"/>
        <v>0</v>
      </c>
      <c r="BZ274" s="473">
        <f t="shared" ca="1" si="253"/>
        <v>381.23196815099999</v>
      </c>
      <c r="CA274" s="476">
        <f t="shared" ca="1" si="272"/>
        <v>0</v>
      </c>
      <c r="CB274" s="494">
        <f ca="1">IF(OR($Q273&lt;&gt;1,OP!$D$5+$BN274-1&lt;16,$BN274-1&lt;1),0,ROUND(ROUND(ROUND(((VLOOKUP($BN274-1,MORE_PV,5,0)/10000)*VLOOKUP($BN274,MORE_PV,$CB$5,0)),3)*VLOOKUP($BN274,more1,5,0),0)/$R273,0))</f>
        <v>0</v>
      </c>
      <c r="CC274" s="473">
        <f t="shared" ca="1" si="273"/>
        <v>0</v>
      </c>
      <c r="CD274" s="477"/>
    </row>
    <row r="275" spans="2:82" ht="16.5" hidden="1">
      <c r="B275" s="80"/>
      <c r="C275" s="80"/>
      <c r="D275" s="80"/>
      <c r="E275" s="80"/>
      <c r="F275" s="80"/>
      <c r="G275" s="80"/>
      <c r="H275" s="80"/>
      <c r="I275" s="80"/>
      <c r="J275" s="192">
        <f t="shared" si="254"/>
        <v>23</v>
      </c>
      <c r="K275" s="192">
        <f t="shared" si="255"/>
        <v>3</v>
      </c>
      <c r="L275" s="192" t="str">
        <f t="shared" si="250"/>
        <v/>
      </c>
      <c r="M275" s="216">
        <f t="shared" ca="1" si="256"/>
        <v>0</v>
      </c>
      <c r="N275" s="216"/>
      <c r="O275" s="216"/>
      <c r="P275" s="216"/>
      <c r="Q275" s="456" t="str">
        <f t="shared" ca="1" si="257"/>
        <v/>
      </c>
      <c r="R275" s="450">
        <f t="shared" ca="1" si="258"/>
        <v>1</v>
      </c>
      <c r="S275" s="191">
        <f t="shared" si="259"/>
        <v>23</v>
      </c>
      <c r="T275" s="191">
        <f t="shared" si="260"/>
        <v>3</v>
      </c>
      <c r="U275" s="191">
        <f ca="1">OP!$D$5+$S275-1</f>
        <v>55</v>
      </c>
      <c r="V275" s="191" t="str">
        <f t="shared" si="261"/>
        <v/>
      </c>
      <c r="W275" s="350">
        <f ca="1">IF(Q275&lt;&gt;1,0,VLOOKUP(OP!$C$55,PVFB,$S275+2,0))</f>
        <v>0</v>
      </c>
      <c r="X275" s="473">
        <f t="shared" ca="1" si="274"/>
        <v>0</v>
      </c>
      <c r="Y275" s="348">
        <f t="shared" ca="1" si="275"/>
        <v>0</v>
      </c>
      <c r="Z275" s="348">
        <f t="shared" ca="1" si="276"/>
        <v>8012</v>
      </c>
      <c r="AA275" s="348">
        <f ca="1">IF(Q275&lt;&gt;1,0,VLOOKUP(OP!$C$55,PVFB,$S275+2,0))</f>
        <v>0</v>
      </c>
      <c r="AB275" s="488" t="str">
        <f ca="1">IF(AND(S275&lt;OP!$C$24,$U275&lt;15),0,IF(AND($U275&lt;15,$T275=12),ROUND(VLOOKUP($S275,DOWN16,5,0),3),IF($T275=12,ROUND(($Z275/10000)*$AA275,3)+IF(AND($P$7="購買增額繳清保險",T275=12,U275=110),VLOOKUP(S275,$B$10:$H$121,7,0),0),"")))</f>
        <v/>
      </c>
      <c r="AC275" s="350" t="str">
        <f ca="1">IF(AND(S275&lt;OP!$C$24,$U275&lt;15),0,IF(AND($U275&lt;16,$T275=12),VLOOKUP($S275,DOWN16,4,0),IF($T275=12,ROUND(VLOOKUP(OP!$C$55,_DIE2,$S275+1,0)*(Z275/10000),0)+IF(AND($P$7="購買增額繳清保險",T275=12,U275=110),VLOOKUP(S275,$B$10:$H$121,7,0),0),"")))</f>
        <v/>
      </c>
      <c r="AD275" s="347"/>
      <c r="AE275" s="350" t="str">
        <f t="shared" ca="1" si="251"/>
        <v/>
      </c>
      <c r="AF275" s="351" t="str">
        <f t="shared" ca="1" si="252"/>
        <v/>
      </c>
      <c r="AG275" s="340"/>
      <c r="AH275" s="340"/>
      <c r="AI275" s="340"/>
      <c r="AJ275" s="340"/>
      <c r="AK275" s="340"/>
      <c r="AL275" s="340"/>
      <c r="AM275" s="340"/>
      <c r="AN275" s="340"/>
      <c r="AO275" s="340"/>
      <c r="AP275" s="340"/>
      <c r="AQ275" s="340"/>
      <c r="AR275" s="340"/>
      <c r="AS275" s="340"/>
      <c r="AT275" s="340"/>
      <c r="AU275" s="340"/>
      <c r="AV275" s="340"/>
      <c r="AY275" s="340"/>
      <c r="AZ275" s="465">
        <f t="shared" ca="1" si="262"/>
        <v>7.3698599999999999E-5</v>
      </c>
      <c r="BA275" s="464">
        <f t="shared" ca="1" si="263"/>
        <v>2.2109589000000002E-3</v>
      </c>
      <c r="BB275" s="465">
        <f t="shared" ca="1" si="263"/>
        <v>2.2846575E-3</v>
      </c>
      <c r="BC275" s="466">
        <f t="shared" ca="1" si="264"/>
        <v>50983</v>
      </c>
      <c r="BD275" s="467">
        <f t="shared" ca="1" si="277"/>
        <v>50984</v>
      </c>
      <c r="BE275" s="467">
        <f t="shared" ca="1" si="265"/>
        <v>51013</v>
      </c>
      <c r="BF275" s="468">
        <f ca="1">IF(計算!$BC275&lt;OP!$C$3,0,BD275-BC275)</f>
        <v>1</v>
      </c>
      <c r="BG275" s="468">
        <f ca="1">IF($BE275&gt;DATE(YEAR($BD$9)+OP!$C$57,MONTH($BD$9),DAY($BD$9)),0,$BE275-$BD275+1)</f>
        <v>30</v>
      </c>
      <c r="BH275" s="469">
        <f t="shared" ca="1" si="266"/>
        <v>31</v>
      </c>
      <c r="BI275" t="str">
        <f t="shared" si="248"/>
        <v/>
      </c>
      <c r="BJ275">
        <v>2</v>
      </c>
      <c r="BN275" s="468">
        <f t="shared" si="278"/>
        <v>23</v>
      </c>
      <c r="BO275" s="468">
        <f t="shared" si="279"/>
        <v>2</v>
      </c>
      <c r="BP275" s="467">
        <f t="shared" ca="1" si="267"/>
        <v>50984</v>
      </c>
      <c r="BQ275" s="475">
        <f t="shared" ca="1" si="281"/>
        <v>55</v>
      </c>
      <c r="BR275" s="475" t="str">
        <f t="shared" si="280"/>
        <v/>
      </c>
      <c r="BS275" s="471" t="str">
        <f t="shared" si="268"/>
        <v/>
      </c>
      <c r="BT275" s="472" t="str">
        <f t="shared" si="249"/>
        <v/>
      </c>
      <c r="BU275" s="472">
        <f t="shared" ca="1" si="269"/>
        <v>0</v>
      </c>
      <c r="BV275" s="472">
        <f t="shared" ca="1" si="269"/>
        <v>0</v>
      </c>
      <c r="BW275" s="472"/>
      <c r="BX275" s="473">
        <f t="shared" ca="1" si="270"/>
        <v>167247.367549002</v>
      </c>
      <c r="BY275" s="473">
        <f t="shared" si="271"/>
        <v>0</v>
      </c>
      <c r="BZ275" s="473">
        <f t="shared" ca="1" si="253"/>
        <v>382.10295262599999</v>
      </c>
      <c r="CA275" s="476">
        <f t="shared" ca="1" si="272"/>
        <v>0</v>
      </c>
      <c r="CB275" s="494">
        <f ca="1">IF(OR($Q274&lt;&gt;1,OP!$D$5+$BN275-1&lt;16,$BN275-1&lt;1),0,ROUND(ROUND(ROUND(((VLOOKUP($BN275-1,MORE_PV,5,0)/10000)*VLOOKUP($BN275,MORE_PV,$CB$5,0)),3)*VLOOKUP($BN275,more1,5,0),0)/$R274,0))</f>
        <v>0</v>
      </c>
      <c r="CC275" s="473">
        <f t="shared" ca="1" si="273"/>
        <v>0</v>
      </c>
      <c r="CD275" s="477"/>
    </row>
    <row r="276" spans="2:82" ht="16.5" hidden="1">
      <c r="B276" s="80"/>
      <c r="C276" s="80"/>
      <c r="D276" s="80"/>
      <c r="E276" s="80"/>
      <c r="F276" s="80"/>
      <c r="G276" s="80"/>
      <c r="H276" s="80"/>
      <c r="I276" s="80"/>
      <c r="J276" s="192">
        <f t="shared" si="254"/>
        <v>23</v>
      </c>
      <c r="K276" s="192">
        <f t="shared" si="255"/>
        <v>4</v>
      </c>
      <c r="L276" s="192" t="str">
        <f t="shared" si="250"/>
        <v/>
      </c>
      <c r="M276" s="216">
        <f t="shared" ca="1" si="256"/>
        <v>0</v>
      </c>
      <c r="N276" s="216"/>
      <c r="O276" s="216"/>
      <c r="P276" s="216"/>
      <c r="Q276" s="456" t="str">
        <f t="shared" ca="1" si="257"/>
        <v/>
      </c>
      <c r="R276" s="450">
        <f t="shared" ca="1" si="258"/>
        <v>1</v>
      </c>
      <c r="S276" s="191">
        <f t="shared" si="259"/>
        <v>23</v>
      </c>
      <c r="T276" s="191">
        <f t="shared" si="260"/>
        <v>4</v>
      </c>
      <c r="U276" s="191">
        <f ca="1">OP!$D$5+$S276-1</f>
        <v>55</v>
      </c>
      <c r="V276" s="191" t="str">
        <f t="shared" si="261"/>
        <v/>
      </c>
      <c r="W276" s="350">
        <f ca="1">IF(Q276&lt;&gt;1,0,VLOOKUP(OP!$C$55,PVFB,$S276+2,0))</f>
        <v>0</v>
      </c>
      <c r="X276" s="473">
        <f t="shared" ca="1" si="274"/>
        <v>0</v>
      </c>
      <c r="Y276" s="348">
        <f t="shared" ca="1" si="275"/>
        <v>0</v>
      </c>
      <c r="Z276" s="348">
        <f t="shared" ca="1" si="276"/>
        <v>8012</v>
      </c>
      <c r="AA276" s="348">
        <f ca="1">IF(Q276&lt;&gt;1,0,VLOOKUP(OP!$C$55,PVFB,$S276+2,0))</f>
        <v>0</v>
      </c>
      <c r="AB276" s="488" t="str">
        <f ca="1">IF(AND(S276&lt;OP!$C$24,$U276&lt;15),0,IF(AND($U276&lt;15,$T276=12),ROUND(VLOOKUP($S276,DOWN16,5,0),3),IF($T276=12,ROUND(($Z276/10000)*$AA276,3)+IF(AND($P$7="購買增額繳清保險",T276=12,U276=110),VLOOKUP(S276,$B$10:$H$121,7,0),0),"")))</f>
        <v/>
      </c>
      <c r="AC276" s="350" t="str">
        <f ca="1">IF(AND(S276&lt;OP!$C$24,$U276&lt;15),0,IF(AND($U276&lt;16,$T276=12),VLOOKUP($S276,DOWN16,4,0),IF($T276=12,ROUND(VLOOKUP(OP!$C$55,_DIE2,$S276+1,0)*(Z276/10000),0)+IF(AND($P$7="購買增額繳清保險",T276=12,U276=110),VLOOKUP(S276,$B$10:$H$121,7,0),0),"")))</f>
        <v/>
      </c>
      <c r="AD276" s="347"/>
      <c r="AE276" s="350" t="str">
        <f t="shared" ca="1" si="251"/>
        <v/>
      </c>
      <c r="AF276" s="351" t="str">
        <f t="shared" ca="1" si="252"/>
        <v/>
      </c>
      <c r="AG276" s="340"/>
      <c r="AH276" s="340"/>
      <c r="AI276" s="340"/>
      <c r="AJ276" s="340"/>
      <c r="AK276" s="340"/>
      <c r="AL276" s="340"/>
      <c r="AM276" s="340"/>
      <c r="AN276" s="340"/>
      <c r="AO276" s="340"/>
      <c r="AP276" s="340"/>
      <c r="AQ276" s="340"/>
      <c r="AR276" s="340"/>
      <c r="AS276" s="340"/>
      <c r="AT276" s="340"/>
      <c r="AU276" s="340"/>
      <c r="AV276" s="340"/>
      <c r="AY276" s="340"/>
      <c r="AZ276" s="465">
        <f t="shared" ca="1" si="262"/>
        <v>7.3698599999999999E-5</v>
      </c>
      <c r="BA276" s="464">
        <f t="shared" ca="1" si="263"/>
        <v>2.1372602999999999E-3</v>
      </c>
      <c r="BB276" s="465">
        <f t="shared" ca="1" si="263"/>
        <v>2.2109589000000002E-3</v>
      </c>
      <c r="BC276" s="466">
        <f t="shared" ca="1" si="264"/>
        <v>51014</v>
      </c>
      <c r="BD276" s="467">
        <f t="shared" ca="1" si="277"/>
        <v>51015</v>
      </c>
      <c r="BE276" s="467">
        <f t="shared" ca="1" si="265"/>
        <v>51043</v>
      </c>
      <c r="BF276" s="468">
        <f ca="1">IF(計算!$BC276&lt;OP!$C$3,0,BD276-BC276)</f>
        <v>1</v>
      </c>
      <c r="BG276" s="468">
        <f ca="1">IF($BE276&gt;DATE(YEAR($BD$9)+OP!$C$57,MONTH($BD$9),DAY($BD$9)),0,$BE276-$BD276+1)</f>
        <v>29</v>
      </c>
      <c r="BH276" s="469">
        <f t="shared" ca="1" si="266"/>
        <v>30</v>
      </c>
      <c r="BI276" t="str">
        <f t="shared" si="248"/>
        <v/>
      </c>
      <c r="BJ276">
        <v>3</v>
      </c>
      <c r="BN276" s="468">
        <f t="shared" si="278"/>
        <v>23</v>
      </c>
      <c r="BO276" s="468">
        <f t="shared" si="279"/>
        <v>3</v>
      </c>
      <c r="BP276" s="467">
        <f t="shared" ca="1" si="267"/>
        <v>51015</v>
      </c>
      <c r="BQ276" s="475">
        <f t="shared" ca="1" si="281"/>
        <v>55</v>
      </c>
      <c r="BR276" s="475" t="str">
        <f t="shared" si="280"/>
        <v/>
      </c>
      <c r="BS276" s="471" t="str">
        <f t="shared" si="268"/>
        <v/>
      </c>
      <c r="BT276" s="472" t="str">
        <f t="shared" si="249"/>
        <v/>
      </c>
      <c r="BU276" s="472">
        <f t="shared" ca="1" si="269"/>
        <v>0</v>
      </c>
      <c r="BV276" s="472">
        <f t="shared" ca="1" si="269"/>
        <v>0</v>
      </c>
      <c r="BW276" s="472"/>
      <c r="BX276" s="473">
        <f t="shared" ca="1" si="270"/>
        <v>167629.47050162801</v>
      </c>
      <c r="BY276" s="473">
        <f t="shared" si="271"/>
        <v>0</v>
      </c>
      <c r="BZ276" s="473">
        <f t="shared" ca="1" si="253"/>
        <v>370.62186970800002</v>
      </c>
      <c r="CA276" s="476">
        <f t="shared" ca="1" si="272"/>
        <v>0</v>
      </c>
      <c r="CB276" s="494">
        <f ca="1">IF(OR($Q275&lt;&gt;1,OP!$D$5+$BN276-1&lt;16,$BN276-1&lt;1),0,ROUND(ROUND(ROUND(((VLOOKUP($BN276-1,MORE_PV,5,0)/10000)*VLOOKUP($BN276,MORE_PV,$CB$5,0)),3)*VLOOKUP($BN276,more1,5,0),0)/$R275,0))</f>
        <v>0</v>
      </c>
      <c r="CC276" s="473">
        <f t="shared" ca="1" si="273"/>
        <v>0</v>
      </c>
      <c r="CD276" s="477"/>
    </row>
    <row r="277" spans="2:82" ht="16.5" hidden="1">
      <c r="B277" s="80"/>
      <c r="C277" s="80"/>
      <c r="D277" s="80"/>
      <c r="E277" s="80"/>
      <c r="F277" s="80"/>
      <c r="G277" s="80"/>
      <c r="H277" s="80"/>
      <c r="I277" s="80"/>
      <c r="J277" s="192">
        <f t="shared" si="254"/>
        <v>23</v>
      </c>
      <c r="K277" s="192">
        <f t="shared" si="255"/>
        <v>5</v>
      </c>
      <c r="L277" s="192" t="str">
        <f t="shared" si="250"/>
        <v/>
      </c>
      <c r="M277" s="216">
        <f t="shared" ca="1" si="256"/>
        <v>0</v>
      </c>
      <c r="N277" s="216"/>
      <c r="O277" s="216"/>
      <c r="P277" s="216"/>
      <c r="Q277" s="456" t="str">
        <f t="shared" ca="1" si="257"/>
        <v/>
      </c>
      <c r="R277" s="450">
        <f t="shared" ca="1" si="258"/>
        <v>1</v>
      </c>
      <c r="S277" s="191">
        <f t="shared" si="259"/>
        <v>23</v>
      </c>
      <c r="T277" s="191">
        <f t="shared" si="260"/>
        <v>5</v>
      </c>
      <c r="U277" s="191">
        <f ca="1">OP!$D$5+$S277-1</f>
        <v>55</v>
      </c>
      <c r="V277" s="191" t="str">
        <f t="shared" si="261"/>
        <v/>
      </c>
      <c r="W277" s="350">
        <f ca="1">IF(Q277&lt;&gt;1,0,VLOOKUP(OP!$C$55,PVFB,$S277+2,0))</f>
        <v>0</v>
      </c>
      <c r="X277" s="473">
        <f t="shared" ca="1" si="274"/>
        <v>0</v>
      </c>
      <c r="Y277" s="348">
        <f t="shared" ca="1" si="275"/>
        <v>0</v>
      </c>
      <c r="Z277" s="348">
        <f t="shared" ca="1" si="276"/>
        <v>8012</v>
      </c>
      <c r="AA277" s="348">
        <f ca="1">IF(Q277&lt;&gt;1,0,VLOOKUP(OP!$C$55,PVFB,$S277+2,0))</f>
        <v>0</v>
      </c>
      <c r="AB277" s="488" t="str">
        <f ca="1">IF(AND(S277&lt;OP!$C$24,$U277&lt;15),0,IF(AND($U277&lt;15,$T277=12),ROUND(VLOOKUP($S277,DOWN16,5,0),3),IF($T277=12,ROUND(($Z277/10000)*$AA277,3)+IF(AND($P$7="購買增額繳清保險",T277=12,U277=110),VLOOKUP(S277,$B$10:$H$121,7,0),0),"")))</f>
        <v/>
      </c>
      <c r="AC277" s="350" t="str">
        <f ca="1">IF(AND(S277&lt;OP!$C$24,$U277&lt;15),0,IF(AND($U277&lt;16,$T277=12),VLOOKUP($S277,DOWN16,4,0),IF($T277=12,ROUND(VLOOKUP(OP!$C$55,_DIE2,$S277+1,0)*(Z277/10000),0)+IF(AND($P$7="購買增額繳清保險",T277=12,U277=110),VLOOKUP(S277,$B$10:$H$121,7,0),0),"")))</f>
        <v/>
      </c>
      <c r="AD277" s="347"/>
      <c r="AE277" s="350" t="str">
        <f t="shared" ca="1" si="251"/>
        <v/>
      </c>
      <c r="AF277" s="351" t="str">
        <f t="shared" ca="1" si="252"/>
        <v/>
      </c>
      <c r="AG277" s="340"/>
      <c r="AH277" s="340"/>
      <c r="AI277" s="340"/>
      <c r="AJ277" s="340"/>
      <c r="AK277" s="340"/>
      <c r="AL277" s="340"/>
      <c r="AM277" s="340"/>
      <c r="AN277" s="340"/>
      <c r="AO277" s="340"/>
      <c r="AP277" s="340"/>
      <c r="AQ277" s="340"/>
      <c r="AR277" s="340"/>
      <c r="AS277" s="340"/>
      <c r="AT277" s="340"/>
      <c r="AU277" s="340"/>
      <c r="AV277" s="340"/>
      <c r="AY277" s="340"/>
      <c r="AZ277" s="465">
        <f t="shared" ca="1" si="262"/>
        <v>7.3698599999999999E-5</v>
      </c>
      <c r="BA277" s="464">
        <f t="shared" ca="1" si="263"/>
        <v>2.2109589000000002E-3</v>
      </c>
      <c r="BB277" s="465">
        <f t="shared" ca="1" si="263"/>
        <v>2.2846575E-3</v>
      </c>
      <c r="BC277" s="466">
        <f t="shared" ca="1" si="264"/>
        <v>51044</v>
      </c>
      <c r="BD277" s="467">
        <f t="shared" ca="1" si="277"/>
        <v>51045</v>
      </c>
      <c r="BE277" s="467">
        <f t="shared" ca="1" si="265"/>
        <v>51074</v>
      </c>
      <c r="BF277" s="468">
        <f ca="1">IF(計算!$BC277&lt;OP!$C$3,0,BD277-BC277)</f>
        <v>1</v>
      </c>
      <c r="BG277" s="468">
        <f ca="1">IF($BE277&gt;DATE(YEAR($BD$9)+OP!$C$57,MONTH($BD$9),DAY($BD$9)),0,$BE277-$BD277+1)</f>
        <v>30</v>
      </c>
      <c r="BH277" s="469">
        <f t="shared" ca="1" si="266"/>
        <v>31</v>
      </c>
      <c r="BI277" t="str">
        <f t="shared" ref="BI277:BI340" si="282">IF(BJ277=12,BD277-BD265,"")</f>
        <v/>
      </c>
      <c r="BJ277">
        <v>4</v>
      </c>
      <c r="BN277" s="468">
        <f t="shared" si="278"/>
        <v>23</v>
      </c>
      <c r="BO277" s="468">
        <f t="shared" si="279"/>
        <v>4</v>
      </c>
      <c r="BP277" s="467">
        <f t="shared" ca="1" si="267"/>
        <v>51045</v>
      </c>
      <c r="BQ277" s="475">
        <f t="shared" ca="1" si="281"/>
        <v>55</v>
      </c>
      <c r="BR277" s="475" t="str">
        <f t="shared" si="280"/>
        <v/>
      </c>
      <c r="BS277" s="471" t="str">
        <f t="shared" si="268"/>
        <v/>
      </c>
      <c r="BT277" s="472" t="str">
        <f t="shared" si="249"/>
        <v/>
      </c>
      <c r="BU277" s="472">
        <f t="shared" ca="1" si="269"/>
        <v>0</v>
      </c>
      <c r="BV277" s="472">
        <f t="shared" ca="1" si="269"/>
        <v>0</v>
      </c>
      <c r="BW277" s="472"/>
      <c r="BX277" s="473">
        <f t="shared" ca="1" si="270"/>
        <v>168000.09237133601</v>
      </c>
      <c r="BY277" s="473">
        <f t="shared" si="271"/>
        <v>0</v>
      </c>
      <c r="BZ277" s="473">
        <f t="shared" ca="1" si="253"/>
        <v>383.82267103700002</v>
      </c>
      <c r="CA277" s="476">
        <f t="shared" ca="1" si="272"/>
        <v>0</v>
      </c>
      <c r="CB277" s="494">
        <f ca="1">IF(OR($Q276&lt;&gt;1,OP!$D$5+$BN277-1&lt;16,$BN277-1&lt;1),0,ROUND(ROUND(ROUND(((VLOOKUP($BN277-1,MORE_PV,5,0)/10000)*VLOOKUP($BN277,MORE_PV,$CB$5,0)),3)*VLOOKUP($BN277,more1,5,0),0)/$R276,0))</f>
        <v>0</v>
      </c>
      <c r="CC277" s="473">
        <f t="shared" ca="1" si="273"/>
        <v>0</v>
      </c>
      <c r="CD277" s="477"/>
    </row>
    <row r="278" spans="2:82" ht="16.5" hidden="1">
      <c r="B278" s="80"/>
      <c r="C278" s="80"/>
      <c r="D278" s="80"/>
      <c r="E278" s="80"/>
      <c r="F278" s="80"/>
      <c r="G278" s="80"/>
      <c r="H278" s="80"/>
      <c r="I278" s="80"/>
      <c r="J278" s="192">
        <f t="shared" si="254"/>
        <v>23</v>
      </c>
      <c r="K278" s="192">
        <f t="shared" si="255"/>
        <v>6</v>
      </c>
      <c r="L278" s="192" t="str">
        <f t="shared" si="250"/>
        <v/>
      </c>
      <c r="M278" s="216">
        <f t="shared" ca="1" si="256"/>
        <v>0</v>
      </c>
      <c r="N278" s="216"/>
      <c r="O278" s="216"/>
      <c r="P278" s="216"/>
      <c r="Q278" s="456" t="str">
        <f t="shared" ca="1" si="257"/>
        <v/>
      </c>
      <c r="R278" s="450">
        <f t="shared" ca="1" si="258"/>
        <v>1</v>
      </c>
      <c r="S278" s="191">
        <f t="shared" si="259"/>
        <v>23</v>
      </c>
      <c r="T278" s="191">
        <f t="shared" si="260"/>
        <v>6</v>
      </c>
      <c r="U278" s="191">
        <f ca="1">OP!$D$5+$S278-1</f>
        <v>55</v>
      </c>
      <c r="V278" s="191" t="str">
        <f t="shared" si="261"/>
        <v/>
      </c>
      <c r="W278" s="350">
        <f ca="1">IF(Q278&lt;&gt;1,0,VLOOKUP(OP!$C$55,PVFB,$S278+2,0))</f>
        <v>0</v>
      </c>
      <c r="X278" s="473">
        <f t="shared" ca="1" si="274"/>
        <v>0</v>
      </c>
      <c r="Y278" s="348">
        <f t="shared" ca="1" si="275"/>
        <v>0</v>
      </c>
      <c r="Z278" s="348">
        <f t="shared" ca="1" si="276"/>
        <v>8012</v>
      </c>
      <c r="AA278" s="348">
        <f ca="1">IF(Q278&lt;&gt;1,0,VLOOKUP(OP!$C$55,PVFB,$S278+2,0))</f>
        <v>0</v>
      </c>
      <c r="AB278" s="488" t="str">
        <f ca="1">IF(AND(S278&lt;OP!$C$24,$U278&lt;15),0,IF(AND($U278&lt;15,$T278=12),ROUND(VLOOKUP($S278,DOWN16,5,0),3),IF($T278=12,ROUND(($Z278/10000)*$AA278,3)+IF(AND($P$7="購買增額繳清保險",T278=12,U278=110),VLOOKUP(S278,$B$10:$H$121,7,0),0),"")))</f>
        <v/>
      </c>
      <c r="AC278" s="350" t="str">
        <f ca="1">IF(AND(S278&lt;OP!$C$24,$U278&lt;15),0,IF(AND($U278&lt;16,$T278=12),VLOOKUP($S278,DOWN16,4,0),IF($T278=12,ROUND(VLOOKUP(OP!$C$55,_DIE2,$S278+1,0)*(Z278/10000),0)+IF(AND($P$7="購買增額繳清保險",T278=12,U278=110),VLOOKUP(S278,$B$10:$H$121,7,0),0),"")))</f>
        <v/>
      </c>
      <c r="AD278" s="347"/>
      <c r="AE278" s="350" t="str">
        <f t="shared" ca="1" si="251"/>
        <v/>
      </c>
      <c r="AF278" s="351" t="str">
        <f t="shared" ca="1" si="252"/>
        <v/>
      </c>
      <c r="AG278" s="340"/>
      <c r="AH278" s="340"/>
      <c r="AI278" s="340"/>
      <c r="AJ278" s="340"/>
      <c r="AK278" s="340"/>
      <c r="AL278" s="340"/>
      <c r="AM278" s="340"/>
      <c r="AN278" s="340"/>
      <c r="AO278" s="340"/>
      <c r="AP278" s="340"/>
      <c r="AQ278" s="340"/>
      <c r="AR278" s="340"/>
      <c r="AS278" s="340"/>
      <c r="AT278" s="340"/>
      <c r="AU278" s="340"/>
      <c r="AV278" s="340"/>
      <c r="AY278" s="340"/>
      <c r="AZ278" s="465">
        <f t="shared" ca="1" si="262"/>
        <v>7.3698599999999999E-5</v>
      </c>
      <c r="BA278" s="464">
        <f t="shared" ca="1" si="263"/>
        <v>2.1372602999999999E-3</v>
      </c>
      <c r="BB278" s="465">
        <f t="shared" ca="1" si="263"/>
        <v>2.2109589000000002E-3</v>
      </c>
      <c r="BC278" s="466">
        <f t="shared" ca="1" si="264"/>
        <v>51075</v>
      </c>
      <c r="BD278" s="467">
        <f t="shared" ca="1" si="277"/>
        <v>51076</v>
      </c>
      <c r="BE278" s="467">
        <f t="shared" ca="1" si="265"/>
        <v>51104</v>
      </c>
      <c r="BF278" s="468">
        <f ca="1">IF(計算!$BC278&lt;OP!$C$3,0,BD278-BC278)</f>
        <v>1</v>
      </c>
      <c r="BG278" s="468">
        <f ca="1">IF($BE278&gt;DATE(YEAR($BD$9)+OP!$C$57,MONTH($BD$9),DAY($BD$9)),0,$BE278-$BD278+1)</f>
        <v>29</v>
      </c>
      <c r="BH278" s="469">
        <f t="shared" ca="1" si="266"/>
        <v>30</v>
      </c>
      <c r="BI278" t="str">
        <f t="shared" si="282"/>
        <v/>
      </c>
      <c r="BJ278">
        <v>5</v>
      </c>
      <c r="BN278" s="468">
        <f t="shared" si="278"/>
        <v>23</v>
      </c>
      <c r="BO278" s="468">
        <f t="shared" si="279"/>
        <v>5</v>
      </c>
      <c r="BP278" s="467">
        <f t="shared" ca="1" si="267"/>
        <v>51076</v>
      </c>
      <c r="BQ278" s="475">
        <f t="shared" ca="1" si="281"/>
        <v>55</v>
      </c>
      <c r="BR278" s="475" t="str">
        <f t="shared" si="280"/>
        <v/>
      </c>
      <c r="BS278" s="471" t="str">
        <f t="shared" si="268"/>
        <v/>
      </c>
      <c r="BT278" s="472" t="str">
        <f t="shared" ref="BT278:BT341" si="283">IF(BW278&lt;&gt;"",IF(BN278&gt;=$P$4+1,ROUND(BU278,0)+ROUND(BV278,0)+ROUND(BW278,0)+BT266,0),"")</f>
        <v/>
      </c>
      <c r="BU278" s="472">
        <f t="shared" ca="1" si="269"/>
        <v>0</v>
      </c>
      <c r="BV278" s="472">
        <f t="shared" ca="1" si="269"/>
        <v>0</v>
      </c>
      <c r="BW278" s="472"/>
      <c r="BX278" s="473">
        <f t="shared" ca="1" si="270"/>
        <v>168383.915042373</v>
      </c>
      <c r="BY278" s="473">
        <f t="shared" si="271"/>
        <v>0</v>
      </c>
      <c r="BZ278" s="473">
        <f t="shared" ca="1" si="253"/>
        <v>372.28991558000001</v>
      </c>
      <c r="CA278" s="476">
        <f t="shared" ca="1" si="272"/>
        <v>0</v>
      </c>
      <c r="CB278" s="494">
        <f ca="1">IF(OR($Q277&lt;&gt;1,OP!$D$5+$BN278-1&lt;16,$BN278-1&lt;1),0,ROUND(ROUND(ROUND(((VLOOKUP($BN278-1,MORE_PV,5,0)/10000)*VLOOKUP($BN278,MORE_PV,$CB$5,0)),3)*VLOOKUP($BN278,more1,5,0),0)/$R277,0))</f>
        <v>0</v>
      </c>
      <c r="CC278" s="473">
        <f t="shared" ca="1" si="273"/>
        <v>0</v>
      </c>
      <c r="CD278" s="477"/>
    </row>
    <row r="279" spans="2:82" ht="16.5" hidden="1">
      <c r="B279" s="80"/>
      <c r="C279" s="80"/>
      <c r="D279" s="80"/>
      <c r="E279" s="80"/>
      <c r="F279" s="80"/>
      <c r="G279" s="80"/>
      <c r="H279" s="80"/>
      <c r="I279" s="80"/>
      <c r="J279" s="192">
        <f t="shared" si="254"/>
        <v>23</v>
      </c>
      <c r="K279" s="192">
        <f t="shared" si="255"/>
        <v>7</v>
      </c>
      <c r="L279" s="192" t="str">
        <f t="shared" si="250"/>
        <v/>
      </c>
      <c r="M279" s="216">
        <f t="shared" ca="1" si="256"/>
        <v>0</v>
      </c>
      <c r="N279" s="216"/>
      <c r="O279" s="216"/>
      <c r="P279" s="216"/>
      <c r="Q279" s="456" t="str">
        <f t="shared" ca="1" si="257"/>
        <v/>
      </c>
      <c r="R279" s="450">
        <f t="shared" ca="1" si="258"/>
        <v>1</v>
      </c>
      <c r="S279" s="191">
        <f t="shared" si="259"/>
        <v>23</v>
      </c>
      <c r="T279" s="191">
        <f t="shared" si="260"/>
        <v>7</v>
      </c>
      <c r="U279" s="191">
        <f ca="1">OP!$D$5+$S279-1</f>
        <v>55</v>
      </c>
      <c r="V279" s="191" t="str">
        <f t="shared" si="261"/>
        <v/>
      </c>
      <c r="W279" s="350">
        <f ca="1">IF(Q279&lt;&gt;1,0,VLOOKUP(OP!$C$55,PVFB,$S279+2,0))</f>
        <v>0</v>
      </c>
      <c r="X279" s="473">
        <f t="shared" ca="1" si="274"/>
        <v>0</v>
      </c>
      <c r="Y279" s="348">
        <f t="shared" ca="1" si="275"/>
        <v>0</v>
      </c>
      <c r="Z279" s="348">
        <f t="shared" ca="1" si="276"/>
        <v>8012</v>
      </c>
      <c r="AA279" s="348">
        <f ca="1">IF(Q279&lt;&gt;1,0,VLOOKUP(OP!$C$55,PVFB,$S279+2,0))</f>
        <v>0</v>
      </c>
      <c r="AB279" s="488" t="str">
        <f ca="1">IF(AND(S279&lt;OP!$C$24,$U279&lt;15),0,IF(AND($U279&lt;15,$T279=12),ROUND(VLOOKUP($S279,DOWN16,5,0),3),IF($T279=12,ROUND(($Z279/10000)*$AA279,3)+IF(AND($P$7="購買增額繳清保險",T279=12,U279=110),VLOOKUP(S279,$B$10:$H$121,7,0),0),"")))</f>
        <v/>
      </c>
      <c r="AC279" s="350" t="str">
        <f ca="1">IF(AND(S279&lt;OP!$C$24,$U279&lt;15),0,IF(AND($U279&lt;16,$T279=12),VLOOKUP($S279,DOWN16,4,0),IF($T279=12,ROUND(VLOOKUP(OP!$C$55,_DIE2,$S279+1,0)*(Z279/10000),0)+IF(AND($P$7="購買增額繳清保險",T279=12,U279=110),VLOOKUP(S279,$B$10:$H$121,7,0),0),"")))</f>
        <v/>
      </c>
      <c r="AD279" s="347"/>
      <c r="AE279" s="350" t="str">
        <f t="shared" ca="1" si="251"/>
        <v/>
      </c>
      <c r="AF279" s="351" t="str">
        <f t="shared" ca="1" si="252"/>
        <v/>
      </c>
      <c r="AG279" s="340"/>
      <c r="AH279" s="340"/>
      <c r="AI279" s="340"/>
      <c r="AJ279" s="340"/>
      <c r="AK279" s="340"/>
      <c r="AL279" s="340"/>
      <c r="AM279" s="340"/>
      <c r="AN279" s="340"/>
      <c r="AO279" s="340"/>
      <c r="AP279" s="340"/>
      <c r="AQ279" s="340"/>
      <c r="AR279" s="340"/>
      <c r="AS279" s="340"/>
      <c r="AT279" s="340"/>
      <c r="AU279" s="340"/>
      <c r="AV279" s="340"/>
      <c r="AY279" s="340"/>
      <c r="AZ279" s="465">
        <f t="shared" ca="1" si="262"/>
        <v>7.3698599999999999E-5</v>
      </c>
      <c r="BA279" s="464">
        <f t="shared" ca="1" si="263"/>
        <v>2.2109589000000002E-3</v>
      </c>
      <c r="BB279" s="465">
        <f t="shared" ca="1" si="263"/>
        <v>2.2846575E-3</v>
      </c>
      <c r="BC279" s="466">
        <f t="shared" ca="1" si="264"/>
        <v>51105</v>
      </c>
      <c r="BD279" s="467">
        <f t="shared" ca="1" si="277"/>
        <v>51106</v>
      </c>
      <c r="BE279" s="467">
        <f t="shared" ca="1" si="265"/>
        <v>51135</v>
      </c>
      <c r="BF279" s="468">
        <f ca="1">IF(計算!$BC279&lt;OP!$C$3,0,BD279-BC279)</f>
        <v>1</v>
      </c>
      <c r="BG279" s="468">
        <f ca="1">IF($BE279&gt;DATE(YEAR($BD$9)+OP!$C$57,MONTH($BD$9),DAY($BD$9)),0,$BE279-$BD279+1)</f>
        <v>30</v>
      </c>
      <c r="BH279" s="469">
        <f t="shared" ca="1" si="266"/>
        <v>31</v>
      </c>
      <c r="BI279" t="str">
        <f t="shared" si="282"/>
        <v/>
      </c>
      <c r="BJ279">
        <v>6</v>
      </c>
      <c r="BN279" s="468">
        <f t="shared" si="278"/>
        <v>23</v>
      </c>
      <c r="BO279" s="468">
        <f t="shared" si="279"/>
        <v>6</v>
      </c>
      <c r="BP279" s="467">
        <f t="shared" ca="1" si="267"/>
        <v>51106</v>
      </c>
      <c r="BQ279" s="475">
        <f t="shared" ca="1" si="281"/>
        <v>55</v>
      </c>
      <c r="BR279" s="475" t="str">
        <f t="shared" si="280"/>
        <v/>
      </c>
      <c r="BS279" s="471" t="str">
        <f t="shared" si="268"/>
        <v/>
      </c>
      <c r="BT279" s="472" t="str">
        <f t="shared" si="283"/>
        <v/>
      </c>
      <c r="BU279" s="472">
        <f t="shared" ca="1" si="269"/>
        <v>0</v>
      </c>
      <c r="BV279" s="472">
        <f t="shared" ca="1" si="269"/>
        <v>0</v>
      </c>
      <c r="BW279" s="472"/>
      <c r="BX279" s="473">
        <f t="shared" ca="1" si="270"/>
        <v>168756.20495795301</v>
      </c>
      <c r="BY279" s="473">
        <f t="shared" si="271"/>
        <v>0</v>
      </c>
      <c r="BZ279" s="473">
        <f t="shared" ca="1" si="253"/>
        <v>385.55012932900001</v>
      </c>
      <c r="CA279" s="476">
        <f t="shared" ca="1" si="272"/>
        <v>0</v>
      </c>
      <c r="CB279" s="494">
        <f ca="1">IF(OR($Q278&lt;&gt;1,OP!$D$5+$BN279-1&lt;16,$BN279-1&lt;1),0,ROUND(ROUND(ROUND(((VLOOKUP($BN279-1,MORE_PV,5,0)/10000)*VLOOKUP($BN279,MORE_PV,$CB$5,0)),3)*VLOOKUP($BN279,more1,5,0),0)/$R278,0))</f>
        <v>0</v>
      </c>
      <c r="CC279" s="473">
        <f t="shared" ca="1" si="273"/>
        <v>0</v>
      </c>
      <c r="CD279" s="477"/>
    </row>
    <row r="280" spans="2:82" ht="16.5" hidden="1">
      <c r="B280" s="80"/>
      <c r="C280" s="80"/>
      <c r="D280" s="80"/>
      <c r="E280" s="80"/>
      <c r="F280" s="80"/>
      <c r="G280" s="80"/>
      <c r="H280" s="80"/>
      <c r="I280" s="80"/>
      <c r="J280" s="192">
        <f t="shared" si="254"/>
        <v>23</v>
      </c>
      <c r="K280" s="192">
        <f t="shared" si="255"/>
        <v>8</v>
      </c>
      <c r="L280" s="192" t="str">
        <f t="shared" si="250"/>
        <v/>
      </c>
      <c r="M280" s="216">
        <f t="shared" ca="1" si="256"/>
        <v>0</v>
      </c>
      <c r="N280" s="216"/>
      <c r="O280" s="216"/>
      <c r="P280" s="216"/>
      <c r="Q280" s="456" t="str">
        <f t="shared" ca="1" si="257"/>
        <v/>
      </c>
      <c r="R280" s="450">
        <f t="shared" ca="1" si="258"/>
        <v>1</v>
      </c>
      <c r="S280" s="191">
        <f t="shared" si="259"/>
        <v>23</v>
      </c>
      <c r="T280" s="191">
        <f t="shared" si="260"/>
        <v>8</v>
      </c>
      <c r="U280" s="191">
        <f ca="1">OP!$D$5+$S280-1</f>
        <v>55</v>
      </c>
      <c r="V280" s="191" t="str">
        <f t="shared" si="261"/>
        <v/>
      </c>
      <c r="W280" s="350">
        <f ca="1">IF(Q280&lt;&gt;1,0,VLOOKUP(OP!$C$55,PVFB,$S280+2,0))</f>
        <v>0</v>
      </c>
      <c r="X280" s="473">
        <f t="shared" ca="1" si="274"/>
        <v>0</v>
      </c>
      <c r="Y280" s="348">
        <f t="shared" ca="1" si="275"/>
        <v>0</v>
      </c>
      <c r="Z280" s="348">
        <f t="shared" ca="1" si="276"/>
        <v>8012</v>
      </c>
      <c r="AA280" s="348">
        <f ca="1">IF(Q280&lt;&gt;1,0,VLOOKUP(OP!$C$55,PVFB,$S280+2,0))</f>
        <v>0</v>
      </c>
      <c r="AB280" s="488" t="str">
        <f ca="1">IF(AND(S280&lt;OP!$C$24,$U280&lt;15),0,IF(AND($U280&lt;15,$T280=12),ROUND(VLOOKUP($S280,DOWN16,5,0),3),IF($T280=12,ROUND(($Z280/10000)*$AA280,3)+IF(AND($P$7="購買增額繳清保險",T280=12,U280=110),VLOOKUP(S280,$B$10:$H$121,7,0),0),"")))</f>
        <v/>
      </c>
      <c r="AC280" s="350" t="str">
        <f ca="1">IF(AND(S280&lt;OP!$C$24,$U280&lt;15),0,IF(AND($U280&lt;16,$T280=12),VLOOKUP($S280,DOWN16,4,0),IF($T280=12,ROUND(VLOOKUP(OP!$C$55,_DIE2,$S280+1,0)*(Z280/10000),0)+IF(AND($P$7="購買增額繳清保險",T280=12,U280=110),VLOOKUP(S280,$B$10:$H$121,7,0),0),"")))</f>
        <v/>
      </c>
      <c r="AD280" s="347"/>
      <c r="AE280" s="350" t="str">
        <f t="shared" ca="1" si="251"/>
        <v/>
      </c>
      <c r="AF280" s="351" t="str">
        <f t="shared" ca="1" si="252"/>
        <v/>
      </c>
      <c r="AG280" s="340"/>
      <c r="AH280" s="340"/>
      <c r="AI280" s="340"/>
      <c r="AJ280" s="340"/>
      <c r="AK280" s="340"/>
      <c r="AL280" s="340"/>
      <c r="AM280" s="340"/>
      <c r="AN280" s="340"/>
      <c r="AO280" s="340"/>
      <c r="AP280" s="340"/>
      <c r="AQ280" s="340"/>
      <c r="AR280" s="340"/>
      <c r="AS280" s="340"/>
      <c r="AT280" s="340"/>
      <c r="AU280" s="340"/>
      <c r="AV280" s="340"/>
      <c r="AY280" s="340"/>
      <c r="AZ280" s="465">
        <f t="shared" ca="1" si="262"/>
        <v>7.3698599999999999E-5</v>
      </c>
      <c r="BA280" s="464">
        <f t="shared" ca="1" si="263"/>
        <v>2.2109589000000002E-3</v>
      </c>
      <c r="BB280" s="465">
        <f t="shared" ca="1" si="263"/>
        <v>2.2846575E-3</v>
      </c>
      <c r="BC280" s="466">
        <f t="shared" ca="1" si="264"/>
        <v>51136</v>
      </c>
      <c r="BD280" s="467">
        <f t="shared" ca="1" si="277"/>
        <v>51137</v>
      </c>
      <c r="BE280" s="467">
        <f t="shared" ca="1" si="265"/>
        <v>51166</v>
      </c>
      <c r="BF280" s="468">
        <f ca="1">IF(計算!$BC280&lt;OP!$C$3,0,BD280-BC280)</f>
        <v>1</v>
      </c>
      <c r="BG280" s="468">
        <f ca="1">IF($BE280&gt;DATE(YEAR($BD$9)+OP!$C$57,MONTH($BD$9),DAY($BD$9)),0,$BE280-$BD280+1)</f>
        <v>30</v>
      </c>
      <c r="BH280" s="469">
        <f t="shared" ca="1" si="266"/>
        <v>31</v>
      </c>
      <c r="BI280" t="str">
        <f t="shared" si="282"/>
        <v/>
      </c>
      <c r="BJ280">
        <v>7</v>
      </c>
      <c r="BN280" s="468">
        <f t="shared" si="278"/>
        <v>23</v>
      </c>
      <c r="BO280" s="468">
        <f t="shared" si="279"/>
        <v>7</v>
      </c>
      <c r="BP280" s="467">
        <f t="shared" ca="1" si="267"/>
        <v>51137</v>
      </c>
      <c r="BQ280" s="475">
        <f t="shared" ca="1" si="281"/>
        <v>55</v>
      </c>
      <c r="BR280" s="475" t="str">
        <f t="shared" si="280"/>
        <v/>
      </c>
      <c r="BS280" s="471" t="str">
        <f t="shared" si="268"/>
        <v/>
      </c>
      <c r="BT280" s="472" t="str">
        <f t="shared" si="283"/>
        <v/>
      </c>
      <c r="BU280" s="472">
        <f t="shared" ca="1" si="269"/>
        <v>0</v>
      </c>
      <c r="BV280" s="472">
        <f t="shared" ca="1" si="269"/>
        <v>0</v>
      </c>
      <c r="BW280" s="472"/>
      <c r="BX280" s="473">
        <f t="shared" ca="1" si="270"/>
        <v>169141.75508728201</v>
      </c>
      <c r="BY280" s="473">
        <f t="shared" si="271"/>
        <v>0</v>
      </c>
      <c r="BZ280" s="473">
        <f t="shared" ca="1" si="253"/>
        <v>386.43097932299997</v>
      </c>
      <c r="CA280" s="476">
        <f t="shared" ca="1" si="272"/>
        <v>0</v>
      </c>
      <c r="CB280" s="494">
        <f ca="1">IF(OR($Q279&lt;&gt;1,OP!$D$5+$BN280-1&lt;16,$BN280-1&lt;1),0,ROUND(ROUND(ROUND(((VLOOKUP($BN280-1,MORE_PV,5,0)/10000)*VLOOKUP($BN280,MORE_PV,$CB$5,0)),3)*VLOOKUP($BN280,more1,5,0),0)/$R279,0))</f>
        <v>0</v>
      </c>
      <c r="CC280" s="473">
        <f t="shared" ca="1" si="273"/>
        <v>0</v>
      </c>
      <c r="CD280" s="477"/>
    </row>
    <row r="281" spans="2:82" ht="16.5" hidden="1">
      <c r="B281" s="80"/>
      <c r="C281" s="80"/>
      <c r="D281" s="80"/>
      <c r="E281" s="80"/>
      <c r="F281" s="80"/>
      <c r="G281" s="80"/>
      <c r="H281" s="80"/>
      <c r="I281" s="80"/>
      <c r="J281" s="192">
        <f t="shared" si="254"/>
        <v>23</v>
      </c>
      <c r="K281" s="192">
        <f t="shared" si="255"/>
        <v>9</v>
      </c>
      <c r="L281" s="192" t="str">
        <f t="shared" si="250"/>
        <v/>
      </c>
      <c r="M281" s="216">
        <f t="shared" ca="1" si="256"/>
        <v>0</v>
      </c>
      <c r="N281" s="216"/>
      <c r="O281" s="216"/>
      <c r="P281" s="216"/>
      <c r="Q281" s="456" t="str">
        <f t="shared" ca="1" si="257"/>
        <v/>
      </c>
      <c r="R281" s="450">
        <f t="shared" ca="1" si="258"/>
        <v>1</v>
      </c>
      <c r="S281" s="191">
        <f t="shared" si="259"/>
        <v>23</v>
      </c>
      <c r="T281" s="191">
        <f t="shared" si="260"/>
        <v>9</v>
      </c>
      <c r="U281" s="191">
        <f ca="1">OP!$D$5+$S281-1</f>
        <v>55</v>
      </c>
      <c r="V281" s="191" t="str">
        <f t="shared" si="261"/>
        <v/>
      </c>
      <c r="W281" s="350">
        <f ca="1">IF(Q281&lt;&gt;1,0,VLOOKUP(OP!$C$55,PVFB,$S281+2,0))</f>
        <v>0</v>
      </c>
      <c r="X281" s="473">
        <f t="shared" ca="1" si="274"/>
        <v>0</v>
      </c>
      <c r="Y281" s="348">
        <f t="shared" ca="1" si="275"/>
        <v>0</v>
      </c>
      <c r="Z281" s="348">
        <f t="shared" ca="1" si="276"/>
        <v>8012</v>
      </c>
      <c r="AA281" s="348">
        <f ca="1">IF(Q281&lt;&gt;1,0,VLOOKUP(OP!$C$55,PVFB,$S281+2,0))</f>
        <v>0</v>
      </c>
      <c r="AB281" s="488" t="str">
        <f ca="1">IF(AND(S281&lt;OP!$C$24,$U281&lt;15),0,IF(AND($U281&lt;15,$T281=12),ROUND(VLOOKUP($S281,DOWN16,5,0),3),IF($T281=12,ROUND(($Z281/10000)*$AA281,3)+IF(AND($P$7="購買增額繳清保險",T281=12,U281=110),VLOOKUP(S281,$B$10:$H$121,7,0),0),"")))</f>
        <v/>
      </c>
      <c r="AC281" s="350" t="str">
        <f ca="1">IF(AND(S281&lt;OP!$C$24,$U281&lt;15),0,IF(AND($U281&lt;16,$T281=12),VLOOKUP($S281,DOWN16,4,0),IF($T281=12,ROUND(VLOOKUP(OP!$C$55,_DIE2,$S281+1,0)*(Z281/10000),0)+IF(AND($P$7="購買增額繳清保險",T281=12,U281=110),VLOOKUP(S281,$B$10:$H$121,7,0),0),"")))</f>
        <v/>
      </c>
      <c r="AD281" s="347"/>
      <c r="AE281" s="350" t="str">
        <f t="shared" ca="1" si="251"/>
        <v/>
      </c>
      <c r="AF281" s="351" t="str">
        <f t="shared" ca="1" si="252"/>
        <v/>
      </c>
      <c r="AG281" s="340"/>
      <c r="AH281" s="340"/>
      <c r="AI281" s="340"/>
      <c r="AJ281" s="340"/>
      <c r="AK281" s="340"/>
      <c r="AL281" s="340"/>
      <c r="AM281" s="340"/>
      <c r="AN281" s="340"/>
      <c r="AO281" s="340"/>
      <c r="AP281" s="340"/>
      <c r="AQ281" s="340"/>
      <c r="AR281" s="340"/>
      <c r="AS281" s="340"/>
      <c r="AT281" s="340"/>
      <c r="AU281" s="340"/>
      <c r="AV281" s="340"/>
      <c r="AY281" s="340"/>
      <c r="AZ281" s="465">
        <f t="shared" ca="1" si="262"/>
        <v>7.3698599999999999E-5</v>
      </c>
      <c r="BA281" s="464">
        <f t="shared" ca="1" si="263"/>
        <v>2.0635616E-3</v>
      </c>
      <c r="BB281" s="465">
        <f t="shared" ca="1" si="263"/>
        <v>2.1372602999999999E-3</v>
      </c>
      <c r="BC281" s="466">
        <f t="shared" ca="1" si="264"/>
        <v>51167</v>
      </c>
      <c r="BD281" s="467">
        <f t="shared" ca="1" si="277"/>
        <v>51168</v>
      </c>
      <c r="BE281" s="467">
        <f t="shared" ca="1" si="265"/>
        <v>51195</v>
      </c>
      <c r="BF281" s="468">
        <f ca="1">IF(計算!$BC281&lt;OP!$C$3,0,BD281-BC281)</f>
        <v>1</v>
      </c>
      <c r="BG281" s="468">
        <f ca="1">IF($BE281&gt;DATE(YEAR($BD$9)+OP!$C$57,MONTH($BD$9),DAY($BD$9)),0,$BE281-$BD281+1)</f>
        <v>28</v>
      </c>
      <c r="BH281" s="469">
        <f t="shared" ca="1" si="266"/>
        <v>29</v>
      </c>
      <c r="BI281" t="str">
        <f t="shared" si="282"/>
        <v/>
      </c>
      <c r="BJ281">
        <v>8</v>
      </c>
      <c r="BN281" s="468">
        <f t="shared" si="278"/>
        <v>23</v>
      </c>
      <c r="BO281" s="468">
        <f t="shared" si="279"/>
        <v>8</v>
      </c>
      <c r="BP281" s="467">
        <f t="shared" ca="1" si="267"/>
        <v>51168</v>
      </c>
      <c r="BQ281" s="475">
        <f t="shared" ca="1" si="281"/>
        <v>55</v>
      </c>
      <c r="BR281" s="475" t="str">
        <f t="shared" si="280"/>
        <v/>
      </c>
      <c r="BS281" s="471" t="str">
        <f t="shared" si="268"/>
        <v/>
      </c>
      <c r="BT281" s="472" t="str">
        <f t="shared" si="283"/>
        <v/>
      </c>
      <c r="BU281" s="472">
        <f t="shared" ca="1" si="269"/>
        <v>0</v>
      </c>
      <c r="BV281" s="472">
        <f t="shared" ca="1" si="269"/>
        <v>0</v>
      </c>
      <c r="BW281" s="472"/>
      <c r="BX281" s="473">
        <f t="shared" ca="1" si="270"/>
        <v>169528.18606660501</v>
      </c>
      <c r="BY281" s="473">
        <f t="shared" si="271"/>
        <v>0</v>
      </c>
      <c r="BZ281" s="473">
        <f t="shared" ca="1" si="253"/>
        <v>362.32586181099998</v>
      </c>
      <c r="CA281" s="476">
        <f t="shared" ca="1" si="272"/>
        <v>0</v>
      </c>
      <c r="CB281" s="494">
        <f ca="1">IF(OR($Q280&lt;&gt;1,OP!$D$5+$BN281-1&lt;16,$BN281-1&lt;1),0,ROUND(ROUND(ROUND(((VLOOKUP($BN281-1,MORE_PV,5,0)/10000)*VLOOKUP($BN281,MORE_PV,$CB$5,0)),3)*VLOOKUP($BN281,more1,5,0),0)/$R280,0))</f>
        <v>0</v>
      </c>
      <c r="CC281" s="473">
        <f t="shared" ca="1" si="273"/>
        <v>0</v>
      </c>
      <c r="CD281" s="477"/>
    </row>
    <row r="282" spans="2:82" ht="16.5" hidden="1">
      <c r="B282" s="80"/>
      <c r="C282" s="80"/>
      <c r="D282" s="80"/>
      <c r="E282" s="80"/>
      <c r="F282" s="80"/>
      <c r="G282" s="80"/>
      <c r="H282" s="80"/>
      <c r="I282" s="80"/>
      <c r="J282" s="192">
        <f t="shared" si="254"/>
        <v>23</v>
      </c>
      <c r="K282" s="192">
        <f t="shared" si="255"/>
        <v>10</v>
      </c>
      <c r="L282" s="192" t="str">
        <f t="shared" si="250"/>
        <v/>
      </c>
      <c r="M282" s="216">
        <f t="shared" ca="1" si="256"/>
        <v>0</v>
      </c>
      <c r="N282" s="216"/>
      <c r="O282" s="216"/>
      <c r="P282" s="216"/>
      <c r="Q282" s="456" t="str">
        <f t="shared" ca="1" si="257"/>
        <v/>
      </c>
      <c r="R282" s="450">
        <f t="shared" ca="1" si="258"/>
        <v>1</v>
      </c>
      <c r="S282" s="191">
        <f t="shared" si="259"/>
        <v>23</v>
      </c>
      <c r="T282" s="191">
        <f t="shared" si="260"/>
        <v>10</v>
      </c>
      <c r="U282" s="191">
        <f ca="1">OP!$D$5+$S282-1</f>
        <v>55</v>
      </c>
      <c r="V282" s="191" t="str">
        <f t="shared" si="261"/>
        <v/>
      </c>
      <c r="W282" s="350">
        <f ca="1">IF(Q282&lt;&gt;1,0,VLOOKUP(OP!$C$55,PVFB,$S282+2,0))</f>
        <v>0</v>
      </c>
      <c r="X282" s="473">
        <f t="shared" ca="1" si="274"/>
        <v>0</v>
      </c>
      <c r="Y282" s="348">
        <f t="shared" ca="1" si="275"/>
        <v>0</v>
      </c>
      <c r="Z282" s="348">
        <f t="shared" ca="1" si="276"/>
        <v>8012</v>
      </c>
      <c r="AA282" s="348">
        <f ca="1">IF(Q282&lt;&gt;1,0,VLOOKUP(OP!$C$55,PVFB,$S282+2,0))</f>
        <v>0</v>
      </c>
      <c r="AB282" s="488" t="str">
        <f ca="1">IF(AND(S282&lt;OP!$C$24,$U282&lt;15),0,IF(AND($U282&lt;15,$T282=12),ROUND(VLOOKUP($S282,DOWN16,5,0),3),IF($T282=12,ROUND(($Z282/10000)*$AA282,3)+IF(AND($P$7="購買增額繳清保險",T282=12,U282=110),VLOOKUP(S282,$B$10:$H$121,7,0),0),"")))</f>
        <v/>
      </c>
      <c r="AC282" s="350" t="str">
        <f ca="1">IF(AND(S282&lt;OP!$C$24,$U282&lt;15),0,IF(AND($U282&lt;16,$T282=12),VLOOKUP($S282,DOWN16,4,0),IF($T282=12,ROUND(VLOOKUP(OP!$C$55,_DIE2,$S282+1,0)*(Z282/10000),0)+IF(AND($P$7="購買增額繳清保險",T282=12,U282=110),VLOOKUP(S282,$B$10:$H$121,7,0),0),"")))</f>
        <v/>
      </c>
      <c r="AD282" s="347"/>
      <c r="AE282" s="350" t="str">
        <f t="shared" ca="1" si="251"/>
        <v/>
      </c>
      <c r="AF282" s="351" t="str">
        <f t="shared" ca="1" si="252"/>
        <v/>
      </c>
      <c r="AG282" s="340"/>
      <c r="AH282" s="340"/>
      <c r="AI282" s="340"/>
      <c r="AJ282" s="340"/>
      <c r="AK282" s="340"/>
      <c r="AL282" s="340"/>
      <c r="AM282" s="340"/>
      <c r="AN282" s="340"/>
      <c r="AO282" s="340"/>
      <c r="AP282" s="340"/>
      <c r="AQ282" s="340"/>
      <c r="AR282" s="340"/>
      <c r="AS282" s="340"/>
      <c r="AT282" s="340"/>
      <c r="AU282" s="340"/>
      <c r="AV282" s="340"/>
      <c r="AY282" s="340"/>
      <c r="AZ282" s="465">
        <f t="shared" ca="1" si="262"/>
        <v>7.3698599999999999E-5</v>
      </c>
      <c r="BA282" s="464">
        <f t="shared" ca="1" si="263"/>
        <v>2.2109589000000002E-3</v>
      </c>
      <c r="BB282" s="465">
        <f t="shared" ca="1" si="263"/>
        <v>2.2846575E-3</v>
      </c>
      <c r="BC282" s="466">
        <f t="shared" ca="1" si="264"/>
        <v>51196</v>
      </c>
      <c r="BD282" s="467">
        <f t="shared" ca="1" si="277"/>
        <v>51197</v>
      </c>
      <c r="BE282" s="467">
        <f t="shared" ca="1" si="265"/>
        <v>51226</v>
      </c>
      <c r="BF282" s="468">
        <f ca="1">IF(計算!$BC282&lt;OP!$C$3,0,BD282-BC282)</f>
        <v>1</v>
      </c>
      <c r="BG282" s="468">
        <f ca="1">IF($BE282&gt;DATE(YEAR($BD$9)+OP!$C$57,MONTH($BD$9),DAY($BD$9)),0,$BE282-$BD282+1)</f>
        <v>30</v>
      </c>
      <c r="BH282" s="469">
        <f t="shared" ca="1" si="266"/>
        <v>31</v>
      </c>
      <c r="BI282" t="str">
        <f t="shared" si="282"/>
        <v/>
      </c>
      <c r="BJ282">
        <v>9</v>
      </c>
      <c r="BN282" s="468">
        <f t="shared" si="278"/>
        <v>23</v>
      </c>
      <c r="BO282" s="468">
        <f t="shared" si="279"/>
        <v>9</v>
      </c>
      <c r="BP282" s="467">
        <f t="shared" ca="1" si="267"/>
        <v>51197</v>
      </c>
      <c r="BQ282" s="475">
        <f t="shared" ca="1" si="281"/>
        <v>55</v>
      </c>
      <c r="BR282" s="475" t="str">
        <f t="shared" si="280"/>
        <v/>
      </c>
      <c r="BS282" s="471" t="str">
        <f t="shared" si="268"/>
        <v/>
      </c>
      <c r="BT282" s="472" t="str">
        <f t="shared" si="283"/>
        <v/>
      </c>
      <c r="BU282" s="472">
        <f t="shared" ca="1" si="269"/>
        <v>0</v>
      </c>
      <c r="BV282" s="472">
        <f t="shared" ca="1" si="269"/>
        <v>0</v>
      </c>
      <c r="BW282" s="472"/>
      <c r="BX282" s="473">
        <f t="shared" ca="1" si="270"/>
        <v>169890.511928416</v>
      </c>
      <c r="BY282" s="473">
        <f t="shared" si="271"/>
        <v>0</v>
      </c>
      <c r="BZ282" s="473">
        <f t="shared" ca="1" si="253"/>
        <v>388.14163225599998</v>
      </c>
      <c r="CA282" s="476">
        <f t="shared" ca="1" si="272"/>
        <v>0</v>
      </c>
      <c r="CB282" s="494">
        <f ca="1">IF(OR($Q281&lt;&gt;1,OP!$D$5+$BN282-1&lt;16,$BN282-1&lt;1),0,ROUND(ROUND(ROUND(((VLOOKUP($BN282-1,MORE_PV,5,0)/10000)*VLOOKUP($BN282,MORE_PV,$CB$5,0)),3)*VLOOKUP($BN282,more1,5,0),0)/$R281,0))</f>
        <v>0</v>
      </c>
      <c r="CC282" s="473">
        <f t="shared" ca="1" si="273"/>
        <v>0</v>
      </c>
      <c r="CD282" s="477"/>
    </row>
    <row r="283" spans="2:82" ht="16.5" hidden="1">
      <c r="B283" s="80"/>
      <c r="C283" s="80"/>
      <c r="D283" s="80"/>
      <c r="E283" s="80"/>
      <c r="F283" s="80"/>
      <c r="G283" s="80"/>
      <c r="H283" s="80"/>
      <c r="I283" s="80"/>
      <c r="J283" s="192">
        <f t="shared" si="254"/>
        <v>23</v>
      </c>
      <c r="K283" s="192">
        <f t="shared" si="255"/>
        <v>11</v>
      </c>
      <c r="L283" s="192" t="str">
        <f t="shared" si="250"/>
        <v/>
      </c>
      <c r="M283" s="216">
        <f t="shared" ca="1" si="256"/>
        <v>0</v>
      </c>
      <c r="N283" s="216"/>
      <c r="O283" s="216"/>
      <c r="P283" s="216"/>
      <c r="Q283" s="456" t="str">
        <f t="shared" ca="1" si="257"/>
        <v/>
      </c>
      <c r="R283" s="450">
        <f t="shared" ca="1" si="258"/>
        <v>1</v>
      </c>
      <c r="S283" s="191">
        <f t="shared" si="259"/>
        <v>23</v>
      </c>
      <c r="T283" s="191">
        <f t="shared" si="260"/>
        <v>11</v>
      </c>
      <c r="U283" s="191">
        <f ca="1">OP!$D$5+$S283-1</f>
        <v>55</v>
      </c>
      <c r="V283" s="191" t="str">
        <f t="shared" si="261"/>
        <v/>
      </c>
      <c r="W283" s="350">
        <f ca="1">IF(Q283&lt;&gt;1,0,VLOOKUP(OP!$C$55,PVFB,$S283+2,0))</f>
        <v>0</v>
      </c>
      <c r="X283" s="473">
        <f t="shared" ca="1" si="274"/>
        <v>0</v>
      </c>
      <c r="Y283" s="348">
        <f t="shared" ca="1" si="275"/>
        <v>0</v>
      </c>
      <c r="Z283" s="348">
        <f t="shared" ca="1" si="276"/>
        <v>8012</v>
      </c>
      <c r="AA283" s="348">
        <f ca="1">IF(Q283&lt;&gt;1,0,VLOOKUP(OP!$C$55,PVFB,$S283+2,0))</f>
        <v>0</v>
      </c>
      <c r="AB283" s="488" t="str">
        <f ca="1">IF(AND(S283&lt;OP!$C$24,$U283&lt;15),0,IF(AND($U283&lt;15,$T283=12),ROUND(VLOOKUP($S283,DOWN16,5,0),3),IF($T283=12,ROUND(($Z283/10000)*$AA283,3)+IF(AND($P$7="購買增額繳清保險",T283=12,U283=110),VLOOKUP(S283,$B$10:$H$121,7,0),0),"")))</f>
        <v/>
      </c>
      <c r="AC283" s="350" t="str">
        <f ca="1">IF(AND(S283&lt;OP!$C$24,$U283&lt;15),0,IF(AND($U283&lt;16,$T283=12),VLOOKUP($S283,DOWN16,4,0),IF($T283=12,ROUND(VLOOKUP(OP!$C$55,_DIE2,$S283+1,0)*(Z283/10000),0)+IF(AND($P$7="購買增額繳清保險",T283=12,U283=110),VLOOKUP(S283,$B$10:$H$121,7,0),0),"")))</f>
        <v/>
      </c>
      <c r="AD283" s="347"/>
      <c r="AE283" s="350" t="str">
        <f t="shared" ca="1" si="251"/>
        <v/>
      </c>
      <c r="AF283" s="351" t="str">
        <f t="shared" ca="1" si="252"/>
        <v/>
      </c>
      <c r="AG283" s="340"/>
      <c r="AH283" s="340"/>
      <c r="AI283" s="340"/>
      <c r="AJ283" s="340"/>
      <c r="AK283" s="340"/>
      <c r="AL283" s="340"/>
      <c r="AM283" s="340"/>
      <c r="AN283" s="340"/>
      <c r="AO283" s="340"/>
      <c r="AP283" s="340"/>
      <c r="AQ283" s="340"/>
      <c r="AR283" s="340"/>
      <c r="AS283" s="340"/>
      <c r="AT283" s="340"/>
      <c r="AU283" s="340"/>
      <c r="AV283" s="340"/>
      <c r="AY283" s="340"/>
      <c r="AZ283" s="465">
        <f t="shared" ca="1" si="262"/>
        <v>7.3698599999999999E-5</v>
      </c>
      <c r="BA283" s="464">
        <f t="shared" ca="1" si="263"/>
        <v>2.1372602999999999E-3</v>
      </c>
      <c r="BB283" s="465">
        <f t="shared" ca="1" si="263"/>
        <v>2.2109589000000002E-3</v>
      </c>
      <c r="BC283" s="466">
        <f t="shared" ca="1" si="264"/>
        <v>51227</v>
      </c>
      <c r="BD283" s="467">
        <f t="shared" ca="1" si="277"/>
        <v>51228</v>
      </c>
      <c r="BE283" s="467">
        <f t="shared" ca="1" si="265"/>
        <v>51256</v>
      </c>
      <c r="BF283" s="468">
        <f ca="1">IF(計算!$BC283&lt;OP!$C$3,0,BD283-BC283)</f>
        <v>1</v>
      </c>
      <c r="BG283" s="468">
        <f ca="1">IF($BE283&gt;DATE(YEAR($BD$9)+OP!$C$57,MONTH($BD$9),DAY($BD$9)),0,$BE283-$BD283+1)</f>
        <v>29</v>
      </c>
      <c r="BH283" s="469">
        <f t="shared" ca="1" si="266"/>
        <v>30</v>
      </c>
      <c r="BI283" t="str">
        <f t="shared" si="282"/>
        <v/>
      </c>
      <c r="BJ283">
        <v>10</v>
      </c>
      <c r="BN283" s="468">
        <f t="shared" si="278"/>
        <v>23</v>
      </c>
      <c r="BO283" s="468">
        <f t="shared" si="279"/>
        <v>10</v>
      </c>
      <c r="BP283" s="467">
        <f t="shared" ca="1" si="267"/>
        <v>51228</v>
      </c>
      <c r="BQ283" s="475">
        <f t="shared" ca="1" si="281"/>
        <v>55</v>
      </c>
      <c r="BR283" s="475" t="str">
        <f t="shared" si="280"/>
        <v/>
      </c>
      <c r="BS283" s="471" t="str">
        <f t="shared" si="268"/>
        <v/>
      </c>
      <c r="BT283" s="472" t="str">
        <f t="shared" si="283"/>
        <v/>
      </c>
      <c r="BU283" s="472">
        <f t="shared" ca="1" si="269"/>
        <v>0</v>
      </c>
      <c r="BV283" s="472">
        <f t="shared" ca="1" si="269"/>
        <v>0</v>
      </c>
      <c r="BW283" s="472"/>
      <c r="BX283" s="473">
        <f t="shared" ca="1" si="270"/>
        <v>170278.65356067201</v>
      </c>
      <c r="BY283" s="473">
        <f t="shared" si="271"/>
        <v>0</v>
      </c>
      <c r="BZ283" s="473">
        <f t="shared" ca="1" si="253"/>
        <v>376.47910457</v>
      </c>
      <c r="CA283" s="476">
        <f t="shared" ca="1" si="272"/>
        <v>0</v>
      </c>
      <c r="CB283" s="494">
        <f ca="1">IF(OR($Q282&lt;&gt;1,OP!$D$5+$BN283-1&lt;16,$BN283-1&lt;1),0,ROUND(ROUND(ROUND(((VLOOKUP($BN283-1,MORE_PV,5,0)/10000)*VLOOKUP($BN283,MORE_PV,$CB$5,0)),3)*VLOOKUP($BN283,more1,5,0),0)/$R282,0))</f>
        <v>0</v>
      </c>
      <c r="CC283" s="473">
        <f t="shared" ca="1" si="273"/>
        <v>0</v>
      </c>
      <c r="CD283" s="477"/>
    </row>
    <row r="284" spans="2:82" ht="16.5" hidden="1">
      <c r="B284" s="80"/>
      <c r="C284" s="80"/>
      <c r="D284" s="80"/>
      <c r="E284" s="80"/>
      <c r="F284" s="80"/>
      <c r="G284" s="80"/>
      <c r="H284" s="80"/>
      <c r="I284" s="80"/>
      <c r="J284" s="192">
        <f t="shared" si="254"/>
        <v>23</v>
      </c>
      <c r="K284" s="192">
        <f t="shared" si="255"/>
        <v>12</v>
      </c>
      <c r="L284" s="192">
        <f t="shared" si="250"/>
        <v>23</v>
      </c>
      <c r="M284" s="216">
        <f t="shared" ca="1" si="256"/>
        <v>181120</v>
      </c>
      <c r="N284" s="216"/>
      <c r="O284" s="216"/>
      <c r="P284" s="216"/>
      <c r="Q284" s="456">
        <f t="shared" ca="1" si="257"/>
        <v>1</v>
      </c>
      <c r="R284" s="450">
        <f t="shared" ca="1" si="258"/>
        <v>1</v>
      </c>
      <c r="S284" s="191">
        <f t="shared" si="259"/>
        <v>23</v>
      </c>
      <c r="T284" s="191">
        <f t="shared" si="260"/>
        <v>12</v>
      </c>
      <c r="U284" s="191">
        <f ca="1">OP!$D$5+$S284-1</f>
        <v>55</v>
      </c>
      <c r="V284" s="191">
        <f t="shared" si="261"/>
        <v>23</v>
      </c>
      <c r="W284" s="350">
        <f ca="1">IF(Q284&lt;&gt;1,0,VLOOKUP(OP!$C$55,PVFB,$S284+2,0))</f>
        <v>41895</v>
      </c>
      <c r="X284" s="473">
        <f t="shared" ca="1" si="274"/>
        <v>10061</v>
      </c>
      <c r="Y284" s="348">
        <f t="shared" ca="1" si="275"/>
        <v>0</v>
      </c>
      <c r="Z284" s="348">
        <f t="shared" ca="1" si="276"/>
        <v>8012</v>
      </c>
      <c r="AA284" s="348">
        <f ca="1">IF(Q284&lt;&gt;1,0,VLOOKUP(OP!$C$55,PVFB,$S284+2,0))</f>
        <v>41895</v>
      </c>
      <c r="AB284" s="488">
        <f ca="1">IF(AND(S284&lt;OP!$C$24,$U284&lt;15),0,IF(AND($U284&lt;15,$T284=12),ROUND(VLOOKUP($S284,DOWN16,5,0),3),IF($T284=12,ROUND(($Z284/10000)*$AA284,3)+IF(AND($P$7="購買增額繳清保險",T284=12,U284=110),VLOOKUP(S284,$B$10:$H$121,7,0),0),"")))</f>
        <v>33566.273999999998</v>
      </c>
      <c r="AC284" s="350">
        <f ca="1">IF(AND(S284&lt;OP!$C$24,$U284&lt;15),0,IF(AND($U284&lt;16,$T284=12),VLOOKUP($S284,DOWN16,4,0),IF($T284=12,ROUND(VLOOKUP(OP!$C$55,_DIE2,$S284+1,0)*(Z284/10000),0)+IF(AND($P$7="購買增額繳清保險",T284=12,U284=110),VLOOKUP(S284,$B$10:$H$121,7,0),0),"")))</f>
        <v>33566</v>
      </c>
      <c r="AD284" s="347"/>
      <c r="AE284" s="350" t="str">
        <f t="shared" ca="1" si="251"/>
        <v/>
      </c>
      <c r="AF284" s="351" t="str">
        <f t="shared" ca="1" si="252"/>
        <v/>
      </c>
      <c r="AG284" s="340"/>
      <c r="AH284" s="340"/>
      <c r="AI284" s="340"/>
      <c r="AJ284" s="340"/>
      <c r="AK284" s="340"/>
      <c r="AL284" s="340"/>
      <c r="AM284" s="340"/>
      <c r="AN284" s="340"/>
      <c r="AO284" s="340"/>
      <c r="AP284" s="340"/>
      <c r="AQ284" s="340"/>
      <c r="AR284" s="340"/>
      <c r="AS284" s="340"/>
      <c r="AT284" s="340"/>
      <c r="AU284" s="340"/>
      <c r="AV284" s="340"/>
      <c r="AY284" s="340"/>
      <c r="AZ284" s="465">
        <f t="shared" ca="1" si="262"/>
        <v>7.3698599999999999E-5</v>
      </c>
      <c r="BA284" s="464">
        <f t="shared" ca="1" si="263"/>
        <v>2.2109589000000002E-3</v>
      </c>
      <c r="BB284" s="465">
        <f t="shared" ca="1" si="263"/>
        <v>2.2846575E-3</v>
      </c>
      <c r="BC284" s="466">
        <f t="shared" ca="1" si="264"/>
        <v>51257</v>
      </c>
      <c r="BD284" s="467">
        <f t="shared" ca="1" si="277"/>
        <v>51258</v>
      </c>
      <c r="BE284" s="467">
        <f t="shared" ca="1" si="265"/>
        <v>51287</v>
      </c>
      <c r="BF284" s="468">
        <f ca="1">IF(計算!$BC284&lt;OP!$C$3,0,BD284-BC284)</f>
        <v>1</v>
      </c>
      <c r="BG284" s="468">
        <f ca="1">IF($BE284&gt;DATE(YEAR($BD$9)+OP!$C$57,MONTH($BD$9),DAY($BD$9)),0,$BE284-$BD284+1)</f>
        <v>30</v>
      </c>
      <c r="BH284" s="469">
        <f t="shared" ca="1" si="266"/>
        <v>31</v>
      </c>
      <c r="BI284" t="str">
        <f t="shared" si="282"/>
        <v/>
      </c>
      <c r="BJ284">
        <v>11</v>
      </c>
      <c r="BN284" s="468">
        <f t="shared" si="278"/>
        <v>23</v>
      </c>
      <c r="BO284" s="468">
        <f t="shared" si="279"/>
        <v>11</v>
      </c>
      <c r="BP284" s="467">
        <f t="shared" ca="1" si="267"/>
        <v>51258</v>
      </c>
      <c r="BQ284" s="475">
        <f t="shared" ca="1" si="281"/>
        <v>55</v>
      </c>
      <c r="BR284" s="475" t="str">
        <f t="shared" si="280"/>
        <v/>
      </c>
      <c r="BS284" s="471" t="str">
        <f t="shared" si="268"/>
        <v/>
      </c>
      <c r="BT284" s="472" t="str">
        <f t="shared" si="283"/>
        <v/>
      </c>
      <c r="BU284" s="472">
        <f t="shared" ca="1" si="269"/>
        <v>0</v>
      </c>
      <c r="BV284" s="472">
        <f t="shared" ca="1" si="269"/>
        <v>0</v>
      </c>
      <c r="BW284" s="472"/>
      <c r="BX284" s="473">
        <f t="shared" ca="1" si="270"/>
        <v>170655.13266524201</v>
      </c>
      <c r="BY284" s="473">
        <f t="shared" si="271"/>
        <v>0</v>
      </c>
      <c r="BZ284" s="473">
        <f t="shared" ca="1" si="253"/>
        <v>389.88852875700002</v>
      </c>
      <c r="CA284" s="476">
        <f t="shared" ca="1" si="272"/>
        <v>0</v>
      </c>
      <c r="CB284" s="494">
        <f ca="1">IF(OR($Q283&lt;&gt;1,OP!$D$5+$BN284-1&lt;16,$BN284-1&lt;1),0,ROUND(ROUND(ROUND(((VLOOKUP($BN284-1,MORE_PV,5,0)/10000)*VLOOKUP($BN284,MORE_PV,$CB$5,0)),3)*VLOOKUP($BN284,more1,5,0),0)/$R283,0))</f>
        <v>0</v>
      </c>
      <c r="CC284" s="473">
        <f t="shared" ca="1" si="273"/>
        <v>0</v>
      </c>
      <c r="CD284" s="477"/>
    </row>
    <row r="285" spans="2:82" ht="16.5" hidden="1">
      <c r="B285" s="80"/>
      <c r="C285" s="80"/>
      <c r="D285" s="80"/>
      <c r="E285" s="80"/>
      <c r="F285" s="80"/>
      <c r="G285" s="80"/>
      <c r="H285" s="80"/>
      <c r="I285" s="80"/>
      <c r="J285" s="192">
        <f t="shared" si="254"/>
        <v>24</v>
      </c>
      <c r="K285" s="192">
        <f t="shared" si="255"/>
        <v>1</v>
      </c>
      <c r="L285" s="192" t="str">
        <f t="shared" si="250"/>
        <v/>
      </c>
      <c r="M285" s="216">
        <f t="shared" ca="1" si="256"/>
        <v>0</v>
      </c>
      <c r="N285" s="216"/>
      <c r="O285" s="216"/>
      <c r="P285" s="216"/>
      <c r="Q285" s="456" t="str">
        <f t="shared" ca="1" si="257"/>
        <v/>
      </c>
      <c r="R285" s="450">
        <f t="shared" ca="1" si="258"/>
        <v>1</v>
      </c>
      <c r="S285" s="191">
        <f t="shared" si="259"/>
        <v>24</v>
      </c>
      <c r="T285" s="191">
        <f t="shared" si="260"/>
        <v>1</v>
      </c>
      <c r="U285" s="191">
        <f ca="1">OP!$D$5+$S285-1</f>
        <v>56</v>
      </c>
      <c r="V285" s="191" t="str">
        <f t="shared" si="261"/>
        <v/>
      </c>
      <c r="W285" s="350">
        <f ca="1">IF(Q285&lt;&gt;1,0,VLOOKUP(OP!$C$55,PVFB,$S285+2,0))</f>
        <v>0</v>
      </c>
      <c r="X285" s="473">
        <f t="shared" ca="1" si="274"/>
        <v>0</v>
      </c>
      <c r="Y285" s="348">
        <f t="shared" ca="1" si="275"/>
        <v>0</v>
      </c>
      <c r="Z285" s="348">
        <f t="shared" ca="1" si="276"/>
        <v>8012</v>
      </c>
      <c r="AA285" s="348">
        <f ca="1">IF(Q285&lt;&gt;1,0,VLOOKUP(OP!$C$55,PVFB,$S285+2,0))</f>
        <v>0</v>
      </c>
      <c r="AB285" s="488" t="str">
        <f ca="1">IF(AND(S285&lt;OP!$C$24,$U285&lt;15),0,IF(AND($U285&lt;15,$T285=12),ROUND(VLOOKUP($S285,DOWN16,5,0),3),IF($T285=12,ROUND(($Z285/10000)*$AA285,3)+IF(AND($P$7="購買增額繳清保險",T285=12,U285=110),VLOOKUP(S285,$B$10:$H$121,7,0),0),"")))</f>
        <v/>
      </c>
      <c r="AC285" s="350" t="str">
        <f ca="1">IF(AND(S285&lt;OP!$C$24,$U285&lt;15),0,IF(AND($U285&lt;16,$T285=12),VLOOKUP($S285,DOWN16,4,0),IF($T285=12,ROUND(VLOOKUP(OP!$C$55,_DIE2,$S285+1,0)*(Z285/10000),0)+IF(AND($P$7="購買增額繳清保險",T285=12,U285=110),VLOOKUP(S285,$B$10:$H$121,7,0),0),"")))</f>
        <v/>
      </c>
      <c r="AD285" s="347"/>
      <c r="AE285" s="350" t="str">
        <f t="shared" ca="1" si="251"/>
        <v/>
      </c>
      <c r="AF285" s="351" t="str">
        <f t="shared" ca="1" si="252"/>
        <v/>
      </c>
      <c r="AG285" s="340"/>
      <c r="AH285" s="340"/>
      <c r="AI285" s="340"/>
      <c r="AJ285" s="340"/>
      <c r="AK285" s="340"/>
      <c r="AL285" s="340"/>
      <c r="AM285" s="340"/>
      <c r="AN285" s="340"/>
      <c r="AO285" s="340"/>
      <c r="AP285" s="340"/>
      <c r="AQ285" s="340"/>
      <c r="AR285" s="340"/>
      <c r="AS285" s="340"/>
      <c r="AT285" s="340"/>
      <c r="AU285" s="340"/>
      <c r="AV285" s="340"/>
      <c r="AY285" s="340"/>
      <c r="AZ285" s="465">
        <f t="shared" ca="1" si="262"/>
        <v>7.3698599999999999E-5</v>
      </c>
      <c r="BA285" s="464">
        <f t="shared" ca="1" si="263"/>
        <v>2.1372602999999999E-3</v>
      </c>
      <c r="BB285" s="465">
        <f t="shared" ca="1" si="263"/>
        <v>2.2109589000000002E-3</v>
      </c>
      <c r="BC285" s="466">
        <f t="shared" ca="1" si="264"/>
        <v>51288</v>
      </c>
      <c r="BD285" s="467">
        <f t="shared" ca="1" si="277"/>
        <v>51289</v>
      </c>
      <c r="BE285" s="467">
        <f t="shared" ca="1" si="265"/>
        <v>51317</v>
      </c>
      <c r="BF285" s="468">
        <f ca="1">IF(計算!$BC285&lt;OP!$C$3,0,BD285-BC285)</f>
        <v>1</v>
      </c>
      <c r="BG285" s="468">
        <f ca="1">IF($BE285&gt;DATE(YEAR($BD$9)+OP!$C$57,MONTH($BD$9),DAY($BD$9)),0,$BE285-$BD285+1)</f>
        <v>29</v>
      </c>
      <c r="BH285" s="469">
        <f t="shared" ca="1" si="266"/>
        <v>30</v>
      </c>
      <c r="BI285">
        <f t="shared" ca="1" si="282"/>
        <v>366</v>
      </c>
      <c r="BJ285">
        <v>12</v>
      </c>
      <c r="BN285" s="468">
        <f t="shared" si="278"/>
        <v>23</v>
      </c>
      <c r="BO285" s="468">
        <f t="shared" si="279"/>
        <v>12</v>
      </c>
      <c r="BP285" s="467">
        <f t="shared" ca="1" si="267"/>
        <v>51289</v>
      </c>
      <c r="BQ285" s="475">
        <f t="shared" ca="1" si="281"/>
        <v>55</v>
      </c>
      <c r="BR285" s="475">
        <f t="shared" si="280"/>
        <v>23</v>
      </c>
      <c r="BS285" s="471">
        <f t="shared" ca="1" si="268"/>
        <v>10061</v>
      </c>
      <c r="BT285" s="472">
        <f t="shared" ca="1" si="283"/>
        <v>181120</v>
      </c>
      <c r="BU285" s="472">
        <f t="shared" ca="1" si="269"/>
        <v>9829</v>
      </c>
      <c r="BV285" s="472">
        <f t="shared" ca="1" si="269"/>
        <v>232</v>
      </c>
      <c r="BW285" s="472">
        <f ca="1">ROUND(SUM(BY285,BZ273:BZ284),0)</f>
        <v>4547</v>
      </c>
      <c r="BX285" s="473">
        <f t="shared" ca="1" si="270"/>
        <v>181118.62697259799</v>
      </c>
      <c r="BY285" s="473">
        <f t="shared" ca="1" si="271"/>
        <v>12.605778599000001</v>
      </c>
      <c r="BZ285" s="473">
        <f t="shared" ca="1" si="253"/>
        <v>387.09765101900001</v>
      </c>
      <c r="CA285" s="476">
        <f t="shared" ca="1" si="272"/>
        <v>9829</v>
      </c>
      <c r="CB285" s="494">
        <f ca="1">IF(OR($Q284&lt;&gt;1,OP!$D$5+$BN285-1&lt;16,$BN285-1&lt;1),0,ROUND(ROUND(ROUND(((VLOOKUP($BN285-1,MORE_PV,5,0)/10000)*VLOOKUP($BN285,MORE_PV,$CB$5,0)),3)*VLOOKUP($BN285,more1,5,0),0)/$R284,0))</f>
        <v>232</v>
      </c>
      <c r="CC285" s="473">
        <f t="shared" ca="1" si="273"/>
        <v>0</v>
      </c>
      <c r="CD285" s="477"/>
    </row>
    <row r="286" spans="2:82" ht="16.5" hidden="1">
      <c r="B286" s="80"/>
      <c r="C286" s="80"/>
      <c r="D286" s="80"/>
      <c r="E286" s="80"/>
      <c r="F286" s="80"/>
      <c r="G286" s="80"/>
      <c r="H286" s="80"/>
      <c r="I286" s="80"/>
      <c r="J286" s="192">
        <f t="shared" si="254"/>
        <v>24</v>
      </c>
      <c r="K286" s="192">
        <f t="shared" si="255"/>
        <v>2</v>
      </c>
      <c r="L286" s="192" t="str">
        <f t="shared" si="250"/>
        <v/>
      </c>
      <c r="M286" s="216">
        <f t="shared" ca="1" si="256"/>
        <v>0</v>
      </c>
      <c r="N286" s="216"/>
      <c r="O286" s="216"/>
      <c r="P286" s="216"/>
      <c r="Q286" s="456" t="str">
        <f t="shared" ca="1" si="257"/>
        <v/>
      </c>
      <c r="R286" s="450">
        <f t="shared" ca="1" si="258"/>
        <v>1</v>
      </c>
      <c r="S286" s="191">
        <f t="shared" si="259"/>
        <v>24</v>
      </c>
      <c r="T286" s="191">
        <f t="shared" si="260"/>
        <v>2</v>
      </c>
      <c r="U286" s="191">
        <f ca="1">OP!$D$5+$S286-1</f>
        <v>56</v>
      </c>
      <c r="V286" s="191" t="str">
        <f t="shared" si="261"/>
        <v/>
      </c>
      <c r="W286" s="350">
        <f ca="1">IF(Q286&lt;&gt;1,0,VLOOKUP(OP!$C$55,PVFB,$S286+2,0))</f>
        <v>0</v>
      </c>
      <c r="X286" s="473">
        <f t="shared" ca="1" si="274"/>
        <v>0</v>
      </c>
      <c r="Y286" s="348">
        <f t="shared" ca="1" si="275"/>
        <v>0</v>
      </c>
      <c r="Z286" s="348">
        <f t="shared" ca="1" si="276"/>
        <v>8012</v>
      </c>
      <c r="AA286" s="348">
        <f ca="1">IF(Q286&lt;&gt;1,0,VLOOKUP(OP!$C$55,PVFB,$S286+2,0))</f>
        <v>0</v>
      </c>
      <c r="AB286" s="488" t="str">
        <f ca="1">IF(AND(S286&lt;OP!$C$24,$U286&lt;15),0,IF(AND($U286&lt;15,$T286=12),ROUND(VLOOKUP($S286,DOWN16,5,0),3),IF($T286=12,ROUND(($Z286/10000)*$AA286,3)+IF(AND($P$7="購買增額繳清保險",T286=12,U286=110),VLOOKUP(S286,$B$10:$H$121,7,0),0),"")))</f>
        <v/>
      </c>
      <c r="AC286" s="350" t="str">
        <f ca="1">IF(AND(S286&lt;OP!$C$24,$U286&lt;15),0,IF(AND($U286&lt;16,$T286=12),VLOOKUP($S286,DOWN16,4,0),IF($T286=12,ROUND(VLOOKUP(OP!$C$55,_DIE2,$S286+1,0)*(Z286/10000),0)+IF(AND($P$7="購買增額繳清保險",T286=12,U286=110),VLOOKUP(S286,$B$10:$H$121,7,0),0),"")))</f>
        <v/>
      </c>
      <c r="AD286" s="347"/>
      <c r="AE286" s="350" t="str">
        <f t="shared" ca="1" si="251"/>
        <v/>
      </c>
      <c r="AF286" s="351" t="str">
        <f t="shared" ca="1" si="252"/>
        <v/>
      </c>
      <c r="AG286" s="340"/>
      <c r="AH286" s="340"/>
      <c r="AI286" s="340"/>
      <c r="AJ286" s="340"/>
      <c r="AK286" s="340"/>
      <c r="AL286" s="340"/>
      <c r="AM286" s="340"/>
      <c r="AN286" s="340"/>
      <c r="AO286" s="340"/>
      <c r="AP286" s="340"/>
      <c r="AQ286" s="340"/>
      <c r="AR286" s="340"/>
      <c r="AS286" s="340"/>
      <c r="AT286" s="340"/>
      <c r="AU286" s="340"/>
      <c r="AV286" s="340"/>
      <c r="AY286" s="340"/>
      <c r="AZ286" s="465">
        <f t="shared" ca="1" si="262"/>
        <v>7.3698599999999999E-5</v>
      </c>
      <c r="BA286" s="464">
        <f t="shared" ca="1" si="263"/>
        <v>2.2109589000000002E-3</v>
      </c>
      <c r="BB286" s="465">
        <f t="shared" ca="1" si="263"/>
        <v>2.2846575E-3</v>
      </c>
      <c r="BC286" s="466">
        <f t="shared" ca="1" si="264"/>
        <v>51318</v>
      </c>
      <c r="BD286" s="467">
        <f t="shared" ca="1" si="277"/>
        <v>51319</v>
      </c>
      <c r="BE286" s="467">
        <f t="shared" ca="1" si="265"/>
        <v>51348</v>
      </c>
      <c r="BF286" s="468">
        <f ca="1">IF(計算!$BC286&lt;OP!$C$3,0,BD286-BC286)</f>
        <v>1</v>
      </c>
      <c r="BG286" s="468">
        <f ca="1">IF($BE286&gt;DATE(YEAR($BD$9)+OP!$C$57,MONTH($BD$9),DAY($BD$9)),0,$BE286-$BD286+1)</f>
        <v>30</v>
      </c>
      <c r="BH286" s="469">
        <f t="shared" ca="1" si="266"/>
        <v>31</v>
      </c>
      <c r="BI286" t="str">
        <f t="shared" si="282"/>
        <v/>
      </c>
      <c r="BJ286">
        <v>1</v>
      </c>
      <c r="BN286" s="468">
        <f t="shared" si="278"/>
        <v>24</v>
      </c>
      <c r="BO286" s="468">
        <f t="shared" si="279"/>
        <v>1</v>
      </c>
      <c r="BP286" s="467">
        <f t="shared" ca="1" si="267"/>
        <v>51319</v>
      </c>
      <c r="BQ286" s="475">
        <f t="shared" ca="1" si="281"/>
        <v>56</v>
      </c>
      <c r="BR286" s="475" t="str">
        <f t="shared" si="280"/>
        <v/>
      </c>
      <c r="BS286" s="471" t="str">
        <f t="shared" si="268"/>
        <v/>
      </c>
      <c r="BT286" s="472" t="str">
        <f t="shared" si="283"/>
        <v/>
      </c>
      <c r="BU286" s="472">
        <f t="shared" ca="1" si="269"/>
        <v>0</v>
      </c>
      <c r="BV286" s="472">
        <f t="shared" ca="1" si="269"/>
        <v>0</v>
      </c>
      <c r="BW286" s="472"/>
      <c r="BX286" s="473">
        <f t="shared" ca="1" si="270"/>
        <v>181505.72462361699</v>
      </c>
      <c r="BY286" s="473">
        <f t="shared" si="271"/>
        <v>0</v>
      </c>
      <c r="BZ286" s="473">
        <f t="shared" ca="1" si="253"/>
        <v>414.67841505400003</v>
      </c>
      <c r="CA286" s="476">
        <f t="shared" ca="1" si="272"/>
        <v>0</v>
      </c>
      <c r="CB286" s="494">
        <f ca="1">IF(OR($Q285&lt;&gt;1,OP!$D$5+$BN286-1&lt;16,$BN286-1&lt;1),0,ROUND(ROUND(ROUND(((VLOOKUP($BN286-1,MORE_PV,5,0)/10000)*VLOOKUP($BN286,MORE_PV,$CB$5,0)),3)*VLOOKUP($BN286,more1,5,0),0)/$R285,0))</f>
        <v>0</v>
      </c>
      <c r="CC286" s="473">
        <f t="shared" ca="1" si="273"/>
        <v>0</v>
      </c>
      <c r="CD286" s="477"/>
    </row>
    <row r="287" spans="2:82" ht="16.5" hidden="1">
      <c r="B287" s="80"/>
      <c r="C287" s="80"/>
      <c r="D287" s="80"/>
      <c r="E287" s="80"/>
      <c r="F287" s="80"/>
      <c r="G287" s="80"/>
      <c r="H287" s="80"/>
      <c r="I287" s="80"/>
      <c r="J287" s="192">
        <f t="shared" si="254"/>
        <v>24</v>
      </c>
      <c r="K287" s="192">
        <f t="shared" si="255"/>
        <v>3</v>
      </c>
      <c r="L287" s="192" t="str">
        <f t="shared" si="250"/>
        <v/>
      </c>
      <c r="M287" s="216">
        <f t="shared" ca="1" si="256"/>
        <v>0</v>
      </c>
      <c r="N287" s="216"/>
      <c r="O287" s="216"/>
      <c r="P287" s="216"/>
      <c r="Q287" s="456" t="str">
        <f t="shared" ca="1" si="257"/>
        <v/>
      </c>
      <c r="R287" s="450">
        <f t="shared" ca="1" si="258"/>
        <v>1</v>
      </c>
      <c r="S287" s="191">
        <f t="shared" si="259"/>
        <v>24</v>
      </c>
      <c r="T287" s="191">
        <f t="shared" si="260"/>
        <v>3</v>
      </c>
      <c r="U287" s="191">
        <f ca="1">OP!$D$5+$S287-1</f>
        <v>56</v>
      </c>
      <c r="V287" s="191" t="str">
        <f t="shared" si="261"/>
        <v/>
      </c>
      <c r="W287" s="350">
        <f ca="1">IF(Q287&lt;&gt;1,0,VLOOKUP(OP!$C$55,PVFB,$S287+2,0))</f>
        <v>0</v>
      </c>
      <c r="X287" s="473">
        <f t="shared" ca="1" si="274"/>
        <v>0</v>
      </c>
      <c r="Y287" s="348">
        <f t="shared" ca="1" si="275"/>
        <v>0</v>
      </c>
      <c r="Z287" s="348">
        <f t="shared" ca="1" si="276"/>
        <v>8012</v>
      </c>
      <c r="AA287" s="348">
        <f ca="1">IF(Q287&lt;&gt;1,0,VLOOKUP(OP!$C$55,PVFB,$S287+2,0))</f>
        <v>0</v>
      </c>
      <c r="AB287" s="488" t="str">
        <f ca="1">IF(AND(S287&lt;OP!$C$24,$U287&lt;15),0,IF(AND($U287&lt;15,$T287=12),ROUND(VLOOKUP($S287,DOWN16,5,0),3),IF($T287=12,ROUND(($Z287/10000)*$AA287,3)+IF(AND($P$7="購買增額繳清保險",T287=12,U287=110),VLOOKUP(S287,$B$10:$H$121,7,0),0),"")))</f>
        <v/>
      </c>
      <c r="AC287" s="350" t="str">
        <f ca="1">IF(AND(S287&lt;OP!$C$24,$U287&lt;15),0,IF(AND($U287&lt;16,$T287=12),VLOOKUP($S287,DOWN16,4,0),IF($T287=12,ROUND(VLOOKUP(OP!$C$55,_DIE2,$S287+1,0)*(Z287/10000),0)+IF(AND($P$7="購買增額繳清保險",T287=12,U287=110),VLOOKUP(S287,$B$10:$H$121,7,0),0),"")))</f>
        <v/>
      </c>
      <c r="AD287" s="347"/>
      <c r="AE287" s="350" t="str">
        <f t="shared" ca="1" si="251"/>
        <v/>
      </c>
      <c r="AF287" s="351" t="str">
        <f t="shared" ca="1" si="252"/>
        <v/>
      </c>
      <c r="AG287" s="340"/>
      <c r="AH287" s="340"/>
      <c r="AI287" s="340"/>
      <c r="AJ287" s="340"/>
      <c r="AK287" s="340"/>
      <c r="AL287" s="340"/>
      <c r="AM287" s="340"/>
      <c r="AN287" s="340"/>
      <c r="AO287" s="340"/>
      <c r="AP287" s="340"/>
      <c r="AQ287" s="340"/>
      <c r="AR287" s="340"/>
      <c r="AS287" s="340"/>
      <c r="AT287" s="340"/>
      <c r="AU287" s="340"/>
      <c r="AV287" s="340"/>
      <c r="AY287" s="340"/>
      <c r="AZ287" s="465">
        <f t="shared" ca="1" si="262"/>
        <v>7.3698599999999999E-5</v>
      </c>
      <c r="BA287" s="464">
        <f t="shared" ca="1" si="263"/>
        <v>2.2109589000000002E-3</v>
      </c>
      <c r="BB287" s="465">
        <f t="shared" ca="1" si="263"/>
        <v>2.2846575E-3</v>
      </c>
      <c r="BC287" s="466">
        <f t="shared" ca="1" si="264"/>
        <v>51349</v>
      </c>
      <c r="BD287" s="467">
        <f t="shared" ca="1" si="277"/>
        <v>51350</v>
      </c>
      <c r="BE287" s="467">
        <f t="shared" ca="1" si="265"/>
        <v>51379</v>
      </c>
      <c r="BF287" s="468">
        <f ca="1">IF(計算!$BC287&lt;OP!$C$3,0,BD287-BC287)</f>
        <v>1</v>
      </c>
      <c r="BG287" s="468">
        <f ca="1">IF($BE287&gt;DATE(YEAR($BD$9)+OP!$C$57,MONTH($BD$9),DAY($BD$9)),0,$BE287-$BD287+1)</f>
        <v>30</v>
      </c>
      <c r="BH287" s="469">
        <f t="shared" ca="1" si="266"/>
        <v>31</v>
      </c>
      <c r="BI287" t="str">
        <f t="shared" si="282"/>
        <v/>
      </c>
      <c r="BJ287">
        <v>2</v>
      </c>
      <c r="BN287" s="468">
        <f t="shared" si="278"/>
        <v>24</v>
      </c>
      <c r="BO287" s="468">
        <f t="shared" si="279"/>
        <v>2</v>
      </c>
      <c r="BP287" s="467">
        <f t="shared" ca="1" si="267"/>
        <v>51350</v>
      </c>
      <c r="BQ287" s="475">
        <f t="shared" ca="1" si="281"/>
        <v>56</v>
      </c>
      <c r="BR287" s="475" t="str">
        <f t="shared" si="280"/>
        <v/>
      </c>
      <c r="BS287" s="471" t="str">
        <f t="shared" si="268"/>
        <v/>
      </c>
      <c r="BT287" s="472" t="str">
        <f t="shared" si="283"/>
        <v/>
      </c>
      <c r="BU287" s="472">
        <f t="shared" ca="1" si="269"/>
        <v>0</v>
      </c>
      <c r="BV287" s="472">
        <f t="shared" ca="1" si="269"/>
        <v>0</v>
      </c>
      <c r="BW287" s="472"/>
      <c r="BX287" s="473">
        <f t="shared" ca="1" si="270"/>
        <v>181920.40303867101</v>
      </c>
      <c r="BY287" s="473">
        <f t="shared" si="271"/>
        <v>0</v>
      </c>
      <c r="BZ287" s="473">
        <f t="shared" ca="1" si="253"/>
        <v>415.62581320499999</v>
      </c>
      <c r="CA287" s="476">
        <f t="shared" ca="1" si="272"/>
        <v>0</v>
      </c>
      <c r="CB287" s="494">
        <f ca="1">IF(OR($Q286&lt;&gt;1,OP!$D$5+$BN287-1&lt;16,$BN287-1&lt;1),0,ROUND(ROUND(ROUND(((VLOOKUP($BN287-1,MORE_PV,5,0)/10000)*VLOOKUP($BN287,MORE_PV,$CB$5,0)),3)*VLOOKUP($BN287,more1,5,0),0)/$R286,0))</f>
        <v>0</v>
      </c>
      <c r="CC287" s="473">
        <f t="shared" ca="1" si="273"/>
        <v>0</v>
      </c>
      <c r="CD287" s="477"/>
    </row>
    <row r="288" spans="2:82" ht="16.5" hidden="1">
      <c r="B288" s="80"/>
      <c r="C288" s="80"/>
      <c r="D288" s="80"/>
      <c r="E288" s="80"/>
      <c r="F288" s="80"/>
      <c r="G288" s="80"/>
      <c r="H288" s="80"/>
      <c r="I288" s="80"/>
      <c r="J288" s="192">
        <f t="shared" si="254"/>
        <v>24</v>
      </c>
      <c r="K288" s="192">
        <f t="shared" si="255"/>
        <v>4</v>
      </c>
      <c r="L288" s="192" t="str">
        <f t="shared" si="250"/>
        <v/>
      </c>
      <c r="M288" s="216">
        <f t="shared" ca="1" si="256"/>
        <v>0</v>
      </c>
      <c r="N288" s="216"/>
      <c r="O288" s="216"/>
      <c r="P288" s="216"/>
      <c r="Q288" s="456" t="str">
        <f t="shared" ca="1" si="257"/>
        <v/>
      </c>
      <c r="R288" s="450">
        <f t="shared" ca="1" si="258"/>
        <v>1</v>
      </c>
      <c r="S288" s="191">
        <f t="shared" si="259"/>
        <v>24</v>
      </c>
      <c r="T288" s="191">
        <f t="shared" si="260"/>
        <v>4</v>
      </c>
      <c r="U288" s="191">
        <f ca="1">OP!$D$5+$S288-1</f>
        <v>56</v>
      </c>
      <c r="V288" s="191" t="str">
        <f t="shared" si="261"/>
        <v/>
      </c>
      <c r="W288" s="350">
        <f ca="1">IF(Q288&lt;&gt;1,0,VLOOKUP(OP!$C$55,PVFB,$S288+2,0))</f>
        <v>0</v>
      </c>
      <c r="X288" s="473">
        <f t="shared" ca="1" si="274"/>
        <v>0</v>
      </c>
      <c r="Y288" s="348">
        <f t="shared" ca="1" si="275"/>
        <v>0</v>
      </c>
      <c r="Z288" s="348">
        <f t="shared" ca="1" si="276"/>
        <v>8012</v>
      </c>
      <c r="AA288" s="348">
        <f ca="1">IF(Q288&lt;&gt;1,0,VLOOKUP(OP!$C$55,PVFB,$S288+2,0))</f>
        <v>0</v>
      </c>
      <c r="AB288" s="488" t="str">
        <f ca="1">IF(AND(S288&lt;OP!$C$24,$U288&lt;15),0,IF(AND($U288&lt;15,$T288=12),ROUND(VLOOKUP($S288,DOWN16,5,0),3),IF($T288=12,ROUND(($Z288/10000)*$AA288,3)+IF(AND($P$7="購買增額繳清保險",T288=12,U288=110),VLOOKUP(S288,$B$10:$H$121,7,0),0),"")))</f>
        <v/>
      </c>
      <c r="AC288" s="350" t="str">
        <f ca="1">IF(AND(S288&lt;OP!$C$24,$U288&lt;15),0,IF(AND($U288&lt;16,$T288=12),VLOOKUP($S288,DOWN16,4,0),IF($T288=12,ROUND(VLOOKUP(OP!$C$55,_DIE2,$S288+1,0)*(Z288/10000),0)+IF(AND($P$7="購買增額繳清保險",T288=12,U288=110),VLOOKUP(S288,$B$10:$H$121,7,0),0),"")))</f>
        <v/>
      </c>
      <c r="AD288" s="347"/>
      <c r="AE288" s="350" t="str">
        <f t="shared" ca="1" si="251"/>
        <v/>
      </c>
      <c r="AF288" s="351" t="str">
        <f t="shared" ca="1" si="252"/>
        <v/>
      </c>
      <c r="AG288" s="340"/>
      <c r="AH288" s="340"/>
      <c r="AI288" s="340"/>
      <c r="AJ288" s="340"/>
      <c r="AK288" s="340"/>
      <c r="AL288" s="340"/>
      <c r="AM288" s="340"/>
      <c r="AN288" s="340"/>
      <c r="AO288" s="340"/>
      <c r="AP288" s="340"/>
      <c r="AQ288" s="340"/>
      <c r="AR288" s="340"/>
      <c r="AS288" s="340"/>
      <c r="AT288" s="340"/>
      <c r="AU288" s="340"/>
      <c r="AV288" s="340"/>
      <c r="AY288" s="340"/>
      <c r="AZ288" s="465">
        <f t="shared" ca="1" si="262"/>
        <v>7.3698599999999999E-5</v>
      </c>
      <c r="BA288" s="464">
        <f t="shared" ca="1" si="263"/>
        <v>2.1372602999999999E-3</v>
      </c>
      <c r="BB288" s="465">
        <f t="shared" ca="1" si="263"/>
        <v>2.2109589000000002E-3</v>
      </c>
      <c r="BC288" s="466">
        <f t="shared" ca="1" si="264"/>
        <v>51380</v>
      </c>
      <c r="BD288" s="467">
        <f t="shared" ca="1" si="277"/>
        <v>51381</v>
      </c>
      <c r="BE288" s="467">
        <f t="shared" ca="1" si="265"/>
        <v>51409</v>
      </c>
      <c r="BF288" s="468">
        <f ca="1">IF(計算!$BC288&lt;OP!$C$3,0,BD288-BC288)</f>
        <v>1</v>
      </c>
      <c r="BG288" s="468">
        <f ca="1">IF($BE288&gt;DATE(YEAR($BD$9)+OP!$C$57,MONTH($BD$9),DAY($BD$9)),0,$BE288-$BD288+1)</f>
        <v>29</v>
      </c>
      <c r="BH288" s="469">
        <f t="shared" ca="1" si="266"/>
        <v>30</v>
      </c>
      <c r="BI288" t="str">
        <f t="shared" si="282"/>
        <v/>
      </c>
      <c r="BJ288">
        <v>3</v>
      </c>
      <c r="BN288" s="468">
        <f t="shared" si="278"/>
        <v>24</v>
      </c>
      <c r="BO288" s="468">
        <f t="shared" si="279"/>
        <v>3</v>
      </c>
      <c r="BP288" s="467">
        <f t="shared" ca="1" si="267"/>
        <v>51381</v>
      </c>
      <c r="BQ288" s="475">
        <f t="shared" ca="1" si="281"/>
        <v>56</v>
      </c>
      <c r="BR288" s="475" t="str">
        <f t="shared" si="280"/>
        <v/>
      </c>
      <c r="BS288" s="471" t="str">
        <f t="shared" si="268"/>
        <v/>
      </c>
      <c r="BT288" s="472" t="str">
        <f t="shared" si="283"/>
        <v/>
      </c>
      <c r="BU288" s="472">
        <f t="shared" ca="1" si="269"/>
        <v>0</v>
      </c>
      <c r="BV288" s="472">
        <f t="shared" ca="1" si="269"/>
        <v>0</v>
      </c>
      <c r="BW288" s="472"/>
      <c r="BX288" s="473">
        <f t="shared" ca="1" si="270"/>
        <v>182336.02885187601</v>
      </c>
      <c r="BY288" s="473">
        <f t="shared" si="271"/>
        <v>0</v>
      </c>
      <c r="BZ288" s="473">
        <f t="shared" ca="1" si="253"/>
        <v>403.137465781</v>
      </c>
      <c r="CA288" s="476">
        <f t="shared" ca="1" si="272"/>
        <v>0</v>
      </c>
      <c r="CB288" s="494">
        <f ca="1">IF(OR($Q287&lt;&gt;1,OP!$D$5+$BN288-1&lt;16,$BN288-1&lt;1),0,ROUND(ROUND(ROUND(((VLOOKUP($BN288-1,MORE_PV,5,0)/10000)*VLOOKUP($BN288,MORE_PV,$CB$5,0)),3)*VLOOKUP($BN288,more1,5,0),0)/$R287,0))</f>
        <v>0</v>
      </c>
      <c r="CC288" s="473">
        <f t="shared" ca="1" si="273"/>
        <v>0</v>
      </c>
      <c r="CD288" s="477"/>
    </row>
    <row r="289" spans="2:82" ht="16.5" hidden="1">
      <c r="B289" s="80"/>
      <c r="C289" s="80"/>
      <c r="D289" s="80"/>
      <c r="E289" s="80"/>
      <c r="F289" s="80"/>
      <c r="G289" s="80"/>
      <c r="H289" s="80"/>
      <c r="I289" s="80"/>
      <c r="J289" s="192">
        <f t="shared" si="254"/>
        <v>24</v>
      </c>
      <c r="K289" s="192">
        <f t="shared" si="255"/>
        <v>5</v>
      </c>
      <c r="L289" s="192" t="str">
        <f t="shared" si="250"/>
        <v/>
      </c>
      <c r="M289" s="216">
        <f t="shared" ca="1" si="256"/>
        <v>0</v>
      </c>
      <c r="N289" s="216"/>
      <c r="O289" s="216"/>
      <c r="P289" s="216"/>
      <c r="Q289" s="456" t="str">
        <f t="shared" ca="1" si="257"/>
        <v/>
      </c>
      <c r="R289" s="450">
        <f t="shared" ca="1" si="258"/>
        <v>1</v>
      </c>
      <c r="S289" s="191">
        <f t="shared" si="259"/>
        <v>24</v>
      </c>
      <c r="T289" s="191">
        <f t="shared" si="260"/>
        <v>5</v>
      </c>
      <c r="U289" s="191">
        <f ca="1">OP!$D$5+$S289-1</f>
        <v>56</v>
      </c>
      <c r="V289" s="191" t="str">
        <f t="shared" si="261"/>
        <v/>
      </c>
      <c r="W289" s="350">
        <f ca="1">IF(Q289&lt;&gt;1,0,VLOOKUP(OP!$C$55,PVFB,$S289+2,0))</f>
        <v>0</v>
      </c>
      <c r="X289" s="473">
        <f t="shared" ca="1" si="274"/>
        <v>0</v>
      </c>
      <c r="Y289" s="348">
        <f t="shared" ca="1" si="275"/>
        <v>0</v>
      </c>
      <c r="Z289" s="348">
        <f t="shared" ca="1" si="276"/>
        <v>8012</v>
      </c>
      <c r="AA289" s="348">
        <f ca="1">IF(Q289&lt;&gt;1,0,VLOOKUP(OP!$C$55,PVFB,$S289+2,0))</f>
        <v>0</v>
      </c>
      <c r="AB289" s="488" t="str">
        <f ca="1">IF(AND(S289&lt;OP!$C$24,$U289&lt;15),0,IF(AND($U289&lt;15,$T289=12),ROUND(VLOOKUP($S289,DOWN16,5,0),3),IF($T289=12,ROUND(($Z289/10000)*$AA289,3)+IF(AND($P$7="購買增額繳清保險",T289=12,U289=110),VLOOKUP(S289,$B$10:$H$121,7,0),0),"")))</f>
        <v/>
      </c>
      <c r="AC289" s="350" t="str">
        <f ca="1">IF(AND(S289&lt;OP!$C$24,$U289&lt;15),0,IF(AND($U289&lt;16,$T289=12),VLOOKUP($S289,DOWN16,4,0),IF($T289=12,ROUND(VLOOKUP(OP!$C$55,_DIE2,$S289+1,0)*(Z289/10000),0)+IF(AND($P$7="購買增額繳清保險",T289=12,U289=110),VLOOKUP(S289,$B$10:$H$121,7,0),0),"")))</f>
        <v/>
      </c>
      <c r="AD289" s="347"/>
      <c r="AE289" s="350" t="str">
        <f t="shared" ca="1" si="251"/>
        <v/>
      </c>
      <c r="AF289" s="351" t="str">
        <f t="shared" ca="1" si="252"/>
        <v/>
      </c>
      <c r="AG289" s="340"/>
      <c r="AH289" s="340"/>
      <c r="AI289" s="340"/>
      <c r="AJ289" s="340"/>
      <c r="AK289" s="340"/>
      <c r="AL289" s="340"/>
      <c r="AM289" s="340"/>
      <c r="AN289" s="340"/>
      <c r="AO289" s="340"/>
      <c r="AP289" s="340"/>
      <c r="AQ289" s="340"/>
      <c r="AR289" s="340"/>
      <c r="AS289" s="340"/>
      <c r="AT289" s="340"/>
      <c r="AU289" s="340"/>
      <c r="AV289" s="340"/>
      <c r="AY289" s="340"/>
      <c r="AZ289" s="465">
        <f t="shared" ca="1" si="262"/>
        <v>7.3698599999999999E-5</v>
      </c>
      <c r="BA289" s="464">
        <f t="shared" ca="1" si="263"/>
        <v>2.2109589000000002E-3</v>
      </c>
      <c r="BB289" s="465">
        <f t="shared" ca="1" si="263"/>
        <v>2.2846575E-3</v>
      </c>
      <c r="BC289" s="466">
        <f t="shared" ca="1" si="264"/>
        <v>51410</v>
      </c>
      <c r="BD289" s="467">
        <f t="shared" ca="1" si="277"/>
        <v>51411</v>
      </c>
      <c r="BE289" s="467">
        <f t="shared" ca="1" si="265"/>
        <v>51440</v>
      </c>
      <c r="BF289" s="468">
        <f ca="1">IF(計算!$BC289&lt;OP!$C$3,0,BD289-BC289)</f>
        <v>1</v>
      </c>
      <c r="BG289" s="468">
        <f ca="1">IF($BE289&gt;DATE(YEAR($BD$9)+OP!$C$57,MONTH($BD$9),DAY($BD$9)),0,$BE289-$BD289+1)</f>
        <v>30</v>
      </c>
      <c r="BH289" s="469">
        <f t="shared" ca="1" si="266"/>
        <v>31</v>
      </c>
      <c r="BI289" t="str">
        <f t="shared" si="282"/>
        <v/>
      </c>
      <c r="BJ289">
        <v>4</v>
      </c>
      <c r="BN289" s="468">
        <f t="shared" si="278"/>
        <v>24</v>
      </c>
      <c r="BO289" s="468">
        <f t="shared" si="279"/>
        <v>4</v>
      </c>
      <c r="BP289" s="467">
        <f t="shared" ca="1" si="267"/>
        <v>51411</v>
      </c>
      <c r="BQ289" s="475">
        <f t="shared" ca="1" si="281"/>
        <v>56</v>
      </c>
      <c r="BR289" s="475" t="str">
        <f t="shared" si="280"/>
        <v/>
      </c>
      <c r="BS289" s="471" t="str">
        <f t="shared" si="268"/>
        <v/>
      </c>
      <c r="BT289" s="472" t="str">
        <f t="shared" si="283"/>
        <v/>
      </c>
      <c r="BU289" s="472">
        <f t="shared" ca="1" si="269"/>
        <v>0</v>
      </c>
      <c r="BV289" s="472">
        <f t="shared" ca="1" si="269"/>
        <v>0</v>
      </c>
      <c r="BW289" s="472"/>
      <c r="BX289" s="473">
        <f t="shared" ca="1" si="270"/>
        <v>182739.16631765699</v>
      </c>
      <c r="BY289" s="473">
        <f t="shared" si="271"/>
        <v>0</v>
      </c>
      <c r="BZ289" s="473">
        <f t="shared" ca="1" si="253"/>
        <v>417.49640687099998</v>
      </c>
      <c r="CA289" s="476">
        <f t="shared" ca="1" si="272"/>
        <v>0</v>
      </c>
      <c r="CB289" s="494">
        <f ca="1">IF(OR($Q288&lt;&gt;1,OP!$D$5+$BN289-1&lt;16,$BN289-1&lt;1),0,ROUND(ROUND(ROUND(((VLOOKUP($BN289-1,MORE_PV,5,0)/10000)*VLOOKUP($BN289,MORE_PV,$CB$5,0)),3)*VLOOKUP($BN289,more1,5,0),0)/$R288,0))</f>
        <v>0</v>
      </c>
      <c r="CC289" s="473">
        <f t="shared" ca="1" si="273"/>
        <v>0</v>
      </c>
      <c r="CD289" s="477"/>
    </row>
    <row r="290" spans="2:82" ht="16.5" hidden="1">
      <c r="B290" s="80"/>
      <c r="C290" s="80"/>
      <c r="D290" s="80"/>
      <c r="E290" s="80"/>
      <c r="F290" s="80"/>
      <c r="G290" s="80"/>
      <c r="H290" s="80"/>
      <c r="I290" s="80"/>
      <c r="J290" s="192">
        <f t="shared" si="254"/>
        <v>24</v>
      </c>
      <c r="K290" s="192">
        <f t="shared" si="255"/>
        <v>6</v>
      </c>
      <c r="L290" s="192" t="str">
        <f t="shared" si="250"/>
        <v/>
      </c>
      <c r="M290" s="216">
        <f t="shared" ca="1" si="256"/>
        <v>0</v>
      </c>
      <c r="N290" s="216"/>
      <c r="O290" s="216"/>
      <c r="P290" s="216"/>
      <c r="Q290" s="456" t="str">
        <f t="shared" ca="1" si="257"/>
        <v/>
      </c>
      <c r="R290" s="450">
        <f t="shared" ca="1" si="258"/>
        <v>1</v>
      </c>
      <c r="S290" s="191">
        <f t="shared" si="259"/>
        <v>24</v>
      </c>
      <c r="T290" s="191">
        <f t="shared" si="260"/>
        <v>6</v>
      </c>
      <c r="U290" s="191">
        <f ca="1">OP!$D$5+$S290-1</f>
        <v>56</v>
      </c>
      <c r="V290" s="191" t="str">
        <f t="shared" si="261"/>
        <v/>
      </c>
      <c r="W290" s="350">
        <f ca="1">IF(Q290&lt;&gt;1,0,VLOOKUP(OP!$C$55,PVFB,$S290+2,0))</f>
        <v>0</v>
      </c>
      <c r="X290" s="473">
        <f t="shared" ca="1" si="274"/>
        <v>0</v>
      </c>
      <c r="Y290" s="348">
        <f t="shared" ca="1" si="275"/>
        <v>0</v>
      </c>
      <c r="Z290" s="348">
        <f t="shared" ca="1" si="276"/>
        <v>8012</v>
      </c>
      <c r="AA290" s="348">
        <f ca="1">IF(Q290&lt;&gt;1,0,VLOOKUP(OP!$C$55,PVFB,$S290+2,0))</f>
        <v>0</v>
      </c>
      <c r="AB290" s="488" t="str">
        <f ca="1">IF(AND(S290&lt;OP!$C$24,$U290&lt;15),0,IF(AND($U290&lt;15,$T290=12),ROUND(VLOOKUP($S290,DOWN16,5,0),3),IF($T290=12,ROUND(($Z290/10000)*$AA290,3)+IF(AND($P$7="購買增額繳清保險",T290=12,U290=110),VLOOKUP(S290,$B$10:$H$121,7,0),0),"")))</f>
        <v/>
      </c>
      <c r="AC290" s="350" t="str">
        <f ca="1">IF(AND(S290&lt;OP!$C$24,$U290&lt;15),0,IF(AND($U290&lt;16,$T290=12),VLOOKUP($S290,DOWN16,4,0),IF($T290=12,ROUND(VLOOKUP(OP!$C$55,_DIE2,$S290+1,0)*(Z290/10000),0)+IF(AND($P$7="購買增額繳清保險",T290=12,U290=110),VLOOKUP(S290,$B$10:$H$121,7,0),0),"")))</f>
        <v/>
      </c>
      <c r="AD290" s="347"/>
      <c r="AE290" s="350" t="str">
        <f t="shared" ca="1" si="251"/>
        <v/>
      </c>
      <c r="AF290" s="351" t="str">
        <f t="shared" ca="1" si="252"/>
        <v/>
      </c>
      <c r="AG290" s="340"/>
      <c r="AH290" s="340"/>
      <c r="AI290" s="340"/>
      <c r="AJ290" s="340"/>
      <c r="AK290" s="340"/>
      <c r="AL290" s="340"/>
      <c r="AM290" s="340"/>
      <c r="AN290" s="340"/>
      <c r="AO290" s="340"/>
      <c r="AP290" s="340"/>
      <c r="AQ290" s="340"/>
      <c r="AR290" s="340"/>
      <c r="AS290" s="340"/>
      <c r="AT290" s="340"/>
      <c r="AU290" s="340"/>
      <c r="AV290" s="340"/>
      <c r="AY290" s="340"/>
      <c r="AZ290" s="465">
        <f t="shared" ca="1" si="262"/>
        <v>7.3698599999999999E-5</v>
      </c>
      <c r="BA290" s="464">
        <f t="shared" ca="1" si="263"/>
        <v>2.1372602999999999E-3</v>
      </c>
      <c r="BB290" s="465">
        <f t="shared" ca="1" si="263"/>
        <v>2.2109589000000002E-3</v>
      </c>
      <c r="BC290" s="466">
        <f t="shared" ca="1" si="264"/>
        <v>51441</v>
      </c>
      <c r="BD290" s="467">
        <f t="shared" ca="1" si="277"/>
        <v>51442</v>
      </c>
      <c r="BE290" s="467">
        <f t="shared" ca="1" si="265"/>
        <v>51470</v>
      </c>
      <c r="BF290" s="468">
        <f ca="1">IF(計算!$BC290&lt;OP!$C$3,0,BD290-BC290)</f>
        <v>1</v>
      </c>
      <c r="BG290" s="468">
        <f ca="1">IF($BE290&gt;DATE(YEAR($BD$9)+OP!$C$57,MONTH($BD$9),DAY($BD$9)),0,$BE290-$BD290+1)</f>
        <v>29</v>
      </c>
      <c r="BH290" s="469">
        <f t="shared" ca="1" si="266"/>
        <v>30</v>
      </c>
      <c r="BI290" t="str">
        <f t="shared" si="282"/>
        <v/>
      </c>
      <c r="BJ290">
        <v>5</v>
      </c>
      <c r="BN290" s="468">
        <f t="shared" si="278"/>
        <v>24</v>
      </c>
      <c r="BO290" s="468">
        <f t="shared" si="279"/>
        <v>5</v>
      </c>
      <c r="BP290" s="467">
        <f t="shared" ca="1" si="267"/>
        <v>51442</v>
      </c>
      <c r="BQ290" s="475">
        <f t="shared" ca="1" si="281"/>
        <v>56</v>
      </c>
      <c r="BR290" s="475" t="str">
        <f t="shared" si="280"/>
        <v/>
      </c>
      <c r="BS290" s="471" t="str">
        <f t="shared" si="268"/>
        <v/>
      </c>
      <c r="BT290" s="472" t="str">
        <f t="shared" si="283"/>
        <v/>
      </c>
      <c r="BU290" s="472">
        <f t="shared" ca="1" si="269"/>
        <v>0</v>
      </c>
      <c r="BV290" s="472">
        <f t="shared" ca="1" si="269"/>
        <v>0</v>
      </c>
      <c r="BW290" s="472"/>
      <c r="BX290" s="473">
        <f t="shared" ca="1" si="270"/>
        <v>183156.662724528</v>
      </c>
      <c r="BY290" s="473">
        <f t="shared" si="271"/>
        <v>0</v>
      </c>
      <c r="BZ290" s="473">
        <f t="shared" ca="1" si="253"/>
        <v>404.95185354500001</v>
      </c>
      <c r="CA290" s="476">
        <f t="shared" ca="1" si="272"/>
        <v>0</v>
      </c>
      <c r="CB290" s="494">
        <f ca="1">IF(OR($Q289&lt;&gt;1,OP!$D$5+$BN290-1&lt;16,$BN290-1&lt;1),0,ROUND(ROUND(ROUND(((VLOOKUP($BN290-1,MORE_PV,5,0)/10000)*VLOOKUP($BN290,MORE_PV,$CB$5,0)),3)*VLOOKUP($BN290,more1,5,0),0)/$R289,0))</f>
        <v>0</v>
      </c>
      <c r="CC290" s="473">
        <f t="shared" ca="1" si="273"/>
        <v>0</v>
      </c>
      <c r="CD290" s="477"/>
    </row>
    <row r="291" spans="2:82" ht="16.5" hidden="1">
      <c r="B291" s="80"/>
      <c r="C291" s="80"/>
      <c r="D291" s="80"/>
      <c r="E291" s="80"/>
      <c r="F291" s="80"/>
      <c r="G291" s="80"/>
      <c r="H291" s="80"/>
      <c r="I291" s="80"/>
      <c r="J291" s="192">
        <f t="shared" si="254"/>
        <v>24</v>
      </c>
      <c r="K291" s="192">
        <f t="shared" si="255"/>
        <v>7</v>
      </c>
      <c r="L291" s="192" t="str">
        <f t="shared" si="250"/>
        <v/>
      </c>
      <c r="M291" s="216">
        <f t="shared" ca="1" si="256"/>
        <v>0</v>
      </c>
      <c r="N291" s="216"/>
      <c r="O291" s="216"/>
      <c r="P291" s="216"/>
      <c r="Q291" s="456" t="str">
        <f t="shared" ca="1" si="257"/>
        <v/>
      </c>
      <c r="R291" s="450">
        <f t="shared" ca="1" si="258"/>
        <v>1</v>
      </c>
      <c r="S291" s="191">
        <f t="shared" si="259"/>
        <v>24</v>
      </c>
      <c r="T291" s="191">
        <f t="shared" si="260"/>
        <v>7</v>
      </c>
      <c r="U291" s="191">
        <f ca="1">OP!$D$5+$S291-1</f>
        <v>56</v>
      </c>
      <c r="V291" s="191" t="str">
        <f t="shared" si="261"/>
        <v/>
      </c>
      <c r="W291" s="350">
        <f ca="1">IF(Q291&lt;&gt;1,0,VLOOKUP(OP!$C$55,PVFB,$S291+2,0))</f>
        <v>0</v>
      </c>
      <c r="X291" s="473">
        <f t="shared" ca="1" si="274"/>
        <v>0</v>
      </c>
      <c r="Y291" s="348">
        <f t="shared" ca="1" si="275"/>
        <v>0</v>
      </c>
      <c r="Z291" s="348">
        <f t="shared" ca="1" si="276"/>
        <v>8012</v>
      </c>
      <c r="AA291" s="348">
        <f ca="1">IF(Q291&lt;&gt;1,0,VLOOKUP(OP!$C$55,PVFB,$S291+2,0))</f>
        <v>0</v>
      </c>
      <c r="AB291" s="488" t="str">
        <f ca="1">IF(AND(S291&lt;OP!$C$24,$U291&lt;15),0,IF(AND($U291&lt;15,$T291=12),ROUND(VLOOKUP($S291,DOWN16,5,0),3),IF($T291=12,ROUND(($Z291/10000)*$AA291,3)+IF(AND($P$7="購買增額繳清保險",T291=12,U291=110),VLOOKUP(S291,$B$10:$H$121,7,0),0),"")))</f>
        <v/>
      </c>
      <c r="AC291" s="350" t="str">
        <f ca="1">IF(AND(S291&lt;OP!$C$24,$U291&lt;15),0,IF(AND($U291&lt;16,$T291=12),VLOOKUP($S291,DOWN16,4,0),IF($T291=12,ROUND(VLOOKUP(OP!$C$55,_DIE2,$S291+1,0)*(Z291/10000),0)+IF(AND($P$7="購買增額繳清保險",T291=12,U291=110),VLOOKUP(S291,$B$10:$H$121,7,0),0),"")))</f>
        <v/>
      </c>
      <c r="AD291" s="347"/>
      <c r="AE291" s="350" t="str">
        <f t="shared" ca="1" si="251"/>
        <v/>
      </c>
      <c r="AF291" s="351" t="str">
        <f t="shared" ca="1" si="252"/>
        <v/>
      </c>
      <c r="AG291" s="340"/>
      <c r="AH291" s="340"/>
      <c r="AI291" s="340"/>
      <c r="AJ291" s="340"/>
      <c r="AK291" s="340"/>
      <c r="AL291" s="340"/>
      <c r="AM291" s="340"/>
      <c r="AN291" s="340"/>
      <c r="AO291" s="340"/>
      <c r="AP291" s="340"/>
      <c r="AQ291" s="340"/>
      <c r="AR291" s="340"/>
      <c r="AS291" s="340"/>
      <c r="AT291" s="340"/>
      <c r="AU291" s="340"/>
      <c r="AV291" s="340"/>
      <c r="AY291" s="340"/>
      <c r="AZ291" s="465">
        <f t="shared" ca="1" si="262"/>
        <v>7.3698599999999999E-5</v>
      </c>
      <c r="BA291" s="464">
        <f t="shared" ca="1" si="263"/>
        <v>2.2109589000000002E-3</v>
      </c>
      <c r="BB291" s="465">
        <f t="shared" ca="1" si="263"/>
        <v>2.2846575E-3</v>
      </c>
      <c r="BC291" s="466">
        <f t="shared" ca="1" si="264"/>
        <v>51471</v>
      </c>
      <c r="BD291" s="467">
        <f t="shared" ca="1" si="277"/>
        <v>51472</v>
      </c>
      <c r="BE291" s="467">
        <f t="shared" ca="1" si="265"/>
        <v>51501</v>
      </c>
      <c r="BF291" s="468">
        <f ca="1">IF(計算!$BC291&lt;OP!$C$3,0,BD291-BC291)</f>
        <v>1</v>
      </c>
      <c r="BG291" s="468">
        <f ca="1">IF($BE291&gt;DATE(YEAR($BD$9)+OP!$C$57,MONTH($BD$9),DAY($BD$9)),0,$BE291-$BD291+1)</f>
        <v>30</v>
      </c>
      <c r="BH291" s="469">
        <f t="shared" ca="1" si="266"/>
        <v>31</v>
      </c>
      <c r="BI291" t="str">
        <f t="shared" si="282"/>
        <v/>
      </c>
      <c r="BJ291">
        <v>6</v>
      </c>
      <c r="BN291" s="468">
        <f t="shared" si="278"/>
        <v>24</v>
      </c>
      <c r="BO291" s="468">
        <f t="shared" si="279"/>
        <v>6</v>
      </c>
      <c r="BP291" s="467">
        <f t="shared" ca="1" si="267"/>
        <v>51472</v>
      </c>
      <c r="BQ291" s="475">
        <f t="shared" ca="1" si="281"/>
        <v>56</v>
      </c>
      <c r="BR291" s="475" t="str">
        <f t="shared" si="280"/>
        <v/>
      </c>
      <c r="BS291" s="471" t="str">
        <f t="shared" si="268"/>
        <v/>
      </c>
      <c r="BT291" s="472" t="str">
        <f t="shared" si="283"/>
        <v/>
      </c>
      <c r="BU291" s="472">
        <f t="shared" ca="1" si="269"/>
        <v>0</v>
      </c>
      <c r="BV291" s="472">
        <f t="shared" ca="1" si="269"/>
        <v>0</v>
      </c>
      <c r="BW291" s="472"/>
      <c r="BX291" s="473">
        <f t="shared" ca="1" si="270"/>
        <v>183561.614578073</v>
      </c>
      <c r="BY291" s="473">
        <f t="shared" si="271"/>
        <v>0</v>
      </c>
      <c r="BZ291" s="473">
        <f t="shared" ca="1" si="253"/>
        <v>419.37541945800001</v>
      </c>
      <c r="CA291" s="476">
        <f t="shared" ca="1" si="272"/>
        <v>0</v>
      </c>
      <c r="CB291" s="494">
        <f ca="1">IF(OR($Q290&lt;&gt;1,OP!$D$5+$BN291-1&lt;16,$BN291-1&lt;1),0,ROUND(ROUND(ROUND(((VLOOKUP($BN291-1,MORE_PV,5,0)/10000)*VLOOKUP($BN291,MORE_PV,$CB$5,0)),3)*VLOOKUP($BN291,more1,5,0),0)/$R290,0))</f>
        <v>0</v>
      </c>
      <c r="CC291" s="473">
        <f t="shared" ca="1" si="273"/>
        <v>0</v>
      </c>
      <c r="CD291" s="477"/>
    </row>
    <row r="292" spans="2:82" ht="16.5" hidden="1">
      <c r="B292" s="80"/>
      <c r="C292" s="80"/>
      <c r="D292" s="80"/>
      <c r="E292" s="80"/>
      <c r="F292" s="80"/>
      <c r="G292" s="80"/>
      <c r="H292" s="80"/>
      <c r="I292" s="80"/>
      <c r="J292" s="192">
        <f t="shared" si="254"/>
        <v>24</v>
      </c>
      <c r="K292" s="192">
        <f t="shared" si="255"/>
        <v>8</v>
      </c>
      <c r="L292" s="192" t="str">
        <f t="shared" si="250"/>
        <v/>
      </c>
      <c r="M292" s="216">
        <f t="shared" ca="1" si="256"/>
        <v>0</v>
      </c>
      <c r="N292" s="216"/>
      <c r="O292" s="216"/>
      <c r="P292" s="216"/>
      <c r="Q292" s="456" t="str">
        <f t="shared" ca="1" si="257"/>
        <v/>
      </c>
      <c r="R292" s="450">
        <f t="shared" ca="1" si="258"/>
        <v>1</v>
      </c>
      <c r="S292" s="191">
        <f t="shared" si="259"/>
        <v>24</v>
      </c>
      <c r="T292" s="191">
        <f t="shared" si="260"/>
        <v>8</v>
      </c>
      <c r="U292" s="191">
        <f ca="1">OP!$D$5+$S292-1</f>
        <v>56</v>
      </c>
      <c r="V292" s="191" t="str">
        <f t="shared" si="261"/>
        <v/>
      </c>
      <c r="W292" s="350">
        <f ca="1">IF(Q292&lt;&gt;1,0,VLOOKUP(OP!$C$55,PVFB,$S292+2,0))</f>
        <v>0</v>
      </c>
      <c r="X292" s="473">
        <f t="shared" ca="1" si="274"/>
        <v>0</v>
      </c>
      <c r="Y292" s="348">
        <f t="shared" ca="1" si="275"/>
        <v>0</v>
      </c>
      <c r="Z292" s="348">
        <f t="shared" ca="1" si="276"/>
        <v>8012</v>
      </c>
      <c r="AA292" s="348">
        <f ca="1">IF(Q292&lt;&gt;1,0,VLOOKUP(OP!$C$55,PVFB,$S292+2,0))</f>
        <v>0</v>
      </c>
      <c r="AB292" s="488" t="str">
        <f ca="1">IF(AND(S292&lt;OP!$C$24,$U292&lt;15),0,IF(AND($U292&lt;15,$T292=12),ROUND(VLOOKUP($S292,DOWN16,5,0),3),IF($T292=12,ROUND(($Z292/10000)*$AA292,3)+IF(AND($P$7="購買增額繳清保險",T292=12,U292=110),VLOOKUP(S292,$B$10:$H$121,7,0),0),"")))</f>
        <v/>
      </c>
      <c r="AC292" s="350" t="str">
        <f ca="1">IF(AND(S292&lt;OP!$C$24,$U292&lt;15),0,IF(AND($U292&lt;16,$T292=12),VLOOKUP($S292,DOWN16,4,0),IF($T292=12,ROUND(VLOOKUP(OP!$C$55,_DIE2,$S292+1,0)*(Z292/10000),0)+IF(AND($P$7="購買增額繳清保險",T292=12,U292=110),VLOOKUP(S292,$B$10:$H$121,7,0),0),"")))</f>
        <v/>
      </c>
      <c r="AD292" s="347"/>
      <c r="AE292" s="350" t="str">
        <f t="shared" ca="1" si="251"/>
        <v/>
      </c>
      <c r="AF292" s="351" t="str">
        <f t="shared" ca="1" si="252"/>
        <v/>
      </c>
      <c r="AG292" s="340"/>
      <c r="AH292" s="340"/>
      <c r="AI292" s="340"/>
      <c r="AJ292" s="340"/>
      <c r="AK292" s="340"/>
      <c r="AL292" s="340"/>
      <c r="AM292" s="340"/>
      <c r="AN292" s="340"/>
      <c r="AO292" s="340"/>
      <c r="AP292" s="340"/>
      <c r="AQ292" s="340"/>
      <c r="AR292" s="340"/>
      <c r="AS292" s="340"/>
      <c r="AT292" s="340"/>
      <c r="AU292" s="340"/>
      <c r="AV292" s="340"/>
      <c r="AY292" s="340"/>
      <c r="AZ292" s="465">
        <f t="shared" ca="1" si="262"/>
        <v>7.3698599999999999E-5</v>
      </c>
      <c r="BA292" s="464">
        <f t="shared" ca="1" si="263"/>
        <v>2.2109589000000002E-3</v>
      </c>
      <c r="BB292" s="465">
        <f t="shared" ca="1" si="263"/>
        <v>2.2846575E-3</v>
      </c>
      <c r="BC292" s="466">
        <f t="shared" ca="1" si="264"/>
        <v>51502</v>
      </c>
      <c r="BD292" s="467">
        <f t="shared" ca="1" si="277"/>
        <v>51503</v>
      </c>
      <c r="BE292" s="467">
        <f t="shared" ca="1" si="265"/>
        <v>51532</v>
      </c>
      <c r="BF292" s="468">
        <f ca="1">IF(計算!$BC292&lt;OP!$C$3,0,BD292-BC292)</f>
        <v>1</v>
      </c>
      <c r="BG292" s="468">
        <f ca="1">IF($BE292&gt;DATE(YEAR($BD$9)+OP!$C$57,MONTH($BD$9),DAY($BD$9)),0,$BE292-$BD292+1)</f>
        <v>30</v>
      </c>
      <c r="BH292" s="469">
        <f t="shared" ca="1" si="266"/>
        <v>31</v>
      </c>
      <c r="BI292" t="str">
        <f t="shared" si="282"/>
        <v/>
      </c>
      <c r="BJ292">
        <v>7</v>
      </c>
      <c r="BN292" s="468">
        <f t="shared" si="278"/>
        <v>24</v>
      </c>
      <c r="BO292" s="468">
        <f t="shared" si="279"/>
        <v>7</v>
      </c>
      <c r="BP292" s="467">
        <f t="shared" ca="1" si="267"/>
        <v>51503</v>
      </c>
      <c r="BQ292" s="475">
        <f t="shared" ca="1" si="281"/>
        <v>56</v>
      </c>
      <c r="BR292" s="475" t="str">
        <f t="shared" si="280"/>
        <v/>
      </c>
      <c r="BS292" s="471" t="str">
        <f t="shared" si="268"/>
        <v/>
      </c>
      <c r="BT292" s="472" t="str">
        <f t="shared" si="283"/>
        <v/>
      </c>
      <c r="BU292" s="472">
        <f t="shared" ca="1" si="269"/>
        <v>0</v>
      </c>
      <c r="BV292" s="472">
        <f t="shared" ca="1" si="269"/>
        <v>0</v>
      </c>
      <c r="BW292" s="472"/>
      <c r="BX292" s="473">
        <f t="shared" ca="1" si="270"/>
        <v>183980.989997531</v>
      </c>
      <c r="BY292" s="473">
        <f t="shared" si="271"/>
        <v>0</v>
      </c>
      <c r="BZ292" s="473">
        <f t="shared" ca="1" si="253"/>
        <v>420.33354865500002</v>
      </c>
      <c r="CA292" s="476">
        <f t="shared" ca="1" si="272"/>
        <v>0</v>
      </c>
      <c r="CB292" s="494">
        <f ca="1">IF(OR($Q291&lt;&gt;1,OP!$D$5+$BN292-1&lt;16,$BN292-1&lt;1),0,ROUND(ROUND(ROUND(((VLOOKUP($BN292-1,MORE_PV,5,0)/10000)*VLOOKUP($BN292,MORE_PV,$CB$5,0)),3)*VLOOKUP($BN292,more1,5,0),0)/$R291,0))</f>
        <v>0</v>
      </c>
      <c r="CC292" s="473">
        <f t="shared" ca="1" si="273"/>
        <v>0</v>
      </c>
      <c r="CD292" s="477"/>
    </row>
    <row r="293" spans="2:82" ht="16.5" hidden="1">
      <c r="B293" s="80"/>
      <c r="C293" s="80"/>
      <c r="D293" s="80"/>
      <c r="E293" s="80"/>
      <c r="F293" s="80"/>
      <c r="G293" s="80"/>
      <c r="H293" s="80"/>
      <c r="I293" s="80"/>
      <c r="J293" s="192">
        <f t="shared" si="254"/>
        <v>24</v>
      </c>
      <c r="K293" s="192">
        <f t="shared" si="255"/>
        <v>9</v>
      </c>
      <c r="L293" s="192" t="str">
        <f t="shared" si="250"/>
        <v/>
      </c>
      <c r="M293" s="216">
        <f t="shared" ca="1" si="256"/>
        <v>0</v>
      </c>
      <c r="N293" s="216"/>
      <c r="O293" s="216"/>
      <c r="P293" s="216"/>
      <c r="Q293" s="456" t="str">
        <f t="shared" ca="1" si="257"/>
        <v/>
      </c>
      <c r="R293" s="450">
        <f t="shared" ca="1" si="258"/>
        <v>1</v>
      </c>
      <c r="S293" s="191">
        <f t="shared" si="259"/>
        <v>24</v>
      </c>
      <c r="T293" s="191">
        <f t="shared" si="260"/>
        <v>9</v>
      </c>
      <c r="U293" s="191">
        <f ca="1">OP!$D$5+$S293-1</f>
        <v>56</v>
      </c>
      <c r="V293" s="191" t="str">
        <f t="shared" si="261"/>
        <v/>
      </c>
      <c r="W293" s="350">
        <f ca="1">IF(Q293&lt;&gt;1,0,VLOOKUP(OP!$C$55,PVFB,$S293+2,0))</f>
        <v>0</v>
      </c>
      <c r="X293" s="473">
        <f t="shared" ca="1" si="274"/>
        <v>0</v>
      </c>
      <c r="Y293" s="348">
        <f t="shared" ca="1" si="275"/>
        <v>0</v>
      </c>
      <c r="Z293" s="348">
        <f t="shared" ca="1" si="276"/>
        <v>8012</v>
      </c>
      <c r="AA293" s="348">
        <f ca="1">IF(Q293&lt;&gt;1,0,VLOOKUP(OP!$C$55,PVFB,$S293+2,0))</f>
        <v>0</v>
      </c>
      <c r="AB293" s="488" t="str">
        <f ca="1">IF(AND(S293&lt;OP!$C$24,$U293&lt;15),0,IF(AND($U293&lt;15,$T293=12),ROUND(VLOOKUP($S293,DOWN16,5,0),3),IF($T293=12,ROUND(($Z293/10000)*$AA293,3)+IF(AND($P$7="購買增額繳清保險",T293=12,U293=110),VLOOKUP(S293,$B$10:$H$121,7,0),0),"")))</f>
        <v/>
      </c>
      <c r="AC293" s="350" t="str">
        <f ca="1">IF(AND(S293&lt;OP!$C$24,$U293&lt;15),0,IF(AND($U293&lt;16,$T293=12),VLOOKUP($S293,DOWN16,4,0),IF($T293=12,ROUND(VLOOKUP(OP!$C$55,_DIE2,$S293+1,0)*(Z293/10000),0)+IF(AND($P$7="購買增額繳清保險",T293=12,U293=110),VLOOKUP(S293,$B$10:$H$121,7,0),0),"")))</f>
        <v/>
      </c>
      <c r="AD293" s="347"/>
      <c r="AE293" s="350" t="str">
        <f t="shared" ca="1" si="251"/>
        <v/>
      </c>
      <c r="AF293" s="351" t="str">
        <f t="shared" ca="1" si="252"/>
        <v/>
      </c>
      <c r="AG293" s="340"/>
      <c r="AH293" s="340"/>
      <c r="AI293" s="340"/>
      <c r="AJ293" s="340"/>
      <c r="AK293" s="340"/>
      <c r="AL293" s="340"/>
      <c r="AM293" s="340"/>
      <c r="AN293" s="340"/>
      <c r="AO293" s="340"/>
      <c r="AP293" s="340"/>
      <c r="AQ293" s="340"/>
      <c r="AR293" s="340"/>
      <c r="AS293" s="340"/>
      <c r="AT293" s="340"/>
      <c r="AU293" s="340"/>
      <c r="AV293" s="340"/>
      <c r="AY293" s="340"/>
      <c r="AZ293" s="465">
        <f t="shared" ca="1" si="262"/>
        <v>7.3698599999999999E-5</v>
      </c>
      <c r="BA293" s="464">
        <f t="shared" ca="1" si="263"/>
        <v>1.9898630000000001E-3</v>
      </c>
      <c r="BB293" s="465">
        <f t="shared" ca="1" si="263"/>
        <v>2.0635616E-3</v>
      </c>
      <c r="BC293" s="466">
        <f t="shared" ca="1" si="264"/>
        <v>51533</v>
      </c>
      <c r="BD293" s="467">
        <f t="shared" ca="1" si="277"/>
        <v>51534</v>
      </c>
      <c r="BE293" s="467">
        <f t="shared" ca="1" si="265"/>
        <v>51560</v>
      </c>
      <c r="BF293" s="468">
        <f ca="1">IF(計算!$BC293&lt;OP!$C$3,0,BD293-BC293)</f>
        <v>1</v>
      </c>
      <c r="BG293" s="468">
        <f ca="1">IF($BE293&gt;DATE(YEAR($BD$9)+OP!$C$57,MONTH($BD$9),DAY($BD$9)),0,$BE293-$BD293+1)</f>
        <v>27</v>
      </c>
      <c r="BH293" s="469">
        <f t="shared" ca="1" si="266"/>
        <v>28</v>
      </c>
      <c r="BI293" t="str">
        <f t="shared" si="282"/>
        <v/>
      </c>
      <c r="BJ293">
        <v>8</v>
      </c>
      <c r="BN293" s="468">
        <f t="shared" si="278"/>
        <v>24</v>
      </c>
      <c r="BO293" s="468">
        <f t="shared" si="279"/>
        <v>8</v>
      </c>
      <c r="BP293" s="467">
        <f t="shared" ca="1" si="267"/>
        <v>51534</v>
      </c>
      <c r="BQ293" s="475">
        <f t="shared" ca="1" si="281"/>
        <v>56</v>
      </c>
      <c r="BR293" s="475" t="str">
        <f t="shared" si="280"/>
        <v/>
      </c>
      <c r="BS293" s="471" t="str">
        <f t="shared" si="268"/>
        <v/>
      </c>
      <c r="BT293" s="472" t="str">
        <f t="shared" si="283"/>
        <v/>
      </c>
      <c r="BU293" s="472">
        <f t="shared" ca="1" si="269"/>
        <v>0</v>
      </c>
      <c r="BV293" s="472">
        <f t="shared" ca="1" si="269"/>
        <v>0</v>
      </c>
      <c r="BW293" s="472"/>
      <c r="BX293" s="473">
        <f t="shared" ca="1" si="270"/>
        <v>184401.323546186</v>
      </c>
      <c r="BY293" s="473">
        <f t="shared" si="271"/>
        <v>0</v>
      </c>
      <c r="BZ293" s="473">
        <f t="shared" ca="1" si="253"/>
        <v>380.52349025900003</v>
      </c>
      <c r="CA293" s="476">
        <f t="shared" ca="1" si="272"/>
        <v>0</v>
      </c>
      <c r="CB293" s="494">
        <f ca="1">IF(OR($Q292&lt;&gt;1,OP!$D$5+$BN293-1&lt;16,$BN293-1&lt;1),0,ROUND(ROUND(ROUND(((VLOOKUP($BN293-1,MORE_PV,5,0)/10000)*VLOOKUP($BN293,MORE_PV,$CB$5,0)),3)*VLOOKUP($BN293,more1,5,0),0)/$R292,0))</f>
        <v>0</v>
      </c>
      <c r="CC293" s="473">
        <f t="shared" ca="1" si="273"/>
        <v>0</v>
      </c>
      <c r="CD293" s="477"/>
    </row>
    <row r="294" spans="2:82" ht="16.5" hidden="1">
      <c r="B294" s="80"/>
      <c r="C294" s="80"/>
      <c r="D294" s="80"/>
      <c r="E294" s="80"/>
      <c r="F294" s="80"/>
      <c r="G294" s="80"/>
      <c r="H294" s="80"/>
      <c r="I294" s="80"/>
      <c r="J294" s="192">
        <f t="shared" si="254"/>
        <v>24</v>
      </c>
      <c r="K294" s="192">
        <f t="shared" si="255"/>
        <v>10</v>
      </c>
      <c r="L294" s="192" t="str">
        <f t="shared" si="250"/>
        <v/>
      </c>
      <c r="M294" s="216">
        <f t="shared" ca="1" si="256"/>
        <v>0</v>
      </c>
      <c r="N294" s="216"/>
      <c r="O294" s="216"/>
      <c r="P294" s="216"/>
      <c r="Q294" s="456" t="str">
        <f t="shared" ca="1" si="257"/>
        <v/>
      </c>
      <c r="R294" s="450">
        <f t="shared" ca="1" si="258"/>
        <v>1</v>
      </c>
      <c r="S294" s="191">
        <f t="shared" si="259"/>
        <v>24</v>
      </c>
      <c r="T294" s="191">
        <f t="shared" si="260"/>
        <v>10</v>
      </c>
      <c r="U294" s="191">
        <f ca="1">OP!$D$5+$S294-1</f>
        <v>56</v>
      </c>
      <c r="V294" s="191" t="str">
        <f t="shared" si="261"/>
        <v/>
      </c>
      <c r="W294" s="350">
        <f ca="1">IF(Q294&lt;&gt;1,0,VLOOKUP(OP!$C$55,PVFB,$S294+2,0))</f>
        <v>0</v>
      </c>
      <c r="X294" s="473">
        <f t="shared" ca="1" si="274"/>
        <v>0</v>
      </c>
      <c r="Y294" s="348">
        <f t="shared" ca="1" si="275"/>
        <v>0</v>
      </c>
      <c r="Z294" s="348">
        <f t="shared" ca="1" si="276"/>
        <v>8012</v>
      </c>
      <c r="AA294" s="348">
        <f ca="1">IF(Q294&lt;&gt;1,0,VLOOKUP(OP!$C$55,PVFB,$S294+2,0))</f>
        <v>0</v>
      </c>
      <c r="AB294" s="488" t="str">
        <f ca="1">IF(AND(S294&lt;OP!$C$24,$U294&lt;15),0,IF(AND($U294&lt;15,$T294=12),ROUND(VLOOKUP($S294,DOWN16,5,0),3),IF($T294=12,ROUND(($Z294/10000)*$AA294,3)+IF(AND($P$7="購買增額繳清保險",T294=12,U294=110),VLOOKUP(S294,$B$10:$H$121,7,0),0),"")))</f>
        <v/>
      </c>
      <c r="AC294" s="350" t="str">
        <f ca="1">IF(AND(S294&lt;OP!$C$24,$U294&lt;15),0,IF(AND($U294&lt;16,$T294=12),VLOOKUP($S294,DOWN16,4,0),IF($T294=12,ROUND(VLOOKUP(OP!$C$55,_DIE2,$S294+1,0)*(Z294/10000),0)+IF(AND($P$7="購買增額繳清保險",T294=12,U294=110),VLOOKUP(S294,$B$10:$H$121,7,0),0),"")))</f>
        <v/>
      </c>
      <c r="AD294" s="347"/>
      <c r="AE294" s="350" t="str">
        <f t="shared" ca="1" si="251"/>
        <v/>
      </c>
      <c r="AF294" s="351" t="str">
        <f t="shared" ca="1" si="252"/>
        <v/>
      </c>
      <c r="AG294" s="340"/>
      <c r="AH294" s="340"/>
      <c r="AI294" s="340"/>
      <c r="AJ294" s="340"/>
      <c r="AK294" s="340"/>
      <c r="AL294" s="340"/>
      <c r="AM294" s="340"/>
      <c r="AN294" s="340"/>
      <c r="AO294" s="340"/>
      <c r="AP294" s="340"/>
      <c r="AQ294" s="340"/>
      <c r="AR294" s="340"/>
      <c r="AS294" s="340"/>
      <c r="AT294" s="340"/>
      <c r="AU294" s="340"/>
      <c r="AV294" s="340"/>
      <c r="AY294" s="340"/>
      <c r="AZ294" s="465">
        <f t="shared" ca="1" si="262"/>
        <v>7.3698599999999999E-5</v>
      </c>
      <c r="BA294" s="464">
        <f t="shared" ca="1" si="263"/>
        <v>2.2109589000000002E-3</v>
      </c>
      <c r="BB294" s="465">
        <f t="shared" ca="1" si="263"/>
        <v>2.2846575E-3</v>
      </c>
      <c r="BC294" s="466">
        <f t="shared" ca="1" si="264"/>
        <v>51561</v>
      </c>
      <c r="BD294" s="467">
        <f t="shared" ca="1" si="277"/>
        <v>51562</v>
      </c>
      <c r="BE294" s="467">
        <f t="shared" ca="1" si="265"/>
        <v>51591</v>
      </c>
      <c r="BF294" s="468">
        <f ca="1">IF(計算!$BC294&lt;OP!$C$3,0,BD294-BC294)</f>
        <v>1</v>
      </c>
      <c r="BG294" s="468">
        <f ca="1">IF($BE294&gt;DATE(YEAR($BD$9)+OP!$C$57,MONTH($BD$9),DAY($BD$9)),0,$BE294-$BD294+1)</f>
        <v>30</v>
      </c>
      <c r="BH294" s="469">
        <f t="shared" ca="1" si="266"/>
        <v>31</v>
      </c>
      <c r="BI294" t="str">
        <f t="shared" si="282"/>
        <v/>
      </c>
      <c r="BJ294">
        <v>9</v>
      </c>
      <c r="BN294" s="468">
        <f t="shared" si="278"/>
        <v>24</v>
      </c>
      <c r="BO294" s="468">
        <f t="shared" si="279"/>
        <v>9</v>
      </c>
      <c r="BP294" s="467">
        <f t="shared" ca="1" si="267"/>
        <v>51562</v>
      </c>
      <c r="BQ294" s="475">
        <f t="shared" ca="1" si="281"/>
        <v>56</v>
      </c>
      <c r="BR294" s="475" t="str">
        <f t="shared" si="280"/>
        <v/>
      </c>
      <c r="BS294" s="471" t="str">
        <f t="shared" si="268"/>
        <v/>
      </c>
      <c r="BT294" s="472" t="str">
        <f t="shared" si="283"/>
        <v/>
      </c>
      <c r="BU294" s="472">
        <f t="shared" ca="1" si="269"/>
        <v>0</v>
      </c>
      <c r="BV294" s="472">
        <f t="shared" ca="1" si="269"/>
        <v>0</v>
      </c>
      <c r="BW294" s="472"/>
      <c r="BX294" s="473">
        <f t="shared" ca="1" si="270"/>
        <v>184781.84703644499</v>
      </c>
      <c r="BY294" s="473">
        <f t="shared" si="271"/>
        <v>0</v>
      </c>
      <c r="BZ294" s="473">
        <f t="shared" ca="1" si="253"/>
        <v>422.16323269600002</v>
      </c>
      <c r="CA294" s="476">
        <f t="shared" ca="1" si="272"/>
        <v>0</v>
      </c>
      <c r="CB294" s="494">
        <f ca="1">IF(OR($Q293&lt;&gt;1,OP!$D$5+$BN294-1&lt;16,$BN294-1&lt;1),0,ROUND(ROUND(ROUND(((VLOOKUP($BN294-1,MORE_PV,5,0)/10000)*VLOOKUP($BN294,MORE_PV,$CB$5,0)),3)*VLOOKUP($BN294,more1,5,0),0)/$R293,0))</f>
        <v>0</v>
      </c>
      <c r="CC294" s="473">
        <f t="shared" ca="1" si="273"/>
        <v>0</v>
      </c>
      <c r="CD294" s="477"/>
    </row>
    <row r="295" spans="2:82" ht="16.5" hidden="1">
      <c r="B295" s="80"/>
      <c r="C295" s="80"/>
      <c r="D295" s="80"/>
      <c r="E295" s="80"/>
      <c r="F295" s="80"/>
      <c r="G295" s="80"/>
      <c r="H295" s="80"/>
      <c r="I295" s="80"/>
      <c r="J295" s="192">
        <f t="shared" si="254"/>
        <v>24</v>
      </c>
      <c r="K295" s="192">
        <f t="shared" si="255"/>
        <v>11</v>
      </c>
      <c r="L295" s="192" t="str">
        <f t="shared" si="250"/>
        <v/>
      </c>
      <c r="M295" s="216">
        <f t="shared" ca="1" si="256"/>
        <v>0</v>
      </c>
      <c r="N295" s="216"/>
      <c r="O295" s="216"/>
      <c r="P295" s="216"/>
      <c r="Q295" s="456" t="str">
        <f t="shared" ca="1" si="257"/>
        <v/>
      </c>
      <c r="R295" s="450">
        <f t="shared" ca="1" si="258"/>
        <v>1</v>
      </c>
      <c r="S295" s="191">
        <f t="shared" si="259"/>
        <v>24</v>
      </c>
      <c r="T295" s="191">
        <f t="shared" si="260"/>
        <v>11</v>
      </c>
      <c r="U295" s="191">
        <f ca="1">OP!$D$5+$S295-1</f>
        <v>56</v>
      </c>
      <c r="V295" s="191" t="str">
        <f t="shared" si="261"/>
        <v/>
      </c>
      <c r="W295" s="350">
        <f ca="1">IF(Q295&lt;&gt;1,0,VLOOKUP(OP!$C$55,PVFB,$S295+2,0))</f>
        <v>0</v>
      </c>
      <c r="X295" s="473">
        <f t="shared" ca="1" si="274"/>
        <v>0</v>
      </c>
      <c r="Y295" s="348">
        <f t="shared" ca="1" si="275"/>
        <v>0</v>
      </c>
      <c r="Z295" s="348">
        <f t="shared" ca="1" si="276"/>
        <v>8012</v>
      </c>
      <c r="AA295" s="348">
        <f ca="1">IF(Q295&lt;&gt;1,0,VLOOKUP(OP!$C$55,PVFB,$S295+2,0))</f>
        <v>0</v>
      </c>
      <c r="AB295" s="488" t="str">
        <f ca="1">IF(AND(S295&lt;OP!$C$24,$U295&lt;15),0,IF(AND($U295&lt;15,$T295=12),ROUND(VLOOKUP($S295,DOWN16,5,0),3),IF($T295=12,ROUND(($Z295/10000)*$AA295,3)+IF(AND($P$7="購買增額繳清保險",T295=12,U295=110),VLOOKUP(S295,$B$10:$H$121,7,0),0),"")))</f>
        <v/>
      </c>
      <c r="AC295" s="350" t="str">
        <f ca="1">IF(AND(S295&lt;OP!$C$24,$U295&lt;15),0,IF(AND($U295&lt;16,$T295=12),VLOOKUP($S295,DOWN16,4,0),IF($T295=12,ROUND(VLOOKUP(OP!$C$55,_DIE2,$S295+1,0)*(Z295/10000),0)+IF(AND($P$7="購買增額繳清保險",T295=12,U295=110),VLOOKUP(S295,$B$10:$H$121,7,0),0),"")))</f>
        <v/>
      </c>
      <c r="AD295" s="347"/>
      <c r="AE295" s="350" t="str">
        <f t="shared" ca="1" si="251"/>
        <v/>
      </c>
      <c r="AF295" s="351" t="str">
        <f t="shared" ca="1" si="252"/>
        <v/>
      </c>
      <c r="AG295" s="340"/>
      <c r="AH295" s="340"/>
      <c r="AI295" s="340"/>
      <c r="AJ295" s="340"/>
      <c r="AK295" s="340"/>
      <c r="AL295" s="340"/>
      <c r="AM295" s="340"/>
      <c r="AN295" s="340"/>
      <c r="AO295" s="340"/>
      <c r="AP295" s="340"/>
      <c r="AQ295" s="340"/>
      <c r="AR295" s="340"/>
      <c r="AS295" s="340"/>
      <c r="AT295" s="340"/>
      <c r="AU295" s="340"/>
      <c r="AV295" s="340"/>
      <c r="AY295" s="340"/>
      <c r="AZ295" s="465">
        <f t="shared" ca="1" si="262"/>
        <v>7.3698599999999999E-5</v>
      </c>
      <c r="BA295" s="464">
        <f t="shared" ca="1" si="263"/>
        <v>2.1372602999999999E-3</v>
      </c>
      <c r="BB295" s="465">
        <f t="shared" ca="1" si="263"/>
        <v>2.2109589000000002E-3</v>
      </c>
      <c r="BC295" s="466">
        <f t="shared" ca="1" si="264"/>
        <v>51592</v>
      </c>
      <c r="BD295" s="467">
        <f t="shared" ca="1" si="277"/>
        <v>51593</v>
      </c>
      <c r="BE295" s="467">
        <f t="shared" ca="1" si="265"/>
        <v>51621</v>
      </c>
      <c r="BF295" s="468">
        <f ca="1">IF(計算!$BC295&lt;OP!$C$3,0,BD295-BC295)</f>
        <v>1</v>
      </c>
      <c r="BG295" s="468">
        <f ca="1">IF($BE295&gt;DATE(YEAR($BD$9)+OP!$C$57,MONTH($BD$9),DAY($BD$9)),0,$BE295-$BD295+1)</f>
        <v>29</v>
      </c>
      <c r="BH295" s="469">
        <f t="shared" ca="1" si="266"/>
        <v>30</v>
      </c>
      <c r="BI295" t="str">
        <f t="shared" si="282"/>
        <v/>
      </c>
      <c r="BJ295">
        <v>10</v>
      </c>
      <c r="BN295" s="468">
        <f t="shared" si="278"/>
        <v>24</v>
      </c>
      <c r="BO295" s="468">
        <f t="shared" si="279"/>
        <v>10</v>
      </c>
      <c r="BP295" s="467">
        <f t="shared" ca="1" si="267"/>
        <v>51593</v>
      </c>
      <c r="BQ295" s="475">
        <f t="shared" ca="1" si="281"/>
        <v>56</v>
      </c>
      <c r="BR295" s="475" t="str">
        <f t="shared" si="280"/>
        <v/>
      </c>
      <c r="BS295" s="471" t="str">
        <f t="shared" si="268"/>
        <v/>
      </c>
      <c r="BT295" s="472" t="str">
        <f t="shared" si="283"/>
        <v/>
      </c>
      <c r="BU295" s="472">
        <f t="shared" ca="1" si="269"/>
        <v>0</v>
      </c>
      <c r="BV295" s="472">
        <f t="shared" ca="1" si="269"/>
        <v>0</v>
      </c>
      <c r="BW295" s="472"/>
      <c r="BX295" s="473">
        <f t="shared" ca="1" si="270"/>
        <v>185204.010269141</v>
      </c>
      <c r="BY295" s="473">
        <f t="shared" si="271"/>
        <v>0</v>
      </c>
      <c r="BZ295" s="473">
        <f t="shared" ca="1" si="253"/>
        <v>409.47845482000002</v>
      </c>
      <c r="CA295" s="476">
        <f t="shared" ca="1" si="272"/>
        <v>0</v>
      </c>
      <c r="CB295" s="494">
        <f ca="1">IF(OR($Q294&lt;&gt;1,OP!$D$5+$BN295-1&lt;16,$BN295-1&lt;1),0,ROUND(ROUND(ROUND(((VLOOKUP($BN295-1,MORE_PV,5,0)/10000)*VLOOKUP($BN295,MORE_PV,$CB$5,0)),3)*VLOOKUP($BN295,more1,5,0),0)/$R294,0))</f>
        <v>0</v>
      </c>
      <c r="CC295" s="473">
        <f t="shared" ca="1" si="273"/>
        <v>0</v>
      </c>
      <c r="CD295" s="477"/>
    </row>
    <row r="296" spans="2:82" ht="16.5" hidden="1">
      <c r="B296" s="80"/>
      <c r="C296" s="80"/>
      <c r="D296" s="80"/>
      <c r="E296" s="80"/>
      <c r="F296" s="80"/>
      <c r="G296" s="80"/>
      <c r="H296" s="80"/>
      <c r="I296" s="80"/>
      <c r="J296" s="192">
        <f t="shared" si="254"/>
        <v>24</v>
      </c>
      <c r="K296" s="192">
        <f t="shared" si="255"/>
        <v>12</v>
      </c>
      <c r="L296" s="192">
        <f t="shared" si="250"/>
        <v>24</v>
      </c>
      <c r="M296" s="216">
        <f t="shared" ca="1" si="256"/>
        <v>196314</v>
      </c>
      <c r="N296" s="216"/>
      <c r="O296" s="216"/>
      <c r="P296" s="216"/>
      <c r="Q296" s="456">
        <f t="shared" ca="1" si="257"/>
        <v>1</v>
      </c>
      <c r="R296" s="450">
        <f t="shared" ca="1" si="258"/>
        <v>1</v>
      </c>
      <c r="S296" s="191">
        <f t="shared" si="259"/>
        <v>24</v>
      </c>
      <c r="T296" s="191">
        <f t="shared" si="260"/>
        <v>12</v>
      </c>
      <c r="U296" s="191">
        <f ca="1">OP!$D$5+$S296-1</f>
        <v>56</v>
      </c>
      <c r="V296" s="191">
        <f t="shared" si="261"/>
        <v>24</v>
      </c>
      <c r="W296" s="350">
        <f ca="1">IF(Q296&lt;&gt;1,0,VLOOKUP(OP!$C$55,PVFB,$S296+2,0))</f>
        <v>42733</v>
      </c>
      <c r="X296" s="473">
        <f t="shared" ca="1" si="274"/>
        <v>10261</v>
      </c>
      <c r="Y296" s="348">
        <f t="shared" ca="1" si="275"/>
        <v>0</v>
      </c>
      <c r="Z296" s="348">
        <f t="shared" ca="1" si="276"/>
        <v>8012</v>
      </c>
      <c r="AA296" s="348">
        <f ca="1">IF(Q296&lt;&gt;1,0,VLOOKUP(OP!$C$55,PVFB,$S296+2,0))</f>
        <v>42733</v>
      </c>
      <c r="AB296" s="488">
        <f ca="1">IF(AND(S296&lt;OP!$C$24,$U296&lt;15),0,IF(AND($U296&lt;15,$T296=12),ROUND(VLOOKUP($S296,DOWN16,5,0),3),IF($T296=12,ROUND(($Z296/10000)*$AA296,3)+IF(AND($P$7="購買增額繳清保險",T296=12,U296=110),VLOOKUP(S296,$B$10:$H$121,7,0),0),"")))</f>
        <v>34237.68</v>
      </c>
      <c r="AC296" s="350">
        <f ca="1">IF(AND(S296&lt;OP!$C$24,$U296&lt;15),0,IF(AND($U296&lt;16,$T296=12),VLOOKUP($S296,DOWN16,4,0),IF($T296=12,ROUND(VLOOKUP(OP!$C$55,_DIE2,$S296+1,0)*(Z296/10000),0)+IF(AND($P$7="購買增額繳清保險",T296=12,U296=110),VLOOKUP(S296,$B$10:$H$121,7,0),0),"")))</f>
        <v>34238</v>
      </c>
      <c r="AD296" s="347"/>
      <c r="AE296" s="350" t="str">
        <f t="shared" ca="1" si="251"/>
        <v/>
      </c>
      <c r="AF296" s="351" t="str">
        <f t="shared" ca="1" si="252"/>
        <v/>
      </c>
      <c r="AG296" s="340"/>
      <c r="AH296" s="340"/>
      <c r="AI296" s="340"/>
      <c r="AJ296" s="340"/>
      <c r="AK296" s="340"/>
      <c r="AL296" s="340"/>
      <c r="AM296" s="340"/>
      <c r="AN296" s="340"/>
      <c r="AO296" s="340"/>
      <c r="AP296" s="340"/>
      <c r="AQ296" s="340"/>
      <c r="AR296" s="340"/>
      <c r="AS296" s="340"/>
      <c r="AT296" s="340"/>
      <c r="AU296" s="340"/>
      <c r="AV296" s="340"/>
      <c r="AY296" s="340"/>
      <c r="AZ296" s="465">
        <f t="shared" ca="1" si="262"/>
        <v>7.3698599999999999E-5</v>
      </c>
      <c r="BA296" s="464">
        <f t="shared" ca="1" si="263"/>
        <v>2.2109589000000002E-3</v>
      </c>
      <c r="BB296" s="465">
        <f t="shared" ca="1" si="263"/>
        <v>2.2846575E-3</v>
      </c>
      <c r="BC296" s="466">
        <f t="shared" ca="1" si="264"/>
        <v>51622</v>
      </c>
      <c r="BD296" s="467">
        <f t="shared" ca="1" si="277"/>
        <v>51623</v>
      </c>
      <c r="BE296" s="467">
        <f t="shared" ca="1" si="265"/>
        <v>51652</v>
      </c>
      <c r="BF296" s="468">
        <f ca="1">IF(計算!$BC296&lt;OP!$C$3,0,BD296-BC296)</f>
        <v>1</v>
      </c>
      <c r="BG296" s="468">
        <f ca="1">IF($BE296&gt;DATE(YEAR($BD$9)+OP!$C$57,MONTH($BD$9),DAY($BD$9)),0,$BE296-$BD296+1)</f>
        <v>30</v>
      </c>
      <c r="BH296" s="469">
        <f t="shared" ca="1" si="266"/>
        <v>31</v>
      </c>
      <c r="BI296" t="str">
        <f t="shared" si="282"/>
        <v/>
      </c>
      <c r="BJ296">
        <v>11</v>
      </c>
      <c r="BN296" s="468">
        <f t="shared" si="278"/>
        <v>24</v>
      </c>
      <c r="BO296" s="468">
        <f t="shared" si="279"/>
        <v>11</v>
      </c>
      <c r="BP296" s="467">
        <f t="shared" ca="1" si="267"/>
        <v>51623</v>
      </c>
      <c r="BQ296" s="475">
        <f t="shared" ca="1" si="281"/>
        <v>56</v>
      </c>
      <c r="BR296" s="475" t="str">
        <f t="shared" si="280"/>
        <v/>
      </c>
      <c r="BS296" s="471" t="str">
        <f t="shared" si="268"/>
        <v/>
      </c>
      <c r="BT296" s="472" t="str">
        <f t="shared" si="283"/>
        <v/>
      </c>
      <c r="BU296" s="472">
        <f t="shared" ca="1" si="269"/>
        <v>0</v>
      </c>
      <c r="BV296" s="472">
        <f t="shared" ca="1" si="269"/>
        <v>0</v>
      </c>
      <c r="BW296" s="472"/>
      <c r="BX296" s="473">
        <f t="shared" ca="1" si="270"/>
        <v>185613.488723961</v>
      </c>
      <c r="BY296" s="473">
        <f t="shared" si="271"/>
        <v>0</v>
      </c>
      <c r="BZ296" s="473">
        <f t="shared" ca="1" si="253"/>
        <v>424.06324911399997</v>
      </c>
      <c r="CA296" s="476">
        <f t="shared" ca="1" si="272"/>
        <v>0</v>
      </c>
      <c r="CB296" s="494">
        <f ca="1">IF(OR($Q295&lt;&gt;1,OP!$D$5+$BN296-1&lt;16,$BN296-1&lt;1),0,ROUND(ROUND(ROUND(((VLOOKUP($BN296-1,MORE_PV,5,0)/10000)*VLOOKUP($BN296,MORE_PV,$CB$5,0)),3)*VLOOKUP($BN296,more1,5,0),0)/$R295,0))</f>
        <v>0</v>
      </c>
      <c r="CC296" s="473">
        <f t="shared" ca="1" si="273"/>
        <v>0</v>
      </c>
      <c r="CD296" s="477"/>
    </row>
    <row r="297" spans="2:82" ht="16.5" hidden="1">
      <c r="B297" s="80"/>
      <c r="C297" s="80"/>
      <c r="D297" s="80"/>
      <c r="E297" s="80"/>
      <c r="F297" s="80"/>
      <c r="G297" s="80"/>
      <c r="H297" s="80"/>
      <c r="I297" s="80"/>
      <c r="J297" s="192">
        <f t="shared" si="254"/>
        <v>25</v>
      </c>
      <c r="K297" s="192">
        <f t="shared" si="255"/>
        <v>1</v>
      </c>
      <c r="L297" s="192" t="str">
        <f t="shared" si="250"/>
        <v/>
      </c>
      <c r="M297" s="216">
        <f t="shared" ca="1" si="256"/>
        <v>0</v>
      </c>
      <c r="N297" s="216"/>
      <c r="O297" s="216"/>
      <c r="P297" s="216"/>
      <c r="Q297" s="456" t="str">
        <f t="shared" ca="1" si="257"/>
        <v/>
      </c>
      <c r="R297" s="450">
        <f t="shared" ca="1" si="258"/>
        <v>1</v>
      </c>
      <c r="S297" s="191">
        <f t="shared" si="259"/>
        <v>25</v>
      </c>
      <c r="T297" s="191">
        <f t="shared" si="260"/>
        <v>1</v>
      </c>
      <c r="U297" s="191">
        <f ca="1">OP!$D$5+$S297-1</f>
        <v>57</v>
      </c>
      <c r="V297" s="191" t="str">
        <f t="shared" si="261"/>
        <v/>
      </c>
      <c r="W297" s="350">
        <f ca="1">IF(Q297&lt;&gt;1,0,VLOOKUP(OP!$C$55,PVFB,$S297+2,0))</f>
        <v>0</v>
      </c>
      <c r="X297" s="473">
        <f t="shared" ca="1" si="274"/>
        <v>0</v>
      </c>
      <c r="Y297" s="348">
        <f t="shared" ca="1" si="275"/>
        <v>0</v>
      </c>
      <c r="Z297" s="348">
        <f t="shared" ca="1" si="276"/>
        <v>8012</v>
      </c>
      <c r="AA297" s="348">
        <f ca="1">IF(Q297&lt;&gt;1,0,VLOOKUP(OP!$C$55,PVFB,$S297+2,0))</f>
        <v>0</v>
      </c>
      <c r="AB297" s="488" t="str">
        <f ca="1">IF(AND(S297&lt;OP!$C$24,$U297&lt;15),0,IF(AND($U297&lt;15,$T297=12),ROUND(VLOOKUP($S297,DOWN16,5,0),3),IF($T297=12,ROUND(($Z297/10000)*$AA297,3)+IF(AND($P$7="購買增額繳清保險",T297=12,U297=110),VLOOKUP(S297,$B$10:$H$121,7,0),0),"")))</f>
        <v/>
      </c>
      <c r="AC297" s="350" t="str">
        <f ca="1">IF(AND(S297&lt;OP!$C$24,$U297&lt;15),0,IF(AND($U297&lt;16,$T297=12),VLOOKUP($S297,DOWN16,4,0),IF($T297=12,ROUND(VLOOKUP(OP!$C$55,_DIE2,$S297+1,0)*(Z297/10000),0)+IF(AND($P$7="購買增額繳清保險",T297=12,U297=110),VLOOKUP(S297,$B$10:$H$121,7,0),0),"")))</f>
        <v/>
      </c>
      <c r="AD297" s="347"/>
      <c r="AE297" s="350" t="str">
        <f t="shared" ca="1" si="251"/>
        <v/>
      </c>
      <c r="AF297" s="351" t="str">
        <f t="shared" ca="1" si="252"/>
        <v/>
      </c>
      <c r="AG297" s="340"/>
      <c r="AH297" s="340"/>
      <c r="AI297" s="340"/>
      <c r="AJ297" s="340"/>
      <c r="AK297" s="340"/>
      <c r="AL297" s="340"/>
      <c r="AM297" s="340"/>
      <c r="AN297" s="340"/>
      <c r="AO297" s="340"/>
      <c r="AP297" s="340"/>
      <c r="AQ297" s="340"/>
      <c r="AR297" s="340"/>
      <c r="AS297" s="340"/>
      <c r="AT297" s="340"/>
      <c r="AU297" s="340"/>
      <c r="AV297" s="340"/>
      <c r="AY297" s="340"/>
      <c r="AZ297" s="465">
        <f t="shared" ca="1" si="262"/>
        <v>7.3698599999999999E-5</v>
      </c>
      <c r="BA297" s="464">
        <f t="shared" ca="1" si="263"/>
        <v>2.1372602999999999E-3</v>
      </c>
      <c r="BB297" s="465">
        <f t="shared" ca="1" si="263"/>
        <v>2.2109589000000002E-3</v>
      </c>
      <c r="BC297" s="466">
        <f t="shared" ca="1" si="264"/>
        <v>51653</v>
      </c>
      <c r="BD297" s="467">
        <f t="shared" ca="1" si="277"/>
        <v>51654</v>
      </c>
      <c r="BE297" s="467">
        <f t="shared" ca="1" si="265"/>
        <v>51682</v>
      </c>
      <c r="BF297" s="468">
        <f ca="1">IF(計算!$BC297&lt;OP!$C$3,0,BD297-BC297)</f>
        <v>1</v>
      </c>
      <c r="BG297" s="468">
        <f ca="1">IF($BE297&gt;DATE(YEAR($BD$9)+OP!$C$57,MONTH($BD$9),DAY($BD$9)),0,$BE297-$BD297+1)</f>
        <v>29</v>
      </c>
      <c r="BH297" s="469">
        <f t="shared" ca="1" si="266"/>
        <v>30</v>
      </c>
      <c r="BI297">
        <f t="shared" ca="1" si="282"/>
        <v>365</v>
      </c>
      <c r="BJ297">
        <v>12</v>
      </c>
      <c r="BN297" s="468">
        <f t="shared" si="278"/>
        <v>24</v>
      </c>
      <c r="BO297" s="468">
        <f t="shared" si="279"/>
        <v>12</v>
      </c>
      <c r="BP297" s="467">
        <f t="shared" ca="1" si="267"/>
        <v>51654</v>
      </c>
      <c r="BQ297" s="475">
        <f t="shared" ca="1" si="281"/>
        <v>56</v>
      </c>
      <c r="BR297" s="475">
        <f t="shared" si="280"/>
        <v>24</v>
      </c>
      <c r="BS297" s="471">
        <f t="shared" ca="1" si="268"/>
        <v>10261</v>
      </c>
      <c r="BT297" s="472">
        <f t="shared" ca="1" si="283"/>
        <v>196314</v>
      </c>
      <c r="BU297" s="472">
        <f t="shared" ca="1" si="269"/>
        <v>10025</v>
      </c>
      <c r="BV297" s="472">
        <f t="shared" ca="1" si="269"/>
        <v>236</v>
      </c>
      <c r="BW297" s="472">
        <f ca="1">ROUND(SUM(BY297,BZ285:BZ296),0)</f>
        <v>4933</v>
      </c>
      <c r="BX297" s="473">
        <f t="shared" ca="1" si="270"/>
        <v>196312.26268020301</v>
      </c>
      <c r="BY297" s="473">
        <f t="shared" ca="1" si="271"/>
        <v>13.710707127999999</v>
      </c>
      <c r="BZ297" s="473">
        <f t="shared" ca="1" si="253"/>
        <v>419.57040542999999</v>
      </c>
      <c r="CA297" s="476">
        <f t="shared" ca="1" si="272"/>
        <v>10025</v>
      </c>
      <c r="CB297" s="494">
        <f ca="1">IF(OR($Q296&lt;&gt;1,OP!$D$5+$BN297-1&lt;16,$BN297-1&lt;1),0,ROUND(ROUND(ROUND(((VLOOKUP($BN297-1,MORE_PV,5,0)/10000)*VLOOKUP($BN297,MORE_PV,$CB$5,0)),3)*VLOOKUP($BN297,more1,5,0),0)/$R296,0))</f>
        <v>236</v>
      </c>
      <c r="CC297" s="473">
        <f t="shared" ca="1" si="273"/>
        <v>0</v>
      </c>
      <c r="CD297" s="477"/>
    </row>
    <row r="298" spans="2:82" ht="16.5" hidden="1">
      <c r="B298" s="80"/>
      <c r="C298" s="80"/>
      <c r="D298" s="80"/>
      <c r="E298" s="80"/>
      <c r="F298" s="80"/>
      <c r="G298" s="80"/>
      <c r="H298" s="80"/>
      <c r="I298" s="80"/>
      <c r="J298" s="192">
        <f t="shared" si="254"/>
        <v>25</v>
      </c>
      <c r="K298" s="192">
        <f t="shared" si="255"/>
        <v>2</v>
      </c>
      <c r="L298" s="192" t="str">
        <f t="shared" si="250"/>
        <v/>
      </c>
      <c r="M298" s="216">
        <f t="shared" ca="1" si="256"/>
        <v>0</v>
      </c>
      <c r="N298" s="216"/>
      <c r="O298" s="216"/>
      <c r="P298" s="216"/>
      <c r="Q298" s="456" t="str">
        <f t="shared" ca="1" si="257"/>
        <v/>
      </c>
      <c r="R298" s="450">
        <f t="shared" ca="1" si="258"/>
        <v>1</v>
      </c>
      <c r="S298" s="191">
        <f t="shared" si="259"/>
        <v>25</v>
      </c>
      <c r="T298" s="191">
        <f t="shared" si="260"/>
        <v>2</v>
      </c>
      <c r="U298" s="191">
        <f ca="1">OP!$D$5+$S298-1</f>
        <v>57</v>
      </c>
      <c r="V298" s="191" t="str">
        <f t="shared" si="261"/>
        <v/>
      </c>
      <c r="W298" s="350">
        <f ca="1">IF(Q298&lt;&gt;1,0,VLOOKUP(OP!$C$55,PVFB,$S298+2,0))</f>
        <v>0</v>
      </c>
      <c r="X298" s="473">
        <f t="shared" ca="1" si="274"/>
        <v>0</v>
      </c>
      <c r="Y298" s="348">
        <f t="shared" ca="1" si="275"/>
        <v>0</v>
      </c>
      <c r="Z298" s="348">
        <f t="shared" ca="1" si="276"/>
        <v>8012</v>
      </c>
      <c r="AA298" s="348">
        <f ca="1">IF(Q298&lt;&gt;1,0,VLOOKUP(OP!$C$55,PVFB,$S298+2,0))</f>
        <v>0</v>
      </c>
      <c r="AB298" s="488" t="str">
        <f ca="1">IF(AND(S298&lt;OP!$C$24,$U298&lt;15),0,IF(AND($U298&lt;15,$T298=12),ROUND(VLOOKUP($S298,DOWN16,5,0),3),IF($T298=12,ROUND(($Z298/10000)*$AA298,3)+IF(AND($P$7="購買增額繳清保險",T298=12,U298=110),VLOOKUP(S298,$B$10:$H$121,7,0),0),"")))</f>
        <v/>
      </c>
      <c r="AC298" s="350" t="str">
        <f ca="1">IF(AND(S298&lt;OP!$C$24,$U298&lt;15),0,IF(AND($U298&lt;16,$T298=12),VLOOKUP($S298,DOWN16,4,0),IF($T298=12,ROUND(VLOOKUP(OP!$C$55,_DIE2,$S298+1,0)*(Z298/10000),0)+IF(AND($P$7="購買增額繳清保險",T298=12,U298=110),VLOOKUP(S298,$B$10:$H$121,7,0),0),"")))</f>
        <v/>
      </c>
      <c r="AD298" s="347"/>
      <c r="AE298" s="350" t="str">
        <f t="shared" ca="1" si="251"/>
        <v/>
      </c>
      <c r="AF298" s="351" t="str">
        <f t="shared" ca="1" si="252"/>
        <v/>
      </c>
      <c r="AG298" s="340"/>
      <c r="AH298" s="340"/>
      <c r="AI298" s="340"/>
      <c r="AJ298" s="340"/>
      <c r="AK298" s="340"/>
      <c r="AL298" s="340"/>
      <c r="AM298" s="340"/>
      <c r="AN298" s="340"/>
      <c r="AO298" s="340"/>
      <c r="AP298" s="340"/>
      <c r="AQ298" s="340"/>
      <c r="AR298" s="340"/>
      <c r="AS298" s="340"/>
      <c r="AT298" s="340"/>
      <c r="AU298" s="340"/>
      <c r="AV298" s="340"/>
      <c r="AY298" s="340"/>
      <c r="AZ298" s="465">
        <f t="shared" ca="1" si="262"/>
        <v>7.3698599999999999E-5</v>
      </c>
      <c r="BA298" s="464">
        <f t="shared" ca="1" si="263"/>
        <v>2.2109589000000002E-3</v>
      </c>
      <c r="BB298" s="465">
        <f t="shared" ca="1" si="263"/>
        <v>2.2846575E-3</v>
      </c>
      <c r="BC298" s="466">
        <f t="shared" ca="1" si="264"/>
        <v>51683</v>
      </c>
      <c r="BD298" s="467">
        <f t="shared" ca="1" si="277"/>
        <v>51684</v>
      </c>
      <c r="BE298" s="467">
        <f t="shared" ca="1" si="265"/>
        <v>51713</v>
      </c>
      <c r="BF298" s="468">
        <f ca="1">IF(計算!$BC298&lt;OP!$C$3,0,BD298-BC298)</f>
        <v>1</v>
      </c>
      <c r="BG298" s="468">
        <f ca="1">IF($BE298&gt;DATE(YEAR($BD$9)+OP!$C$57,MONTH($BD$9),DAY($BD$9)),0,$BE298-$BD298+1)</f>
        <v>30</v>
      </c>
      <c r="BH298" s="469">
        <f t="shared" ca="1" si="266"/>
        <v>31</v>
      </c>
      <c r="BI298" t="str">
        <f t="shared" si="282"/>
        <v/>
      </c>
      <c r="BJ298">
        <v>1</v>
      </c>
      <c r="BN298" s="468">
        <f t="shared" si="278"/>
        <v>25</v>
      </c>
      <c r="BO298" s="468">
        <f t="shared" si="279"/>
        <v>1</v>
      </c>
      <c r="BP298" s="467">
        <f t="shared" ca="1" si="267"/>
        <v>51684</v>
      </c>
      <c r="BQ298" s="475">
        <f t="shared" ca="1" si="281"/>
        <v>57</v>
      </c>
      <c r="BR298" s="475" t="str">
        <f t="shared" si="280"/>
        <v/>
      </c>
      <c r="BS298" s="471" t="str">
        <f t="shared" si="268"/>
        <v/>
      </c>
      <c r="BT298" s="472" t="str">
        <f t="shared" si="283"/>
        <v/>
      </c>
      <c r="BU298" s="472">
        <f t="shared" ca="1" si="269"/>
        <v>0</v>
      </c>
      <c r="BV298" s="472">
        <f t="shared" ca="1" si="269"/>
        <v>0</v>
      </c>
      <c r="BW298" s="472"/>
      <c r="BX298" s="473">
        <f t="shared" ca="1" si="270"/>
        <v>196731.833085633</v>
      </c>
      <c r="BY298" s="473">
        <f t="shared" si="271"/>
        <v>0</v>
      </c>
      <c r="BZ298" s="473">
        <f t="shared" ca="1" si="253"/>
        <v>449.46485794799997</v>
      </c>
      <c r="CA298" s="476">
        <f t="shared" ca="1" si="272"/>
        <v>0</v>
      </c>
      <c r="CB298" s="494">
        <f ca="1">IF(OR($Q297&lt;&gt;1,OP!$D$5+$BN298-1&lt;16,$BN298-1&lt;1),0,ROUND(ROUND(ROUND(((VLOOKUP($BN298-1,MORE_PV,5,0)/10000)*VLOOKUP($BN298,MORE_PV,$CB$5,0)),3)*VLOOKUP($BN298,more1,5,0),0)/$R297,0))</f>
        <v>0</v>
      </c>
      <c r="CC298" s="473">
        <f t="shared" ca="1" si="273"/>
        <v>0</v>
      </c>
      <c r="CD298" s="477"/>
    </row>
    <row r="299" spans="2:82" ht="16.5" hidden="1">
      <c r="B299" s="80"/>
      <c r="C299" s="80"/>
      <c r="D299" s="80"/>
      <c r="E299" s="80"/>
      <c r="F299" s="80"/>
      <c r="G299" s="80"/>
      <c r="H299" s="80"/>
      <c r="I299" s="80"/>
      <c r="J299" s="192">
        <f t="shared" si="254"/>
        <v>25</v>
      </c>
      <c r="K299" s="192">
        <f t="shared" si="255"/>
        <v>3</v>
      </c>
      <c r="L299" s="192" t="str">
        <f t="shared" si="250"/>
        <v/>
      </c>
      <c r="M299" s="216">
        <f t="shared" ca="1" si="256"/>
        <v>0</v>
      </c>
      <c r="N299" s="216"/>
      <c r="O299" s="216"/>
      <c r="P299" s="216"/>
      <c r="Q299" s="456" t="str">
        <f t="shared" ca="1" si="257"/>
        <v/>
      </c>
      <c r="R299" s="450">
        <f t="shared" ca="1" si="258"/>
        <v>1</v>
      </c>
      <c r="S299" s="191">
        <f t="shared" si="259"/>
        <v>25</v>
      </c>
      <c r="T299" s="191">
        <f t="shared" si="260"/>
        <v>3</v>
      </c>
      <c r="U299" s="191">
        <f ca="1">OP!$D$5+$S299-1</f>
        <v>57</v>
      </c>
      <c r="V299" s="191" t="str">
        <f t="shared" si="261"/>
        <v/>
      </c>
      <c r="W299" s="350">
        <f ca="1">IF(Q299&lt;&gt;1,0,VLOOKUP(OP!$C$55,PVFB,$S299+2,0))</f>
        <v>0</v>
      </c>
      <c r="X299" s="473">
        <f t="shared" ca="1" si="274"/>
        <v>0</v>
      </c>
      <c r="Y299" s="348">
        <f t="shared" ca="1" si="275"/>
        <v>0</v>
      </c>
      <c r="Z299" s="348">
        <f t="shared" ca="1" si="276"/>
        <v>8012</v>
      </c>
      <c r="AA299" s="348">
        <f ca="1">IF(Q299&lt;&gt;1,0,VLOOKUP(OP!$C$55,PVFB,$S299+2,0))</f>
        <v>0</v>
      </c>
      <c r="AB299" s="488" t="str">
        <f ca="1">IF(AND(S299&lt;OP!$C$24,$U299&lt;15),0,IF(AND($U299&lt;15,$T299=12),ROUND(VLOOKUP($S299,DOWN16,5,0),3),IF($T299=12,ROUND(($Z299/10000)*$AA299,3)+IF(AND($P$7="購買增額繳清保險",T299=12,U299=110),VLOOKUP(S299,$B$10:$H$121,7,0),0),"")))</f>
        <v/>
      </c>
      <c r="AC299" s="350" t="str">
        <f ca="1">IF(AND(S299&lt;OP!$C$24,$U299&lt;15),0,IF(AND($U299&lt;16,$T299=12),VLOOKUP($S299,DOWN16,4,0),IF($T299=12,ROUND(VLOOKUP(OP!$C$55,_DIE2,$S299+1,0)*(Z299/10000),0)+IF(AND($P$7="購買增額繳清保險",T299=12,U299=110),VLOOKUP(S299,$B$10:$H$121,7,0),0),"")))</f>
        <v/>
      </c>
      <c r="AD299" s="347"/>
      <c r="AE299" s="350" t="str">
        <f t="shared" ca="1" si="251"/>
        <v/>
      </c>
      <c r="AF299" s="351" t="str">
        <f t="shared" ca="1" si="252"/>
        <v/>
      </c>
      <c r="AG299" s="340"/>
      <c r="AH299" s="340"/>
      <c r="AI299" s="340"/>
      <c r="AJ299" s="340"/>
      <c r="AK299" s="340"/>
      <c r="AL299" s="340"/>
      <c r="AM299" s="340"/>
      <c r="AN299" s="340"/>
      <c r="AO299" s="340"/>
      <c r="AP299" s="340"/>
      <c r="AQ299" s="340"/>
      <c r="AR299" s="340"/>
      <c r="AS299" s="340"/>
      <c r="AT299" s="340"/>
      <c r="AU299" s="340"/>
      <c r="AV299" s="340"/>
      <c r="AY299" s="340"/>
      <c r="AZ299" s="465">
        <f t="shared" ca="1" si="262"/>
        <v>7.3698599999999999E-5</v>
      </c>
      <c r="BA299" s="464">
        <f t="shared" ca="1" si="263"/>
        <v>2.2109589000000002E-3</v>
      </c>
      <c r="BB299" s="465">
        <f t="shared" ca="1" si="263"/>
        <v>2.2846575E-3</v>
      </c>
      <c r="BC299" s="466">
        <f t="shared" ca="1" si="264"/>
        <v>51714</v>
      </c>
      <c r="BD299" s="467">
        <f t="shared" ca="1" si="277"/>
        <v>51715</v>
      </c>
      <c r="BE299" s="467">
        <f t="shared" ca="1" si="265"/>
        <v>51744</v>
      </c>
      <c r="BF299" s="468">
        <f ca="1">IF(計算!$BC299&lt;OP!$C$3,0,BD299-BC299)</f>
        <v>1</v>
      </c>
      <c r="BG299" s="468">
        <f ca="1">IF($BE299&gt;DATE(YEAR($BD$9)+OP!$C$57,MONTH($BD$9),DAY($BD$9)),0,$BE299-$BD299+1)</f>
        <v>30</v>
      </c>
      <c r="BH299" s="469">
        <f t="shared" ca="1" si="266"/>
        <v>31</v>
      </c>
      <c r="BI299" t="str">
        <f t="shared" si="282"/>
        <v/>
      </c>
      <c r="BJ299">
        <v>2</v>
      </c>
      <c r="BN299" s="468">
        <f t="shared" si="278"/>
        <v>25</v>
      </c>
      <c r="BO299" s="468">
        <f t="shared" si="279"/>
        <v>2</v>
      </c>
      <c r="BP299" s="467">
        <f t="shared" ca="1" si="267"/>
        <v>51715</v>
      </c>
      <c r="BQ299" s="475">
        <f t="shared" ca="1" si="281"/>
        <v>57</v>
      </c>
      <c r="BR299" s="475" t="str">
        <f t="shared" si="280"/>
        <v/>
      </c>
      <c r="BS299" s="471" t="str">
        <f t="shared" si="268"/>
        <v/>
      </c>
      <c r="BT299" s="472" t="str">
        <f t="shared" si="283"/>
        <v/>
      </c>
      <c r="BU299" s="472">
        <f t="shared" ca="1" si="269"/>
        <v>0</v>
      </c>
      <c r="BV299" s="472">
        <f t="shared" ca="1" si="269"/>
        <v>0</v>
      </c>
      <c r="BW299" s="472"/>
      <c r="BX299" s="473">
        <f t="shared" ca="1" si="270"/>
        <v>197181.29794358101</v>
      </c>
      <c r="BY299" s="473">
        <f t="shared" si="271"/>
        <v>0</v>
      </c>
      <c r="BZ299" s="473">
        <f t="shared" ca="1" si="253"/>
        <v>450.49173120699999</v>
      </c>
      <c r="CA299" s="476">
        <f t="shared" ca="1" si="272"/>
        <v>0</v>
      </c>
      <c r="CB299" s="494">
        <f ca="1">IF(OR($Q298&lt;&gt;1,OP!$D$5+$BN299-1&lt;16,$BN299-1&lt;1),0,ROUND(ROUND(ROUND(((VLOOKUP($BN299-1,MORE_PV,5,0)/10000)*VLOOKUP($BN299,MORE_PV,$CB$5,0)),3)*VLOOKUP($BN299,more1,5,0),0)/$R298,0))</f>
        <v>0</v>
      </c>
      <c r="CC299" s="473">
        <f t="shared" ca="1" si="273"/>
        <v>0</v>
      </c>
      <c r="CD299" s="477"/>
    </row>
    <row r="300" spans="2:82" ht="16.5" hidden="1">
      <c r="B300" s="80"/>
      <c r="C300" s="80"/>
      <c r="D300" s="80"/>
      <c r="E300" s="80"/>
      <c r="F300" s="80"/>
      <c r="G300" s="80"/>
      <c r="H300" s="80"/>
      <c r="I300" s="80"/>
      <c r="J300" s="192">
        <f t="shared" si="254"/>
        <v>25</v>
      </c>
      <c r="K300" s="192">
        <f t="shared" si="255"/>
        <v>4</v>
      </c>
      <c r="L300" s="192" t="str">
        <f t="shared" si="250"/>
        <v/>
      </c>
      <c r="M300" s="216">
        <f t="shared" ca="1" si="256"/>
        <v>0</v>
      </c>
      <c r="N300" s="216"/>
      <c r="O300" s="216"/>
      <c r="P300" s="216"/>
      <c r="Q300" s="456" t="str">
        <f t="shared" ca="1" si="257"/>
        <v/>
      </c>
      <c r="R300" s="450">
        <f t="shared" ca="1" si="258"/>
        <v>1</v>
      </c>
      <c r="S300" s="191">
        <f t="shared" si="259"/>
        <v>25</v>
      </c>
      <c r="T300" s="191">
        <f t="shared" si="260"/>
        <v>4</v>
      </c>
      <c r="U300" s="191">
        <f ca="1">OP!$D$5+$S300-1</f>
        <v>57</v>
      </c>
      <c r="V300" s="191" t="str">
        <f t="shared" si="261"/>
        <v/>
      </c>
      <c r="W300" s="350">
        <f ca="1">IF(Q300&lt;&gt;1,0,VLOOKUP(OP!$C$55,PVFB,$S300+2,0))</f>
        <v>0</v>
      </c>
      <c r="X300" s="473">
        <f t="shared" ca="1" si="274"/>
        <v>0</v>
      </c>
      <c r="Y300" s="348">
        <f t="shared" ca="1" si="275"/>
        <v>0</v>
      </c>
      <c r="Z300" s="348">
        <f t="shared" ca="1" si="276"/>
        <v>8012</v>
      </c>
      <c r="AA300" s="348">
        <f ca="1">IF(Q300&lt;&gt;1,0,VLOOKUP(OP!$C$55,PVFB,$S300+2,0))</f>
        <v>0</v>
      </c>
      <c r="AB300" s="488" t="str">
        <f ca="1">IF(AND(S300&lt;OP!$C$24,$U300&lt;15),0,IF(AND($U300&lt;15,$T300=12),ROUND(VLOOKUP($S300,DOWN16,5,0),3),IF($T300=12,ROUND(($Z300/10000)*$AA300,3)+IF(AND($P$7="購買增額繳清保險",T300=12,U300=110),VLOOKUP(S300,$B$10:$H$121,7,0),0),"")))</f>
        <v/>
      </c>
      <c r="AC300" s="350" t="str">
        <f ca="1">IF(AND(S300&lt;OP!$C$24,$U300&lt;15),0,IF(AND($U300&lt;16,$T300=12),VLOOKUP($S300,DOWN16,4,0),IF($T300=12,ROUND(VLOOKUP(OP!$C$55,_DIE2,$S300+1,0)*(Z300/10000),0)+IF(AND($P$7="購買增額繳清保險",T300=12,U300=110),VLOOKUP(S300,$B$10:$H$121,7,0),0),"")))</f>
        <v/>
      </c>
      <c r="AD300" s="347"/>
      <c r="AE300" s="350" t="str">
        <f t="shared" ca="1" si="251"/>
        <v/>
      </c>
      <c r="AF300" s="351" t="str">
        <f t="shared" ca="1" si="252"/>
        <v/>
      </c>
      <c r="AG300" s="340"/>
      <c r="AH300" s="340"/>
      <c r="AI300" s="340"/>
      <c r="AJ300" s="340"/>
      <c r="AK300" s="340"/>
      <c r="AL300" s="340"/>
      <c r="AM300" s="340"/>
      <c r="AN300" s="340"/>
      <c r="AO300" s="340"/>
      <c r="AP300" s="340"/>
      <c r="AQ300" s="340"/>
      <c r="AR300" s="340"/>
      <c r="AS300" s="340"/>
      <c r="AT300" s="340"/>
      <c r="AU300" s="340"/>
      <c r="AV300" s="340"/>
      <c r="AY300" s="340"/>
      <c r="AZ300" s="465">
        <f t="shared" ca="1" si="262"/>
        <v>7.3698599999999999E-5</v>
      </c>
      <c r="BA300" s="464">
        <f t="shared" ca="1" si="263"/>
        <v>2.1372602999999999E-3</v>
      </c>
      <c r="BB300" s="465">
        <f t="shared" ca="1" si="263"/>
        <v>2.2109589000000002E-3</v>
      </c>
      <c r="BC300" s="466">
        <f t="shared" ca="1" si="264"/>
        <v>51745</v>
      </c>
      <c r="BD300" s="467">
        <f t="shared" ca="1" si="277"/>
        <v>51746</v>
      </c>
      <c r="BE300" s="467">
        <f t="shared" ca="1" si="265"/>
        <v>51774</v>
      </c>
      <c r="BF300" s="468">
        <f ca="1">IF(計算!$BC300&lt;OP!$C$3,0,BD300-BC300)</f>
        <v>1</v>
      </c>
      <c r="BG300" s="468">
        <f ca="1">IF($BE300&gt;DATE(YEAR($BD$9)+OP!$C$57,MONTH($BD$9),DAY($BD$9)),0,$BE300-$BD300+1)</f>
        <v>29</v>
      </c>
      <c r="BH300" s="469">
        <f t="shared" ca="1" si="266"/>
        <v>30</v>
      </c>
      <c r="BI300" t="str">
        <f t="shared" si="282"/>
        <v/>
      </c>
      <c r="BJ300">
        <v>3</v>
      </c>
      <c r="BN300" s="468">
        <f t="shared" si="278"/>
        <v>25</v>
      </c>
      <c r="BO300" s="468">
        <f t="shared" si="279"/>
        <v>3</v>
      </c>
      <c r="BP300" s="467">
        <f t="shared" ca="1" si="267"/>
        <v>51746</v>
      </c>
      <c r="BQ300" s="475">
        <f t="shared" ca="1" si="281"/>
        <v>57</v>
      </c>
      <c r="BR300" s="475" t="str">
        <f t="shared" si="280"/>
        <v/>
      </c>
      <c r="BS300" s="471" t="str">
        <f t="shared" si="268"/>
        <v/>
      </c>
      <c r="BT300" s="472" t="str">
        <f t="shared" si="283"/>
        <v/>
      </c>
      <c r="BU300" s="472">
        <f t="shared" ca="1" si="269"/>
        <v>0</v>
      </c>
      <c r="BV300" s="472">
        <f t="shared" ca="1" si="269"/>
        <v>0</v>
      </c>
      <c r="BW300" s="472"/>
      <c r="BX300" s="473">
        <f t="shared" ca="1" si="270"/>
        <v>197631.78967478799</v>
      </c>
      <c r="BY300" s="473">
        <f t="shared" si="271"/>
        <v>0</v>
      </c>
      <c r="BZ300" s="473">
        <f t="shared" ca="1" si="253"/>
        <v>436.95576430400001</v>
      </c>
      <c r="CA300" s="476">
        <f t="shared" ca="1" si="272"/>
        <v>0</v>
      </c>
      <c r="CB300" s="494">
        <f ca="1">IF(OR($Q299&lt;&gt;1,OP!$D$5+$BN300-1&lt;16,$BN300-1&lt;1),0,ROUND(ROUND(ROUND(((VLOOKUP($BN300-1,MORE_PV,5,0)/10000)*VLOOKUP($BN300,MORE_PV,$CB$5,0)),3)*VLOOKUP($BN300,more1,5,0),0)/$R299,0))</f>
        <v>0</v>
      </c>
      <c r="CC300" s="473">
        <f t="shared" ca="1" si="273"/>
        <v>0</v>
      </c>
      <c r="CD300" s="477"/>
    </row>
    <row r="301" spans="2:82" ht="16.5" hidden="1">
      <c r="B301" s="80"/>
      <c r="C301" s="80"/>
      <c r="D301" s="80"/>
      <c r="E301" s="80"/>
      <c r="F301" s="80"/>
      <c r="G301" s="80"/>
      <c r="H301" s="80"/>
      <c r="I301" s="80"/>
      <c r="J301" s="192">
        <f t="shared" si="254"/>
        <v>25</v>
      </c>
      <c r="K301" s="192">
        <f t="shared" si="255"/>
        <v>5</v>
      </c>
      <c r="L301" s="192" t="str">
        <f t="shared" si="250"/>
        <v/>
      </c>
      <c r="M301" s="216">
        <f t="shared" ca="1" si="256"/>
        <v>0</v>
      </c>
      <c r="N301" s="216"/>
      <c r="O301" s="216"/>
      <c r="P301" s="216"/>
      <c r="Q301" s="456" t="str">
        <f t="shared" ca="1" si="257"/>
        <v/>
      </c>
      <c r="R301" s="450">
        <f t="shared" ca="1" si="258"/>
        <v>1</v>
      </c>
      <c r="S301" s="191">
        <f t="shared" si="259"/>
        <v>25</v>
      </c>
      <c r="T301" s="191">
        <f t="shared" si="260"/>
        <v>5</v>
      </c>
      <c r="U301" s="191">
        <f ca="1">OP!$D$5+$S301-1</f>
        <v>57</v>
      </c>
      <c r="V301" s="191" t="str">
        <f t="shared" si="261"/>
        <v/>
      </c>
      <c r="W301" s="350">
        <f ca="1">IF(Q301&lt;&gt;1,0,VLOOKUP(OP!$C$55,PVFB,$S301+2,0))</f>
        <v>0</v>
      </c>
      <c r="X301" s="473">
        <f t="shared" ca="1" si="274"/>
        <v>0</v>
      </c>
      <c r="Y301" s="348">
        <f t="shared" ca="1" si="275"/>
        <v>0</v>
      </c>
      <c r="Z301" s="348">
        <f t="shared" ca="1" si="276"/>
        <v>8012</v>
      </c>
      <c r="AA301" s="348">
        <f ca="1">IF(Q301&lt;&gt;1,0,VLOOKUP(OP!$C$55,PVFB,$S301+2,0))</f>
        <v>0</v>
      </c>
      <c r="AB301" s="488" t="str">
        <f ca="1">IF(AND(S301&lt;OP!$C$24,$U301&lt;15),0,IF(AND($U301&lt;15,$T301=12),ROUND(VLOOKUP($S301,DOWN16,5,0),3),IF($T301=12,ROUND(($Z301/10000)*$AA301,3)+IF(AND($P$7="購買增額繳清保險",T301=12,U301=110),VLOOKUP(S301,$B$10:$H$121,7,0),0),"")))</f>
        <v/>
      </c>
      <c r="AC301" s="350" t="str">
        <f ca="1">IF(AND(S301&lt;OP!$C$24,$U301&lt;15),0,IF(AND($U301&lt;16,$T301=12),VLOOKUP($S301,DOWN16,4,0),IF($T301=12,ROUND(VLOOKUP(OP!$C$55,_DIE2,$S301+1,0)*(Z301/10000),0)+IF(AND($P$7="購買增額繳清保險",T301=12,U301=110),VLOOKUP(S301,$B$10:$H$121,7,0),0),"")))</f>
        <v/>
      </c>
      <c r="AD301" s="347"/>
      <c r="AE301" s="350" t="str">
        <f t="shared" ca="1" si="251"/>
        <v/>
      </c>
      <c r="AF301" s="351" t="str">
        <f t="shared" ca="1" si="252"/>
        <v/>
      </c>
      <c r="AG301" s="340"/>
      <c r="AH301" s="340"/>
      <c r="AI301" s="340"/>
      <c r="AJ301" s="340"/>
      <c r="AK301" s="340"/>
      <c r="AL301" s="340"/>
      <c r="AM301" s="340"/>
      <c r="AN301" s="340"/>
      <c r="AO301" s="340"/>
      <c r="AP301" s="340"/>
      <c r="AQ301" s="340"/>
      <c r="AR301" s="340"/>
      <c r="AS301" s="340"/>
      <c r="AT301" s="340"/>
      <c r="AU301" s="340"/>
      <c r="AV301" s="340"/>
      <c r="AY301" s="340"/>
      <c r="AZ301" s="465">
        <f t="shared" ca="1" si="262"/>
        <v>7.3698599999999999E-5</v>
      </c>
      <c r="BA301" s="464">
        <f t="shared" ca="1" si="263"/>
        <v>2.2109589000000002E-3</v>
      </c>
      <c r="BB301" s="465">
        <f t="shared" ca="1" si="263"/>
        <v>2.2846575E-3</v>
      </c>
      <c r="BC301" s="466">
        <f t="shared" ca="1" si="264"/>
        <v>51775</v>
      </c>
      <c r="BD301" s="467">
        <f t="shared" ca="1" si="277"/>
        <v>51776</v>
      </c>
      <c r="BE301" s="467">
        <f t="shared" ca="1" si="265"/>
        <v>51805</v>
      </c>
      <c r="BF301" s="468">
        <f ca="1">IF(計算!$BC301&lt;OP!$C$3,0,BD301-BC301)</f>
        <v>1</v>
      </c>
      <c r="BG301" s="468">
        <f ca="1">IF($BE301&gt;DATE(YEAR($BD$9)+OP!$C$57,MONTH($BD$9),DAY($BD$9)),0,$BE301-$BD301+1)</f>
        <v>30</v>
      </c>
      <c r="BH301" s="469">
        <f t="shared" ca="1" si="266"/>
        <v>31</v>
      </c>
      <c r="BI301" t="str">
        <f t="shared" si="282"/>
        <v/>
      </c>
      <c r="BJ301">
        <v>4</v>
      </c>
      <c r="BN301" s="468">
        <f t="shared" si="278"/>
        <v>25</v>
      </c>
      <c r="BO301" s="468">
        <f t="shared" si="279"/>
        <v>4</v>
      </c>
      <c r="BP301" s="467">
        <f t="shared" ca="1" si="267"/>
        <v>51776</v>
      </c>
      <c r="BQ301" s="475">
        <f t="shared" ca="1" si="281"/>
        <v>57</v>
      </c>
      <c r="BR301" s="475" t="str">
        <f t="shared" si="280"/>
        <v/>
      </c>
      <c r="BS301" s="471" t="str">
        <f t="shared" si="268"/>
        <v/>
      </c>
      <c r="BT301" s="472" t="str">
        <f t="shared" si="283"/>
        <v/>
      </c>
      <c r="BU301" s="472">
        <f t="shared" ca="1" si="269"/>
        <v>0</v>
      </c>
      <c r="BV301" s="472">
        <f t="shared" ca="1" si="269"/>
        <v>0</v>
      </c>
      <c r="BW301" s="472"/>
      <c r="BX301" s="473">
        <f t="shared" ca="1" si="270"/>
        <v>198068.74543909199</v>
      </c>
      <c r="BY301" s="473">
        <f t="shared" si="271"/>
        <v>0</v>
      </c>
      <c r="BZ301" s="473">
        <f t="shared" ca="1" si="253"/>
        <v>452.51924478299998</v>
      </c>
      <c r="CA301" s="476">
        <f t="shared" ca="1" si="272"/>
        <v>0</v>
      </c>
      <c r="CB301" s="494">
        <f ca="1">IF(OR($Q300&lt;&gt;1,OP!$D$5+$BN301-1&lt;16,$BN301-1&lt;1),0,ROUND(ROUND(ROUND(((VLOOKUP($BN301-1,MORE_PV,5,0)/10000)*VLOOKUP($BN301,MORE_PV,$CB$5,0)),3)*VLOOKUP($BN301,more1,5,0),0)/$R300,0))</f>
        <v>0</v>
      </c>
      <c r="CC301" s="473">
        <f t="shared" ca="1" si="273"/>
        <v>0</v>
      </c>
      <c r="CD301" s="477"/>
    </row>
    <row r="302" spans="2:82" ht="16.5" hidden="1">
      <c r="B302" s="80"/>
      <c r="C302" s="80"/>
      <c r="D302" s="80"/>
      <c r="E302" s="80"/>
      <c r="F302" s="80"/>
      <c r="G302" s="80"/>
      <c r="H302" s="80"/>
      <c r="I302" s="80"/>
      <c r="J302" s="192">
        <f t="shared" si="254"/>
        <v>25</v>
      </c>
      <c r="K302" s="192">
        <f t="shared" si="255"/>
        <v>6</v>
      </c>
      <c r="L302" s="192" t="str">
        <f t="shared" si="250"/>
        <v/>
      </c>
      <c r="M302" s="216">
        <f t="shared" ca="1" si="256"/>
        <v>0</v>
      </c>
      <c r="N302" s="216"/>
      <c r="O302" s="216"/>
      <c r="P302" s="216"/>
      <c r="Q302" s="456" t="str">
        <f t="shared" ca="1" si="257"/>
        <v/>
      </c>
      <c r="R302" s="450">
        <f t="shared" ca="1" si="258"/>
        <v>1</v>
      </c>
      <c r="S302" s="191">
        <f t="shared" si="259"/>
        <v>25</v>
      </c>
      <c r="T302" s="191">
        <f t="shared" si="260"/>
        <v>6</v>
      </c>
      <c r="U302" s="191">
        <f ca="1">OP!$D$5+$S302-1</f>
        <v>57</v>
      </c>
      <c r="V302" s="191" t="str">
        <f t="shared" si="261"/>
        <v/>
      </c>
      <c r="W302" s="350">
        <f ca="1">IF(Q302&lt;&gt;1,0,VLOOKUP(OP!$C$55,PVFB,$S302+2,0))</f>
        <v>0</v>
      </c>
      <c r="X302" s="473">
        <f t="shared" ca="1" si="274"/>
        <v>0</v>
      </c>
      <c r="Y302" s="348">
        <f t="shared" ca="1" si="275"/>
        <v>0</v>
      </c>
      <c r="Z302" s="348">
        <f t="shared" ca="1" si="276"/>
        <v>8012</v>
      </c>
      <c r="AA302" s="348">
        <f ca="1">IF(Q302&lt;&gt;1,0,VLOOKUP(OP!$C$55,PVFB,$S302+2,0))</f>
        <v>0</v>
      </c>
      <c r="AB302" s="488" t="str">
        <f ca="1">IF(AND(S302&lt;OP!$C$24,$U302&lt;15),0,IF(AND($U302&lt;15,$T302=12),ROUND(VLOOKUP($S302,DOWN16,5,0),3),IF($T302=12,ROUND(($Z302/10000)*$AA302,3)+IF(AND($P$7="購買增額繳清保險",T302=12,U302=110),VLOOKUP(S302,$B$10:$H$121,7,0),0),"")))</f>
        <v/>
      </c>
      <c r="AC302" s="350" t="str">
        <f ca="1">IF(AND(S302&lt;OP!$C$24,$U302&lt;15),0,IF(AND($U302&lt;16,$T302=12),VLOOKUP($S302,DOWN16,4,0),IF($T302=12,ROUND(VLOOKUP(OP!$C$55,_DIE2,$S302+1,0)*(Z302/10000),0)+IF(AND($P$7="購買增額繳清保險",T302=12,U302=110),VLOOKUP(S302,$B$10:$H$121,7,0),0),"")))</f>
        <v/>
      </c>
      <c r="AD302" s="347"/>
      <c r="AE302" s="350" t="str">
        <f t="shared" ca="1" si="251"/>
        <v/>
      </c>
      <c r="AF302" s="351" t="str">
        <f t="shared" ca="1" si="252"/>
        <v/>
      </c>
      <c r="AG302" s="340"/>
      <c r="AH302" s="340"/>
      <c r="AI302" s="340"/>
      <c r="AJ302" s="340"/>
      <c r="AK302" s="340"/>
      <c r="AL302" s="340"/>
      <c r="AM302" s="340"/>
      <c r="AN302" s="340"/>
      <c r="AO302" s="340"/>
      <c r="AP302" s="340"/>
      <c r="AQ302" s="340"/>
      <c r="AR302" s="340"/>
      <c r="AS302" s="340"/>
      <c r="AT302" s="340"/>
      <c r="AU302" s="340"/>
      <c r="AV302" s="340"/>
      <c r="AY302" s="340"/>
      <c r="AZ302" s="465">
        <f t="shared" ca="1" si="262"/>
        <v>7.3698599999999999E-5</v>
      </c>
      <c r="BA302" s="464">
        <f t="shared" ca="1" si="263"/>
        <v>2.1372602999999999E-3</v>
      </c>
      <c r="BB302" s="465">
        <f t="shared" ca="1" si="263"/>
        <v>2.2109589000000002E-3</v>
      </c>
      <c r="BC302" s="466">
        <f t="shared" ca="1" si="264"/>
        <v>51806</v>
      </c>
      <c r="BD302" s="467">
        <f t="shared" ca="1" si="277"/>
        <v>51807</v>
      </c>
      <c r="BE302" s="467">
        <f t="shared" ca="1" si="265"/>
        <v>51835</v>
      </c>
      <c r="BF302" s="468">
        <f ca="1">IF(計算!$BC302&lt;OP!$C$3,0,BD302-BC302)</f>
        <v>1</v>
      </c>
      <c r="BG302" s="468">
        <f ca="1">IF($BE302&gt;DATE(YEAR($BD$9)+OP!$C$57,MONTH($BD$9),DAY($BD$9)),0,$BE302-$BD302+1)</f>
        <v>29</v>
      </c>
      <c r="BH302" s="469">
        <f t="shared" ca="1" si="266"/>
        <v>30</v>
      </c>
      <c r="BI302" t="str">
        <f t="shared" si="282"/>
        <v/>
      </c>
      <c r="BJ302">
        <v>5</v>
      </c>
      <c r="BN302" s="468">
        <f t="shared" si="278"/>
        <v>25</v>
      </c>
      <c r="BO302" s="468">
        <f t="shared" si="279"/>
        <v>5</v>
      </c>
      <c r="BP302" s="467">
        <f t="shared" ca="1" si="267"/>
        <v>51807</v>
      </c>
      <c r="BQ302" s="475">
        <f t="shared" ca="1" si="281"/>
        <v>57</v>
      </c>
      <c r="BR302" s="475" t="str">
        <f t="shared" si="280"/>
        <v/>
      </c>
      <c r="BS302" s="471" t="str">
        <f t="shared" si="268"/>
        <v/>
      </c>
      <c r="BT302" s="472" t="str">
        <f t="shared" si="283"/>
        <v/>
      </c>
      <c r="BU302" s="472">
        <f t="shared" ca="1" si="269"/>
        <v>0</v>
      </c>
      <c r="BV302" s="472">
        <f t="shared" ca="1" si="269"/>
        <v>0</v>
      </c>
      <c r="BW302" s="472"/>
      <c r="BX302" s="473">
        <f t="shared" ca="1" si="270"/>
        <v>198521.26468387499</v>
      </c>
      <c r="BY302" s="473">
        <f t="shared" si="271"/>
        <v>0</v>
      </c>
      <c r="BZ302" s="473">
        <f t="shared" ca="1" si="253"/>
        <v>438.922356992</v>
      </c>
      <c r="CA302" s="476">
        <f t="shared" ca="1" si="272"/>
        <v>0</v>
      </c>
      <c r="CB302" s="494">
        <f ca="1">IF(OR($Q301&lt;&gt;1,OP!$D$5+$BN302-1&lt;16,$BN302-1&lt;1),0,ROUND(ROUND(ROUND(((VLOOKUP($BN302-1,MORE_PV,5,0)/10000)*VLOOKUP($BN302,MORE_PV,$CB$5,0)),3)*VLOOKUP($BN302,more1,5,0),0)/$R301,0))</f>
        <v>0</v>
      </c>
      <c r="CC302" s="473">
        <f t="shared" ca="1" si="273"/>
        <v>0</v>
      </c>
      <c r="CD302" s="477"/>
    </row>
    <row r="303" spans="2:82" ht="16.5" hidden="1">
      <c r="B303" s="80"/>
      <c r="C303" s="80"/>
      <c r="D303" s="80"/>
      <c r="E303" s="80"/>
      <c r="F303" s="80"/>
      <c r="G303" s="80"/>
      <c r="H303" s="80"/>
      <c r="I303" s="80"/>
      <c r="J303" s="192">
        <f t="shared" si="254"/>
        <v>25</v>
      </c>
      <c r="K303" s="192">
        <f t="shared" si="255"/>
        <v>7</v>
      </c>
      <c r="L303" s="192" t="str">
        <f t="shared" si="250"/>
        <v/>
      </c>
      <c r="M303" s="216">
        <f t="shared" ca="1" si="256"/>
        <v>0</v>
      </c>
      <c r="N303" s="216"/>
      <c r="O303" s="216"/>
      <c r="P303" s="216"/>
      <c r="Q303" s="456" t="str">
        <f t="shared" ca="1" si="257"/>
        <v/>
      </c>
      <c r="R303" s="450">
        <f t="shared" ca="1" si="258"/>
        <v>1</v>
      </c>
      <c r="S303" s="191">
        <f t="shared" si="259"/>
        <v>25</v>
      </c>
      <c r="T303" s="191">
        <f t="shared" si="260"/>
        <v>7</v>
      </c>
      <c r="U303" s="191">
        <f ca="1">OP!$D$5+$S303-1</f>
        <v>57</v>
      </c>
      <c r="V303" s="191" t="str">
        <f t="shared" si="261"/>
        <v/>
      </c>
      <c r="W303" s="350">
        <f ca="1">IF(Q303&lt;&gt;1,0,VLOOKUP(OP!$C$55,PVFB,$S303+2,0))</f>
        <v>0</v>
      </c>
      <c r="X303" s="473">
        <f t="shared" ca="1" si="274"/>
        <v>0</v>
      </c>
      <c r="Y303" s="348">
        <f t="shared" ca="1" si="275"/>
        <v>0</v>
      </c>
      <c r="Z303" s="348">
        <f t="shared" ca="1" si="276"/>
        <v>8012</v>
      </c>
      <c r="AA303" s="348">
        <f ca="1">IF(Q303&lt;&gt;1,0,VLOOKUP(OP!$C$55,PVFB,$S303+2,0))</f>
        <v>0</v>
      </c>
      <c r="AB303" s="488" t="str">
        <f ca="1">IF(AND(S303&lt;OP!$C$24,$U303&lt;15),0,IF(AND($U303&lt;15,$T303=12),ROUND(VLOOKUP($S303,DOWN16,5,0),3),IF($T303=12,ROUND(($Z303/10000)*$AA303,3)+IF(AND($P$7="購買增額繳清保險",T303=12,U303=110),VLOOKUP(S303,$B$10:$H$121,7,0),0),"")))</f>
        <v/>
      </c>
      <c r="AC303" s="350" t="str">
        <f ca="1">IF(AND(S303&lt;OP!$C$24,$U303&lt;15),0,IF(AND($U303&lt;16,$T303=12),VLOOKUP($S303,DOWN16,4,0),IF($T303=12,ROUND(VLOOKUP(OP!$C$55,_DIE2,$S303+1,0)*(Z303/10000),0)+IF(AND($P$7="購買增額繳清保險",T303=12,U303=110),VLOOKUP(S303,$B$10:$H$121,7,0),0),"")))</f>
        <v/>
      </c>
      <c r="AD303" s="347"/>
      <c r="AE303" s="350" t="str">
        <f t="shared" ca="1" si="251"/>
        <v/>
      </c>
      <c r="AF303" s="351" t="str">
        <f t="shared" ca="1" si="252"/>
        <v/>
      </c>
      <c r="AG303" s="340"/>
      <c r="AH303" s="340"/>
      <c r="AI303" s="340"/>
      <c r="AJ303" s="340"/>
      <c r="AK303" s="340"/>
      <c r="AL303" s="340"/>
      <c r="AM303" s="340"/>
      <c r="AN303" s="340"/>
      <c r="AO303" s="340"/>
      <c r="AP303" s="340"/>
      <c r="AQ303" s="340"/>
      <c r="AR303" s="340"/>
      <c r="AS303" s="340"/>
      <c r="AT303" s="340"/>
      <c r="AU303" s="340"/>
      <c r="AV303" s="340"/>
      <c r="AY303" s="340"/>
      <c r="AZ303" s="465">
        <f t="shared" ca="1" si="262"/>
        <v>7.3698599999999999E-5</v>
      </c>
      <c r="BA303" s="464">
        <f t="shared" ca="1" si="263"/>
        <v>2.2109589000000002E-3</v>
      </c>
      <c r="BB303" s="465">
        <f t="shared" ca="1" si="263"/>
        <v>2.2846575E-3</v>
      </c>
      <c r="BC303" s="466">
        <f t="shared" ca="1" si="264"/>
        <v>51836</v>
      </c>
      <c r="BD303" s="467">
        <f t="shared" ca="1" si="277"/>
        <v>51837</v>
      </c>
      <c r="BE303" s="467">
        <f t="shared" ca="1" si="265"/>
        <v>51866</v>
      </c>
      <c r="BF303" s="468">
        <f ca="1">IF(計算!$BC303&lt;OP!$C$3,0,BD303-BC303)</f>
        <v>1</v>
      </c>
      <c r="BG303" s="468">
        <f ca="1">IF($BE303&gt;DATE(YEAR($BD$9)+OP!$C$57,MONTH($BD$9),DAY($BD$9)),0,$BE303-$BD303+1)</f>
        <v>30</v>
      </c>
      <c r="BH303" s="469">
        <f t="shared" ca="1" si="266"/>
        <v>31</v>
      </c>
      <c r="BI303" t="str">
        <f t="shared" si="282"/>
        <v/>
      </c>
      <c r="BJ303">
        <v>6</v>
      </c>
      <c r="BN303" s="468">
        <f t="shared" si="278"/>
        <v>25</v>
      </c>
      <c r="BO303" s="468">
        <f t="shared" si="279"/>
        <v>6</v>
      </c>
      <c r="BP303" s="467">
        <f t="shared" ca="1" si="267"/>
        <v>51837</v>
      </c>
      <c r="BQ303" s="475">
        <f t="shared" ca="1" si="281"/>
        <v>57</v>
      </c>
      <c r="BR303" s="475" t="str">
        <f t="shared" si="280"/>
        <v/>
      </c>
      <c r="BS303" s="471" t="str">
        <f t="shared" si="268"/>
        <v/>
      </c>
      <c r="BT303" s="472" t="str">
        <f t="shared" si="283"/>
        <v/>
      </c>
      <c r="BU303" s="472">
        <f t="shared" ca="1" si="269"/>
        <v>0</v>
      </c>
      <c r="BV303" s="472">
        <f t="shared" ca="1" si="269"/>
        <v>0</v>
      </c>
      <c r="BW303" s="472"/>
      <c r="BX303" s="473">
        <f t="shared" ca="1" si="270"/>
        <v>198960.18704086699</v>
      </c>
      <c r="BY303" s="473">
        <f t="shared" si="271"/>
        <v>0</v>
      </c>
      <c r="BZ303" s="473">
        <f t="shared" ca="1" si="253"/>
        <v>454.55588352400002</v>
      </c>
      <c r="CA303" s="476">
        <f t="shared" ca="1" si="272"/>
        <v>0</v>
      </c>
      <c r="CB303" s="494">
        <f ca="1">IF(OR($Q302&lt;&gt;1,OP!$D$5+$BN303-1&lt;16,$BN303-1&lt;1),0,ROUND(ROUND(ROUND(((VLOOKUP($BN303-1,MORE_PV,5,0)/10000)*VLOOKUP($BN303,MORE_PV,$CB$5,0)),3)*VLOOKUP($BN303,more1,5,0),0)/$R302,0))</f>
        <v>0</v>
      </c>
      <c r="CC303" s="473">
        <f t="shared" ca="1" si="273"/>
        <v>0</v>
      </c>
      <c r="CD303" s="477"/>
    </row>
    <row r="304" spans="2:82" ht="16.5" hidden="1">
      <c r="B304" s="80"/>
      <c r="C304" s="80"/>
      <c r="D304" s="80"/>
      <c r="E304" s="80"/>
      <c r="F304" s="80"/>
      <c r="G304" s="80"/>
      <c r="H304" s="80"/>
      <c r="I304" s="80"/>
      <c r="J304" s="192">
        <f t="shared" si="254"/>
        <v>25</v>
      </c>
      <c r="K304" s="192">
        <f t="shared" si="255"/>
        <v>8</v>
      </c>
      <c r="L304" s="192" t="str">
        <f t="shared" si="250"/>
        <v/>
      </c>
      <c r="M304" s="216">
        <f t="shared" ca="1" si="256"/>
        <v>0</v>
      </c>
      <c r="N304" s="216"/>
      <c r="O304" s="216"/>
      <c r="P304" s="216"/>
      <c r="Q304" s="456" t="str">
        <f t="shared" ca="1" si="257"/>
        <v/>
      </c>
      <c r="R304" s="450">
        <f t="shared" ca="1" si="258"/>
        <v>1</v>
      </c>
      <c r="S304" s="191">
        <f t="shared" si="259"/>
        <v>25</v>
      </c>
      <c r="T304" s="191">
        <f t="shared" si="260"/>
        <v>8</v>
      </c>
      <c r="U304" s="191">
        <f ca="1">OP!$D$5+$S304-1</f>
        <v>57</v>
      </c>
      <c r="V304" s="191" t="str">
        <f t="shared" si="261"/>
        <v/>
      </c>
      <c r="W304" s="350">
        <f ca="1">IF(Q304&lt;&gt;1,0,VLOOKUP(OP!$C$55,PVFB,$S304+2,0))</f>
        <v>0</v>
      </c>
      <c r="X304" s="473">
        <f t="shared" ca="1" si="274"/>
        <v>0</v>
      </c>
      <c r="Y304" s="348">
        <f t="shared" ca="1" si="275"/>
        <v>0</v>
      </c>
      <c r="Z304" s="348">
        <f t="shared" ca="1" si="276"/>
        <v>8012</v>
      </c>
      <c r="AA304" s="348">
        <f ca="1">IF(Q304&lt;&gt;1,0,VLOOKUP(OP!$C$55,PVFB,$S304+2,0))</f>
        <v>0</v>
      </c>
      <c r="AB304" s="488" t="str">
        <f ca="1">IF(AND(S304&lt;OP!$C$24,$U304&lt;15),0,IF(AND($U304&lt;15,$T304=12),ROUND(VLOOKUP($S304,DOWN16,5,0),3),IF($T304=12,ROUND(($Z304/10000)*$AA304,3)+IF(AND($P$7="購買增額繳清保險",T304=12,U304=110),VLOOKUP(S304,$B$10:$H$121,7,0),0),"")))</f>
        <v/>
      </c>
      <c r="AC304" s="350" t="str">
        <f ca="1">IF(AND(S304&lt;OP!$C$24,$U304&lt;15),0,IF(AND($U304&lt;16,$T304=12),VLOOKUP($S304,DOWN16,4,0),IF($T304=12,ROUND(VLOOKUP(OP!$C$55,_DIE2,$S304+1,0)*(Z304/10000),0)+IF(AND($P$7="購買增額繳清保險",T304=12,U304=110),VLOOKUP(S304,$B$10:$H$121,7,0),0),"")))</f>
        <v/>
      </c>
      <c r="AD304" s="347"/>
      <c r="AE304" s="350" t="str">
        <f t="shared" ca="1" si="251"/>
        <v/>
      </c>
      <c r="AF304" s="351" t="str">
        <f t="shared" ca="1" si="252"/>
        <v/>
      </c>
      <c r="AG304" s="340"/>
      <c r="AH304" s="340"/>
      <c r="AI304" s="340"/>
      <c r="AJ304" s="340"/>
      <c r="AK304" s="340"/>
      <c r="AL304" s="340"/>
      <c r="AM304" s="340"/>
      <c r="AN304" s="340"/>
      <c r="AO304" s="340"/>
      <c r="AP304" s="340"/>
      <c r="AQ304" s="340"/>
      <c r="AR304" s="340"/>
      <c r="AS304" s="340"/>
      <c r="AT304" s="340"/>
      <c r="AU304" s="340"/>
      <c r="AV304" s="340"/>
      <c r="AY304" s="340"/>
      <c r="AZ304" s="465">
        <f t="shared" ca="1" si="262"/>
        <v>7.3698599999999999E-5</v>
      </c>
      <c r="BA304" s="464">
        <f t="shared" ca="1" si="263"/>
        <v>2.2109589000000002E-3</v>
      </c>
      <c r="BB304" s="465">
        <f t="shared" ca="1" si="263"/>
        <v>2.2846575E-3</v>
      </c>
      <c r="BC304" s="466">
        <f t="shared" ca="1" si="264"/>
        <v>51867</v>
      </c>
      <c r="BD304" s="467">
        <f t="shared" ca="1" si="277"/>
        <v>51868</v>
      </c>
      <c r="BE304" s="467">
        <f t="shared" ca="1" si="265"/>
        <v>51897</v>
      </c>
      <c r="BF304" s="468">
        <f ca="1">IF(計算!$BC304&lt;OP!$C$3,0,BD304-BC304)</f>
        <v>1</v>
      </c>
      <c r="BG304" s="468">
        <f ca="1">IF($BE304&gt;DATE(YEAR($BD$9)+OP!$C$57,MONTH($BD$9),DAY($BD$9)),0,$BE304-$BD304+1)</f>
        <v>30</v>
      </c>
      <c r="BH304" s="469">
        <f t="shared" ca="1" si="266"/>
        <v>31</v>
      </c>
      <c r="BI304" t="str">
        <f t="shared" si="282"/>
        <v/>
      </c>
      <c r="BJ304">
        <v>7</v>
      </c>
      <c r="BN304" s="468">
        <f t="shared" si="278"/>
        <v>25</v>
      </c>
      <c r="BO304" s="468">
        <f t="shared" si="279"/>
        <v>7</v>
      </c>
      <c r="BP304" s="467">
        <f t="shared" ca="1" si="267"/>
        <v>51868</v>
      </c>
      <c r="BQ304" s="475">
        <f t="shared" ca="1" si="281"/>
        <v>57</v>
      </c>
      <c r="BR304" s="475" t="str">
        <f t="shared" si="280"/>
        <v/>
      </c>
      <c r="BS304" s="471" t="str">
        <f t="shared" si="268"/>
        <v/>
      </c>
      <c r="BT304" s="472" t="str">
        <f t="shared" si="283"/>
        <v/>
      </c>
      <c r="BU304" s="472">
        <f t="shared" ca="1" si="269"/>
        <v>0</v>
      </c>
      <c r="BV304" s="472">
        <f t="shared" ca="1" si="269"/>
        <v>0</v>
      </c>
      <c r="BW304" s="472"/>
      <c r="BX304" s="473">
        <f t="shared" ca="1" si="270"/>
        <v>199414.742924391</v>
      </c>
      <c r="BY304" s="473">
        <f t="shared" si="271"/>
        <v>0</v>
      </c>
      <c r="BZ304" s="473">
        <f t="shared" ca="1" si="253"/>
        <v>455.59438803299997</v>
      </c>
      <c r="CA304" s="476">
        <f t="shared" ca="1" si="272"/>
        <v>0</v>
      </c>
      <c r="CB304" s="494">
        <f ca="1">IF(OR($Q303&lt;&gt;1,OP!$D$5+$BN304-1&lt;16,$BN304-1&lt;1),0,ROUND(ROUND(ROUND(((VLOOKUP($BN304-1,MORE_PV,5,0)/10000)*VLOOKUP($BN304,MORE_PV,$CB$5,0)),3)*VLOOKUP($BN304,more1,5,0),0)/$R303,0))</f>
        <v>0</v>
      </c>
      <c r="CC304" s="473">
        <f t="shared" ca="1" si="273"/>
        <v>0</v>
      </c>
      <c r="CD304" s="477"/>
    </row>
    <row r="305" spans="2:82" ht="16.5" hidden="1">
      <c r="B305" s="80"/>
      <c r="C305" s="80"/>
      <c r="D305" s="80"/>
      <c r="E305" s="80"/>
      <c r="F305" s="80"/>
      <c r="G305" s="80"/>
      <c r="H305" s="80"/>
      <c r="I305" s="80"/>
      <c r="J305" s="192">
        <f t="shared" si="254"/>
        <v>25</v>
      </c>
      <c r="K305" s="192">
        <f t="shared" si="255"/>
        <v>9</v>
      </c>
      <c r="L305" s="192" t="str">
        <f t="shared" si="250"/>
        <v/>
      </c>
      <c r="M305" s="216">
        <f t="shared" ca="1" si="256"/>
        <v>0</v>
      </c>
      <c r="N305" s="216"/>
      <c r="O305" s="216"/>
      <c r="P305" s="216"/>
      <c r="Q305" s="456" t="str">
        <f t="shared" ca="1" si="257"/>
        <v/>
      </c>
      <c r="R305" s="450">
        <f t="shared" ca="1" si="258"/>
        <v>1</v>
      </c>
      <c r="S305" s="191">
        <f t="shared" si="259"/>
        <v>25</v>
      </c>
      <c r="T305" s="191">
        <f t="shared" si="260"/>
        <v>9</v>
      </c>
      <c r="U305" s="191">
        <f ca="1">OP!$D$5+$S305-1</f>
        <v>57</v>
      </c>
      <c r="V305" s="191" t="str">
        <f t="shared" si="261"/>
        <v/>
      </c>
      <c r="W305" s="350">
        <f ca="1">IF(Q305&lt;&gt;1,0,VLOOKUP(OP!$C$55,PVFB,$S305+2,0))</f>
        <v>0</v>
      </c>
      <c r="X305" s="473">
        <f t="shared" ca="1" si="274"/>
        <v>0</v>
      </c>
      <c r="Y305" s="348">
        <f t="shared" ca="1" si="275"/>
        <v>0</v>
      </c>
      <c r="Z305" s="348">
        <f t="shared" ca="1" si="276"/>
        <v>8012</v>
      </c>
      <c r="AA305" s="348">
        <f ca="1">IF(Q305&lt;&gt;1,0,VLOOKUP(OP!$C$55,PVFB,$S305+2,0))</f>
        <v>0</v>
      </c>
      <c r="AB305" s="488" t="str">
        <f ca="1">IF(AND(S305&lt;OP!$C$24,$U305&lt;15),0,IF(AND($U305&lt;15,$T305=12),ROUND(VLOOKUP($S305,DOWN16,5,0),3),IF($T305=12,ROUND(($Z305/10000)*$AA305,3)+IF(AND($P$7="購買增額繳清保險",T305=12,U305=110),VLOOKUP(S305,$B$10:$H$121,7,0),0),"")))</f>
        <v/>
      </c>
      <c r="AC305" s="350" t="str">
        <f ca="1">IF(AND(S305&lt;OP!$C$24,$U305&lt;15),0,IF(AND($U305&lt;16,$T305=12),VLOOKUP($S305,DOWN16,4,0),IF($T305=12,ROUND(VLOOKUP(OP!$C$55,_DIE2,$S305+1,0)*(Z305/10000),0)+IF(AND($P$7="購買增額繳清保險",T305=12,U305=110),VLOOKUP(S305,$B$10:$H$121,7,0),0),"")))</f>
        <v/>
      </c>
      <c r="AD305" s="347"/>
      <c r="AE305" s="350" t="str">
        <f t="shared" ca="1" si="251"/>
        <v/>
      </c>
      <c r="AF305" s="351" t="str">
        <f t="shared" ca="1" si="252"/>
        <v/>
      </c>
      <c r="AG305" s="340"/>
      <c r="AH305" s="340"/>
      <c r="AI305" s="340"/>
      <c r="AJ305" s="340"/>
      <c r="AK305" s="340"/>
      <c r="AL305" s="340"/>
      <c r="AM305" s="340"/>
      <c r="AN305" s="340"/>
      <c r="AO305" s="340"/>
      <c r="AP305" s="340"/>
      <c r="AQ305" s="340"/>
      <c r="AR305" s="340"/>
      <c r="AS305" s="340"/>
      <c r="AT305" s="340"/>
      <c r="AU305" s="340"/>
      <c r="AV305" s="340"/>
      <c r="AY305" s="340"/>
      <c r="AZ305" s="465">
        <f t="shared" ca="1" si="262"/>
        <v>7.3698599999999999E-5</v>
      </c>
      <c r="BA305" s="464">
        <f t="shared" ca="1" si="263"/>
        <v>1.9898630000000001E-3</v>
      </c>
      <c r="BB305" s="465">
        <f t="shared" ca="1" si="263"/>
        <v>2.0635616E-3</v>
      </c>
      <c r="BC305" s="466">
        <f t="shared" ca="1" si="264"/>
        <v>51898</v>
      </c>
      <c r="BD305" s="467">
        <f t="shared" ca="1" si="277"/>
        <v>51899</v>
      </c>
      <c r="BE305" s="467">
        <f t="shared" ca="1" si="265"/>
        <v>51925</v>
      </c>
      <c r="BF305" s="468">
        <f ca="1">IF(計算!$BC305&lt;OP!$C$3,0,BD305-BC305)</f>
        <v>1</v>
      </c>
      <c r="BG305" s="468">
        <f ca="1">IF($BE305&gt;DATE(YEAR($BD$9)+OP!$C$57,MONTH($BD$9),DAY($BD$9)),0,$BE305-$BD305+1)</f>
        <v>27</v>
      </c>
      <c r="BH305" s="469">
        <f t="shared" ca="1" si="266"/>
        <v>28</v>
      </c>
      <c r="BI305" t="str">
        <f t="shared" si="282"/>
        <v/>
      </c>
      <c r="BJ305">
        <v>8</v>
      </c>
      <c r="BN305" s="468">
        <f t="shared" si="278"/>
        <v>25</v>
      </c>
      <c r="BO305" s="468">
        <f t="shared" si="279"/>
        <v>8</v>
      </c>
      <c r="BP305" s="467">
        <f t="shared" ca="1" si="267"/>
        <v>51899</v>
      </c>
      <c r="BQ305" s="475">
        <f t="shared" ca="1" si="281"/>
        <v>57</v>
      </c>
      <c r="BR305" s="475" t="str">
        <f t="shared" si="280"/>
        <v/>
      </c>
      <c r="BS305" s="471" t="str">
        <f t="shared" si="268"/>
        <v/>
      </c>
      <c r="BT305" s="472" t="str">
        <f t="shared" si="283"/>
        <v/>
      </c>
      <c r="BU305" s="472">
        <f t="shared" ca="1" si="269"/>
        <v>0</v>
      </c>
      <c r="BV305" s="472">
        <f t="shared" ca="1" si="269"/>
        <v>0</v>
      </c>
      <c r="BW305" s="472"/>
      <c r="BX305" s="473">
        <f t="shared" ca="1" si="270"/>
        <v>199870.337312424</v>
      </c>
      <c r="BY305" s="473">
        <f t="shared" si="271"/>
        <v>0</v>
      </c>
      <c r="BZ305" s="473">
        <f t="shared" ca="1" si="253"/>
        <v>412.44475305700001</v>
      </c>
      <c r="CA305" s="476">
        <f t="shared" ca="1" si="272"/>
        <v>0</v>
      </c>
      <c r="CB305" s="494">
        <f ca="1">IF(OR($Q304&lt;&gt;1,OP!$D$5+$BN305-1&lt;16,$BN305-1&lt;1),0,ROUND(ROUND(ROUND(((VLOOKUP($BN305-1,MORE_PV,5,0)/10000)*VLOOKUP($BN305,MORE_PV,$CB$5,0)),3)*VLOOKUP($BN305,more1,5,0),0)/$R304,0))</f>
        <v>0</v>
      </c>
      <c r="CC305" s="473">
        <f t="shared" ca="1" si="273"/>
        <v>0</v>
      </c>
      <c r="CD305" s="477"/>
    </row>
    <row r="306" spans="2:82" ht="16.5" hidden="1">
      <c r="B306" s="80"/>
      <c r="C306" s="80"/>
      <c r="D306" s="80"/>
      <c r="E306" s="80"/>
      <c r="F306" s="80"/>
      <c r="G306" s="80"/>
      <c r="H306" s="80"/>
      <c r="I306" s="80"/>
      <c r="J306" s="192">
        <f t="shared" si="254"/>
        <v>25</v>
      </c>
      <c r="K306" s="192">
        <f t="shared" si="255"/>
        <v>10</v>
      </c>
      <c r="L306" s="192" t="str">
        <f t="shared" si="250"/>
        <v/>
      </c>
      <c r="M306" s="216">
        <f t="shared" ca="1" si="256"/>
        <v>0</v>
      </c>
      <c r="N306" s="216"/>
      <c r="O306" s="216"/>
      <c r="P306" s="216"/>
      <c r="Q306" s="456" t="str">
        <f t="shared" ca="1" si="257"/>
        <v/>
      </c>
      <c r="R306" s="450">
        <f t="shared" ca="1" si="258"/>
        <v>1</v>
      </c>
      <c r="S306" s="191">
        <f t="shared" si="259"/>
        <v>25</v>
      </c>
      <c r="T306" s="191">
        <f t="shared" si="260"/>
        <v>10</v>
      </c>
      <c r="U306" s="191">
        <f ca="1">OP!$D$5+$S306-1</f>
        <v>57</v>
      </c>
      <c r="V306" s="191" t="str">
        <f t="shared" si="261"/>
        <v/>
      </c>
      <c r="W306" s="350">
        <f ca="1">IF(Q306&lt;&gt;1,0,VLOOKUP(OP!$C$55,PVFB,$S306+2,0))</f>
        <v>0</v>
      </c>
      <c r="X306" s="473">
        <f t="shared" ca="1" si="274"/>
        <v>0</v>
      </c>
      <c r="Y306" s="348">
        <f t="shared" ca="1" si="275"/>
        <v>0</v>
      </c>
      <c r="Z306" s="348">
        <f t="shared" ca="1" si="276"/>
        <v>8012</v>
      </c>
      <c r="AA306" s="348">
        <f ca="1">IF(Q306&lt;&gt;1,0,VLOOKUP(OP!$C$55,PVFB,$S306+2,0))</f>
        <v>0</v>
      </c>
      <c r="AB306" s="488" t="str">
        <f ca="1">IF(AND(S306&lt;OP!$C$24,$U306&lt;15),0,IF(AND($U306&lt;15,$T306=12),ROUND(VLOOKUP($S306,DOWN16,5,0),3),IF($T306=12,ROUND(($Z306/10000)*$AA306,3)+IF(AND($P$7="購買增額繳清保險",T306=12,U306=110),VLOOKUP(S306,$B$10:$H$121,7,0),0),"")))</f>
        <v/>
      </c>
      <c r="AC306" s="350" t="str">
        <f ca="1">IF(AND(S306&lt;OP!$C$24,$U306&lt;15),0,IF(AND($U306&lt;16,$T306=12),VLOOKUP($S306,DOWN16,4,0),IF($T306=12,ROUND(VLOOKUP(OP!$C$55,_DIE2,$S306+1,0)*(Z306/10000),0)+IF(AND($P$7="購買增額繳清保險",T306=12,U306=110),VLOOKUP(S306,$B$10:$H$121,7,0),0),"")))</f>
        <v/>
      </c>
      <c r="AD306" s="347"/>
      <c r="AE306" s="350" t="str">
        <f t="shared" ca="1" si="251"/>
        <v/>
      </c>
      <c r="AF306" s="351" t="str">
        <f t="shared" ca="1" si="252"/>
        <v/>
      </c>
      <c r="AG306" s="340"/>
      <c r="AH306" s="340"/>
      <c r="AI306" s="340"/>
      <c r="AJ306" s="340"/>
      <c r="AK306" s="340"/>
      <c r="AL306" s="340"/>
      <c r="AM306" s="340"/>
      <c r="AN306" s="340"/>
      <c r="AO306" s="340"/>
      <c r="AP306" s="340"/>
      <c r="AQ306" s="340"/>
      <c r="AR306" s="340"/>
      <c r="AS306" s="340"/>
      <c r="AT306" s="340"/>
      <c r="AU306" s="340"/>
      <c r="AV306" s="340"/>
      <c r="AY306" s="340"/>
      <c r="AZ306" s="465">
        <f t="shared" ca="1" si="262"/>
        <v>7.3698599999999999E-5</v>
      </c>
      <c r="BA306" s="464">
        <f t="shared" ca="1" si="263"/>
        <v>2.2109589000000002E-3</v>
      </c>
      <c r="BB306" s="465">
        <f t="shared" ca="1" si="263"/>
        <v>2.2846575E-3</v>
      </c>
      <c r="BC306" s="466">
        <f t="shared" ca="1" si="264"/>
        <v>51926</v>
      </c>
      <c r="BD306" s="467">
        <f t="shared" ca="1" si="277"/>
        <v>51927</v>
      </c>
      <c r="BE306" s="467">
        <f t="shared" ca="1" si="265"/>
        <v>51956</v>
      </c>
      <c r="BF306" s="468">
        <f ca="1">IF(計算!$BC306&lt;OP!$C$3,0,BD306-BC306)</f>
        <v>1</v>
      </c>
      <c r="BG306" s="468">
        <f ca="1">IF($BE306&gt;DATE(YEAR($BD$9)+OP!$C$57,MONTH($BD$9),DAY($BD$9)),0,$BE306-$BD306+1)</f>
        <v>30</v>
      </c>
      <c r="BH306" s="469">
        <f t="shared" ca="1" si="266"/>
        <v>31</v>
      </c>
      <c r="BI306" t="str">
        <f t="shared" si="282"/>
        <v/>
      </c>
      <c r="BJ306">
        <v>9</v>
      </c>
      <c r="BN306" s="468">
        <f t="shared" si="278"/>
        <v>25</v>
      </c>
      <c r="BO306" s="468">
        <f t="shared" si="279"/>
        <v>9</v>
      </c>
      <c r="BP306" s="467">
        <f t="shared" ca="1" si="267"/>
        <v>51927</v>
      </c>
      <c r="BQ306" s="475">
        <f t="shared" ca="1" si="281"/>
        <v>57</v>
      </c>
      <c r="BR306" s="475" t="str">
        <f t="shared" si="280"/>
        <v/>
      </c>
      <c r="BS306" s="471" t="str">
        <f t="shared" si="268"/>
        <v/>
      </c>
      <c r="BT306" s="472" t="str">
        <f t="shared" si="283"/>
        <v/>
      </c>
      <c r="BU306" s="472">
        <f t="shared" ca="1" si="269"/>
        <v>0</v>
      </c>
      <c r="BV306" s="472">
        <f t="shared" ca="1" si="269"/>
        <v>0</v>
      </c>
      <c r="BW306" s="472"/>
      <c r="BX306" s="473">
        <f t="shared" ca="1" si="270"/>
        <v>200282.78206548101</v>
      </c>
      <c r="BY306" s="473">
        <f t="shared" si="271"/>
        <v>0</v>
      </c>
      <c r="BZ306" s="473">
        <f t="shared" ca="1" si="253"/>
        <v>457.577560167</v>
      </c>
      <c r="CA306" s="476">
        <f t="shared" ca="1" si="272"/>
        <v>0</v>
      </c>
      <c r="CB306" s="494">
        <f ca="1">IF(OR($Q305&lt;&gt;1,OP!$D$5+$BN306-1&lt;16,$BN306-1&lt;1),0,ROUND(ROUND(ROUND(((VLOOKUP($BN306-1,MORE_PV,5,0)/10000)*VLOOKUP($BN306,MORE_PV,$CB$5,0)),3)*VLOOKUP($BN306,more1,5,0),0)/$R305,0))</f>
        <v>0</v>
      </c>
      <c r="CC306" s="473">
        <f t="shared" ca="1" si="273"/>
        <v>0</v>
      </c>
      <c r="CD306" s="477"/>
    </row>
    <row r="307" spans="2:82" ht="16.5" hidden="1">
      <c r="B307" s="80"/>
      <c r="C307" s="80"/>
      <c r="D307" s="80"/>
      <c r="E307" s="80"/>
      <c r="F307" s="80"/>
      <c r="G307" s="80"/>
      <c r="H307" s="80"/>
      <c r="I307" s="80"/>
      <c r="J307" s="192">
        <f t="shared" si="254"/>
        <v>25</v>
      </c>
      <c r="K307" s="192">
        <f t="shared" si="255"/>
        <v>11</v>
      </c>
      <c r="L307" s="192" t="str">
        <f t="shared" si="250"/>
        <v/>
      </c>
      <c r="M307" s="216">
        <f t="shared" ca="1" si="256"/>
        <v>0</v>
      </c>
      <c r="N307" s="216"/>
      <c r="O307" s="216"/>
      <c r="P307" s="216"/>
      <c r="Q307" s="456" t="str">
        <f t="shared" ca="1" si="257"/>
        <v/>
      </c>
      <c r="R307" s="450">
        <f t="shared" ca="1" si="258"/>
        <v>1</v>
      </c>
      <c r="S307" s="191">
        <f t="shared" si="259"/>
        <v>25</v>
      </c>
      <c r="T307" s="191">
        <f t="shared" si="260"/>
        <v>11</v>
      </c>
      <c r="U307" s="191">
        <f ca="1">OP!$D$5+$S307-1</f>
        <v>57</v>
      </c>
      <c r="V307" s="191" t="str">
        <f t="shared" si="261"/>
        <v/>
      </c>
      <c r="W307" s="350">
        <f ca="1">IF(Q307&lt;&gt;1,0,VLOOKUP(OP!$C$55,PVFB,$S307+2,0))</f>
        <v>0</v>
      </c>
      <c r="X307" s="473">
        <f t="shared" ca="1" si="274"/>
        <v>0</v>
      </c>
      <c r="Y307" s="348">
        <f t="shared" ca="1" si="275"/>
        <v>0</v>
      </c>
      <c r="Z307" s="348">
        <f t="shared" ca="1" si="276"/>
        <v>8012</v>
      </c>
      <c r="AA307" s="348">
        <f ca="1">IF(Q307&lt;&gt;1,0,VLOOKUP(OP!$C$55,PVFB,$S307+2,0))</f>
        <v>0</v>
      </c>
      <c r="AB307" s="488" t="str">
        <f ca="1">IF(AND(S307&lt;OP!$C$24,$U307&lt;15),0,IF(AND($U307&lt;15,$T307=12),ROUND(VLOOKUP($S307,DOWN16,5,0),3),IF($T307=12,ROUND(($Z307/10000)*$AA307,3)+IF(AND($P$7="購買增額繳清保險",T307=12,U307=110),VLOOKUP(S307,$B$10:$H$121,7,0),0),"")))</f>
        <v/>
      </c>
      <c r="AC307" s="350" t="str">
        <f ca="1">IF(AND(S307&lt;OP!$C$24,$U307&lt;15),0,IF(AND($U307&lt;16,$T307=12),VLOOKUP($S307,DOWN16,4,0),IF($T307=12,ROUND(VLOOKUP(OP!$C$55,_DIE2,$S307+1,0)*(Z307/10000),0)+IF(AND($P$7="購買增額繳清保險",T307=12,U307=110),VLOOKUP(S307,$B$10:$H$121,7,0),0),"")))</f>
        <v/>
      </c>
      <c r="AD307" s="347"/>
      <c r="AE307" s="350" t="str">
        <f t="shared" ca="1" si="251"/>
        <v/>
      </c>
      <c r="AF307" s="351" t="str">
        <f t="shared" ca="1" si="252"/>
        <v/>
      </c>
      <c r="AG307" s="340"/>
      <c r="AH307" s="340"/>
      <c r="AI307" s="340"/>
      <c r="AJ307" s="340"/>
      <c r="AK307" s="340"/>
      <c r="AL307" s="340"/>
      <c r="AM307" s="340"/>
      <c r="AN307" s="340"/>
      <c r="AO307" s="340"/>
      <c r="AP307" s="340"/>
      <c r="AQ307" s="340"/>
      <c r="AR307" s="340"/>
      <c r="AS307" s="340"/>
      <c r="AT307" s="340"/>
      <c r="AU307" s="340"/>
      <c r="AV307" s="340"/>
      <c r="AY307" s="340"/>
      <c r="AZ307" s="465">
        <f t="shared" ca="1" si="262"/>
        <v>7.3698599999999999E-5</v>
      </c>
      <c r="BA307" s="464">
        <f t="shared" ca="1" si="263"/>
        <v>2.1372602999999999E-3</v>
      </c>
      <c r="BB307" s="465">
        <f t="shared" ca="1" si="263"/>
        <v>2.2109589000000002E-3</v>
      </c>
      <c r="BC307" s="466">
        <f t="shared" ca="1" si="264"/>
        <v>51957</v>
      </c>
      <c r="BD307" s="467">
        <f t="shared" ca="1" si="277"/>
        <v>51958</v>
      </c>
      <c r="BE307" s="467">
        <f t="shared" ca="1" si="265"/>
        <v>51986</v>
      </c>
      <c r="BF307" s="468">
        <f ca="1">IF(計算!$BC307&lt;OP!$C$3,0,BD307-BC307)</f>
        <v>1</v>
      </c>
      <c r="BG307" s="468">
        <f ca="1">IF($BE307&gt;DATE(YEAR($BD$9)+OP!$C$57,MONTH($BD$9),DAY($BD$9)),0,$BE307-$BD307+1)</f>
        <v>29</v>
      </c>
      <c r="BH307" s="469">
        <f t="shared" ca="1" si="266"/>
        <v>30</v>
      </c>
      <c r="BI307" t="str">
        <f t="shared" si="282"/>
        <v/>
      </c>
      <c r="BJ307">
        <v>10</v>
      </c>
      <c r="BN307" s="468">
        <f t="shared" si="278"/>
        <v>25</v>
      </c>
      <c r="BO307" s="468">
        <f t="shared" si="279"/>
        <v>10</v>
      </c>
      <c r="BP307" s="467">
        <f t="shared" ca="1" si="267"/>
        <v>51958</v>
      </c>
      <c r="BQ307" s="475">
        <f t="shared" ca="1" si="281"/>
        <v>57</v>
      </c>
      <c r="BR307" s="475" t="str">
        <f t="shared" si="280"/>
        <v/>
      </c>
      <c r="BS307" s="471" t="str">
        <f t="shared" si="268"/>
        <v/>
      </c>
      <c r="BT307" s="472" t="str">
        <f t="shared" si="283"/>
        <v/>
      </c>
      <c r="BU307" s="472">
        <f t="shared" ca="1" si="269"/>
        <v>0</v>
      </c>
      <c r="BV307" s="472">
        <f t="shared" ca="1" si="269"/>
        <v>0</v>
      </c>
      <c r="BW307" s="472"/>
      <c r="BX307" s="473">
        <f t="shared" ca="1" si="270"/>
        <v>200740.35962564801</v>
      </c>
      <c r="BY307" s="473">
        <f t="shared" si="271"/>
        <v>0</v>
      </c>
      <c r="BZ307" s="473">
        <f t="shared" ca="1" si="253"/>
        <v>443.82868470400001</v>
      </c>
      <c r="CA307" s="476">
        <f t="shared" ca="1" si="272"/>
        <v>0</v>
      </c>
      <c r="CB307" s="494">
        <f ca="1">IF(OR($Q306&lt;&gt;1,OP!$D$5+$BN307-1&lt;16,$BN307-1&lt;1),0,ROUND(ROUND(ROUND(((VLOOKUP($BN307-1,MORE_PV,5,0)/10000)*VLOOKUP($BN307,MORE_PV,$CB$5,0)),3)*VLOOKUP($BN307,more1,5,0),0)/$R306,0))</f>
        <v>0</v>
      </c>
      <c r="CC307" s="473">
        <f t="shared" ca="1" si="273"/>
        <v>0</v>
      </c>
      <c r="CD307" s="477"/>
    </row>
    <row r="308" spans="2:82" ht="16.5" hidden="1">
      <c r="B308" s="80"/>
      <c r="C308" s="80"/>
      <c r="D308" s="80"/>
      <c r="E308" s="80"/>
      <c r="F308" s="80"/>
      <c r="G308" s="80"/>
      <c r="H308" s="80"/>
      <c r="I308" s="80"/>
      <c r="J308" s="192">
        <f t="shared" si="254"/>
        <v>25</v>
      </c>
      <c r="K308" s="192">
        <f t="shared" si="255"/>
        <v>12</v>
      </c>
      <c r="L308" s="192">
        <f t="shared" si="250"/>
        <v>25</v>
      </c>
      <c r="M308" s="216">
        <f t="shared" ca="1" si="256"/>
        <v>212127</v>
      </c>
      <c r="N308" s="216"/>
      <c r="O308" s="216"/>
      <c r="P308" s="216"/>
      <c r="Q308" s="456">
        <f t="shared" ca="1" si="257"/>
        <v>1</v>
      </c>
      <c r="R308" s="450">
        <f t="shared" ca="1" si="258"/>
        <v>1</v>
      </c>
      <c r="S308" s="191">
        <f t="shared" si="259"/>
        <v>25</v>
      </c>
      <c r="T308" s="191">
        <f t="shared" si="260"/>
        <v>12</v>
      </c>
      <c r="U308" s="191">
        <f ca="1">OP!$D$5+$S308-1</f>
        <v>57</v>
      </c>
      <c r="V308" s="191">
        <f t="shared" si="261"/>
        <v>25</v>
      </c>
      <c r="W308" s="350">
        <f ca="1">IF(Q308&lt;&gt;1,0,VLOOKUP(OP!$C$55,PVFB,$S308+2,0))</f>
        <v>43588</v>
      </c>
      <c r="X308" s="473">
        <f t="shared" ca="1" si="274"/>
        <v>10467</v>
      </c>
      <c r="Y308" s="348">
        <f t="shared" ca="1" si="275"/>
        <v>0</v>
      </c>
      <c r="Z308" s="348">
        <f t="shared" ca="1" si="276"/>
        <v>8012</v>
      </c>
      <c r="AA308" s="348">
        <f ca="1">IF(Q308&lt;&gt;1,0,VLOOKUP(OP!$C$55,PVFB,$S308+2,0))</f>
        <v>43588</v>
      </c>
      <c r="AB308" s="488">
        <f ca="1">IF(AND(S308&lt;OP!$C$24,$U308&lt;15),0,IF(AND($U308&lt;15,$T308=12),ROUND(VLOOKUP($S308,DOWN16,5,0),3),IF($T308=12,ROUND(($Z308/10000)*$AA308,3)+IF(AND($P$7="購買增額繳清保險",T308=12,U308=110),VLOOKUP(S308,$B$10:$H$121,7,0),0),"")))</f>
        <v>34922.705999999998</v>
      </c>
      <c r="AC308" s="350">
        <f ca="1">IF(AND(S308&lt;OP!$C$24,$U308&lt;15),0,IF(AND($U308&lt;16,$T308=12),VLOOKUP($S308,DOWN16,4,0),IF($T308=12,ROUND(VLOOKUP(OP!$C$55,_DIE2,$S308+1,0)*(Z308/10000),0)+IF(AND($P$7="購買增額繳清保險",T308=12,U308=110),VLOOKUP(S308,$B$10:$H$121,7,0),0),"")))</f>
        <v>34923</v>
      </c>
      <c r="AD308" s="347"/>
      <c r="AE308" s="350" t="str">
        <f t="shared" ca="1" si="251"/>
        <v/>
      </c>
      <c r="AF308" s="351" t="str">
        <f t="shared" ca="1" si="252"/>
        <v/>
      </c>
      <c r="AG308" s="340"/>
      <c r="AH308" s="340"/>
      <c r="AI308" s="340"/>
      <c r="AJ308" s="340"/>
      <c r="AK308" s="340"/>
      <c r="AL308" s="340"/>
      <c r="AM308" s="340"/>
      <c r="AN308" s="340"/>
      <c r="AO308" s="340"/>
      <c r="AP308" s="340"/>
      <c r="AQ308" s="340"/>
      <c r="AR308" s="340"/>
      <c r="AS308" s="340"/>
      <c r="AT308" s="340"/>
      <c r="AU308" s="340"/>
      <c r="AV308" s="340"/>
      <c r="AY308" s="340"/>
      <c r="AZ308" s="465">
        <f t="shared" ca="1" si="262"/>
        <v>7.3698599999999999E-5</v>
      </c>
      <c r="BA308" s="464">
        <f t="shared" ca="1" si="263"/>
        <v>2.2109589000000002E-3</v>
      </c>
      <c r="BB308" s="465">
        <f t="shared" ca="1" si="263"/>
        <v>2.2846575E-3</v>
      </c>
      <c r="BC308" s="466">
        <f t="shared" ca="1" si="264"/>
        <v>51987</v>
      </c>
      <c r="BD308" s="467">
        <f t="shared" ca="1" si="277"/>
        <v>51988</v>
      </c>
      <c r="BE308" s="467">
        <f t="shared" ca="1" si="265"/>
        <v>52017</v>
      </c>
      <c r="BF308" s="468">
        <f ca="1">IF(計算!$BC308&lt;OP!$C$3,0,BD308-BC308)</f>
        <v>1</v>
      </c>
      <c r="BG308" s="468">
        <f ca="1">IF($BE308&gt;DATE(YEAR($BD$9)+OP!$C$57,MONTH($BD$9),DAY($BD$9)),0,$BE308-$BD308+1)</f>
        <v>30</v>
      </c>
      <c r="BH308" s="469">
        <f t="shared" ca="1" si="266"/>
        <v>31</v>
      </c>
      <c r="BI308" t="str">
        <f t="shared" si="282"/>
        <v/>
      </c>
      <c r="BJ308">
        <v>11</v>
      </c>
      <c r="BN308" s="468">
        <f t="shared" si="278"/>
        <v>25</v>
      </c>
      <c r="BO308" s="468">
        <f t="shared" si="279"/>
        <v>11</v>
      </c>
      <c r="BP308" s="467">
        <f t="shared" ca="1" si="267"/>
        <v>51988</v>
      </c>
      <c r="BQ308" s="475">
        <f t="shared" ca="1" si="281"/>
        <v>57</v>
      </c>
      <c r="BR308" s="475" t="str">
        <f t="shared" si="280"/>
        <v/>
      </c>
      <c r="BS308" s="471" t="str">
        <f t="shared" si="268"/>
        <v/>
      </c>
      <c r="BT308" s="472" t="str">
        <f t="shared" si="283"/>
        <v/>
      </c>
      <c r="BU308" s="472">
        <f t="shared" ca="1" si="269"/>
        <v>0</v>
      </c>
      <c r="BV308" s="472">
        <f t="shared" ca="1" si="269"/>
        <v>0</v>
      </c>
      <c r="BW308" s="472"/>
      <c r="BX308" s="473">
        <f t="shared" ca="1" si="270"/>
        <v>201184.18831035201</v>
      </c>
      <c r="BY308" s="473">
        <f t="shared" si="271"/>
        <v>0</v>
      </c>
      <c r="BZ308" s="473">
        <f t="shared" ca="1" si="253"/>
        <v>459.63696470500003</v>
      </c>
      <c r="CA308" s="476">
        <f t="shared" ca="1" si="272"/>
        <v>0</v>
      </c>
      <c r="CB308" s="494">
        <f ca="1">IF(OR($Q307&lt;&gt;1,OP!$D$5+$BN308-1&lt;16,$BN308-1&lt;1),0,ROUND(ROUND(ROUND(((VLOOKUP($BN308-1,MORE_PV,5,0)/10000)*VLOOKUP($BN308,MORE_PV,$CB$5,0)),3)*VLOOKUP($BN308,more1,5,0),0)/$R307,0))</f>
        <v>0</v>
      </c>
      <c r="CC308" s="473">
        <f t="shared" ca="1" si="273"/>
        <v>0</v>
      </c>
      <c r="CD308" s="477"/>
    </row>
    <row r="309" spans="2:82" ht="16.5" hidden="1">
      <c r="B309" s="80"/>
      <c r="C309" s="80"/>
      <c r="D309" s="80"/>
      <c r="E309" s="80"/>
      <c r="F309" s="80"/>
      <c r="G309" s="80"/>
      <c r="H309" s="80"/>
      <c r="I309" s="80"/>
      <c r="J309" s="192">
        <f t="shared" si="254"/>
        <v>26</v>
      </c>
      <c r="K309" s="192">
        <f t="shared" si="255"/>
        <v>1</v>
      </c>
      <c r="L309" s="192" t="str">
        <f t="shared" si="250"/>
        <v/>
      </c>
      <c r="M309" s="216">
        <f t="shared" ca="1" si="256"/>
        <v>0</v>
      </c>
      <c r="N309" s="216"/>
      <c r="O309" s="216"/>
      <c r="P309" s="216"/>
      <c r="Q309" s="456" t="str">
        <f t="shared" ca="1" si="257"/>
        <v/>
      </c>
      <c r="R309" s="450">
        <f t="shared" ca="1" si="258"/>
        <v>1</v>
      </c>
      <c r="S309" s="191">
        <f t="shared" si="259"/>
        <v>26</v>
      </c>
      <c r="T309" s="191">
        <f t="shared" si="260"/>
        <v>1</v>
      </c>
      <c r="U309" s="191">
        <f ca="1">OP!$D$5+$S309-1</f>
        <v>58</v>
      </c>
      <c r="V309" s="191" t="str">
        <f t="shared" si="261"/>
        <v/>
      </c>
      <c r="W309" s="350">
        <f ca="1">IF(Q309&lt;&gt;1,0,VLOOKUP(OP!$C$55,PVFB,$S309+2,0))</f>
        <v>0</v>
      </c>
      <c r="X309" s="473">
        <f t="shared" ca="1" si="274"/>
        <v>0</v>
      </c>
      <c r="Y309" s="348">
        <f t="shared" ca="1" si="275"/>
        <v>0</v>
      </c>
      <c r="Z309" s="348">
        <f t="shared" ca="1" si="276"/>
        <v>8012</v>
      </c>
      <c r="AA309" s="348">
        <f ca="1">IF(Q309&lt;&gt;1,0,VLOOKUP(OP!$C$55,PVFB,$S309+2,0))</f>
        <v>0</v>
      </c>
      <c r="AB309" s="488" t="str">
        <f ca="1">IF(AND(S309&lt;OP!$C$24,$U309&lt;15),0,IF(AND($U309&lt;15,$T309=12),ROUND(VLOOKUP($S309,DOWN16,5,0),3),IF($T309=12,ROUND(($Z309/10000)*$AA309,3)+IF(AND($P$7="購買增額繳清保險",T309=12,U309=110),VLOOKUP(S309,$B$10:$H$121,7,0),0),"")))</f>
        <v/>
      </c>
      <c r="AC309" s="350" t="str">
        <f ca="1">IF(AND(S309&lt;OP!$C$24,$U309&lt;15),0,IF(AND($U309&lt;16,$T309=12),VLOOKUP($S309,DOWN16,4,0),IF($T309=12,ROUND(VLOOKUP(OP!$C$55,_DIE2,$S309+1,0)*(Z309/10000),0)+IF(AND($P$7="購買增額繳清保險",T309=12,U309=110),VLOOKUP(S309,$B$10:$H$121,7,0),0),"")))</f>
        <v/>
      </c>
      <c r="AD309" s="347"/>
      <c r="AE309" s="350" t="str">
        <f t="shared" ca="1" si="251"/>
        <v/>
      </c>
      <c r="AF309" s="351" t="str">
        <f t="shared" ca="1" si="252"/>
        <v/>
      </c>
      <c r="AG309" s="340"/>
      <c r="AH309" s="340"/>
      <c r="AI309" s="340"/>
      <c r="AJ309" s="340"/>
      <c r="AK309" s="340"/>
      <c r="AL309" s="340"/>
      <c r="AM309" s="340"/>
      <c r="AN309" s="340"/>
      <c r="AO309" s="340"/>
      <c r="AP309" s="340"/>
      <c r="AQ309" s="340"/>
      <c r="AR309" s="340"/>
      <c r="AS309" s="340"/>
      <c r="AT309" s="340"/>
      <c r="AU309" s="340"/>
      <c r="AV309" s="340"/>
      <c r="AY309" s="340"/>
      <c r="AZ309" s="465">
        <f t="shared" ca="1" si="262"/>
        <v>7.3698599999999999E-5</v>
      </c>
      <c r="BA309" s="464">
        <f t="shared" ca="1" si="263"/>
        <v>2.1372602999999999E-3</v>
      </c>
      <c r="BB309" s="465">
        <f t="shared" ca="1" si="263"/>
        <v>2.2109589000000002E-3</v>
      </c>
      <c r="BC309" s="466">
        <f t="shared" ca="1" si="264"/>
        <v>52018</v>
      </c>
      <c r="BD309" s="467">
        <f t="shared" ca="1" si="277"/>
        <v>52019</v>
      </c>
      <c r="BE309" s="467">
        <f t="shared" ca="1" si="265"/>
        <v>52047</v>
      </c>
      <c r="BF309" s="468">
        <f ca="1">IF(計算!$BC309&lt;OP!$C$3,0,BD309-BC309)</f>
        <v>1</v>
      </c>
      <c r="BG309" s="468">
        <f ca="1">IF($BE309&gt;DATE(YEAR($BD$9)+OP!$C$57,MONTH($BD$9),DAY($BD$9)),0,$BE309-$BD309+1)</f>
        <v>29</v>
      </c>
      <c r="BH309" s="469">
        <f t="shared" ca="1" si="266"/>
        <v>30</v>
      </c>
      <c r="BI309">
        <f t="shared" ca="1" si="282"/>
        <v>365</v>
      </c>
      <c r="BJ309">
        <v>12</v>
      </c>
      <c r="BN309" s="468">
        <f t="shared" si="278"/>
        <v>25</v>
      </c>
      <c r="BO309" s="468">
        <f t="shared" si="279"/>
        <v>12</v>
      </c>
      <c r="BP309" s="467">
        <f t="shared" ca="1" si="267"/>
        <v>52019</v>
      </c>
      <c r="BQ309" s="475">
        <f t="shared" ca="1" si="281"/>
        <v>57</v>
      </c>
      <c r="BR309" s="475">
        <f t="shared" si="280"/>
        <v>25</v>
      </c>
      <c r="BS309" s="471">
        <f t="shared" ca="1" si="268"/>
        <v>10467</v>
      </c>
      <c r="BT309" s="472">
        <f t="shared" ca="1" si="283"/>
        <v>212127</v>
      </c>
      <c r="BU309" s="472">
        <f t="shared" ca="1" si="269"/>
        <v>10226</v>
      </c>
      <c r="BV309" s="472">
        <f t="shared" ca="1" si="269"/>
        <v>241</v>
      </c>
      <c r="BW309" s="472">
        <f ca="1">ROUND(SUM(BY309,BZ297:BZ308),0)</f>
        <v>5346</v>
      </c>
      <c r="BX309" s="473">
        <f t="shared" ca="1" si="270"/>
        <v>212125.68614267799</v>
      </c>
      <c r="BY309" s="473">
        <f t="shared" ca="1" si="271"/>
        <v>14.860867621000001</v>
      </c>
      <c r="BZ309" s="473">
        <f t="shared" ca="1" si="253"/>
        <v>453.36780760300002</v>
      </c>
      <c r="CA309" s="476">
        <f t="shared" ca="1" si="272"/>
        <v>10226</v>
      </c>
      <c r="CB309" s="494">
        <f ca="1">IF(OR($Q308&lt;&gt;1,OP!$D$5+$BN309-1&lt;16,$BN309-1&lt;1),0,ROUND(ROUND(ROUND(((VLOOKUP($BN309-1,MORE_PV,5,0)/10000)*VLOOKUP($BN309,MORE_PV,$CB$5,0)),3)*VLOOKUP($BN309,more1,5,0),0)/$R308,0))</f>
        <v>241</v>
      </c>
      <c r="CC309" s="473">
        <f t="shared" ca="1" si="273"/>
        <v>0</v>
      </c>
      <c r="CD309" s="477"/>
    </row>
    <row r="310" spans="2:82" ht="16.5" hidden="1">
      <c r="B310" s="80"/>
      <c r="C310" s="80"/>
      <c r="D310" s="80"/>
      <c r="E310" s="80"/>
      <c r="F310" s="80"/>
      <c r="G310" s="80"/>
      <c r="H310" s="80"/>
      <c r="I310" s="80"/>
      <c r="J310" s="192">
        <f t="shared" si="254"/>
        <v>26</v>
      </c>
      <c r="K310" s="192">
        <f t="shared" si="255"/>
        <v>2</v>
      </c>
      <c r="L310" s="192" t="str">
        <f t="shared" si="250"/>
        <v/>
      </c>
      <c r="M310" s="216">
        <f t="shared" ca="1" si="256"/>
        <v>0</v>
      </c>
      <c r="N310" s="216"/>
      <c r="O310" s="216"/>
      <c r="P310" s="216"/>
      <c r="Q310" s="456" t="str">
        <f t="shared" ca="1" si="257"/>
        <v/>
      </c>
      <c r="R310" s="450">
        <f t="shared" ca="1" si="258"/>
        <v>1</v>
      </c>
      <c r="S310" s="191">
        <f t="shared" si="259"/>
        <v>26</v>
      </c>
      <c r="T310" s="191">
        <f t="shared" si="260"/>
        <v>2</v>
      </c>
      <c r="U310" s="191">
        <f ca="1">OP!$D$5+$S310-1</f>
        <v>58</v>
      </c>
      <c r="V310" s="191" t="str">
        <f t="shared" si="261"/>
        <v/>
      </c>
      <c r="W310" s="350">
        <f ca="1">IF(Q310&lt;&gt;1,0,VLOOKUP(OP!$C$55,PVFB,$S310+2,0))</f>
        <v>0</v>
      </c>
      <c r="X310" s="473">
        <f t="shared" ca="1" si="274"/>
        <v>0</v>
      </c>
      <c r="Y310" s="348">
        <f t="shared" ca="1" si="275"/>
        <v>0</v>
      </c>
      <c r="Z310" s="348">
        <f t="shared" ca="1" si="276"/>
        <v>8012</v>
      </c>
      <c r="AA310" s="348">
        <f ca="1">IF(Q310&lt;&gt;1,0,VLOOKUP(OP!$C$55,PVFB,$S310+2,0))</f>
        <v>0</v>
      </c>
      <c r="AB310" s="488" t="str">
        <f ca="1">IF(AND(S310&lt;OP!$C$24,$U310&lt;15),0,IF(AND($U310&lt;15,$T310=12),ROUND(VLOOKUP($S310,DOWN16,5,0),3),IF($T310=12,ROUND(($Z310/10000)*$AA310,3)+IF(AND($P$7="購買增額繳清保險",T310=12,U310=110),VLOOKUP(S310,$B$10:$H$121,7,0),0),"")))</f>
        <v/>
      </c>
      <c r="AC310" s="350" t="str">
        <f ca="1">IF(AND(S310&lt;OP!$C$24,$U310&lt;15),0,IF(AND($U310&lt;16,$T310=12),VLOOKUP($S310,DOWN16,4,0),IF($T310=12,ROUND(VLOOKUP(OP!$C$55,_DIE2,$S310+1,0)*(Z310/10000),0)+IF(AND($P$7="購買增額繳清保險",T310=12,U310=110),VLOOKUP(S310,$B$10:$H$121,7,0),0),"")))</f>
        <v/>
      </c>
      <c r="AD310" s="347"/>
      <c r="AE310" s="350" t="str">
        <f t="shared" ca="1" si="251"/>
        <v/>
      </c>
      <c r="AF310" s="351" t="str">
        <f t="shared" ca="1" si="252"/>
        <v/>
      </c>
      <c r="AG310" s="340"/>
      <c r="AH310" s="340"/>
      <c r="AI310" s="340"/>
      <c r="AJ310" s="340"/>
      <c r="AK310" s="340"/>
      <c r="AL310" s="340"/>
      <c r="AM310" s="340"/>
      <c r="AN310" s="340"/>
      <c r="AO310" s="340"/>
      <c r="AP310" s="340"/>
      <c r="AQ310" s="340"/>
      <c r="AR310" s="340"/>
      <c r="AS310" s="340"/>
      <c r="AT310" s="340"/>
      <c r="AU310" s="340"/>
      <c r="AV310" s="340"/>
      <c r="AY310" s="340"/>
      <c r="AZ310" s="465">
        <f t="shared" ca="1" si="262"/>
        <v>7.3698599999999999E-5</v>
      </c>
      <c r="BA310" s="464">
        <f t="shared" ca="1" si="263"/>
        <v>2.2109589000000002E-3</v>
      </c>
      <c r="BB310" s="465">
        <f t="shared" ca="1" si="263"/>
        <v>2.2846575E-3</v>
      </c>
      <c r="BC310" s="466">
        <f t="shared" ca="1" si="264"/>
        <v>52048</v>
      </c>
      <c r="BD310" s="467">
        <f t="shared" ca="1" si="277"/>
        <v>52049</v>
      </c>
      <c r="BE310" s="467">
        <f t="shared" ca="1" si="265"/>
        <v>52078</v>
      </c>
      <c r="BF310" s="468">
        <f ca="1">IF(計算!$BC310&lt;OP!$C$3,0,BD310-BC310)</f>
        <v>1</v>
      </c>
      <c r="BG310" s="468">
        <f ca="1">IF($BE310&gt;DATE(YEAR($BD$9)+OP!$C$57,MONTH($BD$9),DAY($BD$9)),0,$BE310-$BD310+1)</f>
        <v>30</v>
      </c>
      <c r="BH310" s="469">
        <f t="shared" ca="1" si="266"/>
        <v>31</v>
      </c>
      <c r="BI310" t="str">
        <f t="shared" si="282"/>
        <v/>
      </c>
      <c r="BJ310">
        <v>1</v>
      </c>
      <c r="BN310" s="468">
        <f t="shared" si="278"/>
        <v>26</v>
      </c>
      <c r="BO310" s="468">
        <f t="shared" si="279"/>
        <v>1</v>
      </c>
      <c r="BP310" s="467">
        <f t="shared" ca="1" si="267"/>
        <v>52049</v>
      </c>
      <c r="BQ310" s="475">
        <f t="shared" ca="1" si="281"/>
        <v>58</v>
      </c>
      <c r="BR310" s="475" t="str">
        <f t="shared" si="280"/>
        <v/>
      </c>
      <c r="BS310" s="471" t="str">
        <f t="shared" si="268"/>
        <v/>
      </c>
      <c r="BT310" s="472" t="str">
        <f t="shared" si="283"/>
        <v/>
      </c>
      <c r="BU310" s="472">
        <f t="shared" ca="1" si="269"/>
        <v>0</v>
      </c>
      <c r="BV310" s="472">
        <f t="shared" ca="1" si="269"/>
        <v>0</v>
      </c>
      <c r="BW310" s="472"/>
      <c r="BX310" s="473">
        <f t="shared" ca="1" si="270"/>
        <v>212579.053950281</v>
      </c>
      <c r="BY310" s="473">
        <f t="shared" si="271"/>
        <v>0</v>
      </c>
      <c r="BZ310" s="473">
        <f t="shared" ca="1" si="253"/>
        <v>485.67032995</v>
      </c>
      <c r="CA310" s="476">
        <f t="shared" ca="1" si="272"/>
        <v>0</v>
      </c>
      <c r="CB310" s="494">
        <f ca="1">IF(OR($Q309&lt;&gt;1,OP!$D$5+$BN310-1&lt;16,$BN310-1&lt;1),0,ROUND(ROUND(ROUND(((VLOOKUP($BN310-1,MORE_PV,5,0)/10000)*VLOOKUP($BN310,MORE_PV,$CB$5,0)),3)*VLOOKUP($BN310,more1,5,0),0)/$R309,0))</f>
        <v>0</v>
      </c>
      <c r="CC310" s="473">
        <f t="shared" ca="1" si="273"/>
        <v>0</v>
      </c>
      <c r="CD310" s="477"/>
    </row>
    <row r="311" spans="2:82" ht="16.5" hidden="1">
      <c r="B311" s="80"/>
      <c r="C311" s="80"/>
      <c r="D311" s="80"/>
      <c r="E311" s="80"/>
      <c r="F311" s="80"/>
      <c r="G311" s="80"/>
      <c r="H311" s="80"/>
      <c r="I311" s="80"/>
      <c r="J311" s="192">
        <f t="shared" si="254"/>
        <v>26</v>
      </c>
      <c r="K311" s="192">
        <f t="shared" si="255"/>
        <v>3</v>
      </c>
      <c r="L311" s="192" t="str">
        <f t="shared" si="250"/>
        <v/>
      </c>
      <c r="M311" s="216">
        <f t="shared" ca="1" si="256"/>
        <v>0</v>
      </c>
      <c r="N311" s="216"/>
      <c r="O311" s="216"/>
      <c r="P311" s="216"/>
      <c r="Q311" s="456" t="str">
        <f t="shared" ca="1" si="257"/>
        <v/>
      </c>
      <c r="R311" s="450">
        <f t="shared" ca="1" si="258"/>
        <v>1</v>
      </c>
      <c r="S311" s="191">
        <f t="shared" si="259"/>
        <v>26</v>
      </c>
      <c r="T311" s="191">
        <f t="shared" si="260"/>
        <v>3</v>
      </c>
      <c r="U311" s="191">
        <f ca="1">OP!$D$5+$S311-1</f>
        <v>58</v>
      </c>
      <c r="V311" s="191" t="str">
        <f t="shared" si="261"/>
        <v/>
      </c>
      <c r="W311" s="350">
        <f ca="1">IF(Q311&lt;&gt;1,0,VLOOKUP(OP!$C$55,PVFB,$S311+2,0))</f>
        <v>0</v>
      </c>
      <c r="X311" s="473">
        <f t="shared" ca="1" si="274"/>
        <v>0</v>
      </c>
      <c r="Y311" s="348">
        <f t="shared" ca="1" si="275"/>
        <v>0</v>
      </c>
      <c r="Z311" s="348">
        <f t="shared" ca="1" si="276"/>
        <v>8012</v>
      </c>
      <c r="AA311" s="348">
        <f ca="1">IF(Q311&lt;&gt;1,0,VLOOKUP(OP!$C$55,PVFB,$S311+2,0))</f>
        <v>0</v>
      </c>
      <c r="AB311" s="488" t="str">
        <f ca="1">IF(AND(S311&lt;OP!$C$24,$U311&lt;15),0,IF(AND($U311&lt;15,$T311=12),ROUND(VLOOKUP($S311,DOWN16,5,0),3),IF($T311=12,ROUND(($Z311/10000)*$AA311,3)+IF(AND($P$7="購買增額繳清保險",T311=12,U311=110),VLOOKUP(S311,$B$10:$H$121,7,0),0),"")))</f>
        <v/>
      </c>
      <c r="AC311" s="350" t="str">
        <f ca="1">IF(AND(S311&lt;OP!$C$24,$U311&lt;15),0,IF(AND($U311&lt;16,$T311=12),VLOOKUP($S311,DOWN16,4,0),IF($T311=12,ROUND(VLOOKUP(OP!$C$55,_DIE2,$S311+1,0)*(Z311/10000),0)+IF(AND($P$7="購買增額繳清保險",T311=12,U311=110),VLOOKUP(S311,$B$10:$H$121,7,0),0),"")))</f>
        <v/>
      </c>
      <c r="AD311" s="347"/>
      <c r="AE311" s="350" t="str">
        <f t="shared" ca="1" si="251"/>
        <v/>
      </c>
      <c r="AF311" s="351" t="str">
        <f t="shared" ca="1" si="252"/>
        <v/>
      </c>
      <c r="AG311" s="340"/>
      <c r="AH311" s="340"/>
      <c r="AI311" s="340"/>
      <c r="AJ311" s="340"/>
      <c r="AK311" s="340"/>
      <c r="AL311" s="340"/>
      <c r="AM311" s="340"/>
      <c r="AN311" s="340"/>
      <c r="AO311" s="340"/>
      <c r="AP311" s="340"/>
      <c r="AQ311" s="340"/>
      <c r="AR311" s="340"/>
      <c r="AS311" s="340"/>
      <c r="AT311" s="340"/>
      <c r="AU311" s="340"/>
      <c r="AV311" s="340"/>
      <c r="AY311" s="340"/>
      <c r="AZ311" s="465">
        <f t="shared" ca="1" si="262"/>
        <v>7.3698599999999999E-5</v>
      </c>
      <c r="BA311" s="464">
        <f t="shared" ca="1" si="263"/>
        <v>2.2109589000000002E-3</v>
      </c>
      <c r="BB311" s="465">
        <f t="shared" ca="1" si="263"/>
        <v>2.2846575E-3</v>
      </c>
      <c r="BC311" s="466">
        <f t="shared" ca="1" si="264"/>
        <v>52079</v>
      </c>
      <c r="BD311" s="467">
        <f t="shared" ca="1" si="277"/>
        <v>52080</v>
      </c>
      <c r="BE311" s="467">
        <f t="shared" ca="1" si="265"/>
        <v>52109</v>
      </c>
      <c r="BF311" s="468">
        <f ca="1">IF(計算!$BC311&lt;OP!$C$3,0,BD311-BC311)</f>
        <v>1</v>
      </c>
      <c r="BG311" s="468">
        <f ca="1">IF($BE311&gt;DATE(YEAR($BD$9)+OP!$C$57,MONTH($BD$9),DAY($BD$9)),0,$BE311-$BD311+1)</f>
        <v>30</v>
      </c>
      <c r="BH311" s="469">
        <f t="shared" ca="1" si="266"/>
        <v>31</v>
      </c>
      <c r="BI311" t="str">
        <f t="shared" si="282"/>
        <v/>
      </c>
      <c r="BJ311">
        <v>2</v>
      </c>
      <c r="BN311" s="468">
        <f t="shared" si="278"/>
        <v>26</v>
      </c>
      <c r="BO311" s="468">
        <f t="shared" si="279"/>
        <v>2</v>
      </c>
      <c r="BP311" s="467">
        <f t="shared" ca="1" si="267"/>
        <v>52080</v>
      </c>
      <c r="BQ311" s="475">
        <f t="shared" ca="1" si="281"/>
        <v>58</v>
      </c>
      <c r="BR311" s="475" t="str">
        <f t="shared" si="280"/>
        <v/>
      </c>
      <c r="BS311" s="471" t="str">
        <f t="shared" si="268"/>
        <v/>
      </c>
      <c r="BT311" s="472" t="str">
        <f t="shared" si="283"/>
        <v/>
      </c>
      <c r="BU311" s="472">
        <f t="shared" ca="1" si="269"/>
        <v>0</v>
      </c>
      <c r="BV311" s="472">
        <f t="shared" ca="1" si="269"/>
        <v>0</v>
      </c>
      <c r="BW311" s="472"/>
      <c r="BX311" s="473">
        <f t="shared" ca="1" si="270"/>
        <v>213064.72428023099</v>
      </c>
      <c r="BY311" s="473">
        <f t="shared" si="271"/>
        <v>0</v>
      </c>
      <c r="BZ311" s="473">
        <f t="shared" ca="1" si="253"/>
        <v>486.779920312</v>
      </c>
      <c r="CA311" s="476">
        <f t="shared" ca="1" si="272"/>
        <v>0</v>
      </c>
      <c r="CB311" s="494">
        <f ca="1">IF(OR($Q310&lt;&gt;1,OP!$D$5+$BN311-1&lt;16,$BN311-1&lt;1),0,ROUND(ROUND(ROUND(((VLOOKUP($BN311-1,MORE_PV,5,0)/10000)*VLOOKUP($BN311,MORE_PV,$CB$5,0)),3)*VLOOKUP($BN311,more1,5,0),0)/$R310,0))</f>
        <v>0</v>
      </c>
      <c r="CC311" s="473">
        <f t="shared" ca="1" si="273"/>
        <v>0</v>
      </c>
      <c r="CD311" s="477"/>
    </row>
    <row r="312" spans="2:82" ht="16.5" hidden="1">
      <c r="B312" s="80"/>
      <c r="C312" s="80"/>
      <c r="D312" s="80"/>
      <c r="E312" s="80"/>
      <c r="F312" s="80"/>
      <c r="G312" s="80"/>
      <c r="H312" s="80"/>
      <c r="I312" s="80"/>
      <c r="J312" s="192">
        <f t="shared" si="254"/>
        <v>26</v>
      </c>
      <c r="K312" s="192">
        <f t="shared" si="255"/>
        <v>4</v>
      </c>
      <c r="L312" s="192" t="str">
        <f t="shared" si="250"/>
        <v/>
      </c>
      <c r="M312" s="216">
        <f t="shared" ca="1" si="256"/>
        <v>0</v>
      </c>
      <c r="N312" s="216"/>
      <c r="O312" s="216"/>
      <c r="P312" s="216"/>
      <c r="Q312" s="456" t="str">
        <f t="shared" ca="1" si="257"/>
        <v/>
      </c>
      <c r="R312" s="450">
        <f t="shared" ca="1" si="258"/>
        <v>1</v>
      </c>
      <c r="S312" s="191">
        <f t="shared" si="259"/>
        <v>26</v>
      </c>
      <c r="T312" s="191">
        <f t="shared" si="260"/>
        <v>4</v>
      </c>
      <c r="U312" s="191">
        <f ca="1">OP!$D$5+$S312-1</f>
        <v>58</v>
      </c>
      <c r="V312" s="191" t="str">
        <f t="shared" si="261"/>
        <v/>
      </c>
      <c r="W312" s="350">
        <f ca="1">IF(Q312&lt;&gt;1,0,VLOOKUP(OP!$C$55,PVFB,$S312+2,0))</f>
        <v>0</v>
      </c>
      <c r="X312" s="473">
        <f t="shared" ca="1" si="274"/>
        <v>0</v>
      </c>
      <c r="Y312" s="348">
        <f t="shared" ca="1" si="275"/>
        <v>0</v>
      </c>
      <c r="Z312" s="348">
        <f t="shared" ca="1" si="276"/>
        <v>8012</v>
      </c>
      <c r="AA312" s="348">
        <f ca="1">IF(Q312&lt;&gt;1,0,VLOOKUP(OP!$C$55,PVFB,$S312+2,0))</f>
        <v>0</v>
      </c>
      <c r="AB312" s="488" t="str">
        <f ca="1">IF(AND(S312&lt;OP!$C$24,$U312&lt;15),0,IF(AND($U312&lt;15,$T312=12),ROUND(VLOOKUP($S312,DOWN16,5,0),3),IF($T312=12,ROUND(($Z312/10000)*$AA312,3)+IF(AND($P$7="購買增額繳清保險",T312=12,U312=110),VLOOKUP(S312,$B$10:$H$121,7,0),0),"")))</f>
        <v/>
      </c>
      <c r="AC312" s="350" t="str">
        <f ca="1">IF(AND(S312&lt;OP!$C$24,$U312&lt;15),0,IF(AND($U312&lt;16,$T312=12),VLOOKUP($S312,DOWN16,4,0),IF($T312=12,ROUND(VLOOKUP(OP!$C$55,_DIE2,$S312+1,0)*(Z312/10000),0)+IF(AND($P$7="購買增額繳清保險",T312=12,U312=110),VLOOKUP(S312,$B$10:$H$121,7,0),0),"")))</f>
        <v/>
      </c>
      <c r="AD312" s="347"/>
      <c r="AE312" s="350" t="str">
        <f t="shared" ca="1" si="251"/>
        <v/>
      </c>
      <c r="AF312" s="351" t="str">
        <f t="shared" ca="1" si="252"/>
        <v/>
      </c>
      <c r="AG312" s="340"/>
      <c r="AH312" s="340"/>
      <c r="AI312" s="340"/>
      <c r="AJ312" s="340"/>
      <c r="AK312" s="340"/>
      <c r="AL312" s="340"/>
      <c r="AM312" s="340"/>
      <c r="AN312" s="340"/>
      <c r="AO312" s="340"/>
      <c r="AP312" s="340"/>
      <c r="AQ312" s="340"/>
      <c r="AR312" s="340"/>
      <c r="AS312" s="340"/>
      <c r="AT312" s="340"/>
      <c r="AU312" s="340"/>
      <c r="AV312" s="340"/>
      <c r="AY312" s="340"/>
      <c r="AZ312" s="465">
        <f t="shared" ca="1" si="262"/>
        <v>7.3698599999999999E-5</v>
      </c>
      <c r="BA312" s="464">
        <f t="shared" ca="1" si="263"/>
        <v>2.1372602999999999E-3</v>
      </c>
      <c r="BB312" s="465">
        <f t="shared" ca="1" si="263"/>
        <v>2.2109589000000002E-3</v>
      </c>
      <c r="BC312" s="466">
        <f t="shared" ca="1" si="264"/>
        <v>52110</v>
      </c>
      <c r="BD312" s="467">
        <f t="shared" ca="1" si="277"/>
        <v>52111</v>
      </c>
      <c r="BE312" s="467">
        <f t="shared" ca="1" si="265"/>
        <v>52139</v>
      </c>
      <c r="BF312" s="468">
        <f ca="1">IF(計算!$BC312&lt;OP!$C$3,0,BD312-BC312)</f>
        <v>1</v>
      </c>
      <c r="BG312" s="468">
        <f ca="1">IF($BE312&gt;DATE(YEAR($BD$9)+OP!$C$57,MONTH($BD$9),DAY($BD$9)),0,$BE312-$BD312+1)</f>
        <v>29</v>
      </c>
      <c r="BH312" s="469">
        <f t="shared" ca="1" si="266"/>
        <v>30</v>
      </c>
      <c r="BI312" t="str">
        <f t="shared" si="282"/>
        <v/>
      </c>
      <c r="BJ312">
        <v>3</v>
      </c>
      <c r="BN312" s="468">
        <f t="shared" si="278"/>
        <v>26</v>
      </c>
      <c r="BO312" s="468">
        <f t="shared" si="279"/>
        <v>3</v>
      </c>
      <c r="BP312" s="467">
        <f t="shared" ca="1" si="267"/>
        <v>52111</v>
      </c>
      <c r="BQ312" s="475">
        <f t="shared" ca="1" si="281"/>
        <v>58</v>
      </c>
      <c r="BR312" s="475" t="str">
        <f t="shared" si="280"/>
        <v/>
      </c>
      <c r="BS312" s="471" t="str">
        <f t="shared" si="268"/>
        <v/>
      </c>
      <c r="BT312" s="472" t="str">
        <f t="shared" si="283"/>
        <v/>
      </c>
      <c r="BU312" s="472">
        <f t="shared" ca="1" si="269"/>
        <v>0</v>
      </c>
      <c r="BV312" s="472">
        <f t="shared" ca="1" si="269"/>
        <v>0</v>
      </c>
      <c r="BW312" s="472"/>
      <c r="BX312" s="473">
        <f t="shared" ca="1" si="270"/>
        <v>213551.50420054299</v>
      </c>
      <c r="BY312" s="473">
        <f t="shared" si="271"/>
        <v>0</v>
      </c>
      <c r="BZ312" s="473">
        <f t="shared" ca="1" si="253"/>
        <v>472.153598821</v>
      </c>
      <c r="CA312" s="476">
        <f t="shared" ca="1" si="272"/>
        <v>0</v>
      </c>
      <c r="CB312" s="494">
        <f ca="1">IF(OR($Q311&lt;&gt;1,OP!$D$5+$BN312-1&lt;16,$BN312-1&lt;1),0,ROUND(ROUND(ROUND(((VLOOKUP($BN312-1,MORE_PV,5,0)/10000)*VLOOKUP($BN312,MORE_PV,$CB$5,0)),3)*VLOOKUP($BN312,more1,5,0),0)/$R311,0))</f>
        <v>0</v>
      </c>
      <c r="CC312" s="473">
        <f t="shared" ca="1" si="273"/>
        <v>0</v>
      </c>
      <c r="CD312" s="477"/>
    </row>
    <row r="313" spans="2:82" ht="16.5" hidden="1">
      <c r="B313" s="80"/>
      <c r="C313" s="80"/>
      <c r="D313" s="80"/>
      <c r="E313" s="80"/>
      <c r="F313" s="80"/>
      <c r="G313" s="80"/>
      <c r="H313" s="80"/>
      <c r="I313" s="80"/>
      <c r="J313" s="192">
        <f t="shared" si="254"/>
        <v>26</v>
      </c>
      <c r="K313" s="192">
        <f t="shared" si="255"/>
        <v>5</v>
      </c>
      <c r="L313" s="192" t="str">
        <f t="shared" si="250"/>
        <v/>
      </c>
      <c r="M313" s="216">
        <f t="shared" ca="1" si="256"/>
        <v>0</v>
      </c>
      <c r="N313" s="216"/>
      <c r="O313" s="216"/>
      <c r="P313" s="216"/>
      <c r="Q313" s="456" t="str">
        <f t="shared" ca="1" si="257"/>
        <v/>
      </c>
      <c r="R313" s="450">
        <f t="shared" ca="1" si="258"/>
        <v>1</v>
      </c>
      <c r="S313" s="191">
        <f t="shared" si="259"/>
        <v>26</v>
      </c>
      <c r="T313" s="191">
        <f t="shared" si="260"/>
        <v>5</v>
      </c>
      <c r="U313" s="191">
        <f ca="1">OP!$D$5+$S313-1</f>
        <v>58</v>
      </c>
      <c r="V313" s="191" t="str">
        <f t="shared" si="261"/>
        <v/>
      </c>
      <c r="W313" s="350">
        <f ca="1">IF(Q313&lt;&gt;1,0,VLOOKUP(OP!$C$55,PVFB,$S313+2,0))</f>
        <v>0</v>
      </c>
      <c r="X313" s="473">
        <f t="shared" ca="1" si="274"/>
        <v>0</v>
      </c>
      <c r="Y313" s="348">
        <f t="shared" ca="1" si="275"/>
        <v>0</v>
      </c>
      <c r="Z313" s="348">
        <f t="shared" ca="1" si="276"/>
        <v>8012</v>
      </c>
      <c r="AA313" s="348">
        <f ca="1">IF(Q313&lt;&gt;1,0,VLOOKUP(OP!$C$55,PVFB,$S313+2,0))</f>
        <v>0</v>
      </c>
      <c r="AB313" s="488" t="str">
        <f ca="1">IF(AND(S313&lt;OP!$C$24,$U313&lt;15),0,IF(AND($U313&lt;15,$T313=12),ROUND(VLOOKUP($S313,DOWN16,5,0),3),IF($T313=12,ROUND(($Z313/10000)*$AA313,3)+IF(AND($P$7="購買增額繳清保險",T313=12,U313=110),VLOOKUP(S313,$B$10:$H$121,7,0),0),"")))</f>
        <v/>
      </c>
      <c r="AC313" s="350" t="str">
        <f ca="1">IF(AND(S313&lt;OP!$C$24,$U313&lt;15),0,IF(AND($U313&lt;16,$T313=12),VLOOKUP($S313,DOWN16,4,0),IF($T313=12,ROUND(VLOOKUP(OP!$C$55,_DIE2,$S313+1,0)*(Z313/10000),0)+IF(AND($P$7="購買增額繳清保險",T313=12,U313=110),VLOOKUP(S313,$B$10:$H$121,7,0),0),"")))</f>
        <v/>
      </c>
      <c r="AD313" s="347"/>
      <c r="AE313" s="350" t="str">
        <f t="shared" ca="1" si="251"/>
        <v/>
      </c>
      <c r="AF313" s="351" t="str">
        <f t="shared" ca="1" si="252"/>
        <v/>
      </c>
      <c r="AG313" s="340"/>
      <c r="AH313" s="340"/>
      <c r="AI313" s="340"/>
      <c r="AJ313" s="340"/>
      <c r="AK313" s="340"/>
      <c r="AL313" s="340"/>
      <c r="AM313" s="340"/>
      <c r="AN313" s="340"/>
      <c r="AO313" s="340"/>
      <c r="AP313" s="340"/>
      <c r="AQ313" s="340"/>
      <c r="AR313" s="340"/>
      <c r="AS313" s="340"/>
      <c r="AT313" s="340"/>
      <c r="AU313" s="340"/>
      <c r="AV313" s="340"/>
      <c r="AY313" s="340"/>
      <c r="AZ313" s="465">
        <f t="shared" ca="1" si="262"/>
        <v>7.3698599999999999E-5</v>
      </c>
      <c r="BA313" s="464">
        <f t="shared" ca="1" si="263"/>
        <v>2.2109589000000002E-3</v>
      </c>
      <c r="BB313" s="465">
        <f t="shared" ca="1" si="263"/>
        <v>2.2846575E-3</v>
      </c>
      <c r="BC313" s="466">
        <f t="shared" ca="1" si="264"/>
        <v>52140</v>
      </c>
      <c r="BD313" s="467">
        <f t="shared" ca="1" si="277"/>
        <v>52141</v>
      </c>
      <c r="BE313" s="467">
        <f t="shared" ca="1" si="265"/>
        <v>52170</v>
      </c>
      <c r="BF313" s="468">
        <f ca="1">IF(計算!$BC313&lt;OP!$C$3,0,BD313-BC313)</f>
        <v>1</v>
      </c>
      <c r="BG313" s="468">
        <f ca="1">IF($BE313&gt;DATE(YEAR($BD$9)+OP!$C$57,MONTH($BD$9),DAY($BD$9)),0,$BE313-$BD313+1)</f>
        <v>30</v>
      </c>
      <c r="BH313" s="469">
        <f t="shared" ca="1" si="266"/>
        <v>31</v>
      </c>
      <c r="BI313" t="str">
        <f t="shared" si="282"/>
        <v/>
      </c>
      <c r="BJ313">
        <v>4</v>
      </c>
      <c r="BN313" s="468">
        <f t="shared" si="278"/>
        <v>26</v>
      </c>
      <c r="BO313" s="468">
        <f t="shared" si="279"/>
        <v>4</v>
      </c>
      <c r="BP313" s="467">
        <f t="shared" ca="1" si="267"/>
        <v>52141</v>
      </c>
      <c r="BQ313" s="475">
        <f t="shared" ca="1" si="281"/>
        <v>58</v>
      </c>
      <c r="BR313" s="475" t="str">
        <f t="shared" si="280"/>
        <v/>
      </c>
      <c r="BS313" s="471" t="str">
        <f t="shared" si="268"/>
        <v/>
      </c>
      <c r="BT313" s="472" t="str">
        <f t="shared" si="283"/>
        <v/>
      </c>
      <c r="BU313" s="472">
        <f t="shared" ca="1" si="269"/>
        <v>0</v>
      </c>
      <c r="BV313" s="472">
        <f t="shared" ca="1" si="269"/>
        <v>0</v>
      </c>
      <c r="BW313" s="472"/>
      <c r="BX313" s="473">
        <f t="shared" ca="1" si="270"/>
        <v>214023.65779936401</v>
      </c>
      <c r="BY313" s="473">
        <f t="shared" si="271"/>
        <v>0</v>
      </c>
      <c r="BZ313" s="473">
        <f t="shared" ca="1" si="253"/>
        <v>488.97075496899998</v>
      </c>
      <c r="CA313" s="476">
        <f t="shared" ca="1" si="272"/>
        <v>0</v>
      </c>
      <c r="CB313" s="494">
        <f ca="1">IF(OR($Q312&lt;&gt;1,OP!$D$5+$BN313-1&lt;16,$BN313-1&lt;1),0,ROUND(ROUND(ROUND(((VLOOKUP($BN313-1,MORE_PV,5,0)/10000)*VLOOKUP($BN313,MORE_PV,$CB$5,0)),3)*VLOOKUP($BN313,more1,5,0),0)/$R312,0))</f>
        <v>0</v>
      </c>
      <c r="CC313" s="473">
        <f t="shared" ca="1" si="273"/>
        <v>0</v>
      </c>
      <c r="CD313" s="477"/>
    </row>
    <row r="314" spans="2:82" ht="16.5" hidden="1">
      <c r="B314" s="80"/>
      <c r="C314" s="80"/>
      <c r="D314" s="80"/>
      <c r="E314" s="80"/>
      <c r="F314" s="80"/>
      <c r="G314" s="80"/>
      <c r="H314" s="80"/>
      <c r="I314" s="80"/>
      <c r="J314" s="192">
        <f t="shared" si="254"/>
        <v>26</v>
      </c>
      <c r="K314" s="192">
        <f t="shared" si="255"/>
        <v>6</v>
      </c>
      <c r="L314" s="192" t="str">
        <f t="shared" si="250"/>
        <v/>
      </c>
      <c r="M314" s="216">
        <f t="shared" ca="1" si="256"/>
        <v>0</v>
      </c>
      <c r="N314" s="216"/>
      <c r="O314" s="216"/>
      <c r="P314" s="216"/>
      <c r="Q314" s="456" t="str">
        <f t="shared" ca="1" si="257"/>
        <v/>
      </c>
      <c r="R314" s="450">
        <f t="shared" ca="1" si="258"/>
        <v>1</v>
      </c>
      <c r="S314" s="191">
        <f t="shared" si="259"/>
        <v>26</v>
      </c>
      <c r="T314" s="191">
        <f t="shared" si="260"/>
        <v>6</v>
      </c>
      <c r="U314" s="191">
        <f ca="1">OP!$D$5+$S314-1</f>
        <v>58</v>
      </c>
      <c r="V314" s="191" t="str">
        <f t="shared" si="261"/>
        <v/>
      </c>
      <c r="W314" s="350">
        <f ca="1">IF(Q314&lt;&gt;1,0,VLOOKUP(OP!$C$55,PVFB,$S314+2,0))</f>
        <v>0</v>
      </c>
      <c r="X314" s="473">
        <f t="shared" ca="1" si="274"/>
        <v>0</v>
      </c>
      <c r="Y314" s="348">
        <f t="shared" ca="1" si="275"/>
        <v>0</v>
      </c>
      <c r="Z314" s="348">
        <f t="shared" ca="1" si="276"/>
        <v>8012</v>
      </c>
      <c r="AA314" s="348">
        <f ca="1">IF(Q314&lt;&gt;1,0,VLOOKUP(OP!$C$55,PVFB,$S314+2,0))</f>
        <v>0</v>
      </c>
      <c r="AB314" s="488" t="str">
        <f ca="1">IF(AND(S314&lt;OP!$C$24,$U314&lt;15),0,IF(AND($U314&lt;15,$T314=12),ROUND(VLOOKUP($S314,DOWN16,5,0),3),IF($T314=12,ROUND(($Z314/10000)*$AA314,3)+IF(AND($P$7="購買增額繳清保險",T314=12,U314=110),VLOOKUP(S314,$B$10:$H$121,7,0),0),"")))</f>
        <v/>
      </c>
      <c r="AC314" s="350" t="str">
        <f ca="1">IF(AND(S314&lt;OP!$C$24,$U314&lt;15),0,IF(AND($U314&lt;16,$T314=12),VLOOKUP($S314,DOWN16,4,0),IF($T314=12,ROUND(VLOOKUP(OP!$C$55,_DIE2,$S314+1,0)*(Z314/10000),0)+IF(AND($P$7="購買增額繳清保險",T314=12,U314=110),VLOOKUP(S314,$B$10:$H$121,7,0),0),"")))</f>
        <v/>
      </c>
      <c r="AD314" s="347"/>
      <c r="AE314" s="350" t="str">
        <f t="shared" ca="1" si="251"/>
        <v/>
      </c>
      <c r="AF314" s="351" t="str">
        <f t="shared" ca="1" si="252"/>
        <v/>
      </c>
      <c r="AG314" s="340"/>
      <c r="AH314" s="340"/>
      <c r="AI314" s="340"/>
      <c r="AJ314" s="340"/>
      <c r="AK314" s="340"/>
      <c r="AL314" s="340"/>
      <c r="AM314" s="340"/>
      <c r="AN314" s="340"/>
      <c r="AO314" s="340"/>
      <c r="AP314" s="340"/>
      <c r="AQ314" s="340"/>
      <c r="AR314" s="340"/>
      <c r="AS314" s="340"/>
      <c r="AT314" s="340"/>
      <c r="AU314" s="340"/>
      <c r="AV314" s="340"/>
      <c r="AY314" s="340"/>
      <c r="AZ314" s="465">
        <f t="shared" ca="1" si="262"/>
        <v>7.3698599999999999E-5</v>
      </c>
      <c r="BA314" s="464">
        <f t="shared" ca="1" si="263"/>
        <v>2.1372602999999999E-3</v>
      </c>
      <c r="BB314" s="465">
        <f t="shared" ca="1" si="263"/>
        <v>2.2109589000000002E-3</v>
      </c>
      <c r="BC314" s="466">
        <f t="shared" ca="1" si="264"/>
        <v>52171</v>
      </c>
      <c r="BD314" s="467">
        <f t="shared" ca="1" si="277"/>
        <v>52172</v>
      </c>
      <c r="BE314" s="467">
        <f t="shared" ca="1" si="265"/>
        <v>52200</v>
      </c>
      <c r="BF314" s="468">
        <f ca="1">IF(計算!$BC314&lt;OP!$C$3,0,BD314-BC314)</f>
        <v>1</v>
      </c>
      <c r="BG314" s="468">
        <f ca="1">IF($BE314&gt;DATE(YEAR($BD$9)+OP!$C$57,MONTH($BD$9),DAY($BD$9)),0,$BE314-$BD314+1)</f>
        <v>29</v>
      </c>
      <c r="BH314" s="469">
        <f t="shared" ca="1" si="266"/>
        <v>30</v>
      </c>
      <c r="BI314" t="str">
        <f t="shared" si="282"/>
        <v/>
      </c>
      <c r="BJ314">
        <v>5</v>
      </c>
      <c r="BN314" s="468">
        <f t="shared" si="278"/>
        <v>26</v>
      </c>
      <c r="BO314" s="468">
        <f t="shared" si="279"/>
        <v>5</v>
      </c>
      <c r="BP314" s="467">
        <f t="shared" ca="1" si="267"/>
        <v>52172</v>
      </c>
      <c r="BQ314" s="475">
        <f t="shared" ca="1" si="281"/>
        <v>58</v>
      </c>
      <c r="BR314" s="475" t="str">
        <f t="shared" si="280"/>
        <v/>
      </c>
      <c r="BS314" s="471" t="str">
        <f t="shared" si="268"/>
        <v/>
      </c>
      <c r="BT314" s="472" t="str">
        <f t="shared" si="283"/>
        <v/>
      </c>
      <c r="BU314" s="472">
        <f t="shared" ca="1" si="269"/>
        <v>0</v>
      </c>
      <c r="BV314" s="472">
        <f t="shared" ca="1" si="269"/>
        <v>0</v>
      </c>
      <c r="BW314" s="472"/>
      <c r="BX314" s="473">
        <f t="shared" ca="1" si="270"/>
        <v>214512.628554333</v>
      </c>
      <c r="BY314" s="473">
        <f t="shared" si="271"/>
        <v>0</v>
      </c>
      <c r="BZ314" s="473">
        <f t="shared" ca="1" si="253"/>
        <v>474.27860526500001</v>
      </c>
      <c r="CA314" s="476">
        <f t="shared" ca="1" si="272"/>
        <v>0</v>
      </c>
      <c r="CB314" s="494">
        <f ca="1">IF(OR($Q313&lt;&gt;1,OP!$D$5+$BN314-1&lt;16,$BN314-1&lt;1),0,ROUND(ROUND(ROUND(((VLOOKUP($BN314-1,MORE_PV,5,0)/10000)*VLOOKUP($BN314,MORE_PV,$CB$5,0)),3)*VLOOKUP($BN314,more1,5,0),0)/$R313,0))</f>
        <v>0</v>
      </c>
      <c r="CC314" s="473">
        <f t="shared" ca="1" si="273"/>
        <v>0</v>
      </c>
      <c r="CD314" s="477"/>
    </row>
    <row r="315" spans="2:82" ht="16.5" hidden="1">
      <c r="B315" s="80"/>
      <c r="C315" s="80"/>
      <c r="D315" s="80"/>
      <c r="E315" s="80"/>
      <c r="F315" s="80"/>
      <c r="G315" s="80"/>
      <c r="H315" s="80"/>
      <c r="I315" s="80"/>
      <c r="J315" s="192">
        <f t="shared" si="254"/>
        <v>26</v>
      </c>
      <c r="K315" s="192">
        <f t="shared" si="255"/>
        <v>7</v>
      </c>
      <c r="L315" s="192" t="str">
        <f t="shared" si="250"/>
        <v/>
      </c>
      <c r="M315" s="216">
        <f t="shared" ca="1" si="256"/>
        <v>0</v>
      </c>
      <c r="N315" s="216"/>
      <c r="O315" s="216"/>
      <c r="P315" s="216"/>
      <c r="Q315" s="456" t="str">
        <f t="shared" ca="1" si="257"/>
        <v/>
      </c>
      <c r="R315" s="450">
        <f t="shared" ca="1" si="258"/>
        <v>1</v>
      </c>
      <c r="S315" s="191">
        <f t="shared" si="259"/>
        <v>26</v>
      </c>
      <c r="T315" s="191">
        <f t="shared" si="260"/>
        <v>7</v>
      </c>
      <c r="U315" s="191">
        <f ca="1">OP!$D$5+$S315-1</f>
        <v>58</v>
      </c>
      <c r="V315" s="191" t="str">
        <f t="shared" si="261"/>
        <v/>
      </c>
      <c r="W315" s="350">
        <f ca="1">IF(Q315&lt;&gt;1,0,VLOOKUP(OP!$C$55,PVFB,$S315+2,0))</f>
        <v>0</v>
      </c>
      <c r="X315" s="473">
        <f t="shared" ca="1" si="274"/>
        <v>0</v>
      </c>
      <c r="Y315" s="348">
        <f t="shared" ca="1" si="275"/>
        <v>0</v>
      </c>
      <c r="Z315" s="348">
        <f t="shared" ca="1" si="276"/>
        <v>8012</v>
      </c>
      <c r="AA315" s="348">
        <f ca="1">IF(Q315&lt;&gt;1,0,VLOOKUP(OP!$C$55,PVFB,$S315+2,0))</f>
        <v>0</v>
      </c>
      <c r="AB315" s="488" t="str">
        <f ca="1">IF(AND(S315&lt;OP!$C$24,$U315&lt;15),0,IF(AND($U315&lt;15,$T315=12),ROUND(VLOOKUP($S315,DOWN16,5,0),3),IF($T315=12,ROUND(($Z315/10000)*$AA315,3)+IF(AND($P$7="購買增額繳清保險",T315=12,U315=110),VLOOKUP(S315,$B$10:$H$121,7,0),0),"")))</f>
        <v/>
      </c>
      <c r="AC315" s="350" t="str">
        <f ca="1">IF(AND(S315&lt;OP!$C$24,$U315&lt;15),0,IF(AND($U315&lt;16,$T315=12),VLOOKUP($S315,DOWN16,4,0),IF($T315=12,ROUND(VLOOKUP(OP!$C$55,_DIE2,$S315+1,0)*(Z315/10000),0)+IF(AND($P$7="購買增額繳清保險",T315=12,U315=110),VLOOKUP(S315,$B$10:$H$121,7,0),0),"")))</f>
        <v/>
      </c>
      <c r="AD315" s="347"/>
      <c r="AE315" s="350" t="str">
        <f t="shared" ca="1" si="251"/>
        <v/>
      </c>
      <c r="AF315" s="351" t="str">
        <f t="shared" ca="1" si="252"/>
        <v/>
      </c>
      <c r="AG315" s="340"/>
      <c r="AH315" s="340"/>
      <c r="AI315" s="340"/>
      <c r="AJ315" s="340"/>
      <c r="AK315" s="340"/>
      <c r="AL315" s="340"/>
      <c r="AM315" s="340"/>
      <c r="AN315" s="340"/>
      <c r="AO315" s="340"/>
      <c r="AP315" s="340"/>
      <c r="AQ315" s="340"/>
      <c r="AR315" s="340"/>
      <c r="AS315" s="340"/>
      <c r="AT315" s="340"/>
      <c r="AU315" s="340"/>
      <c r="AV315" s="340"/>
      <c r="AY315" s="340"/>
      <c r="AZ315" s="465">
        <f t="shared" ca="1" si="262"/>
        <v>7.3698599999999999E-5</v>
      </c>
      <c r="BA315" s="464">
        <f t="shared" ca="1" si="263"/>
        <v>2.2109589000000002E-3</v>
      </c>
      <c r="BB315" s="465">
        <f t="shared" ca="1" si="263"/>
        <v>2.2846575E-3</v>
      </c>
      <c r="BC315" s="466">
        <f t="shared" ca="1" si="264"/>
        <v>52201</v>
      </c>
      <c r="BD315" s="467">
        <f t="shared" ca="1" si="277"/>
        <v>52202</v>
      </c>
      <c r="BE315" s="467">
        <f t="shared" ca="1" si="265"/>
        <v>52231</v>
      </c>
      <c r="BF315" s="468">
        <f ca="1">IF(計算!$BC315&lt;OP!$C$3,0,BD315-BC315)</f>
        <v>1</v>
      </c>
      <c r="BG315" s="468">
        <f ca="1">IF($BE315&gt;DATE(YEAR($BD$9)+OP!$C$57,MONTH($BD$9),DAY($BD$9)),0,$BE315-$BD315+1)</f>
        <v>30</v>
      </c>
      <c r="BH315" s="469">
        <f t="shared" ca="1" si="266"/>
        <v>31</v>
      </c>
      <c r="BI315" t="str">
        <f t="shared" si="282"/>
        <v/>
      </c>
      <c r="BJ315">
        <v>6</v>
      </c>
      <c r="BN315" s="468">
        <f t="shared" si="278"/>
        <v>26</v>
      </c>
      <c r="BO315" s="468">
        <f t="shared" si="279"/>
        <v>6</v>
      </c>
      <c r="BP315" s="467">
        <f t="shared" ca="1" si="267"/>
        <v>52202</v>
      </c>
      <c r="BQ315" s="475">
        <f t="shared" ca="1" si="281"/>
        <v>58</v>
      </c>
      <c r="BR315" s="475" t="str">
        <f t="shared" si="280"/>
        <v/>
      </c>
      <c r="BS315" s="471" t="str">
        <f t="shared" si="268"/>
        <v/>
      </c>
      <c r="BT315" s="472" t="str">
        <f t="shared" si="283"/>
        <v/>
      </c>
      <c r="BU315" s="472">
        <f t="shared" ca="1" si="269"/>
        <v>0</v>
      </c>
      <c r="BV315" s="472">
        <f t="shared" ca="1" si="269"/>
        <v>0</v>
      </c>
      <c r="BW315" s="472"/>
      <c r="BX315" s="473">
        <f t="shared" ca="1" si="270"/>
        <v>214986.90715959799</v>
      </c>
      <c r="BY315" s="473">
        <f t="shared" si="271"/>
        <v>0</v>
      </c>
      <c r="BZ315" s="473">
        <f t="shared" ca="1" si="253"/>
        <v>491.17144984399999</v>
      </c>
      <c r="CA315" s="476">
        <f t="shared" ca="1" si="272"/>
        <v>0</v>
      </c>
      <c r="CB315" s="494">
        <f ca="1">IF(OR($Q314&lt;&gt;1,OP!$D$5+$BN315-1&lt;16,$BN315-1&lt;1),0,ROUND(ROUND(ROUND(((VLOOKUP($BN315-1,MORE_PV,5,0)/10000)*VLOOKUP($BN315,MORE_PV,$CB$5,0)),3)*VLOOKUP($BN315,more1,5,0),0)/$R314,0))</f>
        <v>0</v>
      </c>
      <c r="CC315" s="473">
        <f t="shared" ca="1" si="273"/>
        <v>0</v>
      </c>
      <c r="CD315" s="477"/>
    </row>
    <row r="316" spans="2:82" ht="16.5" hidden="1">
      <c r="B316" s="80"/>
      <c r="C316" s="80"/>
      <c r="D316" s="80"/>
      <c r="E316" s="80"/>
      <c r="F316" s="80"/>
      <c r="G316" s="80"/>
      <c r="H316" s="80"/>
      <c r="I316" s="80"/>
      <c r="J316" s="192">
        <f t="shared" si="254"/>
        <v>26</v>
      </c>
      <c r="K316" s="192">
        <f t="shared" si="255"/>
        <v>8</v>
      </c>
      <c r="L316" s="192" t="str">
        <f t="shared" si="250"/>
        <v/>
      </c>
      <c r="M316" s="216">
        <f t="shared" ca="1" si="256"/>
        <v>0</v>
      </c>
      <c r="N316" s="216"/>
      <c r="O316" s="216"/>
      <c r="P316" s="216"/>
      <c r="Q316" s="456" t="str">
        <f t="shared" ca="1" si="257"/>
        <v/>
      </c>
      <c r="R316" s="450">
        <f t="shared" ca="1" si="258"/>
        <v>1</v>
      </c>
      <c r="S316" s="191">
        <f t="shared" si="259"/>
        <v>26</v>
      </c>
      <c r="T316" s="191">
        <f t="shared" si="260"/>
        <v>8</v>
      </c>
      <c r="U316" s="191">
        <f ca="1">OP!$D$5+$S316-1</f>
        <v>58</v>
      </c>
      <c r="V316" s="191" t="str">
        <f t="shared" si="261"/>
        <v/>
      </c>
      <c r="W316" s="350">
        <f ca="1">IF(Q316&lt;&gt;1,0,VLOOKUP(OP!$C$55,PVFB,$S316+2,0))</f>
        <v>0</v>
      </c>
      <c r="X316" s="473">
        <f t="shared" ca="1" si="274"/>
        <v>0</v>
      </c>
      <c r="Y316" s="348">
        <f t="shared" ca="1" si="275"/>
        <v>0</v>
      </c>
      <c r="Z316" s="348">
        <f t="shared" ca="1" si="276"/>
        <v>8012</v>
      </c>
      <c r="AA316" s="348">
        <f ca="1">IF(Q316&lt;&gt;1,0,VLOOKUP(OP!$C$55,PVFB,$S316+2,0))</f>
        <v>0</v>
      </c>
      <c r="AB316" s="488" t="str">
        <f ca="1">IF(AND(S316&lt;OP!$C$24,$U316&lt;15),0,IF(AND($U316&lt;15,$T316=12),ROUND(VLOOKUP($S316,DOWN16,5,0),3),IF($T316=12,ROUND(($Z316/10000)*$AA316,3)+IF(AND($P$7="購買增額繳清保險",T316=12,U316=110),VLOOKUP(S316,$B$10:$H$121,7,0),0),"")))</f>
        <v/>
      </c>
      <c r="AC316" s="350" t="str">
        <f ca="1">IF(AND(S316&lt;OP!$C$24,$U316&lt;15),0,IF(AND($U316&lt;16,$T316=12),VLOOKUP($S316,DOWN16,4,0),IF($T316=12,ROUND(VLOOKUP(OP!$C$55,_DIE2,$S316+1,0)*(Z316/10000),0)+IF(AND($P$7="購買增額繳清保險",T316=12,U316=110),VLOOKUP(S316,$B$10:$H$121,7,0),0),"")))</f>
        <v/>
      </c>
      <c r="AD316" s="347"/>
      <c r="AE316" s="350" t="str">
        <f t="shared" ca="1" si="251"/>
        <v/>
      </c>
      <c r="AF316" s="351" t="str">
        <f t="shared" ca="1" si="252"/>
        <v/>
      </c>
      <c r="AG316" s="340"/>
      <c r="AH316" s="340"/>
      <c r="AI316" s="340"/>
      <c r="AJ316" s="340"/>
      <c r="AK316" s="340"/>
      <c r="AL316" s="340"/>
      <c r="AM316" s="340"/>
      <c r="AN316" s="340"/>
      <c r="AO316" s="340"/>
      <c r="AP316" s="340"/>
      <c r="AQ316" s="340"/>
      <c r="AR316" s="340"/>
      <c r="AS316" s="340"/>
      <c r="AT316" s="340"/>
      <c r="AU316" s="340"/>
      <c r="AV316" s="340"/>
      <c r="AY316" s="340"/>
      <c r="AZ316" s="465">
        <f t="shared" ca="1" si="262"/>
        <v>7.3698599999999999E-5</v>
      </c>
      <c r="BA316" s="464">
        <f t="shared" ca="1" si="263"/>
        <v>2.2109589000000002E-3</v>
      </c>
      <c r="BB316" s="465">
        <f t="shared" ca="1" si="263"/>
        <v>2.2846575E-3</v>
      </c>
      <c r="BC316" s="466">
        <f t="shared" ca="1" si="264"/>
        <v>52232</v>
      </c>
      <c r="BD316" s="467">
        <f t="shared" ca="1" si="277"/>
        <v>52233</v>
      </c>
      <c r="BE316" s="467">
        <f t="shared" ca="1" si="265"/>
        <v>52262</v>
      </c>
      <c r="BF316" s="468">
        <f ca="1">IF(計算!$BC316&lt;OP!$C$3,0,BD316-BC316)</f>
        <v>1</v>
      </c>
      <c r="BG316" s="468">
        <f ca="1">IF($BE316&gt;DATE(YEAR($BD$9)+OP!$C$57,MONTH($BD$9),DAY($BD$9)),0,$BE316-$BD316+1)</f>
        <v>30</v>
      </c>
      <c r="BH316" s="469">
        <f t="shared" ca="1" si="266"/>
        <v>31</v>
      </c>
      <c r="BI316" t="str">
        <f t="shared" si="282"/>
        <v/>
      </c>
      <c r="BJ316">
        <v>7</v>
      </c>
      <c r="BN316" s="468">
        <f t="shared" si="278"/>
        <v>26</v>
      </c>
      <c r="BO316" s="468">
        <f t="shared" si="279"/>
        <v>7</v>
      </c>
      <c r="BP316" s="467">
        <f t="shared" ca="1" si="267"/>
        <v>52233</v>
      </c>
      <c r="BQ316" s="475">
        <f t="shared" ca="1" si="281"/>
        <v>58</v>
      </c>
      <c r="BR316" s="475" t="str">
        <f t="shared" si="280"/>
        <v/>
      </c>
      <c r="BS316" s="471" t="str">
        <f t="shared" si="268"/>
        <v/>
      </c>
      <c r="BT316" s="472" t="str">
        <f t="shared" si="283"/>
        <v/>
      </c>
      <c r="BU316" s="472">
        <f t="shared" ca="1" si="269"/>
        <v>0</v>
      </c>
      <c r="BV316" s="472">
        <f t="shared" ca="1" si="269"/>
        <v>0</v>
      </c>
      <c r="BW316" s="472"/>
      <c r="BX316" s="473">
        <f t="shared" ca="1" si="270"/>
        <v>215478.07860944199</v>
      </c>
      <c r="BY316" s="473">
        <f t="shared" si="271"/>
        <v>0</v>
      </c>
      <c r="BZ316" s="473">
        <f t="shared" ca="1" si="253"/>
        <v>492.29360838100001</v>
      </c>
      <c r="CA316" s="476">
        <f t="shared" ca="1" si="272"/>
        <v>0</v>
      </c>
      <c r="CB316" s="494">
        <f ca="1">IF(OR($Q315&lt;&gt;1,OP!$D$5+$BN316-1&lt;16,$BN316-1&lt;1),0,ROUND(ROUND(ROUND(((VLOOKUP($BN316-1,MORE_PV,5,0)/10000)*VLOOKUP($BN316,MORE_PV,$CB$5,0)),3)*VLOOKUP($BN316,more1,5,0),0)/$R315,0))</f>
        <v>0</v>
      </c>
      <c r="CC316" s="473">
        <f t="shared" ca="1" si="273"/>
        <v>0</v>
      </c>
      <c r="CD316" s="477"/>
    </row>
    <row r="317" spans="2:82" ht="16.5" hidden="1">
      <c r="B317" s="80"/>
      <c r="C317" s="80"/>
      <c r="D317" s="80"/>
      <c r="E317" s="80"/>
      <c r="F317" s="80"/>
      <c r="G317" s="80"/>
      <c r="H317" s="80"/>
      <c r="I317" s="80"/>
      <c r="J317" s="192">
        <f t="shared" si="254"/>
        <v>26</v>
      </c>
      <c r="K317" s="192">
        <f t="shared" si="255"/>
        <v>9</v>
      </c>
      <c r="L317" s="192" t="str">
        <f t="shared" si="250"/>
        <v/>
      </c>
      <c r="M317" s="216">
        <f t="shared" ca="1" si="256"/>
        <v>0</v>
      </c>
      <c r="N317" s="216"/>
      <c r="O317" s="216"/>
      <c r="P317" s="216"/>
      <c r="Q317" s="456" t="str">
        <f t="shared" ca="1" si="257"/>
        <v/>
      </c>
      <c r="R317" s="450">
        <f t="shared" ca="1" si="258"/>
        <v>1</v>
      </c>
      <c r="S317" s="191">
        <f t="shared" si="259"/>
        <v>26</v>
      </c>
      <c r="T317" s="191">
        <f t="shared" si="260"/>
        <v>9</v>
      </c>
      <c r="U317" s="191">
        <f ca="1">OP!$D$5+$S317-1</f>
        <v>58</v>
      </c>
      <c r="V317" s="191" t="str">
        <f t="shared" si="261"/>
        <v/>
      </c>
      <c r="W317" s="350">
        <f ca="1">IF(Q317&lt;&gt;1,0,VLOOKUP(OP!$C$55,PVFB,$S317+2,0))</f>
        <v>0</v>
      </c>
      <c r="X317" s="473">
        <f t="shared" ca="1" si="274"/>
        <v>0</v>
      </c>
      <c r="Y317" s="348">
        <f t="shared" ca="1" si="275"/>
        <v>0</v>
      </c>
      <c r="Z317" s="348">
        <f t="shared" ca="1" si="276"/>
        <v>8012</v>
      </c>
      <c r="AA317" s="348">
        <f ca="1">IF(Q317&lt;&gt;1,0,VLOOKUP(OP!$C$55,PVFB,$S317+2,0))</f>
        <v>0</v>
      </c>
      <c r="AB317" s="488" t="str">
        <f ca="1">IF(AND(S317&lt;OP!$C$24,$U317&lt;15),0,IF(AND($U317&lt;15,$T317=12),ROUND(VLOOKUP($S317,DOWN16,5,0),3),IF($T317=12,ROUND(($Z317/10000)*$AA317,3)+IF(AND($P$7="購買增額繳清保險",T317=12,U317=110),VLOOKUP(S317,$B$10:$H$121,7,0),0),"")))</f>
        <v/>
      </c>
      <c r="AC317" s="350" t="str">
        <f ca="1">IF(AND(S317&lt;OP!$C$24,$U317&lt;15),0,IF(AND($U317&lt;16,$T317=12),VLOOKUP($S317,DOWN16,4,0),IF($T317=12,ROUND(VLOOKUP(OP!$C$55,_DIE2,$S317+1,0)*(Z317/10000),0)+IF(AND($P$7="購買增額繳清保險",T317=12,U317=110),VLOOKUP(S317,$B$10:$H$121,7,0),0),"")))</f>
        <v/>
      </c>
      <c r="AD317" s="347"/>
      <c r="AE317" s="350" t="str">
        <f t="shared" ca="1" si="251"/>
        <v/>
      </c>
      <c r="AF317" s="351" t="str">
        <f t="shared" ca="1" si="252"/>
        <v/>
      </c>
      <c r="AG317" s="340"/>
      <c r="AH317" s="340"/>
      <c r="AI317" s="340"/>
      <c r="AJ317" s="340"/>
      <c r="AK317" s="340"/>
      <c r="AL317" s="340"/>
      <c r="AM317" s="340"/>
      <c r="AN317" s="340"/>
      <c r="AO317" s="340"/>
      <c r="AP317" s="340"/>
      <c r="AQ317" s="340"/>
      <c r="AR317" s="340"/>
      <c r="AS317" s="340"/>
      <c r="AT317" s="340"/>
      <c r="AU317" s="340"/>
      <c r="AV317" s="340"/>
      <c r="AY317" s="340"/>
      <c r="AZ317" s="465">
        <f t="shared" ca="1" si="262"/>
        <v>7.3698599999999999E-5</v>
      </c>
      <c r="BA317" s="464">
        <f t="shared" ca="1" si="263"/>
        <v>1.9898630000000001E-3</v>
      </c>
      <c r="BB317" s="465">
        <f t="shared" ca="1" si="263"/>
        <v>2.0635616E-3</v>
      </c>
      <c r="BC317" s="466">
        <f t="shared" ca="1" si="264"/>
        <v>52263</v>
      </c>
      <c r="BD317" s="467">
        <f t="shared" ca="1" si="277"/>
        <v>52264</v>
      </c>
      <c r="BE317" s="467">
        <f t="shared" ca="1" si="265"/>
        <v>52290</v>
      </c>
      <c r="BF317" s="468">
        <f ca="1">IF(計算!$BC317&lt;OP!$C$3,0,BD317-BC317)</f>
        <v>1</v>
      </c>
      <c r="BG317" s="468">
        <f ca="1">IF($BE317&gt;DATE(YEAR($BD$9)+OP!$C$57,MONTH($BD$9),DAY($BD$9)),0,$BE317-$BD317+1)</f>
        <v>27</v>
      </c>
      <c r="BH317" s="469">
        <f t="shared" ca="1" si="266"/>
        <v>28</v>
      </c>
      <c r="BI317" t="str">
        <f t="shared" si="282"/>
        <v/>
      </c>
      <c r="BJ317">
        <v>8</v>
      </c>
      <c r="BN317" s="468">
        <f t="shared" si="278"/>
        <v>26</v>
      </c>
      <c r="BO317" s="468">
        <f t="shared" si="279"/>
        <v>8</v>
      </c>
      <c r="BP317" s="467">
        <f t="shared" ca="1" si="267"/>
        <v>52264</v>
      </c>
      <c r="BQ317" s="475">
        <f t="shared" ca="1" si="281"/>
        <v>58</v>
      </c>
      <c r="BR317" s="475" t="str">
        <f t="shared" si="280"/>
        <v/>
      </c>
      <c r="BS317" s="471" t="str">
        <f t="shared" si="268"/>
        <v/>
      </c>
      <c r="BT317" s="472" t="str">
        <f t="shared" si="283"/>
        <v/>
      </c>
      <c r="BU317" s="472">
        <f t="shared" ca="1" si="269"/>
        <v>0</v>
      </c>
      <c r="BV317" s="472">
        <f t="shared" ca="1" si="269"/>
        <v>0</v>
      </c>
      <c r="BW317" s="472"/>
      <c r="BX317" s="473">
        <f t="shared" ca="1" si="270"/>
        <v>215970.37221782299</v>
      </c>
      <c r="BY317" s="473">
        <f t="shared" si="271"/>
        <v>0</v>
      </c>
      <c r="BZ317" s="473">
        <f t="shared" ca="1" si="253"/>
        <v>445.66816684600002</v>
      </c>
      <c r="CA317" s="476">
        <f t="shared" ca="1" si="272"/>
        <v>0</v>
      </c>
      <c r="CB317" s="494">
        <f ca="1">IF(OR($Q316&lt;&gt;1,OP!$D$5+$BN317-1&lt;16,$BN317-1&lt;1),0,ROUND(ROUND(ROUND(((VLOOKUP($BN317-1,MORE_PV,5,0)/10000)*VLOOKUP($BN317,MORE_PV,$CB$5,0)),3)*VLOOKUP($BN317,more1,5,0),0)/$R316,0))</f>
        <v>0</v>
      </c>
      <c r="CC317" s="473">
        <f t="shared" ca="1" si="273"/>
        <v>0</v>
      </c>
      <c r="CD317" s="477"/>
    </row>
    <row r="318" spans="2:82" ht="16.5" hidden="1">
      <c r="B318" s="80"/>
      <c r="C318" s="80"/>
      <c r="D318" s="80"/>
      <c r="E318" s="80"/>
      <c r="F318" s="80"/>
      <c r="G318" s="80"/>
      <c r="H318" s="80"/>
      <c r="I318" s="80"/>
      <c r="J318" s="192">
        <f t="shared" si="254"/>
        <v>26</v>
      </c>
      <c r="K318" s="192">
        <f t="shared" si="255"/>
        <v>10</v>
      </c>
      <c r="L318" s="192" t="str">
        <f t="shared" si="250"/>
        <v/>
      </c>
      <c r="M318" s="216">
        <f t="shared" ca="1" si="256"/>
        <v>0</v>
      </c>
      <c r="N318" s="216"/>
      <c r="O318" s="216"/>
      <c r="P318" s="216"/>
      <c r="Q318" s="456" t="str">
        <f t="shared" ca="1" si="257"/>
        <v/>
      </c>
      <c r="R318" s="450">
        <f t="shared" ca="1" si="258"/>
        <v>1</v>
      </c>
      <c r="S318" s="191">
        <f t="shared" si="259"/>
        <v>26</v>
      </c>
      <c r="T318" s="191">
        <f t="shared" si="260"/>
        <v>10</v>
      </c>
      <c r="U318" s="191">
        <f ca="1">OP!$D$5+$S318-1</f>
        <v>58</v>
      </c>
      <c r="V318" s="191" t="str">
        <f t="shared" si="261"/>
        <v/>
      </c>
      <c r="W318" s="350">
        <f ca="1">IF(Q318&lt;&gt;1,0,VLOOKUP(OP!$C$55,PVFB,$S318+2,0))</f>
        <v>0</v>
      </c>
      <c r="X318" s="473">
        <f t="shared" ca="1" si="274"/>
        <v>0</v>
      </c>
      <c r="Y318" s="348">
        <f t="shared" ca="1" si="275"/>
        <v>0</v>
      </c>
      <c r="Z318" s="348">
        <f t="shared" ca="1" si="276"/>
        <v>8012</v>
      </c>
      <c r="AA318" s="348">
        <f ca="1">IF(Q318&lt;&gt;1,0,VLOOKUP(OP!$C$55,PVFB,$S318+2,0))</f>
        <v>0</v>
      </c>
      <c r="AB318" s="488" t="str">
        <f ca="1">IF(AND(S318&lt;OP!$C$24,$U318&lt;15),0,IF(AND($U318&lt;15,$T318=12),ROUND(VLOOKUP($S318,DOWN16,5,0),3),IF($T318=12,ROUND(($Z318/10000)*$AA318,3)+IF(AND($P$7="購買增額繳清保險",T318=12,U318=110),VLOOKUP(S318,$B$10:$H$121,7,0),0),"")))</f>
        <v/>
      </c>
      <c r="AC318" s="350" t="str">
        <f ca="1">IF(AND(S318&lt;OP!$C$24,$U318&lt;15),0,IF(AND($U318&lt;16,$T318=12),VLOOKUP($S318,DOWN16,4,0),IF($T318=12,ROUND(VLOOKUP(OP!$C$55,_DIE2,$S318+1,0)*(Z318/10000),0)+IF(AND($P$7="購買增額繳清保險",T318=12,U318=110),VLOOKUP(S318,$B$10:$H$121,7,0),0),"")))</f>
        <v/>
      </c>
      <c r="AD318" s="347"/>
      <c r="AE318" s="350" t="str">
        <f t="shared" ca="1" si="251"/>
        <v/>
      </c>
      <c r="AF318" s="351" t="str">
        <f t="shared" ca="1" si="252"/>
        <v/>
      </c>
      <c r="AG318" s="340"/>
      <c r="AH318" s="340"/>
      <c r="AI318" s="340"/>
      <c r="AJ318" s="340"/>
      <c r="AK318" s="340"/>
      <c r="AL318" s="340"/>
      <c r="AM318" s="340"/>
      <c r="AN318" s="340"/>
      <c r="AO318" s="340"/>
      <c r="AP318" s="340"/>
      <c r="AQ318" s="340"/>
      <c r="AR318" s="340"/>
      <c r="AS318" s="340"/>
      <c r="AT318" s="340"/>
      <c r="AU318" s="340"/>
      <c r="AV318" s="340"/>
      <c r="AY318" s="340"/>
      <c r="AZ318" s="465">
        <f t="shared" ca="1" si="262"/>
        <v>7.3698599999999999E-5</v>
      </c>
      <c r="BA318" s="464">
        <f t="shared" ca="1" si="263"/>
        <v>2.2109589000000002E-3</v>
      </c>
      <c r="BB318" s="465">
        <f t="shared" ca="1" si="263"/>
        <v>2.2846575E-3</v>
      </c>
      <c r="BC318" s="466">
        <f t="shared" ca="1" si="264"/>
        <v>52291</v>
      </c>
      <c r="BD318" s="467">
        <f t="shared" ca="1" si="277"/>
        <v>52292</v>
      </c>
      <c r="BE318" s="467">
        <f t="shared" ca="1" si="265"/>
        <v>52321</v>
      </c>
      <c r="BF318" s="468">
        <f ca="1">IF(計算!$BC318&lt;OP!$C$3,0,BD318-BC318)</f>
        <v>1</v>
      </c>
      <c r="BG318" s="468">
        <f ca="1">IF($BE318&gt;DATE(YEAR($BD$9)+OP!$C$57,MONTH($BD$9),DAY($BD$9)),0,$BE318-$BD318+1)</f>
        <v>30</v>
      </c>
      <c r="BH318" s="469">
        <f t="shared" ca="1" si="266"/>
        <v>31</v>
      </c>
      <c r="BI318" t="str">
        <f t="shared" si="282"/>
        <v/>
      </c>
      <c r="BJ318">
        <v>9</v>
      </c>
      <c r="BN318" s="468">
        <f t="shared" si="278"/>
        <v>26</v>
      </c>
      <c r="BO318" s="468">
        <f t="shared" si="279"/>
        <v>9</v>
      </c>
      <c r="BP318" s="467">
        <f t="shared" ca="1" si="267"/>
        <v>52292</v>
      </c>
      <c r="BQ318" s="475">
        <f t="shared" ca="1" si="281"/>
        <v>58</v>
      </c>
      <c r="BR318" s="475" t="str">
        <f t="shared" si="280"/>
        <v/>
      </c>
      <c r="BS318" s="471" t="str">
        <f t="shared" si="268"/>
        <v/>
      </c>
      <c r="BT318" s="472" t="str">
        <f t="shared" si="283"/>
        <v/>
      </c>
      <c r="BU318" s="472">
        <f t="shared" ca="1" si="269"/>
        <v>0</v>
      </c>
      <c r="BV318" s="472">
        <f t="shared" ca="1" si="269"/>
        <v>0</v>
      </c>
      <c r="BW318" s="472"/>
      <c r="BX318" s="473">
        <f t="shared" ca="1" si="270"/>
        <v>216416.040384669</v>
      </c>
      <c r="BY318" s="473">
        <f t="shared" si="271"/>
        <v>0</v>
      </c>
      <c r="BZ318" s="473">
        <f t="shared" ca="1" si="253"/>
        <v>494.436529785</v>
      </c>
      <c r="CA318" s="476">
        <f t="shared" ca="1" si="272"/>
        <v>0</v>
      </c>
      <c r="CB318" s="494">
        <f ca="1">IF(OR($Q317&lt;&gt;1,OP!$D$5+$BN318-1&lt;16,$BN318-1&lt;1),0,ROUND(ROUND(ROUND(((VLOOKUP($BN318-1,MORE_PV,5,0)/10000)*VLOOKUP($BN318,MORE_PV,$CB$5,0)),3)*VLOOKUP($BN318,more1,5,0),0)/$R317,0))</f>
        <v>0</v>
      </c>
      <c r="CC318" s="473">
        <f t="shared" ca="1" si="273"/>
        <v>0</v>
      </c>
      <c r="CD318" s="477"/>
    </row>
    <row r="319" spans="2:82" ht="16.5" hidden="1">
      <c r="B319" s="80"/>
      <c r="C319" s="80"/>
      <c r="D319" s="80"/>
      <c r="E319" s="80"/>
      <c r="F319" s="80"/>
      <c r="G319" s="80"/>
      <c r="H319" s="80"/>
      <c r="I319" s="80"/>
      <c r="J319" s="192">
        <f t="shared" si="254"/>
        <v>26</v>
      </c>
      <c r="K319" s="192">
        <f t="shared" si="255"/>
        <v>11</v>
      </c>
      <c r="L319" s="192" t="str">
        <f t="shared" si="250"/>
        <v/>
      </c>
      <c r="M319" s="216">
        <f t="shared" ca="1" si="256"/>
        <v>0</v>
      </c>
      <c r="N319" s="216"/>
      <c r="O319" s="216"/>
      <c r="P319" s="216"/>
      <c r="Q319" s="456" t="str">
        <f t="shared" ca="1" si="257"/>
        <v/>
      </c>
      <c r="R319" s="450">
        <f t="shared" ca="1" si="258"/>
        <v>1</v>
      </c>
      <c r="S319" s="191">
        <f t="shared" si="259"/>
        <v>26</v>
      </c>
      <c r="T319" s="191">
        <f t="shared" si="260"/>
        <v>11</v>
      </c>
      <c r="U319" s="191">
        <f ca="1">OP!$D$5+$S319-1</f>
        <v>58</v>
      </c>
      <c r="V319" s="191" t="str">
        <f t="shared" si="261"/>
        <v/>
      </c>
      <c r="W319" s="350">
        <f ca="1">IF(Q319&lt;&gt;1,0,VLOOKUP(OP!$C$55,PVFB,$S319+2,0))</f>
        <v>0</v>
      </c>
      <c r="X319" s="473">
        <f t="shared" ca="1" si="274"/>
        <v>0</v>
      </c>
      <c r="Y319" s="348">
        <f t="shared" ca="1" si="275"/>
        <v>0</v>
      </c>
      <c r="Z319" s="348">
        <f t="shared" ca="1" si="276"/>
        <v>8012</v>
      </c>
      <c r="AA319" s="348">
        <f ca="1">IF(Q319&lt;&gt;1,0,VLOOKUP(OP!$C$55,PVFB,$S319+2,0))</f>
        <v>0</v>
      </c>
      <c r="AB319" s="488" t="str">
        <f ca="1">IF(AND(S319&lt;OP!$C$24,$U319&lt;15),0,IF(AND($U319&lt;15,$T319=12),ROUND(VLOOKUP($S319,DOWN16,5,0),3),IF($T319=12,ROUND(($Z319/10000)*$AA319,3)+IF(AND($P$7="購買增額繳清保險",T319=12,U319=110),VLOOKUP(S319,$B$10:$H$121,7,0),0),"")))</f>
        <v/>
      </c>
      <c r="AC319" s="350" t="str">
        <f ca="1">IF(AND(S319&lt;OP!$C$24,$U319&lt;15),0,IF(AND($U319&lt;16,$T319=12),VLOOKUP($S319,DOWN16,4,0),IF($T319=12,ROUND(VLOOKUP(OP!$C$55,_DIE2,$S319+1,0)*(Z319/10000),0)+IF(AND($P$7="購買增額繳清保險",T319=12,U319=110),VLOOKUP(S319,$B$10:$H$121,7,0),0),"")))</f>
        <v/>
      </c>
      <c r="AD319" s="347"/>
      <c r="AE319" s="350" t="str">
        <f t="shared" ca="1" si="251"/>
        <v/>
      </c>
      <c r="AF319" s="351" t="str">
        <f t="shared" ca="1" si="252"/>
        <v/>
      </c>
      <c r="AG319" s="340"/>
      <c r="AH319" s="340"/>
      <c r="AI319" s="340"/>
      <c r="AJ319" s="340"/>
      <c r="AK319" s="340"/>
      <c r="AL319" s="340"/>
      <c r="AM319" s="340"/>
      <c r="AN319" s="340"/>
      <c r="AO319" s="340"/>
      <c r="AP319" s="340"/>
      <c r="AQ319" s="340"/>
      <c r="AR319" s="340"/>
      <c r="AS319" s="340"/>
      <c r="AT319" s="340"/>
      <c r="AU319" s="340"/>
      <c r="AV319" s="340"/>
      <c r="AY319" s="340"/>
      <c r="AZ319" s="465">
        <f t="shared" ca="1" si="262"/>
        <v>7.3698599999999999E-5</v>
      </c>
      <c r="BA319" s="464">
        <f t="shared" ca="1" si="263"/>
        <v>2.1372602999999999E-3</v>
      </c>
      <c r="BB319" s="465">
        <f t="shared" ca="1" si="263"/>
        <v>2.2109589000000002E-3</v>
      </c>
      <c r="BC319" s="466">
        <f t="shared" ca="1" si="264"/>
        <v>52322</v>
      </c>
      <c r="BD319" s="467">
        <f t="shared" ca="1" si="277"/>
        <v>52323</v>
      </c>
      <c r="BE319" s="467">
        <f t="shared" ca="1" si="265"/>
        <v>52351</v>
      </c>
      <c r="BF319" s="468">
        <f ca="1">IF(計算!$BC319&lt;OP!$C$3,0,BD319-BC319)</f>
        <v>1</v>
      </c>
      <c r="BG319" s="468">
        <f ca="1">IF($BE319&gt;DATE(YEAR($BD$9)+OP!$C$57,MONTH($BD$9),DAY($BD$9)),0,$BE319-$BD319+1)</f>
        <v>29</v>
      </c>
      <c r="BH319" s="469">
        <f t="shared" ca="1" si="266"/>
        <v>30</v>
      </c>
      <c r="BI319" t="str">
        <f t="shared" si="282"/>
        <v/>
      </c>
      <c r="BJ319">
        <v>10</v>
      </c>
      <c r="BN319" s="468">
        <f t="shared" si="278"/>
        <v>26</v>
      </c>
      <c r="BO319" s="468">
        <f t="shared" si="279"/>
        <v>10</v>
      </c>
      <c r="BP319" s="467">
        <f t="shared" ca="1" si="267"/>
        <v>52323</v>
      </c>
      <c r="BQ319" s="475">
        <f t="shared" ca="1" si="281"/>
        <v>58</v>
      </c>
      <c r="BR319" s="475" t="str">
        <f t="shared" si="280"/>
        <v/>
      </c>
      <c r="BS319" s="471" t="str">
        <f t="shared" si="268"/>
        <v/>
      </c>
      <c r="BT319" s="472" t="str">
        <f t="shared" si="283"/>
        <v/>
      </c>
      <c r="BU319" s="472">
        <f t="shared" ca="1" si="269"/>
        <v>0</v>
      </c>
      <c r="BV319" s="472">
        <f t="shared" ca="1" si="269"/>
        <v>0</v>
      </c>
      <c r="BW319" s="472"/>
      <c r="BX319" s="473">
        <f t="shared" ca="1" si="270"/>
        <v>216910.47691445399</v>
      </c>
      <c r="BY319" s="473">
        <f t="shared" si="271"/>
        <v>0</v>
      </c>
      <c r="BZ319" s="473">
        <f t="shared" ca="1" si="253"/>
        <v>479.58014943699999</v>
      </c>
      <c r="CA319" s="476">
        <f t="shared" ca="1" si="272"/>
        <v>0</v>
      </c>
      <c r="CB319" s="494">
        <f ca="1">IF(OR($Q318&lt;&gt;1,OP!$D$5+$BN319-1&lt;16,$BN319-1&lt;1),0,ROUND(ROUND(ROUND(((VLOOKUP($BN319-1,MORE_PV,5,0)/10000)*VLOOKUP($BN319,MORE_PV,$CB$5,0)),3)*VLOOKUP($BN319,more1,5,0),0)/$R318,0))</f>
        <v>0</v>
      </c>
      <c r="CC319" s="473">
        <f t="shared" ca="1" si="273"/>
        <v>0</v>
      </c>
      <c r="CD319" s="477"/>
    </row>
    <row r="320" spans="2:82" ht="16.5" hidden="1">
      <c r="B320" s="80"/>
      <c r="C320" s="80"/>
      <c r="D320" s="80"/>
      <c r="E320" s="80"/>
      <c r="F320" s="80"/>
      <c r="G320" s="80"/>
      <c r="H320" s="80"/>
      <c r="I320" s="80"/>
      <c r="J320" s="192">
        <f t="shared" si="254"/>
        <v>26</v>
      </c>
      <c r="K320" s="192">
        <f t="shared" si="255"/>
        <v>12</v>
      </c>
      <c r="L320" s="192">
        <f t="shared" si="250"/>
        <v>26</v>
      </c>
      <c r="M320" s="216">
        <f t="shared" ca="1" si="256"/>
        <v>228580</v>
      </c>
      <c r="N320" s="216"/>
      <c r="O320" s="216"/>
      <c r="P320" s="216"/>
      <c r="Q320" s="456">
        <f t="shared" ca="1" si="257"/>
        <v>1</v>
      </c>
      <c r="R320" s="450">
        <f t="shared" ca="1" si="258"/>
        <v>1</v>
      </c>
      <c r="S320" s="191">
        <f t="shared" si="259"/>
        <v>26</v>
      </c>
      <c r="T320" s="191">
        <f t="shared" si="260"/>
        <v>12</v>
      </c>
      <c r="U320" s="191">
        <f ca="1">OP!$D$5+$S320-1</f>
        <v>58</v>
      </c>
      <c r="V320" s="191">
        <f t="shared" si="261"/>
        <v>26</v>
      </c>
      <c r="W320" s="350">
        <f ca="1">IF(Q320&lt;&gt;1,0,VLOOKUP(OP!$C$55,PVFB,$S320+2,0))</f>
        <v>44459</v>
      </c>
      <c r="X320" s="473">
        <f t="shared" ca="1" si="274"/>
        <v>10676</v>
      </c>
      <c r="Y320" s="348">
        <f t="shared" ca="1" si="275"/>
        <v>0</v>
      </c>
      <c r="Z320" s="348">
        <f t="shared" ca="1" si="276"/>
        <v>8012</v>
      </c>
      <c r="AA320" s="348">
        <f ca="1">IF(Q320&lt;&gt;1,0,VLOOKUP(OP!$C$55,PVFB,$S320+2,0))</f>
        <v>44459</v>
      </c>
      <c r="AB320" s="488">
        <f ca="1">IF(AND(S320&lt;OP!$C$24,$U320&lt;15),0,IF(AND($U320&lt;15,$T320=12),ROUND(VLOOKUP($S320,DOWN16,5,0),3),IF($T320=12,ROUND(($Z320/10000)*$AA320,3)+IF(AND($P$7="購買增額繳清保險",T320=12,U320=110),VLOOKUP(S320,$B$10:$H$121,7,0),0),"")))</f>
        <v>35620.550999999999</v>
      </c>
      <c r="AC320" s="350">
        <f ca="1">IF(AND(S320&lt;OP!$C$24,$U320&lt;15),0,IF(AND($U320&lt;16,$T320=12),VLOOKUP($S320,DOWN16,4,0),IF($T320=12,ROUND(VLOOKUP(OP!$C$55,_DIE2,$S320+1,0)*(Z320/10000),0)+IF(AND($P$7="購買增額繳清保險",T320=12,U320=110),VLOOKUP(S320,$B$10:$H$121,7,0),0),"")))</f>
        <v>35621</v>
      </c>
      <c r="AD320" s="347"/>
      <c r="AE320" s="350" t="str">
        <f t="shared" ca="1" si="251"/>
        <v/>
      </c>
      <c r="AF320" s="351" t="str">
        <f t="shared" ca="1" si="252"/>
        <v/>
      </c>
      <c r="AG320" s="340"/>
      <c r="AH320" s="340"/>
      <c r="AI320" s="340"/>
      <c r="AJ320" s="340"/>
      <c r="AK320" s="340"/>
      <c r="AL320" s="340"/>
      <c r="AM320" s="340"/>
      <c r="AN320" s="340"/>
      <c r="AO320" s="340"/>
      <c r="AP320" s="340"/>
      <c r="AQ320" s="340"/>
      <c r="AR320" s="340"/>
      <c r="AS320" s="340"/>
      <c r="AT320" s="340"/>
      <c r="AU320" s="340"/>
      <c r="AV320" s="340"/>
      <c r="AY320" s="340"/>
      <c r="AZ320" s="465">
        <f t="shared" ca="1" si="262"/>
        <v>7.3698599999999999E-5</v>
      </c>
      <c r="BA320" s="464">
        <f t="shared" ca="1" si="263"/>
        <v>2.2109589000000002E-3</v>
      </c>
      <c r="BB320" s="465">
        <f t="shared" ca="1" si="263"/>
        <v>2.2846575E-3</v>
      </c>
      <c r="BC320" s="466">
        <f t="shared" ca="1" si="264"/>
        <v>52352</v>
      </c>
      <c r="BD320" s="467">
        <f t="shared" ca="1" si="277"/>
        <v>52353</v>
      </c>
      <c r="BE320" s="467">
        <f t="shared" ca="1" si="265"/>
        <v>52382</v>
      </c>
      <c r="BF320" s="468">
        <f ca="1">IF(計算!$BC320&lt;OP!$C$3,0,BD320-BC320)</f>
        <v>1</v>
      </c>
      <c r="BG320" s="468">
        <f ca="1">IF($BE320&gt;DATE(YEAR($BD$9)+OP!$C$57,MONTH($BD$9),DAY($BD$9)),0,$BE320-$BD320+1)</f>
        <v>30</v>
      </c>
      <c r="BH320" s="469">
        <f t="shared" ca="1" si="266"/>
        <v>31</v>
      </c>
      <c r="BI320" t="str">
        <f t="shared" si="282"/>
        <v/>
      </c>
      <c r="BJ320">
        <v>11</v>
      </c>
      <c r="BN320" s="468">
        <f t="shared" si="278"/>
        <v>26</v>
      </c>
      <c r="BO320" s="468">
        <f t="shared" si="279"/>
        <v>11</v>
      </c>
      <c r="BP320" s="467">
        <f t="shared" ca="1" si="267"/>
        <v>52353</v>
      </c>
      <c r="BQ320" s="475">
        <f t="shared" ca="1" si="281"/>
        <v>58</v>
      </c>
      <c r="BR320" s="475" t="str">
        <f t="shared" si="280"/>
        <v/>
      </c>
      <c r="BS320" s="471" t="str">
        <f t="shared" si="268"/>
        <v/>
      </c>
      <c r="BT320" s="472" t="str">
        <f t="shared" si="283"/>
        <v/>
      </c>
      <c r="BU320" s="472">
        <f t="shared" ca="1" si="269"/>
        <v>0</v>
      </c>
      <c r="BV320" s="472">
        <f t="shared" ca="1" si="269"/>
        <v>0</v>
      </c>
      <c r="BW320" s="472"/>
      <c r="BX320" s="473">
        <f t="shared" ca="1" si="270"/>
        <v>217390.057063891</v>
      </c>
      <c r="BY320" s="473">
        <f t="shared" si="271"/>
        <v>0</v>
      </c>
      <c r="BZ320" s="473">
        <f t="shared" ca="1" si="253"/>
        <v>496.66182429600002</v>
      </c>
      <c r="CA320" s="476">
        <f t="shared" ca="1" si="272"/>
        <v>0</v>
      </c>
      <c r="CB320" s="494">
        <f ca="1">IF(OR($Q319&lt;&gt;1,OP!$D$5+$BN320-1&lt;16,$BN320-1&lt;1),0,ROUND(ROUND(ROUND(((VLOOKUP($BN320-1,MORE_PV,5,0)/10000)*VLOOKUP($BN320,MORE_PV,$CB$5,0)),3)*VLOOKUP($BN320,more1,5,0),0)/$R319,0))</f>
        <v>0</v>
      </c>
      <c r="CC320" s="473">
        <f t="shared" ca="1" si="273"/>
        <v>0</v>
      </c>
      <c r="CD320" s="477"/>
    </row>
    <row r="321" spans="2:82" ht="16.5" hidden="1">
      <c r="B321" s="80"/>
      <c r="C321" s="80"/>
      <c r="D321" s="80"/>
      <c r="E321" s="80"/>
      <c r="F321" s="80"/>
      <c r="G321" s="80"/>
      <c r="H321" s="80"/>
      <c r="I321" s="80"/>
      <c r="J321" s="192">
        <f t="shared" si="254"/>
        <v>27</v>
      </c>
      <c r="K321" s="192">
        <f t="shared" si="255"/>
        <v>1</v>
      </c>
      <c r="L321" s="192" t="str">
        <f t="shared" si="250"/>
        <v/>
      </c>
      <c r="M321" s="216">
        <f t="shared" ca="1" si="256"/>
        <v>0</v>
      </c>
      <c r="N321" s="216"/>
      <c r="O321" s="216"/>
      <c r="P321" s="216"/>
      <c r="Q321" s="456" t="str">
        <f t="shared" ca="1" si="257"/>
        <v/>
      </c>
      <c r="R321" s="450">
        <f t="shared" ca="1" si="258"/>
        <v>1</v>
      </c>
      <c r="S321" s="191">
        <f t="shared" si="259"/>
        <v>27</v>
      </c>
      <c r="T321" s="191">
        <f t="shared" si="260"/>
        <v>1</v>
      </c>
      <c r="U321" s="191">
        <f ca="1">OP!$D$5+$S321-1</f>
        <v>59</v>
      </c>
      <c r="V321" s="191" t="str">
        <f t="shared" si="261"/>
        <v/>
      </c>
      <c r="W321" s="350">
        <f ca="1">IF(Q321&lt;&gt;1,0,VLOOKUP(OP!$C$55,PVFB,$S321+2,0))</f>
        <v>0</v>
      </c>
      <c r="X321" s="473">
        <f t="shared" ca="1" si="274"/>
        <v>0</v>
      </c>
      <c r="Y321" s="348">
        <f t="shared" ca="1" si="275"/>
        <v>0</v>
      </c>
      <c r="Z321" s="348">
        <f t="shared" ca="1" si="276"/>
        <v>8012</v>
      </c>
      <c r="AA321" s="348">
        <f ca="1">IF(Q321&lt;&gt;1,0,VLOOKUP(OP!$C$55,PVFB,$S321+2,0))</f>
        <v>0</v>
      </c>
      <c r="AB321" s="488" t="str">
        <f ca="1">IF(AND(S321&lt;OP!$C$24,$U321&lt;15),0,IF(AND($U321&lt;15,$T321=12),ROUND(VLOOKUP($S321,DOWN16,5,0),3),IF($T321=12,ROUND(($Z321/10000)*$AA321,3)+IF(AND($P$7="購買增額繳清保險",T321=12,U321=110),VLOOKUP(S321,$B$10:$H$121,7,0),0),"")))</f>
        <v/>
      </c>
      <c r="AC321" s="350" t="str">
        <f ca="1">IF(AND(S321&lt;OP!$C$24,$U321&lt;15),0,IF(AND($U321&lt;16,$T321=12),VLOOKUP($S321,DOWN16,4,0),IF($T321=12,ROUND(VLOOKUP(OP!$C$55,_DIE2,$S321+1,0)*(Z321/10000),0)+IF(AND($P$7="購買增額繳清保險",T321=12,U321=110),VLOOKUP(S321,$B$10:$H$121,7,0),0),"")))</f>
        <v/>
      </c>
      <c r="AD321" s="347"/>
      <c r="AE321" s="350" t="str">
        <f t="shared" ca="1" si="251"/>
        <v/>
      </c>
      <c r="AF321" s="351" t="str">
        <f t="shared" ca="1" si="252"/>
        <v/>
      </c>
      <c r="AG321" s="340"/>
      <c r="AH321" s="340"/>
      <c r="AI321" s="340"/>
      <c r="AJ321" s="340"/>
      <c r="AK321" s="340"/>
      <c r="AL321" s="340"/>
      <c r="AM321" s="340"/>
      <c r="AN321" s="340"/>
      <c r="AO321" s="340"/>
      <c r="AP321" s="340"/>
      <c r="AQ321" s="340"/>
      <c r="AR321" s="340"/>
      <c r="AS321" s="340"/>
      <c r="AT321" s="340"/>
      <c r="AU321" s="340"/>
      <c r="AV321" s="340"/>
      <c r="AY321" s="340"/>
      <c r="AZ321" s="465">
        <f t="shared" ca="1" si="262"/>
        <v>7.3698599999999999E-5</v>
      </c>
      <c r="BA321" s="464">
        <f t="shared" ca="1" si="263"/>
        <v>2.1372602999999999E-3</v>
      </c>
      <c r="BB321" s="465">
        <f t="shared" ca="1" si="263"/>
        <v>2.2109589000000002E-3</v>
      </c>
      <c r="BC321" s="466">
        <f t="shared" ca="1" si="264"/>
        <v>52383</v>
      </c>
      <c r="BD321" s="467">
        <f t="shared" ca="1" si="277"/>
        <v>52384</v>
      </c>
      <c r="BE321" s="467">
        <f t="shared" ca="1" si="265"/>
        <v>52412</v>
      </c>
      <c r="BF321" s="468">
        <f ca="1">IF(計算!$BC321&lt;OP!$C$3,0,BD321-BC321)</f>
        <v>1</v>
      </c>
      <c r="BG321" s="468">
        <f ca="1">IF($BE321&gt;DATE(YEAR($BD$9)+OP!$C$57,MONTH($BD$9),DAY($BD$9)),0,$BE321-$BD321+1)</f>
        <v>29</v>
      </c>
      <c r="BH321" s="469">
        <f t="shared" ca="1" si="266"/>
        <v>30</v>
      </c>
      <c r="BI321">
        <f t="shared" ca="1" si="282"/>
        <v>365</v>
      </c>
      <c r="BJ321">
        <v>12</v>
      </c>
      <c r="BN321" s="468">
        <f t="shared" si="278"/>
        <v>26</v>
      </c>
      <c r="BO321" s="468">
        <f t="shared" si="279"/>
        <v>12</v>
      </c>
      <c r="BP321" s="467">
        <f t="shared" ca="1" si="267"/>
        <v>52384</v>
      </c>
      <c r="BQ321" s="475">
        <f t="shared" ca="1" si="281"/>
        <v>58</v>
      </c>
      <c r="BR321" s="475">
        <f t="shared" si="280"/>
        <v>26</v>
      </c>
      <c r="BS321" s="471">
        <f t="shared" ca="1" si="268"/>
        <v>10676</v>
      </c>
      <c r="BT321" s="472">
        <f t="shared" ca="1" si="283"/>
        <v>228580</v>
      </c>
      <c r="BU321" s="472">
        <f t="shared" ca="1" si="269"/>
        <v>10430</v>
      </c>
      <c r="BV321" s="472">
        <f t="shared" ca="1" si="269"/>
        <v>246</v>
      </c>
      <c r="BW321" s="472">
        <f ca="1">ROUND(SUM(BY321,BZ309:BZ320),0)</f>
        <v>5777</v>
      </c>
      <c r="BX321" s="473">
        <f t="shared" ca="1" si="270"/>
        <v>228578.77683432799</v>
      </c>
      <c r="BY321" s="473">
        <f t="shared" ca="1" si="271"/>
        <v>16.057946140999999</v>
      </c>
      <c r="BZ321" s="473">
        <f t="shared" ca="1" si="253"/>
        <v>488.53234515100002</v>
      </c>
      <c r="CA321" s="476">
        <f t="shared" ca="1" si="272"/>
        <v>10430</v>
      </c>
      <c r="CB321" s="494">
        <f ca="1">IF(OR($Q320&lt;&gt;1,OP!$D$5+$BN321-1&lt;16,$BN321-1&lt;1),0,ROUND(ROUND(ROUND(((VLOOKUP($BN321-1,MORE_PV,5,0)/10000)*VLOOKUP($BN321,MORE_PV,$CB$5,0)),3)*VLOOKUP($BN321,more1,5,0),0)/$R320,0))</f>
        <v>246</v>
      </c>
      <c r="CC321" s="473">
        <f t="shared" ca="1" si="273"/>
        <v>0</v>
      </c>
      <c r="CD321" s="477"/>
    </row>
    <row r="322" spans="2:82" ht="16.5" hidden="1">
      <c r="B322" s="80"/>
      <c r="C322" s="80"/>
      <c r="D322" s="80"/>
      <c r="E322" s="80"/>
      <c r="F322" s="80"/>
      <c r="G322" s="80"/>
      <c r="H322" s="80"/>
      <c r="I322" s="80"/>
      <c r="J322" s="192">
        <f t="shared" si="254"/>
        <v>27</v>
      </c>
      <c r="K322" s="192">
        <f t="shared" si="255"/>
        <v>2</v>
      </c>
      <c r="L322" s="192" t="str">
        <f t="shared" si="250"/>
        <v/>
      </c>
      <c r="M322" s="216">
        <f t="shared" ca="1" si="256"/>
        <v>0</v>
      </c>
      <c r="N322" s="216"/>
      <c r="O322" s="216"/>
      <c r="P322" s="216"/>
      <c r="Q322" s="456" t="str">
        <f t="shared" ca="1" si="257"/>
        <v/>
      </c>
      <c r="R322" s="450">
        <f t="shared" ca="1" si="258"/>
        <v>1</v>
      </c>
      <c r="S322" s="191">
        <f t="shared" si="259"/>
        <v>27</v>
      </c>
      <c r="T322" s="191">
        <f t="shared" si="260"/>
        <v>2</v>
      </c>
      <c r="U322" s="191">
        <f ca="1">OP!$D$5+$S322-1</f>
        <v>59</v>
      </c>
      <c r="V322" s="191" t="str">
        <f t="shared" si="261"/>
        <v/>
      </c>
      <c r="W322" s="350">
        <f ca="1">IF(Q322&lt;&gt;1,0,VLOOKUP(OP!$C$55,PVFB,$S322+2,0))</f>
        <v>0</v>
      </c>
      <c r="X322" s="473">
        <f t="shared" ca="1" si="274"/>
        <v>0</v>
      </c>
      <c r="Y322" s="348">
        <f t="shared" ca="1" si="275"/>
        <v>0</v>
      </c>
      <c r="Z322" s="348">
        <f t="shared" ca="1" si="276"/>
        <v>8012</v>
      </c>
      <c r="AA322" s="348">
        <f ca="1">IF(Q322&lt;&gt;1,0,VLOOKUP(OP!$C$55,PVFB,$S322+2,0))</f>
        <v>0</v>
      </c>
      <c r="AB322" s="488" t="str">
        <f ca="1">IF(AND(S322&lt;OP!$C$24,$U322&lt;15),0,IF(AND($U322&lt;15,$T322=12),ROUND(VLOOKUP($S322,DOWN16,5,0),3),IF($T322=12,ROUND(($Z322/10000)*$AA322,3)+IF(AND($P$7="購買增額繳清保險",T322=12,U322=110),VLOOKUP(S322,$B$10:$H$121,7,0),0),"")))</f>
        <v/>
      </c>
      <c r="AC322" s="350" t="str">
        <f ca="1">IF(AND(S322&lt;OP!$C$24,$U322&lt;15),0,IF(AND($U322&lt;16,$T322=12),VLOOKUP($S322,DOWN16,4,0),IF($T322=12,ROUND(VLOOKUP(OP!$C$55,_DIE2,$S322+1,0)*(Z322/10000),0)+IF(AND($P$7="購買增額繳清保險",T322=12,U322=110),VLOOKUP(S322,$B$10:$H$121,7,0),0),"")))</f>
        <v/>
      </c>
      <c r="AD322" s="347"/>
      <c r="AE322" s="350" t="str">
        <f t="shared" ca="1" si="251"/>
        <v/>
      </c>
      <c r="AF322" s="351" t="str">
        <f t="shared" ca="1" si="252"/>
        <v/>
      </c>
      <c r="AG322" s="340"/>
      <c r="AH322" s="340"/>
      <c r="AI322" s="340"/>
      <c r="AJ322" s="340"/>
      <c r="AK322" s="340"/>
      <c r="AL322" s="340"/>
      <c r="AM322" s="340"/>
      <c r="AN322" s="340"/>
      <c r="AO322" s="340"/>
      <c r="AP322" s="340"/>
      <c r="AQ322" s="340"/>
      <c r="AR322" s="340"/>
      <c r="AS322" s="340"/>
      <c r="AT322" s="340"/>
      <c r="AU322" s="340"/>
      <c r="AV322" s="340"/>
      <c r="AY322" s="340"/>
      <c r="AZ322" s="465">
        <f t="shared" ca="1" si="262"/>
        <v>7.3698599999999999E-5</v>
      </c>
      <c r="BA322" s="464">
        <f t="shared" ca="1" si="263"/>
        <v>2.2109589000000002E-3</v>
      </c>
      <c r="BB322" s="465">
        <f t="shared" ca="1" si="263"/>
        <v>2.2846575E-3</v>
      </c>
      <c r="BC322" s="466">
        <f t="shared" ca="1" si="264"/>
        <v>52413</v>
      </c>
      <c r="BD322" s="467">
        <f t="shared" ca="1" si="277"/>
        <v>52414</v>
      </c>
      <c r="BE322" s="467">
        <f t="shared" ca="1" si="265"/>
        <v>52443</v>
      </c>
      <c r="BF322" s="468">
        <f ca="1">IF(計算!$BC322&lt;OP!$C$3,0,BD322-BC322)</f>
        <v>1</v>
      </c>
      <c r="BG322" s="468">
        <f ca="1">IF($BE322&gt;DATE(YEAR($BD$9)+OP!$C$57,MONTH($BD$9),DAY($BD$9)),0,$BE322-$BD322+1)</f>
        <v>30</v>
      </c>
      <c r="BH322" s="469">
        <f t="shared" ca="1" si="266"/>
        <v>31</v>
      </c>
      <c r="BI322" t="str">
        <f t="shared" si="282"/>
        <v/>
      </c>
      <c r="BJ322">
        <v>1</v>
      </c>
      <c r="BN322" s="468">
        <f t="shared" si="278"/>
        <v>27</v>
      </c>
      <c r="BO322" s="468">
        <f t="shared" si="279"/>
        <v>1</v>
      </c>
      <c r="BP322" s="467">
        <f t="shared" ca="1" si="267"/>
        <v>52414</v>
      </c>
      <c r="BQ322" s="475">
        <f t="shared" ca="1" si="281"/>
        <v>59</v>
      </c>
      <c r="BR322" s="475" t="str">
        <f t="shared" si="280"/>
        <v/>
      </c>
      <c r="BS322" s="471" t="str">
        <f t="shared" si="268"/>
        <v/>
      </c>
      <c r="BT322" s="472" t="str">
        <f t="shared" si="283"/>
        <v/>
      </c>
      <c r="BU322" s="472">
        <f t="shared" ca="1" si="269"/>
        <v>0</v>
      </c>
      <c r="BV322" s="472">
        <f t="shared" ca="1" si="269"/>
        <v>0</v>
      </c>
      <c r="BW322" s="472"/>
      <c r="BX322" s="473">
        <f t="shared" ca="1" si="270"/>
        <v>229067.30917947899</v>
      </c>
      <c r="BY322" s="473">
        <f t="shared" si="271"/>
        <v>0</v>
      </c>
      <c r="BZ322" s="473">
        <f t="shared" ca="1" si="253"/>
        <v>523.34034592199998</v>
      </c>
      <c r="CA322" s="476">
        <f t="shared" ca="1" si="272"/>
        <v>0</v>
      </c>
      <c r="CB322" s="494">
        <f ca="1">IF(OR($Q321&lt;&gt;1,OP!$D$5+$BN322-1&lt;16,$BN322-1&lt;1),0,ROUND(ROUND(ROUND(((VLOOKUP($BN322-1,MORE_PV,5,0)/10000)*VLOOKUP($BN322,MORE_PV,$CB$5,0)),3)*VLOOKUP($BN322,more1,5,0),0)/$R321,0))</f>
        <v>0</v>
      </c>
      <c r="CC322" s="473">
        <f t="shared" ca="1" si="273"/>
        <v>0</v>
      </c>
      <c r="CD322" s="477"/>
    </row>
    <row r="323" spans="2:82" ht="16.5" hidden="1">
      <c r="B323" s="80"/>
      <c r="C323" s="80"/>
      <c r="D323" s="80"/>
      <c r="E323" s="80"/>
      <c r="F323" s="80"/>
      <c r="G323" s="80"/>
      <c r="H323" s="80"/>
      <c r="I323" s="80"/>
      <c r="J323" s="192">
        <f t="shared" si="254"/>
        <v>27</v>
      </c>
      <c r="K323" s="192">
        <f t="shared" si="255"/>
        <v>3</v>
      </c>
      <c r="L323" s="192" t="str">
        <f t="shared" si="250"/>
        <v/>
      </c>
      <c r="M323" s="216">
        <f t="shared" ca="1" si="256"/>
        <v>0</v>
      </c>
      <c r="N323" s="216"/>
      <c r="O323" s="216"/>
      <c r="P323" s="216"/>
      <c r="Q323" s="456" t="str">
        <f t="shared" ca="1" si="257"/>
        <v/>
      </c>
      <c r="R323" s="450">
        <f t="shared" ca="1" si="258"/>
        <v>1</v>
      </c>
      <c r="S323" s="191">
        <f t="shared" si="259"/>
        <v>27</v>
      </c>
      <c r="T323" s="191">
        <f t="shared" si="260"/>
        <v>3</v>
      </c>
      <c r="U323" s="191">
        <f ca="1">OP!$D$5+$S323-1</f>
        <v>59</v>
      </c>
      <c r="V323" s="191" t="str">
        <f t="shared" si="261"/>
        <v/>
      </c>
      <c r="W323" s="350">
        <f ca="1">IF(Q323&lt;&gt;1,0,VLOOKUP(OP!$C$55,PVFB,$S323+2,0))</f>
        <v>0</v>
      </c>
      <c r="X323" s="473">
        <f t="shared" ca="1" si="274"/>
        <v>0</v>
      </c>
      <c r="Y323" s="348">
        <f t="shared" ca="1" si="275"/>
        <v>0</v>
      </c>
      <c r="Z323" s="348">
        <f t="shared" ca="1" si="276"/>
        <v>8012</v>
      </c>
      <c r="AA323" s="348">
        <f ca="1">IF(Q323&lt;&gt;1,0,VLOOKUP(OP!$C$55,PVFB,$S323+2,0))</f>
        <v>0</v>
      </c>
      <c r="AB323" s="488" t="str">
        <f ca="1">IF(AND(S323&lt;OP!$C$24,$U323&lt;15),0,IF(AND($U323&lt;15,$T323=12),ROUND(VLOOKUP($S323,DOWN16,5,0),3),IF($T323=12,ROUND(($Z323/10000)*$AA323,3)+IF(AND($P$7="購買增額繳清保險",T323=12,U323=110),VLOOKUP(S323,$B$10:$H$121,7,0),0),"")))</f>
        <v/>
      </c>
      <c r="AC323" s="350" t="str">
        <f ca="1">IF(AND(S323&lt;OP!$C$24,$U323&lt;15),0,IF(AND($U323&lt;16,$T323=12),VLOOKUP($S323,DOWN16,4,0),IF($T323=12,ROUND(VLOOKUP(OP!$C$55,_DIE2,$S323+1,0)*(Z323/10000),0)+IF(AND($P$7="購買增額繳清保險",T323=12,U323=110),VLOOKUP(S323,$B$10:$H$121,7,0),0),"")))</f>
        <v/>
      </c>
      <c r="AD323" s="347"/>
      <c r="AE323" s="350" t="str">
        <f t="shared" ca="1" si="251"/>
        <v/>
      </c>
      <c r="AF323" s="351" t="str">
        <f t="shared" ca="1" si="252"/>
        <v/>
      </c>
      <c r="AG323" s="340"/>
      <c r="AH323" s="340"/>
      <c r="AI323" s="340"/>
      <c r="AJ323" s="340"/>
      <c r="AK323" s="340"/>
      <c r="AL323" s="340"/>
      <c r="AM323" s="340"/>
      <c r="AN323" s="340"/>
      <c r="AO323" s="340"/>
      <c r="AP323" s="340"/>
      <c r="AQ323" s="340"/>
      <c r="AR323" s="340"/>
      <c r="AS323" s="340"/>
      <c r="AT323" s="340"/>
      <c r="AU323" s="340"/>
      <c r="AV323" s="340"/>
      <c r="AY323" s="340"/>
      <c r="AZ323" s="465">
        <f t="shared" ca="1" si="262"/>
        <v>7.3698599999999999E-5</v>
      </c>
      <c r="BA323" s="464">
        <f t="shared" ca="1" si="263"/>
        <v>2.2109589000000002E-3</v>
      </c>
      <c r="BB323" s="465">
        <f t="shared" ca="1" si="263"/>
        <v>2.2846575E-3</v>
      </c>
      <c r="BC323" s="466">
        <f t="shared" ca="1" si="264"/>
        <v>52444</v>
      </c>
      <c r="BD323" s="467">
        <f t="shared" ca="1" si="277"/>
        <v>52445</v>
      </c>
      <c r="BE323" s="467">
        <f t="shared" ca="1" si="265"/>
        <v>52474</v>
      </c>
      <c r="BF323" s="468">
        <f ca="1">IF(計算!$BC323&lt;OP!$C$3,0,BD323-BC323)</f>
        <v>1</v>
      </c>
      <c r="BG323" s="468">
        <f ca="1">IF($BE323&gt;DATE(YEAR($BD$9)+OP!$C$57,MONTH($BD$9),DAY($BD$9)),0,$BE323-$BD323+1)</f>
        <v>30</v>
      </c>
      <c r="BH323" s="469">
        <f t="shared" ca="1" si="266"/>
        <v>31</v>
      </c>
      <c r="BI323" t="str">
        <f t="shared" si="282"/>
        <v/>
      </c>
      <c r="BJ323">
        <v>2</v>
      </c>
      <c r="BN323" s="468">
        <f t="shared" si="278"/>
        <v>27</v>
      </c>
      <c r="BO323" s="468">
        <f t="shared" si="279"/>
        <v>2</v>
      </c>
      <c r="BP323" s="467">
        <f t="shared" ca="1" si="267"/>
        <v>52445</v>
      </c>
      <c r="BQ323" s="475">
        <f t="shared" ca="1" si="281"/>
        <v>59</v>
      </c>
      <c r="BR323" s="475" t="str">
        <f t="shared" si="280"/>
        <v/>
      </c>
      <c r="BS323" s="471" t="str">
        <f t="shared" si="268"/>
        <v/>
      </c>
      <c r="BT323" s="472" t="str">
        <f t="shared" si="283"/>
        <v/>
      </c>
      <c r="BU323" s="472">
        <f t="shared" ca="1" si="269"/>
        <v>0</v>
      </c>
      <c r="BV323" s="472">
        <f t="shared" ca="1" si="269"/>
        <v>0</v>
      </c>
      <c r="BW323" s="472"/>
      <c r="BX323" s="473">
        <f t="shared" ca="1" si="270"/>
        <v>229590.64952540101</v>
      </c>
      <c r="BY323" s="473">
        <f t="shared" si="271"/>
        <v>0</v>
      </c>
      <c r="BZ323" s="473">
        <f t="shared" ca="1" si="253"/>
        <v>524.53599936800003</v>
      </c>
      <c r="CA323" s="476">
        <f t="shared" ca="1" si="272"/>
        <v>0</v>
      </c>
      <c r="CB323" s="494">
        <f ca="1">IF(OR($Q322&lt;&gt;1,OP!$D$5+$BN323-1&lt;16,$BN323-1&lt;1),0,ROUND(ROUND(ROUND(((VLOOKUP($BN323-1,MORE_PV,5,0)/10000)*VLOOKUP($BN323,MORE_PV,$CB$5,0)),3)*VLOOKUP($BN323,more1,5,0),0)/$R322,0))</f>
        <v>0</v>
      </c>
      <c r="CC323" s="473">
        <f t="shared" ca="1" si="273"/>
        <v>0</v>
      </c>
      <c r="CD323" s="477"/>
    </row>
    <row r="324" spans="2:82" ht="16.5" hidden="1">
      <c r="B324" s="80"/>
      <c r="C324" s="80"/>
      <c r="D324" s="80"/>
      <c r="E324" s="80"/>
      <c r="F324" s="80"/>
      <c r="G324" s="80"/>
      <c r="H324" s="80"/>
      <c r="I324" s="80"/>
      <c r="J324" s="192">
        <f t="shared" si="254"/>
        <v>27</v>
      </c>
      <c r="K324" s="192">
        <f t="shared" si="255"/>
        <v>4</v>
      </c>
      <c r="L324" s="192" t="str">
        <f t="shared" si="250"/>
        <v/>
      </c>
      <c r="M324" s="216">
        <f t="shared" ca="1" si="256"/>
        <v>0</v>
      </c>
      <c r="N324" s="216"/>
      <c r="O324" s="216"/>
      <c r="P324" s="216"/>
      <c r="Q324" s="456" t="str">
        <f t="shared" ca="1" si="257"/>
        <v/>
      </c>
      <c r="R324" s="450">
        <f t="shared" ca="1" si="258"/>
        <v>1</v>
      </c>
      <c r="S324" s="191">
        <f t="shared" si="259"/>
        <v>27</v>
      </c>
      <c r="T324" s="191">
        <f t="shared" si="260"/>
        <v>4</v>
      </c>
      <c r="U324" s="191">
        <f ca="1">OP!$D$5+$S324-1</f>
        <v>59</v>
      </c>
      <c r="V324" s="191" t="str">
        <f t="shared" si="261"/>
        <v/>
      </c>
      <c r="W324" s="350">
        <f ca="1">IF(Q324&lt;&gt;1,0,VLOOKUP(OP!$C$55,PVFB,$S324+2,0))</f>
        <v>0</v>
      </c>
      <c r="X324" s="473">
        <f t="shared" ca="1" si="274"/>
        <v>0</v>
      </c>
      <c r="Y324" s="348">
        <f t="shared" ca="1" si="275"/>
        <v>0</v>
      </c>
      <c r="Z324" s="348">
        <f t="shared" ca="1" si="276"/>
        <v>8012</v>
      </c>
      <c r="AA324" s="348">
        <f ca="1">IF(Q324&lt;&gt;1,0,VLOOKUP(OP!$C$55,PVFB,$S324+2,0))</f>
        <v>0</v>
      </c>
      <c r="AB324" s="488" t="str">
        <f ca="1">IF(AND(S324&lt;OP!$C$24,$U324&lt;15),0,IF(AND($U324&lt;15,$T324=12),ROUND(VLOOKUP($S324,DOWN16,5,0),3),IF($T324=12,ROUND(($Z324/10000)*$AA324,3)+IF(AND($P$7="購買增額繳清保險",T324=12,U324=110),VLOOKUP(S324,$B$10:$H$121,7,0),0),"")))</f>
        <v/>
      </c>
      <c r="AC324" s="350" t="str">
        <f ca="1">IF(AND(S324&lt;OP!$C$24,$U324&lt;15),0,IF(AND($U324&lt;16,$T324=12),VLOOKUP($S324,DOWN16,4,0),IF($T324=12,ROUND(VLOOKUP(OP!$C$55,_DIE2,$S324+1,0)*(Z324/10000),0)+IF(AND($P$7="購買增額繳清保險",T324=12,U324=110),VLOOKUP(S324,$B$10:$H$121,7,0),0),"")))</f>
        <v/>
      </c>
      <c r="AD324" s="347"/>
      <c r="AE324" s="350" t="str">
        <f t="shared" ca="1" si="251"/>
        <v/>
      </c>
      <c r="AF324" s="351" t="str">
        <f t="shared" ca="1" si="252"/>
        <v/>
      </c>
      <c r="AG324" s="340"/>
      <c r="AH324" s="340"/>
      <c r="AI324" s="340"/>
      <c r="AJ324" s="340"/>
      <c r="AK324" s="340"/>
      <c r="AL324" s="340"/>
      <c r="AM324" s="340"/>
      <c r="AN324" s="340"/>
      <c r="AO324" s="340"/>
      <c r="AP324" s="340"/>
      <c r="AQ324" s="340"/>
      <c r="AR324" s="340"/>
      <c r="AS324" s="340"/>
      <c r="AT324" s="340"/>
      <c r="AU324" s="340"/>
      <c r="AV324" s="340"/>
      <c r="AY324" s="340"/>
      <c r="AZ324" s="465">
        <f t="shared" ca="1" si="262"/>
        <v>7.3698599999999999E-5</v>
      </c>
      <c r="BA324" s="464">
        <f t="shared" ca="1" si="263"/>
        <v>2.1372602999999999E-3</v>
      </c>
      <c r="BB324" s="465">
        <f t="shared" ca="1" si="263"/>
        <v>2.2109589000000002E-3</v>
      </c>
      <c r="BC324" s="466">
        <f t="shared" ca="1" si="264"/>
        <v>52475</v>
      </c>
      <c r="BD324" s="467">
        <f t="shared" ca="1" si="277"/>
        <v>52476</v>
      </c>
      <c r="BE324" s="467">
        <f t="shared" ca="1" si="265"/>
        <v>52504</v>
      </c>
      <c r="BF324" s="468">
        <f ca="1">IF(計算!$BC324&lt;OP!$C$3,0,BD324-BC324)</f>
        <v>1</v>
      </c>
      <c r="BG324" s="468">
        <f ca="1">IF($BE324&gt;DATE(YEAR($BD$9)+OP!$C$57,MONTH($BD$9),DAY($BD$9)),0,$BE324-$BD324+1)</f>
        <v>29</v>
      </c>
      <c r="BH324" s="469">
        <f t="shared" ca="1" si="266"/>
        <v>30</v>
      </c>
      <c r="BI324" t="str">
        <f t="shared" si="282"/>
        <v/>
      </c>
      <c r="BJ324">
        <v>3</v>
      </c>
      <c r="BN324" s="468">
        <f t="shared" si="278"/>
        <v>27</v>
      </c>
      <c r="BO324" s="468">
        <f t="shared" si="279"/>
        <v>3</v>
      </c>
      <c r="BP324" s="467">
        <f t="shared" ca="1" si="267"/>
        <v>52476</v>
      </c>
      <c r="BQ324" s="475">
        <f t="shared" ca="1" si="281"/>
        <v>59</v>
      </c>
      <c r="BR324" s="475" t="str">
        <f t="shared" si="280"/>
        <v/>
      </c>
      <c r="BS324" s="471" t="str">
        <f t="shared" si="268"/>
        <v/>
      </c>
      <c r="BT324" s="472" t="str">
        <f t="shared" si="283"/>
        <v/>
      </c>
      <c r="BU324" s="472">
        <f t="shared" ca="1" si="269"/>
        <v>0</v>
      </c>
      <c r="BV324" s="472">
        <f t="shared" ca="1" si="269"/>
        <v>0</v>
      </c>
      <c r="BW324" s="472"/>
      <c r="BX324" s="473">
        <f t="shared" ca="1" si="270"/>
        <v>230115.18552476901</v>
      </c>
      <c r="BY324" s="473">
        <f t="shared" si="271"/>
        <v>0</v>
      </c>
      <c r="BZ324" s="473">
        <f t="shared" ca="1" si="253"/>
        <v>508.77521746100001</v>
      </c>
      <c r="CA324" s="476">
        <f t="shared" ca="1" si="272"/>
        <v>0</v>
      </c>
      <c r="CB324" s="494">
        <f ca="1">IF(OR($Q323&lt;&gt;1,OP!$D$5+$BN324-1&lt;16,$BN324-1&lt;1),0,ROUND(ROUND(ROUND(((VLOOKUP($BN324-1,MORE_PV,5,0)/10000)*VLOOKUP($BN324,MORE_PV,$CB$5,0)),3)*VLOOKUP($BN324,more1,5,0),0)/$R323,0))</f>
        <v>0</v>
      </c>
      <c r="CC324" s="473">
        <f t="shared" ca="1" si="273"/>
        <v>0</v>
      </c>
      <c r="CD324" s="477"/>
    </row>
    <row r="325" spans="2:82" ht="16.5" hidden="1">
      <c r="B325" s="80"/>
      <c r="C325" s="80"/>
      <c r="D325" s="80"/>
      <c r="E325" s="80"/>
      <c r="F325" s="80"/>
      <c r="G325" s="80"/>
      <c r="H325" s="80"/>
      <c r="I325" s="80"/>
      <c r="J325" s="192">
        <f t="shared" si="254"/>
        <v>27</v>
      </c>
      <c r="K325" s="192">
        <f t="shared" si="255"/>
        <v>5</v>
      </c>
      <c r="L325" s="192" t="str">
        <f t="shared" si="250"/>
        <v/>
      </c>
      <c r="M325" s="216">
        <f t="shared" ca="1" si="256"/>
        <v>0</v>
      </c>
      <c r="N325" s="216"/>
      <c r="O325" s="216"/>
      <c r="P325" s="216"/>
      <c r="Q325" s="456" t="str">
        <f t="shared" ca="1" si="257"/>
        <v/>
      </c>
      <c r="R325" s="450">
        <f t="shared" ca="1" si="258"/>
        <v>1</v>
      </c>
      <c r="S325" s="191">
        <f t="shared" si="259"/>
        <v>27</v>
      </c>
      <c r="T325" s="191">
        <f t="shared" si="260"/>
        <v>5</v>
      </c>
      <c r="U325" s="191">
        <f ca="1">OP!$D$5+$S325-1</f>
        <v>59</v>
      </c>
      <c r="V325" s="191" t="str">
        <f t="shared" si="261"/>
        <v/>
      </c>
      <c r="W325" s="350">
        <f ca="1">IF(Q325&lt;&gt;1,0,VLOOKUP(OP!$C$55,PVFB,$S325+2,0))</f>
        <v>0</v>
      </c>
      <c r="X325" s="473">
        <f t="shared" ca="1" si="274"/>
        <v>0</v>
      </c>
      <c r="Y325" s="348">
        <f t="shared" ca="1" si="275"/>
        <v>0</v>
      </c>
      <c r="Z325" s="348">
        <f t="shared" ca="1" si="276"/>
        <v>8012</v>
      </c>
      <c r="AA325" s="348">
        <f ca="1">IF(Q325&lt;&gt;1,0,VLOOKUP(OP!$C$55,PVFB,$S325+2,0))</f>
        <v>0</v>
      </c>
      <c r="AB325" s="488" t="str">
        <f ca="1">IF(AND(S325&lt;OP!$C$24,$U325&lt;15),0,IF(AND($U325&lt;15,$T325=12),ROUND(VLOOKUP($S325,DOWN16,5,0),3),IF($T325=12,ROUND(($Z325/10000)*$AA325,3)+IF(AND($P$7="購買增額繳清保險",T325=12,U325=110),VLOOKUP(S325,$B$10:$H$121,7,0),0),"")))</f>
        <v/>
      </c>
      <c r="AC325" s="350" t="str">
        <f ca="1">IF(AND(S325&lt;OP!$C$24,$U325&lt;15),0,IF(AND($U325&lt;16,$T325=12),VLOOKUP($S325,DOWN16,4,0),IF($T325=12,ROUND(VLOOKUP(OP!$C$55,_DIE2,$S325+1,0)*(Z325/10000),0)+IF(AND($P$7="購買增額繳清保險",T325=12,U325=110),VLOOKUP(S325,$B$10:$H$121,7,0),0),"")))</f>
        <v/>
      </c>
      <c r="AD325" s="347"/>
      <c r="AE325" s="350" t="str">
        <f t="shared" ca="1" si="251"/>
        <v/>
      </c>
      <c r="AF325" s="351" t="str">
        <f t="shared" ca="1" si="252"/>
        <v/>
      </c>
      <c r="AG325" s="340"/>
      <c r="AH325" s="340"/>
      <c r="AI325" s="340"/>
      <c r="AJ325" s="340"/>
      <c r="AK325" s="340"/>
      <c r="AL325" s="340"/>
      <c r="AM325" s="340"/>
      <c r="AN325" s="340"/>
      <c r="AO325" s="340"/>
      <c r="AP325" s="340"/>
      <c r="AQ325" s="340"/>
      <c r="AR325" s="340"/>
      <c r="AS325" s="340"/>
      <c r="AT325" s="340"/>
      <c r="AU325" s="340"/>
      <c r="AV325" s="340"/>
      <c r="AY325" s="340"/>
      <c r="AZ325" s="465">
        <f t="shared" ca="1" si="262"/>
        <v>7.3698599999999999E-5</v>
      </c>
      <c r="BA325" s="464">
        <f t="shared" ca="1" si="263"/>
        <v>2.2109589000000002E-3</v>
      </c>
      <c r="BB325" s="465">
        <f t="shared" ca="1" si="263"/>
        <v>2.2846575E-3</v>
      </c>
      <c r="BC325" s="466">
        <f t="shared" ca="1" si="264"/>
        <v>52505</v>
      </c>
      <c r="BD325" s="467">
        <f t="shared" ca="1" si="277"/>
        <v>52506</v>
      </c>
      <c r="BE325" s="467">
        <f t="shared" ca="1" si="265"/>
        <v>52535</v>
      </c>
      <c r="BF325" s="468">
        <f ca="1">IF(計算!$BC325&lt;OP!$C$3,0,BD325-BC325)</f>
        <v>1</v>
      </c>
      <c r="BG325" s="468">
        <f ca="1">IF($BE325&gt;DATE(YEAR($BD$9)+OP!$C$57,MONTH($BD$9),DAY($BD$9)),0,$BE325-$BD325+1)</f>
        <v>30</v>
      </c>
      <c r="BH325" s="469">
        <f t="shared" ca="1" si="266"/>
        <v>31</v>
      </c>
      <c r="BI325" t="str">
        <f t="shared" si="282"/>
        <v/>
      </c>
      <c r="BJ325">
        <v>4</v>
      </c>
      <c r="BN325" s="468">
        <f t="shared" si="278"/>
        <v>27</v>
      </c>
      <c r="BO325" s="468">
        <f t="shared" si="279"/>
        <v>4</v>
      </c>
      <c r="BP325" s="467">
        <f t="shared" ca="1" si="267"/>
        <v>52506</v>
      </c>
      <c r="BQ325" s="475">
        <f t="shared" ca="1" si="281"/>
        <v>59</v>
      </c>
      <c r="BR325" s="475" t="str">
        <f t="shared" si="280"/>
        <v/>
      </c>
      <c r="BS325" s="471" t="str">
        <f t="shared" si="268"/>
        <v/>
      </c>
      <c r="BT325" s="472" t="str">
        <f t="shared" si="283"/>
        <v/>
      </c>
      <c r="BU325" s="472">
        <f t="shared" ca="1" si="269"/>
        <v>0</v>
      </c>
      <c r="BV325" s="472">
        <f t="shared" ca="1" si="269"/>
        <v>0</v>
      </c>
      <c r="BW325" s="472"/>
      <c r="BX325" s="473">
        <f t="shared" ca="1" si="270"/>
        <v>230623.96074223</v>
      </c>
      <c r="BY325" s="473">
        <f t="shared" si="271"/>
        <v>0</v>
      </c>
      <c r="BZ325" s="473">
        <f t="shared" ca="1" si="253"/>
        <v>526.89676158899999</v>
      </c>
      <c r="CA325" s="476">
        <f t="shared" ca="1" si="272"/>
        <v>0</v>
      </c>
      <c r="CB325" s="494">
        <f ca="1">IF(OR($Q324&lt;&gt;1,OP!$D$5+$BN325-1&lt;16,$BN325-1&lt;1),0,ROUND(ROUND(ROUND(((VLOOKUP($BN325-1,MORE_PV,5,0)/10000)*VLOOKUP($BN325,MORE_PV,$CB$5,0)),3)*VLOOKUP($BN325,more1,5,0),0)/$R324,0))</f>
        <v>0</v>
      </c>
      <c r="CC325" s="473">
        <f t="shared" ca="1" si="273"/>
        <v>0</v>
      </c>
      <c r="CD325" s="477"/>
    </row>
    <row r="326" spans="2:82" ht="16.5" hidden="1">
      <c r="B326" s="80"/>
      <c r="C326" s="80"/>
      <c r="D326" s="80"/>
      <c r="E326" s="80"/>
      <c r="F326" s="80"/>
      <c r="G326" s="80"/>
      <c r="H326" s="80"/>
      <c r="I326" s="80"/>
      <c r="J326" s="192">
        <f t="shared" si="254"/>
        <v>27</v>
      </c>
      <c r="K326" s="192">
        <f t="shared" si="255"/>
        <v>6</v>
      </c>
      <c r="L326" s="192" t="str">
        <f t="shared" si="250"/>
        <v/>
      </c>
      <c r="M326" s="216">
        <f t="shared" ca="1" si="256"/>
        <v>0</v>
      </c>
      <c r="N326" s="216"/>
      <c r="O326" s="216"/>
      <c r="P326" s="216"/>
      <c r="Q326" s="456" t="str">
        <f t="shared" ca="1" si="257"/>
        <v/>
      </c>
      <c r="R326" s="450">
        <f t="shared" ca="1" si="258"/>
        <v>1</v>
      </c>
      <c r="S326" s="191">
        <f t="shared" si="259"/>
        <v>27</v>
      </c>
      <c r="T326" s="191">
        <f t="shared" si="260"/>
        <v>6</v>
      </c>
      <c r="U326" s="191">
        <f ca="1">OP!$D$5+$S326-1</f>
        <v>59</v>
      </c>
      <c r="V326" s="191" t="str">
        <f t="shared" si="261"/>
        <v/>
      </c>
      <c r="W326" s="350">
        <f ca="1">IF(Q326&lt;&gt;1,0,VLOOKUP(OP!$C$55,PVFB,$S326+2,0))</f>
        <v>0</v>
      </c>
      <c r="X326" s="473">
        <f t="shared" ca="1" si="274"/>
        <v>0</v>
      </c>
      <c r="Y326" s="348">
        <f t="shared" ca="1" si="275"/>
        <v>0</v>
      </c>
      <c r="Z326" s="348">
        <f t="shared" ca="1" si="276"/>
        <v>8012</v>
      </c>
      <c r="AA326" s="348">
        <f ca="1">IF(Q326&lt;&gt;1,0,VLOOKUP(OP!$C$55,PVFB,$S326+2,0))</f>
        <v>0</v>
      </c>
      <c r="AB326" s="488" t="str">
        <f ca="1">IF(AND(S326&lt;OP!$C$24,$U326&lt;15),0,IF(AND($U326&lt;15,$T326=12),ROUND(VLOOKUP($S326,DOWN16,5,0),3),IF($T326=12,ROUND(($Z326/10000)*$AA326,3)+IF(AND($P$7="購買增額繳清保險",T326=12,U326=110),VLOOKUP(S326,$B$10:$H$121,7,0),0),"")))</f>
        <v/>
      </c>
      <c r="AC326" s="350" t="str">
        <f ca="1">IF(AND(S326&lt;OP!$C$24,$U326&lt;15),0,IF(AND($U326&lt;16,$T326=12),VLOOKUP($S326,DOWN16,4,0),IF($T326=12,ROUND(VLOOKUP(OP!$C$55,_DIE2,$S326+1,0)*(Z326/10000),0)+IF(AND($P$7="購買增額繳清保險",T326=12,U326=110),VLOOKUP(S326,$B$10:$H$121,7,0),0),"")))</f>
        <v/>
      </c>
      <c r="AD326" s="347"/>
      <c r="AE326" s="350" t="str">
        <f t="shared" ca="1" si="251"/>
        <v/>
      </c>
      <c r="AF326" s="351" t="str">
        <f t="shared" ca="1" si="252"/>
        <v/>
      </c>
      <c r="AG326" s="340"/>
      <c r="AH326" s="340"/>
      <c r="AI326" s="340"/>
      <c r="AJ326" s="340"/>
      <c r="AK326" s="340"/>
      <c r="AL326" s="340"/>
      <c r="AM326" s="340"/>
      <c r="AN326" s="340"/>
      <c r="AO326" s="340"/>
      <c r="AP326" s="340"/>
      <c r="AQ326" s="340"/>
      <c r="AR326" s="340"/>
      <c r="AS326" s="340"/>
      <c r="AT326" s="340"/>
      <c r="AU326" s="340"/>
      <c r="AV326" s="340"/>
      <c r="AY326" s="340"/>
      <c r="AZ326" s="465">
        <f t="shared" ca="1" si="262"/>
        <v>7.3698599999999999E-5</v>
      </c>
      <c r="BA326" s="464">
        <f t="shared" ca="1" si="263"/>
        <v>2.1372602999999999E-3</v>
      </c>
      <c r="BB326" s="465">
        <f t="shared" ca="1" si="263"/>
        <v>2.2109589000000002E-3</v>
      </c>
      <c r="BC326" s="466">
        <f t="shared" ca="1" si="264"/>
        <v>52536</v>
      </c>
      <c r="BD326" s="467">
        <f t="shared" ca="1" si="277"/>
        <v>52537</v>
      </c>
      <c r="BE326" s="467">
        <f t="shared" ca="1" si="265"/>
        <v>52565</v>
      </c>
      <c r="BF326" s="468">
        <f ca="1">IF(計算!$BC326&lt;OP!$C$3,0,BD326-BC326)</f>
        <v>1</v>
      </c>
      <c r="BG326" s="468">
        <f ca="1">IF($BE326&gt;DATE(YEAR($BD$9)+OP!$C$57,MONTH($BD$9),DAY($BD$9)),0,$BE326-$BD326+1)</f>
        <v>29</v>
      </c>
      <c r="BH326" s="469">
        <f t="shared" ca="1" si="266"/>
        <v>30</v>
      </c>
      <c r="BI326" t="str">
        <f t="shared" si="282"/>
        <v/>
      </c>
      <c r="BJ326">
        <v>5</v>
      </c>
      <c r="BN326" s="468">
        <f t="shared" si="278"/>
        <v>27</v>
      </c>
      <c r="BO326" s="468">
        <f t="shared" si="279"/>
        <v>5</v>
      </c>
      <c r="BP326" s="467">
        <f t="shared" ca="1" si="267"/>
        <v>52537</v>
      </c>
      <c r="BQ326" s="475">
        <f t="shared" ca="1" si="281"/>
        <v>59</v>
      </c>
      <c r="BR326" s="475" t="str">
        <f t="shared" si="280"/>
        <v/>
      </c>
      <c r="BS326" s="471" t="str">
        <f t="shared" si="268"/>
        <v/>
      </c>
      <c r="BT326" s="472" t="str">
        <f t="shared" si="283"/>
        <v/>
      </c>
      <c r="BU326" s="472">
        <f t="shared" ca="1" si="269"/>
        <v>0</v>
      </c>
      <c r="BV326" s="472">
        <f t="shared" ca="1" si="269"/>
        <v>0</v>
      </c>
      <c r="BW326" s="472"/>
      <c r="BX326" s="473">
        <f t="shared" ca="1" si="270"/>
        <v>231150.85750381899</v>
      </c>
      <c r="BY326" s="473">
        <f t="shared" si="271"/>
        <v>0</v>
      </c>
      <c r="BZ326" s="473">
        <f t="shared" ca="1" si="253"/>
        <v>511.06504564099998</v>
      </c>
      <c r="CA326" s="476">
        <f t="shared" ca="1" si="272"/>
        <v>0</v>
      </c>
      <c r="CB326" s="494">
        <f ca="1">IF(OR($Q325&lt;&gt;1,OP!$D$5+$BN326-1&lt;16,$BN326-1&lt;1),0,ROUND(ROUND(ROUND(((VLOOKUP($BN326-1,MORE_PV,5,0)/10000)*VLOOKUP($BN326,MORE_PV,$CB$5,0)),3)*VLOOKUP($BN326,more1,5,0),0)/$R325,0))</f>
        <v>0</v>
      </c>
      <c r="CC326" s="473">
        <f t="shared" ca="1" si="273"/>
        <v>0</v>
      </c>
      <c r="CD326" s="477"/>
    </row>
    <row r="327" spans="2:82" ht="16.5" hidden="1">
      <c r="B327" s="80"/>
      <c r="C327" s="80"/>
      <c r="D327" s="80"/>
      <c r="E327" s="80"/>
      <c r="F327" s="80"/>
      <c r="G327" s="80"/>
      <c r="H327" s="80"/>
      <c r="I327" s="80"/>
      <c r="J327" s="192">
        <f t="shared" si="254"/>
        <v>27</v>
      </c>
      <c r="K327" s="192">
        <f t="shared" si="255"/>
        <v>7</v>
      </c>
      <c r="L327" s="192" t="str">
        <f t="shared" si="250"/>
        <v/>
      </c>
      <c r="M327" s="216">
        <f t="shared" ca="1" si="256"/>
        <v>0</v>
      </c>
      <c r="N327" s="216"/>
      <c r="O327" s="216"/>
      <c r="P327" s="216"/>
      <c r="Q327" s="456" t="str">
        <f t="shared" ca="1" si="257"/>
        <v/>
      </c>
      <c r="R327" s="450">
        <f t="shared" ca="1" si="258"/>
        <v>1</v>
      </c>
      <c r="S327" s="191">
        <f t="shared" si="259"/>
        <v>27</v>
      </c>
      <c r="T327" s="191">
        <f t="shared" si="260"/>
        <v>7</v>
      </c>
      <c r="U327" s="191">
        <f ca="1">OP!$D$5+$S327-1</f>
        <v>59</v>
      </c>
      <c r="V327" s="191" t="str">
        <f t="shared" si="261"/>
        <v/>
      </c>
      <c r="W327" s="350">
        <f ca="1">IF(Q327&lt;&gt;1,0,VLOOKUP(OP!$C$55,PVFB,$S327+2,0))</f>
        <v>0</v>
      </c>
      <c r="X327" s="473">
        <f t="shared" ca="1" si="274"/>
        <v>0</v>
      </c>
      <c r="Y327" s="348">
        <f t="shared" ca="1" si="275"/>
        <v>0</v>
      </c>
      <c r="Z327" s="348">
        <f t="shared" ca="1" si="276"/>
        <v>8012</v>
      </c>
      <c r="AA327" s="348">
        <f ca="1">IF(Q327&lt;&gt;1,0,VLOOKUP(OP!$C$55,PVFB,$S327+2,0))</f>
        <v>0</v>
      </c>
      <c r="AB327" s="488" t="str">
        <f ca="1">IF(AND(S327&lt;OP!$C$24,$U327&lt;15),0,IF(AND($U327&lt;15,$T327=12),ROUND(VLOOKUP($S327,DOWN16,5,0),3),IF($T327=12,ROUND(($Z327/10000)*$AA327,3)+IF(AND($P$7="購買增額繳清保險",T327=12,U327=110),VLOOKUP(S327,$B$10:$H$121,7,0),0),"")))</f>
        <v/>
      </c>
      <c r="AC327" s="350" t="str">
        <f ca="1">IF(AND(S327&lt;OP!$C$24,$U327&lt;15),0,IF(AND($U327&lt;16,$T327=12),VLOOKUP($S327,DOWN16,4,0),IF($T327=12,ROUND(VLOOKUP(OP!$C$55,_DIE2,$S327+1,0)*(Z327/10000),0)+IF(AND($P$7="購買增額繳清保險",T327=12,U327=110),VLOOKUP(S327,$B$10:$H$121,7,0),0),"")))</f>
        <v/>
      </c>
      <c r="AD327" s="347"/>
      <c r="AE327" s="350" t="str">
        <f t="shared" ca="1" si="251"/>
        <v/>
      </c>
      <c r="AF327" s="351" t="str">
        <f t="shared" ca="1" si="252"/>
        <v/>
      </c>
      <c r="AG327" s="340"/>
      <c r="AH327" s="340"/>
      <c r="AI327" s="340"/>
      <c r="AJ327" s="340"/>
      <c r="AK327" s="340"/>
      <c r="AL327" s="340"/>
      <c r="AM327" s="340"/>
      <c r="AN327" s="340"/>
      <c r="AO327" s="340"/>
      <c r="AP327" s="340"/>
      <c r="AQ327" s="340"/>
      <c r="AR327" s="340"/>
      <c r="AS327" s="340"/>
      <c r="AT327" s="340"/>
      <c r="AU327" s="340"/>
      <c r="AV327" s="340"/>
      <c r="AY327" s="340"/>
      <c r="AZ327" s="465">
        <f t="shared" ca="1" si="262"/>
        <v>7.3698599999999999E-5</v>
      </c>
      <c r="BA327" s="464">
        <f t="shared" ca="1" si="263"/>
        <v>2.2109589000000002E-3</v>
      </c>
      <c r="BB327" s="465">
        <f t="shared" ca="1" si="263"/>
        <v>2.2846575E-3</v>
      </c>
      <c r="BC327" s="466">
        <f t="shared" ca="1" si="264"/>
        <v>52566</v>
      </c>
      <c r="BD327" s="467">
        <f t="shared" ca="1" si="277"/>
        <v>52567</v>
      </c>
      <c r="BE327" s="467">
        <f t="shared" ca="1" si="265"/>
        <v>52596</v>
      </c>
      <c r="BF327" s="468">
        <f ca="1">IF(計算!$BC327&lt;OP!$C$3,0,BD327-BC327)</f>
        <v>1</v>
      </c>
      <c r="BG327" s="468">
        <f ca="1">IF($BE327&gt;DATE(YEAR($BD$9)+OP!$C$57,MONTH($BD$9),DAY($BD$9)),0,$BE327-$BD327+1)</f>
        <v>30</v>
      </c>
      <c r="BH327" s="469">
        <f t="shared" ca="1" si="266"/>
        <v>31</v>
      </c>
      <c r="BI327" t="str">
        <f t="shared" si="282"/>
        <v/>
      </c>
      <c r="BJ327">
        <v>6</v>
      </c>
      <c r="BN327" s="468">
        <f t="shared" si="278"/>
        <v>27</v>
      </c>
      <c r="BO327" s="468">
        <f t="shared" si="279"/>
        <v>6</v>
      </c>
      <c r="BP327" s="467">
        <f t="shared" ca="1" si="267"/>
        <v>52567</v>
      </c>
      <c r="BQ327" s="475">
        <f t="shared" ca="1" si="281"/>
        <v>59</v>
      </c>
      <c r="BR327" s="475" t="str">
        <f t="shared" si="280"/>
        <v/>
      </c>
      <c r="BS327" s="471" t="str">
        <f t="shared" si="268"/>
        <v/>
      </c>
      <c r="BT327" s="472" t="str">
        <f t="shared" si="283"/>
        <v/>
      </c>
      <c r="BU327" s="472">
        <f t="shared" ca="1" si="269"/>
        <v>0</v>
      </c>
      <c r="BV327" s="472">
        <f t="shared" ca="1" si="269"/>
        <v>0</v>
      </c>
      <c r="BW327" s="472"/>
      <c r="BX327" s="473">
        <f t="shared" ca="1" si="270"/>
        <v>231661.92254946</v>
      </c>
      <c r="BY327" s="473">
        <f t="shared" si="271"/>
        <v>0</v>
      </c>
      <c r="BZ327" s="473">
        <f t="shared" ca="1" si="253"/>
        <v>529.268148817</v>
      </c>
      <c r="CA327" s="476">
        <f t="shared" ca="1" si="272"/>
        <v>0</v>
      </c>
      <c r="CB327" s="494">
        <f ca="1">IF(OR($Q326&lt;&gt;1,OP!$D$5+$BN327-1&lt;16,$BN327-1&lt;1),0,ROUND(ROUND(ROUND(((VLOOKUP($BN327-1,MORE_PV,5,0)/10000)*VLOOKUP($BN327,MORE_PV,$CB$5,0)),3)*VLOOKUP($BN327,more1,5,0),0)/$R326,0))</f>
        <v>0</v>
      </c>
      <c r="CC327" s="473">
        <f t="shared" ca="1" si="273"/>
        <v>0</v>
      </c>
      <c r="CD327" s="477"/>
    </row>
    <row r="328" spans="2:82" ht="16.5" hidden="1">
      <c r="B328" s="80"/>
      <c r="C328" s="80"/>
      <c r="D328" s="80"/>
      <c r="E328" s="80"/>
      <c r="F328" s="80"/>
      <c r="G328" s="80"/>
      <c r="H328" s="80"/>
      <c r="I328" s="80"/>
      <c r="J328" s="192">
        <f t="shared" si="254"/>
        <v>27</v>
      </c>
      <c r="K328" s="192">
        <f t="shared" si="255"/>
        <v>8</v>
      </c>
      <c r="L328" s="192" t="str">
        <f t="shared" si="250"/>
        <v/>
      </c>
      <c r="M328" s="216">
        <f t="shared" ca="1" si="256"/>
        <v>0</v>
      </c>
      <c r="N328" s="216"/>
      <c r="O328" s="216"/>
      <c r="P328" s="216"/>
      <c r="Q328" s="456" t="str">
        <f t="shared" ca="1" si="257"/>
        <v/>
      </c>
      <c r="R328" s="450">
        <f t="shared" ca="1" si="258"/>
        <v>1</v>
      </c>
      <c r="S328" s="191">
        <f t="shared" si="259"/>
        <v>27</v>
      </c>
      <c r="T328" s="191">
        <f t="shared" si="260"/>
        <v>8</v>
      </c>
      <c r="U328" s="191">
        <f ca="1">OP!$D$5+$S328-1</f>
        <v>59</v>
      </c>
      <c r="V328" s="191" t="str">
        <f t="shared" si="261"/>
        <v/>
      </c>
      <c r="W328" s="350">
        <f ca="1">IF(Q328&lt;&gt;1,0,VLOOKUP(OP!$C$55,PVFB,$S328+2,0))</f>
        <v>0</v>
      </c>
      <c r="X328" s="473">
        <f t="shared" ca="1" si="274"/>
        <v>0</v>
      </c>
      <c r="Y328" s="348">
        <f t="shared" ca="1" si="275"/>
        <v>0</v>
      </c>
      <c r="Z328" s="348">
        <f t="shared" ca="1" si="276"/>
        <v>8012</v>
      </c>
      <c r="AA328" s="348">
        <f ca="1">IF(Q328&lt;&gt;1,0,VLOOKUP(OP!$C$55,PVFB,$S328+2,0))</f>
        <v>0</v>
      </c>
      <c r="AB328" s="488" t="str">
        <f ca="1">IF(AND(S328&lt;OP!$C$24,$U328&lt;15),0,IF(AND($U328&lt;15,$T328=12),ROUND(VLOOKUP($S328,DOWN16,5,0),3),IF($T328=12,ROUND(($Z328/10000)*$AA328,3)+IF(AND($P$7="購買增額繳清保險",T328=12,U328=110),VLOOKUP(S328,$B$10:$H$121,7,0),0),"")))</f>
        <v/>
      </c>
      <c r="AC328" s="350" t="str">
        <f ca="1">IF(AND(S328&lt;OP!$C$24,$U328&lt;15),0,IF(AND($U328&lt;16,$T328=12),VLOOKUP($S328,DOWN16,4,0),IF($T328=12,ROUND(VLOOKUP(OP!$C$55,_DIE2,$S328+1,0)*(Z328/10000),0)+IF(AND($P$7="購買增額繳清保險",T328=12,U328=110),VLOOKUP(S328,$B$10:$H$121,7,0),0),"")))</f>
        <v/>
      </c>
      <c r="AD328" s="347"/>
      <c r="AE328" s="350" t="str">
        <f t="shared" ca="1" si="251"/>
        <v/>
      </c>
      <c r="AF328" s="351" t="str">
        <f t="shared" ca="1" si="252"/>
        <v/>
      </c>
      <c r="AG328" s="340"/>
      <c r="AH328" s="340"/>
      <c r="AI328" s="340"/>
      <c r="AJ328" s="340"/>
      <c r="AK328" s="340"/>
      <c r="AL328" s="340"/>
      <c r="AM328" s="340"/>
      <c r="AN328" s="340"/>
      <c r="AO328" s="340"/>
      <c r="AP328" s="340"/>
      <c r="AQ328" s="340"/>
      <c r="AR328" s="340"/>
      <c r="AS328" s="340"/>
      <c r="AT328" s="340"/>
      <c r="AU328" s="340"/>
      <c r="AV328" s="340"/>
      <c r="AY328" s="340"/>
      <c r="AZ328" s="465">
        <f t="shared" ca="1" si="262"/>
        <v>7.3698599999999999E-5</v>
      </c>
      <c r="BA328" s="464">
        <f t="shared" ca="1" si="263"/>
        <v>2.2109589000000002E-3</v>
      </c>
      <c r="BB328" s="465">
        <f t="shared" ca="1" si="263"/>
        <v>2.2846575E-3</v>
      </c>
      <c r="BC328" s="466">
        <f t="shared" ca="1" si="264"/>
        <v>52597</v>
      </c>
      <c r="BD328" s="467">
        <f t="shared" ca="1" si="277"/>
        <v>52598</v>
      </c>
      <c r="BE328" s="467">
        <f t="shared" ca="1" si="265"/>
        <v>52627</v>
      </c>
      <c r="BF328" s="468">
        <f ca="1">IF(計算!$BC328&lt;OP!$C$3,0,BD328-BC328)</f>
        <v>1</v>
      </c>
      <c r="BG328" s="468">
        <f ca="1">IF($BE328&gt;DATE(YEAR($BD$9)+OP!$C$57,MONTH($BD$9),DAY($BD$9)),0,$BE328-$BD328+1)</f>
        <v>30</v>
      </c>
      <c r="BH328" s="469">
        <f t="shared" ca="1" si="266"/>
        <v>31</v>
      </c>
      <c r="BI328" t="str">
        <f t="shared" si="282"/>
        <v/>
      </c>
      <c r="BJ328">
        <v>7</v>
      </c>
      <c r="BN328" s="468">
        <f t="shared" si="278"/>
        <v>27</v>
      </c>
      <c r="BO328" s="468">
        <f t="shared" si="279"/>
        <v>7</v>
      </c>
      <c r="BP328" s="467">
        <f t="shared" ca="1" si="267"/>
        <v>52598</v>
      </c>
      <c r="BQ328" s="475">
        <f t="shared" ca="1" si="281"/>
        <v>59</v>
      </c>
      <c r="BR328" s="475" t="str">
        <f t="shared" si="280"/>
        <v/>
      </c>
      <c r="BS328" s="471" t="str">
        <f t="shared" si="268"/>
        <v/>
      </c>
      <c r="BT328" s="472" t="str">
        <f t="shared" si="283"/>
        <v/>
      </c>
      <c r="BU328" s="472">
        <f t="shared" ca="1" si="269"/>
        <v>0</v>
      </c>
      <c r="BV328" s="472">
        <f t="shared" ca="1" si="269"/>
        <v>0</v>
      </c>
      <c r="BW328" s="472"/>
      <c r="BX328" s="473">
        <f t="shared" ca="1" si="270"/>
        <v>232191.190698277</v>
      </c>
      <c r="BY328" s="473">
        <f t="shared" si="271"/>
        <v>0</v>
      </c>
      <c r="BZ328" s="473">
        <f t="shared" ca="1" si="253"/>
        <v>530.47734526299996</v>
      </c>
      <c r="CA328" s="476">
        <f t="shared" ca="1" si="272"/>
        <v>0</v>
      </c>
      <c r="CB328" s="494">
        <f ca="1">IF(OR($Q327&lt;&gt;1,OP!$D$5+$BN328-1&lt;16,$BN328-1&lt;1),0,ROUND(ROUND(ROUND(((VLOOKUP($BN328-1,MORE_PV,5,0)/10000)*VLOOKUP($BN328,MORE_PV,$CB$5,0)),3)*VLOOKUP($BN328,more1,5,0),0)/$R327,0))</f>
        <v>0</v>
      </c>
      <c r="CC328" s="473">
        <f t="shared" ca="1" si="273"/>
        <v>0</v>
      </c>
      <c r="CD328" s="477"/>
    </row>
    <row r="329" spans="2:82" ht="16.5" hidden="1">
      <c r="B329" s="80"/>
      <c r="C329" s="80"/>
      <c r="D329" s="80"/>
      <c r="E329" s="80"/>
      <c r="F329" s="80"/>
      <c r="G329" s="80"/>
      <c r="H329" s="80"/>
      <c r="I329" s="80"/>
      <c r="J329" s="192">
        <f t="shared" si="254"/>
        <v>27</v>
      </c>
      <c r="K329" s="192">
        <f t="shared" si="255"/>
        <v>9</v>
      </c>
      <c r="L329" s="192" t="str">
        <f t="shared" ref="L329:L392" si="284">IF($K329=12,$J329,"")</f>
        <v/>
      </c>
      <c r="M329" s="216">
        <f t="shared" ca="1" si="256"/>
        <v>0</v>
      </c>
      <c r="N329" s="216"/>
      <c r="O329" s="216"/>
      <c r="P329" s="216"/>
      <c r="Q329" s="456" t="str">
        <f t="shared" ca="1" si="257"/>
        <v/>
      </c>
      <c r="R329" s="450">
        <f t="shared" ca="1" si="258"/>
        <v>1</v>
      </c>
      <c r="S329" s="191">
        <f t="shared" si="259"/>
        <v>27</v>
      </c>
      <c r="T329" s="191">
        <f t="shared" si="260"/>
        <v>9</v>
      </c>
      <c r="U329" s="191">
        <f ca="1">OP!$D$5+$S329-1</f>
        <v>59</v>
      </c>
      <c r="V329" s="191" t="str">
        <f t="shared" si="261"/>
        <v/>
      </c>
      <c r="W329" s="350">
        <f ca="1">IF(Q329&lt;&gt;1,0,VLOOKUP(OP!$C$55,PVFB,$S329+2,0))</f>
        <v>0</v>
      </c>
      <c r="X329" s="473">
        <f t="shared" ca="1" si="274"/>
        <v>0</v>
      </c>
      <c r="Y329" s="348">
        <f t="shared" ca="1" si="275"/>
        <v>0</v>
      </c>
      <c r="Z329" s="348">
        <f t="shared" ca="1" si="276"/>
        <v>8012</v>
      </c>
      <c r="AA329" s="348">
        <f ca="1">IF(Q329&lt;&gt;1,0,VLOOKUP(OP!$C$55,PVFB,$S329+2,0))</f>
        <v>0</v>
      </c>
      <c r="AB329" s="488" t="str">
        <f ca="1">IF(AND(S329&lt;OP!$C$24,$U329&lt;15),0,IF(AND($U329&lt;15,$T329=12),ROUND(VLOOKUP($S329,DOWN16,5,0),3),IF($T329=12,ROUND(($Z329/10000)*$AA329,3)+IF(AND($P$7="購買增額繳清保險",T329=12,U329=110),VLOOKUP(S329,$B$10:$H$121,7,0),0),"")))</f>
        <v/>
      </c>
      <c r="AC329" s="350" t="str">
        <f ca="1">IF(AND(S329&lt;OP!$C$24,$U329&lt;15),0,IF(AND($U329&lt;16,$T329=12),VLOOKUP($S329,DOWN16,4,0),IF($T329=12,ROUND(VLOOKUP(OP!$C$55,_DIE2,$S329+1,0)*(Z329/10000),0)+IF(AND($P$7="購買增額繳清保險",T329=12,U329=110),VLOOKUP(S329,$B$10:$H$121,7,0),0),"")))</f>
        <v/>
      </c>
      <c r="AD329" s="347"/>
      <c r="AE329" s="350" t="str">
        <f t="shared" ref="AE329:AE392" ca="1" si="285">IF(AND($U$9&lt;16,$T329=12),VLOOKUP($S329,DOWN16,4,0),"")</f>
        <v/>
      </c>
      <c r="AF329" s="351" t="str">
        <f t="shared" ref="AF329:AF392" ca="1" si="286">IF(AND($U$9&lt;16,$T329=12),VLOOKUP($S329,DOWN16,5,0),"")</f>
        <v/>
      </c>
      <c r="AG329" s="340"/>
      <c r="AH329" s="340"/>
      <c r="AI329" s="340"/>
      <c r="AJ329" s="340"/>
      <c r="AK329" s="340"/>
      <c r="AL329" s="340"/>
      <c r="AM329" s="340"/>
      <c r="AN329" s="340"/>
      <c r="AO329" s="340"/>
      <c r="AP329" s="340"/>
      <c r="AQ329" s="340"/>
      <c r="AR329" s="340"/>
      <c r="AS329" s="340"/>
      <c r="AT329" s="340"/>
      <c r="AU329" s="340"/>
      <c r="AV329" s="340"/>
      <c r="AY329" s="340"/>
      <c r="AZ329" s="465">
        <f t="shared" ca="1" si="262"/>
        <v>7.3698599999999999E-5</v>
      </c>
      <c r="BA329" s="464">
        <f t="shared" ca="1" si="263"/>
        <v>2.0635616E-3</v>
      </c>
      <c r="BB329" s="465">
        <f t="shared" ca="1" si="263"/>
        <v>2.1372602999999999E-3</v>
      </c>
      <c r="BC329" s="466">
        <f t="shared" ca="1" si="264"/>
        <v>52628</v>
      </c>
      <c r="BD329" s="467">
        <f t="shared" ca="1" si="277"/>
        <v>52629</v>
      </c>
      <c r="BE329" s="467">
        <f t="shared" ca="1" si="265"/>
        <v>52656</v>
      </c>
      <c r="BF329" s="468">
        <f ca="1">IF(計算!$BC329&lt;OP!$C$3,0,BD329-BC329)</f>
        <v>1</v>
      </c>
      <c r="BG329" s="468">
        <f ca="1">IF($BE329&gt;DATE(YEAR($BD$9)+OP!$C$57,MONTH($BD$9),DAY($BD$9)),0,$BE329-$BD329+1)</f>
        <v>28</v>
      </c>
      <c r="BH329" s="469">
        <f t="shared" ca="1" si="266"/>
        <v>29</v>
      </c>
      <c r="BI329" t="str">
        <f t="shared" si="282"/>
        <v/>
      </c>
      <c r="BJ329">
        <v>8</v>
      </c>
      <c r="BN329" s="468">
        <f t="shared" si="278"/>
        <v>27</v>
      </c>
      <c r="BO329" s="468">
        <f t="shared" si="279"/>
        <v>8</v>
      </c>
      <c r="BP329" s="467">
        <f t="shared" ca="1" si="267"/>
        <v>52629</v>
      </c>
      <c r="BQ329" s="475">
        <f t="shared" ca="1" si="281"/>
        <v>59</v>
      </c>
      <c r="BR329" s="475" t="str">
        <f t="shared" si="280"/>
        <v/>
      </c>
      <c r="BS329" s="471" t="str">
        <f t="shared" si="268"/>
        <v/>
      </c>
      <c r="BT329" s="472" t="str">
        <f t="shared" si="283"/>
        <v/>
      </c>
      <c r="BU329" s="472">
        <f t="shared" ca="1" si="269"/>
        <v>0</v>
      </c>
      <c r="BV329" s="472">
        <f t="shared" ca="1" si="269"/>
        <v>0</v>
      </c>
      <c r="BW329" s="472"/>
      <c r="BX329" s="473">
        <f t="shared" ca="1" si="270"/>
        <v>232721.66804354</v>
      </c>
      <c r="BY329" s="473">
        <f t="shared" si="271"/>
        <v>0</v>
      </c>
      <c r="BZ329" s="473">
        <f t="shared" ref="BZ329:BZ392" ca="1" si="287">ROUND(BX329*IF(BO329=12,$BA329,$BB329),$CB$6)</f>
        <v>497.38678205899998</v>
      </c>
      <c r="CA329" s="476">
        <f t="shared" ca="1" si="272"/>
        <v>0</v>
      </c>
      <c r="CB329" s="494">
        <f ca="1">IF(OR($Q328&lt;&gt;1,OP!$D$5+$BN329-1&lt;16,$BN329-1&lt;1),0,ROUND(ROUND(ROUND(((VLOOKUP($BN329-1,MORE_PV,5,0)/10000)*VLOOKUP($BN329,MORE_PV,$CB$5,0)),3)*VLOOKUP($BN329,more1,5,0),0)/$R328,0))</f>
        <v>0</v>
      </c>
      <c r="CC329" s="473">
        <f t="shared" ca="1" si="273"/>
        <v>0</v>
      </c>
      <c r="CD329" s="477"/>
    </row>
    <row r="330" spans="2:82" ht="16.5" hidden="1">
      <c r="B330" s="80"/>
      <c r="C330" s="80"/>
      <c r="D330" s="80"/>
      <c r="E330" s="80"/>
      <c r="F330" s="80"/>
      <c r="G330" s="80"/>
      <c r="H330" s="80"/>
      <c r="I330" s="80"/>
      <c r="J330" s="192">
        <f t="shared" ref="J330:J393" si="288">IF(K329=12,J329+1,J329)</f>
        <v>27</v>
      </c>
      <c r="K330" s="192">
        <f t="shared" ref="K330:K393" si="289">IF(K329=12,1,K329+1)</f>
        <v>10</v>
      </c>
      <c r="L330" s="192" t="str">
        <f t="shared" si="284"/>
        <v/>
      </c>
      <c r="M330" s="216">
        <f t="shared" ref="M330:M393" ca="1" si="290">IF($Q330=1,VLOOKUP(L330,$BR$9:$BT$1341,3,0),0)</f>
        <v>0</v>
      </c>
      <c r="N330" s="216"/>
      <c r="O330" s="216"/>
      <c r="P330" s="216"/>
      <c r="Q330" s="456" t="str">
        <f t="shared" ref="Q330:Q393" ca="1" si="291">IF(OR($U330&gt;=$I$5,AND($G$5=1,$K330=12),AND($G$5=2,OR($K330=6,$K330=12)),AND($G$5=4,OR($K330=3,$K330=6,$K330=9,$K330=12)),$G$5=12),1,"")</f>
        <v/>
      </c>
      <c r="R330" s="450">
        <f t="shared" ref="R330:R393" ca="1" si="292">IF($U330&lt;$I$5,$G$5,$I$6)</f>
        <v>1</v>
      </c>
      <c r="S330" s="191">
        <f t="shared" ref="S330:S393" si="293">IF(T329=12,S329+1,S329)</f>
        <v>27</v>
      </c>
      <c r="T330" s="191">
        <f t="shared" ref="T330:T393" si="294">IF(T329=12,1,T329+1)</f>
        <v>10</v>
      </c>
      <c r="U330" s="191">
        <f ca="1">OP!$D$5+$S330-1</f>
        <v>59</v>
      </c>
      <c r="V330" s="191" t="str">
        <f t="shared" ref="V330:V393" si="295">IF($T330=12,$S330,"")</f>
        <v/>
      </c>
      <c r="W330" s="350">
        <f ca="1">IF(Q330&lt;&gt;1,0,VLOOKUP(OP!$C$55,PVFB,$S330+2,0))</f>
        <v>0</v>
      </c>
      <c r="X330" s="473">
        <f t="shared" ca="1" si="274"/>
        <v>0</v>
      </c>
      <c r="Y330" s="348">
        <f t="shared" ca="1" si="275"/>
        <v>0</v>
      </c>
      <c r="Z330" s="348">
        <f t="shared" ca="1" si="276"/>
        <v>8012</v>
      </c>
      <c r="AA330" s="348">
        <f ca="1">IF(Q330&lt;&gt;1,0,VLOOKUP(OP!$C$55,PVFB,$S330+2,0))</f>
        <v>0</v>
      </c>
      <c r="AB330" s="488" t="str">
        <f ca="1">IF(AND(S330&lt;OP!$C$24,$U330&lt;15),0,IF(AND($U330&lt;15,$T330=12),ROUND(VLOOKUP($S330,DOWN16,5,0),3),IF($T330=12,ROUND(($Z330/10000)*$AA330,3)+IF(AND($P$7="購買增額繳清保險",T330=12,U330=110),VLOOKUP(S330,$B$10:$H$121,7,0),0),"")))</f>
        <v/>
      </c>
      <c r="AC330" s="350" t="str">
        <f ca="1">IF(AND(S330&lt;OP!$C$24,$U330&lt;15),0,IF(AND($U330&lt;16,$T330=12),VLOOKUP($S330,DOWN16,4,0),IF($T330=12,ROUND(VLOOKUP(OP!$C$55,_DIE2,$S330+1,0)*(Z330/10000),0)+IF(AND($P$7="購買增額繳清保險",T330=12,U330=110),VLOOKUP(S330,$B$10:$H$121,7,0),0),"")))</f>
        <v/>
      </c>
      <c r="AD330" s="347"/>
      <c r="AE330" s="350" t="str">
        <f t="shared" ca="1" si="285"/>
        <v/>
      </c>
      <c r="AF330" s="351" t="str">
        <f t="shared" ca="1" si="286"/>
        <v/>
      </c>
      <c r="AG330" s="340"/>
      <c r="AH330" s="340"/>
      <c r="AI330" s="340"/>
      <c r="AJ330" s="340"/>
      <c r="AK330" s="340"/>
      <c r="AL330" s="340"/>
      <c r="AM330" s="340"/>
      <c r="AN330" s="340"/>
      <c r="AO330" s="340"/>
      <c r="AP330" s="340"/>
      <c r="AQ330" s="340"/>
      <c r="AR330" s="340"/>
      <c r="AS330" s="340"/>
      <c r="AT330" s="340"/>
      <c r="AU330" s="340"/>
      <c r="AV330" s="340"/>
      <c r="AY330" s="340"/>
      <c r="AZ330" s="465">
        <f t="shared" ref="AZ330:AZ393" ca="1" si="296">ROUND(($G$3*BF330/365),10)</f>
        <v>7.3698599999999999E-5</v>
      </c>
      <c r="BA330" s="464">
        <f t="shared" ref="BA330:BB393" ca="1" si="297">ROUND(($G$3*BG330/365),10)</f>
        <v>2.2109589000000002E-3</v>
      </c>
      <c r="BB330" s="465">
        <f t="shared" ca="1" si="297"/>
        <v>2.2846575E-3</v>
      </c>
      <c r="BC330" s="466">
        <f t="shared" ref="BC330:BC393" ca="1" si="298">DATE(YEAR(BD330),MONTH(BD330),1)</f>
        <v>52657</v>
      </c>
      <c r="BD330" s="467">
        <f t="shared" ca="1" si="277"/>
        <v>52658</v>
      </c>
      <c r="BE330" s="467">
        <f t="shared" ref="BE330:BE393" ca="1" si="299">DATE(YEAR(BD330),MONTH(BD330),DAY(DATE(YEAR(BD330),MONTH(BD330)+1,0)))</f>
        <v>52687</v>
      </c>
      <c r="BF330" s="468">
        <f ca="1">IF(計算!$BC330&lt;OP!$C$3,0,BD330-BC330)</f>
        <v>1</v>
      </c>
      <c r="BG330" s="468">
        <f ca="1">IF($BE330&gt;DATE(YEAR($BD$9)+OP!$C$57,MONTH($BD$9),DAY($BD$9)),0,$BE330-$BD330+1)</f>
        <v>30</v>
      </c>
      <c r="BH330" s="469">
        <f t="shared" ref="BH330:BH393" ca="1" si="300">BF330+BG330</f>
        <v>31</v>
      </c>
      <c r="BI330" t="str">
        <f t="shared" si="282"/>
        <v/>
      </c>
      <c r="BJ330">
        <v>9</v>
      </c>
      <c r="BN330" s="468">
        <f t="shared" si="278"/>
        <v>27</v>
      </c>
      <c r="BO330" s="468">
        <f t="shared" si="279"/>
        <v>9</v>
      </c>
      <c r="BP330" s="467">
        <f t="shared" ref="BP330:BP393" ca="1" si="301">BD330</f>
        <v>52658</v>
      </c>
      <c r="BQ330" s="475">
        <f t="shared" ca="1" si="281"/>
        <v>59</v>
      </c>
      <c r="BR330" s="475" t="str">
        <f t="shared" si="280"/>
        <v/>
      </c>
      <c r="BS330" s="471" t="str">
        <f t="shared" ref="BS330:BS393" si="302">IF(BW330&lt;&gt;"",ROUND(BU330,0)+ROUND(BV330,0),"")</f>
        <v/>
      </c>
      <c r="BT330" s="472" t="str">
        <f t="shared" si="283"/>
        <v/>
      </c>
      <c r="BU330" s="472">
        <f t="shared" ref="BU330:BV393" ca="1" si="303">ROUND(CA330,0)</f>
        <v>0</v>
      </c>
      <c r="BV330" s="472">
        <f t="shared" ca="1" si="303"/>
        <v>0</v>
      </c>
      <c r="BW330" s="472"/>
      <c r="BX330" s="473">
        <f t="shared" ref="BX330:BX393" ca="1" si="304">IF(BN330&lt;=$P$4,0,ROUNDDOWN(IF($Q329=1,CA330+CB330-CC330,0)+BX329+BY330+BZ329,VLOOKUP(LEN(ROUNDDOWN(IF($Q329=1,CA330+CB330-CC330,0)+BX329+BY330+BZ329,0)),$BK$9:$BL$24,2,0)))</f>
        <v>233219.05482559901</v>
      </c>
      <c r="BY330" s="473">
        <f t="shared" ref="BY330:BY393" si="305">IF(BO330=12,ROUND((BX329+BZ329)*$AZ330,$CB$6),0)</f>
        <v>0</v>
      </c>
      <c r="BZ330" s="473">
        <f t="shared" ca="1" si="287"/>
        <v>532.82566274999999</v>
      </c>
      <c r="CA330" s="476">
        <f t="shared" ref="CA330:CA393" ca="1" si="306">IF($Q329=1,ROUND(VLOOKUP($BN330,more1,3,0)*VLOOKUP($BN330,more1,5,0)/$R329,0),0)</f>
        <v>0</v>
      </c>
      <c r="CB330" s="494">
        <f ca="1">IF(OR($Q329&lt;&gt;1,OP!$D$5+$BN330-1&lt;16,$BN330-1&lt;1),0,ROUND(ROUND(ROUND(((VLOOKUP($BN330-1,MORE_PV,5,0)/10000)*VLOOKUP($BN330,MORE_PV,$CB$5,0)),3)*VLOOKUP($BN330,more1,5,0),0)/$R329,0))</f>
        <v>0</v>
      </c>
      <c r="CC330" s="473">
        <f t="shared" ref="CC330:CC393" ca="1" si="307">IF(AND($BN330=$P$4,$BO330=12),$CA330+$CB330,IF(AND($BN330&gt;$P$4,$Q329=1,$G$6="現金給付",$CA330+$CB330&gt;=$P$3),$CA330+$CB330,0))</f>
        <v>0</v>
      </c>
      <c r="CD330" s="477"/>
    </row>
    <row r="331" spans="2:82" ht="16.5" hidden="1">
      <c r="B331" s="80"/>
      <c r="C331" s="80"/>
      <c r="D331" s="80"/>
      <c r="E331" s="80"/>
      <c r="F331" s="80"/>
      <c r="G331" s="80"/>
      <c r="H331" s="80"/>
      <c r="I331" s="80"/>
      <c r="J331" s="192">
        <f t="shared" si="288"/>
        <v>27</v>
      </c>
      <c r="K331" s="192">
        <f t="shared" si="289"/>
        <v>11</v>
      </c>
      <c r="L331" s="192" t="str">
        <f t="shared" si="284"/>
        <v/>
      </c>
      <c r="M331" s="216">
        <f t="shared" ca="1" si="290"/>
        <v>0</v>
      </c>
      <c r="N331" s="216"/>
      <c r="O331" s="216"/>
      <c r="P331" s="216"/>
      <c r="Q331" s="456" t="str">
        <f t="shared" ca="1" si="291"/>
        <v/>
      </c>
      <c r="R331" s="450">
        <f t="shared" ca="1" si="292"/>
        <v>1</v>
      </c>
      <c r="S331" s="191">
        <f t="shared" si="293"/>
        <v>27</v>
      </c>
      <c r="T331" s="191">
        <f t="shared" si="294"/>
        <v>11</v>
      </c>
      <c r="U331" s="191">
        <f ca="1">OP!$D$5+$S331-1</f>
        <v>59</v>
      </c>
      <c r="V331" s="191" t="str">
        <f t="shared" si="295"/>
        <v/>
      </c>
      <c r="W331" s="350">
        <f ca="1">IF(Q331&lt;&gt;1,0,VLOOKUP(OP!$C$55,PVFB,$S331+2,0))</f>
        <v>0</v>
      </c>
      <c r="X331" s="473">
        <f t="shared" ref="X331:X394" ca="1" si="308">IF(AND($U331=15,$T331=12),$CO332,IF(AND($U331&gt;15,$S331&lt;=$P$4,$T331=12),($BS332)*$R331,IF($Q331=1,($BS332),0)))</f>
        <v>0</v>
      </c>
      <c r="Y331" s="348">
        <f t="shared" ref="Y331:Y394" ca="1" si="309">IF(AND($P$7="購買增額繳清保險",U331&gt;=110),0,IF(AND($U331=15,$W331&lt;&gt;0,$T331=12),ROUND(($X331)/($W331/10000),0),IF(AND($S331&lt;=$P$4,$W331&lt;&gt;0,$T331=12,$U331&gt;15),ROUND(($X331)/($W331/10000),0),0)))</f>
        <v>0</v>
      </c>
      <c r="Z331" s="348">
        <f t="shared" ref="Z331:Z394" ca="1" si="310">Z330+Y331</f>
        <v>8012</v>
      </c>
      <c r="AA331" s="348">
        <f ca="1">IF(Q331&lt;&gt;1,0,VLOOKUP(OP!$C$55,PVFB,$S331+2,0))</f>
        <v>0</v>
      </c>
      <c r="AB331" s="488" t="str">
        <f ca="1">IF(AND(S331&lt;OP!$C$24,$U331&lt;15),0,IF(AND($U331&lt;15,$T331=12),ROUND(VLOOKUP($S331,DOWN16,5,0),3),IF($T331=12,ROUND(($Z331/10000)*$AA331,3)+IF(AND($P$7="購買增額繳清保險",T331=12,U331=110),VLOOKUP(S331,$B$10:$H$121,7,0),0),"")))</f>
        <v/>
      </c>
      <c r="AC331" s="350" t="str">
        <f ca="1">IF(AND(S331&lt;OP!$C$24,$U331&lt;15),0,IF(AND($U331&lt;16,$T331=12),VLOOKUP($S331,DOWN16,4,0),IF($T331=12,ROUND(VLOOKUP(OP!$C$55,_DIE2,$S331+1,0)*(Z331/10000),0)+IF(AND($P$7="購買增額繳清保險",T331=12,U331=110),VLOOKUP(S331,$B$10:$H$121,7,0),0),"")))</f>
        <v/>
      </c>
      <c r="AD331" s="347"/>
      <c r="AE331" s="350" t="str">
        <f t="shared" ca="1" si="285"/>
        <v/>
      </c>
      <c r="AF331" s="351" t="str">
        <f t="shared" ca="1" si="286"/>
        <v/>
      </c>
      <c r="AG331" s="340"/>
      <c r="AH331" s="340"/>
      <c r="AI331" s="340"/>
      <c r="AJ331" s="340"/>
      <c r="AK331" s="340"/>
      <c r="AL331" s="340"/>
      <c r="AM331" s="340"/>
      <c r="AN331" s="340"/>
      <c r="AO331" s="340"/>
      <c r="AP331" s="340"/>
      <c r="AQ331" s="340"/>
      <c r="AR331" s="340"/>
      <c r="AS331" s="340"/>
      <c r="AT331" s="340"/>
      <c r="AU331" s="340"/>
      <c r="AV331" s="340"/>
      <c r="AY331" s="340"/>
      <c r="AZ331" s="465">
        <f t="shared" ca="1" si="296"/>
        <v>7.3698599999999999E-5</v>
      </c>
      <c r="BA331" s="464">
        <f t="shared" ca="1" si="297"/>
        <v>2.1372602999999999E-3</v>
      </c>
      <c r="BB331" s="465">
        <f t="shared" ca="1" si="297"/>
        <v>2.2109589000000002E-3</v>
      </c>
      <c r="BC331" s="466">
        <f t="shared" ca="1" si="298"/>
        <v>52688</v>
      </c>
      <c r="BD331" s="467">
        <f t="shared" ref="BD331:BD394" ca="1" si="311">DATE(YEAR(BD330),MONTH(BD330)+1,MIN(DAY($BD$9),DAY(DATE(YEAR(BD330),MONTH(BD330)+2,0))))</f>
        <v>52689</v>
      </c>
      <c r="BE331" s="467">
        <f t="shared" ca="1" si="299"/>
        <v>52717</v>
      </c>
      <c r="BF331" s="468">
        <f ca="1">IF(計算!$BC331&lt;OP!$C$3,0,BD331-BC331)</f>
        <v>1</v>
      </c>
      <c r="BG331" s="468">
        <f ca="1">IF($BE331&gt;DATE(YEAR($BD$9)+OP!$C$57,MONTH($BD$9),DAY($BD$9)),0,$BE331-$BD331+1)</f>
        <v>29</v>
      </c>
      <c r="BH331" s="469">
        <f t="shared" ca="1" si="300"/>
        <v>30</v>
      </c>
      <c r="BI331" t="str">
        <f t="shared" si="282"/>
        <v/>
      </c>
      <c r="BJ331">
        <v>10</v>
      </c>
      <c r="BN331" s="468">
        <f t="shared" ref="BN331:BN394" si="312">IF(BO330=12,BN330+1,BN330)</f>
        <v>27</v>
      </c>
      <c r="BO331" s="468">
        <f t="shared" ref="BO331:BO394" si="313">IF(BO330=12,1,BO330+1)</f>
        <v>10</v>
      </c>
      <c r="BP331" s="467">
        <f t="shared" ca="1" si="301"/>
        <v>52689</v>
      </c>
      <c r="BQ331" s="475">
        <f t="shared" ca="1" si="281"/>
        <v>59</v>
      </c>
      <c r="BR331" s="475" t="str">
        <f t="shared" ref="BR331:BR394" si="314">IF(BO331=12,BN331,"")</f>
        <v/>
      </c>
      <c r="BS331" s="471" t="str">
        <f t="shared" si="302"/>
        <v/>
      </c>
      <c r="BT331" s="472" t="str">
        <f t="shared" si="283"/>
        <v/>
      </c>
      <c r="BU331" s="472">
        <f t="shared" ca="1" si="303"/>
        <v>0</v>
      </c>
      <c r="BV331" s="472">
        <f t="shared" ca="1" si="303"/>
        <v>0</v>
      </c>
      <c r="BW331" s="472"/>
      <c r="BX331" s="473">
        <f t="shared" ca="1" si="304"/>
        <v>233751.88048834901</v>
      </c>
      <c r="BY331" s="473">
        <f t="shared" si="305"/>
        <v>0</v>
      </c>
      <c r="BZ331" s="473">
        <f t="shared" ca="1" si="287"/>
        <v>516.81580055699999</v>
      </c>
      <c r="CA331" s="476">
        <f t="shared" ca="1" si="306"/>
        <v>0</v>
      </c>
      <c r="CB331" s="494">
        <f ca="1">IF(OR($Q330&lt;&gt;1,OP!$D$5+$BN331-1&lt;16,$BN331-1&lt;1),0,ROUND(ROUND(ROUND(((VLOOKUP($BN331-1,MORE_PV,5,0)/10000)*VLOOKUP($BN331,MORE_PV,$CB$5,0)),3)*VLOOKUP($BN331,more1,5,0),0)/$R330,0))</f>
        <v>0</v>
      </c>
      <c r="CC331" s="473">
        <f t="shared" ca="1" si="307"/>
        <v>0</v>
      </c>
      <c r="CD331" s="477"/>
    </row>
    <row r="332" spans="2:82" ht="16.5" hidden="1">
      <c r="B332" s="80"/>
      <c r="C332" s="80"/>
      <c r="D332" s="80"/>
      <c r="E332" s="80"/>
      <c r="F332" s="80"/>
      <c r="G332" s="80"/>
      <c r="H332" s="80"/>
      <c r="I332" s="80"/>
      <c r="J332" s="192">
        <f t="shared" si="288"/>
        <v>27</v>
      </c>
      <c r="K332" s="192">
        <f t="shared" si="289"/>
        <v>12</v>
      </c>
      <c r="L332" s="192">
        <f t="shared" si="284"/>
        <v>27</v>
      </c>
      <c r="M332" s="216">
        <f t="shared" ca="1" si="290"/>
        <v>245712</v>
      </c>
      <c r="N332" s="216"/>
      <c r="O332" s="216"/>
      <c r="P332" s="216"/>
      <c r="Q332" s="456">
        <f t="shared" ca="1" si="291"/>
        <v>1</v>
      </c>
      <c r="R332" s="450">
        <f t="shared" ca="1" si="292"/>
        <v>1</v>
      </c>
      <c r="S332" s="191">
        <f t="shared" si="293"/>
        <v>27</v>
      </c>
      <c r="T332" s="191">
        <f t="shared" si="294"/>
        <v>12</v>
      </c>
      <c r="U332" s="191">
        <f ca="1">OP!$D$5+$S332-1</f>
        <v>59</v>
      </c>
      <c r="V332" s="191">
        <f t="shared" si="295"/>
        <v>27</v>
      </c>
      <c r="W332" s="350">
        <f ca="1">IF(Q332&lt;&gt;1,0,VLOOKUP(OP!$C$55,PVFB,$S332+2,0))</f>
        <v>45348</v>
      </c>
      <c r="X332" s="473">
        <f t="shared" ca="1" si="308"/>
        <v>10890</v>
      </c>
      <c r="Y332" s="348">
        <f t="shared" ca="1" si="309"/>
        <v>0</v>
      </c>
      <c r="Z332" s="348">
        <f t="shared" ca="1" si="310"/>
        <v>8012</v>
      </c>
      <c r="AA332" s="348">
        <f ca="1">IF(Q332&lt;&gt;1,0,VLOOKUP(OP!$C$55,PVFB,$S332+2,0))</f>
        <v>45348</v>
      </c>
      <c r="AB332" s="488">
        <f ca="1">IF(AND(S332&lt;OP!$C$24,$U332&lt;15),0,IF(AND($U332&lt;15,$T332=12),ROUND(VLOOKUP($S332,DOWN16,5,0),3),IF($T332=12,ROUND(($Z332/10000)*$AA332,3)+IF(AND($P$7="購買增額繳清保險",T332=12,U332=110),VLOOKUP(S332,$B$10:$H$121,7,0),0),"")))</f>
        <v>36332.817999999999</v>
      </c>
      <c r="AC332" s="350">
        <f ca="1">IF(AND(S332&lt;OP!$C$24,$U332&lt;15),0,IF(AND($U332&lt;16,$T332=12),VLOOKUP($S332,DOWN16,4,0),IF($T332=12,ROUND(VLOOKUP(OP!$C$55,_DIE2,$S332+1,0)*(Z332/10000),0)+IF(AND($P$7="購買增額繳清保險",T332=12,U332=110),VLOOKUP(S332,$B$10:$H$121,7,0),0),"")))</f>
        <v>36333</v>
      </c>
      <c r="AD332" s="347"/>
      <c r="AE332" s="350" t="str">
        <f t="shared" ca="1" si="285"/>
        <v/>
      </c>
      <c r="AF332" s="351" t="str">
        <f t="shared" ca="1" si="286"/>
        <v/>
      </c>
      <c r="AG332" s="340"/>
      <c r="AH332" s="340"/>
      <c r="AI332" s="340"/>
      <c r="AJ332" s="340"/>
      <c r="AK332" s="340"/>
      <c r="AL332" s="340"/>
      <c r="AM332" s="340"/>
      <c r="AN332" s="340"/>
      <c r="AO332" s="340"/>
      <c r="AP332" s="340"/>
      <c r="AQ332" s="340"/>
      <c r="AR332" s="340"/>
      <c r="AS332" s="340"/>
      <c r="AT332" s="340"/>
      <c r="AU332" s="340"/>
      <c r="AV332" s="340"/>
      <c r="AY332" s="340"/>
      <c r="AZ332" s="465">
        <f t="shared" ca="1" si="296"/>
        <v>7.3698599999999999E-5</v>
      </c>
      <c r="BA332" s="464">
        <f t="shared" ca="1" si="297"/>
        <v>2.2109589000000002E-3</v>
      </c>
      <c r="BB332" s="465">
        <f t="shared" ca="1" si="297"/>
        <v>2.2846575E-3</v>
      </c>
      <c r="BC332" s="466">
        <f t="shared" ca="1" si="298"/>
        <v>52718</v>
      </c>
      <c r="BD332" s="467">
        <f t="shared" ca="1" si="311"/>
        <v>52719</v>
      </c>
      <c r="BE332" s="467">
        <f t="shared" ca="1" si="299"/>
        <v>52748</v>
      </c>
      <c r="BF332" s="468">
        <f ca="1">IF(計算!$BC332&lt;OP!$C$3,0,BD332-BC332)</f>
        <v>1</v>
      </c>
      <c r="BG332" s="468">
        <f ca="1">IF($BE332&gt;DATE(YEAR($BD$9)+OP!$C$57,MONTH($BD$9),DAY($BD$9)),0,$BE332-$BD332+1)</f>
        <v>30</v>
      </c>
      <c r="BH332" s="469">
        <f t="shared" ca="1" si="300"/>
        <v>31</v>
      </c>
      <c r="BI332" t="str">
        <f t="shared" si="282"/>
        <v/>
      </c>
      <c r="BJ332">
        <v>11</v>
      </c>
      <c r="BN332" s="468">
        <f t="shared" si="312"/>
        <v>27</v>
      </c>
      <c r="BO332" s="468">
        <f t="shared" si="313"/>
        <v>11</v>
      </c>
      <c r="BP332" s="467">
        <f t="shared" ca="1" si="301"/>
        <v>52719</v>
      </c>
      <c r="BQ332" s="475">
        <f t="shared" ref="BQ332:BQ395" ca="1" si="315">IF(BO331=12,BQ331+1,BQ331)</f>
        <v>59</v>
      </c>
      <c r="BR332" s="475" t="str">
        <f t="shared" si="314"/>
        <v/>
      </c>
      <c r="BS332" s="471" t="str">
        <f t="shared" si="302"/>
        <v/>
      </c>
      <c r="BT332" s="472" t="str">
        <f t="shared" si="283"/>
        <v/>
      </c>
      <c r="BU332" s="472">
        <f t="shared" ca="1" si="303"/>
        <v>0</v>
      </c>
      <c r="BV332" s="472">
        <f t="shared" ca="1" si="303"/>
        <v>0</v>
      </c>
      <c r="BW332" s="472"/>
      <c r="BX332" s="473">
        <f t="shared" ca="1" si="304"/>
        <v>234268.69628890601</v>
      </c>
      <c r="BY332" s="473">
        <f t="shared" si="305"/>
        <v>0</v>
      </c>
      <c r="BZ332" s="473">
        <f t="shared" ca="1" si="287"/>
        <v>535.22373399200001</v>
      </c>
      <c r="CA332" s="476">
        <f t="shared" ca="1" si="306"/>
        <v>0</v>
      </c>
      <c r="CB332" s="494">
        <f ca="1">IF(OR($Q331&lt;&gt;1,OP!$D$5+$BN332-1&lt;16,$BN332-1&lt;1),0,ROUND(ROUND(ROUND(((VLOOKUP($BN332-1,MORE_PV,5,0)/10000)*VLOOKUP($BN332,MORE_PV,$CB$5,0)),3)*VLOOKUP($BN332,more1,5,0),0)/$R331,0))</f>
        <v>0</v>
      </c>
      <c r="CC332" s="473">
        <f t="shared" ca="1" si="307"/>
        <v>0</v>
      </c>
      <c r="CD332" s="477"/>
    </row>
    <row r="333" spans="2:82" ht="16.5" hidden="1">
      <c r="B333" s="80"/>
      <c r="C333" s="80"/>
      <c r="D333" s="80"/>
      <c r="E333" s="80"/>
      <c r="F333" s="80"/>
      <c r="G333" s="80"/>
      <c r="H333" s="80"/>
      <c r="I333" s="80"/>
      <c r="J333" s="192">
        <f t="shared" si="288"/>
        <v>28</v>
      </c>
      <c r="K333" s="192">
        <f t="shared" si="289"/>
        <v>1</v>
      </c>
      <c r="L333" s="192" t="str">
        <f t="shared" si="284"/>
        <v/>
      </c>
      <c r="M333" s="216">
        <f t="shared" ca="1" si="290"/>
        <v>0</v>
      </c>
      <c r="N333" s="216"/>
      <c r="O333" s="216"/>
      <c r="P333" s="216"/>
      <c r="Q333" s="456" t="str">
        <f t="shared" ca="1" si="291"/>
        <v/>
      </c>
      <c r="R333" s="450">
        <f t="shared" ca="1" si="292"/>
        <v>1</v>
      </c>
      <c r="S333" s="191">
        <f t="shared" si="293"/>
        <v>28</v>
      </c>
      <c r="T333" s="191">
        <f t="shared" si="294"/>
        <v>1</v>
      </c>
      <c r="U333" s="191">
        <f ca="1">OP!$D$5+$S333-1</f>
        <v>60</v>
      </c>
      <c r="V333" s="191" t="str">
        <f t="shared" si="295"/>
        <v/>
      </c>
      <c r="W333" s="350">
        <f ca="1">IF(Q333&lt;&gt;1,0,VLOOKUP(OP!$C$55,PVFB,$S333+2,0))</f>
        <v>0</v>
      </c>
      <c r="X333" s="473">
        <f t="shared" ca="1" si="308"/>
        <v>0</v>
      </c>
      <c r="Y333" s="348">
        <f t="shared" ca="1" si="309"/>
        <v>0</v>
      </c>
      <c r="Z333" s="348">
        <f t="shared" ca="1" si="310"/>
        <v>8012</v>
      </c>
      <c r="AA333" s="348">
        <f ca="1">IF(Q333&lt;&gt;1,0,VLOOKUP(OP!$C$55,PVFB,$S333+2,0))</f>
        <v>0</v>
      </c>
      <c r="AB333" s="488" t="str">
        <f ca="1">IF(AND(S333&lt;OP!$C$24,$U333&lt;15),0,IF(AND($U333&lt;15,$T333=12),ROUND(VLOOKUP($S333,DOWN16,5,0),3),IF($T333=12,ROUND(($Z333/10000)*$AA333,3)+IF(AND($P$7="購買增額繳清保險",T333=12,U333=110),VLOOKUP(S333,$B$10:$H$121,7,0),0),"")))</f>
        <v/>
      </c>
      <c r="AC333" s="350" t="str">
        <f ca="1">IF(AND(S333&lt;OP!$C$24,$U333&lt;15),0,IF(AND($U333&lt;16,$T333=12),VLOOKUP($S333,DOWN16,4,0),IF($T333=12,ROUND(VLOOKUP(OP!$C$55,_DIE2,$S333+1,0)*(Z333/10000),0)+IF(AND($P$7="購買增額繳清保險",T333=12,U333=110),VLOOKUP(S333,$B$10:$H$121,7,0),0),"")))</f>
        <v/>
      </c>
      <c r="AD333" s="347"/>
      <c r="AE333" s="350" t="str">
        <f t="shared" ca="1" si="285"/>
        <v/>
      </c>
      <c r="AF333" s="351" t="str">
        <f t="shared" ca="1" si="286"/>
        <v/>
      </c>
      <c r="AG333" s="340"/>
      <c r="AH333" s="340"/>
      <c r="AI333" s="340"/>
      <c r="AJ333" s="340"/>
      <c r="AK333" s="340"/>
      <c r="AL333" s="340"/>
      <c r="AM333" s="340"/>
      <c r="AN333" s="340"/>
      <c r="AO333" s="340"/>
      <c r="AP333" s="340"/>
      <c r="AQ333" s="340"/>
      <c r="AR333" s="340"/>
      <c r="AS333" s="340"/>
      <c r="AT333" s="340"/>
      <c r="AU333" s="340"/>
      <c r="AV333" s="340"/>
      <c r="AY333" s="340"/>
      <c r="AZ333" s="465">
        <f t="shared" ca="1" si="296"/>
        <v>7.3698599999999999E-5</v>
      </c>
      <c r="BA333" s="464">
        <f t="shared" ca="1" si="297"/>
        <v>2.1372602999999999E-3</v>
      </c>
      <c r="BB333" s="465">
        <f t="shared" ca="1" si="297"/>
        <v>2.2109589000000002E-3</v>
      </c>
      <c r="BC333" s="466">
        <f t="shared" ca="1" si="298"/>
        <v>52749</v>
      </c>
      <c r="BD333" s="467">
        <f t="shared" ca="1" si="311"/>
        <v>52750</v>
      </c>
      <c r="BE333" s="467">
        <f t="shared" ca="1" si="299"/>
        <v>52778</v>
      </c>
      <c r="BF333" s="468">
        <f ca="1">IF(計算!$BC333&lt;OP!$C$3,0,BD333-BC333)</f>
        <v>1</v>
      </c>
      <c r="BG333" s="468">
        <f ca="1">IF($BE333&gt;DATE(YEAR($BD$9)+OP!$C$57,MONTH($BD$9),DAY($BD$9)),0,$BE333-$BD333+1)</f>
        <v>29</v>
      </c>
      <c r="BH333" s="469">
        <f t="shared" ca="1" si="300"/>
        <v>30</v>
      </c>
      <c r="BI333">
        <f t="shared" ca="1" si="282"/>
        <v>366</v>
      </c>
      <c r="BJ333">
        <v>12</v>
      </c>
      <c r="BN333" s="468">
        <f t="shared" si="312"/>
        <v>27</v>
      </c>
      <c r="BO333" s="468">
        <f t="shared" si="313"/>
        <v>12</v>
      </c>
      <c r="BP333" s="467">
        <f t="shared" ca="1" si="301"/>
        <v>52750</v>
      </c>
      <c r="BQ333" s="475">
        <f t="shared" ca="1" si="315"/>
        <v>59</v>
      </c>
      <c r="BR333" s="475">
        <f t="shared" si="314"/>
        <v>27</v>
      </c>
      <c r="BS333" s="471">
        <f t="shared" ca="1" si="302"/>
        <v>10890</v>
      </c>
      <c r="BT333" s="472">
        <f t="shared" ca="1" si="283"/>
        <v>245712</v>
      </c>
      <c r="BU333" s="472">
        <f t="shared" ca="1" si="303"/>
        <v>10639</v>
      </c>
      <c r="BV333" s="472">
        <f t="shared" ca="1" si="303"/>
        <v>251</v>
      </c>
      <c r="BW333" s="472">
        <f ca="1">ROUND(SUM(BY333,BZ321:BZ332),0)</f>
        <v>6242</v>
      </c>
      <c r="BX333" s="473">
        <f t="shared" ca="1" si="304"/>
        <v>245711.224743078</v>
      </c>
      <c r="BY333" s="473">
        <f t="shared" ca="1" si="305"/>
        <v>17.30472018</v>
      </c>
      <c r="BZ333" s="473">
        <f t="shared" ca="1" si="287"/>
        <v>525.148845908</v>
      </c>
      <c r="CA333" s="476">
        <f t="shared" ca="1" si="306"/>
        <v>10639</v>
      </c>
      <c r="CB333" s="494">
        <f ca="1">IF(OR($Q332&lt;&gt;1,OP!$D$5+$BN333-1&lt;16,$BN333-1&lt;1),0,ROUND(ROUND(ROUND(((VLOOKUP($BN333-1,MORE_PV,5,0)/10000)*VLOOKUP($BN333,MORE_PV,$CB$5,0)),3)*VLOOKUP($BN333,more1,5,0),0)/$R332,0))</f>
        <v>251</v>
      </c>
      <c r="CC333" s="473">
        <f t="shared" ca="1" si="307"/>
        <v>0</v>
      </c>
      <c r="CD333" s="477"/>
    </row>
    <row r="334" spans="2:82" ht="16.5" hidden="1">
      <c r="B334" s="80"/>
      <c r="C334" s="80"/>
      <c r="D334" s="80"/>
      <c r="E334" s="80"/>
      <c r="F334" s="80"/>
      <c r="G334" s="80"/>
      <c r="H334" s="80"/>
      <c r="I334" s="80"/>
      <c r="J334" s="192">
        <f t="shared" si="288"/>
        <v>28</v>
      </c>
      <c r="K334" s="192">
        <f t="shared" si="289"/>
        <v>2</v>
      </c>
      <c r="L334" s="192" t="str">
        <f t="shared" si="284"/>
        <v/>
      </c>
      <c r="M334" s="216">
        <f t="shared" ca="1" si="290"/>
        <v>0</v>
      </c>
      <c r="N334" s="216"/>
      <c r="O334" s="216"/>
      <c r="P334" s="216"/>
      <c r="Q334" s="456" t="str">
        <f t="shared" ca="1" si="291"/>
        <v/>
      </c>
      <c r="R334" s="450">
        <f t="shared" ca="1" si="292"/>
        <v>1</v>
      </c>
      <c r="S334" s="191">
        <f t="shared" si="293"/>
        <v>28</v>
      </c>
      <c r="T334" s="191">
        <f t="shared" si="294"/>
        <v>2</v>
      </c>
      <c r="U334" s="191">
        <f ca="1">OP!$D$5+$S334-1</f>
        <v>60</v>
      </c>
      <c r="V334" s="191" t="str">
        <f t="shared" si="295"/>
        <v/>
      </c>
      <c r="W334" s="350">
        <f ca="1">IF(Q334&lt;&gt;1,0,VLOOKUP(OP!$C$55,PVFB,$S334+2,0))</f>
        <v>0</v>
      </c>
      <c r="X334" s="473">
        <f t="shared" ca="1" si="308"/>
        <v>0</v>
      </c>
      <c r="Y334" s="348">
        <f t="shared" ca="1" si="309"/>
        <v>0</v>
      </c>
      <c r="Z334" s="348">
        <f t="shared" ca="1" si="310"/>
        <v>8012</v>
      </c>
      <c r="AA334" s="348">
        <f ca="1">IF(Q334&lt;&gt;1,0,VLOOKUP(OP!$C$55,PVFB,$S334+2,0))</f>
        <v>0</v>
      </c>
      <c r="AB334" s="488" t="str">
        <f ca="1">IF(AND(S334&lt;OP!$C$24,$U334&lt;15),0,IF(AND($U334&lt;15,$T334=12),ROUND(VLOOKUP($S334,DOWN16,5,0),3),IF($T334=12,ROUND(($Z334/10000)*$AA334,3)+IF(AND($P$7="購買增額繳清保險",T334=12,U334=110),VLOOKUP(S334,$B$10:$H$121,7,0),0),"")))</f>
        <v/>
      </c>
      <c r="AC334" s="350" t="str">
        <f ca="1">IF(AND(S334&lt;OP!$C$24,$U334&lt;15),0,IF(AND($U334&lt;16,$T334=12),VLOOKUP($S334,DOWN16,4,0),IF($T334=12,ROUND(VLOOKUP(OP!$C$55,_DIE2,$S334+1,0)*(Z334/10000),0)+IF(AND($P$7="購買增額繳清保險",T334=12,U334=110),VLOOKUP(S334,$B$10:$H$121,7,0),0),"")))</f>
        <v/>
      </c>
      <c r="AD334" s="347"/>
      <c r="AE334" s="350" t="str">
        <f t="shared" ca="1" si="285"/>
        <v/>
      </c>
      <c r="AF334" s="351" t="str">
        <f t="shared" ca="1" si="286"/>
        <v/>
      </c>
      <c r="AG334" s="340"/>
      <c r="AH334" s="340"/>
      <c r="AI334" s="340"/>
      <c r="AJ334" s="340"/>
      <c r="AK334" s="340"/>
      <c r="AL334" s="340"/>
      <c r="AM334" s="340"/>
      <c r="AN334" s="340"/>
      <c r="AO334" s="340"/>
      <c r="AP334" s="340"/>
      <c r="AQ334" s="340"/>
      <c r="AR334" s="340"/>
      <c r="AS334" s="340"/>
      <c r="AT334" s="340"/>
      <c r="AU334" s="340"/>
      <c r="AV334" s="340"/>
      <c r="AY334" s="340"/>
      <c r="AZ334" s="465">
        <f t="shared" ca="1" si="296"/>
        <v>7.3698599999999999E-5</v>
      </c>
      <c r="BA334" s="464">
        <f t="shared" ca="1" si="297"/>
        <v>2.2109589000000002E-3</v>
      </c>
      <c r="BB334" s="465">
        <f t="shared" ca="1" si="297"/>
        <v>2.2846575E-3</v>
      </c>
      <c r="BC334" s="466">
        <f t="shared" ca="1" si="298"/>
        <v>52779</v>
      </c>
      <c r="BD334" s="467">
        <f t="shared" ca="1" si="311"/>
        <v>52780</v>
      </c>
      <c r="BE334" s="467">
        <f t="shared" ca="1" si="299"/>
        <v>52809</v>
      </c>
      <c r="BF334" s="468">
        <f ca="1">IF(計算!$BC334&lt;OP!$C$3,0,BD334-BC334)</f>
        <v>1</v>
      </c>
      <c r="BG334" s="468">
        <f ca="1">IF($BE334&gt;DATE(YEAR($BD$9)+OP!$C$57,MONTH($BD$9),DAY($BD$9)),0,$BE334-$BD334+1)</f>
        <v>30</v>
      </c>
      <c r="BH334" s="469">
        <f t="shared" ca="1" si="300"/>
        <v>31</v>
      </c>
      <c r="BI334" t="str">
        <f t="shared" si="282"/>
        <v/>
      </c>
      <c r="BJ334">
        <v>1</v>
      </c>
      <c r="BN334" s="468">
        <f t="shared" si="312"/>
        <v>28</v>
      </c>
      <c r="BO334" s="468">
        <f t="shared" si="313"/>
        <v>1</v>
      </c>
      <c r="BP334" s="467">
        <f t="shared" ca="1" si="301"/>
        <v>52780</v>
      </c>
      <c r="BQ334" s="475">
        <f t="shared" ca="1" si="315"/>
        <v>60</v>
      </c>
      <c r="BR334" s="475" t="str">
        <f t="shared" si="314"/>
        <v/>
      </c>
      <c r="BS334" s="471" t="str">
        <f t="shared" si="302"/>
        <v/>
      </c>
      <c r="BT334" s="472" t="str">
        <f t="shared" si="283"/>
        <v/>
      </c>
      <c r="BU334" s="472">
        <f t="shared" ca="1" si="303"/>
        <v>0</v>
      </c>
      <c r="BV334" s="472">
        <f t="shared" ca="1" si="303"/>
        <v>0</v>
      </c>
      <c r="BW334" s="472"/>
      <c r="BX334" s="473">
        <f t="shared" ca="1" si="304"/>
        <v>246236.373588986</v>
      </c>
      <c r="BY334" s="473">
        <f t="shared" si="305"/>
        <v>0</v>
      </c>
      <c r="BZ334" s="473">
        <f t="shared" ca="1" si="287"/>
        <v>562.56577769299997</v>
      </c>
      <c r="CA334" s="476">
        <f t="shared" ca="1" si="306"/>
        <v>0</v>
      </c>
      <c r="CB334" s="494">
        <f ca="1">IF(OR($Q333&lt;&gt;1,OP!$D$5+$BN334-1&lt;16,$BN334-1&lt;1),0,ROUND(ROUND(ROUND(((VLOOKUP($BN334-1,MORE_PV,5,0)/10000)*VLOOKUP($BN334,MORE_PV,$CB$5,0)),3)*VLOOKUP($BN334,more1,5,0),0)/$R333,0))</f>
        <v>0</v>
      </c>
      <c r="CC334" s="473">
        <f t="shared" ca="1" si="307"/>
        <v>0</v>
      </c>
      <c r="CD334" s="477"/>
    </row>
    <row r="335" spans="2:82" ht="16.5" hidden="1">
      <c r="B335" s="80"/>
      <c r="C335" s="80"/>
      <c r="D335" s="80"/>
      <c r="E335" s="80"/>
      <c r="F335" s="80"/>
      <c r="G335" s="80"/>
      <c r="H335" s="80"/>
      <c r="I335" s="80"/>
      <c r="J335" s="192">
        <f t="shared" si="288"/>
        <v>28</v>
      </c>
      <c r="K335" s="192">
        <f t="shared" si="289"/>
        <v>3</v>
      </c>
      <c r="L335" s="192" t="str">
        <f t="shared" si="284"/>
        <v/>
      </c>
      <c r="M335" s="216">
        <f t="shared" ca="1" si="290"/>
        <v>0</v>
      </c>
      <c r="N335" s="216"/>
      <c r="O335" s="216"/>
      <c r="P335" s="216"/>
      <c r="Q335" s="456" t="str">
        <f t="shared" ca="1" si="291"/>
        <v/>
      </c>
      <c r="R335" s="450">
        <f t="shared" ca="1" si="292"/>
        <v>1</v>
      </c>
      <c r="S335" s="191">
        <f t="shared" si="293"/>
        <v>28</v>
      </c>
      <c r="T335" s="191">
        <f t="shared" si="294"/>
        <v>3</v>
      </c>
      <c r="U335" s="191">
        <f ca="1">OP!$D$5+$S335-1</f>
        <v>60</v>
      </c>
      <c r="V335" s="191" t="str">
        <f t="shared" si="295"/>
        <v/>
      </c>
      <c r="W335" s="350">
        <f ca="1">IF(Q335&lt;&gt;1,0,VLOOKUP(OP!$C$55,PVFB,$S335+2,0))</f>
        <v>0</v>
      </c>
      <c r="X335" s="473">
        <f t="shared" ca="1" si="308"/>
        <v>0</v>
      </c>
      <c r="Y335" s="348">
        <f t="shared" ca="1" si="309"/>
        <v>0</v>
      </c>
      <c r="Z335" s="348">
        <f t="shared" ca="1" si="310"/>
        <v>8012</v>
      </c>
      <c r="AA335" s="348">
        <f ca="1">IF(Q335&lt;&gt;1,0,VLOOKUP(OP!$C$55,PVFB,$S335+2,0))</f>
        <v>0</v>
      </c>
      <c r="AB335" s="488" t="str">
        <f ca="1">IF(AND(S335&lt;OP!$C$24,$U335&lt;15),0,IF(AND($U335&lt;15,$T335=12),ROUND(VLOOKUP($S335,DOWN16,5,0),3),IF($T335=12,ROUND(($Z335/10000)*$AA335,3)+IF(AND($P$7="購買增額繳清保險",T335=12,U335=110),VLOOKUP(S335,$B$10:$H$121,7,0),0),"")))</f>
        <v/>
      </c>
      <c r="AC335" s="350" t="str">
        <f ca="1">IF(AND(S335&lt;OP!$C$24,$U335&lt;15),0,IF(AND($U335&lt;16,$T335=12),VLOOKUP($S335,DOWN16,4,0),IF($T335=12,ROUND(VLOOKUP(OP!$C$55,_DIE2,$S335+1,0)*(Z335/10000),0)+IF(AND($P$7="購買增額繳清保險",T335=12,U335=110),VLOOKUP(S335,$B$10:$H$121,7,0),0),"")))</f>
        <v/>
      </c>
      <c r="AD335" s="347"/>
      <c r="AE335" s="350" t="str">
        <f t="shared" ca="1" si="285"/>
        <v/>
      </c>
      <c r="AF335" s="351" t="str">
        <f t="shared" ca="1" si="286"/>
        <v/>
      </c>
      <c r="AG335" s="340"/>
      <c r="AH335" s="340"/>
      <c r="AI335" s="340"/>
      <c r="AJ335" s="340"/>
      <c r="AK335" s="340"/>
      <c r="AL335" s="340"/>
      <c r="AM335" s="340"/>
      <c r="AN335" s="340"/>
      <c r="AO335" s="340"/>
      <c r="AP335" s="340"/>
      <c r="AQ335" s="340"/>
      <c r="AR335" s="340"/>
      <c r="AS335" s="340"/>
      <c r="AT335" s="340"/>
      <c r="AU335" s="340"/>
      <c r="AV335" s="340"/>
      <c r="AY335" s="340"/>
      <c r="AZ335" s="465">
        <f t="shared" ca="1" si="296"/>
        <v>7.3698599999999999E-5</v>
      </c>
      <c r="BA335" s="464">
        <f t="shared" ca="1" si="297"/>
        <v>2.2109589000000002E-3</v>
      </c>
      <c r="BB335" s="465">
        <f t="shared" ca="1" si="297"/>
        <v>2.2846575E-3</v>
      </c>
      <c r="BC335" s="466">
        <f t="shared" ca="1" si="298"/>
        <v>52810</v>
      </c>
      <c r="BD335" s="467">
        <f t="shared" ca="1" si="311"/>
        <v>52811</v>
      </c>
      <c r="BE335" s="467">
        <f t="shared" ca="1" si="299"/>
        <v>52840</v>
      </c>
      <c r="BF335" s="468">
        <f ca="1">IF(計算!$BC335&lt;OP!$C$3,0,BD335-BC335)</f>
        <v>1</v>
      </c>
      <c r="BG335" s="468">
        <f ca="1">IF($BE335&gt;DATE(YEAR($BD$9)+OP!$C$57,MONTH($BD$9),DAY($BD$9)),0,$BE335-$BD335+1)</f>
        <v>30</v>
      </c>
      <c r="BH335" s="469">
        <f t="shared" ca="1" si="300"/>
        <v>31</v>
      </c>
      <c r="BI335" t="str">
        <f t="shared" si="282"/>
        <v/>
      </c>
      <c r="BJ335">
        <v>2</v>
      </c>
      <c r="BN335" s="468">
        <f t="shared" si="312"/>
        <v>28</v>
      </c>
      <c r="BO335" s="468">
        <f t="shared" si="313"/>
        <v>2</v>
      </c>
      <c r="BP335" s="467">
        <f t="shared" ca="1" si="301"/>
        <v>52811</v>
      </c>
      <c r="BQ335" s="475">
        <f t="shared" ca="1" si="315"/>
        <v>60</v>
      </c>
      <c r="BR335" s="475" t="str">
        <f t="shared" si="314"/>
        <v/>
      </c>
      <c r="BS335" s="471" t="str">
        <f t="shared" si="302"/>
        <v/>
      </c>
      <c r="BT335" s="472" t="str">
        <f t="shared" si="283"/>
        <v/>
      </c>
      <c r="BU335" s="472">
        <f t="shared" ca="1" si="303"/>
        <v>0</v>
      </c>
      <c r="BV335" s="472">
        <f t="shared" ca="1" si="303"/>
        <v>0</v>
      </c>
      <c r="BW335" s="472"/>
      <c r="BX335" s="473">
        <f t="shared" ca="1" si="304"/>
        <v>246798.939366679</v>
      </c>
      <c r="BY335" s="473">
        <f t="shared" si="305"/>
        <v>0</v>
      </c>
      <c r="BZ335" s="473">
        <f t="shared" ca="1" si="287"/>
        <v>563.851047816</v>
      </c>
      <c r="CA335" s="476">
        <f t="shared" ca="1" si="306"/>
        <v>0</v>
      </c>
      <c r="CB335" s="494">
        <f ca="1">IF(OR($Q334&lt;&gt;1,OP!$D$5+$BN335-1&lt;16,$BN335-1&lt;1),0,ROUND(ROUND(ROUND(((VLOOKUP($BN335-1,MORE_PV,5,0)/10000)*VLOOKUP($BN335,MORE_PV,$CB$5,0)),3)*VLOOKUP($BN335,more1,5,0),0)/$R334,0))</f>
        <v>0</v>
      </c>
      <c r="CC335" s="473">
        <f t="shared" ca="1" si="307"/>
        <v>0</v>
      </c>
      <c r="CD335" s="477"/>
    </row>
    <row r="336" spans="2:82" ht="16.5" hidden="1">
      <c r="B336" s="80"/>
      <c r="C336" s="80"/>
      <c r="D336" s="80"/>
      <c r="E336" s="80"/>
      <c r="F336" s="80"/>
      <c r="G336" s="80"/>
      <c r="H336" s="80"/>
      <c r="I336" s="80"/>
      <c r="J336" s="192">
        <f t="shared" si="288"/>
        <v>28</v>
      </c>
      <c r="K336" s="192">
        <f t="shared" si="289"/>
        <v>4</v>
      </c>
      <c r="L336" s="192" t="str">
        <f t="shared" si="284"/>
        <v/>
      </c>
      <c r="M336" s="216">
        <f t="shared" ca="1" si="290"/>
        <v>0</v>
      </c>
      <c r="N336" s="216"/>
      <c r="O336" s="216"/>
      <c r="P336" s="216"/>
      <c r="Q336" s="456" t="str">
        <f t="shared" ca="1" si="291"/>
        <v/>
      </c>
      <c r="R336" s="450">
        <f t="shared" ca="1" si="292"/>
        <v>1</v>
      </c>
      <c r="S336" s="191">
        <f t="shared" si="293"/>
        <v>28</v>
      </c>
      <c r="T336" s="191">
        <f t="shared" si="294"/>
        <v>4</v>
      </c>
      <c r="U336" s="191">
        <f ca="1">OP!$D$5+$S336-1</f>
        <v>60</v>
      </c>
      <c r="V336" s="191" t="str">
        <f t="shared" si="295"/>
        <v/>
      </c>
      <c r="W336" s="350">
        <f ca="1">IF(Q336&lt;&gt;1,0,VLOOKUP(OP!$C$55,PVFB,$S336+2,0))</f>
        <v>0</v>
      </c>
      <c r="X336" s="473">
        <f t="shared" ca="1" si="308"/>
        <v>0</v>
      </c>
      <c r="Y336" s="348">
        <f t="shared" ca="1" si="309"/>
        <v>0</v>
      </c>
      <c r="Z336" s="348">
        <f t="shared" ca="1" si="310"/>
        <v>8012</v>
      </c>
      <c r="AA336" s="348">
        <f ca="1">IF(Q336&lt;&gt;1,0,VLOOKUP(OP!$C$55,PVFB,$S336+2,0))</f>
        <v>0</v>
      </c>
      <c r="AB336" s="488" t="str">
        <f ca="1">IF(AND(S336&lt;OP!$C$24,$U336&lt;15),0,IF(AND($U336&lt;15,$T336=12),ROUND(VLOOKUP($S336,DOWN16,5,0),3),IF($T336=12,ROUND(($Z336/10000)*$AA336,3)+IF(AND($P$7="購買增額繳清保險",T336=12,U336=110),VLOOKUP(S336,$B$10:$H$121,7,0),0),"")))</f>
        <v/>
      </c>
      <c r="AC336" s="350" t="str">
        <f ca="1">IF(AND(S336&lt;OP!$C$24,$U336&lt;15),0,IF(AND($U336&lt;16,$T336=12),VLOOKUP($S336,DOWN16,4,0),IF($T336=12,ROUND(VLOOKUP(OP!$C$55,_DIE2,$S336+1,0)*(Z336/10000),0)+IF(AND($P$7="購買增額繳清保險",T336=12,U336=110),VLOOKUP(S336,$B$10:$H$121,7,0),0),"")))</f>
        <v/>
      </c>
      <c r="AD336" s="347"/>
      <c r="AE336" s="350" t="str">
        <f t="shared" ca="1" si="285"/>
        <v/>
      </c>
      <c r="AF336" s="351" t="str">
        <f t="shared" ca="1" si="286"/>
        <v/>
      </c>
      <c r="AG336" s="340"/>
      <c r="AH336" s="340"/>
      <c r="AI336" s="340"/>
      <c r="AJ336" s="340"/>
      <c r="AK336" s="340"/>
      <c r="AL336" s="340"/>
      <c r="AM336" s="340"/>
      <c r="AN336" s="340"/>
      <c r="AO336" s="340"/>
      <c r="AP336" s="340"/>
      <c r="AQ336" s="340"/>
      <c r="AR336" s="340"/>
      <c r="AS336" s="340"/>
      <c r="AT336" s="340"/>
      <c r="AU336" s="340"/>
      <c r="AV336" s="340"/>
      <c r="AY336" s="340"/>
      <c r="AZ336" s="465">
        <f t="shared" ca="1" si="296"/>
        <v>7.3698599999999999E-5</v>
      </c>
      <c r="BA336" s="464">
        <f t="shared" ca="1" si="297"/>
        <v>2.1372602999999999E-3</v>
      </c>
      <c r="BB336" s="465">
        <f t="shared" ca="1" si="297"/>
        <v>2.2109589000000002E-3</v>
      </c>
      <c r="BC336" s="466">
        <f t="shared" ca="1" si="298"/>
        <v>52841</v>
      </c>
      <c r="BD336" s="467">
        <f t="shared" ca="1" si="311"/>
        <v>52842</v>
      </c>
      <c r="BE336" s="467">
        <f t="shared" ca="1" si="299"/>
        <v>52870</v>
      </c>
      <c r="BF336" s="468">
        <f ca="1">IF(計算!$BC336&lt;OP!$C$3,0,BD336-BC336)</f>
        <v>1</v>
      </c>
      <c r="BG336" s="468">
        <f ca="1">IF($BE336&gt;DATE(YEAR($BD$9)+OP!$C$57,MONTH($BD$9),DAY($BD$9)),0,$BE336-$BD336+1)</f>
        <v>29</v>
      </c>
      <c r="BH336" s="469">
        <f t="shared" ca="1" si="300"/>
        <v>30</v>
      </c>
      <c r="BI336" t="str">
        <f t="shared" si="282"/>
        <v/>
      </c>
      <c r="BJ336">
        <v>3</v>
      </c>
      <c r="BN336" s="468">
        <f t="shared" si="312"/>
        <v>28</v>
      </c>
      <c r="BO336" s="468">
        <f t="shared" si="313"/>
        <v>3</v>
      </c>
      <c r="BP336" s="467">
        <f t="shared" ca="1" si="301"/>
        <v>52842</v>
      </c>
      <c r="BQ336" s="475">
        <f t="shared" ca="1" si="315"/>
        <v>60</v>
      </c>
      <c r="BR336" s="475" t="str">
        <f t="shared" si="314"/>
        <v/>
      </c>
      <c r="BS336" s="471" t="str">
        <f t="shared" si="302"/>
        <v/>
      </c>
      <c r="BT336" s="472" t="str">
        <f t="shared" si="283"/>
        <v/>
      </c>
      <c r="BU336" s="472">
        <f t="shared" ca="1" si="303"/>
        <v>0</v>
      </c>
      <c r="BV336" s="472">
        <f t="shared" ca="1" si="303"/>
        <v>0</v>
      </c>
      <c r="BW336" s="472"/>
      <c r="BX336" s="473">
        <f t="shared" ca="1" si="304"/>
        <v>247362.79041449499</v>
      </c>
      <c r="BY336" s="473">
        <f t="shared" si="305"/>
        <v>0</v>
      </c>
      <c r="BZ336" s="473">
        <f t="shared" ca="1" si="287"/>
        <v>546.90896299600001</v>
      </c>
      <c r="CA336" s="476">
        <f t="shared" ca="1" si="306"/>
        <v>0</v>
      </c>
      <c r="CB336" s="494">
        <f ca="1">IF(OR($Q335&lt;&gt;1,OP!$D$5+$BN336-1&lt;16,$BN336-1&lt;1),0,ROUND(ROUND(ROUND(((VLOOKUP($BN336-1,MORE_PV,5,0)/10000)*VLOOKUP($BN336,MORE_PV,$CB$5,0)),3)*VLOOKUP($BN336,more1,5,0),0)/$R335,0))</f>
        <v>0</v>
      </c>
      <c r="CC336" s="473">
        <f t="shared" ca="1" si="307"/>
        <v>0</v>
      </c>
      <c r="CD336" s="477"/>
    </row>
    <row r="337" spans="2:82" ht="16.5" hidden="1">
      <c r="B337" s="80"/>
      <c r="C337" s="80"/>
      <c r="D337" s="80"/>
      <c r="E337" s="80"/>
      <c r="F337" s="80"/>
      <c r="G337" s="80"/>
      <c r="H337" s="80"/>
      <c r="I337" s="80"/>
      <c r="J337" s="192">
        <f t="shared" si="288"/>
        <v>28</v>
      </c>
      <c r="K337" s="192">
        <f t="shared" si="289"/>
        <v>5</v>
      </c>
      <c r="L337" s="192" t="str">
        <f t="shared" si="284"/>
        <v/>
      </c>
      <c r="M337" s="216">
        <f t="shared" ca="1" si="290"/>
        <v>0</v>
      </c>
      <c r="N337" s="216"/>
      <c r="O337" s="216"/>
      <c r="P337" s="216"/>
      <c r="Q337" s="456" t="str">
        <f t="shared" ca="1" si="291"/>
        <v/>
      </c>
      <c r="R337" s="450">
        <f t="shared" ca="1" si="292"/>
        <v>1</v>
      </c>
      <c r="S337" s="191">
        <f t="shared" si="293"/>
        <v>28</v>
      </c>
      <c r="T337" s="191">
        <f t="shared" si="294"/>
        <v>5</v>
      </c>
      <c r="U337" s="191">
        <f ca="1">OP!$D$5+$S337-1</f>
        <v>60</v>
      </c>
      <c r="V337" s="191" t="str">
        <f t="shared" si="295"/>
        <v/>
      </c>
      <c r="W337" s="350">
        <f ca="1">IF(Q337&lt;&gt;1,0,VLOOKUP(OP!$C$55,PVFB,$S337+2,0))</f>
        <v>0</v>
      </c>
      <c r="X337" s="473">
        <f t="shared" ca="1" si="308"/>
        <v>0</v>
      </c>
      <c r="Y337" s="348">
        <f t="shared" ca="1" si="309"/>
        <v>0</v>
      </c>
      <c r="Z337" s="348">
        <f t="shared" ca="1" si="310"/>
        <v>8012</v>
      </c>
      <c r="AA337" s="348">
        <f ca="1">IF(Q337&lt;&gt;1,0,VLOOKUP(OP!$C$55,PVFB,$S337+2,0))</f>
        <v>0</v>
      </c>
      <c r="AB337" s="488" t="str">
        <f ca="1">IF(AND(S337&lt;OP!$C$24,$U337&lt;15),0,IF(AND($U337&lt;15,$T337=12),ROUND(VLOOKUP($S337,DOWN16,5,0),3),IF($T337=12,ROUND(($Z337/10000)*$AA337,3)+IF(AND($P$7="購買增額繳清保險",T337=12,U337=110),VLOOKUP(S337,$B$10:$H$121,7,0),0),"")))</f>
        <v/>
      </c>
      <c r="AC337" s="350" t="str">
        <f ca="1">IF(AND(S337&lt;OP!$C$24,$U337&lt;15),0,IF(AND($U337&lt;16,$T337=12),VLOOKUP($S337,DOWN16,4,0),IF($T337=12,ROUND(VLOOKUP(OP!$C$55,_DIE2,$S337+1,0)*(Z337/10000),0)+IF(AND($P$7="購買增額繳清保險",T337=12,U337=110),VLOOKUP(S337,$B$10:$H$121,7,0),0),"")))</f>
        <v/>
      </c>
      <c r="AD337" s="347"/>
      <c r="AE337" s="350" t="str">
        <f t="shared" ca="1" si="285"/>
        <v/>
      </c>
      <c r="AF337" s="351" t="str">
        <f t="shared" ca="1" si="286"/>
        <v/>
      </c>
      <c r="AG337" s="340"/>
      <c r="AH337" s="340"/>
      <c r="AI337" s="340"/>
      <c r="AJ337" s="340"/>
      <c r="AK337" s="340"/>
      <c r="AL337" s="340"/>
      <c r="AM337" s="340"/>
      <c r="AN337" s="340"/>
      <c r="AO337" s="340"/>
      <c r="AP337" s="340"/>
      <c r="AQ337" s="340"/>
      <c r="AR337" s="340"/>
      <c r="AS337" s="340"/>
      <c r="AT337" s="340"/>
      <c r="AU337" s="340"/>
      <c r="AV337" s="340"/>
      <c r="AY337" s="340"/>
      <c r="AZ337" s="465">
        <f t="shared" ca="1" si="296"/>
        <v>7.3698599999999999E-5</v>
      </c>
      <c r="BA337" s="464">
        <f t="shared" ca="1" si="297"/>
        <v>2.2109589000000002E-3</v>
      </c>
      <c r="BB337" s="465">
        <f t="shared" ca="1" si="297"/>
        <v>2.2846575E-3</v>
      </c>
      <c r="BC337" s="466">
        <f t="shared" ca="1" si="298"/>
        <v>52871</v>
      </c>
      <c r="BD337" s="467">
        <f t="shared" ca="1" si="311"/>
        <v>52872</v>
      </c>
      <c r="BE337" s="467">
        <f t="shared" ca="1" si="299"/>
        <v>52901</v>
      </c>
      <c r="BF337" s="468">
        <f ca="1">IF(計算!$BC337&lt;OP!$C$3,0,BD337-BC337)</f>
        <v>1</v>
      </c>
      <c r="BG337" s="468">
        <f ca="1">IF($BE337&gt;DATE(YEAR($BD$9)+OP!$C$57,MONTH($BD$9),DAY($BD$9)),0,$BE337-$BD337+1)</f>
        <v>30</v>
      </c>
      <c r="BH337" s="469">
        <f t="shared" ca="1" si="300"/>
        <v>31</v>
      </c>
      <c r="BI337" t="str">
        <f t="shared" si="282"/>
        <v/>
      </c>
      <c r="BJ337">
        <v>4</v>
      </c>
      <c r="BN337" s="468">
        <f t="shared" si="312"/>
        <v>28</v>
      </c>
      <c r="BO337" s="468">
        <f t="shared" si="313"/>
        <v>4</v>
      </c>
      <c r="BP337" s="467">
        <f t="shared" ca="1" si="301"/>
        <v>52872</v>
      </c>
      <c r="BQ337" s="475">
        <f t="shared" ca="1" si="315"/>
        <v>60</v>
      </c>
      <c r="BR337" s="475" t="str">
        <f t="shared" si="314"/>
        <v/>
      </c>
      <c r="BS337" s="471" t="str">
        <f t="shared" si="302"/>
        <v/>
      </c>
      <c r="BT337" s="472" t="str">
        <f t="shared" si="283"/>
        <v/>
      </c>
      <c r="BU337" s="472">
        <f t="shared" ca="1" si="303"/>
        <v>0</v>
      </c>
      <c r="BV337" s="472">
        <f t="shared" ca="1" si="303"/>
        <v>0</v>
      </c>
      <c r="BW337" s="472"/>
      <c r="BX337" s="473">
        <f t="shared" ca="1" si="304"/>
        <v>247909.69937749099</v>
      </c>
      <c r="BY337" s="473">
        <f t="shared" si="305"/>
        <v>0</v>
      </c>
      <c r="BZ337" s="473">
        <f t="shared" ca="1" si="287"/>
        <v>566.388754006</v>
      </c>
      <c r="CA337" s="476">
        <f t="shared" ca="1" si="306"/>
        <v>0</v>
      </c>
      <c r="CB337" s="494">
        <f ca="1">IF(OR($Q336&lt;&gt;1,OP!$D$5+$BN337-1&lt;16,$BN337-1&lt;1),0,ROUND(ROUND(ROUND(((VLOOKUP($BN337-1,MORE_PV,5,0)/10000)*VLOOKUP($BN337,MORE_PV,$CB$5,0)),3)*VLOOKUP($BN337,more1,5,0),0)/$R336,0))</f>
        <v>0</v>
      </c>
      <c r="CC337" s="473">
        <f t="shared" ca="1" si="307"/>
        <v>0</v>
      </c>
      <c r="CD337" s="477"/>
    </row>
    <row r="338" spans="2:82" ht="16.5" hidden="1">
      <c r="B338" s="80"/>
      <c r="C338" s="80"/>
      <c r="D338" s="80"/>
      <c r="E338" s="80"/>
      <c r="F338" s="80"/>
      <c r="G338" s="80"/>
      <c r="H338" s="80"/>
      <c r="I338" s="80"/>
      <c r="J338" s="192">
        <f t="shared" si="288"/>
        <v>28</v>
      </c>
      <c r="K338" s="192">
        <f t="shared" si="289"/>
        <v>6</v>
      </c>
      <c r="L338" s="192" t="str">
        <f t="shared" si="284"/>
        <v/>
      </c>
      <c r="M338" s="216">
        <f t="shared" ca="1" si="290"/>
        <v>0</v>
      </c>
      <c r="N338" s="216"/>
      <c r="O338" s="216"/>
      <c r="P338" s="216"/>
      <c r="Q338" s="456" t="str">
        <f t="shared" ca="1" si="291"/>
        <v/>
      </c>
      <c r="R338" s="450">
        <f t="shared" ca="1" si="292"/>
        <v>1</v>
      </c>
      <c r="S338" s="191">
        <f t="shared" si="293"/>
        <v>28</v>
      </c>
      <c r="T338" s="191">
        <f t="shared" si="294"/>
        <v>6</v>
      </c>
      <c r="U338" s="191">
        <f ca="1">OP!$D$5+$S338-1</f>
        <v>60</v>
      </c>
      <c r="V338" s="191" t="str">
        <f t="shared" si="295"/>
        <v/>
      </c>
      <c r="W338" s="350">
        <f ca="1">IF(Q338&lt;&gt;1,0,VLOOKUP(OP!$C$55,PVFB,$S338+2,0))</f>
        <v>0</v>
      </c>
      <c r="X338" s="473">
        <f t="shared" ca="1" si="308"/>
        <v>0</v>
      </c>
      <c r="Y338" s="348">
        <f t="shared" ca="1" si="309"/>
        <v>0</v>
      </c>
      <c r="Z338" s="348">
        <f t="shared" ca="1" si="310"/>
        <v>8012</v>
      </c>
      <c r="AA338" s="348">
        <f ca="1">IF(Q338&lt;&gt;1,0,VLOOKUP(OP!$C$55,PVFB,$S338+2,0))</f>
        <v>0</v>
      </c>
      <c r="AB338" s="488" t="str">
        <f ca="1">IF(AND(S338&lt;OP!$C$24,$U338&lt;15),0,IF(AND($U338&lt;15,$T338=12),ROUND(VLOOKUP($S338,DOWN16,5,0),3),IF($T338=12,ROUND(($Z338/10000)*$AA338,3)+IF(AND($P$7="購買增額繳清保險",T338=12,U338=110),VLOOKUP(S338,$B$10:$H$121,7,0),0),"")))</f>
        <v/>
      </c>
      <c r="AC338" s="350" t="str">
        <f ca="1">IF(AND(S338&lt;OP!$C$24,$U338&lt;15),0,IF(AND($U338&lt;16,$T338=12),VLOOKUP($S338,DOWN16,4,0),IF($T338=12,ROUND(VLOOKUP(OP!$C$55,_DIE2,$S338+1,0)*(Z338/10000),0)+IF(AND($P$7="購買增額繳清保險",T338=12,U338=110),VLOOKUP(S338,$B$10:$H$121,7,0),0),"")))</f>
        <v/>
      </c>
      <c r="AD338" s="347"/>
      <c r="AE338" s="350" t="str">
        <f t="shared" ca="1" si="285"/>
        <v/>
      </c>
      <c r="AF338" s="351" t="str">
        <f t="shared" ca="1" si="286"/>
        <v/>
      </c>
      <c r="AG338" s="340"/>
      <c r="AH338" s="340"/>
      <c r="AI338" s="340"/>
      <c r="AJ338" s="340"/>
      <c r="AK338" s="340"/>
      <c r="AL338" s="340"/>
      <c r="AM338" s="340"/>
      <c r="AN338" s="340"/>
      <c r="AO338" s="340"/>
      <c r="AP338" s="340"/>
      <c r="AQ338" s="340"/>
      <c r="AR338" s="340"/>
      <c r="AS338" s="340"/>
      <c r="AT338" s="340"/>
      <c r="AU338" s="340"/>
      <c r="AV338" s="340"/>
      <c r="AY338" s="340"/>
      <c r="AZ338" s="465">
        <f t="shared" ca="1" si="296"/>
        <v>7.3698599999999999E-5</v>
      </c>
      <c r="BA338" s="464">
        <f t="shared" ca="1" si="297"/>
        <v>2.1372602999999999E-3</v>
      </c>
      <c r="BB338" s="465">
        <f t="shared" ca="1" si="297"/>
        <v>2.2109589000000002E-3</v>
      </c>
      <c r="BC338" s="466">
        <f t="shared" ca="1" si="298"/>
        <v>52902</v>
      </c>
      <c r="BD338" s="467">
        <f t="shared" ca="1" si="311"/>
        <v>52903</v>
      </c>
      <c r="BE338" s="467">
        <f t="shared" ca="1" si="299"/>
        <v>52931</v>
      </c>
      <c r="BF338" s="468">
        <f ca="1">IF(計算!$BC338&lt;OP!$C$3,0,BD338-BC338)</f>
        <v>1</v>
      </c>
      <c r="BG338" s="468">
        <f ca="1">IF($BE338&gt;DATE(YEAR($BD$9)+OP!$C$57,MONTH($BD$9),DAY($BD$9)),0,$BE338-$BD338+1)</f>
        <v>29</v>
      </c>
      <c r="BH338" s="469">
        <f t="shared" ca="1" si="300"/>
        <v>30</v>
      </c>
      <c r="BI338" t="str">
        <f t="shared" si="282"/>
        <v/>
      </c>
      <c r="BJ338">
        <v>5</v>
      </c>
      <c r="BN338" s="468">
        <f t="shared" si="312"/>
        <v>28</v>
      </c>
      <c r="BO338" s="468">
        <f t="shared" si="313"/>
        <v>5</v>
      </c>
      <c r="BP338" s="467">
        <f t="shared" ca="1" si="301"/>
        <v>52903</v>
      </c>
      <c r="BQ338" s="475">
        <f t="shared" ca="1" si="315"/>
        <v>60</v>
      </c>
      <c r="BR338" s="475" t="str">
        <f t="shared" si="314"/>
        <v/>
      </c>
      <c r="BS338" s="471" t="str">
        <f t="shared" si="302"/>
        <v/>
      </c>
      <c r="BT338" s="472" t="str">
        <f t="shared" si="283"/>
        <v/>
      </c>
      <c r="BU338" s="472">
        <f t="shared" ca="1" si="303"/>
        <v>0</v>
      </c>
      <c r="BV338" s="472">
        <f t="shared" ca="1" si="303"/>
        <v>0</v>
      </c>
      <c r="BW338" s="472"/>
      <c r="BX338" s="473">
        <f t="shared" ca="1" si="304"/>
        <v>248476.088131497</v>
      </c>
      <c r="BY338" s="473">
        <f t="shared" si="305"/>
        <v>0</v>
      </c>
      <c r="BZ338" s="473">
        <f t="shared" ca="1" si="287"/>
        <v>549.370418492</v>
      </c>
      <c r="CA338" s="476">
        <f t="shared" ca="1" si="306"/>
        <v>0</v>
      </c>
      <c r="CB338" s="494">
        <f ca="1">IF(OR($Q337&lt;&gt;1,OP!$D$5+$BN338-1&lt;16,$BN338-1&lt;1),0,ROUND(ROUND(ROUND(((VLOOKUP($BN338-1,MORE_PV,5,0)/10000)*VLOOKUP($BN338,MORE_PV,$CB$5,0)),3)*VLOOKUP($BN338,more1,5,0),0)/$R337,0))</f>
        <v>0</v>
      </c>
      <c r="CC338" s="473">
        <f t="shared" ca="1" si="307"/>
        <v>0</v>
      </c>
      <c r="CD338" s="477"/>
    </row>
    <row r="339" spans="2:82" ht="16.5" hidden="1">
      <c r="B339" s="80"/>
      <c r="C339" s="80"/>
      <c r="D339" s="80"/>
      <c r="E339" s="80"/>
      <c r="F339" s="80"/>
      <c r="G339" s="80"/>
      <c r="H339" s="80"/>
      <c r="I339" s="80"/>
      <c r="J339" s="192">
        <f t="shared" si="288"/>
        <v>28</v>
      </c>
      <c r="K339" s="192">
        <f t="shared" si="289"/>
        <v>7</v>
      </c>
      <c r="L339" s="192" t="str">
        <f t="shared" si="284"/>
        <v/>
      </c>
      <c r="M339" s="216">
        <f t="shared" ca="1" si="290"/>
        <v>0</v>
      </c>
      <c r="N339" s="216"/>
      <c r="O339" s="216"/>
      <c r="P339" s="216"/>
      <c r="Q339" s="456" t="str">
        <f t="shared" ca="1" si="291"/>
        <v/>
      </c>
      <c r="R339" s="450">
        <f t="shared" ca="1" si="292"/>
        <v>1</v>
      </c>
      <c r="S339" s="191">
        <f t="shared" si="293"/>
        <v>28</v>
      </c>
      <c r="T339" s="191">
        <f t="shared" si="294"/>
        <v>7</v>
      </c>
      <c r="U339" s="191">
        <f ca="1">OP!$D$5+$S339-1</f>
        <v>60</v>
      </c>
      <c r="V339" s="191" t="str">
        <f t="shared" si="295"/>
        <v/>
      </c>
      <c r="W339" s="350">
        <f ca="1">IF(Q339&lt;&gt;1,0,VLOOKUP(OP!$C$55,PVFB,$S339+2,0))</f>
        <v>0</v>
      </c>
      <c r="X339" s="473">
        <f t="shared" ca="1" si="308"/>
        <v>0</v>
      </c>
      <c r="Y339" s="348">
        <f t="shared" ca="1" si="309"/>
        <v>0</v>
      </c>
      <c r="Z339" s="348">
        <f t="shared" ca="1" si="310"/>
        <v>8012</v>
      </c>
      <c r="AA339" s="348">
        <f ca="1">IF(Q339&lt;&gt;1,0,VLOOKUP(OP!$C$55,PVFB,$S339+2,0))</f>
        <v>0</v>
      </c>
      <c r="AB339" s="488" t="str">
        <f ca="1">IF(AND(S339&lt;OP!$C$24,$U339&lt;15),0,IF(AND($U339&lt;15,$T339=12),ROUND(VLOOKUP($S339,DOWN16,5,0),3),IF($T339=12,ROUND(($Z339/10000)*$AA339,3)+IF(AND($P$7="購買增額繳清保險",T339=12,U339=110),VLOOKUP(S339,$B$10:$H$121,7,0),0),"")))</f>
        <v/>
      </c>
      <c r="AC339" s="350" t="str">
        <f ca="1">IF(AND(S339&lt;OP!$C$24,$U339&lt;15),0,IF(AND($U339&lt;16,$T339=12),VLOOKUP($S339,DOWN16,4,0),IF($T339=12,ROUND(VLOOKUP(OP!$C$55,_DIE2,$S339+1,0)*(Z339/10000),0)+IF(AND($P$7="購買增額繳清保險",T339=12,U339=110),VLOOKUP(S339,$B$10:$H$121,7,0),0),"")))</f>
        <v/>
      </c>
      <c r="AD339" s="347"/>
      <c r="AE339" s="350" t="str">
        <f t="shared" ca="1" si="285"/>
        <v/>
      </c>
      <c r="AF339" s="351" t="str">
        <f t="shared" ca="1" si="286"/>
        <v/>
      </c>
      <c r="AG339" s="340"/>
      <c r="AH339" s="340"/>
      <c r="AI339" s="340"/>
      <c r="AJ339" s="340"/>
      <c r="AK339" s="340"/>
      <c r="AL339" s="340"/>
      <c r="AM339" s="340"/>
      <c r="AN339" s="340"/>
      <c r="AO339" s="340"/>
      <c r="AP339" s="340"/>
      <c r="AQ339" s="340"/>
      <c r="AR339" s="340"/>
      <c r="AS339" s="340"/>
      <c r="AT339" s="340"/>
      <c r="AU339" s="340"/>
      <c r="AV339" s="340"/>
      <c r="AY339" s="340"/>
      <c r="AZ339" s="465">
        <f t="shared" ca="1" si="296"/>
        <v>7.3698599999999999E-5</v>
      </c>
      <c r="BA339" s="464">
        <f t="shared" ca="1" si="297"/>
        <v>2.2109589000000002E-3</v>
      </c>
      <c r="BB339" s="465">
        <f t="shared" ca="1" si="297"/>
        <v>2.2846575E-3</v>
      </c>
      <c r="BC339" s="466">
        <f t="shared" ca="1" si="298"/>
        <v>52932</v>
      </c>
      <c r="BD339" s="467">
        <f t="shared" ca="1" si="311"/>
        <v>52933</v>
      </c>
      <c r="BE339" s="467">
        <f t="shared" ca="1" si="299"/>
        <v>52962</v>
      </c>
      <c r="BF339" s="468">
        <f ca="1">IF(計算!$BC339&lt;OP!$C$3,0,BD339-BC339)</f>
        <v>1</v>
      </c>
      <c r="BG339" s="468">
        <f ca="1">IF($BE339&gt;DATE(YEAR($BD$9)+OP!$C$57,MONTH($BD$9),DAY($BD$9)),0,$BE339-$BD339+1)</f>
        <v>30</v>
      </c>
      <c r="BH339" s="469">
        <f t="shared" ca="1" si="300"/>
        <v>31</v>
      </c>
      <c r="BI339" t="str">
        <f t="shared" si="282"/>
        <v/>
      </c>
      <c r="BJ339">
        <v>6</v>
      </c>
      <c r="BN339" s="468">
        <f t="shared" si="312"/>
        <v>28</v>
      </c>
      <c r="BO339" s="468">
        <f t="shared" si="313"/>
        <v>6</v>
      </c>
      <c r="BP339" s="467">
        <f t="shared" ca="1" si="301"/>
        <v>52933</v>
      </c>
      <c r="BQ339" s="475">
        <f t="shared" ca="1" si="315"/>
        <v>60</v>
      </c>
      <c r="BR339" s="475" t="str">
        <f t="shared" si="314"/>
        <v/>
      </c>
      <c r="BS339" s="471" t="str">
        <f t="shared" si="302"/>
        <v/>
      </c>
      <c r="BT339" s="472" t="str">
        <f t="shared" si="283"/>
        <v/>
      </c>
      <c r="BU339" s="472">
        <f t="shared" ca="1" si="303"/>
        <v>0</v>
      </c>
      <c r="BV339" s="472">
        <f t="shared" ca="1" si="303"/>
        <v>0</v>
      </c>
      <c r="BW339" s="472"/>
      <c r="BX339" s="473">
        <f t="shared" ca="1" si="304"/>
        <v>249025.45854998901</v>
      </c>
      <c r="BY339" s="473">
        <f t="shared" si="305"/>
        <v>0</v>
      </c>
      <c r="BZ339" s="473">
        <f t="shared" ca="1" si="287"/>
        <v>568.93788156699998</v>
      </c>
      <c r="CA339" s="476">
        <f t="shared" ca="1" si="306"/>
        <v>0</v>
      </c>
      <c r="CB339" s="494">
        <f ca="1">IF(OR($Q338&lt;&gt;1,OP!$D$5+$BN339-1&lt;16,$BN339-1&lt;1),0,ROUND(ROUND(ROUND(((VLOOKUP($BN339-1,MORE_PV,5,0)/10000)*VLOOKUP($BN339,MORE_PV,$CB$5,0)),3)*VLOOKUP($BN339,more1,5,0),0)/$R338,0))</f>
        <v>0</v>
      </c>
      <c r="CC339" s="473">
        <f t="shared" ca="1" si="307"/>
        <v>0</v>
      </c>
      <c r="CD339" s="477"/>
    </row>
    <row r="340" spans="2:82" ht="16.5" hidden="1">
      <c r="B340" s="80"/>
      <c r="C340" s="80"/>
      <c r="D340" s="80"/>
      <c r="E340" s="80"/>
      <c r="F340" s="80"/>
      <c r="G340" s="80"/>
      <c r="H340" s="80"/>
      <c r="I340" s="80"/>
      <c r="J340" s="192">
        <f t="shared" si="288"/>
        <v>28</v>
      </c>
      <c r="K340" s="192">
        <f t="shared" si="289"/>
        <v>8</v>
      </c>
      <c r="L340" s="192" t="str">
        <f t="shared" si="284"/>
        <v/>
      </c>
      <c r="M340" s="216">
        <f t="shared" ca="1" si="290"/>
        <v>0</v>
      </c>
      <c r="N340" s="216"/>
      <c r="O340" s="216"/>
      <c r="P340" s="216"/>
      <c r="Q340" s="456" t="str">
        <f t="shared" ca="1" si="291"/>
        <v/>
      </c>
      <c r="R340" s="450">
        <f t="shared" ca="1" si="292"/>
        <v>1</v>
      </c>
      <c r="S340" s="191">
        <f t="shared" si="293"/>
        <v>28</v>
      </c>
      <c r="T340" s="191">
        <f t="shared" si="294"/>
        <v>8</v>
      </c>
      <c r="U340" s="191">
        <f ca="1">OP!$D$5+$S340-1</f>
        <v>60</v>
      </c>
      <c r="V340" s="191" t="str">
        <f t="shared" si="295"/>
        <v/>
      </c>
      <c r="W340" s="350">
        <f ca="1">IF(Q340&lt;&gt;1,0,VLOOKUP(OP!$C$55,PVFB,$S340+2,0))</f>
        <v>0</v>
      </c>
      <c r="X340" s="473">
        <f t="shared" ca="1" si="308"/>
        <v>0</v>
      </c>
      <c r="Y340" s="348">
        <f t="shared" ca="1" si="309"/>
        <v>0</v>
      </c>
      <c r="Z340" s="348">
        <f t="shared" ca="1" si="310"/>
        <v>8012</v>
      </c>
      <c r="AA340" s="348">
        <f ca="1">IF(Q340&lt;&gt;1,0,VLOOKUP(OP!$C$55,PVFB,$S340+2,0))</f>
        <v>0</v>
      </c>
      <c r="AB340" s="488" t="str">
        <f ca="1">IF(AND(S340&lt;OP!$C$24,$U340&lt;15),0,IF(AND($U340&lt;15,$T340=12),ROUND(VLOOKUP($S340,DOWN16,5,0),3),IF($T340=12,ROUND(($Z340/10000)*$AA340,3)+IF(AND($P$7="購買增額繳清保險",T340=12,U340=110),VLOOKUP(S340,$B$10:$H$121,7,0),0),"")))</f>
        <v/>
      </c>
      <c r="AC340" s="350" t="str">
        <f ca="1">IF(AND(S340&lt;OP!$C$24,$U340&lt;15),0,IF(AND($U340&lt;16,$T340=12),VLOOKUP($S340,DOWN16,4,0),IF($T340=12,ROUND(VLOOKUP(OP!$C$55,_DIE2,$S340+1,0)*(Z340/10000),0)+IF(AND($P$7="購買增額繳清保險",T340=12,U340=110),VLOOKUP(S340,$B$10:$H$121,7,0),0),"")))</f>
        <v/>
      </c>
      <c r="AD340" s="347"/>
      <c r="AE340" s="350" t="str">
        <f t="shared" ca="1" si="285"/>
        <v/>
      </c>
      <c r="AF340" s="351" t="str">
        <f t="shared" ca="1" si="286"/>
        <v/>
      </c>
      <c r="AG340" s="340"/>
      <c r="AH340" s="340"/>
      <c r="AI340" s="340"/>
      <c r="AJ340" s="340"/>
      <c r="AK340" s="340"/>
      <c r="AL340" s="340"/>
      <c r="AM340" s="340"/>
      <c r="AN340" s="340"/>
      <c r="AO340" s="340"/>
      <c r="AP340" s="340"/>
      <c r="AQ340" s="340"/>
      <c r="AR340" s="340"/>
      <c r="AS340" s="340"/>
      <c r="AT340" s="340"/>
      <c r="AU340" s="340"/>
      <c r="AV340" s="340"/>
      <c r="AY340" s="340"/>
      <c r="AZ340" s="465">
        <f t="shared" ca="1" si="296"/>
        <v>7.3698599999999999E-5</v>
      </c>
      <c r="BA340" s="464">
        <f t="shared" ca="1" si="297"/>
        <v>2.2109589000000002E-3</v>
      </c>
      <c r="BB340" s="465">
        <f t="shared" ca="1" si="297"/>
        <v>2.2846575E-3</v>
      </c>
      <c r="BC340" s="466">
        <f t="shared" ca="1" si="298"/>
        <v>52963</v>
      </c>
      <c r="BD340" s="467">
        <f t="shared" ca="1" si="311"/>
        <v>52964</v>
      </c>
      <c r="BE340" s="467">
        <f t="shared" ca="1" si="299"/>
        <v>52993</v>
      </c>
      <c r="BF340" s="468">
        <f ca="1">IF(計算!$BC340&lt;OP!$C$3,0,BD340-BC340)</f>
        <v>1</v>
      </c>
      <c r="BG340" s="468">
        <f ca="1">IF($BE340&gt;DATE(YEAR($BD$9)+OP!$C$57,MONTH($BD$9),DAY($BD$9)),0,$BE340-$BD340+1)</f>
        <v>30</v>
      </c>
      <c r="BH340" s="469">
        <f t="shared" ca="1" si="300"/>
        <v>31</v>
      </c>
      <c r="BI340" t="str">
        <f t="shared" si="282"/>
        <v/>
      </c>
      <c r="BJ340">
        <v>7</v>
      </c>
      <c r="BN340" s="468">
        <f t="shared" si="312"/>
        <v>28</v>
      </c>
      <c r="BO340" s="468">
        <f t="shared" si="313"/>
        <v>7</v>
      </c>
      <c r="BP340" s="467">
        <f t="shared" ca="1" si="301"/>
        <v>52964</v>
      </c>
      <c r="BQ340" s="475">
        <f t="shared" ca="1" si="315"/>
        <v>60</v>
      </c>
      <c r="BR340" s="475" t="str">
        <f t="shared" si="314"/>
        <v/>
      </c>
      <c r="BS340" s="471" t="str">
        <f t="shared" si="302"/>
        <v/>
      </c>
      <c r="BT340" s="472" t="str">
        <f t="shared" si="283"/>
        <v/>
      </c>
      <c r="BU340" s="472">
        <f t="shared" ca="1" si="303"/>
        <v>0</v>
      </c>
      <c r="BV340" s="472">
        <f t="shared" ca="1" si="303"/>
        <v>0</v>
      </c>
      <c r="BW340" s="472"/>
      <c r="BX340" s="473">
        <f t="shared" ca="1" si="304"/>
        <v>249594.396431556</v>
      </c>
      <c r="BY340" s="473">
        <f t="shared" si="305"/>
        <v>0</v>
      </c>
      <c r="BZ340" s="473">
        <f t="shared" ca="1" si="287"/>
        <v>570.23770976499998</v>
      </c>
      <c r="CA340" s="476">
        <f t="shared" ca="1" si="306"/>
        <v>0</v>
      </c>
      <c r="CB340" s="494">
        <f ca="1">IF(OR($Q339&lt;&gt;1,OP!$D$5+$BN340-1&lt;16,$BN340-1&lt;1),0,ROUND(ROUND(ROUND(((VLOOKUP($BN340-1,MORE_PV,5,0)/10000)*VLOOKUP($BN340,MORE_PV,$CB$5,0)),3)*VLOOKUP($BN340,more1,5,0),0)/$R339,0))</f>
        <v>0</v>
      </c>
      <c r="CC340" s="473">
        <f t="shared" ca="1" si="307"/>
        <v>0</v>
      </c>
      <c r="CD340" s="477"/>
    </row>
    <row r="341" spans="2:82" ht="16.5" hidden="1">
      <c r="B341" s="80"/>
      <c r="C341" s="80"/>
      <c r="D341" s="80"/>
      <c r="E341" s="80"/>
      <c r="F341" s="80"/>
      <c r="G341" s="80"/>
      <c r="H341" s="80"/>
      <c r="I341" s="80"/>
      <c r="J341" s="192">
        <f t="shared" si="288"/>
        <v>28</v>
      </c>
      <c r="K341" s="192">
        <f t="shared" si="289"/>
        <v>9</v>
      </c>
      <c r="L341" s="192" t="str">
        <f t="shared" si="284"/>
        <v/>
      </c>
      <c r="M341" s="216">
        <f t="shared" ca="1" si="290"/>
        <v>0</v>
      </c>
      <c r="N341" s="216"/>
      <c r="O341" s="216"/>
      <c r="P341" s="216"/>
      <c r="Q341" s="456" t="str">
        <f t="shared" ca="1" si="291"/>
        <v/>
      </c>
      <c r="R341" s="450">
        <f t="shared" ca="1" si="292"/>
        <v>1</v>
      </c>
      <c r="S341" s="191">
        <f t="shared" si="293"/>
        <v>28</v>
      </c>
      <c r="T341" s="191">
        <f t="shared" si="294"/>
        <v>9</v>
      </c>
      <c r="U341" s="191">
        <f ca="1">OP!$D$5+$S341-1</f>
        <v>60</v>
      </c>
      <c r="V341" s="191" t="str">
        <f t="shared" si="295"/>
        <v/>
      </c>
      <c r="W341" s="350">
        <f ca="1">IF(Q341&lt;&gt;1,0,VLOOKUP(OP!$C$55,PVFB,$S341+2,0))</f>
        <v>0</v>
      </c>
      <c r="X341" s="473">
        <f t="shared" ca="1" si="308"/>
        <v>0</v>
      </c>
      <c r="Y341" s="348">
        <f t="shared" ca="1" si="309"/>
        <v>0</v>
      </c>
      <c r="Z341" s="348">
        <f t="shared" ca="1" si="310"/>
        <v>8012</v>
      </c>
      <c r="AA341" s="348">
        <f ca="1">IF(Q341&lt;&gt;1,0,VLOOKUP(OP!$C$55,PVFB,$S341+2,0))</f>
        <v>0</v>
      </c>
      <c r="AB341" s="488" t="str">
        <f ca="1">IF(AND(S341&lt;OP!$C$24,$U341&lt;15),0,IF(AND($U341&lt;15,$T341=12),ROUND(VLOOKUP($S341,DOWN16,5,0),3),IF($T341=12,ROUND(($Z341/10000)*$AA341,3)+IF(AND($P$7="購買增額繳清保險",T341=12,U341=110),VLOOKUP(S341,$B$10:$H$121,7,0),0),"")))</f>
        <v/>
      </c>
      <c r="AC341" s="350" t="str">
        <f ca="1">IF(AND(S341&lt;OP!$C$24,$U341&lt;15),0,IF(AND($U341&lt;16,$T341=12),VLOOKUP($S341,DOWN16,4,0),IF($T341=12,ROUND(VLOOKUP(OP!$C$55,_DIE2,$S341+1,0)*(Z341/10000),0)+IF(AND($P$7="購買增額繳清保險",T341=12,U341=110),VLOOKUP(S341,$B$10:$H$121,7,0),0),"")))</f>
        <v/>
      </c>
      <c r="AD341" s="347"/>
      <c r="AE341" s="350" t="str">
        <f t="shared" ca="1" si="285"/>
        <v/>
      </c>
      <c r="AF341" s="351" t="str">
        <f t="shared" ca="1" si="286"/>
        <v/>
      </c>
      <c r="AG341" s="340"/>
      <c r="AH341" s="340"/>
      <c r="AI341" s="340"/>
      <c r="AJ341" s="340"/>
      <c r="AK341" s="340"/>
      <c r="AL341" s="340"/>
      <c r="AM341" s="340"/>
      <c r="AN341" s="340"/>
      <c r="AO341" s="340"/>
      <c r="AP341" s="340"/>
      <c r="AQ341" s="340"/>
      <c r="AR341" s="340"/>
      <c r="AS341" s="340"/>
      <c r="AT341" s="340"/>
      <c r="AU341" s="340"/>
      <c r="AV341" s="340"/>
      <c r="AY341" s="340"/>
      <c r="AZ341" s="465">
        <f t="shared" ca="1" si="296"/>
        <v>7.3698599999999999E-5</v>
      </c>
      <c r="BA341" s="464">
        <f t="shared" ca="1" si="297"/>
        <v>1.9898630000000001E-3</v>
      </c>
      <c r="BB341" s="465">
        <f t="shared" ca="1" si="297"/>
        <v>2.0635616E-3</v>
      </c>
      <c r="BC341" s="466">
        <f t="shared" ca="1" si="298"/>
        <v>52994</v>
      </c>
      <c r="BD341" s="467">
        <f t="shared" ca="1" si="311"/>
        <v>52995</v>
      </c>
      <c r="BE341" s="467">
        <f t="shared" ca="1" si="299"/>
        <v>53021</v>
      </c>
      <c r="BF341" s="468">
        <f ca="1">IF(計算!$BC341&lt;OP!$C$3,0,BD341-BC341)</f>
        <v>1</v>
      </c>
      <c r="BG341" s="468">
        <f ca="1">IF($BE341&gt;DATE(YEAR($BD$9)+OP!$C$57,MONTH($BD$9),DAY($BD$9)),0,$BE341-$BD341+1)</f>
        <v>27</v>
      </c>
      <c r="BH341" s="469">
        <f t="shared" ca="1" si="300"/>
        <v>28</v>
      </c>
      <c r="BI341" t="str">
        <f t="shared" ref="BI341:BI404" si="316">IF(BJ341=12,BD341-BD329,"")</f>
        <v/>
      </c>
      <c r="BJ341">
        <v>8</v>
      </c>
      <c r="BN341" s="468">
        <f t="shared" si="312"/>
        <v>28</v>
      </c>
      <c r="BO341" s="468">
        <f t="shared" si="313"/>
        <v>8</v>
      </c>
      <c r="BP341" s="467">
        <f t="shared" ca="1" si="301"/>
        <v>52995</v>
      </c>
      <c r="BQ341" s="475">
        <f t="shared" ca="1" si="315"/>
        <v>60</v>
      </c>
      <c r="BR341" s="475" t="str">
        <f t="shared" si="314"/>
        <v/>
      </c>
      <c r="BS341" s="471" t="str">
        <f t="shared" si="302"/>
        <v/>
      </c>
      <c r="BT341" s="472" t="str">
        <f t="shared" si="283"/>
        <v/>
      </c>
      <c r="BU341" s="472">
        <f t="shared" ca="1" si="303"/>
        <v>0</v>
      </c>
      <c r="BV341" s="472">
        <f t="shared" ca="1" si="303"/>
        <v>0</v>
      </c>
      <c r="BW341" s="472"/>
      <c r="BX341" s="473">
        <f t="shared" ca="1" si="304"/>
        <v>250164.634141321</v>
      </c>
      <c r="BY341" s="473">
        <f t="shared" si="305"/>
        <v>0</v>
      </c>
      <c r="BZ341" s="473">
        <f t="shared" ca="1" si="287"/>
        <v>516.23013269199998</v>
      </c>
      <c r="CA341" s="476">
        <f t="shared" ca="1" si="306"/>
        <v>0</v>
      </c>
      <c r="CB341" s="494">
        <f ca="1">IF(OR($Q340&lt;&gt;1,OP!$D$5+$BN341-1&lt;16,$BN341-1&lt;1),0,ROUND(ROUND(ROUND(((VLOOKUP($BN341-1,MORE_PV,5,0)/10000)*VLOOKUP($BN341,MORE_PV,$CB$5,0)),3)*VLOOKUP($BN341,more1,5,0),0)/$R340,0))</f>
        <v>0</v>
      </c>
      <c r="CC341" s="473">
        <f t="shared" ca="1" si="307"/>
        <v>0</v>
      </c>
      <c r="CD341" s="477"/>
    </row>
    <row r="342" spans="2:82" ht="16.5" hidden="1">
      <c r="B342" s="80"/>
      <c r="C342" s="80"/>
      <c r="D342" s="80"/>
      <c r="E342" s="80"/>
      <c r="F342" s="80"/>
      <c r="G342" s="80"/>
      <c r="H342" s="80"/>
      <c r="I342" s="80"/>
      <c r="J342" s="192">
        <f t="shared" si="288"/>
        <v>28</v>
      </c>
      <c r="K342" s="192">
        <f t="shared" si="289"/>
        <v>10</v>
      </c>
      <c r="L342" s="192" t="str">
        <f t="shared" si="284"/>
        <v/>
      </c>
      <c r="M342" s="216">
        <f t="shared" ca="1" si="290"/>
        <v>0</v>
      </c>
      <c r="N342" s="216"/>
      <c r="O342" s="216"/>
      <c r="P342" s="216"/>
      <c r="Q342" s="456" t="str">
        <f t="shared" ca="1" si="291"/>
        <v/>
      </c>
      <c r="R342" s="450">
        <f t="shared" ca="1" si="292"/>
        <v>1</v>
      </c>
      <c r="S342" s="191">
        <f t="shared" si="293"/>
        <v>28</v>
      </c>
      <c r="T342" s="191">
        <f t="shared" si="294"/>
        <v>10</v>
      </c>
      <c r="U342" s="191">
        <f ca="1">OP!$D$5+$S342-1</f>
        <v>60</v>
      </c>
      <c r="V342" s="191" t="str">
        <f t="shared" si="295"/>
        <v/>
      </c>
      <c r="W342" s="350">
        <f ca="1">IF(Q342&lt;&gt;1,0,VLOOKUP(OP!$C$55,PVFB,$S342+2,0))</f>
        <v>0</v>
      </c>
      <c r="X342" s="473">
        <f t="shared" ca="1" si="308"/>
        <v>0</v>
      </c>
      <c r="Y342" s="348">
        <f t="shared" ca="1" si="309"/>
        <v>0</v>
      </c>
      <c r="Z342" s="348">
        <f t="shared" ca="1" si="310"/>
        <v>8012</v>
      </c>
      <c r="AA342" s="348">
        <f ca="1">IF(Q342&lt;&gt;1,0,VLOOKUP(OP!$C$55,PVFB,$S342+2,0))</f>
        <v>0</v>
      </c>
      <c r="AB342" s="488" t="str">
        <f ca="1">IF(AND(S342&lt;OP!$C$24,$U342&lt;15),0,IF(AND($U342&lt;15,$T342=12),ROUND(VLOOKUP($S342,DOWN16,5,0),3),IF($T342=12,ROUND(($Z342/10000)*$AA342,3)+IF(AND($P$7="購買增額繳清保險",T342=12,U342=110),VLOOKUP(S342,$B$10:$H$121,7,0),0),"")))</f>
        <v/>
      </c>
      <c r="AC342" s="350" t="str">
        <f ca="1">IF(AND(S342&lt;OP!$C$24,$U342&lt;15),0,IF(AND($U342&lt;16,$T342=12),VLOOKUP($S342,DOWN16,4,0),IF($T342=12,ROUND(VLOOKUP(OP!$C$55,_DIE2,$S342+1,0)*(Z342/10000),0)+IF(AND($P$7="購買增額繳清保險",T342=12,U342=110),VLOOKUP(S342,$B$10:$H$121,7,0),0),"")))</f>
        <v/>
      </c>
      <c r="AD342" s="347"/>
      <c r="AE342" s="350" t="str">
        <f t="shared" ca="1" si="285"/>
        <v/>
      </c>
      <c r="AF342" s="351" t="str">
        <f t="shared" ca="1" si="286"/>
        <v/>
      </c>
      <c r="AG342" s="340"/>
      <c r="AH342" s="340"/>
      <c r="AI342" s="340"/>
      <c r="AJ342" s="340"/>
      <c r="AK342" s="340"/>
      <c r="AL342" s="340"/>
      <c r="AM342" s="340"/>
      <c r="AN342" s="340"/>
      <c r="AO342" s="340"/>
      <c r="AP342" s="340"/>
      <c r="AQ342" s="340"/>
      <c r="AR342" s="340"/>
      <c r="AS342" s="340"/>
      <c r="AT342" s="340"/>
      <c r="AU342" s="340"/>
      <c r="AV342" s="340"/>
      <c r="AY342" s="340"/>
      <c r="AZ342" s="465">
        <f t="shared" ca="1" si="296"/>
        <v>7.3698599999999999E-5</v>
      </c>
      <c r="BA342" s="464">
        <f t="shared" ca="1" si="297"/>
        <v>2.2109589000000002E-3</v>
      </c>
      <c r="BB342" s="465">
        <f t="shared" ca="1" si="297"/>
        <v>2.2846575E-3</v>
      </c>
      <c r="BC342" s="466">
        <f t="shared" ca="1" si="298"/>
        <v>53022</v>
      </c>
      <c r="BD342" s="467">
        <f t="shared" ca="1" si="311"/>
        <v>53023</v>
      </c>
      <c r="BE342" s="467">
        <f t="shared" ca="1" si="299"/>
        <v>53052</v>
      </c>
      <c r="BF342" s="468">
        <f ca="1">IF(計算!$BC342&lt;OP!$C$3,0,BD342-BC342)</f>
        <v>1</v>
      </c>
      <c r="BG342" s="468">
        <f ca="1">IF($BE342&gt;DATE(YEAR($BD$9)+OP!$C$57,MONTH($BD$9),DAY($BD$9)),0,$BE342-$BD342+1)</f>
        <v>30</v>
      </c>
      <c r="BH342" s="469">
        <f t="shared" ca="1" si="300"/>
        <v>31</v>
      </c>
      <c r="BI342" t="str">
        <f t="shared" si="316"/>
        <v/>
      </c>
      <c r="BJ342">
        <v>9</v>
      </c>
      <c r="BN342" s="468">
        <f t="shared" si="312"/>
        <v>28</v>
      </c>
      <c r="BO342" s="468">
        <f t="shared" si="313"/>
        <v>9</v>
      </c>
      <c r="BP342" s="467">
        <f t="shared" ca="1" si="301"/>
        <v>53023</v>
      </c>
      <c r="BQ342" s="475">
        <f t="shared" ca="1" si="315"/>
        <v>60</v>
      </c>
      <c r="BR342" s="475" t="str">
        <f t="shared" si="314"/>
        <v/>
      </c>
      <c r="BS342" s="471" t="str">
        <f t="shared" si="302"/>
        <v/>
      </c>
      <c r="BT342" s="472" t="str">
        <f t="shared" ref="BT342:BT405" si="317">IF(BW342&lt;&gt;"",IF(BN342&gt;=$P$4+1,ROUND(BU342,0)+ROUND(BV342,0)+ROUND(BW342,0)+BT330,0),"")</f>
        <v/>
      </c>
      <c r="BU342" s="472">
        <f t="shared" ca="1" si="303"/>
        <v>0</v>
      </c>
      <c r="BV342" s="472">
        <f t="shared" ca="1" si="303"/>
        <v>0</v>
      </c>
      <c r="BW342" s="472"/>
      <c r="BX342" s="473">
        <f t="shared" ca="1" si="304"/>
        <v>250680.864274013</v>
      </c>
      <c r="BY342" s="473">
        <f t="shared" si="305"/>
        <v>0</v>
      </c>
      <c r="BZ342" s="473">
        <f t="shared" ca="1" si="287"/>
        <v>572.71991666999998</v>
      </c>
      <c r="CA342" s="476">
        <f t="shared" ca="1" si="306"/>
        <v>0</v>
      </c>
      <c r="CB342" s="494">
        <f ca="1">IF(OR($Q341&lt;&gt;1,OP!$D$5+$BN342-1&lt;16,$BN342-1&lt;1),0,ROUND(ROUND(ROUND(((VLOOKUP($BN342-1,MORE_PV,5,0)/10000)*VLOOKUP($BN342,MORE_PV,$CB$5,0)),3)*VLOOKUP($BN342,more1,5,0),0)/$R341,0))</f>
        <v>0</v>
      </c>
      <c r="CC342" s="473">
        <f t="shared" ca="1" si="307"/>
        <v>0</v>
      </c>
      <c r="CD342" s="477"/>
    </row>
    <row r="343" spans="2:82" ht="16.5" hidden="1">
      <c r="B343" s="80"/>
      <c r="C343" s="80"/>
      <c r="D343" s="80"/>
      <c r="E343" s="80"/>
      <c r="F343" s="80"/>
      <c r="G343" s="80"/>
      <c r="H343" s="80"/>
      <c r="I343" s="80"/>
      <c r="J343" s="192">
        <f t="shared" si="288"/>
        <v>28</v>
      </c>
      <c r="K343" s="192">
        <f t="shared" si="289"/>
        <v>11</v>
      </c>
      <c r="L343" s="192" t="str">
        <f t="shared" si="284"/>
        <v/>
      </c>
      <c r="M343" s="216">
        <f t="shared" ca="1" si="290"/>
        <v>0</v>
      </c>
      <c r="N343" s="216"/>
      <c r="O343" s="216"/>
      <c r="P343" s="216"/>
      <c r="Q343" s="456" t="str">
        <f t="shared" ca="1" si="291"/>
        <v/>
      </c>
      <c r="R343" s="450">
        <f t="shared" ca="1" si="292"/>
        <v>1</v>
      </c>
      <c r="S343" s="191">
        <f t="shared" si="293"/>
        <v>28</v>
      </c>
      <c r="T343" s="191">
        <f t="shared" si="294"/>
        <v>11</v>
      </c>
      <c r="U343" s="191">
        <f ca="1">OP!$D$5+$S343-1</f>
        <v>60</v>
      </c>
      <c r="V343" s="191" t="str">
        <f t="shared" si="295"/>
        <v/>
      </c>
      <c r="W343" s="350">
        <f ca="1">IF(Q343&lt;&gt;1,0,VLOOKUP(OP!$C$55,PVFB,$S343+2,0))</f>
        <v>0</v>
      </c>
      <c r="X343" s="473">
        <f t="shared" ca="1" si="308"/>
        <v>0</v>
      </c>
      <c r="Y343" s="348">
        <f t="shared" ca="1" si="309"/>
        <v>0</v>
      </c>
      <c r="Z343" s="348">
        <f t="shared" ca="1" si="310"/>
        <v>8012</v>
      </c>
      <c r="AA343" s="348">
        <f ca="1">IF(Q343&lt;&gt;1,0,VLOOKUP(OP!$C$55,PVFB,$S343+2,0))</f>
        <v>0</v>
      </c>
      <c r="AB343" s="488" t="str">
        <f ca="1">IF(AND(S343&lt;OP!$C$24,$U343&lt;15),0,IF(AND($U343&lt;15,$T343=12),ROUND(VLOOKUP($S343,DOWN16,5,0),3),IF($T343=12,ROUND(($Z343/10000)*$AA343,3)+IF(AND($P$7="購買增額繳清保險",T343=12,U343=110),VLOOKUP(S343,$B$10:$H$121,7,0),0),"")))</f>
        <v/>
      </c>
      <c r="AC343" s="350" t="str">
        <f ca="1">IF(AND(S343&lt;OP!$C$24,$U343&lt;15),0,IF(AND($U343&lt;16,$T343=12),VLOOKUP($S343,DOWN16,4,0),IF($T343=12,ROUND(VLOOKUP(OP!$C$55,_DIE2,$S343+1,0)*(Z343/10000),0)+IF(AND($P$7="購買增額繳清保險",T343=12,U343=110),VLOOKUP(S343,$B$10:$H$121,7,0),0),"")))</f>
        <v/>
      </c>
      <c r="AD343" s="347"/>
      <c r="AE343" s="350" t="str">
        <f t="shared" ca="1" si="285"/>
        <v/>
      </c>
      <c r="AF343" s="351" t="str">
        <f t="shared" ca="1" si="286"/>
        <v/>
      </c>
      <c r="AG343" s="340"/>
      <c r="AH343" s="340"/>
      <c r="AI343" s="340"/>
      <c r="AJ343" s="340"/>
      <c r="AK343" s="340"/>
      <c r="AL343" s="340"/>
      <c r="AM343" s="340"/>
      <c r="AN343" s="340"/>
      <c r="AO343" s="340"/>
      <c r="AP343" s="340"/>
      <c r="AQ343" s="340"/>
      <c r="AR343" s="340"/>
      <c r="AS343" s="340"/>
      <c r="AT343" s="340"/>
      <c r="AU343" s="340"/>
      <c r="AV343" s="340"/>
      <c r="AY343" s="340"/>
      <c r="AZ343" s="465">
        <f t="shared" ca="1" si="296"/>
        <v>7.3698599999999999E-5</v>
      </c>
      <c r="BA343" s="464">
        <f t="shared" ca="1" si="297"/>
        <v>2.1372602999999999E-3</v>
      </c>
      <c r="BB343" s="465">
        <f t="shared" ca="1" si="297"/>
        <v>2.2109589000000002E-3</v>
      </c>
      <c r="BC343" s="466">
        <f t="shared" ca="1" si="298"/>
        <v>53053</v>
      </c>
      <c r="BD343" s="467">
        <f t="shared" ca="1" si="311"/>
        <v>53054</v>
      </c>
      <c r="BE343" s="467">
        <f t="shared" ca="1" si="299"/>
        <v>53082</v>
      </c>
      <c r="BF343" s="468">
        <f ca="1">IF(計算!$BC343&lt;OP!$C$3,0,BD343-BC343)</f>
        <v>1</v>
      </c>
      <c r="BG343" s="468">
        <f ca="1">IF($BE343&gt;DATE(YEAR($BD$9)+OP!$C$57,MONTH($BD$9),DAY($BD$9)),0,$BE343-$BD343+1)</f>
        <v>29</v>
      </c>
      <c r="BH343" s="469">
        <f t="shared" ca="1" si="300"/>
        <v>30</v>
      </c>
      <c r="BI343" t="str">
        <f t="shared" si="316"/>
        <v/>
      </c>
      <c r="BJ343">
        <v>10</v>
      </c>
      <c r="BN343" s="468">
        <f t="shared" si="312"/>
        <v>28</v>
      </c>
      <c r="BO343" s="468">
        <f t="shared" si="313"/>
        <v>10</v>
      </c>
      <c r="BP343" s="467">
        <f t="shared" ca="1" si="301"/>
        <v>53054</v>
      </c>
      <c r="BQ343" s="475">
        <f t="shared" ca="1" si="315"/>
        <v>60</v>
      </c>
      <c r="BR343" s="475" t="str">
        <f t="shared" si="314"/>
        <v/>
      </c>
      <c r="BS343" s="471" t="str">
        <f t="shared" si="302"/>
        <v/>
      </c>
      <c r="BT343" s="472" t="str">
        <f t="shared" si="317"/>
        <v/>
      </c>
      <c r="BU343" s="472">
        <f t="shared" ca="1" si="303"/>
        <v>0</v>
      </c>
      <c r="BV343" s="472">
        <f t="shared" ca="1" si="303"/>
        <v>0</v>
      </c>
      <c r="BW343" s="472"/>
      <c r="BX343" s="473">
        <f t="shared" ca="1" si="304"/>
        <v>251253.584190683</v>
      </c>
      <c r="BY343" s="473">
        <f t="shared" si="305"/>
        <v>0</v>
      </c>
      <c r="BZ343" s="473">
        <f t="shared" ca="1" si="287"/>
        <v>555.51134812299995</v>
      </c>
      <c r="CA343" s="476">
        <f t="shared" ca="1" si="306"/>
        <v>0</v>
      </c>
      <c r="CB343" s="494">
        <f ca="1">IF(OR($Q342&lt;&gt;1,OP!$D$5+$BN343-1&lt;16,$BN343-1&lt;1),0,ROUND(ROUND(ROUND(((VLOOKUP($BN343-1,MORE_PV,5,0)/10000)*VLOOKUP($BN343,MORE_PV,$CB$5,0)),3)*VLOOKUP($BN343,more1,5,0),0)/$R342,0))</f>
        <v>0</v>
      </c>
      <c r="CC343" s="473">
        <f t="shared" ca="1" si="307"/>
        <v>0</v>
      </c>
      <c r="CD343" s="477"/>
    </row>
    <row r="344" spans="2:82" ht="16.5" hidden="1">
      <c r="B344" s="80"/>
      <c r="C344" s="80"/>
      <c r="D344" s="80"/>
      <c r="E344" s="80"/>
      <c r="F344" s="80"/>
      <c r="G344" s="80"/>
      <c r="H344" s="80"/>
      <c r="I344" s="80"/>
      <c r="J344" s="192">
        <f t="shared" si="288"/>
        <v>28</v>
      </c>
      <c r="K344" s="192">
        <f t="shared" si="289"/>
        <v>12</v>
      </c>
      <c r="L344" s="192">
        <f t="shared" si="284"/>
        <v>28</v>
      </c>
      <c r="M344" s="216">
        <f t="shared" ca="1" si="290"/>
        <v>263511</v>
      </c>
      <c r="N344" s="216"/>
      <c r="O344" s="216"/>
      <c r="P344" s="216"/>
      <c r="Q344" s="456">
        <f t="shared" ca="1" si="291"/>
        <v>1</v>
      </c>
      <c r="R344" s="450">
        <f t="shared" ca="1" si="292"/>
        <v>1</v>
      </c>
      <c r="S344" s="191">
        <f t="shared" si="293"/>
        <v>28</v>
      </c>
      <c r="T344" s="191">
        <f t="shared" si="294"/>
        <v>12</v>
      </c>
      <c r="U344" s="191">
        <f ca="1">OP!$D$5+$S344-1</f>
        <v>60</v>
      </c>
      <c r="V344" s="191">
        <f t="shared" si="295"/>
        <v>28</v>
      </c>
      <c r="W344" s="350">
        <f ca="1">IF(Q344&lt;&gt;1,0,VLOOKUP(OP!$C$55,PVFB,$S344+2,0))</f>
        <v>46255</v>
      </c>
      <c r="X344" s="473">
        <f t="shared" ca="1" si="308"/>
        <v>11107</v>
      </c>
      <c r="Y344" s="348">
        <f t="shared" ca="1" si="309"/>
        <v>0</v>
      </c>
      <c r="Z344" s="348">
        <f t="shared" ca="1" si="310"/>
        <v>8012</v>
      </c>
      <c r="AA344" s="348">
        <f ca="1">IF(Q344&lt;&gt;1,0,VLOOKUP(OP!$C$55,PVFB,$S344+2,0))</f>
        <v>46255</v>
      </c>
      <c r="AB344" s="488">
        <f ca="1">IF(AND(S344&lt;OP!$C$24,$U344&lt;15),0,IF(AND($U344&lt;15,$T344=12),ROUND(VLOOKUP($S344,DOWN16,5,0),3),IF($T344=12,ROUND(($Z344/10000)*$AA344,3)+IF(AND($P$7="購買增額繳清保險",T344=12,U344=110),VLOOKUP(S344,$B$10:$H$121,7,0),0),"")))</f>
        <v>37059.506000000001</v>
      </c>
      <c r="AC344" s="350">
        <f ca="1">IF(AND(S344&lt;OP!$C$24,$U344&lt;15),0,IF(AND($U344&lt;16,$T344=12),VLOOKUP($S344,DOWN16,4,0),IF($T344=12,ROUND(VLOOKUP(OP!$C$55,_DIE2,$S344+1,0)*(Z344/10000),0)+IF(AND($P$7="購買增額繳清保險",T344=12,U344=110),VLOOKUP(S344,$B$10:$H$121,7,0),0),"")))</f>
        <v>37060</v>
      </c>
      <c r="AD344" s="347"/>
      <c r="AE344" s="350" t="str">
        <f t="shared" ca="1" si="285"/>
        <v/>
      </c>
      <c r="AF344" s="351" t="str">
        <f t="shared" ca="1" si="286"/>
        <v/>
      </c>
      <c r="AG344" s="340"/>
      <c r="AH344" s="340"/>
      <c r="AI344" s="340"/>
      <c r="AJ344" s="340"/>
      <c r="AK344" s="340"/>
      <c r="AL344" s="340"/>
      <c r="AM344" s="340"/>
      <c r="AN344" s="340"/>
      <c r="AO344" s="340"/>
      <c r="AP344" s="340"/>
      <c r="AQ344" s="340"/>
      <c r="AR344" s="340"/>
      <c r="AS344" s="340"/>
      <c r="AT344" s="340"/>
      <c r="AU344" s="340"/>
      <c r="AV344" s="340"/>
      <c r="AY344" s="340"/>
      <c r="AZ344" s="465">
        <f t="shared" ca="1" si="296"/>
        <v>7.3698599999999999E-5</v>
      </c>
      <c r="BA344" s="464">
        <f t="shared" ca="1" si="297"/>
        <v>2.2109589000000002E-3</v>
      </c>
      <c r="BB344" s="465">
        <f t="shared" ca="1" si="297"/>
        <v>2.2846575E-3</v>
      </c>
      <c r="BC344" s="466">
        <f t="shared" ca="1" si="298"/>
        <v>53083</v>
      </c>
      <c r="BD344" s="467">
        <f t="shared" ca="1" si="311"/>
        <v>53084</v>
      </c>
      <c r="BE344" s="467">
        <f t="shared" ca="1" si="299"/>
        <v>53113</v>
      </c>
      <c r="BF344" s="468">
        <f ca="1">IF(計算!$BC344&lt;OP!$C$3,0,BD344-BC344)</f>
        <v>1</v>
      </c>
      <c r="BG344" s="468">
        <f ca="1">IF($BE344&gt;DATE(YEAR($BD$9)+OP!$C$57,MONTH($BD$9),DAY($BD$9)),0,$BE344-$BD344+1)</f>
        <v>30</v>
      </c>
      <c r="BH344" s="469">
        <f t="shared" ca="1" si="300"/>
        <v>31</v>
      </c>
      <c r="BI344" t="str">
        <f t="shared" si="316"/>
        <v/>
      </c>
      <c r="BJ344">
        <v>11</v>
      </c>
      <c r="BN344" s="468">
        <f t="shared" si="312"/>
        <v>28</v>
      </c>
      <c r="BO344" s="468">
        <f t="shared" si="313"/>
        <v>11</v>
      </c>
      <c r="BP344" s="467">
        <f t="shared" ca="1" si="301"/>
        <v>53084</v>
      </c>
      <c r="BQ344" s="475">
        <f t="shared" ca="1" si="315"/>
        <v>60</v>
      </c>
      <c r="BR344" s="475" t="str">
        <f t="shared" si="314"/>
        <v/>
      </c>
      <c r="BS344" s="471" t="str">
        <f t="shared" si="302"/>
        <v/>
      </c>
      <c r="BT344" s="472" t="str">
        <f t="shared" si="317"/>
        <v/>
      </c>
      <c r="BU344" s="472">
        <f t="shared" ca="1" si="303"/>
        <v>0</v>
      </c>
      <c r="BV344" s="472">
        <f t="shared" ca="1" si="303"/>
        <v>0</v>
      </c>
      <c r="BW344" s="472"/>
      <c r="BX344" s="473">
        <f t="shared" ca="1" si="304"/>
        <v>251809.095538806</v>
      </c>
      <c r="BY344" s="473">
        <f t="shared" si="305"/>
        <v>0</v>
      </c>
      <c r="BZ344" s="473">
        <f t="shared" ca="1" si="287"/>
        <v>575.297538691</v>
      </c>
      <c r="CA344" s="476">
        <f t="shared" ca="1" si="306"/>
        <v>0</v>
      </c>
      <c r="CB344" s="494">
        <f ca="1">IF(OR($Q343&lt;&gt;1,OP!$D$5+$BN344-1&lt;16,$BN344-1&lt;1),0,ROUND(ROUND(ROUND(((VLOOKUP($BN344-1,MORE_PV,5,0)/10000)*VLOOKUP($BN344,MORE_PV,$CB$5,0)),3)*VLOOKUP($BN344,more1,5,0),0)/$R343,0))</f>
        <v>0</v>
      </c>
      <c r="CC344" s="473">
        <f t="shared" ca="1" si="307"/>
        <v>0</v>
      </c>
      <c r="CD344" s="477"/>
    </row>
    <row r="345" spans="2:82" ht="16.5" hidden="1">
      <c r="B345" s="80"/>
      <c r="C345" s="80"/>
      <c r="D345" s="80"/>
      <c r="E345" s="80"/>
      <c r="F345" s="80"/>
      <c r="G345" s="80"/>
      <c r="H345" s="80"/>
      <c r="I345" s="80"/>
      <c r="J345" s="192">
        <f t="shared" si="288"/>
        <v>29</v>
      </c>
      <c r="K345" s="192">
        <f t="shared" si="289"/>
        <v>1</v>
      </c>
      <c r="L345" s="192" t="str">
        <f t="shared" si="284"/>
        <v/>
      </c>
      <c r="M345" s="216">
        <f t="shared" ca="1" si="290"/>
        <v>0</v>
      </c>
      <c r="N345" s="216"/>
      <c r="O345" s="216"/>
      <c r="P345" s="216"/>
      <c r="Q345" s="456" t="str">
        <f t="shared" ca="1" si="291"/>
        <v/>
      </c>
      <c r="R345" s="450">
        <f t="shared" ca="1" si="292"/>
        <v>1</v>
      </c>
      <c r="S345" s="191">
        <f t="shared" si="293"/>
        <v>29</v>
      </c>
      <c r="T345" s="191">
        <f t="shared" si="294"/>
        <v>1</v>
      </c>
      <c r="U345" s="191">
        <f ca="1">OP!$D$5+$S345-1</f>
        <v>61</v>
      </c>
      <c r="V345" s="191" t="str">
        <f t="shared" si="295"/>
        <v/>
      </c>
      <c r="W345" s="350">
        <f ca="1">IF(Q345&lt;&gt;1,0,VLOOKUP(OP!$C$55,PVFB,$S345+2,0))</f>
        <v>0</v>
      </c>
      <c r="X345" s="473">
        <f t="shared" ca="1" si="308"/>
        <v>0</v>
      </c>
      <c r="Y345" s="348">
        <f t="shared" ca="1" si="309"/>
        <v>0</v>
      </c>
      <c r="Z345" s="348">
        <f t="shared" ca="1" si="310"/>
        <v>8012</v>
      </c>
      <c r="AA345" s="348">
        <f ca="1">IF(Q345&lt;&gt;1,0,VLOOKUP(OP!$C$55,PVFB,$S345+2,0))</f>
        <v>0</v>
      </c>
      <c r="AB345" s="488" t="str">
        <f ca="1">IF(AND(S345&lt;OP!$C$24,$U345&lt;15),0,IF(AND($U345&lt;15,$T345=12),ROUND(VLOOKUP($S345,DOWN16,5,0),3),IF($T345=12,ROUND(($Z345/10000)*$AA345,3)+IF(AND($P$7="購買增額繳清保險",T345=12,U345=110),VLOOKUP(S345,$B$10:$H$121,7,0),0),"")))</f>
        <v/>
      </c>
      <c r="AC345" s="350" t="str">
        <f ca="1">IF(AND(S345&lt;OP!$C$24,$U345&lt;15),0,IF(AND($U345&lt;16,$T345=12),VLOOKUP($S345,DOWN16,4,0),IF($T345=12,ROUND(VLOOKUP(OP!$C$55,_DIE2,$S345+1,0)*(Z345/10000),0)+IF(AND($P$7="購買增額繳清保險",T345=12,U345=110),VLOOKUP(S345,$B$10:$H$121,7,0),0),"")))</f>
        <v/>
      </c>
      <c r="AD345" s="347"/>
      <c r="AE345" s="350" t="str">
        <f t="shared" ca="1" si="285"/>
        <v/>
      </c>
      <c r="AF345" s="351" t="str">
        <f t="shared" ca="1" si="286"/>
        <v/>
      </c>
      <c r="AG345" s="340"/>
      <c r="AH345" s="340"/>
      <c r="AI345" s="340"/>
      <c r="AJ345" s="340"/>
      <c r="AK345" s="340"/>
      <c r="AL345" s="340"/>
      <c r="AM345" s="340"/>
      <c r="AN345" s="340"/>
      <c r="AO345" s="340"/>
      <c r="AP345" s="340"/>
      <c r="AQ345" s="340"/>
      <c r="AR345" s="340"/>
      <c r="AS345" s="340"/>
      <c r="AT345" s="340"/>
      <c r="AU345" s="340"/>
      <c r="AV345" s="340"/>
      <c r="AY345" s="340"/>
      <c r="AZ345" s="465">
        <f t="shared" ca="1" si="296"/>
        <v>7.3698599999999999E-5</v>
      </c>
      <c r="BA345" s="464">
        <f t="shared" ca="1" si="297"/>
        <v>2.1372602999999999E-3</v>
      </c>
      <c r="BB345" s="465">
        <f t="shared" ca="1" si="297"/>
        <v>2.2109589000000002E-3</v>
      </c>
      <c r="BC345" s="466">
        <f t="shared" ca="1" si="298"/>
        <v>53114</v>
      </c>
      <c r="BD345" s="467">
        <f t="shared" ca="1" si="311"/>
        <v>53115</v>
      </c>
      <c r="BE345" s="467">
        <f t="shared" ca="1" si="299"/>
        <v>53143</v>
      </c>
      <c r="BF345" s="468">
        <f ca="1">IF(計算!$BC345&lt;OP!$C$3,0,BD345-BC345)</f>
        <v>1</v>
      </c>
      <c r="BG345" s="468">
        <f ca="1">IF($BE345&gt;DATE(YEAR($BD$9)+OP!$C$57,MONTH($BD$9),DAY($BD$9)),0,$BE345-$BD345+1)</f>
        <v>29</v>
      </c>
      <c r="BH345" s="469">
        <f t="shared" ca="1" si="300"/>
        <v>30</v>
      </c>
      <c r="BI345">
        <f t="shared" ca="1" si="316"/>
        <v>365</v>
      </c>
      <c r="BJ345">
        <v>12</v>
      </c>
      <c r="BN345" s="468">
        <f t="shared" si="312"/>
        <v>28</v>
      </c>
      <c r="BO345" s="468">
        <f t="shared" si="313"/>
        <v>12</v>
      </c>
      <c r="BP345" s="467">
        <f t="shared" ca="1" si="301"/>
        <v>53115</v>
      </c>
      <c r="BQ345" s="475">
        <f t="shared" ca="1" si="315"/>
        <v>60</v>
      </c>
      <c r="BR345" s="475">
        <f t="shared" si="314"/>
        <v>28</v>
      </c>
      <c r="BS345" s="471">
        <f t="shared" ca="1" si="302"/>
        <v>11107</v>
      </c>
      <c r="BT345" s="472">
        <f t="shared" ca="1" si="317"/>
        <v>263511</v>
      </c>
      <c r="BU345" s="472">
        <f t="shared" ca="1" si="303"/>
        <v>10851</v>
      </c>
      <c r="BV345" s="472">
        <f t="shared" ca="1" si="303"/>
        <v>256</v>
      </c>
      <c r="BW345" s="472">
        <f ca="1">ROUND(SUM(BY345,BZ333:BZ344),0)</f>
        <v>6692</v>
      </c>
      <c r="BX345" s="473">
        <f t="shared" ca="1" si="304"/>
        <v>263509.99345392903</v>
      </c>
      <c r="BY345" s="473">
        <f t="shared" ca="1" si="305"/>
        <v>18.600376432000001</v>
      </c>
      <c r="BZ345" s="473">
        <f t="shared" ca="1" si="287"/>
        <v>563.18944766200002</v>
      </c>
      <c r="CA345" s="476">
        <f t="shared" ca="1" si="306"/>
        <v>10851</v>
      </c>
      <c r="CB345" s="494">
        <f ca="1">IF(OR($Q344&lt;&gt;1,OP!$D$5+$BN345-1&lt;16,$BN345-1&lt;1),0,ROUND(ROUND(ROUND(((VLOOKUP($BN345-1,MORE_PV,5,0)/10000)*VLOOKUP($BN345,MORE_PV,$CB$5,0)),3)*VLOOKUP($BN345,more1,5,0),0)/$R344,0))</f>
        <v>256</v>
      </c>
      <c r="CC345" s="473">
        <f t="shared" ca="1" si="307"/>
        <v>0</v>
      </c>
      <c r="CD345" s="477"/>
    </row>
    <row r="346" spans="2:82" ht="16.5" hidden="1">
      <c r="B346" s="80"/>
      <c r="C346" s="80"/>
      <c r="D346" s="80"/>
      <c r="E346" s="80"/>
      <c r="F346" s="80"/>
      <c r="G346" s="80"/>
      <c r="H346" s="80"/>
      <c r="I346" s="80"/>
      <c r="J346" s="192">
        <f t="shared" si="288"/>
        <v>29</v>
      </c>
      <c r="K346" s="192">
        <f t="shared" si="289"/>
        <v>2</v>
      </c>
      <c r="L346" s="192" t="str">
        <f t="shared" si="284"/>
        <v/>
      </c>
      <c r="M346" s="216">
        <f t="shared" ca="1" si="290"/>
        <v>0</v>
      </c>
      <c r="N346" s="216"/>
      <c r="O346" s="216"/>
      <c r="P346" s="216"/>
      <c r="Q346" s="456" t="str">
        <f t="shared" ca="1" si="291"/>
        <v/>
      </c>
      <c r="R346" s="450">
        <f t="shared" ca="1" si="292"/>
        <v>1</v>
      </c>
      <c r="S346" s="191">
        <f t="shared" si="293"/>
        <v>29</v>
      </c>
      <c r="T346" s="191">
        <f t="shared" si="294"/>
        <v>2</v>
      </c>
      <c r="U346" s="191">
        <f ca="1">OP!$D$5+$S346-1</f>
        <v>61</v>
      </c>
      <c r="V346" s="191" t="str">
        <f t="shared" si="295"/>
        <v/>
      </c>
      <c r="W346" s="350">
        <f ca="1">IF(Q346&lt;&gt;1,0,VLOOKUP(OP!$C$55,PVFB,$S346+2,0))</f>
        <v>0</v>
      </c>
      <c r="X346" s="473">
        <f t="shared" ca="1" si="308"/>
        <v>0</v>
      </c>
      <c r="Y346" s="348">
        <f t="shared" ca="1" si="309"/>
        <v>0</v>
      </c>
      <c r="Z346" s="348">
        <f t="shared" ca="1" si="310"/>
        <v>8012</v>
      </c>
      <c r="AA346" s="348">
        <f ca="1">IF(Q346&lt;&gt;1,0,VLOOKUP(OP!$C$55,PVFB,$S346+2,0))</f>
        <v>0</v>
      </c>
      <c r="AB346" s="488" t="str">
        <f ca="1">IF(AND(S346&lt;OP!$C$24,$U346&lt;15),0,IF(AND($U346&lt;15,$T346=12),ROUND(VLOOKUP($S346,DOWN16,5,0),3),IF($T346=12,ROUND(($Z346/10000)*$AA346,3)+IF(AND($P$7="購買增額繳清保險",T346=12,U346=110),VLOOKUP(S346,$B$10:$H$121,7,0),0),"")))</f>
        <v/>
      </c>
      <c r="AC346" s="350" t="str">
        <f ca="1">IF(AND(S346&lt;OP!$C$24,$U346&lt;15),0,IF(AND($U346&lt;16,$T346=12),VLOOKUP($S346,DOWN16,4,0),IF($T346=12,ROUND(VLOOKUP(OP!$C$55,_DIE2,$S346+1,0)*(Z346/10000),0)+IF(AND($P$7="購買增額繳清保險",T346=12,U346=110),VLOOKUP(S346,$B$10:$H$121,7,0),0),"")))</f>
        <v/>
      </c>
      <c r="AD346" s="347"/>
      <c r="AE346" s="350" t="str">
        <f t="shared" ca="1" si="285"/>
        <v/>
      </c>
      <c r="AF346" s="351" t="str">
        <f t="shared" ca="1" si="286"/>
        <v/>
      </c>
      <c r="AG346" s="340"/>
      <c r="AH346" s="340"/>
      <c r="AI346" s="340"/>
      <c r="AJ346" s="340"/>
      <c r="AK346" s="340"/>
      <c r="AL346" s="340"/>
      <c r="AM346" s="340"/>
      <c r="AN346" s="340"/>
      <c r="AO346" s="340"/>
      <c r="AP346" s="340"/>
      <c r="AQ346" s="340"/>
      <c r="AR346" s="340"/>
      <c r="AS346" s="340"/>
      <c r="AT346" s="340"/>
      <c r="AU346" s="340"/>
      <c r="AV346" s="340"/>
      <c r="AY346" s="340"/>
      <c r="AZ346" s="465">
        <f t="shared" ca="1" si="296"/>
        <v>7.3698599999999999E-5</v>
      </c>
      <c r="BA346" s="464">
        <f t="shared" ca="1" si="297"/>
        <v>2.2109589000000002E-3</v>
      </c>
      <c r="BB346" s="465">
        <f t="shared" ca="1" si="297"/>
        <v>2.2846575E-3</v>
      </c>
      <c r="BC346" s="466">
        <f t="shared" ca="1" si="298"/>
        <v>53144</v>
      </c>
      <c r="BD346" s="467">
        <f t="shared" ca="1" si="311"/>
        <v>53145</v>
      </c>
      <c r="BE346" s="467">
        <f t="shared" ca="1" si="299"/>
        <v>53174</v>
      </c>
      <c r="BF346" s="468">
        <f ca="1">IF(計算!$BC346&lt;OP!$C$3,0,BD346-BC346)</f>
        <v>1</v>
      </c>
      <c r="BG346" s="468">
        <f ca="1">IF($BE346&gt;DATE(YEAR($BD$9)+OP!$C$57,MONTH($BD$9),DAY($BD$9)),0,$BE346-$BD346+1)</f>
        <v>30</v>
      </c>
      <c r="BH346" s="469">
        <f t="shared" ca="1" si="300"/>
        <v>31</v>
      </c>
      <c r="BI346" t="str">
        <f t="shared" si="316"/>
        <v/>
      </c>
      <c r="BJ346">
        <v>1</v>
      </c>
      <c r="BN346" s="468">
        <f t="shared" si="312"/>
        <v>29</v>
      </c>
      <c r="BO346" s="468">
        <f t="shared" si="313"/>
        <v>1</v>
      </c>
      <c r="BP346" s="467">
        <f t="shared" ca="1" si="301"/>
        <v>53145</v>
      </c>
      <c r="BQ346" s="475">
        <f t="shared" ca="1" si="315"/>
        <v>61</v>
      </c>
      <c r="BR346" s="475" t="str">
        <f t="shared" si="314"/>
        <v/>
      </c>
      <c r="BS346" s="471" t="str">
        <f t="shared" si="302"/>
        <v/>
      </c>
      <c r="BT346" s="472" t="str">
        <f t="shared" si="317"/>
        <v/>
      </c>
      <c r="BU346" s="472">
        <f t="shared" ca="1" si="303"/>
        <v>0</v>
      </c>
      <c r="BV346" s="472">
        <f t="shared" ca="1" si="303"/>
        <v>0</v>
      </c>
      <c r="BW346" s="472"/>
      <c r="BX346" s="473">
        <f t="shared" ca="1" si="304"/>
        <v>264073.182901591</v>
      </c>
      <c r="BY346" s="473">
        <f t="shared" si="305"/>
        <v>0</v>
      </c>
      <c r="BZ346" s="473">
        <f t="shared" ca="1" si="287"/>
        <v>603.31677786499995</v>
      </c>
      <c r="CA346" s="476">
        <f t="shared" ca="1" si="306"/>
        <v>0</v>
      </c>
      <c r="CB346" s="494">
        <f ca="1">IF(OR($Q345&lt;&gt;1,OP!$D$5+$BN346-1&lt;16,$BN346-1&lt;1),0,ROUND(ROUND(ROUND(((VLOOKUP($BN346-1,MORE_PV,5,0)/10000)*VLOOKUP($BN346,MORE_PV,$CB$5,0)),3)*VLOOKUP($BN346,more1,5,0),0)/$R345,0))</f>
        <v>0</v>
      </c>
      <c r="CC346" s="473">
        <f t="shared" ca="1" si="307"/>
        <v>0</v>
      </c>
      <c r="CD346" s="477"/>
    </row>
    <row r="347" spans="2:82" ht="16.5" hidden="1">
      <c r="B347" s="80"/>
      <c r="C347" s="80"/>
      <c r="D347" s="80"/>
      <c r="E347" s="80"/>
      <c r="F347" s="80"/>
      <c r="G347" s="80"/>
      <c r="H347" s="80"/>
      <c r="I347" s="80"/>
      <c r="J347" s="192">
        <f t="shared" si="288"/>
        <v>29</v>
      </c>
      <c r="K347" s="192">
        <f t="shared" si="289"/>
        <v>3</v>
      </c>
      <c r="L347" s="192" t="str">
        <f t="shared" si="284"/>
        <v/>
      </c>
      <c r="M347" s="216">
        <f t="shared" ca="1" si="290"/>
        <v>0</v>
      </c>
      <c r="N347" s="216"/>
      <c r="O347" s="216"/>
      <c r="P347" s="216"/>
      <c r="Q347" s="456" t="str">
        <f t="shared" ca="1" si="291"/>
        <v/>
      </c>
      <c r="R347" s="450">
        <f t="shared" ca="1" si="292"/>
        <v>1</v>
      </c>
      <c r="S347" s="191">
        <f t="shared" si="293"/>
        <v>29</v>
      </c>
      <c r="T347" s="191">
        <f t="shared" si="294"/>
        <v>3</v>
      </c>
      <c r="U347" s="191">
        <f ca="1">OP!$D$5+$S347-1</f>
        <v>61</v>
      </c>
      <c r="V347" s="191" t="str">
        <f t="shared" si="295"/>
        <v/>
      </c>
      <c r="W347" s="350">
        <f ca="1">IF(Q347&lt;&gt;1,0,VLOOKUP(OP!$C$55,PVFB,$S347+2,0))</f>
        <v>0</v>
      </c>
      <c r="X347" s="473">
        <f t="shared" ca="1" si="308"/>
        <v>0</v>
      </c>
      <c r="Y347" s="348">
        <f t="shared" ca="1" si="309"/>
        <v>0</v>
      </c>
      <c r="Z347" s="348">
        <f t="shared" ca="1" si="310"/>
        <v>8012</v>
      </c>
      <c r="AA347" s="348">
        <f ca="1">IF(Q347&lt;&gt;1,0,VLOOKUP(OP!$C$55,PVFB,$S347+2,0))</f>
        <v>0</v>
      </c>
      <c r="AB347" s="488" t="str">
        <f ca="1">IF(AND(S347&lt;OP!$C$24,$U347&lt;15),0,IF(AND($U347&lt;15,$T347=12),ROUND(VLOOKUP($S347,DOWN16,5,0),3),IF($T347=12,ROUND(($Z347/10000)*$AA347,3)+IF(AND($P$7="購買增額繳清保險",T347=12,U347=110),VLOOKUP(S347,$B$10:$H$121,7,0),0),"")))</f>
        <v/>
      </c>
      <c r="AC347" s="350" t="str">
        <f ca="1">IF(AND(S347&lt;OP!$C$24,$U347&lt;15),0,IF(AND($U347&lt;16,$T347=12),VLOOKUP($S347,DOWN16,4,0),IF($T347=12,ROUND(VLOOKUP(OP!$C$55,_DIE2,$S347+1,0)*(Z347/10000),0)+IF(AND($P$7="購買增額繳清保險",T347=12,U347=110),VLOOKUP(S347,$B$10:$H$121,7,0),0),"")))</f>
        <v/>
      </c>
      <c r="AD347" s="347"/>
      <c r="AE347" s="350" t="str">
        <f t="shared" ca="1" si="285"/>
        <v/>
      </c>
      <c r="AF347" s="351" t="str">
        <f t="shared" ca="1" si="286"/>
        <v/>
      </c>
      <c r="AG347" s="340"/>
      <c r="AH347" s="340"/>
      <c r="AI347" s="340"/>
      <c r="AJ347" s="340"/>
      <c r="AK347" s="340"/>
      <c r="AL347" s="340"/>
      <c r="AM347" s="340"/>
      <c r="AN347" s="340"/>
      <c r="AO347" s="340"/>
      <c r="AP347" s="340"/>
      <c r="AQ347" s="340"/>
      <c r="AR347" s="340"/>
      <c r="AS347" s="340"/>
      <c r="AT347" s="340"/>
      <c r="AU347" s="340"/>
      <c r="AV347" s="340"/>
      <c r="AY347" s="340"/>
      <c r="AZ347" s="465">
        <f t="shared" ca="1" si="296"/>
        <v>7.3698599999999999E-5</v>
      </c>
      <c r="BA347" s="464">
        <f t="shared" ca="1" si="297"/>
        <v>2.2109589000000002E-3</v>
      </c>
      <c r="BB347" s="465">
        <f t="shared" ca="1" si="297"/>
        <v>2.2846575E-3</v>
      </c>
      <c r="BC347" s="466">
        <f t="shared" ca="1" si="298"/>
        <v>53175</v>
      </c>
      <c r="BD347" s="467">
        <f t="shared" ca="1" si="311"/>
        <v>53176</v>
      </c>
      <c r="BE347" s="467">
        <f t="shared" ca="1" si="299"/>
        <v>53205</v>
      </c>
      <c r="BF347" s="468">
        <f ca="1">IF(計算!$BC347&lt;OP!$C$3,0,BD347-BC347)</f>
        <v>1</v>
      </c>
      <c r="BG347" s="468">
        <f ca="1">IF($BE347&gt;DATE(YEAR($BD$9)+OP!$C$57,MONTH($BD$9),DAY($BD$9)),0,$BE347-$BD347+1)</f>
        <v>30</v>
      </c>
      <c r="BH347" s="469">
        <f t="shared" ca="1" si="300"/>
        <v>31</v>
      </c>
      <c r="BI347" t="str">
        <f t="shared" si="316"/>
        <v/>
      </c>
      <c r="BJ347">
        <v>2</v>
      </c>
      <c r="BN347" s="468">
        <f t="shared" si="312"/>
        <v>29</v>
      </c>
      <c r="BO347" s="468">
        <f t="shared" si="313"/>
        <v>2</v>
      </c>
      <c r="BP347" s="467">
        <f t="shared" ca="1" si="301"/>
        <v>53176</v>
      </c>
      <c r="BQ347" s="475">
        <f t="shared" ca="1" si="315"/>
        <v>61</v>
      </c>
      <c r="BR347" s="475" t="str">
        <f t="shared" si="314"/>
        <v/>
      </c>
      <c r="BS347" s="471" t="str">
        <f t="shared" si="302"/>
        <v/>
      </c>
      <c r="BT347" s="472" t="str">
        <f t="shared" si="317"/>
        <v/>
      </c>
      <c r="BU347" s="472">
        <f t="shared" ca="1" si="303"/>
        <v>0</v>
      </c>
      <c r="BV347" s="472">
        <f t="shared" ca="1" si="303"/>
        <v>0</v>
      </c>
      <c r="BW347" s="472"/>
      <c r="BX347" s="473">
        <f t="shared" ca="1" si="304"/>
        <v>264676.499679456</v>
      </c>
      <c r="BY347" s="473">
        <f t="shared" si="305"/>
        <v>0</v>
      </c>
      <c r="BZ347" s="473">
        <f t="shared" ca="1" si="287"/>
        <v>604.695150066</v>
      </c>
      <c r="CA347" s="476">
        <f t="shared" ca="1" si="306"/>
        <v>0</v>
      </c>
      <c r="CB347" s="494">
        <f ca="1">IF(OR($Q346&lt;&gt;1,OP!$D$5+$BN347-1&lt;16,$BN347-1&lt;1),0,ROUND(ROUND(ROUND(((VLOOKUP($BN347-1,MORE_PV,5,0)/10000)*VLOOKUP($BN347,MORE_PV,$CB$5,0)),3)*VLOOKUP($BN347,more1,5,0),0)/$R346,0))</f>
        <v>0</v>
      </c>
      <c r="CC347" s="473">
        <f t="shared" ca="1" si="307"/>
        <v>0</v>
      </c>
      <c r="CD347" s="477"/>
    </row>
    <row r="348" spans="2:82" ht="16.5" hidden="1">
      <c r="B348" s="80"/>
      <c r="C348" s="80"/>
      <c r="D348" s="80"/>
      <c r="E348" s="80"/>
      <c r="F348" s="80"/>
      <c r="G348" s="80"/>
      <c r="H348" s="80"/>
      <c r="I348" s="80"/>
      <c r="J348" s="192">
        <f t="shared" si="288"/>
        <v>29</v>
      </c>
      <c r="K348" s="192">
        <f t="shared" si="289"/>
        <v>4</v>
      </c>
      <c r="L348" s="192" t="str">
        <f t="shared" si="284"/>
        <v/>
      </c>
      <c r="M348" s="216">
        <f t="shared" ca="1" si="290"/>
        <v>0</v>
      </c>
      <c r="N348" s="216"/>
      <c r="O348" s="216"/>
      <c r="P348" s="216"/>
      <c r="Q348" s="456" t="str">
        <f t="shared" ca="1" si="291"/>
        <v/>
      </c>
      <c r="R348" s="450">
        <f t="shared" ca="1" si="292"/>
        <v>1</v>
      </c>
      <c r="S348" s="191">
        <f t="shared" si="293"/>
        <v>29</v>
      </c>
      <c r="T348" s="191">
        <f t="shared" si="294"/>
        <v>4</v>
      </c>
      <c r="U348" s="191">
        <f ca="1">OP!$D$5+$S348-1</f>
        <v>61</v>
      </c>
      <c r="V348" s="191" t="str">
        <f t="shared" si="295"/>
        <v/>
      </c>
      <c r="W348" s="350">
        <f ca="1">IF(Q348&lt;&gt;1,0,VLOOKUP(OP!$C$55,PVFB,$S348+2,0))</f>
        <v>0</v>
      </c>
      <c r="X348" s="473">
        <f t="shared" ca="1" si="308"/>
        <v>0</v>
      </c>
      <c r="Y348" s="348">
        <f t="shared" ca="1" si="309"/>
        <v>0</v>
      </c>
      <c r="Z348" s="348">
        <f t="shared" ca="1" si="310"/>
        <v>8012</v>
      </c>
      <c r="AA348" s="348">
        <f ca="1">IF(Q348&lt;&gt;1,0,VLOOKUP(OP!$C$55,PVFB,$S348+2,0))</f>
        <v>0</v>
      </c>
      <c r="AB348" s="488" t="str">
        <f ca="1">IF(AND(S348&lt;OP!$C$24,$U348&lt;15),0,IF(AND($U348&lt;15,$T348=12),ROUND(VLOOKUP($S348,DOWN16,5,0),3),IF($T348=12,ROUND(($Z348/10000)*$AA348,3)+IF(AND($P$7="購買增額繳清保險",T348=12,U348=110),VLOOKUP(S348,$B$10:$H$121,7,0),0),"")))</f>
        <v/>
      </c>
      <c r="AC348" s="350" t="str">
        <f ca="1">IF(AND(S348&lt;OP!$C$24,$U348&lt;15),0,IF(AND($U348&lt;16,$T348=12),VLOOKUP($S348,DOWN16,4,0),IF($T348=12,ROUND(VLOOKUP(OP!$C$55,_DIE2,$S348+1,0)*(Z348/10000),0)+IF(AND($P$7="購買增額繳清保險",T348=12,U348=110),VLOOKUP(S348,$B$10:$H$121,7,0),0),"")))</f>
        <v/>
      </c>
      <c r="AD348" s="347"/>
      <c r="AE348" s="350" t="str">
        <f t="shared" ca="1" si="285"/>
        <v/>
      </c>
      <c r="AF348" s="351" t="str">
        <f t="shared" ca="1" si="286"/>
        <v/>
      </c>
      <c r="AG348" s="340"/>
      <c r="AH348" s="340"/>
      <c r="AI348" s="340"/>
      <c r="AJ348" s="340"/>
      <c r="AK348" s="340"/>
      <c r="AL348" s="340"/>
      <c r="AM348" s="340"/>
      <c r="AN348" s="340"/>
      <c r="AO348" s="340"/>
      <c r="AP348" s="340"/>
      <c r="AQ348" s="340"/>
      <c r="AR348" s="340"/>
      <c r="AS348" s="340"/>
      <c r="AT348" s="340"/>
      <c r="AU348" s="340"/>
      <c r="AV348" s="340"/>
      <c r="AY348" s="340"/>
      <c r="AZ348" s="465">
        <f t="shared" ca="1" si="296"/>
        <v>7.3698599999999999E-5</v>
      </c>
      <c r="BA348" s="464">
        <f t="shared" ca="1" si="297"/>
        <v>2.1372602999999999E-3</v>
      </c>
      <c r="BB348" s="465">
        <f t="shared" ca="1" si="297"/>
        <v>2.2109589000000002E-3</v>
      </c>
      <c r="BC348" s="466">
        <f t="shared" ca="1" si="298"/>
        <v>53206</v>
      </c>
      <c r="BD348" s="467">
        <f t="shared" ca="1" si="311"/>
        <v>53207</v>
      </c>
      <c r="BE348" s="467">
        <f t="shared" ca="1" si="299"/>
        <v>53235</v>
      </c>
      <c r="BF348" s="468">
        <f ca="1">IF(計算!$BC348&lt;OP!$C$3,0,BD348-BC348)</f>
        <v>1</v>
      </c>
      <c r="BG348" s="468">
        <f ca="1">IF($BE348&gt;DATE(YEAR($BD$9)+OP!$C$57,MONTH($BD$9),DAY($BD$9)),0,$BE348-$BD348+1)</f>
        <v>29</v>
      </c>
      <c r="BH348" s="469">
        <f t="shared" ca="1" si="300"/>
        <v>30</v>
      </c>
      <c r="BI348" t="str">
        <f t="shared" si="316"/>
        <v/>
      </c>
      <c r="BJ348">
        <v>3</v>
      </c>
      <c r="BN348" s="468">
        <f t="shared" si="312"/>
        <v>29</v>
      </c>
      <c r="BO348" s="468">
        <f t="shared" si="313"/>
        <v>3</v>
      </c>
      <c r="BP348" s="467">
        <f t="shared" ca="1" si="301"/>
        <v>53207</v>
      </c>
      <c r="BQ348" s="475">
        <f t="shared" ca="1" si="315"/>
        <v>61</v>
      </c>
      <c r="BR348" s="475" t="str">
        <f t="shared" si="314"/>
        <v/>
      </c>
      <c r="BS348" s="471" t="str">
        <f t="shared" si="302"/>
        <v/>
      </c>
      <c r="BT348" s="472" t="str">
        <f t="shared" si="317"/>
        <v/>
      </c>
      <c r="BU348" s="472">
        <f t="shared" ca="1" si="303"/>
        <v>0</v>
      </c>
      <c r="BV348" s="472">
        <f t="shared" ca="1" si="303"/>
        <v>0</v>
      </c>
      <c r="BW348" s="472"/>
      <c r="BX348" s="473">
        <f t="shared" ca="1" si="304"/>
        <v>265281.19482952199</v>
      </c>
      <c r="BY348" s="473">
        <f t="shared" si="305"/>
        <v>0</v>
      </c>
      <c r="BZ348" s="473">
        <f t="shared" ca="1" si="287"/>
        <v>586.52581871100006</v>
      </c>
      <c r="CA348" s="476">
        <f t="shared" ca="1" si="306"/>
        <v>0</v>
      </c>
      <c r="CB348" s="494">
        <f ca="1">IF(OR($Q347&lt;&gt;1,OP!$D$5+$BN348-1&lt;16,$BN348-1&lt;1),0,ROUND(ROUND(ROUND(((VLOOKUP($BN348-1,MORE_PV,5,0)/10000)*VLOOKUP($BN348,MORE_PV,$CB$5,0)),3)*VLOOKUP($BN348,more1,5,0),0)/$R347,0))</f>
        <v>0</v>
      </c>
      <c r="CC348" s="473">
        <f t="shared" ca="1" si="307"/>
        <v>0</v>
      </c>
      <c r="CD348" s="477"/>
    </row>
    <row r="349" spans="2:82" ht="16.5" hidden="1">
      <c r="B349" s="80"/>
      <c r="C349" s="80"/>
      <c r="D349" s="80"/>
      <c r="E349" s="80"/>
      <c r="F349" s="80"/>
      <c r="G349" s="80"/>
      <c r="H349" s="80"/>
      <c r="I349" s="80"/>
      <c r="J349" s="192">
        <f t="shared" si="288"/>
        <v>29</v>
      </c>
      <c r="K349" s="192">
        <f t="shared" si="289"/>
        <v>5</v>
      </c>
      <c r="L349" s="192" t="str">
        <f t="shared" si="284"/>
        <v/>
      </c>
      <c r="M349" s="216">
        <f t="shared" ca="1" si="290"/>
        <v>0</v>
      </c>
      <c r="N349" s="216"/>
      <c r="O349" s="216"/>
      <c r="P349" s="216"/>
      <c r="Q349" s="456" t="str">
        <f t="shared" ca="1" si="291"/>
        <v/>
      </c>
      <c r="R349" s="450">
        <f t="shared" ca="1" si="292"/>
        <v>1</v>
      </c>
      <c r="S349" s="191">
        <f t="shared" si="293"/>
        <v>29</v>
      </c>
      <c r="T349" s="191">
        <f t="shared" si="294"/>
        <v>5</v>
      </c>
      <c r="U349" s="191">
        <f ca="1">OP!$D$5+$S349-1</f>
        <v>61</v>
      </c>
      <c r="V349" s="191" t="str">
        <f t="shared" si="295"/>
        <v/>
      </c>
      <c r="W349" s="350">
        <f ca="1">IF(Q349&lt;&gt;1,0,VLOOKUP(OP!$C$55,PVFB,$S349+2,0))</f>
        <v>0</v>
      </c>
      <c r="X349" s="473">
        <f t="shared" ca="1" si="308"/>
        <v>0</v>
      </c>
      <c r="Y349" s="348">
        <f t="shared" ca="1" si="309"/>
        <v>0</v>
      </c>
      <c r="Z349" s="348">
        <f t="shared" ca="1" si="310"/>
        <v>8012</v>
      </c>
      <c r="AA349" s="348">
        <f ca="1">IF(Q349&lt;&gt;1,0,VLOOKUP(OP!$C$55,PVFB,$S349+2,0))</f>
        <v>0</v>
      </c>
      <c r="AB349" s="488" t="str">
        <f ca="1">IF(AND(S349&lt;OP!$C$24,$U349&lt;15),0,IF(AND($U349&lt;15,$T349=12),ROUND(VLOOKUP($S349,DOWN16,5,0),3),IF($T349=12,ROUND(($Z349/10000)*$AA349,3)+IF(AND($P$7="購買增額繳清保險",T349=12,U349=110),VLOOKUP(S349,$B$10:$H$121,7,0),0),"")))</f>
        <v/>
      </c>
      <c r="AC349" s="350" t="str">
        <f ca="1">IF(AND(S349&lt;OP!$C$24,$U349&lt;15),0,IF(AND($U349&lt;16,$T349=12),VLOOKUP($S349,DOWN16,4,0),IF($T349=12,ROUND(VLOOKUP(OP!$C$55,_DIE2,$S349+1,0)*(Z349/10000),0)+IF(AND($P$7="購買增額繳清保險",T349=12,U349=110),VLOOKUP(S349,$B$10:$H$121,7,0),0),"")))</f>
        <v/>
      </c>
      <c r="AD349" s="347"/>
      <c r="AE349" s="350" t="str">
        <f t="shared" ca="1" si="285"/>
        <v/>
      </c>
      <c r="AF349" s="351" t="str">
        <f t="shared" ca="1" si="286"/>
        <v/>
      </c>
      <c r="AG349" s="340"/>
      <c r="AH349" s="340"/>
      <c r="AI349" s="340"/>
      <c r="AJ349" s="340"/>
      <c r="AK349" s="340"/>
      <c r="AL349" s="340"/>
      <c r="AM349" s="340"/>
      <c r="AN349" s="340"/>
      <c r="AO349" s="340"/>
      <c r="AP349" s="340"/>
      <c r="AQ349" s="340"/>
      <c r="AR349" s="340"/>
      <c r="AS349" s="340"/>
      <c r="AT349" s="340"/>
      <c r="AU349" s="340"/>
      <c r="AV349" s="340"/>
      <c r="AY349" s="340"/>
      <c r="AZ349" s="465">
        <f t="shared" ca="1" si="296"/>
        <v>7.3698599999999999E-5</v>
      </c>
      <c r="BA349" s="464">
        <f t="shared" ca="1" si="297"/>
        <v>2.2109589000000002E-3</v>
      </c>
      <c r="BB349" s="465">
        <f t="shared" ca="1" si="297"/>
        <v>2.2846575E-3</v>
      </c>
      <c r="BC349" s="466">
        <f t="shared" ca="1" si="298"/>
        <v>53236</v>
      </c>
      <c r="BD349" s="467">
        <f t="shared" ca="1" si="311"/>
        <v>53237</v>
      </c>
      <c r="BE349" s="467">
        <f t="shared" ca="1" si="299"/>
        <v>53266</v>
      </c>
      <c r="BF349" s="468">
        <f ca="1">IF(計算!$BC349&lt;OP!$C$3,0,BD349-BC349)</f>
        <v>1</v>
      </c>
      <c r="BG349" s="468">
        <f ca="1">IF($BE349&gt;DATE(YEAR($BD$9)+OP!$C$57,MONTH($BD$9),DAY($BD$9)),0,$BE349-$BD349+1)</f>
        <v>30</v>
      </c>
      <c r="BH349" s="469">
        <f t="shared" ca="1" si="300"/>
        <v>31</v>
      </c>
      <c r="BI349" t="str">
        <f t="shared" si="316"/>
        <v/>
      </c>
      <c r="BJ349">
        <v>4</v>
      </c>
      <c r="BN349" s="468">
        <f t="shared" si="312"/>
        <v>29</v>
      </c>
      <c r="BO349" s="468">
        <f t="shared" si="313"/>
        <v>4</v>
      </c>
      <c r="BP349" s="467">
        <f t="shared" ca="1" si="301"/>
        <v>53237</v>
      </c>
      <c r="BQ349" s="475">
        <f t="shared" ca="1" si="315"/>
        <v>61</v>
      </c>
      <c r="BR349" s="475" t="str">
        <f t="shared" si="314"/>
        <v/>
      </c>
      <c r="BS349" s="471" t="str">
        <f t="shared" si="302"/>
        <v/>
      </c>
      <c r="BT349" s="472" t="str">
        <f t="shared" si="317"/>
        <v/>
      </c>
      <c r="BU349" s="472">
        <f t="shared" ca="1" si="303"/>
        <v>0</v>
      </c>
      <c r="BV349" s="472">
        <f t="shared" ca="1" si="303"/>
        <v>0</v>
      </c>
      <c r="BW349" s="472"/>
      <c r="BX349" s="473">
        <f t="shared" ca="1" si="304"/>
        <v>265867.72064823302</v>
      </c>
      <c r="BY349" s="473">
        <f t="shared" si="305"/>
        <v>0</v>
      </c>
      <c r="BZ349" s="473">
        <f t="shared" ca="1" si="287"/>
        <v>607.41668198699995</v>
      </c>
      <c r="CA349" s="476">
        <f t="shared" ca="1" si="306"/>
        <v>0</v>
      </c>
      <c r="CB349" s="494">
        <f ca="1">IF(OR($Q348&lt;&gt;1,OP!$D$5+$BN349-1&lt;16,$BN349-1&lt;1),0,ROUND(ROUND(ROUND(((VLOOKUP($BN349-1,MORE_PV,5,0)/10000)*VLOOKUP($BN349,MORE_PV,$CB$5,0)),3)*VLOOKUP($BN349,more1,5,0),0)/$R348,0))</f>
        <v>0</v>
      </c>
      <c r="CC349" s="473">
        <f t="shared" ca="1" si="307"/>
        <v>0</v>
      </c>
      <c r="CD349" s="477"/>
    </row>
    <row r="350" spans="2:82" ht="16.5" hidden="1">
      <c r="B350" s="80"/>
      <c r="C350" s="80"/>
      <c r="D350" s="80"/>
      <c r="E350" s="80"/>
      <c r="F350" s="80"/>
      <c r="G350" s="80"/>
      <c r="H350" s="80"/>
      <c r="I350" s="80"/>
      <c r="J350" s="192">
        <f t="shared" si="288"/>
        <v>29</v>
      </c>
      <c r="K350" s="192">
        <f t="shared" si="289"/>
        <v>6</v>
      </c>
      <c r="L350" s="192" t="str">
        <f t="shared" si="284"/>
        <v/>
      </c>
      <c r="M350" s="216">
        <f t="shared" ca="1" si="290"/>
        <v>0</v>
      </c>
      <c r="N350" s="216"/>
      <c r="O350" s="216"/>
      <c r="P350" s="216"/>
      <c r="Q350" s="456" t="str">
        <f t="shared" ca="1" si="291"/>
        <v/>
      </c>
      <c r="R350" s="450">
        <f t="shared" ca="1" si="292"/>
        <v>1</v>
      </c>
      <c r="S350" s="191">
        <f t="shared" si="293"/>
        <v>29</v>
      </c>
      <c r="T350" s="191">
        <f t="shared" si="294"/>
        <v>6</v>
      </c>
      <c r="U350" s="191">
        <f ca="1">OP!$D$5+$S350-1</f>
        <v>61</v>
      </c>
      <c r="V350" s="191" t="str">
        <f t="shared" si="295"/>
        <v/>
      </c>
      <c r="W350" s="350">
        <f ca="1">IF(Q350&lt;&gt;1,0,VLOOKUP(OP!$C$55,PVFB,$S350+2,0))</f>
        <v>0</v>
      </c>
      <c r="X350" s="473">
        <f t="shared" ca="1" si="308"/>
        <v>0</v>
      </c>
      <c r="Y350" s="348">
        <f t="shared" ca="1" si="309"/>
        <v>0</v>
      </c>
      <c r="Z350" s="348">
        <f t="shared" ca="1" si="310"/>
        <v>8012</v>
      </c>
      <c r="AA350" s="348">
        <f ca="1">IF(Q350&lt;&gt;1,0,VLOOKUP(OP!$C$55,PVFB,$S350+2,0))</f>
        <v>0</v>
      </c>
      <c r="AB350" s="488" t="str">
        <f ca="1">IF(AND(S350&lt;OP!$C$24,$U350&lt;15),0,IF(AND($U350&lt;15,$T350=12),ROUND(VLOOKUP($S350,DOWN16,5,0),3),IF($T350=12,ROUND(($Z350/10000)*$AA350,3)+IF(AND($P$7="購買增額繳清保險",T350=12,U350=110),VLOOKUP(S350,$B$10:$H$121,7,0),0),"")))</f>
        <v/>
      </c>
      <c r="AC350" s="350" t="str">
        <f ca="1">IF(AND(S350&lt;OP!$C$24,$U350&lt;15),0,IF(AND($U350&lt;16,$T350=12),VLOOKUP($S350,DOWN16,4,0),IF($T350=12,ROUND(VLOOKUP(OP!$C$55,_DIE2,$S350+1,0)*(Z350/10000),0)+IF(AND($P$7="購買增額繳清保險",T350=12,U350=110),VLOOKUP(S350,$B$10:$H$121,7,0),0),"")))</f>
        <v/>
      </c>
      <c r="AD350" s="347"/>
      <c r="AE350" s="350" t="str">
        <f t="shared" ca="1" si="285"/>
        <v/>
      </c>
      <c r="AF350" s="351" t="str">
        <f t="shared" ca="1" si="286"/>
        <v/>
      </c>
      <c r="AG350" s="340"/>
      <c r="AH350" s="340"/>
      <c r="AI350" s="340"/>
      <c r="AJ350" s="340"/>
      <c r="AK350" s="340"/>
      <c r="AL350" s="340"/>
      <c r="AM350" s="340"/>
      <c r="AN350" s="340"/>
      <c r="AO350" s="340"/>
      <c r="AP350" s="340"/>
      <c r="AQ350" s="340"/>
      <c r="AR350" s="340"/>
      <c r="AS350" s="340"/>
      <c r="AT350" s="340"/>
      <c r="AU350" s="340"/>
      <c r="AV350" s="340"/>
      <c r="AY350" s="340"/>
      <c r="AZ350" s="465">
        <f t="shared" ca="1" si="296"/>
        <v>7.3698599999999999E-5</v>
      </c>
      <c r="BA350" s="464">
        <f t="shared" ca="1" si="297"/>
        <v>2.1372602999999999E-3</v>
      </c>
      <c r="BB350" s="465">
        <f t="shared" ca="1" si="297"/>
        <v>2.2109589000000002E-3</v>
      </c>
      <c r="BC350" s="466">
        <f t="shared" ca="1" si="298"/>
        <v>53267</v>
      </c>
      <c r="BD350" s="467">
        <f t="shared" ca="1" si="311"/>
        <v>53268</v>
      </c>
      <c r="BE350" s="467">
        <f t="shared" ca="1" si="299"/>
        <v>53296</v>
      </c>
      <c r="BF350" s="468">
        <f ca="1">IF(計算!$BC350&lt;OP!$C$3,0,BD350-BC350)</f>
        <v>1</v>
      </c>
      <c r="BG350" s="468">
        <f ca="1">IF($BE350&gt;DATE(YEAR($BD$9)+OP!$C$57,MONTH($BD$9),DAY($BD$9)),0,$BE350-$BD350+1)</f>
        <v>29</v>
      </c>
      <c r="BH350" s="469">
        <f t="shared" ca="1" si="300"/>
        <v>30</v>
      </c>
      <c r="BI350" t="str">
        <f t="shared" si="316"/>
        <v/>
      </c>
      <c r="BJ350">
        <v>5</v>
      </c>
      <c r="BN350" s="468">
        <f t="shared" si="312"/>
        <v>29</v>
      </c>
      <c r="BO350" s="468">
        <f t="shared" si="313"/>
        <v>5</v>
      </c>
      <c r="BP350" s="467">
        <f t="shared" ca="1" si="301"/>
        <v>53268</v>
      </c>
      <c r="BQ350" s="475">
        <f t="shared" ca="1" si="315"/>
        <v>61</v>
      </c>
      <c r="BR350" s="475" t="str">
        <f t="shared" si="314"/>
        <v/>
      </c>
      <c r="BS350" s="471" t="str">
        <f t="shared" si="302"/>
        <v/>
      </c>
      <c r="BT350" s="472" t="str">
        <f t="shared" si="317"/>
        <v/>
      </c>
      <c r="BU350" s="472">
        <f t="shared" ca="1" si="303"/>
        <v>0</v>
      </c>
      <c r="BV350" s="472">
        <f t="shared" ca="1" si="303"/>
        <v>0</v>
      </c>
      <c r="BW350" s="472"/>
      <c r="BX350" s="473">
        <f t="shared" ca="1" si="304"/>
        <v>266475.13733022002</v>
      </c>
      <c r="BY350" s="473">
        <f t="shared" si="305"/>
        <v>0</v>
      </c>
      <c r="BZ350" s="473">
        <f t="shared" ca="1" si="287"/>
        <v>589.16557650899995</v>
      </c>
      <c r="CA350" s="476">
        <f t="shared" ca="1" si="306"/>
        <v>0</v>
      </c>
      <c r="CB350" s="494">
        <f ca="1">IF(OR($Q349&lt;&gt;1,OP!$D$5+$BN350-1&lt;16,$BN350-1&lt;1),0,ROUND(ROUND(ROUND(((VLOOKUP($BN350-1,MORE_PV,5,0)/10000)*VLOOKUP($BN350,MORE_PV,$CB$5,0)),3)*VLOOKUP($BN350,more1,5,0),0)/$R349,0))</f>
        <v>0</v>
      </c>
      <c r="CC350" s="473">
        <f t="shared" ca="1" si="307"/>
        <v>0</v>
      </c>
      <c r="CD350" s="477"/>
    </row>
    <row r="351" spans="2:82" ht="16.5" hidden="1">
      <c r="B351" s="80"/>
      <c r="C351" s="80"/>
      <c r="D351" s="80"/>
      <c r="E351" s="80"/>
      <c r="F351" s="80"/>
      <c r="G351" s="80"/>
      <c r="H351" s="80"/>
      <c r="I351" s="80"/>
      <c r="J351" s="192">
        <f t="shared" si="288"/>
        <v>29</v>
      </c>
      <c r="K351" s="192">
        <f t="shared" si="289"/>
        <v>7</v>
      </c>
      <c r="L351" s="192" t="str">
        <f t="shared" si="284"/>
        <v/>
      </c>
      <c r="M351" s="216">
        <f t="shared" ca="1" si="290"/>
        <v>0</v>
      </c>
      <c r="N351" s="216"/>
      <c r="O351" s="216"/>
      <c r="P351" s="216"/>
      <c r="Q351" s="456" t="str">
        <f t="shared" ca="1" si="291"/>
        <v/>
      </c>
      <c r="R351" s="450">
        <f t="shared" ca="1" si="292"/>
        <v>1</v>
      </c>
      <c r="S351" s="191">
        <f t="shared" si="293"/>
        <v>29</v>
      </c>
      <c r="T351" s="191">
        <f t="shared" si="294"/>
        <v>7</v>
      </c>
      <c r="U351" s="191">
        <f ca="1">OP!$D$5+$S351-1</f>
        <v>61</v>
      </c>
      <c r="V351" s="191" t="str">
        <f t="shared" si="295"/>
        <v/>
      </c>
      <c r="W351" s="350">
        <f ca="1">IF(Q351&lt;&gt;1,0,VLOOKUP(OP!$C$55,PVFB,$S351+2,0))</f>
        <v>0</v>
      </c>
      <c r="X351" s="473">
        <f t="shared" ca="1" si="308"/>
        <v>0</v>
      </c>
      <c r="Y351" s="348">
        <f t="shared" ca="1" si="309"/>
        <v>0</v>
      </c>
      <c r="Z351" s="348">
        <f t="shared" ca="1" si="310"/>
        <v>8012</v>
      </c>
      <c r="AA351" s="348">
        <f ca="1">IF(Q351&lt;&gt;1,0,VLOOKUP(OP!$C$55,PVFB,$S351+2,0))</f>
        <v>0</v>
      </c>
      <c r="AB351" s="488" t="str">
        <f ca="1">IF(AND(S351&lt;OP!$C$24,$U351&lt;15),0,IF(AND($U351&lt;15,$T351=12),ROUND(VLOOKUP($S351,DOWN16,5,0),3),IF($T351=12,ROUND(($Z351/10000)*$AA351,3)+IF(AND($P$7="購買增額繳清保險",T351=12,U351=110),VLOOKUP(S351,$B$10:$H$121,7,0),0),"")))</f>
        <v/>
      </c>
      <c r="AC351" s="350" t="str">
        <f ca="1">IF(AND(S351&lt;OP!$C$24,$U351&lt;15),0,IF(AND($U351&lt;16,$T351=12),VLOOKUP($S351,DOWN16,4,0),IF($T351=12,ROUND(VLOOKUP(OP!$C$55,_DIE2,$S351+1,0)*(Z351/10000),0)+IF(AND($P$7="購買增額繳清保險",T351=12,U351=110),VLOOKUP(S351,$B$10:$H$121,7,0),0),"")))</f>
        <v/>
      </c>
      <c r="AD351" s="347"/>
      <c r="AE351" s="350" t="str">
        <f t="shared" ca="1" si="285"/>
        <v/>
      </c>
      <c r="AF351" s="351" t="str">
        <f t="shared" ca="1" si="286"/>
        <v/>
      </c>
      <c r="AG351" s="340"/>
      <c r="AH351" s="340"/>
      <c r="AI351" s="340"/>
      <c r="AJ351" s="340"/>
      <c r="AK351" s="340"/>
      <c r="AL351" s="340"/>
      <c r="AM351" s="340"/>
      <c r="AN351" s="340"/>
      <c r="AO351" s="340"/>
      <c r="AP351" s="340"/>
      <c r="AQ351" s="340"/>
      <c r="AR351" s="340"/>
      <c r="AS351" s="340"/>
      <c r="AT351" s="340"/>
      <c r="AU351" s="340"/>
      <c r="AV351" s="340"/>
      <c r="AY351" s="340"/>
      <c r="AZ351" s="465">
        <f t="shared" ca="1" si="296"/>
        <v>7.3698599999999999E-5</v>
      </c>
      <c r="BA351" s="464">
        <f t="shared" ca="1" si="297"/>
        <v>2.2109589000000002E-3</v>
      </c>
      <c r="BB351" s="465">
        <f t="shared" ca="1" si="297"/>
        <v>2.2846575E-3</v>
      </c>
      <c r="BC351" s="466">
        <f t="shared" ca="1" si="298"/>
        <v>53297</v>
      </c>
      <c r="BD351" s="467">
        <f t="shared" ca="1" si="311"/>
        <v>53298</v>
      </c>
      <c r="BE351" s="467">
        <f t="shared" ca="1" si="299"/>
        <v>53327</v>
      </c>
      <c r="BF351" s="468">
        <f ca="1">IF(計算!$BC351&lt;OP!$C$3,0,BD351-BC351)</f>
        <v>1</v>
      </c>
      <c r="BG351" s="468">
        <f ca="1">IF($BE351&gt;DATE(YEAR($BD$9)+OP!$C$57,MONTH($BD$9),DAY($BD$9)),0,$BE351-$BD351+1)</f>
        <v>30</v>
      </c>
      <c r="BH351" s="469">
        <f t="shared" ca="1" si="300"/>
        <v>31</v>
      </c>
      <c r="BI351" t="str">
        <f t="shared" si="316"/>
        <v/>
      </c>
      <c r="BJ351">
        <v>6</v>
      </c>
      <c r="BN351" s="468">
        <f t="shared" si="312"/>
        <v>29</v>
      </c>
      <c r="BO351" s="468">
        <f t="shared" si="313"/>
        <v>6</v>
      </c>
      <c r="BP351" s="467">
        <f t="shared" ca="1" si="301"/>
        <v>53298</v>
      </c>
      <c r="BQ351" s="475">
        <f t="shared" ca="1" si="315"/>
        <v>61</v>
      </c>
      <c r="BR351" s="475" t="str">
        <f t="shared" si="314"/>
        <v/>
      </c>
      <c r="BS351" s="471" t="str">
        <f t="shared" si="302"/>
        <v/>
      </c>
      <c r="BT351" s="472" t="str">
        <f t="shared" si="317"/>
        <v/>
      </c>
      <c r="BU351" s="472">
        <f t="shared" ca="1" si="303"/>
        <v>0</v>
      </c>
      <c r="BV351" s="472">
        <f t="shared" ca="1" si="303"/>
        <v>0</v>
      </c>
      <c r="BW351" s="472"/>
      <c r="BX351" s="473">
        <f t="shared" ca="1" si="304"/>
        <v>267064.30290672899</v>
      </c>
      <c r="BY351" s="473">
        <f t="shared" si="305"/>
        <v>0</v>
      </c>
      <c r="BZ351" s="473">
        <f t="shared" ca="1" si="287"/>
        <v>610.15046261800001</v>
      </c>
      <c r="CA351" s="476">
        <f t="shared" ca="1" si="306"/>
        <v>0</v>
      </c>
      <c r="CB351" s="494">
        <f ca="1">IF(OR($Q350&lt;&gt;1,OP!$D$5+$BN351-1&lt;16,$BN351-1&lt;1),0,ROUND(ROUND(ROUND(((VLOOKUP($BN351-1,MORE_PV,5,0)/10000)*VLOOKUP($BN351,MORE_PV,$CB$5,0)),3)*VLOOKUP($BN351,more1,5,0),0)/$R350,0))</f>
        <v>0</v>
      </c>
      <c r="CC351" s="473">
        <f t="shared" ca="1" si="307"/>
        <v>0</v>
      </c>
      <c r="CD351" s="477"/>
    </row>
    <row r="352" spans="2:82" ht="16.5" hidden="1">
      <c r="B352" s="80"/>
      <c r="C352" s="80"/>
      <c r="D352" s="80"/>
      <c r="E352" s="80"/>
      <c r="F352" s="80"/>
      <c r="G352" s="80"/>
      <c r="H352" s="80"/>
      <c r="I352" s="80"/>
      <c r="J352" s="192">
        <f t="shared" si="288"/>
        <v>29</v>
      </c>
      <c r="K352" s="192">
        <f t="shared" si="289"/>
        <v>8</v>
      </c>
      <c r="L352" s="192" t="str">
        <f t="shared" si="284"/>
        <v/>
      </c>
      <c r="M352" s="216">
        <f t="shared" ca="1" si="290"/>
        <v>0</v>
      </c>
      <c r="N352" s="216"/>
      <c r="O352" s="216"/>
      <c r="P352" s="216"/>
      <c r="Q352" s="456" t="str">
        <f t="shared" ca="1" si="291"/>
        <v/>
      </c>
      <c r="R352" s="450">
        <f t="shared" ca="1" si="292"/>
        <v>1</v>
      </c>
      <c r="S352" s="191">
        <f t="shared" si="293"/>
        <v>29</v>
      </c>
      <c r="T352" s="191">
        <f t="shared" si="294"/>
        <v>8</v>
      </c>
      <c r="U352" s="191">
        <f ca="1">OP!$D$5+$S352-1</f>
        <v>61</v>
      </c>
      <c r="V352" s="191" t="str">
        <f t="shared" si="295"/>
        <v/>
      </c>
      <c r="W352" s="350">
        <f ca="1">IF(Q352&lt;&gt;1,0,VLOOKUP(OP!$C$55,PVFB,$S352+2,0))</f>
        <v>0</v>
      </c>
      <c r="X352" s="473">
        <f t="shared" ca="1" si="308"/>
        <v>0</v>
      </c>
      <c r="Y352" s="348">
        <f t="shared" ca="1" si="309"/>
        <v>0</v>
      </c>
      <c r="Z352" s="348">
        <f t="shared" ca="1" si="310"/>
        <v>8012</v>
      </c>
      <c r="AA352" s="348">
        <f ca="1">IF(Q352&lt;&gt;1,0,VLOOKUP(OP!$C$55,PVFB,$S352+2,0))</f>
        <v>0</v>
      </c>
      <c r="AB352" s="488" t="str">
        <f ca="1">IF(AND(S352&lt;OP!$C$24,$U352&lt;15),0,IF(AND($U352&lt;15,$T352=12),ROUND(VLOOKUP($S352,DOWN16,5,0),3),IF($T352=12,ROUND(($Z352/10000)*$AA352,3)+IF(AND($P$7="購買增額繳清保險",T352=12,U352=110),VLOOKUP(S352,$B$10:$H$121,7,0),0),"")))</f>
        <v/>
      </c>
      <c r="AC352" s="350" t="str">
        <f ca="1">IF(AND(S352&lt;OP!$C$24,$U352&lt;15),0,IF(AND($U352&lt;16,$T352=12),VLOOKUP($S352,DOWN16,4,0),IF($T352=12,ROUND(VLOOKUP(OP!$C$55,_DIE2,$S352+1,0)*(Z352/10000),0)+IF(AND($P$7="購買增額繳清保險",T352=12,U352=110),VLOOKUP(S352,$B$10:$H$121,7,0),0),"")))</f>
        <v/>
      </c>
      <c r="AD352" s="347"/>
      <c r="AE352" s="350" t="str">
        <f t="shared" ca="1" si="285"/>
        <v/>
      </c>
      <c r="AF352" s="351" t="str">
        <f t="shared" ca="1" si="286"/>
        <v/>
      </c>
      <c r="AG352" s="340"/>
      <c r="AH352" s="340"/>
      <c r="AI352" s="340"/>
      <c r="AJ352" s="340"/>
      <c r="AK352" s="340"/>
      <c r="AL352" s="340"/>
      <c r="AM352" s="340"/>
      <c r="AN352" s="340"/>
      <c r="AO352" s="340"/>
      <c r="AP352" s="340"/>
      <c r="AQ352" s="340"/>
      <c r="AR352" s="340"/>
      <c r="AS352" s="340"/>
      <c r="AT352" s="340"/>
      <c r="AU352" s="340"/>
      <c r="AV352" s="340"/>
      <c r="AY352" s="340"/>
      <c r="AZ352" s="465">
        <f t="shared" ca="1" si="296"/>
        <v>7.3698599999999999E-5</v>
      </c>
      <c r="BA352" s="464">
        <f t="shared" ca="1" si="297"/>
        <v>2.2109589000000002E-3</v>
      </c>
      <c r="BB352" s="465">
        <f t="shared" ca="1" si="297"/>
        <v>2.2846575E-3</v>
      </c>
      <c r="BC352" s="466">
        <f t="shared" ca="1" si="298"/>
        <v>53328</v>
      </c>
      <c r="BD352" s="467">
        <f t="shared" ca="1" si="311"/>
        <v>53329</v>
      </c>
      <c r="BE352" s="467">
        <f t="shared" ca="1" si="299"/>
        <v>53358</v>
      </c>
      <c r="BF352" s="468">
        <f ca="1">IF(計算!$BC352&lt;OP!$C$3,0,BD352-BC352)</f>
        <v>1</v>
      </c>
      <c r="BG352" s="468">
        <f ca="1">IF($BE352&gt;DATE(YEAR($BD$9)+OP!$C$57,MONTH($BD$9),DAY($BD$9)),0,$BE352-$BD352+1)</f>
        <v>30</v>
      </c>
      <c r="BH352" s="469">
        <f t="shared" ca="1" si="300"/>
        <v>31</v>
      </c>
      <c r="BI352" t="str">
        <f t="shared" si="316"/>
        <v/>
      </c>
      <c r="BJ352">
        <v>7</v>
      </c>
      <c r="BN352" s="468">
        <f t="shared" si="312"/>
        <v>29</v>
      </c>
      <c r="BO352" s="468">
        <f t="shared" si="313"/>
        <v>7</v>
      </c>
      <c r="BP352" s="467">
        <f t="shared" ca="1" si="301"/>
        <v>53329</v>
      </c>
      <c r="BQ352" s="475">
        <f t="shared" ca="1" si="315"/>
        <v>61</v>
      </c>
      <c r="BR352" s="475" t="str">
        <f t="shared" si="314"/>
        <v/>
      </c>
      <c r="BS352" s="471" t="str">
        <f t="shared" si="302"/>
        <v/>
      </c>
      <c r="BT352" s="472" t="str">
        <f t="shared" si="317"/>
        <v/>
      </c>
      <c r="BU352" s="472">
        <f t="shared" ca="1" si="303"/>
        <v>0</v>
      </c>
      <c r="BV352" s="472">
        <f t="shared" ca="1" si="303"/>
        <v>0</v>
      </c>
      <c r="BW352" s="472"/>
      <c r="BX352" s="473">
        <f t="shared" ca="1" si="304"/>
        <v>267674.45336934697</v>
      </c>
      <c r="BY352" s="473">
        <f t="shared" si="305"/>
        <v>0</v>
      </c>
      <c r="BZ352" s="473">
        <f t="shared" ca="1" si="287"/>
        <v>611.54444744900002</v>
      </c>
      <c r="CA352" s="476">
        <f t="shared" ca="1" si="306"/>
        <v>0</v>
      </c>
      <c r="CB352" s="494">
        <f ca="1">IF(OR($Q351&lt;&gt;1,OP!$D$5+$BN352-1&lt;16,$BN352-1&lt;1),0,ROUND(ROUND(ROUND(((VLOOKUP($BN352-1,MORE_PV,5,0)/10000)*VLOOKUP($BN352,MORE_PV,$CB$5,0)),3)*VLOOKUP($BN352,more1,5,0),0)/$R351,0))</f>
        <v>0</v>
      </c>
      <c r="CC352" s="473">
        <f t="shared" ca="1" si="307"/>
        <v>0</v>
      </c>
      <c r="CD352" s="477"/>
    </row>
    <row r="353" spans="2:82" ht="16.5" hidden="1">
      <c r="B353" s="80"/>
      <c r="C353" s="80"/>
      <c r="D353" s="80"/>
      <c r="E353" s="80"/>
      <c r="F353" s="80"/>
      <c r="G353" s="80"/>
      <c r="H353" s="80"/>
      <c r="I353" s="80"/>
      <c r="J353" s="192">
        <f t="shared" si="288"/>
        <v>29</v>
      </c>
      <c r="K353" s="192">
        <f t="shared" si="289"/>
        <v>9</v>
      </c>
      <c r="L353" s="192" t="str">
        <f t="shared" si="284"/>
        <v/>
      </c>
      <c r="M353" s="216">
        <f t="shared" ca="1" si="290"/>
        <v>0</v>
      </c>
      <c r="N353" s="216"/>
      <c r="O353" s="216"/>
      <c r="P353" s="216"/>
      <c r="Q353" s="456" t="str">
        <f t="shared" ca="1" si="291"/>
        <v/>
      </c>
      <c r="R353" s="450">
        <f t="shared" ca="1" si="292"/>
        <v>1</v>
      </c>
      <c r="S353" s="191">
        <f t="shared" si="293"/>
        <v>29</v>
      </c>
      <c r="T353" s="191">
        <f t="shared" si="294"/>
        <v>9</v>
      </c>
      <c r="U353" s="191">
        <f ca="1">OP!$D$5+$S353-1</f>
        <v>61</v>
      </c>
      <c r="V353" s="191" t="str">
        <f t="shared" si="295"/>
        <v/>
      </c>
      <c r="W353" s="350">
        <f ca="1">IF(Q353&lt;&gt;1,0,VLOOKUP(OP!$C$55,PVFB,$S353+2,0))</f>
        <v>0</v>
      </c>
      <c r="X353" s="473">
        <f t="shared" ca="1" si="308"/>
        <v>0</v>
      </c>
      <c r="Y353" s="348">
        <f t="shared" ca="1" si="309"/>
        <v>0</v>
      </c>
      <c r="Z353" s="348">
        <f t="shared" ca="1" si="310"/>
        <v>8012</v>
      </c>
      <c r="AA353" s="348">
        <f ca="1">IF(Q353&lt;&gt;1,0,VLOOKUP(OP!$C$55,PVFB,$S353+2,0))</f>
        <v>0</v>
      </c>
      <c r="AB353" s="488" t="str">
        <f ca="1">IF(AND(S353&lt;OP!$C$24,$U353&lt;15),0,IF(AND($U353&lt;15,$T353=12),ROUND(VLOOKUP($S353,DOWN16,5,0),3),IF($T353=12,ROUND(($Z353/10000)*$AA353,3)+IF(AND($P$7="購買增額繳清保險",T353=12,U353=110),VLOOKUP(S353,$B$10:$H$121,7,0),0),"")))</f>
        <v/>
      </c>
      <c r="AC353" s="350" t="str">
        <f ca="1">IF(AND(S353&lt;OP!$C$24,$U353&lt;15),0,IF(AND($U353&lt;16,$T353=12),VLOOKUP($S353,DOWN16,4,0),IF($T353=12,ROUND(VLOOKUP(OP!$C$55,_DIE2,$S353+1,0)*(Z353/10000),0)+IF(AND($P$7="購買增額繳清保險",T353=12,U353=110),VLOOKUP(S353,$B$10:$H$121,7,0),0),"")))</f>
        <v/>
      </c>
      <c r="AD353" s="347"/>
      <c r="AE353" s="350" t="str">
        <f t="shared" ca="1" si="285"/>
        <v/>
      </c>
      <c r="AF353" s="351" t="str">
        <f t="shared" ca="1" si="286"/>
        <v/>
      </c>
      <c r="AG353" s="340"/>
      <c r="AH353" s="340"/>
      <c r="AI353" s="340"/>
      <c r="AJ353" s="340"/>
      <c r="AK353" s="340"/>
      <c r="AL353" s="340"/>
      <c r="AM353" s="340"/>
      <c r="AN353" s="340"/>
      <c r="AO353" s="340"/>
      <c r="AP353" s="340"/>
      <c r="AQ353" s="340"/>
      <c r="AR353" s="340"/>
      <c r="AS353" s="340"/>
      <c r="AT353" s="340"/>
      <c r="AU353" s="340"/>
      <c r="AV353" s="340"/>
      <c r="AY353" s="340"/>
      <c r="AZ353" s="465">
        <f t="shared" ca="1" si="296"/>
        <v>7.3698599999999999E-5</v>
      </c>
      <c r="BA353" s="464">
        <f t="shared" ca="1" si="297"/>
        <v>1.9898630000000001E-3</v>
      </c>
      <c r="BB353" s="465">
        <f t="shared" ca="1" si="297"/>
        <v>2.0635616E-3</v>
      </c>
      <c r="BC353" s="466">
        <f t="shared" ca="1" si="298"/>
        <v>53359</v>
      </c>
      <c r="BD353" s="467">
        <f t="shared" ca="1" si="311"/>
        <v>53360</v>
      </c>
      <c r="BE353" s="467">
        <f t="shared" ca="1" si="299"/>
        <v>53386</v>
      </c>
      <c r="BF353" s="468">
        <f ca="1">IF(計算!$BC353&lt;OP!$C$3,0,BD353-BC353)</f>
        <v>1</v>
      </c>
      <c r="BG353" s="468">
        <f ca="1">IF($BE353&gt;DATE(YEAR($BD$9)+OP!$C$57,MONTH($BD$9),DAY($BD$9)),0,$BE353-$BD353+1)</f>
        <v>27</v>
      </c>
      <c r="BH353" s="469">
        <f t="shared" ca="1" si="300"/>
        <v>28</v>
      </c>
      <c r="BI353" t="str">
        <f t="shared" si="316"/>
        <v/>
      </c>
      <c r="BJ353">
        <v>8</v>
      </c>
      <c r="BN353" s="468">
        <f t="shared" si="312"/>
        <v>29</v>
      </c>
      <c r="BO353" s="468">
        <f t="shared" si="313"/>
        <v>8</v>
      </c>
      <c r="BP353" s="467">
        <f t="shared" ca="1" si="301"/>
        <v>53360</v>
      </c>
      <c r="BQ353" s="475">
        <f t="shared" ca="1" si="315"/>
        <v>61</v>
      </c>
      <c r="BR353" s="475" t="str">
        <f t="shared" si="314"/>
        <v/>
      </c>
      <c r="BS353" s="471" t="str">
        <f t="shared" si="302"/>
        <v/>
      </c>
      <c r="BT353" s="472" t="str">
        <f t="shared" si="317"/>
        <v/>
      </c>
      <c r="BU353" s="472">
        <f t="shared" ca="1" si="303"/>
        <v>0</v>
      </c>
      <c r="BV353" s="472">
        <f t="shared" ca="1" si="303"/>
        <v>0</v>
      </c>
      <c r="BW353" s="472"/>
      <c r="BX353" s="473">
        <f t="shared" ca="1" si="304"/>
        <v>268285.99781679601</v>
      </c>
      <c r="BY353" s="473">
        <f t="shared" si="305"/>
        <v>0</v>
      </c>
      <c r="BZ353" s="473">
        <f t="shared" ca="1" si="287"/>
        <v>553.62468291200003</v>
      </c>
      <c r="CA353" s="476">
        <f t="shared" ca="1" si="306"/>
        <v>0</v>
      </c>
      <c r="CB353" s="494">
        <f ca="1">IF(OR($Q352&lt;&gt;1,OP!$D$5+$BN353-1&lt;16,$BN353-1&lt;1),0,ROUND(ROUND(ROUND(((VLOOKUP($BN353-1,MORE_PV,5,0)/10000)*VLOOKUP($BN353,MORE_PV,$CB$5,0)),3)*VLOOKUP($BN353,more1,5,0),0)/$R352,0))</f>
        <v>0</v>
      </c>
      <c r="CC353" s="473">
        <f t="shared" ca="1" si="307"/>
        <v>0</v>
      </c>
      <c r="CD353" s="477"/>
    </row>
    <row r="354" spans="2:82" ht="16.5" hidden="1">
      <c r="B354" s="80"/>
      <c r="C354" s="80"/>
      <c r="D354" s="80"/>
      <c r="E354" s="80"/>
      <c r="F354" s="80"/>
      <c r="G354" s="80"/>
      <c r="H354" s="80"/>
      <c r="I354" s="80"/>
      <c r="J354" s="192">
        <f t="shared" si="288"/>
        <v>29</v>
      </c>
      <c r="K354" s="192">
        <f t="shared" si="289"/>
        <v>10</v>
      </c>
      <c r="L354" s="192" t="str">
        <f t="shared" si="284"/>
        <v/>
      </c>
      <c r="M354" s="216">
        <f t="shared" ca="1" si="290"/>
        <v>0</v>
      </c>
      <c r="N354" s="216"/>
      <c r="O354" s="216"/>
      <c r="P354" s="216"/>
      <c r="Q354" s="456" t="str">
        <f t="shared" ca="1" si="291"/>
        <v/>
      </c>
      <c r="R354" s="450">
        <f t="shared" ca="1" si="292"/>
        <v>1</v>
      </c>
      <c r="S354" s="191">
        <f t="shared" si="293"/>
        <v>29</v>
      </c>
      <c r="T354" s="191">
        <f t="shared" si="294"/>
        <v>10</v>
      </c>
      <c r="U354" s="191">
        <f ca="1">OP!$D$5+$S354-1</f>
        <v>61</v>
      </c>
      <c r="V354" s="191" t="str">
        <f t="shared" si="295"/>
        <v/>
      </c>
      <c r="W354" s="350">
        <f ca="1">IF(Q354&lt;&gt;1,0,VLOOKUP(OP!$C$55,PVFB,$S354+2,0))</f>
        <v>0</v>
      </c>
      <c r="X354" s="473">
        <f t="shared" ca="1" si="308"/>
        <v>0</v>
      </c>
      <c r="Y354" s="348">
        <f t="shared" ca="1" si="309"/>
        <v>0</v>
      </c>
      <c r="Z354" s="348">
        <f t="shared" ca="1" si="310"/>
        <v>8012</v>
      </c>
      <c r="AA354" s="348">
        <f ca="1">IF(Q354&lt;&gt;1,0,VLOOKUP(OP!$C$55,PVFB,$S354+2,0))</f>
        <v>0</v>
      </c>
      <c r="AB354" s="488" t="str">
        <f ca="1">IF(AND(S354&lt;OP!$C$24,$U354&lt;15),0,IF(AND($U354&lt;15,$T354=12),ROUND(VLOOKUP($S354,DOWN16,5,0),3),IF($T354=12,ROUND(($Z354/10000)*$AA354,3)+IF(AND($P$7="購買增額繳清保險",T354=12,U354=110),VLOOKUP(S354,$B$10:$H$121,7,0),0),"")))</f>
        <v/>
      </c>
      <c r="AC354" s="350" t="str">
        <f ca="1">IF(AND(S354&lt;OP!$C$24,$U354&lt;15),0,IF(AND($U354&lt;16,$T354=12),VLOOKUP($S354,DOWN16,4,0),IF($T354=12,ROUND(VLOOKUP(OP!$C$55,_DIE2,$S354+1,0)*(Z354/10000),0)+IF(AND($P$7="購買增額繳清保險",T354=12,U354=110),VLOOKUP(S354,$B$10:$H$121,7,0),0),"")))</f>
        <v/>
      </c>
      <c r="AD354" s="347"/>
      <c r="AE354" s="350" t="str">
        <f t="shared" ca="1" si="285"/>
        <v/>
      </c>
      <c r="AF354" s="351" t="str">
        <f t="shared" ca="1" si="286"/>
        <v/>
      </c>
      <c r="AG354" s="340"/>
      <c r="AH354" s="340"/>
      <c r="AI354" s="340"/>
      <c r="AJ354" s="340"/>
      <c r="AK354" s="340"/>
      <c r="AL354" s="340"/>
      <c r="AM354" s="340"/>
      <c r="AN354" s="340"/>
      <c r="AO354" s="340"/>
      <c r="AP354" s="340"/>
      <c r="AQ354" s="340"/>
      <c r="AR354" s="340"/>
      <c r="AS354" s="340"/>
      <c r="AT354" s="340"/>
      <c r="AU354" s="340"/>
      <c r="AV354" s="340"/>
      <c r="AY354" s="340"/>
      <c r="AZ354" s="465">
        <f t="shared" ca="1" si="296"/>
        <v>7.3698599999999999E-5</v>
      </c>
      <c r="BA354" s="464">
        <f t="shared" ca="1" si="297"/>
        <v>2.2109589000000002E-3</v>
      </c>
      <c r="BB354" s="465">
        <f t="shared" ca="1" si="297"/>
        <v>2.2846575E-3</v>
      </c>
      <c r="BC354" s="466">
        <f t="shared" ca="1" si="298"/>
        <v>53387</v>
      </c>
      <c r="BD354" s="467">
        <f t="shared" ca="1" si="311"/>
        <v>53388</v>
      </c>
      <c r="BE354" s="467">
        <f t="shared" ca="1" si="299"/>
        <v>53417</v>
      </c>
      <c r="BF354" s="468">
        <f ca="1">IF(計算!$BC354&lt;OP!$C$3,0,BD354-BC354)</f>
        <v>1</v>
      </c>
      <c r="BG354" s="468">
        <f ca="1">IF($BE354&gt;DATE(YEAR($BD$9)+OP!$C$57,MONTH($BD$9),DAY($BD$9)),0,$BE354-$BD354+1)</f>
        <v>30</v>
      </c>
      <c r="BH354" s="469">
        <f t="shared" ca="1" si="300"/>
        <v>31</v>
      </c>
      <c r="BI354" t="str">
        <f t="shared" si="316"/>
        <v/>
      </c>
      <c r="BJ354">
        <v>9</v>
      </c>
      <c r="BN354" s="468">
        <f t="shared" si="312"/>
        <v>29</v>
      </c>
      <c r="BO354" s="468">
        <f t="shared" si="313"/>
        <v>9</v>
      </c>
      <c r="BP354" s="467">
        <f t="shared" ca="1" si="301"/>
        <v>53388</v>
      </c>
      <c r="BQ354" s="475">
        <f t="shared" ca="1" si="315"/>
        <v>61</v>
      </c>
      <c r="BR354" s="475" t="str">
        <f t="shared" si="314"/>
        <v/>
      </c>
      <c r="BS354" s="471" t="str">
        <f t="shared" si="302"/>
        <v/>
      </c>
      <c r="BT354" s="472" t="str">
        <f t="shared" si="317"/>
        <v/>
      </c>
      <c r="BU354" s="472">
        <f t="shared" ca="1" si="303"/>
        <v>0</v>
      </c>
      <c r="BV354" s="472">
        <f t="shared" ca="1" si="303"/>
        <v>0</v>
      </c>
      <c r="BW354" s="472"/>
      <c r="BX354" s="473">
        <f t="shared" ca="1" si="304"/>
        <v>268839.62249970803</v>
      </c>
      <c r="BY354" s="473">
        <f t="shared" si="305"/>
        <v>0</v>
      </c>
      <c r="BZ354" s="473">
        <f t="shared" ca="1" si="287"/>
        <v>614.20645984099997</v>
      </c>
      <c r="CA354" s="476">
        <f t="shared" ca="1" si="306"/>
        <v>0</v>
      </c>
      <c r="CB354" s="494">
        <f ca="1">IF(OR($Q353&lt;&gt;1,OP!$D$5+$BN354-1&lt;16,$BN354-1&lt;1),0,ROUND(ROUND(ROUND(((VLOOKUP($BN354-1,MORE_PV,5,0)/10000)*VLOOKUP($BN354,MORE_PV,$CB$5,0)),3)*VLOOKUP($BN354,more1,5,0),0)/$R353,0))</f>
        <v>0</v>
      </c>
      <c r="CC354" s="473">
        <f t="shared" ca="1" si="307"/>
        <v>0</v>
      </c>
      <c r="CD354" s="477"/>
    </row>
    <row r="355" spans="2:82" ht="16.5" hidden="1">
      <c r="B355" s="80"/>
      <c r="C355" s="80"/>
      <c r="D355" s="80"/>
      <c r="E355" s="80"/>
      <c r="F355" s="80"/>
      <c r="G355" s="80"/>
      <c r="H355" s="80"/>
      <c r="I355" s="80"/>
      <c r="J355" s="192">
        <f t="shared" si="288"/>
        <v>29</v>
      </c>
      <c r="K355" s="192">
        <f t="shared" si="289"/>
        <v>11</v>
      </c>
      <c r="L355" s="192" t="str">
        <f t="shared" si="284"/>
        <v/>
      </c>
      <c r="M355" s="216">
        <f t="shared" ca="1" si="290"/>
        <v>0</v>
      </c>
      <c r="N355" s="216"/>
      <c r="O355" s="216"/>
      <c r="P355" s="216"/>
      <c r="Q355" s="456" t="str">
        <f t="shared" ca="1" si="291"/>
        <v/>
      </c>
      <c r="R355" s="450">
        <f t="shared" ca="1" si="292"/>
        <v>1</v>
      </c>
      <c r="S355" s="191">
        <f t="shared" si="293"/>
        <v>29</v>
      </c>
      <c r="T355" s="191">
        <f t="shared" si="294"/>
        <v>11</v>
      </c>
      <c r="U355" s="191">
        <f ca="1">OP!$D$5+$S355-1</f>
        <v>61</v>
      </c>
      <c r="V355" s="191" t="str">
        <f t="shared" si="295"/>
        <v/>
      </c>
      <c r="W355" s="350">
        <f ca="1">IF(Q355&lt;&gt;1,0,VLOOKUP(OP!$C$55,PVFB,$S355+2,0))</f>
        <v>0</v>
      </c>
      <c r="X355" s="473">
        <f t="shared" ca="1" si="308"/>
        <v>0</v>
      </c>
      <c r="Y355" s="348">
        <f t="shared" ca="1" si="309"/>
        <v>0</v>
      </c>
      <c r="Z355" s="348">
        <f t="shared" ca="1" si="310"/>
        <v>8012</v>
      </c>
      <c r="AA355" s="348">
        <f ca="1">IF(Q355&lt;&gt;1,0,VLOOKUP(OP!$C$55,PVFB,$S355+2,0))</f>
        <v>0</v>
      </c>
      <c r="AB355" s="488" t="str">
        <f ca="1">IF(AND(S355&lt;OP!$C$24,$U355&lt;15),0,IF(AND($U355&lt;15,$T355=12),ROUND(VLOOKUP($S355,DOWN16,5,0),3),IF($T355=12,ROUND(($Z355/10000)*$AA355,3)+IF(AND($P$7="購買增額繳清保險",T355=12,U355=110),VLOOKUP(S355,$B$10:$H$121,7,0),0),"")))</f>
        <v/>
      </c>
      <c r="AC355" s="350" t="str">
        <f ca="1">IF(AND(S355&lt;OP!$C$24,$U355&lt;15),0,IF(AND($U355&lt;16,$T355=12),VLOOKUP($S355,DOWN16,4,0),IF($T355=12,ROUND(VLOOKUP(OP!$C$55,_DIE2,$S355+1,0)*(Z355/10000),0)+IF(AND($P$7="購買增額繳清保險",T355=12,U355=110),VLOOKUP(S355,$B$10:$H$121,7,0),0),"")))</f>
        <v/>
      </c>
      <c r="AD355" s="347"/>
      <c r="AE355" s="350" t="str">
        <f t="shared" ca="1" si="285"/>
        <v/>
      </c>
      <c r="AF355" s="351" t="str">
        <f t="shared" ca="1" si="286"/>
        <v/>
      </c>
      <c r="AG355" s="340"/>
      <c r="AH355" s="340"/>
      <c r="AI355" s="340"/>
      <c r="AJ355" s="340"/>
      <c r="AK355" s="340"/>
      <c r="AL355" s="340"/>
      <c r="AM355" s="340"/>
      <c r="AN355" s="340"/>
      <c r="AO355" s="340"/>
      <c r="AP355" s="340"/>
      <c r="AQ355" s="340"/>
      <c r="AR355" s="340"/>
      <c r="AS355" s="340"/>
      <c r="AT355" s="340"/>
      <c r="AU355" s="340"/>
      <c r="AV355" s="340"/>
      <c r="AY355" s="340"/>
      <c r="AZ355" s="465">
        <f t="shared" ca="1" si="296"/>
        <v>7.3698599999999999E-5</v>
      </c>
      <c r="BA355" s="464">
        <f t="shared" ca="1" si="297"/>
        <v>2.1372602999999999E-3</v>
      </c>
      <c r="BB355" s="465">
        <f t="shared" ca="1" si="297"/>
        <v>2.2109589000000002E-3</v>
      </c>
      <c r="BC355" s="466">
        <f t="shared" ca="1" si="298"/>
        <v>53418</v>
      </c>
      <c r="BD355" s="467">
        <f t="shared" ca="1" si="311"/>
        <v>53419</v>
      </c>
      <c r="BE355" s="467">
        <f t="shared" ca="1" si="299"/>
        <v>53447</v>
      </c>
      <c r="BF355" s="468">
        <f ca="1">IF(計算!$BC355&lt;OP!$C$3,0,BD355-BC355)</f>
        <v>1</v>
      </c>
      <c r="BG355" s="468">
        <f ca="1">IF($BE355&gt;DATE(YEAR($BD$9)+OP!$C$57,MONTH($BD$9),DAY($BD$9)),0,$BE355-$BD355+1)</f>
        <v>29</v>
      </c>
      <c r="BH355" s="469">
        <f t="shared" ca="1" si="300"/>
        <v>30</v>
      </c>
      <c r="BI355" t="str">
        <f t="shared" si="316"/>
        <v/>
      </c>
      <c r="BJ355">
        <v>10</v>
      </c>
      <c r="BN355" s="468">
        <f t="shared" si="312"/>
        <v>29</v>
      </c>
      <c r="BO355" s="468">
        <f t="shared" si="313"/>
        <v>10</v>
      </c>
      <c r="BP355" s="467">
        <f t="shared" ca="1" si="301"/>
        <v>53419</v>
      </c>
      <c r="BQ355" s="475">
        <f t="shared" ca="1" si="315"/>
        <v>61</v>
      </c>
      <c r="BR355" s="475" t="str">
        <f t="shared" si="314"/>
        <v/>
      </c>
      <c r="BS355" s="471" t="str">
        <f t="shared" si="302"/>
        <v/>
      </c>
      <c r="BT355" s="472" t="str">
        <f t="shared" si="317"/>
        <v/>
      </c>
      <c r="BU355" s="472">
        <f t="shared" ca="1" si="303"/>
        <v>0</v>
      </c>
      <c r="BV355" s="472">
        <f t="shared" ca="1" si="303"/>
        <v>0</v>
      </c>
      <c r="BW355" s="472"/>
      <c r="BX355" s="473">
        <f t="shared" ca="1" si="304"/>
        <v>269453.82895954902</v>
      </c>
      <c r="BY355" s="473">
        <f t="shared" si="305"/>
        <v>0</v>
      </c>
      <c r="BZ355" s="473">
        <f t="shared" ca="1" si="287"/>
        <v>595.75134127700005</v>
      </c>
      <c r="CA355" s="476">
        <f t="shared" ca="1" si="306"/>
        <v>0</v>
      </c>
      <c r="CB355" s="494">
        <f ca="1">IF(OR($Q354&lt;&gt;1,OP!$D$5+$BN355-1&lt;16,$BN355-1&lt;1),0,ROUND(ROUND(ROUND(((VLOOKUP($BN355-1,MORE_PV,5,0)/10000)*VLOOKUP($BN355,MORE_PV,$CB$5,0)),3)*VLOOKUP($BN355,more1,5,0),0)/$R354,0))</f>
        <v>0</v>
      </c>
      <c r="CC355" s="473">
        <f t="shared" ca="1" si="307"/>
        <v>0</v>
      </c>
      <c r="CD355" s="477"/>
    </row>
    <row r="356" spans="2:82" ht="16.5" hidden="1">
      <c r="B356" s="80"/>
      <c r="C356" s="80"/>
      <c r="D356" s="80"/>
      <c r="E356" s="80"/>
      <c r="F356" s="80"/>
      <c r="G356" s="80"/>
      <c r="H356" s="80"/>
      <c r="I356" s="80"/>
      <c r="J356" s="192">
        <f t="shared" si="288"/>
        <v>29</v>
      </c>
      <c r="K356" s="192">
        <f t="shared" si="289"/>
        <v>12</v>
      </c>
      <c r="L356" s="192">
        <f t="shared" si="284"/>
        <v>29</v>
      </c>
      <c r="M356" s="216">
        <f t="shared" ca="1" si="290"/>
        <v>282017</v>
      </c>
      <c r="N356" s="216"/>
      <c r="O356" s="216"/>
      <c r="P356" s="216"/>
      <c r="Q356" s="456">
        <f t="shared" ca="1" si="291"/>
        <v>1</v>
      </c>
      <c r="R356" s="450">
        <f t="shared" ca="1" si="292"/>
        <v>1</v>
      </c>
      <c r="S356" s="191">
        <f t="shared" si="293"/>
        <v>29</v>
      </c>
      <c r="T356" s="191">
        <f t="shared" si="294"/>
        <v>12</v>
      </c>
      <c r="U356" s="191">
        <f ca="1">OP!$D$5+$S356-1</f>
        <v>61</v>
      </c>
      <c r="V356" s="191">
        <f t="shared" si="295"/>
        <v>29</v>
      </c>
      <c r="W356" s="350">
        <f ca="1">IF(Q356&lt;&gt;1,0,VLOOKUP(OP!$C$55,PVFB,$S356+2,0))</f>
        <v>47180</v>
      </c>
      <c r="X356" s="473">
        <f t="shared" ca="1" si="308"/>
        <v>11329</v>
      </c>
      <c r="Y356" s="348">
        <f t="shared" ca="1" si="309"/>
        <v>0</v>
      </c>
      <c r="Z356" s="348">
        <f t="shared" ca="1" si="310"/>
        <v>8012</v>
      </c>
      <c r="AA356" s="348">
        <f ca="1">IF(Q356&lt;&gt;1,0,VLOOKUP(OP!$C$55,PVFB,$S356+2,0))</f>
        <v>47180</v>
      </c>
      <c r="AB356" s="488">
        <f ca="1">IF(AND(S356&lt;OP!$C$24,$U356&lt;15),0,IF(AND($U356&lt;15,$T356=12),ROUND(VLOOKUP($S356,DOWN16,5,0),3),IF($T356=12,ROUND(($Z356/10000)*$AA356,3)+IF(AND($P$7="購買增額繳清保險",T356=12,U356=110),VLOOKUP(S356,$B$10:$H$121,7,0),0),"")))</f>
        <v>37800.616000000002</v>
      </c>
      <c r="AC356" s="350">
        <f ca="1">IF(AND(S356&lt;OP!$C$24,$U356&lt;15),0,IF(AND($U356&lt;16,$T356=12),VLOOKUP($S356,DOWN16,4,0),IF($T356=12,ROUND(VLOOKUP(OP!$C$55,_DIE2,$S356+1,0)*(Z356/10000),0)+IF(AND($P$7="購買增額繳清保險",T356=12,U356=110),VLOOKUP(S356,$B$10:$H$121,7,0),0),"")))</f>
        <v>37801</v>
      </c>
      <c r="AD356" s="347"/>
      <c r="AE356" s="350" t="str">
        <f t="shared" ca="1" si="285"/>
        <v/>
      </c>
      <c r="AF356" s="351" t="str">
        <f t="shared" ca="1" si="286"/>
        <v/>
      </c>
      <c r="AG356" s="340"/>
      <c r="AH356" s="340"/>
      <c r="AI356" s="340"/>
      <c r="AJ356" s="340"/>
      <c r="AK356" s="340"/>
      <c r="AL356" s="340"/>
      <c r="AM356" s="340"/>
      <c r="AN356" s="340"/>
      <c r="AO356" s="340"/>
      <c r="AP356" s="340"/>
      <c r="AQ356" s="340"/>
      <c r="AR356" s="340"/>
      <c r="AS356" s="340"/>
      <c r="AT356" s="340"/>
      <c r="AU356" s="340"/>
      <c r="AV356" s="340"/>
      <c r="AY356" s="340"/>
      <c r="AZ356" s="465">
        <f t="shared" ca="1" si="296"/>
        <v>7.3698599999999999E-5</v>
      </c>
      <c r="BA356" s="464">
        <f t="shared" ca="1" si="297"/>
        <v>2.2109589000000002E-3</v>
      </c>
      <c r="BB356" s="465">
        <f t="shared" ca="1" si="297"/>
        <v>2.2846575E-3</v>
      </c>
      <c r="BC356" s="466">
        <f t="shared" ca="1" si="298"/>
        <v>53448</v>
      </c>
      <c r="BD356" s="467">
        <f t="shared" ca="1" si="311"/>
        <v>53449</v>
      </c>
      <c r="BE356" s="467">
        <f t="shared" ca="1" si="299"/>
        <v>53478</v>
      </c>
      <c r="BF356" s="468">
        <f ca="1">IF(計算!$BC356&lt;OP!$C$3,0,BD356-BC356)</f>
        <v>1</v>
      </c>
      <c r="BG356" s="468">
        <f ca="1">IF($BE356&gt;DATE(YEAR($BD$9)+OP!$C$57,MONTH($BD$9),DAY($BD$9)),0,$BE356-$BD356+1)</f>
        <v>30</v>
      </c>
      <c r="BH356" s="469">
        <f t="shared" ca="1" si="300"/>
        <v>31</v>
      </c>
      <c r="BI356" t="str">
        <f t="shared" si="316"/>
        <v/>
      </c>
      <c r="BJ356">
        <v>11</v>
      </c>
      <c r="BN356" s="468">
        <f t="shared" si="312"/>
        <v>29</v>
      </c>
      <c r="BO356" s="468">
        <f t="shared" si="313"/>
        <v>11</v>
      </c>
      <c r="BP356" s="467">
        <f t="shared" ca="1" si="301"/>
        <v>53449</v>
      </c>
      <c r="BQ356" s="475">
        <f t="shared" ca="1" si="315"/>
        <v>61</v>
      </c>
      <c r="BR356" s="475" t="str">
        <f t="shared" si="314"/>
        <v/>
      </c>
      <c r="BS356" s="471" t="str">
        <f t="shared" si="302"/>
        <v/>
      </c>
      <c r="BT356" s="472" t="str">
        <f t="shared" si="317"/>
        <v/>
      </c>
      <c r="BU356" s="472">
        <f t="shared" ca="1" si="303"/>
        <v>0</v>
      </c>
      <c r="BV356" s="472">
        <f t="shared" ca="1" si="303"/>
        <v>0</v>
      </c>
      <c r="BW356" s="472"/>
      <c r="BX356" s="473">
        <f t="shared" ca="1" si="304"/>
        <v>270049.580300826</v>
      </c>
      <c r="BY356" s="473">
        <f t="shared" si="305"/>
        <v>0</v>
      </c>
      <c r="BZ356" s="473">
        <f t="shared" ca="1" si="287"/>
        <v>616.97079900599999</v>
      </c>
      <c r="CA356" s="476">
        <f t="shared" ca="1" si="306"/>
        <v>0</v>
      </c>
      <c r="CB356" s="494">
        <f ca="1">IF(OR($Q355&lt;&gt;1,OP!$D$5+$BN356-1&lt;16,$BN356-1&lt;1),0,ROUND(ROUND(ROUND(((VLOOKUP($BN356-1,MORE_PV,5,0)/10000)*VLOOKUP($BN356,MORE_PV,$CB$5,0)),3)*VLOOKUP($BN356,more1,5,0),0)/$R355,0))</f>
        <v>0</v>
      </c>
      <c r="CC356" s="473">
        <f t="shared" ca="1" si="307"/>
        <v>0</v>
      </c>
      <c r="CD356" s="477"/>
    </row>
    <row r="357" spans="2:82" ht="16.5" hidden="1">
      <c r="B357" s="80"/>
      <c r="C357" s="80"/>
      <c r="D357" s="80"/>
      <c r="E357" s="80"/>
      <c r="F357" s="80"/>
      <c r="G357" s="80"/>
      <c r="H357" s="80"/>
      <c r="I357" s="80"/>
      <c r="J357" s="192">
        <f t="shared" si="288"/>
        <v>30</v>
      </c>
      <c r="K357" s="192">
        <f t="shared" si="289"/>
        <v>1</v>
      </c>
      <c r="L357" s="192" t="str">
        <f t="shared" si="284"/>
        <v/>
      </c>
      <c r="M357" s="216">
        <f t="shared" ca="1" si="290"/>
        <v>0</v>
      </c>
      <c r="N357" s="216"/>
      <c r="O357" s="216"/>
      <c r="P357" s="216"/>
      <c r="Q357" s="456" t="str">
        <f t="shared" ca="1" si="291"/>
        <v/>
      </c>
      <c r="R357" s="450">
        <f t="shared" ca="1" si="292"/>
        <v>1</v>
      </c>
      <c r="S357" s="191">
        <f t="shared" si="293"/>
        <v>30</v>
      </c>
      <c r="T357" s="191">
        <f t="shared" si="294"/>
        <v>1</v>
      </c>
      <c r="U357" s="191">
        <f ca="1">OP!$D$5+$S357-1</f>
        <v>62</v>
      </c>
      <c r="V357" s="191" t="str">
        <f t="shared" si="295"/>
        <v/>
      </c>
      <c r="W357" s="350">
        <f ca="1">IF(Q357&lt;&gt;1,0,VLOOKUP(OP!$C$55,PVFB,$S357+2,0))</f>
        <v>0</v>
      </c>
      <c r="X357" s="473">
        <f t="shared" ca="1" si="308"/>
        <v>0</v>
      </c>
      <c r="Y357" s="348">
        <f t="shared" ca="1" si="309"/>
        <v>0</v>
      </c>
      <c r="Z357" s="348">
        <f t="shared" ca="1" si="310"/>
        <v>8012</v>
      </c>
      <c r="AA357" s="348">
        <f ca="1">IF(Q357&lt;&gt;1,0,VLOOKUP(OP!$C$55,PVFB,$S357+2,0))</f>
        <v>0</v>
      </c>
      <c r="AB357" s="488" t="str">
        <f ca="1">IF(AND(S357&lt;OP!$C$24,$U357&lt;15),0,IF(AND($U357&lt;15,$T357=12),ROUND(VLOOKUP($S357,DOWN16,5,0),3),IF($T357=12,ROUND(($Z357/10000)*$AA357,3)+IF(AND($P$7="購買增額繳清保險",T357=12,U357=110),VLOOKUP(S357,$B$10:$H$121,7,0),0),"")))</f>
        <v/>
      </c>
      <c r="AC357" s="350" t="str">
        <f ca="1">IF(AND(S357&lt;OP!$C$24,$U357&lt;15),0,IF(AND($U357&lt;16,$T357=12),VLOOKUP($S357,DOWN16,4,0),IF($T357=12,ROUND(VLOOKUP(OP!$C$55,_DIE2,$S357+1,0)*(Z357/10000),0)+IF(AND($P$7="購買增額繳清保險",T357=12,U357=110),VLOOKUP(S357,$B$10:$H$121,7,0),0),"")))</f>
        <v/>
      </c>
      <c r="AD357" s="347"/>
      <c r="AE357" s="350" t="str">
        <f t="shared" ca="1" si="285"/>
        <v/>
      </c>
      <c r="AF357" s="351" t="str">
        <f t="shared" ca="1" si="286"/>
        <v/>
      </c>
      <c r="AG357" s="340"/>
      <c r="AH357" s="340"/>
      <c r="AI357" s="340"/>
      <c r="AJ357" s="340"/>
      <c r="AK357" s="340"/>
      <c r="AL357" s="340"/>
      <c r="AM357" s="340"/>
      <c r="AN357" s="340"/>
      <c r="AO357" s="340"/>
      <c r="AP357" s="340"/>
      <c r="AQ357" s="340"/>
      <c r="AR357" s="340"/>
      <c r="AS357" s="340"/>
      <c r="AT357" s="340"/>
      <c r="AU357" s="340"/>
      <c r="AV357" s="340"/>
      <c r="AY357" s="340"/>
      <c r="AZ357" s="465">
        <f t="shared" ca="1" si="296"/>
        <v>7.3698599999999999E-5</v>
      </c>
      <c r="BA357" s="464">
        <f t="shared" ca="1" si="297"/>
        <v>2.1372602999999999E-3</v>
      </c>
      <c r="BB357" s="465">
        <f t="shared" ca="1" si="297"/>
        <v>2.2109589000000002E-3</v>
      </c>
      <c r="BC357" s="466">
        <f t="shared" ca="1" si="298"/>
        <v>53479</v>
      </c>
      <c r="BD357" s="467">
        <f t="shared" ca="1" si="311"/>
        <v>53480</v>
      </c>
      <c r="BE357" s="467">
        <f t="shared" ca="1" si="299"/>
        <v>53508</v>
      </c>
      <c r="BF357" s="468">
        <f ca="1">IF(計算!$BC357&lt;OP!$C$3,0,BD357-BC357)</f>
        <v>1</v>
      </c>
      <c r="BG357" s="468">
        <f ca="1">IF($BE357&gt;DATE(YEAR($BD$9)+OP!$C$57,MONTH($BD$9),DAY($BD$9)),0,$BE357-$BD357+1)</f>
        <v>29</v>
      </c>
      <c r="BH357" s="469">
        <f t="shared" ca="1" si="300"/>
        <v>30</v>
      </c>
      <c r="BI357">
        <f t="shared" ca="1" si="316"/>
        <v>365</v>
      </c>
      <c r="BJ357">
        <v>12</v>
      </c>
      <c r="BN357" s="468">
        <f t="shared" si="312"/>
        <v>29</v>
      </c>
      <c r="BO357" s="468">
        <f t="shared" si="313"/>
        <v>12</v>
      </c>
      <c r="BP357" s="467">
        <f t="shared" ca="1" si="301"/>
        <v>53480</v>
      </c>
      <c r="BQ357" s="475">
        <f t="shared" ca="1" si="315"/>
        <v>61</v>
      </c>
      <c r="BR357" s="475">
        <f t="shared" si="314"/>
        <v>29</v>
      </c>
      <c r="BS357" s="471">
        <f t="shared" ca="1" si="302"/>
        <v>11329</v>
      </c>
      <c r="BT357" s="472">
        <f t="shared" ca="1" si="317"/>
        <v>282017</v>
      </c>
      <c r="BU357" s="472">
        <f t="shared" ca="1" si="303"/>
        <v>11068</v>
      </c>
      <c r="BV357" s="472">
        <f t="shared" ca="1" si="303"/>
        <v>261</v>
      </c>
      <c r="BW357" s="472">
        <f ca="1">ROUND(SUM(BY357,BZ345:BZ356),0)</f>
        <v>7177</v>
      </c>
      <c r="BX357" s="473">
        <f t="shared" ca="1" si="304"/>
        <v>282015.49884571502</v>
      </c>
      <c r="BY357" s="473">
        <f t="shared" ca="1" si="305"/>
        <v>19.947745883</v>
      </c>
      <c r="BZ357" s="473">
        <f t="shared" ca="1" si="287"/>
        <v>602.74052966800002</v>
      </c>
      <c r="CA357" s="476">
        <f t="shared" ca="1" si="306"/>
        <v>11068</v>
      </c>
      <c r="CB357" s="494">
        <f ca="1">IF(OR($Q356&lt;&gt;1,OP!$D$5+$BN357-1&lt;16,$BN357-1&lt;1),0,ROUND(ROUND(ROUND(((VLOOKUP($BN357-1,MORE_PV,5,0)/10000)*VLOOKUP($BN357,MORE_PV,$CB$5,0)),3)*VLOOKUP($BN357,more1,5,0),0)/$R356,0))</f>
        <v>261</v>
      </c>
      <c r="CC357" s="473">
        <f t="shared" ca="1" si="307"/>
        <v>0</v>
      </c>
      <c r="CD357" s="477"/>
    </row>
    <row r="358" spans="2:82" ht="16.5" hidden="1">
      <c r="B358" s="80"/>
      <c r="C358" s="80"/>
      <c r="D358" s="80"/>
      <c r="E358" s="80"/>
      <c r="F358" s="80"/>
      <c r="G358" s="80"/>
      <c r="H358" s="80"/>
      <c r="I358" s="80"/>
      <c r="J358" s="192">
        <f t="shared" si="288"/>
        <v>30</v>
      </c>
      <c r="K358" s="192">
        <f t="shared" si="289"/>
        <v>2</v>
      </c>
      <c r="L358" s="192" t="str">
        <f t="shared" si="284"/>
        <v/>
      </c>
      <c r="M358" s="216">
        <f t="shared" ca="1" si="290"/>
        <v>0</v>
      </c>
      <c r="N358" s="216"/>
      <c r="O358" s="216"/>
      <c r="P358" s="216"/>
      <c r="Q358" s="456" t="str">
        <f t="shared" ca="1" si="291"/>
        <v/>
      </c>
      <c r="R358" s="450">
        <f t="shared" ca="1" si="292"/>
        <v>1</v>
      </c>
      <c r="S358" s="191">
        <f t="shared" si="293"/>
        <v>30</v>
      </c>
      <c r="T358" s="191">
        <f t="shared" si="294"/>
        <v>2</v>
      </c>
      <c r="U358" s="191">
        <f ca="1">OP!$D$5+$S358-1</f>
        <v>62</v>
      </c>
      <c r="V358" s="191" t="str">
        <f t="shared" si="295"/>
        <v/>
      </c>
      <c r="W358" s="350">
        <f ca="1">IF(Q358&lt;&gt;1,0,VLOOKUP(OP!$C$55,PVFB,$S358+2,0))</f>
        <v>0</v>
      </c>
      <c r="X358" s="473">
        <f t="shared" ca="1" si="308"/>
        <v>0</v>
      </c>
      <c r="Y358" s="348">
        <f t="shared" ca="1" si="309"/>
        <v>0</v>
      </c>
      <c r="Z358" s="348">
        <f t="shared" ca="1" si="310"/>
        <v>8012</v>
      </c>
      <c r="AA358" s="348">
        <f ca="1">IF(Q358&lt;&gt;1,0,VLOOKUP(OP!$C$55,PVFB,$S358+2,0))</f>
        <v>0</v>
      </c>
      <c r="AB358" s="488" t="str">
        <f ca="1">IF(AND(S358&lt;OP!$C$24,$U358&lt;15),0,IF(AND($U358&lt;15,$T358=12),ROUND(VLOOKUP($S358,DOWN16,5,0),3),IF($T358=12,ROUND(($Z358/10000)*$AA358,3)+IF(AND($P$7="購買增額繳清保險",T358=12,U358=110),VLOOKUP(S358,$B$10:$H$121,7,0),0),"")))</f>
        <v/>
      </c>
      <c r="AC358" s="350" t="str">
        <f ca="1">IF(AND(S358&lt;OP!$C$24,$U358&lt;15),0,IF(AND($U358&lt;16,$T358=12),VLOOKUP($S358,DOWN16,4,0),IF($T358=12,ROUND(VLOOKUP(OP!$C$55,_DIE2,$S358+1,0)*(Z358/10000),0)+IF(AND($P$7="購買增額繳清保險",T358=12,U358=110),VLOOKUP(S358,$B$10:$H$121,7,0),0),"")))</f>
        <v/>
      </c>
      <c r="AD358" s="347"/>
      <c r="AE358" s="350" t="str">
        <f t="shared" ca="1" si="285"/>
        <v/>
      </c>
      <c r="AF358" s="351" t="str">
        <f t="shared" ca="1" si="286"/>
        <v/>
      </c>
      <c r="AG358" s="340"/>
      <c r="AH358" s="340"/>
      <c r="AI358" s="340"/>
      <c r="AJ358" s="340"/>
      <c r="AK358" s="340"/>
      <c r="AL358" s="340"/>
      <c r="AM358" s="340"/>
      <c r="AN358" s="340"/>
      <c r="AO358" s="340"/>
      <c r="AP358" s="340"/>
      <c r="AQ358" s="340"/>
      <c r="AR358" s="340"/>
      <c r="AS358" s="340"/>
      <c r="AT358" s="340"/>
      <c r="AU358" s="340"/>
      <c r="AV358" s="340"/>
      <c r="AY358" s="340"/>
      <c r="AZ358" s="465">
        <f t="shared" ca="1" si="296"/>
        <v>7.3698599999999999E-5</v>
      </c>
      <c r="BA358" s="464">
        <f t="shared" ca="1" si="297"/>
        <v>2.2109589000000002E-3</v>
      </c>
      <c r="BB358" s="465">
        <f t="shared" ca="1" si="297"/>
        <v>2.2846575E-3</v>
      </c>
      <c r="BC358" s="466">
        <f t="shared" ca="1" si="298"/>
        <v>53509</v>
      </c>
      <c r="BD358" s="467">
        <f t="shared" ca="1" si="311"/>
        <v>53510</v>
      </c>
      <c r="BE358" s="467">
        <f t="shared" ca="1" si="299"/>
        <v>53539</v>
      </c>
      <c r="BF358" s="468">
        <f ca="1">IF(計算!$BC358&lt;OP!$C$3,0,BD358-BC358)</f>
        <v>1</v>
      </c>
      <c r="BG358" s="468">
        <f ca="1">IF($BE358&gt;DATE(YEAR($BD$9)+OP!$C$57,MONTH($BD$9),DAY($BD$9)),0,$BE358-$BD358+1)</f>
        <v>30</v>
      </c>
      <c r="BH358" s="469">
        <f t="shared" ca="1" si="300"/>
        <v>31</v>
      </c>
      <c r="BI358" t="str">
        <f t="shared" si="316"/>
        <v/>
      </c>
      <c r="BJ358">
        <v>1</v>
      </c>
      <c r="BN358" s="468">
        <f t="shared" si="312"/>
        <v>30</v>
      </c>
      <c r="BO358" s="468">
        <f t="shared" si="313"/>
        <v>1</v>
      </c>
      <c r="BP358" s="467">
        <f t="shared" ca="1" si="301"/>
        <v>53510</v>
      </c>
      <c r="BQ358" s="475">
        <f t="shared" ca="1" si="315"/>
        <v>62</v>
      </c>
      <c r="BR358" s="475" t="str">
        <f t="shared" si="314"/>
        <v/>
      </c>
      <c r="BS358" s="471" t="str">
        <f t="shared" si="302"/>
        <v/>
      </c>
      <c r="BT358" s="472" t="str">
        <f t="shared" si="317"/>
        <v/>
      </c>
      <c r="BU358" s="472">
        <f t="shared" ca="1" si="303"/>
        <v>0</v>
      </c>
      <c r="BV358" s="472">
        <f t="shared" ca="1" si="303"/>
        <v>0</v>
      </c>
      <c r="BW358" s="472"/>
      <c r="BX358" s="473">
        <f t="shared" ca="1" si="304"/>
        <v>282618.23937538301</v>
      </c>
      <c r="BY358" s="473">
        <f t="shared" si="305"/>
        <v>0</v>
      </c>
      <c r="BZ358" s="473">
        <f t="shared" ca="1" si="287"/>
        <v>645.68588022599999</v>
      </c>
      <c r="CA358" s="476">
        <f t="shared" ca="1" si="306"/>
        <v>0</v>
      </c>
      <c r="CB358" s="494">
        <f ca="1">IF(OR($Q357&lt;&gt;1,OP!$D$5+$BN358-1&lt;16,$BN358-1&lt;1),0,ROUND(ROUND(ROUND(((VLOOKUP($BN358-1,MORE_PV,5,0)/10000)*VLOOKUP($BN358,MORE_PV,$CB$5,0)),3)*VLOOKUP($BN358,more1,5,0),0)/$R357,0))</f>
        <v>0</v>
      </c>
      <c r="CC358" s="473">
        <f t="shared" ca="1" si="307"/>
        <v>0</v>
      </c>
      <c r="CD358" s="477"/>
    </row>
    <row r="359" spans="2:82" ht="16.5" hidden="1">
      <c r="B359" s="80"/>
      <c r="C359" s="80"/>
      <c r="D359" s="80"/>
      <c r="E359" s="80"/>
      <c r="F359" s="80"/>
      <c r="G359" s="80"/>
      <c r="H359" s="80"/>
      <c r="I359" s="80"/>
      <c r="J359" s="192">
        <f t="shared" si="288"/>
        <v>30</v>
      </c>
      <c r="K359" s="192">
        <f t="shared" si="289"/>
        <v>3</v>
      </c>
      <c r="L359" s="192" t="str">
        <f t="shared" si="284"/>
        <v/>
      </c>
      <c r="M359" s="216">
        <f t="shared" ca="1" si="290"/>
        <v>0</v>
      </c>
      <c r="N359" s="216"/>
      <c r="O359" s="216"/>
      <c r="P359" s="216"/>
      <c r="Q359" s="456" t="str">
        <f t="shared" ca="1" si="291"/>
        <v/>
      </c>
      <c r="R359" s="450">
        <f t="shared" ca="1" si="292"/>
        <v>1</v>
      </c>
      <c r="S359" s="191">
        <f t="shared" si="293"/>
        <v>30</v>
      </c>
      <c r="T359" s="191">
        <f t="shared" si="294"/>
        <v>3</v>
      </c>
      <c r="U359" s="191">
        <f ca="1">OP!$D$5+$S359-1</f>
        <v>62</v>
      </c>
      <c r="V359" s="191" t="str">
        <f t="shared" si="295"/>
        <v/>
      </c>
      <c r="W359" s="350">
        <f ca="1">IF(Q359&lt;&gt;1,0,VLOOKUP(OP!$C$55,PVFB,$S359+2,0))</f>
        <v>0</v>
      </c>
      <c r="X359" s="473">
        <f t="shared" ca="1" si="308"/>
        <v>0</v>
      </c>
      <c r="Y359" s="348">
        <f t="shared" ca="1" si="309"/>
        <v>0</v>
      </c>
      <c r="Z359" s="348">
        <f t="shared" ca="1" si="310"/>
        <v>8012</v>
      </c>
      <c r="AA359" s="348">
        <f ca="1">IF(Q359&lt;&gt;1,0,VLOOKUP(OP!$C$55,PVFB,$S359+2,0))</f>
        <v>0</v>
      </c>
      <c r="AB359" s="488" t="str">
        <f ca="1">IF(AND(S359&lt;OP!$C$24,$U359&lt;15),0,IF(AND($U359&lt;15,$T359=12),ROUND(VLOOKUP($S359,DOWN16,5,0),3),IF($T359=12,ROUND(($Z359/10000)*$AA359,3)+IF(AND($P$7="購買增額繳清保險",T359=12,U359=110),VLOOKUP(S359,$B$10:$H$121,7,0),0),"")))</f>
        <v/>
      </c>
      <c r="AC359" s="350" t="str">
        <f ca="1">IF(AND(S359&lt;OP!$C$24,$U359&lt;15),0,IF(AND($U359&lt;16,$T359=12),VLOOKUP($S359,DOWN16,4,0),IF($T359=12,ROUND(VLOOKUP(OP!$C$55,_DIE2,$S359+1,0)*(Z359/10000),0)+IF(AND($P$7="購買增額繳清保險",T359=12,U359=110),VLOOKUP(S359,$B$10:$H$121,7,0),0),"")))</f>
        <v/>
      </c>
      <c r="AD359" s="347"/>
      <c r="AE359" s="350" t="str">
        <f t="shared" ca="1" si="285"/>
        <v/>
      </c>
      <c r="AF359" s="351" t="str">
        <f t="shared" ca="1" si="286"/>
        <v/>
      </c>
      <c r="AG359" s="340"/>
      <c r="AH359" s="340"/>
      <c r="AI359" s="340"/>
      <c r="AJ359" s="340"/>
      <c r="AK359" s="340"/>
      <c r="AL359" s="340"/>
      <c r="AM359" s="340"/>
      <c r="AN359" s="340"/>
      <c r="AO359" s="340"/>
      <c r="AP359" s="340"/>
      <c r="AQ359" s="340"/>
      <c r="AR359" s="340"/>
      <c r="AS359" s="340"/>
      <c r="AT359" s="340"/>
      <c r="AU359" s="340"/>
      <c r="AV359" s="340"/>
      <c r="AY359" s="340"/>
      <c r="AZ359" s="465">
        <f t="shared" ca="1" si="296"/>
        <v>7.3698599999999999E-5</v>
      </c>
      <c r="BA359" s="464">
        <f t="shared" ca="1" si="297"/>
        <v>2.2109589000000002E-3</v>
      </c>
      <c r="BB359" s="465">
        <f t="shared" ca="1" si="297"/>
        <v>2.2846575E-3</v>
      </c>
      <c r="BC359" s="466">
        <f t="shared" ca="1" si="298"/>
        <v>53540</v>
      </c>
      <c r="BD359" s="467">
        <f t="shared" ca="1" si="311"/>
        <v>53541</v>
      </c>
      <c r="BE359" s="467">
        <f t="shared" ca="1" si="299"/>
        <v>53570</v>
      </c>
      <c r="BF359" s="468">
        <f ca="1">IF(計算!$BC359&lt;OP!$C$3,0,BD359-BC359)</f>
        <v>1</v>
      </c>
      <c r="BG359" s="468">
        <f ca="1">IF($BE359&gt;DATE(YEAR($BD$9)+OP!$C$57,MONTH($BD$9),DAY($BD$9)),0,$BE359-$BD359+1)</f>
        <v>30</v>
      </c>
      <c r="BH359" s="469">
        <f t="shared" ca="1" si="300"/>
        <v>31</v>
      </c>
      <c r="BI359" t="str">
        <f t="shared" si="316"/>
        <v/>
      </c>
      <c r="BJ359">
        <v>2</v>
      </c>
      <c r="BN359" s="468">
        <f t="shared" si="312"/>
        <v>30</v>
      </c>
      <c r="BO359" s="468">
        <f t="shared" si="313"/>
        <v>2</v>
      </c>
      <c r="BP359" s="467">
        <f t="shared" ca="1" si="301"/>
        <v>53541</v>
      </c>
      <c r="BQ359" s="475">
        <f t="shared" ca="1" si="315"/>
        <v>62</v>
      </c>
      <c r="BR359" s="475" t="str">
        <f t="shared" si="314"/>
        <v/>
      </c>
      <c r="BS359" s="471" t="str">
        <f t="shared" si="302"/>
        <v/>
      </c>
      <c r="BT359" s="472" t="str">
        <f t="shared" si="317"/>
        <v/>
      </c>
      <c r="BU359" s="472">
        <f t="shared" ca="1" si="303"/>
        <v>0</v>
      </c>
      <c r="BV359" s="472">
        <f t="shared" ca="1" si="303"/>
        <v>0</v>
      </c>
      <c r="BW359" s="472"/>
      <c r="BX359" s="473">
        <f t="shared" ca="1" si="304"/>
        <v>283263.92525560898</v>
      </c>
      <c r="BY359" s="473">
        <f t="shared" si="305"/>
        <v>0</v>
      </c>
      <c r="BZ359" s="473">
        <f t="shared" ca="1" si="287"/>
        <v>647.16105131500001</v>
      </c>
      <c r="CA359" s="476">
        <f t="shared" ca="1" si="306"/>
        <v>0</v>
      </c>
      <c r="CB359" s="494">
        <f ca="1">IF(OR($Q358&lt;&gt;1,OP!$D$5+$BN359-1&lt;16,$BN359-1&lt;1),0,ROUND(ROUND(ROUND(((VLOOKUP($BN359-1,MORE_PV,5,0)/10000)*VLOOKUP($BN359,MORE_PV,$CB$5,0)),3)*VLOOKUP($BN359,more1,5,0),0)/$R358,0))</f>
        <v>0</v>
      </c>
      <c r="CC359" s="473">
        <f t="shared" ca="1" si="307"/>
        <v>0</v>
      </c>
      <c r="CD359" s="477"/>
    </row>
    <row r="360" spans="2:82" ht="16.5" hidden="1">
      <c r="B360" s="80"/>
      <c r="C360" s="80"/>
      <c r="D360" s="80"/>
      <c r="E360" s="80"/>
      <c r="F360" s="80"/>
      <c r="G360" s="80"/>
      <c r="H360" s="80"/>
      <c r="I360" s="80"/>
      <c r="J360" s="192">
        <f t="shared" si="288"/>
        <v>30</v>
      </c>
      <c r="K360" s="192">
        <f t="shared" si="289"/>
        <v>4</v>
      </c>
      <c r="L360" s="192" t="str">
        <f t="shared" si="284"/>
        <v/>
      </c>
      <c r="M360" s="216">
        <f t="shared" ca="1" si="290"/>
        <v>0</v>
      </c>
      <c r="N360" s="216"/>
      <c r="O360" s="216"/>
      <c r="P360" s="216"/>
      <c r="Q360" s="456" t="str">
        <f t="shared" ca="1" si="291"/>
        <v/>
      </c>
      <c r="R360" s="450">
        <f t="shared" ca="1" si="292"/>
        <v>1</v>
      </c>
      <c r="S360" s="191">
        <f t="shared" si="293"/>
        <v>30</v>
      </c>
      <c r="T360" s="191">
        <f t="shared" si="294"/>
        <v>4</v>
      </c>
      <c r="U360" s="191">
        <f ca="1">OP!$D$5+$S360-1</f>
        <v>62</v>
      </c>
      <c r="V360" s="191" t="str">
        <f t="shared" si="295"/>
        <v/>
      </c>
      <c r="W360" s="350">
        <f ca="1">IF(Q360&lt;&gt;1,0,VLOOKUP(OP!$C$55,PVFB,$S360+2,0))</f>
        <v>0</v>
      </c>
      <c r="X360" s="473">
        <f t="shared" ca="1" si="308"/>
        <v>0</v>
      </c>
      <c r="Y360" s="348">
        <f t="shared" ca="1" si="309"/>
        <v>0</v>
      </c>
      <c r="Z360" s="348">
        <f t="shared" ca="1" si="310"/>
        <v>8012</v>
      </c>
      <c r="AA360" s="348">
        <f ca="1">IF(Q360&lt;&gt;1,0,VLOOKUP(OP!$C$55,PVFB,$S360+2,0))</f>
        <v>0</v>
      </c>
      <c r="AB360" s="488" t="str">
        <f ca="1">IF(AND(S360&lt;OP!$C$24,$U360&lt;15),0,IF(AND($U360&lt;15,$T360=12),ROUND(VLOOKUP($S360,DOWN16,5,0),3),IF($T360=12,ROUND(($Z360/10000)*$AA360,3)+IF(AND($P$7="購買增額繳清保險",T360=12,U360=110),VLOOKUP(S360,$B$10:$H$121,7,0),0),"")))</f>
        <v/>
      </c>
      <c r="AC360" s="350" t="str">
        <f ca="1">IF(AND(S360&lt;OP!$C$24,$U360&lt;15),0,IF(AND($U360&lt;16,$T360=12),VLOOKUP($S360,DOWN16,4,0),IF($T360=12,ROUND(VLOOKUP(OP!$C$55,_DIE2,$S360+1,0)*(Z360/10000),0)+IF(AND($P$7="購買增額繳清保險",T360=12,U360=110),VLOOKUP(S360,$B$10:$H$121,7,0),0),"")))</f>
        <v/>
      </c>
      <c r="AD360" s="347"/>
      <c r="AE360" s="350" t="str">
        <f t="shared" ca="1" si="285"/>
        <v/>
      </c>
      <c r="AF360" s="351" t="str">
        <f t="shared" ca="1" si="286"/>
        <v/>
      </c>
      <c r="AG360" s="340"/>
      <c r="AH360" s="340"/>
      <c r="AI360" s="340"/>
      <c r="AJ360" s="340"/>
      <c r="AK360" s="340"/>
      <c r="AL360" s="340"/>
      <c r="AM360" s="340"/>
      <c r="AN360" s="340"/>
      <c r="AO360" s="340"/>
      <c r="AP360" s="340"/>
      <c r="AQ360" s="340"/>
      <c r="AR360" s="340"/>
      <c r="AS360" s="340"/>
      <c r="AT360" s="340"/>
      <c r="AU360" s="340"/>
      <c r="AV360" s="340"/>
      <c r="AY360" s="340"/>
      <c r="AZ360" s="465">
        <f t="shared" ca="1" si="296"/>
        <v>7.3698599999999999E-5</v>
      </c>
      <c r="BA360" s="464">
        <f t="shared" ca="1" si="297"/>
        <v>2.1372602999999999E-3</v>
      </c>
      <c r="BB360" s="465">
        <f t="shared" ca="1" si="297"/>
        <v>2.2109589000000002E-3</v>
      </c>
      <c r="BC360" s="466">
        <f t="shared" ca="1" si="298"/>
        <v>53571</v>
      </c>
      <c r="BD360" s="467">
        <f t="shared" ca="1" si="311"/>
        <v>53572</v>
      </c>
      <c r="BE360" s="467">
        <f t="shared" ca="1" si="299"/>
        <v>53600</v>
      </c>
      <c r="BF360" s="468">
        <f ca="1">IF(計算!$BC360&lt;OP!$C$3,0,BD360-BC360)</f>
        <v>1</v>
      </c>
      <c r="BG360" s="468">
        <f ca="1">IF($BE360&gt;DATE(YEAR($BD$9)+OP!$C$57,MONTH($BD$9),DAY($BD$9)),0,$BE360-$BD360+1)</f>
        <v>29</v>
      </c>
      <c r="BH360" s="469">
        <f t="shared" ca="1" si="300"/>
        <v>30</v>
      </c>
      <c r="BI360" t="str">
        <f t="shared" si="316"/>
        <v/>
      </c>
      <c r="BJ360">
        <v>3</v>
      </c>
      <c r="BN360" s="468">
        <f t="shared" si="312"/>
        <v>30</v>
      </c>
      <c r="BO360" s="468">
        <f t="shared" si="313"/>
        <v>3</v>
      </c>
      <c r="BP360" s="467">
        <f t="shared" ca="1" si="301"/>
        <v>53572</v>
      </c>
      <c r="BQ360" s="475">
        <f t="shared" ca="1" si="315"/>
        <v>62</v>
      </c>
      <c r="BR360" s="475" t="str">
        <f t="shared" si="314"/>
        <v/>
      </c>
      <c r="BS360" s="471" t="str">
        <f t="shared" si="302"/>
        <v/>
      </c>
      <c r="BT360" s="472" t="str">
        <f t="shared" si="317"/>
        <v/>
      </c>
      <c r="BU360" s="472">
        <f t="shared" ca="1" si="303"/>
        <v>0</v>
      </c>
      <c r="BV360" s="472">
        <f t="shared" ca="1" si="303"/>
        <v>0</v>
      </c>
      <c r="BW360" s="472"/>
      <c r="BX360" s="473">
        <f t="shared" ca="1" si="304"/>
        <v>283911.086306924</v>
      </c>
      <c r="BY360" s="473">
        <f t="shared" si="305"/>
        <v>0</v>
      </c>
      <c r="BZ360" s="473">
        <f t="shared" ca="1" si="287"/>
        <v>627.71574307900005</v>
      </c>
      <c r="CA360" s="476">
        <f t="shared" ca="1" si="306"/>
        <v>0</v>
      </c>
      <c r="CB360" s="494">
        <f ca="1">IF(OR($Q359&lt;&gt;1,OP!$D$5+$BN360-1&lt;16,$BN360-1&lt;1),0,ROUND(ROUND(ROUND(((VLOOKUP($BN360-1,MORE_PV,5,0)/10000)*VLOOKUP($BN360,MORE_PV,$CB$5,0)),3)*VLOOKUP($BN360,more1,5,0),0)/$R359,0))</f>
        <v>0</v>
      </c>
      <c r="CC360" s="473">
        <f t="shared" ca="1" si="307"/>
        <v>0</v>
      </c>
      <c r="CD360" s="477"/>
    </row>
    <row r="361" spans="2:82" ht="16.5" hidden="1">
      <c r="B361" s="80"/>
      <c r="C361" s="80"/>
      <c r="D361" s="80"/>
      <c r="E361" s="80"/>
      <c r="F361" s="80"/>
      <c r="G361" s="80"/>
      <c r="H361" s="80"/>
      <c r="I361" s="80"/>
      <c r="J361" s="192">
        <f t="shared" si="288"/>
        <v>30</v>
      </c>
      <c r="K361" s="192">
        <f t="shared" si="289"/>
        <v>5</v>
      </c>
      <c r="L361" s="192" t="str">
        <f t="shared" si="284"/>
        <v/>
      </c>
      <c r="M361" s="216">
        <f t="shared" ca="1" si="290"/>
        <v>0</v>
      </c>
      <c r="N361" s="216"/>
      <c r="O361" s="216"/>
      <c r="P361" s="216"/>
      <c r="Q361" s="456" t="str">
        <f t="shared" ca="1" si="291"/>
        <v/>
      </c>
      <c r="R361" s="450">
        <f t="shared" ca="1" si="292"/>
        <v>1</v>
      </c>
      <c r="S361" s="191">
        <f t="shared" si="293"/>
        <v>30</v>
      </c>
      <c r="T361" s="191">
        <f t="shared" si="294"/>
        <v>5</v>
      </c>
      <c r="U361" s="191">
        <f ca="1">OP!$D$5+$S361-1</f>
        <v>62</v>
      </c>
      <c r="V361" s="191" t="str">
        <f t="shared" si="295"/>
        <v/>
      </c>
      <c r="W361" s="350">
        <f ca="1">IF(Q361&lt;&gt;1,0,VLOOKUP(OP!$C$55,PVFB,$S361+2,0))</f>
        <v>0</v>
      </c>
      <c r="X361" s="473">
        <f t="shared" ca="1" si="308"/>
        <v>0</v>
      </c>
      <c r="Y361" s="348">
        <f t="shared" ca="1" si="309"/>
        <v>0</v>
      </c>
      <c r="Z361" s="348">
        <f t="shared" ca="1" si="310"/>
        <v>8012</v>
      </c>
      <c r="AA361" s="348">
        <f ca="1">IF(Q361&lt;&gt;1,0,VLOOKUP(OP!$C$55,PVFB,$S361+2,0))</f>
        <v>0</v>
      </c>
      <c r="AB361" s="488" t="str">
        <f ca="1">IF(AND(S361&lt;OP!$C$24,$U361&lt;15),0,IF(AND($U361&lt;15,$T361=12),ROUND(VLOOKUP($S361,DOWN16,5,0),3),IF($T361=12,ROUND(($Z361/10000)*$AA361,3)+IF(AND($P$7="購買增額繳清保險",T361=12,U361=110),VLOOKUP(S361,$B$10:$H$121,7,0),0),"")))</f>
        <v/>
      </c>
      <c r="AC361" s="350" t="str">
        <f ca="1">IF(AND(S361&lt;OP!$C$24,$U361&lt;15),0,IF(AND($U361&lt;16,$T361=12),VLOOKUP($S361,DOWN16,4,0),IF($T361=12,ROUND(VLOOKUP(OP!$C$55,_DIE2,$S361+1,0)*(Z361/10000),0)+IF(AND($P$7="購買增額繳清保險",T361=12,U361=110),VLOOKUP(S361,$B$10:$H$121,7,0),0),"")))</f>
        <v/>
      </c>
      <c r="AD361" s="347"/>
      <c r="AE361" s="350" t="str">
        <f t="shared" ca="1" si="285"/>
        <v/>
      </c>
      <c r="AF361" s="351" t="str">
        <f t="shared" ca="1" si="286"/>
        <v/>
      </c>
      <c r="AG361" s="340"/>
      <c r="AH361" s="340"/>
      <c r="AI361" s="340"/>
      <c r="AJ361" s="340"/>
      <c r="AK361" s="340"/>
      <c r="AL361" s="340"/>
      <c r="AM361" s="340"/>
      <c r="AN361" s="340"/>
      <c r="AO361" s="340"/>
      <c r="AP361" s="340"/>
      <c r="AQ361" s="340"/>
      <c r="AR361" s="340"/>
      <c r="AS361" s="340"/>
      <c r="AT361" s="340"/>
      <c r="AU361" s="340"/>
      <c r="AV361" s="340"/>
      <c r="AY361" s="340"/>
      <c r="AZ361" s="465">
        <f t="shared" ca="1" si="296"/>
        <v>7.3698599999999999E-5</v>
      </c>
      <c r="BA361" s="464">
        <f t="shared" ca="1" si="297"/>
        <v>2.2109589000000002E-3</v>
      </c>
      <c r="BB361" s="465">
        <f t="shared" ca="1" si="297"/>
        <v>2.2846575E-3</v>
      </c>
      <c r="BC361" s="466">
        <f t="shared" ca="1" si="298"/>
        <v>53601</v>
      </c>
      <c r="BD361" s="467">
        <f t="shared" ca="1" si="311"/>
        <v>53602</v>
      </c>
      <c r="BE361" s="467">
        <f t="shared" ca="1" si="299"/>
        <v>53631</v>
      </c>
      <c r="BF361" s="468">
        <f ca="1">IF(計算!$BC361&lt;OP!$C$3,0,BD361-BC361)</f>
        <v>1</v>
      </c>
      <c r="BG361" s="468">
        <f ca="1">IF($BE361&gt;DATE(YEAR($BD$9)+OP!$C$57,MONTH($BD$9),DAY($BD$9)),0,$BE361-$BD361+1)</f>
        <v>30</v>
      </c>
      <c r="BH361" s="469">
        <f t="shared" ca="1" si="300"/>
        <v>31</v>
      </c>
      <c r="BI361" t="str">
        <f t="shared" si="316"/>
        <v/>
      </c>
      <c r="BJ361">
        <v>4</v>
      </c>
      <c r="BN361" s="468">
        <f t="shared" si="312"/>
        <v>30</v>
      </c>
      <c r="BO361" s="468">
        <f t="shared" si="313"/>
        <v>4</v>
      </c>
      <c r="BP361" s="467">
        <f t="shared" ca="1" si="301"/>
        <v>53602</v>
      </c>
      <c r="BQ361" s="475">
        <f t="shared" ca="1" si="315"/>
        <v>62</v>
      </c>
      <c r="BR361" s="475" t="str">
        <f t="shared" si="314"/>
        <v/>
      </c>
      <c r="BS361" s="471" t="str">
        <f t="shared" si="302"/>
        <v/>
      </c>
      <c r="BT361" s="472" t="str">
        <f t="shared" si="317"/>
        <v/>
      </c>
      <c r="BU361" s="472">
        <f t="shared" ca="1" si="303"/>
        <v>0</v>
      </c>
      <c r="BV361" s="472">
        <f t="shared" ca="1" si="303"/>
        <v>0</v>
      </c>
      <c r="BW361" s="472"/>
      <c r="BX361" s="473">
        <f t="shared" ca="1" si="304"/>
        <v>284538.80205000303</v>
      </c>
      <c r="BY361" s="473">
        <f t="shared" si="305"/>
        <v>0</v>
      </c>
      <c r="BZ361" s="473">
        <f t="shared" ca="1" si="287"/>
        <v>650.07370814499996</v>
      </c>
      <c r="CA361" s="476">
        <f t="shared" ca="1" si="306"/>
        <v>0</v>
      </c>
      <c r="CB361" s="494">
        <f ca="1">IF(OR($Q360&lt;&gt;1,OP!$D$5+$BN361-1&lt;16,$BN361-1&lt;1),0,ROUND(ROUND(ROUND(((VLOOKUP($BN361-1,MORE_PV,5,0)/10000)*VLOOKUP($BN361,MORE_PV,$CB$5,0)),3)*VLOOKUP($BN361,more1,5,0),0)/$R360,0))</f>
        <v>0</v>
      </c>
      <c r="CC361" s="473">
        <f t="shared" ca="1" si="307"/>
        <v>0</v>
      </c>
      <c r="CD361" s="477"/>
    </row>
    <row r="362" spans="2:82" ht="16.5" hidden="1">
      <c r="B362" s="80"/>
      <c r="C362" s="80"/>
      <c r="D362" s="80"/>
      <c r="E362" s="80"/>
      <c r="F362" s="80"/>
      <c r="G362" s="80"/>
      <c r="H362" s="80"/>
      <c r="I362" s="80"/>
      <c r="J362" s="192">
        <f t="shared" si="288"/>
        <v>30</v>
      </c>
      <c r="K362" s="192">
        <f t="shared" si="289"/>
        <v>6</v>
      </c>
      <c r="L362" s="192" t="str">
        <f t="shared" si="284"/>
        <v/>
      </c>
      <c r="M362" s="216">
        <f t="shared" ca="1" si="290"/>
        <v>0</v>
      </c>
      <c r="N362" s="216"/>
      <c r="O362" s="216"/>
      <c r="P362" s="216"/>
      <c r="Q362" s="456" t="str">
        <f t="shared" ca="1" si="291"/>
        <v/>
      </c>
      <c r="R362" s="450">
        <f t="shared" ca="1" si="292"/>
        <v>1</v>
      </c>
      <c r="S362" s="191">
        <f t="shared" si="293"/>
        <v>30</v>
      </c>
      <c r="T362" s="191">
        <f t="shared" si="294"/>
        <v>6</v>
      </c>
      <c r="U362" s="191">
        <f ca="1">OP!$D$5+$S362-1</f>
        <v>62</v>
      </c>
      <c r="V362" s="191" t="str">
        <f t="shared" si="295"/>
        <v/>
      </c>
      <c r="W362" s="350">
        <f ca="1">IF(Q362&lt;&gt;1,0,VLOOKUP(OP!$C$55,PVFB,$S362+2,0))</f>
        <v>0</v>
      </c>
      <c r="X362" s="473">
        <f t="shared" ca="1" si="308"/>
        <v>0</v>
      </c>
      <c r="Y362" s="348">
        <f t="shared" ca="1" si="309"/>
        <v>0</v>
      </c>
      <c r="Z362" s="348">
        <f t="shared" ca="1" si="310"/>
        <v>8012</v>
      </c>
      <c r="AA362" s="348">
        <f ca="1">IF(Q362&lt;&gt;1,0,VLOOKUP(OP!$C$55,PVFB,$S362+2,0))</f>
        <v>0</v>
      </c>
      <c r="AB362" s="488" t="str">
        <f ca="1">IF(AND(S362&lt;OP!$C$24,$U362&lt;15),0,IF(AND($U362&lt;15,$T362=12),ROUND(VLOOKUP($S362,DOWN16,5,0),3),IF($T362=12,ROUND(($Z362/10000)*$AA362,3)+IF(AND($P$7="購買增額繳清保險",T362=12,U362=110),VLOOKUP(S362,$B$10:$H$121,7,0),0),"")))</f>
        <v/>
      </c>
      <c r="AC362" s="350" t="str">
        <f ca="1">IF(AND(S362&lt;OP!$C$24,$U362&lt;15),0,IF(AND($U362&lt;16,$T362=12),VLOOKUP($S362,DOWN16,4,0),IF($T362=12,ROUND(VLOOKUP(OP!$C$55,_DIE2,$S362+1,0)*(Z362/10000),0)+IF(AND($P$7="購買增額繳清保險",T362=12,U362=110),VLOOKUP(S362,$B$10:$H$121,7,0),0),"")))</f>
        <v/>
      </c>
      <c r="AD362" s="347"/>
      <c r="AE362" s="350" t="str">
        <f t="shared" ca="1" si="285"/>
        <v/>
      </c>
      <c r="AF362" s="351" t="str">
        <f t="shared" ca="1" si="286"/>
        <v/>
      </c>
      <c r="AG362" s="340"/>
      <c r="AH362" s="340"/>
      <c r="AI362" s="340"/>
      <c r="AJ362" s="340"/>
      <c r="AK362" s="340"/>
      <c r="AL362" s="340"/>
      <c r="AM362" s="340"/>
      <c r="AN362" s="340"/>
      <c r="AO362" s="340"/>
      <c r="AP362" s="340"/>
      <c r="AQ362" s="340"/>
      <c r="AR362" s="340"/>
      <c r="AS362" s="340"/>
      <c r="AT362" s="340"/>
      <c r="AU362" s="340"/>
      <c r="AV362" s="340"/>
      <c r="AY362" s="340"/>
      <c r="AZ362" s="465">
        <f t="shared" ca="1" si="296"/>
        <v>7.3698599999999999E-5</v>
      </c>
      <c r="BA362" s="464">
        <f t="shared" ca="1" si="297"/>
        <v>2.1372602999999999E-3</v>
      </c>
      <c r="BB362" s="465">
        <f t="shared" ca="1" si="297"/>
        <v>2.2109589000000002E-3</v>
      </c>
      <c r="BC362" s="466">
        <f t="shared" ca="1" si="298"/>
        <v>53632</v>
      </c>
      <c r="BD362" s="467">
        <f t="shared" ca="1" si="311"/>
        <v>53633</v>
      </c>
      <c r="BE362" s="467">
        <f t="shared" ca="1" si="299"/>
        <v>53661</v>
      </c>
      <c r="BF362" s="468">
        <f ca="1">IF(計算!$BC362&lt;OP!$C$3,0,BD362-BC362)</f>
        <v>1</v>
      </c>
      <c r="BG362" s="468">
        <f ca="1">IF($BE362&gt;DATE(YEAR($BD$9)+OP!$C$57,MONTH($BD$9),DAY($BD$9)),0,$BE362-$BD362+1)</f>
        <v>29</v>
      </c>
      <c r="BH362" s="469">
        <f t="shared" ca="1" si="300"/>
        <v>30</v>
      </c>
      <c r="BI362" t="str">
        <f t="shared" si="316"/>
        <v/>
      </c>
      <c r="BJ362">
        <v>5</v>
      </c>
      <c r="BN362" s="468">
        <f t="shared" si="312"/>
        <v>30</v>
      </c>
      <c r="BO362" s="468">
        <f t="shared" si="313"/>
        <v>5</v>
      </c>
      <c r="BP362" s="467">
        <f t="shared" ca="1" si="301"/>
        <v>53633</v>
      </c>
      <c r="BQ362" s="475">
        <f t="shared" ca="1" si="315"/>
        <v>62</v>
      </c>
      <c r="BR362" s="475" t="str">
        <f t="shared" si="314"/>
        <v/>
      </c>
      <c r="BS362" s="471" t="str">
        <f t="shared" si="302"/>
        <v/>
      </c>
      <c r="BT362" s="472" t="str">
        <f t="shared" si="317"/>
        <v/>
      </c>
      <c r="BU362" s="472">
        <f t="shared" ca="1" si="303"/>
        <v>0</v>
      </c>
      <c r="BV362" s="472">
        <f t="shared" ca="1" si="303"/>
        <v>0</v>
      </c>
      <c r="BW362" s="472"/>
      <c r="BX362" s="473">
        <f t="shared" ca="1" si="304"/>
        <v>285188.87575814797</v>
      </c>
      <c r="BY362" s="473">
        <f t="shared" si="305"/>
        <v>0</v>
      </c>
      <c r="BZ362" s="473">
        <f t="shared" ca="1" si="287"/>
        <v>630.54088303799995</v>
      </c>
      <c r="CA362" s="476">
        <f t="shared" ca="1" si="306"/>
        <v>0</v>
      </c>
      <c r="CB362" s="494">
        <f ca="1">IF(OR($Q361&lt;&gt;1,OP!$D$5+$BN362-1&lt;16,$BN362-1&lt;1),0,ROUND(ROUND(ROUND(((VLOOKUP($BN362-1,MORE_PV,5,0)/10000)*VLOOKUP($BN362,MORE_PV,$CB$5,0)),3)*VLOOKUP($BN362,more1,5,0),0)/$R361,0))</f>
        <v>0</v>
      </c>
      <c r="CC362" s="473">
        <f t="shared" ca="1" si="307"/>
        <v>0</v>
      </c>
      <c r="CD362" s="477"/>
    </row>
    <row r="363" spans="2:82" ht="16.5" hidden="1">
      <c r="B363" s="80"/>
      <c r="C363" s="80"/>
      <c r="D363" s="80"/>
      <c r="E363" s="80"/>
      <c r="F363" s="80"/>
      <c r="G363" s="80"/>
      <c r="H363" s="80"/>
      <c r="I363" s="80"/>
      <c r="J363" s="192">
        <f t="shared" si="288"/>
        <v>30</v>
      </c>
      <c r="K363" s="192">
        <f t="shared" si="289"/>
        <v>7</v>
      </c>
      <c r="L363" s="192" t="str">
        <f t="shared" si="284"/>
        <v/>
      </c>
      <c r="M363" s="216">
        <f t="shared" ca="1" si="290"/>
        <v>0</v>
      </c>
      <c r="N363" s="216"/>
      <c r="O363" s="216"/>
      <c r="P363" s="216"/>
      <c r="Q363" s="456" t="str">
        <f t="shared" ca="1" si="291"/>
        <v/>
      </c>
      <c r="R363" s="450">
        <f t="shared" ca="1" si="292"/>
        <v>1</v>
      </c>
      <c r="S363" s="191">
        <f t="shared" si="293"/>
        <v>30</v>
      </c>
      <c r="T363" s="191">
        <f t="shared" si="294"/>
        <v>7</v>
      </c>
      <c r="U363" s="191">
        <f ca="1">OP!$D$5+$S363-1</f>
        <v>62</v>
      </c>
      <c r="V363" s="191" t="str">
        <f t="shared" si="295"/>
        <v/>
      </c>
      <c r="W363" s="350">
        <f ca="1">IF(Q363&lt;&gt;1,0,VLOOKUP(OP!$C$55,PVFB,$S363+2,0))</f>
        <v>0</v>
      </c>
      <c r="X363" s="473">
        <f t="shared" ca="1" si="308"/>
        <v>0</v>
      </c>
      <c r="Y363" s="348">
        <f t="shared" ca="1" si="309"/>
        <v>0</v>
      </c>
      <c r="Z363" s="348">
        <f t="shared" ca="1" si="310"/>
        <v>8012</v>
      </c>
      <c r="AA363" s="348">
        <f ca="1">IF(Q363&lt;&gt;1,0,VLOOKUP(OP!$C$55,PVFB,$S363+2,0))</f>
        <v>0</v>
      </c>
      <c r="AB363" s="488" t="str">
        <f ca="1">IF(AND(S363&lt;OP!$C$24,$U363&lt;15),0,IF(AND($U363&lt;15,$T363=12),ROUND(VLOOKUP($S363,DOWN16,5,0),3),IF($T363=12,ROUND(($Z363/10000)*$AA363,3)+IF(AND($P$7="購買增額繳清保險",T363=12,U363=110),VLOOKUP(S363,$B$10:$H$121,7,0),0),"")))</f>
        <v/>
      </c>
      <c r="AC363" s="350" t="str">
        <f ca="1">IF(AND(S363&lt;OP!$C$24,$U363&lt;15),0,IF(AND($U363&lt;16,$T363=12),VLOOKUP($S363,DOWN16,4,0),IF($T363=12,ROUND(VLOOKUP(OP!$C$55,_DIE2,$S363+1,0)*(Z363/10000),0)+IF(AND($P$7="購買增額繳清保險",T363=12,U363=110),VLOOKUP(S363,$B$10:$H$121,7,0),0),"")))</f>
        <v/>
      </c>
      <c r="AD363" s="347"/>
      <c r="AE363" s="350" t="str">
        <f t="shared" ca="1" si="285"/>
        <v/>
      </c>
      <c r="AF363" s="351" t="str">
        <f t="shared" ca="1" si="286"/>
        <v/>
      </c>
      <c r="AG363" s="340"/>
      <c r="AH363" s="340"/>
      <c r="AI363" s="340"/>
      <c r="AJ363" s="340"/>
      <c r="AK363" s="340"/>
      <c r="AL363" s="340"/>
      <c r="AM363" s="340"/>
      <c r="AN363" s="340"/>
      <c r="AO363" s="340"/>
      <c r="AP363" s="340"/>
      <c r="AQ363" s="340"/>
      <c r="AR363" s="340"/>
      <c r="AS363" s="340"/>
      <c r="AT363" s="340"/>
      <c r="AU363" s="340"/>
      <c r="AV363" s="340"/>
      <c r="AY363" s="340"/>
      <c r="AZ363" s="465">
        <f t="shared" ca="1" si="296"/>
        <v>7.3698599999999999E-5</v>
      </c>
      <c r="BA363" s="464">
        <f t="shared" ca="1" si="297"/>
        <v>2.2109589000000002E-3</v>
      </c>
      <c r="BB363" s="465">
        <f t="shared" ca="1" si="297"/>
        <v>2.2846575E-3</v>
      </c>
      <c r="BC363" s="466">
        <f t="shared" ca="1" si="298"/>
        <v>53662</v>
      </c>
      <c r="BD363" s="467">
        <f t="shared" ca="1" si="311"/>
        <v>53663</v>
      </c>
      <c r="BE363" s="467">
        <f t="shared" ca="1" si="299"/>
        <v>53692</v>
      </c>
      <c r="BF363" s="468">
        <f ca="1">IF(計算!$BC363&lt;OP!$C$3,0,BD363-BC363)</f>
        <v>1</v>
      </c>
      <c r="BG363" s="468">
        <f ca="1">IF($BE363&gt;DATE(YEAR($BD$9)+OP!$C$57,MONTH($BD$9),DAY($BD$9)),0,$BE363-$BD363+1)</f>
        <v>30</v>
      </c>
      <c r="BH363" s="469">
        <f t="shared" ca="1" si="300"/>
        <v>31</v>
      </c>
      <c r="BI363" t="str">
        <f t="shared" si="316"/>
        <v/>
      </c>
      <c r="BJ363">
        <v>6</v>
      </c>
      <c r="BN363" s="468">
        <f t="shared" si="312"/>
        <v>30</v>
      </c>
      <c r="BO363" s="468">
        <f t="shared" si="313"/>
        <v>6</v>
      </c>
      <c r="BP363" s="467">
        <f t="shared" ca="1" si="301"/>
        <v>53663</v>
      </c>
      <c r="BQ363" s="475">
        <f t="shared" ca="1" si="315"/>
        <v>62</v>
      </c>
      <c r="BR363" s="475" t="str">
        <f t="shared" si="314"/>
        <v/>
      </c>
      <c r="BS363" s="471" t="str">
        <f t="shared" si="302"/>
        <v/>
      </c>
      <c r="BT363" s="472" t="str">
        <f t="shared" si="317"/>
        <v/>
      </c>
      <c r="BU363" s="472">
        <f t="shared" ca="1" si="303"/>
        <v>0</v>
      </c>
      <c r="BV363" s="472">
        <f t="shared" ca="1" si="303"/>
        <v>0</v>
      </c>
      <c r="BW363" s="472"/>
      <c r="BX363" s="473">
        <f t="shared" ca="1" si="304"/>
        <v>285819.41664118599</v>
      </c>
      <c r="BY363" s="473">
        <f t="shared" si="305"/>
        <v>0</v>
      </c>
      <c r="BZ363" s="473">
        <f t="shared" ca="1" si="287"/>
        <v>652.99947387500004</v>
      </c>
      <c r="CA363" s="476">
        <f t="shared" ca="1" si="306"/>
        <v>0</v>
      </c>
      <c r="CB363" s="494">
        <f ca="1">IF(OR($Q362&lt;&gt;1,OP!$D$5+$BN363-1&lt;16,$BN363-1&lt;1),0,ROUND(ROUND(ROUND(((VLOOKUP($BN363-1,MORE_PV,5,0)/10000)*VLOOKUP($BN363,MORE_PV,$CB$5,0)),3)*VLOOKUP($BN363,more1,5,0),0)/$R362,0))</f>
        <v>0</v>
      </c>
      <c r="CC363" s="473">
        <f t="shared" ca="1" si="307"/>
        <v>0</v>
      </c>
      <c r="CD363" s="477"/>
    </row>
    <row r="364" spans="2:82" ht="16.5" hidden="1">
      <c r="B364" s="80"/>
      <c r="C364" s="80"/>
      <c r="D364" s="80"/>
      <c r="E364" s="80"/>
      <c r="F364" s="80"/>
      <c r="G364" s="80"/>
      <c r="H364" s="80"/>
      <c r="I364" s="80"/>
      <c r="J364" s="192">
        <f t="shared" si="288"/>
        <v>30</v>
      </c>
      <c r="K364" s="192">
        <f t="shared" si="289"/>
        <v>8</v>
      </c>
      <c r="L364" s="192" t="str">
        <f t="shared" si="284"/>
        <v/>
      </c>
      <c r="M364" s="216">
        <f t="shared" ca="1" si="290"/>
        <v>0</v>
      </c>
      <c r="N364" s="216"/>
      <c r="O364" s="216"/>
      <c r="P364" s="216"/>
      <c r="Q364" s="456" t="str">
        <f t="shared" ca="1" si="291"/>
        <v/>
      </c>
      <c r="R364" s="450">
        <f t="shared" ca="1" si="292"/>
        <v>1</v>
      </c>
      <c r="S364" s="191">
        <f t="shared" si="293"/>
        <v>30</v>
      </c>
      <c r="T364" s="191">
        <f t="shared" si="294"/>
        <v>8</v>
      </c>
      <c r="U364" s="191">
        <f ca="1">OP!$D$5+$S364-1</f>
        <v>62</v>
      </c>
      <c r="V364" s="191" t="str">
        <f t="shared" si="295"/>
        <v/>
      </c>
      <c r="W364" s="350">
        <f ca="1">IF(Q364&lt;&gt;1,0,VLOOKUP(OP!$C$55,PVFB,$S364+2,0))</f>
        <v>0</v>
      </c>
      <c r="X364" s="473">
        <f t="shared" ca="1" si="308"/>
        <v>0</v>
      </c>
      <c r="Y364" s="348">
        <f t="shared" ca="1" si="309"/>
        <v>0</v>
      </c>
      <c r="Z364" s="348">
        <f t="shared" ca="1" si="310"/>
        <v>8012</v>
      </c>
      <c r="AA364" s="348">
        <f ca="1">IF(Q364&lt;&gt;1,0,VLOOKUP(OP!$C$55,PVFB,$S364+2,0))</f>
        <v>0</v>
      </c>
      <c r="AB364" s="488" t="str">
        <f ca="1">IF(AND(S364&lt;OP!$C$24,$U364&lt;15),0,IF(AND($U364&lt;15,$T364=12),ROUND(VLOOKUP($S364,DOWN16,5,0),3),IF($T364=12,ROUND(($Z364/10000)*$AA364,3)+IF(AND($P$7="購買增額繳清保險",T364=12,U364=110),VLOOKUP(S364,$B$10:$H$121,7,0),0),"")))</f>
        <v/>
      </c>
      <c r="AC364" s="350" t="str">
        <f ca="1">IF(AND(S364&lt;OP!$C$24,$U364&lt;15),0,IF(AND($U364&lt;16,$T364=12),VLOOKUP($S364,DOWN16,4,0),IF($T364=12,ROUND(VLOOKUP(OP!$C$55,_DIE2,$S364+1,0)*(Z364/10000),0)+IF(AND($P$7="購買增額繳清保險",T364=12,U364=110),VLOOKUP(S364,$B$10:$H$121,7,0),0),"")))</f>
        <v/>
      </c>
      <c r="AD364" s="347"/>
      <c r="AE364" s="350" t="str">
        <f t="shared" ca="1" si="285"/>
        <v/>
      </c>
      <c r="AF364" s="351" t="str">
        <f t="shared" ca="1" si="286"/>
        <v/>
      </c>
      <c r="AG364" s="340"/>
      <c r="AH364" s="340"/>
      <c r="AI364" s="340"/>
      <c r="AJ364" s="340"/>
      <c r="AK364" s="340"/>
      <c r="AL364" s="340"/>
      <c r="AM364" s="340"/>
      <c r="AN364" s="340"/>
      <c r="AO364" s="340"/>
      <c r="AP364" s="340"/>
      <c r="AQ364" s="340"/>
      <c r="AR364" s="340"/>
      <c r="AS364" s="340"/>
      <c r="AT364" s="340"/>
      <c r="AU364" s="340"/>
      <c r="AV364" s="340"/>
      <c r="AY364" s="340"/>
      <c r="AZ364" s="465">
        <f t="shared" ca="1" si="296"/>
        <v>7.3698599999999999E-5</v>
      </c>
      <c r="BA364" s="464">
        <f t="shared" ca="1" si="297"/>
        <v>2.2109589000000002E-3</v>
      </c>
      <c r="BB364" s="465">
        <f t="shared" ca="1" si="297"/>
        <v>2.2846575E-3</v>
      </c>
      <c r="BC364" s="466">
        <f t="shared" ca="1" si="298"/>
        <v>53693</v>
      </c>
      <c r="BD364" s="467">
        <f t="shared" ca="1" si="311"/>
        <v>53694</v>
      </c>
      <c r="BE364" s="467">
        <f t="shared" ca="1" si="299"/>
        <v>53723</v>
      </c>
      <c r="BF364" s="468">
        <f ca="1">IF(計算!$BC364&lt;OP!$C$3,0,BD364-BC364)</f>
        <v>1</v>
      </c>
      <c r="BG364" s="468">
        <f ca="1">IF($BE364&gt;DATE(YEAR($BD$9)+OP!$C$57,MONTH($BD$9),DAY($BD$9)),0,$BE364-$BD364+1)</f>
        <v>30</v>
      </c>
      <c r="BH364" s="469">
        <f t="shared" ca="1" si="300"/>
        <v>31</v>
      </c>
      <c r="BI364" t="str">
        <f t="shared" si="316"/>
        <v/>
      </c>
      <c r="BJ364">
        <v>7</v>
      </c>
      <c r="BN364" s="468">
        <f t="shared" si="312"/>
        <v>30</v>
      </c>
      <c r="BO364" s="468">
        <f t="shared" si="313"/>
        <v>7</v>
      </c>
      <c r="BP364" s="467">
        <f t="shared" ca="1" si="301"/>
        <v>53694</v>
      </c>
      <c r="BQ364" s="475">
        <f t="shared" ca="1" si="315"/>
        <v>62</v>
      </c>
      <c r="BR364" s="475" t="str">
        <f t="shared" si="314"/>
        <v/>
      </c>
      <c r="BS364" s="471" t="str">
        <f t="shared" si="302"/>
        <v/>
      </c>
      <c r="BT364" s="472" t="str">
        <f t="shared" si="317"/>
        <v/>
      </c>
      <c r="BU364" s="472">
        <f t="shared" ca="1" si="303"/>
        <v>0</v>
      </c>
      <c r="BV364" s="472">
        <f t="shared" ca="1" si="303"/>
        <v>0</v>
      </c>
      <c r="BW364" s="472"/>
      <c r="BX364" s="473">
        <f t="shared" ca="1" si="304"/>
        <v>286472.41611506097</v>
      </c>
      <c r="BY364" s="473">
        <f t="shared" si="305"/>
        <v>0</v>
      </c>
      <c r="BZ364" s="473">
        <f t="shared" ca="1" si="287"/>
        <v>654.49135402000002</v>
      </c>
      <c r="CA364" s="476">
        <f t="shared" ca="1" si="306"/>
        <v>0</v>
      </c>
      <c r="CB364" s="494">
        <f ca="1">IF(OR($Q363&lt;&gt;1,OP!$D$5+$BN364-1&lt;16,$BN364-1&lt;1),0,ROUND(ROUND(ROUND(((VLOOKUP($BN364-1,MORE_PV,5,0)/10000)*VLOOKUP($BN364,MORE_PV,$CB$5,0)),3)*VLOOKUP($BN364,more1,5,0),0)/$R363,0))</f>
        <v>0</v>
      </c>
      <c r="CC364" s="473">
        <f t="shared" ca="1" si="307"/>
        <v>0</v>
      </c>
      <c r="CD364" s="477"/>
    </row>
    <row r="365" spans="2:82" ht="16.5" hidden="1">
      <c r="B365" s="80"/>
      <c r="C365" s="80"/>
      <c r="D365" s="80"/>
      <c r="E365" s="80"/>
      <c r="F365" s="80"/>
      <c r="G365" s="80"/>
      <c r="H365" s="80"/>
      <c r="I365" s="80"/>
      <c r="J365" s="192">
        <f t="shared" si="288"/>
        <v>30</v>
      </c>
      <c r="K365" s="192">
        <f t="shared" si="289"/>
        <v>9</v>
      </c>
      <c r="L365" s="192" t="str">
        <f t="shared" si="284"/>
        <v/>
      </c>
      <c r="M365" s="216">
        <f t="shared" ca="1" si="290"/>
        <v>0</v>
      </c>
      <c r="N365" s="216"/>
      <c r="O365" s="216"/>
      <c r="P365" s="216"/>
      <c r="Q365" s="456" t="str">
        <f t="shared" ca="1" si="291"/>
        <v/>
      </c>
      <c r="R365" s="450">
        <f t="shared" ca="1" si="292"/>
        <v>1</v>
      </c>
      <c r="S365" s="191">
        <f t="shared" si="293"/>
        <v>30</v>
      </c>
      <c r="T365" s="191">
        <f t="shared" si="294"/>
        <v>9</v>
      </c>
      <c r="U365" s="191">
        <f ca="1">OP!$D$5+$S365-1</f>
        <v>62</v>
      </c>
      <c r="V365" s="191" t="str">
        <f t="shared" si="295"/>
        <v/>
      </c>
      <c r="W365" s="350">
        <f ca="1">IF(Q365&lt;&gt;1,0,VLOOKUP(OP!$C$55,PVFB,$S365+2,0))</f>
        <v>0</v>
      </c>
      <c r="X365" s="473">
        <f t="shared" ca="1" si="308"/>
        <v>0</v>
      </c>
      <c r="Y365" s="348">
        <f t="shared" ca="1" si="309"/>
        <v>0</v>
      </c>
      <c r="Z365" s="348">
        <f t="shared" ca="1" si="310"/>
        <v>8012</v>
      </c>
      <c r="AA365" s="348">
        <f ca="1">IF(Q365&lt;&gt;1,0,VLOOKUP(OP!$C$55,PVFB,$S365+2,0))</f>
        <v>0</v>
      </c>
      <c r="AB365" s="488" t="str">
        <f ca="1">IF(AND(S365&lt;OP!$C$24,$U365&lt;15),0,IF(AND($U365&lt;15,$T365=12),ROUND(VLOOKUP($S365,DOWN16,5,0),3),IF($T365=12,ROUND(($Z365/10000)*$AA365,3)+IF(AND($P$7="購買增額繳清保險",T365=12,U365=110),VLOOKUP(S365,$B$10:$H$121,7,0),0),"")))</f>
        <v/>
      </c>
      <c r="AC365" s="350" t="str">
        <f ca="1">IF(AND(S365&lt;OP!$C$24,$U365&lt;15),0,IF(AND($U365&lt;16,$T365=12),VLOOKUP($S365,DOWN16,4,0),IF($T365=12,ROUND(VLOOKUP(OP!$C$55,_DIE2,$S365+1,0)*(Z365/10000),0)+IF(AND($P$7="購買增額繳清保險",T365=12,U365=110),VLOOKUP(S365,$B$10:$H$121,7,0),0),"")))</f>
        <v/>
      </c>
      <c r="AD365" s="347"/>
      <c r="AE365" s="350" t="str">
        <f t="shared" ca="1" si="285"/>
        <v/>
      </c>
      <c r="AF365" s="351" t="str">
        <f t="shared" ca="1" si="286"/>
        <v/>
      </c>
      <c r="AG365" s="340"/>
      <c r="AH365" s="340"/>
      <c r="AI365" s="340"/>
      <c r="AJ365" s="340"/>
      <c r="AK365" s="340"/>
      <c r="AL365" s="340"/>
      <c r="AM365" s="340"/>
      <c r="AN365" s="340"/>
      <c r="AO365" s="340"/>
      <c r="AP365" s="340"/>
      <c r="AQ365" s="340"/>
      <c r="AR365" s="340"/>
      <c r="AS365" s="340"/>
      <c r="AT365" s="340"/>
      <c r="AU365" s="340"/>
      <c r="AV365" s="340"/>
      <c r="AY365" s="340"/>
      <c r="AZ365" s="465">
        <f t="shared" ca="1" si="296"/>
        <v>7.3698599999999999E-5</v>
      </c>
      <c r="BA365" s="464">
        <f t="shared" ca="1" si="297"/>
        <v>1.9898630000000001E-3</v>
      </c>
      <c r="BB365" s="465">
        <f t="shared" ca="1" si="297"/>
        <v>2.0635616E-3</v>
      </c>
      <c r="BC365" s="466">
        <f t="shared" ca="1" si="298"/>
        <v>53724</v>
      </c>
      <c r="BD365" s="467">
        <f t="shared" ca="1" si="311"/>
        <v>53725</v>
      </c>
      <c r="BE365" s="467">
        <f t="shared" ca="1" si="299"/>
        <v>53751</v>
      </c>
      <c r="BF365" s="468">
        <f ca="1">IF(計算!$BC365&lt;OP!$C$3,0,BD365-BC365)</f>
        <v>1</v>
      </c>
      <c r="BG365" s="468">
        <f ca="1">IF($BE365&gt;DATE(YEAR($BD$9)+OP!$C$57,MONTH($BD$9),DAY($BD$9)),0,$BE365-$BD365+1)</f>
        <v>27</v>
      </c>
      <c r="BH365" s="469">
        <f t="shared" ca="1" si="300"/>
        <v>28</v>
      </c>
      <c r="BI365" t="str">
        <f t="shared" si="316"/>
        <v/>
      </c>
      <c r="BJ365">
        <v>8</v>
      </c>
      <c r="BN365" s="468">
        <f t="shared" si="312"/>
        <v>30</v>
      </c>
      <c r="BO365" s="468">
        <f t="shared" si="313"/>
        <v>8</v>
      </c>
      <c r="BP365" s="467">
        <f t="shared" ca="1" si="301"/>
        <v>53725</v>
      </c>
      <c r="BQ365" s="475">
        <f t="shared" ca="1" si="315"/>
        <v>62</v>
      </c>
      <c r="BR365" s="475" t="str">
        <f t="shared" si="314"/>
        <v/>
      </c>
      <c r="BS365" s="471" t="str">
        <f t="shared" si="302"/>
        <v/>
      </c>
      <c r="BT365" s="472" t="str">
        <f t="shared" si="317"/>
        <v/>
      </c>
      <c r="BU365" s="472">
        <f t="shared" ca="1" si="303"/>
        <v>0</v>
      </c>
      <c r="BV365" s="472">
        <f t="shared" ca="1" si="303"/>
        <v>0</v>
      </c>
      <c r="BW365" s="472"/>
      <c r="BX365" s="473">
        <f t="shared" ca="1" si="304"/>
        <v>287126.90746908099</v>
      </c>
      <c r="BY365" s="473">
        <f t="shared" si="305"/>
        <v>0</v>
      </c>
      <c r="BZ365" s="473">
        <f t="shared" ca="1" si="287"/>
        <v>592.50406057999999</v>
      </c>
      <c r="CA365" s="476">
        <f t="shared" ca="1" si="306"/>
        <v>0</v>
      </c>
      <c r="CB365" s="494">
        <f ca="1">IF(OR($Q364&lt;&gt;1,OP!$D$5+$BN365-1&lt;16,$BN365-1&lt;1),0,ROUND(ROUND(ROUND(((VLOOKUP($BN365-1,MORE_PV,5,0)/10000)*VLOOKUP($BN365,MORE_PV,$CB$5,0)),3)*VLOOKUP($BN365,more1,5,0),0)/$R364,0))</f>
        <v>0</v>
      </c>
      <c r="CC365" s="473">
        <f t="shared" ca="1" si="307"/>
        <v>0</v>
      </c>
      <c r="CD365" s="477"/>
    </row>
    <row r="366" spans="2:82" ht="16.5" hidden="1">
      <c r="B366" s="80"/>
      <c r="C366" s="80"/>
      <c r="D366" s="80"/>
      <c r="E366" s="80"/>
      <c r="F366" s="80"/>
      <c r="G366" s="80"/>
      <c r="H366" s="80"/>
      <c r="I366" s="80"/>
      <c r="J366" s="192">
        <f t="shared" si="288"/>
        <v>30</v>
      </c>
      <c r="K366" s="192">
        <f t="shared" si="289"/>
        <v>10</v>
      </c>
      <c r="L366" s="192" t="str">
        <f t="shared" si="284"/>
        <v/>
      </c>
      <c r="M366" s="216">
        <f t="shared" ca="1" si="290"/>
        <v>0</v>
      </c>
      <c r="N366" s="216"/>
      <c r="O366" s="216"/>
      <c r="P366" s="216"/>
      <c r="Q366" s="456" t="str">
        <f t="shared" ca="1" si="291"/>
        <v/>
      </c>
      <c r="R366" s="450">
        <f t="shared" ca="1" si="292"/>
        <v>1</v>
      </c>
      <c r="S366" s="191">
        <f t="shared" si="293"/>
        <v>30</v>
      </c>
      <c r="T366" s="191">
        <f t="shared" si="294"/>
        <v>10</v>
      </c>
      <c r="U366" s="191">
        <f ca="1">OP!$D$5+$S366-1</f>
        <v>62</v>
      </c>
      <c r="V366" s="191" t="str">
        <f t="shared" si="295"/>
        <v/>
      </c>
      <c r="W366" s="350">
        <f ca="1">IF(Q366&lt;&gt;1,0,VLOOKUP(OP!$C$55,PVFB,$S366+2,0))</f>
        <v>0</v>
      </c>
      <c r="X366" s="473">
        <f t="shared" ca="1" si="308"/>
        <v>0</v>
      </c>
      <c r="Y366" s="348">
        <f t="shared" ca="1" si="309"/>
        <v>0</v>
      </c>
      <c r="Z366" s="348">
        <f t="shared" ca="1" si="310"/>
        <v>8012</v>
      </c>
      <c r="AA366" s="348">
        <f ca="1">IF(Q366&lt;&gt;1,0,VLOOKUP(OP!$C$55,PVFB,$S366+2,0))</f>
        <v>0</v>
      </c>
      <c r="AB366" s="488" t="str">
        <f ca="1">IF(AND(S366&lt;OP!$C$24,$U366&lt;15),0,IF(AND($U366&lt;15,$T366=12),ROUND(VLOOKUP($S366,DOWN16,5,0),3),IF($T366=12,ROUND(($Z366/10000)*$AA366,3)+IF(AND($P$7="購買增額繳清保險",T366=12,U366=110),VLOOKUP(S366,$B$10:$H$121,7,0),0),"")))</f>
        <v/>
      </c>
      <c r="AC366" s="350" t="str">
        <f ca="1">IF(AND(S366&lt;OP!$C$24,$U366&lt;15),0,IF(AND($U366&lt;16,$T366=12),VLOOKUP($S366,DOWN16,4,0),IF($T366=12,ROUND(VLOOKUP(OP!$C$55,_DIE2,$S366+1,0)*(Z366/10000),0)+IF(AND($P$7="購買增額繳清保險",T366=12,U366=110),VLOOKUP(S366,$B$10:$H$121,7,0),0),"")))</f>
        <v/>
      </c>
      <c r="AD366" s="347"/>
      <c r="AE366" s="350" t="str">
        <f t="shared" ca="1" si="285"/>
        <v/>
      </c>
      <c r="AF366" s="351" t="str">
        <f t="shared" ca="1" si="286"/>
        <v/>
      </c>
      <c r="AG366" s="340"/>
      <c r="AH366" s="340"/>
      <c r="AI366" s="340"/>
      <c r="AJ366" s="340"/>
      <c r="AK366" s="340"/>
      <c r="AL366" s="340"/>
      <c r="AM366" s="340"/>
      <c r="AN366" s="340"/>
      <c r="AO366" s="340"/>
      <c r="AP366" s="340"/>
      <c r="AQ366" s="340"/>
      <c r="AR366" s="340"/>
      <c r="AS366" s="340"/>
      <c r="AT366" s="340"/>
      <c r="AU366" s="340"/>
      <c r="AV366" s="340"/>
      <c r="AY366" s="340"/>
      <c r="AZ366" s="465">
        <f t="shared" ca="1" si="296"/>
        <v>7.3698599999999999E-5</v>
      </c>
      <c r="BA366" s="464">
        <f t="shared" ca="1" si="297"/>
        <v>2.2109589000000002E-3</v>
      </c>
      <c r="BB366" s="465">
        <f t="shared" ca="1" si="297"/>
        <v>2.2846575E-3</v>
      </c>
      <c r="BC366" s="466">
        <f t="shared" ca="1" si="298"/>
        <v>53752</v>
      </c>
      <c r="BD366" s="467">
        <f t="shared" ca="1" si="311"/>
        <v>53753</v>
      </c>
      <c r="BE366" s="467">
        <f t="shared" ca="1" si="299"/>
        <v>53782</v>
      </c>
      <c r="BF366" s="468">
        <f ca="1">IF(計算!$BC366&lt;OP!$C$3,0,BD366-BC366)</f>
        <v>1</v>
      </c>
      <c r="BG366" s="468">
        <f ca="1">IF($BE366&gt;DATE(YEAR($BD$9)+OP!$C$57,MONTH($BD$9),DAY($BD$9)),0,$BE366-$BD366+1)</f>
        <v>30</v>
      </c>
      <c r="BH366" s="469">
        <f t="shared" ca="1" si="300"/>
        <v>31</v>
      </c>
      <c r="BI366" t="str">
        <f t="shared" si="316"/>
        <v/>
      </c>
      <c r="BJ366">
        <v>9</v>
      </c>
      <c r="BN366" s="468">
        <f t="shared" si="312"/>
        <v>30</v>
      </c>
      <c r="BO366" s="468">
        <f t="shared" si="313"/>
        <v>9</v>
      </c>
      <c r="BP366" s="467">
        <f t="shared" ca="1" si="301"/>
        <v>53753</v>
      </c>
      <c r="BQ366" s="475">
        <f t="shared" ca="1" si="315"/>
        <v>62</v>
      </c>
      <c r="BR366" s="475" t="str">
        <f t="shared" si="314"/>
        <v/>
      </c>
      <c r="BS366" s="471" t="str">
        <f t="shared" si="302"/>
        <v/>
      </c>
      <c r="BT366" s="472" t="str">
        <f t="shared" si="317"/>
        <v/>
      </c>
      <c r="BU366" s="472">
        <f t="shared" ca="1" si="303"/>
        <v>0</v>
      </c>
      <c r="BV366" s="472">
        <f t="shared" ca="1" si="303"/>
        <v>0</v>
      </c>
      <c r="BW366" s="472"/>
      <c r="BX366" s="473">
        <f t="shared" ca="1" si="304"/>
        <v>287719.41152966098</v>
      </c>
      <c r="BY366" s="473">
        <f t="shared" si="305"/>
        <v>0</v>
      </c>
      <c r="BZ366" s="473">
        <f t="shared" ca="1" si="287"/>
        <v>657.34031144699998</v>
      </c>
      <c r="CA366" s="476">
        <f t="shared" ca="1" si="306"/>
        <v>0</v>
      </c>
      <c r="CB366" s="494">
        <f ca="1">IF(OR($Q365&lt;&gt;1,OP!$D$5+$BN366-1&lt;16,$BN366-1&lt;1),0,ROUND(ROUND(ROUND(((VLOOKUP($BN366-1,MORE_PV,5,0)/10000)*VLOOKUP($BN366,MORE_PV,$CB$5,0)),3)*VLOOKUP($BN366,more1,5,0),0)/$R365,0))</f>
        <v>0</v>
      </c>
      <c r="CC366" s="473">
        <f t="shared" ca="1" si="307"/>
        <v>0</v>
      </c>
      <c r="CD366" s="477"/>
    </row>
    <row r="367" spans="2:82" ht="16.5" hidden="1">
      <c r="B367" s="80"/>
      <c r="C367" s="80"/>
      <c r="D367" s="80"/>
      <c r="E367" s="80"/>
      <c r="F367" s="80"/>
      <c r="G367" s="80"/>
      <c r="H367" s="80"/>
      <c r="I367" s="80"/>
      <c r="J367" s="192">
        <f t="shared" si="288"/>
        <v>30</v>
      </c>
      <c r="K367" s="192">
        <f t="shared" si="289"/>
        <v>11</v>
      </c>
      <c r="L367" s="192" t="str">
        <f t="shared" si="284"/>
        <v/>
      </c>
      <c r="M367" s="216">
        <f t="shared" ca="1" si="290"/>
        <v>0</v>
      </c>
      <c r="N367" s="216"/>
      <c r="O367" s="216"/>
      <c r="P367" s="216"/>
      <c r="Q367" s="456" t="str">
        <f t="shared" ca="1" si="291"/>
        <v/>
      </c>
      <c r="R367" s="450">
        <f t="shared" ca="1" si="292"/>
        <v>1</v>
      </c>
      <c r="S367" s="191">
        <f t="shared" si="293"/>
        <v>30</v>
      </c>
      <c r="T367" s="191">
        <f t="shared" si="294"/>
        <v>11</v>
      </c>
      <c r="U367" s="191">
        <f ca="1">OP!$D$5+$S367-1</f>
        <v>62</v>
      </c>
      <c r="V367" s="191" t="str">
        <f t="shared" si="295"/>
        <v/>
      </c>
      <c r="W367" s="350">
        <f ca="1">IF(Q367&lt;&gt;1,0,VLOOKUP(OP!$C$55,PVFB,$S367+2,0))</f>
        <v>0</v>
      </c>
      <c r="X367" s="473">
        <f t="shared" ca="1" si="308"/>
        <v>0</v>
      </c>
      <c r="Y367" s="348">
        <f t="shared" ca="1" si="309"/>
        <v>0</v>
      </c>
      <c r="Z367" s="348">
        <f t="shared" ca="1" si="310"/>
        <v>8012</v>
      </c>
      <c r="AA367" s="348">
        <f ca="1">IF(Q367&lt;&gt;1,0,VLOOKUP(OP!$C$55,PVFB,$S367+2,0))</f>
        <v>0</v>
      </c>
      <c r="AB367" s="488" t="str">
        <f ca="1">IF(AND(S367&lt;OP!$C$24,$U367&lt;15),0,IF(AND($U367&lt;15,$T367=12),ROUND(VLOOKUP($S367,DOWN16,5,0),3),IF($T367=12,ROUND(($Z367/10000)*$AA367,3)+IF(AND($P$7="購買增額繳清保險",T367=12,U367=110),VLOOKUP(S367,$B$10:$H$121,7,0),0),"")))</f>
        <v/>
      </c>
      <c r="AC367" s="350" t="str">
        <f ca="1">IF(AND(S367&lt;OP!$C$24,$U367&lt;15),0,IF(AND($U367&lt;16,$T367=12),VLOOKUP($S367,DOWN16,4,0),IF($T367=12,ROUND(VLOOKUP(OP!$C$55,_DIE2,$S367+1,0)*(Z367/10000),0)+IF(AND($P$7="購買增額繳清保險",T367=12,U367=110),VLOOKUP(S367,$B$10:$H$121,7,0),0),"")))</f>
        <v/>
      </c>
      <c r="AD367" s="347"/>
      <c r="AE367" s="350" t="str">
        <f t="shared" ca="1" si="285"/>
        <v/>
      </c>
      <c r="AF367" s="351" t="str">
        <f t="shared" ca="1" si="286"/>
        <v/>
      </c>
      <c r="AG367" s="340"/>
      <c r="AH367" s="340"/>
      <c r="AI367" s="340"/>
      <c r="AJ367" s="340"/>
      <c r="AK367" s="340"/>
      <c r="AL367" s="340"/>
      <c r="AM367" s="340"/>
      <c r="AN367" s="340"/>
      <c r="AO367" s="340"/>
      <c r="AP367" s="340"/>
      <c r="AQ367" s="340"/>
      <c r="AR367" s="340"/>
      <c r="AS367" s="340"/>
      <c r="AT367" s="340"/>
      <c r="AU367" s="340"/>
      <c r="AV367" s="340"/>
      <c r="AY367" s="340"/>
      <c r="AZ367" s="465">
        <f t="shared" ca="1" si="296"/>
        <v>7.3698599999999999E-5</v>
      </c>
      <c r="BA367" s="464">
        <f t="shared" ca="1" si="297"/>
        <v>2.1372602999999999E-3</v>
      </c>
      <c r="BB367" s="465">
        <f t="shared" ca="1" si="297"/>
        <v>2.2109589000000002E-3</v>
      </c>
      <c r="BC367" s="466">
        <f t="shared" ca="1" si="298"/>
        <v>53783</v>
      </c>
      <c r="BD367" s="467">
        <f t="shared" ca="1" si="311"/>
        <v>53784</v>
      </c>
      <c r="BE367" s="467">
        <f t="shared" ca="1" si="299"/>
        <v>53812</v>
      </c>
      <c r="BF367" s="468">
        <f ca="1">IF(計算!$BC367&lt;OP!$C$3,0,BD367-BC367)</f>
        <v>1</v>
      </c>
      <c r="BG367" s="468">
        <f ca="1">IF($BE367&gt;DATE(YEAR($BD$9)+OP!$C$57,MONTH($BD$9),DAY($BD$9)),0,$BE367-$BD367+1)</f>
        <v>29</v>
      </c>
      <c r="BH367" s="469">
        <f t="shared" ca="1" si="300"/>
        <v>30</v>
      </c>
      <c r="BI367" t="str">
        <f t="shared" si="316"/>
        <v/>
      </c>
      <c r="BJ367">
        <v>10</v>
      </c>
      <c r="BN367" s="468">
        <f t="shared" si="312"/>
        <v>30</v>
      </c>
      <c r="BO367" s="468">
        <f t="shared" si="313"/>
        <v>10</v>
      </c>
      <c r="BP367" s="467">
        <f t="shared" ca="1" si="301"/>
        <v>53784</v>
      </c>
      <c r="BQ367" s="475">
        <f t="shared" ca="1" si="315"/>
        <v>62</v>
      </c>
      <c r="BR367" s="475" t="str">
        <f t="shared" si="314"/>
        <v/>
      </c>
      <c r="BS367" s="471" t="str">
        <f t="shared" si="302"/>
        <v/>
      </c>
      <c r="BT367" s="472" t="str">
        <f t="shared" si="317"/>
        <v/>
      </c>
      <c r="BU367" s="472">
        <f t="shared" ca="1" si="303"/>
        <v>0</v>
      </c>
      <c r="BV367" s="472">
        <f t="shared" ca="1" si="303"/>
        <v>0</v>
      </c>
      <c r="BW367" s="472"/>
      <c r="BX367" s="473">
        <f t="shared" ca="1" si="304"/>
        <v>288376.75184110802</v>
      </c>
      <c r="BY367" s="473">
        <f t="shared" si="305"/>
        <v>0</v>
      </c>
      <c r="BZ367" s="473">
        <f t="shared" ca="1" si="287"/>
        <v>637.58914603599999</v>
      </c>
      <c r="CA367" s="476">
        <f t="shared" ca="1" si="306"/>
        <v>0</v>
      </c>
      <c r="CB367" s="494">
        <f ca="1">IF(OR($Q366&lt;&gt;1,OP!$D$5+$BN367-1&lt;16,$BN367-1&lt;1),0,ROUND(ROUND(ROUND(((VLOOKUP($BN367-1,MORE_PV,5,0)/10000)*VLOOKUP($BN367,MORE_PV,$CB$5,0)),3)*VLOOKUP($BN367,more1,5,0),0)/$R366,0))</f>
        <v>0</v>
      </c>
      <c r="CC367" s="473">
        <f t="shared" ca="1" si="307"/>
        <v>0</v>
      </c>
      <c r="CD367" s="477"/>
    </row>
    <row r="368" spans="2:82" ht="16.5" hidden="1">
      <c r="B368" s="80"/>
      <c r="C368" s="80"/>
      <c r="D368" s="80"/>
      <c r="E368" s="80"/>
      <c r="F368" s="80"/>
      <c r="G368" s="80"/>
      <c r="H368" s="80"/>
      <c r="I368" s="80"/>
      <c r="J368" s="192">
        <f t="shared" si="288"/>
        <v>30</v>
      </c>
      <c r="K368" s="192">
        <f t="shared" si="289"/>
        <v>12</v>
      </c>
      <c r="L368" s="192">
        <f t="shared" si="284"/>
        <v>30</v>
      </c>
      <c r="M368" s="216">
        <f t="shared" ca="1" si="290"/>
        <v>301253</v>
      </c>
      <c r="N368" s="216"/>
      <c r="O368" s="216"/>
      <c r="P368" s="216"/>
      <c r="Q368" s="456">
        <f t="shared" ca="1" si="291"/>
        <v>1</v>
      </c>
      <c r="R368" s="450">
        <f t="shared" ca="1" si="292"/>
        <v>1</v>
      </c>
      <c r="S368" s="191">
        <f t="shared" si="293"/>
        <v>30</v>
      </c>
      <c r="T368" s="191">
        <f t="shared" si="294"/>
        <v>12</v>
      </c>
      <c r="U368" s="191">
        <f ca="1">OP!$D$5+$S368-1</f>
        <v>62</v>
      </c>
      <c r="V368" s="191">
        <f t="shared" si="295"/>
        <v>30</v>
      </c>
      <c r="W368" s="350">
        <f ca="1">IF(Q368&lt;&gt;1,0,VLOOKUP(OP!$C$55,PVFB,$S368+2,0))</f>
        <v>48124</v>
      </c>
      <c r="X368" s="473">
        <f t="shared" ca="1" si="308"/>
        <v>11556</v>
      </c>
      <c r="Y368" s="348">
        <f t="shared" ca="1" si="309"/>
        <v>0</v>
      </c>
      <c r="Z368" s="348">
        <f t="shared" ca="1" si="310"/>
        <v>8012</v>
      </c>
      <c r="AA368" s="348">
        <f ca="1">IF(Q368&lt;&gt;1,0,VLOOKUP(OP!$C$55,PVFB,$S368+2,0))</f>
        <v>48124</v>
      </c>
      <c r="AB368" s="488">
        <f ca="1">IF(AND(S368&lt;OP!$C$24,$U368&lt;15),0,IF(AND($U368&lt;15,$T368=12),ROUND(VLOOKUP($S368,DOWN16,5,0),3),IF($T368=12,ROUND(($Z368/10000)*$AA368,3)+IF(AND($P$7="購買增額繳清保險",T368=12,U368=110),VLOOKUP(S368,$B$10:$H$121,7,0),0),"")))</f>
        <v>38556.949000000001</v>
      </c>
      <c r="AC368" s="350">
        <f ca="1">IF(AND(S368&lt;OP!$C$24,$U368&lt;15),0,IF(AND($U368&lt;16,$T368=12),VLOOKUP($S368,DOWN16,4,0),IF($T368=12,ROUND(VLOOKUP(OP!$C$55,_DIE2,$S368+1,0)*(Z368/10000),0)+IF(AND($P$7="購買增額繳清保險",T368=12,U368=110),VLOOKUP(S368,$B$10:$H$121,7,0),0),"")))</f>
        <v>38557</v>
      </c>
      <c r="AD368" s="347"/>
      <c r="AE368" s="350" t="str">
        <f t="shared" ca="1" si="285"/>
        <v/>
      </c>
      <c r="AF368" s="351" t="str">
        <f t="shared" ca="1" si="286"/>
        <v/>
      </c>
      <c r="AG368" s="340"/>
      <c r="AH368" s="340"/>
      <c r="AI368" s="340"/>
      <c r="AJ368" s="340"/>
      <c r="AK368" s="340"/>
      <c r="AL368" s="340"/>
      <c r="AM368" s="340"/>
      <c r="AN368" s="340"/>
      <c r="AO368" s="340"/>
      <c r="AP368" s="340"/>
      <c r="AQ368" s="340"/>
      <c r="AR368" s="340"/>
      <c r="AS368" s="340"/>
      <c r="AT368" s="340"/>
      <c r="AU368" s="340"/>
      <c r="AV368" s="340"/>
      <c r="AY368" s="340"/>
      <c r="AZ368" s="465">
        <f t="shared" ca="1" si="296"/>
        <v>7.3698599999999999E-5</v>
      </c>
      <c r="BA368" s="464">
        <f t="shared" ca="1" si="297"/>
        <v>2.2109589000000002E-3</v>
      </c>
      <c r="BB368" s="465">
        <f t="shared" ca="1" si="297"/>
        <v>2.2846575E-3</v>
      </c>
      <c r="BC368" s="466">
        <f t="shared" ca="1" si="298"/>
        <v>53813</v>
      </c>
      <c r="BD368" s="467">
        <f t="shared" ca="1" si="311"/>
        <v>53814</v>
      </c>
      <c r="BE368" s="467">
        <f t="shared" ca="1" si="299"/>
        <v>53843</v>
      </c>
      <c r="BF368" s="468">
        <f ca="1">IF(計算!$BC368&lt;OP!$C$3,0,BD368-BC368)</f>
        <v>1</v>
      </c>
      <c r="BG368" s="468">
        <f ca="1">IF($BE368&gt;DATE(YEAR($BD$9)+OP!$C$57,MONTH($BD$9),DAY($BD$9)),0,$BE368-$BD368+1)</f>
        <v>30</v>
      </c>
      <c r="BH368" s="469">
        <f t="shared" ca="1" si="300"/>
        <v>31</v>
      </c>
      <c r="BI368" t="str">
        <f t="shared" si="316"/>
        <v/>
      </c>
      <c r="BJ368">
        <v>11</v>
      </c>
      <c r="BN368" s="468">
        <f t="shared" si="312"/>
        <v>30</v>
      </c>
      <c r="BO368" s="468">
        <f t="shared" si="313"/>
        <v>11</v>
      </c>
      <c r="BP368" s="467">
        <f t="shared" ca="1" si="301"/>
        <v>53814</v>
      </c>
      <c r="BQ368" s="475">
        <f t="shared" ca="1" si="315"/>
        <v>62</v>
      </c>
      <c r="BR368" s="475" t="str">
        <f t="shared" si="314"/>
        <v/>
      </c>
      <c r="BS368" s="471" t="str">
        <f t="shared" si="302"/>
        <v/>
      </c>
      <c r="BT368" s="472" t="str">
        <f t="shared" si="317"/>
        <v/>
      </c>
      <c r="BU368" s="472">
        <f t="shared" ca="1" si="303"/>
        <v>0</v>
      </c>
      <c r="BV368" s="472">
        <f t="shared" ca="1" si="303"/>
        <v>0</v>
      </c>
      <c r="BW368" s="472"/>
      <c r="BX368" s="473">
        <f t="shared" ca="1" si="304"/>
        <v>289014.34098714398</v>
      </c>
      <c r="BY368" s="473">
        <f t="shared" si="305"/>
        <v>0</v>
      </c>
      <c r="BZ368" s="473">
        <f t="shared" ca="1" si="287"/>
        <v>660.29878174400005</v>
      </c>
      <c r="CA368" s="476">
        <f t="shared" ca="1" si="306"/>
        <v>0</v>
      </c>
      <c r="CB368" s="494">
        <f ca="1">IF(OR($Q367&lt;&gt;1,OP!$D$5+$BN368-1&lt;16,$BN368-1&lt;1),0,ROUND(ROUND(ROUND(((VLOOKUP($BN368-1,MORE_PV,5,0)/10000)*VLOOKUP($BN368,MORE_PV,$CB$5,0)),3)*VLOOKUP($BN368,more1,5,0),0)/$R367,0))</f>
        <v>0</v>
      </c>
      <c r="CC368" s="473">
        <f t="shared" ca="1" si="307"/>
        <v>0</v>
      </c>
      <c r="CD368" s="477"/>
    </row>
    <row r="369" spans="2:82" ht="16.5" hidden="1">
      <c r="B369" s="80"/>
      <c r="C369" s="80"/>
      <c r="D369" s="80"/>
      <c r="E369" s="80"/>
      <c r="F369" s="80"/>
      <c r="G369" s="80"/>
      <c r="H369" s="80"/>
      <c r="I369" s="80"/>
      <c r="J369" s="192">
        <f t="shared" si="288"/>
        <v>31</v>
      </c>
      <c r="K369" s="192">
        <f t="shared" si="289"/>
        <v>1</v>
      </c>
      <c r="L369" s="192" t="str">
        <f t="shared" si="284"/>
        <v/>
      </c>
      <c r="M369" s="216">
        <f t="shared" ca="1" si="290"/>
        <v>0</v>
      </c>
      <c r="N369" s="216"/>
      <c r="O369" s="216"/>
      <c r="P369" s="216"/>
      <c r="Q369" s="456" t="str">
        <f t="shared" ca="1" si="291"/>
        <v/>
      </c>
      <c r="R369" s="450">
        <f t="shared" ca="1" si="292"/>
        <v>1</v>
      </c>
      <c r="S369" s="191">
        <f t="shared" si="293"/>
        <v>31</v>
      </c>
      <c r="T369" s="191">
        <f t="shared" si="294"/>
        <v>1</v>
      </c>
      <c r="U369" s="191">
        <f ca="1">OP!$D$5+$S369-1</f>
        <v>63</v>
      </c>
      <c r="V369" s="191" t="str">
        <f t="shared" si="295"/>
        <v/>
      </c>
      <c r="W369" s="350">
        <f ca="1">IF(Q369&lt;&gt;1,0,VLOOKUP(OP!$C$55,PVFB,$S369+2,0))</f>
        <v>0</v>
      </c>
      <c r="X369" s="473">
        <f t="shared" ca="1" si="308"/>
        <v>0</v>
      </c>
      <c r="Y369" s="348">
        <f t="shared" ca="1" si="309"/>
        <v>0</v>
      </c>
      <c r="Z369" s="348">
        <f t="shared" ca="1" si="310"/>
        <v>8012</v>
      </c>
      <c r="AA369" s="348">
        <f ca="1">IF(Q369&lt;&gt;1,0,VLOOKUP(OP!$C$55,PVFB,$S369+2,0))</f>
        <v>0</v>
      </c>
      <c r="AB369" s="488" t="str">
        <f ca="1">IF(AND(S369&lt;OP!$C$24,$U369&lt;15),0,IF(AND($U369&lt;15,$T369=12),ROUND(VLOOKUP($S369,DOWN16,5,0),3),IF($T369=12,ROUND(($Z369/10000)*$AA369,3)+IF(AND($P$7="購買增額繳清保險",T369=12,U369=110),VLOOKUP(S369,$B$10:$H$121,7,0),0),"")))</f>
        <v/>
      </c>
      <c r="AC369" s="350" t="str">
        <f ca="1">IF(AND(S369&lt;OP!$C$24,$U369&lt;15),0,IF(AND($U369&lt;16,$T369=12),VLOOKUP($S369,DOWN16,4,0),IF($T369=12,ROUND(VLOOKUP(OP!$C$55,_DIE2,$S369+1,0)*(Z369/10000),0)+IF(AND($P$7="購買增額繳清保險",T369=12,U369=110),VLOOKUP(S369,$B$10:$H$121,7,0),0),"")))</f>
        <v/>
      </c>
      <c r="AD369" s="347"/>
      <c r="AE369" s="350" t="str">
        <f t="shared" ca="1" si="285"/>
        <v/>
      </c>
      <c r="AF369" s="351" t="str">
        <f t="shared" ca="1" si="286"/>
        <v/>
      </c>
      <c r="AG369" s="340"/>
      <c r="AH369" s="340"/>
      <c r="AI369" s="340"/>
      <c r="AJ369" s="340"/>
      <c r="AK369" s="340"/>
      <c r="AL369" s="340"/>
      <c r="AM369" s="340"/>
      <c r="AN369" s="340"/>
      <c r="AO369" s="340"/>
      <c r="AP369" s="340"/>
      <c r="AQ369" s="340"/>
      <c r="AR369" s="340"/>
      <c r="AS369" s="340"/>
      <c r="AT369" s="340"/>
      <c r="AU369" s="340"/>
      <c r="AV369" s="340"/>
      <c r="AY369" s="340"/>
      <c r="AZ369" s="465">
        <f t="shared" ca="1" si="296"/>
        <v>7.3698599999999999E-5</v>
      </c>
      <c r="BA369" s="464">
        <f t="shared" ca="1" si="297"/>
        <v>2.1372602999999999E-3</v>
      </c>
      <c r="BB369" s="465">
        <f t="shared" ca="1" si="297"/>
        <v>2.2109589000000002E-3</v>
      </c>
      <c r="BC369" s="466">
        <f t="shared" ca="1" si="298"/>
        <v>53844</v>
      </c>
      <c r="BD369" s="467">
        <f t="shared" ca="1" si="311"/>
        <v>53845</v>
      </c>
      <c r="BE369" s="467">
        <f t="shared" ca="1" si="299"/>
        <v>53873</v>
      </c>
      <c r="BF369" s="468">
        <f ca="1">IF(計算!$BC369&lt;OP!$C$3,0,BD369-BC369)</f>
        <v>1</v>
      </c>
      <c r="BG369" s="468">
        <f ca="1">IF($BE369&gt;DATE(YEAR($BD$9)+OP!$C$57,MONTH($BD$9),DAY($BD$9)),0,$BE369-$BD369+1)</f>
        <v>29</v>
      </c>
      <c r="BH369" s="469">
        <f t="shared" ca="1" si="300"/>
        <v>30</v>
      </c>
      <c r="BI369">
        <f t="shared" ca="1" si="316"/>
        <v>365</v>
      </c>
      <c r="BJ369">
        <v>12</v>
      </c>
      <c r="BN369" s="468">
        <f t="shared" si="312"/>
        <v>30</v>
      </c>
      <c r="BO369" s="468">
        <f t="shared" si="313"/>
        <v>12</v>
      </c>
      <c r="BP369" s="467">
        <f t="shared" ca="1" si="301"/>
        <v>53845</v>
      </c>
      <c r="BQ369" s="475">
        <f t="shared" ca="1" si="315"/>
        <v>62</v>
      </c>
      <c r="BR369" s="475">
        <f t="shared" si="314"/>
        <v>30</v>
      </c>
      <c r="BS369" s="471">
        <f t="shared" ca="1" si="302"/>
        <v>11556</v>
      </c>
      <c r="BT369" s="472">
        <f t="shared" ca="1" si="317"/>
        <v>301253</v>
      </c>
      <c r="BU369" s="472">
        <f t="shared" ca="1" si="303"/>
        <v>11290</v>
      </c>
      <c r="BV369" s="472">
        <f t="shared" ca="1" si="303"/>
        <v>266</v>
      </c>
      <c r="BW369" s="472">
        <f ca="1">ROUND(SUM(BY369,BZ357:BZ368),0)</f>
        <v>7680</v>
      </c>
      <c r="BX369" s="473">
        <f t="shared" ca="1" si="304"/>
        <v>301251.98838429397</v>
      </c>
      <c r="BY369" s="473">
        <f t="shared" ca="1" si="305"/>
        <v>21.348615406</v>
      </c>
      <c r="BZ369" s="473">
        <f t="shared" ca="1" si="287"/>
        <v>643.85391506999997</v>
      </c>
      <c r="CA369" s="476">
        <f t="shared" ca="1" si="306"/>
        <v>11290</v>
      </c>
      <c r="CB369" s="494">
        <f ca="1">IF(OR($Q368&lt;&gt;1,OP!$D$5+$BN369-1&lt;16,$BN369-1&lt;1),0,ROUND(ROUND(ROUND(((VLOOKUP($BN369-1,MORE_PV,5,0)/10000)*VLOOKUP($BN369,MORE_PV,$CB$5,0)),3)*VLOOKUP($BN369,more1,5,0),0)/$R368,0))</f>
        <v>266</v>
      </c>
      <c r="CC369" s="473">
        <f t="shared" ca="1" si="307"/>
        <v>0</v>
      </c>
      <c r="CD369" s="477"/>
    </row>
    <row r="370" spans="2:82" ht="16.5" hidden="1">
      <c r="B370" s="80"/>
      <c r="C370" s="80"/>
      <c r="D370" s="80"/>
      <c r="E370" s="80"/>
      <c r="F370" s="80"/>
      <c r="G370" s="80"/>
      <c r="H370" s="80"/>
      <c r="I370" s="80"/>
      <c r="J370" s="192">
        <f t="shared" si="288"/>
        <v>31</v>
      </c>
      <c r="K370" s="192">
        <f t="shared" si="289"/>
        <v>2</v>
      </c>
      <c r="L370" s="192" t="str">
        <f t="shared" si="284"/>
        <v/>
      </c>
      <c r="M370" s="216">
        <f t="shared" ca="1" si="290"/>
        <v>0</v>
      </c>
      <c r="N370" s="216"/>
      <c r="O370" s="216"/>
      <c r="P370" s="216"/>
      <c r="Q370" s="456" t="str">
        <f t="shared" ca="1" si="291"/>
        <v/>
      </c>
      <c r="R370" s="450">
        <f t="shared" ca="1" si="292"/>
        <v>1</v>
      </c>
      <c r="S370" s="191">
        <f t="shared" si="293"/>
        <v>31</v>
      </c>
      <c r="T370" s="191">
        <f t="shared" si="294"/>
        <v>2</v>
      </c>
      <c r="U370" s="191">
        <f ca="1">OP!$D$5+$S370-1</f>
        <v>63</v>
      </c>
      <c r="V370" s="191" t="str">
        <f t="shared" si="295"/>
        <v/>
      </c>
      <c r="W370" s="350">
        <f ca="1">IF(Q370&lt;&gt;1,0,VLOOKUP(OP!$C$55,PVFB,$S370+2,0))</f>
        <v>0</v>
      </c>
      <c r="X370" s="473">
        <f t="shared" ca="1" si="308"/>
        <v>0</v>
      </c>
      <c r="Y370" s="348">
        <f t="shared" ca="1" si="309"/>
        <v>0</v>
      </c>
      <c r="Z370" s="348">
        <f t="shared" ca="1" si="310"/>
        <v>8012</v>
      </c>
      <c r="AA370" s="348">
        <f ca="1">IF(Q370&lt;&gt;1,0,VLOOKUP(OP!$C$55,PVFB,$S370+2,0))</f>
        <v>0</v>
      </c>
      <c r="AB370" s="488" t="str">
        <f ca="1">IF(AND(S370&lt;OP!$C$24,$U370&lt;15),0,IF(AND($U370&lt;15,$T370=12),ROUND(VLOOKUP($S370,DOWN16,5,0),3),IF($T370=12,ROUND(($Z370/10000)*$AA370,3)+IF(AND($P$7="購買增額繳清保險",T370=12,U370=110),VLOOKUP(S370,$B$10:$H$121,7,0),0),"")))</f>
        <v/>
      </c>
      <c r="AC370" s="350" t="str">
        <f ca="1">IF(AND(S370&lt;OP!$C$24,$U370&lt;15),0,IF(AND($U370&lt;16,$T370=12),VLOOKUP($S370,DOWN16,4,0),IF($T370=12,ROUND(VLOOKUP(OP!$C$55,_DIE2,$S370+1,0)*(Z370/10000),0)+IF(AND($P$7="購買增額繳清保險",T370=12,U370=110),VLOOKUP(S370,$B$10:$H$121,7,0),0),"")))</f>
        <v/>
      </c>
      <c r="AD370" s="347"/>
      <c r="AE370" s="350" t="str">
        <f t="shared" ca="1" si="285"/>
        <v/>
      </c>
      <c r="AF370" s="351" t="str">
        <f t="shared" ca="1" si="286"/>
        <v/>
      </c>
      <c r="AG370" s="340"/>
      <c r="AH370" s="340"/>
      <c r="AI370" s="340"/>
      <c r="AJ370" s="340"/>
      <c r="AK370" s="340"/>
      <c r="AL370" s="340"/>
      <c r="AM370" s="340"/>
      <c r="AN370" s="340"/>
      <c r="AO370" s="340"/>
      <c r="AP370" s="340"/>
      <c r="AQ370" s="340"/>
      <c r="AR370" s="340"/>
      <c r="AS370" s="340"/>
      <c r="AT370" s="340"/>
      <c r="AU370" s="340"/>
      <c r="AV370" s="340"/>
      <c r="AY370" s="340"/>
      <c r="AZ370" s="465">
        <f t="shared" ca="1" si="296"/>
        <v>7.3698599999999999E-5</v>
      </c>
      <c r="BA370" s="464">
        <f t="shared" ca="1" si="297"/>
        <v>2.2109589000000002E-3</v>
      </c>
      <c r="BB370" s="465">
        <f t="shared" ca="1" si="297"/>
        <v>2.2846575E-3</v>
      </c>
      <c r="BC370" s="466">
        <f t="shared" ca="1" si="298"/>
        <v>53874</v>
      </c>
      <c r="BD370" s="467">
        <f t="shared" ca="1" si="311"/>
        <v>53875</v>
      </c>
      <c r="BE370" s="467">
        <f t="shared" ca="1" si="299"/>
        <v>53904</v>
      </c>
      <c r="BF370" s="468">
        <f ca="1">IF(計算!$BC370&lt;OP!$C$3,0,BD370-BC370)</f>
        <v>1</v>
      </c>
      <c r="BG370" s="468">
        <f ca="1">IF($BE370&gt;DATE(YEAR($BD$9)+OP!$C$57,MONTH($BD$9),DAY($BD$9)),0,$BE370-$BD370+1)</f>
        <v>30</v>
      </c>
      <c r="BH370" s="469">
        <f t="shared" ca="1" si="300"/>
        <v>31</v>
      </c>
      <c r="BI370" t="str">
        <f t="shared" si="316"/>
        <v/>
      </c>
      <c r="BJ370">
        <v>1</v>
      </c>
      <c r="BN370" s="468">
        <f t="shared" si="312"/>
        <v>31</v>
      </c>
      <c r="BO370" s="468">
        <f t="shared" si="313"/>
        <v>1</v>
      </c>
      <c r="BP370" s="467">
        <f t="shared" ca="1" si="301"/>
        <v>53875</v>
      </c>
      <c r="BQ370" s="475">
        <f t="shared" ca="1" si="315"/>
        <v>63</v>
      </c>
      <c r="BR370" s="475" t="str">
        <f t="shared" si="314"/>
        <v/>
      </c>
      <c r="BS370" s="471" t="str">
        <f t="shared" si="302"/>
        <v/>
      </c>
      <c r="BT370" s="472" t="str">
        <f t="shared" si="317"/>
        <v/>
      </c>
      <c r="BU370" s="472">
        <f t="shared" ca="1" si="303"/>
        <v>0</v>
      </c>
      <c r="BV370" s="472">
        <f t="shared" ca="1" si="303"/>
        <v>0</v>
      </c>
      <c r="BW370" s="472"/>
      <c r="BX370" s="473">
        <f t="shared" ca="1" si="304"/>
        <v>301895.84229936398</v>
      </c>
      <c r="BY370" s="473">
        <f t="shared" si="305"/>
        <v>0</v>
      </c>
      <c r="BZ370" s="473">
        <f t="shared" ca="1" si="287"/>
        <v>689.72860032799997</v>
      </c>
      <c r="CA370" s="476">
        <f t="shared" ca="1" si="306"/>
        <v>0</v>
      </c>
      <c r="CB370" s="494">
        <f ca="1">IF(OR($Q369&lt;&gt;1,OP!$D$5+$BN370-1&lt;16,$BN370-1&lt;1),0,ROUND(ROUND(ROUND(((VLOOKUP($BN370-1,MORE_PV,5,0)/10000)*VLOOKUP($BN370,MORE_PV,$CB$5,0)),3)*VLOOKUP($BN370,more1,5,0),0)/$R369,0))</f>
        <v>0</v>
      </c>
      <c r="CC370" s="473">
        <f t="shared" ca="1" si="307"/>
        <v>0</v>
      </c>
      <c r="CD370" s="477"/>
    </row>
    <row r="371" spans="2:82" ht="16.5" hidden="1">
      <c r="B371" s="80"/>
      <c r="C371" s="80"/>
      <c r="D371" s="80"/>
      <c r="E371" s="80"/>
      <c r="F371" s="80"/>
      <c r="G371" s="80"/>
      <c r="H371" s="80"/>
      <c r="I371" s="80"/>
      <c r="J371" s="192">
        <f t="shared" si="288"/>
        <v>31</v>
      </c>
      <c r="K371" s="192">
        <f t="shared" si="289"/>
        <v>3</v>
      </c>
      <c r="L371" s="192" t="str">
        <f t="shared" si="284"/>
        <v/>
      </c>
      <c r="M371" s="216">
        <f t="shared" ca="1" si="290"/>
        <v>0</v>
      </c>
      <c r="N371" s="216"/>
      <c r="O371" s="216"/>
      <c r="P371" s="216"/>
      <c r="Q371" s="456" t="str">
        <f t="shared" ca="1" si="291"/>
        <v/>
      </c>
      <c r="R371" s="450">
        <f t="shared" ca="1" si="292"/>
        <v>1</v>
      </c>
      <c r="S371" s="191">
        <f t="shared" si="293"/>
        <v>31</v>
      </c>
      <c r="T371" s="191">
        <f t="shared" si="294"/>
        <v>3</v>
      </c>
      <c r="U371" s="191">
        <f ca="1">OP!$D$5+$S371-1</f>
        <v>63</v>
      </c>
      <c r="V371" s="191" t="str">
        <f t="shared" si="295"/>
        <v/>
      </c>
      <c r="W371" s="350">
        <f ca="1">IF(Q371&lt;&gt;1,0,VLOOKUP(OP!$C$55,PVFB,$S371+2,0))</f>
        <v>0</v>
      </c>
      <c r="X371" s="473">
        <f t="shared" ca="1" si="308"/>
        <v>0</v>
      </c>
      <c r="Y371" s="348">
        <f t="shared" ca="1" si="309"/>
        <v>0</v>
      </c>
      <c r="Z371" s="348">
        <f t="shared" ca="1" si="310"/>
        <v>8012</v>
      </c>
      <c r="AA371" s="348">
        <f ca="1">IF(Q371&lt;&gt;1,0,VLOOKUP(OP!$C$55,PVFB,$S371+2,0))</f>
        <v>0</v>
      </c>
      <c r="AB371" s="488" t="str">
        <f ca="1">IF(AND(S371&lt;OP!$C$24,$U371&lt;15),0,IF(AND($U371&lt;15,$T371=12),ROUND(VLOOKUP($S371,DOWN16,5,0),3),IF($T371=12,ROUND(($Z371/10000)*$AA371,3)+IF(AND($P$7="購買增額繳清保險",T371=12,U371=110),VLOOKUP(S371,$B$10:$H$121,7,0),0),"")))</f>
        <v/>
      </c>
      <c r="AC371" s="350" t="str">
        <f ca="1">IF(AND(S371&lt;OP!$C$24,$U371&lt;15),0,IF(AND($U371&lt;16,$T371=12),VLOOKUP($S371,DOWN16,4,0),IF($T371=12,ROUND(VLOOKUP(OP!$C$55,_DIE2,$S371+1,0)*(Z371/10000),0)+IF(AND($P$7="購買增額繳清保險",T371=12,U371=110),VLOOKUP(S371,$B$10:$H$121,7,0),0),"")))</f>
        <v/>
      </c>
      <c r="AD371" s="347"/>
      <c r="AE371" s="350" t="str">
        <f t="shared" ca="1" si="285"/>
        <v/>
      </c>
      <c r="AF371" s="351" t="str">
        <f t="shared" ca="1" si="286"/>
        <v/>
      </c>
      <c r="AG371" s="340"/>
      <c r="AH371" s="340"/>
      <c r="AI371" s="340"/>
      <c r="AJ371" s="340"/>
      <c r="AK371" s="340"/>
      <c r="AL371" s="340"/>
      <c r="AM371" s="340"/>
      <c r="AN371" s="340"/>
      <c r="AO371" s="340"/>
      <c r="AP371" s="340"/>
      <c r="AQ371" s="340"/>
      <c r="AR371" s="340"/>
      <c r="AS371" s="340"/>
      <c r="AT371" s="340"/>
      <c r="AU371" s="340"/>
      <c r="AV371" s="340"/>
      <c r="AY371" s="340"/>
      <c r="AZ371" s="465">
        <f t="shared" ca="1" si="296"/>
        <v>7.3698599999999999E-5</v>
      </c>
      <c r="BA371" s="464">
        <f t="shared" ca="1" si="297"/>
        <v>2.2109589000000002E-3</v>
      </c>
      <c r="BB371" s="465">
        <f t="shared" ca="1" si="297"/>
        <v>2.2846575E-3</v>
      </c>
      <c r="BC371" s="466">
        <f t="shared" ca="1" si="298"/>
        <v>53905</v>
      </c>
      <c r="BD371" s="467">
        <f t="shared" ca="1" si="311"/>
        <v>53906</v>
      </c>
      <c r="BE371" s="467">
        <f t="shared" ca="1" si="299"/>
        <v>53935</v>
      </c>
      <c r="BF371" s="468">
        <f ca="1">IF(計算!$BC371&lt;OP!$C$3,0,BD371-BC371)</f>
        <v>1</v>
      </c>
      <c r="BG371" s="468">
        <f ca="1">IF($BE371&gt;DATE(YEAR($BD$9)+OP!$C$57,MONTH($BD$9),DAY($BD$9)),0,$BE371-$BD371+1)</f>
        <v>30</v>
      </c>
      <c r="BH371" s="469">
        <f t="shared" ca="1" si="300"/>
        <v>31</v>
      </c>
      <c r="BI371" t="str">
        <f t="shared" si="316"/>
        <v/>
      </c>
      <c r="BJ371">
        <v>2</v>
      </c>
      <c r="BN371" s="468">
        <f t="shared" si="312"/>
        <v>31</v>
      </c>
      <c r="BO371" s="468">
        <f t="shared" si="313"/>
        <v>2</v>
      </c>
      <c r="BP371" s="467">
        <f t="shared" ca="1" si="301"/>
        <v>53906</v>
      </c>
      <c r="BQ371" s="475">
        <f t="shared" ca="1" si="315"/>
        <v>63</v>
      </c>
      <c r="BR371" s="475" t="str">
        <f t="shared" si="314"/>
        <v/>
      </c>
      <c r="BS371" s="471" t="str">
        <f t="shared" si="302"/>
        <v/>
      </c>
      <c r="BT371" s="472" t="str">
        <f t="shared" si="317"/>
        <v/>
      </c>
      <c r="BU371" s="472">
        <f t="shared" ca="1" si="303"/>
        <v>0</v>
      </c>
      <c r="BV371" s="472">
        <f t="shared" ca="1" si="303"/>
        <v>0</v>
      </c>
      <c r="BW371" s="472"/>
      <c r="BX371" s="473">
        <f t="shared" ca="1" si="304"/>
        <v>302585.57089969201</v>
      </c>
      <c r="BY371" s="473">
        <f t="shared" si="305"/>
        <v>0</v>
      </c>
      <c r="BZ371" s="473">
        <f t="shared" ca="1" si="287"/>
        <v>691.30439394799998</v>
      </c>
      <c r="CA371" s="476">
        <f t="shared" ca="1" si="306"/>
        <v>0</v>
      </c>
      <c r="CB371" s="494">
        <f ca="1">IF(OR($Q370&lt;&gt;1,OP!$D$5+$BN371-1&lt;16,$BN371-1&lt;1),0,ROUND(ROUND(ROUND(((VLOOKUP($BN371-1,MORE_PV,5,0)/10000)*VLOOKUP($BN371,MORE_PV,$CB$5,0)),3)*VLOOKUP($BN371,more1,5,0),0)/$R370,0))</f>
        <v>0</v>
      </c>
      <c r="CC371" s="473">
        <f t="shared" ca="1" si="307"/>
        <v>0</v>
      </c>
      <c r="CD371" s="477"/>
    </row>
    <row r="372" spans="2:82" ht="16.5" hidden="1">
      <c r="B372" s="80"/>
      <c r="C372" s="80"/>
      <c r="D372" s="80"/>
      <c r="E372" s="80"/>
      <c r="F372" s="80"/>
      <c r="G372" s="80"/>
      <c r="H372" s="80"/>
      <c r="I372" s="80"/>
      <c r="J372" s="192">
        <f t="shared" si="288"/>
        <v>31</v>
      </c>
      <c r="K372" s="192">
        <f t="shared" si="289"/>
        <v>4</v>
      </c>
      <c r="L372" s="192" t="str">
        <f t="shared" si="284"/>
        <v/>
      </c>
      <c r="M372" s="216">
        <f t="shared" ca="1" si="290"/>
        <v>0</v>
      </c>
      <c r="N372" s="216"/>
      <c r="O372" s="216"/>
      <c r="P372" s="216"/>
      <c r="Q372" s="456" t="str">
        <f t="shared" ca="1" si="291"/>
        <v/>
      </c>
      <c r="R372" s="450">
        <f t="shared" ca="1" si="292"/>
        <v>1</v>
      </c>
      <c r="S372" s="191">
        <f t="shared" si="293"/>
        <v>31</v>
      </c>
      <c r="T372" s="191">
        <f t="shared" si="294"/>
        <v>4</v>
      </c>
      <c r="U372" s="191">
        <f ca="1">OP!$D$5+$S372-1</f>
        <v>63</v>
      </c>
      <c r="V372" s="191" t="str">
        <f t="shared" si="295"/>
        <v/>
      </c>
      <c r="W372" s="350">
        <f ca="1">IF(Q372&lt;&gt;1,0,VLOOKUP(OP!$C$55,PVFB,$S372+2,0))</f>
        <v>0</v>
      </c>
      <c r="X372" s="473">
        <f t="shared" ca="1" si="308"/>
        <v>0</v>
      </c>
      <c r="Y372" s="348">
        <f t="shared" ca="1" si="309"/>
        <v>0</v>
      </c>
      <c r="Z372" s="348">
        <f t="shared" ca="1" si="310"/>
        <v>8012</v>
      </c>
      <c r="AA372" s="348">
        <f ca="1">IF(Q372&lt;&gt;1,0,VLOOKUP(OP!$C$55,PVFB,$S372+2,0))</f>
        <v>0</v>
      </c>
      <c r="AB372" s="488" t="str">
        <f ca="1">IF(AND(S372&lt;OP!$C$24,$U372&lt;15),0,IF(AND($U372&lt;15,$T372=12),ROUND(VLOOKUP($S372,DOWN16,5,0),3),IF($T372=12,ROUND(($Z372/10000)*$AA372,3)+IF(AND($P$7="購買增額繳清保險",T372=12,U372=110),VLOOKUP(S372,$B$10:$H$121,7,0),0),"")))</f>
        <v/>
      </c>
      <c r="AC372" s="350" t="str">
        <f ca="1">IF(AND(S372&lt;OP!$C$24,$U372&lt;15),0,IF(AND($U372&lt;16,$T372=12),VLOOKUP($S372,DOWN16,4,0),IF($T372=12,ROUND(VLOOKUP(OP!$C$55,_DIE2,$S372+1,0)*(Z372/10000),0)+IF(AND($P$7="購買增額繳清保險",T372=12,U372=110),VLOOKUP(S372,$B$10:$H$121,7,0),0),"")))</f>
        <v/>
      </c>
      <c r="AD372" s="347"/>
      <c r="AE372" s="350" t="str">
        <f t="shared" ca="1" si="285"/>
        <v/>
      </c>
      <c r="AF372" s="351" t="str">
        <f t="shared" ca="1" si="286"/>
        <v/>
      </c>
      <c r="AG372" s="340"/>
      <c r="AH372" s="340"/>
      <c r="AI372" s="340"/>
      <c r="AJ372" s="340"/>
      <c r="AK372" s="340"/>
      <c r="AL372" s="340"/>
      <c r="AM372" s="340"/>
      <c r="AN372" s="340"/>
      <c r="AO372" s="340"/>
      <c r="AP372" s="340"/>
      <c r="AQ372" s="340"/>
      <c r="AR372" s="340"/>
      <c r="AS372" s="340"/>
      <c r="AT372" s="340"/>
      <c r="AU372" s="340"/>
      <c r="AV372" s="340"/>
      <c r="AY372" s="340"/>
      <c r="AZ372" s="465">
        <f t="shared" ca="1" si="296"/>
        <v>7.3698599999999999E-5</v>
      </c>
      <c r="BA372" s="464">
        <f t="shared" ca="1" si="297"/>
        <v>2.1372602999999999E-3</v>
      </c>
      <c r="BB372" s="465">
        <f t="shared" ca="1" si="297"/>
        <v>2.2109589000000002E-3</v>
      </c>
      <c r="BC372" s="466">
        <f t="shared" ca="1" si="298"/>
        <v>53936</v>
      </c>
      <c r="BD372" s="467">
        <f t="shared" ca="1" si="311"/>
        <v>53937</v>
      </c>
      <c r="BE372" s="467">
        <f t="shared" ca="1" si="299"/>
        <v>53965</v>
      </c>
      <c r="BF372" s="468">
        <f ca="1">IF(計算!$BC372&lt;OP!$C$3,0,BD372-BC372)</f>
        <v>1</v>
      </c>
      <c r="BG372" s="468">
        <f ca="1">IF($BE372&gt;DATE(YEAR($BD$9)+OP!$C$57,MONTH($BD$9),DAY($BD$9)),0,$BE372-$BD372+1)</f>
        <v>29</v>
      </c>
      <c r="BH372" s="469">
        <f t="shared" ca="1" si="300"/>
        <v>30</v>
      </c>
      <c r="BI372" t="str">
        <f t="shared" si="316"/>
        <v/>
      </c>
      <c r="BJ372">
        <v>3</v>
      </c>
      <c r="BN372" s="468">
        <f t="shared" si="312"/>
        <v>31</v>
      </c>
      <c r="BO372" s="468">
        <f t="shared" si="313"/>
        <v>3</v>
      </c>
      <c r="BP372" s="467">
        <f t="shared" ca="1" si="301"/>
        <v>53937</v>
      </c>
      <c r="BQ372" s="475">
        <f t="shared" ca="1" si="315"/>
        <v>63</v>
      </c>
      <c r="BR372" s="475" t="str">
        <f t="shared" si="314"/>
        <v/>
      </c>
      <c r="BS372" s="471" t="str">
        <f t="shared" si="302"/>
        <v/>
      </c>
      <c r="BT372" s="472" t="str">
        <f t="shared" si="317"/>
        <v/>
      </c>
      <c r="BU372" s="472">
        <f t="shared" ca="1" si="303"/>
        <v>0</v>
      </c>
      <c r="BV372" s="472">
        <f t="shared" ca="1" si="303"/>
        <v>0</v>
      </c>
      <c r="BW372" s="472"/>
      <c r="BX372" s="473">
        <f t="shared" ca="1" si="304"/>
        <v>303276.87529364001</v>
      </c>
      <c r="BY372" s="473">
        <f t="shared" si="305"/>
        <v>0</v>
      </c>
      <c r="BZ372" s="473">
        <f t="shared" ca="1" si="287"/>
        <v>670.53270659500004</v>
      </c>
      <c r="CA372" s="476">
        <f t="shared" ca="1" si="306"/>
        <v>0</v>
      </c>
      <c r="CB372" s="494">
        <f ca="1">IF(OR($Q371&lt;&gt;1,OP!$D$5+$BN372-1&lt;16,$BN372-1&lt;1),0,ROUND(ROUND(ROUND(((VLOOKUP($BN372-1,MORE_PV,5,0)/10000)*VLOOKUP($BN372,MORE_PV,$CB$5,0)),3)*VLOOKUP($BN372,more1,5,0),0)/$R371,0))</f>
        <v>0</v>
      </c>
      <c r="CC372" s="473">
        <f t="shared" ca="1" si="307"/>
        <v>0</v>
      </c>
      <c r="CD372" s="477"/>
    </row>
    <row r="373" spans="2:82" ht="16.5" hidden="1">
      <c r="B373" s="80"/>
      <c r="C373" s="80"/>
      <c r="D373" s="80"/>
      <c r="E373" s="80"/>
      <c r="F373" s="80"/>
      <c r="G373" s="80"/>
      <c r="H373" s="80"/>
      <c r="I373" s="80"/>
      <c r="J373" s="192">
        <f t="shared" si="288"/>
        <v>31</v>
      </c>
      <c r="K373" s="192">
        <f t="shared" si="289"/>
        <v>5</v>
      </c>
      <c r="L373" s="192" t="str">
        <f t="shared" si="284"/>
        <v/>
      </c>
      <c r="M373" s="216">
        <f t="shared" ca="1" si="290"/>
        <v>0</v>
      </c>
      <c r="N373" s="216"/>
      <c r="O373" s="216"/>
      <c r="P373" s="216"/>
      <c r="Q373" s="456" t="str">
        <f t="shared" ca="1" si="291"/>
        <v/>
      </c>
      <c r="R373" s="450">
        <f t="shared" ca="1" si="292"/>
        <v>1</v>
      </c>
      <c r="S373" s="191">
        <f t="shared" si="293"/>
        <v>31</v>
      </c>
      <c r="T373" s="191">
        <f t="shared" si="294"/>
        <v>5</v>
      </c>
      <c r="U373" s="191">
        <f ca="1">OP!$D$5+$S373-1</f>
        <v>63</v>
      </c>
      <c r="V373" s="191" t="str">
        <f t="shared" si="295"/>
        <v/>
      </c>
      <c r="W373" s="350">
        <f ca="1">IF(Q373&lt;&gt;1,0,VLOOKUP(OP!$C$55,PVFB,$S373+2,0))</f>
        <v>0</v>
      </c>
      <c r="X373" s="473">
        <f t="shared" ca="1" si="308"/>
        <v>0</v>
      </c>
      <c r="Y373" s="348">
        <f t="shared" ca="1" si="309"/>
        <v>0</v>
      </c>
      <c r="Z373" s="348">
        <f t="shared" ca="1" si="310"/>
        <v>8012</v>
      </c>
      <c r="AA373" s="348">
        <f ca="1">IF(Q373&lt;&gt;1,0,VLOOKUP(OP!$C$55,PVFB,$S373+2,0))</f>
        <v>0</v>
      </c>
      <c r="AB373" s="488" t="str">
        <f ca="1">IF(AND(S373&lt;OP!$C$24,$U373&lt;15),0,IF(AND($U373&lt;15,$T373=12),ROUND(VLOOKUP($S373,DOWN16,5,0),3),IF($T373=12,ROUND(($Z373/10000)*$AA373,3)+IF(AND($P$7="購買增額繳清保險",T373=12,U373=110),VLOOKUP(S373,$B$10:$H$121,7,0),0),"")))</f>
        <v/>
      </c>
      <c r="AC373" s="350" t="str">
        <f ca="1">IF(AND(S373&lt;OP!$C$24,$U373&lt;15),0,IF(AND($U373&lt;16,$T373=12),VLOOKUP($S373,DOWN16,4,0),IF($T373=12,ROUND(VLOOKUP(OP!$C$55,_DIE2,$S373+1,0)*(Z373/10000),0)+IF(AND($P$7="購買增額繳清保險",T373=12,U373=110),VLOOKUP(S373,$B$10:$H$121,7,0),0),"")))</f>
        <v/>
      </c>
      <c r="AD373" s="347"/>
      <c r="AE373" s="350" t="str">
        <f t="shared" ca="1" si="285"/>
        <v/>
      </c>
      <c r="AF373" s="351" t="str">
        <f t="shared" ca="1" si="286"/>
        <v/>
      </c>
      <c r="AG373" s="340"/>
      <c r="AH373" s="340"/>
      <c r="AI373" s="340"/>
      <c r="AJ373" s="340"/>
      <c r="AK373" s="340"/>
      <c r="AL373" s="340"/>
      <c r="AM373" s="340"/>
      <c r="AN373" s="340"/>
      <c r="AO373" s="340"/>
      <c r="AP373" s="340"/>
      <c r="AQ373" s="340"/>
      <c r="AR373" s="340"/>
      <c r="AS373" s="340"/>
      <c r="AT373" s="340"/>
      <c r="AU373" s="340"/>
      <c r="AV373" s="340"/>
      <c r="AY373" s="340"/>
      <c r="AZ373" s="465">
        <f t="shared" ca="1" si="296"/>
        <v>7.3698599999999999E-5</v>
      </c>
      <c r="BA373" s="464">
        <f t="shared" ca="1" si="297"/>
        <v>2.2109589000000002E-3</v>
      </c>
      <c r="BB373" s="465">
        <f t="shared" ca="1" si="297"/>
        <v>2.2846575E-3</v>
      </c>
      <c r="BC373" s="466">
        <f t="shared" ca="1" si="298"/>
        <v>53966</v>
      </c>
      <c r="BD373" s="467">
        <f t="shared" ca="1" si="311"/>
        <v>53967</v>
      </c>
      <c r="BE373" s="467">
        <f t="shared" ca="1" si="299"/>
        <v>53996</v>
      </c>
      <c r="BF373" s="468">
        <f ca="1">IF(計算!$BC373&lt;OP!$C$3,0,BD373-BC373)</f>
        <v>1</v>
      </c>
      <c r="BG373" s="468">
        <f ca="1">IF($BE373&gt;DATE(YEAR($BD$9)+OP!$C$57,MONTH($BD$9),DAY($BD$9)),0,$BE373-$BD373+1)</f>
        <v>30</v>
      </c>
      <c r="BH373" s="469">
        <f t="shared" ca="1" si="300"/>
        <v>31</v>
      </c>
      <c r="BI373" t="str">
        <f t="shared" si="316"/>
        <v/>
      </c>
      <c r="BJ373">
        <v>4</v>
      </c>
      <c r="BN373" s="468">
        <f t="shared" si="312"/>
        <v>31</v>
      </c>
      <c r="BO373" s="468">
        <f t="shared" si="313"/>
        <v>4</v>
      </c>
      <c r="BP373" s="467">
        <f t="shared" ca="1" si="301"/>
        <v>53967</v>
      </c>
      <c r="BQ373" s="475">
        <f t="shared" ca="1" si="315"/>
        <v>63</v>
      </c>
      <c r="BR373" s="475" t="str">
        <f t="shared" si="314"/>
        <v/>
      </c>
      <c r="BS373" s="471" t="str">
        <f t="shared" si="302"/>
        <v/>
      </c>
      <c r="BT373" s="472" t="str">
        <f t="shared" si="317"/>
        <v/>
      </c>
      <c r="BU373" s="472">
        <f t="shared" ca="1" si="303"/>
        <v>0</v>
      </c>
      <c r="BV373" s="472">
        <f t="shared" ca="1" si="303"/>
        <v>0</v>
      </c>
      <c r="BW373" s="472"/>
      <c r="BX373" s="473">
        <f t="shared" ca="1" si="304"/>
        <v>303947.40800023498</v>
      </c>
      <c r="BY373" s="473">
        <f t="shared" si="305"/>
        <v>0</v>
      </c>
      <c r="BZ373" s="473">
        <f t="shared" ca="1" si="287"/>
        <v>694.41572529300004</v>
      </c>
      <c r="CA373" s="476">
        <f t="shared" ca="1" si="306"/>
        <v>0</v>
      </c>
      <c r="CB373" s="494">
        <f ca="1">IF(OR($Q372&lt;&gt;1,OP!$D$5+$BN373-1&lt;16,$BN373-1&lt;1),0,ROUND(ROUND(ROUND(((VLOOKUP($BN373-1,MORE_PV,5,0)/10000)*VLOOKUP($BN373,MORE_PV,$CB$5,0)),3)*VLOOKUP($BN373,more1,5,0),0)/$R372,0))</f>
        <v>0</v>
      </c>
      <c r="CC373" s="473">
        <f t="shared" ca="1" si="307"/>
        <v>0</v>
      </c>
      <c r="CD373" s="477"/>
    </row>
    <row r="374" spans="2:82" ht="16.5" hidden="1">
      <c r="B374" s="80"/>
      <c r="C374" s="80"/>
      <c r="D374" s="80"/>
      <c r="E374" s="80"/>
      <c r="F374" s="80"/>
      <c r="G374" s="80"/>
      <c r="H374" s="80"/>
      <c r="I374" s="80"/>
      <c r="J374" s="192">
        <f t="shared" si="288"/>
        <v>31</v>
      </c>
      <c r="K374" s="192">
        <f t="shared" si="289"/>
        <v>6</v>
      </c>
      <c r="L374" s="192" t="str">
        <f t="shared" si="284"/>
        <v/>
      </c>
      <c r="M374" s="216">
        <f t="shared" ca="1" si="290"/>
        <v>0</v>
      </c>
      <c r="N374" s="216"/>
      <c r="O374" s="216"/>
      <c r="P374" s="216"/>
      <c r="Q374" s="456" t="str">
        <f t="shared" ca="1" si="291"/>
        <v/>
      </c>
      <c r="R374" s="450">
        <f t="shared" ca="1" si="292"/>
        <v>1</v>
      </c>
      <c r="S374" s="191">
        <f t="shared" si="293"/>
        <v>31</v>
      </c>
      <c r="T374" s="191">
        <f t="shared" si="294"/>
        <v>6</v>
      </c>
      <c r="U374" s="191">
        <f ca="1">OP!$D$5+$S374-1</f>
        <v>63</v>
      </c>
      <c r="V374" s="191" t="str">
        <f t="shared" si="295"/>
        <v/>
      </c>
      <c r="W374" s="350">
        <f ca="1">IF(Q374&lt;&gt;1,0,VLOOKUP(OP!$C$55,PVFB,$S374+2,0))</f>
        <v>0</v>
      </c>
      <c r="X374" s="473">
        <f t="shared" ca="1" si="308"/>
        <v>0</v>
      </c>
      <c r="Y374" s="348">
        <f t="shared" ca="1" si="309"/>
        <v>0</v>
      </c>
      <c r="Z374" s="348">
        <f t="shared" ca="1" si="310"/>
        <v>8012</v>
      </c>
      <c r="AA374" s="348">
        <f ca="1">IF(Q374&lt;&gt;1,0,VLOOKUP(OP!$C$55,PVFB,$S374+2,0))</f>
        <v>0</v>
      </c>
      <c r="AB374" s="488" t="str">
        <f ca="1">IF(AND(S374&lt;OP!$C$24,$U374&lt;15),0,IF(AND($U374&lt;15,$T374=12),ROUND(VLOOKUP($S374,DOWN16,5,0),3),IF($T374=12,ROUND(($Z374/10000)*$AA374,3)+IF(AND($P$7="購買增額繳清保險",T374=12,U374=110),VLOOKUP(S374,$B$10:$H$121,7,0),0),"")))</f>
        <v/>
      </c>
      <c r="AC374" s="350" t="str">
        <f ca="1">IF(AND(S374&lt;OP!$C$24,$U374&lt;15),0,IF(AND($U374&lt;16,$T374=12),VLOOKUP($S374,DOWN16,4,0),IF($T374=12,ROUND(VLOOKUP(OP!$C$55,_DIE2,$S374+1,0)*(Z374/10000),0)+IF(AND($P$7="購買增額繳清保險",T374=12,U374=110),VLOOKUP(S374,$B$10:$H$121,7,0),0),"")))</f>
        <v/>
      </c>
      <c r="AD374" s="347"/>
      <c r="AE374" s="350" t="str">
        <f t="shared" ca="1" si="285"/>
        <v/>
      </c>
      <c r="AF374" s="351" t="str">
        <f t="shared" ca="1" si="286"/>
        <v/>
      </c>
      <c r="AG374" s="340"/>
      <c r="AH374" s="340"/>
      <c r="AI374" s="340"/>
      <c r="AJ374" s="340"/>
      <c r="AK374" s="340"/>
      <c r="AL374" s="340"/>
      <c r="AM374" s="340"/>
      <c r="AN374" s="340"/>
      <c r="AO374" s="340"/>
      <c r="AP374" s="340"/>
      <c r="AQ374" s="340"/>
      <c r="AR374" s="340"/>
      <c r="AS374" s="340"/>
      <c r="AT374" s="340"/>
      <c r="AU374" s="340"/>
      <c r="AV374" s="340"/>
      <c r="AY374" s="340"/>
      <c r="AZ374" s="465">
        <f t="shared" ca="1" si="296"/>
        <v>7.3698599999999999E-5</v>
      </c>
      <c r="BA374" s="464">
        <f t="shared" ca="1" si="297"/>
        <v>2.1372602999999999E-3</v>
      </c>
      <c r="BB374" s="465">
        <f t="shared" ca="1" si="297"/>
        <v>2.2109589000000002E-3</v>
      </c>
      <c r="BC374" s="466">
        <f t="shared" ca="1" si="298"/>
        <v>53997</v>
      </c>
      <c r="BD374" s="467">
        <f t="shared" ca="1" si="311"/>
        <v>53998</v>
      </c>
      <c r="BE374" s="467">
        <f t="shared" ca="1" si="299"/>
        <v>54026</v>
      </c>
      <c r="BF374" s="468">
        <f ca="1">IF(計算!$BC374&lt;OP!$C$3,0,BD374-BC374)</f>
        <v>1</v>
      </c>
      <c r="BG374" s="468">
        <f ca="1">IF($BE374&gt;DATE(YEAR($BD$9)+OP!$C$57,MONTH($BD$9),DAY($BD$9)),0,$BE374-$BD374+1)</f>
        <v>29</v>
      </c>
      <c r="BH374" s="469">
        <f t="shared" ca="1" si="300"/>
        <v>30</v>
      </c>
      <c r="BI374" t="str">
        <f t="shared" si="316"/>
        <v/>
      </c>
      <c r="BJ374">
        <v>5</v>
      </c>
      <c r="BN374" s="468">
        <f t="shared" si="312"/>
        <v>31</v>
      </c>
      <c r="BO374" s="468">
        <f t="shared" si="313"/>
        <v>5</v>
      </c>
      <c r="BP374" s="467">
        <f t="shared" ca="1" si="301"/>
        <v>53998</v>
      </c>
      <c r="BQ374" s="475">
        <f t="shared" ca="1" si="315"/>
        <v>63</v>
      </c>
      <c r="BR374" s="475" t="str">
        <f t="shared" si="314"/>
        <v/>
      </c>
      <c r="BS374" s="471" t="str">
        <f t="shared" si="302"/>
        <v/>
      </c>
      <c r="BT374" s="472" t="str">
        <f t="shared" si="317"/>
        <v/>
      </c>
      <c r="BU374" s="472">
        <f t="shared" ca="1" si="303"/>
        <v>0</v>
      </c>
      <c r="BV374" s="472">
        <f t="shared" ca="1" si="303"/>
        <v>0</v>
      </c>
      <c r="BW374" s="472"/>
      <c r="BX374" s="473">
        <f t="shared" ca="1" si="304"/>
        <v>304641.82372552803</v>
      </c>
      <c r="BY374" s="473">
        <f t="shared" si="305"/>
        <v>0</v>
      </c>
      <c r="BZ374" s="473">
        <f t="shared" ca="1" si="287"/>
        <v>673.55055147799999</v>
      </c>
      <c r="CA374" s="476">
        <f t="shared" ca="1" si="306"/>
        <v>0</v>
      </c>
      <c r="CB374" s="494">
        <f ca="1">IF(OR($Q373&lt;&gt;1,OP!$D$5+$BN374-1&lt;16,$BN374-1&lt;1),0,ROUND(ROUND(ROUND(((VLOOKUP($BN374-1,MORE_PV,5,0)/10000)*VLOOKUP($BN374,MORE_PV,$CB$5,0)),3)*VLOOKUP($BN374,more1,5,0),0)/$R373,0))</f>
        <v>0</v>
      </c>
      <c r="CC374" s="473">
        <f t="shared" ca="1" si="307"/>
        <v>0</v>
      </c>
      <c r="CD374" s="477"/>
    </row>
    <row r="375" spans="2:82" ht="16.5" hidden="1">
      <c r="B375" s="80"/>
      <c r="C375" s="80"/>
      <c r="D375" s="80"/>
      <c r="E375" s="80"/>
      <c r="F375" s="80"/>
      <c r="G375" s="80"/>
      <c r="H375" s="80"/>
      <c r="I375" s="80"/>
      <c r="J375" s="192">
        <f t="shared" si="288"/>
        <v>31</v>
      </c>
      <c r="K375" s="192">
        <f t="shared" si="289"/>
        <v>7</v>
      </c>
      <c r="L375" s="192" t="str">
        <f t="shared" si="284"/>
        <v/>
      </c>
      <c r="M375" s="216">
        <f t="shared" ca="1" si="290"/>
        <v>0</v>
      </c>
      <c r="N375" s="216"/>
      <c r="O375" s="216"/>
      <c r="P375" s="216"/>
      <c r="Q375" s="456" t="str">
        <f t="shared" ca="1" si="291"/>
        <v/>
      </c>
      <c r="R375" s="450">
        <f t="shared" ca="1" si="292"/>
        <v>1</v>
      </c>
      <c r="S375" s="191">
        <f t="shared" si="293"/>
        <v>31</v>
      </c>
      <c r="T375" s="191">
        <f t="shared" si="294"/>
        <v>7</v>
      </c>
      <c r="U375" s="191">
        <f ca="1">OP!$D$5+$S375-1</f>
        <v>63</v>
      </c>
      <c r="V375" s="191" t="str">
        <f t="shared" si="295"/>
        <v/>
      </c>
      <c r="W375" s="350">
        <f ca="1">IF(Q375&lt;&gt;1,0,VLOOKUP(OP!$C$55,PVFB,$S375+2,0))</f>
        <v>0</v>
      </c>
      <c r="X375" s="473">
        <f t="shared" ca="1" si="308"/>
        <v>0</v>
      </c>
      <c r="Y375" s="348">
        <f t="shared" ca="1" si="309"/>
        <v>0</v>
      </c>
      <c r="Z375" s="348">
        <f t="shared" ca="1" si="310"/>
        <v>8012</v>
      </c>
      <c r="AA375" s="348">
        <f ca="1">IF(Q375&lt;&gt;1,0,VLOOKUP(OP!$C$55,PVFB,$S375+2,0))</f>
        <v>0</v>
      </c>
      <c r="AB375" s="488" t="str">
        <f ca="1">IF(AND(S375&lt;OP!$C$24,$U375&lt;15),0,IF(AND($U375&lt;15,$T375=12),ROUND(VLOOKUP($S375,DOWN16,5,0),3),IF($T375=12,ROUND(($Z375/10000)*$AA375,3)+IF(AND($P$7="購買增額繳清保險",T375=12,U375=110),VLOOKUP(S375,$B$10:$H$121,7,0),0),"")))</f>
        <v/>
      </c>
      <c r="AC375" s="350" t="str">
        <f ca="1">IF(AND(S375&lt;OP!$C$24,$U375&lt;15),0,IF(AND($U375&lt;16,$T375=12),VLOOKUP($S375,DOWN16,4,0),IF($T375=12,ROUND(VLOOKUP(OP!$C$55,_DIE2,$S375+1,0)*(Z375/10000),0)+IF(AND($P$7="購買增額繳清保險",T375=12,U375=110),VLOOKUP(S375,$B$10:$H$121,7,0),0),"")))</f>
        <v/>
      </c>
      <c r="AD375" s="347"/>
      <c r="AE375" s="350" t="str">
        <f t="shared" ca="1" si="285"/>
        <v/>
      </c>
      <c r="AF375" s="351" t="str">
        <f t="shared" ca="1" si="286"/>
        <v/>
      </c>
      <c r="AG375" s="340"/>
      <c r="AH375" s="340"/>
      <c r="AI375" s="340"/>
      <c r="AJ375" s="340"/>
      <c r="AK375" s="340"/>
      <c r="AL375" s="340"/>
      <c r="AM375" s="340"/>
      <c r="AN375" s="340"/>
      <c r="AO375" s="340"/>
      <c r="AP375" s="340"/>
      <c r="AQ375" s="340"/>
      <c r="AR375" s="340"/>
      <c r="AS375" s="340"/>
      <c r="AT375" s="340"/>
      <c r="AU375" s="340"/>
      <c r="AV375" s="340"/>
      <c r="AY375" s="340"/>
      <c r="AZ375" s="465">
        <f t="shared" ca="1" si="296"/>
        <v>7.3698599999999999E-5</v>
      </c>
      <c r="BA375" s="464">
        <f t="shared" ca="1" si="297"/>
        <v>2.2109589000000002E-3</v>
      </c>
      <c r="BB375" s="465">
        <f t="shared" ca="1" si="297"/>
        <v>2.2846575E-3</v>
      </c>
      <c r="BC375" s="466">
        <f t="shared" ca="1" si="298"/>
        <v>54027</v>
      </c>
      <c r="BD375" s="467">
        <f t="shared" ca="1" si="311"/>
        <v>54028</v>
      </c>
      <c r="BE375" s="467">
        <f t="shared" ca="1" si="299"/>
        <v>54057</v>
      </c>
      <c r="BF375" s="468">
        <f ca="1">IF(計算!$BC375&lt;OP!$C$3,0,BD375-BC375)</f>
        <v>1</v>
      </c>
      <c r="BG375" s="468">
        <f ca="1">IF($BE375&gt;DATE(YEAR($BD$9)+OP!$C$57,MONTH($BD$9),DAY($BD$9)),0,$BE375-$BD375+1)</f>
        <v>30</v>
      </c>
      <c r="BH375" s="469">
        <f t="shared" ca="1" si="300"/>
        <v>31</v>
      </c>
      <c r="BI375" t="str">
        <f t="shared" si="316"/>
        <v/>
      </c>
      <c r="BJ375">
        <v>6</v>
      </c>
      <c r="BN375" s="468">
        <f t="shared" si="312"/>
        <v>31</v>
      </c>
      <c r="BO375" s="468">
        <f t="shared" si="313"/>
        <v>6</v>
      </c>
      <c r="BP375" s="467">
        <f t="shared" ca="1" si="301"/>
        <v>54028</v>
      </c>
      <c r="BQ375" s="475">
        <f t="shared" ca="1" si="315"/>
        <v>63</v>
      </c>
      <c r="BR375" s="475" t="str">
        <f t="shared" si="314"/>
        <v/>
      </c>
      <c r="BS375" s="471" t="str">
        <f t="shared" si="302"/>
        <v/>
      </c>
      <c r="BT375" s="472" t="str">
        <f t="shared" si="317"/>
        <v/>
      </c>
      <c r="BU375" s="472">
        <f t="shared" ca="1" si="303"/>
        <v>0</v>
      </c>
      <c r="BV375" s="472">
        <f t="shared" ca="1" si="303"/>
        <v>0</v>
      </c>
      <c r="BW375" s="472"/>
      <c r="BX375" s="473">
        <f t="shared" ca="1" si="304"/>
        <v>305315.37427700602</v>
      </c>
      <c r="BY375" s="473">
        <f t="shared" si="305"/>
        <v>0</v>
      </c>
      <c r="BZ375" s="473">
        <f t="shared" ca="1" si="287"/>
        <v>697.54105970700004</v>
      </c>
      <c r="CA375" s="476">
        <f t="shared" ca="1" si="306"/>
        <v>0</v>
      </c>
      <c r="CB375" s="494">
        <f ca="1">IF(OR($Q374&lt;&gt;1,OP!$D$5+$BN375-1&lt;16,$BN375-1&lt;1),0,ROUND(ROUND(ROUND(((VLOOKUP($BN375-1,MORE_PV,5,0)/10000)*VLOOKUP($BN375,MORE_PV,$CB$5,0)),3)*VLOOKUP($BN375,more1,5,0),0)/$R374,0))</f>
        <v>0</v>
      </c>
      <c r="CC375" s="473">
        <f t="shared" ca="1" si="307"/>
        <v>0</v>
      </c>
      <c r="CD375" s="477"/>
    </row>
    <row r="376" spans="2:82" ht="16.5" hidden="1">
      <c r="B376" s="80"/>
      <c r="C376" s="80"/>
      <c r="D376" s="80"/>
      <c r="E376" s="80"/>
      <c r="F376" s="80"/>
      <c r="G376" s="80"/>
      <c r="H376" s="80"/>
      <c r="I376" s="80"/>
      <c r="J376" s="192">
        <f t="shared" si="288"/>
        <v>31</v>
      </c>
      <c r="K376" s="192">
        <f t="shared" si="289"/>
        <v>8</v>
      </c>
      <c r="L376" s="192" t="str">
        <f t="shared" si="284"/>
        <v/>
      </c>
      <c r="M376" s="216">
        <f t="shared" ca="1" si="290"/>
        <v>0</v>
      </c>
      <c r="N376" s="216"/>
      <c r="O376" s="216"/>
      <c r="P376" s="216"/>
      <c r="Q376" s="456" t="str">
        <f t="shared" ca="1" si="291"/>
        <v/>
      </c>
      <c r="R376" s="450">
        <f t="shared" ca="1" si="292"/>
        <v>1</v>
      </c>
      <c r="S376" s="191">
        <f t="shared" si="293"/>
        <v>31</v>
      </c>
      <c r="T376" s="191">
        <f t="shared" si="294"/>
        <v>8</v>
      </c>
      <c r="U376" s="191">
        <f ca="1">OP!$D$5+$S376-1</f>
        <v>63</v>
      </c>
      <c r="V376" s="191" t="str">
        <f t="shared" si="295"/>
        <v/>
      </c>
      <c r="W376" s="350">
        <f ca="1">IF(Q376&lt;&gt;1,0,VLOOKUP(OP!$C$55,PVFB,$S376+2,0))</f>
        <v>0</v>
      </c>
      <c r="X376" s="473">
        <f t="shared" ca="1" si="308"/>
        <v>0</v>
      </c>
      <c r="Y376" s="348">
        <f t="shared" ca="1" si="309"/>
        <v>0</v>
      </c>
      <c r="Z376" s="348">
        <f t="shared" ca="1" si="310"/>
        <v>8012</v>
      </c>
      <c r="AA376" s="348">
        <f ca="1">IF(Q376&lt;&gt;1,0,VLOOKUP(OP!$C$55,PVFB,$S376+2,0))</f>
        <v>0</v>
      </c>
      <c r="AB376" s="488" t="str">
        <f ca="1">IF(AND(S376&lt;OP!$C$24,$U376&lt;15),0,IF(AND($U376&lt;15,$T376=12),ROUND(VLOOKUP($S376,DOWN16,5,0),3),IF($T376=12,ROUND(($Z376/10000)*$AA376,3)+IF(AND($P$7="購買增額繳清保險",T376=12,U376=110),VLOOKUP(S376,$B$10:$H$121,7,0),0),"")))</f>
        <v/>
      </c>
      <c r="AC376" s="350" t="str">
        <f ca="1">IF(AND(S376&lt;OP!$C$24,$U376&lt;15),0,IF(AND($U376&lt;16,$T376=12),VLOOKUP($S376,DOWN16,4,0),IF($T376=12,ROUND(VLOOKUP(OP!$C$55,_DIE2,$S376+1,0)*(Z376/10000),0)+IF(AND($P$7="購買增額繳清保險",T376=12,U376=110),VLOOKUP(S376,$B$10:$H$121,7,0),0),"")))</f>
        <v/>
      </c>
      <c r="AD376" s="347"/>
      <c r="AE376" s="350" t="str">
        <f t="shared" ca="1" si="285"/>
        <v/>
      </c>
      <c r="AF376" s="351" t="str">
        <f t="shared" ca="1" si="286"/>
        <v/>
      </c>
      <c r="AG376" s="340"/>
      <c r="AH376" s="340"/>
      <c r="AI376" s="340"/>
      <c r="AJ376" s="340"/>
      <c r="AK376" s="340"/>
      <c r="AL376" s="340"/>
      <c r="AM376" s="340"/>
      <c r="AN376" s="340"/>
      <c r="AO376" s="340"/>
      <c r="AP376" s="340"/>
      <c r="AQ376" s="340"/>
      <c r="AR376" s="340"/>
      <c r="AS376" s="340"/>
      <c r="AT376" s="340"/>
      <c r="AU376" s="340"/>
      <c r="AV376" s="340"/>
      <c r="AY376" s="340"/>
      <c r="AZ376" s="465">
        <f t="shared" ca="1" si="296"/>
        <v>7.3698599999999999E-5</v>
      </c>
      <c r="BA376" s="464">
        <f t="shared" ca="1" si="297"/>
        <v>2.2109589000000002E-3</v>
      </c>
      <c r="BB376" s="465">
        <f t="shared" ca="1" si="297"/>
        <v>2.2846575E-3</v>
      </c>
      <c r="BC376" s="466">
        <f t="shared" ca="1" si="298"/>
        <v>54058</v>
      </c>
      <c r="BD376" s="467">
        <f t="shared" ca="1" si="311"/>
        <v>54059</v>
      </c>
      <c r="BE376" s="467">
        <f t="shared" ca="1" si="299"/>
        <v>54088</v>
      </c>
      <c r="BF376" s="468">
        <f ca="1">IF(計算!$BC376&lt;OP!$C$3,0,BD376-BC376)</f>
        <v>1</v>
      </c>
      <c r="BG376" s="468">
        <f ca="1">IF($BE376&gt;DATE(YEAR($BD$9)+OP!$C$57,MONTH($BD$9),DAY($BD$9)),0,$BE376-$BD376+1)</f>
        <v>30</v>
      </c>
      <c r="BH376" s="469">
        <f t="shared" ca="1" si="300"/>
        <v>31</v>
      </c>
      <c r="BI376" t="str">
        <f t="shared" si="316"/>
        <v/>
      </c>
      <c r="BJ376">
        <v>7</v>
      </c>
      <c r="BN376" s="468">
        <f t="shared" si="312"/>
        <v>31</v>
      </c>
      <c r="BO376" s="468">
        <f t="shared" si="313"/>
        <v>7</v>
      </c>
      <c r="BP376" s="467">
        <f t="shared" ca="1" si="301"/>
        <v>54059</v>
      </c>
      <c r="BQ376" s="475">
        <f t="shared" ca="1" si="315"/>
        <v>63</v>
      </c>
      <c r="BR376" s="475" t="str">
        <f t="shared" si="314"/>
        <v/>
      </c>
      <c r="BS376" s="471" t="str">
        <f t="shared" si="302"/>
        <v/>
      </c>
      <c r="BT376" s="472" t="str">
        <f t="shared" si="317"/>
        <v/>
      </c>
      <c r="BU376" s="472">
        <f t="shared" ca="1" si="303"/>
        <v>0</v>
      </c>
      <c r="BV376" s="472">
        <f t="shared" ca="1" si="303"/>
        <v>0</v>
      </c>
      <c r="BW376" s="472"/>
      <c r="BX376" s="473">
        <f t="shared" ca="1" si="304"/>
        <v>306012.91533671302</v>
      </c>
      <c r="BY376" s="473">
        <f t="shared" si="305"/>
        <v>0</v>
      </c>
      <c r="BZ376" s="473">
        <f t="shared" ca="1" si="287"/>
        <v>699.13470212100003</v>
      </c>
      <c r="CA376" s="476">
        <f t="shared" ca="1" si="306"/>
        <v>0</v>
      </c>
      <c r="CB376" s="494">
        <f ca="1">IF(OR($Q375&lt;&gt;1,OP!$D$5+$BN376-1&lt;16,$BN376-1&lt;1),0,ROUND(ROUND(ROUND(((VLOOKUP($BN376-1,MORE_PV,5,0)/10000)*VLOOKUP($BN376,MORE_PV,$CB$5,0)),3)*VLOOKUP($BN376,more1,5,0),0)/$R375,0))</f>
        <v>0</v>
      </c>
      <c r="CC376" s="473">
        <f t="shared" ca="1" si="307"/>
        <v>0</v>
      </c>
      <c r="CD376" s="477"/>
    </row>
    <row r="377" spans="2:82" ht="16.5" hidden="1">
      <c r="B377" s="80"/>
      <c r="C377" s="80"/>
      <c r="D377" s="80"/>
      <c r="E377" s="80"/>
      <c r="F377" s="80"/>
      <c r="G377" s="80"/>
      <c r="H377" s="80"/>
      <c r="I377" s="80"/>
      <c r="J377" s="192">
        <f t="shared" si="288"/>
        <v>31</v>
      </c>
      <c r="K377" s="192">
        <f t="shared" si="289"/>
        <v>9</v>
      </c>
      <c r="L377" s="192" t="str">
        <f t="shared" si="284"/>
        <v/>
      </c>
      <c r="M377" s="216">
        <f t="shared" ca="1" si="290"/>
        <v>0</v>
      </c>
      <c r="N377" s="216"/>
      <c r="O377" s="216"/>
      <c r="P377" s="216"/>
      <c r="Q377" s="456" t="str">
        <f t="shared" ca="1" si="291"/>
        <v/>
      </c>
      <c r="R377" s="450">
        <f t="shared" ca="1" si="292"/>
        <v>1</v>
      </c>
      <c r="S377" s="191">
        <f t="shared" si="293"/>
        <v>31</v>
      </c>
      <c r="T377" s="191">
        <f t="shared" si="294"/>
        <v>9</v>
      </c>
      <c r="U377" s="191">
        <f ca="1">OP!$D$5+$S377-1</f>
        <v>63</v>
      </c>
      <c r="V377" s="191" t="str">
        <f t="shared" si="295"/>
        <v/>
      </c>
      <c r="W377" s="350">
        <f ca="1">IF(Q377&lt;&gt;1,0,VLOOKUP(OP!$C$55,PVFB,$S377+2,0))</f>
        <v>0</v>
      </c>
      <c r="X377" s="473">
        <f t="shared" ca="1" si="308"/>
        <v>0</v>
      </c>
      <c r="Y377" s="348">
        <f t="shared" ca="1" si="309"/>
        <v>0</v>
      </c>
      <c r="Z377" s="348">
        <f t="shared" ca="1" si="310"/>
        <v>8012</v>
      </c>
      <c r="AA377" s="348">
        <f ca="1">IF(Q377&lt;&gt;1,0,VLOOKUP(OP!$C$55,PVFB,$S377+2,0))</f>
        <v>0</v>
      </c>
      <c r="AB377" s="488" t="str">
        <f ca="1">IF(AND(S377&lt;OP!$C$24,$U377&lt;15),0,IF(AND($U377&lt;15,$T377=12),ROUND(VLOOKUP($S377,DOWN16,5,0),3),IF($T377=12,ROUND(($Z377/10000)*$AA377,3)+IF(AND($P$7="購買增額繳清保險",T377=12,U377=110),VLOOKUP(S377,$B$10:$H$121,7,0),0),"")))</f>
        <v/>
      </c>
      <c r="AC377" s="350" t="str">
        <f ca="1">IF(AND(S377&lt;OP!$C$24,$U377&lt;15),0,IF(AND($U377&lt;16,$T377=12),VLOOKUP($S377,DOWN16,4,0),IF($T377=12,ROUND(VLOOKUP(OP!$C$55,_DIE2,$S377+1,0)*(Z377/10000),0)+IF(AND($P$7="購買增額繳清保險",T377=12,U377=110),VLOOKUP(S377,$B$10:$H$121,7,0),0),"")))</f>
        <v/>
      </c>
      <c r="AD377" s="347"/>
      <c r="AE377" s="350" t="str">
        <f t="shared" ca="1" si="285"/>
        <v/>
      </c>
      <c r="AF377" s="351" t="str">
        <f t="shared" ca="1" si="286"/>
        <v/>
      </c>
      <c r="AG377" s="340"/>
      <c r="AH377" s="340"/>
      <c r="AI377" s="340"/>
      <c r="AJ377" s="340"/>
      <c r="AK377" s="340"/>
      <c r="AL377" s="340"/>
      <c r="AM377" s="340"/>
      <c r="AN377" s="340"/>
      <c r="AO377" s="340"/>
      <c r="AP377" s="340"/>
      <c r="AQ377" s="340"/>
      <c r="AR377" s="340"/>
      <c r="AS377" s="340"/>
      <c r="AT377" s="340"/>
      <c r="AU377" s="340"/>
      <c r="AV377" s="340"/>
      <c r="AY377" s="340"/>
      <c r="AZ377" s="465">
        <f t="shared" ca="1" si="296"/>
        <v>7.3698599999999999E-5</v>
      </c>
      <c r="BA377" s="464">
        <f t="shared" ca="1" si="297"/>
        <v>2.0635616E-3</v>
      </c>
      <c r="BB377" s="465">
        <f t="shared" ca="1" si="297"/>
        <v>2.1372602999999999E-3</v>
      </c>
      <c r="BC377" s="466">
        <f t="shared" ca="1" si="298"/>
        <v>54089</v>
      </c>
      <c r="BD377" s="467">
        <f t="shared" ca="1" si="311"/>
        <v>54090</v>
      </c>
      <c r="BE377" s="467">
        <f t="shared" ca="1" si="299"/>
        <v>54117</v>
      </c>
      <c r="BF377" s="468">
        <f ca="1">IF(計算!$BC377&lt;OP!$C$3,0,BD377-BC377)</f>
        <v>1</v>
      </c>
      <c r="BG377" s="468">
        <f ca="1">IF($BE377&gt;DATE(YEAR($BD$9)+OP!$C$57,MONTH($BD$9),DAY($BD$9)),0,$BE377-$BD377+1)</f>
        <v>28</v>
      </c>
      <c r="BH377" s="469">
        <f t="shared" ca="1" si="300"/>
        <v>29</v>
      </c>
      <c r="BI377" t="str">
        <f t="shared" si="316"/>
        <v/>
      </c>
      <c r="BJ377">
        <v>8</v>
      </c>
      <c r="BN377" s="468">
        <f t="shared" si="312"/>
        <v>31</v>
      </c>
      <c r="BO377" s="468">
        <f t="shared" si="313"/>
        <v>8</v>
      </c>
      <c r="BP377" s="467">
        <f t="shared" ca="1" si="301"/>
        <v>54090</v>
      </c>
      <c r="BQ377" s="475">
        <f t="shared" ca="1" si="315"/>
        <v>63</v>
      </c>
      <c r="BR377" s="475" t="str">
        <f t="shared" si="314"/>
        <v/>
      </c>
      <c r="BS377" s="471" t="str">
        <f t="shared" si="302"/>
        <v/>
      </c>
      <c r="BT377" s="472" t="str">
        <f t="shared" si="317"/>
        <v/>
      </c>
      <c r="BU377" s="472">
        <f t="shared" ca="1" si="303"/>
        <v>0</v>
      </c>
      <c r="BV377" s="472">
        <f t="shared" ca="1" si="303"/>
        <v>0</v>
      </c>
      <c r="BW377" s="472"/>
      <c r="BX377" s="473">
        <f t="shared" ca="1" si="304"/>
        <v>306712.05003883399</v>
      </c>
      <c r="BY377" s="473">
        <f t="shared" si="305"/>
        <v>0</v>
      </c>
      <c r="BZ377" s="473">
        <f t="shared" ca="1" si="287"/>
        <v>655.52348807999999</v>
      </c>
      <c r="CA377" s="476">
        <f t="shared" ca="1" si="306"/>
        <v>0</v>
      </c>
      <c r="CB377" s="494">
        <f ca="1">IF(OR($Q376&lt;&gt;1,OP!$D$5+$BN377-1&lt;16,$BN377-1&lt;1),0,ROUND(ROUND(ROUND(((VLOOKUP($BN377-1,MORE_PV,5,0)/10000)*VLOOKUP($BN377,MORE_PV,$CB$5,0)),3)*VLOOKUP($BN377,more1,5,0),0)/$R376,0))</f>
        <v>0</v>
      </c>
      <c r="CC377" s="473">
        <f t="shared" ca="1" si="307"/>
        <v>0</v>
      </c>
      <c r="CD377" s="477"/>
    </row>
    <row r="378" spans="2:82" ht="16.5" hidden="1">
      <c r="B378" s="80"/>
      <c r="C378" s="80"/>
      <c r="D378" s="80"/>
      <c r="E378" s="80"/>
      <c r="F378" s="80"/>
      <c r="G378" s="80"/>
      <c r="H378" s="80"/>
      <c r="I378" s="80"/>
      <c r="J378" s="192">
        <f t="shared" si="288"/>
        <v>31</v>
      </c>
      <c r="K378" s="192">
        <f t="shared" si="289"/>
        <v>10</v>
      </c>
      <c r="L378" s="192" t="str">
        <f t="shared" si="284"/>
        <v/>
      </c>
      <c r="M378" s="216">
        <f t="shared" ca="1" si="290"/>
        <v>0</v>
      </c>
      <c r="N378" s="216"/>
      <c r="O378" s="216"/>
      <c r="P378" s="216"/>
      <c r="Q378" s="456" t="str">
        <f t="shared" ca="1" si="291"/>
        <v/>
      </c>
      <c r="R378" s="450">
        <f t="shared" ca="1" si="292"/>
        <v>1</v>
      </c>
      <c r="S378" s="191">
        <f t="shared" si="293"/>
        <v>31</v>
      </c>
      <c r="T378" s="191">
        <f t="shared" si="294"/>
        <v>10</v>
      </c>
      <c r="U378" s="191">
        <f ca="1">OP!$D$5+$S378-1</f>
        <v>63</v>
      </c>
      <c r="V378" s="191" t="str">
        <f t="shared" si="295"/>
        <v/>
      </c>
      <c r="W378" s="350">
        <f ca="1">IF(Q378&lt;&gt;1,0,VLOOKUP(OP!$C$55,PVFB,$S378+2,0))</f>
        <v>0</v>
      </c>
      <c r="X378" s="473">
        <f t="shared" ca="1" si="308"/>
        <v>0</v>
      </c>
      <c r="Y378" s="348">
        <f t="shared" ca="1" si="309"/>
        <v>0</v>
      </c>
      <c r="Z378" s="348">
        <f t="shared" ca="1" si="310"/>
        <v>8012</v>
      </c>
      <c r="AA378" s="348">
        <f ca="1">IF(Q378&lt;&gt;1,0,VLOOKUP(OP!$C$55,PVFB,$S378+2,0))</f>
        <v>0</v>
      </c>
      <c r="AB378" s="488" t="str">
        <f ca="1">IF(AND(S378&lt;OP!$C$24,$U378&lt;15),0,IF(AND($U378&lt;15,$T378=12),ROUND(VLOOKUP($S378,DOWN16,5,0),3),IF($T378=12,ROUND(($Z378/10000)*$AA378,3)+IF(AND($P$7="購買增額繳清保險",T378=12,U378=110),VLOOKUP(S378,$B$10:$H$121,7,0),0),"")))</f>
        <v/>
      </c>
      <c r="AC378" s="350" t="str">
        <f ca="1">IF(AND(S378&lt;OP!$C$24,$U378&lt;15),0,IF(AND($U378&lt;16,$T378=12),VLOOKUP($S378,DOWN16,4,0),IF($T378=12,ROUND(VLOOKUP(OP!$C$55,_DIE2,$S378+1,0)*(Z378/10000),0)+IF(AND($P$7="購買增額繳清保險",T378=12,U378=110),VLOOKUP(S378,$B$10:$H$121,7,0),0),"")))</f>
        <v/>
      </c>
      <c r="AD378" s="347"/>
      <c r="AE378" s="350" t="str">
        <f t="shared" ca="1" si="285"/>
        <v/>
      </c>
      <c r="AF378" s="351" t="str">
        <f t="shared" ca="1" si="286"/>
        <v/>
      </c>
      <c r="AG378" s="340"/>
      <c r="AH378" s="340"/>
      <c r="AI378" s="340"/>
      <c r="AJ378" s="340"/>
      <c r="AK378" s="340"/>
      <c r="AL378" s="340"/>
      <c r="AM378" s="340"/>
      <c r="AN378" s="340"/>
      <c r="AO378" s="340"/>
      <c r="AP378" s="340"/>
      <c r="AQ378" s="340"/>
      <c r="AR378" s="340"/>
      <c r="AS378" s="340"/>
      <c r="AT378" s="340"/>
      <c r="AU378" s="340"/>
      <c r="AV378" s="340"/>
      <c r="AY378" s="340"/>
      <c r="AZ378" s="465">
        <f t="shared" ca="1" si="296"/>
        <v>7.3698599999999999E-5</v>
      </c>
      <c r="BA378" s="464">
        <f t="shared" ca="1" si="297"/>
        <v>2.2109589000000002E-3</v>
      </c>
      <c r="BB378" s="465">
        <f t="shared" ca="1" si="297"/>
        <v>2.2846575E-3</v>
      </c>
      <c r="BC378" s="466">
        <f t="shared" ca="1" si="298"/>
        <v>54118</v>
      </c>
      <c r="BD378" s="467">
        <f t="shared" ca="1" si="311"/>
        <v>54119</v>
      </c>
      <c r="BE378" s="467">
        <f t="shared" ca="1" si="299"/>
        <v>54148</v>
      </c>
      <c r="BF378" s="468">
        <f ca="1">IF(計算!$BC378&lt;OP!$C$3,0,BD378-BC378)</f>
        <v>1</v>
      </c>
      <c r="BG378" s="468">
        <f ca="1">IF($BE378&gt;DATE(YEAR($BD$9)+OP!$C$57,MONTH($BD$9),DAY($BD$9)),0,$BE378-$BD378+1)</f>
        <v>30</v>
      </c>
      <c r="BH378" s="469">
        <f t="shared" ca="1" si="300"/>
        <v>31</v>
      </c>
      <c r="BI378" t="str">
        <f t="shared" si="316"/>
        <v/>
      </c>
      <c r="BJ378">
        <v>9</v>
      </c>
      <c r="BN378" s="468">
        <f t="shared" si="312"/>
        <v>31</v>
      </c>
      <c r="BO378" s="468">
        <f t="shared" si="313"/>
        <v>9</v>
      </c>
      <c r="BP378" s="467">
        <f t="shared" ca="1" si="301"/>
        <v>54119</v>
      </c>
      <c r="BQ378" s="475">
        <f t="shared" ca="1" si="315"/>
        <v>63</v>
      </c>
      <c r="BR378" s="475" t="str">
        <f t="shared" si="314"/>
        <v/>
      </c>
      <c r="BS378" s="471" t="str">
        <f t="shared" si="302"/>
        <v/>
      </c>
      <c r="BT378" s="472" t="str">
        <f t="shared" si="317"/>
        <v/>
      </c>
      <c r="BU378" s="472">
        <f t="shared" ca="1" si="303"/>
        <v>0</v>
      </c>
      <c r="BV378" s="472">
        <f t="shared" ca="1" si="303"/>
        <v>0</v>
      </c>
      <c r="BW378" s="472"/>
      <c r="BX378" s="473">
        <f t="shared" ca="1" si="304"/>
        <v>307367.573526914</v>
      </c>
      <c r="BY378" s="473">
        <f t="shared" si="305"/>
        <v>0</v>
      </c>
      <c r="BZ378" s="473">
        <f t="shared" ca="1" si="287"/>
        <v>702.22963211499996</v>
      </c>
      <c r="CA378" s="476">
        <f t="shared" ca="1" si="306"/>
        <v>0</v>
      </c>
      <c r="CB378" s="494">
        <f ca="1">IF(OR($Q377&lt;&gt;1,OP!$D$5+$BN378-1&lt;16,$BN378-1&lt;1),0,ROUND(ROUND(ROUND(((VLOOKUP($BN378-1,MORE_PV,5,0)/10000)*VLOOKUP($BN378,MORE_PV,$CB$5,0)),3)*VLOOKUP($BN378,more1,5,0),0)/$R377,0))</f>
        <v>0</v>
      </c>
      <c r="CC378" s="473">
        <f t="shared" ca="1" si="307"/>
        <v>0</v>
      </c>
      <c r="CD378" s="477"/>
    </row>
    <row r="379" spans="2:82" ht="16.5" hidden="1">
      <c r="B379" s="80"/>
      <c r="C379" s="80"/>
      <c r="D379" s="80"/>
      <c r="E379" s="80"/>
      <c r="F379" s="80"/>
      <c r="G379" s="80"/>
      <c r="H379" s="80"/>
      <c r="I379" s="80"/>
      <c r="J379" s="192">
        <f t="shared" si="288"/>
        <v>31</v>
      </c>
      <c r="K379" s="192">
        <f t="shared" si="289"/>
        <v>11</v>
      </c>
      <c r="L379" s="192" t="str">
        <f t="shared" si="284"/>
        <v/>
      </c>
      <c r="M379" s="216">
        <f t="shared" ca="1" si="290"/>
        <v>0</v>
      </c>
      <c r="N379" s="216"/>
      <c r="O379" s="216"/>
      <c r="P379" s="216"/>
      <c r="Q379" s="456" t="str">
        <f t="shared" ca="1" si="291"/>
        <v/>
      </c>
      <c r="R379" s="450">
        <f t="shared" ca="1" si="292"/>
        <v>1</v>
      </c>
      <c r="S379" s="191">
        <f t="shared" si="293"/>
        <v>31</v>
      </c>
      <c r="T379" s="191">
        <f t="shared" si="294"/>
        <v>11</v>
      </c>
      <c r="U379" s="191">
        <f ca="1">OP!$D$5+$S379-1</f>
        <v>63</v>
      </c>
      <c r="V379" s="191" t="str">
        <f t="shared" si="295"/>
        <v/>
      </c>
      <c r="W379" s="350">
        <f ca="1">IF(Q379&lt;&gt;1,0,VLOOKUP(OP!$C$55,PVFB,$S379+2,0))</f>
        <v>0</v>
      </c>
      <c r="X379" s="473">
        <f t="shared" ca="1" si="308"/>
        <v>0</v>
      </c>
      <c r="Y379" s="348">
        <f t="shared" ca="1" si="309"/>
        <v>0</v>
      </c>
      <c r="Z379" s="348">
        <f t="shared" ca="1" si="310"/>
        <v>8012</v>
      </c>
      <c r="AA379" s="348">
        <f ca="1">IF(Q379&lt;&gt;1,0,VLOOKUP(OP!$C$55,PVFB,$S379+2,0))</f>
        <v>0</v>
      </c>
      <c r="AB379" s="488" t="str">
        <f ca="1">IF(AND(S379&lt;OP!$C$24,$U379&lt;15),0,IF(AND($U379&lt;15,$T379=12),ROUND(VLOOKUP($S379,DOWN16,5,0),3),IF($T379=12,ROUND(($Z379/10000)*$AA379,3)+IF(AND($P$7="購買增額繳清保險",T379=12,U379=110),VLOOKUP(S379,$B$10:$H$121,7,0),0),"")))</f>
        <v/>
      </c>
      <c r="AC379" s="350" t="str">
        <f ca="1">IF(AND(S379&lt;OP!$C$24,$U379&lt;15),0,IF(AND($U379&lt;16,$T379=12),VLOOKUP($S379,DOWN16,4,0),IF($T379=12,ROUND(VLOOKUP(OP!$C$55,_DIE2,$S379+1,0)*(Z379/10000),0)+IF(AND($P$7="購買增額繳清保險",T379=12,U379=110),VLOOKUP(S379,$B$10:$H$121,7,0),0),"")))</f>
        <v/>
      </c>
      <c r="AD379" s="347"/>
      <c r="AE379" s="350" t="str">
        <f t="shared" ca="1" si="285"/>
        <v/>
      </c>
      <c r="AF379" s="351" t="str">
        <f t="shared" ca="1" si="286"/>
        <v/>
      </c>
      <c r="AG379" s="340"/>
      <c r="AH379" s="340"/>
      <c r="AI379" s="340"/>
      <c r="AJ379" s="340"/>
      <c r="AK379" s="340"/>
      <c r="AL379" s="340"/>
      <c r="AM379" s="340"/>
      <c r="AN379" s="340"/>
      <c r="AO379" s="340"/>
      <c r="AP379" s="340"/>
      <c r="AQ379" s="340"/>
      <c r="AR379" s="340"/>
      <c r="AS379" s="340"/>
      <c r="AT379" s="340"/>
      <c r="AU379" s="340"/>
      <c r="AV379" s="340"/>
      <c r="AY379" s="340"/>
      <c r="AZ379" s="465">
        <f t="shared" ca="1" si="296"/>
        <v>7.3698599999999999E-5</v>
      </c>
      <c r="BA379" s="464">
        <f t="shared" ca="1" si="297"/>
        <v>2.1372602999999999E-3</v>
      </c>
      <c r="BB379" s="465">
        <f t="shared" ca="1" si="297"/>
        <v>2.2109589000000002E-3</v>
      </c>
      <c r="BC379" s="466">
        <f t="shared" ca="1" si="298"/>
        <v>54149</v>
      </c>
      <c r="BD379" s="467">
        <f t="shared" ca="1" si="311"/>
        <v>54150</v>
      </c>
      <c r="BE379" s="467">
        <f t="shared" ca="1" si="299"/>
        <v>54178</v>
      </c>
      <c r="BF379" s="468">
        <f ca="1">IF(計算!$BC379&lt;OP!$C$3,0,BD379-BC379)</f>
        <v>1</v>
      </c>
      <c r="BG379" s="468">
        <f ca="1">IF($BE379&gt;DATE(YEAR($BD$9)+OP!$C$57,MONTH($BD$9),DAY($BD$9)),0,$BE379-$BD379+1)</f>
        <v>29</v>
      </c>
      <c r="BH379" s="469">
        <f t="shared" ca="1" si="300"/>
        <v>30</v>
      </c>
      <c r="BI379" t="str">
        <f t="shared" si="316"/>
        <v/>
      </c>
      <c r="BJ379">
        <v>10</v>
      </c>
      <c r="BN379" s="468">
        <f t="shared" si="312"/>
        <v>31</v>
      </c>
      <c r="BO379" s="468">
        <f t="shared" si="313"/>
        <v>10</v>
      </c>
      <c r="BP379" s="467">
        <f t="shared" ca="1" si="301"/>
        <v>54150</v>
      </c>
      <c r="BQ379" s="475">
        <f t="shared" ca="1" si="315"/>
        <v>63</v>
      </c>
      <c r="BR379" s="475" t="str">
        <f t="shared" si="314"/>
        <v/>
      </c>
      <c r="BS379" s="471" t="str">
        <f t="shared" si="302"/>
        <v/>
      </c>
      <c r="BT379" s="472" t="str">
        <f t="shared" si="317"/>
        <v/>
      </c>
      <c r="BU379" s="472">
        <f t="shared" ca="1" si="303"/>
        <v>0</v>
      </c>
      <c r="BV379" s="472">
        <f t="shared" ca="1" si="303"/>
        <v>0</v>
      </c>
      <c r="BW379" s="472"/>
      <c r="BX379" s="473">
        <f t="shared" ca="1" si="304"/>
        <v>308069.80315902899</v>
      </c>
      <c r="BY379" s="473">
        <f t="shared" si="305"/>
        <v>0</v>
      </c>
      <c r="BZ379" s="473">
        <f t="shared" ca="1" si="287"/>
        <v>681.12967311600005</v>
      </c>
      <c r="CA379" s="476">
        <f t="shared" ca="1" si="306"/>
        <v>0</v>
      </c>
      <c r="CB379" s="494">
        <f ca="1">IF(OR($Q378&lt;&gt;1,OP!$D$5+$BN379-1&lt;16,$BN379-1&lt;1),0,ROUND(ROUND(ROUND(((VLOOKUP($BN379-1,MORE_PV,5,0)/10000)*VLOOKUP($BN379,MORE_PV,$CB$5,0)),3)*VLOOKUP($BN379,more1,5,0),0)/$R378,0))</f>
        <v>0</v>
      </c>
      <c r="CC379" s="473">
        <f t="shared" ca="1" si="307"/>
        <v>0</v>
      </c>
      <c r="CD379" s="477"/>
    </row>
    <row r="380" spans="2:82" ht="16.5" hidden="1">
      <c r="B380" s="80"/>
      <c r="C380" s="80"/>
      <c r="D380" s="80"/>
      <c r="E380" s="80"/>
      <c r="F380" s="80"/>
      <c r="G380" s="80"/>
      <c r="H380" s="80"/>
      <c r="I380" s="80"/>
      <c r="J380" s="192">
        <f t="shared" si="288"/>
        <v>31</v>
      </c>
      <c r="K380" s="192">
        <f t="shared" si="289"/>
        <v>12</v>
      </c>
      <c r="L380" s="192">
        <f t="shared" si="284"/>
        <v>31</v>
      </c>
      <c r="M380" s="216">
        <f t="shared" ca="1" si="290"/>
        <v>321267</v>
      </c>
      <c r="N380" s="216"/>
      <c r="O380" s="216"/>
      <c r="P380" s="216"/>
      <c r="Q380" s="456">
        <f t="shared" ca="1" si="291"/>
        <v>1</v>
      </c>
      <c r="R380" s="450">
        <f t="shared" ca="1" si="292"/>
        <v>1</v>
      </c>
      <c r="S380" s="191">
        <f t="shared" si="293"/>
        <v>31</v>
      </c>
      <c r="T380" s="191">
        <f t="shared" si="294"/>
        <v>12</v>
      </c>
      <c r="U380" s="191">
        <f ca="1">OP!$D$5+$S380-1</f>
        <v>63</v>
      </c>
      <c r="V380" s="191">
        <f t="shared" si="295"/>
        <v>31</v>
      </c>
      <c r="W380" s="350">
        <f ca="1">IF(Q380&lt;&gt;1,0,VLOOKUP(OP!$C$55,PVFB,$S380+2,0))</f>
        <v>49086</v>
      </c>
      <c r="X380" s="473">
        <f t="shared" ca="1" si="308"/>
        <v>11787</v>
      </c>
      <c r="Y380" s="348">
        <f t="shared" ca="1" si="309"/>
        <v>0</v>
      </c>
      <c r="Z380" s="348">
        <f t="shared" ca="1" si="310"/>
        <v>8012</v>
      </c>
      <c r="AA380" s="348">
        <f ca="1">IF(Q380&lt;&gt;1,0,VLOOKUP(OP!$C$55,PVFB,$S380+2,0))</f>
        <v>49086</v>
      </c>
      <c r="AB380" s="488">
        <f ca="1">IF(AND(S380&lt;OP!$C$24,$U380&lt;15),0,IF(AND($U380&lt;15,$T380=12),ROUND(VLOOKUP($S380,DOWN16,5,0),3),IF($T380=12,ROUND(($Z380/10000)*$AA380,3)+IF(AND($P$7="購買增額繳清保險",T380=12,U380=110),VLOOKUP(S380,$B$10:$H$121,7,0),0),"")))</f>
        <v>39327.703000000001</v>
      </c>
      <c r="AC380" s="350">
        <f ca="1">IF(AND(S380&lt;OP!$C$24,$U380&lt;15),0,IF(AND($U380&lt;16,$T380=12),VLOOKUP($S380,DOWN16,4,0),IF($T380=12,ROUND(VLOOKUP(OP!$C$55,_DIE2,$S380+1,0)*(Z380/10000),0)+IF(AND($P$7="購買增額繳清保險",T380=12,U380=110),VLOOKUP(S380,$B$10:$H$121,7,0),0),"")))</f>
        <v>39328</v>
      </c>
      <c r="AD380" s="347"/>
      <c r="AE380" s="350" t="str">
        <f t="shared" ca="1" si="285"/>
        <v/>
      </c>
      <c r="AF380" s="351" t="str">
        <f t="shared" ca="1" si="286"/>
        <v/>
      </c>
      <c r="AG380" s="340"/>
      <c r="AH380" s="340"/>
      <c r="AI380" s="340"/>
      <c r="AJ380" s="340"/>
      <c r="AK380" s="340"/>
      <c r="AL380" s="340"/>
      <c r="AM380" s="340"/>
      <c r="AN380" s="340"/>
      <c r="AO380" s="340"/>
      <c r="AP380" s="340"/>
      <c r="AQ380" s="340"/>
      <c r="AR380" s="340"/>
      <c r="AS380" s="340"/>
      <c r="AT380" s="340"/>
      <c r="AU380" s="340"/>
      <c r="AV380" s="340"/>
      <c r="AY380" s="340"/>
      <c r="AZ380" s="465">
        <f t="shared" ca="1" si="296"/>
        <v>7.3698599999999999E-5</v>
      </c>
      <c r="BA380" s="464">
        <f t="shared" ca="1" si="297"/>
        <v>2.2109589000000002E-3</v>
      </c>
      <c r="BB380" s="465">
        <f t="shared" ca="1" si="297"/>
        <v>2.2846575E-3</v>
      </c>
      <c r="BC380" s="466">
        <f t="shared" ca="1" si="298"/>
        <v>54179</v>
      </c>
      <c r="BD380" s="467">
        <f t="shared" ca="1" si="311"/>
        <v>54180</v>
      </c>
      <c r="BE380" s="467">
        <f t="shared" ca="1" si="299"/>
        <v>54209</v>
      </c>
      <c r="BF380" s="468">
        <f ca="1">IF(計算!$BC380&lt;OP!$C$3,0,BD380-BC380)</f>
        <v>1</v>
      </c>
      <c r="BG380" s="468">
        <f ca="1">IF($BE380&gt;DATE(YEAR($BD$9)+OP!$C$57,MONTH($BD$9),DAY($BD$9)),0,$BE380-$BD380+1)</f>
        <v>30</v>
      </c>
      <c r="BH380" s="469">
        <f t="shared" ca="1" si="300"/>
        <v>31</v>
      </c>
      <c r="BI380" t="str">
        <f t="shared" si="316"/>
        <v/>
      </c>
      <c r="BJ380">
        <v>11</v>
      </c>
      <c r="BN380" s="468">
        <f t="shared" si="312"/>
        <v>31</v>
      </c>
      <c r="BO380" s="468">
        <f t="shared" si="313"/>
        <v>11</v>
      </c>
      <c r="BP380" s="467">
        <f t="shared" ca="1" si="301"/>
        <v>54180</v>
      </c>
      <c r="BQ380" s="475">
        <f t="shared" ca="1" si="315"/>
        <v>63</v>
      </c>
      <c r="BR380" s="475" t="str">
        <f t="shared" si="314"/>
        <v/>
      </c>
      <c r="BS380" s="471" t="str">
        <f t="shared" si="302"/>
        <v/>
      </c>
      <c r="BT380" s="472" t="str">
        <f t="shared" si="317"/>
        <v/>
      </c>
      <c r="BU380" s="472">
        <f t="shared" ca="1" si="303"/>
        <v>0</v>
      </c>
      <c r="BV380" s="472">
        <f t="shared" ca="1" si="303"/>
        <v>0</v>
      </c>
      <c r="BW380" s="472"/>
      <c r="BX380" s="473">
        <f t="shared" ca="1" si="304"/>
        <v>308750.93283214502</v>
      </c>
      <c r="BY380" s="473">
        <f t="shared" si="305"/>
        <v>0</v>
      </c>
      <c r="BZ380" s="473">
        <f t="shared" ca="1" si="287"/>
        <v>705.39013432700006</v>
      </c>
      <c r="CA380" s="476">
        <f t="shared" ca="1" si="306"/>
        <v>0</v>
      </c>
      <c r="CB380" s="494">
        <f ca="1">IF(OR($Q379&lt;&gt;1,OP!$D$5+$BN380-1&lt;16,$BN380-1&lt;1),0,ROUND(ROUND(ROUND(((VLOOKUP($BN380-1,MORE_PV,5,0)/10000)*VLOOKUP($BN380,MORE_PV,$CB$5,0)),3)*VLOOKUP($BN380,more1,5,0),0)/$R379,0))</f>
        <v>0</v>
      </c>
      <c r="CC380" s="473">
        <f t="shared" ca="1" si="307"/>
        <v>0</v>
      </c>
      <c r="CD380" s="477"/>
    </row>
    <row r="381" spans="2:82" ht="16.5" hidden="1">
      <c r="B381" s="80"/>
      <c r="C381" s="80"/>
      <c r="D381" s="80"/>
      <c r="E381" s="80"/>
      <c r="F381" s="80"/>
      <c r="G381" s="80"/>
      <c r="H381" s="80"/>
      <c r="I381" s="80"/>
      <c r="J381" s="192">
        <f t="shared" si="288"/>
        <v>32</v>
      </c>
      <c r="K381" s="192">
        <f t="shared" si="289"/>
        <v>1</v>
      </c>
      <c r="L381" s="192" t="str">
        <f t="shared" si="284"/>
        <v/>
      </c>
      <c r="M381" s="216">
        <f t="shared" ca="1" si="290"/>
        <v>0</v>
      </c>
      <c r="N381" s="216"/>
      <c r="O381" s="216"/>
      <c r="P381" s="216"/>
      <c r="Q381" s="456" t="str">
        <f t="shared" ca="1" si="291"/>
        <v/>
      </c>
      <c r="R381" s="450">
        <f t="shared" ca="1" si="292"/>
        <v>1</v>
      </c>
      <c r="S381" s="191">
        <f t="shared" si="293"/>
        <v>32</v>
      </c>
      <c r="T381" s="191">
        <f t="shared" si="294"/>
        <v>1</v>
      </c>
      <c r="U381" s="191">
        <f ca="1">OP!$D$5+$S381-1</f>
        <v>64</v>
      </c>
      <c r="V381" s="191" t="str">
        <f t="shared" si="295"/>
        <v/>
      </c>
      <c r="W381" s="350">
        <f ca="1">IF(Q381&lt;&gt;1,0,VLOOKUP(OP!$C$55,PVFB,$S381+2,0))</f>
        <v>0</v>
      </c>
      <c r="X381" s="473">
        <f t="shared" ca="1" si="308"/>
        <v>0</v>
      </c>
      <c r="Y381" s="348">
        <f t="shared" ca="1" si="309"/>
        <v>0</v>
      </c>
      <c r="Z381" s="348">
        <f t="shared" ca="1" si="310"/>
        <v>8012</v>
      </c>
      <c r="AA381" s="348">
        <f ca="1">IF(Q381&lt;&gt;1,0,VLOOKUP(OP!$C$55,PVFB,$S381+2,0))</f>
        <v>0</v>
      </c>
      <c r="AB381" s="488" t="str">
        <f ca="1">IF(AND(S381&lt;OP!$C$24,$U381&lt;15),0,IF(AND($U381&lt;15,$T381=12),ROUND(VLOOKUP($S381,DOWN16,5,0),3),IF($T381=12,ROUND(($Z381/10000)*$AA381,3)+IF(AND($P$7="購買增額繳清保險",T381=12,U381=110),VLOOKUP(S381,$B$10:$H$121,7,0),0),"")))</f>
        <v/>
      </c>
      <c r="AC381" s="350" t="str">
        <f ca="1">IF(AND(S381&lt;OP!$C$24,$U381&lt;15),0,IF(AND($U381&lt;16,$T381=12),VLOOKUP($S381,DOWN16,4,0),IF($T381=12,ROUND(VLOOKUP(OP!$C$55,_DIE2,$S381+1,0)*(Z381/10000),0)+IF(AND($P$7="購買增額繳清保險",T381=12,U381=110),VLOOKUP(S381,$B$10:$H$121,7,0),0),"")))</f>
        <v/>
      </c>
      <c r="AD381" s="347"/>
      <c r="AE381" s="350" t="str">
        <f t="shared" ca="1" si="285"/>
        <v/>
      </c>
      <c r="AF381" s="351" t="str">
        <f t="shared" ca="1" si="286"/>
        <v/>
      </c>
      <c r="AG381" s="340"/>
      <c r="AH381" s="340"/>
      <c r="AI381" s="340"/>
      <c r="AJ381" s="340"/>
      <c r="AK381" s="340"/>
      <c r="AL381" s="340"/>
      <c r="AM381" s="340"/>
      <c r="AN381" s="340"/>
      <c r="AO381" s="340"/>
      <c r="AP381" s="340"/>
      <c r="AQ381" s="340"/>
      <c r="AR381" s="340"/>
      <c r="AS381" s="340"/>
      <c r="AT381" s="340"/>
      <c r="AU381" s="340"/>
      <c r="AV381" s="340"/>
      <c r="AY381" s="340"/>
      <c r="AZ381" s="465">
        <f t="shared" ca="1" si="296"/>
        <v>7.3698599999999999E-5</v>
      </c>
      <c r="BA381" s="464">
        <f t="shared" ca="1" si="297"/>
        <v>2.1372602999999999E-3</v>
      </c>
      <c r="BB381" s="465">
        <f t="shared" ca="1" si="297"/>
        <v>2.2109589000000002E-3</v>
      </c>
      <c r="BC381" s="466">
        <f t="shared" ca="1" si="298"/>
        <v>54210</v>
      </c>
      <c r="BD381" s="467">
        <f t="shared" ca="1" si="311"/>
        <v>54211</v>
      </c>
      <c r="BE381" s="467">
        <f t="shared" ca="1" si="299"/>
        <v>54239</v>
      </c>
      <c r="BF381" s="468">
        <f ca="1">IF(計算!$BC381&lt;OP!$C$3,0,BD381-BC381)</f>
        <v>1</v>
      </c>
      <c r="BG381" s="468">
        <f ca="1">IF($BE381&gt;DATE(YEAR($BD$9)+OP!$C$57,MONTH($BD$9),DAY($BD$9)),0,$BE381-$BD381+1)</f>
        <v>29</v>
      </c>
      <c r="BH381" s="469">
        <f t="shared" ca="1" si="300"/>
        <v>30</v>
      </c>
      <c r="BI381">
        <f t="shared" ca="1" si="316"/>
        <v>366</v>
      </c>
      <c r="BJ381">
        <v>12</v>
      </c>
      <c r="BN381" s="468">
        <f t="shared" si="312"/>
        <v>31</v>
      </c>
      <c r="BO381" s="468">
        <f t="shared" si="313"/>
        <v>12</v>
      </c>
      <c r="BP381" s="467">
        <f t="shared" ca="1" si="301"/>
        <v>54211</v>
      </c>
      <c r="BQ381" s="475">
        <f t="shared" ca="1" si="315"/>
        <v>63</v>
      </c>
      <c r="BR381" s="475">
        <f t="shared" si="314"/>
        <v>31</v>
      </c>
      <c r="BS381" s="471">
        <f t="shared" ca="1" si="302"/>
        <v>11787</v>
      </c>
      <c r="BT381" s="472">
        <f t="shared" ca="1" si="317"/>
        <v>321267</v>
      </c>
      <c r="BU381" s="472">
        <f t="shared" ca="1" si="303"/>
        <v>11516</v>
      </c>
      <c r="BV381" s="472">
        <f t="shared" ca="1" si="303"/>
        <v>271</v>
      </c>
      <c r="BW381" s="472">
        <f ca="1">ROUND(SUM(BY381,BZ369:BZ380),0)</f>
        <v>8227</v>
      </c>
      <c r="BX381" s="473">
        <f t="shared" ca="1" si="304"/>
        <v>321266.12946423597</v>
      </c>
      <c r="BY381" s="473">
        <f t="shared" ca="1" si="305"/>
        <v>22.806497764</v>
      </c>
      <c r="BZ381" s="473">
        <f t="shared" ca="1" si="287"/>
        <v>686.62934423900003</v>
      </c>
      <c r="CA381" s="476">
        <f t="shared" ca="1" si="306"/>
        <v>11516</v>
      </c>
      <c r="CB381" s="494">
        <f ca="1">IF(OR($Q380&lt;&gt;1,OP!$D$5+$BN381-1&lt;16,$BN381-1&lt;1),0,ROUND(ROUND(ROUND(((VLOOKUP($BN381-1,MORE_PV,5,0)/10000)*VLOOKUP($BN381,MORE_PV,$CB$5,0)),3)*VLOOKUP($BN381,more1,5,0),0)/$R380,0))</f>
        <v>271</v>
      </c>
      <c r="CC381" s="473">
        <f t="shared" ca="1" si="307"/>
        <v>0</v>
      </c>
      <c r="CD381" s="477"/>
    </row>
    <row r="382" spans="2:82" ht="16.5" hidden="1">
      <c r="B382" s="80"/>
      <c r="C382" s="80"/>
      <c r="D382" s="80"/>
      <c r="E382" s="80"/>
      <c r="F382" s="80"/>
      <c r="G382" s="80"/>
      <c r="H382" s="80"/>
      <c r="I382" s="80"/>
      <c r="J382" s="192">
        <f t="shared" si="288"/>
        <v>32</v>
      </c>
      <c r="K382" s="192">
        <f t="shared" si="289"/>
        <v>2</v>
      </c>
      <c r="L382" s="192" t="str">
        <f t="shared" si="284"/>
        <v/>
      </c>
      <c r="M382" s="216">
        <f t="shared" ca="1" si="290"/>
        <v>0</v>
      </c>
      <c r="N382" s="216"/>
      <c r="O382" s="216"/>
      <c r="P382" s="216"/>
      <c r="Q382" s="456" t="str">
        <f t="shared" ca="1" si="291"/>
        <v/>
      </c>
      <c r="R382" s="450">
        <f t="shared" ca="1" si="292"/>
        <v>1</v>
      </c>
      <c r="S382" s="191">
        <f t="shared" si="293"/>
        <v>32</v>
      </c>
      <c r="T382" s="191">
        <f t="shared" si="294"/>
        <v>2</v>
      </c>
      <c r="U382" s="191">
        <f ca="1">OP!$D$5+$S382-1</f>
        <v>64</v>
      </c>
      <c r="V382" s="191" t="str">
        <f t="shared" si="295"/>
        <v/>
      </c>
      <c r="W382" s="350">
        <f ca="1">IF(Q382&lt;&gt;1,0,VLOOKUP(OP!$C$55,PVFB,$S382+2,0))</f>
        <v>0</v>
      </c>
      <c r="X382" s="473">
        <f t="shared" ca="1" si="308"/>
        <v>0</v>
      </c>
      <c r="Y382" s="348">
        <f t="shared" ca="1" si="309"/>
        <v>0</v>
      </c>
      <c r="Z382" s="348">
        <f t="shared" ca="1" si="310"/>
        <v>8012</v>
      </c>
      <c r="AA382" s="348">
        <f ca="1">IF(Q382&lt;&gt;1,0,VLOOKUP(OP!$C$55,PVFB,$S382+2,0))</f>
        <v>0</v>
      </c>
      <c r="AB382" s="488" t="str">
        <f ca="1">IF(AND(S382&lt;OP!$C$24,$U382&lt;15),0,IF(AND($U382&lt;15,$T382=12),ROUND(VLOOKUP($S382,DOWN16,5,0),3),IF($T382=12,ROUND(($Z382/10000)*$AA382,3)+IF(AND($P$7="購買增額繳清保險",T382=12,U382=110),VLOOKUP(S382,$B$10:$H$121,7,0),0),"")))</f>
        <v/>
      </c>
      <c r="AC382" s="350" t="str">
        <f ca="1">IF(AND(S382&lt;OP!$C$24,$U382&lt;15),0,IF(AND($U382&lt;16,$T382=12),VLOOKUP($S382,DOWN16,4,0),IF($T382=12,ROUND(VLOOKUP(OP!$C$55,_DIE2,$S382+1,0)*(Z382/10000),0)+IF(AND($P$7="購買增額繳清保險",T382=12,U382=110),VLOOKUP(S382,$B$10:$H$121,7,0),0),"")))</f>
        <v/>
      </c>
      <c r="AD382" s="347"/>
      <c r="AE382" s="350" t="str">
        <f t="shared" ca="1" si="285"/>
        <v/>
      </c>
      <c r="AF382" s="351" t="str">
        <f t="shared" ca="1" si="286"/>
        <v/>
      </c>
      <c r="AG382" s="340"/>
      <c r="AH382" s="340"/>
      <c r="AI382" s="340"/>
      <c r="AJ382" s="340"/>
      <c r="AK382" s="340"/>
      <c r="AL382" s="340"/>
      <c r="AM382" s="340"/>
      <c r="AN382" s="340"/>
      <c r="AO382" s="340"/>
      <c r="AP382" s="340"/>
      <c r="AQ382" s="340"/>
      <c r="AR382" s="340"/>
      <c r="AS382" s="340"/>
      <c r="AT382" s="340"/>
      <c r="AU382" s="340"/>
      <c r="AV382" s="340"/>
      <c r="AY382" s="340"/>
      <c r="AZ382" s="465">
        <f t="shared" ca="1" si="296"/>
        <v>7.3698599999999999E-5</v>
      </c>
      <c r="BA382" s="464">
        <f t="shared" ca="1" si="297"/>
        <v>2.2109589000000002E-3</v>
      </c>
      <c r="BB382" s="465">
        <f t="shared" ca="1" si="297"/>
        <v>2.2846575E-3</v>
      </c>
      <c r="BC382" s="466">
        <f t="shared" ca="1" si="298"/>
        <v>54240</v>
      </c>
      <c r="BD382" s="467">
        <f t="shared" ca="1" si="311"/>
        <v>54241</v>
      </c>
      <c r="BE382" s="467">
        <f t="shared" ca="1" si="299"/>
        <v>54270</v>
      </c>
      <c r="BF382" s="468">
        <f ca="1">IF(計算!$BC382&lt;OP!$C$3,0,BD382-BC382)</f>
        <v>1</v>
      </c>
      <c r="BG382" s="468">
        <f ca="1">IF($BE382&gt;DATE(YEAR($BD$9)+OP!$C$57,MONTH($BD$9),DAY($BD$9)),0,$BE382-$BD382+1)</f>
        <v>30</v>
      </c>
      <c r="BH382" s="469">
        <f t="shared" ca="1" si="300"/>
        <v>31</v>
      </c>
      <c r="BI382" t="str">
        <f t="shared" si="316"/>
        <v/>
      </c>
      <c r="BJ382">
        <v>1</v>
      </c>
      <c r="BN382" s="468">
        <f t="shared" si="312"/>
        <v>32</v>
      </c>
      <c r="BO382" s="468">
        <f t="shared" si="313"/>
        <v>1</v>
      </c>
      <c r="BP382" s="467">
        <f t="shared" ca="1" si="301"/>
        <v>54241</v>
      </c>
      <c r="BQ382" s="475">
        <f t="shared" ca="1" si="315"/>
        <v>64</v>
      </c>
      <c r="BR382" s="475" t="str">
        <f t="shared" si="314"/>
        <v/>
      </c>
      <c r="BS382" s="471" t="str">
        <f t="shared" si="302"/>
        <v/>
      </c>
      <c r="BT382" s="472" t="str">
        <f t="shared" si="317"/>
        <v/>
      </c>
      <c r="BU382" s="472">
        <f t="shared" ca="1" si="303"/>
        <v>0</v>
      </c>
      <c r="BV382" s="472">
        <f t="shared" ca="1" si="303"/>
        <v>0</v>
      </c>
      <c r="BW382" s="472"/>
      <c r="BX382" s="473">
        <f t="shared" ca="1" si="304"/>
        <v>321952.75880847499</v>
      </c>
      <c r="BY382" s="473">
        <f t="shared" si="305"/>
        <v>0</v>
      </c>
      <c r="BZ382" s="473">
        <f t="shared" ca="1" si="287"/>
        <v>735.55178505699996</v>
      </c>
      <c r="CA382" s="476">
        <f t="shared" ca="1" si="306"/>
        <v>0</v>
      </c>
      <c r="CB382" s="494">
        <f ca="1">IF(OR($Q381&lt;&gt;1,OP!$D$5+$BN382-1&lt;16,$BN382-1&lt;1),0,ROUND(ROUND(ROUND(((VLOOKUP($BN382-1,MORE_PV,5,0)/10000)*VLOOKUP($BN382,MORE_PV,$CB$5,0)),3)*VLOOKUP($BN382,more1,5,0),0)/$R381,0))</f>
        <v>0</v>
      </c>
      <c r="CC382" s="473">
        <f t="shared" ca="1" si="307"/>
        <v>0</v>
      </c>
      <c r="CD382" s="477"/>
    </row>
    <row r="383" spans="2:82" ht="16.5" hidden="1">
      <c r="B383" s="80"/>
      <c r="C383" s="80"/>
      <c r="D383" s="80"/>
      <c r="E383" s="80"/>
      <c r="F383" s="80"/>
      <c r="G383" s="80"/>
      <c r="H383" s="80"/>
      <c r="I383" s="80"/>
      <c r="J383" s="192">
        <f t="shared" si="288"/>
        <v>32</v>
      </c>
      <c r="K383" s="192">
        <f t="shared" si="289"/>
        <v>3</v>
      </c>
      <c r="L383" s="192" t="str">
        <f t="shared" si="284"/>
        <v/>
      </c>
      <c r="M383" s="216">
        <f t="shared" ca="1" si="290"/>
        <v>0</v>
      </c>
      <c r="N383" s="216"/>
      <c r="O383" s="216"/>
      <c r="P383" s="216"/>
      <c r="Q383" s="456" t="str">
        <f t="shared" ca="1" si="291"/>
        <v/>
      </c>
      <c r="R383" s="450">
        <f t="shared" ca="1" si="292"/>
        <v>1</v>
      </c>
      <c r="S383" s="191">
        <f t="shared" si="293"/>
        <v>32</v>
      </c>
      <c r="T383" s="191">
        <f t="shared" si="294"/>
        <v>3</v>
      </c>
      <c r="U383" s="191">
        <f ca="1">OP!$D$5+$S383-1</f>
        <v>64</v>
      </c>
      <c r="V383" s="191" t="str">
        <f t="shared" si="295"/>
        <v/>
      </c>
      <c r="W383" s="350">
        <f ca="1">IF(Q383&lt;&gt;1,0,VLOOKUP(OP!$C$55,PVFB,$S383+2,0))</f>
        <v>0</v>
      </c>
      <c r="X383" s="473">
        <f t="shared" ca="1" si="308"/>
        <v>0</v>
      </c>
      <c r="Y383" s="348">
        <f t="shared" ca="1" si="309"/>
        <v>0</v>
      </c>
      <c r="Z383" s="348">
        <f t="shared" ca="1" si="310"/>
        <v>8012</v>
      </c>
      <c r="AA383" s="348">
        <f ca="1">IF(Q383&lt;&gt;1,0,VLOOKUP(OP!$C$55,PVFB,$S383+2,0))</f>
        <v>0</v>
      </c>
      <c r="AB383" s="488" t="str">
        <f ca="1">IF(AND(S383&lt;OP!$C$24,$U383&lt;15),0,IF(AND($U383&lt;15,$T383=12),ROUND(VLOOKUP($S383,DOWN16,5,0),3),IF($T383=12,ROUND(($Z383/10000)*$AA383,3)+IF(AND($P$7="購買增額繳清保險",T383=12,U383=110),VLOOKUP(S383,$B$10:$H$121,7,0),0),"")))</f>
        <v/>
      </c>
      <c r="AC383" s="350" t="str">
        <f ca="1">IF(AND(S383&lt;OP!$C$24,$U383&lt;15),0,IF(AND($U383&lt;16,$T383=12),VLOOKUP($S383,DOWN16,4,0),IF($T383=12,ROUND(VLOOKUP(OP!$C$55,_DIE2,$S383+1,0)*(Z383/10000),0)+IF(AND($P$7="購買增額繳清保險",T383=12,U383=110),VLOOKUP(S383,$B$10:$H$121,7,0),0),"")))</f>
        <v/>
      </c>
      <c r="AD383" s="347"/>
      <c r="AE383" s="350" t="str">
        <f t="shared" ca="1" si="285"/>
        <v/>
      </c>
      <c r="AF383" s="351" t="str">
        <f t="shared" ca="1" si="286"/>
        <v/>
      </c>
      <c r="AG383" s="340"/>
      <c r="AH383" s="340"/>
      <c r="AI383" s="340"/>
      <c r="AJ383" s="340"/>
      <c r="AK383" s="340"/>
      <c r="AL383" s="340"/>
      <c r="AM383" s="340"/>
      <c r="AN383" s="340"/>
      <c r="AO383" s="340"/>
      <c r="AP383" s="340"/>
      <c r="AQ383" s="340"/>
      <c r="AR383" s="340"/>
      <c r="AS383" s="340"/>
      <c r="AT383" s="340"/>
      <c r="AU383" s="340"/>
      <c r="AV383" s="340"/>
      <c r="AY383" s="340"/>
      <c r="AZ383" s="465">
        <f t="shared" ca="1" si="296"/>
        <v>7.3698599999999999E-5</v>
      </c>
      <c r="BA383" s="464">
        <f t="shared" ca="1" si="297"/>
        <v>2.2109589000000002E-3</v>
      </c>
      <c r="BB383" s="465">
        <f t="shared" ca="1" si="297"/>
        <v>2.2846575E-3</v>
      </c>
      <c r="BC383" s="466">
        <f t="shared" ca="1" si="298"/>
        <v>54271</v>
      </c>
      <c r="BD383" s="467">
        <f t="shared" ca="1" si="311"/>
        <v>54272</v>
      </c>
      <c r="BE383" s="467">
        <f t="shared" ca="1" si="299"/>
        <v>54301</v>
      </c>
      <c r="BF383" s="468">
        <f ca="1">IF(計算!$BC383&lt;OP!$C$3,0,BD383-BC383)</f>
        <v>1</v>
      </c>
      <c r="BG383" s="468">
        <f ca="1">IF($BE383&gt;DATE(YEAR($BD$9)+OP!$C$57,MONTH($BD$9),DAY($BD$9)),0,$BE383-$BD383+1)</f>
        <v>30</v>
      </c>
      <c r="BH383" s="469">
        <f t="shared" ca="1" si="300"/>
        <v>31</v>
      </c>
      <c r="BI383" t="str">
        <f t="shared" si="316"/>
        <v/>
      </c>
      <c r="BJ383">
        <v>2</v>
      </c>
      <c r="BN383" s="468">
        <f t="shared" si="312"/>
        <v>32</v>
      </c>
      <c r="BO383" s="468">
        <f t="shared" si="313"/>
        <v>2</v>
      </c>
      <c r="BP383" s="467">
        <f t="shared" ca="1" si="301"/>
        <v>54272</v>
      </c>
      <c r="BQ383" s="475">
        <f t="shared" ca="1" si="315"/>
        <v>64</v>
      </c>
      <c r="BR383" s="475" t="str">
        <f t="shared" si="314"/>
        <v/>
      </c>
      <c r="BS383" s="471" t="str">
        <f t="shared" si="302"/>
        <v/>
      </c>
      <c r="BT383" s="472" t="str">
        <f t="shared" si="317"/>
        <v/>
      </c>
      <c r="BU383" s="472">
        <f t="shared" ca="1" si="303"/>
        <v>0</v>
      </c>
      <c r="BV383" s="472">
        <f t="shared" ca="1" si="303"/>
        <v>0</v>
      </c>
      <c r="BW383" s="472"/>
      <c r="BX383" s="473">
        <f t="shared" ca="1" si="304"/>
        <v>322688.31059353199</v>
      </c>
      <c r="BY383" s="473">
        <f t="shared" si="305"/>
        <v>0</v>
      </c>
      <c r="BZ383" s="473">
        <f t="shared" ca="1" si="287"/>
        <v>737.23226896000006</v>
      </c>
      <c r="CA383" s="476">
        <f t="shared" ca="1" si="306"/>
        <v>0</v>
      </c>
      <c r="CB383" s="494">
        <f ca="1">IF(OR($Q382&lt;&gt;1,OP!$D$5+$BN383-1&lt;16,$BN383-1&lt;1),0,ROUND(ROUND(ROUND(((VLOOKUP($BN383-1,MORE_PV,5,0)/10000)*VLOOKUP($BN383,MORE_PV,$CB$5,0)),3)*VLOOKUP($BN383,more1,5,0),0)/$R382,0))</f>
        <v>0</v>
      </c>
      <c r="CC383" s="473">
        <f t="shared" ca="1" si="307"/>
        <v>0</v>
      </c>
      <c r="CD383" s="477"/>
    </row>
    <row r="384" spans="2:82" ht="16.5" hidden="1">
      <c r="B384" s="80"/>
      <c r="C384" s="80"/>
      <c r="D384" s="80"/>
      <c r="E384" s="80"/>
      <c r="F384" s="80"/>
      <c r="G384" s="80"/>
      <c r="H384" s="80"/>
      <c r="I384" s="80"/>
      <c r="J384" s="192">
        <f t="shared" si="288"/>
        <v>32</v>
      </c>
      <c r="K384" s="192">
        <f t="shared" si="289"/>
        <v>4</v>
      </c>
      <c r="L384" s="192" t="str">
        <f t="shared" si="284"/>
        <v/>
      </c>
      <c r="M384" s="216">
        <f t="shared" ca="1" si="290"/>
        <v>0</v>
      </c>
      <c r="N384" s="216"/>
      <c r="O384" s="216"/>
      <c r="P384" s="216"/>
      <c r="Q384" s="456" t="str">
        <f t="shared" ca="1" si="291"/>
        <v/>
      </c>
      <c r="R384" s="450">
        <f t="shared" ca="1" si="292"/>
        <v>1</v>
      </c>
      <c r="S384" s="191">
        <f t="shared" si="293"/>
        <v>32</v>
      </c>
      <c r="T384" s="191">
        <f t="shared" si="294"/>
        <v>4</v>
      </c>
      <c r="U384" s="191">
        <f ca="1">OP!$D$5+$S384-1</f>
        <v>64</v>
      </c>
      <c r="V384" s="191" t="str">
        <f t="shared" si="295"/>
        <v/>
      </c>
      <c r="W384" s="350">
        <f ca="1">IF(Q384&lt;&gt;1,0,VLOOKUP(OP!$C$55,PVFB,$S384+2,0))</f>
        <v>0</v>
      </c>
      <c r="X384" s="473">
        <f t="shared" ca="1" si="308"/>
        <v>0</v>
      </c>
      <c r="Y384" s="348">
        <f t="shared" ca="1" si="309"/>
        <v>0</v>
      </c>
      <c r="Z384" s="348">
        <f t="shared" ca="1" si="310"/>
        <v>8012</v>
      </c>
      <c r="AA384" s="348">
        <f ca="1">IF(Q384&lt;&gt;1,0,VLOOKUP(OP!$C$55,PVFB,$S384+2,0))</f>
        <v>0</v>
      </c>
      <c r="AB384" s="488" t="str">
        <f ca="1">IF(AND(S384&lt;OP!$C$24,$U384&lt;15),0,IF(AND($U384&lt;15,$T384=12),ROUND(VLOOKUP($S384,DOWN16,5,0),3),IF($T384=12,ROUND(($Z384/10000)*$AA384,3)+IF(AND($P$7="購買增額繳清保險",T384=12,U384=110),VLOOKUP(S384,$B$10:$H$121,7,0),0),"")))</f>
        <v/>
      </c>
      <c r="AC384" s="350" t="str">
        <f ca="1">IF(AND(S384&lt;OP!$C$24,$U384&lt;15),0,IF(AND($U384&lt;16,$T384=12),VLOOKUP($S384,DOWN16,4,0),IF($T384=12,ROUND(VLOOKUP(OP!$C$55,_DIE2,$S384+1,0)*(Z384/10000),0)+IF(AND($P$7="購買增額繳清保險",T384=12,U384=110),VLOOKUP(S384,$B$10:$H$121,7,0),0),"")))</f>
        <v/>
      </c>
      <c r="AD384" s="347"/>
      <c r="AE384" s="350" t="str">
        <f t="shared" ca="1" si="285"/>
        <v/>
      </c>
      <c r="AF384" s="351" t="str">
        <f t="shared" ca="1" si="286"/>
        <v/>
      </c>
      <c r="AG384" s="340"/>
      <c r="AH384" s="340"/>
      <c r="AI384" s="340"/>
      <c r="AJ384" s="340"/>
      <c r="AK384" s="340"/>
      <c r="AL384" s="340"/>
      <c r="AM384" s="340"/>
      <c r="AN384" s="340"/>
      <c r="AO384" s="340"/>
      <c r="AP384" s="340"/>
      <c r="AQ384" s="340"/>
      <c r="AR384" s="340"/>
      <c r="AS384" s="340"/>
      <c r="AT384" s="340"/>
      <c r="AU384" s="340"/>
      <c r="AV384" s="340"/>
      <c r="AY384" s="340"/>
      <c r="AZ384" s="465">
        <f t="shared" ca="1" si="296"/>
        <v>7.3698599999999999E-5</v>
      </c>
      <c r="BA384" s="464">
        <f t="shared" ca="1" si="297"/>
        <v>2.1372602999999999E-3</v>
      </c>
      <c r="BB384" s="465">
        <f t="shared" ca="1" si="297"/>
        <v>2.2109589000000002E-3</v>
      </c>
      <c r="BC384" s="466">
        <f t="shared" ca="1" si="298"/>
        <v>54302</v>
      </c>
      <c r="BD384" s="467">
        <f t="shared" ca="1" si="311"/>
        <v>54303</v>
      </c>
      <c r="BE384" s="467">
        <f t="shared" ca="1" si="299"/>
        <v>54331</v>
      </c>
      <c r="BF384" s="468">
        <f ca="1">IF(計算!$BC384&lt;OP!$C$3,0,BD384-BC384)</f>
        <v>1</v>
      </c>
      <c r="BG384" s="468">
        <f ca="1">IF($BE384&gt;DATE(YEAR($BD$9)+OP!$C$57,MONTH($BD$9),DAY($BD$9)),0,$BE384-$BD384+1)</f>
        <v>29</v>
      </c>
      <c r="BH384" s="469">
        <f t="shared" ca="1" si="300"/>
        <v>30</v>
      </c>
      <c r="BI384" t="str">
        <f t="shared" si="316"/>
        <v/>
      </c>
      <c r="BJ384">
        <v>3</v>
      </c>
      <c r="BN384" s="468">
        <f t="shared" si="312"/>
        <v>32</v>
      </c>
      <c r="BO384" s="468">
        <f t="shared" si="313"/>
        <v>3</v>
      </c>
      <c r="BP384" s="467">
        <f t="shared" ca="1" si="301"/>
        <v>54303</v>
      </c>
      <c r="BQ384" s="475">
        <f t="shared" ca="1" si="315"/>
        <v>64</v>
      </c>
      <c r="BR384" s="475" t="str">
        <f t="shared" si="314"/>
        <v/>
      </c>
      <c r="BS384" s="471" t="str">
        <f t="shared" si="302"/>
        <v/>
      </c>
      <c r="BT384" s="472" t="str">
        <f t="shared" si="317"/>
        <v/>
      </c>
      <c r="BU384" s="472">
        <f t="shared" ca="1" si="303"/>
        <v>0</v>
      </c>
      <c r="BV384" s="472">
        <f t="shared" ca="1" si="303"/>
        <v>0</v>
      </c>
      <c r="BW384" s="472"/>
      <c r="BX384" s="473">
        <f t="shared" ca="1" si="304"/>
        <v>323425.54286249197</v>
      </c>
      <c r="BY384" s="473">
        <f t="shared" si="305"/>
        <v>0</v>
      </c>
      <c r="BZ384" s="473">
        <f t="shared" ca="1" si="287"/>
        <v>715.08058247899999</v>
      </c>
      <c r="CA384" s="476">
        <f t="shared" ca="1" si="306"/>
        <v>0</v>
      </c>
      <c r="CB384" s="494">
        <f ca="1">IF(OR($Q383&lt;&gt;1,OP!$D$5+$BN384-1&lt;16,$BN384-1&lt;1),0,ROUND(ROUND(ROUND(((VLOOKUP($BN384-1,MORE_PV,5,0)/10000)*VLOOKUP($BN384,MORE_PV,$CB$5,0)),3)*VLOOKUP($BN384,more1,5,0),0)/$R383,0))</f>
        <v>0</v>
      </c>
      <c r="CC384" s="473">
        <f t="shared" ca="1" si="307"/>
        <v>0</v>
      </c>
      <c r="CD384" s="477"/>
    </row>
    <row r="385" spans="2:82" ht="16.5" hidden="1">
      <c r="B385" s="80"/>
      <c r="C385" s="80"/>
      <c r="D385" s="80"/>
      <c r="E385" s="80"/>
      <c r="F385" s="80"/>
      <c r="G385" s="80"/>
      <c r="H385" s="80"/>
      <c r="I385" s="80"/>
      <c r="J385" s="192">
        <f t="shared" si="288"/>
        <v>32</v>
      </c>
      <c r="K385" s="192">
        <f t="shared" si="289"/>
        <v>5</v>
      </c>
      <c r="L385" s="192" t="str">
        <f t="shared" si="284"/>
        <v/>
      </c>
      <c r="M385" s="216">
        <f t="shared" ca="1" si="290"/>
        <v>0</v>
      </c>
      <c r="N385" s="216"/>
      <c r="O385" s="216"/>
      <c r="P385" s="216"/>
      <c r="Q385" s="456" t="str">
        <f t="shared" ca="1" si="291"/>
        <v/>
      </c>
      <c r="R385" s="450">
        <f t="shared" ca="1" si="292"/>
        <v>1</v>
      </c>
      <c r="S385" s="191">
        <f t="shared" si="293"/>
        <v>32</v>
      </c>
      <c r="T385" s="191">
        <f t="shared" si="294"/>
        <v>5</v>
      </c>
      <c r="U385" s="191">
        <f ca="1">OP!$D$5+$S385-1</f>
        <v>64</v>
      </c>
      <c r="V385" s="191" t="str">
        <f t="shared" si="295"/>
        <v/>
      </c>
      <c r="W385" s="350">
        <f ca="1">IF(Q385&lt;&gt;1,0,VLOOKUP(OP!$C$55,PVFB,$S385+2,0))</f>
        <v>0</v>
      </c>
      <c r="X385" s="473">
        <f t="shared" ca="1" si="308"/>
        <v>0</v>
      </c>
      <c r="Y385" s="348">
        <f t="shared" ca="1" si="309"/>
        <v>0</v>
      </c>
      <c r="Z385" s="348">
        <f t="shared" ca="1" si="310"/>
        <v>8012</v>
      </c>
      <c r="AA385" s="348">
        <f ca="1">IF(Q385&lt;&gt;1,0,VLOOKUP(OP!$C$55,PVFB,$S385+2,0))</f>
        <v>0</v>
      </c>
      <c r="AB385" s="488" t="str">
        <f ca="1">IF(AND(S385&lt;OP!$C$24,$U385&lt;15),0,IF(AND($U385&lt;15,$T385=12),ROUND(VLOOKUP($S385,DOWN16,5,0),3),IF($T385=12,ROUND(($Z385/10000)*$AA385,3)+IF(AND($P$7="購買增額繳清保險",T385=12,U385=110),VLOOKUP(S385,$B$10:$H$121,7,0),0),"")))</f>
        <v/>
      </c>
      <c r="AC385" s="350" t="str">
        <f ca="1">IF(AND(S385&lt;OP!$C$24,$U385&lt;15),0,IF(AND($U385&lt;16,$T385=12),VLOOKUP($S385,DOWN16,4,0),IF($T385=12,ROUND(VLOOKUP(OP!$C$55,_DIE2,$S385+1,0)*(Z385/10000),0)+IF(AND($P$7="購買增額繳清保險",T385=12,U385=110),VLOOKUP(S385,$B$10:$H$121,7,0),0),"")))</f>
        <v/>
      </c>
      <c r="AD385" s="347"/>
      <c r="AE385" s="350" t="str">
        <f t="shared" ca="1" si="285"/>
        <v/>
      </c>
      <c r="AF385" s="351" t="str">
        <f t="shared" ca="1" si="286"/>
        <v/>
      </c>
      <c r="AG385" s="340"/>
      <c r="AH385" s="340"/>
      <c r="AI385" s="340"/>
      <c r="AJ385" s="340"/>
      <c r="AK385" s="340"/>
      <c r="AL385" s="340"/>
      <c r="AM385" s="340"/>
      <c r="AN385" s="340"/>
      <c r="AO385" s="340"/>
      <c r="AP385" s="340"/>
      <c r="AQ385" s="340"/>
      <c r="AR385" s="340"/>
      <c r="AS385" s="340"/>
      <c r="AT385" s="340"/>
      <c r="AU385" s="340"/>
      <c r="AV385" s="340"/>
      <c r="AY385" s="340"/>
      <c r="AZ385" s="465">
        <f t="shared" ca="1" si="296"/>
        <v>7.3698599999999999E-5</v>
      </c>
      <c r="BA385" s="464">
        <f t="shared" ca="1" si="297"/>
        <v>2.2109589000000002E-3</v>
      </c>
      <c r="BB385" s="465">
        <f t="shared" ca="1" si="297"/>
        <v>2.2846575E-3</v>
      </c>
      <c r="BC385" s="466">
        <f t="shared" ca="1" si="298"/>
        <v>54332</v>
      </c>
      <c r="BD385" s="467">
        <f t="shared" ca="1" si="311"/>
        <v>54333</v>
      </c>
      <c r="BE385" s="467">
        <f t="shared" ca="1" si="299"/>
        <v>54362</v>
      </c>
      <c r="BF385" s="468">
        <f ca="1">IF(計算!$BC385&lt;OP!$C$3,0,BD385-BC385)</f>
        <v>1</v>
      </c>
      <c r="BG385" s="468">
        <f ca="1">IF($BE385&gt;DATE(YEAR($BD$9)+OP!$C$57,MONTH($BD$9),DAY($BD$9)),0,$BE385-$BD385+1)</f>
        <v>30</v>
      </c>
      <c r="BH385" s="469">
        <f t="shared" ca="1" si="300"/>
        <v>31</v>
      </c>
      <c r="BI385" t="str">
        <f t="shared" si="316"/>
        <v/>
      </c>
      <c r="BJ385">
        <v>4</v>
      </c>
      <c r="BN385" s="468">
        <f t="shared" si="312"/>
        <v>32</v>
      </c>
      <c r="BO385" s="468">
        <f t="shared" si="313"/>
        <v>4</v>
      </c>
      <c r="BP385" s="467">
        <f t="shared" ca="1" si="301"/>
        <v>54333</v>
      </c>
      <c r="BQ385" s="475">
        <f t="shared" ca="1" si="315"/>
        <v>64</v>
      </c>
      <c r="BR385" s="475" t="str">
        <f t="shared" si="314"/>
        <v/>
      </c>
      <c r="BS385" s="471" t="str">
        <f t="shared" si="302"/>
        <v/>
      </c>
      <c r="BT385" s="472" t="str">
        <f t="shared" si="317"/>
        <v/>
      </c>
      <c r="BU385" s="472">
        <f t="shared" ca="1" si="303"/>
        <v>0</v>
      </c>
      <c r="BV385" s="472">
        <f t="shared" ca="1" si="303"/>
        <v>0</v>
      </c>
      <c r="BW385" s="472"/>
      <c r="BX385" s="473">
        <f t="shared" ca="1" si="304"/>
        <v>324140.62344497099</v>
      </c>
      <c r="BY385" s="473">
        <f t="shared" si="305"/>
        <v>0</v>
      </c>
      <c r="BZ385" s="473">
        <f t="shared" ca="1" si="287"/>
        <v>740.55030640799998</v>
      </c>
      <c r="CA385" s="476">
        <f t="shared" ca="1" si="306"/>
        <v>0</v>
      </c>
      <c r="CB385" s="494">
        <f ca="1">IF(OR($Q384&lt;&gt;1,OP!$D$5+$BN385-1&lt;16,$BN385-1&lt;1),0,ROUND(ROUND(ROUND(((VLOOKUP($BN385-1,MORE_PV,5,0)/10000)*VLOOKUP($BN385,MORE_PV,$CB$5,0)),3)*VLOOKUP($BN385,more1,5,0),0)/$R384,0))</f>
        <v>0</v>
      </c>
      <c r="CC385" s="473">
        <f t="shared" ca="1" si="307"/>
        <v>0</v>
      </c>
      <c r="CD385" s="477"/>
    </row>
    <row r="386" spans="2:82" ht="16.5" hidden="1">
      <c r="B386" s="80"/>
      <c r="C386" s="80"/>
      <c r="D386" s="80"/>
      <c r="E386" s="80"/>
      <c r="F386" s="80"/>
      <c r="G386" s="80"/>
      <c r="H386" s="80"/>
      <c r="I386" s="80"/>
      <c r="J386" s="192">
        <f t="shared" si="288"/>
        <v>32</v>
      </c>
      <c r="K386" s="192">
        <f t="shared" si="289"/>
        <v>6</v>
      </c>
      <c r="L386" s="192" t="str">
        <f t="shared" si="284"/>
        <v/>
      </c>
      <c r="M386" s="216">
        <f t="shared" ca="1" si="290"/>
        <v>0</v>
      </c>
      <c r="N386" s="216"/>
      <c r="O386" s="216"/>
      <c r="P386" s="216"/>
      <c r="Q386" s="456" t="str">
        <f t="shared" ca="1" si="291"/>
        <v/>
      </c>
      <c r="R386" s="450">
        <f t="shared" ca="1" si="292"/>
        <v>1</v>
      </c>
      <c r="S386" s="191">
        <f t="shared" si="293"/>
        <v>32</v>
      </c>
      <c r="T386" s="191">
        <f t="shared" si="294"/>
        <v>6</v>
      </c>
      <c r="U386" s="191">
        <f ca="1">OP!$D$5+$S386-1</f>
        <v>64</v>
      </c>
      <c r="V386" s="191" t="str">
        <f t="shared" si="295"/>
        <v/>
      </c>
      <c r="W386" s="350">
        <f ca="1">IF(Q386&lt;&gt;1,0,VLOOKUP(OP!$C$55,PVFB,$S386+2,0))</f>
        <v>0</v>
      </c>
      <c r="X386" s="473">
        <f t="shared" ca="1" si="308"/>
        <v>0</v>
      </c>
      <c r="Y386" s="348">
        <f t="shared" ca="1" si="309"/>
        <v>0</v>
      </c>
      <c r="Z386" s="348">
        <f t="shared" ca="1" si="310"/>
        <v>8012</v>
      </c>
      <c r="AA386" s="348">
        <f ca="1">IF(Q386&lt;&gt;1,0,VLOOKUP(OP!$C$55,PVFB,$S386+2,0))</f>
        <v>0</v>
      </c>
      <c r="AB386" s="488" t="str">
        <f ca="1">IF(AND(S386&lt;OP!$C$24,$U386&lt;15),0,IF(AND($U386&lt;15,$T386=12),ROUND(VLOOKUP($S386,DOWN16,5,0),3),IF($T386=12,ROUND(($Z386/10000)*$AA386,3)+IF(AND($P$7="購買增額繳清保險",T386=12,U386=110),VLOOKUP(S386,$B$10:$H$121,7,0),0),"")))</f>
        <v/>
      </c>
      <c r="AC386" s="350" t="str">
        <f ca="1">IF(AND(S386&lt;OP!$C$24,$U386&lt;15),0,IF(AND($U386&lt;16,$T386=12),VLOOKUP($S386,DOWN16,4,0),IF($T386=12,ROUND(VLOOKUP(OP!$C$55,_DIE2,$S386+1,0)*(Z386/10000),0)+IF(AND($P$7="購買增額繳清保險",T386=12,U386=110),VLOOKUP(S386,$B$10:$H$121,7,0),0),"")))</f>
        <v/>
      </c>
      <c r="AD386" s="347"/>
      <c r="AE386" s="350" t="str">
        <f t="shared" ca="1" si="285"/>
        <v/>
      </c>
      <c r="AF386" s="351" t="str">
        <f t="shared" ca="1" si="286"/>
        <v/>
      </c>
      <c r="AG386" s="340"/>
      <c r="AH386" s="340"/>
      <c r="AI386" s="340"/>
      <c r="AJ386" s="340"/>
      <c r="AK386" s="340"/>
      <c r="AL386" s="340"/>
      <c r="AM386" s="340"/>
      <c r="AN386" s="340"/>
      <c r="AO386" s="340"/>
      <c r="AP386" s="340"/>
      <c r="AQ386" s="340"/>
      <c r="AR386" s="340"/>
      <c r="AS386" s="340"/>
      <c r="AT386" s="340"/>
      <c r="AU386" s="340"/>
      <c r="AV386" s="340"/>
      <c r="AY386" s="340"/>
      <c r="AZ386" s="465">
        <f t="shared" ca="1" si="296"/>
        <v>7.3698599999999999E-5</v>
      </c>
      <c r="BA386" s="464">
        <f t="shared" ca="1" si="297"/>
        <v>2.1372602999999999E-3</v>
      </c>
      <c r="BB386" s="465">
        <f t="shared" ca="1" si="297"/>
        <v>2.2109589000000002E-3</v>
      </c>
      <c r="BC386" s="466">
        <f t="shared" ca="1" si="298"/>
        <v>54363</v>
      </c>
      <c r="BD386" s="467">
        <f t="shared" ca="1" si="311"/>
        <v>54364</v>
      </c>
      <c r="BE386" s="467">
        <f t="shared" ca="1" si="299"/>
        <v>54392</v>
      </c>
      <c r="BF386" s="468">
        <f ca="1">IF(計算!$BC386&lt;OP!$C$3,0,BD386-BC386)</f>
        <v>1</v>
      </c>
      <c r="BG386" s="468">
        <f ca="1">IF($BE386&gt;DATE(YEAR($BD$9)+OP!$C$57,MONTH($BD$9),DAY($BD$9)),0,$BE386-$BD386+1)</f>
        <v>29</v>
      </c>
      <c r="BH386" s="469">
        <f t="shared" ca="1" si="300"/>
        <v>30</v>
      </c>
      <c r="BI386" t="str">
        <f t="shared" si="316"/>
        <v/>
      </c>
      <c r="BJ386">
        <v>5</v>
      </c>
      <c r="BN386" s="468">
        <f t="shared" si="312"/>
        <v>32</v>
      </c>
      <c r="BO386" s="468">
        <f t="shared" si="313"/>
        <v>5</v>
      </c>
      <c r="BP386" s="467">
        <f t="shared" ca="1" si="301"/>
        <v>54364</v>
      </c>
      <c r="BQ386" s="475">
        <f t="shared" ca="1" si="315"/>
        <v>64</v>
      </c>
      <c r="BR386" s="475" t="str">
        <f t="shared" si="314"/>
        <v/>
      </c>
      <c r="BS386" s="471" t="str">
        <f t="shared" si="302"/>
        <v/>
      </c>
      <c r="BT386" s="472" t="str">
        <f t="shared" si="317"/>
        <v/>
      </c>
      <c r="BU386" s="472">
        <f t="shared" ca="1" si="303"/>
        <v>0</v>
      </c>
      <c r="BV386" s="472">
        <f t="shared" ca="1" si="303"/>
        <v>0</v>
      </c>
      <c r="BW386" s="472"/>
      <c r="BX386" s="473">
        <f t="shared" ca="1" si="304"/>
        <v>324881.17375137901</v>
      </c>
      <c r="BY386" s="473">
        <f t="shared" si="305"/>
        <v>0</v>
      </c>
      <c r="BZ386" s="473">
        <f t="shared" ca="1" si="287"/>
        <v>718.29892254799995</v>
      </c>
      <c r="CA386" s="476">
        <f t="shared" ca="1" si="306"/>
        <v>0</v>
      </c>
      <c r="CB386" s="494">
        <f ca="1">IF(OR($Q385&lt;&gt;1,OP!$D$5+$BN386-1&lt;16,$BN386-1&lt;1),0,ROUND(ROUND(ROUND(((VLOOKUP($BN386-1,MORE_PV,5,0)/10000)*VLOOKUP($BN386,MORE_PV,$CB$5,0)),3)*VLOOKUP($BN386,more1,5,0),0)/$R385,0))</f>
        <v>0</v>
      </c>
      <c r="CC386" s="473">
        <f t="shared" ca="1" si="307"/>
        <v>0</v>
      </c>
      <c r="CD386" s="477"/>
    </row>
    <row r="387" spans="2:82" ht="16.5" hidden="1">
      <c r="B387" s="80"/>
      <c r="C387" s="80"/>
      <c r="D387" s="80"/>
      <c r="E387" s="80"/>
      <c r="F387" s="80"/>
      <c r="G387" s="80"/>
      <c r="H387" s="80"/>
      <c r="I387" s="80"/>
      <c r="J387" s="192">
        <f t="shared" si="288"/>
        <v>32</v>
      </c>
      <c r="K387" s="192">
        <f t="shared" si="289"/>
        <v>7</v>
      </c>
      <c r="L387" s="192" t="str">
        <f t="shared" si="284"/>
        <v/>
      </c>
      <c r="M387" s="216">
        <f t="shared" ca="1" si="290"/>
        <v>0</v>
      </c>
      <c r="N387" s="216"/>
      <c r="O387" s="216"/>
      <c r="P387" s="216"/>
      <c r="Q387" s="456" t="str">
        <f t="shared" ca="1" si="291"/>
        <v/>
      </c>
      <c r="R387" s="450">
        <f t="shared" ca="1" si="292"/>
        <v>1</v>
      </c>
      <c r="S387" s="191">
        <f t="shared" si="293"/>
        <v>32</v>
      </c>
      <c r="T387" s="191">
        <f t="shared" si="294"/>
        <v>7</v>
      </c>
      <c r="U387" s="191">
        <f ca="1">OP!$D$5+$S387-1</f>
        <v>64</v>
      </c>
      <c r="V387" s="191" t="str">
        <f t="shared" si="295"/>
        <v/>
      </c>
      <c r="W387" s="350">
        <f ca="1">IF(Q387&lt;&gt;1,0,VLOOKUP(OP!$C$55,PVFB,$S387+2,0))</f>
        <v>0</v>
      </c>
      <c r="X387" s="473">
        <f t="shared" ca="1" si="308"/>
        <v>0</v>
      </c>
      <c r="Y387" s="348">
        <f t="shared" ca="1" si="309"/>
        <v>0</v>
      </c>
      <c r="Z387" s="348">
        <f t="shared" ca="1" si="310"/>
        <v>8012</v>
      </c>
      <c r="AA387" s="348">
        <f ca="1">IF(Q387&lt;&gt;1,0,VLOOKUP(OP!$C$55,PVFB,$S387+2,0))</f>
        <v>0</v>
      </c>
      <c r="AB387" s="488" t="str">
        <f ca="1">IF(AND(S387&lt;OP!$C$24,$U387&lt;15),0,IF(AND($U387&lt;15,$T387=12),ROUND(VLOOKUP($S387,DOWN16,5,0),3),IF($T387=12,ROUND(($Z387/10000)*$AA387,3)+IF(AND($P$7="購買增額繳清保險",T387=12,U387=110),VLOOKUP(S387,$B$10:$H$121,7,0),0),"")))</f>
        <v/>
      </c>
      <c r="AC387" s="350" t="str">
        <f ca="1">IF(AND(S387&lt;OP!$C$24,$U387&lt;15),0,IF(AND($U387&lt;16,$T387=12),VLOOKUP($S387,DOWN16,4,0),IF($T387=12,ROUND(VLOOKUP(OP!$C$55,_DIE2,$S387+1,0)*(Z387/10000),0)+IF(AND($P$7="購買增額繳清保險",T387=12,U387=110),VLOOKUP(S387,$B$10:$H$121,7,0),0),"")))</f>
        <v/>
      </c>
      <c r="AD387" s="347"/>
      <c r="AE387" s="350" t="str">
        <f t="shared" ca="1" si="285"/>
        <v/>
      </c>
      <c r="AF387" s="351" t="str">
        <f t="shared" ca="1" si="286"/>
        <v/>
      </c>
      <c r="AG387" s="340"/>
      <c r="AH387" s="340"/>
      <c r="AI387" s="340"/>
      <c r="AJ387" s="340"/>
      <c r="AK387" s="340"/>
      <c r="AL387" s="340"/>
      <c r="AM387" s="340"/>
      <c r="AN387" s="340"/>
      <c r="AO387" s="340"/>
      <c r="AP387" s="340"/>
      <c r="AQ387" s="340"/>
      <c r="AR387" s="340"/>
      <c r="AS387" s="340"/>
      <c r="AT387" s="340"/>
      <c r="AU387" s="340"/>
      <c r="AV387" s="340"/>
      <c r="AY387" s="340"/>
      <c r="AZ387" s="465">
        <f t="shared" ca="1" si="296"/>
        <v>7.3698599999999999E-5</v>
      </c>
      <c r="BA387" s="464">
        <f t="shared" ca="1" si="297"/>
        <v>2.2109589000000002E-3</v>
      </c>
      <c r="BB387" s="465">
        <f t="shared" ca="1" si="297"/>
        <v>2.2846575E-3</v>
      </c>
      <c r="BC387" s="466">
        <f t="shared" ca="1" si="298"/>
        <v>54393</v>
      </c>
      <c r="BD387" s="467">
        <f t="shared" ca="1" si="311"/>
        <v>54394</v>
      </c>
      <c r="BE387" s="467">
        <f t="shared" ca="1" si="299"/>
        <v>54423</v>
      </c>
      <c r="BF387" s="468">
        <f ca="1">IF(計算!$BC387&lt;OP!$C$3,0,BD387-BC387)</f>
        <v>1</v>
      </c>
      <c r="BG387" s="468">
        <f ca="1">IF($BE387&gt;DATE(YEAR($BD$9)+OP!$C$57,MONTH($BD$9),DAY($BD$9)),0,$BE387-$BD387+1)</f>
        <v>30</v>
      </c>
      <c r="BH387" s="469">
        <f t="shared" ca="1" si="300"/>
        <v>31</v>
      </c>
      <c r="BI387" t="str">
        <f t="shared" si="316"/>
        <v/>
      </c>
      <c r="BJ387">
        <v>6</v>
      </c>
      <c r="BN387" s="468">
        <f t="shared" si="312"/>
        <v>32</v>
      </c>
      <c r="BO387" s="468">
        <f t="shared" si="313"/>
        <v>6</v>
      </c>
      <c r="BP387" s="467">
        <f t="shared" ca="1" si="301"/>
        <v>54394</v>
      </c>
      <c r="BQ387" s="475">
        <f t="shared" ca="1" si="315"/>
        <v>64</v>
      </c>
      <c r="BR387" s="475" t="str">
        <f t="shared" si="314"/>
        <v/>
      </c>
      <c r="BS387" s="471" t="str">
        <f t="shared" si="302"/>
        <v/>
      </c>
      <c r="BT387" s="472" t="str">
        <f t="shared" si="317"/>
        <v/>
      </c>
      <c r="BU387" s="472">
        <f t="shared" ca="1" si="303"/>
        <v>0</v>
      </c>
      <c r="BV387" s="472">
        <f t="shared" ca="1" si="303"/>
        <v>0</v>
      </c>
      <c r="BW387" s="472"/>
      <c r="BX387" s="473">
        <f t="shared" ca="1" si="304"/>
        <v>325599.47267392703</v>
      </c>
      <c r="BY387" s="473">
        <f t="shared" si="305"/>
        <v>0</v>
      </c>
      <c r="BZ387" s="473">
        <f t="shared" ca="1" si="287"/>
        <v>743.88327724099997</v>
      </c>
      <c r="CA387" s="476">
        <f t="shared" ca="1" si="306"/>
        <v>0</v>
      </c>
      <c r="CB387" s="494">
        <f ca="1">IF(OR($Q386&lt;&gt;1,OP!$D$5+$BN387-1&lt;16,$BN387-1&lt;1),0,ROUND(ROUND(ROUND(((VLOOKUP($BN387-1,MORE_PV,5,0)/10000)*VLOOKUP($BN387,MORE_PV,$CB$5,0)),3)*VLOOKUP($BN387,more1,5,0),0)/$R386,0))</f>
        <v>0</v>
      </c>
      <c r="CC387" s="473">
        <f t="shared" ca="1" si="307"/>
        <v>0</v>
      </c>
      <c r="CD387" s="477"/>
    </row>
    <row r="388" spans="2:82" ht="16.5" hidden="1">
      <c r="B388" s="80"/>
      <c r="C388" s="80"/>
      <c r="D388" s="80"/>
      <c r="E388" s="80"/>
      <c r="F388" s="80"/>
      <c r="G388" s="80"/>
      <c r="H388" s="80"/>
      <c r="I388" s="80"/>
      <c r="J388" s="192">
        <f t="shared" si="288"/>
        <v>32</v>
      </c>
      <c r="K388" s="192">
        <f t="shared" si="289"/>
        <v>8</v>
      </c>
      <c r="L388" s="192" t="str">
        <f t="shared" si="284"/>
        <v/>
      </c>
      <c r="M388" s="216">
        <f t="shared" ca="1" si="290"/>
        <v>0</v>
      </c>
      <c r="N388" s="216"/>
      <c r="O388" s="216"/>
      <c r="P388" s="216"/>
      <c r="Q388" s="456" t="str">
        <f t="shared" ca="1" si="291"/>
        <v/>
      </c>
      <c r="R388" s="450">
        <f t="shared" ca="1" si="292"/>
        <v>1</v>
      </c>
      <c r="S388" s="191">
        <f t="shared" si="293"/>
        <v>32</v>
      </c>
      <c r="T388" s="191">
        <f t="shared" si="294"/>
        <v>8</v>
      </c>
      <c r="U388" s="191">
        <f ca="1">OP!$D$5+$S388-1</f>
        <v>64</v>
      </c>
      <c r="V388" s="191" t="str">
        <f t="shared" si="295"/>
        <v/>
      </c>
      <c r="W388" s="350">
        <f ca="1">IF(Q388&lt;&gt;1,0,VLOOKUP(OP!$C$55,PVFB,$S388+2,0))</f>
        <v>0</v>
      </c>
      <c r="X388" s="473">
        <f t="shared" ca="1" si="308"/>
        <v>0</v>
      </c>
      <c r="Y388" s="348">
        <f t="shared" ca="1" si="309"/>
        <v>0</v>
      </c>
      <c r="Z388" s="348">
        <f t="shared" ca="1" si="310"/>
        <v>8012</v>
      </c>
      <c r="AA388" s="348">
        <f ca="1">IF(Q388&lt;&gt;1,0,VLOOKUP(OP!$C$55,PVFB,$S388+2,0))</f>
        <v>0</v>
      </c>
      <c r="AB388" s="488" t="str">
        <f ca="1">IF(AND(S388&lt;OP!$C$24,$U388&lt;15),0,IF(AND($U388&lt;15,$T388=12),ROUND(VLOOKUP($S388,DOWN16,5,0),3),IF($T388=12,ROUND(($Z388/10000)*$AA388,3)+IF(AND($P$7="購買增額繳清保險",T388=12,U388=110),VLOOKUP(S388,$B$10:$H$121,7,0),0),"")))</f>
        <v/>
      </c>
      <c r="AC388" s="350" t="str">
        <f ca="1">IF(AND(S388&lt;OP!$C$24,$U388&lt;15),0,IF(AND($U388&lt;16,$T388=12),VLOOKUP($S388,DOWN16,4,0),IF($T388=12,ROUND(VLOOKUP(OP!$C$55,_DIE2,$S388+1,0)*(Z388/10000),0)+IF(AND($P$7="購買增額繳清保險",T388=12,U388=110),VLOOKUP(S388,$B$10:$H$121,7,0),0),"")))</f>
        <v/>
      </c>
      <c r="AD388" s="347"/>
      <c r="AE388" s="350" t="str">
        <f t="shared" ca="1" si="285"/>
        <v/>
      </c>
      <c r="AF388" s="351" t="str">
        <f t="shared" ca="1" si="286"/>
        <v/>
      </c>
      <c r="AG388" s="340"/>
      <c r="AH388" s="340"/>
      <c r="AI388" s="340"/>
      <c r="AJ388" s="340"/>
      <c r="AK388" s="340"/>
      <c r="AL388" s="340"/>
      <c r="AM388" s="340"/>
      <c r="AN388" s="340"/>
      <c r="AO388" s="340"/>
      <c r="AP388" s="340"/>
      <c r="AQ388" s="340"/>
      <c r="AR388" s="340"/>
      <c r="AS388" s="340"/>
      <c r="AT388" s="340"/>
      <c r="AU388" s="340"/>
      <c r="AV388" s="340"/>
      <c r="AY388" s="340"/>
      <c r="AZ388" s="465">
        <f t="shared" ca="1" si="296"/>
        <v>7.3698599999999999E-5</v>
      </c>
      <c r="BA388" s="464">
        <f t="shared" ca="1" si="297"/>
        <v>2.2109589000000002E-3</v>
      </c>
      <c r="BB388" s="465">
        <f t="shared" ca="1" si="297"/>
        <v>2.2846575E-3</v>
      </c>
      <c r="BC388" s="466">
        <f t="shared" ca="1" si="298"/>
        <v>54424</v>
      </c>
      <c r="BD388" s="467">
        <f t="shared" ca="1" si="311"/>
        <v>54425</v>
      </c>
      <c r="BE388" s="467">
        <f t="shared" ca="1" si="299"/>
        <v>54454</v>
      </c>
      <c r="BF388" s="468">
        <f ca="1">IF(計算!$BC388&lt;OP!$C$3,0,BD388-BC388)</f>
        <v>1</v>
      </c>
      <c r="BG388" s="468">
        <f ca="1">IF($BE388&gt;DATE(YEAR($BD$9)+OP!$C$57,MONTH($BD$9),DAY($BD$9)),0,$BE388-$BD388+1)</f>
        <v>30</v>
      </c>
      <c r="BH388" s="469">
        <f t="shared" ca="1" si="300"/>
        <v>31</v>
      </c>
      <c r="BI388" t="str">
        <f t="shared" si="316"/>
        <v/>
      </c>
      <c r="BJ388">
        <v>7</v>
      </c>
      <c r="BN388" s="468">
        <f t="shared" si="312"/>
        <v>32</v>
      </c>
      <c r="BO388" s="468">
        <f t="shared" si="313"/>
        <v>7</v>
      </c>
      <c r="BP388" s="467">
        <f t="shared" ca="1" si="301"/>
        <v>54425</v>
      </c>
      <c r="BQ388" s="475">
        <f t="shared" ca="1" si="315"/>
        <v>64</v>
      </c>
      <c r="BR388" s="475" t="str">
        <f t="shared" si="314"/>
        <v/>
      </c>
      <c r="BS388" s="471" t="str">
        <f t="shared" si="302"/>
        <v/>
      </c>
      <c r="BT388" s="472" t="str">
        <f t="shared" si="317"/>
        <v/>
      </c>
      <c r="BU388" s="472">
        <f t="shared" ca="1" si="303"/>
        <v>0</v>
      </c>
      <c r="BV388" s="472">
        <f t="shared" ca="1" si="303"/>
        <v>0</v>
      </c>
      <c r="BW388" s="472"/>
      <c r="BX388" s="473">
        <f t="shared" ca="1" si="304"/>
        <v>326343.35595116799</v>
      </c>
      <c r="BY388" s="473">
        <f t="shared" si="305"/>
        <v>0</v>
      </c>
      <c r="BZ388" s="473">
        <f t="shared" ca="1" si="287"/>
        <v>745.58279574899996</v>
      </c>
      <c r="CA388" s="476">
        <f t="shared" ca="1" si="306"/>
        <v>0</v>
      </c>
      <c r="CB388" s="494">
        <f ca="1">IF(OR($Q387&lt;&gt;1,OP!$D$5+$BN388-1&lt;16,$BN388-1&lt;1),0,ROUND(ROUND(ROUND(((VLOOKUP($BN388-1,MORE_PV,5,0)/10000)*VLOOKUP($BN388,MORE_PV,$CB$5,0)),3)*VLOOKUP($BN388,more1,5,0),0)/$R387,0))</f>
        <v>0</v>
      </c>
      <c r="CC388" s="473">
        <f t="shared" ca="1" si="307"/>
        <v>0</v>
      </c>
      <c r="CD388" s="477"/>
    </row>
    <row r="389" spans="2:82" ht="16.5" hidden="1">
      <c r="B389" s="80"/>
      <c r="C389" s="80"/>
      <c r="D389" s="80"/>
      <c r="E389" s="80"/>
      <c r="F389" s="80"/>
      <c r="G389" s="80"/>
      <c r="H389" s="80"/>
      <c r="I389" s="80"/>
      <c r="J389" s="192">
        <f t="shared" si="288"/>
        <v>32</v>
      </c>
      <c r="K389" s="192">
        <f t="shared" si="289"/>
        <v>9</v>
      </c>
      <c r="L389" s="192" t="str">
        <f t="shared" si="284"/>
        <v/>
      </c>
      <c r="M389" s="216">
        <f t="shared" ca="1" si="290"/>
        <v>0</v>
      </c>
      <c r="N389" s="216"/>
      <c r="O389" s="216"/>
      <c r="P389" s="216"/>
      <c r="Q389" s="456" t="str">
        <f t="shared" ca="1" si="291"/>
        <v/>
      </c>
      <c r="R389" s="450">
        <f t="shared" ca="1" si="292"/>
        <v>1</v>
      </c>
      <c r="S389" s="191">
        <f t="shared" si="293"/>
        <v>32</v>
      </c>
      <c r="T389" s="191">
        <f t="shared" si="294"/>
        <v>9</v>
      </c>
      <c r="U389" s="191">
        <f ca="1">OP!$D$5+$S389-1</f>
        <v>64</v>
      </c>
      <c r="V389" s="191" t="str">
        <f t="shared" si="295"/>
        <v/>
      </c>
      <c r="W389" s="350">
        <f ca="1">IF(Q389&lt;&gt;1,0,VLOOKUP(OP!$C$55,PVFB,$S389+2,0))</f>
        <v>0</v>
      </c>
      <c r="X389" s="473">
        <f t="shared" ca="1" si="308"/>
        <v>0</v>
      </c>
      <c r="Y389" s="348">
        <f t="shared" ca="1" si="309"/>
        <v>0</v>
      </c>
      <c r="Z389" s="348">
        <f t="shared" ca="1" si="310"/>
        <v>8012</v>
      </c>
      <c r="AA389" s="348">
        <f ca="1">IF(Q389&lt;&gt;1,0,VLOOKUP(OP!$C$55,PVFB,$S389+2,0))</f>
        <v>0</v>
      </c>
      <c r="AB389" s="488" t="str">
        <f ca="1">IF(AND(S389&lt;OP!$C$24,$U389&lt;15),0,IF(AND($U389&lt;15,$T389=12),ROUND(VLOOKUP($S389,DOWN16,5,0),3),IF($T389=12,ROUND(($Z389/10000)*$AA389,3)+IF(AND($P$7="購買增額繳清保險",T389=12,U389=110),VLOOKUP(S389,$B$10:$H$121,7,0),0),"")))</f>
        <v/>
      </c>
      <c r="AC389" s="350" t="str">
        <f ca="1">IF(AND(S389&lt;OP!$C$24,$U389&lt;15),0,IF(AND($U389&lt;16,$T389=12),VLOOKUP($S389,DOWN16,4,0),IF($T389=12,ROUND(VLOOKUP(OP!$C$55,_DIE2,$S389+1,0)*(Z389/10000),0)+IF(AND($P$7="購買增額繳清保險",T389=12,U389=110),VLOOKUP(S389,$B$10:$H$121,7,0),0),"")))</f>
        <v/>
      </c>
      <c r="AD389" s="347"/>
      <c r="AE389" s="350" t="str">
        <f t="shared" ca="1" si="285"/>
        <v/>
      </c>
      <c r="AF389" s="351" t="str">
        <f t="shared" ca="1" si="286"/>
        <v/>
      </c>
      <c r="AG389" s="340"/>
      <c r="AH389" s="340"/>
      <c r="AI389" s="340"/>
      <c r="AJ389" s="340"/>
      <c r="AK389" s="340"/>
      <c r="AL389" s="340"/>
      <c r="AM389" s="340"/>
      <c r="AN389" s="340"/>
      <c r="AO389" s="340"/>
      <c r="AP389" s="340"/>
      <c r="AQ389" s="340"/>
      <c r="AR389" s="340"/>
      <c r="AS389" s="340"/>
      <c r="AT389" s="340"/>
      <c r="AU389" s="340"/>
      <c r="AV389" s="340"/>
      <c r="AY389" s="340"/>
      <c r="AZ389" s="465">
        <f t="shared" ca="1" si="296"/>
        <v>7.3698599999999999E-5</v>
      </c>
      <c r="BA389" s="464">
        <f t="shared" ca="1" si="297"/>
        <v>1.9898630000000001E-3</v>
      </c>
      <c r="BB389" s="465">
        <f t="shared" ca="1" si="297"/>
        <v>2.0635616E-3</v>
      </c>
      <c r="BC389" s="466">
        <f t="shared" ca="1" si="298"/>
        <v>54455</v>
      </c>
      <c r="BD389" s="467">
        <f t="shared" ca="1" si="311"/>
        <v>54456</v>
      </c>
      <c r="BE389" s="467">
        <f t="shared" ca="1" si="299"/>
        <v>54482</v>
      </c>
      <c r="BF389" s="468">
        <f ca="1">IF(計算!$BC389&lt;OP!$C$3,0,BD389-BC389)</f>
        <v>1</v>
      </c>
      <c r="BG389" s="468">
        <f ca="1">IF($BE389&gt;DATE(YEAR($BD$9)+OP!$C$57,MONTH($BD$9),DAY($BD$9)),0,$BE389-$BD389+1)</f>
        <v>27</v>
      </c>
      <c r="BH389" s="469">
        <f t="shared" ca="1" si="300"/>
        <v>28</v>
      </c>
      <c r="BI389" t="str">
        <f t="shared" si="316"/>
        <v/>
      </c>
      <c r="BJ389">
        <v>8</v>
      </c>
      <c r="BN389" s="468">
        <f t="shared" si="312"/>
        <v>32</v>
      </c>
      <c r="BO389" s="468">
        <f t="shared" si="313"/>
        <v>8</v>
      </c>
      <c r="BP389" s="467">
        <f t="shared" ca="1" si="301"/>
        <v>54456</v>
      </c>
      <c r="BQ389" s="475">
        <f t="shared" ca="1" si="315"/>
        <v>64</v>
      </c>
      <c r="BR389" s="475" t="str">
        <f t="shared" si="314"/>
        <v/>
      </c>
      <c r="BS389" s="471" t="str">
        <f t="shared" si="302"/>
        <v/>
      </c>
      <c r="BT389" s="472" t="str">
        <f t="shared" si="317"/>
        <v/>
      </c>
      <c r="BU389" s="472">
        <f t="shared" ca="1" si="303"/>
        <v>0</v>
      </c>
      <c r="BV389" s="472">
        <f t="shared" ca="1" si="303"/>
        <v>0</v>
      </c>
      <c r="BW389" s="472"/>
      <c r="BX389" s="473">
        <f t="shared" ca="1" si="304"/>
        <v>327088.938746917</v>
      </c>
      <c r="BY389" s="473">
        <f t="shared" si="305"/>
        <v>0</v>
      </c>
      <c r="BZ389" s="473">
        <f t="shared" ca="1" si="287"/>
        <v>674.968173783</v>
      </c>
      <c r="CA389" s="476">
        <f t="shared" ca="1" si="306"/>
        <v>0</v>
      </c>
      <c r="CB389" s="494">
        <f ca="1">IF(OR($Q388&lt;&gt;1,OP!$D$5+$BN389-1&lt;16,$BN389-1&lt;1),0,ROUND(ROUND(ROUND(((VLOOKUP($BN389-1,MORE_PV,5,0)/10000)*VLOOKUP($BN389,MORE_PV,$CB$5,0)),3)*VLOOKUP($BN389,more1,5,0),0)/$R388,0))</f>
        <v>0</v>
      </c>
      <c r="CC389" s="473">
        <f t="shared" ca="1" si="307"/>
        <v>0</v>
      </c>
      <c r="CD389" s="477"/>
    </row>
    <row r="390" spans="2:82" ht="16.5" hidden="1">
      <c r="B390" s="80"/>
      <c r="C390" s="80"/>
      <c r="D390" s="80"/>
      <c r="E390" s="80"/>
      <c r="F390" s="80"/>
      <c r="G390" s="80"/>
      <c r="H390" s="80"/>
      <c r="I390" s="80"/>
      <c r="J390" s="192">
        <f t="shared" si="288"/>
        <v>32</v>
      </c>
      <c r="K390" s="192">
        <f t="shared" si="289"/>
        <v>10</v>
      </c>
      <c r="L390" s="192" t="str">
        <f t="shared" si="284"/>
        <v/>
      </c>
      <c r="M390" s="216">
        <f t="shared" ca="1" si="290"/>
        <v>0</v>
      </c>
      <c r="N390" s="216"/>
      <c r="O390" s="216"/>
      <c r="P390" s="216"/>
      <c r="Q390" s="456" t="str">
        <f t="shared" ca="1" si="291"/>
        <v/>
      </c>
      <c r="R390" s="450">
        <f t="shared" ca="1" si="292"/>
        <v>1</v>
      </c>
      <c r="S390" s="191">
        <f t="shared" si="293"/>
        <v>32</v>
      </c>
      <c r="T390" s="191">
        <f t="shared" si="294"/>
        <v>10</v>
      </c>
      <c r="U390" s="191">
        <f ca="1">OP!$D$5+$S390-1</f>
        <v>64</v>
      </c>
      <c r="V390" s="191" t="str">
        <f t="shared" si="295"/>
        <v/>
      </c>
      <c r="W390" s="350">
        <f ca="1">IF(Q390&lt;&gt;1,0,VLOOKUP(OP!$C$55,PVFB,$S390+2,0))</f>
        <v>0</v>
      </c>
      <c r="X390" s="473">
        <f t="shared" ca="1" si="308"/>
        <v>0</v>
      </c>
      <c r="Y390" s="348">
        <f t="shared" ca="1" si="309"/>
        <v>0</v>
      </c>
      <c r="Z390" s="348">
        <f t="shared" ca="1" si="310"/>
        <v>8012</v>
      </c>
      <c r="AA390" s="348">
        <f ca="1">IF(Q390&lt;&gt;1,0,VLOOKUP(OP!$C$55,PVFB,$S390+2,0))</f>
        <v>0</v>
      </c>
      <c r="AB390" s="488" t="str">
        <f ca="1">IF(AND(S390&lt;OP!$C$24,$U390&lt;15),0,IF(AND($U390&lt;15,$T390=12),ROUND(VLOOKUP($S390,DOWN16,5,0),3),IF($T390=12,ROUND(($Z390/10000)*$AA390,3)+IF(AND($P$7="購買增額繳清保險",T390=12,U390=110),VLOOKUP(S390,$B$10:$H$121,7,0),0),"")))</f>
        <v/>
      </c>
      <c r="AC390" s="350" t="str">
        <f ca="1">IF(AND(S390&lt;OP!$C$24,$U390&lt;15),0,IF(AND($U390&lt;16,$T390=12),VLOOKUP($S390,DOWN16,4,0),IF($T390=12,ROUND(VLOOKUP(OP!$C$55,_DIE2,$S390+1,0)*(Z390/10000),0)+IF(AND($P$7="購買增額繳清保險",T390=12,U390=110),VLOOKUP(S390,$B$10:$H$121,7,0),0),"")))</f>
        <v/>
      </c>
      <c r="AD390" s="347"/>
      <c r="AE390" s="350" t="str">
        <f t="shared" ca="1" si="285"/>
        <v/>
      </c>
      <c r="AF390" s="351" t="str">
        <f t="shared" ca="1" si="286"/>
        <v/>
      </c>
      <c r="AG390" s="340"/>
      <c r="AH390" s="340"/>
      <c r="AI390" s="340"/>
      <c r="AJ390" s="340"/>
      <c r="AK390" s="340"/>
      <c r="AL390" s="340"/>
      <c r="AM390" s="340"/>
      <c r="AN390" s="340"/>
      <c r="AO390" s="340"/>
      <c r="AP390" s="340"/>
      <c r="AQ390" s="340"/>
      <c r="AR390" s="340"/>
      <c r="AS390" s="340"/>
      <c r="AT390" s="340"/>
      <c r="AU390" s="340"/>
      <c r="AV390" s="340"/>
      <c r="AY390" s="340"/>
      <c r="AZ390" s="465">
        <f t="shared" ca="1" si="296"/>
        <v>7.3698599999999999E-5</v>
      </c>
      <c r="BA390" s="464">
        <f t="shared" ca="1" si="297"/>
        <v>2.2109589000000002E-3</v>
      </c>
      <c r="BB390" s="465">
        <f t="shared" ca="1" si="297"/>
        <v>2.2846575E-3</v>
      </c>
      <c r="BC390" s="466">
        <f t="shared" ca="1" si="298"/>
        <v>54483</v>
      </c>
      <c r="BD390" s="467">
        <f t="shared" ca="1" si="311"/>
        <v>54484</v>
      </c>
      <c r="BE390" s="467">
        <f t="shared" ca="1" si="299"/>
        <v>54513</v>
      </c>
      <c r="BF390" s="468">
        <f ca="1">IF(計算!$BC390&lt;OP!$C$3,0,BD390-BC390)</f>
        <v>1</v>
      </c>
      <c r="BG390" s="468">
        <f ca="1">IF($BE390&gt;DATE(YEAR($BD$9)+OP!$C$57,MONTH($BD$9),DAY($BD$9)),0,$BE390-$BD390+1)</f>
        <v>30</v>
      </c>
      <c r="BH390" s="469">
        <f t="shared" ca="1" si="300"/>
        <v>31</v>
      </c>
      <c r="BI390" t="str">
        <f t="shared" si="316"/>
        <v/>
      </c>
      <c r="BJ390">
        <v>9</v>
      </c>
      <c r="BN390" s="468">
        <f t="shared" si="312"/>
        <v>32</v>
      </c>
      <c r="BO390" s="468">
        <f t="shared" si="313"/>
        <v>9</v>
      </c>
      <c r="BP390" s="467">
        <f t="shared" ca="1" si="301"/>
        <v>54484</v>
      </c>
      <c r="BQ390" s="475">
        <f t="shared" ca="1" si="315"/>
        <v>64</v>
      </c>
      <c r="BR390" s="475" t="str">
        <f t="shared" si="314"/>
        <v/>
      </c>
      <c r="BS390" s="471" t="str">
        <f t="shared" si="302"/>
        <v/>
      </c>
      <c r="BT390" s="472" t="str">
        <f t="shared" si="317"/>
        <v/>
      </c>
      <c r="BU390" s="472">
        <f t="shared" ca="1" si="303"/>
        <v>0</v>
      </c>
      <c r="BV390" s="472">
        <f t="shared" ca="1" si="303"/>
        <v>0</v>
      </c>
      <c r="BW390" s="472"/>
      <c r="BX390" s="473">
        <f t="shared" ca="1" si="304"/>
        <v>327763.90692069998</v>
      </c>
      <c r="BY390" s="473">
        <f t="shared" si="305"/>
        <v>0</v>
      </c>
      <c r="BZ390" s="473">
        <f t="shared" ca="1" si="287"/>
        <v>748.82826817600005</v>
      </c>
      <c r="CA390" s="476">
        <f t="shared" ca="1" si="306"/>
        <v>0</v>
      </c>
      <c r="CB390" s="494">
        <f ca="1">IF(OR($Q389&lt;&gt;1,OP!$D$5+$BN390-1&lt;16,$BN390-1&lt;1),0,ROUND(ROUND(ROUND(((VLOOKUP($BN390-1,MORE_PV,5,0)/10000)*VLOOKUP($BN390,MORE_PV,$CB$5,0)),3)*VLOOKUP($BN390,more1,5,0),0)/$R389,0))</f>
        <v>0</v>
      </c>
      <c r="CC390" s="473">
        <f t="shared" ca="1" si="307"/>
        <v>0</v>
      </c>
      <c r="CD390" s="477"/>
    </row>
    <row r="391" spans="2:82" ht="16.5" hidden="1">
      <c r="B391" s="80"/>
      <c r="C391" s="80"/>
      <c r="D391" s="80"/>
      <c r="E391" s="80"/>
      <c r="F391" s="80"/>
      <c r="G391" s="80"/>
      <c r="H391" s="80"/>
      <c r="I391" s="80"/>
      <c r="J391" s="192">
        <f t="shared" si="288"/>
        <v>32</v>
      </c>
      <c r="K391" s="192">
        <f t="shared" si="289"/>
        <v>11</v>
      </c>
      <c r="L391" s="192" t="str">
        <f t="shared" si="284"/>
        <v/>
      </c>
      <c r="M391" s="216">
        <f t="shared" ca="1" si="290"/>
        <v>0</v>
      </c>
      <c r="N391" s="216"/>
      <c r="O391" s="216"/>
      <c r="P391" s="216"/>
      <c r="Q391" s="456" t="str">
        <f t="shared" ca="1" si="291"/>
        <v/>
      </c>
      <c r="R391" s="450">
        <f t="shared" ca="1" si="292"/>
        <v>1</v>
      </c>
      <c r="S391" s="191">
        <f t="shared" si="293"/>
        <v>32</v>
      </c>
      <c r="T391" s="191">
        <f t="shared" si="294"/>
        <v>11</v>
      </c>
      <c r="U391" s="191">
        <f ca="1">OP!$D$5+$S391-1</f>
        <v>64</v>
      </c>
      <c r="V391" s="191" t="str">
        <f t="shared" si="295"/>
        <v/>
      </c>
      <c r="W391" s="350">
        <f ca="1">IF(Q391&lt;&gt;1,0,VLOOKUP(OP!$C$55,PVFB,$S391+2,0))</f>
        <v>0</v>
      </c>
      <c r="X391" s="473">
        <f t="shared" ca="1" si="308"/>
        <v>0</v>
      </c>
      <c r="Y391" s="348">
        <f t="shared" ca="1" si="309"/>
        <v>0</v>
      </c>
      <c r="Z391" s="348">
        <f t="shared" ca="1" si="310"/>
        <v>8012</v>
      </c>
      <c r="AA391" s="348">
        <f ca="1">IF(Q391&lt;&gt;1,0,VLOOKUP(OP!$C$55,PVFB,$S391+2,0))</f>
        <v>0</v>
      </c>
      <c r="AB391" s="488" t="str">
        <f ca="1">IF(AND(S391&lt;OP!$C$24,$U391&lt;15),0,IF(AND($U391&lt;15,$T391=12),ROUND(VLOOKUP($S391,DOWN16,5,0),3),IF($T391=12,ROUND(($Z391/10000)*$AA391,3)+IF(AND($P$7="購買增額繳清保險",T391=12,U391=110),VLOOKUP(S391,$B$10:$H$121,7,0),0),"")))</f>
        <v/>
      </c>
      <c r="AC391" s="350" t="str">
        <f ca="1">IF(AND(S391&lt;OP!$C$24,$U391&lt;15),0,IF(AND($U391&lt;16,$T391=12),VLOOKUP($S391,DOWN16,4,0),IF($T391=12,ROUND(VLOOKUP(OP!$C$55,_DIE2,$S391+1,0)*(Z391/10000),0)+IF(AND($P$7="購買增額繳清保險",T391=12,U391=110),VLOOKUP(S391,$B$10:$H$121,7,0),0),"")))</f>
        <v/>
      </c>
      <c r="AD391" s="347"/>
      <c r="AE391" s="350" t="str">
        <f t="shared" ca="1" si="285"/>
        <v/>
      </c>
      <c r="AF391" s="351" t="str">
        <f t="shared" ca="1" si="286"/>
        <v/>
      </c>
      <c r="AG391" s="340"/>
      <c r="AH391" s="340"/>
      <c r="AI391" s="340"/>
      <c r="AJ391" s="340"/>
      <c r="AK391" s="340"/>
      <c r="AL391" s="340"/>
      <c r="AM391" s="340"/>
      <c r="AN391" s="340"/>
      <c r="AO391" s="340"/>
      <c r="AP391" s="340"/>
      <c r="AQ391" s="340"/>
      <c r="AR391" s="340"/>
      <c r="AS391" s="340"/>
      <c r="AT391" s="340"/>
      <c r="AU391" s="340"/>
      <c r="AV391" s="340"/>
      <c r="AY391" s="340"/>
      <c r="AZ391" s="465">
        <f t="shared" ca="1" si="296"/>
        <v>7.3698599999999999E-5</v>
      </c>
      <c r="BA391" s="464">
        <f t="shared" ca="1" si="297"/>
        <v>2.1372602999999999E-3</v>
      </c>
      <c r="BB391" s="465">
        <f t="shared" ca="1" si="297"/>
        <v>2.2109589000000002E-3</v>
      </c>
      <c r="BC391" s="466">
        <f t="shared" ca="1" si="298"/>
        <v>54514</v>
      </c>
      <c r="BD391" s="467">
        <f t="shared" ca="1" si="311"/>
        <v>54515</v>
      </c>
      <c r="BE391" s="467">
        <f t="shared" ca="1" si="299"/>
        <v>54543</v>
      </c>
      <c r="BF391" s="468">
        <f ca="1">IF(計算!$BC391&lt;OP!$C$3,0,BD391-BC391)</f>
        <v>1</v>
      </c>
      <c r="BG391" s="468">
        <f ca="1">IF($BE391&gt;DATE(YEAR($BD$9)+OP!$C$57,MONTH($BD$9),DAY($BD$9)),0,$BE391-$BD391+1)</f>
        <v>29</v>
      </c>
      <c r="BH391" s="469">
        <f t="shared" ca="1" si="300"/>
        <v>30</v>
      </c>
      <c r="BI391" t="str">
        <f t="shared" si="316"/>
        <v/>
      </c>
      <c r="BJ391">
        <v>10</v>
      </c>
      <c r="BN391" s="468">
        <f t="shared" si="312"/>
        <v>32</v>
      </c>
      <c r="BO391" s="468">
        <f t="shared" si="313"/>
        <v>10</v>
      </c>
      <c r="BP391" s="467">
        <f t="shared" ca="1" si="301"/>
        <v>54515</v>
      </c>
      <c r="BQ391" s="475">
        <f t="shared" ca="1" si="315"/>
        <v>64</v>
      </c>
      <c r="BR391" s="475" t="str">
        <f t="shared" si="314"/>
        <v/>
      </c>
      <c r="BS391" s="471" t="str">
        <f t="shared" si="302"/>
        <v/>
      </c>
      <c r="BT391" s="472" t="str">
        <f t="shared" si="317"/>
        <v/>
      </c>
      <c r="BU391" s="472">
        <f t="shared" ca="1" si="303"/>
        <v>0</v>
      </c>
      <c r="BV391" s="472">
        <f t="shared" ca="1" si="303"/>
        <v>0</v>
      </c>
      <c r="BW391" s="472"/>
      <c r="BX391" s="473">
        <f t="shared" ca="1" si="304"/>
        <v>328512.73518887599</v>
      </c>
      <c r="BY391" s="473">
        <f t="shared" si="305"/>
        <v>0</v>
      </c>
      <c r="BZ391" s="473">
        <f t="shared" ca="1" si="287"/>
        <v>726.32815562899998</v>
      </c>
      <c r="CA391" s="476">
        <f t="shared" ca="1" si="306"/>
        <v>0</v>
      </c>
      <c r="CB391" s="494">
        <f ca="1">IF(OR($Q390&lt;&gt;1,OP!$D$5+$BN391-1&lt;16,$BN391-1&lt;1),0,ROUND(ROUND(ROUND(((VLOOKUP($BN391-1,MORE_PV,5,0)/10000)*VLOOKUP($BN391,MORE_PV,$CB$5,0)),3)*VLOOKUP($BN391,more1,5,0),0)/$R390,0))</f>
        <v>0</v>
      </c>
      <c r="CC391" s="473">
        <f t="shared" ca="1" si="307"/>
        <v>0</v>
      </c>
      <c r="CD391" s="477"/>
    </row>
    <row r="392" spans="2:82" ht="16.5" hidden="1">
      <c r="B392" s="80"/>
      <c r="C392" s="80"/>
      <c r="D392" s="80"/>
      <c r="E392" s="80"/>
      <c r="F392" s="80"/>
      <c r="G392" s="80"/>
      <c r="H392" s="80"/>
      <c r="I392" s="80"/>
      <c r="J392" s="192">
        <f t="shared" si="288"/>
        <v>32</v>
      </c>
      <c r="K392" s="192">
        <f t="shared" si="289"/>
        <v>12</v>
      </c>
      <c r="L392" s="192">
        <f t="shared" si="284"/>
        <v>32</v>
      </c>
      <c r="M392" s="216">
        <f t="shared" ca="1" si="290"/>
        <v>342039</v>
      </c>
      <c r="N392" s="216"/>
      <c r="O392" s="216"/>
      <c r="P392" s="216"/>
      <c r="Q392" s="456">
        <f t="shared" ca="1" si="291"/>
        <v>1</v>
      </c>
      <c r="R392" s="450">
        <f t="shared" ca="1" si="292"/>
        <v>1</v>
      </c>
      <c r="S392" s="191">
        <f t="shared" si="293"/>
        <v>32</v>
      </c>
      <c r="T392" s="191">
        <f t="shared" si="294"/>
        <v>12</v>
      </c>
      <c r="U392" s="191">
        <f ca="1">OP!$D$5+$S392-1</f>
        <v>64</v>
      </c>
      <c r="V392" s="191">
        <f t="shared" si="295"/>
        <v>32</v>
      </c>
      <c r="W392" s="350">
        <f ca="1">IF(Q392&lt;&gt;1,0,VLOOKUP(OP!$C$55,PVFB,$S392+2,0))</f>
        <v>50068</v>
      </c>
      <c r="X392" s="473">
        <f t="shared" ca="1" si="308"/>
        <v>12023</v>
      </c>
      <c r="Y392" s="348">
        <f t="shared" ca="1" si="309"/>
        <v>0</v>
      </c>
      <c r="Z392" s="348">
        <f t="shared" ca="1" si="310"/>
        <v>8012</v>
      </c>
      <c r="AA392" s="348">
        <f ca="1">IF(Q392&lt;&gt;1,0,VLOOKUP(OP!$C$55,PVFB,$S392+2,0))</f>
        <v>50068</v>
      </c>
      <c r="AB392" s="488">
        <f ca="1">IF(AND(S392&lt;OP!$C$24,$U392&lt;15),0,IF(AND($U392&lt;15,$T392=12),ROUND(VLOOKUP($S392,DOWN16,5,0),3),IF($T392=12,ROUND(($Z392/10000)*$AA392,3)+IF(AND($P$7="購買增額繳清保險",T392=12,U392=110),VLOOKUP(S392,$B$10:$H$121,7,0),0),"")))</f>
        <v>40114.482000000004</v>
      </c>
      <c r="AC392" s="350">
        <f ca="1">IF(AND(S392&lt;OP!$C$24,$U392&lt;15),0,IF(AND($U392&lt;16,$T392=12),VLOOKUP($S392,DOWN16,4,0),IF($T392=12,ROUND(VLOOKUP(OP!$C$55,_DIE2,$S392+1,0)*(Z392/10000),0)+IF(AND($P$7="購買增額繳清保險",T392=12,U392=110),VLOOKUP(S392,$B$10:$H$121,7,0),0),"")))</f>
        <v>40114</v>
      </c>
      <c r="AD392" s="347"/>
      <c r="AE392" s="350" t="str">
        <f t="shared" ca="1" si="285"/>
        <v/>
      </c>
      <c r="AF392" s="351" t="str">
        <f t="shared" ca="1" si="286"/>
        <v/>
      </c>
      <c r="AG392" s="340"/>
      <c r="AH392" s="340"/>
      <c r="AI392" s="340"/>
      <c r="AJ392" s="340"/>
      <c r="AK392" s="340"/>
      <c r="AL392" s="340"/>
      <c r="AM392" s="340"/>
      <c r="AN392" s="340"/>
      <c r="AO392" s="340"/>
      <c r="AP392" s="340"/>
      <c r="AQ392" s="340"/>
      <c r="AR392" s="340"/>
      <c r="AS392" s="340"/>
      <c r="AT392" s="340"/>
      <c r="AU392" s="340"/>
      <c r="AV392" s="340"/>
      <c r="AY392" s="340"/>
      <c r="AZ392" s="465">
        <f t="shared" ca="1" si="296"/>
        <v>7.3698599999999999E-5</v>
      </c>
      <c r="BA392" s="464">
        <f t="shared" ca="1" si="297"/>
        <v>2.2109589000000002E-3</v>
      </c>
      <c r="BB392" s="465">
        <f t="shared" ca="1" si="297"/>
        <v>2.2846575E-3</v>
      </c>
      <c r="BC392" s="466">
        <f t="shared" ca="1" si="298"/>
        <v>54544</v>
      </c>
      <c r="BD392" s="467">
        <f t="shared" ca="1" si="311"/>
        <v>54545</v>
      </c>
      <c r="BE392" s="467">
        <f t="shared" ca="1" si="299"/>
        <v>54574</v>
      </c>
      <c r="BF392" s="468">
        <f ca="1">IF(計算!$BC392&lt;OP!$C$3,0,BD392-BC392)</f>
        <v>1</v>
      </c>
      <c r="BG392" s="468">
        <f ca="1">IF($BE392&gt;DATE(YEAR($BD$9)+OP!$C$57,MONTH($BD$9),DAY($BD$9)),0,$BE392-$BD392+1)</f>
        <v>30</v>
      </c>
      <c r="BH392" s="469">
        <f t="shared" ca="1" si="300"/>
        <v>31</v>
      </c>
      <c r="BI392" t="str">
        <f t="shared" si="316"/>
        <v/>
      </c>
      <c r="BJ392">
        <v>11</v>
      </c>
      <c r="BN392" s="468">
        <f t="shared" si="312"/>
        <v>32</v>
      </c>
      <c r="BO392" s="468">
        <f t="shared" si="313"/>
        <v>11</v>
      </c>
      <c r="BP392" s="467">
        <f t="shared" ca="1" si="301"/>
        <v>54545</v>
      </c>
      <c r="BQ392" s="475">
        <f t="shared" ca="1" si="315"/>
        <v>64</v>
      </c>
      <c r="BR392" s="475" t="str">
        <f t="shared" si="314"/>
        <v/>
      </c>
      <c r="BS392" s="471" t="str">
        <f t="shared" si="302"/>
        <v/>
      </c>
      <c r="BT392" s="472" t="str">
        <f t="shared" si="317"/>
        <v/>
      </c>
      <c r="BU392" s="472">
        <f t="shared" ca="1" si="303"/>
        <v>0</v>
      </c>
      <c r="BV392" s="472">
        <f t="shared" ca="1" si="303"/>
        <v>0</v>
      </c>
      <c r="BW392" s="472"/>
      <c r="BX392" s="473">
        <f t="shared" ca="1" si="304"/>
        <v>329239.06334450498</v>
      </c>
      <c r="BY392" s="473">
        <f t="shared" si="305"/>
        <v>0</v>
      </c>
      <c r="BZ392" s="473">
        <f t="shared" ca="1" si="287"/>
        <v>752.19849536300001</v>
      </c>
      <c r="CA392" s="476">
        <f t="shared" ca="1" si="306"/>
        <v>0</v>
      </c>
      <c r="CB392" s="494">
        <f ca="1">IF(OR($Q391&lt;&gt;1,OP!$D$5+$BN392-1&lt;16,$BN392-1&lt;1),0,ROUND(ROUND(ROUND(((VLOOKUP($BN392-1,MORE_PV,5,0)/10000)*VLOOKUP($BN392,MORE_PV,$CB$5,0)),3)*VLOOKUP($BN392,more1,5,0),0)/$R391,0))</f>
        <v>0</v>
      </c>
      <c r="CC392" s="473">
        <f t="shared" ca="1" si="307"/>
        <v>0</v>
      </c>
      <c r="CD392" s="477"/>
    </row>
    <row r="393" spans="2:82" ht="16.5" hidden="1">
      <c r="B393" s="80"/>
      <c r="C393" s="80"/>
      <c r="D393" s="80"/>
      <c r="E393" s="80"/>
      <c r="F393" s="80"/>
      <c r="G393" s="80"/>
      <c r="H393" s="80"/>
      <c r="I393" s="80"/>
      <c r="J393" s="192">
        <f t="shared" si="288"/>
        <v>33</v>
      </c>
      <c r="K393" s="192">
        <f t="shared" si="289"/>
        <v>1</v>
      </c>
      <c r="L393" s="192" t="str">
        <f t="shared" ref="L393:L456" si="318">IF($K393=12,$J393,"")</f>
        <v/>
      </c>
      <c r="M393" s="216">
        <f t="shared" ca="1" si="290"/>
        <v>0</v>
      </c>
      <c r="N393" s="216"/>
      <c r="O393" s="216"/>
      <c r="P393" s="216"/>
      <c r="Q393" s="456" t="str">
        <f t="shared" ca="1" si="291"/>
        <v/>
      </c>
      <c r="R393" s="450">
        <f t="shared" ca="1" si="292"/>
        <v>1</v>
      </c>
      <c r="S393" s="191">
        <f t="shared" si="293"/>
        <v>33</v>
      </c>
      <c r="T393" s="191">
        <f t="shared" si="294"/>
        <v>1</v>
      </c>
      <c r="U393" s="191">
        <f ca="1">OP!$D$5+$S393-1</f>
        <v>65</v>
      </c>
      <c r="V393" s="191" t="str">
        <f t="shared" si="295"/>
        <v/>
      </c>
      <c r="W393" s="350">
        <f ca="1">IF(Q393&lt;&gt;1,0,VLOOKUP(OP!$C$55,PVFB,$S393+2,0))</f>
        <v>0</v>
      </c>
      <c r="X393" s="473">
        <f t="shared" ca="1" si="308"/>
        <v>0</v>
      </c>
      <c r="Y393" s="348">
        <f t="shared" ca="1" si="309"/>
        <v>0</v>
      </c>
      <c r="Z393" s="348">
        <f t="shared" ca="1" si="310"/>
        <v>8012</v>
      </c>
      <c r="AA393" s="348">
        <f ca="1">IF(Q393&lt;&gt;1,0,VLOOKUP(OP!$C$55,PVFB,$S393+2,0))</f>
        <v>0</v>
      </c>
      <c r="AB393" s="488" t="str">
        <f ca="1">IF(AND(S393&lt;OP!$C$24,$U393&lt;15),0,IF(AND($U393&lt;15,$T393=12),ROUND(VLOOKUP($S393,DOWN16,5,0),3),IF($T393=12,ROUND(($Z393/10000)*$AA393,3)+IF(AND($P$7="購買增額繳清保險",T393=12,U393=110),VLOOKUP(S393,$B$10:$H$121,7,0),0),"")))</f>
        <v/>
      </c>
      <c r="AC393" s="350" t="str">
        <f ca="1">IF(AND(S393&lt;OP!$C$24,$U393&lt;15),0,IF(AND($U393&lt;16,$T393=12),VLOOKUP($S393,DOWN16,4,0),IF($T393=12,ROUND(VLOOKUP(OP!$C$55,_DIE2,$S393+1,0)*(Z393/10000),0)+IF(AND($P$7="購買增額繳清保險",T393=12,U393=110),VLOOKUP(S393,$B$10:$H$121,7,0),0),"")))</f>
        <v/>
      </c>
      <c r="AD393" s="347"/>
      <c r="AE393" s="350" t="str">
        <f t="shared" ref="AE393:AE456" ca="1" si="319">IF(AND($U$9&lt;16,$T393=12),VLOOKUP($S393,DOWN16,4,0),"")</f>
        <v/>
      </c>
      <c r="AF393" s="351" t="str">
        <f t="shared" ref="AF393:AF456" ca="1" si="320">IF(AND($U$9&lt;16,$T393=12),VLOOKUP($S393,DOWN16,5,0),"")</f>
        <v/>
      </c>
      <c r="AG393" s="340"/>
      <c r="AH393" s="340"/>
      <c r="AI393" s="340"/>
      <c r="AJ393" s="340"/>
      <c r="AK393" s="340"/>
      <c r="AL393" s="340"/>
      <c r="AM393" s="340"/>
      <c r="AN393" s="340"/>
      <c r="AO393" s="340"/>
      <c r="AP393" s="340"/>
      <c r="AQ393" s="340"/>
      <c r="AR393" s="340"/>
      <c r="AS393" s="340"/>
      <c r="AT393" s="340"/>
      <c r="AU393" s="340"/>
      <c r="AV393" s="340"/>
      <c r="AY393" s="340"/>
      <c r="AZ393" s="465">
        <f t="shared" ca="1" si="296"/>
        <v>7.3698599999999999E-5</v>
      </c>
      <c r="BA393" s="464">
        <f t="shared" ca="1" si="297"/>
        <v>2.1372602999999999E-3</v>
      </c>
      <c r="BB393" s="465">
        <f t="shared" ca="1" si="297"/>
        <v>2.2109589000000002E-3</v>
      </c>
      <c r="BC393" s="466">
        <f t="shared" ca="1" si="298"/>
        <v>54575</v>
      </c>
      <c r="BD393" s="467">
        <f t="shared" ca="1" si="311"/>
        <v>54576</v>
      </c>
      <c r="BE393" s="467">
        <f t="shared" ca="1" si="299"/>
        <v>54604</v>
      </c>
      <c r="BF393" s="468">
        <f ca="1">IF(計算!$BC393&lt;OP!$C$3,0,BD393-BC393)</f>
        <v>1</v>
      </c>
      <c r="BG393" s="468">
        <f ca="1">IF($BE393&gt;DATE(YEAR($BD$9)+OP!$C$57,MONTH($BD$9),DAY($BD$9)),0,$BE393-$BD393+1)</f>
        <v>29</v>
      </c>
      <c r="BH393" s="469">
        <f t="shared" ca="1" si="300"/>
        <v>30</v>
      </c>
      <c r="BI393">
        <f t="shared" ca="1" si="316"/>
        <v>365</v>
      </c>
      <c r="BJ393">
        <v>12</v>
      </c>
      <c r="BN393" s="468">
        <f t="shared" si="312"/>
        <v>32</v>
      </c>
      <c r="BO393" s="468">
        <f t="shared" si="313"/>
        <v>12</v>
      </c>
      <c r="BP393" s="467">
        <f t="shared" ca="1" si="301"/>
        <v>54576</v>
      </c>
      <c r="BQ393" s="475">
        <f t="shared" ca="1" si="315"/>
        <v>64</v>
      </c>
      <c r="BR393" s="475">
        <f t="shared" si="314"/>
        <v>32</v>
      </c>
      <c r="BS393" s="471">
        <f t="shared" ca="1" si="302"/>
        <v>12023</v>
      </c>
      <c r="BT393" s="472">
        <f t="shared" ca="1" si="317"/>
        <v>342039</v>
      </c>
      <c r="BU393" s="472">
        <f t="shared" ca="1" si="303"/>
        <v>11746</v>
      </c>
      <c r="BV393" s="472">
        <f t="shared" ca="1" si="303"/>
        <v>277</v>
      </c>
      <c r="BW393" s="472">
        <f ca="1">ROUND(SUM(BY393,BZ381:BZ392),0)</f>
        <v>8749</v>
      </c>
      <c r="BX393" s="473">
        <f t="shared" ca="1" si="304"/>
        <v>342038.581733878</v>
      </c>
      <c r="BY393" s="473">
        <f t="shared" ca="1" si="305"/>
        <v>24.319894009999999</v>
      </c>
      <c r="BZ393" s="473">
        <f t="shared" ref="BZ393:BZ456" ca="1" si="321">ROUND(BX393*IF(BO393=12,$BA393,$BB393),$CB$6)</f>
        <v>731.02548180799999</v>
      </c>
      <c r="CA393" s="476">
        <f t="shared" ca="1" si="306"/>
        <v>11746</v>
      </c>
      <c r="CB393" s="494">
        <f ca="1">IF(OR($Q392&lt;&gt;1,OP!$D$5+$BN393-1&lt;16,$BN393-1&lt;1),0,ROUND(ROUND(ROUND(((VLOOKUP($BN393-1,MORE_PV,5,0)/10000)*VLOOKUP($BN393,MORE_PV,$CB$5,0)),3)*VLOOKUP($BN393,more1,5,0),0)/$R392,0))</f>
        <v>277</v>
      </c>
      <c r="CC393" s="473">
        <f t="shared" ca="1" si="307"/>
        <v>0</v>
      </c>
      <c r="CD393" s="477"/>
    </row>
    <row r="394" spans="2:82" ht="16.5" hidden="1">
      <c r="B394" s="80"/>
      <c r="C394" s="80"/>
      <c r="D394" s="80"/>
      <c r="E394" s="80"/>
      <c r="F394" s="80"/>
      <c r="G394" s="80"/>
      <c r="H394" s="80"/>
      <c r="I394" s="80"/>
      <c r="J394" s="192">
        <f t="shared" ref="J394:J457" si="322">IF(K393=12,J393+1,J393)</f>
        <v>33</v>
      </c>
      <c r="K394" s="192">
        <f t="shared" ref="K394:K457" si="323">IF(K393=12,1,K393+1)</f>
        <v>2</v>
      </c>
      <c r="L394" s="192" t="str">
        <f t="shared" si="318"/>
        <v/>
      </c>
      <c r="M394" s="216">
        <f t="shared" ref="M394:M457" ca="1" si="324">IF($Q394=1,VLOOKUP(L394,$BR$9:$BT$1341,3,0),0)</f>
        <v>0</v>
      </c>
      <c r="N394" s="216"/>
      <c r="O394" s="216"/>
      <c r="P394" s="216"/>
      <c r="Q394" s="456" t="str">
        <f t="shared" ref="Q394:Q457" ca="1" si="325">IF(OR($U394&gt;=$I$5,AND($G$5=1,$K394=12),AND($G$5=2,OR($K394=6,$K394=12)),AND($G$5=4,OR($K394=3,$K394=6,$K394=9,$K394=12)),$G$5=12),1,"")</f>
        <v/>
      </c>
      <c r="R394" s="450">
        <f t="shared" ref="R394:R457" ca="1" si="326">IF($U394&lt;$I$5,$G$5,$I$6)</f>
        <v>1</v>
      </c>
      <c r="S394" s="191">
        <f t="shared" ref="S394:S457" si="327">IF(T393=12,S393+1,S393)</f>
        <v>33</v>
      </c>
      <c r="T394" s="191">
        <f t="shared" ref="T394:T457" si="328">IF(T393=12,1,T393+1)</f>
        <v>2</v>
      </c>
      <c r="U394" s="191">
        <f ca="1">OP!$D$5+$S394-1</f>
        <v>65</v>
      </c>
      <c r="V394" s="191" t="str">
        <f t="shared" ref="V394:V457" si="329">IF($T394=12,$S394,"")</f>
        <v/>
      </c>
      <c r="W394" s="350">
        <f ca="1">IF(Q394&lt;&gt;1,0,VLOOKUP(OP!$C$55,PVFB,$S394+2,0))</f>
        <v>0</v>
      </c>
      <c r="X394" s="473">
        <f t="shared" ca="1" si="308"/>
        <v>0</v>
      </c>
      <c r="Y394" s="348">
        <f t="shared" ca="1" si="309"/>
        <v>0</v>
      </c>
      <c r="Z394" s="348">
        <f t="shared" ca="1" si="310"/>
        <v>8012</v>
      </c>
      <c r="AA394" s="348">
        <f ca="1">IF(Q394&lt;&gt;1,0,VLOOKUP(OP!$C$55,PVFB,$S394+2,0))</f>
        <v>0</v>
      </c>
      <c r="AB394" s="488" t="str">
        <f ca="1">IF(AND(S394&lt;OP!$C$24,$U394&lt;15),0,IF(AND($U394&lt;15,$T394=12),ROUND(VLOOKUP($S394,DOWN16,5,0),3),IF($T394=12,ROUND(($Z394/10000)*$AA394,3)+IF(AND($P$7="購買增額繳清保險",T394=12,U394=110),VLOOKUP(S394,$B$10:$H$121,7,0),0),"")))</f>
        <v/>
      </c>
      <c r="AC394" s="350" t="str">
        <f ca="1">IF(AND(S394&lt;OP!$C$24,$U394&lt;15),0,IF(AND($U394&lt;16,$T394=12),VLOOKUP($S394,DOWN16,4,0),IF($T394=12,ROUND(VLOOKUP(OP!$C$55,_DIE2,$S394+1,0)*(Z394/10000),0)+IF(AND($P$7="購買增額繳清保險",T394=12,U394=110),VLOOKUP(S394,$B$10:$H$121,7,0),0),"")))</f>
        <v/>
      </c>
      <c r="AD394" s="347"/>
      <c r="AE394" s="350" t="str">
        <f t="shared" ca="1" si="319"/>
        <v/>
      </c>
      <c r="AF394" s="351" t="str">
        <f t="shared" ca="1" si="320"/>
        <v/>
      </c>
      <c r="AG394" s="340"/>
      <c r="AH394" s="340"/>
      <c r="AI394" s="340"/>
      <c r="AJ394" s="340"/>
      <c r="AK394" s="340"/>
      <c r="AL394" s="340"/>
      <c r="AM394" s="340"/>
      <c r="AN394" s="340"/>
      <c r="AO394" s="340"/>
      <c r="AP394" s="340"/>
      <c r="AQ394" s="340"/>
      <c r="AR394" s="340"/>
      <c r="AS394" s="340"/>
      <c r="AT394" s="340"/>
      <c r="AU394" s="340"/>
      <c r="AV394" s="340"/>
      <c r="AY394" s="340"/>
      <c r="AZ394" s="465">
        <f t="shared" ref="AZ394:AZ457" ca="1" si="330">ROUND(($G$3*BF394/365),10)</f>
        <v>7.3698599999999999E-5</v>
      </c>
      <c r="BA394" s="464">
        <f t="shared" ref="BA394:BB457" ca="1" si="331">ROUND(($G$3*BG394/365),10)</f>
        <v>2.2109589000000002E-3</v>
      </c>
      <c r="BB394" s="465">
        <f t="shared" ca="1" si="331"/>
        <v>2.2846575E-3</v>
      </c>
      <c r="BC394" s="466">
        <f t="shared" ref="BC394:BC457" ca="1" si="332">DATE(YEAR(BD394),MONTH(BD394),1)</f>
        <v>54605</v>
      </c>
      <c r="BD394" s="467">
        <f t="shared" ca="1" si="311"/>
        <v>54606</v>
      </c>
      <c r="BE394" s="467">
        <f t="shared" ref="BE394:BE457" ca="1" si="333">DATE(YEAR(BD394),MONTH(BD394),DAY(DATE(YEAR(BD394),MONTH(BD394)+1,0)))</f>
        <v>54635</v>
      </c>
      <c r="BF394" s="468">
        <f ca="1">IF(計算!$BC394&lt;OP!$C$3,0,BD394-BC394)</f>
        <v>1</v>
      </c>
      <c r="BG394" s="468">
        <f ca="1">IF($BE394&gt;DATE(YEAR($BD$9)+OP!$C$57,MONTH($BD$9),DAY($BD$9)),0,$BE394-$BD394+1)</f>
        <v>30</v>
      </c>
      <c r="BH394" s="469">
        <f t="shared" ref="BH394:BH457" ca="1" si="334">BF394+BG394</f>
        <v>31</v>
      </c>
      <c r="BI394" t="str">
        <f t="shared" si="316"/>
        <v/>
      </c>
      <c r="BJ394">
        <v>1</v>
      </c>
      <c r="BN394" s="468">
        <f t="shared" si="312"/>
        <v>33</v>
      </c>
      <c r="BO394" s="468">
        <f t="shared" si="313"/>
        <v>1</v>
      </c>
      <c r="BP394" s="467">
        <f t="shared" ref="BP394:BP457" ca="1" si="335">BD394</f>
        <v>54606</v>
      </c>
      <c r="BQ394" s="475">
        <f t="shared" ca="1" si="315"/>
        <v>65</v>
      </c>
      <c r="BR394" s="475" t="str">
        <f t="shared" si="314"/>
        <v/>
      </c>
      <c r="BS394" s="471" t="str">
        <f t="shared" ref="BS394:BS457" si="336">IF(BW394&lt;&gt;"",ROUND(BU394,0)+ROUND(BV394,0),"")</f>
        <v/>
      </c>
      <c r="BT394" s="472" t="str">
        <f t="shared" si="317"/>
        <v/>
      </c>
      <c r="BU394" s="472">
        <f t="shared" ref="BU394:BV457" ca="1" si="337">ROUND(CA394,0)</f>
        <v>0</v>
      </c>
      <c r="BV394" s="472">
        <f t="shared" ca="1" si="337"/>
        <v>0</v>
      </c>
      <c r="BW394" s="472"/>
      <c r="BX394" s="473">
        <f t="shared" ref="BX394:BX457" ca="1" si="338">IF(BN394&lt;=$P$4,0,ROUNDDOWN(IF($Q393=1,CA394+CB394-CC394,0)+BX393+BY394+BZ393,VLOOKUP(LEN(ROUNDDOWN(IF($Q393=1,CA394+CB394-CC394,0)+BX393+BY394+BZ393,0)),$BK$9:$BL$24,2,0)))</f>
        <v>342769.607215686</v>
      </c>
      <c r="BY394" s="473">
        <f t="shared" ref="BY394:BY457" si="339">IF(BO394=12,ROUND((BX393+BZ393)*$AZ394,$CB$6),0)</f>
        <v>0</v>
      </c>
      <c r="BZ394" s="473">
        <f t="shared" ca="1" si="321"/>
        <v>783.11115389700001</v>
      </c>
      <c r="CA394" s="476">
        <f t="shared" ref="CA394:CA457" ca="1" si="340">IF($Q393=1,ROUND(VLOOKUP($BN394,more1,3,0)*VLOOKUP($BN394,more1,5,0)/$R393,0),0)</f>
        <v>0</v>
      </c>
      <c r="CB394" s="494">
        <f ca="1">IF(OR($Q393&lt;&gt;1,OP!$D$5+$BN394-1&lt;16,$BN394-1&lt;1),0,ROUND(ROUND(ROUND(((VLOOKUP($BN394-1,MORE_PV,5,0)/10000)*VLOOKUP($BN394,MORE_PV,$CB$5,0)),3)*VLOOKUP($BN394,more1,5,0),0)/$R393,0))</f>
        <v>0</v>
      </c>
      <c r="CC394" s="473">
        <f t="shared" ref="CC394:CC457" ca="1" si="341">IF(AND($BN394=$P$4,$BO394=12),$CA394+$CB394,IF(AND($BN394&gt;$P$4,$Q393=1,$G$6="現金給付",$CA394+$CB394&gt;=$P$3),$CA394+$CB394,0))</f>
        <v>0</v>
      </c>
      <c r="CD394" s="477"/>
    </row>
    <row r="395" spans="2:82" ht="16.5" hidden="1">
      <c r="B395" s="80"/>
      <c r="C395" s="80"/>
      <c r="D395" s="80"/>
      <c r="E395" s="80"/>
      <c r="F395" s="80"/>
      <c r="G395" s="80"/>
      <c r="H395" s="80"/>
      <c r="I395" s="80"/>
      <c r="J395" s="192">
        <f t="shared" si="322"/>
        <v>33</v>
      </c>
      <c r="K395" s="192">
        <f t="shared" si="323"/>
        <v>3</v>
      </c>
      <c r="L395" s="192" t="str">
        <f t="shared" si="318"/>
        <v/>
      </c>
      <c r="M395" s="216">
        <f t="shared" ca="1" si="324"/>
        <v>0</v>
      </c>
      <c r="N395" s="216"/>
      <c r="O395" s="216"/>
      <c r="P395" s="216"/>
      <c r="Q395" s="456" t="str">
        <f t="shared" ca="1" si="325"/>
        <v/>
      </c>
      <c r="R395" s="450">
        <f t="shared" ca="1" si="326"/>
        <v>1</v>
      </c>
      <c r="S395" s="191">
        <f t="shared" si="327"/>
        <v>33</v>
      </c>
      <c r="T395" s="191">
        <f t="shared" si="328"/>
        <v>3</v>
      </c>
      <c r="U395" s="191">
        <f ca="1">OP!$D$5+$S395-1</f>
        <v>65</v>
      </c>
      <c r="V395" s="191" t="str">
        <f t="shared" si="329"/>
        <v/>
      </c>
      <c r="W395" s="350">
        <f ca="1">IF(Q395&lt;&gt;1,0,VLOOKUP(OP!$C$55,PVFB,$S395+2,0))</f>
        <v>0</v>
      </c>
      <c r="X395" s="473">
        <f t="shared" ref="X395:X458" ca="1" si="342">IF(AND($U395=15,$T395=12),$CO396,IF(AND($U395&gt;15,$S395&lt;=$P$4,$T395=12),($BS396)*$R395,IF($Q395=1,($BS396),0)))</f>
        <v>0</v>
      </c>
      <c r="Y395" s="348">
        <f t="shared" ref="Y395:Y458" ca="1" si="343">IF(AND($P$7="購買增額繳清保險",U395&gt;=110),0,IF(AND($U395=15,$W395&lt;&gt;0,$T395=12),ROUND(($X395)/($W395/10000),0),IF(AND($S395&lt;=$P$4,$W395&lt;&gt;0,$T395=12,$U395&gt;15),ROUND(($X395)/($W395/10000),0),0)))</f>
        <v>0</v>
      </c>
      <c r="Z395" s="348">
        <f t="shared" ref="Z395:Z458" ca="1" si="344">Z394+Y395</f>
        <v>8012</v>
      </c>
      <c r="AA395" s="348">
        <f ca="1">IF(Q395&lt;&gt;1,0,VLOOKUP(OP!$C$55,PVFB,$S395+2,0))</f>
        <v>0</v>
      </c>
      <c r="AB395" s="488" t="str">
        <f ca="1">IF(AND(S395&lt;OP!$C$24,$U395&lt;15),0,IF(AND($U395&lt;15,$T395=12),ROUND(VLOOKUP($S395,DOWN16,5,0),3),IF($T395=12,ROUND(($Z395/10000)*$AA395,3)+IF(AND($P$7="購買增額繳清保險",T395=12,U395=110),VLOOKUP(S395,$B$10:$H$121,7,0),0),"")))</f>
        <v/>
      </c>
      <c r="AC395" s="350" t="str">
        <f ca="1">IF(AND(S395&lt;OP!$C$24,$U395&lt;15),0,IF(AND($U395&lt;16,$T395=12),VLOOKUP($S395,DOWN16,4,0),IF($T395=12,ROUND(VLOOKUP(OP!$C$55,_DIE2,$S395+1,0)*(Z395/10000),0)+IF(AND($P$7="購買增額繳清保險",T395=12,U395=110),VLOOKUP(S395,$B$10:$H$121,7,0),0),"")))</f>
        <v/>
      </c>
      <c r="AD395" s="347"/>
      <c r="AE395" s="350" t="str">
        <f t="shared" ca="1" si="319"/>
        <v/>
      </c>
      <c r="AF395" s="351" t="str">
        <f t="shared" ca="1" si="320"/>
        <v/>
      </c>
      <c r="AG395" s="340"/>
      <c r="AH395" s="340"/>
      <c r="AI395" s="340"/>
      <c r="AJ395" s="340"/>
      <c r="AK395" s="340"/>
      <c r="AL395" s="340"/>
      <c r="AM395" s="340"/>
      <c r="AN395" s="340"/>
      <c r="AO395" s="340"/>
      <c r="AP395" s="340"/>
      <c r="AQ395" s="340"/>
      <c r="AR395" s="340"/>
      <c r="AS395" s="340"/>
      <c r="AT395" s="340"/>
      <c r="AU395" s="340"/>
      <c r="AV395" s="340"/>
      <c r="AY395" s="340"/>
      <c r="AZ395" s="465">
        <f t="shared" ca="1" si="330"/>
        <v>7.3698599999999999E-5</v>
      </c>
      <c r="BA395" s="464">
        <f t="shared" ca="1" si="331"/>
        <v>2.2109589000000002E-3</v>
      </c>
      <c r="BB395" s="465">
        <f t="shared" ca="1" si="331"/>
        <v>2.2846575E-3</v>
      </c>
      <c r="BC395" s="466">
        <f t="shared" ca="1" si="332"/>
        <v>54636</v>
      </c>
      <c r="BD395" s="467">
        <f t="shared" ref="BD395:BD458" ca="1" si="345">DATE(YEAR(BD394),MONTH(BD394)+1,MIN(DAY($BD$9),DAY(DATE(YEAR(BD394),MONTH(BD394)+2,0))))</f>
        <v>54637</v>
      </c>
      <c r="BE395" s="467">
        <f t="shared" ca="1" si="333"/>
        <v>54666</v>
      </c>
      <c r="BF395" s="468">
        <f ca="1">IF(計算!$BC395&lt;OP!$C$3,0,BD395-BC395)</f>
        <v>1</v>
      </c>
      <c r="BG395" s="468">
        <f ca="1">IF($BE395&gt;DATE(YEAR($BD$9)+OP!$C$57,MONTH($BD$9),DAY($BD$9)),0,$BE395-$BD395+1)</f>
        <v>30</v>
      </c>
      <c r="BH395" s="469">
        <f t="shared" ca="1" si="334"/>
        <v>31</v>
      </c>
      <c r="BI395" t="str">
        <f t="shared" si="316"/>
        <v/>
      </c>
      <c r="BJ395">
        <v>2</v>
      </c>
      <c r="BN395" s="468">
        <f t="shared" ref="BN395:BN458" si="346">IF(BO394=12,BN394+1,BN394)</f>
        <v>33</v>
      </c>
      <c r="BO395" s="468">
        <f t="shared" ref="BO395:BO458" si="347">IF(BO394=12,1,BO394+1)</f>
        <v>2</v>
      </c>
      <c r="BP395" s="467">
        <f t="shared" ca="1" si="335"/>
        <v>54637</v>
      </c>
      <c r="BQ395" s="475">
        <f t="shared" ca="1" si="315"/>
        <v>65</v>
      </c>
      <c r="BR395" s="475" t="str">
        <f t="shared" ref="BR395:BR458" si="348">IF(BO395=12,BN395,"")</f>
        <v/>
      </c>
      <c r="BS395" s="471" t="str">
        <f t="shared" si="336"/>
        <v/>
      </c>
      <c r="BT395" s="472" t="str">
        <f t="shared" si="317"/>
        <v/>
      </c>
      <c r="BU395" s="472">
        <f t="shared" ca="1" si="337"/>
        <v>0</v>
      </c>
      <c r="BV395" s="472">
        <f t="shared" ca="1" si="337"/>
        <v>0</v>
      </c>
      <c r="BW395" s="472"/>
      <c r="BX395" s="473">
        <f t="shared" ca="1" si="338"/>
        <v>343552.71836958302</v>
      </c>
      <c r="BY395" s="473">
        <f t="shared" si="339"/>
        <v>0</v>
      </c>
      <c r="BZ395" s="473">
        <f t="shared" ca="1" si="321"/>
        <v>784.90029466800002</v>
      </c>
      <c r="CA395" s="476">
        <f t="shared" ca="1" si="340"/>
        <v>0</v>
      </c>
      <c r="CB395" s="494">
        <f ca="1">IF(OR($Q394&lt;&gt;1,OP!$D$5+$BN395-1&lt;16,$BN395-1&lt;1),0,ROUND(ROUND(ROUND(((VLOOKUP($BN395-1,MORE_PV,5,0)/10000)*VLOOKUP($BN395,MORE_PV,$CB$5,0)),3)*VLOOKUP($BN395,more1,5,0),0)/$R394,0))</f>
        <v>0</v>
      </c>
      <c r="CC395" s="473">
        <f t="shared" ca="1" si="341"/>
        <v>0</v>
      </c>
      <c r="CD395" s="477"/>
    </row>
    <row r="396" spans="2:82" ht="16.5" hidden="1">
      <c r="B396" s="80"/>
      <c r="C396" s="80"/>
      <c r="D396" s="80"/>
      <c r="E396" s="80"/>
      <c r="F396" s="80"/>
      <c r="G396" s="80"/>
      <c r="H396" s="80"/>
      <c r="I396" s="80"/>
      <c r="J396" s="192">
        <f t="shared" si="322"/>
        <v>33</v>
      </c>
      <c r="K396" s="192">
        <f t="shared" si="323"/>
        <v>4</v>
      </c>
      <c r="L396" s="192" t="str">
        <f t="shared" si="318"/>
        <v/>
      </c>
      <c r="M396" s="216">
        <f t="shared" ca="1" si="324"/>
        <v>0</v>
      </c>
      <c r="N396" s="216"/>
      <c r="O396" s="216"/>
      <c r="P396" s="216"/>
      <c r="Q396" s="456" t="str">
        <f t="shared" ca="1" si="325"/>
        <v/>
      </c>
      <c r="R396" s="450">
        <f t="shared" ca="1" si="326"/>
        <v>1</v>
      </c>
      <c r="S396" s="191">
        <f t="shared" si="327"/>
        <v>33</v>
      </c>
      <c r="T396" s="191">
        <f t="shared" si="328"/>
        <v>4</v>
      </c>
      <c r="U396" s="191">
        <f ca="1">OP!$D$5+$S396-1</f>
        <v>65</v>
      </c>
      <c r="V396" s="191" t="str">
        <f t="shared" si="329"/>
        <v/>
      </c>
      <c r="W396" s="350">
        <f ca="1">IF(Q396&lt;&gt;1,0,VLOOKUP(OP!$C$55,PVFB,$S396+2,0))</f>
        <v>0</v>
      </c>
      <c r="X396" s="473">
        <f t="shared" ca="1" si="342"/>
        <v>0</v>
      </c>
      <c r="Y396" s="348">
        <f t="shared" ca="1" si="343"/>
        <v>0</v>
      </c>
      <c r="Z396" s="348">
        <f t="shared" ca="1" si="344"/>
        <v>8012</v>
      </c>
      <c r="AA396" s="348">
        <f ca="1">IF(Q396&lt;&gt;1,0,VLOOKUP(OP!$C$55,PVFB,$S396+2,0))</f>
        <v>0</v>
      </c>
      <c r="AB396" s="488" t="str">
        <f ca="1">IF(AND(S396&lt;OP!$C$24,$U396&lt;15),0,IF(AND($U396&lt;15,$T396=12),ROUND(VLOOKUP($S396,DOWN16,5,0),3),IF($T396=12,ROUND(($Z396/10000)*$AA396,3)+IF(AND($P$7="購買增額繳清保險",T396=12,U396=110),VLOOKUP(S396,$B$10:$H$121,7,0),0),"")))</f>
        <v/>
      </c>
      <c r="AC396" s="350" t="str">
        <f ca="1">IF(AND(S396&lt;OP!$C$24,$U396&lt;15),0,IF(AND($U396&lt;16,$T396=12),VLOOKUP($S396,DOWN16,4,0),IF($T396=12,ROUND(VLOOKUP(OP!$C$55,_DIE2,$S396+1,0)*(Z396/10000),0)+IF(AND($P$7="購買增額繳清保險",T396=12,U396=110),VLOOKUP(S396,$B$10:$H$121,7,0),0),"")))</f>
        <v/>
      </c>
      <c r="AD396" s="347"/>
      <c r="AE396" s="350" t="str">
        <f t="shared" ca="1" si="319"/>
        <v/>
      </c>
      <c r="AF396" s="351" t="str">
        <f t="shared" ca="1" si="320"/>
        <v/>
      </c>
      <c r="AG396" s="340"/>
      <c r="AH396" s="340"/>
      <c r="AI396" s="340"/>
      <c r="AJ396" s="340"/>
      <c r="AK396" s="340"/>
      <c r="AL396" s="340"/>
      <c r="AM396" s="340"/>
      <c r="AN396" s="340"/>
      <c r="AO396" s="340"/>
      <c r="AP396" s="340"/>
      <c r="AQ396" s="340"/>
      <c r="AR396" s="340"/>
      <c r="AS396" s="340"/>
      <c r="AT396" s="340"/>
      <c r="AU396" s="340"/>
      <c r="AV396" s="340"/>
      <c r="AY396" s="340"/>
      <c r="AZ396" s="465">
        <f t="shared" ca="1" si="330"/>
        <v>7.3698599999999999E-5</v>
      </c>
      <c r="BA396" s="464">
        <f t="shared" ca="1" si="331"/>
        <v>2.1372602999999999E-3</v>
      </c>
      <c r="BB396" s="465">
        <f t="shared" ca="1" si="331"/>
        <v>2.2109589000000002E-3</v>
      </c>
      <c r="BC396" s="466">
        <f t="shared" ca="1" si="332"/>
        <v>54667</v>
      </c>
      <c r="BD396" s="467">
        <f t="shared" ca="1" si="345"/>
        <v>54668</v>
      </c>
      <c r="BE396" s="467">
        <f t="shared" ca="1" si="333"/>
        <v>54696</v>
      </c>
      <c r="BF396" s="468">
        <f ca="1">IF(計算!$BC396&lt;OP!$C$3,0,BD396-BC396)</f>
        <v>1</v>
      </c>
      <c r="BG396" s="468">
        <f ca="1">IF($BE396&gt;DATE(YEAR($BD$9)+OP!$C$57,MONTH($BD$9),DAY($BD$9)),0,$BE396-$BD396+1)</f>
        <v>29</v>
      </c>
      <c r="BH396" s="469">
        <f t="shared" ca="1" si="334"/>
        <v>30</v>
      </c>
      <c r="BI396" t="str">
        <f t="shared" si="316"/>
        <v/>
      </c>
      <c r="BJ396">
        <v>3</v>
      </c>
      <c r="BN396" s="468">
        <f t="shared" si="346"/>
        <v>33</v>
      </c>
      <c r="BO396" s="468">
        <f t="shared" si="347"/>
        <v>3</v>
      </c>
      <c r="BP396" s="467">
        <f t="shared" ca="1" si="335"/>
        <v>54668</v>
      </c>
      <c r="BQ396" s="475">
        <f t="shared" ref="BQ396:BQ459" ca="1" si="349">IF(BO395=12,BQ395+1,BQ395)</f>
        <v>65</v>
      </c>
      <c r="BR396" s="475" t="str">
        <f t="shared" si="348"/>
        <v/>
      </c>
      <c r="BS396" s="471" t="str">
        <f t="shared" si="336"/>
        <v/>
      </c>
      <c r="BT396" s="472" t="str">
        <f t="shared" si="317"/>
        <v/>
      </c>
      <c r="BU396" s="472">
        <f t="shared" ca="1" si="337"/>
        <v>0</v>
      </c>
      <c r="BV396" s="472">
        <f t="shared" ca="1" si="337"/>
        <v>0</v>
      </c>
      <c r="BW396" s="472"/>
      <c r="BX396" s="473">
        <f t="shared" ca="1" si="338"/>
        <v>344337.618664251</v>
      </c>
      <c r="BY396" s="473">
        <f t="shared" si="339"/>
        <v>0</v>
      </c>
      <c r="BZ396" s="473">
        <f t="shared" ca="1" si="321"/>
        <v>761.31632259100002</v>
      </c>
      <c r="CA396" s="476">
        <f t="shared" ca="1" si="340"/>
        <v>0</v>
      </c>
      <c r="CB396" s="494">
        <f ca="1">IF(OR($Q395&lt;&gt;1,OP!$D$5+$BN396-1&lt;16,$BN396-1&lt;1),0,ROUND(ROUND(ROUND(((VLOOKUP($BN396-1,MORE_PV,5,0)/10000)*VLOOKUP($BN396,MORE_PV,$CB$5,0)),3)*VLOOKUP($BN396,more1,5,0),0)/$R395,0))</f>
        <v>0</v>
      </c>
      <c r="CC396" s="473">
        <f t="shared" ca="1" si="341"/>
        <v>0</v>
      </c>
      <c r="CD396" s="477"/>
    </row>
    <row r="397" spans="2:82" ht="16.5" hidden="1">
      <c r="B397" s="80"/>
      <c r="C397" s="80"/>
      <c r="D397" s="80"/>
      <c r="E397" s="80"/>
      <c r="F397" s="80"/>
      <c r="G397" s="80"/>
      <c r="H397" s="80"/>
      <c r="I397" s="80"/>
      <c r="J397" s="192">
        <f t="shared" si="322"/>
        <v>33</v>
      </c>
      <c r="K397" s="192">
        <f t="shared" si="323"/>
        <v>5</v>
      </c>
      <c r="L397" s="192" t="str">
        <f t="shared" si="318"/>
        <v/>
      </c>
      <c r="M397" s="216">
        <f t="shared" ca="1" si="324"/>
        <v>0</v>
      </c>
      <c r="N397" s="216"/>
      <c r="O397" s="216"/>
      <c r="P397" s="216"/>
      <c r="Q397" s="456" t="str">
        <f t="shared" ca="1" si="325"/>
        <v/>
      </c>
      <c r="R397" s="450">
        <f t="shared" ca="1" si="326"/>
        <v>1</v>
      </c>
      <c r="S397" s="191">
        <f t="shared" si="327"/>
        <v>33</v>
      </c>
      <c r="T397" s="191">
        <f t="shared" si="328"/>
        <v>5</v>
      </c>
      <c r="U397" s="191">
        <f ca="1">OP!$D$5+$S397-1</f>
        <v>65</v>
      </c>
      <c r="V397" s="191" t="str">
        <f t="shared" si="329"/>
        <v/>
      </c>
      <c r="W397" s="350">
        <f ca="1">IF(Q397&lt;&gt;1,0,VLOOKUP(OP!$C$55,PVFB,$S397+2,0))</f>
        <v>0</v>
      </c>
      <c r="X397" s="473">
        <f t="shared" ca="1" si="342"/>
        <v>0</v>
      </c>
      <c r="Y397" s="348">
        <f t="shared" ca="1" si="343"/>
        <v>0</v>
      </c>
      <c r="Z397" s="348">
        <f t="shared" ca="1" si="344"/>
        <v>8012</v>
      </c>
      <c r="AA397" s="348">
        <f ca="1">IF(Q397&lt;&gt;1,0,VLOOKUP(OP!$C$55,PVFB,$S397+2,0))</f>
        <v>0</v>
      </c>
      <c r="AB397" s="488" t="str">
        <f ca="1">IF(AND(S397&lt;OP!$C$24,$U397&lt;15),0,IF(AND($U397&lt;15,$T397=12),ROUND(VLOOKUP($S397,DOWN16,5,0),3),IF($T397=12,ROUND(($Z397/10000)*$AA397,3)+IF(AND($P$7="購買增額繳清保險",T397=12,U397=110),VLOOKUP(S397,$B$10:$H$121,7,0),0),"")))</f>
        <v/>
      </c>
      <c r="AC397" s="350" t="str">
        <f ca="1">IF(AND(S397&lt;OP!$C$24,$U397&lt;15),0,IF(AND($U397&lt;16,$T397=12),VLOOKUP($S397,DOWN16,4,0),IF($T397=12,ROUND(VLOOKUP(OP!$C$55,_DIE2,$S397+1,0)*(Z397/10000),0)+IF(AND($P$7="購買增額繳清保險",T397=12,U397=110),VLOOKUP(S397,$B$10:$H$121,7,0),0),"")))</f>
        <v/>
      </c>
      <c r="AD397" s="347"/>
      <c r="AE397" s="350" t="str">
        <f t="shared" ca="1" si="319"/>
        <v/>
      </c>
      <c r="AF397" s="351" t="str">
        <f t="shared" ca="1" si="320"/>
        <v/>
      </c>
      <c r="AG397" s="340"/>
      <c r="AH397" s="340"/>
      <c r="AI397" s="340"/>
      <c r="AJ397" s="340"/>
      <c r="AK397" s="340"/>
      <c r="AL397" s="340"/>
      <c r="AM397" s="340"/>
      <c r="AN397" s="340"/>
      <c r="AO397" s="340"/>
      <c r="AP397" s="340"/>
      <c r="AQ397" s="340"/>
      <c r="AR397" s="340"/>
      <c r="AS397" s="340"/>
      <c r="AT397" s="340"/>
      <c r="AU397" s="340"/>
      <c r="AV397" s="340"/>
      <c r="AY397" s="340"/>
      <c r="AZ397" s="465">
        <f t="shared" ca="1" si="330"/>
        <v>7.3698599999999999E-5</v>
      </c>
      <c r="BA397" s="464">
        <f t="shared" ca="1" si="331"/>
        <v>2.2109589000000002E-3</v>
      </c>
      <c r="BB397" s="465">
        <f t="shared" ca="1" si="331"/>
        <v>2.2846575E-3</v>
      </c>
      <c r="BC397" s="466">
        <f t="shared" ca="1" si="332"/>
        <v>54697</v>
      </c>
      <c r="BD397" s="467">
        <f t="shared" ca="1" si="345"/>
        <v>54698</v>
      </c>
      <c r="BE397" s="467">
        <f t="shared" ca="1" si="333"/>
        <v>54727</v>
      </c>
      <c r="BF397" s="468">
        <f ca="1">IF(計算!$BC397&lt;OP!$C$3,0,BD397-BC397)</f>
        <v>1</v>
      </c>
      <c r="BG397" s="468">
        <f ca="1">IF($BE397&gt;DATE(YEAR($BD$9)+OP!$C$57,MONTH($BD$9),DAY($BD$9)),0,$BE397-$BD397+1)</f>
        <v>30</v>
      </c>
      <c r="BH397" s="469">
        <f t="shared" ca="1" si="334"/>
        <v>31</v>
      </c>
      <c r="BI397" t="str">
        <f t="shared" si="316"/>
        <v/>
      </c>
      <c r="BJ397">
        <v>4</v>
      </c>
      <c r="BN397" s="468">
        <f t="shared" si="346"/>
        <v>33</v>
      </c>
      <c r="BO397" s="468">
        <f t="shared" si="347"/>
        <v>4</v>
      </c>
      <c r="BP397" s="467">
        <f t="shared" ca="1" si="335"/>
        <v>54698</v>
      </c>
      <c r="BQ397" s="475">
        <f t="shared" ca="1" si="349"/>
        <v>65</v>
      </c>
      <c r="BR397" s="475" t="str">
        <f t="shared" si="348"/>
        <v/>
      </c>
      <c r="BS397" s="471" t="str">
        <f t="shared" si="336"/>
        <v/>
      </c>
      <c r="BT397" s="472" t="str">
        <f t="shared" si="317"/>
        <v/>
      </c>
      <c r="BU397" s="472">
        <f t="shared" ca="1" si="337"/>
        <v>0</v>
      </c>
      <c r="BV397" s="472">
        <f t="shared" ca="1" si="337"/>
        <v>0</v>
      </c>
      <c r="BW397" s="472"/>
      <c r="BX397" s="473">
        <f t="shared" ca="1" si="338"/>
        <v>345098.93498684198</v>
      </c>
      <c r="BY397" s="473">
        <f t="shared" si="339"/>
        <v>0</v>
      </c>
      <c r="BZ397" s="473">
        <f t="shared" ca="1" si="321"/>
        <v>788.43287006000003</v>
      </c>
      <c r="CA397" s="476">
        <f t="shared" ca="1" si="340"/>
        <v>0</v>
      </c>
      <c r="CB397" s="494">
        <f ca="1">IF(OR($Q396&lt;&gt;1,OP!$D$5+$BN397-1&lt;16,$BN397-1&lt;1),0,ROUND(ROUND(ROUND(((VLOOKUP($BN397-1,MORE_PV,5,0)/10000)*VLOOKUP($BN397,MORE_PV,$CB$5,0)),3)*VLOOKUP($BN397,more1,5,0),0)/$R396,0))</f>
        <v>0</v>
      </c>
      <c r="CC397" s="473">
        <f t="shared" ca="1" si="341"/>
        <v>0</v>
      </c>
      <c r="CD397" s="477"/>
    </row>
    <row r="398" spans="2:82" ht="16.5" hidden="1">
      <c r="B398" s="80"/>
      <c r="C398" s="80"/>
      <c r="D398" s="80"/>
      <c r="E398" s="80"/>
      <c r="F398" s="80"/>
      <c r="G398" s="80"/>
      <c r="H398" s="80"/>
      <c r="I398" s="80"/>
      <c r="J398" s="192">
        <f t="shared" si="322"/>
        <v>33</v>
      </c>
      <c r="K398" s="192">
        <f t="shared" si="323"/>
        <v>6</v>
      </c>
      <c r="L398" s="192" t="str">
        <f t="shared" si="318"/>
        <v/>
      </c>
      <c r="M398" s="216">
        <f t="shared" ca="1" si="324"/>
        <v>0</v>
      </c>
      <c r="N398" s="216"/>
      <c r="O398" s="216"/>
      <c r="P398" s="216"/>
      <c r="Q398" s="456" t="str">
        <f t="shared" ca="1" si="325"/>
        <v/>
      </c>
      <c r="R398" s="450">
        <f t="shared" ca="1" si="326"/>
        <v>1</v>
      </c>
      <c r="S398" s="191">
        <f t="shared" si="327"/>
        <v>33</v>
      </c>
      <c r="T398" s="191">
        <f t="shared" si="328"/>
        <v>6</v>
      </c>
      <c r="U398" s="191">
        <f ca="1">OP!$D$5+$S398-1</f>
        <v>65</v>
      </c>
      <c r="V398" s="191" t="str">
        <f t="shared" si="329"/>
        <v/>
      </c>
      <c r="W398" s="350">
        <f ca="1">IF(Q398&lt;&gt;1,0,VLOOKUP(OP!$C$55,PVFB,$S398+2,0))</f>
        <v>0</v>
      </c>
      <c r="X398" s="473">
        <f t="shared" ca="1" si="342"/>
        <v>0</v>
      </c>
      <c r="Y398" s="348">
        <f t="shared" ca="1" si="343"/>
        <v>0</v>
      </c>
      <c r="Z398" s="348">
        <f t="shared" ca="1" si="344"/>
        <v>8012</v>
      </c>
      <c r="AA398" s="348">
        <f ca="1">IF(Q398&lt;&gt;1,0,VLOOKUP(OP!$C$55,PVFB,$S398+2,0))</f>
        <v>0</v>
      </c>
      <c r="AB398" s="488" t="str">
        <f ca="1">IF(AND(S398&lt;OP!$C$24,$U398&lt;15),0,IF(AND($U398&lt;15,$T398=12),ROUND(VLOOKUP($S398,DOWN16,5,0),3),IF($T398=12,ROUND(($Z398/10000)*$AA398,3)+IF(AND($P$7="購買增額繳清保險",T398=12,U398=110),VLOOKUP(S398,$B$10:$H$121,7,0),0),"")))</f>
        <v/>
      </c>
      <c r="AC398" s="350" t="str">
        <f ca="1">IF(AND(S398&lt;OP!$C$24,$U398&lt;15),0,IF(AND($U398&lt;16,$T398=12),VLOOKUP($S398,DOWN16,4,0),IF($T398=12,ROUND(VLOOKUP(OP!$C$55,_DIE2,$S398+1,0)*(Z398/10000),0)+IF(AND($P$7="購買增額繳清保險",T398=12,U398=110),VLOOKUP(S398,$B$10:$H$121,7,0),0),"")))</f>
        <v/>
      </c>
      <c r="AD398" s="347"/>
      <c r="AE398" s="350" t="str">
        <f t="shared" ca="1" si="319"/>
        <v/>
      </c>
      <c r="AF398" s="351" t="str">
        <f t="shared" ca="1" si="320"/>
        <v/>
      </c>
      <c r="AG398" s="340"/>
      <c r="AH398" s="340"/>
      <c r="AI398" s="340"/>
      <c r="AJ398" s="340"/>
      <c r="AK398" s="340"/>
      <c r="AL398" s="340"/>
      <c r="AM398" s="340"/>
      <c r="AN398" s="340"/>
      <c r="AO398" s="340"/>
      <c r="AP398" s="340"/>
      <c r="AQ398" s="340"/>
      <c r="AR398" s="340"/>
      <c r="AS398" s="340"/>
      <c r="AT398" s="340"/>
      <c r="AU398" s="340"/>
      <c r="AV398" s="340"/>
      <c r="AY398" s="340"/>
      <c r="AZ398" s="465">
        <f t="shared" ca="1" si="330"/>
        <v>7.3698599999999999E-5</v>
      </c>
      <c r="BA398" s="464">
        <f t="shared" ca="1" si="331"/>
        <v>2.1372602999999999E-3</v>
      </c>
      <c r="BB398" s="465">
        <f t="shared" ca="1" si="331"/>
        <v>2.2109589000000002E-3</v>
      </c>
      <c r="BC398" s="466">
        <f t="shared" ca="1" si="332"/>
        <v>54728</v>
      </c>
      <c r="BD398" s="467">
        <f t="shared" ca="1" si="345"/>
        <v>54729</v>
      </c>
      <c r="BE398" s="467">
        <f t="shared" ca="1" si="333"/>
        <v>54757</v>
      </c>
      <c r="BF398" s="468">
        <f ca="1">IF(計算!$BC398&lt;OP!$C$3,0,BD398-BC398)</f>
        <v>1</v>
      </c>
      <c r="BG398" s="468">
        <f ca="1">IF($BE398&gt;DATE(YEAR($BD$9)+OP!$C$57,MONTH($BD$9),DAY($BD$9)),0,$BE398-$BD398+1)</f>
        <v>29</v>
      </c>
      <c r="BH398" s="469">
        <f t="shared" ca="1" si="334"/>
        <v>30</v>
      </c>
      <c r="BI398" t="str">
        <f t="shared" si="316"/>
        <v/>
      </c>
      <c r="BJ398">
        <v>5</v>
      </c>
      <c r="BN398" s="468">
        <f t="shared" si="346"/>
        <v>33</v>
      </c>
      <c r="BO398" s="468">
        <f t="shared" si="347"/>
        <v>5</v>
      </c>
      <c r="BP398" s="467">
        <f t="shared" ca="1" si="335"/>
        <v>54729</v>
      </c>
      <c r="BQ398" s="475">
        <f t="shared" ca="1" si="349"/>
        <v>65</v>
      </c>
      <c r="BR398" s="475" t="str">
        <f t="shared" si="348"/>
        <v/>
      </c>
      <c r="BS398" s="471" t="str">
        <f t="shared" si="336"/>
        <v/>
      </c>
      <c r="BT398" s="472" t="str">
        <f t="shared" si="317"/>
        <v/>
      </c>
      <c r="BU398" s="472">
        <f t="shared" ca="1" si="337"/>
        <v>0</v>
      </c>
      <c r="BV398" s="472">
        <f t="shared" ca="1" si="337"/>
        <v>0</v>
      </c>
      <c r="BW398" s="472"/>
      <c r="BX398" s="473">
        <f t="shared" ca="1" si="338"/>
        <v>345887.36785690201</v>
      </c>
      <c r="BY398" s="473">
        <f t="shared" si="339"/>
        <v>0</v>
      </c>
      <c r="BZ398" s="473">
        <f t="shared" ca="1" si="321"/>
        <v>764.74275436100004</v>
      </c>
      <c r="CA398" s="476">
        <f t="shared" ca="1" si="340"/>
        <v>0</v>
      </c>
      <c r="CB398" s="494">
        <f ca="1">IF(OR($Q397&lt;&gt;1,OP!$D$5+$BN398-1&lt;16,$BN398-1&lt;1),0,ROUND(ROUND(ROUND(((VLOOKUP($BN398-1,MORE_PV,5,0)/10000)*VLOOKUP($BN398,MORE_PV,$CB$5,0)),3)*VLOOKUP($BN398,more1,5,0),0)/$R397,0))</f>
        <v>0</v>
      </c>
      <c r="CC398" s="473">
        <f t="shared" ca="1" si="341"/>
        <v>0</v>
      </c>
      <c r="CD398" s="477"/>
    </row>
    <row r="399" spans="2:82" ht="16.5" hidden="1">
      <c r="B399" s="80"/>
      <c r="C399" s="80"/>
      <c r="D399" s="80"/>
      <c r="E399" s="80"/>
      <c r="F399" s="80"/>
      <c r="G399" s="80"/>
      <c r="H399" s="80"/>
      <c r="I399" s="80"/>
      <c r="J399" s="192">
        <f t="shared" si="322"/>
        <v>33</v>
      </c>
      <c r="K399" s="192">
        <f t="shared" si="323"/>
        <v>7</v>
      </c>
      <c r="L399" s="192" t="str">
        <f t="shared" si="318"/>
        <v/>
      </c>
      <c r="M399" s="216">
        <f t="shared" ca="1" si="324"/>
        <v>0</v>
      </c>
      <c r="N399" s="216"/>
      <c r="O399" s="216"/>
      <c r="P399" s="216"/>
      <c r="Q399" s="456" t="str">
        <f t="shared" ca="1" si="325"/>
        <v/>
      </c>
      <c r="R399" s="450">
        <f t="shared" ca="1" si="326"/>
        <v>1</v>
      </c>
      <c r="S399" s="191">
        <f t="shared" si="327"/>
        <v>33</v>
      </c>
      <c r="T399" s="191">
        <f t="shared" si="328"/>
        <v>7</v>
      </c>
      <c r="U399" s="191">
        <f ca="1">OP!$D$5+$S399-1</f>
        <v>65</v>
      </c>
      <c r="V399" s="191" t="str">
        <f t="shared" si="329"/>
        <v/>
      </c>
      <c r="W399" s="350">
        <f ca="1">IF(Q399&lt;&gt;1,0,VLOOKUP(OP!$C$55,PVFB,$S399+2,0))</f>
        <v>0</v>
      </c>
      <c r="X399" s="473">
        <f t="shared" ca="1" si="342"/>
        <v>0</v>
      </c>
      <c r="Y399" s="348">
        <f t="shared" ca="1" si="343"/>
        <v>0</v>
      </c>
      <c r="Z399" s="348">
        <f t="shared" ca="1" si="344"/>
        <v>8012</v>
      </c>
      <c r="AA399" s="348">
        <f ca="1">IF(Q399&lt;&gt;1,0,VLOOKUP(OP!$C$55,PVFB,$S399+2,0))</f>
        <v>0</v>
      </c>
      <c r="AB399" s="488" t="str">
        <f ca="1">IF(AND(S399&lt;OP!$C$24,$U399&lt;15),0,IF(AND($U399&lt;15,$T399=12),ROUND(VLOOKUP($S399,DOWN16,5,0),3),IF($T399=12,ROUND(($Z399/10000)*$AA399,3)+IF(AND($P$7="購買增額繳清保險",T399=12,U399=110),VLOOKUP(S399,$B$10:$H$121,7,0),0),"")))</f>
        <v/>
      </c>
      <c r="AC399" s="350" t="str">
        <f ca="1">IF(AND(S399&lt;OP!$C$24,$U399&lt;15),0,IF(AND($U399&lt;16,$T399=12),VLOOKUP($S399,DOWN16,4,0),IF($T399=12,ROUND(VLOOKUP(OP!$C$55,_DIE2,$S399+1,0)*(Z399/10000),0)+IF(AND($P$7="購買增額繳清保險",T399=12,U399=110),VLOOKUP(S399,$B$10:$H$121,7,0),0),"")))</f>
        <v/>
      </c>
      <c r="AD399" s="347"/>
      <c r="AE399" s="350" t="str">
        <f t="shared" ca="1" si="319"/>
        <v/>
      </c>
      <c r="AF399" s="351" t="str">
        <f t="shared" ca="1" si="320"/>
        <v/>
      </c>
      <c r="AG399" s="340"/>
      <c r="AH399" s="340"/>
      <c r="AI399" s="340"/>
      <c r="AJ399" s="340"/>
      <c r="AK399" s="340"/>
      <c r="AL399" s="340"/>
      <c r="AM399" s="340"/>
      <c r="AN399" s="340"/>
      <c r="AO399" s="340"/>
      <c r="AP399" s="340"/>
      <c r="AQ399" s="340"/>
      <c r="AR399" s="340"/>
      <c r="AS399" s="340"/>
      <c r="AT399" s="340"/>
      <c r="AU399" s="340"/>
      <c r="AV399" s="340"/>
      <c r="AY399" s="340"/>
      <c r="AZ399" s="465">
        <f t="shared" ca="1" si="330"/>
        <v>7.3698599999999999E-5</v>
      </c>
      <c r="BA399" s="464">
        <f t="shared" ca="1" si="331"/>
        <v>2.2109589000000002E-3</v>
      </c>
      <c r="BB399" s="465">
        <f t="shared" ca="1" si="331"/>
        <v>2.2846575E-3</v>
      </c>
      <c r="BC399" s="466">
        <f t="shared" ca="1" si="332"/>
        <v>54758</v>
      </c>
      <c r="BD399" s="467">
        <f t="shared" ca="1" si="345"/>
        <v>54759</v>
      </c>
      <c r="BE399" s="467">
        <f t="shared" ca="1" si="333"/>
        <v>54788</v>
      </c>
      <c r="BF399" s="468">
        <f ca="1">IF(計算!$BC399&lt;OP!$C$3,0,BD399-BC399)</f>
        <v>1</v>
      </c>
      <c r="BG399" s="468">
        <f ca="1">IF($BE399&gt;DATE(YEAR($BD$9)+OP!$C$57,MONTH($BD$9),DAY($BD$9)),0,$BE399-$BD399+1)</f>
        <v>30</v>
      </c>
      <c r="BH399" s="469">
        <f t="shared" ca="1" si="334"/>
        <v>31</v>
      </c>
      <c r="BI399" t="str">
        <f t="shared" si="316"/>
        <v/>
      </c>
      <c r="BJ399">
        <v>6</v>
      </c>
      <c r="BN399" s="468">
        <f t="shared" si="346"/>
        <v>33</v>
      </c>
      <c r="BO399" s="468">
        <f t="shared" si="347"/>
        <v>6</v>
      </c>
      <c r="BP399" s="467">
        <f t="shared" ca="1" si="335"/>
        <v>54759</v>
      </c>
      <c r="BQ399" s="475">
        <f t="shared" ca="1" si="349"/>
        <v>65</v>
      </c>
      <c r="BR399" s="475" t="str">
        <f t="shared" si="348"/>
        <v/>
      </c>
      <c r="BS399" s="471" t="str">
        <f t="shared" si="336"/>
        <v/>
      </c>
      <c r="BT399" s="472" t="str">
        <f t="shared" si="317"/>
        <v/>
      </c>
      <c r="BU399" s="472">
        <f t="shared" ca="1" si="337"/>
        <v>0</v>
      </c>
      <c r="BV399" s="472">
        <f t="shared" ca="1" si="337"/>
        <v>0</v>
      </c>
      <c r="BW399" s="472"/>
      <c r="BX399" s="473">
        <f t="shared" ca="1" si="338"/>
        <v>346652.11061126302</v>
      </c>
      <c r="BY399" s="473">
        <f t="shared" si="339"/>
        <v>0</v>
      </c>
      <c r="BZ399" s="473">
        <f t="shared" ca="1" si="321"/>
        <v>791.98134439900002</v>
      </c>
      <c r="CA399" s="476">
        <f t="shared" ca="1" si="340"/>
        <v>0</v>
      </c>
      <c r="CB399" s="494">
        <f ca="1">IF(OR($Q398&lt;&gt;1,OP!$D$5+$BN399-1&lt;16,$BN399-1&lt;1),0,ROUND(ROUND(ROUND(((VLOOKUP($BN399-1,MORE_PV,5,0)/10000)*VLOOKUP($BN399,MORE_PV,$CB$5,0)),3)*VLOOKUP($BN399,more1,5,0),0)/$R398,0))</f>
        <v>0</v>
      </c>
      <c r="CC399" s="473">
        <f t="shared" ca="1" si="341"/>
        <v>0</v>
      </c>
      <c r="CD399" s="477"/>
    </row>
    <row r="400" spans="2:82" ht="16.5" hidden="1">
      <c r="B400" s="80"/>
      <c r="C400" s="80"/>
      <c r="D400" s="80"/>
      <c r="E400" s="80"/>
      <c r="F400" s="80"/>
      <c r="G400" s="80"/>
      <c r="H400" s="80"/>
      <c r="I400" s="80"/>
      <c r="J400" s="192">
        <f t="shared" si="322"/>
        <v>33</v>
      </c>
      <c r="K400" s="192">
        <f t="shared" si="323"/>
        <v>8</v>
      </c>
      <c r="L400" s="192" t="str">
        <f t="shared" si="318"/>
        <v/>
      </c>
      <c r="M400" s="216">
        <f t="shared" ca="1" si="324"/>
        <v>0</v>
      </c>
      <c r="N400" s="216"/>
      <c r="O400" s="216"/>
      <c r="P400" s="216"/>
      <c r="Q400" s="456" t="str">
        <f t="shared" ca="1" si="325"/>
        <v/>
      </c>
      <c r="R400" s="450">
        <f t="shared" ca="1" si="326"/>
        <v>1</v>
      </c>
      <c r="S400" s="191">
        <f t="shared" si="327"/>
        <v>33</v>
      </c>
      <c r="T400" s="191">
        <f t="shared" si="328"/>
        <v>8</v>
      </c>
      <c r="U400" s="191">
        <f ca="1">OP!$D$5+$S400-1</f>
        <v>65</v>
      </c>
      <c r="V400" s="191" t="str">
        <f t="shared" si="329"/>
        <v/>
      </c>
      <c r="W400" s="350">
        <f ca="1">IF(Q400&lt;&gt;1,0,VLOOKUP(OP!$C$55,PVFB,$S400+2,0))</f>
        <v>0</v>
      </c>
      <c r="X400" s="473">
        <f t="shared" ca="1" si="342"/>
        <v>0</v>
      </c>
      <c r="Y400" s="348">
        <f t="shared" ca="1" si="343"/>
        <v>0</v>
      </c>
      <c r="Z400" s="348">
        <f t="shared" ca="1" si="344"/>
        <v>8012</v>
      </c>
      <c r="AA400" s="348">
        <f ca="1">IF(Q400&lt;&gt;1,0,VLOOKUP(OP!$C$55,PVFB,$S400+2,0))</f>
        <v>0</v>
      </c>
      <c r="AB400" s="488" t="str">
        <f ca="1">IF(AND(S400&lt;OP!$C$24,$U400&lt;15),0,IF(AND($U400&lt;15,$T400=12),ROUND(VLOOKUP($S400,DOWN16,5,0),3),IF($T400=12,ROUND(($Z400/10000)*$AA400,3)+IF(AND($P$7="購買增額繳清保險",T400=12,U400=110),VLOOKUP(S400,$B$10:$H$121,7,0),0),"")))</f>
        <v/>
      </c>
      <c r="AC400" s="350" t="str">
        <f ca="1">IF(AND(S400&lt;OP!$C$24,$U400&lt;15),0,IF(AND($U400&lt;16,$T400=12),VLOOKUP($S400,DOWN16,4,0),IF($T400=12,ROUND(VLOOKUP(OP!$C$55,_DIE2,$S400+1,0)*(Z400/10000),0)+IF(AND($P$7="購買增額繳清保險",T400=12,U400=110),VLOOKUP(S400,$B$10:$H$121,7,0),0),"")))</f>
        <v/>
      </c>
      <c r="AD400" s="347"/>
      <c r="AE400" s="350" t="str">
        <f t="shared" ca="1" si="319"/>
        <v/>
      </c>
      <c r="AF400" s="351" t="str">
        <f t="shared" ca="1" si="320"/>
        <v/>
      </c>
      <c r="AG400" s="340"/>
      <c r="AH400" s="340"/>
      <c r="AI400" s="340"/>
      <c r="AJ400" s="340"/>
      <c r="AK400" s="340"/>
      <c r="AL400" s="340"/>
      <c r="AM400" s="340"/>
      <c r="AN400" s="340"/>
      <c r="AO400" s="340"/>
      <c r="AP400" s="340"/>
      <c r="AQ400" s="340"/>
      <c r="AR400" s="340"/>
      <c r="AS400" s="340"/>
      <c r="AT400" s="340"/>
      <c r="AU400" s="340"/>
      <c r="AV400" s="340"/>
      <c r="AY400" s="340"/>
      <c r="AZ400" s="465">
        <f t="shared" ca="1" si="330"/>
        <v>7.3698599999999999E-5</v>
      </c>
      <c r="BA400" s="464">
        <f t="shared" ca="1" si="331"/>
        <v>2.2109589000000002E-3</v>
      </c>
      <c r="BB400" s="465">
        <f t="shared" ca="1" si="331"/>
        <v>2.2846575E-3</v>
      </c>
      <c r="BC400" s="466">
        <f t="shared" ca="1" si="332"/>
        <v>54789</v>
      </c>
      <c r="BD400" s="467">
        <f t="shared" ca="1" si="345"/>
        <v>54790</v>
      </c>
      <c r="BE400" s="467">
        <f t="shared" ca="1" si="333"/>
        <v>54819</v>
      </c>
      <c r="BF400" s="468">
        <f ca="1">IF(計算!$BC400&lt;OP!$C$3,0,BD400-BC400)</f>
        <v>1</v>
      </c>
      <c r="BG400" s="468">
        <f ca="1">IF($BE400&gt;DATE(YEAR($BD$9)+OP!$C$57,MONTH($BD$9),DAY($BD$9)),0,$BE400-$BD400+1)</f>
        <v>30</v>
      </c>
      <c r="BH400" s="469">
        <f t="shared" ca="1" si="334"/>
        <v>31</v>
      </c>
      <c r="BI400" t="str">
        <f t="shared" si="316"/>
        <v/>
      </c>
      <c r="BJ400">
        <v>7</v>
      </c>
      <c r="BN400" s="468">
        <f t="shared" si="346"/>
        <v>33</v>
      </c>
      <c r="BO400" s="468">
        <f t="shared" si="347"/>
        <v>7</v>
      </c>
      <c r="BP400" s="467">
        <f t="shared" ca="1" si="335"/>
        <v>54790</v>
      </c>
      <c r="BQ400" s="475">
        <f t="shared" ca="1" si="349"/>
        <v>65</v>
      </c>
      <c r="BR400" s="475" t="str">
        <f t="shared" si="348"/>
        <v/>
      </c>
      <c r="BS400" s="471" t="str">
        <f t="shared" si="336"/>
        <v/>
      </c>
      <c r="BT400" s="472" t="str">
        <f t="shared" si="317"/>
        <v/>
      </c>
      <c r="BU400" s="472">
        <f t="shared" ca="1" si="337"/>
        <v>0</v>
      </c>
      <c r="BV400" s="472">
        <f t="shared" ca="1" si="337"/>
        <v>0</v>
      </c>
      <c r="BW400" s="472"/>
      <c r="BX400" s="473">
        <f t="shared" ca="1" si="338"/>
        <v>347444.09195566201</v>
      </c>
      <c r="BY400" s="473">
        <f t="shared" si="339"/>
        <v>0</v>
      </c>
      <c r="BZ400" s="473">
        <f t="shared" ca="1" si="321"/>
        <v>793.79075051699999</v>
      </c>
      <c r="CA400" s="476">
        <f t="shared" ca="1" si="340"/>
        <v>0</v>
      </c>
      <c r="CB400" s="494">
        <f ca="1">IF(OR($Q399&lt;&gt;1,OP!$D$5+$BN400-1&lt;16,$BN400-1&lt;1),0,ROUND(ROUND(ROUND(((VLOOKUP($BN400-1,MORE_PV,5,0)/10000)*VLOOKUP($BN400,MORE_PV,$CB$5,0)),3)*VLOOKUP($BN400,more1,5,0),0)/$R399,0))</f>
        <v>0</v>
      </c>
      <c r="CC400" s="473">
        <f t="shared" ca="1" si="341"/>
        <v>0</v>
      </c>
      <c r="CD400" s="477"/>
    </row>
    <row r="401" spans="2:82" ht="16.5" hidden="1">
      <c r="B401" s="80"/>
      <c r="C401" s="80"/>
      <c r="D401" s="80"/>
      <c r="E401" s="80"/>
      <c r="F401" s="80"/>
      <c r="G401" s="80"/>
      <c r="H401" s="80"/>
      <c r="I401" s="80"/>
      <c r="J401" s="192">
        <f t="shared" si="322"/>
        <v>33</v>
      </c>
      <c r="K401" s="192">
        <f t="shared" si="323"/>
        <v>9</v>
      </c>
      <c r="L401" s="192" t="str">
        <f t="shared" si="318"/>
        <v/>
      </c>
      <c r="M401" s="216">
        <f t="shared" ca="1" si="324"/>
        <v>0</v>
      </c>
      <c r="N401" s="216"/>
      <c r="O401" s="216"/>
      <c r="P401" s="216"/>
      <c r="Q401" s="456" t="str">
        <f t="shared" ca="1" si="325"/>
        <v/>
      </c>
      <c r="R401" s="450">
        <f t="shared" ca="1" si="326"/>
        <v>1</v>
      </c>
      <c r="S401" s="191">
        <f t="shared" si="327"/>
        <v>33</v>
      </c>
      <c r="T401" s="191">
        <f t="shared" si="328"/>
        <v>9</v>
      </c>
      <c r="U401" s="191">
        <f ca="1">OP!$D$5+$S401-1</f>
        <v>65</v>
      </c>
      <c r="V401" s="191" t="str">
        <f t="shared" si="329"/>
        <v/>
      </c>
      <c r="W401" s="350">
        <f ca="1">IF(Q401&lt;&gt;1,0,VLOOKUP(OP!$C$55,PVFB,$S401+2,0))</f>
        <v>0</v>
      </c>
      <c r="X401" s="473">
        <f t="shared" ca="1" si="342"/>
        <v>0</v>
      </c>
      <c r="Y401" s="348">
        <f t="shared" ca="1" si="343"/>
        <v>0</v>
      </c>
      <c r="Z401" s="348">
        <f t="shared" ca="1" si="344"/>
        <v>8012</v>
      </c>
      <c r="AA401" s="348">
        <f ca="1">IF(Q401&lt;&gt;1,0,VLOOKUP(OP!$C$55,PVFB,$S401+2,0))</f>
        <v>0</v>
      </c>
      <c r="AB401" s="488" t="str">
        <f ca="1">IF(AND(S401&lt;OP!$C$24,$U401&lt;15),0,IF(AND($U401&lt;15,$T401=12),ROUND(VLOOKUP($S401,DOWN16,5,0),3),IF($T401=12,ROUND(($Z401/10000)*$AA401,3)+IF(AND($P$7="購買增額繳清保險",T401=12,U401=110),VLOOKUP(S401,$B$10:$H$121,7,0),0),"")))</f>
        <v/>
      </c>
      <c r="AC401" s="350" t="str">
        <f ca="1">IF(AND(S401&lt;OP!$C$24,$U401&lt;15),0,IF(AND($U401&lt;16,$T401=12),VLOOKUP($S401,DOWN16,4,0),IF($T401=12,ROUND(VLOOKUP(OP!$C$55,_DIE2,$S401+1,0)*(Z401/10000),0)+IF(AND($P$7="購買增額繳清保險",T401=12,U401=110),VLOOKUP(S401,$B$10:$H$121,7,0),0),"")))</f>
        <v/>
      </c>
      <c r="AD401" s="347"/>
      <c r="AE401" s="350" t="str">
        <f t="shared" ca="1" si="319"/>
        <v/>
      </c>
      <c r="AF401" s="351" t="str">
        <f t="shared" ca="1" si="320"/>
        <v/>
      </c>
      <c r="AG401" s="340"/>
      <c r="AH401" s="340"/>
      <c r="AI401" s="340"/>
      <c r="AJ401" s="340"/>
      <c r="AK401" s="340"/>
      <c r="AL401" s="340"/>
      <c r="AM401" s="340"/>
      <c r="AN401" s="340"/>
      <c r="AO401" s="340"/>
      <c r="AP401" s="340"/>
      <c r="AQ401" s="340"/>
      <c r="AR401" s="340"/>
      <c r="AS401" s="340"/>
      <c r="AT401" s="340"/>
      <c r="AU401" s="340"/>
      <c r="AV401" s="340"/>
      <c r="AY401" s="340"/>
      <c r="AZ401" s="465">
        <f t="shared" ca="1" si="330"/>
        <v>7.3698599999999999E-5</v>
      </c>
      <c r="BA401" s="464">
        <f t="shared" ca="1" si="331"/>
        <v>1.9898630000000001E-3</v>
      </c>
      <c r="BB401" s="465">
        <f t="shared" ca="1" si="331"/>
        <v>2.0635616E-3</v>
      </c>
      <c r="BC401" s="466">
        <f t="shared" ca="1" si="332"/>
        <v>54820</v>
      </c>
      <c r="BD401" s="467">
        <f t="shared" ca="1" si="345"/>
        <v>54821</v>
      </c>
      <c r="BE401" s="467">
        <f t="shared" ca="1" si="333"/>
        <v>54847</v>
      </c>
      <c r="BF401" s="468">
        <f ca="1">IF(計算!$BC401&lt;OP!$C$3,0,BD401-BC401)</f>
        <v>1</v>
      </c>
      <c r="BG401" s="468">
        <f ca="1">IF($BE401&gt;DATE(YEAR($BD$9)+OP!$C$57,MONTH($BD$9),DAY($BD$9)),0,$BE401-$BD401+1)</f>
        <v>27</v>
      </c>
      <c r="BH401" s="469">
        <f t="shared" ca="1" si="334"/>
        <v>28</v>
      </c>
      <c r="BI401" t="str">
        <f t="shared" si="316"/>
        <v/>
      </c>
      <c r="BJ401">
        <v>8</v>
      </c>
      <c r="BN401" s="468">
        <f t="shared" si="346"/>
        <v>33</v>
      </c>
      <c r="BO401" s="468">
        <f t="shared" si="347"/>
        <v>8</v>
      </c>
      <c r="BP401" s="467">
        <f t="shared" ca="1" si="335"/>
        <v>54821</v>
      </c>
      <c r="BQ401" s="475">
        <f t="shared" ca="1" si="349"/>
        <v>65</v>
      </c>
      <c r="BR401" s="475" t="str">
        <f t="shared" si="348"/>
        <v/>
      </c>
      <c r="BS401" s="471" t="str">
        <f t="shared" si="336"/>
        <v/>
      </c>
      <c r="BT401" s="472" t="str">
        <f t="shared" si="317"/>
        <v/>
      </c>
      <c r="BU401" s="472">
        <f t="shared" ca="1" si="337"/>
        <v>0</v>
      </c>
      <c r="BV401" s="472">
        <f t="shared" ca="1" si="337"/>
        <v>0</v>
      </c>
      <c r="BW401" s="472"/>
      <c r="BX401" s="473">
        <f t="shared" ca="1" si="338"/>
        <v>348237.88270617899</v>
      </c>
      <c r="BY401" s="473">
        <f t="shared" si="339"/>
        <v>0</v>
      </c>
      <c r="BZ401" s="473">
        <f t="shared" ca="1" si="321"/>
        <v>718.61032241800001</v>
      </c>
      <c r="CA401" s="476">
        <f t="shared" ca="1" si="340"/>
        <v>0</v>
      </c>
      <c r="CB401" s="494">
        <f ca="1">IF(OR($Q400&lt;&gt;1,OP!$D$5+$BN401-1&lt;16,$BN401-1&lt;1),0,ROUND(ROUND(ROUND(((VLOOKUP($BN401-1,MORE_PV,5,0)/10000)*VLOOKUP($BN401,MORE_PV,$CB$5,0)),3)*VLOOKUP($BN401,more1,5,0),0)/$R400,0))</f>
        <v>0</v>
      </c>
      <c r="CC401" s="473">
        <f t="shared" ca="1" si="341"/>
        <v>0</v>
      </c>
      <c r="CD401" s="477"/>
    </row>
    <row r="402" spans="2:82" ht="16.5" hidden="1">
      <c r="B402" s="80"/>
      <c r="C402" s="80"/>
      <c r="D402" s="80"/>
      <c r="E402" s="80"/>
      <c r="F402" s="80"/>
      <c r="G402" s="80"/>
      <c r="H402" s="80"/>
      <c r="I402" s="80"/>
      <c r="J402" s="192">
        <f t="shared" si="322"/>
        <v>33</v>
      </c>
      <c r="K402" s="192">
        <f t="shared" si="323"/>
        <v>10</v>
      </c>
      <c r="L402" s="192" t="str">
        <f t="shared" si="318"/>
        <v/>
      </c>
      <c r="M402" s="216">
        <f t="shared" ca="1" si="324"/>
        <v>0</v>
      </c>
      <c r="N402" s="216"/>
      <c r="O402" s="216"/>
      <c r="P402" s="216"/>
      <c r="Q402" s="456" t="str">
        <f t="shared" ca="1" si="325"/>
        <v/>
      </c>
      <c r="R402" s="450">
        <f t="shared" ca="1" si="326"/>
        <v>1</v>
      </c>
      <c r="S402" s="191">
        <f t="shared" si="327"/>
        <v>33</v>
      </c>
      <c r="T402" s="191">
        <f t="shared" si="328"/>
        <v>10</v>
      </c>
      <c r="U402" s="191">
        <f ca="1">OP!$D$5+$S402-1</f>
        <v>65</v>
      </c>
      <c r="V402" s="191" t="str">
        <f t="shared" si="329"/>
        <v/>
      </c>
      <c r="W402" s="350">
        <f ca="1">IF(Q402&lt;&gt;1,0,VLOOKUP(OP!$C$55,PVFB,$S402+2,0))</f>
        <v>0</v>
      </c>
      <c r="X402" s="473">
        <f t="shared" ca="1" si="342"/>
        <v>0</v>
      </c>
      <c r="Y402" s="348">
        <f t="shared" ca="1" si="343"/>
        <v>0</v>
      </c>
      <c r="Z402" s="348">
        <f t="shared" ca="1" si="344"/>
        <v>8012</v>
      </c>
      <c r="AA402" s="348">
        <f ca="1">IF(Q402&lt;&gt;1,0,VLOOKUP(OP!$C$55,PVFB,$S402+2,0))</f>
        <v>0</v>
      </c>
      <c r="AB402" s="488" t="str">
        <f ca="1">IF(AND(S402&lt;OP!$C$24,$U402&lt;15),0,IF(AND($U402&lt;15,$T402=12),ROUND(VLOOKUP($S402,DOWN16,5,0),3),IF($T402=12,ROUND(($Z402/10000)*$AA402,3)+IF(AND($P$7="購買增額繳清保險",T402=12,U402=110),VLOOKUP(S402,$B$10:$H$121,7,0),0),"")))</f>
        <v/>
      </c>
      <c r="AC402" s="350" t="str">
        <f ca="1">IF(AND(S402&lt;OP!$C$24,$U402&lt;15),0,IF(AND($U402&lt;16,$T402=12),VLOOKUP($S402,DOWN16,4,0),IF($T402=12,ROUND(VLOOKUP(OP!$C$55,_DIE2,$S402+1,0)*(Z402/10000),0)+IF(AND($P$7="購買增額繳清保險",T402=12,U402=110),VLOOKUP(S402,$B$10:$H$121,7,0),0),"")))</f>
        <v/>
      </c>
      <c r="AD402" s="347"/>
      <c r="AE402" s="350" t="str">
        <f t="shared" ca="1" si="319"/>
        <v/>
      </c>
      <c r="AF402" s="351" t="str">
        <f t="shared" ca="1" si="320"/>
        <v/>
      </c>
      <c r="AG402" s="340"/>
      <c r="AH402" s="340"/>
      <c r="AI402" s="340"/>
      <c r="AJ402" s="340"/>
      <c r="AK402" s="340"/>
      <c r="AL402" s="340"/>
      <c r="AM402" s="340"/>
      <c r="AN402" s="340"/>
      <c r="AO402" s="340"/>
      <c r="AP402" s="340"/>
      <c r="AQ402" s="340"/>
      <c r="AR402" s="340"/>
      <c r="AS402" s="340"/>
      <c r="AT402" s="340"/>
      <c r="AU402" s="340"/>
      <c r="AV402" s="340"/>
      <c r="AY402" s="340"/>
      <c r="AZ402" s="465">
        <f t="shared" ca="1" si="330"/>
        <v>7.3698599999999999E-5</v>
      </c>
      <c r="BA402" s="464">
        <f t="shared" ca="1" si="331"/>
        <v>2.2109589000000002E-3</v>
      </c>
      <c r="BB402" s="465">
        <f t="shared" ca="1" si="331"/>
        <v>2.2846575E-3</v>
      </c>
      <c r="BC402" s="466">
        <f t="shared" ca="1" si="332"/>
        <v>54848</v>
      </c>
      <c r="BD402" s="467">
        <f t="shared" ca="1" si="345"/>
        <v>54849</v>
      </c>
      <c r="BE402" s="467">
        <f t="shared" ca="1" si="333"/>
        <v>54878</v>
      </c>
      <c r="BF402" s="468">
        <f ca="1">IF(計算!$BC402&lt;OP!$C$3,0,BD402-BC402)</f>
        <v>1</v>
      </c>
      <c r="BG402" s="468">
        <f ca="1">IF($BE402&gt;DATE(YEAR($BD$9)+OP!$C$57,MONTH($BD$9),DAY($BD$9)),0,$BE402-$BD402+1)</f>
        <v>30</v>
      </c>
      <c r="BH402" s="469">
        <f t="shared" ca="1" si="334"/>
        <v>31</v>
      </c>
      <c r="BI402" t="str">
        <f t="shared" si="316"/>
        <v/>
      </c>
      <c r="BJ402">
        <v>9</v>
      </c>
      <c r="BN402" s="468">
        <f t="shared" si="346"/>
        <v>33</v>
      </c>
      <c r="BO402" s="468">
        <f t="shared" si="347"/>
        <v>9</v>
      </c>
      <c r="BP402" s="467">
        <f t="shared" ca="1" si="335"/>
        <v>54849</v>
      </c>
      <c r="BQ402" s="475">
        <f t="shared" ca="1" si="349"/>
        <v>65</v>
      </c>
      <c r="BR402" s="475" t="str">
        <f t="shared" si="348"/>
        <v/>
      </c>
      <c r="BS402" s="471" t="str">
        <f t="shared" si="336"/>
        <v/>
      </c>
      <c r="BT402" s="472" t="str">
        <f t="shared" si="317"/>
        <v/>
      </c>
      <c r="BU402" s="472">
        <f t="shared" ca="1" si="337"/>
        <v>0</v>
      </c>
      <c r="BV402" s="472">
        <f t="shared" ca="1" si="337"/>
        <v>0</v>
      </c>
      <c r="BW402" s="472"/>
      <c r="BX402" s="473">
        <f t="shared" ca="1" si="338"/>
        <v>348956.49302859697</v>
      </c>
      <c r="BY402" s="473">
        <f t="shared" si="339"/>
        <v>0</v>
      </c>
      <c r="BZ402" s="473">
        <f t="shared" ca="1" si="321"/>
        <v>797.246068971</v>
      </c>
      <c r="CA402" s="476">
        <f t="shared" ca="1" si="340"/>
        <v>0</v>
      </c>
      <c r="CB402" s="494">
        <f ca="1">IF(OR($Q401&lt;&gt;1,OP!$D$5+$BN402-1&lt;16,$BN402-1&lt;1),0,ROUND(ROUND(ROUND(((VLOOKUP($BN402-1,MORE_PV,5,0)/10000)*VLOOKUP($BN402,MORE_PV,$CB$5,0)),3)*VLOOKUP($BN402,more1,5,0),0)/$R401,0))</f>
        <v>0</v>
      </c>
      <c r="CC402" s="473">
        <f t="shared" ca="1" si="341"/>
        <v>0</v>
      </c>
      <c r="CD402" s="477"/>
    </row>
    <row r="403" spans="2:82" ht="16.5" hidden="1">
      <c r="B403" s="80"/>
      <c r="C403" s="80"/>
      <c r="D403" s="80"/>
      <c r="E403" s="80"/>
      <c r="F403" s="80"/>
      <c r="G403" s="80"/>
      <c r="H403" s="80"/>
      <c r="I403" s="80"/>
      <c r="J403" s="192">
        <f t="shared" si="322"/>
        <v>33</v>
      </c>
      <c r="K403" s="192">
        <f t="shared" si="323"/>
        <v>11</v>
      </c>
      <c r="L403" s="192" t="str">
        <f t="shared" si="318"/>
        <v/>
      </c>
      <c r="M403" s="216">
        <f t="shared" ca="1" si="324"/>
        <v>0</v>
      </c>
      <c r="N403" s="216"/>
      <c r="O403" s="216"/>
      <c r="P403" s="216"/>
      <c r="Q403" s="456" t="str">
        <f t="shared" ca="1" si="325"/>
        <v/>
      </c>
      <c r="R403" s="450">
        <f t="shared" ca="1" si="326"/>
        <v>1</v>
      </c>
      <c r="S403" s="191">
        <f t="shared" si="327"/>
        <v>33</v>
      </c>
      <c r="T403" s="191">
        <f t="shared" si="328"/>
        <v>11</v>
      </c>
      <c r="U403" s="191">
        <f ca="1">OP!$D$5+$S403-1</f>
        <v>65</v>
      </c>
      <c r="V403" s="191" t="str">
        <f t="shared" si="329"/>
        <v/>
      </c>
      <c r="W403" s="350">
        <f ca="1">IF(Q403&lt;&gt;1,0,VLOOKUP(OP!$C$55,PVFB,$S403+2,0))</f>
        <v>0</v>
      </c>
      <c r="X403" s="473">
        <f t="shared" ca="1" si="342"/>
        <v>0</v>
      </c>
      <c r="Y403" s="348">
        <f t="shared" ca="1" si="343"/>
        <v>0</v>
      </c>
      <c r="Z403" s="348">
        <f t="shared" ca="1" si="344"/>
        <v>8012</v>
      </c>
      <c r="AA403" s="348">
        <f ca="1">IF(Q403&lt;&gt;1,0,VLOOKUP(OP!$C$55,PVFB,$S403+2,0))</f>
        <v>0</v>
      </c>
      <c r="AB403" s="488" t="str">
        <f ca="1">IF(AND(S403&lt;OP!$C$24,$U403&lt;15),0,IF(AND($U403&lt;15,$T403=12),ROUND(VLOOKUP($S403,DOWN16,5,0),3),IF($T403=12,ROUND(($Z403/10000)*$AA403,3)+IF(AND($P$7="購買增額繳清保險",T403=12,U403=110),VLOOKUP(S403,$B$10:$H$121,7,0),0),"")))</f>
        <v/>
      </c>
      <c r="AC403" s="350" t="str">
        <f ca="1">IF(AND(S403&lt;OP!$C$24,$U403&lt;15),0,IF(AND($U403&lt;16,$T403=12),VLOOKUP($S403,DOWN16,4,0),IF($T403=12,ROUND(VLOOKUP(OP!$C$55,_DIE2,$S403+1,0)*(Z403/10000),0)+IF(AND($P$7="購買增額繳清保險",T403=12,U403=110),VLOOKUP(S403,$B$10:$H$121,7,0),0),"")))</f>
        <v/>
      </c>
      <c r="AD403" s="347"/>
      <c r="AE403" s="350" t="str">
        <f t="shared" ca="1" si="319"/>
        <v/>
      </c>
      <c r="AF403" s="351" t="str">
        <f t="shared" ca="1" si="320"/>
        <v/>
      </c>
      <c r="AG403" s="340"/>
      <c r="AH403" s="340"/>
      <c r="AI403" s="340"/>
      <c r="AJ403" s="340"/>
      <c r="AK403" s="340"/>
      <c r="AL403" s="340"/>
      <c r="AM403" s="340"/>
      <c r="AN403" s="340"/>
      <c r="AO403" s="340"/>
      <c r="AP403" s="340"/>
      <c r="AQ403" s="340"/>
      <c r="AR403" s="340"/>
      <c r="AS403" s="340"/>
      <c r="AT403" s="340"/>
      <c r="AU403" s="340"/>
      <c r="AV403" s="340"/>
      <c r="AY403" s="340"/>
      <c r="AZ403" s="465">
        <f t="shared" ca="1" si="330"/>
        <v>7.3698599999999999E-5</v>
      </c>
      <c r="BA403" s="464">
        <f t="shared" ca="1" si="331"/>
        <v>2.1372602999999999E-3</v>
      </c>
      <c r="BB403" s="465">
        <f t="shared" ca="1" si="331"/>
        <v>2.2109589000000002E-3</v>
      </c>
      <c r="BC403" s="466">
        <f t="shared" ca="1" si="332"/>
        <v>54879</v>
      </c>
      <c r="BD403" s="467">
        <f t="shared" ca="1" si="345"/>
        <v>54880</v>
      </c>
      <c r="BE403" s="467">
        <f t="shared" ca="1" si="333"/>
        <v>54908</v>
      </c>
      <c r="BF403" s="468">
        <f ca="1">IF(計算!$BC403&lt;OP!$C$3,0,BD403-BC403)</f>
        <v>1</v>
      </c>
      <c r="BG403" s="468">
        <f ca="1">IF($BE403&gt;DATE(YEAR($BD$9)+OP!$C$57,MONTH($BD$9),DAY($BD$9)),0,$BE403-$BD403+1)</f>
        <v>29</v>
      </c>
      <c r="BH403" s="469">
        <f t="shared" ca="1" si="334"/>
        <v>30</v>
      </c>
      <c r="BI403" t="str">
        <f t="shared" si="316"/>
        <v/>
      </c>
      <c r="BJ403">
        <v>10</v>
      </c>
      <c r="BN403" s="468">
        <f t="shared" si="346"/>
        <v>33</v>
      </c>
      <c r="BO403" s="468">
        <f t="shared" si="347"/>
        <v>10</v>
      </c>
      <c r="BP403" s="467">
        <f t="shared" ca="1" si="335"/>
        <v>54880</v>
      </c>
      <c r="BQ403" s="475">
        <f t="shared" ca="1" si="349"/>
        <v>65</v>
      </c>
      <c r="BR403" s="475" t="str">
        <f t="shared" si="348"/>
        <v/>
      </c>
      <c r="BS403" s="471" t="str">
        <f t="shared" si="336"/>
        <v/>
      </c>
      <c r="BT403" s="472" t="str">
        <f t="shared" si="317"/>
        <v/>
      </c>
      <c r="BU403" s="472">
        <f t="shared" ca="1" si="337"/>
        <v>0</v>
      </c>
      <c r="BV403" s="472">
        <f t="shared" ca="1" si="337"/>
        <v>0</v>
      </c>
      <c r="BW403" s="472"/>
      <c r="BX403" s="473">
        <f t="shared" ca="1" si="338"/>
        <v>349753.73909756797</v>
      </c>
      <c r="BY403" s="473">
        <f t="shared" si="339"/>
        <v>0</v>
      </c>
      <c r="BZ403" s="473">
        <f t="shared" ca="1" si="321"/>
        <v>773.29114226599995</v>
      </c>
      <c r="CA403" s="476">
        <f t="shared" ca="1" si="340"/>
        <v>0</v>
      </c>
      <c r="CB403" s="494">
        <f ca="1">IF(OR($Q402&lt;&gt;1,OP!$D$5+$BN403-1&lt;16,$BN403-1&lt;1),0,ROUND(ROUND(ROUND(((VLOOKUP($BN403-1,MORE_PV,5,0)/10000)*VLOOKUP($BN403,MORE_PV,$CB$5,0)),3)*VLOOKUP($BN403,more1,5,0),0)/$R402,0))</f>
        <v>0</v>
      </c>
      <c r="CC403" s="473">
        <f t="shared" ca="1" si="341"/>
        <v>0</v>
      </c>
      <c r="CD403" s="477"/>
    </row>
    <row r="404" spans="2:82" ht="16.5" hidden="1">
      <c r="B404" s="80"/>
      <c r="C404" s="80"/>
      <c r="D404" s="80"/>
      <c r="E404" s="80"/>
      <c r="F404" s="80"/>
      <c r="G404" s="80"/>
      <c r="H404" s="80"/>
      <c r="I404" s="80"/>
      <c r="J404" s="192">
        <f t="shared" si="322"/>
        <v>33</v>
      </c>
      <c r="K404" s="192">
        <f t="shared" si="323"/>
        <v>12</v>
      </c>
      <c r="L404" s="192">
        <f t="shared" si="318"/>
        <v>33</v>
      </c>
      <c r="M404" s="216">
        <f t="shared" ca="1" si="324"/>
        <v>363617</v>
      </c>
      <c r="N404" s="216"/>
      <c r="O404" s="216"/>
      <c r="P404" s="216"/>
      <c r="Q404" s="456">
        <f t="shared" ca="1" si="325"/>
        <v>1</v>
      </c>
      <c r="R404" s="450">
        <f t="shared" ca="1" si="326"/>
        <v>1</v>
      </c>
      <c r="S404" s="191">
        <f t="shared" si="327"/>
        <v>33</v>
      </c>
      <c r="T404" s="191">
        <f t="shared" si="328"/>
        <v>12</v>
      </c>
      <c r="U404" s="191">
        <f ca="1">OP!$D$5+$S404-1</f>
        <v>65</v>
      </c>
      <c r="V404" s="191">
        <f t="shared" si="329"/>
        <v>33</v>
      </c>
      <c r="W404" s="350">
        <f ca="1">IF(Q404&lt;&gt;1,0,VLOOKUP(OP!$C$55,PVFB,$S404+2,0))</f>
        <v>51069</v>
      </c>
      <c r="X404" s="473">
        <f t="shared" ca="1" si="342"/>
        <v>12263</v>
      </c>
      <c r="Y404" s="348">
        <f t="shared" ca="1" si="343"/>
        <v>0</v>
      </c>
      <c r="Z404" s="348">
        <f t="shared" ca="1" si="344"/>
        <v>8012</v>
      </c>
      <c r="AA404" s="348">
        <f ca="1">IF(Q404&lt;&gt;1,0,VLOOKUP(OP!$C$55,PVFB,$S404+2,0))</f>
        <v>51069</v>
      </c>
      <c r="AB404" s="488">
        <f ca="1">IF(AND(S404&lt;OP!$C$24,$U404&lt;15),0,IF(AND($U404&lt;15,$T404=12),ROUND(VLOOKUP($S404,DOWN16,5,0),3),IF($T404=12,ROUND(($Z404/10000)*$AA404,3)+IF(AND($P$7="購買增額繳清保險",T404=12,U404=110),VLOOKUP(S404,$B$10:$H$121,7,0),0),"")))</f>
        <v>40916.483</v>
      </c>
      <c r="AC404" s="350">
        <f ca="1">IF(AND(S404&lt;OP!$C$24,$U404&lt;15),0,IF(AND($U404&lt;16,$T404=12),VLOOKUP($S404,DOWN16,4,0),IF($T404=12,ROUND(VLOOKUP(OP!$C$55,_DIE2,$S404+1,0)*(Z404/10000),0)+IF(AND($P$7="購買增額繳清保險",T404=12,U404=110),VLOOKUP(S404,$B$10:$H$121,7,0),0),"")))</f>
        <v>40916</v>
      </c>
      <c r="AD404" s="347"/>
      <c r="AE404" s="350" t="str">
        <f t="shared" ca="1" si="319"/>
        <v/>
      </c>
      <c r="AF404" s="351" t="str">
        <f t="shared" ca="1" si="320"/>
        <v/>
      </c>
      <c r="AG404" s="340"/>
      <c r="AH404" s="340"/>
      <c r="AI404" s="340"/>
      <c r="AJ404" s="340"/>
      <c r="AK404" s="340"/>
      <c r="AL404" s="340"/>
      <c r="AM404" s="340"/>
      <c r="AN404" s="340"/>
      <c r="AO404" s="340"/>
      <c r="AP404" s="340"/>
      <c r="AQ404" s="340"/>
      <c r="AR404" s="340"/>
      <c r="AS404" s="340"/>
      <c r="AT404" s="340"/>
      <c r="AU404" s="340"/>
      <c r="AV404" s="340"/>
      <c r="AY404" s="340"/>
      <c r="AZ404" s="465">
        <f t="shared" ca="1" si="330"/>
        <v>7.3698599999999999E-5</v>
      </c>
      <c r="BA404" s="464">
        <f t="shared" ca="1" si="331"/>
        <v>2.2109589000000002E-3</v>
      </c>
      <c r="BB404" s="465">
        <f t="shared" ca="1" si="331"/>
        <v>2.2846575E-3</v>
      </c>
      <c r="BC404" s="466">
        <f t="shared" ca="1" si="332"/>
        <v>54909</v>
      </c>
      <c r="BD404" s="467">
        <f t="shared" ca="1" si="345"/>
        <v>54910</v>
      </c>
      <c r="BE404" s="467">
        <f t="shared" ca="1" si="333"/>
        <v>54939</v>
      </c>
      <c r="BF404" s="468">
        <f ca="1">IF(計算!$BC404&lt;OP!$C$3,0,BD404-BC404)</f>
        <v>1</v>
      </c>
      <c r="BG404" s="468">
        <f ca="1">IF($BE404&gt;DATE(YEAR($BD$9)+OP!$C$57,MONTH($BD$9),DAY($BD$9)),0,$BE404-$BD404+1)</f>
        <v>30</v>
      </c>
      <c r="BH404" s="469">
        <f t="shared" ca="1" si="334"/>
        <v>31</v>
      </c>
      <c r="BI404" t="str">
        <f t="shared" si="316"/>
        <v/>
      </c>
      <c r="BJ404">
        <v>11</v>
      </c>
      <c r="BN404" s="468">
        <f t="shared" si="346"/>
        <v>33</v>
      </c>
      <c r="BO404" s="468">
        <f t="shared" si="347"/>
        <v>11</v>
      </c>
      <c r="BP404" s="467">
        <f t="shared" ca="1" si="335"/>
        <v>54910</v>
      </c>
      <c r="BQ404" s="475">
        <f t="shared" ca="1" si="349"/>
        <v>65</v>
      </c>
      <c r="BR404" s="475" t="str">
        <f t="shared" si="348"/>
        <v/>
      </c>
      <c r="BS404" s="471" t="str">
        <f t="shared" si="336"/>
        <v/>
      </c>
      <c r="BT404" s="472" t="str">
        <f t="shared" si="317"/>
        <v/>
      </c>
      <c r="BU404" s="472">
        <f t="shared" ca="1" si="337"/>
        <v>0</v>
      </c>
      <c r="BV404" s="472">
        <f t="shared" ca="1" si="337"/>
        <v>0</v>
      </c>
      <c r="BW404" s="472"/>
      <c r="BX404" s="473">
        <f t="shared" ca="1" si="338"/>
        <v>350527.03023983398</v>
      </c>
      <c r="BY404" s="473">
        <f t="shared" si="339"/>
        <v>0</v>
      </c>
      <c r="BZ404" s="473">
        <f t="shared" ca="1" si="321"/>
        <v>800.83420859</v>
      </c>
      <c r="CA404" s="476">
        <f t="shared" ca="1" si="340"/>
        <v>0</v>
      </c>
      <c r="CB404" s="494">
        <f ca="1">IF(OR($Q403&lt;&gt;1,OP!$D$5+$BN404-1&lt;16,$BN404-1&lt;1),0,ROUND(ROUND(ROUND(((VLOOKUP($BN404-1,MORE_PV,5,0)/10000)*VLOOKUP($BN404,MORE_PV,$CB$5,0)),3)*VLOOKUP($BN404,more1,5,0),0)/$R403,0))</f>
        <v>0</v>
      </c>
      <c r="CC404" s="473">
        <f t="shared" ca="1" si="341"/>
        <v>0</v>
      </c>
      <c r="CD404" s="477"/>
    </row>
    <row r="405" spans="2:82" ht="16.5" hidden="1">
      <c r="B405" s="80"/>
      <c r="C405" s="80"/>
      <c r="D405" s="80"/>
      <c r="E405" s="80"/>
      <c r="F405" s="80"/>
      <c r="G405" s="80"/>
      <c r="H405" s="80"/>
      <c r="I405" s="80"/>
      <c r="J405" s="192">
        <f t="shared" si="322"/>
        <v>34</v>
      </c>
      <c r="K405" s="192">
        <f t="shared" si="323"/>
        <v>1</v>
      </c>
      <c r="L405" s="192" t="str">
        <f t="shared" si="318"/>
        <v/>
      </c>
      <c r="M405" s="216">
        <f t="shared" ca="1" si="324"/>
        <v>0</v>
      </c>
      <c r="N405" s="216"/>
      <c r="O405" s="216"/>
      <c r="P405" s="216"/>
      <c r="Q405" s="456" t="str">
        <f t="shared" ca="1" si="325"/>
        <v/>
      </c>
      <c r="R405" s="450">
        <f t="shared" ca="1" si="326"/>
        <v>1</v>
      </c>
      <c r="S405" s="191">
        <f t="shared" si="327"/>
        <v>34</v>
      </c>
      <c r="T405" s="191">
        <f t="shared" si="328"/>
        <v>1</v>
      </c>
      <c r="U405" s="191">
        <f ca="1">OP!$D$5+$S405-1</f>
        <v>66</v>
      </c>
      <c r="V405" s="191" t="str">
        <f t="shared" si="329"/>
        <v/>
      </c>
      <c r="W405" s="350">
        <f ca="1">IF(Q405&lt;&gt;1,0,VLOOKUP(OP!$C$55,PVFB,$S405+2,0))</f>
        <v>0</v>
      </c>
      <c r="X405" s="473">
        <f t="shared" ca="1" si="342"/>
        <v>0</v>
      </c>
      <c r="Y405" s="348">
        <f t="shared" ca="1" si="343"/>
        <v>0</v>
      </c>
      <c r="Z405" s="348">
        <f t="shared" ca="1" si="344"/>
        <v>8012</v>
      </c>
      <c r="AA405" s="348">
        <f ca="1">IF(Q405&lt;&gt;1,0,VLOOKUP(OP!$C$55,PVFB,$S405+2,0))</f>
        <v>0</v>
      </c>
      <c r="AB405" s="488" t="str">
        <f ca="1">IF(AND(S405&lt;OP!$C$24,$U405&lt;15),0,IF(AND($U405&lt;15,$T405=12),ROUND(VLOOKUP($S405,DOWN16,5,0),3),IF($T405=12,ROUND(($Z405/10000)*$AA405,3)+IF(AND($P$7="購買增額繳清保險",T405=12,U405=110),VLOOKUP(S405,$B$10:$H$121,7,0),0),"")))</f>
        <v/>
      </c>
      <c r="AC405" s="350" t="str">
        <f ca="1">IF(AND(S405&lt;OP!$C$24,$U405&lt;15),0,IF(AND($U405&lt;16,$T405=12),VLOOKUP($S405,DOWN16,4,0),IF($T405=12,ROUND(VLOOKUP(OP!$C$55,_DIE2,$S405+1,0)*(Z405/10000),0)+IF(AND($P$7="購買增額繳清保險",T405=12,U405=110),VLOOKUP(S405,$B$10:$H$121,7,0),0),"")))</f>
        <v/>
      </c>
      <c r="AD405" s="347"/>
      <c r="AE405" s="350" t="str">
        <f t="shared" ca="1" si="319"/>
        <v/>
      </c>
      <c r="AF405" s="351" t="str">
        <f t="shared" ca="1" si="320"/>
        <v/>
      </c>
      <c r="AG405" s="340"/>
      <c r="AH405" s="340"/>
      <c r="AI405" s="340"/>
      <c r="AJ405" s="340"/>
      <c r="AK405" s="340"/>
      <c r="AL405" s="340"/>
      <c r="AM405" s="340"/>
      <c r="AN405" s="340"/>
      <c r="AO405" s="340"/>
      <c r="AP405" s="340"/>
      <c r="AQ405" s="340"/>
      <c r="AR405" s="340"/>
      <c r="AS405" s="340"/>
      <c r="AT405" s="340"/>
      <c r="AU405" s="340"/>
      <c r="AV405" s="340"/>
      <c r="AY405" s="340"/>
      <c r="AZ405" s="465">
        <f t="shared" ca="1" si="330"/>
        <v>7.3698599999999999E-5</v>
      </c>
      <c r="BA405" s="464">
        <f t="shared" ca="1" si="331"/>
        <v>2.1372602999999999E-3</v>
      </c>
      <c r="BB405" s="465">
        <f t="shared" ca="1" si="331"/>
        <v>2.2109589000000002E-3</v>
      </c>
      <c r="BC405" s="466">
        <f t="shared" ca="1" si="332"/>
        <v>54940</v>
      </c>
      <c r="BD405" s="467">
        <f t="shared" ca="1" si="345"/>
        <v>54941</v>
      </c>
      <c r="BE405" s="467">
        <f t="shared" ca="1" si="333"/>
        <v>54969</v>
      </c>
      <c r="BF405" s="468">
        <f ca="1">IF(計算!$BC405&lt;OP!$C$3,0,BD405-BC405)</f>
        <v>1</v>
      </c>
      <c r="BG405" s="468">
        <f ca="1">IF($BE405&gt;DATE(YEAR($BD$9)+OP!$C$57,MONTH($BD$9),DAY($BD$9)),0,$BE405-$BD405+1)</f>
        <v>29</v>
      </c>
      <c r="BH405" s="469">
        <f t="shared" ca="1" si="334"/>
        <v>30</v>
      </c>
      <c r="BI405">
        <f t="shared" ref="BI405:BI468" ca="1" si="350">IF(BJ405=12,BD405-BD393,"")</f>
        <v>365</v>
      </c>
      <c r="BJ405">
        <v>12</v>
      </c>
      <c r="BN405" s="468">
        <f t="shared" si="346"/>
        <v>33</v>
      </c>
      <c r="BO405" s="468">
        <f t="shared" si="347"/>
        <v>12</v>
      </c>
      <c r="BP405" s="467">
        <f t="shared" ca="1" si="335"/>
        <v>54941</v>
      </c>
      <c r="BQ405" s="475">
        <f t="shared" ca="1" si="349"/>
        <v>65</v>
      </c>
      <c r="BR405" s="475">
        <f t="shared" si="348"/>
        <v>33</v>
      </c>
      <c r="BS405" s="471">
        <f t="shared" ca="1" si="336"/>
        <v>12263</v>
      </c>
      <c r="BT405" s="472">
        <f t="shared" ca="1" si="317"/>
        <v>363617</v>
      </c>
      <c r="BU405" s="472">
        <f t="shared" ca="1" si="337"/>
        <v>11981</v>
      </c>
      <c r="BV405" s="472">
        <f t="shared" ca="1" si="337"/>
        <v>282</v>
      </c>
      <c r="BW405" s="472">
        <f ca="1">ROUND(SUM(BY405,BZ393:BZ404),0)</f>
        <v>9315</v>
      </c>
      <c r="BX405" s="473">
        <f t="shared" ca="1" si="338"/>
        <v>363616.75682017498</v>
      </c>
      <c r="BY405" s="473">
        <f t="shared" ca="1" si="339"/>
        <v>25.892371750999999</v>
      </c>
      <c r="BZ405" s="473">
        <f t="shared" ca="1" si="321"/>
        <v>777.14365876700003</v>
      </c>
      <c r="CA405" s="476">
        <f t="shared" ca="1" si="340"/>
        <v>11981</v>
      </c>
      <c r="CB405" s="494">
        <f ca="1">IF(OR($Q404&lt;&gt;1,OP!$D$5+$BN405-1&lt;16,$BN405-1&lt;1),0,ROUND(ROUND(ROUND(((VLOOKUP($BN405-1,MORE_PV,5,0)/10000)*VLOOKUP($BN405,MORE_PV,$CB$5,0)),3)*VLOOKUP($BN405,more1,5,0),0)/$R404,0))</f>
        <v>282</v>
      </c>
      <c r="CC405" s="473">
        <f t="shared" ca="1" si="341"/>
        <v>0</v>
      </c>
      <c r="CD405" s="477"/>
    </row>
    <row r="406" spans="2:82" ht="16.5" hidden="1">
      <c r="B406" s="80"/>
      <c r="C406" s="80"/>
      <c r="D406" s="80"/>
      <c r="E406" s="80"/>
      <c r="F406" s="80"/>
      <c r="G406" s="80"/>
      <c r="H406" s="80"/>
      <c r="I406" s="80"/>
      <c r="J406" s="192">
        <f t="shared" si="322"/>
        <v>34</v>
      </c>
      <c r="K406" s="192">
        <f t="shared" si="323"/>
        <v>2</v>
      </c>
      <c r="L406" s="192" t="str">
        <f t="shared" si="318"/>
        <v/>
      </c>
      <c r="M406" s="216">
        <f t="shared" ca="1" si="324"/>
        <v>0</v>
      </c>
      <c r="N406" s="216"/>
      <c r="O406" s="216"/>
      <c r="P406" s="216"/>
      <c r="Q406" s="456" t="str">
        <f t="shared" ca="1" si="325"/>
        <v/>
      </c>
      <c r="R406" s="450">
        <f t="shared" ca="1" si="326"/>
        <v>1</v>
      </c>
      <c r="S406" s="191">
        <f t="shared" si="327"/>
        <v>34</v>
      </c>
      <c r="T406" s="191">
        <f t="shared" si="328"/>
        <v>2</v>
      </c>
      <c r="U406" s="191">
        <f ca="1">OP!$D$5+$S406-1</f>
        <v>66</v>
      </c>
      <c r="V406" s="191" t="str">
        <f t="shared" si="329"/>
        <v/>
      </c>
      <c r="W406" s="350">
        <f ca="1">IF(Q406&lt;&gt;1,0,VLOOKUP(OP!$C$55,PVFB,$S406+2,0))</f>
        <v>0</v>
      </c>
      <c r="X406" s="473">
        <f t="shared" ca="1" si="342"/>
        <v>0</v>
      </c>
      <c r="Y406" s="348">
        <f t="shared" ca="1" si="343"/>
        <v>0</v>
      </c>
      <c r="Z406" s="348">
        <f t="shared" ca="1" si="344"/>
        <v>8012</v>
      </c>
      <c r="AA406" s="348">
        <f ca="1">IF(Q406&lt;&gt;1,0,VLOOKUP(OP!$C$55,PVFB,$S406+2,0))</f>
        <v>0</v>
      </c>
      <c r="AB406" s="488" t="str">
        <f ca="1">IF(AND(S406&lt;OP!$C$24,$U406&lt;15),0,IF(AND($U406&lt;15,$T406=12),ROUND(VLOOKUP($S406,DOWN16,5,0),3),IF($T406=12,ROUND(($Z406/10000)*$AA406,3)+IF(AND($P$7="購買增額繳清保險",T406=12,U406=110),VLOOKUP(S406,$B$10:$H$121,7,0),0),"")))</f>
        <v/>
      </c>
      <c r="AC406" s="350" t="str">
        <f ca="1">IF(AND(S406&lt;OP!$C$24,$U406&lt;15),0,IF(AND($U406&lt;16,$T406=12),VLOOKUP($S406,DOWN16,4,0),IF($T406=12,ROUND(VLOOKUP(OP!$C$55,_DIE2,$S406+1,0)*(Z406/10000),0)+IF(AND($P$7="購買增額繳清保險",T406=12,U406=110),VLOOKUP(S406,$B$10:$H$121,7,0),0),"")))</f>
        <v/>
      </c>
      <c r="AD406" s="347"/>
      <c r="AE406" s="350" t="str">
        <f t="shared" ca="1" si="319"/>
        <v/>
      </c>
      <c r="AF406" s="351" t="str">
        <f t="shared" ca="1" si="320"/>
        <v/>
      </c>
      <c r="AG406" s="340"/>
      <c r="AH406" s="340"/>
      <c r="AI406" s="340"/>
      <c r="AJ406" s="340"/>
      <c r="AK406" s="340"/>
      <c r="AL406" s="340"/>
      <c r="AM406" s="340"/>
      <c r="AN406" s="340"/>
      <c r="AO406" s="340"/>
      <c r="AP406" s="340"/>
      <c r="AQ406" s="340"/>
      <c r="AR406" s="340"/>
      <c r="AS406" s="340"/>
      <c r="AT406" s="340"/>
      <c r="AU406" s="340"/>
      <c r="AV406" s="340"/>
      <c r="AY406" s="340"/>
      <c r="AZ406" s="465">
        <f t="shared" ca="1" si="330"/>
        <v>7.3698599999999999E-5</v>
      </c>
      <c r="BA406" s="464">
        <f t="shared" ca="1" si="331"/>
        <v>2.2109589000000002E-3</v>
      </c>
      <c r="BB406" s="465">
        <f t="shared" ca="1" si="331"/>
        <v>2.2846575E-3</v>
      </c>
      <c r="BC406" s="466">
        <f t="shared" ca="1" si="332"/>
        <v>54970</v>
      </c>
      <c r="BD406" s="467">
        <f t="shared" ca="1" si="345"/>
        <v>54971</v>
      </c>
      <c r="BE406" s="467">
        <f t="shared" ca="1" si="333"/>
        <v>55000</v>
      </c>
      <c r="BF406" s="468">
        <f ca="1">IF(計算!$BC406&lt;OP!$C$3,0,BD406-BC406)</f>
        <v>1</v>
      </c>
      <c r="BG406" s="468">
        <f ca="1">IF($BE406&gt;DATE(YEAR($BD$9)+OP!$C$57,MONTH($BD$9),DAY($BD$9)),0,$BE406-$BD406+1)</f>
        <v>30</v>
      </c>
      <c r="BH406" s="469">
        <f t="shared" ca="1" si="334"/>
        <v>31</v>
      </c>
      <c r="BI406" t="str">
        <f t="shared" si="350"/>
        <v/>
      </c>
      <c r="BJ406">
        <v>1</v>
      </c>
      <c r="BN406" s="468">
        <f t="shared" si="346"/>
        <v>34</v>
      </c>
      <c r="BO406" s="468">
        <f t="shared" si="347"/>
        <v>1</v>
      </c>
      <c r="BP406" s="467">
        <f t="shared" ca="1" si="335"/>
        <v>54971</v>
      </c>
      <c r="BQ406" s="475">
        <f t="shared" ca="1" si="349"/>
        <v>66</v>
      </c>
      <c r="BR406" s="475" t="str">
        <f t="shared" si="348"/>
        <v/>
      </c>
      <c r="BS406" s="471" t="str">
        <f t="shared" si="336"/>
        <v/>
      </c>
      <c r="BT406" s="472" t="str">
        <f t="shared" ref="BT406:BT469" si="351">IF(BW406&lt;&gt;"",IF(BN406&gt;=$P$4+1,ROUND(BU406,0)+ROUND(BV406,0)+ROUND(BW406,0)+BT394,0),"")</f>
        <v/>
      </c>
      <c r="BU406" s="472">
        <f t="shared" ca="1" si="337"/>
        <v>0</v>
      </c>
      <c r="BV406" s="472">
        <f t="shared" ca="1" si="337"/>
        <v>0</v>
      </c>
      <c r="BW406" s="472"/>
      <c r="BX406" s="473">
        <f t="shared" ca="1" si="338"/>
        <v>364393.90047894203</v>
      </c>
      <c r="BY406" s="473">
        <f t="shared" si="339"/>
        <v>0</v>
      </c>
      <c r="BZ406" s="473">
        <f t="shared" ca="1" si="321"/>
        <v>832.51525768299996</v>
      </c>
      <c r="CA406" s="476">
        <f t="shared" ca="1" si="340"/>
        <v>0</v>
      </c>
      <c r="CB406" s="494">
        <f ca="1">IF(OR($Q405&lt;&gt;1,OP!$D$5+$BN406-1&lt;16,$BN406-1&lt;1),0,ROUND(ROUND(ROUND(((VLOOKUP($BN406-1,MORE_PV,5,0)/10000)*VLOOKUP($BN406,MORE_PV,$CB$5,0)),3)*VLOOKUP($BN406,more1,5,0),0)/$R405,0))</f>
        <v>0</v>
      </c>
      <c r="CC406" s="473">
        <f t="shared" ca="1" si="341"/>
        <v>0</v>
      </c>
      <c r="CD406" s="477"/>
    </row>
    <row r="407" spans="2:82" ht="16.5" hidden="1">
      <c r="B407" s="80"/>
      <c r="C407" s="80"/>
      <c r="D407" s="80"/>
      <c r="E407" s="80"/>
      <c r="F407" s="80"/>
      <c r="G407" s="80"/>
      <c r="H407" s="80"/>
      <c r="I407" s="80"/>
      <c r="J407" s="192">
        <f t="shared" si="322"/>
        <v>34</v>
      </c>
      <c r="K407" s="192">
        <f t="shared" si="323"/>
        <v>3</v>
      </c>
      <c r="L407" s="192" t="str">
        <f t="shared" si="318"/>
        <v/>
      </c>
      <c r="M407" s="216">
        <f t="shared" ca="1" si="324"/>
        <v>0</v>
      </c>
      <c r="N407" s="216"/>
      <c r="O407" s="216"/>
      <c r="P407" s="216"/>
      <c r="Q407" s="456" t="str">
        <f t="shared" ca="1" si="325"/>
        <v/>
      </c>
      <c r="R407" s="450">
        <f t="shared" ca="1" si="326"/>
        <v>1</v>
      </c>
      <c r="S407" s="191">
        <f t="shared" si="327"/>
        <v>34</v>
      </c>
      <c r="T407" s="191">
        <f t="shared" si="328"/>
        <v>3</v>
      </c>
      <c r="U407" s="191">
        <f ca="1">OP!$D$5+$S407-1</f>
        <v>66</v>
      </c>
      <c r="V407" s="191" t="str">
        <f t="shared" si="329"/>
        <v/>
      </c>
      <c r="W407" s="350">
        <f ca="1">IF(Q407&lt;&gt;1,0,VLOOKUP(OP!$C$55,PVFB,$S407+2,0))</f>
        <v>0</v>
      </c>
      <c r="X407" s="473">
        <f t="shared" ca="1" si="342"/>
        <v>0</v>
      </c>
      <c r="Y407" s="348">
        <f t="shared" ca="1" si="343"/>
        <v>0</v>
      </c>
      <c r="Z407" s="348">
        <f t="shared" ca="1" si="344"/>
        <v>8012</v>
      </c>
      <c r="AA407" s="348">
        <f ca="1">IF(Q407&lt;&gt;1,0,VLOOKUP(OP!$C$55,PVFB,$S407+2,0))</f>
        <v>0</v>
      </c>
      <c r="AB407" s="488" t="str">
        <f ca="1">IF(AND(S407&lt;OP!$C$24,$U407&lt;15),0,IF(AND($U407&lt;15,$T407=12),ROUND(VLOOKUP($S407,DOWN16,5,0),3),IF($T407=12,ROUND(($Z407/10000)*$AA407,3)+IF(AND($P$7="購買增額繳清保險",T407=12,U407=110),VLOOKUP(S407,$B$10:$H$121,7,0),0),"")))</f>
        <v/>
      </c>
      <c r="AC407" s="350" t="str">
        <f ca="1">IF(AND(S407&lt;OP!$C$24,$U407&lt;15),0,IF(AND($U407&lt;16,$T407=12),VLOOKUP($S407,DOWN16,4,0),IF($T407=12,ROUND(VLOOKUP(OP!$C$55,_DIE2,$S407+1,0)*(Z407/10000),0)+IF(AND($P$7="購買增額繳清保險",T407=12,U407=110),VLOOKUP(S407,$B$10:$H$121,7,0),0),"")))</f>
        <v/>
      </c>
      <c r="AD407" s="347"/>
      <c r="AE407" s="350" t="str">
        <f t="shared" ca="1" si="319"/>
        <v/>
      </c>
      <c r="AF407" s="351" t="str">
        <f t="shared" ca="1" si="320"/>
        <v/>
      </c>
      <c r="AG407" s="340"/>
      <c r="AH407" s="340"/>
      <c r="AI407" s="340"/>
      <c r="AJ407" s="340"/>
      <c r="AK407" s="340"/>
      <c r="AL407" s="340"/>
      <c r="AM407" s="340"/>
      <c r="AN407" s="340"/>
      <c r="AO407" s="340"/>
      <c r="AP407" s="340"/>
      <c r="AQ407" s="340"/>
      <c r="AR407" s="340"/>
      <c r="AS407" s="340"/>
      <c r="AT407" s="340"/>
      <c r="AU407" s="340"/>
      <c r="AV407" s="340"/>
      <c r="AY407" s="340"/>
      <c r="AZ407" s="465">
        <f t="shared" ca="1" si="330"/>
        <v>7.3698599999999999E-5</v>
      </c>
      <c r="BA407" s="464">
        <f t="shared" ca="1" si="331"/>
        <v>2.2109589000000002E-3</v>
      </c>
      <c r="BB407" s="465">
        <f t="shared" ca="1" si="331"/>
        <v>2.2846575E-3</v>
      </c>
      <c r="BC407" s="466">
        <f t="shared" ca="1" si="332"/>
        <v>55001</v>
      </c>
      <c r="BD407" s="467">
        <f t="shared" ca="1" si="345"/>
        <v>55002</v>
      </c>
      <c r="BE407" s="467">
        <f t="shared" ca="1" si="333"/>
        <v>55031</v>
      </c>
      <c r="BF407" s="468">
        <f ca="1">IF(計算!$BC407&lt;OP!$C$3,0,BD407-BC407)</f>
        <v>1</v>
      </c>
      <c r="BG407" s="468">
        <f ca="1">IF($BE407&gt;DATE(YEAR($BD$9)+OP!$C$57,MONTH($BD$9),DAY($BD$9)),0,$BE407-$BD407+1)</f>
        <v>30</v>
      </c>
      <c r="BH407" s="469">
        <f t="shared" ca="1" si="334"/>
        <v>31</v>
      </c>
      <c r="BI407" t="str">
        <f t="shared" si="350"/>
        <v/>
      </c>
      <c r="BJ407">
        <v>2</v>
      </c>
      <c r="BN407" s="468">
        <f t="shared" si="346"/>
        <v>34</v>
      </c>
      <c r="BO407" s="468">
        <f t="shared" si="347"/>
        <v>2</v>
      </c>
      <c r="BP407" s="467">
        <f t="shared" ca="1" si="335"/>
        <v>55002</v>
      </c>
      <c r="BQ407" s="475">
        <f t="shared" ca="1" si="349"/>
        <v>66</v>
      </c>
      <c r="BR407" s="475" t="str">
        <f t="shared" si="348"/>
        <v/>
      </c>
      <c r="BS407" s="471" t="str">
        <f t="shared" si="336"/>
        <v/>
      </c>
      <c r="BT407" s="472" t="str">
        <f t="shared" si="351"/>
        <v/>
      </c>
      <c r="BU407" s="472">
        <f t="shared" ca="1" si="337"/>
        <v>0</v>
      </c>
      <c r="BV407" s="472">
        <f t="shared" ca="1" si="337"/>
        <v>0</v>
      </c>
      <c r="BW407" s="472"/>
      <c r="BX407" s="473">
        <f t="shared" ca="1" si="338"/>
        <v>365226.41573662497</v>
      </c>
      <c r="BY407" s="473">
        <f t="shared" si="339"/>
        <v>0</v>
      </c>
      <c r="BZ407" s="473">
        <f t="shared" ca="1" si="321"/>
        <v>834.41726991099995</v>
      </c>
      <c r="CA407" s="476">
        <f t="shared" ca="1" si="340"/>
        <v>0</v>
      </c>
      <c r="CB407" s="494">
        <f ca="1">IF(OR($Q406&lt;&gt;1,OP!$D$5+$BN407-1&lt;16,$BN407-1&lt;1),0,ROUND(ROUND(ROUND(((VLOOKUP($BN407-1,MORE_PV,5,0)/10000)*VLOOKUP($BN407,MORE_PV,$CB$5,0)),3)*VLOOKUP($BN407,more1,5,0),0)/$R406,0))</f>
        <v>0</v>
      </c>
      <c r="CC407" s="473">
        <f t="shared" ca="1" si="341"/>
        <v>0</v>
      </c>
      <c r="CD407" s="477"/>
    </row>
    <row r="408" spans="2:82" ht="16.5" hidden="1">
      <c r="B408" s="80"/>
      <c r="C408" s="80"/>
      <c r="D408" s="80"/>
      <c r="E408" s="80"/>
      <c r="F408" s="80"/>
      <c r="G408" s="80"/>
      <c r="H408" s="80"/>
      <c r="I408" s="80"/>
      <c r="J408" s="192">
        <f t="shared" si="322"/>
        <v>34</v>
      </c>
      <c r="K408" s="192">
        <f t="shared" si="323"/>
        <v>4</v>
      </c>
      <c r="L408" s="192" t="str">
        <f t="shared" si="318"/>
        <v/>
      </c>
      <c r="M408" s="216">
        <f t="shared" ca="1" si="324"/>
        <v>0</v>
      </c>
      <c r="N408" s="216"/>
      <c r="O408" s="216"/>
      <c r="P408" s="216"/>
      <c r="Q408" s="456" t="str">
        <f t="shared" ca="1" si="325"/>
        <v/>
      </c>
      <c r="R408" s="450">
        <f t="shared" ca="1" si="326"/>
        <v>1</v>
      </c>
      <c r="S408" s="191">
        <f t="shared" si="327"/>
        <v>34</v>
      </c>
      <c r="T408" s="191">
        <f t="shared" si="328"/>
        <v>4</v>
      </c>
      <c r="U408" s="191">
        <f ca="1">OP!$D$5+$S408-1</f>
        <v>66</v>
      </c>
      <c r="V408" s="191" t="str">
        <f t="shared" si="329"/>
        <v/>
      </c>
      <c r="W408" s="350">
        <f ca="1">IF(Q408&lt;&gt;1,0,VLOOKUP(OP!$C$55,PVFB,$S408+2,0))</f>
        <v>0</v>
      </c>
      <c r="X408" s="473">
        <f t="shared" ca="1" si="342"/>
        <v>0</v>
      </c>
      <c r="Y408" s="348">
        <f t="shared" ca="1" si="343"/>
        <v>0</v>
      </c>
      <c r="Z408" s="348">
        <f t="shared" ca="1" si="344"/>
        <v>8012</v>
      </c>
      <c r="AA408" s="348">
        <f ca="1">IF(Q408&lt;&gt;1,0,VLOOKUP(OP!$C$55,PVFB,$S408+2,0))</f>
        <v>0</v>
      </c>
      <c r="AB408" s="488" t="str">
        <f ca="1">IF(AND(S408&lt;OP!$C$24,$U408&lt;15),0,IF(AND($U408&lt;15,$T408=12),ROUND(VLOOKUP($S408,DOWN16,5,0),3),IF($T408=12,ROUND(($Z408/10000)*$AA408,3)+IF(AND($P$7="購買增額繳清保險",T408=12,U408=110),VLOOKUP(S408,$B$10:$H$121,7,0),0),"")))</f>
        <v/>
      </c>
      <c r="AC408" s="350" t="str">
        <f ca="1">IF(AND(S408&lt;OP!$C$24,$U408&lt;15),0,IF(AND($U408&lt;16,$T408=12),VLOOKUP($S408,DOWN16,4,0),IF($T408=12,ROUND(VLOOKUP(OP!$C$55,_DIE2,$S408+1,0)*(Z408/10000),0)+IF(AND($P$7="購買增額繳清保險",T408=12,U408=110),VLOOKUP(S408,$B$10:$H$121,7,0),0),"")))</f>
        <v/>
      </c>
      <c r="AD408" s="347"/>
      <c r="AE408" s="350" t="str">
        <f t="shared" ca="1" si="319"/>
        <v/>
      </c>
      <c r="AF408" s="351" t="str">
        <f t="shared" ca="1" si="320"/>
        <v/>
      </c>
      <c r="AG408" s="340"/>
      <c r="AH408" s="340"/>
      <c r="AI408" s="340"/>
      <c r="AJ408" s="340"/>
      <c r="AK408" s="340"/>
      <c r="AL408" s="340"/>
      <c r="AM408" s="340"/>
      <c r="AN408" s="340"/>
      <c r="AO408" s="340"/>
      <c r="AP408" s="340"/>
      <c r="AQ408" s="340"/>
      <c r="AR408" s="340"/>
      <c r="AS408" s="340"/>
      <c r="AT408" s="340"/>
      <c r="AU408" s="340"/>
      <c r="AV408" s="340"/>
      <c r="AY408" s="340"/>
      <c r="AZ408" s="465">
        <f t="shared" ca="1" si="330"/>
        <v>7.3698599999999999E-5</v>
      </c>
      <c r="BA408" s="464">
        <f t="shared" ca="1" si="331"/>
        <v>2.1372602999999999E-3</v>
      </c>
      <c r="BB408" s="465">
        <f t="shared" ca="1" si="331"/>
        <v>2.2109589000000002E-3</v>
      </c>
      <c r="BC408" s="466">
        <f t="shared" ca="1" si="332"/>
        <v>55032</v>
      </c>
      <c r="BD408" s="467">
        <f t="shared" ca="1" si="345"/>
        <v>55033</v>
      </c>
      <c r="BE408" s="467">
        <f t="shared" ca="1" si="333"/>
        <v>55061</v>
      </c>
      <c r="BF408" s="468">
        <f ca="1">IF(計算!$BC408&lt;OP!$C$3,0,BD408-BC408)</f>
        <v>1</v>
      </c>
      <c r="BG408" s="468">
        <f ca="1">IF($BE408&gt;DATE(YEAR($BD$9)+OP!$C$57,MONTH($BD$9),DAY($BD$9)),0,$BE408-$BD408+1)</f>
        <v>29</v>
      </c>
      <c r="BH408" s="469">
        <f t="shared" ca="1" si="334"/>
        <v>30</v>
      </c>
      <c r="BI408" t="str">
        <f t="shared" si="350"/>
        <v/>
      </c>
      <c r="BJ408">
        <v>3</v>
      </c>
      <c r="BN408" s="468">
        <f t="shared" si="346"/>
        <v>34</v>
      </c>
      <c r="BO408" s="468">
        <f t="shared" si="347"/>
        <v>3</v>
      </c>
      <c r="BP408" s="467">
        <f t="shared" ca="1" si="335"/>
        <v>55033</v>
      </c>
      <c r="BQ408" s="475">
        <f t="shared" ca="1" si="349"/>
        <v>66</v>
      </c>
      <c r="BR408" s="475" t="str">
        <f t="shared" si="348"/>
        <v/>
      </c>
      <c r="BS408" s="471" t="str">
        <f t="shared" si="336"/>
        <v/>
      </c>
      <c r="BT408" s="472" t="str">
        <f t="shared" si="351"/>
        <v/>
      </c>
      <c r="BU408" s="472">
        <f t="shared" ca="1" si="337"/>
        <v>0</v>
      </c>
      <c r="BV408" s="472">
        <f t="shared" ca="1" si="337"/>
        <v>0</v>
      </c>
      <c r="BW408" s="472"/>
      <c r="BX408" s="473">
        <f t="shared" ca="1" si="338"/>
        <v>366060.83300653601</v>
      </c>
      <c r="BY408" s="473">
        <f t="shared" si="339"/>
        <v>0</v>
      </c>
      <c r="BZ408" s="473">
        <f t="shared" ca="1" si="321"/>
        <v>809.34545667700002</v>
      </c>
      <c r="CA408" s="476">
        <f t="shared" ca="1" si="340"/>
        <v>0</v>
      </c>
      <c r="CB408" s="494">
        <f ca="1">IF(OR($Q407&lt;&gt;1,OP!$D$5+$BN408-1&lt;16,$BN408-1&lt;1),0,ROUND(ROUND(ROUND(((VLOOKUP($BN408-1,MORE_PV,5,0)/10000)*VLOOKUP($BN408,MORE_PV,$CB$5,0)),3)*VLOOKUP($BN408,more1,5,0),0)/$R407,0))</f>
        <v>0</v>
      </c>
      <c r="CC408" s="473">
        <f t="shared" ca="1" si="341"/>
        <v>0</v>
      </c>
      <c r="CD408" s="477"/>
    </row>
    <row r="409" spans="2:82" ht="16.5" hidden="1">
      <c r="B409" s="80"/>
      <c r="C409" s="80"/>
      <c r="D409" s="80"/>
      <c r="E409" s="80"/>
      <c r="F409" s="80"/>
      <c r="G409" s="80"/>
      <c r="H409" s="80"/>
      <c r="I409" s="80"/>
      <c r="J409" s="192">
        <f t="shared" si="322"/>
        <v>34</v>
      </c>
      <c r="K409" s="192">
        <f t="shared" si="323"/>
        <v>5</v>
      </c>
      <c r="L409" s="192" t="str">
        <f t="shared" si="318"/>
        <v/>
      </c>
      <c r="M409" s="216">
        <f t="shared" ca="1" si="324"/>
        <v>0</v>
      </c>
      <c r="N409" s="216"/>
      <c r="O409" s="216"/>
      <c r="P409" s="216"/>
      <c r="Q409" s="456" t="str">
        <f t="shared" ca="1" si="325"/>
        <v/>
      </c>
      <c r="R409" s="450">
        <f t="shared" ca="1" si="326"/>
        <v>1</v>
      </c>
      <c r="S409" s="191">
        <f t="shared" si="327"/>
        <v>34</v>
      </c>
      <c r="T409" s="191">
        <f t="shared" si="328"/>
        <v>5</v>
      </c>
      <c r="U409" s="191">
        <f ca="1">OP!$D$5+$S409-1</f>
        <v>66</v>
      </c>
      <c r="V409" s="191" t="str">
        <f t="shared" si="329"/>
        <v/>
      </c>
      <c r="W409" s="350">
        <f ca="1">IF(Q409&lt;&gt;1,0,VLOOKUP(OP!$C$55,PVFB,$S409+2,0))</f>
        <v>0</v>
      </c>
      <c r="X409" s="473">
        <f t="shared" ca="1" si="342"/>
        <v>0</v>
      </c>
      <c r="Y409" s="348">
        <f t="shared" ca="1" si="343"/>
        <v>0</v>
      </c>
      <c r="Z409" s="348">
        <f t="shared" ca="1" si="344"/>
        <v>8012</v>
      </c>
      <c r="AA409" s="348">
        <f ca="1">IF(Q409&lt;&gt;1,0,VLOOKUP(OP!$C$55,PVFB,$S409+2,0))</f>
        <v>0</v>
      </c>
      <c r="AB409" s="488" t="str">
        <f ca="1">IF(AND(S409&lt;OP!$C$24,$U409&lt;15),0,IF(AND($U409&lt;15,$T409=12),ROUND(VLOOKUP($S409,DOWN16,5,0),3),IF($T409=12,ROUND(($Z409/10000)*$AA409,3)+IF(AND($P$7="購買增額繳清保險",T409=12,U409=110),VLOOKUP(S409,$B$10:$H$121,7,0),0),"")))</f>
        <v/>
      </c>
      <c r="AC409" s="350" t="str">
        <f ca="1">IF(AND(S409&lt;OP!$C$24,$U409&lt;15),0,IF(AND($U409&lt;16,$T409=12),VLOOKUP($S409,DOWN16,4,0),IF($T409=12,ROUND(VLOOKUP(OP!$C$55,_DIE2,$S409+1,0)*(Z409/10000),0)+IF(AND($P$7="購買增額繳清保險",T409=12,U409=110),VLOOKUP(S409,$B$10:$H$121,7,0),0),"")))</f>
        <v/>
      </c>
      <c r="AD409" s="347"/>
      <c r="AE409" s="350" t="str">
        <f t="shared" ca="1" si="319"/>
        <v/>
      </c>
      <c r="AF409" s="351" t="str">
        <f t="shared" ca="1" si="320"/>
        <v/>
      </c>
      <c r="AG409" s="340"/>
      <c r="AH409" s="340"/>
      <c r="AI409" s="340"/>
      <c r="AJ409" s="340"/>
      <c r="AK409" s="340"/>
      <c r="AL409" s="340"/>
      <c r="AM409" s="340"/>
      <c r="AN409" s="340"/>
      <c r="AO409" s="340"/>
      <c r="AP409" s="340"/>
      <c r="AQ409" s="340"/>
      <c r="AR409" s="340"/>
      <c r="AS409" s="340"/>
      <c r="AT409" s="340"/>
      <c r="AU409" s="340"/>
      <c r="AV409" s="340"/>
      <c r="AY409" s="340"/>
      <c r="AZ409" s="465">
        <f t="shared" ca="1" si="330"/>
        <v>7.3698599999999999E-5</v>
      </c>
      <c r="BA409" s="464">
        <f t="shared" ca="1" si="331"/>
        <v>2.2109589000000002E-3</v>
      </c>
      <c r="BB409" s="465">
        <f t="shared" ca="1" si="331"/>
        <v>2.2846575E-3</v>
      </c>
      <c r="BC409" s="466">
        <f t="shared" ca="1" si="332"/>
        <v>55062</v>
      </c>
      <c r="BD409" s="467">
        <f t="shared" ca="1" si="345"/>
        <v>55063</v>
      </c>
      <c r="BE409" s="467">
        <f t="shared" ca="1" si="333"/>
        <v>55092</v>
      </c>
      <c r="BF409" s="468">
        <f ca="1">IF(計算!$BC409&lt;OP!$C$3,0,BD409-BC409)</f>
        <v>1</v>
      </c>
      <c r="BG409" s="468">
        <f ca="1">IF($BE409&gt;DATE(YEAR($BD$9)+OP!$C$57,MONTH($BD$9),DAY($BD$9)),0,$BE409-$BD409+1)</f>
        <v>30</v>
      </c>
      <c r="BH409" s="469">
        <f t="shared" ca="1" si="334"/>
        <v>31</v>
      </c>
      <c r="BI409" t="str">
        <f t="shared" si="350"/>
        <v/>
      </c>
      <c r="BJ409">
        <v>4</v>
      </c>
      <c r="BN409" s="468">
        <f t="shared" si="346"/>
        <v>34</v>
      </c>
      <c r="BO409" s="468">
        <f t="shared" si="347"/>
        <v>4</v>
      </c>
      <c r="BP409" s="467">
        <f t="shared" ca="1" si="335"/>
        <v>55063</v>
      </c>
      <c r="BQ409" s="475">
        <f t="shared" ca="1" si="349"/>
        <v>66</v>
      </c>
      <c r="BR409" s="475" t="str">
        <f t="shared" si="348"/>
        <v/>
      </c>
      <c r="BS409" s="471" t="str">
        <f t="shared" si="336"/>
        <v/>
      </c>
      <c r="BT409" s="472" t="str">
        <f t="shared" si="351"/>
        <v/>
      </c>
      <c r="BU409" s="472">
        <f t="shared" ca="1" si="337"/>
        <v>0</v>
      </c>
      <c r="BV409" s="472">
        <f t="shared" ca="1" si="337"/>
        <v>0</v>
      </c>
      <c r="BW409" s="472"/>
      <c r="BX409" s="473">
        <f t="shared" ca="1" si="338"/>
        <v>366870.17846321297</v>
      </c>
      <c r="BY409" s="473">
        <f t="shared" si="339"/>
        <v>0</v>
      </c>
      <c r="BZ409" s="473">
        <f t="shared" ca="1" si="321"/>
        <v>838.17270475199996</v>
      </c>
      <c r="CA409" s="476">
        <f t="shared" ca="1" si="340"/>
        <v>0</v>
      </c>
      <c r="CB409" s="494">
        <f ca="1">IF(OR($Q408&lt;&gt;1,OP!$D$5+$BN409-1&lt;16,$BN409-1&lt;1),0,ROUND(ROUND(ROUND(((VLOOKUP($BN409-1,MORE_PV,5,0)/10000)*VLOOKUP($BN409,MORE_PV,$CB$5,0)),3)*VLOOKUP($BN409,more1,5,0),0)/$R408,0))</f>
        <v>0</v>
      </c>
      <c r="CC409" s="473">
        <f t="shared" ca="1" si="341"/>
        <v>0</v>
      </c>
      <c r="CD409" s="477"/>
    </row>
    <row r="410" spans="2:82" ht="16.5" hidden="1">
      <c r="B410" s="80"/>
      <c r="C410" s="80"/>
      <c r="D410" s="80"/>
      <c r="E410" s="80"/>
      <c r="F410" s="80"/>
      <c r="G410" s="80"/>
      <c r="H410" s="80"/>
      <c r="I410" s="80"/>
      <c r="J410" s="192">
        <f t="shared" si="322"/>
        <v>34</v>
      </c>
      <c r="K410" s="192">
        <f t="shared" si="323"/>
        <v>6</v>
      </c>
      <c r="L410" s="192" t="str">
        <f t="shared" si="318"/>
        <v/>
      </c>
      <c r="M410" s="216">
        <f t="shared" ca="1" si="324"/>
        <v>0</v>
      </c>
      <c r="N410" s="216"/>
      <c r="O410" s="216"/>
      <c r="P410" s="216"/>
      <c r="Q410" s="456" t="str">
        <f t="shared" ca="1" si="325"/>
        <v/>
      </c>
      <c r="R410" s="450">
        <f t="shared" ca="1" si="326"/>
        <v>1</v>
      </c>
      <c r="S410" s="191">
        <f t="shared" si="327"/>
        <v>34</v>
      </c>
      <c r="T410" s="191">
        <f t="shared" si="328"/>
        <v>6</v>
      </c>
      <c r="U410" s="191">
        <f ca="1">OP!$D$5+$S410-1</f>
        <v>66</v>
      </c>
      <c r="V410" s="191" t="str">
        <f t="shared" si="329"/>
        <v/>
      </c>
      <c r="W410" s="350">
        <f ca="1">IF(Q410&lt;&gt;1,0,VLOOKUP(OP!$C$55,PVFB,$S410+2,0))</f>
        <v>0</v>
      </c>
      <c r="X410" s="473">
        <f t="shared" ca="1" si="342"/>
        <v>0</v>
      </c>
      <c r="Y410" s="348">
        <f t="shared" ca="1" si="343"/>
        <v>0</v>
      </c>
      <c r="Z410" s="348">
        <f t="shared" ca="1" si="344"/>
        <v>8012</v>
      </c>
      <c r="AA410" s="348">
        <f ca="1">IF(Q410&lt;&gt;1,0,VLOOKUP(OP!$C$55,PVFB,$S410+2,0))</f>
        <v>0</v>
      </c>
      <c r="AB410" s="488" t="str">
        <f ca="1">IF(AND(S410&lt;OP!$C$24,$U410&lt;15),0,IF(AND($U410&lt;15,$T410=12),ROUND(VLOOKUP($S410,DOWN16,5,0),3),IF($T410=12,ROUND(($Z410/10000)*$AA410,3)+IF(AND($P$7="購買增額繳清保險",T410=12,U410=110),VLOOKUP(S410,$B$10:$H$121,7,0),0),"")))</f>
        <v/>
      </c>
      <c r="AC410" s="350" t="str">
        <f ca="1">IF(AND(S410&lt;OP!$C$24,$U410&lt;15),0,IF(AND($U410&lt;16,$T410=12),VLOOKUP($S410,DOWN16,4,0),IF($T410=12,ROUND(VLOOKUP(OP!$C$55,_DIE2,$S410+1,0)*(Z410/10000),0)+IF(AND($P$7="購買增額繳清保險",T410=12,U410=110),VLOOKUP(S410,$B$10:$H$121,7,0),0),"")))</f>
        <v/>
      </c>
      <c r="AD410" s="347"/>
      <c r="AE410" s="350" t="str">
        <f t="shared" ca="1" si="319"/>
        <v/>
      </c>
      <c r="AF410" s="351" t="str">
        <f t="shared" ca="1" si="320"/>
        <v/>
      </c>
      <c r="AG410" s="340"/>
      <c r="AH410" s="340"/>
      <c r="AI410" s="340"/>
      <c r="AJ410" s="340"/>
      <c r="AK410" s="340"/>
      <c r="AL410" s="340"/>
      <c r="AM410" s="340"/>
      <c r="AN410" s="340"/>
      <c r="AO410" s="340"/>
      <c r="AP410" s="340"/>
      <c r="AQ410" s="340"/>
      <c r="AR410" s="340"/>
      <c r="AS410" s="340"/>
      <c r="AT410" s="340"/>
      <c r="AU410" s="340"/>
      <c r="AV410" s="340"/>
      <c r="AY410" s="340"/>
      <c r="AZ410" s="465">
        <f t="shared" ca="1" si="330"/>
        <v>7.3698599999999999E-5</v>
      </c>
      <c r="BA410" s="464">
        <f t="shared" ca="1" si="331"/>
        <v>2.1372602999999999E-3</v>
      </c>
      <c r="BB410" s="465">
        <f t="shared" ca="1" si="331"/>
        <v>2.2109589000000002E-3</v>
      </c>
      <c r="BC410" s="466">
        <f t="shared" ca="1" si="332"/>
        <v>55093</v>
      </c>
      <c r="BD410" s="467">
        <f t="shared" ca="1" si="345"/>
        <v>55094</v>
      </c>
      <c r="BE410" s="467">
        <f t="shared" ca="1" si="333"/>
        <v>55122</v>
      </c>
      <c r="BF410" s="468">
        <f ca="1">IF(計算!$BC410&lt;OP!$C$3,0,BD410-BC410)</f>
        <v>1</v>
      </c>
      <c r="BG410" s="468">
        <f ca="1">IF($BE410&gt;DATE(YEAR($BD$9)+OP!$C$57,MONTH($BD$9),DAY($BD$9)),0,$BE410-$BD410+1)</f>
        <v>29</v>
      </c>
      <c r="BH410" s="469">
        <f t="shared" ca="1" si="334"/>
        <v>30</v>
      </c>
      <c r="BI410" t="str">
        <f t="shared" si="350"/>
        <v/>
      </c>
      <c r="BJ410">
        <v>5</v>
      </c>
      <c r="BN410" s="468">
        <f t="shared" si="346"/>
        <v>34</v>
      </c>
      <c r="BO410" s="468">
        <f t="shared" si="347"/>
        <v>5</v>
      </c>
      <c r="BP410" s="467">
        <f t="shared" ca="1" si="335"/>
        <v>55094</v>
      </c>
      <c r="BQ410" s="475">
        <f t="shared" ca="1" si="349"/>
        <v>66</v>
      </c>
      <c r="BR410" s="475" t="str">
        <f t="shared" si="348"/>
        <v/>
      </c>
      <c r="BS410" s="471" t="str">
        <f t="shared" si="336"/>
        <v/>
      </c>
      <c r="BT410" s="472" t="str">
        <f t="shared" si="351"/>
        <v/>
      </c>
      <c r="BU410" s="472">
        <f t="shared" ca="1" si="337"/>
        <v>0</v>
      </c>
      <c r="BV410" s="472">
        <f t="shared" ca="1" si="337"/>
        <v>0</v>
      </c>
      <c r="BW410" s="472"/>
      <c r="BX410" s="473">
        <f t="shared" ca="1" si="338"/>
        <v>367708.35116796498</v>
      </c>
      <c r="BY410" s="473">
        <f t="shared" si="339"/>
        <v>0</v>
      </c>
      <c r="BZ410" s="473">
        <f t="shared" ca="1" si="321"/>
        <v>812.98805161899998</v>
      </c>
      <c r="CA410" s="476">
        <f t="shared" ca="1" si="340"/>
        <v>0</v>
      </c>
      <c r="CB410" s="494">
        <f ca="1">IF(OR($Q409&lt;&gt;1,OP!$D$5+$BN410-1&lt;16,$BN410-1&lt;1),0,ROUND(ROUND(ROUND(((VLOOKUP($BN410-1,MORE_PV,5,0)/10000)*VLOOKUP($BN410,MORE_PV,$CB$5,0)),3)*VLOOKUP($BN410,more1,5,0),0)/$R409,0))</f>
        <v>0</v>
      </c>
      <c r="CC410" s="473">
        <f t="shared" ca="1" si="341"/>
        <v>0</v>
      </c>
      <c r="CD410" s="477"/>
    </row>
    <row r="411" spans="2:82" ht="16.5" hidden="1">
      <c r="B411" s="80"/>
      <c r="C411" s="80"/>
      <c r="D411" s="80"/>
      <c r="E411" s="80"/>
      <c r="F411" s="80"/>
      <c r="G411" s="80"/>
      <c r="H411" s="80"/>
      <c r="I411" s="80"/>
      <c r="J411" s="192">
        <f t="shared" si="322"/>
        <v>34</v>
      </c>
      <c r="K411" s="192">
        <f t="shared" si="323"/>
        <v>7</v>
      </c>
      <c r="L411" s="192" t="str">
        <f t="shared" si="318"/>
        <v/>
      </c>
      <c r="M411" s="216">
        <f t="shared" ca="1" si="324"/>
        <v>0</v>
      </c>
      <c r="N411" s="216"/>
      <c r="O411" s="216"/>
      <c r="P411" s="216"/>
      <c r="Q411" s="456" t="str">
        <f t="shared" ca="1" si="325"/>
        <v/>
      </c>
      <c r="R411" s="450">
        <f t="shared" ca="1" si="326"/>
        <v>1</v>
      </c>
      <c r="S411" s="191">
        <f t="shared" si="327"/>
        <v>34</v>
      </c>
      <c r="T411" s="191">
        <f t="shared" si="328"/>
        <v>7</v>
      </c>
      <c r="U411" s="191">
        <f ca="1">OP!$D$5+$S411-1</f>
        <v>66</v>
      </c>
      <c r="V411" s="191" t="str">
        <f t="shared" si="329"/>
        <v/>
      </c>
      <c r="W411" s="350">
        <f ca="1">IF(Q411&lt;&gt;1,0,VLOOKUP(OP!$C$55,PVFB,$S411+2,0))</f>
        <v>0</v>
      </c>
      <c r="X411" s="473">
        <f t="shared" ca="1" si="342"/>
        <v>0</v>
      </c>
      <c r="Y411" s="348">
        <f t="shared" ca="1" si="343"/>
        <v>0</v>
      </c>
      <c r="Z411" s="348">
        <f t="shared" ca="1" si="344"/>
        <v>8012</v>
      </c>
      <c r="AA411" s="348">
        <f ca="1">IF(Q411&lt;&gt;1,0,VLOOKUP(OP!$C$55,PVFB,$S411+2,0))</f>
        <v>0</v>
      </c>
      <c r="AB411" s="488" t="str">
        <f ca="1">IF(AND(S411&lt;OP!$C$24,$U411&lt;15),0,IF(AND($U411&lt;15,$T411=12),ROUND(VLOOKUP($S411,DOWN16,5,0),3),IF($T411=12,ROUND(($Z411/10000)*$AA411,3)+IF(AND($P$7="購買增額繳清保險",T411=12,U411=110),VLOOKUP(S411,$B$10:$H$121,7,0),0),"")))</f>
        <v/>
      </c>
      <c r="AC411" s="350" t="str">
        <f ca="1">IF(AND(S411&lt;OP!$C$24,$U411&lt;15),0,IF(AND($U411&lt;16,$T411=12),VLOOKUP($S411,DOWN16,4,0),IF($T411=12,ROUND(VLOOKUP(OP!$C$55,_DIE2,$S411+1,0)*(Z411/10000),0)+IF(AND($P$7="購買增額繳清保險",T411=12,U411=110),VLOOKUP(S411,$B$10:$H$121,7,0),0),"")))</f>
        <v/>
      </c>
      <c r="AD411" s="347"/>
      <c r="AE411" s="350" t="str">
        <f t="shared" ca="1" si="319"/>
        <v/>
      </c>
      <c r="AF411" s="351" t="str">
        <f t="shared" ca="1" si="320"/>
        <v/>
      </c>
      <c r="AG411" s="340"/>
      <c r="AH411" s="340"/>
      <c r="AI411" s="340"/>
      <c r="AJ411" s="340"/>
      <c r="AK411" s="340"/>
      <c r="AL411" s="340"/>
      <c r="AM411" s="340"/>
      <c r="AN411" s="340"/>
      <c r="AO411" s="340"/>
      <c r="AP411" s="340"/>
      <c r="AQ411" s="340"/>
      <c r="AR411" s="340"/>
      <c r="AS411" s="340"/>
      <c r="AT411" s="340"/>
      <c r="AU411" s="340"/>
      <c r="AV411" s="340"/>
      <c r="AY411" s="340"/>
      <c r="AZ411" s="465">
        <f t="shared" ca="1" si="330"/>
        <v>7.3698599999999999E-5</v>
      </c>
      <c r="BA411" s="464">
        <f t="shared" ca="1" si="331"/>
        <v>2.2109589000000002E-3</v>
      </c>
      <c r="BB411" s="465">
        <f t="shared" ca="1" si="331"/>
        <v>2.2846575E-3</v>
      </c>
      <c r="BC411" s="466">
        <f t="shared" ca="1" si="332"/>
        <v>55123</v>
      </c>
      <c r="BD411" s="467">
        <f t="shared" ca="1" si="345"/>
        <v>55124</v>
      </c>
      <c r="BE411" s="467">
        <f t="shared" ca="1" si="333"/>
        <v>55153</v>
      </c>
      <c r="BF411" s="468">
        <f ca="1">IF(計算!$BC411&lt;OP!$C$3,0,BD411-BC411)</f>
        <v>1</v>
      </c>
      <c r="BG411" s="468">
        <f ca="1">IF($BE411&gt;DATE(YEAR($BD$9)+OP!$C$57,MONTH($BD$9),DAY($BD$9)),0,$BE411-$BD411+1)</f>
        <v>30</v>
      </c>
      <c r="BH411" s="469">
        <f t="shared" ca="1" si="334"/>
        <v>31</v>
      </c>
      <c r="BI411" t="str">
        <f t="shared" si="350"/>
        <v/>
      </c>
      <c r="BJ411">
        <v>6</v>
      </c>
      <c r="BN411" s="468">
        <f t="shared" si="346"/>
        <v>34</v>
      </c>
      <c r="BO411" s="468">
        <f t="shared" si="347"/>
        <v>6</v>
      </c>
      <c r="BP411" s="467">
        <f t="shared" ca="1" si="335"/>
        <v>55124</v>
      </c>
      <c r="BQ411" s="475">
        <f t="shared" ca="1" si="349"/>
        <v>66</v>
      </c>
      <c r="BR411" s="475" t="str">
        <f t="shared" si="348"/>
        <v/>
      </c>
      <c r="BS411" s="471" t="str">
        <f t="shared" si="336"/>
        <v/>
      </c>
      <c r="BT411" s="472" t="str">
        <f t="shared" si="351"/>
        <v/>
      </c>
      <c r="BU411" s="472">
        <f t="shared" ca="1" si="337"/>
        <v>0</v>
      </c>
      <c r="BV411" s="472">
        <f t="shared" ca="1" si="337"/>
        <v>0</v>
      </c>
      <c r="BW411" s="472"/>
      <c r="BX411" s="473">
        <f t="shared" ca="1" si="338"/>
        <v>368521.33921958401</v>
      </c>
      <c r="BY411" s="473">
        <f t="shared" si="339"/>
        <v>0</v>
      </c>
      <c r="BZ411" s="473">
        <f t="shared" ca="1" si="321"/>
        <v>841.94504155799996</v>
      </c>
      <c r="CA411" s="476">
        <f t="shared" ca="1" si="340"/>
        <v>0</v>
      </c>
      <c r="CB411" s="494">
        <f ca="1">IF(OR($Q410&lt;&gt;1,OP!$D$5+$BN411-1&lt;16,$BN411-1&lt;1),0,ROUND(ROUND(ROUND(((VLOOKUP($BN411-1,MORE_PV,5,0)/10000)*VLOOKUP($BN411,MORE_PV,$CB$5,0)),3)*VLOOKUP($BN411,more1,5,0),0)/$R410,0))</f>
        <v>0</v>
      </c>
      <c r="CC411" s="473">
        <f t="shared" ca="1" si="341"/>
        <v>0</v>
      </c>
      <c r="CD411" s="477"/>
    </row>
    <row r="412" spans="2:82" ht="16.5" hidden="1">
      <c r="B412" s="80"/>
      <c r="C412" s="80"/>
      <c r="D412" s="80"/>
      <c r="E412" s="80"/>
      <c r="F412" s="80"/>
      <c r="G412" s="80"/>
      <c r="H412" s="80"/>
      <c r="I412" s="80"/>
      <c r="J412" s="192">
        <f t="shared" si="322"/>
        <v>34</v>
      </c>
      <c r="K412" s="192">
        <f t="shared" si="323"/>
        <v>8</v>
      </c>
      <c r="L412" s="192" t="str">
        <f t="shared" si="318"/>
        <v/>
      </c>
      <c r="M412" s="216">
        <f t="shared" ca="1" si="324"/>
        <v>0</v>
      </c>
      <c r="N412" s="216"/>
      <c r="O412" s="216"/>
      <c r="P412" s="216"/>
      <c r="Q412" s="456" t="str">
        <f t="shared" ca="1" si="325"/>
        <v/>
      </c>
      <c r="R412" s="450">
        <f t="shared" ca="1" si="326"/>
        <v>1</v>
      </c>
      <c r="S412" s="191">
        <f t="shared" si="327"/>
        <v>34</v>
      </c>
      <c r="T412" s="191">
        <f t="shared" si="328"/>
        <v>8</v>
      </c>
      <c r="U412" s="191">
        <f ca="1">OP!$D$5+$S412-1</f>
        <v>66</v>
      </c>
      <c r="V412" s="191" t="str">
        <f t="shared" si="329"/>
        <v/>
      </c>
      <c r="W412" s="350">
        <f ca="1">IF(Q412&lt;&gt;1,0,VLOOKUP(OP!$C$55,PVFB,$S412+2,0))</f>
        <v>0</v>
      </c>
      <c r="X412" s="473">
        <f t="shared" ca="1" si="342"/>
        <v>0</v>
      </c>
      <c r="Y412" s="348">
        <f t="shared" ca="1" si="343"/>
        <v>0</v>
      </c>
      <c r="Z412" s="348">
        <f t="shared" ca="1" si="344"/>
        <v>8012</v>
      </c>
      <c r="AA412" s="348">
        <f ca="1">IF(Q412&lt;&gt;1,0,VLOOKUP(OP!$C$55,PVFB,$S412+2,0))</f>
        <v>0</v>
      </c>
      <c r="AB412" s="488" t="str">
        <f ca="1">IF(AND(S412&lt;OP!$C$24,$U412&lt;15),0,IF(AND($U412&lt;15,$T412=12),ROUND(VLOOKUP($S412,DOWN16,5,0),3),IF($T412=12,ROUND(($Z412/10000)*$AA412,3)+IF(AND($P$7="購買增額繳清保險",T412=12,U412=110),VLOOKUP(S412,$B$10:$H$121,7,0),0),"")))</f>
        <v/>
      </c>
      <c r="AC412" s="350" t="str">
        <f ca="1">IF(AND(S412&lt;OP!$C$24,$U412&lt;15),0,IF(AND($U412&lt;16,$T412=12),VLOOKUP($S412,DOWN16,4,0),IF($T412=12,ROUND(VLOOKUP(OP!$C$55,_DIE2,$S412+1,0)*(Z412/10000),0)+IF(AND($P$7="購買增額繳清保險",T412=12,U412=110),VLOOKUP(S412,$B$10:$H$121,7,0),0),"")))</f>
        <v/>
      </c>
      <c r="AD412" s="347"/>
      <c r="AE412" s="350" t="str">
        <f t="shared" ca="1" si="319"/>
        <v/>
      </c>
      <c r="AF412" s="351" t="str">
        <f t="shared" ca="1" si="320"/>
        <v/>
      </c>
      <c r="AG412" s="340"/>
      <c r="AH412" s="340"/>
      <c r="AI412" s="340"/>
      <c r="AJ412" s="340"/>
      <c r="AK412" s="340"/>
      <c r="AL412" s="340"/>
      <c r="AM412" s="340"/>
      <c r="AN412" s="340"/>
      <c r="AO412" s="340"/>
      <c r="AP412" s="340"/>
      <c r="AQ412" s="340"/>
      <c r="AR412" s="340"/>
      <c r="AS412" s="340"/>
      <c r="AT412" s="340"/>
      <c r="AU412" s="340"/>
      <c r="AV412" s="340"/>
      <c r="AY412" s="340"/>
      <c r="AZ412" s="465">
        <f t="shared" ca="1" si="330"/>
        <v>7.3698599999999999E-5</v>
      </c>
      <c r="BA412" s="464">
        <f t="shared" ca="1" si="331"/>
        <v>2.2109589000000002E-3</v>
      </c>
      <c r="BB412" s="465">
        <f t="shared" ca="1" si="331"/>
        <v>2.2846575E-3</v>
      </c>
      <c r="BC412" s="466">
        <f t="shared" ca="1" si="332"/>
        <v>55154</v>
      </c>
      <c r="BD412" s="467">
        <f t="shared" ca="1" si="345"/>
        <v>55155</v>
      </c>
      <c r="BE412" s="467">
        <f t="shared" ca="1" si="333"/>
        <v>55184</v>
      </c>
      <c r="BF412" s="468">
        <f ca="1">IF(計算!$BC412&lt;OP!$C$3,0,BD412-BC412)</f>
        <v>1</v>
      </c>
      <c r="BG412" s="468">
        <f ca="1">IF($BE412&gt;DATE(YEAR($BD$9)+OP!$C$57,MONTH($BD$9),DAY($BD$9)),0,$BE412-$BD412+1)</f>
        <v>30</v>
      </c>
      <c r="BH412" s="469">
        <f t="shared" ca="1" si="334"/>
        <v>31</v>
      </c>
      <c r="BI412" t="str">
        <f t="shared" si="350"/>
        <v/>
      </c>
      <c r="BJ412">
        <v>7</v>
      </c>
      <c r="BN412" s="468">
        <f t="shared" si="346"/>
        <v>34</v>
      </c>
      <c r="BO412" s="468">
        <f t="shared" si="347"/>
        <v>7</v>
      </c>
      <c r="BP412" s="467">
        <f t="shared" ca="1" si="335"/>
        <v>55155</v>
      </c>
      <c r="BQ412" s="475">
        <f t="shared" ca="1" si="349"/>
        <v>66</v>
      </c>
      <c r="BR412" s="475" t="str">
        <f t="shared" si="348"/>
        <v/>
      </c>
      <c r="BS412" s="471" t="str">
        <f t="shared" si="336"/>
        <v/>
      </c>
      <c r="BT412" s="472" t="str">
        <f t="shared" si="351"/>
        <v/>
      </c>
      <c r="BU412" s="472">
        <f t="shared" ca="1" si="337"/>
        <v>0</v>
      </c>
      <c r="BV412" s="472">
        <f t="shared" ca="1" si="337"/>
        <v>0</v>
      </c>
      <c r="BW412" s="472"/>
      <c r="BX412" s="473">
        <f t="shared" ca="1" si="338"/>
        <v>369363.28426114202</v>
      </c>
      <c r="BY412" s="473">
        <f t="shared" si="339"/>
        <v>0</v>
      </c>
      <c r="BZ412" s="473">
        <f t="shared" ca="1" si="321"/>
        <v>843.86859761200003</v>
      </c>
      <c r="CA412" s="476">
        <f t="shared" ca="1" si="340"/>
        <v>0</v>
      </c>
      <c r="CB412" s="494">
        <f ca="1">IF(OR($Q411&lt;&gt;1,OP!$D$5+$BN412-1&lt;16,$BN412-1&lt;1),0,ROUND(ROUND(ROUND(((VLOOKUP($BN412-1,MORE_PV,5,0)/10000)*VLOOKUP($BN412,MORE_PV,$CB$5,0)),3)*VLOOKUP($BN412,more1,5,0),0)/$R411,0))</f>
        <v>0</v>
      </c>
      <c r="CC412" s="473">
        <f t="shared" ca="1" si="341"/>
        <v>0</v>
      </c>
      <c r="CD412" s="477"/>
    </row>
    <row r="413" spans="2:82" ht="16.5" hidden="1">
      <c r="B413" s="80"/>
      <c r="C413" s="80"/>
      <c r="D413" s="80"/>
      <c r="E413" s="80"/>
      <c r="F413" s="80"/>
      <c r="G413" s="80"/>
      <c r="H413" s="80"/>
      <c r="I413" s="80"/>
      <c r="J413" s="192">
        <f t="shared" si="322"/>
        <v>34</v>
      </c>
      <c r="K413" s="192">
        <f t="shared" si="323"/>
        <v>9</v>
      </c>
      <c r="L413" s="192" t="str">
        <f t="shared" si="318"/>
        <v/>
      </c>
      <c r="M413" s="216">
        <f t="shared" ca="1" si="324"/>
        <v>0</v>
      </c>
      <c r="N413" s="216"/>
      <c r="O413" s="216"/>
      <c r="P413" s="216"/>
      <c r="Q413" s="456" t="str">
        <f t="shared" ca="1" si="325"/>
        <v/>
      </c>
      <c r="R413" s="450">
        <f t="shared" ca="1" si="326"/>
        <v>1</v>
      </c>
      <c r="S413" s="191">
        <f t="shared" si="327"/>
        <v>34</v>
      </c>
      <c r="T413" s="191">
        <f t="shared" si="328"/>
        <v>9</v>
      </c>
      <c r="U413" s="191">
        <f ca="1">OP!$D$5+$S413-1</f>
        <v>66</v>
      </c>
      <c r="V413" s="191" t="str">
        <f t="shared" si="329"/>
        <v/>
      </c>
      <c r="W413" s="350">
        <f ca="1">IF(Q413&lt;&gt;1,0,VLOOKUP(OP!$C$55,PVFB,$S413+2,0))</f>
        <v>0</v>
      </c>
      <c r="X413" s="473">
        <f t="shared" ca="1" si="342"/>
        <v>0</v>
      </c>
      <c r="Y413" s="348">
        <f t="shared" ca="1" si="343"/>
        <v>0</v>
      </c>
      <c r="Z413" s="348">
        <f t="shared" ca="1" si="344"/>
        <v>8012</v>
      </c>
      <c r="AA413" s="348">
        <f ca="1">IF(Q413&lt;&gt;1,0,VLOOKUP(OP!$C$55,PVFB,$S413+2,0))</f>
        <v>0</v>
      </c>
      <c r="AB413" s="488" t="str">
        <f ca="1">IF(AND(S413&lt;OP!$C$24,$U413&lt;15),0,IF(AND($U413&lt;15,$T413=12),ROUND(VLOOKUP($S413,DOWN16,5,0),3),IF($T413=12,ROUND(($Z413/10000)*$AA413,3)+IF(AND($P$7="購買增額繳清保險",T413=12,U413=110),VLOOKUP(S413,$B$10:$H$121,7,0),0),"")))</f>
        <v/>
      </c>
      <c r="AC413" s="350" t="str">
        <f ca="1">IF(AND(S413&lt;OP!$C$24,$U413&lt;15),0,IF(AND($U413&lt;16,$T413=12),VLOOKUP($S413,DOWN16,4,0),IF($T413=12,ROUND(VLOOKUP(OP!$C$55,_DIE2,$S413+1,0)*(Z413/10000),0)+IF(AND($P$7="購買增額繳清保險",T413=12,U413=110),VLOOKUP(S413,$B$10:$H$121,7,0),0),"")))</f>
        <v/>
      </c>
      <c r="AD413" s="347"/>
      <c r="AE413" s="350" t="str">
        <f t="shared" ca="1" si="319"/>
        <v/>
      </c>
      <c r="AF413" s="351" t="str">
        <f t="shared" ca="1" si="320"/>
        <v/>
      </c>
      <c r="AG413" s="340"/>
      <c r="AH413" s="340"/>
      <c r="AI413" s="340"/>
      <c r="AJ413" s="340"/>
      <c r="AK413" s="340"/>
      <c r="AL413" s="340"/>
      <c r="AM413" s="340"/>
      <c r="AN413" s="340"/>
      <c r="AO413" s="340"/>
      <c r="AP413" s="340"/>
      <c r="AQ413" s="340"/>
      <c r="AR413" s="340"/>
      <c r="AS413" s="340"/>
      <c r="AT413" s="340"/>
      <c r="AU413" s="340"/>
      <c r="AV413" s="340"/>
      <c r="AY413" s="340"/>
      <c r="AZ413" s="465">
        <f t="shared" ca="1" si="330"/>
        <v>7.3698599999999999E-5</v>
      </c>
      <c r="BA413" s="464">
        <f t="shared" ca="1" si="331"/>
        <v>1.9898630000000001E-3</v>
      </c>
      <c r="BB413" s="465">
        <f t="shared" ca="1" si="331"/>
        <v>2.0635616E-3</v>
      </c>
      <c r="BC413" s="466">
        <f t="shared" ca="1" si="332"/>
        <v>55185</v>
      </c>
      <c r="BD413" s="467">
        <f t="shared" ca="1" si="345"/>
        <v>55186</v>
      </c>
      <c r="BE413" s="467">
        <f t="shared" ca="1" si="333"/>
        <v>55212</v>
      </c>
      <c r="BF413" s="468">
        <f ca="1">IF(計算!$BC413&lt;OP!$C$3,0,BD413-BC413)</f>
        <v>1</v>
      </c>
      <c r="BG413" s="468">
        <f ca="1">IF($BE413&gt;DATE(YEAR($BD$9)+OP!$C$57,MONTH($BD$9),DAY($BD$9)),0,$BE413-$BD413+1)</f>
        <v>27</v>
      </c>
      <c r="BH413" s="469">
        <f t="shared" ca="1" si="334"/>
        <v>28</v>
      </c>
      <c r="BI413" t="str">
        <f t="shared" si="350"/>
        <v/>
      </c>
      <c r="BJ413">
        <v>8</v>
      </c>
      <c r="BN413" s="468">
        <f t="shared" si="346"/>
        <v>34</v>
      </c>
      <c r="BO413" s="468">
        <f t="shared" si="347"/>
        <v>8</v>
      </c>
      <c r="BP413" s="467">
        <f t="shared" ca="1" si="335"/>
        <v>55186</v>
      </c>
      <c r="BQ413" s="475">
        <f t="shared" ca="1" si="349"/>
        <v>66</v>
      </c>
      <c r="BR413" s="475" t="str">
        <f t="shared" si="348"/>
        <v/>
      </c>
      <c r="BS413" s="471" t="str">
        <f t="shared" si="336"/>
        <v/>
      </c>
      <c r="BT413" s="472" t="str">
        <f t="shared" si="351"/>
        <v/>
      </c>
      <c r="BU413" s="472">
        <f t="shared" ca="1" si="337"/>
        <v>0</v>
      </c>
      <c r="BV413" s="472">
        <f t="shared" ca="1" si="337"/>
        <v>0</v>
      </c>
      <c r="BW413" s="472"/>
      <c r="BX413" s="473">
        <f t="shared" ca="1" si="338"/>
        <v>370207.15285875398</v>
      </c>
      <c r="BY413" s="473">
        <f t="shared" si="339"/>
        <v>0</v>
      </c>
      <c r="BZ413" s="473">
        <f t="shared" ca="1" si="321"/>
        <v>763.94526468499998</v>
      </c>
      <c r="CA413" s="476">
        <f t="shared" ca="1" si="340"/>
        <v>0</v>
      </c>
      <c r="CB413" s="494">
        <f ca="1">IF(OR($Q412&lt;&gt;1,OP!$D$5+$BN413-1&lt;16,$BN413-1&lt;1),0,ROUND(ROUND(ROUND(((VLOOKUP($BN413-1,MORE_PV,5,0)/10000)*VLOOKUP($BN413,MORE_PV,$CB$5,0)),3)*VLOOKUP($BN413,more1,5,0),0)/$R412,0))</f>
        <v>0</v>
      </c>
      <c r="CC413" s="473">
        <f t="shared" ca="1" si="341"/>
        <v>0</v>
      </c>
      <c r="CD413" s="477"/>
    </row>
    <row r="414" spans="2:82" ht="16.5" hidden="1">
      <c r="B414" s="80"/>
      <c r="C414" s="80"/>
      <c r="D414" s="80"/>
      <c r="E414" s="80"/>
      <c r="F414" s="80"/>
      <c r="G414" s="80"/>
      <c r="H414" s="80"/>
      <c r="I414" s="80"/>
      <c r="J414" s="192">
        <f t="shared" si="322"/>
        <v>34</v>
      </c>
      <c r="K414" s="192">
        <f t="shared" si="323"/>
        <v>10</v>
      </c>
      <c r="L414" s="192" t="str">
        <f t="shared" si="318"/>
        <v/>
      </c>
      <c r="M414" s="216">
        <f t="shared" ca="1" si="324"/>
        <v>0</v>
      </c>
      <c r="N414" s="216"/>
      <c r="O414" s="216"/>
      <c r="P414" s="216"/>
      <c r="Q414" s="456" t="str">
        <f t="shared" ca="1" si="325"/>
        <v/>
      </c>
      <c r="R414" s="450">
        <f t="shared" ca="1" si="326"/>
        <v>1</v>
      </c>
      <c r="S414" s="191">
        <f t="shared" si="327"/>
        <v>34</v>
      </c>
      <c r="T414" s="191">
        <f t="shared" si="328"/>
        <v>10</v>
      </c>
      <c r="U414" s="191">
        <f ca="1">OP!$D$5+$S414-1</f>
        <v>66</v>
      </c>
      <c r="V414" s="191" t="str">
        <f t="shared" si="329"/>
        <v/>
      </c>
      <c r="W414" s="350">
        <f ca="1">IF(Q414&lt;&gt;1,0,VLOOKUP(OP!$C$55,PVFB,$S414+2,0))</f>
        <v>0</v>
      </c>
      <c r="X414" s="473">
        <f t="shared" ca="1" si="342"/>
        <v>0</v>
      </c>
      <c r="Y414" s="348">
        <f t="shared" ca="1" si="343"/>
        <v>0</v>
      </c>
      <c r="Z414" s="348">
        <f t="shared" ca="1" si="344"/>
        <v>8012</v>
      </c>
      <c r="AA414" s="348">
        <f ca="1">IF(Q414&lt;&gt;1,0,VLOOKUP(OP!$C$55,PVFB,$S414+2,0))</f>
        <v>0</v>
      </c>
      <c r="AB414" s="488" t="str">
        <f ca="1">IF(AND(S414&lt;OP!$C$24,$U414&lt;15),0,IF(AND($U414&lt;15,$T414=12),ROUND(VLOOKUP($S414,DOWN16,5,0),3),IF($T414=12,ROUND(($Z414/10000)*$AA414,3)+IF(AND($P$7="購買增額繳清保險",T414=12,U414=110),VLOOKUP(S414,$B$10:$H$121,7,0),0),"")))</f>
        <v/>
      </c>
      <c r="AC414" s="350" t="str">
        <f ca="1">IF(AND(S414&lt;OP!$C$24,$U414&lt;15),0,IF(AND($U414&lt;16,$T414=12),VLOOKUP($S414,DOWN16,4,0),IF($T414=12,ROUND(VLOOKUP(OP!$C$55,_DIE2,$S414+1,0)*(Z414/10000),0)+IF(AND($P$7="購買增額繳清保險",T414=12,U414=110),VLOOKUP(S414,$B$10:$H$121,7,0),0),"")))</f>
        <v/>
      </c>
      <c r="AD414" s="347"/>
      <c r="AE414" s="350" t="str">
        <f t="shared" ca="1" si="319"/>
        <v/>
      </c>
      <c r="AF414" s="351" t="str">
        <f t="shared" ca="1" si="320"/>
        <v/>
      </c>
      <c r="AG414" s="340"/>
      <c r="AH414" s="340"/>
      <c r="AI414" s="340"/>
      <c r="AJ414" s="340"/>
      <c r="AK414" s="340"/>
      <c r="AL414" s="340"/>
      <c r="AM414" s="340"/>
      <c r="AN414" s="340"/>
      <c r="AO414" s="340"/>
      <c r="AP414" s="340"/>
      <c r="AQ414" s="340"/>
      <c r="AR414" s="340"/>
      <c r="AS414" s="340"/>
      <c r="AT414" s="340"/>
      <c r="AU414" s="340"/>
      <c r="AV414" s="340"/>
      <c r="AY414" s="340"/>
      <c r="AZ414" s="465">
        <f t="shared" ca="1" si="330"/>
        <v>7.3698599999999999E-5</v>
      </c>
      <c r="BA414" s="464">
        <f t="shared" ca="1" si="331"/>
        <v>2.2109589000000002E-3</v>
      </c>
      <c r="BB414" s="465">
        <f t="shared" ca="1" si="331"/>
        <v>2.2846575E-3</v>
      </c>
      <c r="BC414" s="466">
        <f t="shared" ca="1" si="332"/>
        <v>55213</v>
      </c>
      <c r="BD414" s="467">
        <f t="shared" ca="1" si="345"/>
        <v>55214</v>
      </c>
      <c r="BE414" s="467">
        <f t="shared" ca="1" si="333"/>
        <v>55243</v>
      </c>
      <c r="BF414" s="468">
        <f ca="1">IF(計算!$BC414&lt;OP!$C$3,0,BD414-BC414)</f>
        <v>1</v>
      </c>
      <c r="BG414" s="468">
        <f ca="1">IF($BE414&gt;DATE(YEAR($BD$9)+OP!$C$57,MONTH($BD$9),DAY($BD$9)),0,$BE414-$BD414+1)</f>
        <v>30</v>
      </c>
      <c r="BH414" s="469">
        <f t="shared" ca="1" si="334"/>
        <v>31</v>
      </c>
      <c r="BI414" t="str">
        <f t="shared" si="350"/>
        <v/>
      </c>
      <c r="BJ414">
        <v>9</v>
      </c>
      <c r="BN414" s="468">
        <f t="shared" si="346"/>
        <v>34</v>
      </c>
      <c r="BO414" s="468">
        <f t="shared" si="347"/>
        <v>9</v>
      </c>
      <c r="BP414" s="467">
        <f t="shared" ca="1" si="335"/>
        <v>55214</v>
      </c>
      <c r="BQ414" s="475">
        <f t="shared" ca="1" si="349"/>
        <v>66</v>
      </c>
      <c r="BR414" s="475" t="str">
        <f t="shared" si="348"/>
        <v/>
      </c>
      <c r="BS414" s="471" t="str">
        <f t="shared" si="336"/>
        <v/>
      </c>
      <c r="BT414" s="472" t="str">
        <f t="shared" si="351"/>
        <v/>
      </c>
      <c r="BU414" s="472">
        <f t="shared" ca="1" si="337"/>
        <v>0</v>
      </c>
      <c r="BV414" s="472">
        <f t="shared" ca="1" si="337"/>
        <v>0</v>
      </c>
      <c r="BW414" s="472"/>
      <c r="BX414" s="473">
        <f t="shared" ca="1" si="338"/>
        <v>370971.09812343901</v>
      </c>
      <c r="BY414" s="473">
        <f t="shared" si="339"/>
        <v>0</v>
      </c>
      <c r="BZ414" s="473">
        <f t="shared" ca="1" si="321"/>
        <v>847.54190161099996</v>
      </c>
      <c r="CA414" s="476">
        <f t="shared" ca="1" si="340"/>
        <v>0</v>
      </c>
      <c r="CB414" s="494">
        <f ca="1">IF(OR($Q413&lt;&gt;1,OP!$D$5+$BN414-1&lt;16,$BN414-1&lt;1),0,ROUND(ROUND(ROUND(((VLOOKUP($BN414-1,MORE_PV,5,0)/10000)*VLOOKUP($BN414,MORE_PV,$CB$5,0)),3)*VLOOKUP($BN414,more1,5,0),0)/$R413,0))</f>
        <v>0</v>
      </c>
      <c r="CC414" s="473">
        <f t="shared" ca="1" si="341"/>
        <v>0</v>
      </c>
      <c r="CD414" s="477"/>
    </row>
    <row r="415" spans="2:82" ht="16.5" hidden="1">
      <c r="B415" s="80"/>
      <c r="C415" s="80"/>
      <c r="D415" s="80"/>
      <c r="E415" s="80"/>
      <c r="F415" s="80"/>
      <c r="G415" s="80"/>
      <c r="H415" s="80"/>
      <c r="I415" s="80"/>
      <c r="J415" s="192">
        <f t="shared" si="322"/>
        <v>34</v>
      </c>
      <c r="K415" s="192">
        <f t="shared" si="323"/>
        <v>11</v>
      </c>
      <c r="L415" s="192" t="str">
        <f t="shared" si="318"/>
        <v/>
      </c>
      <c r="M415" s="216">
        <f t="shared" ca="1" si="324"/>
        <v>0</v>
      </c>
      <c r="N415" s="216"/>
      <c r="O415" s="216"/>
      <c r="P415" s="216"/>
      <c r="Q415" s="456" t="str">
        <f t="shared" ca="1" si="325"/>
        <v/>
      </c>
      <c r="R415" s="450">
        <f t="shared" ca="1" si="326"/>
        <v>1</v>
      </c>
      <c r="S415" s="191">
        <f t="shared" si="327"/>
        <v>34</v>
      </c>
      <c r="T415" s="191">
        <f t="shared" si="328"/>
        <v>11</v>
      </c>
      <c r="U415" s="191">
        <f ca="1">OP!$D$5+$S415-1</f>
        <v>66</v>
      </c>
      <c r="V415" s="191" t="str">
        <f t="shared" si="329"/>
        <v/>
      </c>
      <c r="W415" s="350">
        <f ca="1">IF(Q415&lt;&gt;1,0,VLOOKUP(OP!$C$55,PVFB,$S415+2,0))</f>
        <v>0</v>
      </c>
      <c r="X415" s="473">
        <f t="shared" ca="1" si="342"/>
        <v>0</v>
      </c>
      <c r="Y415" s="348">
        <f t="shared" ca="1" si="343"/>
        <v>0</v>
      </c>
      <c r="Z415" s="348">
        <f t="shared" ca="1" si="344"/>
        <v>8012</v>
      </c>
      <c r="AA415" s="348">
        <f ca="1">IF(Q415&lt;&gt;1,0,VLOOKUP(OP!$C$55,PVFB,$S415+2,0))</f>
        <v>0</v>
      </c>
      <c r="AB415" s="488" t="str">
        <f ca="1">IF(AND(S415&lt;OP!$C$24,$U415&lt;15),0,IF(AND($U415&lt;15,$T415=12),ROUND(VLOOKUP($S415,DOWN16,5,0),3),IF($T415=12,ROUND(($Z415/10000)*$AA415,3)+IF(AND($P$7="購買增額繳清保險",T415=12,U415=110),VLOOKUP(S415,$B$10:$H$121,7,0),0),"")))</f>
        <v/>
      </c>
      <c r="AC415" s="350" t="str">
        <f ca="1">IF(AND(S415&lt;OP!$C$24,$U415&lt;15),0,IF(AND($U415&lt;16,$T415=12),VLOOKUP($S415,DOWN16,4,0),IF($T415=12,ROUND(VLOOKUP(OP!$C$55,_DIE2,$S415+1,0)*(Z415/10000),0)+IF(AND($P$7="購買增額繳清保險",T415=12,U415=110),VLOOKUP(S415,$B$10:$H$121,7,0),0),"")))</f>
        <v/>
      </c>
      <c r="AD415" s="347"/>
      <c r="AE415" s="350" t="str">
        <f t="shared" ca="1" si="319"/>
        <v/>
      </c>
      <c r="AF415" s="351" t="str">
        <f t="shared" ca="1" si="320"/>
        <v/>
      </c>
      <c r="AG415" s="340"/>
      <c r="AH415" s="340"/>
      <c r="AI415" s="340"/>
      <c r="AJ415" s="340"/>
      <c r="AK415" s="340"/>
      <c r="AL415" s="340"/>
      <c r="AM415" s="340"/>
      <c r="AN415" s="340"/>
      <c r="AO415" s="340"/>
      <c r="AP415" s="340"/>
      <c r="AQ415" s="340"/>
      <c r="AR415" s="340"/>
      <c r="AS415" s="340"/>
      <c r="AT415" s="340"/>
      <c r="AU415" s="340"/>
      <c r="AV415" s="340"/>
      <c r="AY415" s="340"/>
      <c r="AZ415" s="465">
        <f t="shared" ca="1" si="330"/>
        <v>7.3698599999999999E-5</v>
      </c>
      <c r="BA415" s="464">
        <f t="shared" ca="1" si="331"/>
        <v>2.1372602999999999E-3</v>
      </c>
      <c r="BB415" s="465">
        <f t="shared" ca="1" si="331"/>
        <v>2.2109589000000002E-3</v>
      </c>
      <c r="BC415" s="466">
        <f t="shared" ca="1" si="332"/>
        <v>55244</v>
      </c>
      <c r="BD415" s="467">
        <f t="shared" ca="1" si="345"/>
        <v>55245</v>
      </c>
      <c r="BE415" s="467">
        <f t="shared" ca="1" si="333"/>
        <v>55273</v>
      </c>
      <c r="BF415" s="468">
        <f ca="1">IF(計算!$BC415&lt;OP!$C$3,0,BD415-BC415)</f>
        <v>1</v>
      </c>
      <c r="BG415" s="468">
        <f ca="1">IF($BE415&gt;DATE(YEAR($BD$9)+OP!$C$57,MONTH($BD$9),DAY($BD$9)),0,$BE415-$BD415+1)</f>
        <v>29</v>
      </c>
      <c r="BH415" s="469">
        <f t="shared" ca="1" si="334"/>
        <v>30</v>
      </c>
      <c r="BI415" t="str">
        <f t="shared" si="350"/>
        <v/>
      </c>
      <c r="BJ415">
        <v>10</v>
      </c>
      <c r="BN415" s="468">
        <f t="shared" si="346"/>
        <v>34</v>
      </c>
      <c r="BO415" s="468">
        <f t="shared" si="347"/>
        <v>10</v>
      </c>
      <c r="BP415" s="467">
        <f t="shared" ca="1" si="335"/>
        <v>55245</v>
      </c>
      <c r="BQ415" s="475">
        <f t="shared" ca="1" si="349"/>
        <v>66</v>
      </c>
      <c r="BR415" s="475" t="str">
        <f t="shared" si="348"/>
        <v/>
      </c>
      <c r="BS415" s="471" t="str">
        <f t="shared" si="336"/>
        <v/>
      </c>
      <c r="BT415" s="472" t="str">
        <f t="shared" si="351"/>
        <v/>
      </c>
      <c r="BU415" s="472">
        <f t="shared" ca="1" si="337"/>
        <v>0</v>
      </c>
      <c r="BV415" s="472">
        <f t="shared" ca="1" si="337"/>
        <v>0</v>
      </c>
      <c r="BW415" s="472"/>
      <c r="BX415" s="473">
        <f t="shared" ca="1" si="338"/>
        <v>371818.64002504997</v>
      </c>
      <c r="BY415" s="473">
        <f t="shared" si="339"/>
        <v>0</v>
      </c>
      <c r="BZ415" s="473">
        <f t="shared" ca="1" si="321"/>
        <v>822.07573134899997</v>
      </c>
      <c r="CA415" s="476">
        <f t="shared" ca="1" si="340"/>
        <v>0</v>
      </c>
      <c r="CB415" s="494">
        <f ca="1">IF(OR($Q414&lt;&gt;1,OP!$D$5+$BN415-1&lt;16,$BN415-1&lt;1),0,ROUND(ROUND(ROUND(((VLOOKUP($BN415-1,MORE_PV,5,0)/10000)*VLOOKUP($BN415,MORE_PV,$CB$5,0)),3)*VLOOKUP($BN415,more1,5,0),0)/$R414,0))</f>
        <v>0</v>
      </c>
      <c r="CC415" s="473">
        <f t="shared" ca="1" si="341"/>
        <v>0</v>
      </c>
      <c r="CD415" s="477"/>
    </row>
    <row r="416" spans="2:82" ht="16.5" hidden="1">
      <c r="B416" s="80"/>
      <c r="C416" s="80"/>
      <c r="D416" s="80"/>
      <c r="E416" s="80"/>
      <c r="F416" s="80"/>
      <c r="G416" s="80"/>
      <c r="H416" s="80"/>
      <c r="I416" s="80"/>
      <c r="J416" s="192">
        <f t="shared" si="322"/>
        <v>34</v>
      </c>
      <c r="K416" s="192">
        <f t="shared" si="323"/>
        <v>12</v>
      </c>
      <c r="L416" s="192">
        <f t="shared" si="318"/>
        <v>34</v>
      </c>
      <c r="M416" s="216">
        <f t="shared" ca="1" si="324"/>
        <v>386029</v>
      </c>
      <c r="N416" s="216"/>
      <c r="O416" s="216"/>
      <c r="P416" s="216"/>
      <c r="Q416" s="456">
        <f t="shared" ca="1" si="325"/>
        <v>1</v>
      </c>
      <c r="R416" s="450">
        <f t="shared" ca="1" si="326"/>
        <v>1</v>
      </c>
      <c r="S416" s="191">
        <f t="shared" si="327"/>
        <v>34</v>
      </c>
      <c r="T416" s="191">
        <f t="shared" si="328"/>
        <v>12</v>
      </c>
      <c r="U416" s="191">
        <f ca="1">OP!$D$5+$S416-1</f>
        <v>66</v>
      </c>
      <c r="V416" s="191">
        <f t="shared" si="329"/>
        <v>34</v>
      </c>
      <c r="W416" s="350">
        <f ca="1">IF(Q416&lt;&gt;1,0,VLOOKUP(OP!$C$55,PVFB,$S416+2,0))</f>
        <v>52091</v>
      </c>
      <c r="X416" s="473">
        <f t="shared" ca="1" si="342"/>
        <v>12509</v>
      </c>
      <c r="Y416" s="348">
        <f t="shared" ca="1" si="343"/>
        <v>0</v>
      </c>
      <c r="Z416" s="348">
        <f t="shared" ca="1" si="344"/>
        <v>8012</v>
      </c>
      <c r="AA416" s="348">
        <f ca="1">IF(Q416&lt;&gt;1,0,VLOOKUP(OP!$C$55,PVFB,$S416+2,0))</f>
        <v>52091</v>
      </c>
      <c r="AB416" s="488">
        <f ca="1">IF(AND(S416&lt;OP!$C$24,$U416&lt;15),0,IF(AND($U416&lt;15,$T416=12),ROUND(VLOOKUP($S416,DOWN16,5,0),3),IF($T416=12,ROUND(($Z416/10000)*$AA416,3)+IF(AND($P$7="購買增額繳清保險",T416=12,U416=110),VLOOKUP(S416,$B$10:$H$121,7,0),0),"")))</f>
        <v>41735.309000000001</v>
      </c>
      <c r="AC416" s="350">
        <f ca="1">IF(AND(S416&lt;OP!$C$24,$U416&lt;15),0,IF(AND($U416&lt;16,$T416=12),VLOOKUP($S416,DOWN16,4,0),IF($T416=12,ROUND(VLOOKUP(OP!$C$55,_DIE2,$S416+1,0)*(Z416/10000),0)+IF(AND($P$7="購買增額繳清保險",T416=12,U416=110),VLOOKUP(S416,$B$10:$H$121,7,0),0),"")))</f>
        <v>41735</v>
      </c>
      <c r="AD416" s="347"/>
      <c r="AE416" s="350" t="str">
        <f t="shared" ca="1" si="319"/>
        <v/>
      </c>
      <c r="AF416" s="351" t="str">
        <f t="shared" ca="1" si="320"/>
        <v/>
      </c>
      <c r="AG416" s="340"/>
      <c r="AH416" s="340"/>
      <c r="AI416" s="340"/>
      <c r="AJ416" s="340"/>
      <c r="AK416" s="340"/>
      <c r="AL416" s="340"/>
      <c r="AM416" s="340"/>
      <c r="AN416" s="340"/>
      <c r="AO416" s="340"/>
      <c r="AP416" s="340"/>
      <c r="AQ416" s="340"/>
      <c r="AR416" s="340"/>
      <c r="AS416" s="340"/>
      <c r="AT416" s="340"/>
      <c r="AU416" s="340"/>
      <c r="AV416" s="340"/>
      <c r="AY416" s="340"/>
      <c r="AZ416" s="465">
        <f t="shared" ca="1" si="330"/>
        <v>7.3698599999999999E-5</v>
      </c>
      <c r="BA416" s="464">
        <f t="shared" ca="1" si="331"/>
        <v>2.2109589000000002E-3</v>
      </c>
      <c r="BB416" s="465">
        <f t="shared" ca="1" si="331"/>
        <v>2.2846575E-3</v>
      </c>
      <c r="BC416" s="466">
        <f t="shared" ca="1" si="332"/>
        <v>55274</v>
      </c>
      <c r="BD416" s="467">
        <f t="shared" ca="1" si="345"/>
        <v>55275</v>
      </c>
      <c r="BE416" s="467">
        <f t="shared" ca="1" si="333"/>
        <v>55304</v>
      </c>
      <c r="BF416" s="468">
        <f ca="1">IF(計算!$BC416&lt;OP!$C$3,0,BD416-BC416)</f>
        <v>1</v>
      </c>
      <c r="BG416" s="468">
        <f ca="1">IF($BE416&gt;DATE(YEAR($BD$9)+OP!$C$57,MONTH($BD$9),DAY($BD$9)),0,$BE416-$BD416+1)</f>
        <v>30</v>
      </c>
      <c r="BH416" s="469">
        <f t="shared" ca="1" si="334"/>
        <v>31</v>
      </c>
      <c r="BI416" t="str">
        <f t="shared" si="350"/>
        <v/>
      </c>
      <c r="BJ416">
        <v>11</v>
      </c>
      <c r="BN416" s="468">
        <f t="shared" si="346"/>
        <v>34</v>
      </c>
      <c r="BO416" s="468">
        <f t="shared" si="347"/>
        <v>11</v>
      </c>
      <c r="BP416" s="467">
        <f t="shared" ca="1" si="335"/>
        <v>55275</v>
      </c>
      <c r="BQ416" s="475">
        <f t="shared" ca="1" si="349"/>
        <v>66</v>
      </c>
      <c r="BR416" s="475" t="str">
        <f t="shared" si="348"/>
        <v/>
      </c>
      <c r="BS416" s="471" t="str">
        <f t="shared" si="336"/>
        <v/>
      </c>
      <c r="BT416" s="472" t="str">
        <f t="shared" si="351"/>
        <v/>
      </c>
      <c r="BU416" s="472">
        <f t="shared" ca="1" si="337"/>
        <v>0</v>
      </c>
      <c r="BV416" s="472">
        <f t="shared" ca="1" si="337"/>
        <v>0</v>
      </c>
      <c r="BW416" s="472"/>
      <c r="BX416" s="473">
        <f t="shared" ca="1" si="338"/>
        <v>372640.71575639897</v>
      </c>
      <c r="BY416" s="473">
        <f t="shared" si="339"/>
        <v>0</v>
      </c>
      <c r="BZ416" s="473">
        <f t="shared" ca="1" si="321"/>
        <v>851.35640605799995</v>
      </c>
      <c r="CA416" s="476">
        <f t="shared" ca="1" si="340"/>
        <v>0</v>
      </c>
      <c r="CB416" s="494">
        <f ca="1">IF(OR($Q415&lt;&gt;1,OP!$D$5+$BN416-1&lt;16,$BN416-1&lt;1),0,ROUND(ROUND(ROUND(((VLOOKUP($BN416-1,MORE_PV,5,0)/10000)*VLOOKUP($BN416,MORE_PV,$CB$5,0)),3)*VLOOKUP($BN416,more1,5,0),0)/$R415,0))</f>
        <v>0</v>
      </c>
      <c r="CC416" s="473">
        <f t="shared" ca="1" si="341"/>
        <v>0</v>
      </c>
      <c r="CD416" s="477"/>
    </row>
    <row r="417" spans="2:82" ht="16.5" hidden="1">
      <c r="B417" s="80"/>
      <c r="C417" s="80"/>
      <c r="D417" s="80"/>
      <c r="E417" s="80"/>
      <c r="F417" s="80"/>
      <c r="G417" s="80"/>
      <c r="H417" s="80"/>
      <c r="I417" s="80"/>
      <c r="J417" s="192">
        <f t="shared" si="322"/>
        <v>35</v>
      </c>
      <c r="K417" s="192">
        <f t="shared" si="323"/>
        <v>1</v>
      </c>
      <c r="L417" s="192" t="str">
        <f t="shared" si="318"/>
        <v/>
      </c>
      <c r="M417" s="216">
        <f t="shared" ca="1" si="324"/>
        <v>0</v>
      </c>
      <c r="N417" s="216"/>
      <c r="O417" s="216"/>
      <c r="P417" s="216"/>
      <c r="Q417" s="456" t="str">
        <f t="shared" ca="1" si="325"/>
        <v/>
      </c>
      <c r="R417" s="450">
        <f t="shared" ca="1" si="326"/>
        <v>1</v>
      </c>
      <c r="S417" s="191">
        <f t="shared" si="327"/>
        <v>35</v>
      </c>
      <c r="T417" s="191">
        <f t="shared" si="328"/>
        <v>1</v>
      </c>
      <c r="U417" s="191">
        <f ca="1">OP!$D$5+$S417-1</f>
        <v>67</v>
      </c>
      <c r="V417" s="191" t="str">
        <f t="shared" si="329"/>
        <v/>
      </c>
      <c r="W417" s="350">
        <f ca="1">IF(Q417&lt;&gt;1,0,VLOOKUP(OP!$C$55,PVFB,$S417+2,0))</f>
        <v>0</v>
      </c>
      <c r="X417" s="473">
        <f t="shared" ca="1" si="342"/>
        <v>0</v>
      </c>
      <c r="Y417" s="348">
        <f t="shared" ca="1" si="343"/>
        <v>0</v>
      </c>
      <c r="Z417" s="348">
        <f t="shared" ca="1" si="344"/>
        <v>8012</v>
      </c>
      <c r="AA417" s="348">
        <f ca="1">IF(Q417&lt;&gt;1,0,VLOOKUP(OP!$C$55,PVFB,$S417+2,0))</f>
        <v>0</v>
      </c>
      <c r="AB417" s="488" t="str">
        <f ca="1">IF(AND(S417&lt;OP!$C$24,$U417&lt;15),0,IF(AND($U417&lt;15,$T417=12),ROUND(VLOOKUP($S417,DOWN16,5,0),3),IF($T417=12,ROUND(($Z417/10000)*$AA417,3)+IF(AND($P$7="購買增額繳清保險",T417=12,U417=110),VLOOKUP(S417,$B$10:$H$121,7,0),0),"")))</f>
        <v/>
      </c>
      <c r="AC417" s="350" t="str">
        <f ca="1">IF(AND(S417&lt;OP!$C$24,$U417&lt;15),0,IF(AND($U417&lt;16,$T417=12),VLOOKUP($S417,DOWN16,4,0),IF($T417=12,ROUND(VLOOKUP(OP!$C$55,_DIE2,$S417+1,0)*(Z417/10000),0)+IF(AND($P$7="購買增額繳清保險",T417=12,U417=110),VLOOKUP(S417,$B$10:$H$121,7,0),0),"")))</f>
        <v/>
      </c>
      <c r="AD417" s="347"/>
      <c r="AE417" s="350" t="str">
        <f t="shared" ca="1" si="319"/>
        <v/>
      </c>
      <c r="AF417" s="351" t="str">
        <f t="shared" ca="1" si="320"/>
        <v/>
      </c>
      <c r="AG417" s="340"/>
      <c r="AH417" s="340"/>
      <c r="AI417" s="340"/>
      <c r="AJ417" s="340"/>
      <c r="AK417" s="340"/>
      <c r="AL417" s="340"/>
      <c r="AM417" s="340"/>
      <c r="AN417" s="340"/>
      <c r="AO417" s="340"/>
      <c r="AP417" s="340"/>
      <c r="AQ417" s="340"/>
      <c r="AR417" s="340"/>
      <c r="AS417" s="340"/>
      <c r="AT417" s="340"/>
      <c r="AU417" s="340"/>
      <c r="AV417" s="340"/>
      <c r="AY417" s="340"/>
      <c r="AZ417" s="465">
        <f t="shared" ca="1" si="330"/>
        <v>7.3698599999999999E-5</v>
      </c>
      <c r="BA417" s="464">
        <f t="shared" ca="1" si="331"/>
        <v>2.1372602999999999E-3</v>
      </c>
      <c r="BB417" s="465">
        <f t="shared" ca="1" si="331"/>
        <v>2.2109589000000002E-3</v>
      </c>
      <c r="BC417" s="466">
        <f t="shared" ca="1" si="332"/>
        <v>55305</v>
      </c>
      <c r="BD417" s="467">
        <f t="shared" ca="1" si="345"/>
        <v>55306</v>
      </c>
      <c r="BE417" s="467">
        <f t="shared" ca="1" si="333"/>
        <v>55334</v>
      </c>
      <c r="BF417" s="468">
        <f ca="1">IF(計算!$BC417&lt;OP!$C$3,0,BD417-BC417)</f>
        <v>1</v>
      </c>
      <c r="BG417" s="468">
        <f ca="1">IF($BE417&gt;DATE(YEAR($BD$9)+OP!$C$57,MONTH($BD$9),DAY($BD$9)),0,$BE417-$BD417+1)</f>
        <v>29</v>
      </c>
      <c r="BH417" s="469">
        <f t="shared" ca="1" si="334"/>
        <v>30</v>
      </c>
      <c r="BI417">
        <f t="shared" ca="1" si="350"/>
        <v>365</v>
      </c>
      <c r="BJ417">
        <v>12</v>
      </c>
      <c r="BN417" s="468">
        <f t="shared" si="346"/>
        <v>34</v>
      </c>
      <c r="BO417" s="468">
        <f t="shared" si="347"/>
        <v>12</v>
      </c>
      <c r="BP417" s="467">
        <f t="shared" ca="1" si="335"/>
        <v>55306</v>
      </c>
      <c r="BQ417" s="475">
        <f t="shared" ca="1" si="349"/>
        <v>66</v>
      </c>
      <c r="BR417" s="475">
        <f t="shared" si="348"/>
        <v>34</v>
      </c>
      <c r="BS417" s="471">
        <f t="shared" ca="1" si="336"/>
        <v>12509</v>
      </c>
      <c r="BT417" s="472">
        <f t="shared" ca="1" si="351"/>
        <v>386029</v>
      </c>
      <c r="BU417" s="472">
        <f t="shared" ca="1" si="337"/>
        <v>12221</v>
      </c>
      <c r="BV417" s="472">
        <f t="shared" ca="1" si="337"/>
        <v>288</v>
      </c>
      <c r="BW417" s="472">
        <f ca="1">ROUND(SUM(BY417,BZ405:BZ416),0)</f>
        <v>9903</v>
      </c>
      <c r="BX417" s="473">
        <f t="shared" ca="1" si="338"/>
        <v>386028.59800528601</v>
      </c>
      <c r="BY417" s="473">
        <f t="shared" ca="1" si="339"/>
        <v>27.525842828999998</v>
      </c>
      <c r="BZ417" s="473">
        <f t="shared" ca="1" si="321"/>
        <v>825.043597181</v>
      </c>
      <c r="CA417" s="476">
        <f t="shared" ca="1" si="340"/>
        <v>12221</v>
      </c>
      <c r="CB417" s="494">
        <f ca="1">IF(OR($Q416&lt;&gt;1,OP!$D$5+$BN417-1&lt;16,$BN417-1&lt;1),0,ROUND(ROUND(ROUND(((VLOOKUP($BN417-1,MORE_PV,5,0)/10000)*VLOOKUP($BN417,MORE_PV,$CB$5,0)),3)*VLOOKUP($BN417,more1,5,0),0)/$R416,0))</f>
        <v>288</v>
      </c>
      <c r="CC417" s="473">
        <f t="shared" ca="1" si="341"/>
        <v>0</v>
      </c>
      <c r="CD417" s="477"/>
    </row>
    <row r="418" spans="2:82" ht="16.5" hidden="1">
      <c r="B418" s="80"/>
      <c r="C418" s="80"/>
      <c r="D418" s="80"/>
      <c r="E418" s="80"/>
      <c r="F418" s="80"/>
      <c r="G418" s="80"/>
      <c r="H418" s="80"/>
      <c r="I418" s="80"/>
      <c r="J418" s="192">
        <f t="shared" si="322"/>
        <v>35</v>
      </c>
      <c r="K418" s="192">
        <f t="shared" si="323"/>
        <v>2</v>
      </c>
      <c r="L418" s="192" t="str">
        <f t="shared" si="318"/>
        <v/>
      </c>
      <c r="M418" s="216">
        <f t="shared" ca="1" si="324"/>
        <v>0</v>
      </c>
      <c r="N418" s="216"/>
      <c r="O418" s="216"/>
      <c r="P418" s="216"/>
      <c r="Q418" s="456" t="str">
        <f t="shared" ca="1" si="325"/>
        <v/>
      </c>
      <c r="R418" s="450">
        <f t="shared" ca="1" si="326"/>
        <v>1</v>
      </c>
      <c r="S418" s="191">
        <f t="shared" si="327"/>
        <v>35</v>
      </c>
      <c r="T418" s="191">
        <f t="shared" si="328"/>
        <v>2</v>
      </c>
      <c r="U418" s="191">
        <f ca="1">OP!$D$5+$S418-1</f>
        <v>67</v>
      </c>
      <c r="V418" s="191" t="str">
        <f t="shared" si="329"/>
        <v/>
      </c>
      <c r="W418" s="350">
        <f ca="1">IF(Q418&lt;&gt;1,0,VLOOKUP(OP!$C$55,PVFB,$S418+2,0))</f>
        <v>0</v>
      </c>
      <c r="X418" s="473">
        <f t="shared" ca="1" si="342"/>
        <v>0</v>
      </c>
      <c r="Y418" s="348">
        <f t="shared" ca="1" si="343"/>
        <v>0</v>
      </c>
      <c r="Z418" s="348">
        <f t="shared" ca="1" si="344"/>
        <v>8012</v>
      </c>
      <c r="AA418" s="348">
        <f ca="1">IF(Q418&lt;&gt;1,0,VLOOKUP(OP!$C$55,PVFB,$S418+2,0))</f>
        <v>0</v>
      </c>
      <c r="AB418" s="488" t="str">
        <f ca="1">IF(AND(S418&lt;OP!$C$24,$U418&lt;15),0,IF(AND($U418&lt;15,$T418=12),ROUND(VLOOKUP($S418,DOWN16,5,0),3),IF($T418=12,ROUND(($Z418/10000)*$AA418,3)+IF(AND($P$7="購買增額繳清保險",T418=12,U418=110),VLOOKUP(S418,$B$10:$H$121,7,0),0),"")))</f>
        <v/>
      </c>
      <c r="AC418" s="350" t="str">
        <f ca="1">IF(AND(S418&lt;OP!$C$24,$U418&lt;15),0,IF(AND($U418&lt;16,$T418=12),VLOOKUP($S418,DOWN16,4,0),IF($T418=12,ROUND(VLOOKUP(OP!$C$55,_DIE2,$S418+1,0)*(Z418/10000),0)+IF(AND($P$7="購買增額繳清保險",T418=12,U418=110),VLOOKUP(S418,$B$10:$H$121,7,0),0),"")))</f>
        <v/>
      </c>
      <c r="AD418" s="347"/>
      <c r="AE418" s="350" t="str">
        <f t="shared" ca="1" si="319"/>
        <v/>
      </c>
      <c r="AF418" s="351" t="str">
        <f t="shared" ca="1" si="320"/>
        <v/>
      </c>
      <c r="AG418" s="340"/>
      <c r="AH418" s="340"/>
      <c r="AI418" s="340"/>
      <c r="AJ418" s="340"/>
      <c r="AK418" s="340"/>
      <c r="AL418" s="340"/>
      <c r="AM418" s="340"/>
      <c r="AN418" s="340"/>
      <c r="AO418" s="340"/>
      <c r="AP418" s="340"/>
      <c r="AQ418" s="340"/>
      <c r="AR418" s="340"/>
      <c r="AS418" s="340"/>
      <c r="AT418" s="340"/>
      <c r="AU418" s="340"/>
      <c r="AV418" s="340"/>
      <c r="AY418" s="340"/>
      <c r="AZ418" s="465">
        <f t="shared" ca="1" si="330"/>
        <v>7.3698599999999999E-5</v>
      </c>
      <c r="BA418" s="464">
        <f t="shared" ca="1" si="331"/>
        <v>2.2109589000000002E-3</v>
      </c>
      <c r="BB418" s="465">
        <f t="shared" ca="1" si="331"/>
        <v>2.2846575E-3</v>
      </c>
      <c r="BC418" s="466">
        <f t="shared" ca="1" si="332"/>
        <v>55335</v>
      </c>
      <c r="BD418" s="467">
        <f t="shared" ca="1" si="345"/>
        <v>55336</v>
      </c>
      <c r="BE418" s="467">
        <f t="shared" ca="1" si="333"/>
        <v>55365</v>
      </c>
      <c r="BF418" s="468">
        <f ca="1">IF(計算!$BC418&lt;OP!$C$3,0,BD418-BC418)</f>
        <v>1</v>
      </c>
      <c r="BG418" s="468">
        <f ca="1">IF($BE418&gt;DATE(YEAR($BD$9)+OP!$C$57,MONTH($BD$9),DAY($BD$9)),0,$BE418-$BD418+1)</f>
        <v>30</v>
      </c>
      <c r="BH418" s="469">
        <f t="shared" ca="1" si="334"/>
        <v>31</v>
      </c>
      <c r="BI418" t="str">
        <f t="shared" si="350"/>
        <v/>
      </c>
      <c r="BJ418">
        <v>1</v>
      </c>
      <c r="BN418" s="468">
        <f t="shared" si="346"/>
        <v>35</v>
      </c>
      <c r="BO418" s="468">
        <f t="shared" si="347"/>
        <v>1</v>
      </c>
      <c r="BP418" s="467">
        <f t="shared" ca="1" si="335"/>
        <v>55336</v>
      </c>
      <c r="BQ418" s="475">
        <f t="shared" ca="1" si="349"/>
        <v>67</v>
      </c>
      <c r="BR418" s="475" t="str">
        <f t="shared" si="348"/>
        <v/>
      </c>
      <c r="BS418" s="471" t="str">
        <f t="shared" si="336"/>
        <v/>
      </c>
      <c r="BT418" s="472" t="str">
        <f t="shared" si="351"/>
        <v/>
      </c>
      <c r="BU418" s="472">
        <f t="shared" ca="1" si="337"/>
        <v>0</v>
      </c>
      <c r="BV418" s="472">
        <f t="shared" ca="1" si="337"/>
        <v>0</v>
      </c>
      <c r="BW418" s="472"/>
      <c r="BX418" s="473">
        <f t="shared" ca="1" si="338"/>
        <v>386853.64160246699</v>
      </c>
      <c r="BY418" s="473">
        <f t="shared" si="339"/>
        <v>0</v>
      </c>
      <c r="BZ418" s="473">
        <f t="shared" ca="1" si="321"/>
        <v>883.82807368900001</v>
      </c>
      <c r="CA418" s="476">
        <f t="shared" ca="1" si="340"/>
        <v>0</v>
      </c>
      <c r="CB418" s="494">
        <f ca="1">IF(OR($Q417&lt;&gt;1,OP!$D$5+$BN418-1&lt;16,$BN418-1&lt;1),0,ROUND(ROUND(ROUND(((VLOOKUP($BN418-1,MORE_PV,5,0)/10000)*VLOOKUP($BN418,MORE_PV,$CB$5,0)),3)*VLOOKUP($BN418,more1,5,0),0)/$R417,0))</f>
        <v>0</v>
      </c>
      <c r="CC418" s="473">
        <f t="shared" ca="1" si="341"/>
        <v>0</v>
      </c>
      <c r="CD418" s="477"/>
    </row>
    <row r="419" spans="2:82" ht="16.5" hidden="1">
      <c r="B419" s="80"/>
      <c r="C419" s="80"/>
      <c r="D419" s="80"/>
      <c r="E419" s="80"/>
      <c r="F419" s="80"/>
      <c r="G419" s="80"/>
      <c r="H419" s="80"/>
      <c r="I419" s="80"/>
      <c r="J419" s="192">
        <f t="shared" si="322"/>
        <v>35</v>
      </c>
      <c r="K419" s="192">
        <f t="shared" si="323"/>
        <v>3</v>
      </c>
      <c r="L419" s="192" t="str">
        <f t="shared" si="318"/>
        <v/>
      </c>
      <c r="M419" s="216">
        <f t="shared" ca="1" si="324"/>
        <v>0</v>
      </c>
      <c r="N419" s="216"/>
      <c r="O419" s="216"/>
      <c r="P419" s="216"/>
      <c r="Q419" s="456" t="str">
        <f t="shared" ca="1" si="325"/>
        <v/>
      </c>
      <c r="R419" s="450">
        <f t="shared" ca="1" si="326"/>
        <v>1</v>
      </c>
      <c r="S419" s="191">
        <f t="shared" si="327"/>
        <v>35</v>
      </c>
      <c r="T419" s="191">
        <f t="shared" si="328"/>
        <v>3</v>
      </c>
      <c r="U419" s="191">
        <f ca="1">OP!$D$5+$S419-1</f>
        <v>67</v>
      </c>
      <c r="V419" s="191" t="str">
        <f t="shared" si="329"/>
        <v/>
      </c>
      <c r="W419" s="350">
        <f ca="1">IF(Q419&lt;&gt;1,0,VLOOKUP(OP!$C$55,PVFB,$S419+2,0))</f>
        <v>0</v>
      </c>
      <c r="X419" s="473">
        <f t="shared" ca="1" si="342"/>
        <v>0</v>
      </c>
      <c r="Y419" s="348">
        <f t="shared" ca="1" si="343"/>
        <v>0</v>
      </c>
      <c r="Z419" s="348">
        <f t="shared" ca="1" si="344"/>
        <v>8012</v>
      </c>
      <c r="AA419" s="348">
        <f ca="1">IF(Q419&lt;&gt;1,0,VLOOKUP(OP!$C$55,PVFB,$S419+2,0))</f>
        <v>0</v>
      </c>
      <c r="AB419" s="488" t="str">
        <f ca="1">IF(AND(S419&lt;OP!$C$24,$U419&lt;15),0,IF(AND($U419&lt;15,$T419=12),ROUND(VLOOKUP($S419,DOWN16,5,0),3),IF($T419=12,ROUND(($Z419/10000)*$AA419,3)+IF(AND($P$7="購買增額繳清保險",T419=12,U419=110),VLOOKUP(S419,$B$10:$H$121,7,0),0),"")))</f>
        <v/>
      </c>
      <c r="AC419" s="350" t="str">
        <f ca="1">IF(AND(S419&lt;OP!$C$24,$U419&lt;15),0,IF(AND($U419&lt;16,$T419=12),VLOOKUP($S419,DOWN16,4,0),IF($T419=12,ROUND(VLOOKUP(OP!$C$55,_DIE2,$S419+1,0)*(Z419/10000),0)+IF(AND($P$7="購買增額繳清保險",T419=12,U419=110),VLOOKUP(S419,$B$10:$H$121,7,0),0),"")))</f>
        <v/>
      </c>
      <c r="AD419" s="347"/>
      <c r="AE419" s="350" t="str">
        <f t="shared" ca="1" si="319"/>
        <v/>
      </c>
      <c r="AF419" s="351" t="str">
        <f t="shared" ca="1" si="320"/>
        <v/>
      </c>
      <c r="AG419" s="340"/>
      <c r="AH419" s="340"/>
      <c r="AI419" s="340"/>
      <c r="AJ419" s="340"/>
      <c r="AK419" s="340"/>
      <c r="AL419" s="340"/>
      <c r="AM419" s="340"/>
      <c r="AN419" s="340"/>
      <c r="AO419" s="340"/>
      <c r="AP419" s="340"/>
      <c r="AQ419" s="340"/>
      <c r="AR419" s="340"/>
      <c r="AS419" s="340"/>
      <c r="AT419" s="340"/>
      <c r="AU419" s="340"/>
      <c r="AV419" s="340"/>
      <c r="AY419" s="340"/>
      <c r="AZ419" s="465">
        <f t="shared" ca="1" si="330"/>
        <v>7.3698599999999999E-5</v>
      </c>
      <c r="BA419" s="464">
        <f t="shared" ca="1" si="331"/>
        <v>2.2109589000000002E-3</v>
      </c>
      <c r="BB419" s="465">
        <f t="shared" ca="1" si="331"/>
        <v>2.2846575E-3</v>
      </c>
      <c r="BC419" s="466">
        <f t="shared" ca="1" si="332"/>
        <v>55366</v>
      </c>
      <c r="BD419" s="467">
        <f t="shared" ca="1" si="345"/>
        <v>55367</v>
      </c>
      <c r="BE419" s="467">
        <f t="shared" ca="1" si="333"/>
        <v>55396</v>
      </c>
      <c r="BF419" s="468">
        <f ca="1">IF(計算!$BC419&lt;OP!$C$3,0,BD419-BC419)</f>
        <v>1</v>
      </c>
      <c r="BG419" s="468">
        <f ca="1">IF($BE419&gt;DATE(YEAR($BD$9)+OP!$C$57,MONTH($BD$9),DAY($BD$9)),0,$BE419-$BD419+1)</f>
        <v>30</v>
      </c>
      <c r="BH419" s="469">
        <f t="shared" ca="1" si="334"/>
        <v>31</v>
      </c>
      <c r="BI419" t="str">
        <f t="shared" si="350"/>
        <v/>
      </c>
      <c r="BJ419">
        <v>2</v>
      </c>
      <c r="BN419" s="468">
        <f t="shared" si="346"/>
        <v>35</v>
      </c>
      <c r="BO419" s="468">
        <f t="shared" si="347"/>
        <v>2</v>
      </c>
      <c r="BP419" s="467">
        <f t="shared" ca="1" si="335"/>
        <v>55367</v>
      </c>
      <c r="BQ419" s="475">
        <f t="shared" ca="1" si="349"/>
        <v>67</v>
      </c>
      <c r="BR419" s="475" t="str">
        <f t="shared" si="348"/>
        <v/>
      </c>
      <c r="BS419" s="471" t="str">
        <f t="shared" si="336"/>
        <v/>
      </c>
      <c r="BT419" s="472" t="str">
        <f t="shared" si="351"/>
        <v/>
      </c>
      <c r="BU419" s="472">
        <f t="shared" ca="1" si="337"/>
        <v>0</v>
      </c>
      <c r="BV419" s="472">
        <f t="shared" ca="1" si="337"/>
        <v>0</v>
      </c>
      <c r="BW419" s="472"/>
      <c r="BX419" s="473">
        <f t="shared" ca="1" si="338"/>
        <v>387737.469676156</v>
      </c>
      <c r="BY419" s="473">
        <f t="shared" si="339"/>
        <v>0</v>
      </c>
      <c r="BZ419" s="473">
        <f t="shared" ca="1" si="321"/>
        <v>885.84731812699999</v>
      </c>
      <c r="CA419" s="476">
        <f t="shared" ca="1" si="340"/>
        <v>0</v>
      </c>
      <c r="CB419" s="494">
        <f ca="1">IF(OR($Q418&lt;&gt;1,OP!$D$5+$BN419-1&lt;16,$BN419-1&lt;1),0,ROUND(ROUND(ROUND(((VLOOKUP($BN419-1,MORE_PV,5,0)/10000)*VLOOKUP($BN419,MORE_PV,$CB$5,0)),3)*VLOOKUP($BN419,more1,5,0),0)/$R418,0))</f>
        <v>0</v>
      </c>
      <c r="CC419" s="473">
        <f t="shared" ca="1" si="341"/>
        <v>0</v>
      </c>
      <c r="CD419" s="477"/>
    </row>
    <row r="420" spans="2:82" ht="16.5" hidden="1">
      <c r="B420" s="80"/>
      <c r="C420" s="80"/>
      <c r="D420" s="80"/>
      <c r="E420" s="80"/>
      <c r="F420" s="80"/>
      <c r="G420" s="80"/>
      <c r="H420" s="80"/>
      <c r="I420" s="80"/>
      <c r="J420" s="192">
        <f t="shared" si="322"/>
        <v>35</v>
      </c>
      <c r="K420" s="192">
        <f t="shared" si="323"/>
        <v>4</v>
      </c>
      <c r="L420" s="192" t="str">
        <f t="shared" si="318"/>
        <v/>
      </c>
      <c r="M420" s="216">
        <f t="shared" ca="1" si="324"/>
        <v>0</v>
      </c>
      <c r="N420" s="216"/>
      <c r="O420" s="216"/>
      <c r="P420" s="216"/>
      <c r="Q420" s="456" t="str">
        <f t="shared" ca="1" si="325"/>
        <v/>
      </c>
      <c r="R420" s="450">
        <f t="shared" ca="1" si="326"/>
        <v>1</v>
      </c>
      <c r="S420" s="191">
        <f t="shared" si="327"/>
        <v>35</v>
      </c>
      <c r="T420" s="191">
        <f t="shared" si="328"/>
        <v>4</v>
      </c>
      <c r="U420" s="191">
        <f ca="1">OP!$D$5+$S420-1</f>
        <v>67</v>
      </c>
      <c r="V420" s="191" t="str">
        <f t="shared" si="329"/>
        <v/>
      </c>
      <c r="W420" s="350">
        <f ca="1">IF(Q420&lt;&gt;1,0,VLOOKUP(OP!$C$55,PVFB,$S420+2,0))</f>
        <v>0</v>
      </c>
      <c r="X420" s="473">
        <f t="shared" ca="1" si="342"/>
        <v>0</v>
      </c>
      <c r="Y420" s="348">
        <f t="shared" ca="1" si="343"/>
        <v>0</v>
      </c>
      <c r="Z420" s="348">
        <f t="shared" ca="1" si="344"/>
        <v>8012</v>
      </c>
      <c r="AA420" s="348">
        <f ca="1">IF(Q420&lt;&gt;1,0,VLOOKUP(OP!$C$55,PVFB,$S420+2,0))</f>
        <v>0</v>
      </c>
      <c r="AB420" s="488" t="str">
        <f ca="1">IF(AND(S420&lt;OP!$C$24,$U420&lt;15),0,IF(AND($U420&lt;15,$T420=12),ROUND(VLOOKUP($S420,DOWN16,5,0),3),IF($T420=12,ROUND(($Z420/10000)*$AA420,3)+IF(AND($P$7="購買增額繳清保險",T420=12,U420=110),VLOOKUP(S420,$B$10:$H$121,7,0),0),"")))</f>
        <v/>
      </c>
      <c r="AC420" s="350" t="str">
        <f ca="1">IF(AND(S420&lt;OP!$C$24,$U420&lt;15),0,IF(AND($U420&lt;16,$T420=12),VLOOKUP($S420,DOWN16,4,0),IF($T420=12,ROUND(VLOOKUP(OP!$C$55,_DIE2,$S420+1,0)*(Z420/10000),0)+IF(AND($P$7="購買增額繳清保險",T420=12,U420=110),VLOOKUP(S420,$B$10:$H$121,7,0),0),"")))</f>
        <v/>
      </c>
      <c r="AD420" s="347"/>
      <c r="AE420" s="350" t="str">
        <f t="shared" ca="1" si="319"/>
        <v/>
      </c>
      <c r="AF420" s="351" t="str">
        <f t="shared" ca="1" si="320"/>
        <v/>
      </c>
      <c r="AG420" s="340"/>
      <c r="AH420" s="340"/>
      <c r="AI420" s="340"/>
      <c r="AJ420" s="340"/>
      <c r="AK420" s="340"/>
      <c r="AL420" s="340"/>
      <c r="AM420" s="340"/>
      <c r="AN420" s="340"/>
      <c r="AO420" s="340"/>
      <c r="AP420" s="340"/>
      <c r="AQ420" s="340"/>
      <c r="AR420" s="340"/>
      <c r="AS420" s="340"/>
      <c r="AT420" s="340"/>
      <c r="AU420" s="340"/>
      <c r="AV420" s="340"/>
      <c r="AY420" s="340"/>
      <c r="AZ420" s="465">
        <f t="shared" ca="1" si="330"/>
        <v>7.3698599999999999E-5</v>
      </c>
      <c r="BA420" s="464">
        <f t="shared" ca="1" si="331"/>
        <v>2.1372602999999999E-3</v>
      </c>
      <c r="BB420" s="465">
        <f t="shared" ca="1" si="331"/>
        <v>2.2109589000000002E-3</v>
      </c>
      <c r="BC420" s="466">
        <f t="shared" ca="1" si="332"/>
        <v>55397</v>
      </c>
      <c r="BD420" s="467">
        <f t="shared" ca="1" si="345"/>
        <v>55398</v>
      </c>
      <c r="BE420" s="467">
        <f t="shared" ca="1" si="333"/>
        <v>55426</v>
      </c>
      <c r="BF420" s="468">
        <f ca="1">IF(計算!$BC420&lt;OP!$C$3,0,BD420-BC420)</f>
        <v>1</v>
      </c>
      <c r="BG420" s="468">
        <f ca="1">IF($BE420&gt;DATE(YEAR($BD$9)+OP!$C$57,MONTH($BD$9),DAY($BD$9)),0,$BE420-$BD420+1)</f>
        <v>29</v>
      </c>
      <c r="BH420" s="469">
        <f t="shared" ca="1" si="334"/>
        <v>30</v>
      </c>
      <c r="BI420" t="str">
        <f t="shared" si="350"/>
        <v/>
      </c>
      <c r="BJ420">
        <v>3</v>
      </c>
      <c r="BN420" s="468">
        <f t="shared" si="346"/>
        <v>35</v>
      </c>
      <c r="BO420" s="468">
        <f t="shared" si="347"/>
        <v>3</v>
      </c>
      <c r="BP420" s="467">
        <f t="shared" ca="1" si="335"/>
        <v>55398</v>
      </c>
      <c r="BQ420" s="475">
        <f t="shared" ca="1" si="349"/>
        <v>67</v>
      </c>
      <c r="BR420" s="475" t="str">
        <f t="shared" si="348"/>
        <v/>
      </c>
      <c r="BS420" s="471" t="str">
        <f t="shared" si="336"/>
        <v/>
      </c>
      <c r="BT420" s="472" t="str">
        <f t="shared" si="351"/>
        <v/>
      </c>
      <c r="BU420" s="472">
        <f t="shared" ca="1" si="337"/>
        <v>0</v>
      </c>
      <c r="BV420" s="472">
        <f t="shared" ca="1" si="337"/>
        <v>0</v>
      </c>
      <c r="BW420" s="472"/>
      <c r="BX420" s="473">
        <f t="shared" ca="1" si="338"/>
        <v>388623.316994283</v>
      </c>
      <c r="BY420" s="473">
        <f t="shared" si="339"/>
        <v>0</v>
      </c>
      <c r="BZ420" s="473">
        <f t="shared" ca="1" si="321"/>
        <v>859.23018145599997</v>
      </c>
      <c r="CA420" s="476">
        <f t="shared" ca="1" si="340"/>
        <v>0</v>
      </c>
      <c r="CB420" s="494">
        <f ca="1">IF(OR($Q419&lt;&gt;1,OP!$D$5+$BN420-1&lt;16,$BN420-1&lt;1),0,ROUND(ROUND(ROUND(((VLOOKUP($BN420-1,MORE_PV,5,0)/10000)*VLOOKUP($BN420,MORE_PV,$CB$5,0)),3)*VLOOKUP($BN420,more1,5,0),0)/$R419,0))</f>
        <v>0</v>
      </c>
      <c r="CC420" s="473">
        <f t="shared" ca="1" si="341"/>
        <v>0</v>
      </c>
      <c r="CD420" s="477"/>
    </row>
    <row r="421" spans="2:82" ht="16.5" hidden="1">
      <c r="B421" s="80"/>
      <c r="C421" s="80"/>
      <c r="D421" s="80"/>
      <c r="E421" s="80"/>
      <c r="F421" s="80"/>
      <c r="G421" s="80"/>
      <c r="H421" s="80"/>
      <c r="I421" s="80"/>
      <c r="J421" s="192">
        <f t="shared" si="322"/>
        <v>35</v>
      </c>
      <c r="K421" s="192">
        <f t="shared" si="323"/>
        <v>5</v>
      </c>
      <c r="L421" s="192" t="str">
        <f t="shared" si="318"/>
        <v/>
      </c>
      <c r="M421" s="216">
        <f t="shared" ca="1" si="324"/>
        <v>0</v>
      </c>
      <c r="N421" s="216"/>
      <c r="O421" s="216"/>
      <c r="P421" s="216"/>
      <c r="Q421" s="456" t="str">
        <f t="shared" ca="1" si="325"/>
        <v/>
      </c>
      <c r="R421" s="450">
        <f t="shared" ca="1" si="326"/>
        <v>1</v>
      </c>
      <c r="S421" s="191">
        <f t="shared" si="327"/>
        <v>35</v>
      </c>
      <c r="T421" s="191">
        <f t="shared" si="328"/>
        <v>5</v>
      </c>
      <c r="U421" s="191">
        <f ca="1">OP!$D$5+$S421-1</f>
        <v>67</v>
      </c>
      <c r="V421" s="191" t="str">
        <f t="shared" si="329"/>
        <v/>
      </c>
      <c r="W421" s="350">
        <f ca="1">IF(Q421&lt;&gt;1,0,VLOOKUP(OP!$C$55,PVFB,$S421+2,0))</f>
        <v>0</v>
      </c>
      <c r="X421" s="473">
        <f t="shared" ca="1" si="342"/>
        <v>0</v>
      </c>
      <c r="Y421" s="348">
        <f t="shared" ca="1" si="343"/>
        <v>0</v>
      </c>
      <c r="Z421" s="348">
        <f t="shared" ca="1" si="344"/>
        <v>8012</v>
      </c>
      <c r="AA421" s="348">
        <f ca="1">IF(Q421&lt;&gt;1,0,VLOOKUP(OP!$C$55,PVFB,$S421+2,0))</f>
        <v>0</v>
      </c>
      <c r="AB421" s="488" t="str">
        <f ca="1">IF(AND(S421&lt;OP!$C$24,$U421&lt;15),0,IF(AND($U421&lt;15,$T421=12),ROUND(VLOOKUP($S421,DOWN16,5,0),3),IF($T421=12,ROUND(($Z421/10000)*$AA421,3)+IF(AND($P$7="購買增額繳清保險",T421=12,U421=110),VLOOKUP(S421,$B$10:$H$121,7,0),0),"")))</f>
        <v/>
      </c>
      <c r="AC421" s="350" t="str">
        <f ca="1">IF(AND(S421&lt;OP!$C$24,$U421&lt;15),0,IF(AND($U421&lt;16,$T421=12),VLOOKUP($S421,DOWN16,4,0),IF($T421=12,ROUND(VLOOKUP(OP!$C$55,_DIE2,$S421+1,0)*(Z421/10000),0)+IF(AND($P$7="購買增額繳清保險",T421=12,U421=110),VLOOKUP(S421,$B$10:$H$121,7,0),0),"")))</f>
        <v/>
      </c>
      <c r="AD421" s="347"/>
      <c r="AE421" s="350" t="str">
        <f t="shared" ca="1" si="319"/>
        <v/>
      </c>
      <c r="AF421" s="351" t="str">
        <f t="shared" ca="1" si="320"/>
        <v/>
      </c>
      <c r="AG421" s="340"/>
      <c r="AH421" s="340"/>
      <c r="AI421" s="340"/>
      <c r="AJ421" s="340"/>
      <c r="AK421" s="340"/>
      <c r="AL421" s="340"/>
      <c r="AM421" s="340"/>
      <c r="AN421" s="340"/>
      <c r="AO421" s="340"/>
      <c r="AP421" s="340"/>
      <c r="AQ421" s="340"/>
      <c r="AR421" s="340"/>
      <c r="AS421" s="340"/>
      <c r="AT421" s="340"/>
      <c r="AU421" s="340"/>
      <c r="AV421" s="340"/>
      <c r="AY421" s="340"/>
      <c r="AZ421" s="465">
        <f t="shared" ca="1" si="330"/>
        <v>7.3698599999999999E-5</v>
      </c>
      <c r="BA421" s="464">
        <f t="shared" ca="1" si="331"/>
        <v>2.2109589000000002E-3</v>
      </c>
      <c r="BB421" s="465">
        <f t="shared" ca="1" si="331"/>
        <v>2.2846575E-3</v>
      </c>
      <c r="BC421" s="466">
        <f t="shared" ca="1" si="332"/>
        <v>55427</v>
      </c>
      <c r="BD421" s="467">
        <f t="shared" ca="1" si="345"/>
        <v>55428</v>
      </c>
      <c r="BE421" s="467">
        <f t="shared" ca="1" si="333"/>
        <v>55457</v>
      </c>
      <c r="BF421" s="468">
        <f ca="1">IF(計算!$BC421&lt;OP!$C$3,0,BD421-BC421)</f>
        <v>1</v>
      </c>
      <c r="BG421" s="468">
        <f ca="1">IF($BE421&gt;DATE(YEAR($BD$9)+OP!$C$57,MONTH($BD$9),DAY($BD$9)),0,$BE421-$BD421+1)</f>
        <v>30</v>
      </c>
      <c r="BH421" s="469">
        <f t="shared" ca="1" si="334"/>
        <v>31</v>
      </c>
      <c r="BI421" t="str">
        <f t="shared" si="350"/>
        <v/>
      </c>
      <c r="BJ421">
        <v>4</v>
      </c>
      <c r="BN421" s="468">
        <f t="shared" si="346"/>
        <v>35</v>
      </c>
      <c r="BO421" s="468">
        <f t="shared" si="347"/>
        <v>4</v>
      </c>
      <c r="BP421" s="467">
        <f t="shared" ca="1" si="335"/>
        <v>55428</v>
      </c>
      <c r="BQ421" s="475">
        <f t="shared" ca="1" si="349"/>
        <v>67</v>
      </c>
      <c r="BR421" s="475" t="str">
        <f t="shared" si="348"/>
        <v/>
      </c>
      <c r="BS421" s="471" t="str">
        <f t="shared" si="336"/>
        <v/>
      </c>
      <c r="BT421" s="472" t="str">
        <f t="shared" si="351"/>
        <v/>
      </c>
      <c r="BU421" s="472">
        <f t="shared" ca="1" si="337"/>
        <v>0</v>
      </c>
      <c r="BV421" s="472">
        <f t="shared" ca="1" si="337"/>
        <v>0</v>
      </c>
      <c r="BW421" s="472"/>
      <c r="BX421" s="473">
        <f t="shared" ca="1" si="338"/>
        <v>389482.54717573902</v>
      </c>
      <c r="BY421" s="473">
        <f t="shared" si="339"/>
        <v>0</v>
      </c>
      <c r="BZ421" s="473">
        <f t="shared" ca="1" si="321"/>
        <v>889.83422252399998</v>
      </c>
      <c r="CA421" s="476">
        <f t="shared" ca="1" si="340"/>
        <v>0</v>
      </c>
      <c r="CB421" s="494">
        <f ca="1">IF(OR($Q420&lt;&gt;1,OP!$D$5+$BN421-1&lt;16,$BN421-1&lt;1),0,ROUND(ROUND(ROUND(((VLOOKUP($BN421-1,MORE_PV,5,0)/10000)*VLOOKUP($BN421,MORE_PV,$CB$5,0)),3)*VLOOKUP($BN421,more1,5,0),0)/$R420,0))</f>
        <v>0</v>
      </c>
      <c r="CC421" s="473">
        <f t="shared" ca="1" si="341"/>
        <v>0</v>
      </c>
      <c r="CD421" s="477"/>
    </row>
    <row r="422" spans="2:82" ht="16.5" hidden="1">
      <c r="B422" s="80"/>
      <c r="C422" s="80"/>
      <c r="D422" s="80"/>
      <c r="E422" s="80"/>
      <c r="F422" s="80"/>
      <c r="G422" s="80"/>
      <c r="H422" s="80"/>
      <c r="I422" s="80"/>
      <c r="J422" s="192">
        <f t="shared" si="322"/>
        <v>35</v>
      </c>
      <c r="K422" s="192">
        <f t="shared" si="323"/>
        <v>6</v>
      </c>
      <c r="L422" s="192" t="str">
        <f t="shared" si="318"/>
        <v/>
      </c>
      <c r="M422" s="216">
        <f t="shared" ca="1" si="324"/>
        <v>0</v>
      </c>
      <c r="N422" s="216"/>
      <c r="O422" s="216"/>
      <c r="P422" s="216"/>
      <c r="Q422" s="456" t="str">
        <f t="shared" ca="1" si="325"/>
        <v/>
      </c>
      <c r="R422" s="450">
        <f t="shared" ca="1" si="326"/>
        <v>1</v>
      </c>
      <c r="S422" s="191">
        <f t="shared" si="327"/>
        <v>35</v>
      </c>
      <c r="T422" s="191">
        <f t="shared" si="328"/>
        <v>6</v>
      </c>
      <c r="U422" s="191">
        <f ca="1">OP!$D$5+$S422-1</f>
        <v>67</v>
      </c>
      <c r="V422" s="191" t="str">
        <f t="shared" si="329"/>
        <v/>
      </c>
      <c r="W422" s="350">
        <f ca="1">IF(Q422&lt;&gt;1,0,VLOOKUP(OP!$C$55,PVFB,$S422+2,0))</f>
        <v>0</v>
      </c>
      <c r="X422" s="473">
        <f t="shared" ca="1" si="342"/>
        <v>0</v>
      </c>
      <c r="Y422" s="348">
        <f t="shared" ca="1" si="343"/>
        <v>0</v>
      </c>
      <c r="Z422" s="348">
        <f t="shared" ca="1" si="344"/>
        <v>8012</v>
      </c>
      <c r="AA422" s="348">
        <f ca="1">IF(Q422&lt;&gt;1,0,VLOOKUP(OP!$C$55,PVFB,$S422+2,0))</f>
        <v>0</v>
      </c>
      <c r="AB422" s="488" t="str">
        <f ca="1">IF(AND(S422&lt;OP!$C$24,$U422&lt;15),0,IF(AND($U422&lt;15,$T422=12),ROUND(VLOOKUP($S422,DOWN16,5,0),3),IF($T422=12,ROUND(($Z422/10000)*$AA422,3)+IF(AND($P$7="購買增額繳清保險",T422=12,U422=110),VLOOKUP(S422,$B$10:$H$121,7,0),0),"")))</f>
        <v/>
      </c>
      <c r="AC422" s="350" t="str">
        <f ca="1">IF(AND(S422&lt;OP!$C$24,$U422&lt;15),0,IF(AND($U422&lt;16,$T422=12),VLOOKUP($S422,DOWN16,4,0),IF($T422=12,ROUND(VLOOKUP(OP!$C$55,_DIE2,$S422+1,0)*(Z422/10000),0)+IF(AND($P$7="購買增額繳清保險",T422=12,U422=110),VLOOKUP(S422,$B$10:$H$121,7,0),0),"")))</f>
        <v/>
      </c>
      <c r="AD422" s="347"/>
      <c r="AE422" s="350" t="str">
        <f t="shared" ca="1" si="319"/>
        <v/>
      </c>
      <c r="AF422" s="351" t="str">
        <f t="shared" ca="1" si="320"/>
        <v/>
      </c>
      <c r="AG422" s="340"/>
      <c r="AH422" s="340"/>
      <c r="AI422" s="340"/>
      <c r="AJ422" s="340"/>
      <c r="AK422" s="340"/>
      <c r="AL422" s="340"/>
      <c r="AM422" s="340"/>
      <c r="AN422" s="340"/>
      <c r="AO422" s="340"/>
      <c r="AP422" s="340"/>
      <c r="AQ422" s="340"/>
      <c r="AR422" s="340"/>
      <c r="AS422" s="340"/>
      <c r="AT422" s="340"/>
      <c r="AU422" s="340"/>
      <c r="AV422" s="340"/>
      <c r="AY422" s="340"/>
      <c r="AZ422" s="465">
        <f t="shared" ca="1" si="330"/>
        <v>7.3698599999999999E-5</v>
      </c>
      <c r="BA422" s="464">
        <f t="shared" ca="1" si="331"/>
        <v>2.1372602999999999E-3</v>
      </c>
      <c r="BB422" s="465">
        <f t="shared" ca="1" si="331"/>
        <v>2.2109589000000002E-3</v>
      </c>
      <c r="BC422" s="466">
        <f t="shared" ca="1" si="332"/>
        <v>55458</v>
      </c>
      <c r="BD422" s="467">
        <f t="shared" ca="1" si="345"/>
        <v>55459</v>
      </c>
      <c r="BE422" s="467">
        <f t="shared" ca="1" si="333"/>
        <v>55487</v>
      </c>
      <c r="BF422" s="468">
        <f ca="1">IF(計算!$BC422&lt;OP!$C$3,0,BD422-BC422)</f>
        <v>1</v>
      </c>
      <c r="BG422" s="468">
        <f ca="1">IF($BE422&gt;DATE(YEAR($BD$9)+OP!$C$57,MONTH($BD$9),DAY($BD$9)),0,$BE422-$BD422+1)</f>
        <v>29</v>
      </c>
      <c r="BH422" s="469">
        <f t="shared" ca="1" si="334"/>
        <v>30</v>
      </c>
      <c r="BI422" t="str">
        <f t="shared" si="350"/>
        <v/>
      </c>
      <c r="BJ422">
        <v>5</v>
      </c>
      <c r="BN422" s="468">
        <f t="shared" si="346"/>
        <v>35</v>
      </c>
      <c r="BO422" s="468">
        <f t="shared" si="347"/>
        <v>5</v>
      </c>
      <c r="BP422" s="467">
        <f t="shared" ca="1" si="335"/>
        <v>55459</v>
      </c>
      <c r="BQ422" s="475">
        <f t="shared" ca="1" si="349"/>
        <v>67</v>
      </c>
      <c r="BR422" s="475" t="str">
        <f t="shared" si="348"/>
        <v/>
      </c>
      <c r="BS422" s="471" t="str">
        <f t="shared" si="336"/>
        <v/>
      </c>
      <c r="BT422" s="472" t="str">
        <f t="shared" si="351"/>
        <v/>
      </c>
      <c r="BU422" s="472">
        <f t="shared" ca="1" si="337"/>
        <v>0</v>
      </c>
      <c r="BV422" s="472">
        <f t="shared" ca="1" si="337"/>
        <v>0</v>
      </c>
      <c r="BW422" s="472"/>
      <c r="BX422" s="473">
        <f t="shared" ca="1" si="338"/>
        <v>390372.38139826298</v>
      </c>
      <c r="BY422" s="473">
        <f t="shared" si="339"/>
        <v>0</v>
      </c>
      <c r="BZ422" s="473">
        <f t="shared" ca="1" si="321"/>
        <v>863.09729096700005</v>
      </c>
      <c r="CA422" s="476">
        <f t="shared" ca="1" si="340"/>
        <v>0</v>
      </c>
      <c r="CB422" s="494">
        <f ca="1">IF(OR($Q421&lt;&gt;1,OP!$D$5+$BN422-1&lt;16,$BN422-1&lt;1),0,ROUND(ROUND(ROUND(((VLOOKUP($BN422-1,MORE_PV,5,0)/10000)*VLOOKUP($BN422,MORE_PV,$CB$5,0)),3)*VLOOKUP($BN422,more1,5,0),0)/$R421,0))</f>
        <v>0</v>
      </c>
      <c r="CC422" s="473">
        <f t="shared" ca="1" si="341"/>
        <v>0</v>
      </c>
      <c r="CD422" s="477"/>
    </row>
    <row r="423" spans="2:82" ht="16.5" hidden="1">
      <c r="B423" s="80"/>
      <c r="C423" s="80"/>
      <c r="D423" s="80"/>
      <c r="E423" s="80"/>
      <c r="F423" s="80"/>
      <c r="G423" s="80"/>
      <c r="H423" s="80"/>
      <c r="I423" s="80"/>
      <c r="J423" s="192">
        <f t="shared" si="322"/>
        <v>35</v>
      </c>
      <c r="K423" s="192">
        <f t="shared" si="323"/>
        <v>7</v>
      </c>
      <c r="L423" s="192" t="str">
        <f t="shared" si="318"/>
        <v/>
      </c>
      <c r="M423" s="216">
        <f t="shared" ca="1" si="324"/>
        <v>0</v>
      </c>
      <c r="N423" s="216"/>
      <c r="O423" s="216"/>
      <c r="P423" s="216"/>
      <c r="Q423" s="456" t="str">
        <f t="shared" ca="1" si="325"/>
        <v/>
      </c>
      <c r="R423" s="450">
        <f t="shared" ca="1" si="326"/>
        <v>1</v>
      </c>
      <c r="S423" s="191">
        <f t="shared" si="327"/>
        <v>35</v>
      </c>
      <c r="T423" s="191">
        <f t="shared" si="328"/>
        <v>7</v>
      </c>
      <c r="U423" s="191">
        <f ca="1">OP!$D$5+$S423-1</f>
        <v>67</v>
      </c>
      <c r="V423" s="191" t="str">
        <f t="shared" si="329"/>
        <v/>
      </c>
      <c r="W423" s="350">
        <f ca="1">IF(Q423&lt;&gt;1,0,VLOOKUP(OP!$C$55,PVFB,$S423+2,0))</f>
        <v>0</v>
      </c>
      <c r="X423" s="473">
        <f t="shared" ca="1" si="342"/>
        <v>0</v>
      </c>
      <c r="Y423" s="348">
        <f t="shared" ca="1" si="343"/>
        <v>0</v>
      </c>
      <c r="Z423" s="348">
        <f t="shared" ca="1" si="344"/>
        <v>8012</v>
      </c>
      <c r="AA423" s="348">
        <f ca="1">IF(Q423&lt;&gt;1,0,VLOOKUP(OP!$C$55,PVFB,$S423+2,0))</f>
        <v>0</v>
      </c>
      <c r="AB423" s="488" t="str">
        <f ca="1">IF(AND(S423&lt;OP!$C$24,$U423&lt;15),0,IF(AND($U423&lt;15,$T423=12),ROUND(VLOOKUP($S423,DOWN16,5,0),3),IF($T423=12,ROUND(($Z423/10000)*$AA423,3)+IF(AND($P$7="購買增額繳清保險",T423=12,U423=110),VLOOKUP(S423,$B$10:$H$121,7,0),0),"")))</f>
        <v/>
      </c>
      <c r="AC423" s="350" t="str">
        <f ca="1">IF(AND(S423&lt;OP!$C$24,$U423&lt;15),0,IF(AND($U423&lt;16,$T423=12),VLOOKUP($S423,DOWN16,4,0),IF($T423=12,ROUND(VLOOKUP(OP!$C$55,_DIE2,$S423+1,0)*(Z423/10000),0)+IF(AND($P$7="購買增額繳清保險",T423=12,U423=110),VLOOKUP(S423,$B$10:$H$121,7,0),0),"")))</f>
        <v/>
      </c>
      <c r="AD423" s="347"/>
      <c r="AE423" s="350" t="str">
        <f t="shared" ca="1" si="319"/>
        <v/>
      </c>
      <c r="AF423" s="351" t="str">
        <f t="shared" ca="1" si="320"/>
        <v/>
      </c>
      <c r="AG423" s="340"/>
      <c r="AH423" s="340"/>
      <c r="AI423" s="340"/>
      <c r="AJ423" s="340"/>
      <c r="AK423" s="340"/>
      <c r="AL423" s="340"/>
      <c r="AM423" s="340"/>
      <c r="AN423" s="340"/>
      <c r="AO423" s="340"/>
      <c r="AP423" s="340"/>
      <c r="AQ423" s="340"/>
      <c r="AR423" s="340"/>
      <c r="AS423" s="340"/>
      <c r="AT423" s="340"/>
      <c r="AU423" s="340"/>
      <c r="AV423" s="340"/>
      <c r="AY423" s="340"/>
      <c r="AZ423" s="465">
        <f t="shared" ca="1" si="330"/>
        <v>7.3698599999999999E-5</v>
      </c>
      <c r="BA423" s="464">
        <f t="shared" ca="1" si="331"/>
        <v>2.2109589000000002E-3</v>
      </c>
      <c r="BB423" s="465">
        <f t="shared" ca="1" si="331"/>
        <v>2.2846575E-3</v>
      </c>
      <c r="BC423" s="466">
        <f t="shared" ca="1" si="332"/>
        <v>55488</v>
      </c>
      <c r="BD423" s="467">
        <f t="shared" ca="1" si="345"/>
        <v>55489</v>
      </c>
      <c r="BE423" s="467">
        <f t="shared" ca="1" si="333"/>
        <v>55518</v>
      </c>
      <c r="BF423" s="468">
        <f ca="1">IF(計算!$BC423&lt;OP!$C$3,0,BD423-BC423)</f>
        <v>1</v>
      </c>
      <c r="BG423" s="468">
        <f ca="1">IF($BE423&gt;DATE(YEAR($BD$9)+OP!$C$57,MONTH($BD$9),DAY($BD$9)),0,$BE423-$BD423+1)</f>
        <v>30</v>
      </c>
      <c r="BH423" s="469">
        <f t="shared" ca="1" si="334"/>
        <v>31</v>
      </c>
      <c r="BI423" t="str">
        <f t="shared" si="350"/>
        <v/>
      </c>
      <c r="BJ423">
        <v>6</v>
      </c>
      <c r="BN423" s="468">
        <f t="shared" si="346"/>
        <v>35</v>
      </c>
      <c r="BO423" s="468">
        <f t="shared" si="347"/>
        <v>6</v>
      </c>
      <c r="BP423" s="467">
        <f t="shared" ca="1" si="335"/>
        <v>55489</v>
      </c>
      <c r="BQ423" s="475">
        <f t="shared" ca="1" si="349"/>
        <v>67</v>
      </c>
      <c r="BR423" s="475" t="str">
        <f t="shared" si="348"/>
        <v/>
      </c>
      <c r="BS423" s="471" t="str">
        <f t="shared" si="336"/>
        <v/>
      </c>
      <c r="BT423" s="472" t="str">
        <f t="shared" si="351"/>
        <v/>
      </c>
      <c r="BU423" s="472">
        <f t="shared" ca="1" si="337"/>
        <v>0</v>
      </c>
      <c r="BV423" s="472">
        <f t="shared" ca="1" si="337"/>
        <v>0</v>
      </c>
      <c r="BW423" s="472"/>
      <c r="BX423" s="473">
        <f t="shared" ca="1" si="338"/>
        <v>391235.47868922999</v>
      </c>
      <c r="BY423" s="473">
        <f t="shared" si="339"/>
        <v>0</v>
      </c>
      <c r="BZ423" s="473">
        <f t="shared" ca="1" si="321"/>
        <v>893.83907065300002</v>
      </c>
      <c r="CA423" s="476">
        <f t="shared" ca="1" si="340"/>
        <v>0</v>
      </c>
      <c r="CB423" s="494">
        <f ca="1">IF(OR($Q422&lt;&gt;1,OP!$D$5+$BN423-1&lt;16,$BN423-1&lt;1),0,ROUND(ROUND(ROUND(((VLOOKUP($BN423-1,MORE_PV,5,0)/10000)*VLOOKUP($BN423,MORE_PV,$CB$5,0)),3)*VLOOKUP($BN423,more1,5,0),0)/$R422,0))</f>
        <v>0</v>
      </c>
      <c r="CC423" s="473">
        <f t="shared" ca="1" si="341"/>
        <v>0</v>
      </c>
      <c r="CD423" s="477"/>
    </row>
    <row r="424" spans="2:82" ht="16.5" hidden="1">
      <c r="B424" s="80"/>
      <c r="C424" s="80"/>
      <c r="D424" s="80"/>
      <c r="E424" s="80"/>
      <c r="F424" s="80"/>
      <c r="G424" s="80"/>
      <c r="H424" s="80"/>
      <c r="I424" s="80"/>
      <c r="J424" s="192">
        <f t="shared" si="322"/>
        <v>35</v>
      </c>
      <c r="K424" s="192">
        <f t="shared" si="323"/>
        <v>8</v>
      </c>
      <c r="L424" s="192" t="str">
        <f t="shared" si="318"/>
        <v/>
      </c>
      <c r="M424" s="216">
        <f t="shared" ca="1" si="324"/>
        <v>0</v>
      </c>
      <c r="N424" s="216"/>
      <c r="O424" s="216"/>
      <c r="P424" s="216"/>
      <c r="Q424" s="456" t="str">
        <f t="shared" ca="1" si="325"/>
        <v/>
      </c>
      <c r="R424" s="450">
        <f t="shared" ca="1" si="326"/>
        <v>1</v>
      </c>
      <c r="S424" s="191">
        <f t="shared" si="327"/>
        <v>35</v>
      </c>
      <c r="T424" s="191">
        <f t="shared" si="328"/>
        <v>8</v>
      </c>
      <c r="U424" s="191">
        <f ca="1">OP!$D$5+$S424-1</f>
        <v>67</v>
      </c>
      <c r="V424" s="191" t="str">
        <f t="shared" si="329"/>
        <v/>
      </c>
      <c r="W424" s="350">
        <f ca="1">IF(Q424&lt;&gt;1,0,VLOOKUP(OP!$C$55,PVFB,$S424+2,0))</f>
        <v>0</v>
      </c>
      <c r="X424" s="473">
        <f t="shared" ca="1" si="342"/>
        <v>0</v>
      </c>
      <c r="Y424" s="348">
        <f t="shared" ca="1" si="343"/>
        <v>0</v>
      </c>
      <c r="Z424" s="348">
        <f t="shared" ca="1" si="344"/>
        <v>8012</v>
      </c>
      <c r="AA424" s="348">
        <f ca="1">IF(Q424&lt;&gt;1,0,VLOOKUP(OP!$C$55,PVFB,$S424+2,0))</f>
        <v>0</v>
      </c>
      <c r="AB424" s="488" t="str">
        <f ca="1">IF(AND(S424&lt;OP!$C$24,$U424&lt;15),0,IF(AND($U424&lt;15,$T424=12),ROUND(VLOOKUP($S424,DOWN16,5,0),3),IF($T424=12,ROUND(($Z424/10000)*$AA424,3)+IF(AND($P$7="購買增額繳清保險",T424=12,U424=110),VLOOKUP(S424,$B$10:$H$121,7,0),0),"")))</f>
        <v/>
      </c>
      <c r="AC424" s="350" t="str">
        <f ca="1">IF(AND(S424&lt;OP!$C$24,$U424&lt;15),0,IF(AND($U424&lt;16,$T424=12),VLOOKUP($S424,DOWN16,4,0),IF($T424=12,ROUND(VLOOKUP(OP!$C$55,_DIE2,$S424+1,0)*(Z424/10000),0)+IF(AND($P$7="購買增額繳清保險",T424=12,U424=110),VLOOKUP(S424,$B$10:$H$121,7,0),0),"")))</f>
        <v/>
      </c>
      <c r="AD424" s="347"/>
      <c r="AE424" s="350" t="str">
        <f t="shared" ca="1" si="319"/>
        <v/>
      </c>
      <c r="AF424" s="351" t="str">
        <f t="shared" ca="1" si="320"/>
        <v/>
      </c>
      <c r="AG424" s="340"/>
      <c r="AH424" s="340"/>
      <c r="AI424" s="340"/>
      <c r="AJ424" s="340"/>
      <c r="AK424" s="340"/>
      <c r="AL424" s="340"/>
      <c r="AM424" s="340"/>
      <c r="AN424" s="340"/>
      <c r="AO424" s="340"/>
      <c r="AP424" s="340"/>
      <c r="AQ424" s="340"/>
      <c r="AR424" s="340"/>
      <c r="AS424" s="340"/>
      <c r="AT424" s="340"/>
      <c r="AU424" s="340"/>
      <c r="AV424" s="340"/>
      <c r="AY424" s="340"/>
      <c r="AZ424" s="465">
        <f t="shared" ca="1" si="330"/>
        <v>7.3698599999999999E-5</v>
      </c>
      <c r="BA424" s="464">
        <f t="shared" ca="1" si="331"/>
        <v>2.2109589000000002E-3</v>
      </c>
      <c r="BB424" s="465">
        <f t="shared" ca="1" si="331"/>
        <v>2.2846575E-3</v>
      </c>
      <c r="BC424" s="466">
        <f t="shared" ca="1" si="332"/>
        <v>55519</v>
      </c>
      <c r="BD424" s="467">
        <f t="shared" ca="1" si="345"/>
        <v>55520</v>
      </c>
      <c r="BE424" s="467">
        <f t="shared" ca="1" si="333"/>
        <v>55549</v>
      </c>
      <c r="BF424" s="468">
        <f ca="1">IF(計算!$BC424&lt;OP!$C$3,0,BD424-BC424)</f>
        <v>1</v>
      </c>
      <c r="BG424" s="468">
        <f ca="1">IF($BE424&gt;DATE(YEAR($BD$9)+OP!$C$57,MONTH($BD$9),DAY($BD$9)),0,$BE424-$BD424+1)</f>
        <v>30</v>
      </c>
      <c r="BH424" s="469">
        <f t="shared" ca="1" si="334"/>
        <v>31</v>
      </c>
      <c r="BI424" t="str">
        <f t="shared" si="350"/>
        <v/>
      </c>
      <c r="BJ424">
        <v>7</v>
      </c>
      <c r="BN424" s="468">
        <f t="shared" si="346"/>
        <v>35</v>
      </c>
      <c r="BO424" s="468">
        <f t="shared" si="347"/>
        <v>7</v>
      </c>
      <c r="BP424" s="467">
        <f t="shared" ca="1" si="335"/>
        <v>55520</v>
      </c>
      <c r="BQ424" s="475">
        <f t="shared" ca="1" si="349"/>
        <v>67</v>
      </c>
      <c r="BR424" s="475" t="str">
        <f t="shared" si="348"/>
        <v/>
      </c>
      <c r="BS424" s="471" t="str">
        <f t="shared" si="336"/>
        <v/>
      </c>
      <c r="BT424" s="472" t="str">
        <f t="shared" si="351"/>
        <v/>
      </c>
      <c r="BU424" s="472">
        <f t="shared" ca="1" si="337"/>
        <v>0</v>
      </c>
      <c r="BV424" s="472">
        <f t="shared" ca="1" si="337"/>
        <v>0</v>
      </c>
      <c r="BW424" s="472"/>
      <c r="BX424" s="473">
        <f t="shared" ca="1" si="338"/>
        <v>392129.31775988301</v>
      </c>
      <c r="BY424" s="473">
        <f t="shared" si="339"/>
        <v>0</v>
      </c>
      <c r="BZ424" s="473">
        <f t="shared" ca="1" si="321"/>
        <v>895.88118679000002</v>
      </c>
      <c r="CA424" s="476">
        <f t="shared" ca="1" si="340"/>
        <v>0</v>
      </c>
      <c r="CB424" s="494">
        <f ca="1">IF(OR($Q423&lt;&gt;1,OP!$D$5+$BN424-1&lt;16,$BN424-1&lt;1),0,ROUND(ROUND(ROUND(((VLOOKUP($BN424-1,MORE_PV,5,0)/10000)*VLOOKUP($BN424,MORE_PV,$CB$5,0)),3)*VLOOKUP($BN424,more1,5,0),0)/$R423,0))</f>
        <v>0</v>
      </c>
      <c r="CC424" s="473">
        <f t="shared" ca="1" si="341"/>
        <v>0</v>
      </c>
      <c r="CD424" s="477"/>
    </row>
    <row r="425" spans="2:82" ht="16.5" hidden="1">
      <c r="B425" s="80"/>
      <c r="C425" s="80"/>
      <c r="D425" s="80"/>
      <c r="E425" s="80"/>
      <c r="F425" s="80"/>
      <c r="G425" s="80"/>
      <c r="H425" s="80"/>
      <c r="I425" s="80"/>
      <c r="J425" s="192">
        <f t="shared" si="322"/>
        <v>35</v>
      </c>
      <c r="K425" s="192">
        <f t="shared" si="323"/>
        <v>9</v>
      </c>
      <c r="L425" s="192" t="str">
        <f t="shared" si="318"/>
        <v/>
      </c>
      <c r="M425" s="216">
        <f t="shared" ca="1" si="324"/>
        <v>0</v>
      </c>
      <c r="N425" s="216"/>
      <c r="O425" s="216"/>
      <c r="P425" s="216"/>
      <c r="Q425" s="456" t="str">
        <f t="shared" ca="1" si="325"/>
        <v/>
      </c>
      <c r="R425" s="450">
        <f t="shared" ca="1" si="326"/>
        <v>1</v>
      </c>
      <c r="S425" s="191">
        <f t="shared" si="327"/>
        <v>35</v>
      </c>
      <c r="T425" s="191">
        <f t="shared" si="328"/>
        <v>9</v>
      </c>
      <c r="U425" s="191">
        <f ca="1">OP!$D$5+$S425-1</f>
        <v>67</v>
      </c>
      <c r="V425" s="191" t="str">
        <f t="shared" si="329"/>
        <v/>
      </c>
      <c r="W425" s="350">
        <f ca="1">IF(Q425&lt;&gt;1,0,VLOOKUP(OP!$C$55,PVFB,$S425+2,0))</f>
        <v>0</v>
      </c>
      <c r="X425" s="473">
        <f t="shared" ca="1" si="342"/>
        <v>0</v>
      </c>
      <c r="Y425" s="348">
        <f t="shared" ca="1" si="343"/>
        <v>0</v>
      </c>
      <c r="Z425" s="348">
        <f t="shared" ca="1" si="344"/>
        <v>8012</v>
      </c>
      <c r="AA425" s="348">
        <f ca="1">IF(Q425&lt;&gt;1,0,VLOOKUP(OP!$C$55,PVFB,$S425+2,0))</f>
        <v>0</v>
      </c>
      <c r="AB425" s="488" t="str">
        <f ca="1">IF(AND(S425&lt;OP!$C$24,$U425&lt;15),0,IF(AND($U425&lt;15,$T425=12),ROUND(VLOOKUP($S425,DOWN16,5,0),3),IF($T425=12,ROUND(($Z425/10000)*$AA425,3)+IF(AND($P$7="購買增額繳清保險",T425=12,U425=110),VLOOKUP(S425,$B$10:$H$121,7,0),0),"")))</f>
        <v/>
      </c>
      <c r="AC425" s="350" t="str">
        <f ca="1">IF(AND(S425&lt;OP!$C$24,$U425&lt;15),0,IF(AND($U425&lt;16,$T425=12),VLOOKUP($S425,DOWN16,4,0),IF($T425=12,ROUND(VLOOKUP(OP!$C$55,_DIE2,$S425+1,0)*(Z425/10000),0)+IF(AND($P$7="購買增額繳清保險",T425=12,U425=110),VLOOKUP(S425,$B$10:$H$121,7,0),0),"")))</f>
        <v/>
      </c>
      <c r="AD425" s="347"/>
      <c r="AE425" s="350" t="str">
        <f t="shared" ca="1" si="319"/>
        <v/>
      </c>
      <c r="AF425" s="351" t="str">
        <f t="shared" ca="1" si="320"/>
        <v/>
      </c>
      <c r="AG425" s="340"/>
      <c r="AH425" s="340"/>
      <c r="AI425" s="340"/>
      <c r="AJ425" s="340"/>
      <c r="AK425" s="340"/>
      <c r="AL425" s="340"/>
      <c r="AM425" s="340"/>
      <c r="AN425" s="340"/>
      <c r="AO425" s="340"/>
      <c r="AP425" s="340"/>
      <c r="AQ425" s="340"/>
      <c r="AR425" s="340"/>
      <c r="AS425" s="340"/>
      <c r="AT425" s="340"/>
      <c r="AU425" s="340"/>
      <c r="AV425" s="340"/>
      <c r="AY425" s="340"/>
      <c r="AZ425" s="465">
        <f t="shared" ca="1" si="330"/>
        <v>7.3698599999999999E-5</v>
      </c>
      <c r="BA425" s="464">
        <f t="shared" ca="1" si="331"/>
        <v>2.0635616E-3</v>
      </c>
      <c r="BB425" s="465">
        <f t="shared" ca="1" si="331"/>
        <v>2.1372602999999999E-3</v>
      </c>
      <c r="BC425" s="466">
        <f t="shared" ca="1" si="332"/>
        <v>55550</v>
      </c>
      <c r="BD425" s="467">
        <f t="shared" ca="1" si="345"/>
        <v>55551</v>
      </c>
      <c r="BE425" s="467">
        <f t="shared" ca="1" si="333"/>
        <v>55578</v>
      </c>
      <c r="BF425" s="468">
        <f ca="1">IF(計算!$BC425&lt;OP!$C$3,0,BD425-BC425)</f>
        <v>1</v>
      </c>
      <c r="BG425" s="468">
        <f ca="1">IF($BE425&gt;DATE(YEAR($BD$9)+OP!$C$57,MONTH($BD$9),DAY($BD$9)),0,$BE425-$BD425+1)</f>
        <v>28</v>
      </c>
      <c r="BH425" s="469">
        <f t="shared" ca="1" si="334"/>
        <v>29</v>
      </c>
      <c r="BI425" t="str">
        <f t="shared" si="350"/>
        <v/>
      </c>
      <c r="BJ425">
        <v>8</v>
      </c>
      <c r="BN425" s="468">
        <f t="shared" si="346"/>
        <v>35</v>
      </c>
      <c r="BO425" s="468">
        <f t="shared" si="347"/>
        <v>8</v>
      </c>
      <c r="BP425" s="467">
        <f t="shared" ca="1" si="335"/>
        <v>55551</v>
      </c>
      <c r="BQ425" s="475">
        <f t="shared" ca="1" si="349"/>
        <v>67</v>
      </c>
      <c r="BR425" s="475" t="str">
        <f t="shared" si="348"/>
        <v/>
      </c>
      <c r="BS425" s="471" t="str">
        <f t="shared" si="336"/>
        <v/>
      </c>
      <c r="BT425" s="472" t="str">
        <f t="shared" si="351"/>
        <v/>
      </c>
      <c r="BU425" s="472">
        <f t="shared" ca="1" si="337"/>
        <v>0</v>
      </c>
      <c r="BV425" s="472">
        <f t="shared" ca="1" si="337"/>
        <v>0</v>
      </c>
      <c r="BW425" s="472"/>
      <c r="BX425" s="473">
        <f t="shared" ca="1" si="338"/>
        <v>393025.19894667302</v>
      </c>
      <c r="BY425" s="473">
        <f t="shared" si="339"/>
        <v>0</v>
      </c>
      <c r="BZ425" s="473">
        <f t="shared" ca="1" si="321"/>
        <v>839.99715460799996</v>
      </c>
      <c r="CA425" s="476">
        <f t="shared" ca="1" si="340"/>
        <v>0</v>
      </c>
      <c r="CB425" s="494">
        <f ca="1">IF(OR($Q424&lt;&gt;1,OP!$D$5+$BN425-1&lt;16,$BN425-1&lt;1),0,ROUND(ROUND(ROUND(((VLOOKUP($BN425-1,MORE_PV,5,0)/10000)*VLOOKUP($BN425,MORE_PV,$CB$5,0)),3)*VLOOKUP($BN425,more1,5,0),0)/$R424,0))</f>
        <v>0</v>
      </c>
      <c r="CC425" s="473">
        <f t="shared" ca="1" si="341"/>
        <v>0</v>
      </c>
      <c r="CD425" s="477"/>
    </row>
    <row r="426" spans="2:82" ht="16.5" hidden="1">
      <c r="B426" s="80"/>
      <c r="C426" s="80"/>
      <c r="D426" s="80"/>
      <c r="E426" s="80"/>
      <c r="F426" s="80"/>
      <c r="G426" s="80"/>
      <c r="H426" s="80"/>
      <c r="I426" s="80"/>
      <c r="J426" s="192">
        <f t="shared" si="322"/>
        <v>35</v>
      </c>
      <c r="K426" s="192">
        <f t="shared" si="323"/>
        <v>10</v>
      </c>
      <c r="L426" s="192" t="str">
        <f t="shared" si="318"/>
        <v/>
      </c>
      <c r="M426" s="216">
        <f t="shared" ca="1" si="324"/>
        <v>0</v>
      </c>
      <c r="N426" s="216"/>
      <c r="O426" s="216"/>
      <c r="P426" s="216"/>
      <c r="Q426" s="456" t="str">
        <f t="shared" ca="1" si="325"/>
        <v/>
      </c>
      <c r="R426" s="450">
        <f t="shared" ca="1" si="326"/>
        <v>1</v>
      </c>
      <c r="S426" s="191">
        <f t="shared" si="327"/>
        <v>35</v>
      </c>
      <c r="T426" s="191">
        <f t="shared" si="328"/>
        <v>10</v>
      </c>
      <c r="U426" s="191">
        <f ca="1">OP!$D$5+$S426-1</f>
        <v>67</v>
      </c>
      <c r="V426" s="191" t="str">
        <f t="shared" si="329"/>
        <v/>
      </c>
      <c r="W426" s="350">
        <f ca="1">IF(Q426&lt;&gt;1,0,VLOOKUP(OP!$C$55,PVFB,$S426+2,0))</f>
        <v>0</v>
      </c>
      <c r="X426" s="473">
        <f t="shared" ca="1" si="342"/>
        <v>0</v>
      </c>
      <c r="Y426" s="348">
        <f t="shared" ca="1" si="343"/>
        <v>0</v>
      </c>
      <c r="Z426" s="348">
        <f t="shared" ca="1" si="344"/>
        <v>8012</v>
      </c>
      <c r="AA426" s="348">
        <f ca="1">IF(Q426&lt;&gt;1,0,VLOOKUP(OP!$C$55,PVFB,$S426+2,0))</f>
        <v>0</v>
      </c>
      <c r="AB426" s="488" t="str">
        <f ca="1">IF(AND(S426&lt;OP!$C$24,$U426&lt;15),0,IF(AND($U426&lt;15,$T426=12),ROUND(VLOOKUP($S426,DOWN16,5,0),3),IF($T426=12,ROUND(($Z426/10000)*$AA426,3)+IF(AND($P$7="購買增額繳清保險",T426=12,U426=110),VLOOKUP(S426,$B$10:$H$121,7,0),0),"")))</f>
        <v/>
      </c>
      <c r="AC426" s="350" t="str">
        <f ca="1">IF(AND(S426&lt;OP!$C$24,$U426&lt;15),0,IF(AND($U426&lt;16,$T426=12),VLOOKUP($S426,DOWN16,4,0),IF($T426=12,ROUND(VLOOKUP(OP!$C$55,_DIE2,$S426+1,0)*(Z426/10000),0)+IF(AND($P$7="購買增額繳清保險",T426=12,U426=110),VLOOKUP(S426,$B$10:$H$121,7,0),0),"")))</f>
        <v/>
      </c>
      <c r="AD426" s="347"/>
      <c r="AE426" s="350" t="str">
        <f t="shared" ca="1" si="319"/>
        <v/>
      </c>
      <c r="AF426" s="351" t="str">
        <f t="shared" ca="1" si="320"/>
        <v/>
      </c>
      <c r="AG426" s="340"/>
      <c r="AH426" s="340"/>
      <c r="AI426" s="340"/>
      <c r="AJ426" s="340"/>
      <c r="AK426" s="340"/>
      <c r="AL426" s="340"/>
      <c r="AM426" s="340"/>
      <c r="AN426" s="340"/>
      <c r="AO426" s="340"/>
      <c r="AP426" s="340"/>
      <c r="AQ426" s="340"/>
      <c r="AR426" s="340"/>
      <c r="AS426" s="340"/>
      <c r="AT426" s="340"/>
      <c r="AU426" s="340"/>
      <c r="AV426" s="340"/>
      <c r="AY426" s="340"/>
      <c r="AZ426" s="465">
        <f t="shared" ca="1" si="330"/>
        <v>7.3698599999999999E-5</v>
      </c>
      <c r="BA426" s="464">
        <f t="shared" ca="1" si="331"/>
        <v>2.2109589000000002E-3</v>
      </c>
      <c r="BB426" s="465">
        <f t="shared" ca="1" si="331"/>
        <v>2.2846575E-3</v>
      </c>
      <c r="BC426" s="466">
        <f t="shared" ca="1" si="332"/>
        <v>55579</v>
      </c>
      <c r="BD426" s="467">
        <f t="shared" ca="1" si="345"/>
        <v>55580</v>
      </c>
      <c r="BE426" s="467">
        <f t="shared" ca="1" si="333"/>
        <v>55609</v>
      </c>
      <c r="BF426" s="468">
        <f ca="1">IF(計算!$BC426&lt;OP!$C$3,0,BD426-BC426)</f>
        <v>1</v>
      </c>
      <c r="BG426" s="468">
        <f ca="1">IF($BE426&gt;DATE(YEAR($BD$9)+OP!$C$57,MONTH($BD$9),DAY($BD$9)),0,$BE426-$BD426+1)</f>
        <v>30</v>
      </c>
      <c r="BH426" s="469">
        <f t="shared" ca="1" si="334"/>
        <v>31</v>
      </c>
      <c r="BI426" t="str">
        <f t="shared" si="350"/>
        <v/>
      </c>
      <c r="BJ426">
        <v>9</v>
      </c>
      <c r="BN426" s="468">
        <f t="shared" si="346"/>
        <v>35</v>
      </c>
      <c r="BO426" s="468">
        <f t="shared" si="347"/>
        <v>9</v>
      </c>
      <c r="BP426" s="467">
        <f t="shared" ca="1" si="335"/>
        <v>55580</v>
      </c>
      <c r="BQ426" s="475">
        <f t="shared" ca="1" si="349"/>
        <v>67</v>
      </c>
      <c r="BR426" s="475" t="str">
        <f t="shared" si="348"/>
        <v/>
      </c>
      <c r="BS426" s="471" t="str">
        <f t="shared" si="336"/>
        <v/>
      </c>
      <c r="BT426" s="472" t="str">
        <f t="shared" si="351"/>
        <v/>
      </c>
      <c r="BU426" s="472">
        <f t="shared" ca="1" si="337"/>
        <v>0</v>
      </c>
      <c r="BV426" s="472">
        <f t="shared" ca="1" si="337"/>
        <v>0</v>
      </c>
      <c r="BW426" s="472"/>
      <c r="BX426" s="473">
        <f t="shared" ca="1" si="338"/>
        <v>393865.19610128098</v>
      </c>
      <c r="BY426" s="473">
        <f t="shared" si="339"/>
        <v>0</v>
      </c>
      <c r="BZ426" s="473">
        <f t="shared" ca="1" si="321"/>
        <v>899.84707426199998</v>
      </c>
      <c r="CA426" s="476">
        <f t="shared" ca="1" si="340"/>
        <v>0</v>
      </c>
      <c r="CB426" s="494">
        <f ca="1">IF(OR($Q425&lt;&gt;1,OP!$D$5+$BN426-1&lt;16,$BN426-1&lt;1),0,ROUND(ROUND(ROUND(((VLOOKUP($BN426-1,MORE_PV,5,0)/10000)*VLOOKUP($BN426,MORE_PV,$CB$5,0)),3)*VLOOKUP($BN426,more1,5,0),0)/$R425,0))</f>
        <v>0</v>
      </c>
      <c r="CC426" s="473">
        <f t="shared" ca="1" si="341"/>
        <v>0</v>
      </c>
      <c r="CD426" s="477"/>
    </row>
    <row r="427" spans="2:82" ht="16.5" hidden="1">
      <c r="B427" s="80"/>
      <c r="C427" s="80"/>
      <c r="D427" s="80"/>
      <c r="E427" s="80"/>
      <c r="F427" s="80"/>
      <c r="G427" s="80"/>
      <c r="H427" s="80"/>
      <c r="I427" s="80"/>
      <c r="J427" s="192">
        <f t="shared" si="322"/>
        <v>35</v>
      </c>
      <c r="K427" s="192">
        <f t="shared" si="323"/>
        <v>11</v>
      </c>
      <c r="L427" s="192" t="str">
        <f t="shared" si="318"/>
        <v/>
      </c>
      <c r="M427" s="216">
        <f t="shared" ca="1" si="324"/>
        <v>0</v>
      </c>
      <c r="N427" s="216"/>
      <c r="O427" s="216"/>
      <c r="P427" s="216"/>
      <c r="Q427" s="456" t="str">
        <f t="shared" ca="1" si="325"/>
        <v/>
      </c>
      <c r="R427" s="450">
        <f t="shared" ca="1" si="326"/>
        <v>1</v>
      </c>
      <c r="S427" s="191">
        <f t="shared" si="327"/>
        <v>35</v>
      </c>
      <c r="T427" s="191">
        <f t="shared" si="328"/>
        <v>11</v>
      </c>
      <c r="U427" s="191">
        <f ca="1">OP!$D$5+$S427-1</f>
        <v>67</v>
      </c>
      <c r="V427" s="191" t="str">
        <f t="shared" si="329"/>
        <v/>
      </c>
      <c r="W427" s="350">
        <f ca="1">IF(Q427&lt;&gt;1,0,VLOOKUP(OP!$C$55,PVFB,$S427+2,0))</f>
        <v>0</v>
      </c>
      <c r="X427" s="473">
        <f t="shared" ca="1" si="342"/>
        <v>0</v>
      </c>
      <c r="Y427" s="348">
        <f t="shared" ca="1" si="343"/>
        <v>0</v>
      </c>
      <c r="Z427" s="348">
        <f t="shared" ca="1" si="344"/>
        <v>8012</v>
      </c>
      <c r="AA427" s="348">
        <f ca="1">IF(Q427&lt;&gt;1,0,VLOOKUP(OP!$C$55,PVFB,$S427+2,0))</f>
        <v>0</v>
      </c>
      <c r="AB427" s="488" t="str">
        <f ca="1">IF(AND(S427&lt;OP!$C$24,$U427&lt;15),0,IF(AND($U427&lt;15,$T427=12),ROUND(VLOOKUP($S427,DOWN16,5,0),3),IF($T427=12,ROUND(($Z427/10000)*$AA427,3)+IF(AND($P$7="購買增額繳清保險",T427=12,U427=110),VLOOKUP(S427,$B$10:$H$121,7,0),0),"")))</f>
        <v/>
      </c>
      <c r="AC427" s="350" t="str">
        <f ca="1">IF(AND(S427&lt;OP!$C$24,$U427&lt;15),0,IF(AND($U427&lt;16,$T427=12),VLOOKUP($S427,DOWN16,4,0),IF($T427=12,ROUND(VLOOKUP(OP!$C$55,_DIE2,$S427+1,0)*(Z427/10000),0)+IF(AND($P$7="購買增額繳清保險",T427=12,U427=110),VLOOKUP(S427,$B$10:$H$121,7,0),0),"")))</f>
        <v/>
      </c>
      <c r="AD427" s="347"/>
      <c r="AE427" s="350" t="str">
        <f t="shared" ca="1" si="319"/>
        <v/>
      </c>
      <c r="AF427" s="351" t="str">
        <f t="shared" ca="1" si="320"/>
        <v/>
      </c>
      <c r="AG427" s="340"/>
      <c r="AH427" s="340"/>
      <c r="AI427" s="340"/>
      <c r="AJ427" s="340"/>
      <c r="AK427" s="340"/>
      <c r="AL427" s="340"/>
      <c r="AM427" s="340"/>
      <c r="AN427" s="340"/>
      <c r="AO427" s="340"/>
      <c r="AP427" s="340"/>
      <c r="AQ427" s="340"/>
      <c r="AR427" s="340"/>
      <c r="AS427" s="340"/>
      <c r="AT427" s="340"/>
      <c r="AU427" s="340"/>
      <c r="AV427" s="340"/>
      <c r="AY427" s="340"/>
      <c r="AZ427" s="465">
        <f t="shared" ca="1" si="330"/>
        <v>7.3698599999999999E-5</v>
      </c>
      <c r="BA427" s="464">
        <f t="shared" ca="1" si="331"/>
        <v>2.1372602999999999E-3</v>
      </c>
      <c r="BB427" s="465">
        <f t="shared" ca="1" si="331"/>
        <v>2.2109589000000002E-3</v>
      </c>
      <c r="BC427" s="466">
        <f t="shared" ca="1" si="332"/>
        <v>55610</v>
      </c>
      <c r="BD427" s="467">
        <f t="shared" ca="1" si="345"/>
        <v>55611</v>
      </c>
      <c r="BE427" s="467">
        <f t="shared" ca="1" si="333"/>
        <v>55639</v>
      </c>
      <c r="BF427" s="468">
        <f ca="1">IF(計算!$BC427&lt;OP!$C$3,0,BD427-BC427)</f>
        <v>1</v>
      </c>
      <c r="BG427" s="468">
        <f ca="1">IF($BE427&gt;DATE(YEAR($BD$9)+OP!$C$57,MONTH($BD$9),DAY($BD$9)),0,$BE427-$BD427+1)</f>
        <v>29</v>
      </c>
      <c r="BH427" s="469">
        <f t="shared" ca="1" si="334"/>
        <v>30</v>
      </c>
      <c r="BI427" t="str">
        <f t="shared" si="350"/>
        <v/>
      </c>
      <c r="BJ427">
        <v>10</v>
      </c>
      <c r="BN427" s="468">
        <f t="shared" si="346"/>
        <v>35</v>
      </c>
      <c r="BO427" s="468">
        <f t="shared" si="347"/>
        <v>10</v>
      </c>
      <c r="BP427" s="467">
        <f t="shared" ca="1" si="335"/>
        <v>55611</v>
      </c>
      <c r="BQ427" s="475">
        <f t="shared" ca="1" si="349"/>
        <v>67</v>
      </c>
      <c r="BR427" s="475" t="str">
        <f t="shared" si="348"/>
        <v/>
      </c>
      <c r="BS427" s="471" t="str">
        <f t="shared" si="336"/>
        <v/>
      </c>
      <c r="BT427" s="472" t="str">
        <f t="shared" si="351"/>
        <v/>
      </c>
      <c r="BU427" s="472">
        <f t="shared" ca="1" si="337"/>
        <v>0</v>
      </c>
      <c r="BV427" s="472">
        <f t="shared" ca="1" si="337"/>
        <v>0</v>
      </c>
      <c r="BW427" s="472"/>
      <c r="BX427" s="473">
        <f t="shared" ca="1" si="338"/>
        <v>394765.04317554302</v>
      </c>
      <c r="BY427" s="473">
        <f t="shared" si="339"/>
        <v>0</v>
      </c>
      <c r="BZ427" s="473">
        <f t="shared" ca="1" si="321"/>
        <v>872.80928561799999</v>
      </c>
      <c r="CA427" s="476">
        <f t="shared" ca="1" si="340"/>
        <v>0</v>
      </c>
      <c r="CB427" s="494">
        <f ca="1">IF(OR($Q426&lt;&gt;1,OP!$D$5+$BN427-1&lt;16,$BN427-1&lt;1),0,ROUND(ROUND(ROUND(((VLOOKUP($BN427-1,MORE_PV,5,0)/10000)*VLOOKUP($BN427,MORE_PV,$CB$5,0)),3)*VLOOKUP($BN427,more1,5,0),0)/$R426,0))</f>
        <v>0</v>
      </c>
      <c r="CC427" s="473">
        <f t="shared" ca="1" si="341"/>
        <v>0</v>
      </c>
      <c r="CD427" s="477"/>
    </row>
    <row r="428" spans="2:82" ht="16.5" hidden="1">
      <c r="B428" s="80"/>
      <c r="C428" s="80"/>
      <c r="D428" s="80"/>
      <c r="E428" s="80"/>
      <c r="F428" s="80"/>
      <c r="G428" s="80"/>
      <c r="H428" s="80"/>
      <c r="I428" s="80"/>
      <c r="J428" s="192">
        <f t="shared" si="322"/>
        <v>35</v>
      </c>
      <c r="K428" s="192">
        <f t="shared" si="323"/>
        <v>12</v>
      </c>
      <c r="L428" s="192">
        <f t="shared" si="318"/>
        <v>35</v>
      </c>
      <c r="M428" s="216">
        <f t="shared" ca="1" si="324"/>
        <v>409330</v>
      </c>
      <c r="N428" s="216"/>
      <c r="O428" s="216"/>
      <c r="P428" s="216"/>
      <c r="Q428" s="456">
        <f t="shared" ca="1" si="325"/>
        <v>1</v>
      </c>
      <c r="R428" s="450">
        <f t="shared" ca="1" si="326"/>
        <v>1</v>
      </c>
      <c r="S428" s="191">
        <f t="shared" si="327"/>
        <v>35</v>
      </c>
      <c r="T428" s="191">
        <f t="shared" si="328"/>
        <v>12</v>
      </c>
      <c r="U428" s="191">
        <f ca="1">OP!$D$5+$S428-1</f>
        <v>67</v>
      </c>
      <c r="V428" s="191">
        <f t="shared" si="329"/>
        <v>35</v>
      </c>
      <c r="W428" s="350">
        <f ca="1">IF(Q428&lt;&gt;1,0,VLOOKUP(OP!$C$55,PVFB,$S428+2,0))</f>
        <v>53133</v>
      </c>
      <c r="X428" s="473">
        <f t="shared" ca="1" si="342"/>
        <v>12759</v>
      </c>
      <c r="Y428" s="348">
        <f t="shared" ca="1" si="343"/>
        <v>0</v>
      </c>
      <c r="Z428" s="348">
        <f t="shared" ca="1" si="344"/>
        <v>8012</v>
      </c>
      <c r="AA428" s="348">
        <f ca="1">IF(Q428&lt;&gt;1,0,VLOOKUP(OP!$C$55,PVFB,$S428+2,0))</f>
        <v>53133</v>
      </c>
      <c r="AB428" s="488">
        <f ca="1">IF(AND(S428&lt;OP!$C$24,$U428&lt;15),0,IF(AND($U428&lt;15,$T428=12),ROUND(VLOOKUP($S428,DOWN16,5,0),3),IF($T428=12,ROUND(($Z428/10000)*$AA428,3)+IF(AND($P$7="購買增額繳清保險",T428=12,U428=110),VLOOKUP(S428,$B$10:$H$121,7,0),0),"")))</f>
        <v>42570.16</v>
      </c>
      <c r="AC428" s="350">
        <f ca="1">IF(AND(S428&lt;OP!$C$24,$U428&lt;15),0,IF(AND($U428&lt;16,$T428=12),VLOOKUP($S428,DOWN16,4,0),IF($T428=12,ROUND(VLOOKUP(OP!$C$55,_DIE2,$S428+1,0)*(Z428/10000),0)+IF(AND($P$7="購買增額繳清保險",T428=12,U428=110),VLOOKUP(S428,$B$10:$H$121,7,0),0),"")))</f>
        <v>42570</v>
      </c>
      <c r="AD428" s="347"/>
      <c r="AE428" s="350" t="str">
        <f t="shared" ca="1" si="319"/>
        <v/>
      </c>
      <c r="AF428" s="351" t="str">
        <f t="shared" ca="1" si="320"/>
        <v/>
      </c>
      <c r="AG428" s="340"/>
      <c r="AH428" s="340"/>
      <c r="AI428" s="340"/>
      <c r="AJ428" s="340"/>
      <c r="AK428" s="340"/>
      <c r="AL428" s="340"/>
      <c r="AM428" s="340"/>
      <c r="AN428" s="340"/>
      <c r="AO428" s="340"/>
      <c r="AP428" s="340"/>
      <c r="AQ428" s="340"/>
      <c r="AR428" s="340"/>
      <c r="AS428" s="340"/>
      <c r="AT428" s="340"/>
      <c r="AU428" s="340"/>
      <c r="AV428" s="340"/>
      <c r="AY428" s="340"/>
      <c r="AZ428" s="465">
        <f t="shared" ca="1" si="330"/>
        <v>7.3698599999999999E-5</v>
      </c>
      <c r="BA428" s="464">
        <f t="shared" ca="1" si="331"/>
        <v>2.2109589000000002E-3</v>
      </c>
      <c r="BB428" s="465">
        <f t="shared" ca="1" si="331"/>
        <v>2.2846575E-3</v>
      </c>
      <c r="BC428" s="466">
        <f t="shared" ca="1" si="332"/>
        <v>55640</v>
      </c>
      <c r="BD428" s="467">
        <f t="shared" ca="1" si="345"/>
        <v>55641</v>
      </c>
      <c r="BE428" s="467">
        <f t="shared" ca="1" si="333"/>
        <v>55670</v>
      </c>
      <c r="BF428" s="468">
        <f ca="1">IF(計算!$BC428&lt;OP!$C$3,0,BD428-BC428)</f>
        <v>1</v>
      </c>
      <c r="BG428" s="468">
        <f ca="1">IF($BE428&gt;DATE(YEAR($BD$9)+OP!$C$57,MONTH($BD$9),DAY($BD$9)),0,$BE428-$BD428+1)</f>
        <v>30</v>
      </c>
      <c r="BH428" s="469">
        <f t="shared" ca="1" si="334"/>
        <v>31</v>
      </c>
      <c r="BI428" t="str">
        <f t="shared" si="350"/>
        <v/>
      </c>
      <c r="BJ428">
        <v>11</v>
      </c>
      <c r="BN428" s="468">
        <f t="shared" si="346"/>
        <v>35</v>
      </c>
      <c r="BO428" s="468">
        <f t="shared" si="347"/>
        <v>11</v>
      </c>
      <c r="BP428" s="467">
        <f t="shared" ca="1" si="335"/>
        <v>55641</v>
      </c>
      <c r="BQ428" s="475">
        <f t="shared" ca="1" si="349"/>
        <v>67</v>
      </c>
      <c r="BR428" s="475" t="str">
        <f t="shared" si="348"/>
        <v/>
      </c>
      <c r="BS428" s="471" t="str">
        <f t="shared" si="336"/>
        <v/>
      </c>
      <c r="BT428" s="472" t="str">
        <f t="shared" si="351"/>
        <v/>
      </c>
      <c r="BU428" s="472">
        <f t="shared" ca="1" si="337"/>
        <v>0</v>
      </c>
      <c r="BV428" s="472">
        <f t="shared" ca="1" si="337"/>
        <v>0</v>
      </c>
      <c r="BW428" s="472"/>
      <c r="BX428" s="473">
        <f t="shared" ca="1" si="338"/>
        <v>395637.85246116098</v>
      </c>
      <c r="BY428" s="473">
        <f t="shared" si="339"/>
        <v>0</v>
      </c>
      <c r="BZ428" s="473">
        <f t="shared" ca="1" si="321"/>
        <v>903.89698690900002</v>
      </c>
      <c r="CA428" s="476">
        <f t="shared" ca="1" si="340"/>
        <v>0</v>
      </c>
      <c r="CB428" s="494">
        <f ca="1">IF(OR($Q427&lt;&gt;1,OP!$D$5+$BN428-1&lt;16,$BN428-1&lt;1),0,ROUND(ROUND(ROUND(((VLOOKUP($BN428-1,MORE_PV,5,0)/10000)*VLOOKUP($BN428,MORE_PV,$CB$5,0)),3)*VLOOKUP($BN428,more1,5,0),0)/$R427,0))</f>
        <v>0</v>
      </c>
      <c r="CC428" s="473">
        <f t="shared" ca="1" si="341"/>
        <v>0</v>
      </c>
      <c r="CD428" s="477"/>
    </row>
    <row r="429" spans="2:82" ht="16.5" hidden="1">
      <c r="B429" s="80"/>
      <c r="C429" s="80"/>
      <c r="D429" s="80"/>
      <c r="E429" s="80"/>
      <c r="F429" s="80"/>
      <c r="G429" s="80"/>
      <c r="H429" s="80"/>
      <c r="I429" s="80"/>
      <c r="J429" s="192">
        <f t="shared" si="322"/>
        <v>36</v>
      </c>
      <c r="K429" s="192">
        <f t="shared" si="323"/>
        <v>1</v>
      </c>
      <c r="L429" s="192" t="str">
        <f t="shared" si="318"/>
        <v/>
      </c>
      <c r="M429" s="216">
        <f t="shared" ca="1" si="324"/>
        <v>0</v>
      </c>
      <c r="N429" s="216"/>
      <c r="O429" s="216"/>
      <c r="P429" s="216"/>
      <c r="Q429" s="456" t="str">
        <f t="shared" ca="1" si="325"/>
        <v/>
      </c>
      <c r="R429" s="450">
        <f t="shared" ca="1" si="326"/>
        <v>1</v>
      </c>
      <c r="S429" s="191">
        <f t="shared" si="327"/>
        <v>36</v>
      </c>
      <c r="T429" s="191">
        <f t="shared" si="328"/>
        <v>1</v>
      </c>
      <c r="U429" s="191">
        <f ca="1">OP!$D$5+$S429-1</f>
        <v>68</v>
      </c>
      <c r="V429" s="191" t="str">
        <f t="shared" si="329"/>
        <v/>
      </c>
      <c r="W429" s="350">
        <f ca="1">IF(Q429&lt;&gt;1,0,VLOOKUP(OP!$C$55,PVFB,$S429+2,0))</f>
        <v>0</v>
      </c>
      <c r="X429" s="473">
        <f t="shared" ca="1" si="342"/>
        <v>0</v>
      </c>
      <c r="Y429" s="348">
        <f t="shared" ca="1" si="343"/>
        <v>0</v>
      </c>
      <c r="Z429" s="348">
        <f t="shared" ca="1" si="344"/>
        <v>8012</v>
      </c>
      <c r="AA429" s="348">
        <f ca="1">IF(Q429&lt;&gt;1,0,VLOOKUP(OP!$C$55,PVFB,$S429+2,0))</f>
        <v>0</v>
      </c>
      <c r="AB429" s="488" t="str">
        <f ca="1">IF(AND(S429&lt;OP!$C$24,$U429&lt;15),0,IF(AND($U429&lt;15,$T429=12),ROUND(VLOOKUP($S429,DOWN16,5,0),3),IF($T429=12,ROUND(($Z429/10000)*$AA429,3)+IF(AND($P$7="購買增額繳清保險",T429=12,U429=110),VLOOKUP(S429,$B$10:$H$121,7,0),0),"")))</f>
        <v/>
      </c>
      <c r="AC429" s="350" t="str">
        <f ca="1">IF(AND(S429&lt;OP!$C$24,$U429&lt;15),0,IF(AND($U429&lt;16,$T429=12),VLOOKUP($S429,DOWN16,4,0),IF($T429=12,ROUND(VLOOKUP(OP!$C$55,_DIE2,$S429+1,0)*(Z429/10000),0)+IF(AND($P$7="購買增額繳清保險",T429=12,U429=110),VLOOKUP(S429,$B$10:$H$121,7,0),0),"")))</f>
        <v/>
      </c>
      <c r="AD429" s="347"/>
      <c r="AE429" s="350" t="str">
        <f t="shared" ca="1" si="319"/>
        <v/>
      </c>
      <c r="AF429" s="351" t="str">
        <f t="shared" ca="1" si="320"/>
        <v/>
      </c>
      <c r="AG429" s="340"/>
      <c r="AH429" s="340"/>
      <c r="AI429" s="340"/>
      <c r="AJ429" s="340"/>
      <c r="AK429" s="340"/>
      <c r="AL429" s="340"/>
      <c r="AM429" s="340"/>
      <c r="AN429" s="340"/>
      <c r="AO429" s="340"/>
      <c r="AP429" s="340"/>
      <c r="AQ429" s="340"/>
      <c r="AR429" s="340"/>
      <c r="AS429" s="340"/>
      <c r="AT429" s="340"/>
      <c r="AU429" s="340"/>
      <c r="AV429" s="340"/>
      <c r="AY429" s="340"/>
      <c r="AZ429" s="465">
        <f t="shared" ca="1" si="330"/>
        <v>7.3698599999999999E-5</v>
      </c>
      <c r="BA429" s="464">
        <f t="shared" ca="1" si="331"/>
        <v>2.1372602999999999E-3</v>
      </c>
      <c r="BB429" s="465">
        <f t="shared" ca="1" si="331"/>
        <v>2.2109589000000002E-3</v>
      </c>
      <c r="BC429" s="466">
        <f t="shared" ca="1" si="332"/>
        <v>55671</v>
      </c>
      <c r="BD429" s="467">
        <f t="shared" ca="1" si="345"/>
        <v>55672</v>
      </c>
      <c r="BE429" s="467">
        <f t="shared" ca="1" si="333"/>
        <v>55700</v>
      </c>
      <c r="BF429" s="468">
        <f ca="1">IF(計算!$BC429&lt;OP!$C$3,0,BD429-BC429)</f>
        <v>1</v>
      </c>
      <c r="BG429" s="468">
        <f ca="1">IF($BE429&gt;DATE(YEAR($BD$9)+OP!$C$57,MONTH($BD$9),DAY($BD$9)),0,$BE429-$BD429+1)</f>
        <v>29</v>
      </c>
      <c r="BH429" s="469">
        <f t="shared" ca="1" si="334"/>
        <v>30</v>
      </c>
      <c r="BI429">
        <f t="shared" ca="1" si="350"/>
        <v>366</v>
      </c>
      <c r="BJ429">
        <v>12</v>
      </c>
      <c r="BN429" s="468">
        <f t="shared" si="346"/>
        <v>35</v>
      </c>
      <c r="BO429" s="468">
        <f t="shared" si="347"/>
        <v>12</v>
      </c>
      <c r="BP429" s="467">
        <f t="shared" ca="1" si="335"/>
        <v>55672</v>
      </c>
      <c r="BQ429" s="475">
        <f t="shared" ca="1" si="349"/>
        <v>67</v>
      </c>
      <c r="BR429" s="475">
        <f t="shared" si="348"/>
        <v>35</v>
      </c>
      <c r="BS429" s="471">
        <f t="shared" ca="1" si="336"/>
        <v>12759</v>
      </c>
      <c r="BT429" s="472">
        <f t="shared" ca="1" si="351"/>
        <v>409330</v>
      </c>
      <c r="BU429" s="472">
        <f t="shared" ca="1" si="337"/>
        <v>12465</v>
      </c>
      <c r="BV429" s="472">
        <f t="shared" ca="1" si="337"/>
        <v>294</v>
      </c>
      <c r="BW429" s="472">
        <f ca="1">ROUND(SUM(BY429,BZ417:BZ428),0)</f>
        <v>10542</v>
      </c>
      <c r="BX429" s="473">
        <f t="shared" ca="1" si="338"/>
        <v>409329.97401984601</v>
      </c>
      <c r="BY429" s="473">
        <f t="shared" ca="1" si="339"/>
        <v>29.224571776000001</v>
      </c>
      <c r="BZ429" s="473">
        <f t="shared" ca="1" si="321"/>
        <v>874.84470307300001</v>
      </c>
      <c r="CA429" s="476">
        <f t="shared" ca="1" si="340"/>
        <v>12465</v>
      </c>
      <c r="CB429" s="494">
        <f ca="1">IF(OR($Q428&lt;&gt;1,OP!$D$5+$BN429-1&lt;16,$BN429-1&lt;1),0,ROUND(ROUND(ROUND(((VLOOKUP($BN429-1,MORE_PV,5,0)/10000)*VLOOKUP($BN429,MORE_PV,$CB$5,0)),3)*VLOOKUP($BN429,more1,5,0),0)/$R428,0))</f>
        <v>294</v>
      </c>
      <c r="CC429" s="473">
        <f t="shared" ca="1" si="341"/>
        <v>0</v>
      </c>
      <c r="CD429" s="477"/>
    </row>
    <row r="430" spans="2:82" ht="16.5" hidden="1">
      <c r="B430" s="80"/>
      <c r="C430" s="80"/>
      <c r="D430" s="80"/>
      <c r="E430" s="80"/>
      <c r="F430" s="80"/>
      <c r="G430" s="80"/>
      <c r="H430" s="80"/>
      <c r="I430" s="80"/>
      <c r="J430" s="192">
        <f t="shared" si="322"/>
        <v>36</v>
      </c>
      <c r="K430" s="192">
        <f t="shared" si="323"/>
        <v>2</v>
      </c>
      <c r="L430" s="192" t="str">
        <f t="shared" si="318"/>
        <v/>
      </c>
      <c r="M430" s="216">
        <f t="shared" ca="1" si="324"/>
        <v>0</v>
      </c>
      <c r="N430" s="216"/>
      <c r="O430" s="216"/>
      <c r="P430" s="216"/>
      <c r="Q430" s="456" t="str">
        <f t="shared" ca="1" si="325"/>
        <v/>
      </c>
      <c r="R430" s="450">
        <f t="shared" ca="1" si="326"/>
        <v>1</v>
      </c>
      <c r="S430" s="191">
        <f t="shared" si="327"/>
        <v>36</v>
      </c>
      <c r="T430" s="191">
        <f t="shared" si="328"/>
        <v>2</v>
      </c>
      <c r="U430" s="191">
        <f ca="1">OP!$D$5+$S430-1</f>
        <v>68</v>
      </c>
      <c r="V430" s="191" t="str">
        <f t="shared" si="329"/>
        <v/>
      </c>
      <c r="W430" s="350">
        <f ca="1">IF(Q430&lt;&gt;1,0,VLOOKUP(OP!$C$55,PVFB,$S430+2,0))</f>
        <v>0</v>
      </c>
      <c r="X430" s="473">
        <f t="shared" ca="1" si="342"/>
        <v>0</v>
      </c>
      <c r="Y430" s="348">
        <f t="shared" ca="1" si="343"/>
        <v>0</v>
      </c>
      <c r="Z430" s="348">
        <f t="shared" ca="1" si="344"/>
        <v>8012</v>
      </c>
      <c r="AA430" s="348">
        <f ca="1">IF(Q430&lt;&gt;1,0,VLOOKUP(OP!$C$55,PVFB,$S430+2,0))</f>
        <v>0</v>
      </c>
      <c r="AB430" s="488" t="str">
        <f ca="1">IF(AND(S430&lt;OP!$C$24,$U430&lt;15),0,IF(AND($U430&lt;15,$T430=12),ROUND(VLOOKUP($S430,DOWN16,5,0),3),IF($T430=12,ROUND(($Z430/10000)*$AA430,3)+IF(AND($P$7="購買增額繳清保險",T430=12,U430=110),VLOOKUP(S430,$B$10:$H$121,7,0),0),"")))</f>
        <v/>
      </c>
      <c r="AC430" s="350" t="str">
        <f ca="1">IF(AND(S430&lt;OP!$C$24,$U430&lt;15),0,IF(AND($U430&lt;16,$T430=12),VLOOKUP($S430,DOWN16,4,0),IF($T430=12,ROUND(VLOOKUP(OP!$C$55,_DIE2,$S430+1,0)*(Z430/10000),0)+IF(AND($P$7="購買增額繳清保險",T430=12,U430=110),VLOOKUP(S430,$B$10:$H$121,7,0),0),"")))</f>
        <v/>
      </c>
      <c r="AD430" s="347"/>
      <c r="AE430" s="350" t="str">
        <f t="shared" ca="1" si="319"/>
        <v/>
      </c>
      <c r="AF430" s="351" t="str">
        <f t="shared" ca="1" si="320"/>
        <v/>
      </c>
      <c r="AG430" s="340"/>
      <c r="AH430" s="340"/>
      <c r="AI430" s="340"/>
      <c r="AJ430" s="340"/>
      <c r="AK430" s="340"/>
      <c r="AL430" s="340"/>
      <c r="AM430" s="340"/>
      <c r="AN430" s="340"/>
      <c r="AO430" s="340"/>
      <c r="AP430" s="340"/>
      <c r="AQ430" s="340"/>
      <c r="AR430" s="340"/>
      <c r="AS430" s="340"/>
      <c r="AT430" s="340"/>
      <c r="AU430" s="340"/>
      <c r="AV430" s="340"/>
      <c r="AY430" s="340"/>
      <c r="AZ430" s="465">
        <f t="shared" ca="1" si="330"/>
        <v>7.3698599999999999E-5</v>
      </c>
      <c r="BA430" s="464">
        <f t="shared" ca="1" si="331"/>
        <v>2.2109589000000002E-3</v>
      </c>
      <c r="BB430" s="465">
        <f t="shared" ca="1" si="331"/>
        <v>2.2846575E-3</v>
      </c>
      <c r="BC430" s="466">
        <f t="shared" ca="1" si="332"/>
        <v>55701</v>
      </c>
      <c r="BD430" s="467">
        <f t="shared" ca="1" si="345"/>
        <v>55702</v>
      </c>
      <c r="BE430" s="467">
        <f t="shared" ca="1" si="333"/>
        <v>55731</v>
      </c>
      <c r="BF430" s="468">
        <f ca="1">IF(計算!$BC430&lt;OP!$C$3,0,BD430-BC430)</f>
        <v>1</v>
      </c>
      <c r="BG430" s="468">
        <f ca="1">IF($BE430&gt;DATE(YEAR($BD$9)+OP!$C$57,MONTH($BD$9),DAY($BD$9)),0,$BE430-$BD430+1)</f>
        <v>30</v>
      </c>
      <c r="BH430" s="469">
        <f t="shared" ca="1" si="334"/>
        <v>31</v>
      </c>
      <c r="BI430" t="str">
        <f t="shared" si="350"/>
        <v/>
      </c>
      <c r="BJ430">
        <v>1</v>
      </c>
      <c r="BN430" s="468">
        <f t="shared" si="346"/>
        <v>36</v>
      </c>
      <c r="BO430" s="468">
        <f t="shared" si="347"/>
        <v>1</v>
      </c>
      <c r="BP430" s="467">
        <f t="shared" ca="1" si="335"/>
        <v>55702</v>
      </c>
      <c r="BQ430" s="475">
        <f t="shared" ca="1" si="349"/>
        <v>68</v>
      </c>
      <c r="BR430" s="475" t="str">
        <f t="shared" si="348"/>
        <v/>
      </c>
      <c r="BS430" s="471" t="str">
        <f t="shared" si="336"/>
        <v/>
      </c>
      <c r="BT430" s="472" t="str">
        <f t="shared" si="351"/>
        <v/>
      </c>
      <c r="BU430" s="472">
        <f t="shared" ca="1" si="337"/>
        <v>0</v>
      </c>
      <c r="BV430" s="472">
        <f t="shared" ca="1" si="337"/>
        <v>0</v>
      </c>
      <c r="BW430" s="472"/>
      <c r="BX430" s="473">
        <f t="shared" ca="1" si="338"/>
        <v>410204.81872291898</v>
      </c>
      <c r="BY430" s="473">
        <f t="shared" si="339"/>
        <v>0</v>
      </c>
      <c r="BZ430" s="473">
        <f t="shared" ca="1" si="321"/>
        <v>937.17751563100001</v>
      </c>
      <c r="CA430" s="476">
        <f t="shared" ca="1" si="340"/>
        <v>0</v>
      </c>
      <c r="CB430" s="494">
        <f ca="1">IF(OR($Q429&lt;&gt;1,OP!$D$5+$BN430-1&lt;16,$BN430-1&lt;1),0,ROUND(ROUND(ROUND(((VLOOKUP($BN430-1,MORE_PV,5,0)/10000)*VLOOKUP($BN430,MORE_PV,$CB$5,0)),3)*VLOOKUP($BN430,more1,5,0),0)/$R429,0))</f>
        <v>0</v>
      </c>
      <c r="CC430" s="473">
        <f t="shared" ca="1" si="341"/>
        <v>0</v>
      </c>
      <c r="CD430" s="477"/>
    </row>
    <row r="431" spans="2:82" ht="16.5" hidden="1">
      <c r="B431" s="80"/>
      <c r="C431" s="80"/>
      <c r="D431" s="80"/>
      <c r="E431" s="80"/>
      <c r="F431" s="80"/>
      <c r="G431" s="80"/>
      <c r="H431" s="80"/>
      <c r="I431" s="80"/>
      <c r="J431" s="192">
        <f t="shared" si="322"/>
        <v>36</v>
      </c>
      <c r="K431" s="192">
        <f t="shared" si="323"/>
        <v>3</v>
      </c>
      <c r="L431" s="192" t="str">
        <f t="shared" si="318"/>
        <v/>
      </c>
      <c r="M431" s="216">
        <f t="shared" ca="1" si="324"/>
        <v>0</v>
      </c>
      <c r="N431" s="216"/>
      <c r="O431" s="216"/>
      <c r="P431" s="216"/>
      <c r="Q431" s="456" t="str">
        <f t="shared" ca="1" si="325"/>
        <v/>
      </c>
      <c r="R431" s="450">
        <f t="shared" ca="1" si="326"/>
        <v>1</v>
      </c>
      <c r="S431" s="191">
        <f t="shared" si="327"/>
        <v>36</v>
      </c>
      <c r="T431" s="191">
        <f t="shared" si="328"/>
        <v>3</v>
      </c>
      <c r="U431" s="191">
        <f ca="1">OP!$D$5+$S431-1</f>
        <v>68</v>
      </c>
      <c r="V431" s="191" t="str">
        <f t="shared" si="329"/>
        <v/>
      </c>
      <c r="W431" s="350">
        <f ca="1">IF(Q431&lt;&gt;1,0,VLOOKUP(OP!$C$55,PVFB,$S431+2,0))</f>
        <v>0</v>
      </c>
      <c r="X431" s="473">
        <f t="shared" ca="1" si="342"/>
        <v>0</v>
      </c>
      <c r="Y431" s="348">
        <f t="shared" ca="1" si="343"/>
        <v>0</v>
      </c>
      <c r="Z431" s="348">
        <f t="shared" ca="1" si="344"/>
        <v>8012</v>
      </c>
      <c r="AA431" s="348">
        <f ca="1">IF(Q431&lt;&gt;1,0,VLOOKUP(OP!$C$55,PVFB,$S431+2,0))</f>
        <v>0</v>
      </c>
      <c r="AB431" s="488" t="str">
        <f ca="1">IF(AND(S431&lt;OP!$C$24,$U431&lt;15),0,IF(AND($U431&lt;15,$T431=12),ROUND(VLOOKUP($S431,DOWN16,5,0),3),IF($T431=12,ROUND(($Z431/10000)*$AA431,3)+IF(AND($P$7="購買增額繳清保險",T431=12,U431=110),VLOOKUP(S431,$B$10:$H$121,7,0),0),"")))</f>
        <v/>
      </c>
      <c r="AC431" s="350" t="str">
        <f ca="1">IF(AND(S431&lt;OP!$C$24,$U431&lt;15),0,IF(AND($U431&lt;16,$T431=12),VLOOKUP($S431,DOWN16,4,0),IF($T431=12,ROUND(VLOOKUP(OP!$C$55,_DIE2,$S431+1,0)*(Z431/10000),0)+IF(AND($P$7="購買增額繳清保險",T431=12,U431=110),VLOOKUP(S431,$B$10:$H$121,7,0),0),"")))</f>
        <v/>
      </c>
      <c r="AD431" s="347"/>
      <c r="AE431" s="350" t="str">
        <f t="shared" ca="1" si="319"/>
        <v/>
      </c>
      <c r="AF431" s="351" t="str">
        <f t="shared" ca="1" si="320"/>
        <v/>
      </c>
      <c r="AG431" s="340"/>
      <c r="AH431" s="340"/>
      <c r="AI431" s="340"/>
      <c r="AJ431" s="340"/>
      <c r="AK431" s="340"/>
      <c r="AL431" s="340"/>
      <c r="AM431" s="340"/>
      <c r="AN431" s="340"/>
      <c r="AO431" s="340"/>
      <c r="AP431" s="340"/>
      <c r="AQ431" s="340"/>
      <c r="AR431" s="340"/>
      <c r="AS431" s="340"/>
      <c r="AT431" s="340"/>
      <c r="AU431" s="340"/>
      <c r="AV431" s="340"/>
      <c r="AY431" s="340"/>
      <c r="AZ431" s="465">
        <f t="shared" ca="1" si="330"/>
        <v>7.3698599999999999E-5</v>
      </c>
      <c r="BA431" s="464">
        <f t="shared" ca="1" si="331"/>
        <v>2.2109589000000002E-3</v>
      </c>
      <c r="BB431" s="465">
        <f t="shared" ca="1" si="331"/>
        <v>2.2846575E-3</v>
      </c>
      <c r="BC431" s="466">
        <f t="shared" ca="1" si="332"/>
        <v>55732</v>
      </c>
      <c r="BD431" s="467">
        <f t="shared" ca="1" si="345"/>
        <v>55733</v>
      </c>
      <c r="BE431" s="467">
        <f t="shared" ca="1" si="333"/>
        <v>55762</v>
      </c>
      <c r="BF431" s="468">
        <f ca="1">IF(計算!$BC431&lt;OP!$C$3,0,BD431-BC431)</f>
        <v>1</v>
      </c>
      <c r="BG431" s="468">
        <f ca="1">IF($BE431&gt;DATE(YEAR($BD$9)+OP!$C$57,MONTH($BD$9),DAY($BD$9)),0,$BE431-$BD431+1)</f>
        <v>30</v>
      </c>
      <c r="BH431" s="469">
        <f t="shared" ca="1" si="334"/>
        <v>31</v>
      </c>
      <c r="BI431" t="str">
        <f t="shared" si="350"/>
        <v/>
      </c>
      <c r="BJ431">
        <v>2</v>
      </c>
      <c r="BN431" s="468">
        <f t="shared" si="346"/>
        <v>36</v>
      </c>
      <c r="BO431" s="468">
        <f t="shared" si="347"/>
        <v>2</v>
      </c>
      <c r="BP431" s="467">
        <f t="shared" ca="1" si="335"/>
        <v>55733</v>
      </c>
      <c r="BQ431" s="475">
        <f t="shared" ca="1" si="349"/>
        <v>68</v>
      </c>
      <c r="BR431" s="475" t="str">
        <f t="shared" si="348"/>
        <v/>
      </c>
      <c r="BS431" s="471" t="str">
        <f t="shared" si="336"/>
        <v/>
      </c>
      <c r="BT431" s="472" t="str">
        <f t="shared" si="351"/>
        <v/>
      </c>
      <c r="BU431" s="472">
        <f t="shared" ca="1" si="337"/>
        <v>0</v>
      </c>
      <c r="BV431" s="472">
        <f t="shared" ca="1" si="337"/>
        <v>0</v>
      </c>
      <c r="BW431" s="472"/>
      <c r="BX431" s="473">
        <f t="shared" ca="1" si="338"/>
        <v>411141.99623855</v>
      </c>
      <c r="BY431" s="473">
        <f t="shared" si="339"/>
        <v>0</v>
      </c>
      <c r="BZ431" s="473">
        <f t="shared" ca="1" si="321"/>
        <v>939.31864527100004</v>
      </c>
      <c r="CA431" s="476">
        <f t="shared" ca="1" si="340"/>
        <v>0</v>
      </c>
      <c r="CB431" s="494">
        <f ca="1">IF(OR($Q430&lt;&gt;1,OP!$D$5+$BN431-1&lt;16,$BN431-1&lt;1),0,ROUND(ROUND(ROUND(((VLOOKUP($BN431-1,MORE_PV,5,0)/10000)*VLOOKUP($BN431,MORE_PV,$CB$5,0)),3)*VLOOKUP($BN431,more1,5,0),0)/$R430,0))</f>
        <v>0</v>
      </c>
      <c r="CC431" s="473">
        <f t="shared" ca="1" si="341"/>
        <v>0</v>
      </c>
      <c r="CD431" s="477"/>
    </row>
    <row r="432" spans="2:82" ht="16.5" hidden="1">
      <c r="B432" s="80"/>
      <c r="C432" s="80"/>
      <c r="D432" s="80"/>
      <c r="E432" s="80"/>
      <c r="F432" s="80"/>
      <c r="G432" s="80"/>
      <c r="H432" s="80"/>
      <c r="I432" s="80"/>
      <c r="J432" s="192">
        <f t="shared" si="322"/>
        <v>36</v>
      </c>
      <c r="K432" s="192">
        <f t="shared" si="323"/>
        <v>4</v>
      </c>
      <c r="L432" s="192" t="str">
        <f t="shared" si="318"/>
        <v/>
      </c>
      <c r="M432" s="216">
        <f t="shared" ca="1" si="324"/>
        <v>0</v>
      </c>
      <c r="N432" s="216"/>
      <c r="O432" s="216"/>
      <c r="P432" s="216"/>
      <c r="Q432" s="456" t="str">
        <f t="shared" ca="1" si="325"/>
        <v/>
      </c>
      <c r="R432" s="450">
        <f t="shared" ca="1" si="326"/>
        <v>1</v>
      </c>
      <c r="S432" s="191">
        <f t="shared" si="327"/>
        <v>36</v>
      </c>
      <c r="T432" s="191">
        <f t="shared" si="328"/>
        <v>4</v>
      </c>
      <c r="U432" s="191">
        <f ca="1">OP!$D$5+$S432-1</f>
        <v>68</v>
      </c>
      <c r="V432" s="191" t="str">
        <f t="shared" si="329"/>
        <v/>
      </c>
      <c r="W432" s="350">
        <f ca="1">IF(Q432&lt;&gt;1,0,VLOOKUP(OP!$C$55,PVFB,$S432+2,0))</f>
        <v>0</v>
      </c>
      <c r="X432" s="473">
        <f t="shared" ca="1" si="342"/>
        <v>0</v>
      </c>
      <c r="Y432" s="348">
        <f t="shared" ca="1" si="343"/>
        <v>0</v>
      </c>
      <c r="Z432" s="348">
        <f t="shared" ca="1" si="344"/>
        <v>8012</v>
      </c>
      <c r="AA432" s="348">
        <f ca="1">IF(Q432&lt;&gt;1,0,VLOOKUP(OP!$C$55,PVFB,$S432+2,0))</f>
        <v>0</v>
      </c>
      <c r="AB432" s="488" t="str">
        <f ca="1">IF(AND(S432&lt;OP!$C$24,$U432&lt;15),0,IF(AND($U432&lt;15,$T432=12),ROUND(VLOOKUP($S432,DOWN16,5,0),3),IF($T432=12,ROUND(($Z432/10000)*$AA432,3)+IF(AND($P$7="購買增額繳清保險",T432=12,U432=110),VLOOKUP(S432,$B$10:$H$121,7,0),0),"")))</f>
        <v/>
      </c>
      <c r="AC432" s="350" t="str">
        <f ca="1">IF(AND(S432&lt;OP!$C$24,$U432&lt;15),0,IF(AND($U432&lt;16,$T432=12),VLOOKUP($S432,DOWN16,4,0),IF($T432=12,ROUND(VLOOKUP(OP!$C$55,_DIE2,$S432+1,0)*(Z432/10000),0)+IF(AND($P$7="購買增額繳清保險",T432=12,U432=110),VLOOKUP(S432,$B$10:$H$121,7,0),0),"")))</f>
        <v/>
      </c>
      <c r="AD432" s="347"/>
      <c r="AE432" s="350" t="str">
        <f t="shared" ca="1" si="319"/>
        <v/>
      </c>
      <c r="AF432" s="351" t="str">
        <f t="shared" ca="1" si="320"/>
        <v/>
      </c>
      <c r="AG432" s="340"/>
      <c r="AH432" s="340"/>
      <c r="AI432" s="340"/>
      <c r="AJ432" s="340"/>
      <c r="AK432" s="340"/>
      <c r="AL432" s="340"/>
      <c r="AM432" s="340"/>
      <c r="AN432" s="340"/>
      <c r="AO432" s="340"/>
      <c r="AP432" s="340"/>
      <c r="AQ432" s="340"/>
      <c r="AR432" s="340"/>
      <c r="AS432" s="340"/>
      <c r="AT432" s="340"/>
      <c r="AU432" s="340"/>
      <c r="AV432" s="340"/>
      <c r="AY432" s="340"/>
      <c r="AZ432" s="465">
        <f t="shared" ca="1" si="330"/>
        <v>7.3698599999999999E-5</v>
      </c>
      <c r="BA432" s="464">
        <f t="shared" ca="1" si="331"/>
        <v>2.1372602999999999E-3</v>
      </c>
      <c r="BB432" s="465">
        <f t="shared" ca="1" si="331"/>
        <v>2.2109589000000002E-3</v>
      </c>
      <c r="BC432" s="466">
        <f t="shared" ca="1" si="332"/>
        <v>55763</v>
      </c>
      <c r="BD432" s="467">
        <f t="shared" ca="1" si="345"/>
        <v>55764</v>
      </c>
      <c r="BE432" s="467">
        <f t="shared" ca="1" si="333"/>
        <v>55792</v>
      </c>
      <c r="BF432" s="468">
        <f ca="1">IF(計算!$BC432&lt;OP!$C$3,0,BD432-BC432)</f>
        <v>1</v>
      </c>
      <c r="BG432" s="468">
        <f ca="1">IF($BE432&gt;DATE(YEAR($BD$9)+OP!$C$57,MONTH($BD$9),DAY($BD$9)),0,$BE432-$BD432+1)</f>
        <v>29</v>
      </c>
      <c r="BH432" s="469">
        <f t="shared" ca="1" si="334"/>
        <v>30</v>
      </c>
      <c r="BI432" t="str">
        <f t="shared" si="350"/>
        <v/>
      </c>
      <c r="BJ432">
        <v>3</v>
      </c>
      <c r="BN432" s="468">
        <f t="shared" si="346"/>
        <v>36</v>
      </c>
      <c r="BO432" s="468">
        <f t="shared" si="347"/>
        <v>3</v>
      </c>
      <c r="BP432" s="467">
        <f t="shared" ca="1" si="335"/>
        <v>55764</v>
      </c>
      <c r="BQ432" s="475">
        <f t="shared" ca="1" si="349"/>
        <v>68</v>
      </c>
      <c r="BR432" s="475" t="str">
        <f t="shared" si="348"/>
        <v/>
      </c>
      <c r="BS432" s="471" t="str">
        <f t="shared" si="336"/>
        <v/>
      </c>
      <c r="BT432" s="472" t="str">
        <f t="shared" si="351"/>
        <v/>
      </c>
      <c r="BU432" s="472">
        <f t="shared" ca="1" si="337"/>
        <v>0</v>
      </c>
      <c r="BV432" s="472">
        <f t="shared" ca="1" si="337"/>
        <v>0</v>
      </c>
      <c r="BW432" s="472"/>
      <c r="BX432" s="473">
        <f t="shared" ca="1" si="338"/>
        <v>412081.314883821</v>
      </c>
      <c r="BY432" s="473">
        <f t="shared" si="339"/>
        <v>0</v>
      </c>
      <c r="BZ432" s="473">
        <f t="shared" ca="1" si="321"/>
        <v>911.09485066599996</v>
      </c>
      <c r="CA432" s="476">
        <f t="shared" ca="1" si="340"/>
        <v>0</v>
      </c>
      <c r="CB432" s="494">
        <f ca="1">IF(OR($Q431&lt;&gt;1,OP!$D$5+$BN432-1&lt;16,$BN432-1&lt;1),0,ROUND(ROUND(ROUND(((VLOOKUP($BN432-1,MORE_PV,5,0)/10000)*VLOOKUP($BN432,MORE_PV,$CB$5,0)),3)*VLOOKUP($BN432,more1,5,0),0)/$R431,0))</f>
        <v>0</v>
      </c>
      <c r="CC432" s="473">
        <f t="shared" ca="1" si="341"/>
        <v>0</v>
      </c>
      <c r="CD432" s="477"/>
    </row>
    <row r="433" spans="2:82" ht="16.5" hidden="1">
      <c r="B433" s="80"/>
      <c r="C433" s="80"/>
      <c r="D433" s="80"/>
      <c r="E433" s="80"/>
      <c r="F433" s="80"/>
      <c r="G433" s="80"/>
      <c r="H433" s="80"/>
      <c r="I433" s="80"/>
      <c r="J433" s="192">
        <f t="shared" si="322"/>
        <v>36</v>
      </c>
      <c r="K433" s="192">
        <f t="shared" si="323"/>
        <v>5</v>
      </c>
      <c r="L433" s="192" t="str">
        <f t="shared" si="318"/>
        <v/>
      </c>
      <c r="M433" s="216">
        <f t="shared" ca="1" si="324"/>
        <v>0</v>
      </c>
      <c r="N433" s="216"/>
      <c r="O433" s="216"/>
      <c r="P433" s="216"/>
      <c r="Q433" s="456" t="str">
        <f t="shared" ca="1" si="325"/>
        <v/>
      </c>
      <c r="R433" s="450">
        <f t="shared" ca="1" si="326"/>
        <v>1</v>
      </c>
      <c r="S433" s="191">
        <f t="shared" si="327"/>
        <v>36</v>
      </c>
      <c r="T433" s="191">
        <f t="shared" si="328"/>
        <v>5</v>
      </c>
      <c r="U433" s="191">
        <f ca="1">OP!$D$5+$S433-1</f>
        <v>68</v>
      </c>
      <c r="V433" s="191" t="str">
        <f t="shared" si="329"/>
        <v/>
      </c>
      <c r="W433" s="350">
        <f ca="1">IF(Q433&lt;&gt;1,0,VLOOKUP(OP!$C$55,PVFB,$S433+2,0))</f>
        <v>0</v>
      </c>
      <c r="X433" s="473">
        <f t="shared" ca="1" si="342"/>
        <v>0</v>
      </c>
      <c r="Y433" s="348">
        <f t="shared" ca="1" si="343"/>
        <v>0</v>
      </c>
      <c r="Z433" s="348">
        <f t="shared" ca="1" si="344"/>
        <v>8012</v>
      </c>
      <c r="AA433" s="348">
        <f ca="1">IF(Q433&lt;&gt;1,0,VLOOKUP(OP!$C$55,PVFB,$S433+2,0))</f>
        <v>0</v>
      </c>
      <c r="AB433" s="488" t="str">
        <f ca="1">IF(AND(S433&lt;OP!$C$24,$U433&lt;15),0,IF(AND($U433&lt;15,$T433=12),ROUND(VLOOKUP($S433,DOWN16,5,0),3),IF($T433=12,ROUND(($Z433/10000)*$AA433,3)+IF(AND($P$7="購買增額繳清保險",T433=12,U433=110),VLOOKUP(S433,$B$10:$H$121,7,0),0),"")))</f>
        <v/>
      </c>
      <c r="AC433" s="350" t="str">
        <f ca="1">IF(AND(S433&lt;OP!$C$24,$U433&lt;15),0,IF(AND($U433&lt;16,$T433=12),VLOOKUP($S433,DOWN16,4,0),IF($T433=12,ROUND(VLOOKUP(OP!$C$55,_DIE2,$S433+1,0)*(Z433/10000),0)+IF(AND($P$7="購買增額繳清保險",T433=12,U433=110),VLOOKUP(S433,$B$10:$H$121,7,0),0),"")))</f>
        <v/>
      </c>
      <c r="AD433" s="347"/>
      <c r="AE433" s="350" t="str">
        <f t="shared" ca="1" si="319"/>
        <v/>
      </c>
      <c r="AF433" s="351" t="str">
        <f t="shared" ca="1" si="320"/>
        <v/>
      </c>
      <c r="AG433" s="340"/>
      <c r="AH433" s="340"/>
      <c r="AI433" s="340"/>
      <c r="AJ433" s="340"/>
      <c r="AK433" s="340"/>
      <c r="AL433" s="340"/>
      <c r="AM433" s="340"/>
      <c r="AN433" s="340"/>
      <c r="AO433" s="340"/>
      <c r="AP433" s="340"/>
      <c r="AQ433" s="340"/>
      <c r="AR433" s="340"/>
      <c r="AS433" s="340"/>
      <c r="AT433" s="340"/>
      <c r="AU433" s="340"/>
      <c r="AV433" s="340"/>
      <c r="AY433" s="340"/>
      <c r="AZ433" s="465">
        <f t="shared" ca="1" si="330"/>
        <v>7.3698599999999999E-5</v>
      </c>
      <c r="BA433" s="464">
        <f t="shared" ca="1" si="331"/>
        <v>2.2109589000000002E-3</v>
      </c>
      <c r="BB433" s="465">
        <f t="shared" ca="1" si="331"/>
        <v>2.2846575E-3</v>
      </c>
      <c r="BC433" s="466">
        <f t="shared" ca="1" si="332"/>
        <v>55793</v>
      </c>
      <c r="BD433" s="467">
        <f t="shared" ca="1" si="345"/>
        <v>55794</v>
      </c>
      <c r="BE433" s="467">
        <f t="shared" ca="1" si="333"/>
        <v>55823</v>
      </c>
      <c r="BF433" s="468">
        <f ca="1">IF(計算!$BC433&lt;OP!$C$3,0,BD433-BC433)</f>
        <v>1</v>
      </c>
      <c r="BG433" s="468">
        <f ca="1">IF($BE433&gt;DATE(YEAR($BD$9)+OP!$C$57,MONTH($BD$9),DAY($BD$9)),0,$BE433-$BD433+1)</f>
        <v>30</v>
      </c>
      <c r="BH433" s="469">
        <f t="shared" ca="1" si="334"/>
        <v>31</v>
      </c>
      <c r="BI433" t="str">
        <f t="shared" si="350"/>
        <v/>
      </c>
      <c r="BJ433">
        <v>4</v>
      </c>
      <c r="BN433" s="468">
        <f t="shared" si="346"/>
        <v>36</v>
      </c>
      <c r="BO433" s="468">
        <f t="shared" si="347"/>
        <v>4</v>
      </c>
      <c r="BP433" s="467">
        <f t="shared" ca="1" si="335"/>
        <v>55794</v>
      </c>
      <c r="BQ433" s="475">
        <f t="shared" ca="1" si="349"/>
        <v>68</v>
      </c>
      <c r="BR433" s="475" t="str">
        <f t="shared" si="348"/>
        <v/>
      </c>
      <c r="BS433" s="471" t="str">
        <f t="shared" si="336"/>
        <v/>
      </c>
      <c r="BT433" s="472" t="str">
        <f t="shared" si="351"/>
        <v/>
      </c>
      <c r="BU433" s="472">
        <f t="shared" ca="1" si="337"/>
        <v>0</v>
      </c>
      <c r="BV433" s="472">
        <f t="shared" ca="1" si="337"/>
        <v>0</v>
      </c>
      <c r="BW433" s="472"/>
      <c r="BX433" s="473">
        <f t="shared" ca="1" si="338"/>
        <v>412992.40973448701</v>
      </c>
      <c r="BY433" s="473">
        <f t="shared" si="339"/>
        <v>0</v>
      </c>
      <c r="BZ433" s="473">
        <f t="shared" ca="1" si="321"/>
        <v>943.54620634299999</v>
      </c>
      <c r="CA433" s="476">
        <f t="shared" ca="1" si="340"/>
        <v>0</v>
      </c>
      <c r="CB433" s="494">
        <f ca="1">IF(OR($Q432&lt;&gt;1,OP!$D$5+$BN433-1&lt;16,$BN433-1&lt;1),0,ROUND(ROUND(ROUND(((VLOOKUP($BN433-1,MORE_PV,5,0)/10000)*VLOOKUP($BN433,MORE_PV,$CB$5,0)),3)*VLOOKUP($BN433,more1,5,0),0)/$R432,0))</f>
        <v>0</v>
      </c>
      <c r="CC433" s="473">
        <f t="shared" ca="1" si="341"/>
        <v>0</v>
      </c>
      <c r="CD433" s="477"/>
    </row>
    <row r="434" spans="2:82" ht="16.5" hidden="1">
      <c r="B434" s="80"/>
      <c r="C434" s="80"/>
      <c r="D434" s="80"/>
      <c r="E434" s="80"/>
      <c r="F434" s="80"/>
      <c r="G434" s="80"/>
      <c r="H434" s="80"/>
      <c r="I434" s="80"/>
      <c r="J434" s="192">
        <f t="shared" si="322"/>
        <v>36</v>
      </c>
      <c r="K434" s="192">
        <f t="shared" si="323"/>
        <v>6</v>
      </c>
      <c r="L434" s="192" t="str">
        <f t="shared" si="318"/>
        <v/>
      </c>
      <c r="M434" s="216">
        <f t="shared" ca="1" si="324"/>
        <v>0</v>
      </c>
      <c r="N434" s="216"/>
      <c r="O434" s="216"/>
      <c r="P434" s="216"/>
      <c r="Q434" s="456" t="str">
        <f t="shared" ca="1" si="325"/>
        <v/>
      </c>
      <c r="R434" s="450">
        <f t="shared" ca="1" si="326"/>
        <v>1</v>
      </c>
      <c r="S434" s="191">
        <f t="shared" si="327"/>
        <v>36</v>
      </c>
      <c r="T434" s="191">
        <f t="shared" si="328"/>
        <v>6</v>
      </c>
      <c r="U434" s="191">
        <f ca="1">OP!$D$5+$S434-1</f>
        <v>68</v>
      </c>
      <c r="V434" s="191" t="str">
        <f t="shared" si="329"/>
        <v/>
      </c>
      <c r="W434" s="350">
        <f ca="1">IF(Q434&lt;&gt;1,0,VLOOKUP(OP!$C$55,PVFB,$S434+2,0))</f>
        <v>0</v>
      </c>
      <c r="X434" s="473">
        <f t="shared" ca="1" si="342"/>
        <v>0</v>
      </c>
      <c r="Y434" s="348">
        <f t="shared" ca="1" si="343"/>
        <v>0</v>
      </c>
      <c r="Z434" s="348">
        <f t="shared" ca="1" si="344"/>
        <v>8012</v>
      </c>
      <c r="AA434" s="348">
        <f ca="1">IF(Q434&lt;&gt;1,0,VLOOKUP(OP!$C$55,PVFB,$S434+2,0))</f>
        <v>0</v>
      </c>
      <c r="AB434" s="488" t="str">
        <f ca="1">IF(AND(S434&lt;OP!$C$24,$U434&lt;15),0,IF(AND($U434&lt;15,$T434=12),ROUND(VLOOKUP($S434,DOWN16,5,0),3),IF($T434=12,ROUND(($Z434/10000)*$AA434,3)+IF(AND($P$7="購買增額繳清保險",T434=12,U434=110),VLOOKUP(S434,$B$10:$H$121,7,0),0),"")))</f>
        <v/>
      </c>
      <c r="AC434" s="350" t="str">
        <f ca="1">IF(AND(S434&lt;OP!$C$24,$U434&lt;15),0,IF(AND($U434&lt;16,$T434=12),VLOOKUP($S434,DOWN16,4,0),IF($T434=12,ROUND(VLOOKUP(OP!$C$55,_DIE2,$S434+1,0)*(Z434/10000),0)+IF(AND($P$7="購買增額繳清保險",T434=12,U434=110),VLOOKUP(S434,$B$10:$H$121,7,0),0),"")))</f>
        <v/>
      </c>
      <c r="AD434" s="347"/>
      <c r="AE434" s="350" t="str">
        <f t="shared" ca="1" si="319"/>
        <v/>
      </c>
      <c r="AF434" s="351" t="str">
        <f t="shared" ca="1" si="320"/>
        <v/>
      </c>
      <c r="AG434" s="340"/>
      <c r="AH434" s="340"/>
      <c r="AI434" s="340"/>
      <c r="AJ434" s="340"/>
      <c r="AK434" s="340"/>
      <c r="AL434" s="340"/>
      <c r="AM434" s="340"/>
      <c r="AN434" s="340"/>
      <c r="AO434" s="340"/>
      <c r="AP434" s="340"/>
      <c r="AQ434" s="340"/>
      <c r="AR434" s="340"/>
      <c r="AS434" s="340"/>
      <c r="AT434" s="340"/>
      <c r="AU434" s="340"/>
      <c r="AV434" s="340"/>
      <c r="AY434" s="340"/>
      <c r="AZ434" s="465">
        <f t="shared" ca="1" si="330"/>
        <v>7.3698599999999999E-5</v>
      </c>
      <c r="BA434" s="464">
        <f t="shared" ca="1" si="331"/>
        <v>2.1372602999999999E-3</v>
      </c>
      <c r="BB434" s="465">
        <f t="shared" ca="1" si="331"/>
        <v>2.2109589000000002E-3</v>
      </c>
      <c r="BC434" s="466">
        <f t="shared" ca="1" si="332"/>
        <v>55824</v>
      </c>
      <c r="BD434" s="467">
        <f t="shared" ca="1" si="345"/>
        <v>55825</v>
      </c>
      <c r="BE434" s="467">
        <f t="shared" ca="1" si="333"/>
        <v>55853</v>
      </c>
      <c r="BF434" s="468">
        <f ca="1">IF(計算!$BC434&lt;OP!$C$3,0,BD434-BC434)</f>
        <v>1</v>
      </c>
      <c r="BG434" s="468">
        <f ca="1">IF($BE434&gt;DATE(YEAR($BD$9)+OP!$C$57,MONTH($BD$9),DAY($BD$9)),0,$BE434-$BD434+1)</f>
        <v>29</v>
      </c>
      <c r="BH434" s="469">
        <f t="shared" ca="1" si="334"/>
        <v>30</v>
      </c>
      <c r="BI434" t="str">
        <f t="shared" si="350"/>
        <v/>
      </c>
      <c r="BJ434">
        <v>5</v>
      </c>
      <c r="BN434" s="468">
        <f t="shared" si="346"/>
        <v>36</v>
      </c>
      <c r="BO434" s="468">
        <f t="shared" si="347"/>
        <v>5</v>
      </c>
      <c r="BP434" s="467">
        <f t="shared" ca="1" si="335"/>
        <v>55825</v>
      </c>
      <c r="BQ434" s="475">
        <f t="shared" ca="1" si="349"/>
        <v>68</v>
      </c>
      <c r="BR434" s="475" t="str">
        <f t="shared" si="348"/>
        <v/>
      </c>
      <c r="BS434" s="471" t="str">
        <f t="shared" si="336"/>
        <v/>
      </c>
      <c r="BT434" s="472" t="str">
        <f t="shared" si="351"/>
        <v/>
      </c>
      <c r="BU434" s="472">
        <f t="shared" ca="1" si="337"/>
        <v>0</v>
      </c>
      <c r="BV434" s="472">
        <f t="shared" ca="1" si="337"/>
        <v>0</v>
      </c>
      <c r="BW434" s="472"/>
      <c r="BX434" s="473">
        <f t="shared" ca="1" si="338"/>
        <v>413935.95594083</v>
      </c>
      <c r="BY434" s="473">
        <f t="shared" si="339"/>
        <v>0</v>
      </c>
      <c r="BZ434" s="473">
        <f t="shared" ca="1" si="321"/>
        <v>915.19538581699999</v>
      </c>
      <c r="CA434" s="476">
        <f t="shared" ca="1" si="340"/>
        <v>0</v>
      </c>
      <c r="CB434" s="494">
        <f ca="1">IF(OR($Q433&lt;&gt;1,OP!$D$5+$BN434-1&lt;16,$BN434-1&lt;1),0,ROUND(ROUND(ROUND(((VLOOKUP($BN434-1,MORE_PV,5,0)/10000)*VLOOKUP($BN434,MORE_PV,$CB$5,0)),3)*VLOOKUP($BN434,more1,5,0),0)/$R433,0))</f>
        <v>0</v>
      </c>
      <c r="CC434" s="473">
        <f t="shared" ca="1" si="341"/>
        <v>0</v>
      </c>
      <c r="CD434" s="477"/>
    </row>
    <row r="435" spans="2:82" ht="16.5" hidden="1">
      <c r="B435" s="80"/>
      <c r="C435" s="80"/>
      <c r="D435" s="80"/>
      <c r="E435" s="80"/>
      <c r="F435" s="80"/>
      <c r="G435" s="80"/>
      <c r="H435" s="80"/>
      <c r="I435" s="80"/>
      <c r="J435" s="192">
        <f t="shared" si="322"/>
        <v>36</v>
      </c>
      <c r="K435" s="192">
        <f t="shared" si="323"/>
        <v>7</v>
      </c>
      <c r="L435" s="192" t="str">
        <f t="shared" si="318"/>
        <v/>
      </c>
      <c r="M435" s="216">
        <f t="shared" ca="1" si="324"/>
        <v>0</v>
      </c>
      <c r="N435" s="216"/>
      <c r="O435" s="216"/>
      <c r="P435" s="216"/>
      <c r="Q435" s="456" t="str">
        <f t="shared" ca="1" si="325"/>
        <v/>
      </c>
      <c r="R435" s="450">
        <f t="shared" ca="1" si="326"/>
        <v>1</v>
      </c>
      <c r="S435" s="191">
        <f t="shared" si="327"/>
        <v>36</v>
      </c>
      <c r="T435" s="191">
        <f t="shared" si="328"/>
        <v>7</v>
      </c>
      <c r="U435" s="191">
        <f ca="1">OP!$D$5+$S435-1</f>
        <v>68</v>
      </c>
      <c r="V435" s="191" t="str">
        <f t="shared" si="329"/>
        <v/>
      </c>
      <c r="W435" s="350">
        <f ca="1">IF(Q435&lt;&gt;1,0,VLOOKUP(OP!$C$55,PVFB,$S435+2,0))</f>
        <v>0</v>
      </c>
      <c r="X435" s="473">
        <f t="shared" ca="1" si="342"/>
        <v>0</v>
      </c>
      <c r="Y435" s="348">
        <f t="shared" ca="1" si="343"/>
        <v>0</v>
      </c>
      <c r="Z435" s="348">
        <f t="shared" ca="1" si="344"/>
        <v>8012</v>
      </c>
      <c r="AA435" s="348">
        <f ca="1">IF(Q435&lt;&gt;1,0,VLOOKUP(OP!$C$55,PVFB,$S435+2,0))</f>
        <v>0</v>
      </c>
      <c r="AB435" s="488" t="str">
        <f ca="1">IF(AND(S435&lt;OP!$C$24,$U435&lt;15),0,IF(AND($U435&lt;15,$T435=12),ROUND(VLOOKUP($S435,DOWN16,5,0),3),IF($T435=12,ROUND(($Z435/10000)*$AA435,3)+IF(AND($P$7="購買增額繳清保險",T435=12,U435=110),VLOOKUP(S435,$B$10:$H$121,7,0),0),"")))</f>
        <v/>
      </c>
      <c r="AC435" s="350" t="str">
        <f ca="1">IF(AND(S435&lt;OP!$C$24,$U435&lt;15),0,IF(AND($U435&lt;16,$T435=12),VLOOKUP($S435,DOWN16,4,0),IF($T435=12,ROUND(VLOOKUP(OP!$C$55,_DIE2,$S435+1,0)*(Z435/10000),0)+IF(AND($P$7="購買增額繳清保險",T435=12,U435=110),VLOOKUP(S435,$B$10:$H$121,7,0),0),"")))</f>
        <v/>
      </c>
      <c r="AD435" s="347"/>
      <c r="AE435" s="350" t="str">
        <f t="shared" ca="1" si="319"/>
        <v/>
      </c>
      <c r="AF435" s="351" t="str">
        <f t="shared" ca="1" si="320"/>
        <v/>
      </c>
      <c r="AG435" s="340"/>
      <c r="AH435" s="340"/>
      <c r="AI435" s="340"/>
      <c r="AJ435" s="340"/>
      <c r="AK435" s="340"/>
      <c r="AL435" s="340"/>
      <c r="AM435" s="340"/>
      <c r="AN435" s="340"/>
      <c r="AO435" s="340"/>
      <c r="AP435" s="340"/>
      <c r="AQ435" s="340"/>
      <c r="AR435" s="340"/>
      <c r="AS435" s="340"/>
      <c r="AT435" s="340"/>
      <c r="AU435" s="340"/>
      <c r="AV435" s="340"/>
      <c r="AY435" s="340"/>
      <c r="AZ435" s="465">
        <f t="shared" ca="1" si="330"/>
        <v>7.3698599999999999E-5</v>
      </c>
      <c r="BA435" s="464">
        <f t="shared" ca="1" si="331"/>
        <v>2.2109589000000002E-3</v>
      </c>
      <c r="BB435" s="465">
        <f t="shared" ca="1" si="331"/>
        <v>2.2846575E-3</v>
      </c>
      <c r="BC435" s="466">
        <f t="shared" ca="1" si="332"/>
        <v>55854</v>
      </c>
      <c r="BD435" s="467">
        <f t="shared" ca="1" si="345"/>
        <v>55855</v>
      </c>
      <c r="BE435" s="467">
        <f t="shared" ca="1" si="333"/>
        <v>55884</v>
      </c>
      <c r="BF435" s="468">
        <f ca="1">IF(計算!$BC435&lt;OP!$C$3,0,BD435-BC435)</f>
        <v>1</v>
      </c>
      <c r="BG435" s="468">
        <f ca="1">IF($BE435&gt;DATE(YEAR($BD$9)+OP!$C$57,MONTH($BD$9),DAY($BD$9)),0,$BE435-$BD435+1)</f>
        <v>30</v>
      </c>
      <c r="BH435" s="469">
        <f t="shared" ca="1" si="334"/>
        <v>31</v>
      </c>
      <c r="BI435" t="str">
        <f t="shared" si="350"/>
        <v/>
      </c>
      <c r="BJ435">
        <v>6</v>
      </c>
      <c r="BN435" s="468">
        <f t="shared" si="346"/>
        <v>36</v>
      </c>
      <c r="BO435" s="468">
        <f t="shared" si="347"/>
        <v>6</v>
      </c>
      <c r="BP435" s="467">
        <f t="shared" ca="1" si="335"/>
        <v>55855</v>
      </c>
      <c r="BQ435" s="475">
        <f t="shared" ca="1" si="349"/>
        <v>68</v>
      </c>
      <c r="BR435" s="475" t="str">
        <f t="shared" si="348"/>
        <v/>
      </c>
      <c r="BS435" s="471" t="str">
        <f t="shared" si="336"/>
        <v/>
      </c>
      <c r="BT435" s="472" t="str">
        <f t="shared" si="351"/>
        <v/>
      </c>
      <c r="BU435" s="472">
        <f t="shared" ca="1" si="337"/>
        <v>0</v>
      </c>
      <c r="BV435" s="472">
        <f t="shared" ca="1" si="337"/>
        <v>0</v>
      </c>
      <c r="BW435" s="472"/>
      <c r="BX435" s="473">
        <f t="shared" ca="1" si="338"/>
        <v>414851.15132664703</v>
      </c>
      <c r="BY435" s="473">
        <f t="shared" si="339"/>
        <v>0</v>
      </c>
      <c r="BZ435" s="473">
        <f t="shared" ca="1" si="321"/>
        <v>947.79279426200003</v>
      </c>
      <c r="CA435" s="476">
        <f t="shared" ca="1" si="340"/>
        <v>0</v>
      </c>
      <c r="CB435" s="494">
        <f ca="1">IF(OR($Q434&lt;&gt;1,OP!$D$5+$BN435-1&lt;16,$BN435-1&lt;1),0,ROUND(ROUND(ROUND(((VLOOKUP($BN435-1,MORE_PV,5,0)/10000)*VLOOKUP($BN435,MORE_PV,$CB$5,0)),3)*VLOOKUP($BN435,more1,5,0),0)/$R434,0))</f>
        <v>0</v>
      </c>
      <c r="CC435" s="473">
        <f t="shared" ca="1" si="341"/>
        <v>0</v>
      </c>
      <c r="CD435" s="477"/>
    </row>
    <row r="436" spans="2:82" ht="16.5" hidden="1">
      <c r="B436" s="80"/>
      <c r="C436" s="80"/>
      <c r="D436" s="80"/>
      <c r="E436" s="80"/>
      <c r="F436" s="80"/>
      <c r="G436" s="80"/>
      <c r="H436" s="80"/>
      <c r="I436" s="80"/>
      <c r="J436" s="192">
        <f t="shared" si="322"/>
        <v>36</v>
      </c>
      <c r="K436" s="192">
        <f t="shared" si="323"/>
        <v>8</v>
      </c>
      <c r="L436" s="192" t="str">
        <f t="shared" si="318"/>
        <v/>
      </c>
      <c r="M436" s="216">
        <f t="shared" ca="1" si="324"/>
        <v>0</v>
      </c>
      <c r="N436" s="216"/>
      <c r="O436" s="216"/>
      <c r="P436" s="216"/>
      <c r="Q436" s="456" t="str">
        <f t="shared" ca="1" si="325"/>
        <v/>
      </c>
      <c r="R436" s="450">
        <f t="shared" ca="1" si="326"/>
        <v>1</v>
      </c>
      <c r="S436" s="191">
        <f t="shared" si="327"/>
        <v>36</v>
      </c>
      <c r="T436" s="191">
        <f t="shared" si="328"/>
        <v>8</v>
      </c>
      <c r="U436" s="191">
        <f ca="1">OP!$D$5+$S436-1</f>
        <v>68</v>
      </c>
      <c r="V436" s="191" t="str">
        <f t="shared" si="329"/>
        <v/>
      </c>
      <c r="W436" s="350">
        <f ca="1">IF(Q436&lt;&gt;1,0,VLOOKUP(OP!$C$55,PVFB,$S436+2,0))</f>
        <v>0</v>
      </c>
      <c r="X436" s="473">
        <f t="shared" ca="1" si="342"/>
        <v>0</v>
      </c>
      <c r="Y436" s="348">
        <f t="shared" ca="1" si="343"/>
        <v>0</v>
      </c>
      <c r="Z436" s="348">
        <f t="shared" ca="1" si="344"/>
        <v>8012</v>
      </c>
      <c r="AA436" s="348">
        <f ca="1">IF(Q436&lt;&gt;1,0,VLOOKUP(OP!$C$55,PVFB,$S436+2,0))</f>
        <v>0</v>
      </c>
      <c r="AB436" s="488" t="str">
        <f ca="1">IF(AND(S436&lt;OP!$C$24,$U436&lt;15),0,IF(AND($U436&lt;15,$T436=12),ROUND(VLOOKUP($S436,DOWN16,5,0),3),IF($T436=12,ROUND(($Z436/10000)*$AA436,3)+IF(AND($P$7="購買增額繳清保險",T436=12,U436=110),VLOOKUP(S436,$B$10:$H$121,7,0),0),"")))</f>
        <v/>
      </c>
      <c r="AC436" s="350" t="str">
        <f ca="1">IF(AND(S436&lt;OP!$C$24,$U436&lt;15),0,IF(AND($U436&lt;16,$T436=12),VLOOKUP($S436,DOWN16,4,0),IF($T436=12,ROUND(VLOOKUP(OP!$C$55,_DIE2,$S436+1,0)*(Z436/10000),0)+IF(AND($P$7="購買增額繳清保險",T436=12,U436=110),VLOOKUP(S436,$B$10:$H$121,7,0),0),"")))</f>
        <v/>
      </c>
      <c r="AD436" s="347"/>
      <c r="AE436" s="350" t="str">
        <f t="shared" ca="1" si="319"/>
        <v/>
      </c>
      <c r="AF436" s="351" t="str">
        <f t="shared" ca="1" si="320"/>
        <v/>
      </c>
      <c r="AG436" s="340"/>
      <c r="AH436" s="340"/>
      <c r="AI436" s="340"/>
      <c r="AJ436" s="340"/>
      <c r="AK436" s="340"/>
      <c r="AL436" s="340"/>
      <c r="AM436" s="340"/>
      <c r="AN436" s="340"/>
      <c r="AO436" s="340"/>
      <c r="AP436" s="340"/>
      <c r="AQ436" s="340"/>
      <c r="AR436" s="340"/>
      <c r="AS436" s="340"/>
      <c r="AT436" s="340"/>
      <c r="AU436" s="340"/>
      <c r="AV436" s="340"/>
      <c r="AY436" s="340"/>
      <c r="AZ436" s="465">
        <f t="shared" ca="1" si="330"/>
        <v>7.3698599999999999E-5</v>
      </c>
      <c r="BA436" s="464">
        <f t="shared" ca="1" si="331"/>
        <v>2.2109589000000002E-3</v>
      </c>
      <c r="BB436" s="465">
        <f t="shared" ca="1" si="331"/>
        <v>2.2846575E-3</v>
      </c>
      <c r="BC436" s="466">
        <f t="shared" ca="1" si="332"/>
        <v>55885</v>
      </c>
      <c r="BD436" s="467">
        <f t="shared" ca="1" si="345"/>
        <v>55886</v>
      </c>
      <c r="BE436" s="467">
        <f t="shared" ca="1" si="333"/>
        <v>55915</v>
      </c>
      <c r="BF436" s="468">
        <f ca="1">IF(計算!$BC436&lt;OP!$C$3,0,BD436-BC436)</f>
        <v>1</v>
      </c>
      <c r="BG436" s="468">
        <f ca="1">IF($BE436&gt;DATE(YEAR($BD$9)+OP!$C$57,MONTH($BD$9),DAY($BD$9)),0,$BE436-$BD436+1)</f>
        <v>30</v>
      </c>
      <c r="BH436" s="469">
        <f t="shared" ca="1" si="334"/>
        <v>31</v>
      </c>
      <c r="BI436" t="str">
        <f t="shared" si="350"/>
        <v/>
      </c>
      <c r="BJ436">
        <v>7</v>
      </c>
      <c r="BN436" s="468">
        <f t="shared" si="346"/>
        <v>36</v>
      </c>
      <c r="BO436" s="468">
        <f t="shared" si="347"/>
        <v>7</v>
      </c>
      <c r="BP436" s="467">
        <f t="shared" ca="1" si="335"/>
        <v>55886</v>
      </c>
      <c r="BQ436" s="475">
        <f t="shared" ca="1" si="349"/>
        <v>68</v>
      </c>
      <c r="BR436" s="475" t="str">
        <f t="shared" si="348"/>
        <v/>
      </c>
      <c r="BS436" s="471" t="str">
        <f t="shared" si="336"/>
        <v/>
      </c>
      <c r="BT436" s="472" t="str">
        <f t="shared" si="351"/>
        <v/>
      </c>
      <c r="BU436" s="472">
        <f t="shared" ca="1" si="337"/>
        <v>0</v>
      </c>
      <c r="BV436" s="472">
        <f t="shared" ca="1" si="337"/>
        <v>0</v>
      </c>
      <c r="BW436" s="472"/>
      <c r="BX436" s="473">
        <f t="shared" ca="1" si="338"/>
        <v>415798.94412090897</v>
      </c>
      <c r="BY436" s="473">
        <f t="shared" si="339"/>
        <v>0</v>
      </c>
      <c r="BZ436" s="473">
        <f t="shared" ca="1" si="321"/>
        <v>949.95817617800003</v>
      </c>
      <c r="CA436" s="476">
        <f t="shared" ca="1" si="340"/>
        <v>0</v>
      </c>
      <c r="CB436" s="494">
        <f ca="1">IF(OR($Q435&lt;&gt;1,OP!$D$5+$BN436-1&lt;16,$BN436-1&lt;1),0,ROUND(ROUND(ROUND(((VLOOKUP($BN436-1,MORE_PV,5,0)/10000)*VLOOKUP($BN436,MORE_PV,$CB$5,0)),3)*VLOOKUP($BN436,more1,5,0),0)/$R435,0))</f>
        <v>0</v>
      </c>
      <c r="CC436" s="473">
        <f t="shared" ca="1" si="341"/>
        <v>0</v>
      </c>
      <c r="CD436" s="477"/>
    </row>
    <row r="437" spans="2:82" ht="16.5" hidden="1">
      <c r="B437" s="80"/>
      <c r="C437" s="80"/>
      <c r="D437" s="80"/>
      <c r="E437" s="80"/>
      <c r="F437" s="80"/>
      <c r="G437" s="80"/>
      <c r="H437" s="80"/>
      <c r="I437" s="80"/>
      <c r="J437" s="192">
        <f t="shared" si="322"/>
        <v>36</v>
      </c>
      <c r="K437" s="192">
        <f t="shared" si="323"/>
        <v>9</v>
      </c>
      <c r="L437" s="192" t="str">
        <f t="shared" si="318"/>
        <v/>
      </c>
      <c r="M437" s="216">
        <f t="shared" ca="1" si="324"/>
        <v>0</v>
      </c>
      <c r="N437" s="216"/>
      <c r="O437" s="216"/>
      <c r="P437" s="216"/>
      <c r="Q437" s="456" t="str">
        <f t="shared" ca="1" si="325"/>
        <v/>
      </c>
      <c r="R437" s="450">
        <f t="shared" ca="1" si="326"/>
        <v>1</v>
      </c>
      <c r="S437" s="191">
        <f t="shared" si="327"/>
        <v>36</v>
      </c>
      <c r="T437" s="191">
        <f t="shared" si="328"/>
        <v>9</v>
      </c>
      <c r="U437" s="191">
        <f ca="1">OP!$D$5+$S437-1</f>
        <v>68</v>
      </c>
      <c r="V437" s="191" t="str">
        <f t="shared" si="329"/>
        <v/>
      </c>
      <c r="W437" s="350">
        <f ca="1">IF(Q437&lt;&gt;1,0,VLOOKUP(OP!$C$55,PVFB,$S437+2,0))</f>
        <v>0</v>
      </c>
      <c r="X437" s="473">
        <f t="shared" ca="1" si="342"/>
        <v>0</v>
      </c>
      <c r="Y437" s="348">
        <f t="shared" ca="1" si="343"/>
        <v>0</v>
      </c>
      <c r="Z437" s="348">
        <f t="shared" ca="1" si="344"/>
        <v>8012</v>
      </c>
      <c r="AA437" s="348">
        <f ca="1">IF(Q437&lt;&gt;1,0,VLOOKUP(OP!$C$55,PVFB,$S437+2,0))</f>
        <v>0</v>
      </c>
      <c r="AB437" s="488" t="str">
        <f ca="1">IF(AND(S437&lt;OP!$C$24,$U437&lt;15),0,IF(AND($U437&lt;15,$T437=12),ROUND(VLOOKUP($S437,DOWN16,5,0),3),IF($T437=12,ROUND(($Z437/10000)*$AA437,3)+IF(AND($P$7="購買增額繳清保險",T437=12,U437=110),VLOOKUP(S437,$B$10:$H$121,7,0),0),"")))</f>
        <v/>
      </c>
      <c r="AC437" s="350" t="str">
        <f ca="1">IF(AND(S437&lt;OP!$C$24,$U437&lt;15),0,IF(AND($U437&lt;16,$T437=12),VLOOKUP($S437,DOWN16,4,0),IF($T437=12,ROUND(VLOOKUP(OP!$C$55,_DIE2,$S437+1,0)*(Z437/10000),0)+IF(AND($P$7="購買增額繳清保險",T437=12,U437=110),VLOOKUP(S437,$B$10:$H$121,7,0),0),"")))</f>
        <v/>
      </c>
      <c r="AD437" s="347"/>
      <c r="AE437" s="350" t="str">
        <f t="shared" ca="1" si="319"/>
        <v/>
      </c>
      <c r="AF437" s="351" t="str">
        <f t="shared" ca="1" si="320"/>
        <v/>
      </c>
      <c r="AG437" s="340"/>
      <c r="AH437" s="340"/>
      <c r="AI437" s="340"/>
      <c r="AJ437" s="340"/>
      <c r="AK437" s="340"/>
      <c r="AL437" s="340"/>
      <c r="AM437" s="340"/>
      <c r="AN437" s="340"/>
      <c r="AO437" s="340"/>
      <c r="AP437" s="340"/>
      <c r="AQ437" s="340"/>
      <c r="AR437" s="340"/>
      <c r="AS437" s="340"/>
      <c r="AT437" s="340"/>
      <c r="AU437" s="340"/>
      <c r="AV437" s="340"/>
      <c r="AY437" s="340"/>
      <c r="AZ437" s="465">
        <f t="shared" ca="1" si="330"/>
        <v>7.3698599999999999E-5</v>
      </c>
      <c r="BA437" s="464">
        <f t="shared" ca="1" si="331"/>
        <v>1.9898630000000001E-3</v>
      </c>
      <c r="BB437" s="465">
        <f t="shared" ca="1" si="331"/>
        <v>2.0635616E-3</v>
      </c>
      <c r="BC437" s="466">
        <f t="shared" ca="1" si="332"/>
        <v>55916</v>
      </c>
      <c r="BD437" s="467">
        <f t="shared" ca="1" si="345"/>
        <v>55917</v>
      </c>
      <c r="BE437" s="467">
        <f t="shared" ca="1" si="333"/>
        <v>55943</v>
      </c>
      <c r="BF437" s="468">
        <f ca="1">IF(計算!$BC437&lt;OP!$C$3,0,BD437-BC437)</f>
        <v>1</v>
      </c>
      <c r="BG437" s="468">
        <f ca="1">IF($BE437&gt;DATE(YEAR($BD$9)+OP!$C$57,MONTH($BD$9),DAY($BD$9)),0,$BE437-$BD437+1)</f>
        <v>27</v>
      </c>
      <c r="BH437" s="469">
        <f t="shared" ca="1" si="334"/>
        <v>28</v>
      </c>
      <c r="BI437" t="str">
        <f t="shared" si="350"/>
        <v/>
      </c>
      <c r="BJ437">
        <v>8</v>
      </c>
      <c r="BN437" s="468">
        <f t="shared" si="346"/>
        <v>36</v>
      </c>
      <c r="BO437" s="468">
        <f t="shared" si="347"/>
        <v>8</v>
      </c>
      <c r="BP437" s="467">
        <f t="shared" ca="1" si="335"/>
        <v>55917</v>
      </c>
      <c r="BQ437" s="475">
        <f t="shared" ca="1" si="349"/>
        <v>68</v>
      </c>
      <c r="BR437" s="475" t="str">
        <f t="shared" si="348"/>
        <v/>
      </c>
      <c r="BS437" s="471" t="str">
        <f t="shared" si="336"/>
        <v/>
      </c>
      <c r="BT437" s="472" t="str">
        <f t="shared" si="351"/>
        <v/>
      </c>
      <c r="BU437" s="472">
        <f t="shared" ca="1" si="337"/>
        <v>0</v>
      </c>
      <c r="BV437" s="472">
        <f t="shared" ca="1" si="337"/>
        <v>0</v>
      </c>
      <c r="BW437" s="472"/>
      <c r="BX437" s="473">
        <f t="shared" ca="1" si="338"/>
        <v>416748.90229708701</v>
      </c>
      <c r="BY437" s="473">
        <f t="shared" si="339"/>
        <v>0</v>
      </c>
      <c r="BZ437" s="473">
        <f t="shared" ca="1" si="321"/>
        <v>859.98703162200002</v>
      </c>
      <c r="CA437" s="476">
        <f t="shared" ca="1" si="340"/>
        <v>0</v>
      </c>
      <c r="CB437" s="494">
        <f ca="1">IF(OR($Q436&lt;&gt;1,OP!$D$5+$BN437-1&lt;16,$BN437-1&lt;1),0,ROUND(ROUND(ROUND(((VLOOKUP($BN437-1,MORE_PV,5,0)/10000)*VLOOKUP($BN437,MORE_PV,$CB$5,0)),3)*VLOOKUP($BN437,more1,5,0),0)/$R436,0))</f>
        <v>0</v>
      </c>
      <c r="CC437" s="473">
        <f t="shared" ca="1" si="341"/>
        <v>0</v>
      </c>
      <c r="CD437" s="477"/>
    </row>
    <row r="438" spans="2:82" ht="16.5" hidden="1">
      <c r="B438" s="80"/>
      <c r="C438" s="80"/>
      <c r="D438" s="80"/>
      <c r="E438" s="80"/>
      <c r="F438" s="80"/>
      <c r="G438" s="80"/>
      <c r="H438" s="80"/>
      <c r="I438" s="80"/>
      <c r="J438" s="192">
        <f t="shared" si="322"/>
        <v>36</v>
      </c>
      <c r="K438" s="192">
        <f t="shared" si="323"/>
        <v>10</v>
      </c>
      <c r="L438" s="192" t="str">
        <f t="shared" si="318"/>
        <v/>
      </c>
      <c r="M438" s="216">
        <f t="shared" ca="1" si="324"/>
        <v>0</v>
      </c>
      <c r="N438" s="216"/>
      <c r="O438" s="216"/>
      <c r="P438" s="216"/>
      <c r="Q438" s="456" t="str">
        <f t="shared" ca="1" si="325"/>
        <v/>
      </c>
      <c r="R438" s="450">
        <f t="shared" ca="1" si="326"/>
        <v>1</v>
      </c>
      <c r="S438" s="191">
        <f t="shared" si="327"/>
        <v>36</v>
      </c>
      <c r="T438" s="191">
        <f t="shared" si="328"/>
        <v>10</v>
      </c>
      <c r="U438" s="191">
        <f ca="1">OP!$D$5+$S438-1</f>
        <v>68</v>
      </c>
      <c r="V438" s="191" t="str">
        <f t="shared" si="329"/>
        <v/>
      </c>
      <c r="W438" s="350">
        <f ca="1">IF(Q438&lt;&gt;1,0,VLOOKUP(OP!$C$55,PVFB,$S438+2,0))</f>
        <v>0</v>
      </c>
      <c r="X438" s="473">
        <f t="shared" ca="1" si="342"/>
        <v>0</v>
      </c>
      <c r="Y438" s="348">
        <f t="shared" ca="1" si="343"/>
        <v>0</v>
      </c>
      <c r="Z438" s="348">
        <f t="shared" ca="1" si="344"/>
        <v>8012</v>
      </c>
      <c r="AA438" s="348">
        <f ca="1">IF(Q438&lt;&gt;1,0,VLOOKUP(OP!$C$55,PVFB,$S438+2,0))</f>
        <v>0</v>
      </c>
      <c r="AB438" s="488" t="str">
        <f ca="1">IF(AND(S438&lt;OP!$C$24,$U438&lt;15),0,IF(AND($U438&lt;15,$T438=12),ROUND(VLOOKUP($S438,DOWN16,5,0),3),IF($T438=12,ROUND(($Z438/10000)*$AA438,3)+IF(AND($P$7="購買增額繳清保險",T438=12,U438=110),VLOOKUP(S438,$B$10:$H$121,7,0),0),"")))</f>
        <v/>
      </c>
      <c r="AC438" s="350" t="str">
        <f ca="1">IF(AND(S438&lt;OP!$C$24,$U438&lt;15),0,IF(AND($U438&lt;16,$T438=12),VLOOKUP($S438,DOWN16,4,0),IF($T438=12,ROUND(VLOOKUP(OP!$C$55,_DIE2,$S438+1,0)*(Z438/10000),0)+IF(AND($P$7="購買增額繳清保險",T438=12,U438=110),VLOOKUP(S438,$B$10:$H$121,7,0),0),"")))</f>
        <v/>
      </c>
      <c r="AD438" s="347"/>
      <c r="AE438" s="350" t="str">
        <f t="shared" ca="1" si="319"/>
        <v/>
      </c>
      <c r="AF438" s="351" t="str">
        <f t="shared" ca="1" si="320"/>
        <v/>
      </c>
      <c r="AG438" s="340"/>
      <c r="AH438" s="340"/>
      <c r="AI438" s="340"/>
      <c r="AJ438" s="340"/>
      <c r="AK438" s="340"/>
      <c r="AL438" s="340"/>
      <c r="AM438" s="340"/>
      <c r="AN438" s="340"/>
      <c r="AO438" s="340"/>
      <c r="AP438" s="340"/>
      <c r="AQ438" s="340"/>
      <c r="AR438" s="340"/>
      <c r="AS438" s="340"/>
      <c r="AT438" s="340"/>
      <c r="AU438" s="340"/>
      <c r="AV438" s="340"/>
      <c r="AY438" s="340"/>
      <c r="AZ438" s="465">
        <f t="shared" ca="1" si="330"/>
        <v>7.3698599999999999E-5</v>
      </c>
      <c r="BA438" s="464">
        <f t="shared" ca="1" si="331"/>
        <v>2.2109589000000002E-3</v>
      </c>
      <c r="BB438" s="465">
        <f t="shared" ca="1" si="331"/>
        <v>2.2846575E-3</v>
      </c>
      <c r="BC438" s="466">
        <f t="shared" ca="1" si="332"/>
        <v>55944</v>
      </c>
      <c r="BD438" s="467">
        <f t="shared" ca="1" si="345"/>
        <v>55945</v>
      </c>
      <c r="BE438" s="467">
        <f t="shared" ca="1" si="333"/>
        <v>55974</v>
      </c>
      <c r="BF438" s="468">
        <f ca="1">IF(計算!$BC438&lt;OP!$C$3,0,BD438-BC438)</f>
        <v>1</v>
      </c>
      <c r="BG438" s="468">
        <f ca="1">IF($BE438&gt;DATE(YEAR($BD$9)+OP!$C$57,MONTH($BD$9),DAY($BD$9)),0,$BE438-$BD438+1)</f>
        <v>30</v>
      </c>
      <c r="BH438" s="469">
        <f t="shared" ca="1" si="334"/>
        <v>31</v>
      </c>
      <c r="BI438" t="str">
        <f t="shared" si="350"/>
        <v/>
      </c>
      <c r="BJ438">
        <v>9</v>
      </c>
      <c r="BN438" s="468">
        <f t="shared" si="346"/>
        <v>36</v>
      </c>
      <c r="BO438" s="468">
        <f t="shared" si="347"/>
        <v>9</v>
      </c>
      <c r="BP438" s="467">
        <f t="shared" ca="1" si="335"/>
        <v>55945</v>
      </c>
      <c r="BQ438" s="475">
        <f t="shared" ca="1" si="349"/>
        <v>68</v>
      </c>
      <c r="BR438" s="475" t="str">
        <f t="shared" si="348"/>
        <v/>
      </c>
      <c r="BS438" s="471" t="str">
        <f t="shared" si="336"/>
        <v/>
      </c>
      <c r="BT438" s="472" t="str">
        <f t="shared" si="351"/>
        <v/>
      </c>
      <c r="BU438" s="472">
        <f t="shared" ca="1" si="337"/>
        <v>0</v>
      </c>
      <c r="BV438" s="472">
        <f t="shared" ca="1" si="337"/>
        <v>0</v>
      </c>
      <c r="BW438" s="472"/>
      <c r="BX438" s="473">
        <f t="shared" ca="1" si="338"/>
        <v>417608.88932870899</v>
      </c>
      <c r="BY438" s="473">
        <f t="shared" si="339"/>
        <v>0</v>
      </c>
      <c r="BZ438" s="473">
        <f t="shared" ca="1" si="321"/>
        <v>954.09328107199997</v>
      </c>
      <c r="CA438" s="476">
        <f t="shared" ca="1" si="340"/>
        <v>0</v>
      </c>
      <c r="CB438" s="494">
        <f ca="1">IF(OR($Q437&lt;&gt;1,OP!$D$5+$BN438-1&lt;16,$BN438-1&lt;1),0,ROUND(ROUND(ROUND(((VLOOKUP($BN438-1,MORE_PV,5,0)/10000)*VLOOKUP($BN438,MORE_PV,$CB$5,0)),3)*VLOOKUP($BN438,more1,5,0),0)/$R437,0))</f>
        <v>0</v>
      </c>
      <c r="CC438" s="473">
        <f t="shared" ca="1" si="341"/>
        <v>0</v>
      </c>
      <c r="CD438" s="477"/>
    </row>
    <row r="439" spans="2:82" ht="16.5" hidden="1">
      <c r="B439" s="80"/>
      <c r="C439" s="80"/>
      <c r="D439" s="80"/>
      <c r="E439" s="80"/>
      <c r="F439" s="80"/>
      <c r="G439" s="80"/>
      <c r="H439" s="80"/>
      <c r="I439" s="80"/>
      <c r="J439" s="192">
        <f t="shared" si="322"/>
        <v>36</v>
      </c>
      <c r="K439" s="192">
        <f t="shared" si="323"/>
        <v>11</v>
      </c>
      <c r="L439" s="192" t="str">
        <f t="shared" si="318"/>
        <v/>
      </c>
      <c r="M439" s="216">
        <f t="shared" ca="1" si="324"/>
        <v>0</v>
      </c>
      <c r="N439" s="216"/>
      <c r="O439" s="216"/>
      <c r="P439" s="216"/>
      <c r="Q439" s="456" t="str">
        <f t="shared" ca="1" si="325"/>
        <v/>
      </c>
      <c r="R439" s="450">
        <f t="shared" ca="1" si="326"/>
        <v>1</v>
      </c>
      <c r="S439" s="191">
        <f t="shared" si="327"/>
        <v>36</v>
      </c>
      <c r="T439" s="191">
        <f t="shared" si="328"/>
        <v>11</v>
      </c>
      <c r="U439" s="191">
        <f ca="1">OP!$D$5+$S439-1</f>
        <v>68</v>
      </c>
      <c r="V439" s="191" t="str">
        <f t="shared" si="329"/>
        <v/>
      </c>
      <c r="W439" s="350">
        <f ca="1">IF(Q439&lt;&gt;1,0,VLOOKUP(OP!$C$55,PVFB,$S439+2,0))</f>
        <v>0</v>
      </c>
      <c r="X439" s="473">
        <f t="shared" ca="1" si="342"/>
        <v>0</v>
      </c>
      <c r="Y439" s="348">
        <f t="shared" ca="1" si="343"/>
        <v>0</v>
      </c>
      <c r="Z439" s="348">
        <f t="shared" ca="1" si="344"/>
        <v>8012</v>
      </c>
      <c r="AA439" s="348">
        <f ca="1">IF(Q439&lt;&gt;1,0,VLOOKUP(OP!$C$55,PVFB,$S439+2,0))</f>
        <v>0</v>
      </c>
      <c r="AB439" s="488" t="str">
        <f ca="1">IF(AND(S439&lt;OP!$C$24,$U439&lt;15),0,IF(AND($U439&lt;15,$T439=12),ROUND(VLOOKUP($S439,DOWN16,5,0),3),IF($T439=12,ROUND(($Z439/10000)*$AA439,3)+IF(AND($P$7="購買增額繳清保險",T439=12,U439=110),VLOOKUP(S439,$B$10:$H$121,7,0),0),"")))</f>
        <v/>
      </c>
      <c r="AC439" s="350" t="str">
        <f ca="1">IF(AND(S439&lt;OP!$C$24,$U439&lt;15),0,IF(AND($U439&lt;16,$T439=12),VLOOKUP($S439,DOWN16,4,0),IF($T439=12,ROUND(VLOOKUP(OP!$C$55,_DIE2,$S439+1,0)*(Z439/10000),0)+IF(AND($P$7="購買增額繳清保險",T439=12,U439=110),VLOOKUP(S439,$B$10:$H$121,7,0),0),"")))</f>
        <v/>
      </c>
      <c r="AD439" s="347"/>
      <c r="AE439" s="350" t="str">
        <f t="shared" ca="1" si="319"/>
        <v/>
      </c>
      <c r="AF439" s="351" t="str">
        <f t="shared" ca="1" si="320"/>
        <v/>
      </c>
      <c r="AG439" s="340"/>
      <c r="AH439" s="340"/>
      <c r="AI439" s="340"/>
      <c r="AJ439" s="340"/>
      <c r="AK439" s="340"/>
      <c r="AL439" s="340"/>
      <c r="AM439" s="340"/>
      <c r="AN439" s="340"/>
      <c r="AO439" s="340"/>
      <c r="AP439" s="340"/>
      <c r="AQ439" s="340"/>
      <c r="AR439" s="340"/>
      <c r="AS439" s="340"/>
      <c r="AT439" s="340"/>
      <c r="AU439" s="340"/>
      <c r="AV439" s="340"/>
      <c r="AY439" s="340"/>
      <c r="AZ439" s="465">
        <f t="shared" ca="1" si="330"/>
        <v>7.3698599999999999E-5</v>
      </c>
      <c r="BA439" s="464">
        <f t="shared" ca="1" si="331"/>
        <v>2.1372602999999999E-3</v>
      </c>
      <c r="BB439" s="465">
        <f t="shared" ca="1" si="331"/>
        <v>2.2109589000000002E-3</v>
      </c>
      <c r="BC439" s="466">
        <f t="shared" ca="1" si="332"/>
        <v>55975</v>
      </c>
      <c r="BD439" s="467">
        <f t="shared" ca="1" si="345"/>
        <v>55976</v>
      </c>
      <c r="BE439" s="467">
        <f t="shared" ca="1" si="333"/>
        <v>56004</v>
      </c>
      <c r="BF439" s="468">
        <f ca="1">IF(計算!$BC439&lt;OP!$C$3,0,BD439-BC439)</f>
        <v>1</v>
      </c>
      <c r="BG439" s="468">
        <f ca="1">IF($BE439&gt;DATE(YEAR($BD$9)+OP!$C$57,MONTH($BD$9),DAY($BD$9)),0,$BE439-$BD439+1)</f>
        <v>29</v>
      </c>
      <c r="BH439" s="469">
        <f t="shared" ca="1" si="334"/>
        <v>30</v>
      </c>
      <c r="BI439" t="str">
        <f t="shared" si="350"/>
        <v/>
      </c>
      <c r="BJ439">
        <v>10</v>
      </c>
      <c r="BN439" s="468">
        <f t="shared" si="346"/>
        <v>36</v>
      </c>
      <c r="BO439" s="468">
        <f t="shared" si="347"/>
        <v>10</v>
      </c>
      <c r="BP439" s="467">
        <f t="shared" ca="1" si="335"/>
        <v>55976</v>
      </c>
      <c r="BQ439" s="475">
        <f t="shared" ca="1" si="349"/>
        <v>68</v>
      </c>
      <c r="BR439" s="475" t="str">
        <f t="shared" si="348"/>
        <v/>
      </c>
      <c r="BS439" s="471" t="str">
        <f t="shared" si="336"/>
        <v/>
      </c>
      <c r="BT439" s="472" t="str">
        <f t="shared" si="351"/>
        <v/>
      </c>
      <c r="BU439" s="472">
        <f t="shared" ca="1" si="337"/>
        <v>0</v>
      </c>
      <c r="BV439" s="472">
        <f t="shared" ca="1" si="337"/>
        <v>0</v>
      </c>
      <c r="BW439" s="472"/>
      <c r="BX439" s="473">
        <f t="shared" ca="1" si="338"/>
        <v>418562.98260978097</v>
      </c>
      <c r="BY439" s="473">
        <f t="shared" si="339"/>
        <v>0</v>
      </c>
      <c r="BZ439" s="473">
        <f t="shared" ca="1" si="321"/>
        <v>925.42555161200005</v>
      </c>
      <c r="CA439" s="476">
        <f t="shared" ca="1" si="340"/>
        <v>0</v>
      </c>
      <c r="CB439" s="494">
        <f ca="1">IF(OR($Q438&lt;&gt;1,OP!$D$5+$BN439-1&lt;16,$BN439-1&lt;1),0,ROUND(ROUND(ROUND(((VLOOKUP($BN439-1,MORE_PV,5,0)/10000)*VLOOKUP($BN439,MORE_PV,$CB$5,0)),3)*VLOOKUP($BN439,more1,5,0),0)/$R438,0))</f>
        <v>0</v>
      </c>
      <c r="CC439" s="473">
        <f t="shared" ca="1" si="341"/>
        <v>0</v>
      </c>
      <c r="CD439" s="477"/>
    </row>
    <row r="440" spans="2:82" ht="16.5" hidden="1">
      <c r="B440" s="80"/>
      <c r="C440" s="80"/>
      <c r="D440" s="80"/>
      <c r="E440" s="80"/>
      <c r="F440" s="80"/>
      <c r="G440" s="80"/>
      <c r="H440" s="80"/>
      <c r="I440" s="80"/>
      <c r="J440" s="192">
        <f t="shared" si="322"/>
        <v>36</v>
      </c>
      <c r="K440" s="192">
        <f t="shared" si="323"/>
        <v>12</v>
      </c>
      <c r="L440" s="192">
        <f t="shared" si="318"/>
        <v>36</v>
      </c>
      <c r="M440" s="216">
        <f t="shared" ca="1" si="324"/>
        <v>433492</v>
      </c>
      <c r="N440" s="216"/>
      <c r="O440" s="216"/>
      <c r="P440" s="216"/>
      <c r="Q440" s="456">
        <f t="shared" ca="1" si="325"/>
        <v>1</v>
      </c>
      <c r="R440" s="450">
        <f t="shared" ca="1" si="326"/>
        <v>1</v>
      </c>
      <c r="S440" s="191">
        <f t="shared" si="327"/>
        <v>36</v>
      </c>
      <c r="T440" s="191">
        <f t="shared" si="328"/>
        <v>12</v>
      </c>
      <c r="U440" s="191">
        <f ca="1">OP!$D$5+$S440-1</f>
        <v>68</v>
      </c>
      <c r="V440" s="191">
        <f t="shared" si="329"/>
        <v>36</v>
      </c>
      <c r="W440" s="350">
        <f ca="1">IF(Q440&lt;&gt;1,0,VLOOKUP(OP!$C$55,PVFB,$S440+2,0))</f>
        <v>54195</v>
      </c>
      <c r="X440" s="473">
        <f t="shared" ca="1" si="342"/>
        <v>13014</v>
      </c>
      <c r="Y440" s="348">
        <f t="shared" ca="1" si="343"/>
        <v>0</v>
      </c>
      <c r="Z440" s="348">
        <f t="shared" ca="1" si="344"/>
        <v>8012</v>
      </c>
      <c r="AA440" s="348">
        <f ca="1">IF(Q440&lt;&gt;1,0,VLOOKUP(OP!$C$55,PVFB,$S440+2,0))</f>
        <v>54195</v>
      </c>
      <c r="AB440" s="488">
        <f ca="1">IF(AND(S440&lt;OP!$C$24,$U440&lt;15),0,IF(AND($U440&lt;15,$T440=12),ROUND(VLOOKUP($S440,DOWN16,5,0),3),IF($T440=12,ROUND(($Z440/10000)*$AA440,3)+IF(AND($P$7="購買增額繳清保險",T440=12,U440=110),VLOOKUP(S440,$B$10:$H$121,7,0),0),"")))</f>
        <v>43421.034</v>
      </c>
      <c r="AC440" s="350">
        <f ca="1">IF(AND(S440&lt;OP!$C$24,$U440&lt;15),0,IF(AND($U440&lt;16,$T440=12),VLOOKUP($S440,DOWN16,4,0),IF($T440=12,ROUND(VLOOKUP(OP!$C$55,_DIE2,$S440+1,0)*(Z440/10000),0)+IF(AND($P$7="購買增額繳清保險",T440=12,U440=110),VLOOKUP(S440,$B$10:$H$121,7,0),0),"")))</f>
        <v>43421</v>
      </c>
      <c r="AD440" s="347"/>
      <c r="AE440" s="350" t="str">
        <f t="shared" ca="1" si="319"/>
        <v/>
      </c>
      <c r="AF440" s="351" t="str">
        <f t="shared" ca="1" si="320"/>
        <v/>
      </c>
      <c r="AG440" s="340"/>
      <c r="AH440" s="340"/>
      <c r="AI440" s="340"/>
      <c r="AJ440" s="340"/>
      <c r="AK440" s="340"/>
      <c r="AL440" s="340"/>
      <c r="AM440" s="340"/>
      <c r="AN440" s="340"/>
      <c r="AO440" s="340"/>
      <c r="AP440" s="340"/>
      <c r="AQ440" s="340"/>
      <c r="AR440" s="340"/>
      <c r="AS440" s="340"/>
      <c r="AT440" s="340"/>
      <c r="AU440" s="340"/>
      <c r="AV440" s="340"/>
      <c r="AY440" s="340"/>
      <c r="AZ440" s="465">
        <f t="shared" ca="1" si="330"/>
        <v>7.3698599999999999E-5</v>
      </c>
      <c r="BA440" s="464">
        <f t="shared" ca="1" si="331"/>
        <v>2.2109589000000002E-3</v>
      </c>
      <c r="BB440" s="465">
        <f t="shared" ca="1" si="331"/>
        <v>2.2846575E-3</v>
      </c>
      <c r="BC440" s="466">
        <f t="shared" ca="1" si="332"/>
        <v>56005</v>
      </c>
      <c r="BD440" s="467">
        <f t="shared" ca="1" si="345"/>
        <v>56006</v>
      </c>
      <c r="BE440" s="467">
        <f t="shared" ca="1" si="333"/>
        <v>56035</v>
      </c>
      <c r="BF440" s="468">
        <f ca="1">IF(計算!$BC440&lt;OP!$C$3,0,BD440-BC440)</f>
        <v>1</v>
      </c>
      <c r="BG440" s="468">
        <f ca="1">IF($BE440&gt;DATE(YEAR($BD$9)+OP!$C$57,MONTH($BD$9),DAY($BD$9)),0,$BE440-$BD440+1)</f>
        <v>30</v>
      </c>
      <c r="BH440" s="469">
        <f t="shared" ca="1" si="334"/>
        <v>31</v>
      </c>
      <c r="BI440" t="str">
        <f t="shared" si="350"/>
        <v/>
      </c>
      <c r="BJ440">
        <v>11</v>
      </c>
      <c r="BN440" s="468">
        <f t="shared" si="346"/>
        <v>36</v>
      </c>
      <c r="BO440" s="468">
        <f t="shared" si="347"/>
        <v>11</v>
      </c>
      <c r="BP440" s="467">
        <f t="shared" ca="1" si="335"/>
        <v>56006</v>
      </c>
      <c r="BQ440" s="475">
        <f t="shared" ca="1" si="349"/>
        <v>68</v>
      </c>
      <c r="BR440" s="475" t="str">
        <f t="shared" si="348"/>
        <v/>
      </c>
      <c r="BS440" s="471" t="str">
        <f t="shared" si="336"/>
        <v/>
      </c>
      <c r="BT440" s="472" t="str">
        <f t="shared" si="351"/>
        <v/>
      </c>
      <c r="BU440" s="472">
        <f t="shared" ca="1" si="337"/>
        <v>0</v>
      </c>
      <c r="BV440" s="472">
        <f t="shared" ca="1" si="337"/>
        <v>0</v>
      </c>
      <c r="BW440" s="472"/>
      <c r="BX440" s="473">
        <f t="shared" ca="1" si="338"/>
        <v>419488.40816139302</v>
      </c>
      <c r="BY440" s="473">
        <f t="shared" si="339"/>
        <v>0</v>
      </c>
      <c r="BZ440" s="473">
        <f t="shared" ca="1" si="321"/>
        <v>958.38733786900002</v>
      </c>
      <c r="CA440" s="476">
        <f t="shared" ca="1" si="340"/>
        <v>0</v>
      </c>
      <c r="CB440" s="494">
        <f ca="1">IF(OR($Q439&lt;&gt;1,OP!$D$5+$BN440-1&lt;16,$BN440-1&lt;1),0,ROUND(ROUND(ROUND(((VLOOKUP($BN440-1,MORE_PV,5,0)/10000)*VLOOKUP($BN440,MORE_PV,$CB$5,0)),3)*VLOOKUP($BN440,more1,5,0),0)/$R439,0))</f>
        <v>0</v>
      </c>
      <c r="CC440" s="473">
        <f t="shared" ca="1" si="341"/>
        <v>0</v>
      </c>
      <c r="CD440" s="477"/>
    </row>
    <row r="441" spans="2:82" ht="16.5" hidden="1">
      <c r="B441" s="80"/>
      <c r="C441" s="80"/>
      <c r="D441" s="80"/>
      <c r="E441" s="80"/>
      <c r="F441" s="80"/>
      <c r="G441" s="80"/>
      <c r="H441" s="80"/>
      <c r="I441" s="80"/>
      <c r="J441" s="192">
        <f t="shared" si="322"/>
        <v>37</v>
      </c>
      <c r="K441" s="192">
        <f t="shared" si="323"/>
        <v>1</v>
      </c>
      <c r="L441" s="192" t="str">
        <f t="shared" si="318"/>
        <v/>
      </c>
      <c r="M441" s="216">
        <f t="shared" ca="1" si="324"/>
        <v>0</v>
      </c>
      <c r="N441" s="216"/>
      <c r="O441" s="216"/>
      <c r="P441" s="216"/>
      <c r="Q441" s="456" t="str">
        <f t="shared" ca="1" si="325"/>
        <v/>
      </c>
      <c r="R441" s="450">
        <f t="shared" ca="1" si="326"/>
        <v>1</v>
      </c>
      <c r="S441" s="191">
        <f t="shared" si="327"/>
        <v>37</v>
      </c>
      <c r="T441" s="191">
        <f t="shared" si="328"/>
        <v>1</v>
      </c>
      <c r="U441" s="191">
        <f ca="1">OP!$D$5+$S441-1</f>
        <v>69</v>
      </c>
      <c r="V441" s="191" t="str">
        <f t="shared" si="329"/>
        <v/>
      </c>
      <c r="W441" s="350">
        <f ca="1">IF(Q441&lt;&gt;1,0,VLOOKUP(OP!$C$55,PVFB,$S441+2,0))</f>
        <v>0</v>
      </c>
      <c r="X441" s="473">
        <f t="shared" ca="1" si="342"/>
        <v>0</v>
      </c>
      <c r="Y441" s="348">
        <f t="shared" ca="1" si="343"/>
        <v>0</v>
      </c>
      <c r="Z441" s="348">
        <f t="shared" ca="1" si="344"/>
        <v>8012</v>
      </c>
      <c r="AA441" s="348">
        <f ca="1">IF(Q441&lt;&gt;1,0,VLOOKUP(OP!$C$55,PVFB,$S441+2,0))</f>
        <v>0</v>
      </c>
      <c r="AB441" s="488" t="str">
        <f ca="1">IF(AND(S441&lt;OP!$C$24,$U441&lt;15),0,IF(AND($U441&lt;15,$T441=12),ROUND(VLOOKUP($S441,DOWN16,5,0),3),IF($T441=12,ROUND(($Z441/10000)*$AA441,3)+IF(AND($P$7="購買增額繳清保險",T441=12,U441=110),VLOOKUP(S441,$B$10:$H$121,7,0),0),"")))</f>
        <v/>
      </c>
      <c r="AC441" s="350" t="str">
        <f ca="1">IF(AND(S441&lt;OP!$C$24,$U441&lt;15),0,IF(AND($U441&lt;16,$T441=12),VLOOKUP($S441,DOWN16,4,0),IF($T441=12,ROUND(VLOOKUP(OP!$C$55,_DIE2,$S441+1,0)*(Z441/10000),0)+IF(AND($P$7="購買增額繳清保險",T441=12,U441=110),VLOOKUP(S441,$B$10:$H$121,7,0),0),"")))</f>
        <v/>
      </c>
      <c r="AD441" s="347"/>
      <c r="AE441" s="350" t="str">
        <f t="shared" ca="1" si="319"/>
        <v/>
      </c>
      <c r="AF441" s="351" t="str">
        <f t="shared" ca="1" si="320"/>
        <v/>
      </c>
      <c r="AG441" s="340"/>
      <c r="AH441" s="340"/>
      <c r="AI441" s="340"/>
      <c r="AJ441" s="340"/>
      <c r="AK441" s="340"/>
      <c r="AL441" s="340"/>
      <c r="AM441" s="340"/>
      <c r="AN441" s="340"/>
      <c r="AO441" s="340"/>
      <c r="AP441" s="340"/>
      <c r="AQ441" s="340"/>
      <c r="AR441" s="340"/>
      <c r="AS441" s="340"/>
      <c r="AT441" s="340"/>
      <c r="AU441" s="340"/>
      <c r="AV441" s="340"/>
      <c r="AY441" s="340"/>
      <c r="AZ441" s="465">
        <f t="shared" ca="1" si="330"/>
        <v>7.3698599999999999E-5</v>
      </c>
      <c r="BA441" s="464">
        <f t="shared" ca="1" si="331"/>
        <v>2.1372602999999999E-3</v>
      </c>
      <c r="BB441" s="465">
        <f t="shared" ca="1" si="331"/>
        <v>2.2109589000000002E-3</v>
      </c>
      <c r="BC441" s="466">
        <f t="shared" ca="1" si="332"/>
        <v>56036</v>
      </c>
      <c r="BD441" s="467">
        <f t="shared" ca="1" si="345"/>
        <v>56037</v>
      </c>
      <c r="BE441" s="467">
        <f t="shared" ca="1" si="333"/>
        <v>56065</v>
      </c>
      <c r="BF441" s="468">
        <f ca="1">IF(計算!$BC441&lt;OP!$C$3,0,BD441-BC441)</f>
        <v>1</v>
      </c>
      <c r="BG441" s="468">
        <f ca="1">IF($BE441&gt;DATE(YEAR($BD$9)+OP!$C$57,MONTH($BD$9),DAY($BD$9)),0,$BE441-$BD441+1)</f>
        <v>29</v>
      </c>
      <c r="BH441" s="469">
        <f t="shared" ca="1" si="334"/>
        <v>30</v>
      </c>
      <c r="BI441">
        <f t="shared" ca="1" si="350"/>
        <v>365</v>
      </c>
      <c r="BJ441">
        <v>12</v>
      </c>
      <c r="BN441" s="468">
        <f t="shared" si="346"/>
        <v>36</v>
      </c>
      <c r="BO441" s="468">
        <f t="shared" si="347"/>
        <v>12</v>
      </c>
      <c r="BP441" s="467">
        <f t="shared" ca="1" si="335"/>
        <v>56037</v>
      </c>
      <c r="BQ441" s="475">
        <f t="shared" ca="1" si="349"/>
        <v>68</v>
      </c>
      <c r="BR441" s="475">
        <f t="shared" si="348"/>
        <v>36</v>
      </c>
      <c r="BS441" s="471">
        <f t="shared" ca="1" si="336"/>
        <v>13014</v>
      </c>
      <c r="BT441" s="472">
        <f t="shared" ca="1" si="351"/>
        <v>433492</v>
      </c>
      <c r="BU441" s="472">
        <f t="shared" ca="1" si="337"/>
        <v>12714</v>
      </c>
      <c r="BV441" s="472">
        <f t="shared" ca="1" si="337"/>
        <v>300</v>
      </c>
      <c r="BW441" s="472">
        <f ca="1">ROUND(SUM(BY441,BZ429:BZ440),0)</f>
        <v>11148</v>
      </c>
      <c r="BX441" s="473">
        <f t="shared" ca="1" si="338"/>
        <v>433491.78183946502</v>
      </c>
      <c r="BY441" s="473">
        <f t="shared" ca="1" si="339"/>
        <v>30.986340203000001</v>
      </c>
      <c r="BZ441" s="473">
        <f t="shared" ca="1" si="321"/>
        <v>926.48477570199998</v>
      </c>
      <c r="CA441" s="476">
        <f t="shared" ca="1" si="340"/>
        <v>12714</v>
      </c>
      <c r="CB441" s="494">
        <f ca="1">IF(OR($Q440&lt;&gt;1,OP!$D$5+$BN441-1&lt;16,$BN441-1&lt;1),0,ROUND(ROUND(ROUND(((VLOOKUP($BN441-1,MORE_PV,5,0)/10000)*VLOOKUP($BN441,MORE_PV,$CB$5,0)),3)*VLOOKUP($BN441,more1,5,0),0)/$R440,0))</f>
        <v>300</v>
      </c>
      <c r="CC441" s="473">
        <f t="shared" ca="1" si="341"/>
        <v>0</v>
      </c>
      <c r="CD441" s="477"/>
    </row>
    <row r="442" spans="2:82" ht="16.5" hidden="1">
      <c r="B442" s="80"/>
      <c r="C442" s="80"/>
      <c r="D442" s="80"/>
      <c r="E442" s="80"/>
      <c r="F442" s="80"/>
      <c r="G442" s="80"/>
      <c r="H442" s="80"/>
      <c r="I442" s="80"/>
      <c r="J442" s="192">
        <f t="shared" si="322"/>
        <v>37</v>
      </c>
      <c r="K442" s="192">
        <f t="shared" si="323"/>
        <v>2</v>
      </c>
      <c r="L442" s="192" t="str">
        <f t="shared" si="318"/>
        <v/>
      </c>
      <c r="M442" s="216">
        <f t="shared" ca="1" si="324"/>
        <v>0</v>
      </c>
      <c r="N442" s="216"/>
      <c r="O442" s="216"/>
      <c r="P442" s="216"/>
      <c r="Q442" s="456" t="str">
        <f t="shared" ca="1" si="325"/>
        <v/>
      </c>
      <c r="R442" s="450">
        <f t="shared" ca="1" si="326"/>
        <v>1</v>
      </c>
      <c r="S442" s="191">
        <f t="shared" si="327"/>
        <v>37</v>
      </c>
      <c r="T442" s="191">
        <f t="shared" si="328"/>
        <v>2</v>
      </c>
      <c r="U442" s="191">
        <f ca="1">OP!$D$5+$S442-1</f>
        <v>69</v>
      </c>
      <c r="V442" s="191" t="str">
        <f t="shared" si="329"/>
        <v/>
      </c>
      <c r="W442" s="350">
        <f ca="1">IF(Q442&lt;&gt;1,0,VLOOKUP(OP!$C$55,PVFB,$S442+2,0))</f>
        <v>0</v>
      </c>
      <c r="X442" s="473">
        <f t="shared" ca="1" si="342"/>
        <v>0</v>
      </c>
      <c r="Y442" s="348">
        <f t="shared" ca="1" si="343"/>
        <v>0</v>
      </c>
      <c r="Z442" s="348">
        <f t="shared" ca="1" si="344"/>
        <v>8012</v>
      </c>
      <c r="AA442" s="348">
        <f ca="1">IF(Q442&lt;&gt;1,0,VLOOKUP(OP!$C$55,PVFB,$S442+2,0))</f>
        <v>0</v>
      </c>
      <c r="AB442" s="488" t="str">
        <f ca="1">IF(AND(S442&lt;OP!$C$24,$U442&lt;15),0,IF(AND($U442&lt;15,$T442=12),ROUND(VLOOKUP($S442,DOWN16,5,0),3),IF($T442=12,ROUND(($Z442/10000)*$AA442,3)+IF(AND($P$7="購買增額繳清保險",T442=12,U442=110),VLOOKUP(S442,$B$10:$H$121,7,0),0),"")))</f>
        <v/>
      </c>
      <c r="AC442" s="350" t="str">
        <f ca="1">IF(AND(S442&lt;OP!$C$24,$U442&lt;15),0,IF(AND($U442&lt;16,$T442=12),VLOOKUP($S442,DOWN16,4,0),IF($T442=12,ROUND(VLOOKUP(OP!$C$55,_DIE2,$S442+1,0)*(Z442/10000),0)+IF(AND($P$7="購買增額繳清保險",T442=12,U442=110),VLOOKUP(S442,$B$10:$H$121,7,0),0),"")))</f>
        <v/>
      </c>
      <c r="AD442" s="347"/>
      <c r="AE442" s="350" t="str">
        <f t="shared" ca="1" si="319"/>
        <v/>
      </c>
      <c r="AF442" s="351" t="str">
        <f t="shared" ca="1" si="320"/>
        <v/>
      </c>
      <c r="AG442" s="340"/>
      <c r="AH442" s="340"/>
      <c r="AI442" s="340"/>
      <c r="AJ442" s="340"/>
      <c r="AK442" s="340"/>
      <c r="AL442" s="340"/>
      <c r="AM442" s="340"/>
      <c r="AN442" s="340"/>
      <c r="AO442" s="340"/>
      <c r="AP442" s="340"/>
      <c r="AQ442" s="340"/>
      <c r="AR442" s="340"/>
      <c r="AS442" s="340"/>
      <c r="AT442" s="340"/>
      <c r="AU442" s="340"/>
      <c r="AV442" s="340"/>
      <c r="AY442" s="340"/>
      <c r="AZ442" s="465">
        <f t="shared" ca="1" si="330"/>
        <v>7.3698599999999999E-5</v>
      </c>
      <c r="BA442" s="464">
        <f t="shared" ca="1" si="331"/>
        <v>2.2109589000000002E-3</v>
      </c>
      <c r="BB442" s="465">
        <f t="shared" ca="1" si="331"/>
        <v>2.2846575E-3</v>
      </c>
      <c r="BC442" s="466">
        <f t="shared" ca="1" si="332"/>
        <v>56066</v>
      </c>
      <c r="BD442" s="467">
        <f t="shared" ca="1" si="345"/>
        <v>56067</v>
      </c>
      <c r="BE442" s="467">
        <f t="shared" ca="1" si="333"/>
        <v>56096</v>
      </c>
      <c r="BF442" s="468">
        <f ca="1">IF(計算!$BC442&lt;OP!$C$3,0,BD442-BC442)</f>
        <v>1</v>
      </c>
      <c r="BG442" s="468">
        <f ca="1">IF($BE442&gt;DATE(YEAR($BD$9)+OP!$C$57,MONTH($BD$9),DAY($BD$9)),0,$BE442-$BD442+1)</f>
        <v>30</v>
      </c>
      <c r="BH442" s="469">
        <f t="shared" ca="1" si="334"/>
        <v>31</v>
      </c>
      <c r="BI442" t="str">
        <f t="shared" si="350"/>
        <v/>
      </c>
      <c r="BJ442">
        <v>1</v>
      </c>
      <c r="BN442" s="468">
        <f t="shared" si="346"/>
        <v>37</v>
      </c>
      <c r="BO442" s="468">
        <f t="shared" si="347"/>
        <v>1</v>
      </c>
      <c r="BP442" s="467">
        <f t="shared" ca="1" si="335"/>
        <v>56067</v>
      </c>
      <c r="BQ442" s="475">
        <f t="shared" ca="1" si="349"/>
        <v>69</v>
      </c>
      <c r="BR442" s="475" t="str">
        <f t="shared" si="348"/>
        <v/>
      </c>
      <c r="BS442" s="471" t="str">
        <f t="shared" si="336"/>
        <v/>
      </c>
      <c r="BT442" s="472" t="str">
        <f t="shared" si="351"/>
        <v/>
      </c>
      <c r="BU442" s="472">
        <f t="shared" ca="1" si="337"/>
        <v>0</v>
      </c>
      <c r="BV442" s="472">
        <f t="shared" ca="1" si="337"/>
        <v>0</v>
      </c>
      <c r="BW442" s="472"/>
      <c r="BX442" s="473">
        <f t="shared" ca="1" si="338"/>
        <v>434418.26661516703</v>
      </c>
      <c r="BY442" s="473">
        <f t="shared" si="339"/>
        <v>0</v>
      </c>
      <c r="BZ442" s="473">
        <f t="shared" ca="1" si="321"/>
        <v>992.49695095899995</v>
      </c>
      <c r="CA442" s="476">
        <f t="shared" ca="1" si="340"/>
        <v>0</v>
      </c>
      <c r="CB442" s="494">
        <f ca="1">IF(OR($Q441&lt;&gt;1,OP!$D$5+$BN442-1&lt;16,$BN442-1&lt;1),0,ROUND(ROUND(ROUND(((VLOOKUP($BN442-1,MORE_PV,5,0)/10000)*VLOOKUP($BN442,MORE_PV,$CB$5,0)),3)*VLOOKUP($BN442,more1,5,0),0)/$R441,0))</f>
        <v>0</v>
      </c>
      <c r="CC442" s="473">
        <f t="shared" ca="1" si="341"/>
        <v>0</v>
      </c>
      <c r="CD442" s="477"/>
    </row>
    <row r="443" spans="2:82" ht="16.5" hidden="1">
      <c r="B443" s="80"/>
      <c r="C443" s="80"/>
      <c r="D443" s="80"/>
      <c r="E443" s="80"/>
      <c r="F443" s="80"/>
      <c r="G443" s="80"/>
      <c r="H443" s="80"/>
      <c r="I443" s="80"/>
      <c r="J443" s="192">
        <f t="shared" si="322"/>
        <v>37</v>
      </c>
      <c r="K443" s="192">
        <f t="shared" si="323"/>
        <v>3</v>
      </c>
      <c r="L443" s="192" t="str">
        <f t="shared" si="318"/>
        <v/>
      </c>
      <c r="M443" s="216">
        <f t="shared" ca="1" si="324"/>
        <v>0</v>
      </c>
      <c r="N443" s="216"/>
      <c r="O443" s="216"/>
      <c r="P443" s="216"/>
      <c r="Q443" s="456" t="str">
        <f t="shared" ca="1" si="325"/>
        <v/>
      </c>
      <c r="R443" s="450">
        <f t="shared" ca="1" si="326"/>
        <v>1</v>
      </c>
      <c r="S443" s="191">
        <f t="shared" si="327"/>
        <v>37</v>
      </c>
      <c r="T443" s="191">
        <f t="shared" si="328"/>
        <v>3</v>
      </c>
      <c r="U443" s="191">
        <f ca="1">OP!$D$5+$S443-1</f>
        <v>69</v>
      </c>
      <c r="V443" s="191" t="str">
        <f t="shared" si="329"/>
        <v/>
      </c>
      <c r="W443" s="350">
        <f ca="1">IF(Q443&lt;&gt;1,0,VLOOKUP(OP!$C$55,PVFB,$S443+2,0))</f>
        <v>0</v>
      </c>
      <c r="X443" s="473">
        <f t="shared" ca="1" si="342"/>
        <v>0</v>
      </c>
      <c r="Y443" s="348">
        <f t="shared" ca="1" si="343"/>
        <v>0</v>
      </c>
      <c r="Z443" s="348">
        <f t="shared" ca="1" si="344"/>
        <v>8012</v>
      </c>
      <c r="AA443" s="348">
        <f ca="1">IF(Q443&lt;&gt;1,0,VLOOKUP(OP!$C$55,PVFB,$S443+2,0))</f>
        <v>0</v>
      </c>
      <c r="AB443" s="488" t="str">
        <f ca="1">IF(AND(S443&lt;OP!$C$24,$U443&lt;15),0,IF(AND($U443&lt;15,$T443=12),ROUND(VLOOKUP($S443,DOWN16,5,0),3),IF($T443=12,ROUND(($Z443/10000)*$AA443,3)+IF(AND($P$7="購買增額繳清保險",T443=12,U443=110),VLOOKUP(S443,$B$10:$H$121,7,0),0),"")))</f>
        <v/>
      </c>
      <c r="AC443" s="350" t="str">
        <f ca="1">IF(AND(S443&lt;OP!$C$24,$U443&lt;15),0,IF(AND($U443&lt;16,$T443=12),VLOOKUP($S443,DOWN16,4,0),IF($T443=12,ROUND(VLOOKUP(OP!$C$55,_DIE2,$S443+1,0)*(Z443/10000),0)+IF(AND($P$7="購買增額繳清保險",T443=12,U443=110),VLOOKUP(S443,$B$10:$H$121,7,0),0),"")))</f>
        <v/>
      </c>
      <c r="AD443" s="347"/>
      <c r="AE443" s="350" t="str">
        <f t="shared" ca="1" si="319"/>
        <v/>
      </c>
      <c r="AF443" s="351" t="str">
        <f t="shared" ca="1" si="320"/>
        <v/>
      </c>
      <c r="AG443" s="340"/>
      <c r="AH443" s="340"/>
      <c r="AI443" s="340"/>
      <c r="AJ443" s="340"/>
      <c r="AK443" s="340"/>
      <c r="AL443" s="340"/>
      <c r="AM443" s="340"/>
      <c r="AN443" s="340"/>
      <c r="AO443" s="340"/>
      <c r="AP443" s="340"/>
      <c r="AQ443" s="340"/>
      <c r="AR443" s="340"/>
      <c r="AS443" s="340"/>
      <c r="AT443" s="340"/>
      <c r="AU443" s="340"/>
      <c r="AV443" s="340"/>
      <c r="AY443" s="340"/>
      <c r="AZ443" s="465">
        <f t="shared" ca="1" si="330"/>
        <v>7.3698599999999999E-5</v>
      </c>
      <c r="BA443" s="464">
        <f t="shared" ca="1" si="331"/>
        <v>2.2109589000000002E-3</v>
      </c>
      <c r="BB443" s="465">
        <f t="shared" ca="1" si="331"/>
        <v>2.2846575E-3</v>
      </c>
      <c r="BC443" s="466">
        <f t="shared" ca="1" si="332"/>
        <v>56097</v>
      </c>
      <c r="BD443" s="467">
        <f t="shared" ca="1" si="345"/>
        <v>56098</v>
      </c>
      <c r="BE443" s="467">
        <f t="shared" ca="1" si="333"/>
        <v>56127</v>
      </c>
      <c r="BF443" s="468">
        <f ca="1">IF(計算!$BC443&lt;OP!$C$3,0,BD443-BC443)</f>
        <v>1</v>
      </c>
      <c r="BG443" s="468">
        <f ca="1">IF($BE443&gt;DATE(YEAR($BD$9)+OP!$C$57,MONTH($BD$9),DAY($BD$9)),0,$BE443-$BD443+1)</f>
        <v>30</v>
      </c>
      <c r="BH443" s="469">
        <f t="shared" ca="1" si="334"/>
        <v>31</v>
      </c>
      <c r="BI443" t="str">
        <f t="shared" si="350"/>
        <v/>
      </c>
      <c r="BJ443">
        <v>2</v>
      </c>
      <c r="BN443" s="468">
        <f t="shared" si="346"/>
        <v>37</v>
      </c>
      <c r="BO443" s="468">
        <f t="shared" si="347"/>
        <v>2</v>
      </c>
      <c r="BP443" s="467">
        <f t="shared" ca="1" si="335"/>
        <v>56098</v>
      </c>
      <c r="BQ443" s="475">
        <f t="shared" ca="1" si="349"/>
        <v>69</v>
      </c>
      <c r="BR443" s="475" t="str">
        <f t="shared" si="348"/>
        <v/>
      </c>
      <c r="BS443" s="471" t="str">
        <f t="shared" si="336"/>
        <v/>
      </c>
      <c r="BT443" s="472" t="str">
        <f t="shared" si="351"/>
        <v/>
      </c>
      <c r="BU443" s="472">
        <f t="shared" ca="1" si="337"/>
        <v>0</v>
      </c>
      <c r="BV443" s="472">
        <f t="shared" ca="1" si="337"/>
        <v>0</v>
      </c>
      <c r="BW443" s="472"/>
      <c r="BX443" s="473">
        <f t="shared" ca="1" si="338"/>
        <v>435410.763566126</v>
      </c>
      <c r="BY443" s="473">
        <f t="shared" si="339"/>
        <v>0</v>
      </c>
      <c r="BZ443" s="473">
        <f t="shared" ca="1" si="321"/>
        <v>994.76446656200005</v>
      </c>
      <c r="CA443" s="476">
        <f t="shared" ca="1" si="340"/>
        <v>0</v>
      </c>
      <c r="CB443" s="494">
        <f ca="1">IF(OR($Q442&lt;&gt;1,OP!$D$5+$BN443-1&lt;16,$BN443-1&lt;1),0,ROUND(ROUND(ROUND(((VLOOKUP($BN443-1,MORE_PV,5,0)/10000)*VLOOKUP($BN443,MORE_PV,$CB$5,0)),3)*VLOOKUP($BN443,more1,5,0),0)/$R442,0))</f>
        <v>0</v>
      </c>
      <c r="CC443" s="473">
        <f t="shared" ca="1" si="341"/>
        <v>0</v>
      </c>
      <c r="CD443" s="477"/>
    </row>
    <row r="444" spans="2:82" ht="16.5" hidden="1">
      <c r="B444" s="80"/>
      <c r="C444" s="80"/>
      <c r="D444" s="80"/>
      <c r="E444" s="80"/>
      <c r="F444" s="80"/>
      <c r="G444" s="80"/>
      <c r="H444" s="80"/>
      <c r="I444" s="80"/>
      <c r="J444" s="192">
        <f t="shared" si="322"/>
        <v>37</v>
      </c>
      <c r="K444" s="192">
        <f t="shared" si="323"/>
        <v>4</v>
      </c>
      <c r="L444" s="192" t="str">
        <f t="shared" si="318"/>
        <v/>
      </c>
      <c r="M444" s="216">
        <f t="shared" ca="1" si="324"/>
        <v>0</v>
      </c>
      <c r="N444" s="216"/>
      <c r="O444" s="216"/>
      <c r="P444" s="216"/>
      <c r="Q444" s="456" t="str">
        <f t="shared" ca="1" si="325"/>
        <v/>
      </c>
      <c r="R444" s="450">
        <f t="shared" ca="1" si="326"/>
        <v>1</v>
      </c>
      <c r="S444" s="191">
        <f t="shared" si="327"/>
        <v>37</v>
      </c>
      <c r="T444" s="191">
        <f t="shared" si="328"/>
        <v>4</v>
      </c>
      <c r="U444" s="191">
        <f ca="1">OP!$D$5+$S444-1</f>
        <v>69</v>
      </c>
      <c r="V444" s="191" t="str">
        <f t="shared" si="329"/>
        <v/>
      </c>
      <c r="W444" s="350">
        <f ca="1">IF(Q444&lt;&gt;1,0,VLOOKUP(OP!$C$55,PVFB,$S444+2,0))</f>
        <v>0</v>
      </c>
      <c r="X444" s="473">
        <f t="shared" ca="1" si="342"/>
        <v>0</v>
      </c>
      <c r="Y444" s="348">
        <f t="shared" ca="1" si="343"/>
        <v>0</v>
      </c>
      <c r="Z444" s="348">
        <f t="shared" ca="1" si="344"/>
        <v>8012</v>
      </c>
      <c r="AA444" s="348">
        <f ca="1">IF(Q444&lt;&gt;1,0,VLOOKUP(OP!$C$55,PVFB,$S444+2,0))</f>
        <v>0</v>
      </c>
      <c r="AB444" s="488" t="str">
        <f ca="1">IF(AND(S444&lt;OP!$C$24,$U444&lt;15),0,IF(AND($U444&lt;15,$T444=12),ROUND(VLOOKUP($S444,DOWN16,5,0),3),IF($T444=12,ROUND(($Z444/10000)*$AA444,3)+IF(AND($P$7="購買增額繳清保險",T444=12,U444=110),VLOOKUP(S444,$B$10:$H$121,7,0),0),"")))</f>
        <v/>
      </c>
      <c r="AC444" s="350" t="str">
        <f ca="1">IF(AND(S444&lt;OP!$C$24,$U444&lt;15),0,IF(AND($U444&lt;16,$T444=12),VLOOKUP($S444,DOWN16,4,0),IF($T444=12,ROUND(VLOOKUP(OP!$C$55,_DIE2,$S444+1,0)*(Z444/10000),0)+IF(AND($P$7="購買增額繳清保險",T444=12,U444=110),VLOOKUP(S444,$B$10:$H$121,7,0),0),"")))</f>
        <v/>
      </c>
      <c r="AD444" s="347"/>
      <c r="AE444" s="350" t="str">
        <f t="shared" ca="1" si="319"/>
        <v/>
      </c>
      <c r="AF444" s="351" t="str">
        <f t="shared" ca="1" si="320"/>
        <v/>
      </c>
      <c r="AG444" s="340"/>
      <c r="AH444" s="340"/>
      <c r="AI444" s="340"/>
      <c r="AJ444" s="340"/>
      <c r="AK444" s="340"/>
      <c r="AL444" s="340"/>
      <c r="AM444" s="340"/>
      <c r="AN444" s="340"/>
      <c r="AO444" s="340"/>
      <c r="AP444" s="340"/>
      <c r="AQ444" s="340"/>
      <c r="AR444" s="340"/>
      <c r="AS444" s="340"/>
      <c r="AT444" s="340"/>
      <c r="AU444" s="340"/>
      <c r="AV444" s="340"/>
      <c r="AY444" s="340"/>
      <c r="AZ444" s="465">
        <f t="shared" ca="1" si="330"/>
        <v>7.3698599999999999E-5</v>
      </c>
      <c r="BA444" s="464">
        <f t="shared" ca="1" si="331"/>
        <v>2.1372602999999999E-3</v>
      </c>
      <c r="BB444" s="465">
        <f t="shared" ca="1" si="331"/>
        <v>2.2109589000000002E-3</v>
      </c>
      <c r="BC444" s="466">
        <f t="shared" ca="1" si="332"/>
        <v>56128</v>
      </c>
      <c r="BD444" s="467">
        <f t="shared" ca="1" si="345"/>
        <v>56129</v>
      </c>
      <c r="BE444" s="467">
        <f t="shared" ca="1" si="333"/>
        <v>56157</v>
      </c>
      <c r="BF444" s="468">
        <f ca="1">IF(計算!$BC444&lt;OP!$C$3,0,BD444-BC444)</f>
        <v>1</v>
      </c>
      <c r="BG444" s="468">
        <f ca="1">IF($BE444&gt;DATE(YEAR($BD$9)+OP!$C$57,MONTH($BD$9),DAY($BD$9)),0,$BE444-$BD444+1)</f>
        <v>29</v>
      </c>
      <c r="BH444" s="469">
        <f t="shared" ca="1" si="334"/>
        <v>30</v>
      </c>
      <c r="BI444" t="str">
        <f t="shared" si="350"/>
        <v/>
      </c>
      <c r="BJ444">
        <v>3</v>
      </c>
      <c r="BN444" s="468">
        <f t="shared" si="346"/>
        <v>37</v>
      </c>
      <c r="BO444" s="468">
        <f t="shared" si="347"/>
        <v>3</v>
      </c>
      <c r="BP444" s="467">
        <f t="shared" ca="1" si="335"/>
        <v>56129</v>
      </c>
      <c r="BQ444" s="475">
        <f t="shared" ca="1" si="349"/>
        <v>69</v>
      </c>
      <c r="BR444" s="475" t="str">
        <f t="shared" si="348"/>
        <v/>
      </c>
      <c r="BS444" s="471" t="str">
        <f t="shared" si="336"/>
        <v/>
      </c>
      <c r="BT444" s="472" t="str">
        <f t="shared" si="351"/>
        <v/>
      </c>
      <c r="BU444" s="472">
        <f t="shared" ca="1" si="337"/>
        <v>0</v>
      </c>
      <c r="BV444" s="472">
        <f t="shared" ca="1" si="337"/>
        <v>0</v>
      </c>
      <c r="BW444" s="472"/>
      <c r="BX444" s="473">
        <f t="shared" ca="1" si="338"/>
        <v>436405.52803268802</v>
      </c>
      <c r="BY444" s="473">
        <f t="shared" si="339"/>
        <v>0</v>
      </c>
      <c r="BZ444" s="473">
        <f t="shared" ca="1" si="321"/>
        <v>964.87468621300002</v>
      </c>
      <c r="CA444" s="476">
        <f t="shared" ca="1" si="340"/>
        <v>0</v>
      </c>
      <c r="CB444" s="494">
        <f ca="1">IF(OR($Q443&lt;&gt;1,OP!$D$5+$BN444-1&lt;16,$BN444-1&lt;1),0,ROUND(ROUND(ROUND(((VLOOKUP($BN444-1,MORE_PV,5,0)/10000)*VLOOKUP($BN444,MORE_PV,$CB$5,0)),3)*VLOOKUP($BN444,more1,5,0),0)/$R443,0))</f>
        <v>0</v>
      </c>
      <c r="CC444" s="473">
        <f t="shared" ca="1" si="341"/>
        <v>0</v>
      </c>
      <c r="CD444" s="477"/>
    </row>
    <row r="445" spans="2:82" ht="16.5" hidden="1">
      <c r="B445" s="80"/>
      <c r="C445" s="80"/>
      <c r="D445" s="80"/>
      <c r="E445" s="80"/>
      <c r="F445" s="80"/>
      <c r="G445" s="80"/>
      <c r="H445" s="80"/>
      <c r="I445" s="80"/>
      <c r="J445" s="192">
        <f t="shared" si="322"/>
        <v>37</v>
      </c>
      <c r="K445" s="192">
        <f t="shared" si="323"/>
        <v>5</v>
      </c>
      <c r="L445" s="192" t="str">
        <f t="shared" si="318"/>
        <v/>
      </c>
      <c r="M445" s="216">
        <f t="shared" ca="1" si="324"/>
        <v>0</v>
      </c>
      <c r="N445" s="216"/>
      <c r="O445" s="216"/>
      <c r="P445" s="216"/>
      <c r="Q445" s="456" t="str">
        <f t="shared" ca="1" si="325"/>
        <v/>
      </c>
      <c r="R445" s="450">
        <f t="shared" ca="1" si="326"/>
        <v>1</v>
      </c>
      <c r="S445" s="191">
        <f t="shared" si="327"/>
        <v>37</v>
      </c>
      <c r="T445" s="191">
        <f t="shared" si="328"/>
        <v>5</v>
      </c>
      <c r="U445" s="191">
        <f ca="1">OP!$D$5+$S445-1</f>
        <v>69</v>
      </c>
      <c r="V445" s="191" t="str">
        <f t="shared" si="329"/>
        <v/>
      </c>
      <c r="W445" s="350">
        <f ca="1">IF(Q445&lt;&gt;1,0,VLOOKUP(OP!$C$55,PVFB,$S445+2,0))</f>
        <v>0</v>
      </c>
      <c r="X445" s="473">
        <f t="shared" ca="1" si="342"/>
        <v>0</v>
      </c>
      <c r="Y445" s="348">
        <f t="shared" ca="1" si="343"/>
        <v>0</v>
      </c>
      <c r="Z445" s="348">
        <f t="shared" ca="1" si="344"/>
        <v>8012</v>
      </c>
      <c r="AA445" s="348">
        <f ca="1">IF(Q445&lt;&gt;1,0,VLOOKUP(OP!$C$55,PVFB,$S445+2,0))</f>
        <v>0</v>
      </c>
      <c r="AB445" s="488" t="str">
        <f ca="1">IF(AND(S445&lt;OP!$C$24,$U445&lt;15),0,IF(AND($U445&lt;15,$T445=12),ROUND(VLOOKUP($S445,DOWN16,5,0),3),IF($T445=12,ROUND(($Z445/10000)*$AA445,3)+IF(AND($P$7="購買增額繳清保險",T445=12,U445=110),VLOOKUP(S445,$B$10:$H$121,7,0),0),"")))</f>
        <v/>
      </c>
      <c r="AC445" s="350" t="str">
        <f ca="1">IF(AND(S445&lt;OP!$C$24,$U445&lt;15),0,IF(AND($U445&lt;16,$T445=12),VLOOKUP($S445,DOWN16,4,0),IF($T445=12,ROUND(VLOOKUP(OP!$C$55,_DIE2,$S445+1,0)*(Z445/10000),0)+IF(AND($P$7="購買增額繳清保險",T445=12,U445=110),VLOOKUP(S445,$B$10:$H$121,7,0),0),"")))</f>
        <v/>
      </c>
      <c r="AD445" s="347"/>
      <c r="AE445" s="350" t="str">
        <f t="shared" ca="1" si="319"/>
        <v/>
      </c>
      <c r="AF445" s="351" t="str">
        <f t="shared" ca="1" si="320"/>
        <v/>
      </c>
      <c r="AG445" s="340"/>
      <c r="AH445" s="340"/>
      <c r="AI445" s="340"/>
      <c r="AJ445" s="340"/>
      <c r="AK445" s="340"/>
      <c r="AL445" s="340"/>
      <c r="AM445" s="340"/>
      <c r="AN445" s="340"/>
      <c r="AO445" s="340"/>
      <c r="AP445" s="340"/>
      <c r="AQ445" s="340"/>
      <c r="AR445" s="340"/>
      <c r="AS445" s="340"/>
      <c r="AT445" s="340"/>
      <c r="AU445" s="340"/>
      <c r="AV445" s="340"/>
      <c r="AY445" s="340"/>
      <c r="AZ445" s="465">
        <f t="shared" ca="1" si="330"/>
        <v>7.3698599999999999E-5</v>
      </c>
      <c r="BA445" s="464">
        <f t="shared" ca="1" si="331"/>
        <v>2.2109589000000002E-3</v>
      </c>
      <c r="BB445" s="465">
        <f t="shared" ca="1" si="331"/>
        <v>2.2846575E-3</v>
      </c>
      <c r="BC445" s="466">
        <f t="shared" ca="1" si="332"/>
        <v>56158</v>
      </c>
      <c r="BD445" s="467">
        <f t="shared" ca="1" si="345"/>
        <v>56159</v>
      </c>
      <c r="BE445" s="467">
        <f t="shared" ca="1" si="333"/>
        <v>56188</v>
      </c>
      <c r="BF445" s="468">
        <f ca="1">IF(計算!$BC445&lt;OP!$C$3,0,BD445-BC445)</f>
        <v>1</v>
      </c>
      <c r="BG445" s="468">
        <f ca="1">IF($BE445&gt;DATE(YEAR($BD$9)+OP!$C$57,MONTH($BD$9),DAY($BD$9)),0,$BE445-$BD445+1)</f>
        <v>30</v>
      </c>
      <c r="BH445" s="469">
        <f t="shared" ca="1" si="334"/>
        <v>31</v>
      </c>
      <c r="BI445" t="str">
        <f t="shared" si="350"/>
        <v/>
      </c>
      <c r="BJ445">
        <v>4</v>
      </c>
      <c r="BN445" s="468">
        <f t="shared" si="346"/>
        <v>37</v>
      </c>
      <c r="BO445" s="468">
        <f t="shared" si="347"/>
        <v>4</v>
      </c>
      <c r="BP445" s="467">
        <f t="shared" ca="1" si="335"/>
        <v>56159</v>
      </c>
      <c r="BQ445" s="475">
        <f t="shared" ca="1" si="349"/>
        <v>69</v>
      </c>
      <c r="BR445" s="475" t="str">
        <f t="shared" si="348"/>
        <v/>
      </c>
      <c r="BS445" s="471" t="str">
        <f t="shared" si="336"/>
        <v/>
      </c>
      <c r="BT445" s="472" t="str">
        <f t="shared" si="351"/>
        <v/>
      </c>
      <c r="BU445" s="472">
        <f t="shared" ca="1" si="337"/>
        <v>0</v>
      </c>
      <c r="BV445" s="472">
        <f t="shared" ca="1" si="337"/>
        <v>0</v>
      </c>
      <c r="BW445" s="472"/>
      <c r="BX445" s="473">
        <f t="shared" ca="1" si="338"/>
        <v>437370.40271890099</v>
      </c>
      <c r="BY445" s="473">
        <f t="shared" si="339"/>
        <v>0</v>
      </c>
      <c r="BZ445" s="473">
        <f t="shared" ca="1" si="321"/>
        <v>999.24157085000002</v>
      </c>
      <c r="CA445" s="476">
        <f t="shared" ca="1" si="340"/>
        <v>0</v>
      </c>
      <c r="CB445" s="494">
        <f ca="1">IF(OR($Q444&lt;&gt;1,OP!$D$5+$BN445-1&lt;16,$BN445-1&lt;1),0,ROUND(ROUND(ROUND(((VLOOKUP($BN445-1,MORE_PV,5,0)/10000)*VLOOKUP($BN445,MORE_PV,$CB$5,0)),3)*VLOOKUP($BN445,more1,5,0),0)/$R444,0))</f>
        <v>0</v>
      </c>
      <c r="CC445" s="473">
        <f t="shared" ca="1" si="341"/>
        <v>0</v>
      </c>
      <c r="CD445" s="477"/>
    </row>
    <row r="446" spans="2:82" ht="16.5" hidden="1">
      <c r="B446" s="80"/>
      <c r="C446" s="80"/>
      <c r="D446" s="80"/>
      <c r="E446" s="80"/>
      <c r="F446" s="80"/>
      <c r="G446" s="80"/>
      <c r="H446" s="80"/>
      <c r="I446" s="80"/>
      <c r="J446" s="192">
        <f t="shared" si="322"/>
        <v>37</v>
      </c>
      <c r="K446" s="192">
        <f t="shared" si="323"/>
        <v>6</v>
      </c>
      <c r="L446" s="192" t="str">
        <f t="shared" si="318"/>
        <v/>
      </c>
      <c r="M446" s="216">
        <f t="shared" ca="1" si="324"/>
        <v>0</v>
      </c>
      <c r="N446" s="216"/>
      <c r="O446" s="216"/>
      <c r="P446" s="216"/>
      <c r="Q446" s="456" t="str">
        <f t="shared" ca="1" si="325"/>
        <v/>
      </c>
      <c r="R446" s="450">
        <f t="shared" ca="1" si="326"/>
        <v>1</v>
      </c>
      <c r="S446" s="191">
        <f t="shared" si="327"/>
        <v>37</v>
      </c>
      <c r="T446" s="191">
        <f t="shared" si="328"/>
        <v>6</v>
      </c>
      <c r="U446" s="191">
        <f ca="1">OP!$D$5+$S446-1</f>
        <v>69</v>
      </c>
      <c r="V446" s="191" t="str">
        <f t="shared" si="329"/>
        <v/>
      </c>
      <c r="W446" s="350">
        <f ca="1">IF(Q446&lt;&gt;1,0,VLOOKUP(OP!$C$55,PVFB,$S446+2,0))</f>
        <v>0</v>
      </c>
      <c r="X446" s="473">
        <f t="shared" ca="1" si="342"/>
        <v>0</v>
      </c>
      <c r="Y446" s="348">
        <f t="shared" ca="1" si="343"/>
        <v>0</v>
      </c>
      <c r="Z446" s="348">
        <f t="shared" ca="1" si="344"/>
        <v>8012</v>
      </c>
      <c r="AA446" s="348">
        <f ca="1">IF(Q446&lt;&gt;1,0,VLOOKUP(OP!$C$55,PVFB,$S446+2,0))</f>
        <v>0</v>
      </c>
      <c r="AB446" s="488" t="str">
        <f ca="1">IF(AND(S446&lt;OP!$C$24,$U446&lt;15),0,IF(AND($U446&lt;15,$T446=12),ROUND(VLOOKUP($S446,DOWN16,5,0),3),IF($T446=12,ROUND(($Z446/10000)*$AA446,3)+IF(AND($P$7="購買增額繳清保險",T446=12,U446=110),VLOOKUP(S446,$B$10:$H$121,7,0),0),"")))</f>
        <v/>
      </c>
      <c r="AC446" s="350" t="str">
        <f ca="1">IF(AND(S446&lt;OP!$C$24,$U446&lt;15),0,IF(AND($U446&lt;16,$T446=12),VLOOKUP($S446,DOWN16,4,0),IF($T446=12,ROUND(VLOOKUP(OP!$C$55,_DIE2,$S446+1,0)*(Z446/10000),0)+IF(AND($P$7="購買增額繳清保險",T446=12,U446=110),VLOOKUP(S446,$B$10:$H$121,7,0),0),"")))</f>
        <v/>
      </c>
      <c r="AD446" s="347"/>
      <c r="AE446" s="350" t="str">
        <f t="shared" ca="1" si="319"/>
        <v/>
      </c>
      <c r="AF446" s="351" t="str">
        <f t="shared" ca="1" si="320"/>
        <v/>
      </c>
      <c r="AG446" s="340"/>
      <c r="AH446" s="340"/>
      <c r="AI446" s="340"/>
      <c r="AJ446" s="340"/>
      <c r="AK446" s="340"/>
      <c r="AL446" s="340"/>
      <c r="AM446" s="340"/>
      <c r="AN446" s="340"/>
      <c r="AO446" s="340"/>
      <c r="AP446" s="340"/>
      <c r="AQ446" s="340"/>
      <c r="AR446" s="340"/>
      <c r="AS446" s="340"/>
      <c r="AT446" s="340"/>
      <c r="AU446" s="340"/>
      <c r="AV446" s="340"/>
      <c r="AY446" s="340"/>
      <c r="AZ446" s="465">
        <f t="shared" ca="1" si="330"/>
        <v>7.3698599999999999E-5</v>
      </c>
      <c r="BA446" s="464">
        <f t="shared" ca="1" si="331"/>
        <v>2.1372602999999999E-3</v>
      </c>
      <c r="BB446" s="465">
        <f t="shared" ca="1" si="331"/>
        <v>2.2109589000000002E-3</v>
      </c>
      <c r="BC446" s="466">
        <f t="shared" ca="1" si="332"/>
        <v>56189</v>
      </c>
      <c r="BD446" s="467">
        <f t="shared" ca="1" si="345"/>
        <v>56190</v>
      </c>
      <c r="BE446" s="467">
        <f t="shared" ca="1" si="333"/>
        <v>56218</v>
      </c>
      <c r="BF446" s="468">
        <f ca="1">IF(計算!$BC446&lt;OP!$C$3,0,BD446-BC446)</f>
        <v>1</v>
      </c>
      <c r="BG446" s="468">
        <f ca="1">IF($BE446&gt;DATE(YEAR($BD$9)+OP!$C$57,MONTH($BD$9),DAY($BD$9)),0,$BE446-$BD446+1)</f>
        <v>29</v>
      </c>
      <c r="BH446" s="469">
        <f t="shared" ca="1" si="334"/>
        <v>30</v>
      </c>
      <c r="BI446" t="str">
        <f t="shared" si="350"/>
        <v/>
      </c>
      <c r="BJ446">
        <v>5</v>
      </c>
      <c r="BN446" s="468">
        <f t="shared" si="346"/>
        <v>37</v>
      </c>
      <c r="BO446" s="468">
        <f t="shared" si="347"/>
        <v>5</v>
      </c>
      <c r="BP446" s="467">
        <f t="shared" ca="1" si="335"/>
        <v>56190</v>
      </c>
      <c r="BQ446" s="475">
        <f t="shared" ca="1" si="349"/>
        <v>69</v>
      </c>
      <c r="BR446" s="475" t="str">
        <f t="shared" si="348"/>
        <v/>
      </c>
      <c r="BS446" s="471" t="str">
        <f t="shared" si="336"/>
        <v/>
      </c>
      <c r="BT446" s="472" t="str">
        <f t="shared" si="351"/>
        <v/>
      </c>
      <c r="BU446" s="472">
        <f t="shared" ca="1" si="337"/>
        <v>0</v>
      </c>
      <c r="BV446" s="472">
        <f t="shared" ca="1" si="337"/>
        <v>0</v>
      </c>
      <c r="BW446" s="472"/>
      <c r="BX446" s="473">
        <f t="shared" ca="1" si="338"/>
        <v>438369.64428975101</v>
      </c>
      <c r="BY446" s="473">
        <f t="shared" si="339"/>
        <v>0</v>
      </c>
      <c r="BZ446" s="473">
        <f t="shared" ca="1" si="321"/>
        <v>969.21726653200005</v>
      </c>
      <c r="CA446" s="476">
        <f t="shared" ca="1" si="340"/>
        <v>0</v>
      </c>
      <c r="CB446" s="494">
        <f ca="1">IF(OR($Q445&lt;&gt;1,OP!$D$5+$BN446-1&lt;16,$BN446-1&lt;1),0,ROUND(ROUND(ROUND(((VLOOKUP($BN446-1,MORE_PV,5,0)/10000)*VLOOKUP($BN446,MORE_PV,$CB$5,0)),3)*VLOOKUP($BN446,more1,5,0),0)/$R445,0))</f>
        <v>0</v>
      </c>
      <c r="CC446" s="473">
        <f t="shared" ca="1" si="341"/>
        <v>0</v>
      </c>
      <c r="CD446" s="477"/>
    </row>
    <row r="447" spans="2:82" ht="16.5" hidden="1">
      <c r="B447" s="80"/>
      <c r="C447" s="80"/>
      <c r="D447" s="80"/>
      <c r="E447" s="80"/>
      <c r="F447" s="80"/>
      <c r="G447" s="80"/>
      <c r="H447" s="80"/>
      <c r="I447" s="80"/>
      <c r="J447" s="192">
        <f t="shared" si="322"/>
        <v>37</v>
      </c>
      <c r="K447" s="192">
        <f t="shared" si="323"/>
        <v>7</v>
      </c>
      <c r="L447" s="192" t="str">
        <f t="shared" si="318"/>
        <v/>
      </c>
      <c r="M447" s="216">
        <f t="shared" ca="1" si="324"/>
        <v>0</v>
      </c>
      <c r="N447" s="216"/>
      <c r="O447" s="216"/>
      <c r="P447" s="216"/>
      <c r="Q447" s="456" t="str">
        <f t="shared" ca="1" si="325"/>
        <v/>
      </c>
      <c r="R447" s="450">
        <f t="shared" ca="1" si="326"/>
        <v>1</v>
      </c>
      <c r="S447" s="191">
        <f t="shared" si="327"/>
        <v>37</v>
      </c>
      <c r="T447" s="191">
        <f t="shared" si="328"/>
        <v>7</v>
      </c>
      <c r="U447" s="191">
        <f ca="1">OP!$D$5+$S447-1</f>
        <v>69</v>
      </c>
      <c r="V447" s="191" t="str">
        <f t="shared" si="329"/>
        <v/>
      </c>
      <c r="W447" s="350">
        <f ca="1">IF(Q447&lt;&gt;1,0,VLOOKUP(OP!$C$55,PVFB,$S447+2,0))</f>
        <v>0</v>
      </c>
      <c r="X447" s="473">
        <f t="shared" ca="1" si="342"/>
        <v>0</v>
      </c>
      <c r="Y447" s="348">
        <f t="shared" ca="1" si="343"/>
        <v>0</v>
      </c>
      <c r="Z447" s="348">
        <f t="shared" ca="1" si="344"/>
        <v>8012</v>
      </c>
      <c r="AA447" s="348">
        <f ca="1">IF(Q447&lt;&gt;1,0,VLOOKUP(OP!$C$55,PVFB,$S447+2,0))</f>
        <v>0</v>
      </c>
      <c r="AB447" s="488" t="str">
        <f ca="1">IF(AND(S447&lt;OP!$C$24,$U447&lt;15),0,IF(AND($U447&lt;15,$T447=12),ROUND(VLOOKUP($S447,DOWN16,5,0),3),IF($T447=12,ROUND(($Z447/10000)*$AA447,3)+IF(AND($P$7="購買增額繳清保險",T447=12,U447=110),VLOOKUP(S447,$B$10:$H$121,7,0),0),"")))</f>
        <v/>
      </c>
      <c r="AC447" s="350" t="str">
        <f ca="1">IF(AND(S447&lt;OP!$C$24,$U447&lt;15),0,IF(AND($U447&lt;16,$T447=12),VLOOKUP($S447,DOWN16,4,0),IF($T447=12,ROUND(VLOOKUP(OP!$C$55,_DIE2,$S447+1,0)*(Z447/10000),0)+IF(AND($P$7="購買增額繳清保險",T447=12,U447=110),VLOOKUP(S447,$B$10:$H$121,7,0),0),"")))</f>
        <v/>
      </c>
      <c r="AD447" s="347"/>
      <c r="AE447" s="350" t="str">
        <f t="shared" ca="1" si="319"/>
        <v/>
      </c>
      <c r="AF447" s="351" t="str">
        <f t="shared" ca="1" si="320"/>
        <v/>
      </c>
      <c r="AG447" s="340"/>
      <c r="AH447" s="340"/>
      <c r="AI447" s="340"/>
      <c r="AJ447" s="340"/>
      <c r="AK447" s="340"/>
      <c r="AL447" s="340"/>
      <c r="AM447" s="340"/>
      <c r="AN447" s="340"/>
      <c r="AO447" s="340"/>
      <c r="AP447" s="340"/>
      <c r="AQ447" s="340"/>
      <c r="AR447" s="340"/>
      <c r="AS447" s="340"/>
      <c r="AT447" s="340"/>
      <c r="AU447" s="340"/>
      <c r="AV447" s="340"/>
      <c r="AY447" s="340"/>
      <c r="AZ447" s="465">
        <f t="shared" ca="1" si="330"/>
        <v>7.3698599999999999E-5</v>
      </c>
      <c r="BA447" s="464">
        <f t="shared" ca="1" si="331"/>
        <v>2.2109589000000002E-3</v>
      </c>
      <c r="BB447" s="465">
        <f t="shared" ca="1" si="331"/>
        <v>2.2846575E-3</v>
      </c>
      <c r="BC447" s="466">
        <f t="shared" ca="1" si="332"/>
        <v>56219</v>
      </c>
      <c r="BD447" s="467">
        <f t="shared" ca="1" si="345"/>
        <v>56220</v>
      </c>
      <c r="BE447" s="467">
        <f t="shared" ca="1" si="333"/>
        <v>56249</v>
      </c>
      <c r="BF447" s="468">
        <f ca="1">IF(計算!$BC447&lt;OP!$C$3,0,BD447-BC447)</f>
        <v>1</v>
      </c>
      <c r="BG447" s="468">
        <f ca="1">IF($BE447&gt;DATE(YEAR($BD$9)+OP!$C$57,MONTH($BD$9),DAY($BD$9)),0,$BE447-$BD447+1)</f>
        <v>30</v>
      </c>
      <c r="BH447" s="469">
        <f t="shared" ca="1" si="334"/>
        <v>31</v>
      </c>
      <c r="BI447" t="str">
        <f t="shared" si="350"/>
        <v/>
      </c>
      <c r="BJ447">
        <v>6</v>
      </c>
      <c r="BN447" s="468">
        <f t="shared" si="346"/>
        <v>37</v>
      </c>
      <c r="BO447" s="468">
        <f t="shared" si="347"/>
        <v>6</v>
      </c>
      <c r="BP447" s="467">
        <f t="shared" ca="1" si="335"/>
        <v>56220</v>
      </c>
      <c r="BQ447" s="475">
        <f t="shared" ca="1" si="349"/>
        <v>69</v>
      </c>
      <c r="BR447" s="475" t="str">
        <f t="shared" si="348"/>
        <v/>
      </c>
      <c r="BS447" s="471" t="str">
        <f t="shared" si="336"/>
        <v/>
      </c>
      <c r="BT447" s="472" t="str">
        <f t="shared" si="351"/>
        <v/>
      </c>
      <c r="BU447" s="472">
        <f t="shared" ca="1" si="337"/>
        <v>0</v>
      </c>
      <c r="BV447" s="472">
        <f t="shared" ca="1" si="337"/>
        <v>0</v>
      </c>
      <c r="BW447" s="472"/>
      <c r="BX447" s="473">
        <f t="shared" ca="1" si="338"/>
        <v>439338.86155628302</v>
      </c>
      <c r="BY447" s="473">
        <f t="shared" si="339"/>
        <v>0</v>
      </c>
      <c r="BZ447" s="473">
        <f t="shared" ca="1" si="321"/>
        <v>1003.738825096</v>
      </c>
      <c r="CA447" s="476">
        <f t="shared" ca="1" si="340"/>
        <v>0</v>
      </c>
      <c r="CB447" s="494">
        <f ca="1">IF(OR($Q446&lt;&gt;1,OP!$D$5+$BN447-1&lt;16,$BN447-1&lt;1),0,ROUND(ROUND(ROUND(((VLOOKUP($BN447-1,MORE_PV,5,0)/10000)*VLOOKUP($BN447,MORE_PV,$CB$5,0)),3)*VLOOKUP($BN447,more1,5,0),0)/$R446,0))</f>
        <v>0</v>
      </c>
      <c r="CC447" s="473">
        <f t="shared" ca="1" si="341"/>
        <v>0</v>
      </c>
      <c r="CD447" s="477"/>
    </row>
    <row r="448" spans="2:82" ht="16.5" hidden="1">
      <c r="B448" s="80"/>
      <c r="C448" s="80"/>
      <c r="D448" s="80"/>
      <c r="E448" s="80"/>
      <c r="F448" s="80"/>
      <c r="G448" s="80"/>
      <c r="H448" s="80"/>
      <c r="I448" s="80"/>
      <c r="J448" s="192">
        <f t="shared" si="322"/>
        <v>37</v>
      </c>
      <c r="K448" s="192">
        <f t="shared" si="323"/>
        <v>8</v>
      </c>
      <c r="L448" s="192" t="str">
        <f t="shared" si="318"/>
        <v/>
      </c>
      <c r="M448" s="216">
        <f t="shared" ca="1" si="324"/>
        <v>0</v>
      </c>
      <c r="N448" s="216"/>
      <c r="O448" s="216"/>
      <c r="P448" s="216"/>
      <c r="Q448" s="456" t="str">
        <f t="shared" ca="1" si="325"/>
        <v/>
      </c>
      <c r="R448" s="450">
        <f t="shared" ca="1" si="326"/>
        <v>1</v>
      </c>
      <c r="S448" s="191">
        <f t="shared" si="327"/>
        <v>37</v>
      </c>
      <c r="T448" s="191">
        <f t="shared" si="328"/>
        <v>8</v>
      </c>
      <c r="U448" s="191">
        <f ca="1">OP!$D$5+$S448-1</f>
        <v>69</v>
      </c>
      <c r="V448" s="191" t="str">
        <f t="shared" si="329"/>
        <v/>
      </c>
      <c r="W448" s="350">
        <f ca="1">IF(Q448&lt;&gt;1,0,VLOOKUP(OP!$C$55,PVFB,$S448+2,0))</f>
        <v>0</v>
      </c>
      <c r="X448" s="473">
        <f t="shared" ca="1" si="342"/>
        <v>0</v>
      </c>
      <c r="Y448" s="348">
        <f t="shared" ca="1" si="343"/>
        <v>0</v>
      </c>
      <c r="Z448" s="348">
        <f t="shared" ca="1" si="344"/>
        <v>8012</v>
      </c>
      <c r="AA448" s="348">
        <f ca="1">IF(Q448&lt;&gt;1,0,VLOOKUP(OP!$C$55,PVFB,$S448+2,0))</f>
        <v>0</v>
      </c>
      <c r="AB448" s="488" t="str">
        <f ca="1">IF(AND(S448&lt;OP!$C$24,$U448&lt;15),0,IF(AND($U448&lt;15,$T448=12),ROUND(VLOOKUP($S448,DOWN16,5,0),3),IF($T448=12,ROUND(($Z448/10000)*$AA448,3)+IF(AND($P$7="購買增額繳清保險",T448=12,U448=110),VLOOKUP(S448,$B$10:$H$121,7,0),0),"")))</f>
        <v/>
      </c>
      <c r="AC448" s="350" t="str">
        <f ca="1">IF(AND(S448&lt;OP!$C$24,$U448&lt;15),0,IF(AND($U448&lt;16,$T448=12),VLOOKUP($S448,DOWN16,4,0),IF($T448=12,ROUND(VLOOKUP(OP!$C$55,_DIE2,$S448+1,0)*(Z448/10000),0)+IF(AND($P$7="購買增額繳清保險",T448=12,U448=110),VLOOKUP(S448,$B$10:$H$121,7,0),0),"")))</f>
        <v/>
      </c>
      <c r="AD448" s="347"/>
      <c r="AE448" s="350" t="str">
        <f t="shared" ca="1" si="319"/>
        <v/>
      </c>
      <c r="AF448" s="351" t="str">
        <f t="shared" ca="1" si="320"/>
        <v/>
      </c>
      <c r="AG448" s="340"/>
      <c r="AH448" s="340"/>
      <c r="AI448" s="340"/>
      <c r="AJ448" s="340"/>
      <c r="AK448" s="340"/>
      <c r="AL448" s="340"/>
      <c r="AM448" s="340"/>
      <c r="AN448" s="340"/>
      <c r="AO448" s="340"/>
      <c r="AP448" s="340"/>
      <c r="AQ448" s="340"/>
      <c r="AR448" s="340"/>
      <c r="AS448" s="340"/>
      <c r="AT448" s="340"/>
      <c r="AU448" s="340"/>
      <c r="AV448" s="340"/>
      <c r="AY448" s="340"/>
      <c r="AZ448" s="465">
        <f t="shared" ca="1" si="330"/>
        <v>7.3698599999999999E-5</v>
      </c>
      <c r="BA448" s="464">
        <f t="shared" ca="1" si="331"/>
        <v>2.2109589000000002E-3</v>
      </c>
      <c r="BB448" s="465">
        <f t="shared" ca="1" si="331"/>
        <v>2.2846575E-3</v>
      </c>
      <c r="BC448" s="466">
        <f t="shared" ca="1" si="332"/>
        <v>56250</v>
      </c>
      <c r="BD448" s="467">
        <f t="shared" ca="1" si="345"/>
        <v>56251</v>
      </c>
      <c r="BE448" s="467">
        <f t="shared" ca="1" si="333"/>
        <v>56280</v>
      </c>
      <c r="BF448" s="468">
        <f ca="1">IF(計算!$BC448&lt;OP!$C$3,0,BD448-BC448)</f>
        <v>1</v>
      </c>
      <c r="BG448" s="468">
        <f ca="1">IF($BE448&gt;DATE(YEAR($BD$9)+OP!$C$57,MONTH($BD$9),DAY($BD$9)),0,$BE448-$BD448+1)</f>
        <v>30</v>
      </c>
      <c r="BH448" s="469">
        <f t="shared" ca="1" si="334"/>
        <v>31</v>
      </c>
      <c r="BI448" t="str">
        <f t="shared" si="350"/>
        <v/>
      </c>
      <c r="BJ448">
        <v>7</v>
      </c>
      <c r="BN448" s="468">
        <f t="shared" si="346"/>
        <v>37</v>
      </c>
      <c r="BO448" s="468">
        <f t="shared" si="347"/>
        <v>7</v>
      </c>
      <c r="BP448" s="467">
        <f t="shared" ca="1" si="335"/>
        <v>56251</v>
      </c>
      <c r="BQ448" s="475">
        <f t="shared" ca="1" si="349"/>
        <v>69</v>
      </c>
      <c r="BR448" s="475" t="str">
        <f t="shared" si="348"/>
        <v/>
      </c>
      <c r="BS448" s="471" t="str">
        <f t="shared" si="336"/>
        <v/>
      </c>
      <c r="BT448" s="472" t="str">
        <f t="shared" si="351"/>
        <v/>
      </c>
      <c r="BU448" s="472">
        <f t="shared" ca="1" si="337"/>
        <v>0</v>
      </c>
      <c r="BV448" s="472">
        <f t="shared" ca="1" si="337"/>
        <v>0</v>
      </c>
      <c r="BW448" s="472"/>
      <c r="BX448" s="473">
        <f t="shared" ca="1" si="338"/>
        <v>440342.60038137902</v>
      </c>
      <c r="BY448" s="473">
        <f t="shared" si="339"/>
        <v>0</v>
      </c>
      <c r="BZ448" s="473">
        <f t="shared" ca="1" si="321"/>
        <v>1006.032024531</v>
      </c>
      <c r="CA448" s="476">
        <f t="shared" ca="1" si="340"/>
        <v>0</v>
      </c>
      <c r="CB448" s="494">
        <f ca="1">IF(OR($Q447&lt;&gt;1,OP!$D$5+$BN448-1&lt;16,$BN448-1&lt;1),0,ROUND(ROUND(ROUND(((VLOOKUP($BN448-1,MORE_PV,5,0)/10000)*VLOOKUP($BN448,MORE_PV,$CB$5,0)),3)*VLOOKUP($BN448,more1,5,0),0)/$R447,0))</f>
        <v>0</v>
      </c>
      <c r="CC448" s="473">
        <f t="shared" ca="1" si="341"/>
        <v>0</v>
      </c>
      <c r="CD448" s="477"/>
    </row>
    <row r="449" spans="2:82" ht="16.5" hidden="1">
      <c r="B449" s="80"/>
      <c r="C449" s="80"/>
      <c r="D449" s="80"/>
      <c r="E449" s="80"/>
      <c r="F449" s="80"/>
      <c r="G449" s="80"/>
      <c r="H449" s="80"/>
      <c r="I449" s="80"/>
      <c r="J449" s="192">
        <f t="shared" si="322"/>
        <v>37</v>
      </c>
      <c r="K449" s="192">
        <f t="shared" si="323"/>
        <v>9</v>
      </c>
      <c r="L449" s="192" t="str">
        <f t="shared" si="318"/>
        <v/>
      </c>
      <c r="M449" s="216">
        <f t="shared" ca="1" si="324"/>
        <v>0</v>
      </c>
      <c r="N449" s="216"/>
      <c r="O449" s="216"/>
      <c r="P449" s="216"/>
      <c r="Q449" s="456" t="str">
        <f t="shared" ca="1" si="325"/>
        <v/>
      </c>
      <c r="R449" s="450">
        <f t="shared" ca="1" si="326"/>
        <v>1</v>
      </c>
      <c r="S449" s="191">
        <f t="shared" si="327"/>
        <v>37</v>
      </c>
      <c r="T449" s="191">
        <f t="shared" si="328"/>
        <v>9</v>
      </c>
      <c r="U449" s="191">
        <f ca="1">OP!$D$5+$S449-1</f>
        <v>69</v>
      </c>
      <c r="V449" s="191" t="str">
        <f t="shared" si="329"/>
        <v/>
      </c>
      <c r="W449" s="350">
        <f ca="1">IF(Q449&lt;&gt;1,0,VLOOKUP(OP!$C$55,PVFB,$S449+2,0))</f>
        <v>0</v>
      </c>
      <c r="X449" s="473">
        <f t="shared" ca="1" si="342"/>
        <v>0</v>
      </c>
      <c r="Y449" s="348">
        <f t="shared" ca="1" si="343"/>
        <v>0</v>
      </c>
      <c r="Z449" s="348">
        <f t="shared" ca="1" si="344"/>
        <v>8012</v>
      </c>
      <c r="AA449" s="348">
        <f ca="1">IF(Q449&lt;&gt;1,0,VLOOKUP(OP!$C$55,PVFB,$S449+2,0))</f>
        <v>0</v>
      </c>
      <c r="AB449" s="488" t="str">
        <f ca="1">IF(AND(S449&lt;OP!$C$24,$U449&lt;15),0,IF(AND($U449&lt;15,$T449=12),ROUND(VLOOKUP($S449,DOWN16,5,0),3),IF($T449=12,ROUND(($Z449/10000)*$AA449,3)+IF(AND($P$7="購買增額繳清保險",T449=12,U449=110),VLOOKUP(S449,$B$10:$H$121,7,0),0),"")))</f>
        <v/>
      </c>
      <c r="AC449" s="350" t="str">
        <f ca="1">IF(AND(S449&lt;OP!$C$24,$U449&lt;15),0,IF(AND($U449&lt;16,$T449=12),VLOOKUP($S449,DOWN16,4,0),IF($T449=12,ROUND(VLOOKUP(OP!$C$55,_DIE2,$S449+1,0)*(Z449/10000),0)+IF(AND($P$7="購買增額繳清保險",T449=12,U449=110),VLOOKUP(S449,$B$10:$H$121,7,0),0),"")))</f>
        <v/>
      </c>
      <c r="AD449" s="347"/>
      <c r="AE449" s="350" t="str">
        <f t="shared" ca="1" si="319"/>
        <v/>
      </c>
      <c r="AF449" s="351" t="str">
        <f t="shared" ca="1" si="320"/>
        <v/>
      </c>
      <c r="AG449" s="340"/>
      <c r="AH449" s="340"/>
      <c r="AI449" s="340"/>
      <c r="AJ449" s="340"/>
      <c r="AK449" s="340"/>
      <c r="AL449" s="340"/>
      <c r="AM449" s="340"/>
      <c r="AN449" s="340"/>
      <c r="AO449" s="340"/>
      <c r="AP449" s="340"/>
      <c r="AQ449" s="340"/>
      <c r="AR449" s="340"/>
      <c r="AS449" s="340"/>
      <c r="AT449" s="340"/>
      <c r="AU449" s="340"/>
      <c r="AV449" s="340"/>
      <c r="AY449" s="340"/>
      <c r="AZ449" s="465">
        <f t="shared" ca="1" si="330"/>
        <v>7.3698599999999999E-5</v>
      </c>
      <c r="BA449" s="464">
        <f t="shared" ca="1" si="331"/>
        <v>1.9898630000000001E-3</v>
      </c>
      <c r="BB449" s="465">
        <f t="shared" ca="1" si="331"/>
        <v>2.0635616E-3</v>
      </c>
      <c r="BC449" s="466">
        <f t="shared" ca="1" si="332"/>
        <v>56281</v>
      </c>
      <c r="BD449" s="467">
        <f t="shared" ca="1" si="345"/>
        <v>56282</v>
      </c>
      <c r="BE449" s="467">
        <f t="shared" ca="1" si="333"/>
        <v>56308</v>
      </c>
      <c r="BF449" s="468">
        <f ca="1">IF(計算!$BC449&lt;OP!$C$3,0,BD449-BC449)</f>
        <v>1</v>
      </c>
      <c r="BG449" s="468">
        <f ca="1">IF($BE449&gt;DATE(YEAR($BD$9)+OP!$C$57,MONTH($BD$9),DAY($BD$9)),0,$BE449-$BD449+1)</f>
        <v>27</v>
      </c>
      <c r="BH449" s="469">
        <f t="shared" ca="1" si="334"/>
        <v>28</v>
      </c>
      <c r="BI449" t="str">
        <f t="shared" si="350"/>
        <v/>
      </c>
      <c r="BJ449">
        <v>8</v>
      </c>
      <c r="BN449" s="468">
        <f t="shared" si="346"/>
        <v>37</v>
      </c>
      <c r="BO449" s="468">
        <f t="shared" si="347"/>
        <v>8</v>
      </c>
      <c r="BP449" s="467">
        <f t="shared" ca="1" si="335"/>
        <v>56282</v>
      </c>
      <c r="BQ449" s="475">
        <f t="shared" ca="1" si="349"/>
        <v>69</v>
      </c>
      <c r="BR449" s="475" t="str">
        <f t="shared" si="348"/>
        <v/>
      </c>
      <c r="BS449" s="471" t="str">
        <f t="shared" si="336"/>
        <v/>
      </c>
      <c r="BT449" s="472" t="str">
        <f t="shared" si="351"/>
        <v/>
      </c>
      <c r="BU449" s="472">
        <f t="shared" ca="1" si="337"/>
        <v>0</v>
      </c>
      <c r="BV449" s="472">
        <f t="shared" ca="1" si="337"/>
        <v>0</v>
      </c>
      <c r="BW449" s="472"/>
      <c r="BX449" s="473">
        <f t="shared" ca="1" si="338"/>
        <v>441348.63240591</v>
      </c>
      <c r="BY449" s="473">
        <f t="shared" si="339"/>
        <v>0</v>
      </c>
      <c r="BZ449" s="473">
        <f t="shared" ca="1" si="321"/>
        <v>910.75009004499998</v>
      </c>
      <c r="CA449" s="476">
        <f t="shared" ca="1" si="340"/>
        <v>0</v>
      </c>
      <c r="CB449" s="494">
        <f ca="1">IF(OR($Q448&lt;&gt;1,OP!$D$5+$BN449-1&lt;16,$BN449-1&lt;1),0,ROUND(ROUND(ROUND(((VLOOKUP($BN449-1,MORE_PV,5,0)/10000)*VLOOKUP($BN449,MORE_PV,$CB$5,0)),3)*VLOOKUP($BN449,more1,5,0),0)/$R448,0))</f>
        <v>0</v>
      </c>
      <c r="CC449" s="473">
        <f t="shared" ca="1" si="341"/>
        <v>0</v>
      </c>
      <c r="CD449" s="477"/>
    </row>
    <row r="450" spans="2:82" ht="16.5" hidden="1">
      <c r="B450" s="80"/>
      <c r="C450" s="80"/>
      <c r="D450" s="80"/>
      <c r="E450" s="80"/>
      <c r="F450" s="80"/>
      <c r="G450" s="80"/>
      <c r="H450" s="80"/>
      <c r="I450" s="80"/>
      <c r="J450" s="192">
        <f t="shared" si="322"/>
        <v>37</v>
      </c>
      <c r="K450" s="192">
        <f t="shared" si="323"/>
        <v>10</v>
      </c>
      <c r="L450" s="192" t="str">
        <f t="shared" si="318"/>
        <v/>
      </c>
      <c r="M450" s="216">
        <f t="shared" ca="1" si="324"/>
        <v>0</v>
      </c>
      <c r="N450" s="216"/>
      <c r="O450" s="216"/>
      <c r="P450" s="216"/>
      <c r="Q450" s="456" t="str">
        <f t="shared" ca="1" si="325"/>
        <v/>
      </c>
      <c r="R450" s="450">
        <f t="shared" ca="1" si="326"/>
        <v>1</v>
      </c>
      <c r="S450" s="191">
        <f t="shared" si="327"/>
        <v>37</v>
      </c>
      <c r="T450" s="191">
        <f t="shared" si="328"/>
        <v>10</v>
      </c>
      <c r="U450" s="191">
        <f ca="1">OP!$D$5+$S450-1</f>
        <v>69</v>
      </c>
      <c r="V450" s="191" t="str">
        <f t="shared" si="329"/>
        <v/>
      </c>
      <c r="W450" s="350">
        <f ca="1">IF(Q450&lt;&gt;1,0,VLOOKUP(OP!$C$55,PVFB,$S450+2,0))</f>
        <v>0</v>
      </c>
      <c r="X450" s="473">
        <f t="shared" ca="1" si="342"/>
        <v>0</v>
      </c>
      <c r="Y450" s="348">
        <f t="shared" ca="1" si="343"/>
        <v>0</v>
      </c>
      <c r="Z450" s="348">
        <f t="shared" ca="1" si="344"/>
        <v>8012</v>
      </c>
      <c r="AA450" s="348">
        <f ca="1">IF(Q450&lt;&gt;1,0,VLOOKUP(OP!$C$55,PVFB,$S450+2,0))</f>
        <v>0</v>
      </c>
      <c r="AB450" s="488" t="str">
        <f ca="1">IF(AND(S450&lt;OP!$C$24,$U450&lt;15),0,IF(AND($U450&lt;15,$T450=12),ROUND(VLOOKUP($S450,DOWN16,5,0),3),IF($T450=12,ROUND(($Z450/10000)*$AA450,3)+IF(AND($P$7="購買增額繳清保險",T450=12,U450=110),VLOOKUP(S450,$B$10:$H$121,7,0),0),"")))</f>
        <v/>
      </c>
      <c r="AC450" s="350" t="str">
        <f ca="1">IF(AND(S450&lt;OP!$C$24,$U450&lt;15),0,IF(AND($U450&lt;16,$T450=12),VLOOKUP($S450,DOWN16,4,0),IF($T450=12,ROUND(VLOOKUP(OP!$C$55,_DIE2,$S450+1,0)*(Z450/10000),0)+IF(AND($P$7="購買增額繳清保險",T450=12,U450=110),VLOOKUP(S450,$B$10:$H$121,7,0),0),"")))</f>
        <v/>
      </c>
      <c r="AD450" s="347"/>
      <c r="AE450" s="350" t="str">
        <f t="shared" ca="1" si="319"/>
        <v/>
      </c>
      <c r="AF450" s="351" t="str">
        <f t="shared" ca="1" si="320"/>
        <v/>
      </c>
      <c r="AG450" s="340"/>
      <c r="AH450" s="340"/>
      <c r="AI450" s="340"/>
      <c r="AJ450" s="340"/>
      <c r="AK450" s="340"/>
      <c r="AL450" s="340"/>
      <c r="AM450" s="340"/>
      <c r="AN450" s="340"/>
      <c r="AO450" s="340"/>
      <c r="AP450" s="340"/>
      <c r="AQ450" s="340"/>
      <c r="AR450" s="340"/>
      <c r="AS450" s="340"/>
      <c r="AT450" s="340"/>
      <c r="AU450" s="340"/>
      <c r="AV450" s="340"/>
      <c r="AY450" s="340"/>
      <c r="AZ450" s="465">
        <f t="shared" ca="1" si="330"/>
        <v>7.3698599999999999E-5</v>
      </c>
      <c r="BA450" s="464">
        <f t="shared" ca="1" si="331"/>
        <v>2.2109589000000002E-3</v>
      </c>
      <c r="BB450" s="465">
        <f t="shared" ca="1" si="331"/>
        <v>2.2846575E-3</v>
      </c>
      <c r="BC450" s="466">
        <f t="shared" ca="1" si="332"/>
        <v>56309</v>
      </c>
      <c r="BD450" s="467">
        <f t="shared" ca="1" si="345"/>
        <v>56310</v>
      </c>
      <c r="BE450" s="467">
        <f t="shared" ca="1" si="333"/>
        <v>56339</v>
      </c>
      <c r="BF450" s="468">
        <f ca="1">IF(計算!$BC450&lt;OP!$C$3,0,BD450-BC450)</f>
        <v>1</v>
      </c>
      <c r="BG450" s="468">
        <f ca="1">IF($BE450&gt;DATE(YEAR($BD$9)+OP!$C$57,MONTH($BD$9),DAY($BD$9)),0,$BE450-$BD450+1)</f>
        <v>30</v>
      </c>
      <c r="BH450" s="469">
        <f t="shared" ca="1" si="334"/>
        <v>31</v>
      </c>
      <c r="BI450" t="str">
        <f t="shared" si="350"/>
        <v/>
      </c>
      <c r="BJ450">
        <v>9</v>
      </c>
      <c r="BN450" s="468">
        <f t="shared" si="346"/>
        <v>37</v>
      </c>
      <c r="BO450" s="468">
        <f t="shared" si="347"/>
        <v>9</v>
      </c>
      <c r="BP450" s="467">
        <f t="shared" ca="1" si="335"/>
        <v>56310</v>
      </c>
      <c r="BQ450" s="475">
        <f t="shared" ca="1" si="349"/>
        <v>69</v>
      </c>
      <c r="BR450" s="475" t="str">
        <f t="shared" si="348"/>
        <v/>
      </c>
      <c r="BS450" s="471" t="str">
        <f t="shared" si="336"/>
        <v/>
      </c>
      <c r="BT450" s="472" t="str">
        <f t="shared" si="351"/>
        <v/>
      </c>
      <c r="BU450" s="472">
        <f t="shared" ca="1" si="337"/>
        <v>0</v>
      </c>
      <c r="BV450" s="472">
        <f t="shared" ca="1" si="337"/>
        <v>0</v>
      </c>
      <c r="BW450" s="472"/>
      <c r="BX450" s="473">
        <f t="shared" ca="1" si="338"/>
        <v>442259.38249595498</v>
      </c>
      <c r="BY450" s="473">
        <f t="shared" si="339"/>
        <v>0</v>
      </c>
      <c r="BZ450" s="473">
        <f t="shared" ca="1" si="321"/>
        <v>1010.411215165</v>
      </c>
      <c r="CA450" s="476">
        <f t="shared" ca="1" si="340"/>
        <v>0</v>
      </c>
      <c r="CB450" s="494">
        <f ca="1">IF(OR($Q449&lt;&gt;1,OP!$D$5+$BN450-1&lt;16,$BN450-1&lt;1),0,ROUND(ROUND(ROUND(((VLOOKUP($BN450-1,MORE_PV,5,0)/10000)*VLOOKUP($BN450,MORE_PV,$CB$5,0)),3)*VLOOKUP($BN450,more1,5,0),0)/$R449,0))</f>
        <v>0</v>
      </c>
      <c r="CC450" s="473">
        <f t="shared" ca="1" si="341"/>
        <v>0</v>
      </c>
      <c r="CD450" s="477"/>
    </row>
    <row r="451" spans="2:82" ht="16.5" hidden="1">
      <c r="B451" s="80"/>
      <c r="C451" s="80"/>
      <c r="D451" s="80"/>
      <c r="E451" s="80"/>
      <c r="F451" s="80"/>
      <c r="G451" s="80"/>
      <c r="H451" s="80"/>
      <c r="I451" s="80"/>
      <c r="J451" s="192">
        <f t="shared" si="322"/>
        <v>37</v>
      </c>
      <c r="K451" s="192">
        <f t="shared" si="323"/>
        <v>11</v>
      </c>
      <c r="L451" s="192" t="str">
        <f t="shared" si="318"/>
        <v/>
      </c>
      <c r="M451" s="216">
        <f t="shared" ca="1" si="324"/>
        <v>0</v>
      </c>
      <c r="N451" s="216"/>
      <c r="O451" s="216"/>
      <c r="P451" s="216"/>
      <c r="Q451" s="456" t="str">
        <f t="shared" ca="1" si="325"/>
        <v/>
      </c>
      <c r="R451" s="450">
        <f t="shared" ca="1" si="326"/>
        <v>1</v>
      </c>
      <c r="S451" s="191">
        <f t="shared" si="327"/>
        <v>37</v>
      </c>
      <c r="T451" s="191">
        <f t="shared" si="328"/>
        <v>11</v>
      </c>
      <c r="U451" s="191">
        <f ca="1">OP!$D$5+$S451-1</f>
        <v>69</v>
      </c>
      <c r="V451" s="191" t="str">
        <f t="shared" si="329"/>
        <v/>
      </c>
      <c r="W451" s="350">
        <f ca="1">IF(Q451&lt;&gt;1,0,VLOOKUP(OP!$C$55,PVFB,$S451+2,0))</f>
        <v>0</v>
      </c>
      <c r="X451" s="473">
        <f t="shared" ca="1" si="342"/>
        <v>0</v>
      </c>
      <c r="Y451" s="348">
        <f t="shared" ca="1" si="343"/>
        <v>0</v>
      </c>
      <c r="Z451" s="348">
        <f t="shared" ca="1" si="344"/>
        <v>8012</v>
      </c>
      <c r="AA451" s="348">
        <f ca="1">IF(Q451&lt;&gt;1,0,VLOOKUP(OP!$C$55,PVFB,$S451+2,0))</f>
        <v>0</v>
      </c>
      <c r="AB451" s="488" t="str">
        <f ca="1">IF(AND(S451&lt;OP!$C$24,$U451&lt;15),0,IF(AND($U451&lt;15,$T451=12),ROUND(VLOOKUP($S451,DOWN16,5,0),3),IF($T451=12,ROUND(($Z451/10000)*$AA451,3)+IF(AND($P$7="購買增額繳清保險",T451=12,U451=110),VLOOKUP(S451,$B$10:$H$121,7,0),0),"")))</f>
        <v/>
      </c>
      <c r="AC451" s="350" t="str">
        <f ca="1">IF(AND(S451&lt;OP!$C$24,$U451&lt;15),0,IF(AND($U451&lt;16,$T451=12),VLOOKUP($S451,DOWN16,4,0),IF($T451=12,ROUND(VLOOKUP(OP!$C$55,_DIE2,$S451+1,0)*(Z451/10000),0)+IF(AND($P$7="購買增額繳清保險",T451=12,U451=110),VLOOKUP(S451,$B$10:$H$121,7,0),0),"")))</f>
        <v/>
      </c>
      <c r="AD451" s="347"/>
      <c r="AE451" s="350" t="str">
        <f t="shared" ca="1" si="319"/>
        <v/>
      </c>
      <c r="AF451" s="351" t="str">
        <f t="shared" ca="1" si="320"/>
        <v/>
      </c>
      <c r="AG451" s="340"/>
      <c r="AH451" s="340"/>
      <c r="AI451" s="340"/>
      <c r="AJ451" s="340"/>
      <c r="AK451" s="340"/>
      <c r="AL451" s="340"/>
      <c r="AM451" s="340"/>
      <c r="AN451" s="340"/>
      <c r="AO451" s="340"/>
      <c r="AP451" s="340"/>
      <c r="AQ451" s="340"/>
      <c r="AR451" s="340"/>
      <c r="AS451" s="340"/>
      <c r="AT451" s="340"/>
      <c r="AU451" s="340"/>
      <c r="AV451" s="340"/>
      <c r="AY451" s="340"/>
      <c r="AZ451" s="465">
        <f t="shared" ca="1" si="330"/>
        <v>7.3698599999999999E-5</v>
      </c>
      <c r="BA451" s="464">
        <f t="shared" ca="1" si="331"/>
        <v>2.1372602999999999E-3</v>
      </c>
      <c r="BB451" s="465">
        <f t="shared" ca="1" si="331"/>
        <v>2.2109589000000002E-3</v>
      </c>
      <c r="BC451" s="466">
        <f t="shared" ca="1" si="332"/>
        <v>56340</v>
      </c>
      <c r="BD451" s="467">
        <f t="shared" ca="1" si="345"/>
        <v>56341</v>
      </c>
      <c r="BE451" s="467">
        <f t="shared" ca="1" si="333"/>
        <v>56369</v>
      </c>
      <c r="BF451" s="468">
        <f ca="1">IF(計算!$BC451&lt;OP!$C$3,0,BD451-BC451)</f>
        <v>1</v>
      </c>
      <c r="BG451" s="468">
        <f ca="1">IF($BE451&gt;DATE(YEAR($BD$9)+OP!$C$57,MONTH($BD$9),DAY($BD$9)),0,$BE451-$BD451+1)</f>
        <v>29</v>
      </c>
      <c r="BH451" s="469">
        <f t="shared" ca="1" si="334"/>
        <v>30</v>
      </c>
      <c r="BI451" t="str">
        <f t="shared" si="350"/>
        <v/>
      </c>
      <c r="BJ451">
        <v>10</v>
      </c>
      <c r="BN451" s="468">
        <f t="shared" si="346"/>
        <v>37</v>
      </c>
      <c r="BO451" s="468">
        <f t="shared" si="347"/>
        <v>10</v>
      </c>
      <c r="BP451" s="467">
        <f t="shared" ca="1" si="335"/>
        <v>56341</v>
      </c>
      <c r="BQ451" s="475">
        <f t="shared" ca="1" si="349"/>
        <v>69</v>
      </c>
      <c r="BR451" s="475" t="str">
        <f t="shared" si="348"/>
        <v/>
      </c>
      <c r="BS451" s="471" t="str">
        <f t="shared" si="336"/>
        <v/>
      </c>
      <c r="BT451" s="472" t="str">
        <f t="shared" si="351"/>
        <v/>
      </c>
      <c r="BU451" s="472">
        <f t="shared" ca="1" si="337"/>
        <v>0</v>
      </c>
      <c r="BV451" s="472">
        <f t="shared" ca="1" si="337"/>
        <v>0</v>
      </c>
      <c r="BW451" s="472"/>
      <c r="BX451" s="473">
        <f t="shared" ca="1" si="338"/>
        <v>443269.79371111997</v>
      </c>
      <c r="BY451" s="473">
        <f t="shared" si="339"/>
        <v>0</v>
      </c>
      <c r="BZ451" s="473">
        <f t="shared" ca="1" si="321"/>
        <v>980.05129550699996</v>
      </c>
      <c r="CA451" s="476">
        <f t="shared" ca="1" si="340"/>
        <v>0</v>
      </c>
      <c r="CB451" s="494">
        <f ca="1">IF(OR($Q450&lt;&gt;1,OP!$D$5+$BN451-1&lt;16,$BN451-1&lt;1),0,ROUND(ROUND(ROUND(((VLOOKUP($BN451-1,MORE_PV,5,0)/10000)*VLOOKUP($BN451,MORE_PV,$CB$5,0)),3)*VLOOKUP($BN451,more1,5,0),0)/$R450,0))</f>
        <v>0</v>
      </c>
      <c r="CC451" s="473">
        <f t="shared" ca="1" si="341"/>
        <v>0</v>
      </c>
      <c r="CD451" s="477"/>
    </row>
    <row r="452" spans="2:82" ht="16.5" hidden="1">
      <c r="B452" s="80"/>
      <c r="C452" s="80"/>
      <c r="D452" s="80"/>
      <c r="E452" s="80"/>
      <c r="F452" s="80"/>
      <c r="G452" s="80"/>
      <c r="H452" s="80"/>
      <c r="I452" s="80"/>
      <c r="J452" s="192">
        <f t="shared" si="322"/>
        <v>37</v>
      </c>
      <c r="K452" s="192">
        <f t="shared" si="323"/>
        <v>12</v>
      </c>
      <c r="L452" s="192">
        <f t="shared" si="318"/>
        <v>37</v>
      </c>
      <c r="M452" s="216">
        <f t="shared" ca="1" si="324"/>
        <v>458572</v>
      </c>
      <c r="N452" s="216"/>
      <c r="O452" s="216"/>
      <c r="P452" s="216"/>
      <c r="Q452" s="456">
        <f t="shared" ca="1" si="325"/>
        <v>1</v>
      </c>
      <c r="R452" s="450">
        <f t="shared" ca="1" si="326"/>
        <v>1</v>
      </c>
      <c r="S452" s="191">
        <f t="shared" si="327"/>
        <v>37</v>
      </c>
      <c r="T452" s="191">
        <f t="shared" si="328"/>
        <v>12</v>
      </c>
      <c r="U452" s="191">
        <f ca="1">OP!$D$5+$S452-1</f>
        <v>69</v>
      </c>
      <c r="V452" s="191">
        <f t="shared" si="329"/>
        <v>37</v>
      </c>
      <c r="W452" s="350">
        <f ca="1">IF(Q452&lt;&gt;1,0,VLOOKUP(OP!$C$55,PVFB,$S452+2,0))</f>
        <v>55279</v>
      </c>
      <c r="X452" s="473">
        <f t="shared" ca="1" si="342"/>
        <v>13274</v>
      </c>
      <c r="Y452" s="348">
        <f t="shared" ca="1" si="343"/>
        <v>0</v>
      </c>
      <c r="Z452" s="348">
        <f t="shared" ca="1" si="344"/>
        <v>8012</v>
      </c>
      <c r="AA452" s="348">
        <f ca="1">IF(Q452&lt;&gt;1,0,VLOOKUP(OP!$C$55,PVFB,$S452+2,0))</f>
        <v>55279</v>
      </c>
      <c r="AB452" s="488">
        <f ca="1">IF(AND(S452&lt;OP!$C$24,$U452&lt;15),0,IF(AND($U452&lt;15,$T452=12),ROUND(VLOOKUP($S452,DOWN16,5,0),3),IF($T452=12,ROUND(($Z452/10000)*$AA452,3)+IF(AND($P$7="購買增額繳清保險",T452=12,U452=110),VLOOKUP(S452,$B$10:$H$121,7,0),0),"")))</f>
        <v>44289.535000000003</v>
      </c>
      <c r="AC452" s="350">
        <f ca="1">IF(AND(S452&lt;OP!$C$24,$U452&lt;15),0,IF(AND($U452&lt;16,$T452=12),VLOOKUP($S452,DOWN16,4,0),IF($T452=12,ROUND(VLOOKUP(OP!$C$55,_DIE2,$S452+1,0)*(Z452/10000),0)+IF(AND($P$7="購買增額繳清保險",T452=12,U452=110),VLOOKUP(S452,$B$10:$H$121,7,0),0),"")))</f>
        <v>44290</v>
      </c>
      <c r="AD452" s="347"/>
      <c r="AE452" s="350" t="str">
        <f t="shared" ca="1" si="319"/>
        <v/>
      </c>
      <c r="AF452" s="351" t="str">
        <f t="shared" ca="1" si="320"/>
        <v/>
      </c>
      <c r="AG452" s="340"/>
      <c r="AH452" s="340"/>
      <c r="AI452" s="340"/>
      <c r="AJ452" s="340"/>
      <c r="AK452" s="340"/>
      <c r="AL452" s="340"/>
      <c r="AM452" s="340"/>
      <c r="AN452" s="340"/>
      <c r="AO452" s="340"/>
      <c r="AP452" s="340"/>
      <c r="AQ452" s="340"/>
      <c r="AR452" s="340"/>
      <c r="AS452" s="340"/>
      <c r="AT452" s="340"/>
      <c r="AU452" s="340"/>
      <c r="AV452" s="340"/>
      <c r="AY452" s="340"/>
      <c r="AZ452" s="465">
        <f t="shared" ca="1" si="330"/>
        <v>7.3698599999999999E-5</v>
      </c>
      <c r="BA452" s="464">
        <f t="shared" ca="1" si="331"/>
        <v>2.2109589000000002E-3</v>
      </c>
      <c r="BB452" s="465">
        <f t="shared" ca="1" si="331"/>
        <v>2.2846575E-3</v>
      </c>
      <c r="BC452" s="466">
        <f t="shared" ca="1" si="332"/>
        <v>56370</v>
      </c>
      <c r="BD452" s="467">
        <f t="shared" ca="1" si="345"/>
        <v>56371</v>
      </c>
      <c r="BE452" s="467">
        <f t="shared" ca="1" si="333"/>
        <v>56400</v>
      </c>
      <c r="BF452" s="468">
        <f ca="1">IF(計算!$BC452&lt;OP!$C$3,0,BD452-BC452)</f>
        <v>1</v>
      </c>
      <c r="BG452" s="468">
        <f ca="1">IF($BE452&gt;DATE(YEAR($BD$9)+OP!$C$57,MONTH($BD$9),DAY($BD$9)),0,$BE452-$BD452+1)</f>
        <v>30</v>
      </c>
      <c r="BH452" s="469">
        <f t="shared" ca="1" si="334"/>
        <v>31</v>
      </c>
      <c r="BI452" t="str">
        <f t="shared" si="350"/>
        <v/>
      </c>
      <c r="BJ452">
        <v>11</v>
      </c>
      <c r="BN452" s="468">
        <f t="shared" si="346"/>
        <v>37</v>
      </c>
      <c r="BO452" s="468">
        <f t="shared" si="347"/>
        <v>11</v>
      </c>
      <c r="BP452" s="467">
        <f t="shared" ca="1" si="335"/>
        <v>56371</v>
      </c>
      <c r="BQ452" s="475">
        <f t="shared" ca="1" si="349"/>
        <v>69</v>
      </c>
      <c r="BR452" s="475" t="str">
        <f t="shared" si="348"/>
        <v/>
      </c>
      <c r="BS452" s="471" t="str">
        <f t="shared" si="336"/>
        <v/>
      </c>
      <c r="BT452" s="472" t="str">
        <f t="shared" si="351"/>
        <v/>
      </c>
      <c r="BU452" s="472">
        <f t="shared" ca="1" si="337"/>
        <v>0</v>
      </c>
      <c r="BV452" s="472">
        <f t="shared" ca="1" si="337"/>
        <v>0</v>
      </c>
      <c r="BW452" s="472"/>
      <c r="BX452" s="473">
        <f t="shared" ca="1" si="338"/>
        <v>444249.84500662697</v>
      </c>
      <c r="BY452" s="473">
        <f t="shared" si="339"/>
        <v>0</v>
      </c>
      <c r="BZ452" s="473">
        <f t="shared" ca="1" si="321"/>
        <v>1014.958740268</v>
      </c>
      <c r="CA452" s="476">
        <f t="shared" ca="1" si="340"/>
        <v>0</v>
      </c>
      <c r="CB452" s="494">
        <f ca="1">IF(OR($Q451&lt;&gt;1,OP!$D$5+$BN452-1&lt;16,$BN452-1&lt;1),0,ROUND(ROUND(ROUND(((VLOOKUP($BN452-1,MORE_PV,5,0)/10000)*VLOOKUP($BN452,MORE_PV,$CB$5,0)),3)*VLOOKUP($BN452,more1,5,0),0)/$R451,0))</f>
        <v>0</v>
      </c>
      <c r="CC452" s="473">
        <f t="shared" ca="1" si="341"/>
        <v>0</v>
      </c>
      <c r="CD452" s="477"/>
    </row>
    <row r="453" spans="2:82" ht="16.5" hidden="1">
      <c r="B453" s="80"/>
      <c r="C453" s="80"/>
      <c r="D453" s="80"/>
      <c r="E453" s="80"/>
      <c r="F453" s="80"/>
      <c r="G453" s="80"/>
      <c r="H453" s="80"/>
      <c r="I453" s="80"/>
      <c r="J453" s="192">
        <f t="shared" si="322"/>
        <v>38</v>
      </c>
      <c r="K453" s="192">
        <f t="shared" si="323"/>
        <v>1</v>
      </c>
      <c r="L453" s="192" t="str">
        <f t="shared" si="318"/>
        <v/>
      </c>
      <c r="M453" s="216">
        <f t="shared" ca="1" si="324"/>
        <v>0</v>
      </c>
      <c r="N453" s="216"/>
      <c r="O453" s="216"/>
      <c r="P453" s="216"/>
      <c r="Q453" s="456" t="str">
        <f t="shared" ca="1" si="325"/>
        <v/>
      </c>
      <c r="R453" s="450">
        <f t="shared" ca="1" si="326"/>
        <v>1</v>
      </c>
      <c r="S453" s="191">
        <f t="shared" si="327"/>
        <v>38</v>
      </c>
      <c r="T453" s="191">
        <f t="shared" si="328"/>
        <v>1</v>
      </c>
      <c r="U453" s="191">
        <f ca="1">OP!$D$5+$S453-1</f>
        <v>70</v>
      </c>
      <c r="V453" s="191" t="str">
        <f t="shared" si="329"/>
        <v/>
      </c>
      <c r="W453" s="350">
        <f ca="1">IF(Q453&lt;&gt;1,0,VLOOKUP(OP!$C$55,PVFB,$S453+2,0))</f>
        <v>0</v>
      </c>
      <c r="X453" s="473">
        <f t="shared" ca="1" si="342"/>
        <v>0</v>
      </c>
      <c r="Y453" s="348">
        <f t="shared" ca="1" si="343"/>
        <v>0</v>
      </c>
      <c r="Z453" s="348">
        <f t="shared" ca="1" si="344"/>
        <v>8012</v>
      </c>
      <c r="AA453" s="348">
        <f ca="1">IF(Q453&lt;&gt;1,0,VLOOKUP(OP!$C$55,PVFB,$S453+2,0))</f>
        <v>0</v>
      </c>
      <c r="AB453" s="488" t="str">
        <f ca="1">IF(AND(S453&lt;OP!$C$24,$U453&lt;15),0,IF(AND($U453&lt;15,$T453=12),ROUND(VLOOKUP($S453,DOWN16,5,0),3),IF($T453=12,ROUND(($Z453/10000)*$AA453,3)+IF(AND($P$7="購買增額繳清保險",T453=12,U453=110),VLOOKUP(S453,$B$10:$H$121,7,0),0),"")))</f>
        <v/>
      </c>
      <c r="AC453" s="350" t="str">
        <f ca="1">IF(AND(S453&lt;OP!$C$24,$U453&lt;15),0,IF(AND($U453&lt;16,$T453=12),VLOOKUP($S453,DOWN16,4,0),IF($T453=12,ROUND(VLOOKUP(OP!$C$55,_DIE2,$S453+1,0)*(Z453/10000),0)+IF(AND($P$7="購買增額繳清保險",T453=12,U453=110),VLOOKUP(S453,$B$10:$H$121,7,0),0),"")))</f>
        <v/>
      </c>
      <c r="AD453" s="347"/>
      <c r="AE453" s="350" t="str">
        <f t="shared" ca="1" si="319"/>
        <v/>
      </c>
      <c r="AF453" s="351" t="str">
        <f t="shared" ca="1" si="320"/>
        <v/>
      </c>
      <c r="AG453" s="340"/>
      <c r="AH453" s="340"/>
      <c r="AI453" s="340"/>
      <c r="AJ453" s="340"/>
      <c r="AK453" s="340"/>
      <c r="AL453" s="340"/>
      <c r="AM453" s="340"/>
      <c r="AN453" s="340"/>
      <c r="AO453" s="340"/>
      <c r="AP453" s="340"/>
      <c r="AQ453" s="340"/>
      <c r="AR453" s="340"/>
      <c r="AS453" s="340"/>
      <c r="AT453" s="340"/>
      <c r="AU453" s="340"/>
      <c r="AV453" s="340"/>
      <c r="AY453" s="340"/>
      <c r="AZ453" s="465">
        <f t="shared" ca="1" si="330"/>
        <v>7.3698599999999999E-5</v>
      </c>
      <c r="BA453" s="464">
        <f t="shared" ca="1" si="331"/>
        <v>2.1372602999999999E-3</v>
      </c>
      <c r="BB453" s="465">
        <f t="shared" ca="1" si="331"/>
        <v>2.2109589000000002E-3</v>
      </c>
      <c r="BC453" s="466">
        <f t="shared" ca="1" si="332"/>
        <v>56401</v>
      </c>
      <c r="BD453" s="467">
        <f t="shared" ca="1" si="345"/>
        <v>56402</v>
      </c>
      <c r="BE453" s="467">
        <f t="shared" ca="1" si="333"/>
        <v>56430</v>
      </c>
      <c r="BF453" s="468">
        <f ca="1">IF(計算!$BC453&lt;OP!$C$3,0,BD453-BC453)</f>
        <v>1</v>
      </c>
      <c r="BG453" s="468">
        <f ca="1">IF($BE453&gt;DATE(YEAR($BD$9)+OP!$C$57,MONTH($BD$9),DAY($BD$9)),0,$BE453-$BD453+1)</f>
        <v>29</v>
      </c>
      <c r="BH453" s="469">
        <f t="shared" ca="1" si="334"/>
        <v>30</v>
      </c>
      <c r="BI453">
        <f t="shared" ca="1" si="350"/>
        <v>365</v>
      </c>
      <c r="BJ453">
        <v>12</v>
      </c>
      <c r="BN453" s="468">
        <f t="shared" si="346"/>
        <v>37</v>
      </c>
      <c r="BO453" s="468">
        <f t="shared" si="347"/>
        <v>12</v>
      </c>
      <c r="BP453" s="467">
        <f t="shared" ca="1" si="335"/>
        <v>56402</v>
      </c>
      <c r="BQ453" s="475">
        <f t="shared" ca="1" si="349"/>
        <v>69</v>
      </c>
      <c r="BR453" s="475">
        <f t="shared" si="348"/>
        <v>37</v>
      </c>
      <c r="BS453" s="471">
        <f t="shared" ca="1" si="336"/>
        <v>13274</v>
      </c>
      <c r="BT453" s="472">
        <f t="shared" ca="1" si="351"/>
        <v>458572</v>
      </c>
      <c r="BU453" s="472">
        <f t="shared" ca="1" si="337"/>
        <v>12968</v>
      </c>
      <c r="BV453" s="472">
        <f t="shared" ca="1" si="337"/>
        <v>306</v>
      </c>
      <c r="BW453" s="472">
        <f ca="1">ROUND(SUM(BY453,BZ441:BZ452),0)</f>
        <v>11806</v>
      </c>
      <c r="BX453" s="473">
        <f t="shared" ca="1" si="338"/>
        <v>458571.61913955997</v>
      </c>
      <c r="BY453" s="473">
        <f t="shared" ca="1" si="339"/>
        <v>32.815392664999997</v>
      </c>
      <c r="BZ453" s="473">
        <f t="shared" ca="1" si="321"/>
        <v>980.08691629400005</v>
      </c>
      <c r="CA453" s="476">
        <f t="shared" ca="1" si="340"/>
        <v>12968</v>
      </c>
      <c r="CB453" s="494">
        <f ca="1">IF(OR($Q452&lt;&gt;1,OP!$D$5+$BN453-1&lt;16,$BN453-1&lt;1),0,ROUND(ROUND(ROUND(((VLOOKUP($BN453-1,MORE_PV,5,0)/10000)*VLOOKUP($BN453,MORE_PV,$CB$5,0)),3)*VLOOKUP($BN453,more1,5,0),0)/$R452,0))</f>
        <v>306</v>
      </c>
      <c r="CC453" s="473">
        <f t="shared" ca="1" si="341"/>
        <v>0</v>
      </c>
      <c r="CD453" s="477"/>
    </row>
    <row r="454" spans="2:82" ht="16.5" hidden="1">
      <c r="B454" s="80"/>
      <c r="C454" s="80"/>
      <c r="D454" s="80"/>
      <c r="E454" s="80"/>
      <c r="F454" s="80"/>
      <c r="G454" s="80"/>
      <c r="H454" s="80"/>
      <c r="I454" s="80"/>
      <c r="J454" s="192">
        <f t="shared" si="322"/>
        <v>38</v>
      </c>
      <c r="K454" s="192">
        <f t="shared" si="323"/>
        <v>2</v>
      </c>
      <c r="L454" s="192" t="str">
        <f t="shared" si="318"/>
        <v/>
      </c>
      <c r="M454" s="216">
        <f t="shared" ca="1" si="324"/>
        <v>0</v>
      </c>
      <c r="N454" s="216"/>
      <c r="O454" s="216"/>
      <c r="P454" s="216"/>
      <c r="Q454" s="456" t="str">
        <f t="shared" ca="1" si="325"/>
        <v/>
      </c>
      <c r="R454" s="450">
        <f t="shared" ca="1" si="326"/>
        <v>1</v>
      </c>
      <c r="S454" s="191">
        <f t="shared" si="327"/>
        <v>38</v>
      </c>
      <c r="T454" s="191">
        <f t="shared" si="328"/>
        <v>2</v>
      </c>
      <c r="U454" s="191">
        <f ca="1">OP!$D$5+$S454-1</f>
        <v>70</v>
      </c>
      <c r="V454" s="191" t="str">
        <f t="shared" si="329"/>
        <v/>
      </c>
      <c r="W454" s="350">
        <f ca="1">IF(Q454&lt;&gt;1,0,VLOOKUP(OP!$C$55,PVFB,$S454+2,0))</f>
        <v>0</v>
      </c>
      <c r="X454" s="473">
        <f t="shared" ca="1" si="342"/>
        <v>0</v>
      </c>
      <c r="Y454" s="348">
        <f t="shared" ca="1" si="343"/>
        <v>0</v>
      </c>
      <c r="Z454" s="348">
        <f t="shared" ca="1" si="344"/>
        <v>8012</v>
      </c>
      <c r="AA454" s="348">
        <f ca="1">IF(Q454&lt;&gt;1,0,VLOOKUP(OP!$C$55,PVFB,$S454+2,0))</f>
        <v>0</v>
      </c>
      <c r="AB454" s="488" t="str">
        <f ca="1">IF(AND(S454&lt;OP!$C$24,$U454&lt;15),0,IF(AND($U454&lt;15,$T454=12),ROUND(VLOOKUP($S454,DOWN16,5,0),3),IF($T454=12,ROUND(($Z454/10000)*$AA454,3)+IF(AND($P$7="購買增額繳清保險",T454=12,U454=110),VLOOKUP(S454,$B$10:$H$121,7,0),0),"")))</f>
        <v/>
      </c>
      <c r="AC454" s="350" t="str">
        <f ca="1">IF(AND(S454&lt;OP!$C$24,$U454&lt;15),0,IF(AND($U454&lt;16,$T454=12),VLOOKUP($S454,DOWN16,4,0),IF($T454=12,ROUND(VLOOKUP(OP!$C$55,_DIE2,$S454+1,0)*(Z454/10000),0)+IF(AND($P$7="購買增額繳清保險",T454=12,U454=110),VLOOKUP(S454,$B$10:$H$121,7,0),0),"")))</f>
        <v/>
      </c>
      <c r="AD454" s="347"/>
      <c r="AE454" s="350" t="str">
        <f t="shared" ca="1" si="319"/>
        <v/>
      </c>
      <c r="AF454" s="351" t="str">
        <f t="shared" ca="1" si="320"/>
        <v/>
      </c>
      <c r="AG454" s="340"/>
      <c r="AH454" s="340"/>
      <c r="AI454" s="340"/>
      <c r="AJ454" s="340"/>
      <c r="AK454" s="340"/>
      <c r="AL454" s="340"/>
      <c r="AM454" s="340"/>
      <c r="AN454" s="340"/>
      <c r="AO454" s="340"/>
      <c r="AP454" s="340"/>
      <c r="AQ454" s="340"/>
      <c r="AR454" s="340"/>
      <c r="AS454" s="340"/>
      <c r="AT454" s="340"/>
      <c r="AU454" s="340"/>
      <c r="AV454" s="340"/>
      <c r="AY454" s="340"/>
      <c r="AZ454" s="465">
        <f t="shared" ca="1" si="330"/>
        <v>7.3698599999999999E-5</v>
      </c>
      <c r="BA454" s="464">
        <f t="shared" ca="1" si="331"/>
        <v>2.2109589000000002E-3</v>
      </c>
      <c r="BB454" s="465">
        <f t="shared" ca="1" si="331"/>
        <v>2.2846575E-3</v>
      </c>
      <c r="BC454" s="466">
        <f t="shared" ca="1" si="332"/>
        <v>56431</v>
      </c>
      <c r="BD454" s="467">
        <f t="shared" ca="1" si="345"/>
        <v>56432</v>
      </c>
      <c r="BE454" s="467">
        <f t="shared" ca="1" si="333"/>
        <v>56461</v>
      </c>
      <c r="BF454" s="468">
        <f ca="1">IF(計算!$BC454&lt;OP!$C$3,0,BD454-BC454)</f>
        <v>1</v>
      </c>
      <c r="BG454" s="468">
        <f ca="1">IF($BE454&gt;DATE(YEAR($BD$9)+OP!$C$57,MONTH($BD$9),DAY($BD$9)),0,$BE454-$BD454+1)</f>
        <v>30</v>
      </c>
      <c r="BH454" s="469">
        <f t="shared" ca="1" si="334"/>
        <v>31</v>
      </c>
      <c r="BI454" t="str">
        <f t="shared" si="350"/>
        <v/>
      </c>
      <c r="BJ454">
        <v>1</v>
      </c>
      <c r="BN454" s="468">
        <f t="shared" si="346"/>
        <v>38</v>
      </c>
      <c r="BO454" s="468">
        <f t="shared" si="347"/>
        <v>1</v>
      </c>
      <c r="BP454" s="467">
        <f t="shared" ca="1" si="335"/>
        <v>56432</v>
      </c>
      <c r="BQ454" s="475">
        <f t="shared" ca="1" si="349"/>
        <v>70</v>
      </c>
      <c r="BR454" s="475" t="str">
        <f t="shared" si="348"/>
        <v/>
      </c>
      <c r="BS454" s="471" t="str">
        <f t="shared" si="336"/>
        <v/>
      </c>
      <c r="BT454" s="472" t="str">
        <f t="shared" si="351"/>
        <v/>
      </c>
      <c r="BU454" s="472">
        <f t="shared" ca="1" si="337"/>
        <v>0</v>
      </c>
      <c r="BV454" s="472">
        <f t="shared" ca="1" si="337"/>
        <v>0</v>
      </c>
      <c r="BW454" s="472"/>
      <c r="BX454" s="473">
        <f t="shared" ca="1" si="338"/>
        <v>459551.70605585398</v>
      </c>
      <c r="BY454" s="473">
        <f t="shared" si="339"/>
        <v>0</v>
      </c>
      <c r="BZ454" s="473">
        <f t="shared" ca="1" si="321"/>
        <v>1049.9182518780001</v>
      </c>
      <c r="CA454" s="476">
        <f t="shared" ca="1" si="340"/>
        <v>0</v>
      </c>
      <c r="CB454" s="494">
        <f ca="1">IF(OR($Q453&lt;&gt;1,OP!$D$5+$BN454-1&lt;16,$BN454-1&lt;1),0,ROUND(ROUND(ROUND(((VLOOKUP($BN454-1,MORE_PV,5,0)/10000)*VLOOKUP($BN454,MORE_PV,$CB$5,0)),3)*VLOOKUP($BN454,more1,5,0),0)/$R453,0))</f>
        <v>0</v>
      </c>
      <c r="CC454" s="473">
        <f t="shared" ca="1" si="341"/>
        <v>0</v>
      </c>
      <c r="CD454" s="477"/>
    </row>
    <row r="455" spans="2:82" ht="16.5" hidden="1">
      <c r="B455" s="80"/>
      <c r="C455" s="80"/>
      <c r="D455" s="80"/>
      <c r="E455" s="80"/>
      <c r="F455" s="80"/>
      <c r="G455" s="80"/>
      <c r="H455" s="80"/>
      <c r="I455" s="80"/>
      <c r="J455" s="192">
        <f t="shared" si="322"/>
        <v>38</v>
      </c>
      <c r="K455" s="192">
        <f t="shared" si="323"/>
        <v>3</v>
      </c>
      <c r="L455" s="192" t="str">
        <f t="shared" si="318"/>
        <v/>
      </c>
      <c r="M455" s="216">
        <f t="shared" ca="1" si="324"/>
        <v>0</v>
      </c>
      <c r="N455" s="216"/>
      <c r="O455" s="216"/>
      <c r="P455" s="216"/>
      <c r="Q455" s="456" t="str">
        <f t="shared" ca="1" si="325"/>
        <v/>
      </c>
      <c r="R455" s="450">
        <f t="shared" ca="1" si="326"/>
        <v>1</v>
      </c>
      <c r="S455" s="191">
        <f t="shared" si="327"/>
        <v>38</v>
      </c>
      <c r="T455" s="191">
        <f t="shared" si="328"/>
        <v>3</v>
      </c>
      <c r="U455" s="191">
        <f ca="1">OP!$D$5+$S455-1</f>
        <v>70</v>
      </c>
      <c r="V455" s="191" t="str">
        <f t="shared" si="329"/>
        <v/>
      </c>
      <c r="W455" s="350">
        <f ca="1">IF(Q455&lt;&gt;1,0,VLOOKUP(OP!$C$55,PVFB,$S455+2,0))</f>
        <v>0</v>
      </c>
      <c r="X455" s="473">
        <f t="shared" ca="1" si="342"/>
        <v>0</v>
      </c>
      <c r="Y455" s="348">
        <f t="shared" ca="1" si="343"/>
        <v>0</v>
      </c>
      <c r="Z455" s="348">
        <f t="shared" ca="1" si="344"/>
        <v>8012</v>
      </c>
      <c r="AA455" s="348">
        <f ca="1">IF(Q455&lt;&gt;1,0,VLOOKUP(OP!$C$55,PVFB,$S455+2,0))</f>
        <v>0</v>
      </c>
      <c r="AB455" s="488" t="str">
        <f ca="1">IF(AND(S455&lt;OP!$C$24,$U455&lt;15),0,IF(AND($U455&lt;15,$T455=12),ROUND(VLOOKUP($S455,DOWN16,5,0),3),IF($T455=12,ROUND(($Z455/10000)*$AA455,3)+IF(AND($P$7="購買增額繳清保險",T455=12,U455=110),VLOOKUP(S455,$B$10:$H$121,7,0),0),"")))</f>
        <v/>
      </c>
      <c r="AC455" s="350" t="str">
        <f ca="1">IF(AND(S455&lt;OP!$C$24,$U455&lt;15),0,IF(AND($U455&lt;16,$T455=12),VLOOKUP($S455,DOWN16,4,0),IF($T455=12,ROUND(VLOOKUP(OP!$C$55,_DIE2,$S455+1,0)*(Z455/10000),0)+IF(AND($P$7="購買增額繳清保險",T455=12,U455=110),VLOOKUP(S455,$B$10:$H$121,7,0),0),"")))</f>
        <v/>
      </c>
      <c r="AD455" s="347"/>
      <c r="AE455" s="350" t="str">
        <f t="shared" ca="1" si="319"/>
        <v/>
      </c>
      <c r="AF455" s="351" t="str">
        <f t="shared" ca="1" si="320"/>
        <v/>
      </c>
      <c r="AG455" s="340"/>
      <c r="AH455" s="340"/>
      <c r="AI455" s="340"/>
      <c r="AJ455" s="340"/>
      <c r="AK455" s="340"/>
      <c r="AL455" s="340"/>
      <c r="AM455" s="340"/>
      <c r="AN455" s="340"/>
      <c r="AO455" s="340"/>
      <c r="AP455" s="340"/>
      <c r="AQ455" s="340"/>
      <c r="AR455" s="340"/>
      <c r="AS455" s="340"/>
      <c r="AT455" s="340"/>
      <c r="AU455" s="340"/>
      <c r="AV455" s="340"/>
      <c r="AY455" s="340"/>
      <c r="AZ455" s="465">
        <f t="shared" ca="1" si="330"/>
        <v>7.3698599999999999E-5</v>
      </c>
      <c r="BA455" s="464">
        <f t="shared" ca="1" si="331"/>
        <v>2.2109589000000002E-3</v>
      </c>
      <c r="BB455" s="465">
        <f t="shared" ca="1" si="331"/>
        <v>2.2846575E-3</v>
      </c>
      <c r="BC455" s="466">
        <f t="shared" ca="1" si="332"/>
        <v>56462</v>
      </c>
      <c r="BD455" s="467">
        <f t="shared" ca="1" si="345"/>
        <v>56463</v>
      </c>
      <c r="BE455" s="467">
        <f t="shared" ca="1" si="333"/>
        <v>56492</v>
      </c>
      <c r="BF455" s="468">
        <f ca="1">IF(計算!$BC455&lt;OP!$C$3,0,BD455-BC455)</f>
        <v>1</v>
      </c>
      <c r="BG455" s="468">
        <f ca="1">IF($BE455&gt;DATE(YEAR($BD$9)+OP!$C$57,MONTH($BD$9),DAY($BD$9)),0,$BE455-$BD455+1)</f>
        <v>30</v>
      </c>
      <c r="BH455" s="469">
        <f t="shared" ca="1" si="334"/>
        <v>31</v>
      </c>
      <c r="BI455" t="str">
        <f t="shared" si="350"/>
        <v/>
      </c>
      <c r="BJ455">
        <v>2</v>
      </c>
      <c r="BN455" s="468">
        <f t="shared" si="346"/>
        <v>38</v>
      </c>
      <c r="BO455" s="468">
        <f t="shared" si="347"/>
        <v>2</v>
      </c>
      <c r="BP455" s="467">
        <f t="shared" ca="1" si="335"/>
        <v>56463</v>
      </c>
      <c r="BQ455" s="475">
        <f t="shared" ca="1" si="349"/>
        <v>70</v>
      </c>
      <c r="BR455" s="475" t="str">
        <f t="shared" si="348"/>
        <v/>
      </c>
      <c r="BS455" s="471" t="str">
        <f t="shared" si="336"/>
        <v/>
      </c>
      <c r="BT455" s="472" t="str">
        <f t="shared" si="351"/>
        <v/>
      </c>
      <c r="BU455" s="472">
        <f t="shared" ca="1" si="337"/>
        <v>0</v>
      </c>
      <c r="BV455" s="472">
        <f t="shared" ca="1" si="337"/>
        <v>0</v>
      </c>
      <c r="BW455" s="472"/>
      <c r="BX455" s="473">
        <f t="shared" ca="1" si="338"/>
        <v>460601.62430773198</v>
      </c>
      <c r="BY455" s="473">
        <f t="shared" si="339"/>
        <v>0</v>
      </c>
      <c r="BZ455" s="473">
        <f t="shared" ca="1" si="321"/>
        <v>1052.3169554870001</v>
      </c>
      <c r="CA455" s="476">
        <f t="shared" ca="1" si="340"/>
        <v>0</v>
      </c>
      <c r="CB455" s="494">
        <f ca="1">IF(OR($Q454&lt;&gt;1,OP!$D$5+$BN455-1&lt;16,$BN455-1&lt;1),0,ROUND(ROUND(ROUND(((VLOOKUP($BN455-1,MORE_PV,5,0)/10000)*VLOOKUP($BN455,MORE_PV,$CB$5,0)),3)*VLOOKUP($BN455,more1,5,0),0)/$R454,0))</f>
        <v>0</v>
      </c>
      <c r="CC455" s="473">
        <f t="shared" ca="1" si="341"/>
        <v>0</v>
      </c>
      <c r="CD455" s="477"/>
    </row>
    <row r="456" spans="2:82" ht="16.5" hidden="1">
      <c r="B456" s="80"/>
      <c r="C456" s="80"/>
      <c r="D456" s="80"/>
      <c r="E456" s="80"/>
      <c r="F456" s="80"/>
      <c r="G456" s="80"/>
      <c r="H456" s="80"/>
      <c r="I456" s="80"/>
      <c r="J456" s="192">
        <f t="shared" si="322"/>
        <v>38</v>
      </c>
      <c r="K456" s="192">
        <f t="shared" si="323"/>
        <v>4</v>
      </c>
      <c r="L456" s="192" t="str">
        <f t="shared" si="318"/>
        <v/>
      </c>
      <c r="M456" s="216">
        <f t="shared" ca="1" si="324"/>
        <v>0</v>
      </c>
      <c r="N456" s="216"/>
      <c r="O456" s="216"/>
      <c r="P456" s="216"/>
      <c r="Q456" s="456" t="str">
        <f t="shared" ca="1" si="325"/>
        <v/>
      </c>
      <c r="R456" s="450">
        <f t="shared" ca="1" si="326"/>
        <v>1</v>
      </c>
      <c r="S456" s="191">
        <f t="shared" si="327"/>
        <v>38</v>
      </c>
      <c r="T456" s="191">
        <f t="shared" si="328"/>
        <v>4</v>
      </c>
      <c r="U456" s="191">
        <f ca="1">OP!$D$5+$S456-1</f>
        <v>70</v>
      </c>
      <c r="V456" s="191" t="str">
        <f t="shared" si="329"/>
        <v/>
      </c>
      <c r="W456" s="350">
        <f ca="1">IF(Q456&lt;&gt;1,0,VLOOKUP(OP!$C$55,PVFB,$S456+2,0))</f>
        <v>0</v>
      </c>
      <c r="X456" s="473">
        <f t="shared" ca="1" si="342"/>
        <v>0</v>
      </c>
      <c r="Y456" s="348">
        <f t="shared" ca="1" si="343"/>
        <v>0</v>
      </c>
      <c r="Z456" s="348">
        <f t="shared" ca="1" si="344"/>
        <v>8012</v>
      </c>
      <c r="AA456" s="348">
        <f ca="1">IF(Q456&lt;&gt;1,0,VLOOKUP(OP!$C$55,PVFB,$S456+2,0))</f>
        <v>0</v>
      </c>
      <c r="AB456" s="488" t="str">
        <f ca="1">IF(AND(S456&lt;OP!$C$24,$U456&lt;15),0,IF(AND($U456&lt;15,$T456=12),ROUND(VLOOKUP($S456,DOWN16,5,0),3),IF($T456=12,ROUND(($Z456/10000)*$AA456,3)+IF(AND($P$7="購買增額繳清保險",T456=12,U456=110),VLOOKUP(S456,$B$10:$H$121,7,0),0),"")))</f>
        <v/>
      </c>
      <c r="AC456" s="350" t="str">
        <f ca="1">IF(AND(S456&lt;OP!$C$24,$U456&lt;15),0,IF(AND($U456&lt;16,$T456=12),VLOOKUP($S456,DOWN16,4,0),IF($T456=12,ROUND(VLOOKUP(OP!$C$55,_DIE2,$S456+1,0)*(Z456/10000),0)+IF(AND($P$7="購買增額繳清保險",T456=12,U456=110),VLOOKUP(S456,$B$10:$H$121,7,0),0),"")))</f>
        <v/>
      </c>
      <c r="AD456" s="347"/>
      <c r="AE456" s="350" t="str">
        <f t="shared" ca="1" si="319"/>
        <v/>
      </c>
      <c r="AF456" s="351" t="str">
        <f t="shared" ca="1" si="320"/>
        <v/>
      </c>
      <c r="AG456" s="340"/>
      <c r="AH456" s="340"/>
      <c r="AI456" s="340"/>
      <c r="AJ456" s="340"/>
      <c r="AK456" s="340"/>
      <c r="AL456" s="340"/>
      <c r="AM456" s="340"/>
      <c r="AN456" s="340"/>
      <c r="AO456" s="340"/>
      <c r="AP456" s="340"/>
      <c r="AQ456" s="340"/>
      <c r="AR456" s="340"/>
      <c r="AS456" s="340"/>
      <c r="AT456" s="340"/>
      <c r="AU456" s="340"/>
      <c r="AV456" s="340"/>
      <c r="AY456" s="340"/>
      <c r="AZ456" s="465">
        <f t="shared" ca="1" si="330"/>
        <v>7.3698599999999999E-5</v>
      </c>
      <c r="BA456" s="464">
        <f t="shared" ca="1" si="331"/>
        <v>2.1372602999999999E-3</v>
      </c>
      <c r="BB456" s="465">
        <f t="shared" ca="1" si="331"/>
        <v>2.2109589000000002E-3</v>
      </c>
      <c r="BC456" s="466">
        <f t="shared" ca="1" si="332"/>
        <v>56493</v>
      </c>
      <c r="BD456" s="467">
        <f t="shared" ca="1" si="345"/>
        <v>56494</v>
      </c>
      <c r="BE456" s="467">
        <f t="shared" ca="1" si="333"/>
        <v>56522</v>
      </c>
      <c r="BF456" s="468">
        <f ca="1">IF(計算!$BC456&lt;OP!$C$3,0,BD456-BC456)</f>
        <v>1</v>
      </c>
      <c r="BG456" s="468">
        <f ca="1">IF($BE456&gt;DATE(YEAR($BD$9)+OP!$C$57,MONTH($BD$9),DAY($BD$9)),0,$BE456-$BD456+1)</f>
        <v>29</v>
      </c>
      <c r="BH456" s="469">
        <f t="shared" ca="1" si="334"/>
        <v>30</v>
      </c>
      <c r="BI456" t="str">
        <f t="shared" si="350"/>
        <v/>
      </c>
      <c r="BJ456">
        <v>3</v>
      </c>
      <c r="BN456" s="468">
        <f t="shared" si="346"/>
        <v>38</v>
      </c>
      <c r="BO456" s="468">
        <f t="shared" si="347"/>
        <v>3</v>
      </c>
      <c r="BP456" s="467">
        <f t="shared" ca="1" si="335"/>
        <v>56494</v>
      </c>
      <c r="BQ456" s="475">
        <f t="shared" ca="1" si="349"/>
        <v>70</v>
      </c>
      <c r="BR456" s="475" t="str">
        <f t="shared" si="348"/>
        <v/>
      </c>
      <c r="BS456" s="471" t="str">
        <f t="shared" si="336"/>
        <v/>
      </c>
      <c r="BT456" s="472" t="str">
        <f t="shared" si="351"/>
        <v/>
      </c>
      <c r="BU456" s="472">
        <f t="shared" ca="1" si="337"/>
        <v>0</v>
      </c>
      <c r="BV456" s="472">
        <f t="shared" ca="1" si="337"/>
        <v>0</v>
      </c>
      <c r="BW456" s="472"/>
      <c r="BX456" s="473">
        <f t="shared" ca="1" si="338"/>
        <v>461653.94126321899</v>
      </c>
      <c r="BY456" s="473">
        <f t="shared" si="339"/>
        <v>0</v>
      </c>
      <c r="BZ456" s="473">
        <f t="shared" ca="1" si="321"/>
        <v>1020.697890156</v>
      </c>
      <c r="CA456" s="476">
        <f t="shared" ca="1" si="340"/>
        <v>0</v>
      </c>
      <c r="CB456" s="494">
        <f ca="1">IF(OR($Q455&lt;&gt;1,OP!$D$5+$BN456-1&lt;16,$BN456-1&lt;1),0,ROUND(ROUND(ROUND(((VLOOKUP($BN456-1,MORE_PV,5,0)/10000)*VLOOKUP($BN456,MORE_PV,$CB$5,0)),3)*VLOOKUP($BN456,more1,5,0),0)/$R455,0))</f>
        <v>0</v>
      </c>
      <c r="CC456" s="473">
        <f t="shared" ca="1" si="341"/>
        <v>0</v>
      </c>
      <c r="CD456" s="477"/>
    </row>
    <row r="457" spans="2:82" ht="16.5" hidden="1">
      <c r="B457" s="80"/>
      <c r="C457" s="80"/>
      <c r="D457" s="80"/>
      <c r="E457" s="80"/>
      <c r="F457" s="80"/>
      <c r="G457" s="80"/>
      <c r="H457" s="80"/>
      <c r="I457" s="80"/>
      <c r="J457" s="192">
        <f t="shared" si="322"/>
        <v>38</v>
      </c>
      <c r="K457" s="192">
        <f t="shared" si="323"/>
        <v>5</v>
      </c>
      <c r="L457" s="192" t="str">
        <f t="shared" ref="L457:L520" si="352">IF($K457=12,$J457,"")</f>
        <v/>
      </c>
      <c r="M457" s="216">
        <f t="shared" ca="1" si="324"/>
        <v>0</v>
      </c>
      <c r="N457" s="216"/>
      <c r="O457" s="216"/>
      <c r="P457" s="216"/>
      <c r="Q457" s="456" t="str">
        <f t="shared" ca="1" si="325"/>
        <v/>
      </c>
      <c r="R457" s="450">
        <f t="shared" ca="1" si="326"/>
        <v>1</v>
      </c>
      <c r="S457" s="191">
        <f t="shared" si="327"/>
        <v>38</v>
      </c>
      <c r="T457" s="191">
        <f t="shared" si="328"/>
        <v>5</v>
      </c>
      <c r="U457" s="191">
        <f ca="1">OP!$D$5+$S457-1</f>
        <v>70</v>
      </c>
      <c r="V457" s="191" t="str">
        <f t="shared" si="329"/>
        <v/>
      </c>
      <c r="W457" s="350">
        <f ca="1">IF(Q457&lt;&gt;1,0,VLOOKUP(OP!$C$55,PVFB,$S457+2,0))</f>
        <v>0</v>
      </c>
      <c r="X457" s="473">
        <f t="shared" ca="1" si="342"/>
        <v>0</v>
      </c>
      <c r="Y457" s="348">
        <f t="shared" ca="1" si="343"/>
        <v>0</v>
      </c>
      <c r="Z457" s="348">
        <f t="shared" ca="1" si="344"/>
        <v>8012</v>
      </c>
      <c r="AA457" s="348">
        <f ca="1">IF(Q457&lt;&gt;1,0,VLOOKUP(OP!$C$55,PVFB,$S457+2,0))</f>
        <v>0</v>
      </c>
      <c r="AB457" s="488" t="str">
        <f ca="1">IF(AND(S457&lt;OP!$C$24,$U457&lt;15),0,IF(AND($U457&lt;15,$T457=12),ROUND(VLOOKUP($S457,DOWN16,5,0),3),IF($T457=12,ROUND(($Z457/10000)*$AA457,3)+IF(AND($P$7="購買增額繳清保險",T457=12,U457=110),VLOOKUP(S457,$B$10:$H$121,7,0),0),"")))</f>
        <v/>
      </c>
      <c r="AC457" s="350" t="str">
        <f ca="1">IF(AND(S457&lt;OP!$C$24,$U457&lt;15),0,IF(AND($U457&lt;16,$T457=12),VLOOKUP($S457,DOWN16,4,0),IF($T457=12,ROUND(VLOOKUP(OP!$C$55,_DIE2,$S457+1,0)*(Z457/10000),0)+IF(AND($P$7="購買增額繳清保險",T457=12,U457=110),VLOOKUP(S457,$B$10:$H$121,7,0),0),"")))</f>
        <v/>
      </c>
      <c r="AD457" s="347"/>
      <c r="AE457" s="350" t="str">
        <f t="shared" ref="AE457:AE520" ca="1" si="353">IF(AND($U$9&lt;16,$T457=12),VLOOKUP($S457,DOWN16,4,0),"")</f>
        <v/>
      </c>
      <c r="AF457" s="351" t="str">
        <f t="shared" ref="AF457:AF520" ca="1" si="354">IF(AND($U$9&lt;16,$T457=12),VLOOKUP($S457,DOWN16,5,0),"")</f>
        <v/>
      </c>
      <c r="AG457" s="340"/>
      <c r="AH457" s="340"/>
      <c r="AI457" s="340"/>
      <c r="AJ457" s="340"/>
      <c r="AK457" s="340"/>
      <c r="AL457" s="340"/>
      <c r="AM457" s="340"/>
      <c r="AN457" s="340"/>
      <c r="AO457" s="340"/>
      <c r="AP457" s="340"/>
      <c r="AQ457" s="340"/>
      <c r="AR457" s="340"/>
      <c r="AS457" s="340"/>
      <c r="AT457" s="340"/>
      <c r="AU457" s="340"/>
      <c r="AV457" s="340"/>
      <c r="AY457" s="340"/>
      <c r="AZ457" s="465">
        <f t="shared" ca="1" si="330"/>
        <v>7.3698599999999999E-5</v>
      </c>
      <c r="BA457" s="464">
        <f t="shared" ca="1" si="331"/>
        <v>2.2109589000000002E-3</v>
      </c>
      <c r="BB457" s="465">
        <f t="shared" ca="1" si="331"/>
        <v>2.2846575E-3</v>
      </c>
      <c r="BC457" s="466">
        <f t="shared" ca="1" si="332"/>
        <v>56523</v>
      </c>
      <c r="BD457" s="467">
        <f t="shared" ca="1" si="345"/>
        <v>56524</v>
      </c>
      <c r="BE457" s="467">
        <f t="shared" ca="1" si="333"/>
        <v>56553</v>
      </c>
      <c r="BF457" s="468">
        <f ca="1">IF(計算!$BC457&lt;OP!$C$3,0,BD457-BC457)</f>
        <v>1</v>
      </c>
      <c r="BG457" s="468">
        <f ca="1">IF($BE457&gt;DATE(YEAR($BD$9)+OP!$C$57,MONTH($BD$9),DAY($BD$9)),0,$BE457-$BD457+1)</f>
        <v>30</v>
      </c>
      <c r="BH457" s="469">
        <f t="shared" ca="1" si="334"/>
        <v>31</v>
      </c>
      <c r="BI457" t="str">
        <f t="shared" si="350"/>
        <v/>
      </c>
      <c r="BJ457">
        <v>4</v>
      </c>
      <c r="BN457" s="468">
        <f t="shared" si="346"/>
        <v>38</v>
      </c>
      <c r="BO457" s="468">
        <f t="shared" si="347"/>
        <v>4</v>
      </c>
      <c r="BP457" s="467">
        <f t="shared" ca="1" si="335"/>
        <v>56524</v>
      </c>
      <c r="BQ457" s="475">
        <f t="shared" ca="1" si="349"/>
        <v>70</v>
      </c>
      <c r="BR457" s="475" t="str">
        <f t="shared" si="348"/>
        <v/>
      </c>
      <c r="BS457" s="471" t="str">
        <f t="shared" si="336"/>
        <v/>
      </c>
      <c r="BT457" s="472" t="str">
        <f t="shared" si="351"/>
        <v/>
      </c>
      <c r="BU457" s="472">
        <f t="shared" ca="1" si="337"/>
        <v>0</v>
      </c>
      <c r="BV457" s="472">
        <f t="shared" ca="1" si="337"/>
        <v>0</v>
      </c>
      <c r="BW457" s="472"/>
      <c r="BX457" s="473">
        <f t="shared" ca="1" si="338"/>
        <v>462674.639153375</v>
      </c>
      <c r="BY457" s="473">
        <f t="shared" si="339"/>
        <v>0</v>
      </c>
      <c r="BZ457" s="473">
        <f t="shared" ref="BZ457:BZ520" ca="1" si="355">ROUND(BX457*IF(BO457=12,$BA457,$BB457),$CB$6)</f>
        <v>1057.053084402</v>
      </c>
      <c r="CA457" s="476">
        <f t="shared" ca="1" si="340"/>
        <v>0</v>
      </c>
      <c r="CB457" s="494">
        <f ca="1">IF(OR($Q456&lt;&gt;1,OP!$D$5+$BN457-1&lt;16,$BN457-1&lt;1),0,ROUND(ROUND(ROUND(((VLOOKUP($BN457-1,MORE_PV,5,0)/10000)*VLOOKUP($BN457,MORE_PV,$CB$5,0)),3)*VLOOKUP($BN457,more1,5,0),0)/$R456,0))</f>
        <v>0</v>
      </c>
      <c r="CC457" s="473">
        <f t="shared" ca="1" si="341"/>
        <v>0</v>
      </c>
      <c r="CD457" s="477"/>
    </row>
    <row r="458" spans="2:82" ht="16.5" hidden="1">
      <c r="B458" s="80"/>
      <c r="C458" s="80"/>
      <c r="D458" s="80"/>
      <c r="E458" s="80"/>
      <c r="F458" s="80"/>
      <c r="G458" s="80"/>
      <c r="H458" s="80"/>
      <c r="I458" s="80"/>
      <c r="J458" s="192">
        <f t="shared" ref="J458:J521" si="356">IF(K457=12,J457+1,J457)</f>
        <v>38</v>
      </c>
      <c r="K458" s="192">
        <f t="shared" ref="K458:K521" si="357">IF(K457=12,1,K457+1)</f>
        <v>6</v>
      </c>
      <c r="L458" s="192" t="str">
        <f t="shared" si="352"/>
        <v/>
      </c>
      <c r="M458" s="216">
        <f t="shared" ref="M458:M521" ca="1" si="358">IF($Q458=1,VLOOKUP(L458,$BR$9:$BT$1341,3,0),0)</f>
        <v>0</v>
      </c>
      <c r="N458" s="216"/>
      <c r="O458" s="216"/>
      <c r="P458" s="216"/>
      <c r="Q458" s="456" t="str">
        <f t="shared" ref="Q458:Q521" ca="1" si="359">IF(OR($U458&gt;=$I$5,AND($G$5=1,$K458=12),AND($G$5=2,OR($K458=6,$K458=12)),AND($G$5=4,OR($K458=3,$K458=6,$K458=9,$K458=12)),$G$5=12),1,"")</f>
        <v/>
      </c>
      <c r="R458" s="450">
        <f t="shared" ref="R458:R521" ca="1" si="360">IF($U458&lt;$I$5,$G$5,$I$6)</f>
        <v>1</v>
      </c>
      <c r="S458" s="191">
        <f t="shared" ref="S458:S521" si="361">IF(T457=12,S457+1,S457)</f>
        <v>38</v>
      </c>
      <c r="T458" s="191">
        <f t="shared" ref="T458:T521" si="362">IF(T457=12,1,T457+1)</f>
        <v>6</v>
      </c>
      <c r="U458" s="191">
        <f ca="1">OP!$D$5+$S458-1</f>
        <v>70</v>
      </c>
      <c r="V458" s="191" t="str">
        <f t="shared" ref="V458:V521" si="363">IF($T458=12,$S458,"")</f>
        <v/>
      </c>
      <c r="W458" s="350">
        <f ca="1">IF(Q458&lt;&gt;1,0,VLOOKUP(OP!$C$55,PVFB,$S458+2,0))</f>
        <v>0</v>
      </c>
      <c r="X458" s="473">
        <f t="shared" ca="1" si="342"/>
        <v>0</v>
      </c>
      <c r="Y458" s="348">
        <f t="shared" ca="1" si="343"/>
        <v>0</v>
      </c>
      <c r="Z458" s="348">
        <f t="shared" ca="1" si="344"/>
        <v>8012</v>
      </c>
      <c r="AA458" s="348">
        <f ca="1">IF(Q458&lt;&gt;1,0,VLOOKUP(OP!$C$55,PVFB,$S458+2,0))</f>
        <v>0</v>
      </c>
      <c r="AB458" s="488" t="str">
        <f ca="1">IF(AND(S458&lt;OP!$C$24,$U458&lt;15),0,IF(AND($U458&lt;15,$T458=12),ROUND(VLOOKUP($S458,DOWN16,5,0),3),IF($T458=12,ROUND(($Z458/10000)*$AA458,3)+IF(AND($P$7="購買增額繳清保險",T458=12,U458=110),VLOOKUP(S458,$B$10:$H$121,7,0),0),"")))</f>
        <v/>
      </c>
      <c r="AC458" s="350" t="str">
        <f ca="1">IF(AND(S458&lt;OP!$C$24,$U458&lt;15),0,IF(AND($U458&lt;16,$T458=12),VLOOKUP($S458,DOWN16,4,0),IF($T458=12,ROUND(VLOOKUP(OP!$C$55,_DIE2,$S458+1,0)*(Z458/10000),0)+IF(AND($P$7="購買增額繳清保險",T458=12,U458=110),VLOOKUP(S458,$B$10:$H$121,7,0),0),"")))</f>
        <v/>
      </c>
      <c r="AD458" s="347"/>
      <c r="AE458" s="350" t="str">
        <f t="shared" ca="1" si="353"/>
        <v/>
      </c>
      <c r="AF458" s="351" t="str">
        <f t="shared" ca="1" si="354"/>
        <v/>
      </c>
      <c r="AG458" s="340"/>
      <c r="AH458" s="340"/>
      <c r="AI458" s="340"/>
      <c r="AJ458" s="340"/>
      <c r="AK458" s="340"/>
      <c r="AL458" s="340"/>
      <c r="AM458" s="340"/>
      <c r="AN458" s="340"/>
      <c r="AO458" s="340"/>
      <c r="AP458" s="340"/>
      <c r="AQ458" s="340"/>
      <c r="AR458" s="340"/>
      <c r="AS458" s="340"/>
      <c r="AT458" s="340"/>
      <c r="AU458" s="340"/>
      <c r="AV458" s="340"/>
      <c r="AY458" s="340"/>
      <c r="AZ458" s="465">
        <f t="shared" ref="AZ458:AZ521" ca="1" si="364">ROUND(($G$3*BF458/365),10)</f>
        <v>7.3698599999999999E-5</v>
      </c>
      <c r="BA458" s="464">
        <f t="shared" ref="BA458:BB521" ca="1" si="365">ROUND(($G$3*BG458/365),10)</f>
        <v>2.1372602999999999E-3</v>
      </c>
      <c r="BB458" s="465">
        <f t="shared" ca="1" si="365"/>
        <v>2.2109589000000002E-3</v>
      </c>
      <c r="BC458" s="466">
        <f t="shared" ref="BC458:BC521" ca="1" si="366">DATE(YEAR(BD458),MONTH(BD458),1)</f>
        <v>56554</v>
      </c>
      <c r="BD458" s="467">
        <f t="shared" ca="1" si="345"/>
        <v>56555</v>
      </c>
      <c r="BE458" s="467">
        <f t="shared" ref="BE458:BE521" ca="1" si="367">DATE(YEAR(BD458),MONTH(BD458),DAY(DATE(YEAR(BD458),MONTH(BD458)+1,0)))</f>
        <v>56583</v>
      </c>
      <c r="BF458" s="468">
        <f ca="1">IF(計算!$BC458&lt;OP!$C$3,0,BD458-BC458)</f>
        <v>1</v>
      </c>
      <c r="BG458" s="468">
        <f ca="1">IF($BE458&gt;DATE(YEAR($BD$9)+OP!$C$57,MONTH($BD$9),DAY($BD$9)),0,$BE458-$BD458+1)</f>
        <v>29</v>
      </c>
      <c r="BH458" s="469">
        <f t="shared" ref="BH458:BH521" ca="1" si="368">BF458+BG458</f>
        <v>30</v>
      </c>
      <c r="BI458" t="str">
        <f t="shared" si="350"/>
        <v/>
      </c>
      <c r="BJ458">
        <v>5</v>
      </c>
      <c r="BN458" s="468">
        <f t="shared" si="346"/>
        <v>38</v>
      </c>
      <c r="BO458" s="468">
        <f t="shared" si="347"/>
        <v>5</v>
      </c>
      <c r="BP458" s="467">
        <f t="shared" ref="BP458:BP521" ca="1" si="369">BD458</f>
        <v>56555</v>
      </c>
      <c r="BQ458" s="475">
        <f t="shared" ca="1" si="349"/>
        <v>70</v>
      </c>
      <c r="BR458" s="475" t="str">
        <f t="shared" si="348"/>
        <v/>
      </c>
      <c r="BS458" s="471" t="str">
        <f t="shared" ref="BS458:BS521" si="370">IF(BW458&lt;&gt;"",ROUND(BU458,0)+ROUND(BV458,0),"")</f>
        <v/>
      </c>
      <c r="BT458" s="472" t="str">
        <f t="shared" si="351"/>
        <v/>
      </c>
      <c r="BU458" s="472">
        <f t="shared" ref="BU458:BV521" ca="1" si="371">ROUND(CA458,0)</f>
        <v>0</v>
      </c>
      <c r="BV458" s="472">
        <f t="shared" ca="1" si="371"/>
        <v>0</v>
      </c>
      <c r="BW458" s="472"/>
      <c r="BX458" s="473">
        <f t="shared" ref="BX458:BX521" ca="1" si="372">IF(BN458&lt;=$P$4,0,ROUNDDOWN(IF($Q457=1,CA458+CB458-CC458,0)+BX457+BY458+BZ457,VLOOKUP(LEN(ROUNDDOWN(IF($Q457=1,CA458+CB458-CC458,0)+BX457+BY458+BZ457,0)),$BK$9:$BL$24,2,0)))</f>
        <v>463731.692237777</v>
      </c>
      <c r="BY458" s="473">
        <f t="shared" ref="BY458:BY521" si="373">IF(BO458=12,ROUND((BX457+BZ457)*$AZ458,$CB$6),0)</f>
        <v>0</v>
      </c>
      <c r="BZ458" s="473">
        <f t="shared" ca="1" si="355"/>
        <v>1025.291712165</v>
      </c>
      <c r="CA458" s="476">
        <f t="shared" ref="CA458:CA521" ca="1" si="374">IF($Q457=1,ROUND(VLOOKUP($BN458,more1,3,0)*VLOOKUP($BN458,more1,5,0)/$R457,0),0)</f>
        <v>0</v>
      </c>
      <c r="CB458" s="494">
        <f ca="1">IF(OR($Q457&lt;&gt;1,OP!$D$5+$BN458-1&lt;16,$BN458-1&lt;1),0,ROUND(ROUND(ROUND(((VLOOKUP($BN458-1,MORE_PV,5,0)/10000)*VLOOKUP($BN458,MORE_PV,$CB$5,0)),3)*VLOOKUP($BN458,more1,5,0),0)/$R457,0))</f>
        <v>0</v>
      </c>
      <c r="CC458" s="473">
        <f t="shared" ref="CC458:CC521" ca="1" si="375">IF(AND($BN458=$P$4,$BO458=12),$CA458+$CB458,IF(AND($BN458&gt;$P$4,$Q457=1,$G$6="現金給付",$CA458+$CB458&gt;=$P$3),$CA458+$CB458,0))</f>
        <v>0</v>
      </c>
      <c r="CD458" s="477"/>
    </row>
    <row r="459" spans="2:82" ht="16.5" hidden="1">
      <c r="B459" s="80"/>
      <c r="C459" s="80"/>
      <c r="D459" s="80"/>
      <c r="E459" s="80"/>
      <c r="F459" s="80"/>
      <c r="G459" s="80"/>
      <c r="H459" s="80"/>
      <c r="I459" s="80"/>
      <c r="J459" s="192">
        <f t="shared" si="356"/>
        <v>38</v>
      </c>
      <c r="K459" s="192">
        <f t="shared" si="357"/>
        <v>7</v>
      </c>
      <c r="L459" s="192" t="str">
        <f t="shared" si="352"/>
        <v/>
      </c>
      <c r="M459" s="216">
        <f t="shared" ca="1" si="358"/>
        <v>0</v>
      </c>
      <c r="N459" s="216"/>
      <c r="O459" s="216"/>
      <c r="P459" s="216"/>
      <c r="Q459" s="456" t="str">
        <f t="shared" ca="1" si="359"/>
        <v/>
      </c>
      <c r="R459" s="450">
        <f t="shared" ca="1" si="360"/>
        <v>1</v>
      </c>
      <c r="S459" s="191">
        <f t="shared" si="361"/>
        <v>38</v>
      </c>
      <c r="T459" s="191">
        <f t="shared" si="362"/>
        <v>7</v>
      </c>
      <c r="U459" s="191">
        <f ca="1">OP!$D$5+$S459-1</f>
        <v>70</v>
      </c>
      <c r="V459" s="191" t="str">
        <f t="shared" si="363"/>
        <v/>
      </c>
      <c r="W459" s="350">
        <f ca="1">IF(Q459&lt;&gt;1,0,VLOOKUP(OP!$C$55,PVFB,$S459+2,0))</f>
        <v>0</v>
      </c>
      <c r="X459" s="473">
        <f t="shared" ref="X459:X522" ca="1" si="376">IF(AND($U459=15,$T459=12),$CO460,IF(AND($U459&gt;15,$S459&lt;=$P$4,$T459=12),($BS460)*$R459,IF($Q459=1,($BS460),0)))</f>
        <v>0</v>
      </c>
      <c r="Y459" s="348">
        <f t="shared" ref="Y459:Y522" ca="1" si="377">IF(AND($P$7="購買增額繳清保險",U459&gt;=110),0,IF(AND($U459=15,$W459&lt;&gt;0,$T459=12),ROUND(($X459)/($W459/10000),0),IF(AND($S459&lt;=$P$4,$W459&lt;&gt;0,$T459=12,$U459&gt;15),ROUND(($X459)/($W459/10000),0),0)))</f>
        <v>0</v>
      </c>
      <c r="Z459" s="348">
        <f t="shared" ref="Z459:Z522" ca="1" si="378">Z458+Y459</f>
        <v>8012</v>
      </c>
      <c r="AA459" s="348">
        <f ca="1">IF(Q459&lt;&gt;1,0,VLOOKUP(OP!$C$55,PVFB,$S459+2,0))</f>
        <v>0</v>
      </c>
      <c r="AB459" s="488" t="str">
        <f ca="1">IF(AND(S459&lt;OP!$C$24,$U459&lt;15),0,IF(AND($U459&lt;15,$T459=12),ROUND(VLOOKUP($S459,DOWN16,5,0),3),IF($T459=12,ROUND(($Z459/10000)*$AA459,3)+IF(AND($P$7="購買增額繳清保險",T459=12,U459=110),VLOOKUP(S459,$B$10:$H$121,7,0),0),"")))</f>
        <v/>
      </c>
      <c r="AC459" s="350" t="str">
        <f ca="1">IF(AND(S459&lt;OP!$C$24,$U459&lt;15),0,IF(AND($U459&lt;16,$T459=12),VLOOKUP($S459,DOWN16,4,0),IF($T459=12,ROUND(VLOOKUP(OP!$C$55,_DIE2,$S459+1,0)*(Z459/10000),0)+IF(AND($P$7="購買增額繳清保險",T459=12,U459=110),VLOOKUP(S459,$B$10:$H$121,7,0),0),"")))</f>
        <v/>
      </c>
      <c r="AD459" s="347"/>
      <c r="AE459" s="350" t="str">
        <f t="shared" ca="1" si="353"/>
        <v/>
      </c>
      <c r="AF459" s="351" t="str">
        <f t="shared" ca="1" si="354"/>
        <v/>
      </c>
      <c r="AG459" s="340"/>
      <c r="AH459" s="340"/>
      <c r="AI459" s="340"/>
      <c r="AJ459" s="340"/>
      <c r="AK459" s="340"/>
      <c r="AL459" s="340"/>
      <c r="AM459" s="340"/>
      <c r="AN459" s="340"/>
      <c r="AO459" s="340"/>
      <c r="AP459" s="340"/>
      <c r="AQ459" s="340"/>
      <c r="AR459" s="340"/>
      <c r="AS459" s="340"/>
      <c r="AT459" s="340"/>
      <c r="AU459" s="340"/>
      <c r="AV459" s="340"/>
      <c r="AY459" s="340"/>
      <c r="AZ459" s="465">
        <f t="shared" ca="1" si="364"/>
        <v>7.3698599999999999E-5</v>
      </c>
      <c r="BA459" s="464">
        <f t="shared" ca="1" si="365"/>
        <v>2.2109589000000002E-3</v>
      </c>
      <c r="BB459" s="465">
        <f t="shared" ca="1" si="365"/>
        <v>2.2846575E-3</v>
      </c>
      <c r="BC459" s="466">
        <f t="shared" ca="1" si="366"/>
        <v>56584</v>
      </c>
      <c r="BD459" s="467">
        <f t="shared" ref="BD459:BD522" ca="1" si="379">DATE(YEAR(BD458),MONTH(BD458)+1,MIN(DAY($BD$9),DAY(DATE(YEAR(BD458),MONTH(BD458)+2,0))))</f>
        <v>56585</v>
      </c>
      <c r="BE459" s="467">
        <f t="shared" ca="1" si="367"/>
        <v>56614</v>
      </c>
      <c r="BF459" s="468">
        <f ca="1">IF(計算!$BC459&lt;OP!$C$3,0,BD459-BC459)</f>
        <v>1</v>
      </c>
      <c r="BG459" s="468">
        <f ca="1">IF($BE459&gt;DATE(YEAR($BD$9)+OP!$C$57,MONTH($BD$9),DAY($BD$9)),0,$BE459-$BD459+1)</f>
        <v>30</v>
      </c>
      <c r="BH459" s="469">
        <f t="shared" ca="1" si="368"/>
        <v>31</v>
      </c>
      <c r="BI459" t="str">
        <f t="shared" si="350"/>
        <v/>
      </c>
      <c r="BJ459">
        <v>6</v>
      </c>
      <c r="BN459" s="468">
        <f t="shared" ref="BN459:BN522" si="380">IF(BO458=12,BN458+1,BN458)</f>
        <v>38</v>
      </c>
      <c r="BO459" s="468">
        <f t="shared" ref="BO459:BO522" si="381">IF(BO458=12,1,BO458+1)</f>
        <v>6</v>
      </c>
      <c r="BP459" s="467">
        <f t="shared" ca="1" si="369"/>
        <v>56585</v>
      </c>
      <c r="BQ459" s="475">
        <f t="shared" ca="1" si="349"/>
        <v>70</v>
      </c>
      <c r="BR459" s="475" t="str">
        <f t="shared" ref="BR459:BR522" si="382">IF(BO459=12,BN459,"")</f>
        <v/>
      </c>
      <c r="BS459" s="471" t="str">
        <f t="shared" si="370"/>
        <v/>
      </c>
      <c r="BT459" s="472" t="str">
        <f t="shared" si="351"/>
        <v/>
      </c>
      <c r="BU459" s="472">
        <f t="shared" ca="1" si="371"/>
        <v>0</v>
      </c>
      <c r="BV459" s="472">
        <f t="shared" ca="1" si="371"/>
        <v>0</v>
      </c>
      <c r="BW459" s="472"/>
      <c r="BX459" s="473">
        <f t="shared" ca="1" si="372"/>
        <v>464756.98394994199</v>
      </c>
      <c r="BY459" s="473">
        <f t="shared" si="373"/>
        <v>0</v>
      </c>
      <c r="BZ459" s="473">
        <f t="shared" ca="1" si="355"/>
        <v>1061.8105290589999</v>
      </c>
      <c r="CA459" s="476">
        <f t="shared" ca="1" si="374"/>
        <v>0</v>
      </c>
      <c r="CB459" s="494">
        <f ca="1">IF(OR($Q458&lt;&gt;1,OP!$D$5+$BN459-1&lt;16,$BN459-1&lt;1),0,ROUND(ROUND(ROUND(((VLOOKUP($BN459-1,MORE_PV,5,0)/10000)*VLOOKUP($BN459,MORE_PV,$CB$5,0)),3)*VLOOKUP($BN459,more1,5,0),0)/$R458,0))</f>
        <v>0</v>
      </c>
      <c r="CC459" s="473">
        <f t="shared" ca="1" si="375"/>
        <v>0</v>
      </c>
      <c r="CD459" s="477"/>
    </row>
    <row r="460" spans="2:82" ht="16.5" hidden="1">
      <c r="B460" s="80"/>
      <c r="C460" s="80"/>
      <c r="D460" s="80"/>
      <c r="E460" s="80"/>
      <c r="F460" s="80"/>
      <c r="G460" s="80"/>
      <c r="H460" s="80"/>
      <c r="I460" s="80"/>
      <c r="J460" s="192">
        <f t="shared" si="356"/>
        <v>38</v>
      </c>
      <c r="K460" s="192">
        <f t="shared" si="357"/>
        <v>8</v>
      </c>
      <c r="L460" s="192" t="str">
        <f t="shared" si="352"/>
        <v/>
      </c>
      <c r="M460" s="216">
        <f t="shared" ca="1" si="358"/>
        <v>0</v>
      </c>
      <c r="N460" s="216"/>
      <c r="O460" s="216"/>
      <c r="P460" s="216"/>
      <c r="Q460" s="456" t="str">
        <f t="shared" ca="1" si="359"/>
        <v/>
      </c>
      <c r="R460" s="450">
        <f t="shared" ca="1" si="360"/>
        <v>1</v>
      </c>
      <c r="S460" s="191">
        <f t="shared" si="361"/>
        <v>38</v>
      </c>
      <c r="T460" s="191">
        <f t="shared" si="362"/>
        <v>8</v>
      </c>
      <c r="U460" s="191">
        <f ca="1">OP!$D$5+$S460-1</f>
        <v>70</v>
      </c>
      <c r="V460" s="191" t="str">
        <f t="shared" si="363"/>
        <v/>
      </c>
      <c r="W460" s="350">
        <f ca="1">IF(Q460&lt;&gt;1,0,VLOOKUP(OP!$C$55,PVFB,$S460+2,0))</f>
        <v>0</v>
      </c>
      <c r="X460" s="473">
        <f t="shared" ca="1" si="376"/>
        <v>0</v>
      </c>
      <c r="Y460" s="348">
        <f t="shared" ca="1" si="377"/>
        <v>0</v>
      </c>
      <c r="Z460" s="348">
        <f t="shared" ca="1" si="378"/>
        <v>8012</v>
      </c>
      <c r="AA460" s="348">
        <f ca="1">IF(Q460&lt;&gt;1,0,VLOOKUP(OP!$C$55,PVFB,$S460+2,0))</f>
        <v>0</v>
      </c>
      <c r="AB460" s="488" t="str">
        <f ca="1">IF(AND(S460&lt;OP!$C$24,$U460&lt;15),0,IF(AND($U460&lt;15,$T460=12),ROUND(VLOOKUP($S460,DOWN16,5,0),3),IF($T460=12,ROUND(($Z460/10000)*$AA460,3)+IF(AND($P$7="購買增額繳清保險",T460=12,U460=110),VLOOKUP(S460,$B$10:$H$121,7,0),0),"")))</f>
        <v/>
      </c>
      <c r="AC460" s="350" t="str">
        <f ca="1">IF(AND(S460&lt;OP!$C$24,$U460&lt;15),0,IF(AND($U460&lt;16,$T460=12),VLOOKUP($S460,DOWN16,4,0),IF($T460=12,ROUND(VLOOKUP(OP!$C$55,_DIE2,$S460+1,0)*(Z460/10000),0)+IF(AND($P$7="購買增額繳清保險",T460=12,U460=110),VLOOKUP(S460,$B$10:$H$121,7,0),0),"")))</f>
        <v/>
      </c>
      <c r="AD460" s="347"/>
      <c r="AE460" s="350" t="str">
        <f t="shared" ca="1" si="353"/>
        <v/>
      </c>
      <c r="AF460" s="351" t="str">
        <f t="shared" ca="1" si="354"/>
        <v/>
      </c>
      <c r="AG460" s="340"/>
      <c r="AH460" s="340"/>
      <c r="AI460" s="340"/>
      <c r="AJ460" s="340"/>
      <c r="AK460" s="340"/>
      <c r="AL460" s="340"/>
      <c r="AM460" s="340"/>
      <c r="AN460" s="340"/>
      <c r="AO460" s="340"/>
      <c r="AP460" s="340"/>
      <c r="AQ460" s="340"/>
      <c r="AR460" s="340"/>
      <c r="AS460" s="340"/>
      <c r="AT460" s="340"/>
      <c r="AU460" s="340"/>
      <c r="AV460" s="340"/>
      <c r="AY460" s="340"/>
      <c r="AZ460" s="465">
        <f t="shared" ca="1" si="364"/>
        <v>7.3698599999999999E-5</v>
      </c>
      <c r="BA460" s="464">
        <f t="shared" ca="1" si="365"/>
        <v>2.2109589000000002E-3</v>
      </c>
      <c r="BB460" s="465">
        <f t="shared" ca="1" si="365"/>
        <v>2.2846575E-3</v>
      </c>
      <c r="BC460" s="466">
        <f t="shared" ca="1" si="366"/>
        <v>56615</v>
      </c>
      <c r="BD460" s="467">
        <f t="shared" ca="1" si="379"/>
        <v>56616</v>
      </c>
      <c r="BE460" s="467">
        <f t="shared" ca="1" si="367"/>
        <v>56645</v>
      </c>
      <c r="BF460" s="468">
        <f ca="1">IF(計算!$BC460&lt;OP!$C$3,0,BD460-BC460)</f>
        <v>1</v>
      </c>
      <c r="BG460" s="468">
        <f ca="1">IF($BE460&gt;DATE(YEAR($BD$9)+OP!$C$57,MONTH($BD$9),DAY($BD$9)),0,$BE460-$BD460+1)</f>
        <v>30</v>
      </c>
      <c r="BH460" s="469">
        <f t="shared" ca="1" si="368"/>
        <v>31</v>
      </c>
      <c r="BI460" t="str">
        <f t="shared" si="350"/>
        <v/>
      </c>
      <c r="BJ460">
        <v>7</v>
      </c>
      <c r="BN460" s="468">
        <f t="shared" si="380"/>
        <v>38</v>
      </c>
      <c r="BO460" s="468">
        <f t="shared" si="381"/>
        <v>7</v>
      </c>
      <c r="BP460" s="467">
        <f t="shared" ca="1" si="369"/>
        <v>56616</v>
      </c>
      <c r="BQ460" s="475">
        <f t="shared" ref="BQ460:BQ523" ca="1" si="383">IF(BO459=12,BQ459+1,BQ459)</f>
        <v>70</v>
      </c>
      <c r="BR460" s="475" t="str">
        <f t="shared" si="382"/>
        <v/>
      </c>
      <c r="BS460" s="471" t="str">
        <f t="shared" si="370"/>
        <v/>
      </c>
      <c r="BT460" s="472" t="str">
        <f t="shared" si="351"/>
        <v/>
      </c>
      <c r="BU460" s="472">
        <f t="shared" ca="1" si="371"/>
        <v>0</v>
      </c>
      <c r="BV460" s="472">
        <f t="shared" ca="1" si="371"/>
        <v>0</v>
      </c>
      <c r="BW460" s="472"/>
      <c r="BX460" s="473">
        <f t="shared" ca="1" si="372"/>
        <v>465818.79447900102</v>
      </c>
      <c r="BY460" s="473">
        <f t="shared" si="373"/>
        <v>0</v>
      </c>
      <c r="BZ460" s="473">
        <f t="shared" ca="1" si="355"/>
        <v>1064.236402447</v>
      </c>
      <c r="CA460" s="476">
        <f t="shared" ca="1" si="374"/>
        <v>0</v>
      </c>
      <c r="CB460" s="494">
        <f ca="1">IF(OR($Q459&lt;&gt;1,OP!$D$5+$BN460-1&lt;16,$BN460-1&lt;1),0,ROUND(ROUND(ROUND(((VLOOKUP($BN460-1,MORE_PV,5,0)/10000)*VLOOKUP($BN460,MORE_PV,$CB$5,0)),3)*VLOOKUP($BN460,more1,5,0),0)/$R459,0))</f>
        <v>0</v>
      </c>
      <c r="CC460" s="473">
        <f t="shared" ca="1" si="375"/>
        <v>0</v>
      </c>
      <c r="CD460" s="477"/>
    </row>
    <row r="461" spans="2:82" ht="16.5" hidden="1">
      <c r="B461" s="80"/>
      <c r="C461" s="80"/>
      <c r="D461" s="80"/>
      <c r="E461" s="80"/>
      <c r="F461" s="80"/>
      <c r="G461" s="80"/>
      <c r="H461" s="80"/>
      <c r="I461" s="80"/>
      <c r="J461" s="192">
        <f t="shared" si="356"/>
        <v>38</v>
      </c>
      <c r="K461" s="192">
        <f t="shared" si="357"/>
        <v>9</v>
      </c>
      <c r="L461" s="192" t="str">
        <f t="shared" si="352"/>
        <v/>
      </c>
      <c r="M461" s="216">
        <f t="shared" ca="1" si="358"/>
        <v>0</v>
      </c>
      <c r="N461" s="216"/>
      <c r="O461" s="216"/>
      <c r="P461" s="216"/>
      <c r="Q461" s="456" t="str">
        <f t="shared" ca="1" si="359"/>
        <v/>
      </c>
      <c r="R461" s="450">
        <f t="shared" ca="1" si="360"/>
        <v>1</v>
      </c>
      <c r="S461" s="191">
        <f t="shared" si="361"/>
        <v>38</v>
      </c>
      <c r="T461" s="191">
        <f t="shared" si="362"/>
        <v>9</v>
      </c>
      <c r="U461" s="191">
        <f ca="1">OP!$D$5+$S461-1</f>
        <v>70</v>
      </c>
      <c r="V461" s="191" t="str">
        <f t="shared" si="363"/>
        <v/>
      </c>
      <c r="W461" s="350">
        <f ca="1">IF(Q461&lt;&gt;1,0,VLOOKUP(OP!$C$55,PVFB,$S461+2,0))</f>
        <v>0</v>
      </c>
      <c r="X461" s="473">
        <f t="shared" ca="1" si="376"/>
        <v>0</v>
      </c>
      <c r="Y461" s="348">
        <f t="shared" ca="1" si="377"/>
        <v>0</v>
      </c>
      <c r="Z461" s="348">
        <f t="shared" ca="1" si="378"/>
        <v>8012</v>
      </c>
      <c r="AA461" s="348">
        <f ca="1">IF(Q461&lt;&gt;1,0,VLOOKUP(OP!$C$55,PVFB,$S461+2,0))</f>
        <v>0</v>
      </c>
      <c r="AB461" s="488" t="str">
        <f ca="1">IF(AND(S461&lt;OP!$C$24,$U461&lt;15),0,IF(AND($U461&lt;15,$T461=12),ROUND(VLOOKUP($S461,DOWN16,5,0),3),IF($T461=12,ROUND(($Z461/10000)*$AA461,3)+IF(AND($P$7="購買增額繳清保險",T461=12,U461=110),VLOOKUP(S461,$B$10:$H$121,7,0),0),"")))</f>
        <v/>
      </c>
      <c r="AC461" s="350" t="str">
        <f ca="1">IF(AND(S461&lt;OP!$C$24,$U461&lt;15),0,IF(AND($U461&lt;16,$T461=12),VLOOKUP($S461,DOWN16,4,0),IF($T461=12,ROUND(VLOOKUP(OP!$C$55,_DIE2,$S461+1,0)*(Z461/10000),0)+IF(AND($P$7="購買增額繳清保險",T461=12,U461=110),VLOOKUP(S461,$B$10:$H$121,7,0),0),"")))</f>
        <v/>
      </c>
      <c r="AD461" s="347"/>
      <c r="AE461" s="350" t="str">
        <f t="shared" ca="1" si="353"/>
        <v/>
      </c>
      <c r="AF461" s="351" t="str">
        <f t="shared" ca="1" si="354"/>
        <v/>
      </c>
      <c r="AG461" s="340"/>
      <c r="AH461" s="340"/>
      <c r="AI461" s="340"/>
      <c r="AJ461" s="340"/>
      <c r="AK461" s="340"/>
      <c r="AL461" s="340"/>
      <c r="AM461" s="340"/>
      <c r="AN461" s="340"/>
      <c r="AO461" s="340"/>
      <c r="AP461" s="340"/>
      <c r="AQ461" s="340"/>
      <c r="AR461" s="340"/>
      <c r="AS461" s="340"/>
      <c r="AT461" s="340"/>
      <c r="AU461" s="340"/>
      <c r="AV461" s="340"/>
      <c r="AY461" s="340"/>
      <c r="AZ461" s="465">
        <f t="shared" ca="1" si="364"/>
        <v>7.3698599999999999E-5</v>
      </c>
      <c r="BA461" s="464">
        <f t="shared" ca="1" si="365"/>
        <v>1.9898630000000001E-3</v>
      </c>
      <c r="BB461" s="465">
        <f t="shared" ca="1" si="365"/>
        <v>2.0635616E-3</v>
      </c>
      <c r="BC461" s="466">
        <f t="shared" ca="1" si="366"/>
        <v>56646</v>
      </c>
      <c r="BD461" s="467">
        <f t="shared" ca="1" si="379"/>
        <v>56647</v>
      </c>
      <c r="BE461" s="467">
        <f t="shared" ca="1" si="367"/>
        <v>56673</v>
      </c>
      <c r="BF461" s="468">
        <f ca="1">IF(計算!$BC461&lt;OP!$C$3,0,BD461-BC461)</f>
        <v>1</v>
      </c>
      <c r="BG461" s="468">
        <f ca="1">IF($BE461&gt;DATE(YEAR($BD$9)+OP!$C$57,MONTH($BD$9),DAY($BD$9)),0,$BE461-$BD461+1)</f>
        <v>27</v>
      </c>
      <c r="BH461" s="469">
        <f t="shared" ca="1" si="368"/>
        <v>28</v>
      </c>
      <c r="BI461" t="str">
        <f t="shared" si="350"/>
        <v/>
      </c>
      <c r="BJ461">
        <v>8</v>
      </c>
      <c r="BN461" s="468">
        <f t="shared" si="380"/>
        <v>38</v>
      </c>
      <c r="BO461" s="468">
        <f t="shared" si="381"/>
        <v>8</v>
      </c>
      <c r="BP461" s="467">
        <f t="shared" ca="1" si="369"/>
        <v>56647</v>
      </c>
      <c r="BQ461" s="475">
        <f t="shared" ca="1" si="383"/>
        <v>70</v>
      </c>
      <c r="BR461" s="475" t="str">
        <f t="shared" si="382"/>
        <v/>
      </c>
      <c r="BS461" s="471" t="str">
        <f t="shared" si="370"/>
        <v/>
      </c>
      <c r="BT461" s="472" t="str">
        <f t="shared" si="351"/>
        <v/>
      </c>
      <c r="BU461" s="472">
        <f t="shared" ca="1" si="371"/>
        <v>0</v>
      </c>
      <c r="BV461" s="472">
        <f t="shared" ca="1" si="371"/>
        <v>0</v>
      </c>
      <c r="BW461" s="472"/>
      <c r="BX461" s="473">
        <f t="shared" ca="1" si="372"/>
        <v>466883.03088144801</v>
      </c>
      <c r="BY461" s="473">
        <f t="shared" si="373"/>
        <v>0</v>
      </c>
      <c r="BZ461" s="473">
        <f t="shared" ca="1" si="355"/>
        <v>963.44189421900001</v>
      </c>
      <c r="CA461" s="476">
        <f t="shared" ca="1" si="374"/>
        <v>0</v>
      </c>
      <c r="CB461" s="494">
        <f ca="1">IF(OR($Q460&lt;&gt;1,OP!$D$5+$BN461-1&lt;16,$BN461-1&lt;1),0,ROUND(ROUND(ROUND(((VLOOKUP($BN461-1,MORE_PV,5,0)/10000)*VLOOKUP($BN461,MORE_PV,$CB$5,0)),3)*VLOOKUP($BN461,more1,5,0),0)/$R460,0))</f>
        <v>0</v>
      </c>
      <c r="CC461" s="473">
        <f t="shared" ca="1" si="375"/>
        <v>0</v>
      </c>
      <c r="CD461" s="477"/>
    </row>
    <row r="462" spans="2:82" ht="16.5" hidden="1">
      <c r="B462" s="80"/>
      <c r="C462" s="80"/>
      <c r="D462" s="80"/>
      <c r="E462" s="80"/>
      <c r="F462" s="80"/>
      <c r="G462" s="80"/>
      <c r="H462" s="80"/>
      <c r="I462" s="80"/>
      <c r="J462" s="192">
        <f t="shared" si="356"/>
        <v>38</v>
      </c>
      <c r="K462" s="192">
        <f t="shared" si="357"/>
        <v>10</v>
      </c>
      <c r="L462" s="192" t="str">
        <f t="shared" si="352"/>
        <v/>
      </c>
      <c r="M462" s="216">
        <f t="shared" ca="1" si="358"/>
        <v>0</v>
      </c>
      <c r="N462" s="216"/>
      <c r="O462" s="216"/>
      <c r="P462" s="216"/>
      <c r="Q462" s="456" t="str">
        <f t="shared" ca="1" si="359"/>
        <v/>
      </c>
      <c r="R462" s="450">
        <f t="shared" ca="1" si="360"/>
        <v>1</v>
      </c>
      <c r="S462" s="191">
        <f t="shared" si="361"/>
        <v>38</v>
      </c>
      <c r="T462" s="191">
        <f t="shared" si="362"/>
        <v>10</v>
      </c>
      <c r="U462" s="191">
        <f ca="1">OP!$D$5+$S462-1</f>
        <v>70</v>
      </c>
      <c r="V462" s="191" t="str">
        <f t="shared" si="363"/>
        <v/>
      </c>
      <c r="W462" s="350">
        <f ca="1">IF(Q462&lt;&gt;1,0,VLOOKUP(OP!$C$55,PVFB,$S462+2,0))</f>
        <v>0</v>
      </c>
      <c r="X462" s="473">
        <f t="shared" ca="1" si="376"/>
        <v>0</v>
      </c>
      <c r="Y462" s="348">
        <f t="shared" ca="1" si="377"/>
        <v>0</v>
      </c>
      <c r="Z462" s="348">
        <f t="shared" ca="1" si="378"/>
        <v>8012</v>
      </c>
      <c r="AA462" s="348">
        <f ca="1">IF(Q462&lt;&gt;1,0,VLOOKUP(OP!$C$55,PVFB,$S462+2,0))</f>
        <v>0</v>
      </c>
      <c r="AB462" s="488" t="str">
        <f ca="1">IF(AND(S462&lt;OP!$C$24,$U462&lt;15),0,IF(AND($U462&lt;15,$T462=12),ROUND(VLOOKUP($S462,DOWN16,5,0),3),IF($T462=12,ROUND(($Z462/10000)*$AA462,3)+IF(AND($P$7="購買增額繳清保險",T462=12,U462=110),VLOOKUP(S462,$B$10:$H$121,7,0),0),"")))</f>
        <v/>
      </c>
      <c r="AC462" s="350" t="str">
        <f ca="1">IF(AND(S462&lt;OP!$C$24,$U462&lt;15),0,IF(AND($U462&lt;16,$T462=12),VLOOKUP($S462,DOWN16,4,0),IF($T462=12,ROUND(VLOOKUP(OP!$C$55,_DIE2,$S462+1,0)*(Z462/10000),0)+IF(AND($P$7="購買增額繳清保險",T462=12,U462=110),VLOOKUP(S462,$B$10:$H$121,7,0),0),"")))</f>
        <v/>
      </c>
      <c r="AD462" s="347"/>
      <c r="AE462" s="350" t="str">
        <f t="shared" ca="1" si="353"/>
        <v/>
      </c>
      <c r="AF462" s="351" t="str">
        <f t="shared" ca="1" si="354"/>
        <v/>
      </c>
      <c r="AG462" s="340"/>
      <c r="AH462" s="340"/>
      <c r="AI462" s="340"/>
      <c r="AJ462" s="340"/>
      <c r="AK462" s="340"/>
      <c r="AL462" s="340"/>
      <c r="AM462" s="340"/>
      <c r="AN462" s="340"/>
      <c r="AO462" s="340"/>
      <c r="AP462" s="340"/>
      <c r="AQ462" s="340"/>
      <c r="AR462" s="340"/>
      <c r="AS462" s="340"/>
      <c r="AT462" s="340"/>
      <c r="AU462" s="340"/>
      <c r="AV462" s="340"/>
      <c r="AY462" s="340"/>
      <c r="AZ462" s="465">
        <f t="shared" ca="1" si="364"/>
        <v>7.3698599999999999E-5</v>
      </c>
      <c r="BA462" s="464">
        <f t="shared" ca="1" si="365"/>
        <v>2.2109589000000002E-3</v>
      </c>
      <c r="BB462" s="465">
        <f t="shared" ca="1" si="365"/>
        <v>2.2846575E-3</v>
      </c>
      <c r="BC462" s="466">
        <f t="shared" ca="1" si="366"/>
        <v>56674</v>
      </c>
      <c r="BD462" s="467">
        <f t="shared" ca="1" si="379"/>
        <v>56675</v>
      </c>
      <c r="BE462" s="467">
        <f t="shared" ca="1" si="367"/>
        <v>56704</v>
      </c>
      <c r="BF462" s="468">
        <f ca="1">IF(計算!$BC462&lt;OP!$C$3,0,BD462-BC462)</f>
        <v>1</v>
      </c>
      <c r="BG462" s="468">
        <f ca="1">IF($BE462&gt;DATE(YEAR($BD$9)+OP!$C$57,MONTH($BD$9),DAY($BD$9)),0,$BE462-$BD462+1)</f>
        <v>30</v>
      </c>
      <c r="BH462" s="469">
        <f t="shared" ca="1" si="368"/>
        <v>31</v>
      </c>
      <c r="BI462" t="str">
        <f t="shared" si="350"/>
        <v/>
      </c>
      <c r="BJ462">
        <v>9</v>
      </c>
      <c r="BN462" s="468">
        <f t="shared" si="380"/>
        <v>38</v>
      </c>
      <c r="BO462" s="468">
        <f t="shared" si="381"/>
        <v>9</v>
      </c>
      <c r="BP462" s="467">
        <f t="shared" ca="1" si="369"/>
        <v>56675</v>
      </c>
      <c r="BQ462" s="475">
        <f t="shared" ca="1" si="383"/>
        <v>70</v>
      </c>
      <c r="BR462" s="475" t="str">
        <f t="shared" si="382"/>
        <v/>
      </c>
      <c r="BS462" s="471" t="str">
        <f t="shared" si="370"/>
        <v/>
      </c>
      <c r="BT462" s="472" t="str">
        <f t="shared" si="351"/>
        <v/>
      </c>
      <c r="BU462" s="472">
        <f t="shared" ca="1" si="371"/>
        <v>0</v>
      </c>
      <c r="BV462" s="472">
        <f t="shared" ca="1" si="371"/>
        <v>0</v>
      </c>
      <c r="BW462" s="472"/>
      <c r="BX462" s="473">
        <f t="shared" ca="1" si="372"/>
        <v>467846.47277566697</v>
      </c>
      <c r="BY462" s="473">
        <f t="shared" si="373"/>
        <v>0</v>
      </c>
      <c r="BZ462" s="473">
        <f t="shared" ca="1" si="355"/>
        <v>1068.8689528750001</v>
      </c>
      <c r="CA462" s="476">
        <f t="shared" ca="1" si="374"/>
        <v>0</v>
      </c>
      <c r="CB462" s="494">
        <f ca="1">IF(OR($Q461&lt;&gt;1,OP!$D$5+$BN462-1&lt;16,$BN462-1&lt;1),0,ROUND(ROUND(ROUND(((VLOOKUP($BN462-1,MORE_PV,5,0)/10000)*VLOOKUP($BN462,MORE_PV,$CB$5,0)),3)*VLOOKUP($BN462,more1,5,0),0)/$R461,0))</f>
        <v>0</v>
      </c>
      <c r="CC462" s="473">
        <f t="shared" ca="1" si="375"/>
        <v>0</v>
      </c>
      <c r="CD462" s="477"/>
    </row>
    <row r="463" spans="2:82" ht="16.5" hidden="1">
      <c r="B463" s="80"/>
      <c r="C463" s="80"/>
      <c r="D463" s="80"/>
      <c r="E463" s="80"/>
      <c r="F463" s="80"/>
      <c r="G463" s="80"/>
      <c r="H463" s="80"/>
      <c r="I463" s="80"/>
      <c r="J463" s="192">
        <f t="shared" si="356"/>
        <v>38</v>
      </c>
      <c r="K463" s="192">
        <f t="shared" si="357"/>
        <v>11</v>
      </c>
      <c r="L463" s="192" t="str">
        <f t="shared" si="352"/>
        <v/>
      </c>
      <c r="M463" s="216">
        <f t="shared" ca="1" si="358"/>
        <v>0</v>
      </c>
      <c r="N463" s="216"/>
      <c r="O463" s="216"/>
      <c r="P463" s="216"/>
      <c r="Q463" s="456" t="str">
        <f t="shared" ca="1" si="359"/>
        <v/>
      </c>
      <c r="R463" s="450">
        <f t="shared" ca="1" si="360"/>
        <v>1</v>
      </c>
      <c r="S463" s="191">
        <f t="shared" si="361"/>
        <v>38</v>
      </c>
      <c r="T463" s="191">
        <f t="shared" si="362"/>
        <v>11</v>
      </c>
      <c r="U463" s="191">
        <f ca="1">OP!$D$5+$S463-1</f>
        <v>70</v>
      </c>
      <c r="V463" s="191" t="str">
        <f t="shared" si="363"/>
        <v/>
      </c>
      <c r="W463" s="350">
        <f ca="1">IF(Q463&lt;&gt;1,0,VLOOKUP(OP!$C$55,PVFB,$S463+2,0))</f>
        <v>0</v>
      </c>
      <c r="X463" s="473">
        <f t="shared" ca="1" si="376"/>
        <v>0</v>
      </c>
      <c r="Y463" s="348">
        <f t="shared" ca="1" si="377"/>
        <v>0</v>
      </c>
      <c r="Z463" s="348">
        <f t="shared" ca="1" si="378"/>
        <v>8012</v>
      </c>
      <c r="AA463" s="348">
        <f ca="1">IF(Q463&lt;&gt;1,0,VLOOKUP(OP!$C$55,PVFB,$S463+2,0))</f>
        <v>0</v>
      </c>
      <c r="AB463" s="488" t="str">
        <f ca="1">IF(AND(S463&lt;OP!$C$24,$U463&lt;15),0,IF(AND($U463&lt;15,$T463=12),ROUND(VLOOKUP($S463,DOWN16,5,0),3),IF($T463=12,ROUND(($Z463/10000)*$AA463,3)+IF(AND($P$7="購買增額繳清保險",T463=12,U463=110),VLOOKUP(S463,$B$10:$H$121,7,0),0),"")))</f>
        <v/>
      </c>
      <c r="AC463" s="350" t="str">
        <f ca="1">IF(AND(S463&lt;OP!$C$24,$U463&lt;15),0,IF(AND($U463&lt;16,$T463=12),VLOOKUP($S463,DOWN16,4,0),IF($T463=12,ROUND(VLOOKUP(OP!$C$55,_DIE2,$S463+1,0)*(Z463/10000),0)+IF(AND($P$7="購買增額繳清保險",T463=12,U463=110),VLOOKUP(S463,$B$10:$H$121,7,0),0),"")))</f>
        <v/>
      </c>
      <c r="AD463" s="347"/>
      <c r="AE463" s="350" t="str">
        <f t="shared" ca="1" si="353"/>
        <v/>
      </c>
      <c r="AF463" s="351" t="str">
        <f t="shared" ca="1" si="354"/>
        <v/>
      </c>
      <c r="AG463" s="340"/>
      <c r="AH463" s="340"/>
      <c r="AI463" s="340"/>
      <c r="AJ463" s="340"/>
      <c r="AK463" s="340"/>
      <c r="AL463" s="340"/>
      <c r="AM463" s="340"/>
      <c r="AN463" s="340"/>
      <c r="AO463" s="340"/>
      <c r="AP463" s="340"/>
      <c r="AQ463" s="340"/>
      <c r="AR463" s="340"/>
      <c r="AS463" s="340"/>
      <c r="AT463" s="340"/>
      <c r="AU463" s="340"/>
      <c r="AV463" s="340"/>
      <c r="AY463" s="340"/>
      <c r="AZ463" s="465">
        <f t="shared" ca="1" si="364"/>
        <v>7.3698599999999999E-5</v>
      </c>
      <c r="BA463" s="464">
        <f t="shared" ca="1" si="365"/>
        <v>2.1372602999999999E-3</v>
      </c>
      <c r="BB463" s="465">
        <f t="shared" ca="1" si="365"/>
        <v>2.2109589000000002E-3</v>
      </c>
      <c r="BC463" s="466">
        <f t="shared" ca="1" si="366"/>
        <v>56705</v>
      </c>
      <c r="BD463" s="467">
        <f t="shared" ca="1" si="379"/>
        <v>56706</v>
      </c>
      <c r="BE463" s="467">
        <f t="shared" ca="1" si="367"/>
        <v>56734</v>
      </c>
      <c r="BF463" s="468">
        <f ca="1">IF(計算!$BC463&lt;OP!$C$3,0,BD463-BC463)</f>
        <v>1</v>
      </c>
      <c r="BG463" s="468">
        <f ca="1">IF($BE463&gt;DATE(YEAR($BD$9)+OP!$C$57,MONTH($BD$9),DAY($BD$9)),0,$BE463-$BD463+1)</f>
        <v>29</v>
      </c>
      <c r="BH463" s="469">
        <f t="shared" ca="1" si="368"/>
        <v>30</v>
      </c>
      <c r="BI463" t="str">
        <f t="shared" si="350"/>
        <v/>
      </c>
      <c r="BJ463">
        <v>10</v>
      </c>
      <c r="BN463" s="468">
        <f t="shared" si="380"/>
        <v>38</v>
      </c>
      <c r="BO463" s="468">
        <f t="shared" si="381"/>
        <v>10</v>
      </c>
      <c r="BP463" s="467">
        <f t="shared" ca="1" si="369"/>
        <v>56706</v>
      </c>
      <c r="BQ463" s="475">
        <f t="shared" ca="1" si="383"/>
        <v>70</v>
      </c>
      <c r="BR463" s="475" t="str">
        <f t="shared" si="382"/>
        <v/>
      </c>
      <c r="BS463" s="471" t="str">
        <f t="shared" si="370"/>
        <v/>
      </c>
      <c r="BT463" s="472" t="str">
        <f t="shared" si="351"/>
        <v/>
      </c>
      <c r="BU463" s="472">
        <f t="shared" ca="1" si="371"/>
        <v>0</v>
      </c>
      <c r="BV463" s="472">
        <f t="shared" ca="1" si="371"/>
        <v>0</v>
      </c>
      <c r="BW463" s="472"/>
      <c r="BX463" s="473">
        <f t="shared" ca="1" si="372"/>
        <v>468915.341728542</v>
      </c>
      <c r="BY463" s="473">
        <f t="shared" si="373"/>
        <v>0</v>
      </c>
      <c r="BZ463" s="473">
        <f t="shared" ca="1" si="355"/>
        <v>1036.752548141</v>
      </c>
      <c r="CA463" s="476">
        <f t="shared" ca="1" si="374"/>
        <v>0</v>
      </c>
      <c r="CB463" s="494">
        <f ca="1">IF(OR($Q462&lt;&gt;1,OP!$D$5+$BN463-1&lt;16,$BN463-1&lt;1),0,ROUND(ROUND(ROUND(((VLOOKUP($BN463-1,MORE_PV,5,0)/10000)*VLOOKUP($BN463,MORE_PV,$CB$5,0)),3)*VLOOKUP($BN463,more1,5,0),0)/$R462,0))</f>
        <v>0</v>
      </c>
      <c r="CC463" s="473">
        <f t="shared" ca="1" si="375"/>
        <v>0</v>
      </c>
      <c r="CD463" s="477"/>
    </row>
    <row r="464" spans="2:82" ht="16.5" hidden="1">
      <c r="B464" s="80"/>
      <c r="C464" s="80"/>
      <c r="D464" s="80"/>
      <c r="E464" s="80"/>
      <c r="F464" s="80"/>
      <c r="G464" s="80"/>
      <c r="H464" s="80"/>
      <c r="I464" s="80"/>
      <c r="J464" s="192">
        <f t="shared" si="356"/>
        <v>38</v>
      </c>
      <c r="K464" s="192">
        <f t="shared" si="357"/>
        <v>12</v>
      </c>
      <c r="L464" s="192">
        <f t="shared" si="352"/>
        <v>38</v>
      </c>
      <c r="M464" s="216">
        <f t="shared" ca="1" si="358"/>
        <v>484601</v>
      </c>
      <c r="N464" s="216"/>
      <c r="O464" s="216"/>
      <c r="P464" s="216"/>
      <c r="Q464" s="456">
        <f t="shared" ca="1" si="359"/>
        <v>1</v>
      </c>
      <c r="R464" s="450">
        <f t="shared" ca="1" si="360"/>
        <v>1</v>
      </c>
      <c r="S464" s="191">
        <f t="shared" si="361"/>
        <v>38</v>
      </c>
      <c r="T464" s="191">
        <f t="shared" si="362"/>
        <v>12</v>
      </c>
      <c r="U464" s="191">
        <f ca="1">OP!$D$5+$S464-1</f>
        <v>70</v>
      </c>
      <c r="V464" s="191">
        <f t="shared" si="363"/>
        <v>38</v>
      </c>
      <c r="W464" s="350">
        <f ca="1">IF(Q464&lt;&gt;1,0,VLOOKUP(OP!$C$55,PVFB,$S464+2,0))</f>
        <v>56385</v>
      </c>
      <c r="X464" s="473">
        <f t="shared" ca="1" si="376"/>
        <v>13540</v>
      </c>
      <c r="Y464" s="348">
        <f t="shared" ca="1" si="377"/>
        <v>0</v>
      </c>
      <c r="Z464" s="348">
        <f t="shared" ca="1" si="378"/>
        <v>8012</v>
      </c>
      <c r="AA464" s="348">
        <f ca="1">IF(Q464&lt;&gt;1,0,VLOOKUP(OP!$C$55,PVFB,$S464+2,0))</f>
        <v>56385</v>
      </c>
      <c r="AB464" s="488">
        <f ca="1">IF(AND(S464&lt;OP!$C$24,$U464&lt;15),0,IF(AND($U464&lt;15,$T464=12),ROUND(VLOOKUP($S464,DOWN16,5,0),3),IF($T464=12,ROUND(($Z464/10000)*$AA464,3)+IF(AND($P$7="購買增額繳清保險",T464=12,U464=110),VLOOKUP(S464,$B$10:$H$121,7,0),0),"")))</f>
        <v>45175.661999999997</v>
      </c>
      <c r="AC464" s="350">
        <f ca="1">IF(AND(S464&lt;OP!$C$24,$U464&lt;15),0,IF(AND($U464&lt;16,$T464=12),VLOOKUP($S464,DOWN16,4,0),IF($T464=12,ROUND(VLOOKUP(OP!$C$55,_DIE2,$S464+1,0)*(Z464/10000),0)+IF(AND($P$7="購買增額繳清保險",T464=12,U464=110),VLOOKUP(S464,$B$10:$H$121,7,0),0),"")))</f>
        <v>45176</v>
      </c>
      <c r="AD464" s="347"/>
      <c r="AE464" s="350" t="str">
        <f t="shared" ca="1" si="353"/>
        <v/>
      </c>
      <c r="AF464" s="351" t="str">
        <f t="shared" ca="1" si="354"/>
        <v/>
      </c>
      <c r="AG464" s="340"/>
      <c r="AH464" s="340"/>
      <c r="AI464" s="340"/>
      <c r="AJ464" s="340"/>
      <c r="AK464" s="340"/>
      <c r="AL464" s="340"/>
      <c r="AM464" s="340"/>
      <c r="AN464" s="340"/>
      <c r="AO464" s="340"/>
      <c r="AP464" s="340"/>
      <c r="AQ464" s="340"/>
      <c r="AR464" s="340"/>
      <c r="AS464" s="340"/>
      <c r="AT464" s="340"/>
      <c r="AU464" s="340"/>
      <c r="AV464" s="340"/>
      <c r="AY464" s="340"/>
      <c r="AZ464" s="465">
        <f t="shared" ca="1" si="364"/>
        <v>7.3698599999999999E-5</v>
      </c>
      <c r="BA464" s="464">
        <f t="shared" ca="1" si="365"/>
        <v>2.2109589000000002E-3</v>
      </c>
      <c r="BB464" s="465">
        <f t="shared" ca="1" si="365"/>
        <v>2.2846575E-3</v>
      </c>
      <c r="BC464" s="466">
        <f t="shared" ca="1" si="366"/>
        <v>56735</v>
      </c>
      <c r="BD464" s="467">
        <f t="shared" ca="1" si="379"/>
        <v>56736</v>
      </c>
      <c r="BE464" s="467">
        <f t="shared" ca="1" si="367"/>
        <v>56765</v>
      </c>
      <c r="BF464" s="468">
        <f ca="1">IF(計算!$BC464&lt;OP!$C$3,0,BD464-BC464)</f>
        <v>1</v>
      </c>
      <c r="BG464" s="468">
        <f ca="1">IF($BE464&gt;DATE(YEAR($BD$9)+OP!$C$57,MONTH($BD$9),DAY($BD$9)),0,$BE464-$BD464+1)</f>
        <v>30</v>
      </c>
      <c r="BH464" s="469">
        <f t="shared" ca="1" si="368"/>
        <v>31</v>
      </c>
      <c r="BI464" t="str">
        <f t="shared" si="350"/>
        <v/>
      </c>
      <c r="BJ464">
        <v>11</v>
      </c>
      <c r="BN464" s="468">
        <f t="shared" si="380"/>
        <v>38</v>
      </c>
      <c r="BO464" s="468">
        <f t="shared" si="381"/>
        <v>11</v>
      </c>
      <c r="BP464" s="467">
        <f t="shared" ca="1" si="369"/>
        <v>56736</v>
      </c>
      <c r="BQ464" s="475">
        <f t="shared" ca="1" si="383"/>
        <v>70</v>
      </c>
      <c r="BR464" s="475" t="str">
        <f t="shared" si="382"/>
        <v/>
      </c>
      <c r="BS464" s="471" t="str">
        <f t="shared" si="370"/>
        <v/>
      </c>
      <c r="BT464" s="472" t="str">
        <f t="shared" si="351"/>
        <v/>
      </c>
      <c r="BU464" s="472">
        <f t="shared" ca="1" si="371"/>
        <v>0</v>
      </c>
      <c r="BV464" s="472">
        <f t="shared" ca="1" si="371"/>
        <v>0</v>
      </c>
      <c r="BW464" s="472"/>
      <c r="BX464" s="473">
        <f t="shared" ca="1" si="372"/>
        <v>469952.094276683</v>
      </c>
      <c r="BY464" s="473">
        <f t="shared" si="373"/>
        <v>0</v>
      </c>
      <c r="BZ464" s="473">
        <f t="shared" ca="1" si="355"/>
        <v>1073.6795768300001</v>
      </c>
      <c r="CA464" s="476">
        <f t="shared" ca="1" si="374"/>
        <v>0</v>
      </c>
      <c r="CB464" s="494">
        <f ca="1">IF(OR($Q463&lt;&gt;1,OP!$D$5+$BN464-1&lt;16,$BN464-1&lt;1),0,ROUND(ROUND(ROUND(((VLOOKUP($BN464-1,MORE_PV,5,0)/10000)*VLOOKUP($BN464,MORE_PV,$CB$5,0)),3)*VLOOKUP($BN464,more1,5,0),0)/$R463,0))</f>
        <v>0</v>
      </c>
      <c r="CC464" s="473">
        <f t="shared" ca="1" si="375"/>
        <v>0</v>
      </c>
      <c r="CD464" s="477"/>
    </row>
    <row r="465" spans="2:82" ht="16.5" hidden="1">
      <c r="B465" s="80"/>
      <c r="C465" s="80"/>
      <c r="D465" s="80"/>
      <c r="E465" s="80"/>
      <c r="F465" s="80"/>
      <c r="G465" s="80"/>
      <c r="H465" s="80"/>
      <c r="I465" s="80"/>
      <c r="J465" s="192">
        <f t="shared" si="356"/>
        <v>39</v>
      </c>
      <c r="K465" s="192">
        <f t="shared" si="357"/>
        <v>1</v>
      </c>
      <c r="L465" s="192" t="str">
        <f t="shared" si="352"/>
        <v/>
      </c>
      <c r="M465" s="216">
        <f t="shared" ca="1" si="358"/>
        <v>0</v>
      </c>
      <c r="N465" s="216"/>
      <c r="O465" s="216"/>
      <c r="P465" s="216"/>
      <c r="Q465" s="456" t="str">
        <f t="shared" ca="1" si="359"/>
        <v/>
      </c>
      <c r="R465" s="450">
        <f t="shared" ca="1" si="360"/>
        <v>1</v>
      </c>
      <c r="S465" s="191">
        <f t="shared" si="361"/>
        <v>39</v>
      </c>
      <c r="T465" s="191">
        <f t="shared" si="362"/>
        <v>1</v>
      </c>
      <c r="U465" s="191">
        <f ca="1">OP!$D$5+$S465-1</f>
        <v>71</v>
      </c>
      <c r="V465" s="191" t="str">
        <f t="shared" si="363"/>
        <v/>
      </c>
      <c r="W465" s="350">
        <f ca="1">IF(Q465&lt;&gt;1,0,VLOOKUP(OP!$C$55,PVFB,$S465+2,0))</f>
        <v>0</v>
      </c>
      <c r="X465" s="473">
        <f t="shared" ca="1" si="376"/>
        <v>0</v>
      </c>
      <c r="Y465" s="348">
        <f t="shared" ca="1" si="377"/>
        <v>0</v>
      </c>
      <c r="Z465" s="348">
        <f t="shared" ca="1" si="378"/>
        <v>8012</v>
      </c>
      <c r="AA465" s="348">
        <f ca="1">IF(Q465&lt;&gt;1,0,VLOOKUP(OP!$C$55,PVFB,$S465+2,0))</f>
        <v>0</v>
      </c>
      <c r="AB465" s="488" t="str">
        <f ca="1">IF(AND(S465&lt;OP!$C$24,$U465&lt;15),0,IF(AND($U465&lt;15,$T465=12),ROUND(VLOOKUP($S465,DOWN16,5,0),3),IF($T465=12,ROUND(($Z465/10000)*$AA465,3)+IF(AND($P$7="購買增額繳清保險",T465=12,U465=110),VLOOKUP(S465,$B$10:$H$121,7,0),0),"")))</f>
        <v/>
      </c>
      <c r="AC465" s="350" t="str">
        <f ca="1">IF(AND(S465&lt;OP!$C$24,$U465&lt;15),0,IF(AND($U465&lt;16,$T465=12),VLOOKUP($S465,DOWN16,4,0),IF($T465=12,ROUND(VLOOKUP(OP!$C$55,_DIE2,$S465+1,0)*(Z465/10000),0)+IF(AND($P$7="購買增額繳清保險",T465=12,U465=110),VLOOKUP(S465,$B$10:$H$121,7,0),0),"")))</f>
        <v/>
      </c>
      <c r="AD465" s="347"/>
      <c r="AE465" s="350" t="str">
        <f t="shared" ca="1" si="353"/>
        <v/>
      </c>
      <c r="AF465" s="351" t="str">
        <f t="shared" ca="1" si="354"/>
        <v/>
      </c>
      <c r="AG465" s="340"/>
      <c r="AH465" s="340"/>
      <c r="AI465" s="340"/>
      <c r="AJ465" s="340"/>
      <c r="AK465" s="340"/>
      <c r="AL465" s="340"/>
      <c r="AM465" s="340"/>
      <c r="AN465" s="340"/>
      <c r="AO465" s="340"/>
      <c r="AP465" s="340"/>
      <c r="AQ465" s="340"/>
      <c r="AR465" s="340"/>
      <c r="AS465" s="340"/>
      <c r="AT465" s="340"/>
      <c r="AU465" s="340"/>
      <c r="AV465" s="340"/>
      <c r="AY465" s="340"/>
      <c r="AZ465" s="465">
        <f t="shared" ca="1" si="364"/>
        <v>7.3698599999999999E-5</v>
      </c>
      <c r="BA465" s="464">
        <f t="shared" ca="1" si="365"/>
        <v>2.1372602999999999E-3</v>
      </c>
      <c r="BB465" s="465">
        <f t="shared" ca="1" si="365"/>
        <v>2.2109589000000002E-3</v>
      </c>
      <c r="BC465" s="466">
        <f t="shared" ca="1" si="366"/>
        <v>56766</v>
      </c>
      <c r="BD465" s="467">
        <f t="shared" ca="1" si="379"/>
        <v>56767</v>
      </c>
      <c r="BE465" s="467">
        <f t="shared" ca="1" si="367"/>
        <v>56795</v>
      </c>
      <c r="BF465" s="468">
        <f ca="1">IF(計算!$BC465&lt;OP!$C$3,0,BD465-BC465)</f>
        <v>1</v>
      </c>
      <c r="BG465" s="468">
        <f ca="1">IF($BE465&gt;DATE(YEAR($BD$9)+OP!$C$57,MONTH($BD$9),DAY($BD$9)),0,$BE465-$BD465+1)</f>
        <v>29</v>
      </c>
      <c r="BH465" s="469">
        <f t="shared" ca="1" si="368"/>
        <v>30</v>
      </c>
      <c r="BI465">
        <f t="shared" ca="1" si="350"/>
        <v>365</v>
      </c>
      <c r="BJ465">
        <v>12</v>
      </c>
      <c r="BN465" s="468">
        <f t="shared" si="380"/>
        <v>38</v>
      </c>
      <c r="BO465" s="468">
        <f t="shared" si="381"/>
        <v>12</v>
      </c>
      <c r="BP465" s="467">
        <f t="shared" ca="1" si="369"/>
        <v>56767</v>
      </c>
      <c r="BQ465" s="475">
        <f t="shared" ca="1" si="383"/>
        <v>70</v>
      </c>
      <c r="BR465" s="475">
        <f t="shared" si="382"/>
        <v>38</v>
      </c>
      <c r="BS465" s="471">
        <f t="shared" ca="1" si="370"/>
        <v>13540</v>
      </c>
      <c r="BT465" s="472">
        <f t="shared" ca="1" si="351"/>
        <v>484601</v>
      </c>
      <c r="BU465" s="472">
        <f t="shared" ca="1" si="371"/>
        <v>13228</v>
      </c>
      <c r="BV465" s="472">
        <f t="shared" ca="1" si="371"/>
        <v>312</v>
      </c>
      <c r="BW465" s="472">
        <f ca="1">ROUND(SUM(BY465,BZ453:BZ464),0)</f>
        <v>12489</v>
      </c>
      <c r="BX465" s="473">
        <f t="shared" ca="1" si="372"/>
        <v>484600.48779361002</v>
      </c>
      <c r="BY465" s="473">
        <f t="shared" ca="1" si="373"/>
        <v>34.713940096999998</v>
      </c>
      <c r="BZ465" s="473">
        <f t="shared" ca="1" si="355"/>
        <v>1035.717383922</v>
      </c>
      <c r="CA465" s="476">
        <f t="shared" ca="1" si="374"/>
        <v>13228</v>
      </c>
      <c r="CB465" s="494">
        <f ca="1">IF(OR($Q464&lt;&gt;1,OP!$D$5+$BN465-1&lt;16,$BN465-1&lt;1),0,ROUND(ROUND(ROUND(((VLOOKUP($BN465-1,MORE_PV,5,0)/10000)*VLOOKUP($BN465,MORE_PV,$CB$5,0)),3)*VLOOKUP($BN465,more1,5,0),0)/$R464,0))</f>
        <v>312</v>
      </c>
      <c r="CC465" s="473">
        <f t="shared" ca="1" si="375"/>
        <v>0</v>
      </c>
      <c r="CD465" s="477"/>
    </row>
    <row r="466" spans="2:82" ht="16.5" hidden="1">
      <c r="B466" s="80"/>
      <c r="C466" s="80"/>
      <c r="D466" s="80"/>
      <c r="E466" s="80"/>
      <c r="F466" s="80"/>
      <c r="G466" s="80"/>
      <c r="H466" s="80"/>
      <c r="I466" s="80"/>
      <c r="J466" s="192">
        <f t="shared" si="356"/>
        <v>39</v>
      </c>
      <c r="K466" s="192">
        <f t="shared" si="357"/>
        <v>2</v>
      </c>
      <c r="L466" s="192" t="str">
        <f t="shared" si="352"/>
        <v/>
      </c>
      <c r="M466" s="216">
        <f t="shared" ca="1" si="358"/>
        <v>0</v>
      </c>
      <c r="N466" s="216"/>
      <c r="O466" s="216"/>
      <c r="P466" s="216"/>
      <c r="Q466" s="456" t="str">
        <f t="shared" ca="1" si="359"/>
        <v/>
      </c>
      <c r="R466" s="450">
        <f t="shared" ca="1" si="360"/>
        <v>1</v>
      </c>
      <c r="S466" s="191">
        <f t="shared" si="361"/>
        <v>39</v>
      </c>
      <c r="T466" s="191">
        <f t="shared" si="362"/>
        <v>2</v>
      </c>
      <c r="U466" s="191">
        <f ca="1">OP!$D$5+$S466-1</f>
        <v>71</v>
      </c>
      <c r="V466" s="191" t="str">
        <f t="shared" si="363"/>
        <v/>
      </c>
      <c r="W466" s="350">
        <f ca="1">IF(Q466&lt;&gt;1,0,VLOOKUP(OP!$C$55,PVFB,$S466+2,0))</f>
        <v>0</v>
      </c>
      <c r="X466" s="473">
        <f t="shared" ca="1" si="376"/>
        <v>0</v>
      </c>
      <c r="Y466" s="348">
        <f t="shared" ca="1" si="377"/>
        <v>0</v>
      </c>
      <c r="Z466" s="348">
        <f t="shared" ca="1" si="378"/>
        <v>8012</v>
      </c>
      <c r="AA466" s="348">
        <f ca="1">IF(Q466&lt;&gt;1,0,VLOOKUP(OP!$C$55,PVFB,$S466+2,0))</f>
        <v>0</v>
      </c>
      <c r="AB466" s="488" t="str">
        <f ca="1">IF(AND(S466&lt;OP!$C$24,$U466&lt;15),0,IF(AND($U466&lt;15,$T466=12),ROUND(VLOOKUP($S466,DOWN16,5,0),3),IF($T466=12,ROUND(($Z466/10000)*$AA466,3)+IF(AND($P$7="購買增額繳清保險",T466=12,U466=110),VLOOKUP(S466,$B$10:$H$121,7,0),0),"")))</f>
        <v/>
      </c>
      <c r="AC466" s="350" t="str">
        <f ca="1">IF(AND(S466&lt;OP!$C$24,$U466&lt;15),0,IF(AND($U466&lt;16,$T466=12),VLOOKUP($S466,DOWN16,4,0),IF($T466=12,ROUND(VLOOKUP(OP!$C$55,_DIE2,$S466+1,0)*(Z466/10000),0)+IF(AND($P$7="購買增額繳清保險",T466=12,U466=110),VLOOKUP(S466,$B$10:$H$121,7,0),0),"")))</f>
        <v/>
      </c>
      <c r="AD466" s="347"/>
      <c r="AE466" s="350" t="str">
        <f t="shared" ca="1" si="353"/>
        <v/>
      </c>
      <c r="AF466" s="351" t="str">
        <f t="shared" ca="1" si="354"/>
        <v/>
      </c>
      <c r="AG466" s="340"/>
      <c r="AH466" s="340"/>
      <c r="AI466" s="340"/>
      <c r="AJ466" s="340"/>
      <c r="AK466" s="340"/>
      <c r="AL466" s="340"/>
      <c r="AM466" s="340"/>
      <c r="AN466" s="340"/>
      <c r="AO466" s="340"/>
      <c r="AP466" s="340"/>
      <c r="AQ466" s="340"/>
      <c r="AR466" s="340"/>
      <c r="AS466" s="340"/>
      <c r="AT466" s="340"/>
      <c r="AU466" s="340"/>
      <c r="AV466" s="340"/>
      <c r="AY466" s="340"/>
      <c r="AZ466" s="465">
        <f t="shared" ca="1" si="364"/>
        <v>7.3698599999999999E-5</v>
      </c>
      <c r="BA466" s="464">
        <f t="shared" ca="1" si="365"/>
        <v>2.2109589000000002E-3</v>
      </c>
      <c r="BB466" s="465">
        <f t="shared" ca="1" si="365"/>
        <v>2.2846575E-3</v>
      </c>
      <c r="BC466" s="466">
        <f t="shared" ca="1" si="366"/>
        <v>56796</v>
      </c>
      <c r="BD466" s="467">
        <f t="shared" ca="1" si="379"/>
        <v>56797</v>
      </c>
      <c r="BE466" s="467">
        <f t="shared" ca="1" si="367"/>
        <v>56826</v>
      </c>
      <c r="BF466" s="468">
        <f ca="1">IF(計算!$BC466&lt;OP!$C$3,0,BD466-BC466)</f>
        <v>1</v>
      </c>
      <c r="BG466" s="468">
        <f ca="1">IF($BE466&gt;DATE(YEAR($BD$9)+OP!$C$57,MONTH($BD$9),DAY($BD$9)),0,$BE466-$BD466+1)</f>
        <v>30</v>
      </c>
      <c r="BH466" s="469">
        <f t="shared" ca="1" si="368"/>
        <v>31</v>
      </c>
      <c r="BI466" t="str">
        <f t="shared" si="350"/>
        <v/>
      </c>
      <c r="BJ466">
        <v>1</v>
      </c>
      <c r="BN466" s="468">
        <f t="shared" si="380"/>
        <v>39</v>
      </c>
      <c r="BO466" s="468">
        <f t="shared" si="381"/>
        <v>1</v>
      </c>
      <c r="BP466" s="467">
        <f t="shared" ca="1" si="369"/>
        <v>56797</v>
      </c>
      <c r="BQ466" s="475">
        <f t="shared" ca="1" si="383"/>
        <v>71</v>
      </c>
      <c r="BR466" s="475" t="str">
        <f t="shared" si="382"/>
        <v/>
      </c>
      <c r="BS466" s="471" t="str">
        <f t="shared" si="370"/>
        <v/>
      </c>
      <c r="BT466" s="472" t="str">
        <f t="shared" si="351"/>
        <v/>
      </c>
      <c r="BU466" s="472">
        <f t="shared" ca="1" si="371"/>
        <v>0</v>
      </c>
      <c r="BV466" s="472">
        <f t="shared" ca="1" si="371"/>
        <v>0</v>
      </c>
      <c r="BW466" s="472"/>
      <c r="BX466" s="473">
        <f t="shared" ca="1" si="372"/>
        <v>485636.20517753199</v>
      </c>
      <c r="BY466" s="473">
        <f t="shared" si="373"/>
        <v>0</v>
      </c>
      <c r="BZ466" s="473">
        <f t="shared" ca="1" si="355"/>
        <v>1109.5123984300001</v>
      </c>
      <c r="CA466" s="476">
        <f t="shared" ca="1" si="374"/>
        <v>0</v>
      </c>
      <c r="CB466" s="494">
        <f ca="1">IF(OR($Q465&lt;&gt;1,OP!$D$5+$BN466-1&lt;16,$BN466-1&lt;1),0,ROUND(ROUND(ROUND(((VLOOKUP($BN466-1,MORE_PV,5,0)/10000)*VLOOKUP($BN466,MORE_PV,$CB$5,0)),3)*VLOOKUP($BN466,more1,5,0),0)/$R465,0))</f>
        <v>0</v>
      </c>
      <c r="CC466" s="473">
        <f t="shared" ca="1" si="375"/>
        <v>0</v>
      </c>
      <c r="CD466" s="477"/>
    </row>
    <row r="467" spans="2:82" ht="16.5" hidden="1">
      <c r="B467" s="80"/>
      <c r="C467" s="80"/>
      <c r="D467" s="80"/>
      <c r="E467" s="80"/>
      <c r="F467" s="80"/>
      <c r="G467" s="80"/>
      <c r="H467" s="80"/>
      <c r="I467" s="80"/>
      <c r="J467" s="192">
        <f t="shared" si="356"/>
        <v>39</v>
      </c>
      <c r="K467" s="192">
        <f t="shared" si="357"/>
        <v>3</v>
      </c>
      <c r="L467" s="192" t="str">
        <f t="shared" si="352"/>
        <v/>
      </c>
      <c r="M467" s="216">
        <f t="shared" ca="1" si="358"/>
        <v>0</v>
      </c>
      <c r="N467" s="216"/>
      <c r="O467" s="216"/>
      <c r="P467" s="216"/>
      <c r="Q467" s="456" t="str">
        <f t="shared" ca="1" si="359"/>
        <v/>
      </c>
      <c r="R467" s="450">
        <f t="shared" ca="1" si="360"/>
        <v>1</v>
      </c>
      <c r="S467" s="191">
        <f t="shared" si="361"/>
        <v>39</v>
      </c>
      <c r="T467" s="191">
        <f t="shared" si="362"/>
        <v>3</v>
      </c>
      <c r="U467" s="191">
        <f ca="1">OP!$D$5+$S467-1</f>
        <v>71</v>
      </c>
      <c r="V467" s="191" t="str">
        <f t="shared" si="363"/>
        <v/>
      </c>
      <c r="W467" s="350">
        <f ca="1">IF(Q467&lt;&gt;1,0,VLOOKUP(OP!$C$55,PVFB,$S467+2,0))</f>
        <v>0</v>
      </c>
      <c r="X467" s="473">
        <f t="shared" ca="1" si="376"/>
        <v>0</v>
      </c>
      <c r="Y467" s="348">
        <f t="shared" ca="1" si="377"/>
        <v>0</v>
      </c>
      <c r="Z467" s="348">
        <f t="shared" ca="1" si="378"/>
        <v>8012</v>
      </c>
      <c r="AA467" s="348">
        <f ca="1">IF(Q467&lt;&gt;1,0,VLOOKUP(OP!$C$55,PVFB,$S467+2,0))</f>
        <v>0</v>
      </c>
      <c r="AB467" s="488" t="str">
        <f ca="1">IF(AND(S467&lt;OP!$C$24,$U467&lt;15),0,IF(AND($U467&lt;15,$T467=12),ROUND(VLOOKUP($S467,DOWN16,5,0),3),IF($T467=12,ROUND(($Z467/10000)*$AA467,3)+IF(AND($P$7="購買增額繳清保險",T467=12,U467=110),VLOOKUP(S467,$B$10:$H$121,7,0),0),"")))</f>
        <v/>
      </c>
      <c r="AC467" s="350" t="str">
        <f ca="1">IF(AND(S467&lt;OP!$C$24,$U467&lt;15),0,IF(AND($U467&lt;16,$T467=12),VLOOKUP($S467,DOWN16,4,0),IF($T467=12,ROUND(VLOOKUP(OP!$C$55,_DIE2,$S467+1,0)*(Z467/10000),0)+IF(AND($P$7="購買增額繳清保險",T467=12,U467=110),VLOOKUP(S467,$B$10:$H$121,7,0),0),"")))</f>
        <v/>
      </c>
      <c r="AD467" s="347"/>
      <c r="AE467" s="350" t="str">
        <f t="shared" ca="1" si="353"/>
        <v/>
      </c>
      <c r="AF467" s="351" t="str">
        <f t="shared" ca="1" si="354"/>
        <v/>
      </c>
      <c r="AG467" s="340"/>
      <c r="AH467" s="340"/>
      <c r="AI467" s="340"/>
      <c r="AJ467" s="340"/>
      <c r="AK467" s="340"/>
      <c r="AL467" s="340"/>
      <c r="AM467" s="340"/>
      <c r="AN467" s="340"/>
      <c r="AO467" s="340"/>
      <c r="AP467" s="340"/>
      <c r="AQ467" s="340"/>
      <c r="AR467" s="340"/>
      <c r="AS467" s="340"/>
      <c r="AT467" s="340"/>
      <c r="AU467" s="340"/>
      <c r="AV467" s="340"/>
      <c r="AY467" s="340"/>
      <c r="AZ467" s="465">
        <f t="shared" ca="1" si="364"/>
        <v>7.3698599999999999E-5</v>
      </c>
      <c r="BA467" s="464">
        <f t="shared" ca="1" si="365"/>
        <v>2.2109589000000002E-3</v>
      </c>
      <c r="BB467" s="465">
        <f t="shared" ca="1" si="365"/>
        <v>2.2846575E-3</v>
      </c>
      <c r="BC467" s="466">
        <f t="shared" ca="1" si="366"/>
        <v>56827</v>
      </c>
      <c r="BD467" s="467">
        <f t="shared" ca="1" si="379"/>
        <v>56828</v>
      </c>
      <c r="BE467" s="467">
        <f t="shared" ca="1" si="367"/>
        <v>56857</v>
      </c>
      <c r="BF467" s="468">
        <f ca="1">IF(計算!$BC467&lt;OP!$C$3,0,BD467-BC467)</f>
        <v>1</v>
      </c>
      <c r="BG467" s="468">
        <f ca="1">IF($BE467&gt;DATE(YEAR($BD$9)+OP!$C$57,MONTH($BD$9),DAY($BD$9)),0,$BE467-$BD467+1)</f>
        <v>30</v>
      </c>
      <c r="BH467" s="469">
        <f t="shared" ca="1" si="368"/>
        <v>31</v>
      </c>
      <c r="BI467" t="str">
        <f t="shared" si="350"/>
        <v/>
      </c>
      <c r="BJ467">
        <v>2</v>
      </c>
      <c r="BN467" s="468">
        <f t="shared" si="380"/>
        <v>39</v>
      </c>
      <c r="BO467" s="468">
        <f t="shared" si="381"/>
        <v>2</v>
      </c>
      <c r="BP467" s="467">
        <f t="shared" ca="1" si="369"/>
        <v>56828</v>
      </c>
      <c r="BQ467" s="475">
        <f t="shared" ca="1" si="383"/>
        <v>71</v>
      </c>
      <c r="BR467" s="475" t="str">
        <f t="shared" si="382"/>
        <v/>
      </c>
      <c r="BS467" s="471" t="str">
        <f t="shared" si="370"/>
        <v/>
      </c>
      <c r="BT467" s="472" t="str">
        <f t="shared" si="351"/>
        <v/>
      </c>
      <c r="BU467" s="472">
        <f t="shared" ca="1" si="371"/>
        <v>0</v>
      </c>
      <c r="BV467" s="472">
        <f t="shared" ca="1" si="371"/>
        <v>0</v>
      </c>
      <c r="BW467" s="472"/>
      <c r="BX467" s="473">
        <f t="shared" ca="1" si="372"/>
        <v>486745.71757596201</v>
      </c>
      <c r="BY467" s="473">
        <f t="shared" si="373"/>
        <v>0</v>
      </c>
      <c r="BZ467" s="473">
        <f t="shared" ca="1" si="355"/>
        <v>1112.0472542529999</v>
      </c>
      <c r="CA467" s="476">
        <f t="shared" ca="1" si="374"/>
        <v>0</v>
      </c>
      <c r="CB467" s="494">
        <f ca="1">IF(OR($Q466&lt;&gt;1,OP!$D$5+$BN467-1&lt;16,$BN467-1&lt;1),0,ROUND(ROUND(ROUND(((VLOOKUP($BN467-1,MORE_PV,5,0)/10000)*VLOOKUP($BN467,MORE_PV,$CB$5,0)),3)*VLOOKUP($BN467,more1,5,0),0)/$R466,0))</f>
        <v>0</v>
      </c>
      <c r="CC467" s="473">
        <f t="shared" ca="1" si="375"/>
        <v>0</v>
      </c>
      <c r="CD467" s="477"/>
    </row>
    <row r="468" spans="2:82" ht="16.5" hidden="1">
      <c r="B468" s="80"/>
      <c r="C468" s="80"/>
      <c r="D468" s="80"/>
      <c r="E468" s="80"/>
      <c r="F468" s="80"/>
      <c r="G468" s="80"/>
      <c r="H468" s="80"/>
      <c r="I468" s="80"/>
      <c r="J468" s="192">
        <f t="shared" si="356"/>
        <v>39</v>
      </c>
      <c r="K468" s="192">
        <f t="shared" si="357"/>
        <v>4</v>
      </c>
      <c r="L468" s="192" t="str">
        <f t="shared" si="352"/>
        <v/>
      </c>
      <c r="M468" s="216">
        <f t="shared" ca="1" si="358"/>
        <v>0</v>
      </c>
      <c r="N468" s="216"/>
      <c r="O468" s="216"/>
      <c r="P468" s="216"/>
      <c r="Q468" s="456" t="str">
        <f t="shared" ca="1" si="359"/>
        <v/>
      </c>
      <c r="R468" s="450">
        <f t="shared" ca="1" si="360"/>
        <v>1</v>
      </c>
      <c r="S468" s="191">
        <f t="shared" si="361"/>
        <v>39</v>
      </c>
      <c r="T468" s="191">
        <f t="shared" si="362"/>
        <v>4</v>
      </c>
      <c r="U468" s="191">
        <f ca="1">OP!$D$5+$S468-1</f>
        <v>71</v>
      </c>
      <c r="V468" s="191" t="str">
        <f t="shared" si="363"/>
        <v/>
      </c>
      <c r="W468" s="350">
        <f ca="1">IF(Q468&lt;&gt;1,0,VLOOKUP(OP!$C$55,PVFB,$S468+2,0))</f>
        <v>0</v>
      </c>
      <c r="X468" s="473">
        <f t="shared" ca="1" si="376"/>
        <v>0</v>
      </c>
      <c r="Y468" s="348">
        <f t="shared" ca="1" si="377"/>
        <v>0</v>
      </c>
      <c r="Z468" s="348">
        <f t="shared" ca="1" si="378"/>
        <v>8012</v>
      </c>
      <c r="AA468" s="348">
        <f ca="1">IF(Q468&lt;&gt;1,0,VLOOKUP(OP!$C$55,PVFB,$S468+2,0))</f>
        <v>0</v>
      </c>
      <c r="AB468" s="488" t="str">
        <f ca="1">IF(AND(S468&lt;OP!$C$24,$U468&lt;15),0,IF(AND($U468&lt;15,$T468=12),ROUND(VLOOKUP($S468,DOWN16,5,0),3),IF($T468=12,ROUND(($Z468/10000)*$AA468,3)+IF(AND($P$7="購買增額繳清保險",T468=12,U468=110),VLOOKUP(S468,$B$10:$H$121,7,0),0),"")))</f>
        <v/>
      </c>
      <c r="AC468" s="350" t="str">
        <f ca="1">IF(AND(S468&lt;OP!$C$24,$U468&lt;15),0,IF(AND($U468&lt;16,$T468=12),VLOOKUP($S468,DOWN16,4,0),IF($T468=12,ROUND(VLOOKUP(OP!$C$55,_DIE2,$S468+1,0)*(Z468/10000),0)+IF(AND($P$7="購買增額繳清保險",T468=12,U468=110),VLOOKUP(S468,$B$10:$H$121,7,0),0),"")))</f>
        <v/>
      </c>
      <c r="AD468" s="347"/>
      <c r="AE468" s="350" t="str">
        <f t="shared" ca="1" si="353"/>
        <v/>
      </c>
      <c r="AF468" s="351" t="str">
        <f t="shared" ca="1" si="354"/>
        <v/>
      </c>
      <c r="AG468" s="340"/>
      <c r="AH468" s="340"/>
      <c r="AI468" s="340"/>
      <c r="AJ468" s="340"/>
      <c r="AK468" s="340"/>
      <c r="AL468" s="340"/>
      <c r="AM468" s="340"/>
      <c r="AN468" s="340"/>
      <c r="AO468" s="340"/>
      <c r="AP468" s="340"/>
      <c r="AQ468" s="340"/>
      <c r="AR468" s="340"/>
      <c r="AS468" s="340"/>
      <c r="AT468" s="340"/>
      <c r="AU468" s="340"/>
      <c r="AV468" s="340"/>
      <c r="AY468" s="340"/>
      <c r="AZ468" s="465">
        <f t="shared" ca="1" si="364"/>
        <v>7.3698599999999999E-5</v>
      </c>
      <c r="BA468" s="464">
        <f t="shared" ca="1" si="365"/>
        <v>2.1372602999999999E-3</v>
      </c>
      <c r="BB468" s="465">
        <f t="shared" ca="1" si="365"/>
        <v>2.2109589000000002E-3</v>
      </c>
      <c r="BC468" s="466">
        <f t="shared" ca="1" si="366"/>
        <v>56858</v>
      </c>
      <c r="BD468" s="467">
        <f t="shared" ca="1" si="379"/>
        <v>56859</v>
      </c>
      <c r="BE468" s="467">
        <f t="shared" ca="1" si="367"/>
        <v>56887</v>
      </c>
      <c r="BF468" s="468">
        <f ca="1">IF(計算!$BC468&lt;OP!$C$3,0,BD468-BC468)</f>
        <v>1</v>
      </c>
      <c r="BG468" s="468">
        <f ca="1">IF($BE468&gt;DATE(YEAR($BD$9)+OP!$C$57,MONTH($BD$9),DAY($BD$9)),0,$BE468-$BD468+1)</f>
        <v>29</v>
      </c>
      <c r="BH468" s="469">
        <f t="shared" ca="1" si="368"/>
        <v>30</v>
      </c>
      <c r="BI468" t="str">
        <f t="shared" si="350"/>
        <v/>
      </c>
      <c r="BJ468">
        <v>3</v>
      </c>
      <c r="BN468" s="468">
        <f t="shared" si="380"/>
        <v>39</v>
      </c>
      <c r="BO468" s="468">
        <f t="shared" si="381"/>
        <v>3</v>
      </c>
      <c r="BP468" s="467">
        <f t="shared" ca="1" si="369"/>
        <v>56859</v>
      </c>
      <c r="BQ468" s="475">
        <f t="shared" ca="1" si="383"/>
        <v>71</v>
      </c>
      <c r="BR468" s="475" t="str">
        <f t="shared" si="382"/>
        <v/>
      </c>
      <c r="BS468" s="471" t="str">
        <f t="shared" si="370"/>
        <v/>
      </c>
      <c r="BT468" s="472" t="str">
        <f t="shared" si="351"/>
        <v/>
      </c>
      <c r="BU468" s="472">
        <f t="shared" ca="1" si="371"/>
        <v>0</v>
      </c>
      <c r="BV468" s="472">
        <f t="shared" ca="1" si="371"/>
        <v>0</v>
      </c>
      <c r="BW468" s="472"/>
      <c r="BX468" s="473">
        <f t="shared" ca="1" si="372"/>
        <v>487857.76483021502</v>
      </c>
      <c r="BY468" s="473">
        <f t="shared" si="373"/>
        <v>0</v>
      </c>
      <c r="BZ468" s="473">
        <f t="shared" ca="1" si="355"/>
        <v>1078.6334670849999</v>
      </c>
      <c r="CA468" s="476">
        <f t="shared" ca="1" si="374"/>
        <v>0</v>
      </c>
      <c r="CB468" s="494">
        <f ca="1">IF(OR($Q467&lt;&gt;1,OP!$D$5+$BN468-1&lt;16,$BN468-1&lt;1),0,ROUND(ROUND(ROUND(((VLOOKUP($BN468-1,MORE_PV,5,0)/10000)*VLOOKUP($BN468,MORE_PV,$CB$5,0)),3)*VLOOKUP($BN468,more1,5,0),0)/$R467,0))</f>
        <v>0</v>
      </c>
      <c r="CC468" s="473">
        <f t="shared" ca="1" si="375"/>
        <v>0</v>
      </c>
      <c r="CD468" s="477"/>
    </row>
    <row r="469" spans="2:82" ht="16.5" hidden="1">
      <c r="B469" s="80"/>
      <c r="C469" s="80"/>
      <c r="D469" s="80"/>
      <c r="E469" s="80"/>
      <c r="F469" s="80"/>
      <c r="G469" s="80"/>
      <c r="H469" s="80"/>
      <c r="I469" s="80"/>
      <c r="J469" s="192">
        <f t="shared" si="356"/>
        <v>39</v>
      </c>
      <c r="K469" s="192">
        <f t="shared" si="357"/>
        <v>5</v>
      </c>
      <c r="L469" s="192" t="str">
        <f t="shared" si="352"/>
        <v/>
      </c>
      <c r="M469" s="216">
        <f t="shared" ca="1" si="358"/>
        <v>0</v>
      </c>
      <c r="N469" s="216"/>
      <c r="O469" s="216"/>
      <c r="P469" s="216"/>
      <c r="Q469" s="456" t="str">
        <f t="shared" ca="1" si="359"/>
        <v/>
      </c>
      <c r="R469" s="450">
        <f t="shared" ca="1" si="360"/>
        <v>1</v>
      </c>
      <c r="S469" s="191">
        <f t="shared" si="361"/>
        <v>39</v>
      </c>
      <c r="T469" s="191">
        <f t="shared" si="362"/>
        <v>5</v>
      </c>
      <c r="U469" s="191">
        <f ca="1">OP!$D$5+$S469-1</f>
        <v>71</v>
      </c>
      <c r="V469" s="191" t="str">
        <f t="shared" si="363"/>
        <v/>
      </c>
      <c r="W469" s="350">
        <f ca="1">IF(Q469&lt;&gt;1,0,VLOOKUP(OP!$C$55,PVFB,$S469+2,0))</f>
        <v>0</v>
      </c>
      <c r="X469" s="473">
        <f t="shared" ca="1" si="376"/>
        <v>0</v>
      </c>
      <c r="Y469" s="348">
        <f t="shared" ca="1" si="377"/>
        <v>0</v>
      </c>
      <c r="Z469" s="348">
        <f t="shared" ca="1" si="378"/>
        <v>8012</v>
      </c>
      <c r="AA469" s="348">
        <f ca="1">IF(Q469&lt;&gt;1,0,VLOOKUP(OP!$C$55,PVFB,$S469+2,0))</f>
        <v>0</v>
      </c>
      <c r="AB469" s="488" t="str">
        <f ca="1">IF(AND(S469&lt;OP!$C$24,$U469&lt;15),0,IF(AND($U469&lt;15,$T469=12),ROUND(VLOOKUP($S469,DOWN16,5,0),3),IF($T469=12,ROUND(($Z469/10000)*$AA469,3)+IF(AND($P$7="購買增額繳清保險",T469=12,U469=110),VLOOKUP(S469,$B$10:$H$121,7,0),0),"")))</f>
        <v/>
      </c>
      <c r="AC469" s="350" t="str">
        <f ca="1">IF(AND(S469&lt;OP!$C$24,$U469&lt;15),0,IF(AND($U469&lt;16,$T469=12),VLOOKUP($S469,DOWN16,4,0),IF($T469=12,ROUND(VLOOKUP(OP!$C$55,_DIE2,$S469+1,0)*(Z469/10000),0)+IF(AND($P$7="購買增額繳清保險",T469=12,U469=110),VLOOKUP(S469,$B$10:$H$121,7,0),0),"")))</f>
        <v/>
      </c>
      <c r="AD469" s="347"/>
      <c r="AE469" s="350" t="str">
        <f t="shared" ca="1" si="353"/>
        <v/>
      </c>
      <c r="AF469" s="351" t="str">
        <f t="shared" ca="1" si="354"/>
        <v/>
      </c>
      <c r="AG469" s="340"/>
      <c r="AH469" s="340"/>
      <c r="AI469" s="340"/>
      <c r="AJ469" s="340"/>
      <c r="AK469" s="340"/>
      <c r="AL469" s="340"/>
      <c r="AM469" s="340"/>
      <c r="AN469" s="340"/>
      <c r="AO469" s="340"/>
      <c r="AP469" s="340"/>
      <c r="AQ469" s="340"/>
      <c r="AR469" s="340"/>
      <c r="AS469" s="340"/>
      <c r="AT469" s="340"/>
      <c r="AU469" s="340"/>
      <c r="AV469" s="340"/>
      <c r="AY469" s="340"/>
      <c r="AZ469" s="465">
        <f t="shared" ca="1" si="364"/>
        <v>7.3698599999999999E-5</v>
      </c>
      <c r="BA469" s="464">
        <f t="shared" ca="1" si="365"/>
        <v>2.2109589000000002E-3</v>
      </c>
      <c r="BB469" s="465">
        <f t="shared" ca="1" si="365"/>
        <v>2.2846575E-3</v>
      </c>
      <c r="BC469" s="466">
        <f t="shared" ca="1" si="366"/>
        <v>56888</v>
      </c>
      <c r="BD469" s="467">
        <f t="shared" ca="1" si="379"/>
        <v>56889</v>
      </c>
      <c r="BE469" s="467">
        <f t="shared" ca="1" si="367"/>
        <v>56918</v>
      </c>
      <c r="BF469" s="468">
        <f ca="1">IF(計算!$BC469&lt;OP!$C$3,0,BD469-BC469)</f>
        <v>1</v>
      </c>
      <c r="BG469" s="468">
        <f ca="1">IF($BE469&gt;DATE(YEAR($BD$9)+OP!$C$57,MONTH($BD$9),DAY($BD$9)),0,$BE469-$BD469+1)</f>
        <v>30</v>
      </c>
      <c r="BH469" s="469">
        <f t="shared" ca="1" si="368"/>
        <v>31</v>
      </c>
      <c r="BI469" t="str">
        <f t="shared" ref="BI469:BI532" si="384">IF(BJ469=12,BD469-BD457,"")</f>
        <v/>
      </c>
      <c r="BJ469">
        <v>4</v>
      </c>
      <c r="BN469" s="468">
        <f t="shared" si="380"/>
        <v>39</v>
      </c>
      <c r="BO469" s="468">
        <f t="shared" si="381"/>
        <v>4</v>
      </c>
      <c r="BP469" s="467">
        <f t="shared" ca="1" si="369"/>
        <v>56889</v>
      </c>
      <c r="BQ469" s="475">
        <f t="shared" ca="1" si="383"/>
        <v>71</v>
      </c>
      <c r="BR469" s="475" t="str">
        <f t="shared" si="382"/>
        <v/>
      </c>
      <c r="BS469" s="471" t="str">
        <f t="shared" si="370"/>
        <v/>
      </c>
      <c r="BT469" s="472" t="str">
        <f t="shared" si="351"/>
        <v/>
      </c>
      <c r="BU469" s="472">
        <f t="shared" ca="1" si="371"/>
        <v>0</v>
      </c>
      <c r="BV469" s="472">
        <f t="shared" ca="1" si="371"/>
        <v>0</v>
      </c>
      <c r="BW469" s="472"/>
      <c r="BX469" s="473">
        <f t="shared" ca="1" si="372"/>
        <v>488936.39829729998</v>
      </c>
      <c r="BY469" s="473">
        <f t="shared" si="373"/>
        <v>0</v>
      </c>
      <c r="BZ469" s="473">
        <f t="shared" ca="1" si="355"/>
        <v>1117.0522093930001</v>
      </c>
      <c r="CA469" s="476">
        <f t="shared" ca="1" si="374"/>
        <v>0</v>
      </c>
      <c r="CB469" s="494">
        <f ca="1">IF(OR($Q468&lt;&gt;1,OP!$D$5+$BN469-1&lt;16,$BN469-1&lt;1),0,ROUND(ROUND(ROUND(((VLOOKUP($BN469-1,MORE_PV,5,0)/10000)*VLOOKUP($BN469,MORE_PV,$CB$5,0)),3)*VLOOKUP($BN469,more1,5,0),0)/$R468,0))</f>
        <v>0</v>
      </c>
      <c r="CC469" s="473">
        <f t="shared" ca="1" si="375"/>
        <v>0</v>
      </c>
      <c r="CD469" s="477"/>
    </row>
    <row r="470" spans="2:82" ht="16.5" hidden="1">
      <c r="B470" s="80"/>
      <c r="C470" s="80"/>
      <c r="D470" s="80"/>
      <c r="E470" s="80"/>
      <c r="F470" s="80"/>
      <c r="G470" s="80"/>
      <c r="H470" s="80"/>
      <c r="I470" s="80"/>
      <c r="J470" s="192">
        <f t="shared" si="356"/>
        <v>39</v>
      </c>
      <c r="K470" s="192">
        <f t="shared" si="357"/>
        <v>6</v>
      </c>
      <c r="L470" s="192" t="str">
        <f t="shared" si="352"/>
        <v/>
      </c>
      <c r="M470" s="216">
        <f t="shared" ca="1" si="358"/>
        <v>0</v>
      </c>
      <c r="N470" s="216"/>
      <c r="O470" s="216"/>
      <c r="P470" s="216"/>
      <c r="Q470" s="456" t="str">
        <f t="shared" ca="1" si="359"/>
        <v/>
      </c>
      <c r="R470" s="450">
        <f t="shared" ca="1" si="360"/>
        <v>1</v>
      </c>
      <c r="S470" s="191">
        <f t="shared" si="361"/>
        <v>39</v>
      </c>
      <c r="T470" s="191">
        <f t="shared" si="362"/>
        <v>6</v>
      </c>
      <c r="U470" s="191">
        <f ca="1">OP!$D$5+$S470-1</f>
        <v>71</v>
      </c>
      <c r="V470" s="191" t="str">
        <f t="shared" si="363"/>
        <v/>
      </c>
      <c r="W470" s="350">
        <f ca="1">IF(Q470&lt;&gt;1,0,VLOOKUP(OP!$C$55,PVFB,$S470+2,0))</f>
        <v>0</v>
      </c>
      <c r="X470" s="473">
        <f t="shared" ca="1" si="376"/>
        <v>0</v>
      </c>
      <c r="Y470" s="348">
        <f t="shared" ca="1" si="377"/>
        <v>0</v>
      </c>
      <c r="Z470" s="348">
        <f t="shared" ca="1" si="378"/>
        <v>8012</v>
      </c>
      <c r="AA470" s="348">
        <f ca="1">IF(Q470&lt;&gt;1,0,VLOOKUP(OP!$C$55,PVFB,$S470+2,0))</f>
        <v>0</v>
      </c>
      <c r="AB470" s="488" t="str">
        <f ca="1">IF(AND(S470&lt;OP!$C$24,$U470&lt;15),0,IF(AND($U470&lt;15,$T470=12),ROUND(VLOOKUP($S470,DOWN16,5,0),3),IF($T470=12,ROUND(($Z470/10000)*$AA470,3)+IF(AND($P$7="購買增額繳清保險",T470=12,U470=110),VLOOKUP(S470,$B$10:$H$121,7,0),0),"")))</f>
        <v/>
      </c>
      <c r="AC470" s="350" t="str">
        <f ca="1">IF(AND(S470&lt;OP!$C$24,$U470&lt;15),0,IF(AND($U470&lt;16,$T470=12),VLOOKUP($S470,DOWN16,4,0),IF($T470=12,ROUND(VLOOKUP(OP!$C$55,_DIE2,$S470+1,0)*(Z470/10000),0)+IF(AND($P$7="購買增額繳清保險",T470=12,U470=110),VLOOKUP(S470,$B$10:$H$121,7,0),0),"")))</f>
        <v/>
      </c>
      <c r="AD470" s="347"/>
      <c r="AE470" s="350" t="str">
        <f t="shared" ca="1" si="353"/>
        <v/>
      </c>
      <c r="AF470" s="351" t="str">
        <f t="shared" ca="1" si="354"/>
        <v/>
      </c>
      <c r="AG470" s="340"/>
      <c r="AH470" s="340"/>
      <c r="AI470" s="340"/>
      <c r="AJ470" s="340"/>
      <c r="AK470" s="340"/>
      <c r="AL470" s="340"/>
      <c r="AM470" s="340"/>
      <c r="AN470" s="340"/>
      <c r="AO470" s="340"/>
      <c r="AP470" s="340"/>
      <c r="AQ470" s="340"/>
      <c r="AR470" s="340"/>
      <c r="AS470" s="340"/>
      <c r="AT470" s="340"/>
      <c r="AU470" s="340"/>
      <c r="AV470" s="340"/>
      <c r="AY470" s="340"/>
      <c r="AZ470" s="465">
        <f t="shared" ca="1" si="364"/>
        <v>7.3698599999999999E-5</v>
      </c>
      <c r="BA470" s="464">
        <f t="shared" ca="1" si="365"/>
        <v>2.1372602999999999E-3</v>
      </c>
      <c r="BB470" s="465">
        <f t="shared" ca="1" si="365"/>
        <v>2.2109589000000002E-3</v>
      </c>
      <c r="BC470" s="466">
        <f t="shared" ca="1" si="366"/>
        <v>56919</v>
      </c>
      <c r="BD470" s="467">
        <f t="shared" ca="1" si="379"/>
        <v>56920</v>
      </c>
      <c r="BE470" s="467">
        <f t="shared" ca="1" si="367"/>
        <v>56948</v>
      </c>
      <c r="BF470" s="468">
        <f ca="1">IF(計算!$BC470&lt;OP!$C$3,0,BD470-BC470)</f>
        <v>1</v>
      </c>
      <c r="BG470" s="468">
        <f ca="1">IF($BE470&gt;DATE(YEAR($BD$9)+OP!$C$57,MONTH($BD$9),DAY($BD$9)),0,$BE470-$BD470+1)</f>
        <v>29</v>
      </c>
      <c r="BH470" s="469">
        <f t="shared" ca="1" si="368"/>
        <v>30</v>
      </c>
      <c r="BI470" t="str">
        <f t="shared" si="384"/>
        <v/>
      </c>
      <c r="BJ470">
        <v>5</v>
      </c>
      <c r="BN470" s="468">
        <f t="shared" si="380"/>
        <v>39</v>
      </c>
      <c r="BO470" s="468">
        <f t="shared" si="381"/>
        <v>5</v>
      </c>
      <c r="BP470" s="467">
        <f t="shared" ca="1" si="369"/>
        <v>56920</v>
      </c>
      <c r="BQ470" s="475">
        <f t="shared" ca="1" si="383"/>
        <v>71</v>
      </c>
      <c r="BR470" s="475" t="str">
        <f t="shared" si="382"/>
        <v/>
      </c>
      <c r="BS470" s="471" t="str">
        <f t="shared" si="370"/>
        <v/>
      </c>
      <c r="BT470" s="472" t="str">
        <f t="shared" ref="BT470:BT533" si="385">IF(BW470&lt;&gt;"",IF(BN470&gt;=$P$4+1,ROUND(BU470,0)+ROUND(BV470,0)+ROUND(BW470,0)+BT458,0),"")</f>
        <v/>
      </c>
      <c r="BU470" s="472">
        <f t="shared" ca="1" si="371"/>
        <v>0</v>
      </c>
      <c r="BV470" s="472">
        <f t="shared" ca="1" si="371"/>
        <v>0</v>
      </c>
      <c r="BW470" s="472"/>
      <c r="BX470" s="473">
        <f t="shared" ca="1" si="372"/>
        <v>490053.45050669299</v>
      </c>
      <c r="BY470" s="473">
        <f t="shared" si="373"/>
        <v>0</v>
      </c>
      <c r="BZ470" s="473">
        <f t="shared" ca="1" si="355"/>
        <v>1083.4880378729999</v>
      </c>
      <c r="CA470" s="476">
        <f t="shared" ca="1" si="374"/>
        <v>0</v>
      </c>
      <c r="CB470" s="494">
        <f ca="1">IF(OR($Q469&lt;&gt;1,OP!$D$5+$BN470-1&lt;16,$BN470-1&lt;1),0,ROUND(ROUND(ROUND(((VLOOKUP($BN470-1,MORE_PV,5,0)/10000)*VLOOKUP($BN470,MORE_PV,$CB$5,0)),3)*VLOOKUP($BN470,more1,5,0),0)/$R469,0))</f>
        <v>0</v>
      </c>
      <c r="CC470" s="473">
        <f t="shared" ca="1" si="375"/>
        <v>0</v>
      </c>
      <c r="CD470" s="477"/>
    </row>
    <row r="471" spans="2:82" ht="16.5" hidden="1">
      <c r="B471" s="80"/>
      <c r="C471" s="80"/>
      <c r="D471" s="80"/>
      <c r="E471" s="80"/>
      <c r="F471" s="80"/>
      <c r="G471" s="80"/>
      <c r="H471" s="80"/>
      <c r="I471" s="80"/>
      <c r="J471" s="192">
        <f t="shared" si="356"/>
        <v>39</v>
      </c>
      <c r="K471" s="192">
        <f t="shared" si="357"/>
        <v>7</v>
      </c>
      <c r="L471" s="192" t="str">
        <f t="shared" si="352"/>
        <v/>
      </c>
      <c r="M471" s="216">
        <f t="shared" ca="1" si="358"/>
        <v>0</v>
      </c>
      <c r="N471" s="216"/>
      <c r="O471" s="216"/>
      <c r="P471" s="216"/>
      <c r="Q471" s="456" t="str">
        <f t="shared" ca="1" si="359"/>
        <v/>
      </c>
      <c r="R471" s="450">
        <f t="shared" ca="1" si="360"/>
        <v>1</v>
      </c>
      <c r="S471" s="191">
        <f t="shared" si="361"/>
        <v>39</v>
      </c>
      <c r="T471" s="191">
        <f t="shared" si="362"/>
        <v>7</v>
      </c>
      <c r="U471" s="191">
        <f ca="1">OP!$D$5+$S471-1</f>
        <v>71</v>
      </c>
      <c r="V471" s="191" t="str">
        <f t="shared" si="363"/>
        <v/>
      </c>
      <c r="W471" s="350">
        <f ca="1">IF(Q471&lt;&gt;1,0,VLOOKUP(OP!$C$55,PVFB,$S471+2,0))</f>
        <v>0</v>
      </c>
      <c r="X471" s="473">
        <f t="shared" ca="1" si="376"/>
        <v>0</v>
      </c>
      <c r="Y471" s="348">
        <f t="shared" ca="1" si="377"/>
        <v>0</v>
      </c>
      <c r="Z471" s="348">
        <f t="shared" ca="1" si="378"/>
        <v>8012</v>
      </c>
      <c r="AA471" s="348">
        <f ca="1">IF(Q471&lt;&gt;1,0,VLOOKUP(OP!$C$55,PVFB,$S471+2,0))</f>
        <v>0</v>
      </c>
      <c r="AB471" s="488" t="str">
        <f ca="1">IF(AND(S471&lt;OP!$C$24,$U471&lt;15),0,IF(AND($U471&lt;15,$T471=12),ROUND(VLOOKUP($S471,DOWN16,5,0),3),IF($T471=12,ROUND(($Z471/10000)*$AA471,3)+IF(AND($P$7="購買增額繳清保險",T471=12,U471=110),VLOOKUP(S471,$B$10:$H$121,7,0),0),"")))</f>
        <v/>
      </c>
      <c r="AC471" s="350" t="str">
        <f ca="1">IF(AND(S471&lt;OP!$C$24,$U471&lt;15),0,IF(AND($U471&lt;16,$T471=12),VLOOKUP($S471,DOWN16,4,0),IF($T471=12,ROUND(VLOOKUP(OP!$C$55,_DIE2,$S471+1,0)*(Z471/10000),0)+IF(AND($P$7="購買增額繳清保險",T471=12,U471=110),VLOOKUP(S471,$B$10:$H$121,7,0),0),"")))</f>
        <v/>
      </c>
      <c r="AD471" s="347"/>
      <c r="AE471" s="350" t="str">
        <f t="shared" ca="1" si="353"/>
        <v/>
      </c>
      <c r="AF471" s="351" t="str">
        <f t="shared" ca="1" si="354"/>
        <v/>
      </c>
      <c r="AG471" s="340"/>
      <c r="AH471" s="340"/>
      <c r="AI471" s="340"/>
      <c r="AJ471" s="340"/>
      <c r="AK471" s="340"/>
      <c r="AL471" s="340"/>
      <c r="AM471" s="340"/>
      <c r="AN471" s="340"/>
      <c r="AO471" s="340"/>
      <c r="AP471" s="340"/>
      <c r="AQ471" s="340"/>
      <c r="AR471" s="340"/>
      <c r="AS471" s="340"/>
      <c r="AT471" s="340"/>
      <c r="AU471" s="340"/>
      <c r="AV471" s="340"/>
      <c r="AY471" s="340"/>
      <c r="AZ471" s="465">
        <f t="shared" ca="1" si="364"/>
        <v>7.3698599999999999E-5</v>
      </c>
      <c r="BA471" s="464">
        <f t="shared" ca="1" si="365"/>
        <v>2.2109589000000002E-3</v>
      </c>
      <c r="BB471" s="465">
        <f t="shared" ca="1" si="365"/>
        <v>2.2846575E-3</v>
      </c>
      <c r="BC471" s="466">
        <f t="shared" ca="1" si="366"/>
        <v>56949</v>
      </c>
      <c r="BD471" s="467">
        <f t="shared" ca="1" si="379"/>
        <v>56950</v>
      </c>
      <c r="BE471" s="467">
        <f t="shared" ca="1" si="367"/>
        <v>56979</v>
      </c>
      <c r="BF471" s="468">
        <f ca="1">IF(計算!$BC471&lt;OP!$C$3,0,BD471-BC471)</f>
        <v>1</v>
      </c>
      <c r="BG471" s="468">
        <f ca="1">IF($BE471&gt;DATE(YEAR($BD$9)+OP!$C$57,MONTH($BD$9),DAY($BD$9)),0,$BE471-$BD471+1)</f>
        <v>30</v>
      </c>
      <c r="BH471" s="469">
        <f t="shared" ca="1" si="368"/>
        <v>31</v>
      </c>
      <c r="BI471" t="str">
        <f t="shared" si="384"/>
        <v/>
      </c>
      <c r="BJ471">
        <v>6</v>
      </c>
      <c r="BN471" s="468">
        <f t="shared" si="380"/>
        <v>39</v>
      </c>
      <c r="BO471" s="468">
        <f t="shared" si="381"/>
        <v>6</v>
      </c>
      <c r="BP471" s="467">
        <f t="shared" ca="1" si="369"/>
        <v>56950</v>
      </c>
      <c r="BQ471" s="475">
        <f t="shared" ca="1" si="383"/>
        <v>71</v>
      </c>
      <c r="BR471" s="475" t="str">
        <f t="shared" si="382"/>
        <v/>
      </c>
      <c r="BS471" s="471" t="str">
        <f t="shared" si="370"/>
        <v/>
      </c>
      <c r="BT471" s="472" t="str">
        <f t="shared" si="385"/>
        <v/>
      </c>
      <c r="BU471" s="472">
        <f t="shared" ca="1" si="371"/>
        <v>0</v>
      </c>
      <c r="BV471" s="472">
        <f t="shared" ca="1" si="371"/>
        <v>0</v>
      </c>
      <c r="BW471" s="472"/>
      <c r="BX471" s="473">
        <f t="shared" ca="1" si="372"/>
        <v>491136.93854456599</v>
      </c>
      <c r="BY471" s="473">
        <f t="shared" si="373"/>
        <v>0</v>
      </c>
      <c r="BZ471" s="473">
        <f t="shared" ca="1" si="355"/>
        <v>1122.079690173</v>
      </c>
      <c r="CA471" s="476">
        <f t="shared" ca="1" si="374"/>
        <v>0</v>
      </c>
      <c r="CB471" s="494">
        <f ca="1">IF(OR($Q470&lt;&gt;1,OP!$D$5+$BN471-1&lt;16,$BN471-1&lt;1),0,ROUND(ROUND(ROUND(((VLOOKUP($BN471-1,MORE_PV,5,0)/10000)*VLOOKUP($BN471,MORE_PV,$CB$5,0)),3)*VLOOKUP($BN471,more1,5,0),0)/$R470,0))</f>
        <v>0</v>
      </c>
      <c r="CC471" s="473">
        <f t="shared" ca="1" si="375"/>
        <v>0</v>
      </c>
      <c r="CD471" s="477"/>
    </row>
    <row r="472" spans="2:82" ht="16.5" hidden="1">
      <c r="B472" s="80"/>
      <c r="C472" s="80"/>
      <c r="D472" s="80"/>
      <c r="E472" s="80"/>
      <c r="F472" s="80"/>
      <c r="G472" s="80"/>
      <c r="H472" s="80"/>
      <c r="I472" s="80"/>
      <c r="J472" s="192">
        <f t="shared" si="356"/>
        <v>39</v>
      </c>
      <c r="K472" s="192">
        <f t="shared" si="357"/>
        <v>8</v>
      </c>
      <c r="L472" s="192" t="str">
        <f t="shared" si="352"/>
        <v/>
      </c>
      <c r="M472" s="216">
        <f t="shared" ca="1" si="358"/>
        <v>0</v>
      </c>
      <c r="N472" s="216"/>
      <c r="O472" s="216"/>
      <c r="P472" s="216"/>
      <c r="Q472" s="456" t="str">
        <f t="shared" ca="1" si="359"/>
        <v/>
      </c>
      <c r="R472" s="450">
        <f t="shared" ca="1" si="360"/>
        <v>1</v>
      </c>
      <c r="S472" s="191">
        <f t="shared" si="361"/>
        <v>39</v>
      </c>
      <c r="T472" s="191">
        <f t="shared" si="362"/>
        <v>8</v>
      </c>
      <c r="U472" s="191">
        <f ca="1">OP!$D$5+$S472-1</f>
        <v>71</v>
      </c>
      <c r="V472" s="191" t="str">
        <f t="shared" si="363"/>
        <v/>
      </c>
      <c r="W472" s="350">
        <f ca="1">IF(Q472&lt;&gt;1,0,VLOOKUP(OP!$C$55,PVFB,$S472+2,0))</f>
        <v>0</v>
      </c>
      <c r="X472" s="473">
        <f t="shared" ca="1" si="376"/>
        <v>0</v>
      </c>
      <c r="Y472" s="348">
        <f t="shared" ca="1" si="377"/>
        <v>0</v>
      </c>
      <c r="Z472" s="348">
        <f t="shared" ca="1" si="378"/>
        <v>8012</v>
      </c>
      <c r="AA472" s="348">
        <f ca="1">IF(Q472&lt;&gt;1,0,VLOOKUP(OP!$C$55,PVFB,$S472+2,0))</f>
        <v>0</v>
      </c>
      <c r="AB472" s="488" t="str">
        <f ca="1">IF(AND(S472&lt;OP!$C$24,$U472&lt;15),0,IF(AND($U472&lt;15,$T472=12),ROUND(VLOOKUP($S472,DOWN16,5,0),3),IF($T472=12,ROUND(($Z472/10000)*$AA472,3)+IF(AND($P$7="購買增額繳清保險",T472=12,U472=110),VLOOKUP(S472,$B$10:$H$121,7,0),0),"")))</f>
        <v/>
      </c>
      <c r="AC472" s="350" t="str">
        <f ca="1">IF(AND(S472&lt;OP!$C$24,$U472&lt;15),0,IF(AND($U472&lt;16,$T472=12),VLOOKUP($S472,DOWN16,4,0),IF($T472=12,ROUND(VLOOKUP(OP!$C$55,_DIE2,$S472+1,0)*(Z472/10000),0)+IF(AND($P$7="購買增額繳清保險",T472=12,U472=110),VLOOKUP(S472,$B$10:$H$121,7,0),0),"")))</f>
        <v/>
      </c>
      <c r="AD472" s="347"/>
      <c r="AE472" s="350" t="str">
        <f t="shared" ca="1" si="353"/>
        <v/>
      </c>
      <c r="AF472" s="351" t="str">
        <f t="shared" ca="1" si="354"/>
        <v/>
      </c>
      <c r="AG472" s="340"/>
      <c r="AH472" s="340"/>
      <c r="AI472" s="340"/>
      <c r="AJ472" s="340"/>
      <c r="AK472" s="340"/>
      <c r="AL472" s="340"/>
      <c r="AM472" s="340"/>
      <c r="AN472" s="340"/>
      <c r="AO472" s="340"/>
      <c r="AP472" s="340"/>
      <c r="AQ472" s="340"/>
      <c r="AR472" s="340"/>
      <c r="AS472" s="340"/>
      <c r="AT472" s="340"/>
      <c r="AU472" s="340"/>
      <c r="AV472" s="340"/>
      <c r="AY472" s="340"/>
      <c r="AZ472" s="465">
        <f t="shared" ca="1" si="364"/>
        <v>7.3698599999999999E-5</v>
      </c>
      <c r="BA472" s="464">
        <f t="shared" ca="1" si="365"/>
        <v>2.2109589000000002E-3</v>
      </c>
      <c r="BB472" s="465">
        <f t="shared" ca="1" si="365"/>
        <v>2.2846575E-3</v>
      </c>
      <c r="BC472" s="466">
        <f t="shared" ca="1" si="366"/>
        <v>56980</v>
      </c>
      <c r="BD472" s="467">
        <f t="shared" ca="1" si="379"/>
        <v>56981</v>
      </c>
      <c r="BE472" s="467">
        <f t="shared" ca="1" si="367"/>
        <v>57010</v>
      </c>
      <c r="BF472" s="468">
        <f ca="1">IF(計算!$BC472&lt;OP!$C$3,0,BD472-BC472)</f>
        <v>1</v>
      </c>
      <c r="BG472" s="468">
        <f ca="1">IF($BE472&gt;DATE(YEAR($BD$9)+OP!$C$57,MONTH($BD$9),DAY($BD$9)),0,$BE472-$BD472+1)</f>
        <v>30</v>
      </c>
      <c r="BH472" s="469">
        <f t="shared" ca="1" si="368"/>
        <v>31</v>
      </c>
      <c r="BI472" t="str">
        <f t="shared" si="384"/>
        <v/>
      </c>
      <c r="BJ472">
        <v>7</v>
      </c>
      <c r="BN472" s="468">
        <f t="shared" si="380"/>
        <v>39</v>
      </c>
      <c r="BO472" s="468">
        <f t="shared" si="381"/>
        <v>7</v>
      </c>
      <c r="BP472" s="467">
        <f t="shared" ca="1" si="369"/>
        <v>56981</v>
      </c>
      <c r="BQ472" s="475">
        <f t="shared" ca="1" si="383"/>
        <v>71</v>
      </c>
      <c r="BR472" s="475" t="str">
        <f t="shared" si="382"/>
        <v/>
      </c>
      <c r="BS472" s="471" t="str">
        <f t="shared" si="370"/>
        <v/>
      </c>
      <c r="BT472" s="472" t="str">
        <f t="shared" si="385"/>
        <v/>
      </c>
      <c r="BU472" s="472">
        <f t="shared" ca="1" si="371"/>
        <v>0</v>
      </c>
      <c r="BV472" s="472">
        <f t="shared" ca="1" si="371"/>
        <v>0</v>
      </c>
      <c r="BW472" s="472"/>
      <c r="BX472" s="473">
        <f t="shared" ca="1" si="372"/>
        <v>492259.01823473902</v>
      </c>
      <c r="BY472" s="473">
        <f t="shared" si="373"/>
        <v>0</v>
      </c>
      <c r="BZ472" s="473">
        <f t="shared" ca="1" si="355"/>
        <v>1124.6432579530001</v>
      </c>
      <c r="CA472" s="476">
        <f t="shared" ca="1" si="374"/>
        <v>0</v>
      </c>
      <c r="CB472" s="494">
        <f ca="1">IF(OR($Q471&lt;&gt;1,OP!$D$5+$BN472-1&lt;16,$BN472-1&lt;1),0,ROUND(ROUND(ROUND(((VLOOKUP($BN472-1,MORE_PV,5,0)/10000)*VLOOKUP($BN472,MORE_PV,$CB$5,0)),3)*VLOOKUP($BN472,more1,5,0),0)/$R471,0))</f>
        <v>0</v>
      </c>
      <c r="CC472" s="473">
        <f t="shared" ca="1" si="375"/>
        <v>0</v>
      </c>
      <c r="CD472" s="477"/>
    </row>
    <row r="473" spans="2:82" ht="16.5" hidden="1">
      <c r="B473" s="80"/>
      <c r="C473" s="80"/>
      <c r="D473" s="80"/>
      <c r="E473" s="80"/>
      <c r="F473" s="80"/>
      <c r="G473" s="80"/>
      <c r="H473" s="80"/>
      <c r="I473" s="80"/>
      <c r="J473" s="192">
        <f t="shared" si="356"/>
        <v>39</v>
      </c>
      <c r="K473" s="192">
        <f t="shared" si="357"/>
        <v>9</v>
      </c>
      <c r="L473" s="192" t="str">
        <f t="shared" si="352"/>
        <v/>
      </c>
      <c r="M473" s="216">
        <f t="shared" ca="1" si="358"/>
        <v>0</v>
      </c>
      <c r="N473" s="216"/>
      <c r="O473" s="216"/>
      <c r="P473" s="216"/>
      <c r="Q473" s="456" t="str">
        <f t="shared" ca="1" si="359"/>
        <v/>
      </c>
      <c r="R473" s="450">
        <f t="shared" ca="1" si="360"/>
        <v>1</v>
      </c>
      <c r="S473" s="191">
        <f t="shared" si="361"/>
        <v>39</v>
      </c>
      <c r="T473" s="191">
        <f t="shared" si="362"/>
        <v>9</v>
      </c>
      <c r="U473" s="191">
        <f ca="1">OP!$D$5+$S473-1</f>
        <v>71</v>
      </c>
      <c r="V473" s="191" t="str">
        <f t="shared" si="363"/>
        <v/>
      </c>
      <c r="W473" s="350">
        <f ca="1">IF(Q473&lt;&gt;1,0,VLOOKUP(OP!$C$55,PVFB,$S473+2,0))</f>
        <v>0</v>
      </c>
      <c r="X473" s="473">
        <f t="shared" ca="1" si="376"/>
        <v>0</v>
      </c>
      <c r="Y473" s="348">
        <f t="shared" ca="1" si="377"/>
        <v>0</v>
      </c>
      <c r="Z473" s="348">
        <f t="shared" ca="1" si="378"/>
        <v>8012</v>
      </c>
      <c r="AA473" s="348">
        <f ca="1">IF(Q473&lt;&gt;1,0,VLOOKUP(OP!$C$55,PVFB,$S473+2,0))</f>
        <v>0</v>
      </c>
      <c r="AB473" s="488" t="str">
        <f ca="1">IF(AND(S473&lt;OP!$C$24,$U473&lt;15),0,IF(AND($U473&lt;15,$T473=12),ROUND(VLOOKUP($S473,DOWN16,5,0),3),IF($T473=12,ROUND(($Z473/10000)*$AA473,3)+IF(AND($P$7="購買增額繳清保險",T473=12,U473=110),VLOOKUP(S473,$B$10:$H$121,7,0),0),"")))</f>
        <v/>
      </c>
      <c r="AC473" s="350" t="str">
        <f ca="1">IF(AND(S473&lt;OP!$C$24,$U473&lt;15),0,IF(AND($U473&lt;16,$T473=12),VLOOKUP($S473,DOWN16,4,0),IF($T473=12,ROUND(VLOOKUP(OP!$C$55,_DIE2,$S473+1,0)*(Z473/10000),0)+IF(AND($P$7="購買增額繳清保險",T473=12,U473=110),VLOOKUP(S473,$B$10:$H$121,7,0),0),"")))</f>
        <v/>
      </c>
      <c r="AD473" s="347"/>
      <c r="AE473" s="350" t="str">
        <f t="shared" ca="1" si="353"/>
        <v/>
      </c>
      <c r="AF473" s="351" t="str">
        <f t="shared" ca="1" si="354"/>
        <v/>
      </c>
      <c r="AG473" s="340"/>
      <c r="AH473" s="340"/>
      <c r="AI473" s="340"/>
      <c r="AJ473" s="340"/>
      <c r="AK473" s="340"/>
      <c r="AL473" s="340"/>
      <c r="AM473" s="340"/>
      <c r="AN473" s="340"/>
      <c r="AO473" s="340"/>
      <c r="AP473" s="340"/>
      <c r="AQ473" s="340"/>
      <c r="AR473" s="340"/>
      <c r="AS473" s="340"/>
      <c r="AT473" s="340"/>
      <c r="AU473" s="340"/>
      <c r="AV473" s="340"/>
      <c r="AY473" s="340"/>
      <c r="AZ473" s="465">
        <f t="shared" ca="1" si="364"/>
        <v>7.3698599999999999E-5</v>
      </c>
      <c r="BA473" s="464">
        <f t="shared" ca="1" si="365"/>
        <v>2.0635616E-3</v>
      </c>
      <c r="BB473" s="465">
        <f t="shared" ca="1" si="365"/>
        <v>2.1372602999999999E-3</v>
      </c>
      <c r="BC473" s="466">
        <f t="shared" ca="1" si="366"/>
        <v>57011</v>
      </c>
      <c r="BD473" s="467">
        <f t="shared" ca="1" si="379"/>
        <v>57012</v>
      </c>
      <c r="BE473" s="467">
        <f t="shared" ca="1" si="367"/>
        <v>57039</v>
      </c>
      <c r="BF473" s="468">
        <f ca="1">IF(計算!$BC473&lt;OP!$C$3,0,BD473-BC473)</f>
        <v>1</v>
      </c>
      <c r="BG473" s="468">
        <f ca="1">IF($BE473&gt;DATE(YEAR($BD$9)+OP!$C$57,MONTH($BD$9),DAY($BD$9)),0,$BE473-$BD473+1)</f>
        <v>28</v>
      </c>
      <c r="BH473" s="469">
        <f t="shared" ca="1" si="368"/>
        <v>29</v>
      </c>
      <c r="BI473" t="str">
        <f t="shared" si="384"/>
        <v/>
      </c>
      <c r="BJ473">
        <v>8</v>
      </c>
      <c r="BN473" s="468">
        <f t="shared" si="380"/>
        <v>39</v>
      </c>
      <c r="BO473" s="468">
        <f t="shared" si="381"/>
        <v>8</v>
      </c>
      <c r="BP473" s="467">
        <f t="shared" ca="1" si="369"/>
        <v>57012</v>
      </c>
      <c r="BQ473" s="475">
        <f t="shared" ca="1" si="383"/>
        <v>71</v>
      </c>
      <c r="BR473" s="475" t="str">
        <f t="shared" si="382"/>
        <v/>
      </c>
      <c r="BS473" s="471" t="str">
        <f t="shared" si="370"/>
        <v/>
      </c>
      <c r="BT473" s="472" t="str">
        <f t="shared" si="385"/>
        <v/>
      </c>
      <c r="BU473" s="472">
        <f t="shared" ca="1" si="371"/>
        <v>0</v>
      </c>
      <c r="BV473" s="472">
        <f t="shared" ca="1" si="371"/>
        <v>0</v>
      </c>
      <c r="BW473" s="472"/>
      <c r="BX473" s="473">
        <f t="shared" ca="1" si="372"/>
        <v>493383.66149269202</v>
      </c>
      <c r="BY473" s="473">
        <f t="shared" si="373"/>
        <v>0</v>
      </c>
      <c r="BZ473" s="473">
        <f t="shared" ca="1" si="355"/>
        <v>1054.489312377</v>
      </c>
      <c r="CA473" s="476">
        <f t="shared" ca="1" si="374"/>
        <v>0</v>
      </c>
      <c r="CB473" s="494">
        <f ca="1">IF(OR($Q472&lt;&gt;1,OP!$D$5+$BN473-1&lt;16,$BN473-1&lt;1),0,ROUND(ROUND(ROUND(((VLOOKUP($BN473-1,MORE_PV,5,0)/10000)*VLOOKUP($BN473,MORE_PV,$CB$5,0)),3)*VLOOKUP($BN473,more1,5,0),0)/$R472,0))</f>
        <v>0</v>
      </c>
      <c r="CC473" s="473">
        <f t="shared" ca="1" si="375"/>
        <v>0</v>
      </c>
      <c r="CD473" s="477"/>
    </row>
    <row r="474" spans="2:82" ht="16.5" hidden="1">
      <c r="B474" s="80"/>
      <c r="C474" s="80"/>
      <c r="D474" s="80"/>
      <c r="E474" s="80"/>
      <c r="F474" s="80"/>
      <c r="G474" s="80"/>
      <c r="H474" s="80"/>
      <c r="I474" s="80"/>
      <c r="J474" s="192">
        <f t="shared" si="356"/>
        <v>39</v>
      </c>
      <c r="K474" s="192">
        <f t="shared" si="357"/>
        <v>10</v>
      </c>
      <c r="L474" s="192" t="str">
        <f t="shared" si="352"/>
        <v/>
      </c>
      <c r="M474" s="216">
        <f t="shared" ca="1" si="358"/>
        <v>0</v>
      </c>
      <c r="N474" s="216"/>
      <c r="O474" s="216"/>
      <c r="P474" s="216"/>
      <c r="Q474" s="456" t="str">
        <f t="shared" ca="1" si="359"/>
        <v/>
      </c>
      <c r="R474" s="450">
        <f t="shared" ca="1" si="360"/>
        <v>1</v>
      </c>
      <c r="S474" s="191">
        <f t="shared" si="361"/>
        <v>39</v>
      </c>
      <c r="T474" s="191">
        <f t="shared" si="362"/>
        <v>10</v>
      </c>
      <c r="U474" s="191">
        <f ca="1">OP!$D$5+$S474-1</f>
        <v>71</v>
      </c>
      <c r="V474" s="191" t="str">
        <f t="shared" si="363"/>
        <v/>
      </c>
      <c r="W474" s="350">
        <f ca="1">IF(Q474&lt;&gt;1,0,VLOOKUP(OP!$C$55,PVFB,$S474+2,0))</f>
        <v>0</v>
      </c>
      <c r="X474" s="473">
        <f t="shared" ca="1" si="376"/>
        <v>0</v>
      </c>
      <c r="Y474" s="348">
        <f t="shared" ca="1" si="377"/>
        <v>0</v>
      </c>
      <c r="Z474" s="348">
        <f t="shared" ca="1" si="378"/>
        <v>8012</v>
      </c>
      <c r="AA474" s="348">
        <f ca="1">IF(Q474&lt;&gt;1,0,VLOOKUP(OP!$C$55,PVFB,$S474+2,0))</f>
        <v>0</v>
      </c>
      <c r="AB474" s="488" t="str">
        <f ca="1">IF(AND(S474&lt;OP!$C$24,$U474&lt;15),0,IF(AND($U474&lt;15,$T474=12),ROUND(VLOOKUP($S474,DOWN16,5,0),3),IF($T474=12,ROUND(($Z474/10000)*$AA474,3)+IF(AND($P$7="購買增額繳清保險",T474=12,U474=110),VLOOKUP(S474,$B$10:$H$121,7,0),0),"")))</f>
        <v/>
      </c>
      <c r="AC474" s="350" t="str">
        <f ca="1">IF(AND(S474&lt;OP!$C$24,$U474&lt;15),0,IF(AND($U474&lt;16,$T474=12),VLOOKUP($S474,DOWN16,4,0),IF($T474=12,ROUND(VLOOKUP(OP!$C$55,_DIE2,$S474+1,0)*(Z474/10000),0)+IF(AND($P$7="購買增額繳清保險",T474=12,U474=110),VLOOKUP(S474,$B$10:$H$121,7,0),0),"")))</f>
        <v/>
      </c>
      <c r="AD474" s="347"/>
      <c r="AE474" s="350" t="str">
        <f t="shared" ca="1" si="353"/>
        <v/>
      </c>
      <c r="AF474" s="351" t="str">
        <f t="shared" ca="1" si="354"/>
        <v/>
      </c>
      <c r="AG474" s="340"/>
      <c r="AH474" s="340"/>
      <c r="AI474" s="340"/>
      <c r="AJ474" s="340"/>
      <c r="AK474" s="340"/>
      <c r="AL474" s="340"/>
      <c r="AM474" s="340"/>
      <c r="AN474" s="340"/>
      <c r="AO474" s="340"/>
      <c r="AP474" s="340"/>
      <c r="AQ474" s="340"/>
      <c r="AR474" s="340"/>
      <c r="AS474" s="340"/>
      <c r="AT474" s="340"/>
      <c r="AU474" s="340"/>
      <c r="AV474" s="340"/>
      <c r="AY474" s="340"/>
      <c r="AZ474" s="465">
        <f t="shared" ca="1" si="364"/>
        <v>7.3698599999999999E-5</v>
      </c>
      <c r="BA474" s="464">
        <f t="shared" ca="1" si="365"/>
        <v>2.2109589000000002E-3</v>
      </c>
      <c r="BB474" s="465">
        <f t="shared" ca="1" si="365"/>
        <v>2.2846575E-3</v>
      </c>
      <c r="BC474" s="466">
        <f t="shared" ca="1" si="366"/>
        <v>57040</v>
      </c>
      <c r="BD474" s="467">
        <f t="shared" ca="1" si="379"/>
        <v>57041</v>
      </c>
      <c r="BE474" s="467">
        <f t="shared" ca="1" si="367"/>
        <v>57070</v>
      </c>
      <c r="BF474" s="468">
        <f ca="1">IF(計算!$BC474&lt;OP!$C$3,0,BD474-BC474)</f>
        <v>1</v>
      </c>
      <c r="BG474" s="468">
        <f ca="1">IF($BE474&gt;DATE(YEAR($BD$9)+OP!$C$57,MONTH($BD$9),DAY($BD$9)),0,$BE474-$BD474+1)</f>
        <v>30</v>
      </c>
      <c r="BH474" s="469">
        <f t="shared" ca="1" si="368"/>
        <v>31</v>
      </c>
      <c r="BI474" t="str">
        <f t="shared" si="384"/>
        <v/>
      </c>
      <c r="BJ474">
        <v>9</v>
      </c>
      <c r="BN474" s="468">
        <f t="shared" si="380"/>
        <v>39</v>
      </c>
      <c r="BO474" s="468">
        <f t="shared" si="381"/>
        <v>9</v>
      </c>
      <c r="BP474" s="467">
        <f t="shared" ca="1" si="369"/>
        <v>57041</v>
      </c>
      <c r="BQ474" s="475">
        <f t="shared" ca="1" si="383"/>
        <v>71</v>
      </c>
      <c r="BR474" s="475" t="str">
        <f t="shared" si="382"/>
        <v/>
      </c>
      <c r="BS474" s="471" t="str">
        <f t="shared" si="370"/>
        <v/>
      </c>
      <c r="BT474" s="472" t="str">
        <f t="shared" si="385"/>
        <v/>
      </c>
      <c r="BU474" s="472">
        <f t="shared" ca="1" si="371"/>
        <v>0</v>
      </c>
      <c r="BV474" s="472">
        <f t="shared" ca="1" si="371"/>
        <v>0</v>
      </c>
      <c r="BW474" s="472"/>
      <c r="BX474" s="473">
        <f t="shared" ca="1" si="372"/>
        <v>494438.15080506902</v>
      </c>
      <c r="BY474" s="473">
        <f t="shared" si="373"/>
        <v>0</v>
      </c>
      <c r="BZ474" s="473">
        <f t="shared" ca="1" si="355"/>
        <v>1129.6218295230001</v>
      </c>
      <c r="CA474" s="476">
        <f t="shared" ca="1" si="374"/>
        <v>0</v>
      </c>
      <c r="CB474" s="494">
        <f ca="1">IF(OR($Q473&lt;&gt;1,OP!$D$5+$BN474-1&lt;16,$BN474-1&lt;1),0,ROUND(ROUND(ROUND(((VLOOKUP($BN474-1,MORE_PV,5,0)/10000)*VLOOKUP($BN474,MORE_PV,$CB$5,0)),3)*VLOOKUP($BN474,more1,5,0),0)/$R473,0))</f>
        <v>0</v>
      </c>
      <c r="CC474" s="473">
        <f t="shared" ca="1" si="375"/>
        <v>0</v>
      </c>
      <c r="CD474" s="477"/>
    </row>
    <row r="475" spans="2:82" ht="16.5" hidden="1">
      <c r="B475" s="80"/>
      <c r="C475" s="80"/>
      <c r="D475" s="80"/>
      <c r="E475" s="80"/>
      <c r="F475" s="80"/>
      <c r="G475" s="80"/>
      <c r="H475" s="80"/>
      <c r="I475" s="80"/>
      <c r="J475" s="192">
        <f t="shared" si="356"/>
        <v>39</v>
      </c>
      <c r="K475" s="192">
        <f t="shared" si="357"/>
        <v>11</v>
      </c>
      <c r="L475" s="192" t="str">
        <f t="shared" si="352"/>
        <v/>
      </c>
      <c r="M475" s="216">
        <f t="shared" ca="1" si="358"/>
        <v>0</v>
      </c>
      <c r="N475" s="216"/>
      <c r="O475" s="216"/>
      <c r="P475" s="216"/>
      <c r="Q475" s="456" t="str">
        <f t="shared" ca="1" si="359"/>
        <v/>
      </c>
      <c r="R475" s="450">
        <f t="shared" ca="1" si="360"/>
        <v>1</v>
      </c>
      <c r="S475" s="191">
        <f t="shared" si="361"/>
        <v>39</v>
      </c>
      <c r="T475" s="191">
        <f t="shared" si="362"/>
        <v>11</v>
      </c>
      <c r="U475" s="191">
        <f ca="1">OP!$D$5+$S475-1</f>
        <v>71</v>
      </c>
      <c r="V475" s="191" t="str">
        <f t="shared" si="363"/>
        <v/>
      </c>
      <c r="W475" s="350">
        <f ca="1">IF(Q475&lt;&gt;1,0,VLOOKUP(OP!$C$55,PVFB,$S475+2,0))</f>
        <v>0</v>
      </c>
      <c r="X475" s="473">
        <f t="shared" ca="1" si="376"/>
        <v>0</v>
      </c>
      <c r="Y475" s="348">
        <f t="shared" ca="1" si="377"/>
        <v>0</v>
      </c>
      <c r="Z475" s="348">
        <f t="shared" ca="1" si="378"/>
        <v>8012</v>
      </c>
      <c r="AA475" s="348">
        <f ca="1">IF(Q475&lt;&gt;1,0,VLOOKUP(OP!$C$55,PVFB,$S475+2,0))</f>
        <v>0</v>
      </c>
      <c r="AB475" s="488" t="str">
        <f ca="1">IF(AND(S475&lt;OP!$C$24,$U475&lt;15),0,IF(AND($U475&lt;15,$T475=12),ROUND(VLOOKUP($S475,DOWN16,5,0),3),IF($T475=12,ROUND(($Z475/10000)*$AA475,3)+IF(AND($P$7="購買增額繳清保險",T475=12,U475=110),VLOOKUP(S475,$B$10:$H$121,7,0),0),"")))</f>
        <v/>
      </c>
      <c r="AC475" s="350" t="str">
        <f ca="1">IF(AND(S475&lt;OP!$C$24,$U475&lt;15),0,IF(AND($U475&lt;16,$T475=12),VLOOKUP($S475,DOWN16,4,0),IF($T475=12,ROUND(VLOOKUP(OP!$C$55,_DIE2,$S475+1,0)*(Z475/10000),0)+IF(AND($P$7="購買增額繳清保險",T475=12,U475=110),VLOOKUP(S475,$B$10:$H$121,7,0),0),"")))</f>
        <v/>
      </c>
      <c r="AD475" s="347"/>
      <c r="AE475" s="350" t="str">
        <f t="shared" ca="1" si="353"/>
        <v/>
      </c>
      <c r="AF475" s="351" t="str">
        <f t="shared" ca="1" si="354"/>
        <v/>
      </c>
      <c r="AG475" s="340"/>
      <c r="AH475" s="340"/>
      <c r="AI475" s="340"/>
      <c r="AJ475" s="340"/>
      <c r="AK475" s="340"/>
      <c r="AL475" s="340"/>
      <c r="AM475" s="340"/>
      <c r="AN475" s="340"/>
      <c r="AO475" s="340"/>
      <c r="AP475" s="340"/>
      <c r="AQ475" s="340"/>
      <c r="AR475" s="340"/>
      <c r="AS475" s="340"/>
      <c r="AT475" s="340"/>
      <c r="AU475" s="340"/>
      <c r="AV475" s="340"/>
      <c r="AY475" s="340"/>
      <c r="AZ475" s="465">
        <f t="shared" ca="1" si="364"/>
        <v>7.3698599999999999E-5</v>
      </c>
      <c r="BA475" s="464">
        <f t="shared" ca="1" si="365"/>
        <v>2.1372602999999999E-3</v>
      </c>
      <c r="BB475" s="465">
        <f t="shared" ca="1" si="365"/>
        <v>2.2109589000000002E-3</v>
      </c>
      <c r="BC475" s="466">
        <f t="shared" ca="1" si="366"/>
        <v>57071</v>
      </c>
      <c r="BD475" s="467">
        <f t="shared" ca="1" si="379"/>
        <v>57072</v>
      </c>
      <c r="BE475" s="467">
        <f t="shared" ca="1" si="367"/>
        <v>57100</v>
      </c>
      <c r="BF475" s="468">
        <f ca="1">IF(計算!$BC475&lt;OP!$C$3,0,BD475-BC475)</f>
        <v>1</v>
      </c>
      <c r="BG475" s="468">
        <f ca="1">IF($BE475&gt;DATE(YEAR($BD$9)+OP!$C$57,MONTH($BD$9),DAY($BD$9)),0,$BE475-$BD475+1)</f>
        <v>29</v>
      </c>
      <c r="BH475" s="469">
        <f t="shared" ca="1" si="368"/>
        <v>30</v>
      </c>
      <c r="BI475" t="str">
        <f t="shared" si="384"/>
        <v/>
      </c>
      <c r="BJ475">
        <v>10</v>
      </c>
      <c r="BN475" s="468">
        <f t="shared" si="380"/>
        <v>39</v>
      </c>
      <c r="BO475" s="468">
        <f t="shared" si="381"/>
        <v>10</v>
      </c>
      <c r="BP475" s="467">
        <f t="shared" ca="1" si="369"/>
        <v>57072</v>
      </c>
      <c r="BQ475" s="475">
        <f t="shared" ca="1" si="383"/>
        <v>71</v>
      </c>
      <c r="BR475" s="475" t="str">
        <f t="shared" si="382"/>
        <v/>
      </c>
      <c r="BS475" s="471" t="str">
        <f t="shared" si="370"/>
        <v/>
      </c>
      <c r="BT475" s="472" t="str">
        <f t="shared" si="385"/>
        <v/>
      </c>
      <c r="BU475" s="472">
        <f t="shared" ca="1" si="371"/>
        <v>0</v>
      </c>
      <c r="BV475" s="472">
        <f t="shared" ca="1" si="371"/>
        <v>0</v>
      </c>
      <c r="BW475" s="472"/>
      <c r="BX475" s="473">
        <f t="shared" ca="1" si="372"/>
        <v>495567.77263459202</v>
      </c>
      <c r="BY475" s="473">
        <f t="shared" si="373"/>
        <v>0</v>
      </c>
      <c r="BZ475" s="473">
        <f t="shared" ca="1" si="355"/>
        <v>1095.6799774599999</v>
      </c>
      <c r="CA475" s="476">
        <f t="shared" ca="1" si="374"/>
        <v>0</v>
      </c>
      <c r="CB475" s="494">
        <f ca="1">IF(OR($Q474&lt;&gt;1,OP!$D$5+$BN475-1&lt;16,$BN475-1&lt;1),0,ROUND(ROUND(ROUND(((VLOOKUP($BN475-1,MORE_PV,5,0)/10000)*VLOOKUP($BN475,MORE_PV,$CB$5,0)),3)*VLOOKUP($BN475,more1,5,0),0)/$R474,0))</f>
        <v>0</v>
      </c>
      <c r="CC475" s="473">
        <f t="shared" ca="1" si="375"/>
        <v>0</v>
      </c>
      <c r="CD475" s="477"/>
    </row>
    <row r="476" spans="2:82" ht="16.5" hidden="1">
      <c r="B476" s="80"/>
      <c r="C476" s="80"/>
      <c r="D476" s="80"/>
      <c r="E476" s="80"/>
      <c r="F476" s="80"/>
      <c r="G476" s="80"/>
      <c r="H476" s="80"/>
      <c r="I476" s="80"/>
      <c r="J476" s="192">
        <f t="shared" si="356"/>
        <v>39</v>
      </c>
      <c r="K476" s="192">
        <f t="shared" si="357"/>
        <v>12</v>
      </c>
      <c r="L476" s="192">
        <f t="shared" si="352"/>
        <v>39</v>
      </c>
      <c r="M476" s="216">
        <f t="shared" ca="1" si="358"/>
        <v>511645</v>
      </c>
      <c r="N476" s="216"/>
      <c r="O476" s="216"/>
      <c r="P476" s="216"/>
      <c r="Q476" s="456">
        <f t="shared" ca="1" si="359"/>
        <v>1</v>
      </c>
      <c r="R476" s="450">
        <f t="shared" ca="1" si="360"/>
        <v>1</v>
      </c>
      <c r="S476" s="191">
        <f t="shared" si="361"/>
        <v>39</v>
      </c>
      <c r="T476" s="191">
        <f t="shared" si="362"/>
        <v>12</v>
      </c>
      <c r="U476" s="191">
        <f ca="1">OP!$D$5+$S476-1</f>
        <v>71</v>
      </c>
      <c r="V476" s="191">
        <f t="shared" si="363"/>
        <v>39</v>
      </c>
      <c r="W476" s="350">
        <f ca="1">IF(Q476&lt;&gt;1,0,VLOOKUP(OP!$C$55,PVFB,$S476+2,0))</f>
        <v>57512</v>
      </c>
      <c r="X476" s="473">
        <f t="shared" ca="1" si="376"/>
        <v>13810</v>
      </c>
      <c r="Y476" s="348">
        <f t="shared" ca="1" si="377"/>
        <v>0</v>
      </c>
      <c r="Z476" s="348">
        <f t="shared" ca="1" si="378"/>
        <v>8012</v>
      </c>
      <c r="AA476" s="348">
        <f ca="1">IF(Q476&lt;&gt;1,0,VLOOKUP(OP!$C$55,PVFB,$S476+2,0))</f>
        <v>57512</v>
      </c>
      <c r="AB476" s="488">
        <f ca="1">IF(AND(S476&lt;OP!$C$24,$U476&lt;15),0,IF(AND($U476&lt;15,$T476=12),ROUND(VLOOKUP($S476,DOWN16,5,0),3),IF($T476=12,ROUND(($Z476/10000)*$AA476,3)+IF(AND($P$7="購買增額繳清保險",T476=12,U476=110),VLOOKUP(S476,$B$10:$H$121,7,0),0),"")))</f>
        <v>46078.614000000001</v>
      </c>
      <c r="AC476" s="350">
        <f ca="1">IF(AND(S476&lt;OP!$C$24,$U476&lt;15),0,IF(AND($U476&lt;16,$T476=12),VLOOKUP($S476,DOWN16,4,0),IF($T476=12,ROUND(VLOOKUP(OP!$C$55,_DIE2,$S476+1,0)*(Z476/10000),0)+IF(AND($P$7="購買增額繳清保險",T476=12,U476=110),VLOOKUP(S476,$B$10:$H$121,7,0),0),"")))</f>
        <v>46079</v>
      </c>
      <c r="AD476" s="347"/>
      <c r="AE476" s="350" t="str">
        <f t="shared" ca="1" si="353"/>
        <v/>
      </c>
      <c r="AF476" s="351" t="str">
        <f t="shared" ca="1" si="354"/>
        <v/>
      </c>
      <c r="AG476" s="340"/>
      <c r="AH476" s="340"/>
      <c r="AI476" s="340"/>
      <c r="AJ476" s="340"/>
      <c r="AK476" s="340"/>
      <c r="AL476" s="340"/>
      <c r="AM476" s="340"/>
      <c r="AN476" s="340"/>
      <c r="AO476" s="340"/>
      <c r="AP476" s="340"/>
      <c r="AQ476" s="340"/>
      <c r="AR476" s="340"/>
      <c r="AS476" s="340"/>
      <c r="AT476" s="340"/>
      <c r="AU476" s="340"/>
      <c r="AV476" s="340"/>
      <c r="AY476" s="340"/>
      <c r="AZ476" s="465">
        <f t="shared" ca="1" si="364"/>
        <v>7.3698599999999999E-5</v>
      </c>
      <c r="BA476" s="464">
        <f t="shared" ca="1" si="365"/>
        <v>2.2109589000000002E-3</v>
      </c>
      <c r="BB476" s="465">
        <f t="shared" ca="1" si="365"/>
        <v>2.2846575E-3</v>
      </c>
      <c r="BC476" s="466">
        <f t="shared" ca="1" si="366"/>
        <v>57101</v>
      </c>
      <c r="BD476" s="467">
        <f t="shared" ca="1" si="379"/>
        <v>57102</v>
      </c>
      <c r="BE476" s="467">
        <f t="shared" ca="1" si="367"/>
        <v>57131</v>
      </c>
      <c r="BF476" s="468">
        <f ca="1">IF(計算!$BC476&lt;OP!$C$3,0,BD476-BC476)</f>
        <v>1</v>
      </c>
      <c r="BG476" s="468">
        <f ca="1">IF($BE476&gt;DATE(YEAR($BD$9)+OP!$C$57,MONTH($BD$9),DAY($BD$9)),0,$BE476-$BD476+1)</f>
        <v>30</v>
      </c>
      <c r="BH476" s="469">
        <f t="shared" ca="1" si="368"/>
        <v>31</v>
      </c>
      <c r="BI476" t="str">
        <f t="shared" si="384"/>
        <v/>
      </c>
      <c r="BJ476">
        <v>11</v>
      </c>
      <c r="BN476" s="468">
        <f t="shared" si="380"/>
        <v>39</v>
      </c>
      <c r="BO476" s="468">
        <f t="shared" si="381"/>
        <v>11</v>
      </c>
      <c r="BP476" s="467">
        <f t="shared" ca="1" si="369"/>
        <v>57102</v>
      </c>
      <c r="BQ476" s="475">
        <f t="shared" ca="1" si="383"/>
        <v>71</v>
      </c>
      <c r="BR476" s="475" t="str">
        <f t="shared" si="382"/>
        <v/>
      </c>
      <c r="BS476" s="471" t="str">
        <f t="shared" si="370"/>
        <v/>
      </c>
      <c r="BT476" s="472" t="str">
        <f t="shared" si="385"/>
        <v/>
      </c>
      <c r="BU476" s="472">
        <f t="shared" ca="1" si="371"/>
        <v>0</v>
      </c>
      <c r="BV476" s="472">
        <f t="shared" ca="1" si="371"/>
        <v>0</v>
      </c>
      <c r="BW476" s="472"/>
      <c r="BX476" s="473">
        <f t="shared" ca="1" si="372"/>
        <v>496663.45261205197</v>
      </c>
      <c r="BY476" s="473">
        <f t="shared" si="373"/>
        <v>0</v>
      </c>
      <c r="BZ476" s="473">
        <f t="shared" ca="1" si="355"/>
        <v>1134.7058819859999</v>
      </c>
      <c r="CA476" s="476">
        <f t="shared" ca="1" si="374"/>
        <v>0</v>
      </c>
      <c r="CB476" s="494">
        <f ca="1">IF(OR($Q475&lt;&gt;1,OP!$D$5+$BN476-1&lt;16,$BN476-1&lt;1),0,ROUND(ROUND(ROUND(((VLOOKUP($BN476-1,MORE_PV,5,0)/10000)*VLOOKUP($BN476,MORE_PV,$CB$5,0)),3)*VLOOKUP($BN476,more1,5,0),0)/$R475,0))</f>
        <v>0</v>
      </c>
      <c r="CC476" s="473">
        <f t="shared" ca="1" si="375"/>
        <v>0</v>
      </c>
      <c r="CD476" s="477"/>
    </row>
    <row r="477" spans="2:82" ht="16.5" hidden="1">
      <c r="B477" s="80"/>
      <c r="C477" s="80"/>
      <c r="D477" s="80"/>
      <c r="E477" s="80"/>
      <c r="F477" s="80"/>
      <c r="G477" s="80"/>
      <c r="H477" s="80"/>
      <c r="I477" s="80"/>
      <c r="J477" s="192">
        <f t="shared" si="356"/>
        <v>40</v>
      </c>
      <c r="K477" s="192">
        <f t="shared" si="357"/>
        <v>1</v>
      </c>
      <c r="L477" s="192" t="str">
        <f t="shared" si="352"/>
        <v/>
      </c>
      <c r="M477" s="216">
        <f t="shared" ca="1" si="358"/>
        <v>0</v>
      </c>
      <c r="N477" s="216"/>
      <c r="O477" s="216"/>
      <c r="P477" s="216"/>
      <c r="Q477" s="456" t="str">
        <f t="shared" ca="1" si="359"/>
        <v/>
      </c>
      <c r="R477" s="450">
        <f t="shared" ca="1" si="360"/>
        <v>1</v>
      </c>
      <c r="S477" s="191">
        <f t="shared" si="361"/>
        <v>40</v>
      </c>
      <c r="T477" s="191">
        <f t="shared" si="362"/>
        <v>1</v>
      </c>
      <c r="U477" s="191">
        <f ca="1">OP!$D$5+$S477-1</f>
        <v>72</v>
      </c>
      <c r="V477" s="191" t="str">
        <f t="shared" si="363"/>
        <v/>
      </c>
      <c r="W477" s="350">
        <f ca="1">IF(Q477&lt;&gt;1,0,VLOOKUP(OP!$C$55,PVFB,$S477+2,0))</f>
        <v>0</v>
      </c>
      <c r="X477" s="473">
        <f t="shared" ca="1" si="376"/>
        <v>0</v>
      </c>
      <c r="Y477" s="348">
        <f t="shared" ca="1" si="377"/>
        <v>0</v>
      </c>
      <c r="Z477" s="348">
        <f t="shared" ca="1" si="378"/>
        <v>8012</v>
      </c>
      <c r="AA477" s="348">
        <f ca="1">IF(Q477&lt;&gt;1,0,VLOOKUP(OP!$C$55,PVFB,$S477+2,0))</f>
        <v>0</v>
      </c>
      <c r="AB477" s="488" t="str">
        <f ca="1">IF(AND(S477&lt;OP!$C$24,$U477&lt;15),0,IF(AND($U477&lt;15,$T477=12),ROUND(VLOOKUP($S477,DOWN16,5,0),3),IF($T477=12,ROUND(($Z477/10000)*$AA477,3)+IF(AND($P$7="購買增額繳清保險",T477=12,U477=110),VLOOKUP(S477,$B$10:$H$121,7,0),0),"")))</f>
        <v/>
      </c>
      <c r="AC477" s="350" t="str">
        <f ca="1">IF(AND(S477&lt;OP!$C$24,$U477&lt;15),0,IF(AND($U477&lt;16,$T477=12),VLOOKUP($S477,DOWN16,4,0),IF($T477=12,ROUND(VLOOKUP(OP!$C$55,_DIE2,$S477+1,0)*(Z477/10000),0)+IF(AND($P$7="購買增額繳清保險",T477=12,U477=110),VLOOKUP(S477,$B$10:$H$121,7,0),0),"")))</f>
        <v/>
      </c>
      <c r="AD477" s="347"/>
      <c r="AE477" s="350" t="str">
        <f t="shared" ca="1" si="353"/>
        <v/>
      </c>
      <c r="AF477" s="351" t="str">
        <f t="shared" ca="1" si="354"/>
        <v/>
      </c>
      <c r="AG477" s="340"/>
      <c r="AH477" s="340"/>
      <c r="AI477" s="340"/>
      <c r="AJ477" s="340"/>
      <c r="AK477" s="340"/>
      <c r="AL477" s="340"/>
      <c r="AM477" s="340"/>
      <c r="AN477" s="340"/>
      <c r="AO477" s="340"/>
      <c r="AP477" s="340"/>
      <c r="AQ477" s="340"/>
      <c r="AR477" s="340"/>
      <c r="AS477" s="340"/>
      <c r="AT477" s="340"/>
      <c r="AU477" s="340"/>
      <c r="AV477" s="340"/>
      <c r="AY477" s="340"/>
      <c r="AZ477" s="465">
        <f t="shared" ca="1" si="364"/>
        <v>7.3698599999999999E-5</v>
      </c>
      <c r="BA477" s="464">
        <f t="shared" ca="1" si="365"/>
        <v>2.1372602999999999E-3</v>
      </c>
      <c r="BB477" s="465">
        <f t="shared" ca="1" si="365"/>
        <v>2.2109589000000002E-3</v>
      </c>
      <c r="BC477" s="466">
        <f t="shared" ca="1" si="366"/>
        <v>57132</v>
      </c>
      <c r="BD477" s="467">
        <f t="shared" ca="1" si="379"/>
        <v>57133</v>
      </c>
      <c r="BE477" s="467">
        <f t="shared" ca="1" si="367"/>
        <v>57161</v>
      </c>
      <c r="BF477" s="468">
        <f ca="1">IF(計算!$BC477&lt;OP!$C$3,0,BD477-BC477)</f>
        <v>1</v>
      </c>
      <c r="BG477" s="468">
        <f ca="1">IF($BE477&gt;DATE(YEAR($BD$9)+OP!$C$57,MONTH($BD$9),DAY($BD$9)),0,$BE477-$BD477+1)</f>
        <v>29</v>
      </c>
      <c r="BH477" s="469">
        <f t="shared" ca="1" si="368"/>
        <v>30</v>
      </c>
      <c r="BI477">
        <f t="shared" ca="1" si="384"/>
        <v>366</v>
      </c>
      <c r="BJ477">
        <v>12</v>
      </c>
      <c r="BN477" s="468">
        <f t="shared" si="380"/>
        <v>39</v>
      </c>
      <c r="BO477" s="468">
        <f t="shared" si="381"/>
        <v>12</v>
      </c>
      <c r="BP477" s="467">
        <f t="shared" ca="1" si="369"/>
        <v>57133</v>
      </c>
      <c r="BQ477" s="475">
        <f t="shared" ca="1" si="383"/>
        <v>71</v>
      </c>
      <c r="BR477" s="475">
        <f t="shared" si="382"/>
        <v>39</v>
      </c>
      <c r="BS477" s="471">
        <f t="shared" ca="1" si="370"/>
        <v>13810</v>
      </c>
      <c r="BT477" s="472">
        <f t="shared" ca="1" si="385"/>
        <v>511645</v>
      </c>
      <c r="BU477" s="472">
        <f t="shared" ca="1" si="371"/>
        <v>13492</v>
      </c>
      <c r="BV477" s="472">
        <f t="shared" ca="1" si="371"/>
        <v>318</v>
      </c>
      <c r="BW477" s="472">
        <f ca="1">ROUND(SUM(BY477,BZ465:BZ476),0)</f>
        <v>13234</v>
      </c>
      <c r="BX477" s="473">
        <f t="shared" ca="1" si="372"/>
        <v>511644.84552140202</v>
      </c>
      <c r="BY477" s="473">
        <f t="shared" ca="1" si="373"/>
        <v>36.687027364000002</v>
      </c>
      <c r="BZ477" s="473">
        <f t="shared" ca="1" si="355"/>
        <v>1093.518216033</v>
      </c>
      <c r="CA477" s="476">
        <f t="shared" ca="1" si="374"/>
        <v>13492</v>
      </c>
      <c r="CB477" s="494">
        <f ca="1">IF(OR($Q476&lt;&gt;1,OP!$D$5+$BN477-1&lt;16,$BN477-1&lt;1),0,ROUND(ROUND(ROUND(((VLOOKUP($BN477-1,MORE_PV,5,0)/10000)*VLOOKUP($BN477,MORE_PV,$CB$5,0)),3)*VLOOKUP($BN477,more1,5,0),0)/$R476,0))</f>
        <v>318</v>
      </c>
      <c r="CC477" s="473">
        <f t="shared" ca="1" si="375"/>
        <v>0</v>
      </c>
      <c r="CD477" s="477"/>
    </row>
    <row r="478" spans="2:82" ht="16.5" hidden="1">
      <c r="B478" s="80"/>
      <c r="C478" s="80"/>
      <c r="D478" s="80"/>
      <c r="E478" s="80"/>
      <c r="F478" s="80"/>
      <c r="G478" s="80"/>
      <c r="H478" s="80"/>
      <c r="I478" s="80"/>
      <c r="J478" s="192">
        <f t="shared" si="356"/>
        <v>40</v>
      </c>
      <c r="K478" s="192">
        <f t="shared" si="357"/>
        <v>2</v>
      </c>
      <c r="L478" s="192" t="str">
        <f t="shared" si="352"/>
        <v/>
      </c>
      <c r="M478" s="216">
        <f t="shared" ca="1" si="358"/>
        <v>0</v>
      </c>
      <c r="N478" s="216"/>
      <c r="O478" s="216"/>
      <c r="P478" s="216"/>
      <c r="Q478" s="456" t="str">
        <f t="shared" ca="1" si="359"/>
        <v/>
      </c>
      <c r="R478" s="450">
        <f t="shared" ca="1" si="360"/>
        <v>1</v>
      </c>
      <c r="S478" s="191">
        <f t="shared" si="361"/>
        <v>40</v>
      </c>
      <c r="T478" s="191">
        <f t="shared" si="362"/>
        <v>2</v>
      </c>
      <c r="U478" s="191">
        <f ca="1">OP!$D$5+$S478-1</f>
        <v>72</v>
      </c>
      <c r="V478" s="191" t="str">
        <f t="shared" si="363"/>
        <v/>
      </c>
      <c r="W478" s="350">
        <f ca="1">IF(Q478&lt;&gt;1,0,VLOOKUP(OP!$C$55,PVFB,$S478+2,0))</f>
        <v>0</v>
      </c>
      <c r="X478" s="473">
        <f t="shared" ca="1" si="376"/>
        <v>0</v>
      </c>
      <c r="Y478" s="348">
        <f t="shared" ca="1" si="377"/>
        <v>0</v>
      </c>
      <c r="Z478" s="348">
        <f t="shared" ca="1" si="378"/>
        <v>8012</v>
      </c>
      <c r="AA478" s="348">
        <f ca="1">IF(Q478&lt;&gt;1,0,VLOOKUP(OP!$C$55,PVFB,$S478+2,0))</f>
        <v>0</v>
      </c>
      <c r="AB478" s="488" t="str">
        <f ca="1">IF(AND(S478&lt;OP!$C$24,$U478&lt;15),0,IF(AND($U478&lt;15,$T478=12),ROUND(VLOOKUP($S478,DOWN16,5,0),3),IF($T478=12,ROUND(($Z478/10000)*$AA478,3)+IF(AND($P$7="購買增額繳清保險",T478=12,U478=110),VLOOKUP(S478,$B$10:$H$121,7,0),0),"")))</f>
        <v/>
      </c>
      <c r="AC478" s="350" t="str">
        <f ca="1">IF(AND(S478&lt;OP!$C$24,$U478&lt;15),0,IF(AND($U478&lt;16,$T478=12),VLOOKUP($S478,DOWN16,4,0),IF($T478=12,ROUND(VLOOKUP(OP!$C$55,_DIE2,$S478+1,0)*(Z478/10000),0)+IF(AND($P$7="購買增額繳清保險",T478=12,U478=110),VLOOKUP(S478,$B$10:$H$121,7,0),0),"")))</f>
        <v/>
      </c>
      <c r="AD478" s="347"/>
      <c r="AE478" s="350" t="str">
        <f t="shared" ca="1" si="353"/>
        <v/>
      </c>
      <c r="AF478" s="351" t="str">
        <f t="shared" ca="1" si="354"/>
        <v/>
      </c>
      <c r="AG478" s="340"/>
      <c r="AH478" s="340"/>
      <c r="AI478" s="340"/>
      <c r="AJ478" s="340"/>
      <c r="AK478" s="340"/>
      <c r="AL478" s="340"/>
      <c r="AM478" s="340"/>
      <c r="AN478" s="340"/>
      <c r="AO478" s="340"/>
      <c r="AP478" s="340"/>
      <c r="AQ478" s="340"/>
      <c r="AR478" s="340"/>
      <c r="AS478" s="340"/>
      <c r="AT478" s="340"/>
      <c r="AU478" s="340"/>
      <c r="AV478" s="340"/>
      <c r="AY478" s="340"/>
      <c r="AZ478" s="465">
        <f t="shared" ca="1" si="364"/>
        <v>7.3698599999999999E-5</v>
      </c>
      <c r="BA478" s="464">
        <f t="shared" ca="1" si="365"/>
        <v>2.2109589000000002E-3</v>
      </c>
      <c r="BB478" s="465">
        <f t="shared" ca="1" si="365"/>
        <v>2.2846575E-3</v>
      </c>
      <c r="BC478" s="466">
        <f t="shared" ca="1" si="366"/>
        <v>57162</v>
      </c>
      <c r="BD478" s="467">
        <f t="shared" ca="1" si="379"/>
        <v>57163</v>
      </c>
      <c r="BE478" s="467">
        <f t="shared" ca="1" si="367"/>
        <v>57192</v>
      </c>
      <c r="BF478" s="468">
        <f ca="1">IF(計算!$BC478&lt;OP!$C$3,0,BD478-BC478)</f>
        <v>1</v>
      </c>
      <c r="BG478" s="468">
        <f ca="1">IF($BE478&gt;DATE(YEAR($BD$9)+OP!$C$57,MONTH($BD$9),DAY($BD$9)),0,$BE478-$BD478+1)</f>
        <v>30</v>
      </c>
      <c r="BH478" s="469">
        <f t="shared" ca="1" si="368"/>
        <v>31</v>
      </c>
      <c r="BI478" t="str">
        <f t="shared" si="384"/>
        <v/>
      </c>
      <c r="BJ478">
        <v>1</v>
      </c>
      <c r="BN478" s="468">
        <f t="shared" si="380"/>
        <v>40</v>
      </c>
      <c r="BO478" s="468">
        <f t="shared" si="381"/>
        <v>1</v>
      </c>
      <c r="BP478" s="467">
        <f t="shared" ca="1" si="369"/>
        <v>57163</v>
      </c>
      <c r="BQ478" s="475">
        <f t="shared" ca="1" si="383"/>
        <v>72</v>
      </c>
      <c r="BR478" s="475" t="str">
        <f t="shared" si="382"/>
        <v/>
      </c>
      <c r="BS478" s="471" t="str">
        <f t="shared" si="370"/>
        <v/>
      </c>
      <c r="BT478" s="472" t="str">
        <f t="shared" si="385"/>
        <v/>
      </c>
      <c r="BU478" s="472">
        <f t="shared" ca="1" si="371"/>
        <v>0</v>
      </c>
      <c r="BV478" s="472">
        <f t="shared" ca="1" si="371"/>
        <v>0</v>
      </c>
      <c r="BW478" s="472"/>
      <c r="BX478" s="473">
        <f t="shared" ca="1" si="372"/>
        <v>512738.36373743502</v>
      </c>
      <c r="BY478" s="473">
        <f t="shared" si="373"/>
        <v>0</v>
      </c>
      <c r="BZ478" s="473">
        <f t="shared" ca="1" si="355"/>
        <v>1171.4315482500001</v>
      </c>
      <c r="CA478" s="476">
        <f t="shared" ca="1" si="374"/>
        <v>0</v>
      </c>
      <c r="CB478" s="494">
        <f ca="1">IF(OR($Q477&lt;&gt;1,OP!$D$5+$BN478-1&lt;16,$BN478-1&lt;1),0,ROUND(ROUND(ROUND(((VLOOKUP($BN478-1,MORE_PV,5,0)/10000)*VLOOKUP($BN478,MORE_PV,$CB$5,0)),3)*VLOOKUP($BN478,more1,5,0),0)/$R477,0))</f>
        <v>0</v>
      </c>
      <c r="CC478" s="473">
        <f t="shared" ca="1" si="375"/>
        <v>0</v>
      </c>
      <c r="CD478" s="477"/>
    </row>
    <row r="479" spans="2:82" ht="16.5" hidden="1">
      <c r="B479" s="80"/>
      <c r="C479" s="80"/>
      <c r="D479" s="80"/>
      <c r="E479" s="80"/>
      <c r="F479" s="80"/>
      <c r="G479" s="80"/>
      <c r="H479" s="80"/>
      <c r="I479" s="80"/>
      <c r="J479" s="192">
        <f t="shared" si="356"/>
        <v>40</v>
      </c>
      <c r="K479" s="192">
        <f t="shared" si="357"/>
        <v>3</v>
      </c>
      <c r="L479" s="192" t="str">
        <f t="shared" si="352"/>
        <v/>
      </c>
      <c r="M479" s="216">
        <f t="shared" ca="1" si="358"/>
        <v>0</v>
      </c>
      <c r="N479" s="216"/>
      <c r="O479" s="216"/>
      <c r="P479" s="216"/>
      <c r="Q479" s="456" t="str">
        <f t="shared" ca="1" si="359"/>
        <v/>
      </c>
      <c r="R479" s="450">
        <f t="shared" ca="1" si="360"/>
        <v>1</v>
      </c>
      <c r="S479" s="191">
        <f t="shared" si="361"/>
        <v>40</v>
      </c>
      <c r="T479" s="191">
        <f t="shared" si="362"/>
        <v>3</v>
      </c>
      <c r="U479" s="191">
        <f ca="1">OP!$D$5+$S479-1</f>
        <v>72</v>
      </c>
      <c r="V479" s="191" t="str">
        <f t="shared" si="363"/>
        <v/>
      </c>
      <c r="W479" s="350">
        <f ca="1">IF(Q479&lt;&gt;1,0,VLOOKUP(OP!$C$55,PVFB,$S479+2,0))</f>
        <v>0</v>
      </c>
      <c r="X479" s="473">
        <f t="shared" ca="1" si="376"/>
        <v>0</v>
      </c>
      <c r="Y479" s="348">
        <f t="shared" ca="1" si="377"/>
        <v>0</v>
      </c>
      <c r="Z479" s="348">
        <f t="shared" ca="1" si="378"/>
        <v>8012</v>
      </c>
      <c r="AA479" s="348">
        <f ca="1">IF(Q479&lt;&gt;1,0,VLOOKUP(OP!$C$55,PVFB,$S479+2,0))</f>
        <v>0</v>
      </c>
      <c r="AB479" s="488" t="str">
        <f ca="1">IF(AND(S479&lt;OP!$C$24,$U479&lt;15),0,IF(AND($U479&lt;15,$T479=12),ROUND(VLOOKUP($S479,DOWN16,5,0),3),IF($T479=12,ROUND(($Z479/10000)*$AA479,3)+IF(AND($P$7="購買增額繳清保險",T479=12,U479=110),VLOOKUP(S479,$B$10:$H$121,7,0),0),"")))</f>
        <v/>
      </c>
      <c r="AC479" s="350" t="str">
        <f ca="1">IF(AND(S479&lt;OP!$C$24,$U479&lt;15),0,IF(AND($U479&lt;16,$T479=12),VLOOKUP($S479,DOWN16,4,0),IF($T479=12,ROUND(VLOOKUP(OP!$C$55,_DIE2,$S479+1,0)*(Z479/10000),0)+IF(AND($P$7="購買增額繳清保險",T479=12,U479=110),VLOOKUP(S479,$B$10:$H$121,7,0),0),"")))</f>
        <v/>
      </c>
      <c r="AD479" s="347"/>
      <c r="AE479" s="350" t="str">
        <f t="shared" ca="1" si="353"/>
        <v/>
      </c>
      <c r="AF479" s="351" t="str">
        <f t="shared" ca="1" si="354"/>
        <v/>
      </c>
      <c r="AG479" s="340"/>
      <c r="AH479" s="340"/>
      <c r="AI479" s="340"/>
      <c r="AJ479" s="340"/>
      <c r="AK479" s="340"/>
      <c r="AL479" s="340"/>
      <c r="AM479" s="340"/>
      <c r="AN479" s="340"/>
      <c r="AO479" s="340"/>
      <c r="AP479" s="340"/>
      <c r="AQ479" s="340"/>
      <c r="AR479" s="340"/>
      <c r="AS479" s="340"/>
      <c r="AT479" s="340"/>
      <c r="AU479" s="340"/>
      <c r="AV479" s="340"/>
      <c r="AY479" s="340"/>
      <c r="AZ479" s="465">
        <f t="shared" ca="1" si="364"/>
        <v>7.3698599999999999E-5</v>
      </c>
      <c r="BA479" s="464">
        <f t="shared" ca="1" si="365"/>
        <v>2.2109589000000002E-3</v>
      </c>
      <c r="BB479" s="465">
        <f t="shared" ca="1" si="365"/>
        <v>2.2846575E-3</v>
      </c>
      <c r="BC479" s="466">
        <f t="shared" ca="1" si="366"/>
        <v>57193</v>
      </c>
      <c r="BD479" s="467">
        <f t="shared" ca="1" si="379"/>
        <v>57194</v>
      </c>
      <c r="BE479" s="467">
        <f t="shared" ca="1" si="367"/>
        <v>57223</v>
      </c>
      <c r="BF479" s="468">
        <f ca="1">IF(計算!$BC479&lt;OP!$C$3,0,BD479-BC479)</f>
        <v>1</v>
      </c>
      <c r="BG479" s="468">
        <f ca="1">IF($BE479&gt;DATE(YEAR($BD$9)+OP!$C$57,MONTH($BD$9),DAY($BD$9)),0,$BE479-$BD479+1)</f>
        <v>30</v>
      </c>
      <c r="BH479" s="469">
        <f t="shared" ca="1" si="368"/>
        <v>31</v>
      </c>
      <c r="BI479" t="str">
        <f t="shared" si="384"/>
        <v/>
      </c>
      <c r="BJ479">
        <v>2</v>
      </c>
      <c r="BN479" s="468">
        <f t="shared" si="380"/>
        <v>40</v>
      </c>
      <c r="BO479" s="468">
        <f t="shared" si="381"/>
        <v>2</v>
      </c>
      <c r="BP479" s="467">
        <f t="shared" ca="1" si="369"/>
        <v>57194</v>
      </c>
      <c r="BQ479" s="475">
        <f t="shared" ca="1" si="383"/>
        <v>72</v>
      </c>
      <c r="BR479" s="475" t="str">
        <f t="shared" si="382"/>
        <v/>
      </c>
      <c r="BS479" s="471" t="str">
        <f t="shared" si="370"/>
        <v/>
      </c>
      <c r="BT479" s="472" t="str">
        <f t="shared" si="385"/>
        <v/>
      </c>
      <c r="BU479" s="472">
        <f t="shared" ca="1" si="371"/>
        <v>0</v>
      </c>
      <c r="BV479" s="472">
        <f t="shared" ca="1" si="371"/>
        <v>0</v>
      </c>
      <c r="BW479" s="472"/>
      <c r="BX479" s="473">
        <f t="shared" ca="1" si="372"/>
        <v>513909.79528568499</v>
      </c>
      <c r="BY479" s="473">
        <f t="shared" si="373"/>
        <v>0</v>
      </c>
      <c r="BZ479" s="473">
        <f t="shared" ca="1" si="355"/>
        <v>1174.1078681229999</v>
      </c>
      <c r="CA479" s="476">
        <f t="shared" ca="1" si="374"/>
        <v>0</v>
      </c>
      <c r="CB479" s="494">
        <f ca="1">IF(OR($Q478&lt;&gt;1,OP!$D$5+$BN479-1&lt;16,$BN479-1&lt;1),0,ROUND(ROUND(ROUND(((VLOOKUP($BN479-1,MORE_PV,5,0)/10000)*VLOOKUP($BN479,MORE_PV,$CB$5,0)),3)*VLOOKUP($BN479,more1,5,0),0)/$R478,0))</f>
        <v>0</v>
      </c>
      <c r="CC479" s="473">
        <f t="shared" ca="1" si="375"/>
        <v>0</v>
      </c>
      <c r="CD479" s="477"/>
    </row>
    <row r="480" spans="2:82" ht="16.5" hidden="1">
      <c r="B480" s="80"/>
      <c r="C480" s="80"/>
      <c r="D480" s="80"/>
      <c r="E480" s="80"/>
      <c r="F480" s="80"/>
      <c r="G480" s="80"/>
      <c r="H480" s="80"/>
      <c r="I480" s="80"/>
      <c r="J480" s="192">
        <f t="shared" si="356"/>
        <v>40</v>
      </c>
      <c r="K480" s="192">
        <f t="shared" si="357"/>
        <v>4</v>
      </c>
      <c r="L480" s="192" t="str">
        <f t="shared" si="352"/>
        <v/>
      </c>
      <c r="M480" s="216">
        <f t="shared" ca="1" si="358"/>
        <v>0</v>
      </c>
      <c r="N480" s="216"/>
      <c r="O480" s="216"/>
      <c r="P480" s="216"/>
      <c r="Q480" s="456" t="str">
        <f t="shared" ca="1" si="359"/>
        <v/>
      </c>
      <c r="R480" s="450">
        <f t="shared" ca="1" si="360"/>
        <v>1</v>
      </c>
      <c r="S480" s="191">
        <f t="shared" si="361"/>
        <v>40</v>
      </c>
      <c r="T480" s="191">
        <f t="shared" si="362"/>
        <v>4</v>
      </c>
      <c r="U480" s="191">
        <f ca="1">OP!$D$5+$S480-1</f>
        <v>72</v>
      </c>
      <c r="V480" s="191" t="str">
        <f t="shared" si="363"/>
        <v/>
      </c>
      <c r="W480" s="350">
        <f ca="1">IF(Q480&lt;&gt;1,0,VLOOKUP(OP!$C$55,PVFB,$S480+2,0))</f>
        <v>0</v>
      </c>
      <c r="X480" s="473">
        <f t="shared" ca="1" si="376"/>
        <v>0</v>
      </c>
      <c r="Y480" s="348">
        <f t="shared" ca="1" si="377"/>
        <v>0</v>
      </c>
      <c r="Z480" s="348">
        <f t="shared" ca="1" si="378"/>
        <v>8012</v>
      </c>
      <c r="AA480" s="348">
        <f ca="1">IF(Q480&lt;&gt;1,0,VLOOKUP(OP!$C$55,PVFB,$S480+2,0))</f>
        <v>0</v>
      </c>
      <c r="AB480" s="488" t="str">
        <f ca="1">IF(AND(S480&lt;OP!$C$24,$U480&lt;15),0,IF(AND($U480&lt;15,$T480=12),ROUND(VLOOKUP($S480,DOWN16,5,0),3),IF($T480=12,ROUND(($Z480/10000)*$AA480,3)+IF(AND($P$7="購買增額繳清保險",T480=12,U480=110),VLOOKUP(S480,$B$10:$H$121,7,0),0),"")))</f>
        <v/>
      </c>
      <c r="AC480" s="350" t="str">
        <f ca="1">IF(AND(S480&lt;OP!$C$24,$U480&lt;15),0,IF(AND($U480&lt;16,$T480=12),VLOOKUP($S480,DOWN16,4,0),IF($T480=12,ROUND(VLOOKUP(OP!$C$55,_DIE2,$S480+1,0)*(Z480/10000),0)+IF(AND($P$7="購買增額繳清保險",T480=12,U480=110),VLOOKUP(S480,$B$10:$H$121,7,0),0),"")))</f>
        <v/>
      </c>
      <c r="AD480" s="347"/>
      <c r="AE480" s="350" t="str">
        <f t="shared" ca="1" si="353"/>
        <v/>
      </c>
      <c r="AF480" s="351" t="str">
        <f t="shared" ca="1" si="354"/>
        <v/>
      </c>
      <c r="AG480" s="340"/>
      <c r="AH480" s="340"/>
      <c r="AI480" s="340"/>
      <c r="AJ480" s="340"/>
      <c r="AK480" s="340"/>
      <c r="AL480" s="340"/>
      <c r="AM480" s="340"/>
      <c r="AN480" s="340"/>
      <c r="AO480" s="340"/>
      <c r="AP480" s="340"/>
      <c r="AQ480" s="340"/>
      <c r="AR480" s="340"/>
      <c r="AS480" s="340"/>
      <c r="AT480" s="340"/>
      <c r="AU480" s="340"/>
      <c r="AV480" s="340"/>
      <c r="AY480" s="340"/>
      <c r="AZ480" s="465">
        <f t="shared" ca="1" si="364"/>
        <v>7.3698599999999999E-5</v>
      </c>
      <c r="BA480" s="464">
        <f t="shared" ca="1" si="365"/>
        <v>2.1372602999999999E-3</v>
      </c>
      <c r="BB480" s="465">
        <f t="shared" ca="1" si="365"/>
        <v>2.2109589000000002E-3</v>
      </c>
      <c r="BC480" s="466">
        <f t="shared" ca="1" si="366"/>
        <v>57224</v>
      </c>
      <c r="BD480" s="467">
        <f t="shared" ca="1" si="379"/>
        <v>57225</v>
      </c>
      <c r="BE480" s="467">
        <f t="shared" ca="1" si="367"/>
        <v>57253</v>
      </c>
      <c r="BF480" s="468">
        <f ca="1">IF(計算!$BC480&lt;OP!$C$3,0,BD480-BC480)</f>
        <v>1</v>
      </c>
      <c r="BG480" s="468">
        <f ca="1">IF($BE480&gt;DATE(YEAR($BD$9)+OP!$C$57,MONTH($BD$9),DAY($BD$9)),0,$BE480-$BD480+1)</f>
        <v>29</v>
      </c>
      <c r="BH480" s="469">
        <f t="shared" ca="1" si="368"/>
        <v>30</v>
      </c>
      <c r="BI480" t="str">
        <f t="shared" si="384"/>
        <v/>
      </c>
      <c r="BJ480">
        <v>3</v>
      </c>
      <c r="BN480" s="468">
        <f t="shared" si="380"/>
        <v>40</v>
      </c>
      <c r="BO480" s="468">
        <f t="shared" si="381"/>
        <v>3</v>
      </c>
      <c r="BP480" s="467">
        <f t="shared" ca="1" si="369"/>
        <v>57225</v>
      </c>
      <c r="BQ480" s="475">
        <f t="shared" ca="1" si="383"/>
        <v>72</v>
      </c>
      <c r="BR480" s="475" t="str">
        <f t="shared" si="382"/>
        <v/>
      </c>
      <c r="BS480" s="471" t="str">
        <f t="shared" si="370"/>
        <v/>
      </c>
      <c r="BT480" s="472" t="str">
        <f t="shared" si="385"/>
        <v/>
      </c>
      <c r="BU480" s="472">
        <f t="shared" ca="1" si="371"/>
        <v>0</v>
      </c>
      <c r="BV480" s="472">
        <f t="shared" ca="1" si="371"/>
        <v>0</v>
      </c>
      <c r="BW480" s="472"/>
      <c r="BX480" s="473">
        <f t="shared" ca="1" si="372"/>
        <v>515083.90315380797</v>
      </c>
      <c r="BY480" s="473">
        <f t="shared" si="373"/>
        <v>0</v>
      </c>
      <c r="BZ480" s="473">
        <f t="shared" ca="1" si="355"/>
        <v>1138.8293399250001</v>
      </c>
      <c r="CA480" s="476">
        <f t="shared" ca="1" si="374"/>
        <v>0</v>
      </c>
      <c r="CB480" s="494">
        <f ca="1">IF(OR($Q479&lt;&gt;1,OP!$D$5+$BN480-1&lt;16,$BN480-1&lt;1),0,ROUND(ROUND(ROUND(((VLOOKUP($BN480-1,MORE_PV,5,0)/10000)*VLOOKUP($BN480,MORE_PV,$CB$5,0)),3)*VLOOKUP($BN480,more1,5,0),0)/$R479,0))</f>
        <v>0</v>
      </c>
      <c r="CC480" s="473">
        <f t="shared" ca="1" si="375"/>
        <v>0</v>
      </c>
      <c r="CD480" s="477"/>
    </row>
    <row r="481" spans="2:82" ht="16.5" hidden="1">
      <c r="B481" s="80"/>
      <c r="C481" s="80"/>
      <c r="D481" s="80"/>
      <c r="E481" s="80"/>
      <c r="F481" s="80"/>
      <c r="G481" s="80"/>
      <c r="H481" s="80"/>
      <c r="I481" s="80"/>
      <c r="J481" s="192">
        <f t="shared" si="356"/>
        <v>40</v>
      </c>
      <c r="K481" s="192">
        <f t="shared" si="357"/>
        <v>5</v>
      </c>
      <c r="L481" s="192" t="str">
        <f t="shared" si="352"/>
        <v/>
      </c>
      <c r="M481" s="216">
        <f t="shared" ca="1" si="358"/>
        <v>0</v>
      </c>
      <c r="N481" s="216"/>
      <c r="O481" s="216"/>
      <c r="P481" s="216"/>
      <c r="Q481" s="456" t="str">
        <f t="shared" ca="1" si="359"/>
        <v/>
      </c>
      <c r="R481" s="450">
        <f t="shared" ca="1" si="360"/>
        <v>1</v>
      </c>
      <c r="S481" s="191">
        <f t="shared" si="361"/>
        <v>40</v>
      </c>
      <c r="T481" s="191">
        <f t="shared" si="362"/>
        <v>5</v>
      </c>
      <c r="U481" s="191">
        <f ca="1">OP!$D$5+$S481-1</f>
        <v>72</v>
      </c>
      <c r="V481" s="191" t="str">
        <f t="shared" si="363"/>
        <v/>
      </c>
      <c r="W481" s="350">
        <f ca="1">IF(Q481&lt;&gt;1,0,VLOOKUP(OP!$C$55,PVFB,$S481+2,0))</f>
        <v>0</v>
      </c>
      <c r="X481" s="473">
        <f t="shared" ca="1" si="376"/>
        <v>0</v>
      </c>
      <c r="Y481" s="348">
        <f t="shared" ca="1" si="377"/>
        <v>0</v>
      </c>
      <c r="Z481" s="348">
        <f t="shared" ca="1" si="378"/>
        <v>8012</v>
      </c>
      <c r="AA481" s="348">
        <f ca="1">IF(Q481&lt;&gt;1,0,VLOOKUP(OP!$C$55,PVFB,$S481+2,0))</f>
        <v>0</v>
      </c>
      <c r="AB481" s="488" t="str">
        <f ca="1">IF(AND(S481&lt;OP!$C$24,$U481&lt;15),0,IF(AND($U481&lt;15,$T481=12),ROUND(VLOOKUP($S481,DOWN16,5,0),3),IF($T481=12,ROUND(($Z481/10000)*$AA481,3)+IF(AND($P$7="購買增額繳清保險",T481=12,U481=110),VLOOKUP(S481,$B$10:$H$121,7,0),0),"")))</f>
        <v/>
      </c>
      <c r="AC481" s="350" t="str">
        <f ca="1">IF(AND(S481&lt;OP!$C$24,$U481&lt;15),0,IF(AND($U481&lt;16,$T481=12),VLOOKUP($S481,DOWN16,4,0),IF($T481=12,ROUND(VLOOKUP(OP!$C$55,_DIE2,$S481+1,0)*(Z481/10000),0)+IF(AND($P$7="購買增額繳清保險",T481=12,U481=110),VLOOKUP(S481,$B$10:$H$121,7,0),0),"")))</f>
        <v/>
      </c>
      <c r="AD481" s="347"/>
      <c r="AE481" s="350" t="str">
        <f t="shared" ca="1" si="353"/>
        <v/>
      </c>
      <c r="AF481" s="351" t="str">
        <f t="shared" ca="1" si="354"/>
        <v/>
      </c>
      <c r="AG481" s="340"/>
      <c r="AH481" s="340"/>
      <c r="AI481" s="340"/>
      <c r="AJ481" s="340"/>
      <c r="AK481" s="340"/>
      <c r="AL481" s="340"/>
      <c r="AM481" s="340"/>
      <c r="AN481" s="340"/>
      <c r="AO481" s="340"/>
      <c r="AP481" s="340"/>
      <c r="AQ481" s="340"/>
      <c r="AR481" s="340"/>
      <c r="AS481" s="340"/>
      <c r="AT481" s="340"/>
      <c r="AU481" s="340"/>
      <c r="AV481" s="340"/>
      <c r="AY481" s="340"/>
      <c r="AZ481" s="465">
        <f t="shared" ca="1" si="364"/>
        <v>7.3698599999999999E-5</v>
      </c>
      <c r="BA481" s="464">
        <f t="shared" ca="1" si="365"/>
        <v>2.2109589000000002E-3</v>
      </c>
      <c r="BB481" s="465">
        <f t="shared" ca="1" si="365"/>
        <v>2.2846575E-3</v>
      </c>
      <c r="BC481" s="466">
        <f t="shared" ca="1" si="366"/>
        <v>57254</v>
      </c>
      <c r="BD481" s="467">
        <f t="shared" ca="1" si="379"/>
        <v>57255</v>
      </c>
      <c r="BE481" s="467">
        <f t="shared" ca="1" si="367"/>
        <v>57284</v>
      </c>
      <c r="BF481" s="468">
        <f ca="1">IF(計算!$BC481&lt;OP!$C$3,0,BD481-BC481)</f>
        <v>1</v>
      </c>
      <c r="BG481" s="468">
        <f ca="1">IF($BE481&gt;DATE(YEAR($BD$9)+OP!$C$57,MONTH($BD$9),DAY($BD$9)),0,$BE481-$BD481+1)</f>
        <v>30</v>
      </c>
      <c r="BH481" s="469">
        <f t="shared" ca="1" si="368"/>
        <v>31</v>
      </c>
      <c r="BI481" t="str">
        <f t="shared" si="384"/>
        <v/>
      </c>
      <c r="BJ481">
        <v>4</v>
      </c>
      <c r="BN481" s="468">
        <f t="shared" si="380"/>
        <v>40</v>
      </c>
      <c r="BO481" s="468">
        <f t="shared" si="381"/>
        <v>4</v>
      </c>
      <c r="BP481" s="467">
        <f t="shared" ca="1" si="369"/>
        <v>57255</v>
      </c>
      <c r="BQ481" s="475">
        <f t="shared" ca="1" si="383"/>
        <v>72</v>
      </c>
      <c r="BR481" s="475" t="str">
        <f t="shared" si="382"/>
        <v/>
      </c>
      <c r="BS481" s="471" t="str">
        <f t="shared" si="370"/>
        <v/>
      </c>
      <c r="BT481" s="472" t="str">
        <f t="shared" si="385"/>
        <v/>
      </c>
      <c r="BU481" s="472">
        <f t="shared" ca="1" si="371"/>
        <v>0</v>
      </c>
      <c r="BV481" s="472">
        <f t="shared" ca="1" si="371"/>
        <v>0</v>
      </c>
      <c r="BW481" s="472"/>
      <c r="BX481" s="473">
        <f t="shared" ca="1" si="372"/>
        <v>516222.732493733</v>
      </c>
      <c r="BY481" s="473">
        <f t="shared" si="373"/>
        <v>0</v>
      </c>
      <c r="BZ481" s="473">
        <f t="shared" ca="1" si="355"/>
        <v>1179.3921374619999</v>
      </c>
      <c r="CA481" s="476">
        <f t="shared" ca="1" si="374"/>
        <v>0</v>
      </c>
      <c r="CB481" s="494">
        <f ca="1">IF(OR($Q480&lt;&gt;1,OP!$D$5+$BN481-1&lt;16,$BN481-1&lt;1),0,ROUND(ROUND(ROUND(((VLOOKUP($BN481-1,MORE_PV,5,0)/10000)*VLOOKUP($BN481,MORE_PV,$CB$5,0)),3)*VLOOKUP($BN481,more1,5,0),0)/$R480,0))</f>
        <v>0</v>
      </c>
      <c r="CC481" s="473">
        <f t="shared" ca="1" si="375"/>
        <v>0</v>
      </c>
      <c r="CD481" s="477"/>
    </row>
    <row r="482" spans="2:82" ht="16.5" hidden="1">
      <c r="B482" s="80"/>
      <c r="C482" s="80"/>
      <c r="D482" s="80"/>
      <c r="E482" s="80"/>
      <c r="F482" s="80"/>
      <c r="G482" s="80"/>
      <c r="H482" s="80"/>
      <c r="I482" s="80"/>
      <c r="J482" s="192">
        <f t="shared" si="356"/>
        <v>40</v>
      </c>
      <c r="K482" s="192">
        <f t="shared" si="357"/>
        <v>6</v>
      </c>
      <c r="L482" s="192" t="str">
        <f t="shared" si="352"/>
        <v/>
      </c>
      <c r="M482" s="216">
        <f t="shared" ca="1" si="358"/>
        <v>0</v>
      </c>
      <c r="N482" s="216"/>
      <c r="O482" s="216"/>
      <c r="P482" s="216"/>
      <c r="Q482" s="456" t="str">
        <f t="shared" ca="1" si="359"/>
        <v/>
      </c>
      <c r="R482" s="450">
        <f t="shared" ca="1" si="360"/>
        <v>1</v>
      </c>
      <c r="S482" s="191">
        <f t="shared" si="361"/>
        <v>40</v>
      </c>
      <c r="T482" s="191">
        <f t="shared" si="362"/>
        <v>6</v>
      </c>
      <c r="U482" s="191">
        <f ca="1">OP!$D$5+$S482-1</f>
        <v>72</v>
      </c>
      <c r="V482" s="191" t="str">
        <f t="shared" si="363"/>
        <v/>
      </c>
      <c r="W482" s="350">
        <f ca="1">IF(Q482&lt;&gt;1,0,VLOOKUP(OP!$C$55,PVFB,$S482+2,0))</f>
        <v>0</v>
      </c>
      <c r="X482" s="473">
        <f t="shared" ca="1" si="376"/>
        <v>0</v>
      </c>
      <c r="Y482" s="348">
        <f t="shared" ca="1" si="377"/>
        <v>0</v>
      </c>
      <c r="Z482" s="348">
        <f t="shared" ca="1" si="378"/>
        <v>8012</v>
      </c>
      <c r="AA482" s="348">
        <f ca="1">IF(Q482&lt;&gt;1,0,VLOOKUP(OP!$C$55,PVFB,$S482+2,0))</f>
        <v>0</v>
      </c>
      <c r="AB482" s="488" t="str">
        <f ca="1">IF(AND(S482&lt;OP!$C$24,$U482&lt;15),0,IF(AND($U482&lt;15,$T482=12),ROUND(VLOOKUP($S482,DOWN16,5,0),3),IF($T482=12,ROUND(($Z482/10000)*$AA482,3)+IF(AND($P$7="購買增額繳清保險",T482=12,U482=110),VLOOKUP(S482,$B$10:$H$121,7,0),0),"")))</f>
        <v/>
      </c>
      <c r="AC482" s="350" t="str">
        <f ca="1">IF(AND(S482&lt;OP!$C$24,$U482&lt;15),0,IF(AND($U482&lt;16,$T482=12),VLOOKUP($S482,DOWN16,4,0),IF($T482=12,ROUND(VLOOKUP(OP!$C$55,_DIE2,$S482+1,0)*(Z482/10000),0)+IF(AND($P$7="購買增額繳清保險",T482=12,U482=110),VLOOKUP(S482,$B$10:$H$121,7,0),0),"")))</f>
        <v/>
      </c>
      <c r="AD482" s="347"/>
      <c r="AE482" s="350" t="str">
        <f t="shared" ca="1" si="353"/>
        <v/>
      </c>
      <c r="AF482" s="351" t="str">
        <f t="shared" ca="1" si="354"/>
        <v/>
      </c>
      <c r="AG482" s="340"/>
      <c r="AH482" s="340"/>
      <c r="AI482" s="340"/>
      <c r="AJ482" s="340"/>
      <c r="AK482" s="340"/>
      <c r="AL482" s="340"/>
      <c r="AM482" s="340"/>
      <c r="AN482" s="340"/>
      <c r="AO482" s="340"/>
      <c r="AP482" s="340"/>
      <c r="AQ482" s="340"/>
      <c r="AR482" s="340"/>
      <c r="AS482" s="340"/>
      <c r="AT482" s="340"/>
      <c r="AU482" s="340"/>
      <c r="AV482" s="340"/>
      <c r="AY482" s="340"/>
      <c r="AZ482" s="465">
        <f t="shared" ca="1" si="364"/>
        <v>7.3698599999999999E-5</v>
      </c>
      <c r="BA482" s="464">
        <f t="shared" ca="1" si="365"/>
        <v>2.1372602999999999E-3</v>
      </c>
      <c r="BB482" s="465">
        <f t="shared" ca="1" si="365"/>
        <v>2.2109589000000002E-3</v>
      </c>
      <c r="BC482" s="466">
        <f t="shared" ca="1" si="366"/>
        <v>57285</v>
      </c>
      <c r="BD482" s="467">
        <f t="shared" ca="1" si="379"/>
        <v>57286</v>
      </c>
      <c r="BE482" s="467">
        <f t="shared" ca="1" si="367"/>
        <v>57314</v>
      </c>
      <c r="BF482" s="468">
        <f ca="1">IF(計算!$BC482&lt;OP!$C$3,0,BD482-BC482)</f>
        <v>1</v>
      </c>
      <c r="BG482" s="468">
        <f ca="1">IF($BE482&gt;DATE(YEAR($BD$9)+OP!$C$57,MONTH($BD$9),DAY($BD$9)),0,$BE482-$BD482+1)</f>
        <v>29</v>
      </c>
      <c r="BH482" s="469">
        <f t="shared" ca="1" si="368"/>
        <v>30</v>
      </c>
      <c r="BI482" t="str">
        <f t="shared" si="384"/>
        <v/>
      </c>
      <c r="BJ482">
        <v>5</v>
      </c>
      <c r="BN482" s="468">
        <f t="shared" si="380"/>
        <v>40</v>
      </c>
      <c r="BO482" s="468">
        <f t="shared" si="381"/>
        <v>5</v>
      </c>
      <c r="BP482" s="467">
        <f t="shared" ca="1" si="369"/>
        <v>57286</v>
      </c>
      <c r="BQ482" s="475">
        <f t="shared" ca="1" si="383"/>
        <v>72</v>
      </c>
      <c r="BR482" s="475" t="str">
        <f t="shared" si="382"/>
        <v/>
      </c>
      <c r="BS482" s="471" t="str">
        <f t="shared" si="370"/>
        <v/>
      </c>
      <c r="BT482" s="472" t="str">
        <f t="shared" si="385"/>
        <v/>
      </c>
      <c r="BU482" s="472">
        <f t="shared" ca="1" si="371"/>
        <v>0</v>
      </c>
      <c r="BV482" s="472">
        <f t="shared" ca="1" si="371"/>
        <v>0</v>
      </c>
      <c r="BW482" s="472"/>
      <c r="BX482" s="473">
        <f t="shared" ca="1" si="372"/>
        <v>517402.12463119498</v>
      </c>
      <c r="BY482" s="473">
        <f t="shared" si="373"/>
        <v>0</v>
      </c>
      <c r="BZ482" s="473">
        <f t="shared" ca="1" si="355"/>
        <v>1143.954832332</v>
      </c>
      <c r="CA482" s="476">
        <f t="shared" ca="1" si="374"/>
        <v>0</v>
      </c>
      <c r="CB482" s="494">
        <f ca="1">IF(OR($Q481&lt;&gt;1,OP!$D$5+$BN482-1&lt;16,$BN482-1&lt;1),0,ROUND(ROUND(ROUND(((VLOOKUP($BN482-1,MORE_PV,5,0)/10000)*VLOOKUP($BN482,MORE_PV,$CB$5,0)),3)*VLOOKUP($BN482,more1,5,0),0)/$R481,0))</f>
        <v>0</v>
      </c>
      <c r="CC482" s="473">
        <f t="shared" ca="1" si="375"/>
        <v>0</v>
      </c>
      <c r="CD482" s="477"/>
    </row>
    <row r="483" spans="2:82" ht="16.5" hidden="1">
      <c r="B483" s="80"/>
      <c r="C483" s="80"/>
      <c r="D483" s="80"/>
      <c r="E483" s="80"/>
      <c r="F483" s="80"/>
      <c r="G483" s="80"/>
      <c r="H483" s="80"/>
      <c r="I483" s="80"/>
      <c r="J483" s="192">
        <f t="shared" si="356"/>
        <v>40</v>
      </c>
      <c r="K483" s="192">
        <f t="shared" si="357"/>
        <v>7</v>
      </c>
      <c r="L483" s="192" t="str">
        <f t="shared" si="352"/>
        <v/>
      </c>
      <c r="M483" s="216">
        <f t="shared" ca="1" si="358"/>
        <v>0</v>
      </c>
      <c r="N483" s="216"/>
      <c r="O483" s="216"/>
      <c r="P483" s="216"/>
      <c r="Q483" s="456" t="str">
        <f t="shared" ca="1" si="359"/>
        <v/>
      </c>
      <c r="R483" s="450">
        <f t="shared" ca="1" si="360"/>
        <v>1</v>
      </c>
      <c r="S483" s="191">
        <f t="shared" si="361"/>
        <v>40</v>
      </c>
      <c r="T483" s="191">
        <f t="shared" si="362"/>
        <v>7</v>
      </c>
      <c r="U483" s="191">
        <f ca="1">OP!$D$5+$S483-1</f>
        <v>72</v>
      </c>
      <c r="V483" s="191" t="str">
        <f t="shared" si="363"/>
        <v/>
      </c>
      <c r="W483" s="350">
        <f ca="1">IF(Q483&lt;&gt;1,0,VLOOKUP(OP!$C$55,PVFB,$S483+2,0))</f>
        <v>0</v>
      </c>
      <c r="X483" s="473">
        <f t="shared" ca="1" si="376"/>
        <v>0</v>
      </c>
      <c r="Y483" s="348">
        <f t="shared" ca="1" si="377"/>
        <v>0</v>
      </c>
      <c r="Z483" s="348">
        <f t="shared" ca="1" si="378"/>
        <v>8012</v>
      </c>
      <c r="AA483" s="348">
        <f ca="1">IF(Q483&lt;&gt;1,0,VLOOKUP(OP!$C$55,PVFB,$S483+2,0))</f>
        <v>0</v>
      </c>
      <c r="AB483" s="488" t="str">
        <f ca="1">IF(AND(S483&lt;OP!$C$24,$U483&lt;15),0,IF(AND($U483&lt;15,$T483=12),ROUND(VLOOKUP($S483,DOWN16,5,0),3),IF($T483=12,ROUND(($Z483/10000)*$AA483,3)+IF(AND($P$7="購買增額繳清保險",T483=12,U483=110),VLOOKUP(S483,$B$10:$H$121,7,0),0),"")))</f>
        <v/>
      </c>
      <c r="AC483" s="350" t="str">
        <f ca="1">IF(AND(S483&lt;OP!$C$24,$U483&lt;15),0,IF(AND($U483&lt;16,$T483=12),VLOOKUP($S483,DOWN16,4,0),IF($T483=12,ROUND(VLOOKUP(OP!$C$55,_DIE2,$S483+1,0)*(Z483/10000),0)+IF(AND($P$7="購買增額繳清保險",T483=12,U483=110),VLOOKUP(S483,$B$10:$H$121,7,0),0),"")))</f>
        <v/>
      </c>
      <c r="AD483" s="347"/>
      <c r="AE483" s="350" t="str">
        <f t="shared" ca="1" si="353"/>
        <v/>
      </c>
      <c r="AF483" s="351" t="str">
        <f t="shared" ca="1" si="354"/>
        <v/>
      </c>
      <c r="AG483" s="340"/>
      <c r="AH483" s="340"/>
      <c r="AI483" s="340"/>
      <c r="AJ483" s="340"/>
      <c r="AK483" s="340"/>
      <c r="AL483" s="340"/>
      <c r="AM483" s="340"/>
      <c r="AN483" s="340"/>
      <c r="AO483" s="340"/>
      <c r="AP483" s="340"/>
      <c r="AQ483" s="340"/>
      <c r="AR483" s="340"/>
      <c r="AS483" s="340"/>
      <c r="AT483" s="340"/>
      <c r="AU483" s="340"/>
      <c r="AV483" s="340"/>
      <c r="AY483" s="340"/>
      <c r="AZ483" s="465">
        <f t="shared" ca="1" si="364"/>
        <v>7.3698599999999999E-5</v>
      </c>
      <c r="BA483" s="464">
        <f t="shared" ca="1" si="365"/>
        <v>2.2109589000000002E-3</v>
      </c>
      <c r="BB483" s="465">
        <f t="shared" ca="1" si="365"/>
        <v>2.2846575E-3</v>
      </c>
      <c r="BC483" s="466">
        <f t="shared" ca="1" si="366"/>
        <v>57315</v>
      </c>
      <c r="BD483" s="467">
        <f t="shared" ca="1" si="379"/>
        <v>57316</v>
      </c>
      <c r="BE483" s="467">
        <f t="shared" ca="1" si="367"/>
        <v>57345</v>
      </c>
      <c r="BF483" s="468">
        <f ca="1">IF(計算!$BC483&lt;OP!$C$3,0,BD483-BC483)</f>
        <v>1</v>
      </c>
      <c r="BG483" s="468">
        <f ca="1">IF($BE483&gt;DATE(YEAR($BD$9)+OP!$C$57,MONTH($BD$9),DAY($BD$9)),0,$BE483-$BD483+1)</f>
        <v>30</v>
      </c>
      <c r="BH483" s="469">
        <f t="shared" ca="1" si="368"/>
        <v>31</v>
      </c>
      <c r="BI483" t="str">
        <f t="shared" si="384"/>
        <v/>
      </c>
      <c r="BJ483">
        <v>6</v>
      </c>
      <c r="BN483" s="468">
        <f t="shared" si="380"/>
        <v>40</v>
      </c>
      <c r="BO483" s="468">
        <f t="shared" si="381"/>
        <v>6</v>
      </c>
      <c r="BP483" s="467">
        <f t="shared" ca="1" si="369"/>
        <v>57316</v>
      </c>
      <c r="BQ483" s="475">
        <f t="shared" ca="1" si="383"/>
        <v>72</v>
      </c>
      <c r="BR483" s="475" t="str">
        <f t="shared" si="382"/>
        <v/>
      </c>
      <c r="BS483" s="471" t="str">
        <f t="shared" si="370"/>
        <v/>
      </c>
      <c r="BT483" s="472" t="str">
        <f t="shared" si="385"/>
        <v/>
      </c>
      <c r="BU483" s="472">
        <f t="shared" ca="1" si="371"/>
        <v>0</v>
      </c>
      <c r="BV483" s="472">
        <f t="shared" ca="1" si="371"/>
        <v>0</v>
      </c>
      <c r="BW483" s="472"/>
      <c r="BX483" s="473">
        <f t="shared" ca="1" si="372"/>
        <v>518546.07946352701</v>
      </c>
      <c r="BY483" s="473">
        <f t="shared" si="373"/>
        <v>0</v>
      </c>
      <c r="BZ483" s="473">
        <f t="shared" ca="1" si="355"/>
        <v>1184.7001895420001</v>
      </c>
      <c r="CA483" s="476">
        <f t="shared" ca="1" si="374"/>
        <v>0</v>
      </c>
      <c r="CB483" s="494">
        <f ca="1">IF(OR($Q482&lt;&gt;1,OP!$D$5+$BN483-1&lt;16,$BN483-1&lt;1),0,ROUND(ROUND(ROUND(((VLOOKUP($BN483-1,MORE_PV,5,0)/10000)*VLOOKUP($BN483,MORE_PV,$CB$5,0)),3)*VLOOKUP($BN483,more1,5,0),0)/$R482,0))</f>
        <v>0</v>
      </c>
      <c r="CC483" s="473">
        <f t="shared" ca="1" si="375"/>
        <v>0</v>
      </c>
      <c r="CD483" s="477"/>
    </row>
    <row r="484" spans="2:82" ht="16.5" hidden="1">
      <c r="B484" s="80"/>
      <c r="C484" s="80"/>
      <c r="D484" s="80"/>
      <c r="E484" s="80"/>
      <c r="F484" s="80"/>
      <c r="G484" s="80"/>
      <c r="H484" s="80"/>
      <c r="I484" s="80"/>
      <c r="J484" s="192">
        <f t="shared" si="356"/>
        <v>40</v>
      </c>
      <c r="K484" s="192">
        <f t="shared" si="357"/>
        <v>8</v>
      </c>
      <c r="L484" s="192" t="str">
        <f t="shared" si="352"/>
        <v/>
      </c>
      <c r="M484" s="216">
        <f t="shared" ca="1" si="358"/>
        <v>0</v>
      </c>
      <c r="N484" s="216"/>
      <c r="O484" s="216"/>
      <c r="P484" s="216"/>
      <c r="Q484" s="456" t="str">
        <f t="shared" ca="1" si="359"/>
        <v/>
      </c>
      <c r="R484" s="450">
        <f t="shared" ca="1" si="360"/>
        <v>1</v>
      </c>
      <c r="S484" s="191">
        <f t="shared" si="361"/>
        <v>40</v>
      </c>
      <c r="T484" s="191">
        <f t="shared" si="362"/>
        <v>8</v>
      </c>
      <c r="U484" s="191">
        <f ca="1">OP!$D$5+$S484-1</f>
        <v>72</v>
      </c>
      <c r="V484" s="191" t="str">
        <f t="shared" si="363"/>
        <v/>
      </c>
      <c r="W484" s="350">
        <f ca="1">IF(Q484&lt;&gt;1,0,VLOOKUP(OP!$C$55,PVFB,$S484+2,0))</f>
        <v>0</v>
      </c>
      <c r="X484" s="473">
        <f t="shared" ca="1" si="376"/>
        <v>0</v>
      </c>
      <c r="Y484" s="348">
        <f t="shared" ca="1" si="377"/>
        <v>0</v>
      </c>
      <c r="Z484" s="348">
        <f t="shared" ca="1" si="378"/>
        <v>8012</v>
      </c>
      <c r="AA484" s="348">
        <f ca="1">IF(Q484&lt;&gt;1,0,VLOOKUP(OP!$C$55,PVFB,$S484+2,0))</f>
        <v>0</v>
      </c>
      <c r="AB484" s="488" t="str">
        <f ca="1">IF(AND(S484&lt;OP!$C$24,$U484&lt;15),0,IF(AND($U484&lt;15,$T484=12),ROUND(VLOOKUP($S484,DOWN16,5,0),3),IF($T484=12,ROUND(($Z484/10000)*$AA484,3)+IF(AND($P$7="購買增額繳清保險",T484=12,U484=110),VLOOKUP(S484,$B$10:$H$121,7,0),0),"")))</f>
        <v/>
      </c>
      <c r="AC484" s="350" t="str">
        <f ca="1">IF(AND(S484&lt;OP!$C$24,$U484&lt;15),0,IF(AND($U484&lt;16,$T484=12),VLOOKUP($S484,DOWN16,4,0),IF($T484=12,ROUND(VLOOKUP(OP!$C$55,_DIE2,$S484+1,0)*(Z484/10000),0)+IF(AND($P$7="購買增額繳清保險",T484=12,U484=110),VLOOKUP(S484,$B$10:$H$121,7,0),0),"")))</f>
        <v/>
      </c>
      <c r="AD484" s="347"/>
      <c r="AE484" s="350" t="str">
        <f t="shared" ca="1" si="353"/>
        <v/>
      </c>
      <c r="AF484" s="351" t="str">
        <f t="shared" ca="1" si="354"/>
        <v/>
      </c>
      <c r="AG484" s="340"/>
      <c r="AH484" s="340"/>
      <c r="AI484" s="340"/>
      <c r="AJ484" s="340"/>
      <c r="AK484" s="340"/>
      <c r="AL484" s="340"/>
      <c r="AM484" s="340"/>
      <c r="AN484" s="340"/>
      <c r="AO484" s="340"/>
      <c r="AP484" s="340"/>
      <c r="AQ484" s="340"/>
      <c r="AR484" s="340"/>
      <c r="AS484" s="340"/>
      <c r="AT484" s="340"/>
      <c r="AU484" s="340"/>
      <c r="AV484" s="340"/>
      <c r="AY484" s="340"/>
      <c r="AZ484" s="465">
        <f t="shared" ca="1" si="364"/>
        <v>7.3698599999999999E-5</v>
      </c>
      <c r="BA484" s="464">
        <f t="shared" ca="1" si="365"/>
        <v>2.2109589000000002E-3</v>
      </c>
      <c r="BB484" s="465">
        <f t="shared" ca="1" si="365"/>
        <v>2.2846575E-3</v>
      </c>
      <c r="BC484" s="466">
        <f t="shared" ca="1" si="366"/>
        <v>57346</v>
      </c>
      <c r="BD484" s="467">
        <f t="shared" ca="1" si="379"/>
        <v>57347</v>
      </c>
      <c r="BE484" s="467">
        <f t="shared" ca="1" si="367"/>
        <v>57376</v>
      </c>
      <c r="BF484" s="468">
        <f ca="1">IF(計算!$BC484&lt;OP!$C$3,0,BD484-BC484)</f>
        <v>1</v>
      </c>
      <c r="BG484" s="468">
        <f ca="1">IF($BE484&gt;DATE(YEAR($BD$9)+OP!$C$57,MONTH($BD$9),DAY($BD$9)),0,$BE484-$BD484+1)</f>
        <v>30</v>
      </c>
      <c r="BH484" s="469">
        <f t="shared" ca="1" si="368"/>
        <v>31</v>
      </c>
      <c r="BI484" t="str">
        <f t="shared" si="384"/>
        <v/>
      </c>
      <c r="BJ484">
        <v>7</v>
      </c>
      <c r="BN484" s="468">
        <f t="shared" si="380"/>
        <v>40</v>
      </c>
      <c r="BO484" s="468">
        <f t="shared" si="381"/>
        <v>7</v>
      </c>
      <c r="BP484" s="467">
        <f t="shared" ca="1" si="369"/>
        <v>57347</v>
      </c>
      <c r="BQ484" s="475">
        <f t="shared" ca="1" si="383"/>
        <v>72</v>
      </c>
      <c r="BR484" s="475" t="str">
        <f t="shared" si="382"/>
        <v/>
      </c>
      <c r="BS484" s="471" t="str">
        <f t="shared" si="370"/>
        <v/>
      </c>
      <c r="BT484" s="472" t="str">
        <f t="shared" si="385"/>
        <v/>
      </c>
      <c r="BU484" s="472">
        <f t="shared" ca="1" si="371"/>
        <v>0</v>
      </c>
      <c r="BV484" s="472">
        <f t="shared" ca="1" si="371"/>
        <v>0</v>
      </c>
      <c r="BW484" s="472"/>
      <c r="BX484" s="473">
        <f t="shared" ca="1" si="372"/>
        <v>519730.77965306898</v>
      </c>
      <c r="BY484" s="473">
        <f t="shared" si="373"/>
        <v>0</v>
      </c>
      <c r="BZ484" s="473">
        <f t="shared" ca="1" si="355"/>
        <v>1187.406823715</v>
      </c>
      <c r="CA484" s="476">
        <f t="shared" ca="1" si="374"/>
        <v>0</v>
      </c>
      <c r="CB484" s="494">
        <f ca="1">IF(OR($Q483&lt;&gt;1,OP!$D$5+$BN484-1&lt;16,$BN484-1&lt;1),0,ROUND(ROUND(ROUND(((VLOOKUP($BN484-1,MORE_PV,5,0)/10000)*VLOOKUP($BN484,MORE_PV,$CB$5,0)),3)*VLOOKUP($BN484,more1,5,0),0)/$R483,0))</f>
        <v>0</v>
      </c>
      <c r="CC484" s="473">
        <f t="shared" ca="1" si="375"/>
        <v>0</v>
      </c>
      <c r="CD484" s="477"/>
    </row>
    <row r="485" spans="2:82" ht="16.5" hidden="1">
      <c r="B485" s="80"/>
      <c r="C485" s="80"/>
      <c r="D485" s="80"/>
      <c r="E485" s="80"/>
      <c r="F485" s="80"/>
      <c r="G485" s="80"/>
      <c r="H485" s="80"/>
      <c r="I485" s="80"/>
      <c r="J485" s="192">
        <f t="shared" si="356"/>
        <v>40</v>
      </c>
      <c r="K485" s="192">
        <f t="shared" si="357"/>
        <v>9</v>
      </c>
      <c r="L485" s="192" t="str">
        <f t="shared" si="352"/>
        <v/>
      </c>
      <c r="M485" s="216">
        <f t="shared" ca="1" si="358"/>
        <v>0</v>
      </c>
      <c r="N485" s="216"/>
      <c r="O485" s="216"/>
      <c r="P485" s="216"/>
      <c r="Q485" s="456" t="str">
        <f t="shared" ca="1" si="359"/>
        <v/>
      </c>
      <c r="R485" s="450">
        <f t="shared" ca="1" si="360"/>
        <v>1</v>
      </c>
      <c r="S485" s="191">
        <f t="shared" si="361"/>
        <v>40</v>
      </c>
      <c r="T485" s="191">
        <f t="shared" si="362"/>
        <v>9</v>
      </c>
      <c r="U485" s="191">
        <f ca="1">OP!$D$5+$S485-1</f>
        <v>72</v>
      </c>
      <c r="V485" s="191" t="str">
        <f t="shared" si="363"/>
        <v/>
      </c>
      <c r="W485" s="350">
        <f ca="1">IF(Q485&lt;&gt;1,0,VLOOKUP(OP!$C$55,PVFB,$S485+2,0))</f>
        <v>0</v>
      </c>
      <c r="X485" s="473">
        <f t="shared" ca="1" si="376"/>
        <v>0</v>
      </c>
      <c r="Y485" s="348">
        <f t="shared" ca="1" si="377"/>
        <v>0</v>
      </c>
      <c r="Z485" s="348">
        <f t="shared" ca="1" si="378"/>
        <v>8012</v>
      </c>
      <c r="AA485" s="348">
        <f ca="1">IF(Q485&lt;&gt;1,0,VLOOKUP(OP!$C$55,PVFB,$S485+2,0))</f>
        <v>0</v>
      </c>
      <c r="AB485" s="488" t="str">
        <f ca="1">IF(AND(S485&lt;OP!$C$24,$U485&lt;15),0,IF(AND($U485&lt;15,$T485=12),ROUND(VLOOKUP($S485,DOWN16,5,0),3),IF($T485=12,ROUND(($Z485/10000)*$AA485,3)+IF(AND($P$7="購買增額繳清保險",T485=12,U485=110),VLOOKUP(S485,$B$10:$H$121,7,0),0),"")))</f>
        <v/>
      </c>
      <c r="AC485" s="350" t="str">
        <f ca="1">IF(AND(S485&lt;OP!$C$24,$U485&lt;15),0,IF(AND($U485&lt;16,$T485=12),VLOOKUP($S485,DOWN16,4,0),IF($T485=12,ROUND(VLOOKUP(OP!$C$55,_DIE2,$S485+1,0)*(Z485/10000),0)+IF(AND($P$7="購買增額繳清保險",T485=12,U485=110),VLOOKUP(S485,$B$10:$H$121,7,0),0),"")))</f>
        <v/>
      </c>
      <c r="AD485" s="347"/>
      <c r="AE485" s="350" t="str">
        <f t="shared" ca="1" si="353"/>
        <v/>
      </c>
      <c r="AF485" s="351" t="str">
        <f t="shared" ca="1" si="354"/>
        <v/>
      </c>
      <c r="AG485" s="340"/>
      <c r="AH485" s="340"/>
      <c r="AI485" s="340"/>
      <c r="AJ485" s="340"/>
      <c r="AK485" s="340"/>
      <c r="AL485" s="340"/>
      <c r="AM485" s="340"/>
      <c r="AN485" s="340"/>
      <c r="AO485" s="340"/>
      <c r="AP485" s="340"/>
      <c r="AQ485" s="340"/>
      <c r="AR485" s="340"/>
      <c r="AS485" s="340"/>
      <c r="AT485" s="340"/>
      <c r="AU485" s="340"/>
      <c r="AV485" s="340"/>
      <c r="AY485" s="340"/>
      <c r="AZ485" s="465">
        <f t="shared" ca="1" si="364"/>
        <v>7.3698599999999999E-5</v>
      </c>
      <c r="BA485" s="464">
        <f t="shared" ca="1" si="365"/>
        <v>1.9898630000000001E-3</v>
      </c>
      <c r="BB485" s="465">
        <f t="shared" ca="1" si="365"/>
        <v>2.0635616E-3</v>
      </c>
      <c r="BC485" s="466">
        <f t="shared" ca="1" si="366"/>
        <v>57377</v>
      </c>
      <c r="BD485" s="467">
        <f t="shared" ca="1" si="379"/>
        <v>57378</v>
      </c>
      <c r="BE485" s="467">
        <f t="shared" ca="1" si="367"/>
        <v>57404</v>
      </c>
      <c r="BF485" s="468">
        <f ca="1">IF(計算!$BC485&lt;OP!$C$3,0,BD485-BC485)</f>
        <v>1</v>
      </c>
      <c r="BG485" s="468">
        <f ca="1">IF($BE485&gt;DATE(YEAR($BD$9)+OP!$C$57,MONTH($BD$9),DAY($BD$9)),0,$BE485-$BD485+1)</f>
        <v>27</v>
      </c>
      <c r="BH485" s="469">
        <f t="shared" ca="1" si="368"/>
        <v>28</v>
      </c>
      <c r="BI485" t="str">
        <f t="shared" si="384"/>
        <v/>
      </c>
      <c r="BJ485">
        <v>8</v>
      </c>
      <c r="BN485" s="468">
        <f t="shared" si="380"/>
        <v>40</v>
      </c>
      <c r="BO485" s="468">
        <f t="shared" si="381"/>
        <v>8</v>
      </c>
      <c r="BP485" s="467">
        <f t="shared" ca="1" si="369"/>
        <v>57378</v>
      </c>
      <c r="BQ485" s="475">
        <f t="shared" ca="1" si="383"/>
        <v>72</v>
      </c>
      <c r="BR485" s="475" t="str">
        <f t="shared" si="382"/>
        <v/>
      </c>
      <c r="BS485" s="471" t="str">
        <f t="shared" si="370"/>
        <v/>
      </c>
      <c r="BT485" s="472" t="str">
        <f t="shared" si="385"/>
        <v/>
      </c>
      <c r="BU485" s="472">
        <f t="shared" ca="1" si="371"/>
        <v>0</v>
      </c>
      <c r="BV485" s="472">
        <f t="shared" ca="1" si="371"/>
        <v>0</v>
      </c>
      <c r="BW485" s="472"/>
      <c r="BX485" s="473">
        <f t="shared" ca="1" si="372"/>
        <v>520918.186476784</v>
      </c>
      <c r="BY485" s="473">
        <f t="shared" si="373"/>
        <v>0</v>
      </c>
      <c r="BZ485" s="473">
        <f t="shared" ca="1" si="355"/>
        <v>1074.9467663549999</v>
      </c>
      <c r="CA485" s="476">
        <f t="shared" ca="1" si="374"/>
        <v>0</v>
      </c>
      <c r="CB485" s="494">
        <f ca="1">IF(OR($Q484&lt;&gt;1,OP!$D$5+$BN485-1&lt;16,$BN485-1&lt;1),0,ROUND(ROUND(ROUND(((VLOOKUP($BN485-1,MORE_PV,5,0)/10000)*VLOOKUP($BN485,MORE_PV,$CB$5,0)),3)*VLOOKUP($BN485,more1,5,0),0)/$R484,0))</f>
        <v>0</v>
      </c>
      <c r="CC485" s="473">
        <f t="shared" ca="1" si="375"/>
        <v>0</v>
      </c>
      <c r="CD485" s="477"/>
    </row>
    <row r="486" spans="2:82" ht="16.5" hidden="1">
      <c r="B486" s="80"/>
      <c r="C486" s="80"/>
      <c r="D486" s="80"/>
      <c r="E486" s="80"/>
      <c r="F486" s="80"/>
      <c r="G486" s="80"/>
      <c r="H486" s="80"/>
      <c r="I486" s="80"/>
      <c r="J486" s="192">
        <f t="shared" si="356"/>
        <v>40</v>
      </c>
      <c r="K486" s="192">
        <f t="shared" si="357"/>
        <v>10</v>
      </c>
      <c r="L486" s="192" t="str">
        <f t="shared" si="352"/>
        <v/>
      </c>
      <c r="M486" s="216">
        <f t="shared" ca="1" si="358"/>
        <v>0</v>
      </c>
      <c r="N486" s="216"/>
      <c r="O486" s="216"/>
      <c r="P486" s="216"/>
      <c r="Q486" s="456" t="str">
        <f t="shared" ca="1" si="359"/>
        <v/>
      </c>
      <c r="R486" s="450">
        <f t="shared" ca="1" si="360"/>
        <v>1</v>
      </c>
      <c r="S486" s="191">
        <f t="shared" si="361"/>
        <v>40</v>
      </c>
      <c r="T486" s="191">
        <f t="shared" si="362"/>
        <v>10</v>
      </c>
      <c r="U486" s="191">
        <f ca="1">OP!$D$5+$S486-1</f>
        <v>72</v>
      </c>
      <c r="V486" s="191" t="str">
        <f t="shared" si="363"/>
        <v/>
      </c>
      <c r="W486" s="350">
        <f ca="1">IF(Q486&lt;&gt;1,0,VLOOKUP(OP!$C$55,PVFB,$S486+2,0))</f>
        <v>0</v>
      </c>
      <c r="X486" s="473">
        <f t="shared" ca="1" si="376"/>
        <v>0</v>
      </c>
      <c r="Y486" s="348">
        <f t="shared" ca="1" si="377"/>
        <v>0</v>
      </c>
      <c r="Z486" s="348">
        <f t="shared" ca="1" si="378"/>
        <v>8012</v>
      </c>
      <c r="AA486" s="348">
        <f ca="1">IF(Q486&lt;&gt;1,0,VLOOKUP(OP!$C$55,PVFB,$S486+2,0))</f>
        <v>0</v>
      </c>
      <c r="AB486" s="488" t="str">
        <f ca="1">IF(AND(S486&lt;OP!$C$24,$U486&lt;15),0,IF(AND($U486&lt;15,$T486=12),ROUND(VLOOKUP($S486,DOWN16,5,0),3),IF($T486=12,ROUND(($Z486/10000)*$AA486,3)+IF(AND($P$7="購買增額繳清保險",T486=12,U486=110),VLOOKUP(S486,$B$10:$H$121,7,0),0),"")))</f>
        <v/>
      </c>
      <c r="AC486" s="350" t="str">
        <f ca="1">IF(AND(S486&lt;OP!$C$24,$U486&lt;15),0,IF(AND($U486&lt;16,$T486=12),VLOOKUP($S486,DOWN16,4,0),IF($T486=12,ROUND(VLOOKUP(OP!$C$55,_DIE2,$S486+1,0)*(Z486/10000),0)+IF(AND($P$7="購買增額繳清保險",T486=12,U486=110),VLOOKUP(S486,$B$10:$H$121,7,0),0),"")))</f>
        <v/>
      </c>
      <c r="AD486" s="347"/>
      <c r="AE486" s="350" t="str">
        <f t="shared" ca="1" si="353"/>
        <v/>
      </c>
      <c r="AF486" s="351" t="str">
        <f t="shared" ca="1" si="354"/>
        <v/>
      </c>
      <c r="AG486" s="340"/>
      <c r="AH486" s="340"/>
      <c r="AI486" s="340"/>
      <c r="AJ486" s="340"/>
      <c r="AK486" s="340"/>
      <c r="AL486" s="340"/>
      <c r="AM486" s="340"/>
      <c r="AN486" s="340"/>
      <c r="AO486" s="340"/>
      <c r="AP486" s="340"/>
      <c r="AQ486" s="340"/>
      <c r="AR486" s="340"/>
      <c r="AS486" s="340"/>
      <c r="AT486" s="340"/>
      <c r="AU486" s="340"/>
      <c r="AV486" s="340"/>
      <c r="AY486" s="340"/>
      <c r="AZ486" s="465">
        <f t="shared" ca="1" si="364"/>
        <v>7.3698599999999999E-5</v>
      </c>
      <c r="BA486" s="464">
        <f t="shared" ca="1" si="365"/>
        <v>2.2109589000000002E-3</v>
      </c>
      <c r="BB486" s="465">
        <f t="shared" ca="1" si="365"/>
        <v>2.2846575E-3</v>
      </c>
      <c r="BC486" s="466">
        <f t="shared" ca="1" si="366"/>
        <v>57405</v>
      </c>
      <c r="BD486" s="467">
        <f t="shared" ca="1" si="379"/>
        <v>57406</v>
      </c>
      <c r="BE486" s="467">
        <f t="shared" ca="1" si="367"/>
        <v>57435</v>
      </c>
      <c r="BF486" s="468">
        <f ca="1">IF(計算!$BC486&lt;OP!$C$3,0,BD486-BC486)</f>
        <v>1</v>
      </c>
      <c r="BG486" s="468">
        <f ca="1">IF($BE486&gt;DATE(YEAR($BD$9)+OP!$C$57,MONTH($BD$9),DAY($BD$9)),0,$BE486-$BD486+1)</f>
        <v>30</v>
      </c>
      <c r="BH486" s="469">
        <f t="shared" ca="1" si="368"/>
        <v>31</v>
      </c>
      <c r="BI486" t="str">
        <f t="shared" si="384"/>
        <v/>
      </c>
      <c r="BJ486">
        <v>9</v>
      </c>
      <c r="BN486" s="468">
        <f t="shared" si="380"/>
        <v>40</v>
      </c>
      <c r="BO486" s="468">
        <f t="shared" si="381"/>
        <v>9</v>
      </c>
      <c r="BP486" s="467">
        <f t="shared" ca="1" si="369"/>
        <v>57406</v>
      </c>
      <c r="BQ486" s="475">
        <f t="shared" ca="1" si="383"/>
        <v>72</v>
      </c>
      <c r="BR486" s="475" t="str">
        <f t="shared" si="382"/>
        <v/>
      </c>
      <c r="BS486" s="471" t="str">
        <f t="shared" si="370"/>
        <v/>
      </c>
      <c r="BT486" s="472" t="str">
        <f t="shared" si="385"/>
        <v/>
      </c>
      <c r="BU486" s="472">
        <f t="shared" ca="1" si="371"/>
        <v>0</v>
      </c>
      <c r="BV486" s="472">
        <f t="shared" ca="1" si="371"/>
        <v>0</v>
      </c>
      <c r="BW486" s="472"/>
      <c r="BX486" s="473">
        <f t="shared" ca="1" si="372"/>
        <v>521993.13324313902</v>
      </c>
      <c r="BY486" s="473">
        <f t="shared" si="373"/>
        <v>0</v>
      </c>
      <c r="BZ486" s="473">
        <f t="shared" ca="1" si="355"/>
        <v>1192.5755268119999</v>
      </c>
      <c r="CA486" s="476">
        <f t="shared" ca="1" si="374"/>
        <v>0</v>
      </c>
      <c r="CB486" s="494">
        <f ca="1">IF(OR($Q485&lt;&gt;1,OP!$D$5+$BN486-1&lt;16,$BN486-1&lt;1),0,ROUND(ROUND(ROUND(((VLOOKUP($BN486-1,MORE_PV,5,0)/10000)*VLOOKUP($BN486,MORE_PV,$CB$5,0)),3)*VLOOKUP($BN486,more1,5,0),0)/$R485,0))</f>
        <v>0</v>
      </c>
      <c r="CC486" s="473">
        <f t="shared" ca="1" si="375"/>
        <v>0</v>
      </c>
      <c r="CD486" s="477"/>
    </row>
    <row r="487" spans="2:82" ht="16.5" hidden="1">
      <c r="B487" s="80"/>
      <c r="C487" s="80"/>
      <c r="D487" s="80"/>
      <c r="E487" s="80"/>
      <c r="F487" s="80"/>
      <c r="G487" s="80"/>
      <c r="H487" s="80"/>
      <c r="I487" s="80"/>
      <c r="J487" s="192">
        <f t="shared" si="356"/>
        <v>40</v>
      </c>
      <c r="K487" s="192">
        <f t="shared" si="357"/>
        <v>11</v>
      </c>
      <c r="L487" s="192" t="str">
        <f t="shared" si="352"/>
        <v/>
      </c>
      <c r="M487" s="216">
        <f t="shared" ca="1" si="358"/>
        <v>0</v>
      </c>
      <c r="N487" s="216"/>
      <c r="O487" s="216"/>
      <c r="P487" s="216"/>
      <c r="Q487" s="456" t="str">
        <f t="shared" ca="1" si="359"/>
        <v/>
      </c>
      <c r="R487" s="450">
        <f t="shared" ca="1" si="360"/>
        <v>1</v>
      </c>
      <c r="S487" s="191">
        <f t="shared" si="361"/>
        <v>40</v>
      </c>
      <c r="T487" s="191">
        <f t="shared" si="362"/>
        <v>11</v>
      </c>
      <c r="U487" s="191">
        <f ca="1">OP!$D$5+$S487-1</f>
        <v>72</v>
      </c>
      <c r="V487" s="191" t="str">
        <f t="shared" si="363"/>
        <v/>
      </c>
      <c r="W487" s="350">
        <f ca="1">IF(Q487&lt;&gt;1,0,VLOOKUP(OP!$C$55,PVFB,$S487+2,0))</f>
        <v>0</v>
      </c>
      <c r="X487" s="473">
        <f t="shared" ca="1" si="376"/>
        <v>0</v>
      </c>
      <c r="Y487" s="348">
        <f t="shared" ca="1" si="377"/>
        <v>0</v>
      </c>
      <c r="Z487" s="348">
        <f t="shared" ca="1" si="378"/>
        <v>8012</v>
      </c>
      <c r="AA487" s="348">
        <f ca="1">IF(Q487&lt;&gt;1,0,VLOOKUP(OP!$C$55,PVFB,$S487+2,0))</f>
        <v>0</v>
      </c>
      <c r="AB487" s="488" t="str">
        <f ca="1">IF(AND(S487&lt;OP!$C$24,$U487&lt;15),0,IF(AND($U487&lt;15,$T487=12),ROUND(VLOOKUP($S487,DOWN16,5,0),3),IF($T487=12,ROUND(($Z487/10000)*$AA487,3)+IF(AND($P$7="購買增額繳清保險",T487=12,U487=110),VLOOKUP(S487,$B$10:$H$121,7,0),0),"")))</f>
        <v/>
      </c>
      <c r="AC487" s="350" t="str">
        <f ca="1">IF(AND(S487&lt;OP!$C$24,$U487&lt;15),0,IF(AND($U487&lt;16,$T487=12),VLOOKUP($S487,DOWN16,4,0),IF($T487=12,ROUND(VLOOKUP(OP!$C$55,_DIE2,$S487+1,0)*(Z487/10000),0)+IF(AND($P$7="購買增額繳清保險",T487=12,U487=110),VLOOKUP(S487,$B$10:$H$121,7,0),0),"")))</f>
        <v/>
      </c>
      <c r="AD487" s="347"/>
      <c r="AE487" s="350" t="str">
        <f t="shared" ca="1" si="353"/>
        <v/>
      </c>
      <c r="AF487" s="351" t="str">
        <f t="shared" ca="1" si="354"/>
        <v/>
      </c>
      <c r="AG487" s="340"/>
      <c r="AH487" s="340"/>
      <c r="AI487" s="340"/>
      <c r="AJ487" s="340"/>
      <c r="AK487" s="340"/>
      <c r="AL487" s="340"/>
      <c r="AM487" s="340"/>
      <c r="AN487" s="340"/>
      <c r="AO487" s="340"/>
      <c r="AP487" s="340"/>
      <c r="AQ487" s="340"/>
      <c r="AR487" s="340"/>
      <c r="AS487" s="340"/>
      <c r="AT487" s="340"/>
      <c r="AU487" s="340"/>
      <c r="AV487" s="340"/>
      <c r="AY487" s="340"/>
      <c r="AZ487" s="465">
        <f t="shared" ca="1" si="364"/>
        <v>7.3698599999999999E-5</v>
      </c>
      <c r="BA487" s="464">
        <f t="shared" ca="1" si="365"/>
        <v>2.1372602999999999E-3</v>
      </c>
      <c r="BB487" s="465">
        <f t="shared" ca="1" si="365"/>
        <v>2.2109589000000002E-3</v>
      </c>
      <c r="BC487" s="466">
        <f t="shared" ca="1" si="366"/>
        <v>57436</v>
      </c>
      <c r="BD487" s="467">
        <f t="shared" ca="1" si="379"/>
        <v>57437</v>
      </c>
      <c r="BE487" s="467">
        <f t="shared" ca="1" si="367"/>
        <v>57465</v>
      </c>
      <c r="BF487" s="468">
        <f ca="1">IF(計算!$BC487&lt;OP!$C$3,0,BD487-BC487)</f>
        <v>1</v>
      </c>
      <c r="BG487" s="468">
        <f ca="1">IF($BE487&gt;DATE(YEAR($BD$9)+OP!$C$57,MONTH($BD$9),DAY($BD$9)),0,$BE487-$BD487+1)</f>
        <v>29</v>
      </c>
      <c r="BH487" s="469">
        <f t="shared" ca="1" si="368"/>
        <v>30</v>
      </c>
      <c r="BI487" t="str">
        <f t="shared" si="384"/>
        <v/>
      </c>
      <c r="BJ487">
        <v>10</v>
      </c>
      <c r="BN487" s="468">
        <f t="shared" si="380"/>
        <v>40</v>
      </c>
      <c r="BO487" s="468">
        <f t="shared" si="381"/>
        <v>10</v>
      </c>
      <c r="BP487" s="467">
        <f t="shared" ca="1" si="369"/>
        <v>57437</v>
      </c>
      <c r="BQ487" s="475">
        <f t="shared" ca="1" si="383"/>
        <v>72</v>
      </c>
      <c r="BR487" s="475" t="str">
        <f t="shared" si="382"/>
        <v/>
      </c>
      <c r="BS487" s="471" t="str">
        <f t="shared" si="370"/>
        <v/>
      </c>
      <c r="BT487" s="472" t="str">
        <f t="shared" si="385"/>
        <v/>
      </c>
      <c r="BU487" s="472">
        <f t="shared" ca="1" si="371"/>
        <v>0</v>
      </c>
      <c r="BV487" s="472">
        <f t="shared" ca="1" si="371"/>
        <v>0</v>
      </c>
      <c r="BW487" s="472"/>
      <c r="BX487" s="473">
        <f t="shared" ca="1" si="372"/>
        <v>523185.70876995102</v>
      </c>
      <c r="BY487" s="473">
        <f t="shared" si="373"/>
        <v>0</v>
      </c>
      <c r="BZ487" s="473">
        <f t="shared" ca="1" si="355"/>
        <v>1156.742099158</v>
      </c>
      <c r="CA487" s="476">
        <f t="shared" ca="1" si="374"/>
        <v>0</v>
      </c>
      <c r="CB487" s="494">
        <f ca="1">IF(OR($Q486&lt;&gt;1,OP!$D$5+$BN487-1&lt;16,$BN487-1&lt;1),0,ROUND(ROUND(ROUND(((VLOOKUP($BN487-1,MORE_PV,5,0)/10000)*VLOOKUP($BN487,MORE_PV,$CB$5,0)),3)*VLOOKUP($BN487,more1,5,0),0)/$R486,0))</f>
        <v>0</v>
      </c>
      <c r="CC487" s="473">
        <f t="shared" ca="1" si="375"/>
        <v>0</v>
      </c>
      <c r="CD487" s="477"/>
    </row>
    <row r="488" spans="2:82" ht="16.5" hidden="1">
      <c r="B488" s="80"/>
      <c r="C488" s="80"/>
      <c r="D488" s="80"/>
      <c r="E488" s="80"/>
      <c r="F488" s="80"/>
      <c r="G488" s="80"/>
      <c r="H488" s="80"/>
      <c r="I488" s="80"/>
      <c r="J488" s="192">
        <f t="shared" si="356"/>
        <v>40</v>
      </c>
      <c r="K488" s="192">
        <f t="shared" si="357"/>
        <v>12</v>
      </c>
      <c r="L488" s="192">
        <f t="shared" si="352"/>
        <v>40</v>
      </c>
      <c r="M488" s="216">
        <f t="shared" ca="1" si="358"/>
        <v>539665</v>
      </c>
      <c r="N488" s="216"/>
      <c r="O488" s="216"/>
      <c r="P488" s="216"/>
      <c r="Q488" s="456">
        <f t="shared" ca="1" si="359"/>
        <v>1</v>
      </c>
      <c r="R488" s="450">
        <f t="shared" ca="1" si="360"/>
        <v>1</v>
      </c>
      <c r="S488" s="191">
        <f t="shared" si="361"/>
        <v>40</v>
      </c>
      <c r="T488" s="191">
        <f t="shared" si="362"/>
        <v>12</v>
      </c>
      <c r="U488" s="191">
        <f ca="1">OP!$D$5+$S488-1</f>
        <v>72</v>
      </c>
      <c r="V488" s="191">
        <f t="shared" si="363"/>
        <v>40</v>
      </c>
      <c r="W488" s="350">
        <f ca="1">IF(Q488&lt;&gt;1,0,VLOOKUP(OP!$C$55,PVFB,$S488+2,0))</f>
        <v>58662</v>
      </c>
      <c r="X488" s="473">
        <f t="shared" ca="1" si="376"/>
        <v>14086</v>
      </c>
      <c r="Y488" s="348">
        <f t="shared" ca="1" si="377"/>
        <v>0</v>
      </c>
      <c r="Z488" s="348">
        <f t="shared" ca="1" si="378"/>
        <v>8012</v>
      </c>
      <c r="AA488" s="348">
        <f ca="1">IF(Q488&lt;&gt;1,0,VLOOKUP(OP!$C$55,PVFB,$S488+2,0))</f>
        <v>58662</v>
      </c>
      <c r="AB488" s="488">
        <f ca="1">IF(AND(S488&lt;OP!$C$24,$U488&lt;15),0,IF(AND($U488&lt;15,$T488=12),ROUND(VLOOKUP($S488,DOWN16,5,0),3),IF($T488=12,ROUND(($Z488/10000)*$AA488,3)+IF(AND($P$7="購買增額繳清保險",T488=12,U488=110),VLOOKUP(S488,$B$10:$H$121,7,0),0),"")))</f>
        <v>46999.993999999999</v>
      </c>
      <c r="AC488" s="350">
        <f ca="1">IF(AND(S488&lt;OP!$C$24,$U488&lt;15),0,IF(AND($U488&lt;16,$T488=12),VLOOKUP($S488,DOWN16,4,0),IF($T488=12,ROUND(VLOOKUP(OP!$C$55,_DIE2,$S488+1,0)*(Z488/10000),0)+IF(AND($P$7="購買增額繳清保險",T488=12,U488=110),VLOOKUP(S488,$B$10:$H$121,7,0),0),"")))</f>
        <v>47000</v>
      </c>
      <c r="AD488" s="347"/>
      <c r="AE488" s="350" t="str">
        <f t="shared" ca="1" si="353"/>
        <v/>
      </c>
      <c r="AF488" s="351" t="str">
        <f t="shared" ca="1" si="354"/>
        <v/>
      </c>
      <c r="AG488" s="340"/>
      <c r="AH488" s="340"/>
      <c r="AI488" s="340"/>
      <c r="AJ488" s="340"/>
      <c r="AK488" s="340"/>
      <c r="AL488" s="340"/>
      <c r="AM488" s="340"/>
      <c r="AN488" s="340"/>
      <c r="AO488" s="340"/>
      <c r="AP488" s="340"/>
      <c r="AQ488" s="340"/>
      <c r="AR488" s="340"/>
      <c r="AS488" s="340"/>
      <c r="AT488" s="340"/>
      <c r="AU488" s="340"/>
      <c r="AV488" s="340"/>
      <c r="AY488" s="340"/>
      <c r="AZ488" s="465">
        <f t="shared" ca="1" si="364"/>
        <v>7.3698599999999999E-5</v>
      </c>
      <c r="BA488" s="464">
        <f t="shared" ca="1" si="365"/>
        <v>2.2109589000000002E-3</v>
      </c>
      <c r="BB488" s="465">
        <f t="shared" ca="1" si="365"/>
        <v>2.2846575E-3</v>
      </c>
      <c r="BC488" s="466">
        <f t="shared" ca="1" si="366"/>
        <v>57466</v>
      </c>
      <c r="BD488" s="467">
        <f t="shared" ca="1" si="379"/>
        <v>57467</v>
      </c>
      <c r="BE488" s="467">
        <f t="shared" ca="1" si="367"/>
        <v>57496</v>
      </c>
      <c r="BF488" s="468">
        <f ca="1">IF(計算!$BC488&lt;OP!$C$3,0,BD488-BC488)</f>
        <v>1</v>
      </c>
      <c r="BG488" s="468">
        <f ca="1">IF($BE488&gt;DATE(YEAR($BD$9)+OP!$C$57,MONTH($BD$9),DAY($BD$9)),0,$BE488-$BD488+1)</f>
        <v>30</v>
      </c>
      <c r="BH488" s="469">
        <f t="shared" ca="1" si="368"/>
        <v>31</v>
      </c>
      <c r="BI488" t="str">
        <f t="shared" si="384"/>
        <v/>
      </c>
      <c r="BJ488">
        <v>11</v>
      </c>
      <c r="BN488" s="468">
        <f t="shared" si="380"/>
        <v>40</v>
      </c>
      <c r="BO488" s="468">
        <f t="shared" si="381"/>
        <v>11</v>
      </c>
      <c r="BP488" s="467">
        <f t="shared" ca="1" si="369"/>
        <v>57467</v>
      </c>
      <c r="BQ488" s="475">
        <f t="shared" ca="1" si="383"/>
        <v>72</v>
      </c>
      <c r="BR488" s="475" t="str">
        <f t="shared" si="382"/>
        <v/>
      </c>
      <c r="BS488" s="471" t="str">
        <f t="shared" si="370"/>
        <v/>
      </c>
      <c r="BT488" s="472" t="str">
        <f t="shared" si="385"/>
        <v/>
      </c>
      <c r="BU488" s="472">
        <f t="shared" ca="1" si="371"/>
        <v>0</v>
      </c>
      <c r="BV488" s="472">
        <f t="shared" ca="1" si="371"/>
        <v>0</v>
      </c>
      <c r="BW488" s="472"/>
      <c r="BX488" s="473">
        <f t="shared" ca="1" si="372"/>
        <v>524342.45086910902</v>
      </c>
      <c r="BY488" s="473">
        <f t="shared" si="373"/>
        <v>0</v>
      </c>
      <c r="BZ488" s="473">
        <f t="shared" ca="1" si="355"/>
        <v>1197.942912946</v>
      </c>
      <c r="CA488" s="476">
        <f t="shared" ca="1" si="374"/>
        <v>0</v>
      </c>
      <c r="CB488" s="494">
        <f ca="1">IF(OR($Q487&lt;&gt;1,OP!$D$5+$BN488-1&lt;16,$BN488-1&lt;1),0,ROUND(ROUND(ROUND(((VLOOKUP($BN488-1,MORE_PV,5,0)/10000)*VLOOKUP($BN488,MORE_PV,$CB$5,0)),3)*VLOOKUP($BN488,more1,5,0),0)/$R487,0))</f>
        <v>0</v>
      </c>
      <c r="CC488" s="473">
        <f t="shared" ca="1" si="375"/>
        <v>0</v>
      </c>
      <c r="CD488" s="477"/>
    </row>
    <row r="489" spans="2:82" ht="16.5" hidden="1">
      <c r="B489" s="80"/>
      <c r="C489" s="80"/>
      <c r="D489" s="80"/>
      <c r="E489" s="80"/>
      <c r="F489" s="80"/>
      <c r="G489" s="80"/>
      <c r="H489" s="80"/>
      <c r="I489" s="80"/>
      <c r="J489" s="192">
        <f t="shared" si="356"/>
        <v>41</v>
      </c>
      <c r="K489" s="192">
        <f t="shared" si="357"/>
        <v>1</v>
      </c>
      <c r="L489" s="192" t="str">
        <f t="shared" si="352"/>
        <v/>
      </c>
      <c r="M489" s="216">
        <f t="shared" ca="1" si="358"/>
        <v>0</v>
      </c>
      <c r="N489" s="216"/>
      <c r="O489" s="216"/>
      <c r="P489" s="216"/>
      <c r="Q489" s="456" t="str">
        <f t="shared" ca="1" si="359"/>
        <v/>
      </c>
      <c r="R489" s="450">
        <f t="shared" ca="1" si="360"/>
        <v>1</v>
      </c>
      <c r="S489" s="191">
        <f t="shared" si="361"/>
        <v>41</v>
      </c>
      <c r="T489" s="191">
        <f t="shared" si="362"/>
        <v>1</v>
      </c>
      <c r="U489" s="191">
        <f ca="1">OP!$D$5+$S489-1</f>
        <v>73</v>
      </c>
      <c r="V489" s="191" t="str">
        <f t="shared" si="363"/>
        <v/>
      </c>
      <c r="W489" s="350">
        <f ca="1">IF(Q489&lt;&gt;1,0,VLOOKUP(OP!$C$55,PVFB,$S489+2,0))</f>
        <v>0</v>
      </c>
      <c r="X489" s="473">
        <f t="shared" ca="1" si="376"/>
        <v>0</v>
      </c>
      <c r="Y489" s="348">
        <f t="shared" ca="1" si="377"/>
        <v>0</v>
      </c>
      <c r="Z489" s="348">
        <f t="shared" ca="1" si="378"/>
        <v>8012</v>
      </c>
      <c r="AA489" s="348">
        <f ca="1">IF(Q489&lt;&gt;1,0,VLOOKUP(OP!$C$55,PVFB,$S489+2,0))</f>
        <v>0</v>
      </c>
      <c r="AB489" s="488" t="str">
        <f ca="1">IF(AND(S489&lt;OP!$C$24,$U489&lt;15),0,IF(AND($U489&lt;15,$T489=12),ROUND(VLOOKUP($S489,DOWN16,5,0),3),IF($T489=12,ROUND(($Z489/10000)*$AA489,3)+IF(AND($P$7="購買增額繳清保險",T489=12,U489=110),VLOOKUP(S489,$B$10:$H$121,7,0),0),"")))</f>
        <v/>
      </c>
      <c r="AC489" s="350" t="str">
        <f ca="1">IF(AND(S489&lt;OP!$C$24,$U489&lt;15),0,IF(AND($U489&lt;16,$T489=12),VLOOKUP($S489,DOWN16,4,0),IF($T489=12,ROUND(VLOOKUP(OP!$C$55,_DIE2,$S489+1,0)*(Z489/10000),0)+IF(AND($P$7="購買增額繳清保險",T489=12,U489=110),VLOOKUP(S489,$B$10:$H$121,7,0),0),"")))</f>
        <v/>
      </c>
      <c r="AD489" s="347"/>
      <c r="AE489" s="350" t="str">
        <f t="shared" ca="1" si="353"/>
        <v/>
      </c>
      <c r="AF489" s="351" t="str">
        <f t="shared" ca="1" si="354"/>
        <v/>
      </c>
      <c r="AG489" s="340"/>
      <c r="AH489" s="340"/>
      <c r="AI489" s="340"/>
      <c r="AJ489" s="340"/>
      <c r="AK489" s="340"/>
      <c r="AL489" s="340"/>
      <c r="AM489" s="340"/>
      <c r="AN489" s="340"/>
      <c r="AO489" s="340"/>
      <c r="AP489" s="340"/>
      <c r="AQ489" s="340"/>
      <c r="AR489" s="340"/>
      <c r="AS489" s="340"/>
      <c r="AT489" s="340"/>
      <c r="AU489" s="340"/>
      <c r="AV489" s="340"/>
      <c r="AY489" s="340"/>
      <c r="AZ489" s="465">
        <f t="shared" ca="1" si="364"/>
        <v>7.3698599999999999E-5</v>
      </c>
      <c r="BA489" s="464">
        <f t="shared" ca="1" si="365"/>
        <v>2.1372602999999999E-3</v>
      </c>
      <c r="BB489" s="465">
        <f t="shared" ca="1" si="365"/>
        <v>2.2109589000000002E-3</v>
      </c>
      <c r="BC489" s="466">
        <f t="shared" ca="1" si="366"/>
        <v>57497</v>
      </c>
      <c r="BD489" s="467">
        <f t="shared" ca="1" si="379"/>
        <v>57498</v>
      </c>
      <c r="BE489" s="467">
        <f t="shared" ca="1" si="367"/>
        <v>57526</v>
      </c>
      <c r="BF489" s="468">
        <f ca="1">IF(計算!$BC489&lt;OP!$C$3,0,BD489-BC489)</f>
        <v>1</v>
      </c>
      <c r="BG489" s="468">
        <f ca="1">IF($BE489&gt;DATE(YEAR($BD$9)+OP!$C$57,MONTH($BD$9),DAY($BD$9)),0,$BE489-$BD489+1)</f>
        <v>29</v>
      </c>
      <c r="BH489" s="469">
        <f t="shared" ca="1" si="368"/>
        <v>30</v>
      </c>
      <c r="BI489">
        <f t="shared" ca="1" si="384"/>
        <v>365</v>
      </c>
      <c r="BJ489">
        <v>12</v>
      </c>
      <c r="BN489" s="468">
        <f t="shared" si="380"/>
        <v>40</v>
      </c>
      <c r="BO489" s="468">
        <f t="shared" si="381"/>
        <v>12</v>
      </c>
      <c r="BP489" s="467">
        <f t="shared" ca="1" si="369"/>
        <v>57498</v>
      </c>
      <c r="BQ489" s="475">
        <f t="shared" ca="1" si="383"/>
        <v>72</v>
      </c>
      <c r="BR489" s="475">
        <f t="shared" si="382"/>
        <v>40</v>
      </c>
      <c r="BS489" s="471">
        <f t="shared" ca="1" si="370"/>
        <v>14086</v>
      </c>
      <c r="BT489" s="472">
        <f t="shared" ca="1" si="385"/>
        <v>539665</v>
      </c>
      <c r="BU489" s="472">
        <f t="shared" ca="1" si="371"/>
        <v>13762</v>
      </c>
      <c r="BV489" s="472">
        <f t="shared" ca="1" si="371"/>
        <v>324</v>
      </c>
      <c r="BW489" s="472">
        <f ca="1">ROUND(SUM(BY489,BZ477:BZ488),0)</f>
        <v>13934</v>
      </c>
      <c r="BX489" s="473">
        <f t="shared" ca="1" si="372"/>
        <v>539665.12537331996</v>
      </c>
      <c r="BY489" s="473">
        <f t="shared" ca="1" si="373"/>
        <v>38.731591264999999</v>
      </c>
      <c r="BZ489" s="473">
        <f t="shared" ca="1" si="355"/>
        <v>1153.404847755</v>
      </c>
      <c r="CA489" s="476">
        <f t="shared" ca="1" si="374"/>
        <v>13762</v>
      </c>
      <c r="CB489" s="494">
        <f ca="1">IF(OR($Q488&lt;&gt;1,OP!$D$5+$BN489-1&lt;16,$BN489-1&lt;1),0,ROUND(ROUND(ROUND(((VLOOKUP($BN489-1,MORE_PV,5,0)/10000)*VLOOKUP($BN489,MORE_PV,$CB$5,0)),3)*VLOOKUP($BN489,more1,5,0),0)/$R488,0))</f>
        <v>324</v>
      </c>
      <c r="CC489" s="473">
        <f t="shared" ca="1" si="375"/>
        <v>0</v>
      </c>
      <c r="CD489" s="477"/>
    </row>
    <row r="490" spans="2:82" ht="16.5" hidden="1">
      <c r="B490" s="80"/>
      <c r="C490" s="80"/>
      <c r="D490" s="80"/>
      <c r="E490" s="80"/>
      <c r="F490" s="80"/>
      <c r="G490" s="80"/>
      <c r="H490" s="80"/>
      <c r="I490" s="80"/>
      <c r="J490" s="192">
        <f t="shared" si="356"/>
        <v>41</v>
      </c>
      <c r="K490" s="192">
        <f t="shared" si="357"/>
        <v>2</v>
      </c>
      <c r="L490" s="192" t="str">
        <f t="shared" si="352"/>
        <v/>
      </c>
      <c r="M490" s="216">
        <f t="shared" ca="1" si="358"/>
        <v>0</v>
      </c>
      <c r="N490" s="216"/>
      <c r="O490" s="216"/>
      <c r="P490" s="216"/>
      <c r="Q490" s="456" t="str">
        <f t="shared" ca="1" si="359"/>
        <v/>
      </c>
      <c r="R490" s="450">
        <f t="shared" ca="1" si="360"/>
        <v>1</v>
      </c>
      <c r="S490" s="191">
        <f t="shared" si="361"/>
        <v>41</v>
      </c>
      <c r="T490" s="191">
        <f t="shared" si="362"/>
        <v>2</v>
      </c>
      <c r="U490" s="191">
        <f ca="1">OP!$D$5+$S490-1</f>
        <v>73</v>
      </c>
      <c r="V490" s="191" t="str">
        <f t="shared" si="363"/>
        <v/>
      </c>
      <c r="W490" s="350">
        <f ca="1">IF(Q490&lt;&gt;1,0,VLOOKUP(OP!$C$55,PVFB,$S490+2,0))</f>
        <v>0</v>
      </c>
      <c r="X490" s="473">
        <f t="shared" ca="1" si="376"/>
        <v>0</v>
      </c>
      <c r="Y490" s="348">
        <f t="shared" ca="1" si="377"/>
        <v>0</v>
      </c>
      <c r="Z490" s="348">
        <f t="shared" ca="1" si="378"/>
        <v>8012</v>
      </c>
      <c r="AA490" s="348">
        <f ca="1">IF(Q490&lt;&gt;1,0,VLOOKUP(OP!$C$55,PVFB,$S490+2,0))</f>
        <v>0</v>
      </c>
      <c r="AB490" s="488" t="str">
        <f ca="1">IF(AND(S490&lt;OP!$C$24,$U490&lt;15),0,IF(AND($U490&lt;15,$T490=12),ROUND(VLOOKUP($S490,DOWN16,5,0),3),IF($T490=12,ROUND(($Z490/10000)*$AA490,3)+IF(AND($P$7="購買增額繳清保險",T490=12,U490=110),VLOOKUP(S490,$B$10:$H$121,7,0),0),"")))</f>
        <v/>
      </c>
      <c r="AC490" s="350" t="str">
        <f ca="1">IF(AND(S490&lt;OP!$C$24,$U490&lt;15),0,IF(AND($U490&lt;16,$T490=12),VLOOKUP($S490,DOWN16,4,0),IF($T490=12,ROUND(VLOOKUP(OP!$C$55,_DIE2,$S490+1,0)*(Z490/10000),0)+IF(AND($P$7="購買增額繳清保險",T490=12,U490=110),VLOOKUP(S490,$B$10:$H$121,7,0),0),"")))</f>
        <v/>
      </c>
      <c r="AD490" s="347"/>
      <c r="AE490" s="350" t="str">
        <f t="shared" ca="1" si="353"/>
        <v/>
      </c>
      <c r="AF490" s="351" t="str">
        <f t="shared" ca="1" si="354"/>
        <v/>
      </c>
      <c r="AG490" s="340"/>
      <c r="AH490" s="340"/>
      <c r="AI490" s="340"/>
      <c r="AJ490" s="340"/>
      <c r="AK490" s="340"/>
      <c r="AL490" s="340"/>
      <c r="AM490" s="340"/>
      <c r="AN490" s="340"/>
      <c r="AO490" s="340"/>
      <c r="AP490" s="340"/>
      <c r="AQ490" s="340"/>
      <c r="AR490" s="340"/>
      <c r="AS490" s="340"/>
      <c r="AT490" s="340"/>
      <c r="AU490" s="340"/>
      <c r="AV490" s="340"/>
      <c r="AY490" s="340"/>
      <c r="AZ490" s="465">
        <f t="shared" ca="1" si="364"/>
        <v>7.3698599999999999E-5</v>
      </c>
      <c r="BA490" s="464">
        <f t="shared" ca="1" si="365"/>
        <v>2.2109589000000002E-3</v>
      </c>
      <c r="BB490" s="465">
        <f t="shared" ca="1" si="365"/>
        <v>2.2846575E-3</v>
      </c>
      <c r="BC490" s="466">
        <f t="shared" ca="1" si="366"/>
        <v>57527</v>
      </c>
      <c r="BD490" s="467">
        <f t="shared" ca="1" si="379"/>
        <v>57528</v>
      </c>
      <c r="BE490" s="467">
        <f t="shared" ca="1" si="367"/>
        <v>57557</v>
      </c>
      <c r="BF490" s="468">
        <f ca="1">IF(計算!$BC490&lt;OP!$C$3,0,BD490-BC490)</f>
        <v>1</v>
      </c>
      <c r="BG490" s="468">
        <f ca="1">IF($BE490&gt;DATE(YEAR($BD$9)+OP!$C$57,MONTH($BD$9),DAY($BD$9)),0,$BE490-$BD490+1)</f>
        <v>30</v>
      </c>
      <c r="BH490" s="469">
        <f t="shared" ca="1" si="368"/>
        <v>31</v>
      </c>
      <c r="BI490" t="str">
        <f t="shared" si="384"/>
        <v/>
      </c>
      <c r="BJ490">
        <v>1</v>
      </c>
      <c r="BN490" s="468">
        <f t="shared" si="380"/>
        <v>41</v>
      </c>
      <c r="BO490" s="468">
        <f t="shared" si="381"/>
        <v>1</v>
      </c>
      <c r="BP490" s="467">
        <f t="shared" ca="1" si="369"/>
        <v>57528</v>
      </c>
      <c r="BQ490" s="475">
        <f t="shared" ca="1" si="383"/>
        <v>73</v>
      </c>
      <c r="BR490" s="475" t="str">
        <f t="shared" si="382"/>
        <v/>
      </c>
      <c r="BS490" s="471" t="str">
        <f t="shared" si="370"/>
        <v/>
      </c>
      <c r="BT490" s="472" t="str">
        <f t="shared" si="385"/>
        <v/>
      </c>
      <c r="BU490" s="472">
        <f t="shared" ca="1" si="371"/>
        <v>0</v>
      </c>
      <c r="BV490" s="472">
        <f t="shared" ca="1" si="371"/>
        <v>0</v>
      </c>
      <c r="BW490" s="472"/>
      <c r="BX490" s="473">
        <f t="shared" ca="1" si="372"/>
        <v>540818.53022107505</v>
      </c>
      <c r="BY490" s="473">
        <f t="shared" si="373"/>
        <v>0</v>
      </c>
      <c r="BZ490" s="473">
        <f t="shared" ca="1" si="355"/>
        <v>1235.5851112089999</v>
      </c>
      <c r="CA490" s="476">
        <f t="shared" ca="1" si="374"/>
        <v>0</v>
      </c>
      <c r="CB490" s="494">
        <f ca="1">IF(OR($Q489&lt;&gt;1,OP!$D$5+$BN490-1&lt;16,$BN490-1&lt;1),0,ROUND(ROUND(ROUND(((VLOOKUP($BN490-1,MORE_PV,5,0)/10000)*VLOOKUP($BN490,MORE_PV,$CB$5,0)),3)*VLOOKUP($BN490,more1,5,0),0)/$R489,0))</f>
        <v>0</v>
      </c>
      <c r="CC490" s="473">
        <f t="shared" ca="1" si="375"/>
        <v>0</v>
      </c>
      <c r="CD490" s="477"/>
    </row>
    <row r="491" spans="2:82" ht="16.5" hidden="1">
      <c r="B491" s="80"/>
      <c r="C491" s="80"/>
      <c r="D491" s="80"/>
      <c r="E491" s="80"/>
      <c r="F491" s="80"/>
      <c r="G491" s="80"/>
      <c r="H491" s="80"/>
      <c r="I491" s="80"/>
      <c r="J491" s="192">
        <f t="shared" si="356"/>
        <v>41</v>
      </c>
      <c r="K491" s="192">
        <f t="shared" si="357"/>
        <v>3</v>
      </c>
      <c r="L491" s="192" t="str">
        <f t="shared" si="352"/>
        <v/>
      </c>
      <c r="M491" s="216">
        <f t="shared" ca="1" si="358"/>
        <v>0</v>
      </c>
      <c r="N491" s="216"/>
      <c r="O491" s="216"/>
      <c r="P491" s="216"/>
      <c r="Q491" s="456" t="str">
        <f t="shared" ca="1" si="359"/>
        <v/>
      </c>
      <c r="R491" s="450">
        <f t="shared" ca="1" si="360"/>
        <v>1</v>
      </c>
      <c r="S491" s="191">
        <f t="shared" si="361"/>
        <v>41</v>
      </c>
      <c r="T491" s="191">
        <f t="shared" si="362"/>
        <v>3</v>
      </c>
      <c r="U491" s="191">
        <f ca="1">OP!$D$5+$S491-1</f>
        <v>73</v>
      </c>
      <c r="V491" s="191" t="str">
        <f t="shared" si="363"/>
        <v/>
      </c>
      <c r="W491" s="350">
        <f ca="1">IF(Q491&lt;&gt;1,0,VLOOKUP(OP!$C$55,PVFB,$S491+2,0))</f>
        <v>0</v>
      </c>
      <c r="X491" s="473">
        <f t="shared" ca="1" si="376"/>
        <v>0</v>
      </c>
      <c r="Y491" s="348">
        <f t="shared" ca="1" si="377"/>
        <v>0</v>
      </c>
      <c r="Z491" s="348">
        <f t="shared" ca="1" si="378"/>
        <v>8012</v>
      </c>
      <c r="AA491" s="348">
        <f ca="1">IF(Q491&lt;&gt;1,0,VLOOKUP(OP!$C$55,PVFB,$S491+2,0))</f>
        <v>0</v>
      </c>
      <c r="AB491" s="488" t="str">
        <f ca="1">IF(AND(S491&lt;OP!$C$24,$U491&lt;15),0,IF(AND($U491&lt;15,$T491=12),ROUND(VLOOKUP($S491,DOWN16,5,0),3),IF($T491=12,ROUND(($Z491/10000)*$AA491,3)+IF(AND($P$7="購買增額繳清保險",T491=12,U491=110),VLOOKUP(S491,$B$10:$H$121,7,0),0),"")))</f>
        <v/>
      </c>
      <c r="AC491" s="350" t="str">
        <f ca="1">IF(AND(S491&lt;OP!$C$24,$U491&lt;15),0,IF(AND($U491&lt;16,$T491=12),VLOOKUP($S491,DOWN16,4,0),IF($T491=12,ROUND(VLOOKUP(OP!$C$55,_DIE2,$S491+1,0)*(Z491/10000),0)+IF(AND($P$7="購買增額繳清保險",T491=12,U491=110),VLOOKUP(S491,$B$10:$H$121,7,0),0),"")))</f>
        <v/>
      </c>
      <c r="AD491" s="347"/>
      <c r="AE491" s="350" t="str">
        <f t="shared" ca="1" si="353"/>
        <v/>
      </c>
      <c r="AF491" s="351" t="str">
        <f t="shared" ca="1" si="354"/>
        <v/>
      </c>
      <c r="AG491" s="340"/>
      <c r="AH491" s="340"/>
      <c r="AI491" s="340"/>
      <c r="AJ491" s="340"/>
      <c r="AK491" s="340"/>
      <c r="AL491" s="340"/>
      <c r="AM491" s="340"/>
      <c r="AN491" s="340"/>
      <c r="AO491" s="340"/>
      <c r="AP491" s="340"/>
      <c r="AQ491" s="340"/>
      <c r="AR491" s="340"/>
      <c r="AS491" s="340"/>
      <c r="AT491" s="340"/>
      <c r="AU491" s="340"/>
      <c r="AV491" s="340"/>
      <c r="AY491" s="340"/>
      <c r="AZ491" s="465">
        <f t="shared" ca="1" si="364"/>
        <v>7.3698599999999999E-5</v>
      </c>
      <c r="BA491" s="464">
        <f t="shared" ca="1" si="365"/>
        <v>2.2109589000000002E-3</v>
      </c>
      <c r="BB491" s="465">
        <f t="shared" ca="1" si="365"/>
        <v>2.2846575E-3</v>
      </c>
      <c r="BC491" s="466">
        <f t="shared" ca="1" si="366"/>
        <v>57558</v>
      </c>
      <c r="BD491" s="467">
        <f t="shared" ca="1" si="379"/>
        <v>57559</v>
      </c>
      <c r="BE491" s="467">
        <f t="shared" ca="1" si="367"/>
        <v>57588</v>
      </c>
      <c r="BF491" s="468">
        <f ca="1">IF(計算!$BC491&lt;OP!$C$3,0,BD491-BC491)</f>
        <v>1</v>
      </c>
      <c r="BG491" s="468">
        <f ca="1">IF($BE491&gt;DATE(YEAR($BD$9)+OP!$C$57,MONTH($BD$9),DAY($BD$9)),0,$BE491-$BD491+1)</f>
        <v>30</v>
      </c>
      <c r="BH491" s="469">
        <f t="shared" ca="1" si="368"/>
        <v>31</v>
      </c>
      <c r="BI491" t="str">
        <f t="shared" si="384"/>
        <v/>
      </c>
      <c r="BJ491">
        <v>2</v>
      </c>
      <c r="BN491" s="468">
        <f t="shared" si="380"/>
        <v>41</v>
      </c>
      <c r="BO491" s="468">
        <f t="shared" si="381"/>
        <v>2</v>
      </c>
      <c r="BP491" s="467">
        <f t="shared" ca="1" si="369"/>
        <v>57559</v>
      </c>
      <c r="BQ491" s="475">
        <f t="shared" ca="1" si="383"/>
        <v>73</v>
      </c>
      <c r="BR491" s="475" t="str">
        <f t="shared" si="382"/>
        <v/>
      </c>
      <c r="BS491" s="471" t="str">
        <f t="shared" si="370"/>
        <v/>
      </c>
      <c r="BT491" s="472" t="str">
        <f t="shared" si="385"/>
        <v/>
      </c>
      <c r="BU491" s="472">
        <f t="shared" ca="1" si="371"/>
        <v>0</v>
      </c>
      <c r="BV491" s="472">
        <f t="shared" ca="1" si="371"/>
        <v>0</v>
      </c>
      <c r="BW491" s="472"/>
      <c r="BX491" s="473">
        <f t="shared" ca="1" si="372"/>
        <v>542054.11533228401</v>
      </c>
      <c r="BY491" s="473">
        <f t="shared" si="373"/>
        <v>0</v>
      </c>
      <c r="BZ491" s="473">
        <f t="shared" ca="1" si="355"/>
        <v>1238.4079999999999</v>
      </c>
      <c r="CA491" s="476">
        <f t="shared" ca="1" si="374"/>
        <v>0</v>
      </c>
      <c r="CB491" s="494">
        <f ca="1">IF(OR($Q490&lt;&gt;1,OP!$D$5+$BN491-1&lt;16,$BN491-1&lt;1),0,ROUND(ROUND(ROUND(((VLOOKUP($BN491-1,MORE_PV,5,0)/10000)*VLOOKUP($BN491,MORE_PV,$CB$5,0)),3)*VLOOKUP($BN491,more1,5,0),0)/$R490,0))</f>
        <v>0</v>
      </c>
      <c r="CC491" s="473">
        <f t="shared" ca="1" si="375"/>
        <v>0</v>
      </c>
      <c r="CD491" s="477"/>
    </row>
    <row r="492" spans="2:82" ht="16.5" hidden="1">
      <c r="B492" s="80"/>
      <c r="C492" s="80"/>
      <c r="D492" s="80"/>
      <c r="E492" s="80"/>
      <c r="F492" s="80"/>
      <c r="G492" s="80"/>
      <c r="H492" s="80"/>
      <c r="I492" s="80"/>
      <c r="J492" s="192">
        <f t="shared" si="356"/>
        <v>41</v>
      </c>
      <c r="K492" s="192">
        <f t="shared" si="357"/>
        <v>4</v>
      </c>
      <c r="L492" s="192" t="str">
        <f t="shared" si="352"/>
        <v/>
      </c>
      <c r="M492" s="216">
        <f t="shared" ca="1" si="358"/>
        <v>0</v>
      </c>
      <c r="N492" s="216"/>
      <c r="O492" s="216"/>
      <c r="P492" s="216"/>
      <c r="Q492" s="456" t="str">
        <f t="shared" ca="1" si="359"/>
        <v/>
      </c>
      <c r="R492" s="450">
        <f t="shared" ca="1" si="360"/>
        <v>1</v>
      </c>
      <c r="S492" s="191">
        <f t="shared" si="361"/>
        <v>41</v>
      </c>
      <c r="T492" s="191">
        <f t="shared" si="362"/>
        <v>4</v>
      </c>
      <c r="U492" s="191">
        <f ca="1">OP!$D$5+$S492-1</f>
        <v>73</v>
      </c>
      <c r="V492" s="191" t="str">
        <f t="shared" si="363"/>
        <v/>
      </c>
      <c r="W492" s="350">
        <f ca="1">IF(Q492&lt;&gt;1,0,VLOOKUP(OP!$C$55,PVFB,$S492+2,0))</f>
        <v>0</v>
      </c>
      <c r="X492" s="473">
        <f t="shared" ca="1" si="376"/>
        <v>0</v>
      </c>
      <c r="Y492" s="348">
        <f t="shared" ca="1" si="377"/>
        <v>0</v>
      </c>
      <c r="Z492" s="348">
        <f t="shared" ca="1" si="378"/>
        <v>8012</v>
      </c>
      <c r="AA492" s="348">
        <f ca="1">IF(Q492&lt;&gt;1,0,VLOOKUP(OP!$C$55,PVFB,$S492+2,0))</f>
        <v>0</v>
      </c>
      <c r="AB492" s="488" t="str">
        <f ca="1">IF(AND(S492&lt;OP!$C$24,$U492&lt;15),0,IF(AND($U492&lt;15,$T492=12),ROUND(VLOOKUP($S492,DOWN16,5,0),3),IF($T492=12,ROUND(($Z492/10000)*$AA492,3)+IF(AND($P$7="購買增額繳清保險",T492=12,U492=110),VLOOKUP(S492,$B$10:$H$121,7,0),0),"")))</f>
        <v/>
      </c>
      <c r="AC492" s="350" t="str">
        <f ca="1">IF(AND(S492&lt;OP!$C$24,$U492&lt;15),0,IF(AND($U492&lt;16,$T492=12),VLOOKUP($S492,DOWN16,4,0),IF($T492=12,ROUND(VLOOKUP(OP!$C$55,_DIE2,$S492+1,0)*(Z492/10000),0)+IF(AND($P$7="購買增額繳清保險",T492=12,U492=110),VLOOKUP(S492,$B$10:$H$121,7,0),0),"")))</f>
        <v/>
      </c>
      <c r="AD492" s="347"/>
      <c r="AE492" s="350" t="str">
        <f t="shared" ca="1" si="353"/>
        <v/>
      </c>
      <c r="AF492" s="351" t="str">
        <f t="shared" ca="1" si="354"/>
        <v/>
      </c>
      <c r="AG492" s="340"/>
      <c r="AH492" s="340"/>
      <c r="AI492" s="340"/>
      <c r="AJ492" s="340"/>
      <c r="AK492" s="340"/>
      <c r="AL492" s="340"/>
      <c r="AM492" s="340"/>
      <c r="AN492" s="340"/>
      <c r="AO492" s="340"/>
      <c r="AP492" s="340"/>
      <c r="AQ492" s="340"/>
      <c r="AR492" s="340"/>
      <c r="AS492" s="340"/>
      <c r="AT492" s="340"/>
      <c r="AU492" s="340"/>
      <c r="AV492" s="340"/>
      <c r="AY492" s="340"/>
      <c r="AZ492" s="465">
        <f t="shared" ca="1" si="364"/>
        <v>7.3698599999999999E-5</v>
      </c>
      <c r="BA492" s="464">
        <f t="shared" ca="1" si="365"/>
        <v>2.1372602999999999E-3</v>
      </c>
      <c r="BB492" s="465">
        <f t="shared" ca="1" si="365"/>
        <v>2.2109589000000002E-3</v>
      </c>
      <c r="BC492" s="466">
        <f t="shared" ca="1" si="366"/>
        <v>57589</v>
      </c>
      <c r="BD492" s="467">
        <f t="shared" ca="1" si="379"/>
        <v>57590</v>
      </c>
      <c r="BE492" s="467">
        <f t="shared" ca="1" si="367"/>
        <v>57618</v>
      </c>
      <c r="BF492" s="468">
        <f ca="1">IF(計算!$BC492&lt;OP!$C$3,0,BD492-BC492)</f>
        <v>1</v>
      </c>
      <c r="BG492" s="468">
        <f ca="1">IF($BE492&gt;DATE(YEAR($BD$9)+OP!$C$57,MONTH($BD$9),DAY($BD$9)),0,$BE492-$BD492+1)</f>
        <v>29</v>
      </c>
      <c r="BH492" s="469">
        <f t="shared" ca="1" si="368"/>
        <v>30</v>
      </c>
      <c r="BI492" t="str">
        <f t="shared" si="384"/>
        <v/>
      </c>
      <c r="BJ492">
        <v>3</v>
      </c>
      <c r="BN492" s="468">
        <f t="shared" si="380"/>
        <v>41</v>
      </c>
      <c r="BO492" s="468">
        <f t="shared" si="381"/>
        <v>3</v>
      </c>
      <c r="BP492" s="467">
        <f t="shared" ca="1" si="369"/>
        <v>57590</v>
      </c>
      <c r="BQ492" s="475">
        <f t="shared" ca="1" si="383"/>
        <v>73</v>
      </c>
      <c r="BR492" s="475" t="str">
        <f t="shared" si="382"/>
        <v/>
      </c>
      <c r="BS492" s="471" t="str">
        <f t="shared" si="370"/>
        <v/>
      </c>
      <c r="BT492" s="472" t="str">
        <f t="shared" si="385"/>
        <v/>
      </c>
      <c r="BU492" s="472">
        <f t="shared" ca="1" si="371"/>
        <v>0</v>
      </c>
      <c r="BV492" s="472">
        <f t="shared" ca="1" si="371"/>
        <v>0</v>
      </c>
      <c r="BW492" s="472"/>
      <c r="BX492" s="473">
        <f t="shared" ca="1" si="372"/>
        <v>543292.52333228395</v>
      </c>
      <c r="BY492" s="473">
        <f t="shared" si="373"/>
        <v>0</v>
      </c>
      <c r="BZ492" s="473">
        <f t="shared" ca="1" si="355"/>
        <v>1201.1974397649999</v>
      </c>
      <c r="CA492" s="476">
        <f t="shared" ca="1" si="374"/>
        <v>0</v>
      </c>
      <c r="CB492" s="494">
        <f ca="1">IF(OR($Q491&lt;&gt;1,OP!$D$5+$BN492-1&lt;16,$BN492-1&lt;1),0,ROUND(ROUND(ROUND(((VLOOKUP($BN492-1,MORE_PV,5,0)/10000)*VLOOKUP($BN492,MORE_PV,$CB$5,0)),3)*VLOOKUP($BN492,more1,5,0),0)/$R491,0))</f>
        <v>0</v>
      </c>
      <c r="CC492" s="473">
        <f t="shared" ca="1" si="375"/>
        <v>0</v>
      </c>
      <c r="CD492" s="477"/>
    </row>
    <row r="493" spans="2:82" ht="16.5" hidden="1">
      <c r="B493" s="80"/>
      <c r="C493" s="80"/>
      <c r="D493" s="80"/>
      <c r="E493" s="80"/>
      <c r="F493" s="80"/>
      <c r="G493" s="80"/>
      <c r="H493" s="80"/>
      <c r="I493" s="80"/>
      <c r="J493" s="192">
        <f t="shared" si="356"/>
        <v>41</v>
      </c>
      <c r="K493" s="192">
        <f t="shared" si="357"/>
        <v>5</v>
      </c>
      <c r="L493" s="192" t="str">
        <f t="shared" si="352"/>
        <v/>
      </c>
      <c r="M493" s="216">
        <f t="shared" ca="1" si="358"/>
        <v>0</v>
      </c>
      <c r="N493" s="216"/>
      <c r="O493" s="216"/>
      <c r="P493" s="216"/>
      <c r="Q493" s="456" t="str">
        <f t="shared" ca="1" si="359"/>
        <v/>
      </c>
      <c r="R493" s="450">
        <f t="shared" ca="1" si="360"/>
        <v>1</v>
      </c>
      <c r="S493" s="191">
        <f t="shared" si="361"/>
        <v>41</v>
      </c>
      <c r="T493" s="191">
        <f t="shared" si="362"/>
        <v>5</v>
      </c>
      <c r="U493" s="191">
        <f ca="1">OP!$D$5+$S493-1</f>
        <v>73</v>
      </c>
      <c r="V493" s="191" t="str">
        <f t="shared" si="363"/>
        <v/>
      </c>
      <c r="W493" s="350">
        <f ca="1">IF(Q493&lt;&gt;1,0,VLOOKUP(OP!$C$55,PVFB,$S493+2,0))</f>
        <v>0</v>
      </c>
      <c r="X493" s="473">
        <f t="shared" ca="1" si="376"/>
        <v>0</v>
      </c>
      <c r="Y493" s="348">
        <f t="shared" ca="1" si="377"/>
        <v>0</v>
      </c>
      <c r="Z493" s="348">
        <f t="shared" ca="1" si="378"/>
        <v>8012</v>
      </c>
      <c r="AA493" s="348">
        <f ca="1">IF(Q493&lt;&gt;1,0,VLOOKUP(OP!$C$55,PVFB,$S493+2,0))</f>
        <v>0</v>
      </c>
      <c r="AB493" s="488" t="str">
        <f ca="1">IF(AND(S493&lt;OP!$C$24,$U493&lt;15),0,IF(AND($U493&lt;15,$T493=12),ROUND(VLOOKUP($S493,DOWN16,5,0),3),IF($T493=12,ROUND(($Z493/10000)*$AA493,3)+IF(AND($P$7="購買增額繳清保險",T493=12,U493=110),VLOOKUP(S493,$B$10:$H$121,7,0),0),"")))</f>
        <v/>
      </c>
      <c r="AC493" s="350" t="str">
        <f ca="1">IF(AND(S493&lt;OP!$C$24,$U493&lt;15),0,IF(AND($U493&lt;16,$T493=12),VLOOKUP($S493,DOWN16,4,0),IF($T493=12,ROUND(VLOOKUP(OP!$C$55,_DIE2,$S493+1,0)*(Z493/10000),0)+IF(AND($P$7="購買增額繳清保險",T493=12,U493=110),VLOOKUP(S493,$B$10:$H$121,7,0),0),"")))</f>
        <v/>
      </c>
      <c r="AD493" s="347"/>
      <c r="AE493" s="350" t="str">
        <f t="shared" ca="1" si="353"/>
        <v/>
      </c>
      <c r="AF493" s="351" t="str">
        <f t="shared" ca="1" si="354"/>
        <v/>
      </c>
      <c r="AG493" s="340"/>
      <c r="AH493" s="340"/>
      <c r="AI493" s="340"/>
      <c r="AJ493" s="340"/>
      <c r="AK493" s="340"/>
      <c r="AL493" s="340"/>
      <c r="AM493" s="340"/>
      <c r="AN493" s="340"/>
      <c r="AO493" s="340"/>
      <c r="AP493" s="340"/>
      <c r="AQ493" s="340"/>
      <c r="AR493" s="340"/>
      <c r="AS493" s="340"/>
      <c r="AT493" s="340"/>
      <c r="AU493" s="340"/>
      <c r="AV493" s="340"/>
      <c r="AY493" s="340"/>
      <c r="AZ493" s="465">
        <f t="shared" ca="1" si="364"/>
        <v>7.3698599999999999E-5</v>
      </c>
      <c r="BA493" s="464">
        <f t="shared" ca="1" si="365"/>
        <v>2.2109589000000002E-3</v>
      </c>
      <c r="BB493" s="465">
        <f t="shared" ca="1" si="365"/>
        <v>2.2846575E-3</v>
      </c>
      <c r="BC493" s="466">
        <f t="shared" ca="1" si="366"/>
        <v>57619</v>
      </c>
      <c r="BD493" s="467">
        <f t="shared" ca="1" si="379"/>
        <v>57620</v>
      </c>
      <c r="BE493" s="467">
        <f t="shared" ca="1" si="367"/>
        <v>57649</v>
      </c>
      <c r="BF493" s="468">
        <f ca="1">IF(計算!$BC493&lt;OP!$C$3,0,BD493-BC493)</f>
        <v>1</v>
      </c>
      <c r="BG493" s="468">
        <f ca="1">IF($BE493&gt;DATE(YEAR($BD$9)+OP!$C$57,MONTH($BD$9),DAY($BD$9)),0,$BE493-$BD493+1)</f>
        <v>30</v>
      </c>
      <c r="BH493" s="469">
        <f t="shared" ca="1" si="368"/>
        <v>31</v>
      </c>
      <c r="BI493" t="str">
        <f t="shared" si="384"/>
        <v/>
      </c>
      <c r="BJ493">
        <v>4</v>
      </c>
      <c r="BN493" s="468">
        <f t="shared" si="380"/>
        <v>41</v>
      </c>
      <c r="BO493" s="468">
        <f t="shared" si="381"/>
        <v>4</v>
      </c>
      <c r="BP493" s="467">
        <f t="shared" ca="1" si="369"/>
        <v>57620</v>
      </c>
      <c r="BQ493" s="475">
        <f t="shared" ca="1" si="383"/>
        <v>73</v>
      </c>
      <c r="BR493" s="475" t="str">
        <f t="shared" si="382"/>
        <v/>
      </c>
      <c r="BS493" s="471" t="str">
        <f t="shared" si="370"/>
        <v/>
      </c>
      <c r="BT493" s="472" t="str">
        <f t="shared" si="385"/>
        <v/>
      </c>
      <c r="BU493" s="472">
        <f t="shared" ca="1" si="371"/>
        <v>0</v>
      </c>
      <c r="BV493" s="472">
        <f t="shared" ca="1" si="371"/>
        <v>0</v>
      </c>
      <c r="BW493" s="472"/>
      <c r="BX493" s="473">
        <f t="shared" ca="1" si="372"/>
        <v>544493.72077204904</v>
      </c>
      <c r="BY493" s="473">
        <f t="shared" si="373"/>
        <v>0</v>
      </c>
      <c r="BZ493" s="473">
        <f t="shared" ca="1" si="355"/>
        <v>1243.9816628650001</v>
      </c>
      <c r="CA493" s="476">
        <f t="shared" ca="1" si="374"/>
        <v>0</v>
      </c>
      <c r="CB493" s="494">
        <f ca="1">IF(OR($Q492&lt;&gt;1,OP!$D$5+$BN493-1&lt;16,$BN493-1&lt;1),0,ROUND(ROUND(ROUND(((VLOOKUP($BN493-1,MORE_PV,5,0)/10000)*VLOOKUP($BN493,MORE_PV,$CB$5,0)),3)*VLOOKUP($BN493,more1,5,0),0)/$R492,0))</f>
        <v>0</v>
      </c>
      <c r="CC493" s="473">
        <f t="shared" ca="1" si="375"/>
        <v>0</v>
      </c>
      <c r="CD493" s="477"/>
    </row>
    <row r="494" spans="2:82" ht="16.5" hidden="1">
      <c r="B494" s="80"/>
      <c r="C494" s="80"/>
      <c r="D494" s="80"/>
      <c r="E494" s="80"/>
      <c r="F494" s="80"/>
      <c r="G494" s="80"/>
      <c r="H494" s="80"/>
      <c r="I494" s="80"/>
      <c r="J494" s="192">
        <f t="shared" si="356"/>
        <v>41</v>
      </c>
      <c r="K494" s="192">
        <f t="shared" si="357"/>
        <v>6</v>
      </c>
      <c r="L494" s="192" t="str">
        <f t="shared" si="352"/>
        <v/>
      </c>
      <c r="M494" s="216">
        <f t="shared" ca="1" si="358"/>
        <v>0</v>
      </c>
      <c r="N494" s="216"/>
      <c r="O494" s="216"/>
      <c r="P494" s="216"/>
      <c r="Q494" s="456" t="str">
        <f t="shared" ca="1" si="359"/>
        <v/>
      </c>
      <c r="R494" s="450">
        <f t="shared" ca="1" si="360"/>
        <v>1</v>
      </c>
      <c r="S494" s="191">
        <f t="shared" si="361"/>
        <v>41</v>
      </c>
      <c r="T494" s="191">
        <f t="shared" si="362"/>
        <v>6</v>
      </c>
      <c r="U494" s="191">
        <f ca="1">OP!$D$5+$S494-1</f>
        <v>73</v>
      </c>
      <c r="V494" s="191" t="str">
        <f t="shared" si="363"/>
        <v/>
      </c>
      <c r="W494" s="350">
        <f ca="1">IF(Q494&lt;&gt;1,0,VLOOKUP(OP!$C$55,PVFB,$S494+2,0))</f>
        <v>0</v>
      </c>
      <c r="X494" s="473">
        <f t="shared" ca="1" si="376"/>
        <v>0</v>
      </c>
      <c r="Y494" s="348">
        <f t="shared" ca="1" si="377"/>
        <v>0</v>
      </c>
      <c r="Z494" s="348">
        <f t="shared" ca="1" si="378"/>
        <v>8012</v>
      </c>
      <c r="AA494" s="348">
        <f ca="1">IF(Q494&lt;&gt;1,0,VLOOKUP(OP!$C$55,PVFB,$S494+2,0))</f>
        <v>0</v>
      </c>
      <c r="AB494" s="488" t="str">
        <f ca="1">IF(AND(S494&lt;OP!$C$24,$U494&lt;15),0,IF(AND($U494&lt;15,$T494=12),ROUND(VLOOKUP($S494,DOWN16,5,0),3),IF($T494=12,ROUND(($Z494/10000)*$AA494,3)+IF(AND($P$7="購買增額繳清保險",T494=12,U494=110),VLOOKUP(S494,$B$10:$H$121,7,0),0),"")))</f>
        <v/>
      </c>
      <c r="AC494" s="350" t="str">
        <f ca="1">IF(AND(S494&lt;OP!$C$24,$U494&lt;15),0,IF(AND($U494&lt;16,$T494=12),VLOOKUP($S494,DOWN16,4,0),IF($T494=12,ROUND(VLOOKUP(OP!$C$55,_DIE2,$S494+1,0)*(Z494/10000),0)+IF(AND($P$7="購買增額繳清保險",T494=12,U494=110),VLOOKUP(S494,$B$10:$H$121,7,0),0),"")))</f>
        <v/>
      </c>
      <c r="AD494" s="347"/>
      <c r="AE494" s="350" t="str">
        <f t="shared" ca="1" si="353"/>
        <v/>
      </c>
      <c r="AF494" s="351" t="str">
        <f t="shared" ca="1" si="354"/>
        <v/>
      </c>
      <c r="AG494" s="340"/>
      <c r="AH494" s="340"/>
      <c r="AI494" s="340"/>
      <c r="AJ494" s="340"/>
      <c r="AK494" s="340"/>
      <c r="AL494" s="340"/>
      <c r="AM494" s="340"/>
      <c r="AN494" s="340"/>
      <c r="AO494" s="340"/>
      <c r="AP494" s="340"/>
      <c r="AQ494" s="340"/>
      <c r="AR494" s="340"/>
      <c r="AS494" s="340"/>
      <c r="AT494" s="340"/>
      <c r="AU494" s="340"/>
      <c r="AV494" s="340"/>
      <c r="AY494" s="340"/>
      <c r="AZ494" s="465">
        <f t="shared" ca="1" si="364"/>
        <v>7.3698599999999999E-5</v>
      </c>
      <c r="BA494" s="464">
        <f t="shared" ca="1" si="365"/>
        <v>2.1372602999999999E-3</v>
      </c>
      <c r="BB494" s="465">
        <f t="shared" ca="1" si="365"/>
        <v>2.2109589000000002E-3</v>
      </c>
      <c r="BC494" s="466">
        <f t="shared" ca="1" si="366"/>
        <v>57650</v>
      </c>
      <c r="BD494" s="467">
        <f t="shared" ca="1" si="379"/>
        <v>57651</v>
      </c>
      <c r="BE494" s="467">
        <f t="shared" ca="1" si="367"/>
        <v>57679</v>
      </c>
      <c r="BF494" s="468">
        <f ca="1">IF(計算!$BC494&lt;OP!$C$3,0,BD494-BC494)</f>
        <v>1</v>
      </c>
      <c r="BG494" s="468">
        <f ca="1">IF($BE494&gt;DATE(YEAR($BD$9)+OP!$C$57,MONTH($BD$9),DAY($BD$9)),0,$BE494-$BD494+1)</f>
        <v>29</v>
      </c>
      <c r="BH494" s="469">
        <f t="shared" ca="1" si="368"/>
        <v>30</v>
      </c>
      <c r="BI494" t="str">
        <f t="shared" si="384"/>
        <v/>
      </c>
      <c r="BJ494">
        <v>5</v>
      </c>
      <c r="BN494" s="468">
        <f t="shared" si="380"/>
        <v>41</v>
      </c>
      <c r="BO494" s="468">
        <f t="shared" si="381"/>
        <v>5</v>
      </c>
      <c r="BP494" s="467">
        <f t="shared" ca="1" si="369"/>
        <v>57651</v>
      </c>
      <c r="BQ494" s="475">
        <f t="shared" ca="1" si="383"/>
        <v>73</v>
      </c>
      <c r="BR494" s="475" t="str">
        <f t="shared" si="382"/>
        <v/>
      </c>
      <c r="BS494" s="471" t="str">
        <f t="shared" si="370"/>
        <v/>
      </c>
      <c r="BT494" s="472" t="str">
        <f t="shared" si="385"/>
        <v/>
      </c>
      <c r="BU494" s="472">
        <f t="shared" ca="1" si="371"/>
        <v>0</v>
      </c>
      <c r="BV494" s="472">
        <f t="shared" ca="1" si="371"/>
        <v>0</v>
      </c>
      <c r="BW494" s="472"/>
      <c r="BX494" s="473">
        <f t="shared" ca="1" si="372"/>
        <v>545737.70243491395</v>
      </c>
      <c r="BY494" s="473">
        <f t="shared" si="373"/>
        <v>0</v>
      </c>
      <c r="BZ494" s="473">
        <f t="shared" ca="1" si="355"/>
        <v>1206.603630264</v>
      </c>
      <c r="CA494" s="476">
        <f t="shared" ca="1" si="374"/>
        <v>0</v>
      </c>
      <c r="CB494" s="494">
        <f ca="1">IF(OR($Q493&lt;&gt;1,OP!$D$5+$BN494-1&lt;16,$BN494-1&lt;1),0,ROUND(ROUND(ROUND(((VLOOKUP($BN494-1,MORE_PV,5,0)/10000)*VLOOKUP($BN494,MORE_PV,$CB$5,0)),3)*VLOOKUP($BN494,more1,5,0),0)/$R493,0))</f>
        <v>0</v>
      </c>
      <c r="CC494" s="473">
        <f t="shared" ca="1" si="375"/>
        <v>0</v>
      </c>
      <c r="CD494" s="477"/>
    </row>
    <row r="495" spans="2:82" ht="16.5" hidden="1">
      <c r="B495" s="80"/>
      <c r="C495" s="80"/>
      <c r="D495" s="80"/>
      <c r="E495" s="80"/>
      <c r="F495" s="80"/>
      <c r="G495" s="80"/>
      <c r="H495" s="80"/>
      <c r="I495" s="80"/>
      <c r="J495" s="192">
        <f t="shared" si="356"/>
        <v>41</v>
      </c>
      <c r="K495" s="192">
        <f t="shared" si="357"/>
        <v>7</v>
      </c>
      <c r="L495" s="192" t="str">
        <f t="shared" si="352"/>
        <v/>
      </c>
      <c r="M495" s="216">
        <f t="shared" ca="1" si="358"/>
        <v>0</v>
      </c>
      <c r="N495" s="216"/>
      <c r="O495" s="216"/>
      <c r="P495" s="216"/>
      <c r="Q495" s="456" t="str">
        <f t="shared" ca="1" si="359"/>
        <v/>
      </c>
      <c r="R495" s="450">
        <f t="shared" ca="1" si="360"/>
        <v>1</v>
      </c>
      <c r="S495" s="191">
        <f t="shared" si="361"/>
        <v>41</v>
      </c>
      <c r="T495" s="191">
        <f t="shared" si="362"/>
        <v>7</v>
      </c>
      <c r="U495" s="191">
        <f ca="1">OP!$D$5+$S495-1</f>
        <v>73</v>
      </c>
      <c r="V495" s="191" t="str">
        <f t="shared" si="363"/>
        <v/>
      </c>
      <c r="W495" s="350">
        <f ca="1">IF(Q495&lt;&gt;1,0,VLOOKUP(OP!$C$55,PVFB,$S495+2,0))</f>
        <v>0</v>
      </c>
      <c r="X495" s="473">
        <f t="shared" ca="1" si="376"/>
        <v>0</v>
      </c>
      <c r="Y495" s="348">
        <f t="shared" ca="1" si="377"/>
        <v>0</v>
      </c>
      <c r="Z495" s="348">
        <f t="shared" ca="1" si="378"/>
        <v>8012</v>
      </c>
      <c r="AA495" s="348">
        <f ca="1">IF(Q495&lt;&gt;1,0,VLOOKUP(OP!$C$55,PVFB,$S495+2,0))</f>
        <v>0</v>
      </c>
      <c r="AB495" s="488" t="str">
        <f ca="1">IF(AND(S495&lt;OP!$C$24,$U495&lt;15),0,IF(AND($U495&lt;15,$T495=12),ROUND(VLOOKUP($S495,DOWN16,5,0),3),IF($T495=12,ROUND(($Z495/10000)*$AA495,3)+IF(AND($P$7="購買增額繳清保險",T495=12,U495=110),VLOOKUP(S495,$B$10:$H$121,7,0),0),"")))</f>
        <v/>
      </c>
      <c r="AC495" s="350" t="str">
        <f ca="1">IF(AND(S495&lt;OP!$C$24,$U495&lt;15),0,IF(AND($U495&lt;16,$T495=12),VLOOKUP($S495,DOWN16,4,0),IF($T495=12,ROUND(VLOOKUP(OP!$C$55,_DIE2,$S495+1,0)*(Z495/10000),0)+IF(AND($P$7="購買增額繳清保險",T495=12,U495=110),VLOOKUP(S495,$B$10:$H$121,7,0),0),"")))</f>
        <v/>
      </c>
      <c r="AD495" s="347"/>
      <c r="AE495" s="350" t="str">
        <f t="shared" ca="1" si="353"/>
        <v/>
      </c>
      <c r="AF495" s="351" t="str">
        <f t="shared" ca="1" si="354"/>
        <v/>
      </c>
      <c r="AG495" s="340"/>
      <c r="AH495" s="340"/>
      <c r="AI495" s="340"/>
      <c r="AJ495" s="340"/>
      <c r="AK495" s="340"/>
      <c r="AL495" s="340"/>
      <c r="AM495" s="340"/>
      <c r="AN495" s="340"/>
      <c r="AO495" s="340"/>
      <c r="AP495" s="340"/>
      <c r="AQ495" s="340"/>
      <c r="AR495" s="340"/>
      <c r="AS495" s="340"/>
      <c r="AT495" s="340"/>
      <c r="AU495" s="340"/>
      <c r="AV495" s="340"/>
      <c r="AY495" s="340"/>
      <c r="AZ495" s="465">
        <f t="shared" ca="1" si="364"/>
        <v>7.3698599999999999E-5</v>
      </c>
      <c r="BA495" s="464">
        <f t="shared" ca="1" si="365"/>
        <v>2.2109589000000002E-3</v>
      </c>
      <c r="BB495" s="465">
        <f t="shared" ca="1" si="365"/>
        <v>2.2846575E-3</v>
      </c>
      <c r="BC495" s="466">
        <f t="shared" ca="1" si="366"/>
        <v>57680</v>
      </c>
      <c r="BD495" s="467">
        <f t="shared" ca="1" si="379"/>
        <v>57681</v>
      </c>
      <c r="BE495" s="467">
        <f t="shared" ca="1" si="367"/>
        <v>57710</v>
      </c>
      <c r="BF495" s="468">
        <f ca="1">IF(計算!$BC495&lt;OP!$C$3,0,BD495-BC495)</f>
        <v>1</v>
      </c>
      <c r="BG495" s="468">
        <f ca="1">IF($BE495&gt;DATE(YEAR($BD$9)+OP!$C$57,MONTH($BD$9),DAY($BD$9)),0,$BE495-$BD495+1)</f>
        <v>30</v>
      </c>
      <c r="BH495" s="469">
        <f t="shared" ca="1" si="368"/>
        <v>31</v>
      </c>
      <c r="BI495" t="str">
        <f t="shared" si="384"/>
        <v/>
      </c>
      <c r="BJ495">
        <v>6</v>
      </c>
      <c r="BN495" s="468">
        <f t="shared" si="380"/>
        <v>41</v>
      </c>
      <c r="BO495" s="468">
        <f t="shared" si="381"/>
        <v>6</v>
      </c>
      <c r="BP495" s="467">
        <f t="shared" ca="1" si="369"/>
        <v>57681</v>
      </c>
      <c r="BQ495" s="475">
        <f t="shared" ca="1" si="383"/>
        <v>73</v>
      </c>
      <c r="BR495" s="475" t="str">
        <f t="shared" si="382"/>
        <v/>
      </c>
      <c r="BS495" s="471" t="str">
        <f t="shared" si="370"/>
        <v/>
      </c>
      <c r="BT495" s="472" t="str">
        <f t="shared" si="385"/>
        <v/>
      </c>
      <c r="BU495" s="472">
        <f t="shared" ca="1" si="371"/>
        <v>0</v>
      </c>
      <c r="BV495" s="472">
        <f t="shared" ca="1" si="371"/>
        <v>0</v>
      </c>
      <c r="BW495" s="472"/>
      <c r="BX495" s="473">
        <f t="shared" ca="1" si="372"/>
        <v>546944.30606517801</v>
      </c>
      <c r="BY495" s="473">
        <f t="shared" si="373"/>
        <v>0</v>
      </c>
      <c r="BZ495" s="473">
        <f t="shared" ca="1" si="355"/>
        <v>1249.5804109339999</v>
      </c>
      <c r="CA495" s="476">
        <f t="shared" ca="1" si="374"/>
        <v>0</v>
      </c>
      <c r="CB495" s="494">
        <f ca="1">IF(OR($Q494&lt;&gt;1,OP!$D$5+$BN495-1&lt;16,$BN495-1&lt;1),0,ROUND(ROUND(ROUND(((VLOOKUP($BN495-1,MORE_PV,5,0)/10000)*VLOOKUP($BN495,MORE_PV,$CB$5,0)),3)*VLOOKUP($BN495,more1,5,0),0)/$R494,0))</f>
        <v>0</v>
      </c>
      <c r="CC495" s="473">
        <f t="shared" ca="1" si="375"/>
        <v>0</v>
      </c>
      <c r="CD495" s="477"/>
    </row>
    <row r="496" spans="2:82" ht="16.5" hidden="1">
      <c r="B496" s="80"/>
      <c r="C496" s="80"/>
      <c r="D496" s="80"/>
      <c r="E496" s="80"/>
      <c r="F496" s="80"/>
      <c r="G496" s="80"/>
      <c r="H496" s="80"/>
      <c r="I496" s="80"/>
      <c r="J496" s="192">
        <f t="shared" si="356"/>
        <v>41</v>
      </c>
      <c r="K496" s="192">
        <f t="shared" si="357"/>
        <v>8</v>
      </c>
      <c r="L496" s="192" t="str">
        <f t="shared" si="352"/>
        <v/>
      </c>
      <c r="M496" s="216">
        <f t="shared" ca="1" si="358"/>
        <v>0</v>
      </c>
      <c r="N496" s="216"/>
      <c r="O496" s="216"/>
      <c r="P496" s="216"/>
      <c r="Q496" s="456" t="str">
        <f t="shared" ca="1" si="359"/>
        <v/>
      </c>
      <c r="R496" s="450">
        <f t="shared" ca="1" si="360"/>
        <v>1</v>
      </c>
      <c r="S496" s="191">
        <f t="shared" si="361"/>
        <v>41</v>
      </c>
      <c r="T496" s="191">
        <f t="shared" si="362"/>
        <v>8</v>
      </c>
      <c r="U496" s="191">
        <f ca="1">OP!$D$5+$S496-1</f>
        <v>73</v>
      </c>
      <c r="V496" s="191" t="str">
        <f t="shared" si="363"/>
        <v/>
      </c>
      <c r="W496" s="350">
        <f ca="1">IF(Q496&lt;&gt;1,0,VLOOKUP(OP!$C$55,PVFB,$S496+2,0))</f>
        <v>0</v>
      </c>
      <c r="X496" s="473">
        <f t="shared" ca="1" si="376"/>
        <v>0</v>
      </c>
      <c r="Y496" s="348">
        <f t="shared" ca="1" si="377"/>
        <v>0</v>
      </c>
      <c r="Z496" s="348">
        <f t="shared" ca="1" si="378"/>
        <v>8012</v>
      </c>
      <c r="AA496" s="348">
        <f ca="1">IF(Q496&lt;&gt;1,0,VLOOKUP(OP!$C$55,PVFB,$S496+2,0))</f>
        <v>0</v>
      </c>
      <c r="AB496" s="488" t="str">
        <f ca="1">IF(AND(S496&lt;OP!$C$24,$U496&lt;15),0,IF(AND($U496&lt;15,$T496=12),ROUND(VLOOKUP($S496,DOWN16,5,0),3),IF($T496=12,ROUND(($Z496/10000)*$AA496,3)+IF(AND($P$7="購買增額繳清保險",T496=12,U496=110),VLOOKUP(S496,$B$10:$H$121,7,0),0),"")))</f>
        <v/>
      </c>
      <c r="AC496" s="350" t="str">
        <f ca="1">IF(AND(S496&lt;OP!$C$24,$U496&lt;15),0,IF(AND($U496&lt;16,$T496=12),VLOOKUP($S496,DOWN16,4,0),IF($T496=12,ROUND(VLOOKUP(OP!$C$55,_DIE2,$S496+1,0)*(Z496/10000),0)+IF(AND($P$7="購買增額繳清保險",T496=12,U496=110),VLOOKUP(S496,$B$10:$H$121,7,0),0),"")))</f>
        <v/>
      </c>
      <c r="AD496" s="347"/>
      <c r="AE496" s="350" t="str">
        <f t="shared" ca="1" si="353"/>
        <v/>
      </c>
      <c r="AF496" s="351" t="str">
        <f t="shared" ca="1" si="354"/>
        <v/>
      </c>
      <c r="AG496" s="340"/>
      <c r="AH496" s="340"/>
      <c r="AI496" s="340"/>
      <c r="AJ496" s="340"/>
      <c r="AK496" s="340"/>
      <c r="AL496" s="340"/>
      <c r="AM496" s="340"/>
      <c r="AN496" s="340"/>
      <c r="AO496" s="340"/>
      <c r="AP496" s="340"/>
      <c r="AQ496" s="340"/>
      <c r="AR496" s="340"/>
      <c r="AS496" s="340"/>
      <c r="AT496" s="340"/>
      <c r="AU496" s="340"/>
      <c r="AV496" s="340"/>
      <c r="AY496" s="340"/>
      <c r="AZ496" s="465">
        <f t="shared" ca="1" si="364"/>
        <v>7.3698599999999999E-5</v>
      </c>
      <c r="BA496" s="464">
        <f t="shared" ca="1" si="365"/>
        <v>2.2109589000000002E-3</v>
      </c>
      <c r="BB496" s="465">
        <f t="shared" ca="1" si="365"/>
        <v>2.2846575E-3</v>
      </c>
      <c r="BC496" s="466">
        <f t="shared" ca="1" si="366"/>
        <v>57711</v>
      </c>
      <c r="BD496" s="467">
        <f t="shared" ca="1" si="379"/>
        <v>57712</v>
      </c>
      <c r="BE496" s="467">
        <f t="shared" ca="1" si="367"/>
        <v>57741</v>
      </c>
      <c r="BF496" s="468">
        <f ca="1">IF(計算!$BC496&lt;OP!$C$3,0,BD496-BC496)</f>
        <v>1</v>
      </c>
      <c r="BG496" s="468">
        <f ca="1">IF($BE496&gt;DATE(YEAR($BD$9)+OP!$C$57,MONTH($BD$9),DAY($BD$9)),0,$BE496-$BD496+1)</f>
        <v>30</v>
      </c>
      <c r="BH496" s="469">
        <f t="shared" ca="1" si="368"/>
        <v>31</v>
      </c>
      <c r="BI496" t="str">
        <f t="shared" si="384"/>
        <v/>
      </c>
      <c r="BJ496">
        <v>7</v>
      </c>
      <c r="BN496" s="468">
        <f t="shared" si="380"/>
        <v>41</v>
      </c>
      <c r="BO496" s="468">
        <f t="shared" si="381"/>
        <v>7</v>
      </c>
      <c r="BP496" s="467">
        <f t="shared" ca="1" si="369"/>
        <v>57712</v>
      </c>
      <c r="BQ496" s="475">
        <f t="shared" ca="1" si="383"/>
        <v>73</v>
      </c>
      <c r="BR496" s="475" t="str">
        <f t="shared" si="382"/>
        <v/>
      </c>
      <c r="BS496" s="471" t="str">
        <f t="shared" si="370"/>
        <v/>
      </c>
      <c r="BT496" s="472" t="str">
        <f t="shared" si="385"/>
        <v/>
      </c>
      <c r="BU496" s="472">
        <f t="shared" ca="1" si="371"/>
        <v>0</v>
      </c>
      <c r="BV496" s="472">
        <f t="shared" ca="1" si="371"/>
        <v>0</v>
      </c>
      <c r="BW496" s="472"/>
      <c r="BX496" s="473">
        <f t="shared" ca="1" si="372"/>
        <v>548193.88647611195</v>
      </c>
      <c r="BY496" s="473">
        <f t="shared" si="373"/>
        <v>0</v>
      </c>
      <c r="BZ496" s="473">
        <f t="shared" ca="1" si="355"/>
        <v>1252.435274192</v>
      </c>
      <c r="CA496" s="476">
        <f t="shared" ca="1" si="374"/>
        <v>0</v>
      </c>
      <c r="CB496" s="494">
        <f ca="1">IF(OR($Q495&lt;&gt;1,OP!$D$5+$BN496-1&lt;16,$BN496-1&lt;1),0,ROUND(ROUND(ROUND(((VLOOKUP($BN496-1,MORE_PV,5,0)/10000)*VLOOKUP($BN496,MORE_PV,$CB$5,0)),3)*VLOOKUP($BN496,more1,5,0),0)/$R495,0))</f>
        <v>0</v>
      </c>
      <c r="CC496" s="473">
        <f t="shared" ca="1" si="375"/>
        <v>0</v>
      </c>
      <c r="CD496" s="477"/>
    </row>
    <row r="497" spans="2:82" ht="16.5" hidden="1">
      <c r="B497" s="80"/>
      <c r="C497" s="80"/>
      <c r="D497" s="80"/>
      <c r="E497" s="80"/>
      <c r="F497" s="80"/>
      <c r="G497" s="80"/>
      <c r="H497" s="80"/>
      <c r="I497" s="80"/>
      <c r="J497" s="192">
        <f t="shared" si="356"/>
        <v>41</v>
      </c>
      <c r="K497" s="192">
        <f t="shared" si="357"/>
        <v>9</v>
      </c>
      <c r="L497" s="192" t="str">
        <f t="shared" si="352"/>
        <v/>
      </c>
      <c r="M497" s="216">
        <f t="shared" ca="1" si="358"/>
        <v>0</v>
      </c>
      <c r="N497" s="216"/>
      <c r="O497" s="216"/>
      <c r="P497" s="216"/>
      <c r="Q497" s="456" t="str">
        <f t="shared" ca="1" si="359"/>
        <v/>
      </c>
      <c r="R497" s="450">
        <f t="shared" ca="1" si="360"/>
        <v>1</v>
      </c>
      <c r="S497" s="191">
        <f t="shared" si="361"/>
        <v>41</v>
      </c>
      <c r="T497" s="191">
        <f t="shared" si="362"/>
        <v>9</v>
      </c>
      <c r="U497" s="191">
        <f ca="1">OP!$D$5+$S497-1</f>
        <v>73</v>
      </c>
      <c r="V497" s="191" t="str">
        <f t="shared" si="363"/>
        <v/>
      </c>
      <c r="W497" s="350">
        <f ca="1">IF(Q497&lt;&gt;1,0,VLOOKUP(OP!$C$55,PVFB,$S497+2,0))</f>
        <v>0</v>
      </c>
      <c r="X497" s="473">
        <f t="shared" ca="1" si="376"/>
        <v>0</v>
      </c>
      <c r="Y497" s="348">
        <f t="shared" ca="1" si="377"/>
        <v>0</v>
      </c>
      <c r="Z497" s="348">
        <f t="shared" ca="1" si="378"/>
        <v>8012</v>
      </c>
      <c r="AA497" s="348">
        <f ca="1">IF(Q497&lt;&gt;1,0,VLOOKUP(OP!$C$55,PVFB,$S497+2,0))</f>
        <v>0</v>
      </c>
      <c r="AB497" s="488" t="str">
        <f ca="1">IF(AND(S497&lt;OP!$C$24,$U497&lt;15),0,IF(AND($U497&lt;15,$T497=12),ROUND(VLOOKUP($S497,DOWN16,5,0),3),IF($T497=12,ROUND(($Z497/10000)*$AA497,3)+IF(AND($P$7="購買增額繳清保險",T497=12,U497=110),VLOOKUP(S497,$B$10:$H$121,7,0),0),"")))</f>
        <v/>
      </c>
      <c r="AC497" s="350" t="str">
        <f ca="1">IF(AND(S497&lt;OP!$C$24,$U497&lt;15),0,IF(AND($U497&lt;16,$T497=12),VLOOKUP($S497,DOWN16,4,0),IF($T497=12,ROUND(VLOOKUP(OP!$C$55,_DIE2,$S497+1,0)*(Z497/10000),0)+IF(AND($P$7="購買增額繳清保險",T497=12,U497=110),VLOOKUP(S497,$B$10:$H$121,7,0),0),"")))</f>
        <v/>
      </c>
      <c r="AD497" s="347"/>
      <c r="AE497" s="350" t="str">
        <f t="shared" ca="1" si="353"/>
        <v/>
      </c>
      <c r="AF497" s="351" t="str">
        <f t="shared" ca="1" si="354"/>
        <v/>
      </c>
      <c r="AG497" s="340"/>
      <c r="AH497" s="340"/>
      <c r="AI497" s="340"/>
      <c r="AJ497" s="340"/>
      <c r="AK497" s="340"/>
      <c r="AL497" s="340"/>
      <c r="AM497" s="340"/>
      <c r="AN497" s="340"/>
      <c r="AO497" s="340"/>
      <c r="AP497" s="340"/>
      <c r="AQ497" s="340"/>
      <c r="AR497" s="340"/>
      <c r="AS497" s="340"/>
      <c r="AT497" s="340"/>
      <c r="AU497" s="340"/>
      <c r="AV497" s="340"/>
      <c r="AY497" s="340"/>
      <c r="AZ497" s="465">
        <f t="shared" ca="1" si="364"/>
        <v>7.3698599999999999E-5</v>
      </c>
      <c r="BA497" s="464">
        <f t="shared" ca="1" si="365"/>
        <v>1.9898630000000001E-3</v>
      </c>
      <c r="BB497" s="465">
        <f t="shared" ca="1" si="365"/>
        <v>2.0635616E-3</v>
      </c>
      <c r="BC497" s="466">
        <f t="shared" ca="1" si="366"/>
        <v>57742</v>
      </c>
      <c r="BD497" s="467">
        <f t="shared" ca="1" si="379"/>
        <v>57743</v>
      </c>
      <c r="BE497" s="467">
        <f t="shared" ca="1" si="367"/>
        <v>57769</v>
      </c>
      <c r="BF497" s="468">
        <f ca="1">IF(計算!$BC497&lt;OP!$C$3,0,BD497-BC497)</f>
        <v>1</v>
      </c>
      <c r="BG497" s="468">
        <f ca="1">IF($BE497&gt;DATE(YEAR($BD$9)+OP!$C$57,MONTH($BD$9),DAY($BD$9)),0,$BE497-$BD497+1)</f>
        <v>27</v>
      </c>
      <c r="BH497" s="469">
        <f t="shared" ca="1" si="368"/>
        <v>28</v>
      </c>
      <c r="BI497" t="str">
        <f t="shared" si="384"/>
        <v/>
      </c>
      <c r="BJ497">
        <v>8</v>
      </c>
      <c r="BN497" s="468">
        <f t="shared" si="380"/>
        <v>41</v>
      </c>
      <c r="BO497" s="468">
        <f t="shared" si="381"/>
        <v>8</v>
      </c>
      <c r="BP497" s="467">
        <f t="shared" ca="1" si="369"/>
        <v>57743</v>
      </c>
      <c r="BQ497" s="475">
        <f t="shared" ca="1" si="383"/>
        <v>73</v>
      </c>
      <c r="BR497" s="475" t="str">
        <f t="shared" si="382"/>
        <v/>
      </c>
      <c r="BS497" s="471" t="str">
        <f t="shared" si="370"/>
        <v/>
      </c>
      <c r="BT497" s="472" t="str">
        <f t="shared" si="385"/>
        <v/>
      </c>
      <c r="BU497" s="472">
        <f t="shared" ca="1" si="371"/>
        <v>0</v>
      </c>
      <c r="BV497" s="472">
        <f t="shared" ca="1" si="371"/>
        <v>0</v>
      </c>
      <c r="BW497" s="472"/>
      <c r="BX497" s="473">
        <f t="shared" ca="1" si="372"/>
        <v>549446.32175030396</v>
      </c>
      <c r="BY497" s="473">
        <f t="shared" si="373"/>
        <v>0</v>
      </c>
      <c r="BZ497" s="473">
        <f t="shared" ca="1" si="355"/>
        <v>1133.816330825</v>
      </c>
      <c r="CA497" s="476">
        <f t="shared" ca="1" si="374"/>
        <v>0</v>
      </c>
      <c r="CB497" s="494">
        <f ca="1">IF(OR($Q496&lt;&gt;1,OP!$D$5+$BN497-1&lt;16,$BN497-1&lt;1),0,ROUND(ROUND(ROUND(((VLOOKUP($BN497-1,MORE_PV,5,0)/10000)*VLOOKUP($BN497,MORE_PV,$CB$5,0)),3)*VLOOKUP($BN497,more1,5,0),0)/$R496,0))</f>
        <v>0</v>
      </c>
      <c r="CC497" s="473">
        <f t="shared" ca="1" si="375"/>
        <v>0</v>
      </c>
      <c r="CD497" s="477"/>
    </row>
    <row r="498" spans="2:82" ht="16.5" hidden="1">
      <c r="B498" s="80"/>
      <c r="C498" s="80"/>
      <c r="D498" s="80"/>
      <c r="E498" s="80"/>
      <c r="F498" s="80"/>
      <c r="G498" s="80"/>
      <c r="H498" s="80"/>
      <c r="I498" s="80"/>
      <c r="J498" s="192">
        <f t="shared" si="356"/>
        <v>41</v>
      </c>
      <c r="K498" s="192">
        <f t="shared" si="357"/>
        <v>10</v>
      </c>
      <c r="L498" s="192" t="str">
        <f t="shared" si="352"/>
        <v/>
      </c>
      <c r="M498" s="216">
        <f t="shared" ca="1" si="358"/>
        <v>0</v>
      </c>
      <c r="N498" s="216"/>
      <c r="O498" s="216"/>
      <c r="P498" s="216"/>
      <c r="Q498" s="456" t="str">
        <f t="shared" ca="1" si="359"/>
        <v/>
      </c>
      <c r="R498" s="450">
        <f t="shared" ca="1" si="360"/>
        <v>1</v>
      </c>
      <c r="S498" s="191">
        <f t="shared" si="361"/>
        <v>41</v>
      </c>
      <c r="T498" s="191">
        <f t="shared" si="362"/>
        <v>10</v>
      </c>
      <c r="U498" s="191">
        <f ca="1">OP!$D$5+$S498-1</f>
        <v>73</v>
      </c>
      <c r="V498" s="191" t="str">
        <f t="shared" si="363"/>
        <v/>
      </c>
      <c r="W498" s="350">
        <f ca="1">IF(Q498&lt;&gt;1,0,VLOOKUP(OP!$C$55,PVFB,$S498+2,0))</f>
        <v>0</v>
      </c>
      <c r="X498" s="473">
        <f t="shared" ca="1" si="376"/>
        <v>0</v>
      </c>
      <c r="Y498" s="348">
        <f t="shared" ca="1" si="377"/>
        <v>0</v>
      </c>
      <c r="Z498" s="348">
        <f t="shared" ca="1" si="378"/>
        <v>8012</v>
      </c>
      <c r="AA498" s="348">
        <f ca="1">IF(Q498&lt;&gt;1,0,VLOOKUP(OP!$C$55,PVFB,$S498+2,0))</f>
        <v>0</v>
      </c>
      <c r="AB498" s="488" t="str">
        <f ca="1">IF(AND(S498&lt;OP!$C$24,$U498&lt;15),0,IF(AND($U498&lt;15,$T498=12),ROUND(VLOOKUP($S498,DOWN16,5,0),3),IF($T498=12,ROUND(($Z498/10000)*$AA498,3)+IF(AND($P$7="購買增額繳清保險",T498=12,U498=110),VLOOKUP(S498,$B$10:$H$121,7,0),0),"")))</f>
        <v/>
      </c>
      <c r="AC498" s="350" t="str">
        <f ca="1">IF(AND(S498&lt;OP!$C$24,$U498&lt;15),0,IF(AND($U498&lt;16,$T498=12),VLOOKUP($S498,DOWN16,4,0),IF($T498=12,ROUND(VLOOKUP(OP!$C$55,_DIE2,$S498+1,0)*(Z498/10000),0)+IF(AND($P$7="購買增額繳清保險",T498=12,U498=110),VLOOKUP(S498,$B$10:$H$121,7,0),0),"")))</f>
        <v/>
      </c>
      <c r="AD498" s="347"/>
      <c r="AE498" s="350" t="str">
        <f t="shared" ca="1" si="353"/>
        <v/>
      </c>
      <c r="AF498" s="351" t="str">
        <f t="shared" ca="1" si="354"/>
        <v/>
      </c>
      <c r="AG498" s="340"/>
      <c r="AH498" s="340"/>
      <c r="AI498" s="340"/>
      <c r="AJ498" s="340"/>
      <c r="AK498" s="340"/>
      <c r="AL498" s="340"/>
      <c r="AM498" s="340"/>
      <c r="AN498" s="340"/>
      <c r="AO498" s="340"/>
      <c r="AP498" s="340"/>
      <c r="AQ498" s="340"/>
      <c r="AR498" s="340"/>
      <c r="AS498" s="340"/>
      <c r="AT498" s="340"/>
      <c r="AU498" s="340"/>
      <c r="AV498" s="340"/>
      <c r="AY498" s="340"/>
      <c r="AZ498" s="465">
        <f t="shared" ca="1" si="364"/>
        <v>7.3698599999999999E-5</v>
      </c>
      <c r="BA498" s="464">
        <f t="shared" ca="1" si="365"/>
        <v>2.2109589000000002E-3</v>
      </c>
      <c r="BB498" s="465">
        <f t="shared" ca="1" si="365"/>
        <v>2.2846575E-3</v>
      </c>
      <c r="BC498" s="466">
        <f t="shared" ca="1" si="366"/>
        <v>57770</v>
      </c>
      <c r="BD498" s="467">
        <f t="shared" ca="1" si="379"/>
        <v>57771</v>
      </c>
      <c r="BE498" s="467">
        <f t="shared" ca="1" si="367"/>
        <v>57800</v>
      </c>
      <c r="BF498" s="468">
        <f ca="1">IF(計算!$BC498&lt;OP!$C$3,0,BD498-BC498)</f>
        <v>1</v>
      </c>
      <c r="BG498" s="468">
        <f ca="1">IF($BE498&gt;DATE(YEAR($BD$9)+OP!$C$57,MONTH($BD$9),DAY($BD$9)),0,$BE498-$BD498+1)</f>
        <v>30</v>
      </c>
      <c r="BH498" s="469">
        <f t="shared" ca="1" si="368"/>
        <v>31</v>
      </c>
      <c r="BI498" t="str">
        <f t="shared" si="384"/>
        <v/>
      </c>
      <c r="BJ498">
        <v>9</v>
      </c>
      <c r="BN498" s="468">
        <f t="shared" si="380"/>
        <v>41</v>
      </c>
      <c r="BO498" s="468">
        <f t="shared" si="381"/>
        <v>9</v>
      </c>
      <c r="BP498" s="467">
        <f t="shared" ca="1" si="369"/>
        <v>57771</v>
      </c>
      <c r="BQ498" s="475">
        <f t="shared" ca="1" si="383"/>
        <v>73</v>
      </c>
      <c r="BR498" s="475" t="str">
        <f t="shared" si="382"/>
        <v/>
      </c>
      <c r="BS498" s="471" t="str">
        <f t="shared" si="370"/>
        <v/>
      </c>
      <c r="BT498" s="472" t="str">
        <f t="shared" si="385"/>
        <v/>
      </c>
      <c r="BU498" s="472">
        <f t="shared" ca="1" si="371"/>
        <v>0</v>
      </c>
      <c r="BV498" s="472">
        <f t="shared" ca="1" si="371"/>
        <v>0</v>
      </c>
      <c r="BW498" s="472"/>
      <c r="BX498" s="473">
        <f t="shared" ca="1" si="372"/>
        <v>550580.13808112894</v>
      </c>
      <c r="BY498" s="473">
        <f t="shared" si="373"/>
        <v>0</v>
      </c>
      <c r="BZ498" s="473">
        <f t="shared" ca="1" si="355"/>
        <v>1257.8870418179999</v>
      </c>
      <c r="CA498" s="476">
        <f t="shared" ca="1" si="374"/>
        <v>0</v>
      </c>
      <c r="CB498" s="494">
        <f ca="1">IF(OR($Q497&lt;&gt;1,OP!$D$5+$BN498-1&lt;16,$BN498-1&lt;1),0,ROUND(ROUND(ROUND(((VLOOKUP($BN498-1,MORE_PV,5,0)/10000)*VLOOKUP($BN498,MORE_PV,$CB$5,0)),3)*VLOOKUP($BN498,more1,5,0),0)/$R497,0))</f>
        <v>0</v>
      </c>
      <c r="CC498" s="473">
        <f t="shared" ca="1" si="375"/>
        <v>0</v>
      </c>
      <c r="CD498" s="477"/>
    </row>
    <row r="499" spans="2:82" ht="16.5" hidden="1">
      <c r="B499" s="80"/>
      <c r="C499" s="80"/>
      <c r="D499" s="80"/>
      <c r="E499" s="80"/>
      <c r="F499" s="80"/>
      <c r="G499" s="80"/>
      <c r="H499" s="80"/>
      <c r="I499" s="80"/>
      <c r="J499" s="192">
        <f t="shared" si="356"/>
        <v>41</v>
      </c>
      <c r="K499" s="192">
        <f t="shared" si="357"/>
        <v>11</v>
      </c>
      <c r="L499" s="192" t="str">
        <f t="shared" si="352"/>
        <v/>
      </c>
      <c r="M499" s="216">
        <f t="shared" ca="1" si="358"/>
        <v>0</v>
      </c>
      <c r="N499" s="216"/>
      <c r="O499" s="216"/>
      <c r="P499" s="216"/>
      <c r="Q499" s="456" t="str">
        <f t="shared" ca="1" si="359"/>
        <v/>
      </c>
      <c r="R499" s="450">
        <f t="shared" ca="1" si="360"/>
        <v>1</v>
      </c>
      <c r="S499" s="191">
        <f t="shared" si="361"/>
        <v>41</v>
      </c>
      <c r="T499" s="191">
        <f t="shared" si="362"/>
        <v>11</v>
      </c>
      <c r="U499" s="191">
        <f ca="1">OP!$D$5+$S499-1</f>
        <v>73</v>
      </c>
      <c r="V499" s="191" t="str">
        <f t="shared" si="363"/>
        <v/>
      </c>
      <c r="W499" s="350">
        <f ca="1">IF(Q499&lt;&gt;1,0,VLOOKUP(OP!$C$55,PVFB,$S499+2,0))</f>
        <v>0</v>
      </c>
      <c r="X499" s="473">
        <f t="shared" ca="1" si="376"/>
        <v>0</v>
      </c>
      <c r="Y499" s="348">
        <f t="shared" ca="1" si="377"/>
        <v>0</v>
      </c>
      <c r="Z499" s="348">
        <f t="shared" ca="1" si="378"/>
        <v>8012</v>
      </c>
      <c r="AA499" s="348">
        <f ca="1">IF(Q499&lt;&gt;1,0,VLOOKUP(OP!$C$55,PVFB,$S499+2,0))</f>
        <v>0</v>
      </c>
      <c r="AB499" s="488" t="str">
        <f ca="1">IF(AND(S499&lt;OP!$C$24,$U499&lt;15),0,IF(AND($U499&lt;15,$T499=12),ROUND(VLOOKUP($S499,DOWN16,5,0),3),IF($T499=12,ROUND(($Z499/10000)*$AA499,3)+IF(AND($P$7="購買增額繳清保險",T499=12,U499=110),VLOOKUP(S499,$B$10:$H$121,7,0),0),"")))</f>
        <v/>
      </c>
      <c r="AC499" s="350" t="str">
        <f ca="1">IF(AND(S499&lt;OP!$C$24,$U499&lt;15),0,IF(AND($U499&lt;16,$T499=12),VLOOKUP($S499,DOWN16,4,0),IF($T499=12,ROUND(VLOOKUP(OP!$C$55,_DIE2,$S499+1,0)*(Z499/10000),0)+IF(AND($P$7="購買增額繳清保險",T499=12,U499=110),VLOOKUP(S499,$B$10:$H$121,7,0),0),"")))</f>
        <v/>
      </c>
      <c r="AD499" s="347"/>
      <c r="AE499" s="350" t="str">
        <f t="shared" ca="1" si="353"/>
        <v/>
      </c>
      <c r="AF499" s="351" t="str">
        <f t="shared" ca="1" si="354"/>
        <v/>
      </c>
      <c r="AG499" s="340"/>
      <c r="AH499" s="340"/>
      <c r="AI499" s="340"/>
      <c r="AJ499" s="340"/>
      <c r="AK499" s="340"/>
      <c r="AL499" s="340"/>
      <c r="AM499" s="340"/>
      <c r="AN499" s="340"/>
      <c r="AO499" s="340"/>
      <c r="AP499" s="340"/>
      <c r="AQ499" s="340"/>
      <c r="AR499" s="340"/>
      <c r="AS499" s="340"/>
      <c r="AT499" s="340"/>
      <c r="AU499" s="340"/>
      <c r="AV499" s="340"/>
      <c r="AY499" s="340"/>
      <c r="AZ499" s="465">
        <f t="shared" ca="1" si="364"/>
        <v>7.3698599999999999E-5</v>
      </c>
      <c r="BA499" s="464">
        <f t="shared" ca="1" si="365"/>
        <v>2.1372602999999999E-3</v>
      </c>
      <c r="BB499" s="465">
        <f t="shared" ca="1" si="365"/>
        <v>2.2109589000000002E-3</v>
      </c>
      <c r="BC499" s="466">
        <f t="shared" ca="1" si="366"/>
        <v>57801</v>
      </c>
      <c r="BD499" s="467">
        <f t="shared" ca="1" si="379"/>
        <v>57802</v>
      </c>
      <c r="BE499" s="467">
        <f t="shared" ca="1" si="367"/>
        <v>57830</v>
      </c>
      <c r="BF499" s="468">
        <f ca="1">IF(計算!$BC499&lt;OP!$C$3,0,BD499-BC499)</f>
        <v>1</v>
      </c>
      <c r="BG499" s="468">
        <f ca="1">IF($BE499&gt;DATE(YEAR($BD$9)+OP!$C$57,MONTH($BD$9),DAY($BD$9)),0,$BE499-$BD499+1)</f>
        <v>29</v>
      </c>
      <c r="BH499" s="469">
        <f t="shared" ca="1" si="368"/>
        <v>30</v>
      </c>
      <c r="BI499" t="str">
        <f t="shared" si="384"/>
        <v/>
      </c>
      <c r="BJ499">
        <v>10</v>
      </c>
      <c r="BN499" s="468">
        <f t="shared" si="380"/>
        <v>41</v>
      </c>
      <c r="BO499" s="468">
        <f t="shared" si="381"/>
        <v>10</v>
      </c>
      <c r="BP499" s="467">
        <f t="shared" ca="1" si="369"/>
        <v>57802</v>
      </c>
      <c r="BQ499" s="475">
        <f t="shared" ca="1" si="383"/>
        <v>73</v>
      </c>
      <c r="BR499" s="475" t="str">
        <f t="shared" si="382"/>
        <v/>
      </c>
      <c r="BS499" s="471" t="str">
        <f t="shared" si="370"/>
        <v/>
      </c>
      <c r="BT499" s="472" t="str">
        <f t="shared" si="385"/>
        <v/>
      </c>
      <c r="BU499" s="472">
        <f t="shared" ca="1" si="371"/>
        <v>0</v>
      </c>
      <c r="BV499" s="472">
        <f t="shared" ca="1" si="371"/>
        <v>0</v>
      </c>
      <c r="BW499" s="472"/>
      <c r="BX499" s="473">
        <f t="shared" ca="1" si="372"/>
        <v>551838.02512294694</v>
      </c>
      <c r="BY499" s="473">
        <f t="shared" si="373"/>
        <v>0</v>
      </c>
      <c r="BZ499" s="473">
        <f t="shared" ca="1" si="355"/>
        <v>1220.0911930039999</v>
      </c>
      <c r="CA499" s="476">
        <f t="shared" ca="1" si="374"/>
        <v>0</v>
      </c>
      <c r="CB499" s="494">
        <f ca="1">IF(OR($Q498&lt;&gt;1,OP!$D$5+$BN499-1&lt;16,$BN499-1&lt;1),0,ROUND(ROUND(ROUND(((VLOOKUP($BN499-1,MORE_PV,5,0)/10000)*VLOOKUP($BN499,MORE_PV,$CB$5,0)),3)*VLOOKUP($BN499,more1,5,0),0)/$R498,0))</f>
        <v>0</v>
      </c>
      <c r="CC499" s="473">
        <f t="shared" ca="1" si="375"/>
        <v>0</v>
      </c>
      <c r="CD499" s="477"/>
    </row>
    <row r="500" spans="2:82" ht="16.5" hidden="1">
      <c r="B500" s="80"/>
      <c r="C500" s="80"/>
      <c r="D500" s="80"/>
      <c r="E500" s="80"/>
      <c r="F500" s="80"/>
      <c r="G500" s="80"/>
      <c r="H500" s="80"/>
      <c r="I500" s="80"/>
      <c r="J500" s="192">
        <f t="shared" si="356"/>
        <v>41</v>
      </c>
      <c r="K500" s="192">
        <f t="shared" si="357"/>
        <v>12</v>
      </c>
      <c r="L500" s="192">
        <f t="shared" si="352"/>
        <v>41</v>
      </c>
      <c r="M500" s="216">
        <f t="shared" ca="1" si="358"/>
        <v>568730</v>
      </c>
      <c r="N500" s="216"/>
      <c r="O500" s="216"/>
      <c r="P500" s="216"/>
      <c r="Q500" s="456">
        <f t="shared" ca="1" si="359"/>
        <v>1</v>
      </c>
      <c r="R500" s="450">
        <f t="shared" ca="1" si="360"/>
        <v>1</v>
      </c>
      <c r="S500" s="191">
        <f t="shared" si="361"/>
        <v>41</v>
      </c>
      <c r="T500" s="191">
        <f t="shared" si="362"/>
        <v>12</v>
      </c>
      <c r="U500" s="191">
        <f ca="1">OP!$D$5+$S500-1</f>
        <v>73</v>
      </c>
      <c r="V500" s="191">
        <f t="shared" si="363"/>
        <v>41</v>
      </c>
      <c r="W500" s="350">
        <f ca="1">IF(Q500&lt;&gt;1,0,VLOOKUP(OP!$C$55,PVFB,$S500+2,0))</f>
        <v>59835</v>
      </c>
      <c r="X500" s="473">
        <f t="shared" ca="1" si="376"/>
        <v>14368</v>
      </c>
      <c r="Y500" s="348">
        <f t="shared" ca="1" si="377"/>
        <v>0</v>
      </c>
      <c r="Z500" s="348">
        <f t="shared" ca="1" si="378"/>
        <v>8012</v>
      </c>
      <c r="AA500" s="348">
        <f ca="1">IF(Q500&lt;&gt;1,0,VLOOKUP(OP!$C$55,PVFB,$S500+2,0))</f>
        <v>59835</v>
      </c>
      <c r="AB500" s="488">
        <f ca="1">IF(AND(S500&lt;OP!$C$24,$U500&lt;15),0,IF(AND($U500&lt;15,$T500=12),ROUND(VLOOKUP($S500,DOWN16,5,0),3),IF($T500=12,ROUND(($Z500/10000)*$AA500,3)+IF(AND($P$7="購買增額繳清保險",T500=12,U500=110),VLOOKUP(S500,$B$10:$H$121,7,0),0),"")))</f>
        <v>47939.802000000003</v>
      </c>
      <c r="AC500" s="350">
        <f ca="1">IF(AND(S500&lt;OP!$C$24,$U500&lt;15),0,IF(AND($U500&lt;16,$T500=12),VLOOKUP($S500,DOWN16,4,0),IF($T500=12,ROUND(VLOOKUP(OP!$C$55,_DIE2,$S500+1,0)*(Z500/10000),0)+IF(AND($P$7="購買增額繳清保險",T500=12,U500=110),VLOOKUP(S500,$B$10:$H$121,7,0),0),"")))</f>
        <v>47940</v>
      </c>
      <c r="AD500" s="347"/>
      <c r="AE500" s="350" t="str">
        <f t="shared" ca="1" si="353"/>
        <v/>
      </c>
      <c r="AF500" s="351" t="str">
        <f t="shared" ca="1" si="354"/>
        <v/>
      </c>
      <c r="AG500" s="340"/>
      <c r="AH500" s="340"/>
      <c r="AI500" s="340"/>
      <c r="AJ500" s="340"/>
      <c r="AK500" s="340"/>
      <c r="AL500" s="340"/>
      <c r="AM500" s="340"/>
      <c r="AN500" s="340"/>
      <c r="AO500" s="340"/>
      <c r="AP500" s="340"/>
      <c r="AQ500" s="340"/>
      <c r="AR500" s="340"/>
      <c r="AS500" s="340"/>
      <c r="AT500" s="340"/>
      <c r="AU500" s="340"/>
      <c r="AV500" s="340"/>
      <c r="AY500" s="340"/>
      <c r="AZ500" s="465">
        <f t="shared" ca="1" si="364"/>
        <v>7.3698599999999999E-5</v>
      </c>
      <c r="BA500" s="464">
        <f t="shared" ca="1" si="365"/>
        <v>2.2109589000000002E-3</v>
      </c>
      <c r="BB500" s="465">
        <f t="shared" ca="1" si="365"/>
        <v>2.2846575E-3</v>
      </c>
      <c r="BC500" s="466">
        <f t="shared" ca="1" si="366"/>
        <v>57831</v>
      </c>
      <c r="BD500" s="467">
        <f t="shared" ca="1" si="379"/>
        <v>57832</v>
      </c>
      <c r="BE500" s="467">
        <f t="shared" ca="1" si="367"/>
        <v>57861</v>
      </c>
      <c r="BF500" s="468">
        <f ca="1">IF(計算!$BC500&lt;OP!$C$3,0,BD500-BC500)</f>
        <v>1</v>
      </c>
      <c r="BG500" s="468">
        <f ca="1">IF($BE500&gt;DATE(YEAR($BD$9)+OP!$C$57,MONTH($BD$9),DAY($BD$9)),0,$BE500-$BD500+1)</f>
        <v>30</v>
      </c>
      <c r="BH500" s="469">
        <f t="shared" ca="1" si="368"/>
        <v>31</v>
      </c>
      <c r="BI500" t="str">
        <f t="shared" si="384"/>
        <v/>
      </c>
      <c r="BJ500">
        <v>11</v>
      </c>
      <c r="BN500" s="468">
        <f t="shared" si="380"/>
        <v>41</v>
      </c>
      <c r="BO500" s="468">
        <f t="shared" si="381"/>
        <v>11</v>
      </c>
      <c r="BP500" s="467">
        <f t="shared" ca="1" si="369"/>
        <v>57832</v>
      </c>
      <c r="BQ500" s="475">
        <f t="shared" ca="1" si="383"/>
        <v>73</v>
      </c>
      <c r="BR500" s="475" t="str">
        <f t="shared" si="382"/>
        <v/>
      </c>
      <c r="BS500" s="471" t="str">
        <f t="shared" si="370"/>
        <v/>
      </c>
      <c r="BT500" s="472" t="str">
        <f t="shared" si="385"/>
        <v/>
      </c>
      <c r="BU500" s="472">
        <f t="shared" ca="1" si="371"/>
        <v>0</v>
      </c>
      <c r="BV500" s="472">
        <f t="shared" ca="1" si="371"/>
        <v>0</v>
      </c>
      <c r="BW500" s="472"/>
      <c r="BX500" s="473">
        <f t="shared" ca="1" si="372"/>
        <v>553058.11631595099</v>
      </c>
      <c r="BY500" s="473">
        <f t="shared" si="373"/>
        <v>0</v>
      </c>
      <c r="BZ500" s="473">
        <f t="shared" ca="1" si="355"/>
        <v>1263.548373377</v>
      </c>
      <c r="CA500" s="476">
        <f t="shared" ca="1" si="374"/>
        <v>0</v>
      </c>
      <c r="CB500" s="494">
        <f ca="1">IF(OR($Q499&lt;&gt;1,OP!$D$5+$BN500-1&lt;16,$BN500-1&lt;1),0,ROUND(ROUND(ROUND(((VLOOKUP($BN500-1,MORE_PV,5,0)/10000)*VLOOKUP($BN500,MORE_PV,$CB$5,0)),3)*VLOOKUP($BN500,more1,5,0),0)/$R499,0))</f>
        <v>0</v>
      </c>
      <c r="CC500" s="473">
        <f t="shared" ca="1" si="375"/>
        <v>0</v>
      </c>
      <c r="CD500" s="477"/>
    </row>
    <row r="501" spans="2:82" ht="16.5" hidden="1">
      <c r="B501" s="80"/>
      <c r="C501" s="80"/>
      <c r="D501" s="80"/>
      <c r="E501" s="80"/>
      <c r="F501" s="80"/>
      <c r="G501" s="80"/>
      <c r="H501" s="80"/>
      <c r="I501" s="80"/>
      <c r="J501" s="192">
        <f t="shared" si="356"/>
        <v>42</v>
      </c>
      <c r="K501" s="192">
        <f t="shared" si="357"/>
        <v>1</v>
      </c>
      <c r="L501" s="192" t="str">
        <f t="shared" si="352"/>
        <v/>
      </c>
      <c r="M501" s="216">
        <f t="shared" ca="1" si="358"/>
        <v>0</v>
      </c>
      <c r="N501" s="216"/>
      <c r="O501" s="216"/>
      <c r="P501" s="216"/>
      <c r="Q501" s="456" t="str">
        <f t="shared" ca="1" si="359"/>
        <v/>
      </c>
      <c r="R501" s="450">
        <f t="shared" ca="1" si="360"/>
        <v>1</v>
      </c>
      <c r="S501" s="191">
        <f t="shared" si="361"/>
        <v>42</v>
      </c>
      <c r="T501" s="191">
        <f t="shared" si="362"/>
        <v>1</v>
      </c>
      <c r="U501" s="191">
        <f ca="1">OP!$D$5+$S501-1</f>
        <v>74</v>
      </c>
      <c r="V501" s="191" t="str">
        <f t="shared" si="363"/>
        <v/>
      </c>
      <c r="W501" s="350">
        <f ca="1">IF(Q501&lt;&gt;1,0,VLOOKUP(OP!$C$55,PVFB,$S501+2,0))</f>
        <v>0</v>
      </c>
      <c r="X501" s="473">
        <f t="shared" ca="1" si="376"/>
        <v>0</v>
      </c>
      <c r="Y501" s="348">
        <f t="shared" ca="1" si="377"/>
        <v>0</v>
      </c>
      <c r="Z501" s="348">
        <f t="shared" ca="1" si="378"/>
        <v>8012</v>
      </c>
      <c r="AA501" s="348">
        <f ca="1">IF(Q501&lt;&gt;1,0,VLOOKUP(OP!$C$55,PVFB,$S501+2,0))</f>
        <v>0</v>
      </c>
      <c r="AB501" s="488" t="str">
        <f ca="1">IF(AND(S501&lt;OP!$C$24,$U501&lt;15),0,IF(AND($U501&lt;15,$T501=12),ROUND(VLOOKUP($S501,DOWN16,5,0),3),IF($T501=12,ROUND(($Z501/10000)*$AA501,3)+IF(AND($P$7="購買增額繳清保險",T501=12,U501=110),VLOOKUP(S501,$B$10:$H$121,7,0),0),"")))</f>
        <v/>
      </c>
      <c r="AC501" s="350" t="str">
        <f ca="1">IF(AND(S501&lt;OP!$C$24,$U501&lt;15),0,IF(AND($U501&lt;16,$T501=12),VLOOKUP($S501,DOWN16,4,0),IF($T501=12,ROUND(VLOOKUP(OP!$C$55,_DIE2,$S501+1,0)*(Z501/10000),0)+IF(AND($P$7="購買增額繳清保險",T501=12,U501=110),VLOOKUP(S501,$B$10:$H$121,7,0),0),"")))</f>
        <v/>
      </c>
      <c r="AD501" s="347"/>
      <c r="AE501" s="350" t="str">
        <f t="shared" ca="1" si="353"/>
        <v/>
      </c>
      <c r="AF501" s="351" t="str">
        <f t="shared" ca="1" si="354"/>
        <v/>
      </c>
      <c r="AG501" s="340"/>
      <c r="AH501" s="340"/>
      <c r="AI501" s="340"/>
      <c r="AJ501" s="340"/>
      <c r="AK501" s="340"/>
      <c r="AL501" s="340"/>
      <c r="AM501" s="340"/>
      <c r="AN501" s="340"/>
      <c r="AO501" s="340"/>
      <c r="AP501" s="340"/>
      <c r="AQ501" s="340"/>
      <c r="AR501" s="340"/>
      <c r="AS501" s="340"/>
      <c r="AT501" s="340"/>
      <c r="AU501" s="340"/>
      <c r="AV501" s="340"/>
      <c r="AY501" s="340"/>
      <c r="AZ501" s="465">
        <f t="shared" ca="1" si="364"/>
        <v>7.3698599999999999E-5</v>
      </c>
      <c r="BA501" s="464">
        <f t="shared" ca="1" si="365"/>
        <v>2.1372602999999999E-3</v>
      </c>
      <c r="BB501" s="465">
        <f t="shared" ca="1" si="365"/>
        <v>2.2109589000000002E-3</v>
      </c>
      <c r="BC501" s="466">
        <f t="shared" ca="1" si="366"/>
        <v>57862</v>
      </c>
      <c r="BD501" s="467">
        <f t="shared" ca="1" si="379"/>
        <v>57863</v>
      </c>
      <c r="BE501" s="467">
        <f t="shared" ca="1" si="367"/>
        <v>57891</v>
      </c>
      <c r="BF501" s="468">
        <f ca="1">IF(計算!$BC501&lt;OP!$C$3,0,BD501-BC501)</f>
        <v>1</v>
      </c>
      <c r="BG501" s="468">
        <f ca="1">IF($BE501&gt;DATE(YEAR($BD$9)+OP!$C$57,MONTH($BD$9),DAY($BD$9)),0,$BE501-$BD501+1)</f>
        <v>29</v>
      </c>
      <c r="BH501" s="469">
        <f t="shared" ca="1" si="368"/>
        <v>30</v>
      </c>
      <c r="BI501">
        <f t="shared" ca="1" si="384"/>
        <v>365</v>
      </c>
      <c r="BJ501">
        <v>12</v>
      </c>
      <c r="BN501" s="468">
        <f t="shared" si="380"/>
        <v>41</v>
      </c>
      <c r="BO501" s="468">
        <f t="shared" si="381"/>
        <v>12</v>
      </c>
      <c r="BP501" s="467">
        <f t="shared" ca="1" si="369"/>
        <v>57863</v>
      </c>
      <c r="BQ501" s="475">
        <f t="shared" ca="1" si="383"/>
        <v>73</v>
      </c>
      <c r="BR501" s="475">
        <f t="shared" si="382"/>
        <v>41</v>
      </c>
      <c r="BS501" s="471">
        <f t="shared" ca="1" si="370"/>
        <v>14368</v>
      </c>
      <c r="BT501" s="472">
        <f t="shared" ca="1" si="385"/>
        <v>568730</v>
      </c>
      <c r="BU501" s="472">
        <f t="shared" ca="1" si="371"/>
        <v>14037</v>
      </c>
      <c r="BV501" s="472">
        <f t="shared" ca="1" si="371"/>
        <v>331</v>
      </c>
      <c r="BW501" s="472">
        <f ca="1">ROUND(SUM(BY501,BZ489:BZ500),0)</f>
        <v>14697</v>
      </c>
      <c r="BX501" s="473">
        <f t="shared" ca="1" si="372"/>
        <v>568730.51741996501</v>
      </c>
      <c r="BY501" s="473">
        <f t="shared" ca="1" si="373"/>
        <v>40.852730637000001</v>
      </c>
      <c r="BZ501" s="473">
        <f t="shared" ca="1" si="355"/>
        <v>1215.5251562799999</v>
      </c>
      <c r="CA501" s="476">
        <f t="shared" ca="1" si="374"/>
        <v>14037</v>
      </c>
      <c r="CB501" s="494">
        <f ca="1">IF(OR($Q500&lt;&gt;1,OP!$D$5+$BN501-1&lt;16,$BN501-1&lt;1),0,ROUND(ROUND(ROUND(((VLOOKUP($BN501-1,MORE_PV,5,0)/10000)*VLOOKUP($BN501,MORE_PV,$CB$5,0)),3)*VLOOKUP($BN501,more1,5,0),0)/$R500,0))</f>
        <v>331</v>
      </c>
      <c r="CC501" s="473">
        <f t="shared" ca="1" si="375"/>
        <v>0</v>
      </c>
      <c r="CD501" s="477"/>
    </row>
    <row r="502" spans="2:82" ht="16.5" hidden="1">
      <c r="B502" s="80"/>
      <c r="C502" s="80"/>
      <c r="D502" s="80"/>
      <c r="E502" s="80"/>
      <c r="F502" s="80"/>
      <c r="G502" s="80"/>
      <c r="H502" s="80"/>
      <c r="I502" s="80"/>
      <c r="J502" s="192">
        <f t="shared" si="356"/>
        <v>42</v>
      </c>
      <c r="K502" s="192">
        <f t="shared" si="357"/>
        <v>2</v>
      </c>
      <c r="L502" s="192" t="str">
        <f t="shared" si="352"/>
        <v/>
      </c>
      <c r="M502" s="216">
        <f t="shared" ca="1" si="358"/>
        <v>0</v>
      </c>
      <c r="N502" s="216"/>
      <c r="O502" s="216"/>
      <c r="P502" s="216"/>
      <c r="Q502" s="456" t="str">
        <f t="shared" ca="1" si="359"/>
        <v/>
      </c>
      <c r="R502" s="450">
        <f t="shared" ca="1" si="360"/>
        <v>1</v>
      </c>
      <c r="S502" s="191">
        <f t="shared" si="361"/>
        <v>42</v>
      </c>
      <c r="T502" s="191">
        <f t="shared" si="362"/>
        <v>2</v>
      </c>
      <c r="U502" s="191">
        <f ca="1">OP!$D$5+$S502-1</f>
        <v>74</v>
      </c>
      <c r="V502" s="191" t="str">
        <f t="shared" si="363"/>
        <v/>
      </c>
      <c r="W502" s="350">
        <f ca="1">IF(Q502&lt;&gt;1,0,VLOOKUP(OP!$C$55,PVFB,$S502+2,0))</f>
        <v>0</v>
      </c>
      <c r="X502" s="473">
        <f t="shared" ca="1" si="376"/>
        <v>0</v>
      </c>
      <c r="Y502" s="348">
        <f t="shared" ca="1" si="377"/>
        <v>0</v>
      </c>
      <c r="Z502" s="348">
        <f t="shared" ca="1" si="378"/>
        <v>8012</v>
      </c>
      <c r="AA502" s="348">
        <f ca="1">IF(Q502&lt;&gt;1,0,VLOOKUP(OP!$C$55,PVFB,$S502+2,0))</f>
        <v>0</v>
      </c>
      <c r="AB502" s="488" t="str">
        <f ca="1">IF(AND(S502&lt;OP!$C$24,$U502&lt;15),0,IF(AND($U502&lt;15,$T502=12),ROUND(VLOOKUP($S502,DOWN16,5,0),3),IF($T502=12,ROUND(($Z502/10000)*$AA502,3)+IF(AND($P$7="購買增額繳清保險",T502=12,U502=110),VLOOKUP(S502,$B$10:$H$121,7,0),0),"")))</f>
        <v/>
      </c>
      <c r="AC502" s="350" t="str">
        <f ca="1">IF(AND(S502&lt;OP!$C$24,$U502&lt;15),0,IF(AND($U502&lt;16,$T502=12),VLOOKUP($S502,DOWN16,4,0),IF($T502=12,ROUND(VLOOKUP(OP!$C$55,_DIE2,$S502+1,0)*(Z502/10000),0)+IF(AND($P$7="購買增額繳清保險",T502=12,U502=110),VLOOKUP(S502,$B$10:$H$121,7,0),0),"")))</f>
        <v/>
      </c>
      <c r="AD502" s="347"/>
      <c r="AE502" s="350" t="str">
        <f t="shared" ca="1" si="353"/>
        <v/>
      </c>
      <c r="AF502" s="351" t="str">
        <f t="shared" ca="1" si="354"/>
        <v/>
      </c>
      <c r="AG502" s="340"/>
      <c r="AH502" s="340"/>
      <c r="AI502" s="340"/>
      <c r="AJ502" s="340"/>
      <c r="AK502" s="340"/>
      <c r="AL502" s="340"/>
      <c r="AM502" s="340"/>
      <c r="AN502" s="340"/>
      <c r="AO502" s="340"/>
      <c r="AP502" s="340"/>
      <c r="AQ502" s="340"/>
      <c r="AR502" s="340"/>
      <c r="AS502" s="340"/>
      <c r="AT502" s="340"/>
      <c r="AU502" s="340"/>
      <c r="AV502" s="340"/>
      <c r="AY502" s="340"/>
      <c r="AZ502" s="465">
        <f t="shared" ca="1" si="364"/>
        <v>7.3698599999999999E-5</v>
      </c>
      <c r="BA502" s="464">
        <f t="shared" ca="1" si="365"/>
        <v>2.2109589000000002E-3</v>
      </c>
      <c r="BB502" s="465">
        <f t="shared" ca="1" si="365"/>
        <v>2.2846575E-3</v>
      </c>
      <c r="BC502" s="466">
        <f t="shared" ca="1" si="366"/>
        <v>57892</v>
      </c>
      <c r="BD502" s="467">
        <f t="shared" ca="1" si="379"/>
        <v>57893</v>
      </c>
      <c r="BE502" s="467">
        <f t="shared" ca="1" si="367"/>
        <v>57922</v>
      </c>
      <c r="BF502" s="468">
        <f ca="1">IF(計算!$BC502&lt;OP!$C$3,0,BD502-BC502)</f>
        <v>1</v>
      </c>
      <c r="BG502" s="468">
        <f ca="1">IF($BE502&gt;DATE(YEAR($BD$9)+OP!$C$57,MONTH($BD$9),DAY($BD$9)),0,$BE502-$BD502+1)</f>
        <v>30</v>
      </c>
      <c r="BH502" s="469">
        <f t="shared" ca="1" si="368"/>
        <v>31</v>
      </c>
      <c r="BI502" t="str">
        <f t="shared" si="384"/>
        <v/>
      </c>
      <c r="BJ502">
        <v>1</v>
      </c>
      <c r="BN502" s="468">
        <f t="shared" si="380"/>
        <v>42</v>
      </c>
      <c r="BO502" s="468">
        <f t="shared" si="381"/>
        <v>1</v>
      </c>
      <c r="BP502" s="467">
        <f t="shared" ca="1" si="369"/>
        <v>57893</v>
      </c>
      <c r="BQ502" s="475">
        <f t="shared" ca="1" si="383"/>
        <v>74</v>
      </c>
      <c r="BR502" s="475" t="str">
        <f t="shared" si="382"/>
        <v/>
      </c>
      <c r="BS502" s="471" t="str">
        <f t="shared" si="370"/>
        <v/>
      </c>
      <c r="BT502" s="472" t="str">
        <f t="shared" si="385"/>
        <v/>
      </c>
      <c r="BU502" s="472">
        <f t="shared" ca="1" si="371"/>
        <v>0</v>
      </c>
      <c r="BV502" s="472">
        <f t="shared" ca="1" si="371"/>
        <v>0</v>
      </c>
      <c r="BW502" s="472"/>
      <c r="BX502" s="473">
        <f t="shared" ca="1" si="372"/>
        <v>569946.04257624503</v>
      </c>
      <c r="BY502" s="473">
        <f t="shared" si="373"/>
        <v>0</v>
      </c>
      <c r="BZ502" s="473">
        <f t="shared" ca="1" si="355"/>
        <v>1302.131500767</v>
      </c>
      <c r="CA502" s="476">
        <f t="shared" ca="1" si="374"/>
        <v>0</v>
      </c>
      <c r="CB502" s="494">
        <f ca="1">IF(OR($Q501&lt;&gt;1,OP!$D$5+$BN502-1&lt;16,$BN502-1&lt;1),0,ROUND(ROUND(ROUND(((VLOOKUP($BN502-1,MORE_PV,5,0)/10000)*VLOOKUP($BN502,MORE_PV,$CB$5,0)),3)*VLOOKUP($BN502,more1,5,0),0)/$R501,0))</f>
        <v>0</v>
      </c>
      <c r="CC502" s="473">
        <f t="shared" ca="1" si="375"/>
        <v>0</v>
      </c>
      <c r="CD502" s="477"/>
    </row>
    <row r="503" spans="2:82" ht="16.5" hidden="1">
      <c r="B503" s="80"/>
      <c r="C503" s="80"/>
      <c r="D503" s="80"/>
      <c r="E503" s="80"/>
      <c r="F503" s="80"/>
      <c r="G503" s="80"/>
      <c r="H503" s="80"/>
      <c r="I503" s="80"/>
      <c r="J503" s="192">
        <f t="shared" si="356"/>
        <v>42</v>
      </c>
      <c r="K503" s="192">
        <f t="shared" si="357"/>
        <v>3</v>
      </c>
      <c r="L503" s="192" t="str">
        <f t="shared" si="352"/>
        <v/>
      </c>
      <c r="M503" s="216">
        <f t="shared" ca="1" si="358"/>
        <v>0</v>
      </c>
      <c r="N503" s="216"/>
      <c r="O503" s="216"/>
      <c r="P503" s="216"/>
      <c r="Q503" s="456" t="str">
        <f t="shared" ca="1" si="359"/>
        <v/>
      </c>
      <c r="R503" s="450">
        <f t="shared" ca="1" si="360"/>
        <v>1</v>
      </c>
      <c r="S503" s="191">
        <f t="shared" si="361"/>
        <v>42</v>
      </c>
      <c r="T503" s="191">
        <f t="shared" si="362"/>
        <v>3</v>
      </c>
      <c r="U503" s="191">
        <f ca="1">OP!$D$5+$S503-1</f>
        <v>74</v>
      </c>
      <c r="V503" s="191" t="str">
        <f t="shared" si="363"/>
        <v/>
      </c>
      <c r="W503" s="350">
        <f ca="1">IF(Q503&lt;&gt;1,0,VLOOKUP(OP!$C$55,PVFB,$S503+2,0))</f>
        <v>0</v>
      </c>
      <c r="X503" s="473">
        <f t="shared" ca="1" si="376"/>
        <v>0</v>
      </c>
      <c r="Y503" s="348">
        <f t="shared" ca="1" si="377"/>
        <v>0</v>
      </c>
      <c r="Z503" s="348">
        <f t="shared" ca="1" si="378"/>
        <v>8012</v>
      </c>
      <c r="AA503" s="348">
        <f ca="1">IF(Q503&lt;&gt;1,0,VLOOKUP(OP!$C$55,PVFB,$S503+2,0))</f>
        <v>0</v>
      </c>
      <c r="AB503" s="488" t="str">
        <f ca="1">IF(AND(S503&lt;OP!$C$24,$U503&lt;15),0,IF(AND($U503&lt;15,$T503=12),ROUND(VLOOKUP($S503,DOWN16,5,0),3),IF($T503=12,ROUND(($Z503/10000)*$AA503,3)+IF(AND($P$7="購買增額繳清保險",T503=12,U503=110),VLOOKUP(S503,$B$10:$H$121,7,0),0),"")))</f>
        <v/>
      </c>
      <c r="AC503" s="350" t="str">
        <f ca="1">IF(AND(S503&lt;OP!$C$24,$U503&lt;15),0,IF(AND($U503&lt;16,$T503=12),VLOOKUP($S503,DOWN16,4,0),IF($T503=12,ROUND(VLOOKUP(OP!$C$55,_DIE2,$S503+1,0)*(Z503/10000),0)+IF(AND($P$7="購買增額繳清保險",T503=12,U503=110),VLOOKUP(S503,$B$10:$H$121,7,0),0),"")))</f>
        <v/>
      </c>
      <c r="AD503" s="347"/>
      <c r="AE503" s="350" t="str">
        <f t="shared" ca="1" si="353"/>
        <v/>
      </c>
      <c r="AF503" s="351" t="str">
        <f t="shared" ca="1" si="354"/>
        <v/>
      </c>
      <c r="AG503" s="340"/>
      <c r="AH503" s="340"/>
      <c r="AI503" s="340"/>
      <c r="AJ503" s="340"/>
      <c r="AK503" s="340"/>
      <c r="AL503" s="340"/>
      <c r="AM503" s="340"/>
      <c r="AN503" s="340"/>
      <c r="AO503" s="340"/>
      <c r="AP503" s="340"/>
      <c r="AQ503" s="340"/>
      <c r="AR503" s="340"/>
      <c r="AS503" s="340"/>
      <c r="AT503" s="340"/>
      <c r="AU503" s="340"/>
      <c r="AV503" s="340"/>
      <c r="AY503" s="340"/>
      <c r="AZ503" s="465">
        <f t="shared" ca="1" si="364"/>
        <v>7.3698599999999999E-5</v>
      </c>
      <c r="BA503" s="464">
        <f t="shared" ca="1" si="365"/>
        <v>2.2109589000000002E-3</v>
      </c>
      <c r="BB503" s="465">
        <f t="shared" ca="1" si="365"/>
        <v>2.2846575E-3</v>
      </c>
      <c r="BC503" s="466">
        <f t="shared" ca="1" si="366"/>
        <v>57923</v>
      </c>
      <c r="BD503" s="467">
        <f t="shared" ca="1" si="379"/>
        <v>57924</v>
      </c>
      <c r="BE503" s="467">
        <f t="shared" ca="1" si="367"/>
        <v>57953</v>
      </c>
      <c r="BF503" s="468">
        <f ca="1">IF(計算!$BC503&lt;OP!$C$3,0,BD503-BC503)</f>
        <v>1</v>
      </c>
      <c r="BG503" s="468">
        <f ca="1">IF($BE503&gt;DATE(YEAR($BD$9)+OP!$C$57,MONTH($BD$9),DAY($BD$9)),0,$BE503-$BD503+1)</f>
        <v>30</v>
      </c>
      <c r="BH503" s="469">
        <f t="shared" ca="1" si="368"/>
        <v>31</v>
      </c>
      <c r="BI503" t="str">
        <f t="shared" si="384"/>
        <v/>
      </c>
      <c r="BJ503">
        <v>2</v>
      </c>
      <c r="BN503" s="468">
        <f t="shared" si="380"/>
        <v>42</v>
      </c>
      <c r="BO503" s="468">
        <f t="shared" si="381"/>
        <v>2</v>
      </c>
      <c r="BP503" s="467">
        <f t="shared" ca="1" si="369"/>
        <v>57924</v>
      </c>
      <c r="BQ503" s="475">
        <f t="shared" ca="1" si="383"/>
        <v>74</v>
      </c>
      <c r="BR503" s="475" t="str">
        <f t="shared" si="382"/>
        <v/>
      </c>
      <c r="BS503" s="471" t="str">
        <f t="shared" si="370"/>
        <v/>
      </c>
      <c r="BT503" s="472" t="str">
        <f t="shared" si="385"/>
        <v/>
      </c>
      <c r="BU503" s="472">
        <f t="shared" ca="1" si="371"/>
        <v>0</v>
      </c>
      <c r="BV503" s="472">
        <f t="shared" ca="1" si="371"/>
        <v>0</v>
      </c>
      <c r="BW503" s="472"/>
      <c r="BX503" s="473">
        <f t="shared" ca="1" si="372"/>
        <v>571248.17407701199</v>
      </c>
      <c r="BY503" s="473">
        <f t="shared" si="373"/>
        <v>0</v>
      </c>
      <c r="BZ503" s="473">
        <f t="shared" ca="1" si="355"/>
        <v>1305.1064252660001</v>
      </c>
      <c r="CA503" s="476">
        <f t="shared" ca="1" si="374"/>
        <v>0</v>
      </c>
      <c r="CB503" s="494">
        <f ca="1">IF(OR($Q502&lt;&gt;1,OP!$D$5+$BN503-1&lt;16,$BN503-1&lt;1),0,ROUND(ROUND(ROUND(((VLOOKUP($BN503-1,MORE_PV,5,0)/10000)*VLOOKUP($BN503,MORE_PV,$CB$5,0)),3)*VLOOKUP($BN503,more1,5,0),0)/$R502,0))</f>
        <v>0</v>
      </c>
      <c r="CC503" s="473">
        <f t="shared" ca="1" si="375"/>
        <v>0</v>
      </c>
      <c r="CD503" s="477"/>
    </row>
    <row r="504" spans="2:82" ht="16.5" hidden="1">
      <c r="B504" s="80"/>
      <c r="C504" s="80"/>
      <c r="D504" s="80"/>
      <c r="E504" s="80"/>
      <c r="F504" s="80"/>
      <c r="G504" s="80"/>
      <c r="H504" s="80"/>
      <c r="I504" s="80"/>
      <c r="J504" s="192">
        <f t="shared" si="356"/>
        <v>42</v>
      </c>
      <c r="K504" s="192">
        <f t="shared" si="357"/>
        <v>4</v>
      </c>
      <c r="L504" s="192" t="str">
        <f t="shared" si="352"/>
        <v/>
      </c>
      <c r="M504" s="216">
        <f t="shared" ca="1" si="358"/>
        <v>0</v>
      </c>
      <c r="N504" s="216"/>
      <c r="O504" s="216"/>
      <c r="P504" s="216"/>
      <c r="Q504" s="456" t="str">
        <f t="shared" ca="1" si="359"/>
        <v/>
      </c>
      <c r="R504" s="450">
        <f t="shared" ca="1" si="360"/>
        <v>1</v>
      </c>
      <c r="S504" s="191">
        <f t="shared" si="361"/>
        <v>42</v>
      </c>
      <c r="T504" s="191">
        <f t="shared" si="362"/>
        <v>4</v>
      </c>
      <c r="U504" s="191">
        <f ca="1">OP!$D$5+$S504-1</f>
        <v>74</v>
      </c>
      <c r="V504" s="191" t="str">
        <f t="shared" si="363"/>
        <v/>
      </c>
      <c r="W504" s="350">
        <f ca="1">IF(Q504&lt;&gt;1,0,VLOOKUP(OP!$C$55,PVFB,$S504+2,0))</f>
        <v>0</v>
      </c>
      <c r="X504" s="473">
        <f t="shared" ca="1" si="376"/>
        <v>0</v>
      </c>
      <c r="Y504" s="348">
        <f t="shared" ca="1" si="377"/>
        <v>0</v>
      </c>
      <c r="Z504" s="348">
        <f t="shared" ca="1" si="378"/>
        <v>8012</v>
      </c>
      <c r="AA504" s="348">
        <f ca="1">IF(Q504&lt;&gt;1,0,VLOOKUP(OP!$C$55,PVFB,$S504+2,0))</f>
        <v>0</v>
      </c>
      <c r="AB504" s="488" t="str">
        <f ca="1">IF(AND(S504&lt;OP!$C$24,$U504&lt;15),0,IF(AND($U504&lt;15,$T504=12),ROUND(VLOOKUP($S504,DOWN16,5,0),3),IF($T504=12,ROUND(($Z504/10000)*$AA504,3)+IF(AND($P$7="購買增額繳清保險",T504=12,U504=110),VLOOKUP(S504,$B$10:$H$121,7,0),0),"")))</f>
        <v/>
      </c>
      <c r="AC504" s="350" t="str">
        <f ca="1">IF(AND(S504&lt;OP!$C$24,$U504&lt;15),0,IF(AND($U504&lt;16,$T504=12),VLOOKUP($S504,DOWN16,4,0),IF($T504=12,ROUND(VLOOKUP(OP!$C$55,_DIE2,$S504+1,0)*(Z504/10000),0)+IF(AND($P$7="購買增額繳清保險",T504=12,U504=110),VLOOKUP(S504,$B$10:$H$121,7,0),0),"")))</f>
        <v/>
      </c>
      <c r="AD504" s="347"/>
      <c r="AE504" s="350" t="str">
        <f t="shared" ca="1" si="353"/>
        <v/>
      </c>
      <c r="AF504" s="351" t="str">
        <f t="shared" ca="1" si="354"/>
        <v/>
      </c>
      <c r="AG504" s="340"/>
      <c r="AH504" s="340"/>
      <c r="AI504" s="340"/>
      <c r="AJ504" s="340"/>
      <c r="AK504" s="340"/>
      <c r="AL504" s="340"/>
      <c r="AM504" s="340"/>
      <c r="AN504" s="340"/>
      <c r="AO504" s="340"/>
      <c r="AP504" s="340"/>
      <c r="AQ504" s="340"/>
      <c r="AR504" s="340"/>
      <c r="AS504" s="340"/>
      <c r="AT504" s="340"/>
      <c r="AU504" s="340"/>
      <c r="AV504" s="340"/>
      <c r="AY504" s="340"/>
      <c r="AZ504" s="465">
        <f t="shared" ca="1" si="364"/>
        <v>7.3698599999999999E-5</v>
      </c>
      <c r="BA504" s="464">
        <f t="shared" ca="1" si="365"/>
        <v>2.1372602999999999E-3</v>
      </c>
      <c r="BB504" s="465">
        <f t="shared" ca="1" si="365"/>
        <v>2.2109589000000002E-3</v>
      </c>
      <c r="BC504" s="466">
        <f t="shared" ca="1" si="366"/>
        <v>57954</v>
      </c>
      <c r="BD504" s="467">
        <f t="shared" ca="1" si="379"/>
        <v>57955</v>
      </c>
      <c r="BE504" s="467">
        <f t="shared" ca="1" si="367"/>
        <v>57983</v>
      </c>
      <c r="BF504" s="468">
        <f ca="1">IF(計算!$BC504&lt;OP!$C$3,0,BD504-BC504)</f>
        <v>1</v>
      </c>
      <c r="BG504" s="468">
        <f ca="1">IF($BE504&gt;DATE(YEAR($BD$9)+OP!$C$57,MONTH($BD$9),DAY($BD$9)),0,$BE504-$BD504+1)</f>
        <v>29</v>
      </c>
      <c r="BH504" s="469">
        <f t="shared" ca="1" si="368"/>
        <v>30</v>
      </c>
      <c r="BI504" t="str">
        <f t="shared" si="384"/>
        <v/>
      </c>
      <c r="BJ504">
        <v>3</v>
      </c>
      <c r="BN504" s="468">
        <f t="shared" si="380"/>
        <v>42</v>
      </c>
      <c r="BO504" s="468">
        <f t="shared" si="381"/>
        <v>3</v>
      </c>
      <c r="BP504" s="467">
        <f t="shared" ca="1" si="369"/>
        <v>57955</v>
      </c>
      <c r="BQ504" s="475">
        <f t="shared" ca="1" si="383"/>
        <v>74</v>
      </c>
      <c r="BR504" s="475" t="str">
        <f t="shared" si="382"/>
        <v/>
      </c>
      <c r="BS504" s="471" t="str">
        <f t="shared" si="370"/>
        <v/>
      </c>
      <c r="BT504" s="472" t="str">
        <f t="shared" si="385"/>
        <v/>
      </c>
      <c r="BU504" s="472">
        <f t="shared" ca="1" si="371"/>
        <v>0</v>
      </c>
      <c r="BV504" s="472">
        <f t="shared" ca="1" si="371"/>
        <v>0</v>
      </c>
      <c r="BW504" s="472"/>
      <c r="BX504" s="473">
        <f t="shared" ca="1" si="372"/>
        <v>572553.28050227801</v>
      </c>
      <c r="BY504" s="473">
        <f t="shared" si="373"/>
        <v>0</v>
      </c>
      <c r="BZ504" s="473">
        <f t="shared" ca="1" si="355"/>
        <v>1265.8917712509999</v>
      </c>
      <c r="CA504" s="476">
        <f t="shared" ca="1" si="374"/>
        <v>0</v>
      </c>
      <c r="CB504" s="494">
        <f ca="1">IF(OR($Q503&lt;&gt;1,OP!$D$5+$BN504-1&lt;16,$BN504-1&lt;1),0,ROUND(ROUND(ROUND(((VLOOKUP($BN504-1,MORE_PV,5,0)/10000)*VLOOKUP($BN504,MORE_PV,$CB$5,0)),3)*VLOOKUP($BN504,more1,5,0),0)/$R503,0))</f>
        <v>0</v>
      </c>
      <c r="CC504" s="473">
        <f t="shared" ca="1" si="375"/>
        <v>0</v>
      </c>
      <c r="CD504" s="477"/>
    </row>
    <row r="505" spans="2:82" ht="16.5" hidden="1">
      <c r="B505" s="80"/>
      <c r="C505" s="80"/>
      <c r="D505" s="80"/>
      <c r="E505" s="80"/>
      <c r="F505" s="80"/>
      <c r="G505" s="80"/>
      <c r="H505" s="80"/>
      <c r="I505" s="80"/>
      <c r="J505" s="192">
        <f t="shared" si="356"/>
        <v>42</v>
      </c>
      <c r="K505" s="192">
        <f t="shared" si="357"/>
        <v>5</v>
      </c>
      <c r="L505" s="192" t="str">
        <f t="shared" si="352"/>
        <v/>
      </c>
      <c r="M505" s="216">
        <f t="shared" ca="1" si="358"/>
        <v>0</v>
      </c>
      <c r="N505" s="216"/>
      <c r="O505" s="216"/>
      <c r="P505" s="216"/>
      <c r="Q505" s="456" t="str">
        <f t="shared" ca="1" si="359"/>
        <v/>
      </c>
      <c r="R505" s="450">
        <f t="shared" ca="1" si="360"/>
        <v>1</v>
      </c>
      <c r="S505" s="191">
        <f t="shared" si="361"/>
        <v>42</v>
      </c>
      <c r="T505" s="191">
        <f t="shared" si="362"/>
        <v>5</v>
      </c>
      <c r="U505" s="191">
        <f ca="1">OP!$D$5+$S505-1</f>
        <v>74</v>
      </c>
      <c r="V505" s="191" t="str">
        <f t="shared" si="363"/>
        <v/>
      </c>
      <c r="W505" s="350">
        <f ca="1">IF(Q505&lt;&gt;1,0,VLOOKUP(OP!$C$55,PVFB,$S505+2,0))</f>
        <v>0</v>
      </c>
      <c r="X505" s="473">
        <f t="shared" ca="1" si="376"/>
        <v>0</v>
      </c>
      <c r="Y505" s="348">
        <f t="shared" ca="1" si="377"/>
        <v>0</v>
      </c>
      <c r="Z505" s="348">
        <f t="shared" ca="1" si="378"/>
        <v>8012</v>
      </c>
      <c r="AA505" s="348">
        <f ca="1">IF(Q505&lt;&gt;1,0,VLOOKUP(OP!$C$55,PVFB,$S505+2,0))</f>
        <v>0</v>
      </c>
      <c r="AB505" s="488" t="str">
        <f ca="1">IF(AND(S505&lt;OP!$C$24,$U505&lt;15),0,IF(AND($U505&lt;15,$T505=12),ROUND(VLOOKUP($S505,DOWN16,5,0),3),IF($T505=12,ROUND(($Z505/10000)*$AA505,3)+IF(AND($P$7="購買增額繳清保險",T505=12,U505=110),VLOOKUP(S505,$B$10:$H$121,7,0),0),"")))</f>
        <v/>
      </c>
      <c r="AC505" s="350" t="str">
        <f ca="1">IF(AND(S505&lt;OP!$C$24,$U505&lt;15),0,IF(AND($U505&lt;16,$T505=12),VLOOKUP($S505,DOWN16,4,0),IF($T505=12,ROUND(VLOOKUP(OP!$C$55,_DIE2,$S505+1,0)*(Z505/10000),0)+IF(AND($P$7="購買增額繳清保險",T505=12,U505=110),VLOOKUP(S505,$B$10:$H$121,7,0),0),"")))</f>
        <v/>
      </c>
      <c r="AD505" s="347"/>
      <c r="AE505" s="350" t="str">
        <f t="shared" ca="1" si="353"/>
        <v/>
      </c>
      <c r="AF505" s="351" t="str">
        <f t="shared" ca="1" si="354"/>
        <v/>
      </c>
      <c r="AG505" s="340"/>
      <c r="AH505" s="340"/>
      <c r="AI505" s="340"/>
      <c r="AJ505" s="340"/>
      <c r="AK505" s="340"/>
      <c r="AL505" s="340"/>
      <c r="AM505" s="340"/>
      <c r="AN505" s="340"/>
      <c r="AO505" s="340"/>
      <c r="AP505" s="340"/>
      <c r="AQ505" s="340"/>
      <c r="AR505" s="340"/>
      <c r="AS505" s="340"/>
      <c r="AT505" s="340"/>
      <c r="AU505" s="340"/>
      <c r="AV505" s="340"/>
      <c r="AY505" s="340"/>
      <c r="AZ505" s="465">
        <f t="shared" ca="1" si="364"/>
        <v>7.3698599999999999E-5</v>
      </c>
      <c r="BA505" s="464">
        <f t="shared" ca="1" si="365"/>
        <v>2.2109589000000002E-3</v>
      </c>
      <c r="BB505" s="465">
        <f t="shared" ca="1" si="365"/>
        <v>2.2846575E-3</v>
      </c>
      <c r="BC505" s="466">
        <f t="shared" ca="1" si="366"/>
        <v>57984</v>
      </c>
      <c r="BD505" s="467">
        <f t="shared" ca="1" si="379"/>
        <v>57985</v>
      </c>
      <c r="BE505" s="467">
        <f t="shared" ca="1" si="367"/>
        <v>58014</v>
      </c>
      <c r="BF505" s="468">
        <f ca="1">IF(計算!$BC505&lt;OP!$C$3,0,BD505-BC505)</f>
        <v>1</v>
      </c>
      <c r="BG505" s="468">
        <f ca="1">IF($BE505&gt;DATE(YEAR($BD$9)+OP!$C$57,MONTH($BD$9),DAY($BD$9)),0,$BE505-$BD505+1)</f>
        <v>30</v>
      </c>
      <c r="BH505" s="469">
        <f t="shared" ca="1" si="368"/>
        <v>31</v>
      </c>
      <c r="BI505" t="str">
        <f t="shared" si="384"/>
        <v/>
      </c>
      <c r="BJ505">
        <v>4</v>
      </c>
      <c r="BN505" s="468">
        <f t="shared" si="380"/>
        <v>42</v>
      </c>
      <c r="BO505" s="468">
        <f t="shared" si="381"/>
        <v>4</v>
      </c>
      <c r="BP505" s="467">
        <f t="shared" ca="1" si="369"/>
        <v>57985</v>
      </c>
      <c r="BQ505" s="475">
        <f t="shared" ca="1" si="383"/>
        <v>74</v>
      </c>
      <c r="BR505" s="475" t="str">
        <f t="shared" si="382"/>
        <v/>
      </c>
      <c r="BS505" s="471" t="str">
        <f t="shared" si="370"/>
        <v/>
      </c>
      <c r="BT505" s="472" t="str">
        <f t="shared" si="385"/>
        <v/>
      </c>
      <c r="BU505" s="472">
        <f t="shared" ca="1" si="371"/>
        <v>0</v>
      </c>
      <c r="BV505" s="472">
        <f t="shared" ca="1" si="371"/>
        <v>0</v>
      </c>
      <c r="BW505" s="472"/>
      <c r="BX505" s="473">
        <f t="shared" ca="1" si="372"/>
        <v>573819.17227352899</v>
      </c>
      <c r="BY505" s="473">
        <f t="shared" si="373"/>
        <v>0</v>
      </c>
      <c r="BZ505" s="473">
        <f t="shared" ca="1" si="355"/>
        <v>1310.9802755789999</v>
      </c>
      <c r="CA505" s="476">
        <f t="shared" ca="1" si="374"/>
        <v>0</v>
      </c>
      <c r="CB505" s="494">
        <f ca="1">IF(OR($Q504&lt;&gt;1,OP!$D$5+$BN505-1&lt;16,$BN505-1&lt;1),0,ROUND(ROUND(ROUND(((VLOOKUP($BN505-1,MORE_PV,5,0)/10000)*VLOOKUP($BN505,MORE_PV,$CB$5,0)),3)*VLOOKUP($BN505,more1,5,0),0)/$R504,0))</f>
        <v>0</v>
      </c>
      <c r="CC505" s="473">
        <f t="shared" ca="1" si="375"/>
        <v>0</v>
      </c>
      <c r="CD505" s="477"/>
    </row>
    <row r="506" spans="2:82" ht="16.5" hidden="1">
      <c r="B506" s="80"/>
      <c r="C506" s="80"/>
      <c r="D506" s="80"/>
      <c r="E506" s="80"/>
      <c r="F506" s="80"/>
      <c r="G506" s="80"/>
      <c r="H506" s="80"/>
      <c r="I506" s="80"/>
      <c r="J506" s="192">
        <f t="shared" si="356"/>
        <v>42</v>
      </c>
      <c r="K506" s="192">
        <f t="shared" si="357"/>
        <v>6</v>
      </c>
      <c r="L506" s="192" t="str">
        <f t="shared" si="352"/>
        <v/>
      </c>
      <c r="M506" s="216">
        <f t="shared" ca="1" si="358"/>
        <v>0</v>
      </c>
      <c r="N506" s="216"/>
      <c r="O506" s="216"/>
      <c r="P506" s="216"/>
      <c r="Q506" s="456" t="str">
        <f t="shared" ca="1" si="359"/>
        <v/>
      </c>
      <c r="R506" s="450">
        <f t="shared" ca="1" si="360"/>
        <v>1</v>
      </c>
      <c r="S506" s="191">
        <f t="shared" si="361"/>
        <v>42</v>
      </c>
      <c r="T506" s="191">
        <f t="shared" si="362"/>
        <v>6</v>
      </c>
      <c r="U506" s="191">
        <f ca="1">OP!$D$5+$S506-1</f>
        <v>74</v>
      </c>
      <c r="V506" s="191" t="str">
        <f t="shared" si="363"/>
        <v/>
      </c>
      <c r="W506" s="350">
        <f ca="1">IF(Q506&lt;&gt;1,0,VLOOKUP(OP!$C$55,PVFB,$S506+2,0))</f>
        <v>0</v>
      </c>
      <c r="X506" s="473">
        <f t="shared" ca="1" si="376"/>
        <v>0</v>
      </c>
      <c r="Y506" s="348">
        <f t="shared" ca="1" si="377"/>
        <v>0</v>
      </c>
      <c r="Z506" s="348">
        <f t="shared" ca="1" si="378"/>
        <v>8012</v>
      </c>
      <c r="AA506" s="348">
        <f ca="1">IF(Q506&lt;&gt;1,0,VLOOKUP(OP!$C$55,PVFB,$S506+2,0))</f>
        <v>0</v>
      </c>
      <c r="AB506" s="488" t="str">
        <f ca="1">IF(AND(S506&lt;OP!$C$24,$U506&lt;15),0,IF(AND($U506&lt;15,$T506=12),ROUND(VLOOKUP($S506,DOWN16,5,0),3),IF($T506=12,ROUND(($Z506/10000)*$AA506,3)+IF(AND($P$7="購買增額繳清保險",T506=12,U506=110),VLOOKUP(S506,$B$10:$H$121,7,0),0),"")))</f>
        <v/>
      </c>
      <c r="AC506" s="350" t="str">
        <f ca="1">IF(AND(S506&lt;OP!$C$24,$U506&lt;15),0,IF(AND($U506&lt;16,$T506=12),VLOOKUP($S506,DOWN16,4,0),IF($T506=12,ROUND(VLOOKUP(OP!$C$55,_DIE2,$S506+1,0)*(Z506/10000),0)+IF(AND($P$7="購買增額繳清保險",T506=12,U506=110),VLOOKUP(S506,$B$10:$H$121,7,0),0),"")))</f>
        <v/>
      </c>
      <c r="AD506" s="347"/>
      <c r="AE506" s="350" t="str">
        <f t="shared" ca="1" si="353"/>
        <v/>
      </c>
      <c r="AF506" s="351" t="str">
        <f t="shared" ca="1" si="354"/>
        <v/>
      </c>
      <c r="AG506" s="340"/>
      <c r="AH506" s="340"/>
      <c r="AI506" s="340"/>
      <c r="AJ506" s="340"/>
      <c r="AK506" s="340"/>
      <c r="AL506" s="340"/>
      <c r="AM506" s="340"/>
      <c r="AN506" s="340"/>
      <c r="AO506" s="340"/>
      <c r="AP506" s="340"/>
      <c r="AQ506" s="340"/>
      <c r="AR506" s="340"/>
      <c r="AS506" s="340"/>
      <c r="AT506" s="340"/>
      <c r="AU506" s="340"/>
      <c r="AV506" s="340"/>
      <c r="AY506" s="340"/>
      <c r="AZ506" s="465">
        <f t="shared" ca="1" si="364"/>
        <v>7.3698599999999999E-5</v>
      </c>
      <c r="BA506" s="464">
        <f t="shared" ca="1" si="365"/>
        <v>2.1372602999999999E-3</v>
      </c>
      <c r="BB506" s="465">
        <f t="shared" ca="1" si="365"/>
        <v>2.2109589000000002E-3</v>
      </c>
      <c r="BC506" s="466">
        <f t="shared" ca="1" si="366"/>
        <v>58015</v>
      </c>
      <c r="BD506" s="467">
        <f t="shared" ca="1" si="379"/>
        <v>58016</v>
      </c>
      <c r="BE506" s="467">
        <f t="shared" ca="1" si="367"/>
        <v>58044</v>
      </c>
      <c r="BF506" s="468">
        <f ca="1">IF(計算!$BC506&lt;OP!$C$3,0,BD506-BC506)</f>
        <v>1</v>
      </c>
      <c r="BG506" s="468">
        <f ca="1">IF($BE506&gt;DATE(YEAR($BD$9)+OP!$C$57,MONTH($BD$9),DAY($BD$9)),0,$BE506-$BD506+1)</f>
        <v>29</v>
      </c>
      <c r="BH506" s="469">
        <f t="shared" ca="1" si="368"/>
        <v>30</v>
      </c>
      <c r="BI506" t="str">
        <f t="shared" si="384"/>
        <v/>
      </c>
      <c r="BJ506">
        <v>5</v>
      </c>
      <c r="BN506" s="468">
        <f t="shared" si="380"/>
        <v>42</v>
      </c>
      <c r="BO506" s="468">
        <f t="shared" si="381"/>
        <v>5</v>
      </c>
      <c r="BP506" s="467">
        <f t="shared" ca="1" si="369"/>
        <v>58016</v>
      </c>
      <c r="BQ506" s="475">
        <f t="shared" ca="1" si="383"/>
        <v>74</v>
      </c>
      <c r="BR506" s="475" t="str">
        <f t="shared" si="382"/>
        <v/>
      </c>
      <c r="BS506" s="471" t="str">
        <f t="shared" si="370"/>
        <v/>
      </c>
      <c r="BT506" s="472" t="str">
        <f t="shared" si="385"/>
        <v/>
      </c>
      <c r="BU506" s="472">
        <f t="shared" ca="1" si="371"/>
        <v>0</v>
      </c>
      <c r="BV506" s="472">
        <f t="shared" ca="1" si="371"/>
        <v>0</v>
      </c>
      <c r="BW506" s="472"/>
      <c r="BX506" s="473">
        <f t="shared" ca="1" si="372"/>
        <v>575130.15254910802</v>
      </c>
      <c r="BY506" s="473">
        <f t="shared" si="373"/>
        <v>0</v>
      </c>
      <c r="BZ506" s="473">
        <f t="shared" ca="1" si="355"/>
        <v>1271.5891294370001</v>
      </c>
      <c r="CA506" s="476">
        <f t="shared" ca="1" si="374"/>
        <v>0</v>
      </c>
      <c r="CB506" s="494">
        <f ca="1">IF(OR($Q505&lt;&gt;1,OP!$D$5+$BN506-1&lt;16,$BN506-1&lt;1),0,ROUND(ROUND(ROUND(((VLOOKUP($BN506-1,MORE_PV,5,0)/10000)*VLOOKUP($BN506,MORE_PV,$CB$5,0)),3)*VLOOKUP($BN506,more1,5,0),0)/$R505,0))</f>
        <v>0</v>
      </c>
      <c r="CC506" s="473">
        <f t="shared" ca="1" si="375"/>
        <v>0</v>
      </c>
      <c r="CD506" s="477"/>
    </row>
    <row r="507" spans="2:82" ht="16.5" hidden="1">
      <c r="B507" s="80"/>
      <c r="C507" s="80"/>
      <c r="D507" s="80"/>
      <c r="E507" s="80"/>
      <c r="F507" s="80"/>
      <c r="G507" s="80"/>
      <c r="H507" s="80"/>
      <c r="I507" s="80"/>
      <c r="J507" s="192">
        <f t="shared" si="356"/>
        <v>42</v>
      </c>
      <c r="K507" s="192">
        <f t="shared" si="357"/>
        <v>7</v>
      </c>
      <c r="L507" s="192" t="str">
        <f t="shared" si="352"/>
        <v/>
      </c>
      <c r="M507" s="216">
        <f t="shared" ca="1" si="358"/>
        <v>0</v>
      </c>
      <c r="N507" s="216"/>
      <c r="O507" s="216"/>
      <c r="P507" s="216"/>
      <c r="Q507" s="456" t="str">
        <f t="shared" ca="1" si="359"/>
        <v/>
      </c>
      <c r="R507" s="450">
        <f t="shared" ca="1" si="360"/>
        <v>1</v>
      </c>
      <c r="S507" s="191">
        <f t="shared" si="361"/>
        <v>42</v>
      </c>
      <c r="T507" s="191">
        <f t="shared" si="362"/>
        <v>7</v>
      </c>
      <c r="U507" s="191">
        <f ca="1">OP!$D$5+$S507-1</f>
        <v>74</v>
      </c>
      <c r="V507" s="191" t="str">
        <f t="shared" si="363"/>
        <v/>
      </c>
      <c r="W507" s="350">
        <f ca="1">IF(Q507&lt;&gt;1,0,VLOOKUP(OP!$C$55,PVFB,$S507+2,0))</f>
        <v>0</v>
      </c>
      <c r="X507" s="473">
        <f t="shared" ca="1" si="376"/>
        <v>0</v>
      </c>
      <c r="Y507" s="348">
        <f t="shared" ca="1" si="377"/>
        <v>0</v>
      </c>
      <c r="Z507" s="348">
        <f t="shared" ca="1" si="378"/>
        <v>8012</v>
      </c>
      <c r="AA507" s="348">
        <f ca="1">IF(Q507&lt;&gt;1,0,VLOOKUP(OP!$C$55,PVFB,$S507+2,0))</f>
        <v>0</v>
      </c>
      <c r="AB507" s="488" t="str">
        <f ca="1">IF(AND(S507&lt;OP!$C$24,$U507&lt;15),0,IF(AND($U507&lt;15,$T507=12),ROUND(VLOOKUP($S507,DOWN16,5,0),3),IF($T507=12,ROUND(($Z507/10000)*$AA507,3)+IF(AND($P$7="購買增額繳清保險",T507=12,U507=110),VLOOKUP(S507,$B$10:$H$121,7,0),0),"")))</f>
        <v/>
      </c>
      <c r="AC507" s="350" t="str">
        <f ca="1">IF(AND(S507&lt;OP!$C$24,$U507&lt;15),0,IF(AND($U507&lt;16,$T507=12),VLOOKUP($S507,DOWN16,4,0),IF($T507=12,ROUND(VLOOKUP(OP!$C$55,_DIE2,$S507+1,0)*(Z507/10000),0)+IF(AND($P$7="購買增額繳清保險",T507=12,U507=110),VLOOKUP(S507,$B$10:$H$121,7,0),0),"")))</f>
        <v/>
      </c>
      <c r="AD507" s="347"/>
      <c r="AE507" s="350" t="str">
        <f t="shared" ca="1" si="353"/>
        <v/>
      </c>
      <c r="AF507" s="351" t="str">
        <f t="shared" ca="1" si="354"/>
        <v/>
      </c>
      <c r="AG507" s="340"/>
      <c r="AH507" s="340"/>
      <c r="AI507" s="340"/>
      <c r="AJ507" s="340"/>
      <c r="AK507" s="340"/>
      <c r="AL507" s="340"/>
      <c r="AM507" s="340"/>
      <c r="AN507" s="340"/>
      <c r="AO507" s="340"/>
      <c r="AP507" s="340"/>
      <c r="AQ507" s="340"/>
      <c r="AR507" s="340"/>
      <c r="AS507" s="340"/>
      <c r="AT507" s="340"/>
      <c r="AU507" s="340"/>
      <c r="AV507" s="340"/>
      <c r="AY507" s="340"/>
      <c r="AZ507" s="465">
        <f t="shared" ca="1" si="364"/>
        <v>7.3698599999999999E-5</v>
      </c>
      <c r="BA507" s="464">
        <f t="shared" ca="1" si="365"/>
        <v>2.2109589000000002E-3</v>
      </c>
      <c r="BB507" s="465">
        <f t="shared" ca="1" si="365"/>
        <v>2.2846575E-3</v>
      </c>
      <c r="BC507" s="466">
        <f t="shared" ca="1" si="366"/>
        <v>58045</v>
      </c>
      <c r="BD507" s="467">
        <f t="shared" ca="1" si="379"/>
        <v>58046</v>
      </c>
      <c r="BE507" s="467">
        <f t="shared" ca="1" si="367"/>
        <v>58075</v>
      </c>
      <c r="BF507" s="468">
        <f ca="1">IF(計算!$BC507&lt;OP!$C$3,0,BD507-BC507)</f>
        <v>1</v>
      </c>
      <c r="BG507" s="468">
        <f ca="1">IF($BE507&gt;DATE(YEAR($BD$9)+OP!$C$57,MONTH($BD$9),DAY($BD$9)),0,$BE507-$BD507+1)</f>
        <v>30</v>
      </c>
      <c r="BH507" s="469">
        <f t="shared" ca="1" si="368"/>
        <v>31</v>
      </c>
      <c r="BI507" t="str">
        <f t="shared" si="384"/>
        <v/>
      </c>
      <c r="BJ507">
        <v>6</v>
      </c>
      <c r="BN507" s="468">
        <f t="shared" si="380"/>
        <v>42</v>
      </c>
      <c r="BO507" s="468">
        <f t="shared" si="381"/>
        <v>6</v>
      </c>
      <c r="BP507" s="467">
        <f t="shared" ca="1" si="369"/>
        <v>58046</v>
      </c>
      <c r="BQ507" s="475">
        <f t="shared" ca="1" si="383"/>
        <v>74</v>
      </c>
      <c r="BR507" s="475" t="str">
        <f t="shared" si="382"/>
        <v/>
      </c>
      <c r="BS507" s="471" t="str">
        <f t="shared" si="370"/>
        <v/>
      </c>
      <c r="BT507" s="472" t="str">
        <f t="shared" si="385"/>
        <v/>
      </c>
      <c r="BU507" s="472">
        <f t="shared" ca="1" si="371"/>
        <v>0</v>
      </c>
      <c r="BV507" s="472">
        <f t="shared" ca="1" si="371"/>
        <v>0</v>
      </c>
      <c r="BW507" s="472"/>
      <c r="BX507" s="473">
        <f t="shared" ca="1" si="372"/>
        <v>576401.74167854502</v>
      </c>
      <c r="BY507" s="473">
        <f t="shared" si="373"/>
        <v>0</v>
      </c>
      <c r="BZ507" s="473">
        <f t="shared" ca="1" si="355"/>
        <v>1316.8805621389999</v>
      </c>
      <c r="CA507" s="476">
        <f t="shared" ca="1" si="374"/>
        <v>0</v>
      </c>
      <c r="CB507" s="494">
        <f ca="1">IF(OR($Q506&lt;&gt;1,OP!$D$5+$BN507-1&lt;16,$BN507-1&lt;1),0,ROUND(ROUND(ROUND(((VLOOKUP($BN507-1,MORE_PV,5,0)/10000)*VLOOKUP($BN507,MORE_PV,$CB$5,0)),3)*VLOOKUP($BN507,more1,5,0),0)/$R506,0))</f>
        <v>0</v>
      </c>
      <c r="CC507" s="473">
        <f t="shared" ca="1" si="375"/>
        <v>0</v>
      </c>
      <c r="CD507" s="477"/>
    </row>
    <row r="508" spans="2:82" ht="16.5" hidden="1">
      <c r="B508" s="80"/>
      <c r="C508" s="80"/>
      <c r="D508" s="80"/>
      <c r="E508" s="80"/>
      <c r="F508" s="80"/>
      <c r="G508" s="80"/>
      <c r="H508" s="80"/>
      <c r="I508" s="80"/>
      <c r="J508" s="192">
        <f t="shared" si="356"/>
        <v>42</v>
      </c>
      <c r="K508" s="192">
        <f t="shared" si="357"/>
        <v>8</v>
      </c>
      <c r="L508" s="192" t="str">
        <f t="shared" si="352"/>
        <v/>
      </c>
      <c r="M508" s="216">
        <f t="shared" ca="1" si="358"/>
        <v>0</v>
      </c>
      <c r="N508" s="216"/>
      <c r="O508" s="216"/>
      <c r="P508" s="216"/>
      <c r="Q508" s="456" t="str">
        <f t="shared" ca="1" si="359"/>
        <v/>
      </c>
      <c r="R508" s="450">
        <f t="shared" ca="1" si="360"/>
        <v>1</v>
      </c>
      <c r="S508" s="191">
        <f t="shared" si="361"/>
        <v>42</v>
      </c>
      <c r="T508" s="191">
        <f t="shared" si="362"/>
        <v>8</v>
      </c>
      <c r="U508" s="191">
        <f ca="1">OP!$D$5+$S508-1</f>
        <v>74</v>
      </c>
      <c r="V508" s="191" t="str">
        <f t="shared" si="363"/>
        <v/>
      </c>
      <c r="W508" s="350">
        <f ca="1">IF(Q508&lt;&gt;1,0,VLOOKUP(OP!$C$55,PVFB,$S508+2,0))</f>
        <v>0</v>
      </c>
      <c r="X508" s="473">
        <f t="shared" ca="1" si="376"/>
        <v>0</v>
      </c>
      <c r="Y508" s="348">
        <f t="shared" ca="1" si="377"/>
        <v>0</v>
      </c>
      <c r="Z508" s="348">
        <f t="shared" ca="1" si="378"/>
        <v>8012</v>
      </c>
      <c r="AA508" s="348">
        <f ca="1">IF(Q508&lt;&gt;1,0,VLOOKUP(OP!$C$55,PVFB,$S508+2,0))</f>
        <v>0</v>
      </c>
      <c r="AB508" s="488" t="str">
        <f ca="1">IF(AND(S508&lt;OP!$C$24,$U508&lt;15),0,IF(AND($U508&lt;15,$T508=12),ROUND(VLOOKUP($S508,DOWN16,5,0),3),IF($T508=12,ROUND(($Z508/10000)*$AA508,3)+IF(AND($P$7="購買增額繳清保險",T508=12,U508=110),VLOOKUP(S508,$B$10:$H$121,7,0),0),"")))</f>
        <v/>
      </c>
      <c r="AC508" s="350" t="str">
        <f ca="1">IF(AND(S508&lt;OP!$C$24,$U508&lt;15),0,IF(AND($U508&lt;16,$T508=12),VLOOKUP($S508,DOWN16,4,0),IF($T508=12,ROUND(VLOOKUP(OP!$C$55,_DIE2,$S508+1,0)*(Z508/10000),0)+IF(AND($P$7="購買增額繳清保險",T508=12,U508=110),VLOOKUP(S508,$B$10:$H$121,7,0),0),"")))</f>
        <v/>
      </c>
      <c r="AD508" s="347"/>
      <c r="AE508" s="350" t="str">
        <f t="shared" ca="1" si="353"/>
        <v/>
      </c>
      <c r="AF508" s="351" t="str">
        <f t="shared" ca="1" si="354"/>
        <v/>
      </c>
      <c r="AG508" s="340"/>
      <c r="AH508" s="340"/>
      <c r="AI508" s="340"/>
      <c r="AJ508" s="340"/>
      <c r="AK508" s="340"/>
      <c r="AL508" s="340"/>
      <c r="AM508" s="340"/>
      <c r="AN508" s="340"/>
      <c r="AO508" s="340"/>
      <c r="AP508" s="340"/>
      <c r="AQ508" s="340"/>
      <c r="AR508" s="340"/>
      <c r="AS508" s="340"/>
      <c r="AT508" s="340"/>
      <c r="AU508" s="340"/>
      <c r="AV508" s="340"/>
      <c r="AY508" s="340"/>
      <c r="AZ508" s="465">
        <f t="shared" ca="1" si="364"/>
        <v>7.3698599999999999E-5</v>
      </c>
      <c r="BA508" s="464">
        <f t="shared" ca="1" si="365"/>
        <v>2.2109589000000002E-3</v>
      </c>
      <c r="BB508" s="465">
        <f t="shared" ca="1" si="365"/>
        <v>2.2846575E-3</v>
      </c>
      <c r="BC508" s="466">
        <f t="shared" ca="1" si="366"/>
        <v>58076</v>
      </c>
      <c r="BD508" s="467">
        <f t="shared" ca="1" si="379"/>
        <v>58077</v>
      </c>
      <c r="BE508" s="467">
        <f t="shared" ca="1" si="367"/>
        <v>58106</v>
      </c>
      <c r="BF508" s="468">
        <f ca="1">IF(計算!$BC508&lt;OP!$C$3,0,BD508-BC508)</f>
        <v>1</v>
      </c>
      <c r="BG508" s="468">
        <f ca="1">IF($BE508&gt;DATE(YEAR($BD$9)+OP!$C$57,MONTH($BD$9),DAY($BD$9)),0,$BE508-$BD508+1)</f>
        <v>30</v>
      </c>
      <c r="BH508" s="469">
        <f t="shared" ca="1" si="368"/>
        <v>31</v>
      </c>
      <c r="BI508" t="str">
        <f t="shared" si="384"/>
        <v/>
      </c>
      <c r="BJ508">
        <v>7</v>
      </c>
      <c r="BN508" s="468">
        <f t="shared" si="380"/>
        <v>42</v>
      </c>
      <c r="BO508" s="468">
        <f t="shared" si="381"/>
        <v>7</v>
      </c>
      <c r="BP508" s="467">
        <f t="shared" ca="1" si="369"/>
        <v>58077</v>
      </c>
      <c r="BQ508" s="475">
        <f t="shared" ca="1" si="383"/>
        <v>74</v>
      </c>
      <c r="BR508" s="475" t="str">
        <f t="shared" si="382"/>
        <v/>
      </c>
      <c r="BS508" s="471" t="str">
        <f t="shared" si="370"/>
        <v/>
      </c>
      <c r="BT508" s="472" t="str">
        <f t="shared" si="385"/>
        <v/>
      </c>
      <c r="BU508" s="472">
        <f t="shared" ca="1" si="371"/>
        <v>0</v>
      </c>
      <c r="BV508" s="472">
        <f t="shared" ca="1" si="371"/>
        <v>0</v>
      </c>
      <c r="BW508" s="472"/>
      <c r="BX508" s="473">
        <f t="shared" ca="1" si="372"/>
        <v>577718.622240684</v>
      </c>
      <c r="BY508" s="473">
        <f t="shared" si="373"/>
        <v>0</v>
      </c>
      <c r="BZ508" s="473">
        <f t="shared" ca="1" si="355"/>
        <v>1319.889183192</v>
      </c>
      <c r="CA508" s="476">
        <f t="shared" ca="1" si="374"/>
        <v>0</v>
      </c>
      <c r="CB508" s="494">
        <f ca="1">IF(OR($Q507&lt;&gt;1,OP!$D$5+$BN508-1&lt;16,$BN508-1&lt;1),0,ROUND(ROUND(ROUND(((VLOOKUP($BN508-1,MORE_PV,5,0)/10000)*VLOOKUP($BN508,MORE_PV,$CB$5,0)),3)*VLOOKUP($BN508,more1,5,0),0)/$R507,0))</f>
        <v>0</v>
      </c>
      <c r="CC508" s="473">
        <f t="shared" ca="1" si="375"/>
        <v>0</v>
      </c>
      <c r="CD508" s="477"/>
    </row>
    <row r="509" spans="2:82" ht="16.5" hidden="1">
      <c r="B509" s="80"/>
      <c r="C509" s="80"/>
      <c r="D509" s="80"/>
      <c r="E509" s="80"/>
      <c r="F509" s="80"/>
      <c r="G509" s="80"/>
      <c r="H509" s="80"/>
      <c r="I509" s="80"/>
      <c r="J509" s="192">
        <f t="shared" si="356"/>
        <v>42</v>
      </c>
      <c r="K509" s="192">
        <f t="shared" si="357"/>
        <v>9</v>
      </c>
      <c r="L509" s="192" t="str">
        <f t="shared" si="352"/>
        <v/>
      </c>
      <c r="M509" s="216">
        <f t="shared" ca="1" si="358"/>
        <v>0</v>
      </c>
      <c r="N509" s="216"/>
      <c r="O509" s="216"/>
      <c r="P509" s="216"/>
      <c r="Q509" s="456" t="str">
        <f t="shared" ca="1" si="359"/>
        <v/>
      </c>
      <c r="R509" s="450">
        <f t="shared" ca="1" si="360"/>
        <v>1</v>
      </c>
      <c r="S509" s="191">
        <f t="shared" si="361"/>
        <v>42</v>
      </c>
      <c r="T509" s="191">
        <f t="shared" si="362"/>
        <v>9</v>
      </c>
      <c r="U509" s="191">
        <f ca="1">OP!$D$5+$S509-1</f>
        <v>74</v>
      </c>
      <c r="V509" s="191" t="str">
        <f t="shared" si="363"/>
        <v/>
      </c>
      <c r="W509" s="350">
        <f ca="1">IF(Q509&lt;&gt;1,0,VLOOKUP(OP!$C$55,PVFB,$S509+2,0))</f>
        <v>0</v>
      </c>
      <c r="X509" s="473">
        <f t="shared" ca="1" si="376"/>
        <v>0</v>
      </c>
      <c r="Y509" s="348">
        <f t="shared" ca="1" si="377"/>
        <v>0</v>
      </c>
      <c r="Z509" s="348">
        <f t="shared" ca="1" si="378"/>
        <v>8012</v>
      </c>
      <c r="AA509" s="348">
        <f ca="1">IF(Q509&lt;&gt;1,0,VLOOKUP(OP!$C$55,PVFB,$S509+2,0))</f>
        <v>0</v>
      </c>
      <c r="AB509" s="488" t="str">
        <f ca="1">IF(AND(S509&lt;OP!$C$24,$U509&lt;15),0,IF(AND($U509&lt;15,$T509=12),ROUND(VLOOKUP($S509,DOWN16,5,0),3),IF($T509=12,ROUND(($Z509/10000)*$AA509,3)+IF(AND($P$7="購買增額繳清保險",T509=12,U509=110),VLOOKUP(S509,$B$10:$H$121,7,0),0),"")))</f>
        <v/>
      </c>
      <c r="AC509" s="350" t="str">
        <f ca="1">IF(AND(S509&lt;OP!$C$24,$U509&lt;15),0,IF(AND($U509&lt;16,$T509=12),VLOOKUP($S509,DOWN16,4,0),IF($T509=12,ROUND(VLOOKUP(OP!$C$55,_DIE2,$S509+1,0)*(Z509/10000),0)+IF(AND($P$7="購買增額繳清保險",T509=12,U509=110),VLOOKUP(S509,$B$10:$H$121,7,0),0),"")))</f>
        <v/>
      </c>
      <c r="AD509" s="347"/>
      <c r="AE509" s="350" t="str">
        <f t="shared" ca="1" si="353"/>
        <v/>
      </c>
      <c r="AF509" s="351" t="str">
        <f t="shared" ca="1" si="354"/>
        <v/>
      </c>
      <c r="AG509" s="340"/>
      <c r="AH509" s="340"/>
      <c r="AI509" s="340"/>
      <c r="AJ509" s="340"/>
      <c r="AK509" s="340"/>
      <c r="AL509" s="340"/>
      <c r="AM509" s="340"/>
      <c r="AN509" s="340"/>
      <c r="AO509" s="340"/>
      <c r="AP509" s="340"/>
      <c r="AQ509" s="340"/>
      <c r="AR509" s="340"/>
      <c r="AS509" s="340"/>
      <c r="AT509" s="340"/>
      <c r="AU509" s="340"/>
      <c r="AV509" s="340"/>
      <c r="AY509" s="340"/>
      <c r="AZ509" s="465">
        <f t="shared" ca="1" si="364"/>
        <v>7.3698599999999999E-5</v>
      </c>
      <c r="BA509" s="464">
        <f t="shared" ca="1" si="365"/>
        <v>1.9898630000000001E-3</v>
      </c>
      <c r="BB509" s="465">
        <f t="shared" ca="1" si="365"/>
        <v>2.0635616E-3</v>
      </c>
      <c r="BC509" s="466">
        <f t="shared" ca="1" si="366"/>
        <v>58107</v>
      </c>
      <c r="BD509" s="467">
        <f t="shared" ca="1" si="379"/>
        <v>58108</v>
      </c>
      <c r="BE509" s="467">
        <f t="shared" ca="1" si="367"/>
        <v>58134</v>
      </c>
      <c r="BF509" s="468">
        <f ca="1">IF(計算!$BC509&lt;OP!$C$3,0,BD509-BC509)</f>
        <v>1</v>
      </c>
      <c r="BG509" s="468">
        <f ca="1">IF($BE509&gt;DATE(YEAR($BD$9)+OP!$C$57,MONTH($BD$9),DAY($BD$9)),0,$BE509-$BD509+1)</f>
        <v>27</v>
      </c>
      <c r="BH509" s="469">
        <f t="shared" ca="1" si="368"/>
        <v>28</v>
      </c>
      <c r="BI509" t="str">
        <f t="shared" si="384"/>
        <v/>
      </c>
      <c r="BJ509">
        <v>8</v>
      </c>
      <c r="BN509" s="468">
        <f t="shared" si="380"/>
        <v>42</v>
      </c>
      <c r="BO509" s="468">
        <f t="shared" si="381"/>
        <v>8</v>
      </c>
      <c r="BP509" s="467">
        <f t="shared" ca="1" si="369"/>
        <v>58108</v>
      </c>
      <c r="BQ509" s="475">
        <f t="shared" ca="1" si="383"/>
        <v>74</v>
      </c>
      <c r="BR509" s="475" t="str">
        <f t="shared" si="382"/>
        <v/>
      </c>
      <c r="BS509" s="471" t="str">
        <f t="shared" si="370"/>
        <v/>
      </c>
      <c r="BT509" s="472" t="str">
        <f t="shared" si="385"/>
        <v/>
      </c>
      <c r="BU509" s="472">
        <f t="shared" ca="1" si="371"/>
        <v>0</v>
      </c>
      <c r="BV509" s="472">
        <f t="shared" ca="1" si="371"/>
        <v>0</v>
      </c>
      <c r="BW509" s="472"/>
      <c r="BX509" s="473">
        <f t="shared" ca="1" si="372"/>
        <v>579038.51142387604</v>
      </c>
      <c r="BY509" s="473">
        <f t="shared" si="373"/>
        <v>0</v>
      </c>
      <c r="BZ509" s="473">
        <f t="shared" ca="1" si="355"/>
        <v>1194.8816370950001</v>
      </c>
      <c r="CA509" s="476">
        <f t="shared" ca="1" si="374"/>
        <v>0</v>
      </c>
      <c r="CB509" s="494">
        <f ca="1">IF(OR($Q508&lt;&gt;1,OP!$D$5+$BN509-1&lt;16,$BN509-1&lt;1),0,ROUND(ROUND(ROUND(((VLOOKUP($BN509-1,MORE_PV,5,0)/10000)*VLOOKUP($BN509,MORE_PV,$CB$5,0)),3)*VLOOKUP($BN509,more1,5,0),0)/$R508,0))</f>
        <v>0</v>
      </c>
      <c r="CC509" s="473">
        <f t="shared" ca="1" si="375"/>
        <v>0</v>
      </c>
      <c r="CD509" s="477"/>
    </row>
    <row r="510" spans="2:82" ht="16.5" hidden="1">
      <c r="B510" s="80"/>
      <c r="C510" s="80"/>
      <c r="D510" s="80"/>
      <c r="E510" s="80"/>
      <c r="F510" s="80"/>
      <c r="G510" s="80"/>
      <c r="H510" s="80"/>
      <c r="I510" s="80"/>
      <c r="J510" s="192">
        <f t="shared" si="356"/>
        <v>42</v>
      </c>
      <c r="K510" s="192">
        <f t="shared" si="357"/>
        <v>10</v>
      </c>
      <c r="L510" s="192" t="str">
        <f t="shared" si="352"/>
        <v/>
      </c>
      <c r="M510" s="216">
        <f t="shared" ca="1" si="358"/>
        <v>0</v>
      </c>
      <c r="N510" s="216"/>
      <c r="O510" s="216"/>
      <c r="P510" s="216"/>
      <c r="Q510" s="456" t="str">
        <f t="shared" ca="1" si="359"/>
        <v/>
      </c>
      <c r="R510" s="450">
        <f t="shared" ca="1" si="360"/>
        <v>1</v>
      </c>
      <c r="S510" s="191">
        <f t="shared" si="361"/>
        <v>42</v>
      </c>
      <c r="T510" s="191">
        <f t="shared" si="362"/>
        <v>10</v>
      </c>
      <c r="U510" s="191">
        <f ca="1">OP!$D$5+$S510-1</f>
        <v>74</v>
      </c>
      <c r="V510" s="191" t="str">
        <f t="shared" si="363"/>
        <v/>
      </c>
      <c r="W510" s="350">
        <f ca="1">IF(Q510&lt;&gt;1,0,VLOOKUP(OP!$C$55,PVFB,$S510+2,0))</f>
        <v>0</v>
      </c>
      <c r="X510" s="473">
        <f t="shared" ca="1" si="376"/>
        <v>0</v>
      </c>
      <c r="Y510" s="348">
        <f t="shared" ca="1" si="377"/>
        <v>0</v>
      </c>
      <c r="Z510" s="348">
        <f t="shared" ca="1" si="378"/>
        <v>8012</v>
      </c>
      <c r="AA510" s="348">
        <f ca="1">IF(Q510&lt;&gt;1,0,VLOOKUP(OP!$C$55,PVFB,$S510+2,0))</f>
        <v>0</v>
      </c>
      <c r="AB510" s="488" t="str">
        <f ca="1">IF(AND(S510&lt;OP!$C$24,$U510&lt;15),0,IF(AND($U510&lt;15,$T510=12),ROUND(VLOOKUP($S510,DOWN16,5,0),3),IF($T510=12,ROUND(($Z510/10000)*$AA510,3)+IF(AND($P$7="購買增額繳清保險",T510=12,U510=110),VLOOKUP(S510,$B$10:$H$121,7,0),0),"")))</f>
        <v/>
      </c>
      <c r="AC510" s="350" t="str">
        <f ca="1">IF(AND(S510&lt;OP!$C$24,$U510&lt;15),0,IF(AND($U510&lt;16,$T510=12),VLOOKUP($S510,DOWN16,4,0),IF($T510=12,ROUND(VLOOKUP(OP!$C$55,_DIE2,$S510+1,0)*(Z510/10000),0)+IF(AND($P$7="購買增額繳清保險",T510=12,U510=110),VLOOKUP(S510,$B$10:$H$121,7,0),0),"")))</f>
        <v/>
      </c>
      <c r="AD510" s="347"/>
      <c r="AE510" s="350" t="str">
        <f t="shared" ca="1" si="353"/>
        <v/>
      </c>
      <c r="AF510" s="351" t="str">
        <f t="shared" ca="1" si="354"/>
        <v/>
      </c>
      <c r="AG510" s="340"/>
      <c r="AH510" s="340"/>
      <c r="AI510" s="340"/>
      <c r="AJ510" s="340"/>
      <c r="AK510" s="340"/>
      <c r="AL510" s="340"/>
      <c r="AM510" s="340"/>
      <c r="AN510" s="340"/>
      <c r="AO510" s="340"/>
      <c r="AP510" s="340"/>
      <c r="AQ510" s="340"/>
      <c r="AR510" s="340"/>
      <c r="AS510" s="340"/>
      <c r="AT510" s="340"/>
      <c r="AU510" s="340"/>
      <c r="AV510" s="340"/>
      <c r="AY510" s="340"/>
      <c r="AZ510" s="465">
        <f t="shared" ca="1" si="364"/>
        <v>7.3698599999999999E-5</v>
      </c>
      <c r="BA510" s="464">
        <f t="shared" ca="1" si="365"/>
        <v>2.2109589000000002E-3</v>
      </c>
      <c r="BB510" s="465">
        <f t="shared" ca="1" si="365"/>
        <v>2.2846575E-3</v>
      </c>
      <c r="BC510" s="466">
        <f t="shared" ca="1" si="366"/>
        <v>58135</v>
      </c>
      <c r="BD510" s="467">
        <f t="shared" ca="1" si="379"/>
        <v>58136</v>
      </c>
      <c r="BE510" s="467">
        <f t="shared" ca="1" si="367"/>
        <v>58165</v>
      </c>
      <c r="BF510" s="468">
        <f ca="1">IF(計算!$BC510&lt;OP!$C$3,0,BD510-BC510)</f>
        <v>1</v>
      </c>
      <c r="BG510" s="468">
        <f ca="1">IF($BE510&gt;DATE(YEAR($BD$9)+OP!$C$57,MONTH($BD$9),DAY($BD$9)),0,$BE510-$BD510+1)</f>
        <v>30</v>
      </c>
      <c r="BH510" s="469">
        <f t="shared" ca="1" si="368"/>
        <v>31</v>
      </c>
      <c r="BI510" t="str">
        <f t="shared" si="384"/>
        <v/>
      </c>
      <c r="BJ510">
        <v>9</v>
      </c>
      <c r="BN510" s="468">
        <f t="shared" si="380"/>
        <v>42</v>
      </c>
      <c r="BO510" s="468">
        <f t="shared" si="381"/>
        <v>9</v>
      </c>
      <c r="BP510" s="467">
        <f t="shared" ca="1" si="369"/>
        <v>58136</v>
      </c>
      <c r="BQ510" s="475">
        <f t="shared" ca="1" si="383"/>
        <v>74</v>
      </c>
      <c r="BR510" s="475" t="str">
        <f t="shared" si="382"/>
        <v/>
      </c>
      <c r="BS510" s="471" t="str">
        <f t="shared" si="370"/>
        <v/>
      </c>
      <c r="BT510" s="472" t="str">
        <f t="shared" si="385"/>
        <v/>
      </c>
      <c r="BU510" s="472">
        <f t="shared" ca="1" si="371"/>
        <v>0</v>
      </c>
      <c r="BV510" s="472">
        <f t="shared" ca="1" si="371"/>
        <v>0</v>
      </c>
      <c r="BW510" s="472"/>
      <c r="BX510" s="473">
        <f t="shared" ca="1" si="372"/>
        <v>580233.39306097105</v>
      </c>
      <c r="BY510" s="473">
        <f t="shared" si="373"/>
        <v>0</v>
      </c>
      <c r="BZ510" s="473">
        <f t="shared" ca="1" si="355"/>
        <v>1325.6345732069999</v>
      </c>
      <c r="CA510" s="476">
        <f t="shared" ca="1" si="374"/>
        <v>0</v>
      </c>
      <c r="CB510" s="494">
        <f ca="1">IF(OR($Q509&lt;&gt;1,OP!$D$5+$BN510-1&lt;16,$BN510-1&lt;1),0,ROUND(ROUND(ROUND(((VLOOKUP($BN510-1,MORE_PV,5,0)/10000)*VLOOKUP($BN510,MORE_PV,$CB$5,0)),3)*VLOOKUP($BN510,more1,5,0),0)/$R509,0))</f>
        <v>0</v>
      </c>
      <c r="CC510" s="473">
        <f t="shared" ca="1" si="375"/>
        <v>0</v>
      </c>
      <c r="CD510" s="477"/>
    </row>
    <row r="511" spans="2:82" ht="16.5" hidden="1">
      <c r="B511" s="80"/>
      <c r="C511" s="80"/>
      <c r="D511" s="80"/>
      <c r="E511" s="80"/>
      <c r="F511" s="80"/>
      <c r="G511" s="80"/>
      <c r="H511" s="80"/>
      <c r="I511" s="80"/>
      <c r="J511" s="192">
        <f t="shared" si="356"/>
        <v>42</v>
      </c>
      <c r="K511" s="192">
        <f t="shared" si="357"/>
        <v>11</v>
      </c>
      <c r="L511" s="192" t="str">
        <f t="shared" si="352"/>
        <v/>
      </c>
      <c r="M511" s="216">
        <f t="shared" ca="1" si="358"/>
        <v>0</v>
      </c>
      <c r="N511" s="216"/>
      <c r="O511" s="216"/>
      <c r="P511" s="216"/>
      <c r="Q511" s="456" t="str">
        <f t="shared" ca="1" si="359"/>
        <v/>
      </c>
      <c r="R511" s="450">
        <f t="shared" ca="1" si="360"/>
        <v>1</v>
      </c>
      <c r="S511" s="191">
        <f t="shared" si="361"/>
        <v>42</v>
      </c>
      <c r="T511" s="191">
        <f t="shared" si="362"/>
        <v>11</v>
      </c>
      <c r="U511" s="191">
        <f ca="1">OP!$D$5+$S511-1</f>
        <v>74</v>
      </c>
      <c r="V511" s="191" t="str">
        <f t="shared" si="363"/>
        <v/>
      </c>
      <c r="W511" s="350">
        <f ca="1">IF(Q511&lt;&gt;1,0,VLOOKUP(OP!$C$55,PVFB,$S511+2,0))</f>
        <v>0</v>
      </c>
      <c r="X511" s="473">
        <f t="shared" ca="1" si="376"/>
        <v>0</v>
      </c>
      <c r="Y511" s="348">
        <f t="shared" ca="1" si="377"/>
        <v>0</v>
      </c>
      <c r="Z511" s="348">
        <f t="shared" ca="1" si="378"/>
        <v>8012</v>
      </c>
      <c r="AA511" s="348">
        <f ca="1">IF(Q511&lt;&gt;1,0,VLOOKUP(OP!$C$55,PVFB,$S511+2,0))</f>
        <v>0</v>
      </c>
      <c r="AB511" s="488" t="str">
        <f ca="1">IF(AND(S511&lt;OP!$C$24,$U511&lt;15),0,IF(AND($U511&lt;15,$T511=12),ROUND(VLOOKUP($S511,DOWN16,5,0),3),IF($T511=12,ROUND(($Z511/10000)*$AA511,3)+IF(AND($P$7="購買增額繳清保險",T511=12,U511=110),VLOOKUP(S511,$B$10:$H$121,7,0),0),"")))</f>
        <v/>
      </c>
      <c r="AC511" s="350" t="str">
        <f ca="1">IF(AND(S511&lt;OP!$C$24,$U511&lt;15),0,IF(AND($U511&lt;16,$T511=12),VLOOKUP($S511,DOWN16,4,0),IF($T511=12,ROUND(VLOOKUP(OP!$C$55,_DIE2,$S511+1,0)*(Z511/10000),0)+IF(AND($P$7="購買增額繳清保險",T511=12,U511=110),VLOOKUP(S511,$B$10:$H$121,7,0),0),"")))</f>
        <v/>
      </c>
      <c r="AD511" s="347"/>
      <c r="AE511" s="350" t="str">
        <f t="shared" ca="1" si="353"/>
        <v/>
      </c>
      <c r="AF511" s="351" t="str">
        <f t="shared" ca="1" si="354"/>
        <v/>
      </c>
      <c r="AG511" s="340"/>
      <c r="AH511" s="340"/>
      <c r="AI511" s="340"/>
      <c r="AJ511" s="340"/>
      <c r="AK511" s="340"/>
      <c r="AL511" s="340"/>
      <c r="AM511" s="340"/>
      <c r="AN511" s="340"/>
      <c r="AO511" s="340"/>
      <c r="AP511" s="340"/>
      <c r="AQ511" s="340"/>
      <c r="AR511" s="340"/>
      <c r="AS511" s="340"/>
      <c r="AT511" s="340"/>
      <c r="AU511" s="340"/>
      <c r="AV511" s="340"/>
      <c r="AY511" s="340"/>
      <c r="AZ511" s="465">
        <f t="shared" ca="1" si="364"/>
        <v>7.3698599999999999E-5</v>
      </c>
      <c r="BA511" s="464">
        <f t="shared" ca="1" si="365"/>
        <v>2.1372602999999999E-3</v>
      </c>
      <c r="BB511" s="465">
        <f t="shared" ca="1" si="365"/>
        <v>2.2109589000000002E-3</v>
      </c>
      <c r="BC511" s="466">
        <f t="shared" ca="1" si="366"/>
        <v>58166</v>
      </c>
      <c r="BD511" s="467">
        <f t="shared" ca="1" si="379"/>
        <v>58167</v>
      </c>
      <c r="BE511" s="467">
        <f t="shared" ca="1" si="367"/>
        <v>58195</v>
      </c>
      <c r="BF511" s="468">
        <f ca="1">IF(計算!$BC511&lt;OP!$C$3,0,BD511-BC511)</f>
        <v>1</v>
      </c>
      <c r="BG511" s="468">
        <f ca="1">IF($BE511&gt;DATE(YEAR($BD$9)+OP!$C$57,MONTH($BD$9),DAY($BD$9)),0,$BE511-$BD511+1)</f>
        <v>29</v>
      </c>
      <c r="BH511" s="469">
        <f t="shared" ca="1" si="368"/>
        <v>30</v>
      </c>
      <c r="BI511" t="str">
        <f t="shared" si="384"/>
        <v/>
      </c>
      <c r="BJ511">
        <v>10</v>
      </c>
      <c r="BN511" s="468">
        <f t="shared" si="380"/>
        <v>42</v>
      </c>
      <c r="BO511" s="468">
        <f t="shared" si="381"/>
        <v>10</v>
      </c>
      <c r="BP511" s="467">
        <f t="shared" ca="1" si="369"/>
        <v>58167</v>
      </c>
      <c r="BQ511" s="475">
        <f t="shared" ca="1" si="383"/>
        <v>74</v>
      </c>
      <c r="BR511" s="475" t="str">
        <f t="shared" si="382"/>
        <v/>
      </c>
      <c r="BS511" s="471" t="str">
        <f t="shared" si="370"/>
        <v/>
      </c>
      <c r="BT511" s="472" t="str">
        <f t="shared" si="385"/>
        <v/>
      </c>
      <c r="BU511" s="472">
        <f t="shared" ca="1" si="371"/>
        <v>0</v>
      </c>
      <c r="BV511" s="472">
        <f t="shared" ca="1" si="371"/>
        <v>0</v>
      </c>
      <c r="BW511" s="472"/>
      <c r="BX511" s="473">
        <f t="shared" ca="1" si="372"/>
        <v>581559.02763417806</v>
      </c>
      <c r="BY511" s="473">
        <f t="shared" si="373"/>
        <v>0</v>
      </c>
      <c r="BZ511" s="473">
        <f t="shared" ca="1" si="355"/>
        <v>1285.803108023</v>
      </c>
      <c r="CA511" s="476">
        <f t="shared" ca="1" si="374"/>
        <v>0</v>
      </c>
      <c r="CB511" s="494">
        <f ca="1">IF(OR($Q510&lt;&gt;1,OP!$D$5+$BN511-1&lt;16,$BN511-1&lt;1),0,ROUND(ROUND(ROUND(((VLOOKUP($BN511-1,MORE_PV,5,0)/10000)*VLOOKUP($BN511,MORE_PV,$CB$5,0)),3)*VLOOKUP($BN511,more1,5,0),0)/$R510,0))</f>
        <v>0</v>
      </c>
      <c r="CC511" s="473">
        <f t="shared" ca="1" si="375"/>
        <v>0</v>
      </c>
      <c r="CD511" s="477"/>
    </row>
    <row r="512" spans="2:82" ht="16.5" hidden="1">
      <c r="B512" s="80"/>
      <c r="C512" s="80"/>
      <c r="D512" s="80"/>
      <c r="E512" s="80"/>
      <c r="F512" s="80"/>
      <c r="G512" s="80"/>
      <c r="H512" s="80"/>
      <c r="I512" s="80"/>
      <c r="J512" s="192">
        <f t="shared" si="356"/>
        <v>42</v>
      </c>
      <c r="K512" s="192">
        <f t="shared" si="357"/>
        <v>12</v>
      </c>
      <c r="L512" s="192">
        <f t="shared" si="352"/>
        <v>42</v>
      </c>
      <c r="M512" s="216">
        <f t="shared" ca="1" si="358"/>
        <v>598874</v>
      </c>
      <c r="N512" s="216"/>
      <c r="O512" s="216"/>
      <c r="P512" s="216"/>
      <c r="Q512" s="456">
        <f t="shared" ca="1" si="359"/>
        <v>1</v>
      </c>
      <c r="R512" s="450">
        <f t="shared" ca="1" si="360"/>
        <v>1</v>
      </c>
      <c r="S512" s="191">
        <f t="shared" si="361"/>
        <v>42</v>
      </c>
      <c r="T512" s="191">
        <f t="shared" si="362"/>
        <v>12</v>
      </c>
      <c r="U512" s="191">
        <f ca="1">OP!$D$5+$S512-1</f>
        <v>74</v>
      </c>
      <c r="V512" s="191">
        <f t="shared" si="363"/>
        <v>42</v>
      </c>
      <c r="W512" s="350">
        <f ca="1">IF(Q512&lt;&gt;1,0,VLOOKUP(OP!$C$55,PVFB,$S512+2,0))</f>
        <v>61032</v>
      </c>
      <c r="X512" s="473">
        <f t="shared" ca="1" si="376"/>
        <v>14655</v>
      </c>
      <c r="Y512" s="348">
        <f t="shared" ca="1" si="377"/>
        <v>0</v>
      </c>
      <c r="Z512" s="348">
        <f t="shared" ca="1" si="378"/>
        <v>8012</v>
      </c>
      <c r="AA512" s="348">
        <f ca="1">IF(Q512&lt;&gt;1,0,VLOOKUP(OP!$C$55,PVFB,$S512+2,0))</f>
        <v>61032</v>
      </c>
      <c r="AB512" s="488">
        <f ca="1">IF(AND(S512&lt;OP!$C$24,$U512&lt;15),0,IF(AND($U512&lt;15,$T512=12),ROUND(VLOOKUP($S512,DOWN16,5,0),3),IF($T512=12,ROUND(($Z512/10000)*$AA512,3)+IF(AND($P$7="購買增額繳清保險",T512=12,U512=110),VLOOKUP(S512,$B$10:$H$121,7,0),0),"")))</f>
        <v>48898.838000000003</v>
      </c>
      <c r="AC512" s="350">
        <f ca="1">IF(AND(S512&lt;OP!$C$24,$U512&lt;15),0,IF(AND($U512&lt;16,$T512=12),VLOOKUP($S512,DOWN16,4,0),IF($T512=12,ROUND(VLOOKUP(OP!$C$55,_DIE2,$S512+1,0)*(Z512/10000),0)+IF(AND($P$7="購買增額繳清保險",T512=12,U512=110),VLOOKUP(S512,$B$10:$H$121,7,0),0),"")))</f>
        <v>48899</v>
      </c>
      <c r="AD512" s="347"/>
      <c r="AE512" s="350" t="str">
        <f t="shared" ca="1" si="353"/>
        <v/>
      </c>
      <c r="AF512" s="351" t="str">
        <f t="shared" ca="1" si="354"/>
        <v/>
      </c>
      <c r="AG512" s="340"/>
      <c r="AH512" s="340"/>
      <c r="AI512" s="340"/>
      <c r="AJ512" s="340"/>
      <c r="AK512" s="340"/>
      <c r="AL512" s="340"/>
      <c r="AM512" s="340"/>
      <c r="AN512" s="340"/>
      <c r="AO512" s="340"/>
      <c r="AP512" s="340"/>
      <c r="AQ512" s="340"/>
      <c r="AR512" s="340"/>
      <c r="AS512" s="340"/>
      <c r="AT512" s="340"/>
      <c r="AU512" s="340"/>
      <c r="AV512" s="340"/>
      <c r="AY512" s="340"/>
      <c r="AZ512" s="465">
        <f t="shared" ca="1" si="364"/>
        <v>7.3698599999999999E-5</v>
      </c>
      <c r="BA512" s="464">
        <f t="shared" ca="1" si="365"/>
        <v>2.2109589000000002E-3</v>
      </c>
      <c r="BB512" s="465">
        <f t="shared" ca="1" si="365"/>
        <v>2.2846575E-3</v>
      </c>
      <c r="BC512" s="466">
        <f t="shared" ca="1" si="366"/>
        <v>58196</v>
      </c>
      <c r="BD512" s="467">
        <f t="shared" ca="1" si="379"/>
        <v>58197</v>
      </c>
      <c r="BE512" s="467">
        <f t="shared" ca="1" si="367"/>
        <v>58226</v>
      </c>
      <c r="BF512" s="468">
        <f ca="1">IF(計算!$BC512&lt;OP!$C$3,0,BD512-BC512)</f>
        <v>1</v>
      </c>
      <c r="BG512" s="468">
        <f ca="1">IF($BE512&gt;DATE(YEAR($BD$9)+OP!$C$57,MONTH($BD$9),DAY($BD$9)),0,$BE512-$BD512+1)</f>
        <v>30</v>
      </c>
      <c r="BH512" s="469">
        <f t="shared" ca="1" si="368"/>
        <v>31</v>
      </c>
      <c r="BI512" t="str">
        <f t="shared" si="384"/>
        <v/>
      </c>
      <c r="BJ512">
        <v>11</v>
      </c>
      <c r="BN512" s="468">
        <f t="shared" si="380"/>
        <v>42</v>
      </c>
      <c r="BO512" s="468">
        <f t="shared" si="381"/>
        <v>11</v>
      </c>
      <c r="BP512" s="467">
        <f t="shared" ca="1" si="369"/>
        <v>58197</v>
      </c>
      <c r="BQ512" s="475">
        <f t="shared" ca="1" si="383"/>
        <v>74</v>
      </c>
      <c r="BR512" s="475" t="str">
        <f t="shared" si="382"/>
        <v/>
      </c>
      <c r="BS512" s="471" t="str">
        <f t="shared" si="370"/>
        <v/>
      </c>
      <c r="BT512" s="472" t="str">
        <f t="shared" si="385"/>
        <v/>
      </c>
      <c r="BU512" s="472">
        <f t="shared" ca="1" si="371"/>
        <v>0</v>
      </c>
      <c r="BV512" s="472">
        <f t="shared" ca="1" si="371"/>
        <v>0</v>
      </c>
      <c r="BW512" s="472"/>
      <c r="BX512" s="473">
        <f t="shared" ca="1" si="372"/>
        <v>582844.83074220095</v>
      </c>
      <c r="BY512" s="473">
        <f t="shared" si="373"/>
        <v>0</v>
      </c>
      <c r="BZ512" s="473">
        <f t="shared" ca="1" si="355"/>
        <v>1331.6008138909999</v>
      </c>
      <c r="CA512" s="476">
        <f t="shared" ca="1" si="374"/>
        <v>0</v>
      </c>
      <c r="CB512" s="494">
        <f ca="1">IF(OR($Q511&lt;&gt;1,OP!$D$5+$BN512-1&lt;16,$BN512-1&lt;1),0,ROUND(ROUND(ROUND(((VLOOKUP($BN512-1,MORE_PV,5,0)/10000)*VLOOKUP($BN512,MORE_PV,$CB$5,0)),3)*VLOOKUP($BN512,more1,5,0),0)/$R511,0))</f>
        <v>0</v>
      </c>
      <c r="CC512" s="473">
        <f t="shared" ca="1" si="375"/>
        <v>0</v>
      </c>
      <c r="CD512" s="477"/>
    </row>
    <row r="513" spans="2:82" ht="16.5" hidden="1">
      <c r="B513" s="80"/>
      <c r="C513" s="80"/>
      <c r="D513" s="80"/>
      <c r="E513" s="80"/>
      <c r="F513" s="80"/>
      <c r="G513" s="80"/>
      <c r="H513" s="80"/>
      <c r="I513" s="80"/>
      <c r="J513" s="192">
        <f t="shared" si="356"/>
        <v>43</v>
      </c>
      <c r="K513" s="192">
        <f t="shared" si="357"/>
        <v>1</v>
      </c>
      <c r="L513" s="192" t="str">
        <f t="shared" si="352"/>
        <v/>
      </c>
      <c r="M513" s="216">
        <f t="shared" ca="1" si="358"/>
        <v>0</v>
      </c>
      <c r="N513" s="216"/>
      <c r="O513" s="216"/>
      <c r="P513" s="216"/>
      <c r="Q513" s="456" t="str">
        <f t="shared" ca="1" si="359"/>
        <v/>
      </c>
      <c r="R513" s="450">
        <f t="shared" ca="1" si="360"/>
        <v>1</v>
      </c>
      <c r="S513" s="191">
        <f t="shared" si="361"/>
        <v>43</v>
      </c>
      <c r="T513" s="191">
        <f t="shared" si="362"/>
        <v>1</v>
      </c>
      <c r="U513" s="191">
        <f ca="1">OP!$D$5+$S513-1</f>
        <v>75</v>
      </c>
      <c r="V513" s="191" t="str">
        <f t="shared" si="363"/>
        <v/>
      </c>
      <c r="W513" s="350">
        <f ca="1">IF(Q513&lt;&gt;1,0,VLOOKUP(OP!$C$55,PVFB,$S513+2,0))</f>
        <v>0</v>
      </c>
      <c r="X513" s="473">
        <f t="shared" ca="1" si="376"/>
        <v>0</v>
      </c>
      <c r="Y513" s="348">
        <f t="shared" ca="1" si="377"/>
        <v>0</v>
      </c>
      <c r="Z513" s="348">
        <f t="shared" ca="1" si="378"/>
        <v>8012</v>
      </c>
      <c r="AA513" s="348">
        <f ca="1">IF(Q513&lt;&gt;1,0,VLOOKUP(OP!$C$55,PVFB,$S513+2,0))</f>
        <v>0</v>
      </c>
      <c r="AB513" s="488" t="str">
        <f ca="1">IF(AND(S513&lt;OP!$C$24,$U513&lt;15),0,IF(AND($U513&lt;15,$T513=12),ROUND(VLOOKUP($S513,DOWN16,5,0),3),IF($T513=12,ROUND(($Z513/10000)*$AA513,3)+IF(AND($P$7="購買增額繳清保險",T513=12,U513=110),VLOOKUP(S513,$B$10:$H$121,7,0),0),"")))</f>
        <v/>
      </c>
      <c r="AC513" s="350" t="str">
        <f ca="1">IF(AND(S513&lt;OP!$C$24,$U513&lt;15),0,IF(AND($U513&lt;16,$T513=12),VLOOKUP($S513,DOWN16,4,0),IF($T513=12,ROUND(VLOOKUP(OP!$C$55,_DIE2,$S513+1,0)*(Z513/10000),0)+IF(AND($P$7="購買增額繳清保險",T513=12,U513=110),VLOOKUP(S513,$B$10:$H$121,7,0),0),"")))</f>
        <v/>
      </c>
      <c r="AD513" s="347"/>
      <c r="AE513" s="350" t="str">
        <f t="shared" ca="1" si="353"/>
        <v/>
      </c>
      <c r="AF513" s="351" t="str">
        <f t="shared" ca="1" si="354"/>
        <v/>
      </c>
      <c r="AG513" s="340"/>
      <c r="AH513" s="340"/>
      <c r="AI513" s="340"/>
      <c r="AJ513" s="340"/>
      <c r="AK513" s="340"/>
      <c r="AL513" s="340"/>
      <c r="AM513" s="340"/>
      <c r="AN513" s="340"/>
      <c r="AO513" s="340"/>
      <c r="AP513" s="340"/>
      <c r="AQ513" s="340"/>
      <c r="AR513" s="340"/>
      <c r="AS513" s="340"/>
      <c r="AT513" s="340"/>
      <c r="AU513" s="340"/>
      <c r="AV513" s="340"/>
      <c r="AY513" s="340"/>
      <c r="AZ513" s="465">
        <f t="shared" ca="1" si="364"/>
        <v>7.3698599999999999E-5</v>
      </c>
      <c r="BA513" s="464">
        <f t="shared" ca="1" si="365"/>
        <v>2.1372602999999999E-3</v>
      </c>
      <c r="BB513" s="465">
        <f t="shared" ca="1" si="365"/>
        <v>2.2109589000000002E-3</v>
      </c>
      <c r="BC513" s="466">
        <f t="shared" ca="1" si="366"/>
        <v>58227</v>
      </c>
      <c r="BD513" s="467">
        <f t="shared" ca="1" si="379"/>
        <v>58228</v>
      </c>
      <c r="BE513" s="467">
        <f t="shared" ca="1" si="367"/>
        <v>58256</v>
      </c>
      <c r="BF513" s="468">
        <f ca="1">IF(計算!$BC513&lt;OP!$C$3,0,BD513-BC513)</f>
        <v>1</v>
      </c>
      <c r="BG513" s="468">
        <f ca="1">IF($BE513&gt;DATE(YEAR($BD$9)+OP!$C$57,MONTH($BD$9),DAY($BD$9)),0,$BE513-$BD513+1)</f>
        <v>29</v>
      </c>
      <c r="BH513" s="469">
        <f t="shared" ca="1" si="368"/>
        <v>30</v>
      </c>
      <c r="BI513">
        <f t="shared" ca="1" si="384"/>
        <v>365</v>
      </c>
      <c r="BJ513">
        <v>12</v>
      </c>
      <c r="BN513" s="468">
        <f t="shared" si="380"/>
        <v>42</v>
      </c>
      <c r="BO513" s="468">
        <f t="shared" si="381"/>
        <v>12</v>
      </c>
      <c r="BP513" s="467">
        <f t="shared" ca="1" si="369"/>
        <v>58228</v>
      </c>
      <c r="BQ513" s="475">
        <f t="shared" ca="1" si="383"/>
        <v>74</v>
      </c>
      <c r="BR513" s="475">
        <f t="shared" si="382"/>
        <v>42</v>
      </c>
      <c r="BS513" s="471">
        <f t="shared" ca="1" si="370"/>
        <v>14655</v>
      </c>
      <c r="BT513" s="472">
        <f t="shared" ca="1" si="385"/>
        <v>598874</v>
      </c>
      <c r="BU513" s="472">
        <f t="shared" ca="1" si="371"/>
        <v>14318</v>
      </c>
      <c r="BV513" s="472">
        <f t="shared" ca="1" si="371"/>
        <v>337</v>
      </c>
      <c r="BW513" s="472">
        <f ca="1">ROUND(SUM(BY513,BZ501:BZ512),0)</f>
        <v>15489</v>
      </c>
      <c r="BX513" s="473">
        <f t="shared" ca="1" si="372"/>
        <v>598874.48454125097</v>
      </c>
      <c r="BY513" s="473">
        <f t="shared" ca="1" si="373"/>
        <v>43.052985159000002</v>
      </c>
      <c r="BZ513" s="473">
        <f t="shared" ca="1" si="355"/>
        <v>1279.950660493</v>
      </c>
      <c r="CA513" s="476">
        <f t="shared" ca="1" si="374"/>
        <v>14318</v>
      </c>
      <c r="CB513" s="494">
        <f ca="1">IF(OR($Q512&lt;&gt;1,OP!$D$5+$BN513-1&lt;16,$BN513-1&lt;1),0,ROUND(ROUND(ROUND(((VLOOKUP($BN513-1,MORE_PV,5,0)/10000)*VLOOKUP($BN513,MORE_PV,$CB$5,0)),3)*VLOOKUP($BN513,more1,5,0),0)/$R512,0))</f>
        <v>337</v>
      </c>
      <c r="CC513" s="473">
        <f t="shared" ca="1" si="375"/>
        <v>0</v>
      </c>
      <c r="CD513" s="477"/>
    </row>
    <row r="514" spans="2:82" ht="16.5" hidden="1">
      <c r="B514" s="80"/>
      <c r="C514" s="80"/>
      <c r="D514" s="80"/>
      <c r="E514" s="80"/>
      <c r="F514" s="80"/>
      <c r="G514" s="80"/>
      <c r="H514" s="80"/>
      <c r="I514" s="80"/>
      <c r="J514" s="192">
        <f t="shared" si="356"/>
        <v>43</v>
      </c>
      <c r="K514" s="192">
        <f t="shared" si="357"/>
        <v>2</v>
      </c>
      <c r="L514" s="192" t="str">
        <f t="shared" si="352"/>
        <v/>
      </c>
      <c r="M514" s="216">
        <f t="shared" ca="1" si="358"/>
        <v>0</v>
      </c>
      <c r="N514" s="216"/>
      <c r="O514" s="216"/>
      <c r="P514" s="216"/>
      <c r="Q514" s="456" t="str">
        <f t="shared" ca="1" si="359"/>
        <v/>
      </c>
      <c r="R514" s="450">
        <f t="shared" ca="1" si="360"/>
        <v>1</v>
      </c>
      <c r="S514" s="191">
        <f t="shared" si="361"/>
        <v>43</v>
      </c>
      <c r="T514" s="191">
        <f t="shared" si="362"/>
        <v>2</v>
      </c>
      <c r="U514" s="191">
        <f ca="1">OP!$D$5+$S514-1</f>
        <v>75</v>
      </c>
      <c r="V514" s="191" t="str">
        <f t="shared" si="363"/>
        <v/>
      </c>
      <c r="W514" s="350">
        <f ca="1">IF(Q514&lt;&gt;1,0,VLOOKUP(OP!$C$55,PVFB,$S514+2,0))</f>
        <v>0</v>
      </c>
      <c r="X514" s="473">
        <f t="shared" ca="1" si="376"/>
        <v>0</v>
      </c>
      <c r="Y514" s="348">
        <f t="shared" ca="1" si="377"/>
        <v>0</v>
      </c>
      <c r="Z514" s="348">
        <f t="shared" ca="1" si="378"/>
        <v>8012</v>
      </c>
      <c r="AA514" s="348">
        <f ca="1">IF(Q514&lt;&gt;1,0,VLOOKUP(OP!$C$55,PVFB,$S514+2,0))</f>
        <v>0</v>
      </c>
      <c r="AB514" s="488" t="str">
        <f ca="1">IF(AND(S514&lt;OP!$C$24,$U514&lt;15),0,IF(AND($U514&lt;15,$T514=12),ROUND(VLOOKUP($S514,DOWN16,5,0),3),IF($T514=12,ROUND(($Z514/10000)*$AA514,3)+IF(AND($P$7="購買增額繳清保險",T514=12,U514=110),VLOOKUP(S514,$B$10:$H$121,7,0),0),"")))</f>
        <v/>
      </c>
      <c r="AC514" s="350" t="str">
        <f ca="1">IF(AND(S514&lt;OP!$C$24,$U514&lt;15),0,IF(AND($U514&lt;16,$T514=12),VLOOKUP($S514,DOWN16,4,0),IF($T514=12,ROUND(VLOOKUP(OP!$C$55,_DIE2,$S514+1,0)*(Z514/10000),0)+IF(AND($P$7="購買增額繳清保險",T514=12,U514=110),VLOOKUP(S514,$B$10:$H$121,7,0),0),"")))</f>
        <v/>
      </c>
      <c r="AD514" s="347"/>
      <c r="AE514" s="350" t="str">
        <f t="shared" ca="1" si="353"/>
        <v/>
      </c>
      <c r="AF514" s="351" t="str">
        <f t="shared" ca="1" si="354"/>
        <v/>
      </c>
      <c r="AG514" s="340"/>
      <c r="AH514" s="340"/>
      <c r="AI514" s="340"/>
      <c r="AJ514" s="340"/>
      <c r="AK514" s="340"/>
      <c r="AL514" s="340"/>
      <c r="AM514" s="340"/>
      <c r="AN514" s="340"/>
      <c r="AO514" s="340"/>
      <c r="AP514" s="340"/>
      <c r="AQ514" s="340"/>
      <c r="AR514" s="340"/>
      <c r="AS514" s="340"/>
      <c r="AT514" s="340"/>
      <c r="AU514" s="340"/>
      <c r="AV514" s="340"/>
      <c r="AY514" s="340"/>
      <c r="AZ514" s="465">
        <f t="shared" ca="1" si="364"/>
        <v>7.3698599999999999E-5</v>
      </c>
      <c r="BA514" s="464">
        <f t="shared" ca="1" si="365"/>
        <v>2.2109589000000002E-3</v>
      </c>
      <c r="BB514" s="465">
        <f t="shared" ca="1" si="365"/>
        <v>2.2846575E-3</v>
      </c>
      <c r="BC514" s="466">
        <f t="shared" ca="1" si="366"/>
        <v>58257</v>
      </c>
      <c r="BD514" s="467">
        <f t="shared" ca="1" si="379"/>
        <v>58258</v>
      </c>
      <c r="BE514" s="467">
        <f t="shared" ca="1" si="367"/>
        <v>58287</v>
      </c>
      <c r="BF514" s="468">
        <f ca="1">IF(計算!$BC514&lt;OP!$C$3,0,BD514-BC514)</f>
        <v>1</v>
      </c>
      <c r="BG514" s="468">
        <f ca="1">IF($BE514&gt;DATE(YEAR($BD$9)+OP!$C$57,MONTH($BD$9),DAY($BD$9)),0,$BE514-$BD514+1)</f>
        <v>30</v>
      </c>
      <c r="BH514" s="469">
        <f t="shared" ca="1" si="368"/>
        <v>31</v>
      </c>
      <c r="BI514" t="str">
        <f t="shared" si="384"/>
        <v/>
      </c>
      <c r="BJ514">
        <v>1</v>
      </c>
      <c r="BN514" s="468">
        <f t="shared" si="380"/>
        <v>43</v>
      </c>
      <c r="BO514" s="468">
        <f t="shared" si="381"/>
        <v>1</v>
      </c>
      <c r="BP514" s="467">
        <f t="shared" ca="1" si="369"/>
        <v>58258</v>
      </c>
      <c r="BQ514" s="475">
        <f t="shared" ca="1" si="383"/>
        <v>75</v>
      </c>
      <c r="BR514" s="475" t="str">
        <f t="shared" si="382"/>
        <v/>
      </c>
      <c r="BS514" s="471" t="str">
        <f t="shared" si="370"/>
        <v/>
      </c>
      <c r="BT514" s="472" t="str">
        <f t="shared" si="385"/>
        <v/>
      </c>
      <c r="BU514" s="472">
        <f t="shared" ca="1" si="371"/>
        <v>0</v>
      </c>
      <c r="BV514" s="472">
        <f t="shared" ca="1" si="371"/>
        <v>0</v>
      </c>
      <c r="BW514" s="472"/>
      <c r="BX514" s="473">
        <f t="shared" ca="1" si="372"/>
        <v>600154.43520174397</v>
      </c>
      <c r="BY514" s="473">
        <f t="shared" si="373"/>
        <v>0</v>
      </c>
      <c r="BZ514" s="473">
        <f t="shared" ca="1" si="355"/>
        <v>1371.1473315420001</v>
      </c>
      <c r="CA514" s="476">
        <f t="shared" ca="1" si="374"/>
        <v>0</v>
      </c>
      <c r="CB514" s="494">
        <f ca="1">IF(OR($Q513&lt;&gt;1,OP!$D$5+$BN514-1&lt;16,$BN514-1&lt;1),0,ROUND(ROUND(ROUND(((VLOOKUP($BN514-1,MORE_PV,5,0)/10000)*VLOOKUP($BN514,MORE_PV,$CB$5,0)),3)*VLOOKUP($BN514,more1,5,0),0)/$R513,0))</f>
        <v>0</v>
      </c>
      <c r="CC514" s="473">
        <f t="shared" ca="1" si="375"/>
        <v>0</v>
      </c>
      <c r="CD514" s="477"/>
    </row>
    <row r="515" spans="2:82" ht="16.5" hidden="1">
      <c r="B515" s="80"/>
      <c r="C515" s="80"/>
      <c r="D515" s="80"/>
      <c r="E515" s="80"/>
      <c r="F515" s="80"/>
      <c r="G515" s="80"/>
      <c r="H515" s="80"/>
      <c r="I515" s="80"/>
      <c r="J515" s="192">
        <f t="shared" si="356"/>
        <v>43</v>
      </c>
      <c r="K515" s="192">
        <f t="shared" si="357"/>
        <v>3</v>
      </c>
      <c r="L515" s="192" t="str">
        <f t="shared" si="352"/>
        <v/>
      </c>
      <c r="M515" s="216">
        <f t="shared" ca="1" si="358"/>
        <v>0</v>
      </c>
      <c r="N515" s="216"/>
      <c r="O515" s="216"/>
      <c r="P515" s="216"/>
      <c r="Q515" s="456" t="str">
        <f t="shared" ca="1" si="359"/>
        <v/>
      </c>
      <c r="R515" s="450">
        <f t="shared" ca="1" si="360"/>
        <v>1</v>
      </c>
      <c r="S515" s="191">
        <f t="shared" si="361"/>
        <v>43</v>
      </c>
      <c r="T515" s="191">
        <f t="shared" si="362"/>
        <v>3</v>
      </c>
      <c r="U515" s="191">
        <f ca="1">OP!$D$5+$S515-1</f>
        <v>75</v>
      </c>
      <c r="V515" s="191" t="str">
        <f t="shared" si="363"/>
        <v/>
      </c>
      <c r="W515" s="350">
        <f ca="1">IF(Q515&lt;&gt;1,0,VLOOKUP(OP!$C$55,PVFB,$S515+2,0))</f>
        <v>0</v>
      </c>
      <c r="X515" s="473">
        <f t="shared" ca="1" si="376"/>
        <v>0</v>
      </c>
      <c r="Y515" s="348">
        <f t="shared" ca="1" si="377"/>
        <v>0</v>
      </c>
      <c r="Z515" s="348">
        <f t="shared" ca="1" si="378"/>
        <v>8012</v>
      </c>
      <c r="AA515" s="348">
        <f ca="1">IF(Q515&lt;&gt;1,0,VLOOKUP(OP!$C$55,PVFB,$S515+2,0))</f>
        <v>0</v>
      </c>
      <c r="AB515" s="488" t="str">
        <f ca="1">IF(AND(S515&lt;OP!$C$24,$U515&lt;15),0,IF(AND($U515&lt;15,$T515=12),ROUND(VLOOKUP($S515,DOWN16,5,0),3),IF($T515=12,ROUND(($Z515/10000)*$AA515,3)+IF(AND($P$7="購買增額繳清保險",T515=12,U515=110),VLOOKUP(S515,$B$10:$H$121,7,0),0),"")))</f>
        <v/>
      </c>
      <c r="AC515" s="350" t="str">
        <f ca="1">IF(AND(S515&lt;OP!$C$24,$U515&lt;15),0,IF(AND($U515&lt;16,$T515=12),VLOOKUP($S515,DOWN16,4,0),IF($T515=12,ROUND(VLOOKUP(OP!$C$55,_DIE2,$S515+1,0)*(Z515/10000),0)+IF(AND($P$7="購買增額繳清保險",T515=12,U515=110),VLOOKUP(S515,$B$10:$H$121,7,0),0),"")))</f>
        <v/>
      </c>
      <c r="AD515" s="347"/>
      <c r="AE515" s="350" t="str">
        <f t="shared" ca="1" si="353"/>
        <v/>
      </c>
      <c r="AF515" s="351" t="str">
        <f t="shared" ca="1" si="354"/>
        <v/>
      </c>
      <c r="AG515" s="340"/>
      <c r="AH515" s="340"/>
      <c r="AI515" s="340"/>
      <c r="AJ515" s="340"/>
      <c r="AK515" s="340"/>
      <c r="AL515" s="340"/>
      <c r="AM515" s="340"/>
      <c r="AN515" s="340"/>
      <c r="AO515" s="340"/>
      <c r="AP515" s="340"/>
      <c r="AQ515" s="340"/>
      <c r="AR515" s="340"/>
      <c r="AS515" s="340"/>
      <c r="AT515" s="340"/>
      <c r="AU515" s="340"/>
      <c r="AV515" s="340"/>
      <c r="AY515" s="340"/>
      <c r="AZ515" s="465">
        <f t="shared" ca="1" si="364"/>
        <v>7.3698599999999999E-5</v>
      </c>
      <c r="BA515" s="464">
        <f t="shared" ca="1" si="365"/>
        <v>2.2109589000000002E-3</v>
      </c>
      <c r="BB515" s="465">
        <f t="shared" ca="1" si="365"/>
        <v>2.2846575E-3</v>
      </c>
      <c r="BC515" s="466">
        <f t="shared" ca="1" si="366"/>
        <v>58288</v>
      </c>
      <c r="BD515" s="467">
        <f t="shared" ca="1" si="379"/>
        <v>58289</v>
      </c>
      <c r="BE515" s="467">
        <f t="shared" ca="1" si="367"/>
        <v>58318</v>
      </c>
      <c r="BF515" s="468">
        <f ca="1">IF(計算!$BC515&lt;OP!$C$3,0,BD515-BC515)</f>
        <v>1</v>
      </c>
      <c r="BG515" s="468">
        <f ca="1">IF($BE515&gt;DATE(YEAR($BD$9)+OP!$C$57,MONTH($BD$9),DAY($BD$9)),0,$BE515-$BD515+1)</f>
        <v>30</v>
      </c>
      <c r="BH515" s="469">
        <f t="shared" ca="1" si="368"/>
        <v>31</v>
      </c>
      <c r="BI515" t="str">
        <f t="shared" si="384"/>
        <v/>
      </c>
      <c r="BJ515">
        <v>2</v>
      </c>
      <c r="BN515" s="468">
        <f t="shared" si="380"/>
        <v>43</v>
      </c>
      <c r="BO515" s="468">
        <f t="shared" si="381"/>
        <v>2</v>
      </c>
      <c r="BP515" s="467">
        <f t="shared" ca="1" si="369"/>
        <v>58289</v>
      </c>
      <c r="BQ515" s="475">
        <f t="shared" ca="1" si="383"/>
        <v>75</v>
      </c>
      <c r="BR515" s="475" t="str">
        <f t="shared" si="382"/>
        <v/>
      </c>
      <c r="BS515" s="471" t="str">
        <f t="shared" si="370"/>
        <v/>
      </c>
      <c r="BT515" s="472" t="str">
        <f t="shared" si="385"/>
        <v/>
      </c>
      <c r="BU515" s="472">
        <f t="shared" ca="1" si="371"/>
        <v>0</v>
      </c>
      <c r="BV515" s="472">
        <f t="shared" ca="1" si="371"/>
        <v>0</v>
      </c>
      <c r="BW515" s="472"/>
      <c r="BX515" s="473">
        <f t="shared" ca="1" si="372"/>
        <v>601525.58253328595</v>
      </c>
      <c r="BY515" s="473">
        <f t="shared" si="373"/>
        <v>0</v>
      </c>
      <c r="BZ515" s="473">
        <f t="shared" ca="1" si="355"/>
        <v>1374.2799335770001</v>
      </c>
      <c r="CA515" s="476">
        <f t="shared" ca="1" si="374"/>
        <v>0</v>
      </c>
      <c r="CB515" s="494">
        <f ca="1">IF(OR($Q514&lt;&gt;1,OP!$D$5+$BN515-1&lt;16,$BN515-1&lt;1),0,ROUND(ROUND(ROUND(((VLOOKUP($BN515-1,MORE_PV,5,0)/10000)*VLOOKUP($BN515,MORE_PV,$CB$5,0)),3)*VLOOKUP($BN515,more1,5,0),0)/$R514,0))</f>
        <v>0</v>
      </c>
      <c r="CC515" s="473">
        <f t="shared" ca="1" si="375"/>
        <v>0</v>
      </c>
      <c r="CD515" s="477"/>
    </row>
    <row r="516" spans="2:82" ht="16.5" hidden="1">
      <c r="B516" s="80"/>
      <c r="C516" s="80"/>
      <c r="D516" s="80"/>
      <c r="E516" s="80"/>
      <c r="F516" s="80"/>
      <c r="G516" s="80"/>
      <c r="H516" s="80"/>
      <c r="I516" s="80"/>
      <c r="J516" s="192">
        <f t="shared" si="356"/>
        <v>43</v>
      </c>
      <c r="K516" s="192">
        <f t="shared" si="357"/>
        <v>4</v>
      </c>
      <c r="L516" s="192" t="str">
        <f t="shared" si="352"/>
        <v/>
      </c>
      <c r="M516" s="216">
        <f t="shared" ca="1" si="358"/>
        <v>0</v>
      </c>
      <c r="N516" s="216"/>
      <c r="O516" s="216"/>
      <c r="P516" s="216"/>
      <c r="Q516" s="456" t="str">
        <f t="shared" ca="1" si="359"/>
        <v/>
      </c>
      <c r="R516" s="450">
        <f t="shared" ca="1" si="360"/>
        <v>1</v>
      </c>
      <c r="S516" s="191">
        <f t="shared" si="361"/>
        <v>43</v>
      </c>
      <c r="T516" s="191">
        <f t="shared" si="362"/>
        <v>4</v>
      </c>
      <c r="U516" s="191">
        <f ca="1">OP!$D$5+$S516-1</f>
        <v>75</v>
      </c>
      <c r="V516" s="191" t="str">
        <f t="shared" si="363"/>
        <v/>
      </c>
      <c r="W516" s="350">
        <f ca="1">IF(Q516&lt;&gt;1,0,VLOOKUP(OP!$C$55,PVFB,$S516+2,0))</f>
        <v>0</v>
      </c>
      <c r="X516" s="473">
        <f t="shared" ca="1" si="376"/>
        <v>0</v>
      </c>
      <c r="Y516" s="348">
        <f t="shared" ca="1" si="377"/>
        <v>0</v>
      </c>
      <c r="Z516" s="348">
        <f t="shared" ca="1" si="378"/>
        <v>8012</v>
      </c>
      <c r="AA516" s="348">
        <f ca="1">IF(Q516&lt;&gt;1,0,VLOOKUP(OP!$C$55,PVFB,$S516+2,0))</f>
        <v>0</v>
      </c>
      <c r="AB516" s="488" t="str">
        <f ca="1">IF(AND(S516&lt;OP!$C$24,$U516&lt;15),0,IF(AND($U516&lt;15,$T516=12),ROUND(VLOOKUP($S516,DOWN16,5,0),3),IF($T516=12,ROUND(($Z516/10000)*$AA516,3)+IF(AND($P$7="購買增額繳清保險",T516=12,U516=110),VLOOKUP(S516,$B$10:$H$121,7,0),0),"")))</f>
        <v/>
      </c>
      <c r="AC516" s="350" t="str">
        <f ca="1">IF(AND(S516&lt;OP!$C$24,$U516&lt;15),0,IF(AND($U516&lt;16,$T516=12),VLOOKUP($S516,DOWN16,4,0),IF($T516=12,ROUND(VLOOKUP(OP!$C$55,_DIE2,$S516+1,0)*(Z516/10000),0)+IF(AND($P$7="購買增額繳清保險",T516=12,U516=110),VLOOKUP(S516,$B$10:$H$121,7,0),0),"")))</f>
        <v/>
      </c>
      <c r="AD516" s="347"/>
      <c r="AE516" s="350" t="str">
        <f t="shared" ca="1" si="353"/>
        <v/>
      </c>
      <c r="AF516" s="351" t="str">
        <f t="shared" ca="1" si="354"/>
        <v/>
      </c>
      <c r="AG516" s="340"/>
      <c r="AH516" s="340"/>
      <c r="AI516" s="340"/>
      <c r="AJ516" s="340"/>
      <c r="AK516" s="340"/>
      <c r="AL516" s="340"/>
      <c r="AM516" s="340"/>
      <c r="AN516" s="340"/>
      <c r="AO516" s="340"/>
      <c r="AP516" s="340"/>
      <c r="AQ516" s="340"/>
      <c r="AR516" s="340"/>
      <c r="AS516" s="340"/>
      <c r="AT516" s="340"/>
      <c r="AU516" s="340"/>
      <c r="AV516" s="340"/>
      <c r="AY516" s="340"/>
      <c r="AZ516" s="465">
        <f t="shared" ca="1" si="364"/>
        <v>7.3698599999999999E-5</v>
      </c>
      <c r="BA516" s="464">
        <f t="shared" ca="1" si="365"/>
        <v>2.1372602999999999E-3</v>
      </c>
      <c r="BB516" s="465">
        <f t="shared" ca="1" si="365"/>
        <v>2.2109589000000002E-3</v>
      </c>
      <c r="BC516" s="466">
        <f t="shared" ca="1" si="366"/>
        <v>58319</v>
      </c>
      <c r="BD516" s="467">
        <f t="shared" ca="1" si="379"/>
        <v>58320</v>
      </c>
      <c r="BE516" s="467">
        <f t="shared" ca="1" si="367"/>
        <v>58348</v>
      </c>
      <c r="BF516" s="468">
        <f ca="1">IF(計算!$BC516&lt;OP!$C$3,0,BD516-BC516)</f>
        <v>1</v>
      </c>
      <c r="BG516" s="468">
        <f ca="1">IF($BE516&gt;DATE(YEAR($BD$9)+OP!$C$57,MONTH($BD$9),DAY($BD$9)),0,$BE516-$BD516+1)</f>
        <v>29</v>
      </c>
      <c r="BH516" s="469">
        <f t="shared" ca="1" si="368"/>
        <v>30</v>
      </c>
      <c r="BI516" t="str">
        <f t="shared" si="384"/>
        <v/>
      </c>
      <c r="BJ516">
        <v>3</v>
      </c>
      <c r="BN516" s="468">
        <f t="shared" si="380"/>
        <v>43</v>
      </c>
      <c r="BO516" s="468">
        <f t="shared" si="381"/>
        <v>3</v>
      </c>
      <c r="BP516" s="467">
        <f t="shared" ca="1" si="369"/>
        <v>58320</v>
      </c>
      <c r="BQ516" s="475">
        <f t="shared" ca="1" si="383"/>
        <v>75</v>
      </c>
      <c r="BR516" s="475" t="str">
        <f t="shared" si="382"/>
        <v/>
      </c>
      <c r="BS516" s="471" t="str">
        <f t="shared" si="370"/>
        <v/>
      </c>
      <c r="BT516" s="472" t="str">
        <f t="shared" si="385"/>
        <v/>
      </c>
      <c r="BU516" s="472">
        <f t="shared" ca="1" si="371"/>
        <v>0</v>
      </c>
      <c r="BV516" s="472">
        <f t="shared" ca="1" si="371"/>
        <v>0</v>
      </c>
      <c r="BW516" s="472"/>
      <c r="BX516" s="473">
        <f t="shared" ca="1" si="372"/>
        <v>602899.86246686301</v>
      </c>
      <c r="BY516" s="473">
        <f t="shared" si="373"/>
        <v>0</v>
      </c>
      <c r="BZ516" s="473">
        <f t="shared" ca="1" si="355"/>
        <v>1332.9868167300001</v>
      </c>
      <c r="CA516" s="476">
        <f t="shared" ca="1" si="374"/>
        <v>0</v>
      </c>
      <c r="CB516" s="494">
        <f ca="1">IF(OR($Q515&lt;&gt;1,OP!$D$5+$BN516-1&lt;16,$BN516-1&lt;1),0,ROUND(ROUND(ROUND(((VLOOKUP($BN516-1,MORE_PV,5,0)/10000)*VLOOKUP($BN516,MORE_PV,$CB$5,0)),3)*VLOOKUP($BN516,more1,5,0),0)/$R515,0))</f>
        <v>0</v>
      </c>
      <c r="CC516" s="473">
        <f t="shared" ca="1" si="375"/>
        <v>0</v>
      </c>
      <c r="CD516" s="477"/>
    </row>
    <row r="517" spans="2:82" ht="16.5" hidden="1">
      <c r="B517" s="80"/>
      <c r="C517" s="80"/>
      <c r="D517" s="80"/>
      <c r="E517" s="80"/>
      <c r="F517" s="80"/>
      <c r="G517" s="80"/>
      <c r="H517" s="80"/>
      <c r="I517" s="80"/>
      <c r="J517" s="192">
        <f t="shared" si="356"/>
        <v>43</v>
      </c>
      <c r="K517" s="192">
        <f t="shared" si="357"/>
        <v>5</v>
      </c>
      <c r="L517" s="192" t="str">
        <f t="shared" si="352"/>
        <v/>
      </c>
      <c r="M517" s="216">
        <f t="shared" ca="1" si="358"/>
        <v>0</v>
      </c>
      <c r="N517" s="216"/>
      <c r="O517" s="216"/>
      <c r="P517" s="216"/>
      <c r="Q517" s="456" t="str">
        <f t="shared" ca="1" si="359"/>
        <v/>
      </c>
      <c r="R517" s="450">
        <f t="shared" ca="1" si="360"/>
        <v>1</v>
      </c>
      <c r="S517" s="191">
        <f t="shared" si="361"/>
        <v>43</v>
      </c>
      <c r="T517" s="191">
        <f t="shared" si="362"/>
        <v>5</v>
      </c>
      <c r="U517" s="191">
        <f ca="1">OP!$D$5+$S517-1</f>
        <v>75</v>
      </c>
      <c r="V517" s="191" t="str">
        <f t="shared" si="363"/>
        <v/>
      </c>
      <c r="W517" s="350">
        <f ca="1">IF(Q517&lt;&gt;1,0,VLOOKUP(OP!$C$55,PVFB,$S517+2,0))</f>
        <v>0</v>
      </c>
      <c r="X517" s="473">
        <f t="shared" ca="1" si="376"/>
        <v>0</v>
      </c>
      <c r="Y517" s="348">
        <f t="shared" ca="1" si="377"/>
        <v>0</v>
      </c>
      <c r="Z517" s="348">
        <f t="shared" ca="1" si="378"/>
        <v>8012</v>
      </c>
      <c r="AA517" s="348">
        <f ca="1">IF(Q517&lt;&gt;1,0,VLOOKUP(OP!$C$55,PVFB,$S517+2,0))</f>
        <v>0</v>
      </c>
      <c r="AB517" s="488" t="str">
        <f ca="1">IF(AND(S517&lt;OP!$C$24,$U517&lt;15),0,IF(AND($U517&lt;15,$T517=12),ROUND(VLOOKUP($S517,DOWN16,5,0),3),IF($T517=12,ROUND(($Z517/10000)*$AA517,3)+IF(AND($P$7="購買增額繳清保險",T517=12,U517=110),VLOOKUP(S517,$B$10:$H$121,7,0),0),"")))</f>
        <v/>
      </c>
      <c r="AC517" s="350" t="str">
        <f ca="1">IF(AND(S517&lt;OP!$C$24,$U517&lt;15),0,IF(AND($U517&lt;16,$T517=12),VLOOKUP($S517,DOWN16,4,0),IF($T517=12,ROUND(VLOOKUP(OP!$C$55,_DIE2,$S517+1,0)*(Z517/10000),0)+IF(AND($P$7="購買增額繳清保險",T517=12,U517=110),VLOOKUP(S517,$B$10:$H$121,7,0),0),"")))</f>
        <v/>
      </c>
      <c r="AD517" s="347"/>
      <c r="AE517" s="350" t="str">
        <f t="shared" ca="1" si="353"/>
        <v/>
      </c>
      <c r="AF517" s="351" t="str">
        <f t="shared" ca="1" si="354"/>
        <v/>
      </c>
      <c r="AG517" s="340"/>
      <c r="AH517" s="340"/>
      <c r="AI517" s="340"/>
      <c r="AJ517" s="340"/>
      <c r="AK517" s="340"/>
      <c r="AL517" s="340"/>
      <c r="AM517" s="340"/>
      <c r="AN517" s="340"/>
      <c r="AO517" s="340"/>
      <c r="AP517" s="340"/>
      <c r="AQ517" s="340"/>
      <c r="AR517" s="340"/>
      <c r="AS517" s="340"/>
      <c r="AT517" s="340"/>
      <c r="AU517" s="340"/>
      <c r="AV517" s="340"/>
      <c r="AY517" s="340"/>
      <c r="AZ517" s="465">
        <f t="shared" ca="1" si="364"/>
        <v>7.3698599999999999E-5</v>
      </c>
      <c r="BA517" s="464">
        <f t="shared" ca="1" si="365"/>
        <v>2.2109589000000002E-3</v>
      </c>
      <c r="BB517" s="465">
        <f t="shared" ca="1" si="365"/>
        <v>2.2846575E-3</v>
      </c>
      <c r="BC517" s="466">
        <f t="shared" ca="1" si="366"/>
        <v>58349</v>
      </c>
      <c r="BD517" s="467">
        <f t="shared" ca="1" si="379"/>
        <v>58350</v>
      </c>
      <c r="BE517" s="467">
        <f t="shared" ca="1" si="367"/>
        <v>58379</v>
      </c>
      <c r="BF517" s="468">
        <f ca="1">IF(計算!$BC517&lt;OP!$C$3,0,BD517-BC517)</f>
        <v>1</v>
      </c>
      <c r="BG517" s="468">
        <f ca="1">IF($BE517&gt;DATE(YEAR($BD$9)+OP!$C$57,MONTH($BD$9),DAY($BD$9)),0,$BE517-$BD517+1)</f>
        <v>30</v>
      </c>
      <c r="BH517" s="469">
        <f t="shared" ca="1" si="368"/>
        <v>31</v>
      </c>
      <c r="BI517" t="str">
        <f t="shared" si="384"/>
        <v/>
      </c>
      <c r="BJ517">
        <v>4</v>
      </c>
      <c r="BN517" s="468">
        <f t="shared" si="380"/>
        <v>43</v>
      </c>
      <c r="BO517" s="468">
        <f t="shared" si="381"/>
        <v>4</v>
      </c>
      <c r="BP517" s="467">
        <f t="shared" ca="1" si="369"/>
        <v>58350</v>
      </c>
      <c r="BQ517" s="475">
        <f t="shared" ca="1" si="383"/>
        <v>75</v>
      </c>
      <c r="BR517" s="475" t="str">
        <f t="shared" si="382"/>
        <v/>
      </c>
      <c r="BS517" s="471" t="str">
        <f t="shared" si="370"/>
        <v/>
      </c>
      <c r="BT517" s="472" t="str">
        <f t="shared" si="385"/>
        <v/>
      </c>
      <c r="BU517" s="472">
        <f t="shared" ca="1" si="371"/>
        <v>0</v>
      </c>
      <c r="BV517" s="472">
        <f t="shared" ca="1" si="371"/>
        <v>0</v>
      </c>
      <c r="BW517" s="472"/>
      <c r="BX517" s="473">
        <f t="shared" ca="1" si="372"/>
        <v>604232.84928359301</v>
      </c>
      <c r="BY517" s="473">
        <f t="shared" si="373"/>
        <v>0</v>
      </c>
      <c r="BZ517" s="473">
        <f t="shared" ca="1" si="355"/>
        <v>1380.4651108620001</v>
      </c>
      <c r="CA517" s="476">
        <f t="shared" ca="1" si="374"/>
        <v>0</v>
      </c>
      <c r="CB517" s="494">
        <f ca="1">IF(OR($Q516&lt;&gt;1,OP!$D$5+$BN517-1&lt;16,$BN517-1&lt;1),0,ROUND(ROUND(ROUND(((VLOOKUP($BN517-1,MORE_PV,5,0)/10000)*VLOOKUP($BN517,MORE_PV,$CB$5,0)),3)*VLOOKUP($BN517,more1,5,0),0)/$R516,0))</f>
        <v>0</v>
      </c>
      <c r="CC517" s="473">
        <f t="shared" ca="1" si="375"/>
        <v>0</v>
      </c>
      <c r="CD517" s="477"/>
    </row>
    <row r="518" spans="2:82" ht="16.5" hidden="1">
      <c r="B518" s="80"/>
      <c r="C518" s="80"/>
      <c r="D518" s="80"/>
      <c r="E518" s="80"/>
      <c r="F518" s="80"/>
      <c r="G518" s="80"/>
      <c r="H518" s="80"/>
      <c r="I518" s="80"/>
      <c r="J518" s="192">
        <f t="shared" si="356"/>
        <v>43</v>
      </c>
      <c r="K518" s="192">
        <f t="shared" si="357"/>
        <v>6</v>
      </c>
      <c r="L518" s="192" t="str">
        <f t="shared" si="352"/>
        <v/>
      </c>
      <c r="M518" s="216">
        <f t="shared" ca="1" si="358"/>
        <v>0</v>
      </c>
      <c r="N518" s="216"/>
      <c r="O518" s="216"/>
      <c r="P518" s="216"/>
      <c r="Q518" s="456" t="str">
        <f t="shared" ca="1" si="359"/>
        <v/>
      </c>
      <c r="R518" s="450">
        <f t="shared" ca="1" si="360"/>
        <v>1</v>
      </c>
      <c r="S518" s="191">
        <f t="shared" si="361"/>
        <v>43</v>
      </c>
      <c r="T518" s="191">
        <f t="shared" si="362"/>
        <v>6</v>
      </c>
      <c r="U518" s="191">
        <f ca="1">OP!$D$5+$S518-1</f>
        <v>75</v>
      </c>
      <c r="V518" s="191" t="str">
        <f t="shared" si="363"/>
        <v/>
      </c>
      <c r="W518" s="350">
        <f ca="1">IF(Q518&lt;&gt;1,0,VLOOKUP(OP!$C$55,PVFB,$S518+2,0))</f>
        <v>0</v>
      </c>
      <c r="X518" s="473">
        <f t="shared" ca="1" si="376"/>
        <v>0</v>
      </c>
      <c r="Y518" s="348">
        <f t="shared" ca="1" si="377"/>
        <v>0</v>
      </c>
      <c r="Z518" s="348">
        <f t="shared" ca="1" si="378"/>
        <v>8012</v>
      </c>
      <c r="AA518" s="348">
        <f ca="1">IF(Q518&lt;&gt;1,0,VLOOKUP(OP!$C$55,PVFB,$S518+2,0))</f>
        <v>0</v>
      </c>
      <c r="AB518" s="488" t="str">
        <f ca="1">IF(AND(S518&lt;OP!$C$24,$U518&lt;15),0,IF(AND($U518&lt;15,$T518=12),ROUND(VLOOKUP($S518,DOWN16,5,0),3),IF($T518=12,ROUND(($Z518/10000)*$AA518,3)+IF(AND($P$7="購買增額繳清保險",T518=12,U518=110),VLOOKUP(S518,$B$10:$H$121,7,0),0),"")))</f>
        <v/>
      </c>
      <c r="AC518" s="350" t="str">
        <f ca="1">IF(AND(S518&lt;OP!$C$24,$U518&lt;15),0,IF(AND($U518&lt;16,$T518=12),VLOOKUP($S518,DOWN16,4,0),IF($T518=12,ROUND(VLOOKUP(OP!$C$55,_DIE2,$S518+1,0)*(Z518/10000),0)+IF(AND($P$7="購買增額繳清保險",T518=12,U518=110),VLOOKUP(S518,$B$10:$H$121,7,0),0),"")))</f>
        <v/>
      </c>
      <c r="AD518" s="347"/>
      <c r="AE518" s="350" t="str">
        <f t="shared" ca="1" si="353"/>
        <v/>
      </c>
      <c r="AF518" s="351" t="str">
        <f t="shared" ca="1" si="354"/>
        <v/>
      </c>
      <c r="AG518" s="340"/>
      <c r="AH518" s="340"/>
      <c r="AI518" s="340"/>
      <c r="AJ518" s="340"/>
      <c r="AK518" s="340"/>
      <c r="AL518" s="340"/>
      <c r="AM518" s="340"/>
      <c r="AN518" s="340"/>
      <c r="AO518" s="340"/>
      <c r="AP518" s="340"/>
      <c r="AQ518" s="340"/>
      <c r="AR518" s="340"/>
      <c r="AS518" s="340"/>
      <c r="AT518" s="340"/>
      <c r="AU518" s="340"/>
      <c r="AV518" s="340"/>
      <c r="AY518" s="340"/>
      <c r="AZ518" s="465">
        <f t="shared" ca="1" si="364"/>
        <v>7.3698599999999999E-5</v>
      </c>
      <c r="BA518" s="464">
        <f t="shared" ca="1" si="365"/>
        <v>2.1372602999999999E-3</v>
      </c>
      <c r="BB518" s="465">
        <f t="shared" ca="1" si="365"/>
        <v>2.2109589000000002E-3</v>
      </c>
      <c r="BC518" s="466">
        <f t="shared" ca="1" si="366"/>
        <v>58380</v>
      </c>
      <c r="BD518" s="467">
        <f t="shared" ca="1" si="379"/>
        <v>58381</v>
      </c>
      <c r="BE518" s="467">
        <f t="shared" ca="1" si="367"/>
        <v>58409</v>
      </c>
      <c r="BF518" s="468">
        <f ca="1">IF(計算!$BC518&lt;OP!$C$3,0,BD518-BC518)</f>
        <v>1</v>
      </c>
      <c r="BG518" s="468">
        <f ca="1">IF($BE518&gt;DATE(YEAR($BD$9)+OP!$C$57,MONTH($BD$9),DAY($BD$9)),0,$BE518-$BD518+1)</f>
        <v>29</v>
      </c>
      <c r="BH518" s="469">
        <f t="shared" ca="1" si="368"/>
        <v>30</v>
      </c>
      <c r="BI518" t="str">
        <f t="shared" si="384"/>
        <v/>
      </c>
      <c r="BJ518">
        <v>5</v>
      </c>
      <c r="BN518" s="468">
        <f t="shared" si="380"/>
        <v>43</v>
      </c>
      <c r="BO518" s="468">
        <f t="shared" si="381"/>
        <v>5</v>
      </c>
      <c r="BP518" s="467">
        <f t="shared" ca="1" si="369"/>
        <v>58381</v>
      </c>
      <c r="BQ518" s="475">
        <f t="shared" ca="1" si="383"/>
        <v>75</v>
      </c>
      <c r="BR518" s="475" t="str">
        <f t="shared" si="382"/>
        <v/>
      </c>
      <c r="BS518" s="471" t="str">
        <f t="shared" si="370"/>
        <v/>
      </c>
      <c r="BT518" s="472" t="str">
        <f t="shared" si="385"/>
        <v/>
      </c>
      <c r="BU518" s="472">
        <f t="shared" ca="1" si="371"/>
        <v>0</v>
      </c>
      <c r="BV518" s="472">
        <f t="shared" ca="1" si="371"/>
        <v>0</v>
      </c>
      <c r="BW518" s="472"/>
      <c r="BX518" s="473">
        <f t="shared" ca="1" si="372"/>
        <v>605613.31439445505</v>
      </c>
      <c r="BY518" s="473">
        <f t="shared" si="373"/>
        <v>0</v>
      </c>
      <c r="BZ518" s="473">
        <f t="shared" ca="1" si="355"/>
        <v>1338.986147419</v>
      </c>
      <c r="CA518" s="476">
        <f t="shared" ca="1" si="374"/>
        <v>0</v>
      </c>
      <c r="CB518" s="494">
        <f ca="1">IF(OR($Q517&lt;&gt;1,OP!$D$5+$BN518-1&lt;16,$BN518-1&lt;1),0,ROUND(ROUND(ROUND(((VLOOKUP($BN518-1,MORE_PV,5,0)/10000)*VLOOKUP($BN518,MORE_PV,$CB$5,0)),3)*VLOOKUP($BN518,more1,5,0),0)/$R517,0))</f>
        <v>0</v>
      </c>
      <c r="CC518" s="473">
        <f t="shared" ca="1" si="375"/>
        <v>0</v>
      </c>
      <c r="CD518" s="477"/>
    </row>
    <row r="519" spans="2:82" ht="16.5" hidden="1">
      <c r="B519" s="80"/>
      <c r="C519" s="80"/>
      <c r="D519" s="80"/>
      <c r="E519" s="80"/>
      <c r="F519" s="80"/>
      <c r="G519" s="80"/>
      <c r="H519" s="80"/>
      <c r="I519" s="80"/>
      <c r="J519" s="192">
        <f t="shared" si="356"/>
        <v>43</v>
      </c>
      <c r="K519" s="192">
        <f t="shared" si="357"/>
        <v>7</v>
      </c>
      <c r="L519" s="192" t="str">
        <f t="shared" si="352"/>
        <v/>
      </c>
      <c r="M519" s="216">
        <f t="shared" ca="1" si="358"/>
        <v>0</v>
      </c>
      <c r="N519" s="216"/>
      <c r="O519" s="216"/>
      <c r="P519" s="216"/>
      <c r="Q519" s="456" t="str">
        <f t="shared" ca="1" si="359"/>
        <v/>
      </c>
      <c r="R519" s="450">
        <f t="shared" ca="1" si="360"/>
        <v>1</v>
      </c>
      <c r="S519" s="191">
        <f t="shared" si="361"/>
        <v>43</v>
      </c>
      <c r="T519" s="191">
        <f t="shared" si="362"/>
        <v>7</v>
      </c>
      <c r="U519" s="191">
        <f ca="1">OP!$D$5+$S519-1</f>
        <v>75</v>
      </c>
      <c r="V519" s="191" t="str">
        <f t="shared" si="363"/>
        <v/>
      </c>
      <c r="W519" s="350">
        <f ca="1">IF(Q519&lt;&gt;1,0,VLOOKUP(OP!$C$55,PVFB,$S519+2,0))</f>
        <v>0</v>
      </c>
      <c r="X519" s="473">
        <f t="shared" ca="1" si="376"/>
        <v>0</v>
      </c>
      <c r="Y519" s="348">
        <f t="shared" ca="1" si="377"/>
        <v>0</v>
      </c>
      <c r="Z519" s="348">
        <f t="shared" ca="1" si="378"/>
        <v>8012</v>
      </c>
      <c r="AA519" s="348">
        <f ca="1">IF(Q519&lt;&gt;1,0,VLOOKUP(OP!$C$55,PVFB,$S519+2,0))</f>
        <v>0</v>
      </c>
      <c r="AB519" s="488" t="str">
        <f ca="1">IF(AND(S519&lt;OP!$C$24,$U519&lt;15),0,IF(AND($U519&lt;15,$T519=12),ROUND(VLOOKUP($S519,DOWN16,5,0),3),IF($T519=12,ROUND(($Z519/10000)*$AA519,3)+IF(AND($P$7="購買增額繳清保險",T519=12,U519=110),VLOOKUP(S519,$B$10:$H$121,7,0),0),"")))</f>
        <v/>
      </c>
      <c r="AC519" s="350" t="str">
        <f ca="1">IF(AND(S519&lt;OP!$C$24,$U519&lt;15),0,IF(AND($U519&lt;16,$T519=12),VLOOKUP($S519,DOWN16,4,0),IF($T519=12,ROUND(VLOOKUP(OP!$C$55,_DIE2,$S519+1,0)*(Z519/10000),0)+IF(AND($P$7="購買增額繳清保險",T519=12,U519=110),VLOOKUP(S519,$B$10:$H$121,7,0),0),"")))</f>
        <v/>
      </c>
      <c r="AD519" s="347"/>
      <c r="AE519" s="350" t="str">
        <f t="shared" ca="1" si="353"/>
        <v/>
      </c>
      <c r="AF519" s="351" t="str">
        <f t="shared" ca="1" si="354"/>
        <v/>
      </c>
      <c r="AG519" s="340"/>
      <c r="AH519" s="340"/>
      <c r="AI519" s="340"/>
      <c r="AJ519" s="340"/>
      <c r="AK519" s="340"/>
      <c r="AL519" s="340"/>
      <c r="AM519" s="340"/>
      <c r="AN519" s="340"/>
      <c r="AO519" s="340"/>
      <c r="AP519" s="340"/>
      <c r="AQ519" s="340"/>
      <c r="AR519" s="340"/>
      <c r="AS519" s="340"/>
      <c r="AT519" s="340"/>
      <c r="AU519" s="340"/>
      <c r="AV519" s="340"/>
      <c r="AY519" s="340"/>
      <c r="AZ519" s="465">
        <f t="shared" ca="1" si="364"/>
        <v>7.3698599999999999E-5</v>
      </c>
      <c r="BA519" s="464">
        <f t="shared" ca="1" si="365"/>
        <v>2.2109589000000002E-3</v>
      </c>
      <c r="BB519" s="465">
        <f t="shared" ca="1" si="365"/>
        <v>2.2846575E-3</v>
      </c>
      <c r="BC519" s="466">
        <f t="shared" ca="1" si="366"/>
        <v>58410</v>
      </c>
      <c r="BD519" s="467">
        <f t="shared" ca="1" si="379"/>
        <v>58411</v>
      </c>
      <c r="BE519" s="467">
        <f t="shared" ca="1" si="367"/>
        <v>58440</v>
      </c>
      <c r="BF519" s="468">
        <f ca="1">IF(計算!$BC519&lt;OP!$C$3,0,BD519-BC519)</f>
        <v>1</v>
      </c>
      <c r="BG519" s="468">
        <f ca="1">IF($BE519&gt;DATE(YEAR($BD$9)+OP!$C$57,MONTH($BD$9),DAY($BD$9)),0,$BE519-$BD519+1)</f>
        <v>30</v>
      </c>
      <c r="BH519" s="469">
        <f t="shared" ca="1" si="368"/>
        <v>31</v>
      </c>
      <c r="BI519" t="str">
        <f t="shared" si="384"/>
        <v/>
      </c>
      <c r="BJ519">
        <v>6</v>
      </c>
      <c r="BN519" s="468">
        <f t="shared" si="380"/>
        <v>43</v>
      </c>
      <c r="BO519" s="468">
        <f t="shared" si="381"/>
        <v>6</v>
      </c>
      <c r="BP519" s="467">
        <f t="shared" ca="1" si="369"/>
        <v>58411</v>
      </c>
      <c r="BQ519" s="475">
        <f t="shared" ca="1" si="383"/>
        <v>75</v>
      </c>
      <c r="BR519" s="475" t="str">
        <f t="shared" si="382"/>
        <v/>
      </c>
      <c r="BS519" s="471" t="str">
        <f t="shared" si="370"/>
        <v/>
      </c>
      <c r="BT519" s="472" t="str">
        <f t="shared" si="385"/>
        <v/>
      </c>
      <c r="BU519" s="472">
        <f t="shared" ca="1" si="371"/>
        <v>0</v>
      </c>
      <c r="BV519" s="472">
        <f t="shared" ca="1" si="371"/>
        <v>0</v>
      </c>
      <c r="BW519" s="472"/>
      <c r="BX519" s="473">
        <f t="shared" ca="1" si="372"/>
        <v>606952.30054187402</v>
      </c>
      <c r="BY519" s="473">
        <f t="shared" si="373"/>
        <v>0</v>
      </c>
      <c r="BZ519" s="473">
        <f t="shared" ca="1" si="355"/>
        <v>1386.678125575</v>
      </c>
      <c r="CA519" s="476">
        <f t="shared" ca="1" si="374"/>
        <v>0</v>
      </c>
      <c r="CB519" s="494">
        <f ca="1">IF(OR($Q518&lt;&gt;1,OP!$D$5+$BN519-1&lt;16,$BN519-1&lt;1),0,ROUND(ROUND(ROUND(((VLOOKUP($BN519-1,MORE_PV,5,0)/10000)*VLOOKUP($BN519,MORE_PV,$CB$5,0)),3)*VLOOKUP($BN519,more1,5,0),0)/$R518,0))</f>
        <v>0</v>
      </c>
      <c r="CC519" s="473">
        <f t="shared" ca="1" si="375"/>
        <v>0</v>
      </c>
      <c r="CD519" s="477"/>
    </row>
    <row r="520" spans="2:82" ht="16.5" hidden="1">
      <c r="B520" s="80"/>
      <c r="C520" s="80"/>
      <c r="D520" s="80"/>
      <c r="E520" s="80"/>
      <c r="F520" s="80"/>
      <c r="G520" s="80"/>
      <c r="H520" s="80"/>
      <c r="I520" s="80"/>
      <c r="J520" s="192">
        <f t="shared" si="356"/>
        <v>43</v>
      </c>
      <c r="K520" s="192">
        <f t="shared" si="357"/>
        <v>8</v>
      </c>
      <c r="L520" s="192" t="str">
        <f t="shared" si="352"/>
        <v/>
      </c>
      <c r="M520" s="216">
        <f t="shared" ca="1" si="358"/>
        <v>0</v>
      </c>
      <c r="N520" s="216"/>
      <c r="O520" s="216"/>
      <c r="P520" s="216"/>
      <c r="Q520" s="456" t="str">
        <f t="shared" ca="1" si="359"/>
        <v/>
      </c>
      <c r="R520" s="450">
        <f t="shared" ca="1" si="360"/>
        <v>1</v>
      </c>
      <c r="S520" s="191">
        <f t="shared" si="361"/>
        <v>43</v>
      </c>
      <c r="T520" s="191">
        <f t="shared" si="362"/>
        <v>8</v>
      </c>
      <c r="U520" s="191">
        <f ca="1">OP!$D$5+$S520-1</f>
        <v>75</v>
      </c>
      <c r="V520" s="191" t="str">
        <f t="shared" si="363"/>
        <v/>
      </c>
      <c r="W520" s="350">
        <f ca="1">IF(Q520&lt;&gt;1,0,VLOOKUP(OP!$C$55,PVFB,$S520+2,0))</f>
        <v>0</v>
      </c>
      <c r="X520" s="473">
        <f t="shared" ca="1" si="376"/>
        <v>0</v>
      </c>
      <c r="Y520" s="348">
        <f t="shared" ca="1" si="377"/>
        <v>0</v>
      </c>
      <c r="Z520" s="348">
        <f t="shared" ca="1" si="378"/>
        <v>8012</v>
      </c>
      <c r="AA520" s="348">
        <f ca="1">IF(Q520&lt;&gt;1,0,VLOOKUP(OP!$C$55,PVFB,$S520+2,0))</f>
        <v>0</v>
      </c>
      <c r="AB520" s="488" t="str">
        <f ca="1">IF(AND(S520&lt;OP!$C$24,$U520&lt;15),0,IF(AND($U520&lt;15,$T520=12),ROUND(VLOOKUP($S520,DOWN16,5,0),3),IF($T520=12,ROUND(($Z520/10000)*$AA520,3)+IF(AND($P$7="購買增額繳清保險",T520=12,U520=110),VLOOKUP(S520,$B$10:$H$121,7,0),0),"")))</f>
        <v/>
      </c>
      <c r="AC520" s="350" t="str">
        <f ca="1">IF(AND(S520&lt;OP!$C$24,$U520&lt;15),0,IF(AND($U520&lt;16,$T520=12),VLOOKUP($S520,DOWN16,4,0),IF($T520=12,ROUND(VLOOKUP(OP!$C$55,_DIE2,$S520+1,0)*(Z520/10000),0)+IF(AND($P$7="購買增額繳清保險",T520=12,U520=110),VLOOKUP(S520,$B$10:$H$121,7,0),0),"")))</f>
        <v/>
      </c>
      <c r="AD520" s="347"/>
      <c r="AE520" s="350" t="str">
        <f t="shared" ca="1" si="353"/>
        <v/>
      </c>
      <c r="AF520" s="351" t="str">
        <f t="shared" ca="1" si="354"/>
        <v/>
      </c>
      <c r="AG520" s="340"/>
      <c r="AH520" s="340"/>
      <c r="AI520" s="340"/>
      <c r="AJ520" s="340"/>
      <c r="AK520" s="340"/>
      <c r="AL520" s="340"/>
      <c r="AM520" s="340"/>
      <c r="AN520" s="340"/>
      <c r="AO520" s="340"/>
      <c r="AP520" s="340"/>
      <c r="AQ520" s="340"/>
      <c r="AR520" s="340"/>
      <c r="AS520" s="340"/>
      <c r="AT520" s="340"/>
      <c r="AU520" s="340"/>
      <c r="AV520" s="340"/>
      <c r="AY520" s="340"/>
      <c r="AZ520" s="465">
        <f t="shared" ca="1" si="364"/>
        <v>7.3698599999999999E-5</v>
      </c>
      <c r="BA520" s="464">
        <f t="shared" ca="1" si="365"/>
        <v>2.2109589000000002E-3</v>
      </c>
      <c r="BB520" s="465">
        <f t="shared" ca="1" si="365"/>
        <v>2.2846575E-3</v>
      </c>
      <c r="BC520" s="466">
        <f t="shared" ca="1" si="366"/>
        <v>58441</v>
      </c>
      <c r="BD520" s="467">
        <f t="shared" ca="1" si="379"/>
        <v>58442</v>
      </c>
      <c r="BE520" s="467">
        <f t="shared" ca="1" si="367"/>
        <v>58471</v>
      </c>
      <c r="BF520" s="468">
        <f ca="1">IF(計算!$BC520&lt;OP!$C$3,0,BD520-BC520)</f>
        <v>1</v>
      </c>
      <c r="BG520" s="468">
        <f ca="1">IF($BE520&gt;DATE(YEAR($BD$9)+OP!$C$57,MONTH($BD$9),DAY($BD$9)),0,$BE520-$BD520+1)</f>
        <v>30</v>
      </c>
      <c r="BH520" s="469">
        <f t="shared" ca="1" si="368"/>
        <v>31</v>
      </c>
      <c r="BI520" t="str">
        <f t="shared" si="384"/>
        <v/>
      </c>
      <c r="BJ520">
        <v>7</v>
      </c>
      <c r="BN520" s="468">
        <f t="shared" si="380"/>
        <v>43</v>
      </c>
      <c r="BO520" s="468">
        <f t="shared" si="381"/>
        <v>7</v>
      </c>
      <c r="BP520" s="467">
        <f t="shared" ca="1" si="369"/>
        <v>58442</v>
      </c>
      <c r="BQ520" s="475">
        <f t="shared" ca="1" si="383"/>
        <v>75</v>
      </c>
      <c r="BR520" s="475" t="str">
        <f t="shared" si="382"/>
        <v/>
      </c>
      <c r="BS520" s="471" t="str">
        <f t="shared" si="370"/>
        <v/>
      </c>
      <c r="BT520" s="472" t="str">
        <f t="shared" si="385"/>
        <v/>
      </c>
      <c r="BU520" s="472">
        <f t="shared" ca="1" si="371"/>
        <v>0</v>
      </c>
      <c r="BV520" s="472">
        <f t="shared" ca="1" si="371"/>
        <v>0</v>
      </c>
      <c r="BW520" s="472"/>
      <c r="BX520" s="473">
        <f t="shared" ca="1" si="372"/>
        <v>608338.97866744897</v>
      </c>
      <c r="BY520" s="473">
        <f t="shared" si="373"/>
        <v>0</v>
      </c>
      <c r="BZ520" s="473">
        <f t="shared" ca="1" si="355"/>
        <v>1389.8462101550001</v>
      </c>
      <c r="CA520" s="476">
        <f t="shared" ca="1" si="374"/>
        <v>0</v>
      </c>
      <c r="CB520" s="494">
        <f ca="1">IF(OR($Q519&lt;&gt;1,OP!$D$5+$BN520-1&lt;16,$BN520-1&lt;1),0,ROUND(ROUND(ROUND(((VLOOKUP($BN520-1,MORE_PV,5,0)/10000)*VLOOKUP($BN520,MORE_PV,$CB$5,0)),3)*VLOOKUP($BN520,more1,5,0),0)/$R519,0))</f>
        <v>0</v>
      </c>
      <c r="CC520" s="473">
        <f t="shared" ca="1" si="375"/>
        <v>0</v>
      </c>
      <c r="CD520" s="477"/>
    </row>
    <row r="521" spans="2:82" ht="16.5" hidden="1">
      <c r="B521" s="80"/>
      <c r="C521" s="80"/>
      <c r="D521" s="80"/>
      <c r="E521" s="80"/>
      <c r="F521" s="80"/>
      <c r="G521" s="80"/>
      <c r="H521" s="80"/>
      <c r="I521" s="80"/>
      <c r="J521" s="192">
        <f t="shared" si="356"/>
        <v>43</v>
      </c>
      <c r="K521" s="192">
        <f t="shared" si="357"/>
        <v>9</v>
      </c>
      <c r="L521" s="192" t="str">
        <f t="shared" ref="L521:L584" si="386">IF($K521=12,$J521,"")</f>
        <v/>
      </c>
      <c r="M521" s="216">
        <f t="shared" ca="1" si="358"/>
        <v>0</v>
      </c>
      <c r="N521" s="216"/>
      <c r="O521" s="216"/>
      <c r="P521" s="216"/>
      <c r="Q521" s="456" t="str">
        <f t="shared" ca="1" si="359"/>
        <v/>
      </c>
      <c r="R521" s="450">
        <f t="shared" ca="1" si="360"/>
        <v>1</v>
      </c>
      <c r="S521" s="191">
        <f t="shared" si="361"/>
        <v>43</v>
      </c>
      <c r="T521" s="191">
        <f t="shared" si="362"/>
        <v>9</v>
      </c>
      <c r="U521" s="191">
        <f ca="1">OP!$D$5+$S521-1</f>
        <v>75</v>
      </c>
      <c r="V521" s="191" t="str">
        <f t="shared" si="363"/>
        <v/>
      </c>
      <c r="W521" s="350">
        <f ca="1">IF(Q521&lt;&gt;1,0,VLOOKUP(OP!$C$55,PVFB,$S521+2,0))</f>
        <v>0</v>
      </c>
      <c r="X521" s="473">
        <f t="shared" ca="1" si="376"/>
        <v>0</v>
      </c>
      <c r="Y521" s="348">
        <f t="shared" ca="1" si="377"/>
        <v>0</v>
      </c>
      <c r="Z521" s="348">
        <f t="shared" ca="1" si="378"/>
        <v>8012</v>
      </c>
      <c r="AA521" s="348">
        <f ca="1">IF(Q521&lt;&gt;1,0,VLOOKUP(OP!$C$55,PVFB,$S521+2,0))</f>
        <v>0</v>
      </c>
      <c r="AB521" s="488" t="str">
        <f ca="1">IF(AND(S521&lt;OP!$C$24,$U521&lt;15),0,IF(AND($U521&lt;15,$T521=12),ROUND(VLOOKUP($S521,DOWN16,5,0),3),IF($T521=12,ROUND(($Z521/10000)*$AA521,3)+IF(AND($P$7="購買增額繳清保險",T521=12,U521=110),VLOOKUP(S521,$B$10:$H$121,7,0),0),"")))</f>
        <v/>
      </c>
      <c r="AC521" s="350" t="str">
        <f ca="1">IF(AND(S521&lt;OP!$C$24,$U521&lt;15),0,IF(AND($U521&lt;16,$T521=12),VLOOKUP($S521,DOWN16,4,0),IF($T521=12,ROUND(VLOOKUP(OP!$C$55,_DIE2,$S521+1,0)*(Z521/10000),0)+IF(AND($P$7="購買增額繳清保險",T521=12,U521=110),VLOOKUP(S521,$B$10:$H$121,7,0),0),"")))</f>
        <v/>
      </c>
      <c r="AD521" s="347"/>
      <c r="AE521" s="350" t="str">
        <f t="shared" ref="AE521:AE584" ca="1" si="387">IF(AND($U$9&lt;16,$T521=12),VLOOKUP($S521,DOWN16,4,0),"")</f>
        <v/>
      </c>
      <c r="AF521" s="351" t="str">
        <f t="shared" ref="AF521:AF584" ca="1" si="388">IF(AND($U$9&lt;16,$T521=12),VLOOKUP($S521,DOWN16,5,0),"")</f>
        <v/>
      </c>
      <c r="AG521" s="340"/>
      <c r="AH521" s="340"/>
      <c r="AI521" s="340"/>
      <c r="AJ521" s="340"/>
      <c r="AK521" s="340"/>
      <c r="AL521" s="340"/>
      <c r="AM521" s="340"/>
      <c r="AN521" s="340"/>
      <c r="AO521" s="340"/>
      <c r="AP521" s="340"/>
      <c r="AQ521" s="340"/>
      <c r="AR521" s="340"/>
      <c r="AS521" s="340"/>
      <c r="AT521" s="340"/>
      <c r="AU521" s="340"/>
      <c r="AV521" s="340"/>
      <c r="AY521" s="340"/>
      <c r="AZ521" s="465">
        <f t="shared" ca="1" si="364"/>
        <v>7.3698599999999999E-5</v>
      </c>
      <c r="BA521" s="464">
        <f t="shared" ca="1" si="365"/>
        <v>2.0635616E-3</v>
      </c>
      <c r="BB521" s="465">
        <f t="shared" ca="1" si="365"/>
        <v>2.1372602999999999E-3</v>
      </c>
      <c r="BC521" s="466">
        <f t="shared" ca="1" si="366"/>
        <v>58472</v>
      </c>
      <c r="BD521" s="467">
        <f t="shared" ca="1" si="379"/>
        <v>58473</v>
      </c>
      <c r="BE521" s="467">
        <f t="shared" ca="1" si="367"/>
        <v>58500</v>
      </c>
      <c r="BF521" s="468">
        <f ca="1">IF(計算!$BC521&lt;OP!$C$3,0,BD521-BC521)</f>
        <v>1</v>
      </c>
      <c r="BG521" s="468">
        <f ca="1">IF($BE521&gt;DATE(YEAR($BD$9)+OP!$C$57,MONTH($BD$9),DAY($BD$9)),0,$BE521-$BD521+1)</f>
        <v>28</v>
      </c>
      <c r="BH521" s="469">
        <f t="shared" ca="1" si="368"/>
        <v>29</v>
      </c>
      <c r="BI521" t="str">
        <f t="shared" si="384"/>
        <v/>
      </c>
      <c r="BJ521">
        <v>8</v>
      </c>
      <c r="BN521" s="468">
        <f t="shared" si="380"/>
        <v>43</v>
      </c>
      <c r="BO521" s="468">
        <f t="shared" si="381"/>
        <v>8</v>
      </c>
      <c r="BP521" s="467">
        <f t="shared" ca="1" si="369"/>
        <v>58473</v>
      </c>
      <c r="BQ521" s="475">
        <f t="shared" ca="1" si="383"/>
        <v>75</v>
      </c>
      <c r="BR521" s="475" t="str">
        <f t="shared" si="382"/>
        <v/>
      </c>
      <c r="BS521" s="471" t="str">
        <f t="shared" si="370"/>
        <v/>
      </c>
      <c r="BT521" s="472" t="str">
        <f t="shared" si="385"/>
        <v/>
      </c>
      <c r="BU521" s="472">
        <f t="shared" ca="1" si="371"/>
        <v>0</v>
      </c>
      <c r="BV521" s="472">
        <f t="shared" ca="1" si="371"/>
        <v>0</v>
      </c>
      <c r="BW521" s="472"/>
      <c r="BX521" s="473">
        <f t="shared" ca="1" si="372"/>
        <v>609728.82487760403</v>
      </c>
      <c r="BY521" s="473">
        <f t="shared" si="373"/>
        <v>0</v>
      </c>
      <c r="BZ521" s="473">
        <f t="shared" ref="BZ521:BZ584" ca="1" si="389">ROUND(BX521*IF(BO521=12,$BA521,$BB521),$CB$6)</f>
        <v>1303.1492111770001</v>
      </c>
      <c r="CA521" s="476">
        <f t="shared" ca="1" si="374"/>
        <v>0</v>
      </c>
      <c r="CB521" s="494">
        <f ca="1">IF(OR($Q520&lt;&gt;1,OP!$D$5+$BN521-1&lt;16,$BN521-1&lt;1),0,ROUND(ROUND(ROUND(((VLOOKUP($BN521-1,MORE_PV,5,0)/10000)*VLOOKUP($BN521,MORE_PV,$CB$5,0)),3)*VLOOKUP($BN521,more1,5,0),0)/$R520,0))</f>
        <v>0</v>
      </c>
      <c r="CC521" s="473">
        <f t="shared" ca="1" si="375"/>
        <v>0</v>
      </c>
      <c r="CD521" s="477"/>
    </row>
    <row r="522" spans="2:82" ht="16.5" hidden="1">
      <c r="B522" s="80"/>
      <c r="C522" s="80"/>
      <c r="D522" s="80"/>
      <c r="E522" s="80"/>
      <c r="F522" s="80"/>
      <c r="G522" s="80"/>
      <c r="H522" s="80"/>
      <c r="I522" s="80"/>
      <c r="J522" s="192">
        <f t="shared" ref="J522:J585" si="390">IF(K521=12,J521+1,J521)</f>
        <v>43</v>
      </c>
      <c r="K522" s="192">
        <f t="shared" ref="K522:K585" si="391">IF(K521=12,1,K521+1)</f>
        <v>10</v>
      </c>
      <c r="L522" s="192" t="str">
        <f t="shared" si="386"/>
        <v/>
      </c>
      <c r="M522" s="216">
        <f t="shared" ref="M522:M585" ca="1" si="392">IF($Q522=1,VLOOKUP(L522,$BR$9:$BT$1341,3,0),0)</f>
        <v>0</v>
      </c>
      <c r="N522" s="216"/>
      <c r="O522" s="216"/>
      <c r="P522" s="216"/>
      <c r="Q522" s="456" t="str">
        <f t="shared" ref="Q522:Q585" ca="1" si="393">IF(OR($U522&gt;=$I$5,AND($G$5=1,$K522=12),AND($G$5=2,OR($K522=6,$K522=12)),AND($G$5=4,OR($K522=3,$K522=6,$K522=9,$K522=12)),$G$5=12),1,"")</f>
        <v/>
      </c>
      <c r="R522" s="450">
        <f t="shared" ref="R522:R585" ca="1" si="394">IF($U522&lt;$I$5,$G$5,$I$6)</f>
        <v>1</v>
      </c>
      <c r="S522" s="191">
        <f t="shared" ref="S522:S585" si="395">IF(T521=12,S521+1,S521)</f>
        <v>43</v>
      </c>
      <c r="T522" s="191">
        <f t="shared" ref="T522:T585" si="396">IF(T521=12,1,T521+1)</f>
        <v>10</v>
      </c>
      <c r="U522" s="191">
        <f ca="1">OP!$D$5+$S522-1</f>
        <v>75</v>
      </c>
      <c r="V522" s="191" t="str">
        <f t="shared" ref="V522:V585" si="397">IF($T522=12,$S522,"")</f>
        <v/>
      </c>
      <c r="W522" s="350">
        <f ca="1">IF(Q522&lt;&gt;1,0,VLOOKUP(OP!$C$55,PVFB,$S522+2,0))</f>
        <v>0</v>
      </c>
      <c r="X522" s="473">
        <f t="shared" ca="1" si="376"/>
        <v>0</v>
      </c>
      <c r="Y522" s="348">
        <f t="shared" ca="1" si="377"/>
        <v>0</v>
      </c>
      <c r="Z522" s="348">
        <f t="shared" ca="1" si="378"/>
        <v>8012</v>
      </c>
      <c r="AA522" s="348">
        <f ca="1">IF(Q522&lt;&gt;1,0,VLOOKUP(OP!$C$55,PVFB,$S522+2,0))</f>
        <v>0</v>
      </c>
      <c r="AB522" s="488" t="str">
        <f ca="1">IF(AND(S522&lt;OP!$C$24,$U522&lt;15),0,IF(AND($U522&lt;15,$T522=12),ROUND(VLOOKUP($S522,DOWN16,5,0),3),IF($T522=12,ROUND(($Z522/10000)*$AA522,3)+IF(AND($P$7="購買增額繳清保險",T522=12,U522=110),VLOOKUP(S522,$B$10:$H$121,7,0),0),"")))</f>
        <v/>
      </c>
      <c r="AC522" s="350" t="str">
        <f ca="1">IF(AND(S522&lt;OP!$C$24,$U522&lt;15),0,IF(AND($U522&lt;16,$T522=12),VLOOKUP($S522,DOWN16,4,0),IF($T522=12,ROUND(VLOOKUP(OP!$C$55,_DIE2,$S522+1,0)*(Z522/10000),0)+IF(AND($P$7="購買增額繳清保險",T522=12,U522=110),VLOOKUP(S522,$B$10:$H$121,7,0),0),"")))</f>
        <v/>
      </c>
      <c r="AD522" s="347"/>
      <c r="AE522" s="350" t="str">
        <f t="shared" ca="1" si="387"/>
        <v/>
      </c>
      <c r="AF522" s="351" t="str">
        <f t="shared" ca="1" si="388"/>
        <v/>
      </c>
      <c r="AG522" s="340"/>
      <c r="AH522" s="340"/>
      <c r="AI522" s="340"/>
      <c r="AJ522" s="340"/>
      <c r="AK522" s="340"/>
      <c r="AL522" s="340"/>
      <c r="AM522" s="340"/>
      <c r="AN522" s="340"/>
      <c r="AO522" s="340"/>
      <c r="AP522" s="340"/>
      <c r="AQ522" s="340"/>
      <c r="AR522" s="340"/>
      <c r="AS522" s="340"/>
      <c r="AT522" s="340"/>
      <c r="AU522" s="340"/>
      <c r="AV522" s="340"/>
      <c r="AY522" s="340"/>
      <c r="AZ522" s="465">
        <f t="shared" ref="AZ522:AZ585" ca="1" si="398">ROUND(($G$3*BF522/365),10)</f>
        <v>7.3698599999999999E-5</v>
      </c>
      <c r="BA522" s="464">
        <f t="shared" ref="BA522:BB585" ca="1" si="399">ROUND(($G$3*BG522/365),10)</f>
        <v>2.2109589000000002E-3</v>
      </c>
      <c r="BB522" s="465">
        <f t="shared" ca="1" si="399"/>
        <v>2.2846575E-3</v>
      </c>
      <c r="BC522" s="466">
        <f t="shared" ref="BC522:BC585" ca="1" si="400">DATE(YEAR(BD522),MONTH(BD522),1)</f>
        <v>58501</v>
      </c>
      <c r="BD522" s="467">
        <f t="shared" ca="1" si="379"/>
        <v>58502</v>
      </c>
      <c r="BE522" s="467">
        <f t="shared" ref="BE522:BE585" ca="1" si="401">DATE(YEAR(BD522),MONTH(BD522),DAY(DATE(YEAR(BD522),MONTH(BD522)+1,0)))</f>
        <v>58531</v>
      </c>
      <c r="BF522" s="468">
        <f ca="1">IF(計算!$BC522&lt;OP!$C$3,0,BD522-BC522)</f>
        <v>1</v>
      </c>
      <c r="BG522" s="468">
        <f ca="1">IF($BE522&gt;DATE(YEAR($BD$9)+OP!$C$57,MONTH($BD$9),DAY($BD$9)),0,$BE522-$BD522+1)</f>
        <v>30</v>
      </c>
      <c r="BH522" s="469">
        <f t="shared" ref="BH522:BH585" ca="1" si="402">BF522+BG522</f>
        <v>31</v>
      </c>
      <c r="BI522" t="str">
        <f t="shared" si="384"/>
        <v/>
      </c>
      <c r="BJ522">
        <v>9</v>
      </c>
      <c r="BN522" s="468">
        <f t="shared" si="380"/>
        <v>43</v>
      </c>
      <c r="BO522" s="468">
        <f t="shared" si="381"/>
        <v>9</v>
      </c>
      <c r="BP522" s="467">
        <f t="shared" ref="BP522:BP585" ca="1" si="403">BD522</f>
        <v>58502</v>
      </c>
      <c r="BQ522" s="475">
        <f t="shared" ca="1" si="383"/>
        <v>75</v>
      </c>
      <c r="BR522" s="475" t="str">
        <f t="shared" si="382"/>
        <v/>
      </c>
      <c r="BS522" s="471" t="str">
        <f t="shared" ref="BS522:BS585" si="404">IF(BW522&lt;&gt;"",ROUND(BU522,0)+ROUND(BV522,0),"")</f>
        <v/>
      </c>
      <c r="BT522" s="472" t="str">
        <f t="shared" si="385"/>
        <v/>
      </c>
      <c r="BU522" s="472">
        <f t="shared" ref="BU522:BV585" ca="1" si="405">ROUND(CA522,0)</f>
        <v>0</v>
      </c>
      <c r="BV522" s="472">
        <f t="shared" ca="1" si="405"/>
        <v>0</v>
      </c>
      <c r="BW522" s="472"/>
      <c r="BX522" s="473">
        <f t="shared" ref="BX522:BX585" ca="1" si="406">IF(BN522&lt;=$P$4,0,ROUNDDOWN(IF($Q521=1,CA522+CB522-CC522,0)+BX521+BY522+BZ521,VLOOKUP(LEN(ROUNDDOWN(IF($Q521=1,CA522+CB522-CC522,0)+BX521+BY522+BZ521,0)),$BK$9:$BL$24,2,0)))</f>
        <v>611031.97408878105</v>
      </c>
      <c r="BY522" s="473">
        <f t="shared" ref="BY522:BY585" si="407">IF(BO522=12,ROUND((BX521+BZ521)*$AZ522,$CB$6),0)</f>
        <v>0</v>
      </c>
      <c r="BZ522" s="473">
        <f t="shared" ca="1" si="389"/>
        <v>1395.9987823419999</v>
      </c>
      <c r="CA522" s="476">
        <f t="shared" ref="CA522:CA585" ca="1" si="408">IF($Q521=1,ROUND(VLOOKUP($BN522,more1,3,0)*VLOOKUP($BN522,more1,5,0)/$R521,0),0)</f>
        <v>0</v>
      </c>
      <c r="CB522" s="494">
        <f ca="1">IF(OR($Q521&lt;&gt;1,OP!$D$5+$BN522-1&lt;16,$BN522-1&lt;1),0,ROUND(ROUND(ROUND(((VLOOKUP($BN522-1,MORE_PV,5,0)/10000)*VLOOKUP($BN522,MORE_PV,$CB$5,0)),3)*VLOOKUP($BN522,more1,5,0),0)/$R521,0))</f>
        <v>0</v>
      </c>
      <c r="CC522" s="473">
        <f t="shared" ref="CC522:CC585" ca="1" si="409">IF(AND($BN522=$P$4,$BO522=12),$CA522+$CB522,IF(AND($BN522&gt;$P$4,$Q521=1,$G$6="現金給付",$CA522+$CB522&gt;=$P$3),$CA522+$CB522,0))</f>
        <v>0</v>
      </c>
      <c r="CD522" s="477"/>
    </row>
    <row r="523" spans="2:82" ht="16.5" hidden="1">
      <c r="B523" s="80"/>
      <c r="C523" s="80"/>
      <c r="D523" s="80"/>
      <c r="E523" s="80"/>
      <c r="F523" s="80"/>
      <c r="G523" s="80"/>
      <c r="H523" s="80"/>
      <c r="I523" s="80"/>
      <c r="J523" s="192">
        <f t="shared" si="390"/>
        <v>43</v>
      </c>
      <c r="K523" s="192">
        <f t="shared" si="391"/>
        <v>11</v>
      </c>
      <c r="L523" s="192" t="str">
        <f t="shared" si="386"/>
        <v/>
      </c>
      <c r="M523" s="216">
        <f t="shared" ca="1" si="392"/>
        <v>0</v>
      </c>
      <c r="N523" s="216"/>
      <c r="O523" s="216"/>
      <c r="P523" s="216"/>
      <c r="Q523" s="456" t="str">
        <f t="shared" ca="1" si="393"/>
        <v/>
      </c>
      <c r="R523" s="450">
        <f t="shared" ca="1" si="394"/>
        <v>1</v>
      </c>
      <c r="S523" s="191">
        <f t="shared" si="395"/>
        <v>43</v>
      </c>
      <c r="T523" s="191">
        <f t="shared" si="396"/>
        <v>11</v>
      </c>
      <c r="U523" s="191">
        <f ca="1">OP!$D$5+$S523-1</f>
        <v>75</v>
      </c>
      <c r="V523" s="191" t="str">
        <f t="shared" si="397"/>
        <v/>
      </c>
      <c r="W523" s="350">
        <f ca="1">IF(Q523&lt;&gt;1,0,VLOOKUP(OP!$C$55,PVFB,$S523+2,0))</f>
        <v>0</v>
      </c>
      <c r="X523" s="473">
        <f t="shared" ref="X523:X586" ca="1" si="410">IF(AND($U523=15,$T523=12),$CO524,IF(AND($U523&gt;15,$S523&lt;=$P$4,$T523=12),($BS524)*$R523,IF($Q523=1,($BS524),0)))</f>
        <v>0</v>
      </c>
      <c r="Y523" s="348">
        <f t="shared" ref="Y523:Y586" ca="1" si="411">IF(AND($P$7="購買增額繳清保險",U523&gt;=110),0,IF(AND($U523=15,$W523&lt;&gt;0,$T523=12),ROUND(($X523)/($W523/10000),0),IF(AND($S523&lt;=$P$4,$W523&lt;&gt;0,$T523=12,$U523&gt;15),ROUND(($X523)/($W523/10000),0),0)))</f>
        <v>0</v>
      </c>
      <c r="Z523" s="348">
        <f t="shared" ref="Z523:Z586" ca="1" si="412">Z522+Y523</f>
        <v>8012</v>
      </c>
      <c r="AA523" s="348">
        <f ca="1">IF(Q523&lt;&gt;1,0,VLOOKUP(OP!$C$55,PVFB,$S523+2,0))</f>
        <v>0</v>
      </c>
      <c r="AB523" s="488" t="str">
        <f ca="1">IF(AND(S523&lt;OP!$C$24,$U523&lt;15),0,IF(AND($U523&lt;15,$T523=12),ROUND(VLOOKUP($S523,DOWN16,5,0),3),IF($T523=12,ROUND(($Z523/10000)*$AA523,3)+IF(AND($P$7="購買增額繳清保險",T523=12,U523=110),VLOOKUP(S523,$B$10:$H$121,7,0),0),"")))</f>
        <v/>
      </c>
      <c r="AC523" s="350" t="str">
        <f ca="1">IF(AND(S523&lt;OP!$C$24,$U523&lt;15),0,IF(AND($U523&lt;16,$T523=12),VLOOKUP($S523,DOWN16,4,0),IF($T523=12,ROUND(VLOOKUP(OP!$C$55,_DIE2,$S523+1,0)*(Z523/10000),0)+IF(AND($P$7="購買增額繳清保險",T523=12,U523=110),VLOOKUP(S523,$B$10:$H$121,7,0),0),"")))</f>
        <v/>
      </c>
      <c r="AD523" s="347"/>
      <c r="AE523" s="350" t="str">
        <f t="shared" ca="1" si="387"/>
        <v/>
      </c>
      <c r="AF523" s="351" t="str">
        <f t="shared" ca="1" si="388"/>
        <v/>
      </c>
      <c r="AG523" s="340"/>
      <c r="AH523" s="340"/>
      <c r="AI523" s="340"/>
      <c r="AJ523" s="340"/>
      <c r="AK523" s="340"/>
      <c r="AL523" s="340"/>
      <c r="AM523" s="340"/>
      <c r="AN523" s="340"/>
      <c r="AO523" s="340"/>
      <c r="AP523" s="340"/>
      <c r="AQ523" s="340"/>
      <c r="AR523" s="340"/>
      <c r="AS523" s="340"/>
      <c r="AT523" s="340"/>
      <c r="AU523" s="340"/>
      <c r="AV523" s="340"/>
      <c r="AY523" s="340"/>
      <c r="AZ523" s="465">
        <f t="shared" ca="1" si="398"/>
        <v>7.3698599999999999E-5</v>
      </c>
      <c r="BA523" s="464">
        <f t="shared" ca="1" si="399"/>
        <v>2.1372602999999999E-3</v>
      </c>
      <c r="BB523" s="465">
        <f t="shared" ca="1" si="399"/>
        <v>2.2109589000000002E-3</v>
      </c>
      <c r="BC523" s="466">
        <f t="shared" ca="1" si="400"/>
        <v>58532</v>
      </c>
      <c r="BD523" s="467">
        <f t="shared" ref="BD523:BD586" ca="1" si="413">DATE(YEAR(BD522),MONTH(BD522)+1,MIN(DAY($BD$9),DAY(DATE(YEAR(BD522),MONTH(BD522)+2,0))))</f>
        <v>58533</v>
      </c>
      <c r="BE523" s="467">
        <f t="shared" ca="1" si="401"/>
        <v>58561</v>
      </c>
      <c r="BF523" s="468">
        <f ca="1">IF(計算!$BC523&lt;OP!$C$3,0,BD523-BC523)</f>
        <v>1</v>
      </c>
      <c r="BG523" s="468">
        <f ca="1">IF($BE523&gt;DATE(YEAR($BD$9)+OP!$C$57,MONTH($BD$9),DAY($BD$9)),0,$BE523-$BD523+1)</f>
        <v>29</v>
      </c>
      <c r="BH523" s="469">
        <f t="shared" ca="1" si="402"/>
        <v>30</v>
      </c>
      <c r="BI523" t="str">
        <f t="shared" si="384"/>
        <v/>
      </c>
      <c r="BJ523">
        <v>10</v>
      </c>
      <c r="BN523" s="468">
        <f t="shared" ref="BN523:BN586" si="414">IF(BO522=12,BN522+1,BN522)</f>
        <v>43</v>
      </c>
      <c r="BO523" s="468">
        <f t="shared" ref="BO523:BO586" si="415">IF(BO522=12,1,BO522+1)</f>
        <v>10</v>
      </c>
      <c r="BP523" s="467">
        <f t="shared" ca="1" si="403"/>
        <v>58533</v>
      </c>
      <c r="BQ523" s="475">
        <f t="shared" ca="1" si="383"/>
        <v>75</v>
      </c>
      <c r="BR523" s="475" t="str">
        <f t="shared" ref="BR523:BR586" si="416">IF(BO523=12,BN523,"")</f>
        <v/>
      </c>
      <c r="BS523" s="471" t="str">
        <f t="shared" si="404"/>
        <v/>
      </c>
      <c r="BT523" s="472" t="str">
        <f t="shared" si="385"/>
        <v/>
      </c>
      <c r="BU523" s="472">
        <f t="shared" ca="1" si="405"/>
        <v>0</v>
      </c>
      <c r="BV523" s="472">
        <f t="shared" ca="1" si="405"/>
        <v>0</v>
      </c>
      <c r="BW523" s="472"/>
      <c r="BX523" s="473">
        <f t="shared" ca="1" si="406"/>
        <v>612427.972871123</v>
      </c>
      <c r="BY523" s="473">
        <f t="shared" si="407"/>
        <v>0</v>
      </c>
      <c r="BZ523" s="473">
        <f t="shared" ca="1" si="389"/>
        <v>1354.0530772279999</v>
      </c>
      <c r="CA523" s="476">
        <f t="shared" ca="1" si="408"/>
        <v>0</v>
      </c>
      <c r="CB523" s="494">
        <f ca="1">IF(OR($Q522&lt;&gt;1,OP!$D$5+$BN523-1&lt;16,$BN523-1&lt;1),0,ROUND(ROUND(ROUND(((VLOOKUP($BN523-1,MORE_PV,5,0)/10000)*VLOOKUP($BN523,MORE_PV,$CB$5,0)),3)*VLOOKUP($BN523,more1,5,0),0)/$R522,0))</f>
        <v>0</v>
      </c>
      <c r="CC523" s="473">
        <f t="shared" ca="1" si="409"/>
        <v>0</v>
      </c>
      <c r="CD523" s="477"/>
    </row>
    <row r="524" spans="2:82" ht="16.5" hidden="1">
      <c r="B524" s="80"/>
      <c r="C524" s="80"/>
      <c r="D524" s="80"/>
      <c r="E524" s="80"/>
      <c r="F524" s="80"/>
      <c r="G524" s="80"/>
      <c r="H524" s="80"/>
      <c r="I524" s="80"/>
      <c r="J524" s="192">
        <f t="shared" si="390"/>
        <v>43</v>
      </c>
      <c r="K524" s="192">
        <f t="shared" si="391"/>
        <v>12</v>
      </c>
      <c r="L524" s="192">
        <f t="shared" si="386"/>
        <v>43</v>
      </c>
      <c r="M524" s="216">
        <f t="shared" ca="1" si="392"/>
        <v>630176</v>
      </c>
      <c r="N524" s="216"/>
      <c r="O524" s="216"/>
      <c r="P524" s="216"/>
      <c r="Q524" s="456">
        <f t="shared" ca="1" si="393"/>
        <v>1</v>
      </c>
      <c r="R524" s="450">
        <f t="shared" ca="1" si="394"/>
        <v>1</v>
      </c>
      <c r="S524" s="191">
        <f t="shared" si="395"/>
        <v>43</v>
      </c>
      <c r="T524" s="191">
        <f t="shared" si="396"/>
        <v>12</v>
      </c>
      <c r="U524" s="191">
        <f ca="1">OP!$D$5+$S524-1</f>
        <v>75</v>
      </c>
      <c r="V524" s="191">
        <f t="shared" si="397"/>
        <v>43</v>
      </c>
      <c r="W524" s="350">
        <f ca="1">IF(Q524&lt;&gt;1,0,VLOOKUP(OP!$C$55,PVFB,$S524+2,0))</f>
        <v>62246</v>
      </c>
      <c r="X524" s="473">
        <f t="shared" ca="1" si="410"/>
        <v>14947</v>
      </c>
      <c r="Y524" s="348">
        <f t="shared" ca="1" si="411"/>
        <v>0</v>
      </c>
      <c r="Z524" s="348">
        <f t="shared" ca="1" si="412"/>
        <v>8012</v>
      </c>
      <c r="AA524" s="348">
        <f ca="1">IF(Q524&lt;&gt;1,0,VLOOKUP(OP!$C$55,PVFB,$S524+2,0))</f>
        <v>62246</v>
      </c>
      <c r="AB524" s="488">
        <f ca="1">IF(AND(S524&lt;OP!$C$24,$U524&lt;15),0,IF(AND($U524&lt;15,$T524=12),ROUND(VLOOKUP($S524,DOWN16,5,0),3),IF($T524=12,ROUND(($Z524/10000)*$AA524,3)+IF(AND($P$7="購買增額繳清保險",T524=12,U524=110),VLOOKUP(S524,$B$10:$H$121,7,0),0),"")))</f>
        <v>49871.495000000003</v>
      </c>
      <c r="AC524" s="350">
        <f ca="1">IF(AND(S524&lt;OP!$C$24,$U524&lt;15),0,IF(AND($U524&lt;16,$T524=12),VLOOKUP($S524,DOWN16,4,0),IF($T524=12,ROUND(VLOOKUP(OP!$C$55,_DIE2,$S524+1,0)*(Z524/10000),0)+IF(AND($P$7="購買增額繳清保險",T524=12,U524=110),VLOOKUP(S524,$B$10:$H$121,7,0),0),"")))</f>
        <v>49871</v>
      </c>
      <c r="AD524" s="347"/>
      <c r="AE524" s="350" t="str">
        <f t="shared" ca="1" si="387"/>
        <v/>
      </c>
      <c r="AF524" s="351" t="str">
        <f t="shared" ca="1" si="388"/>
        <v/>
      </c>
      <c r="AG524" s="340"/>
      <c r="AH524" s="340"/>
      <c r="AI524" s="340"/>
      <c r="AJ524" s="340"/>
      <c r="AK524" s="340"/>
      <c r="AL524" s="340"/>
      <c r="AM524" s="340"/>
      <c r="AN524" s="340"/>
      <c r="AO524" s="340"/>
      <c r="AP524" s="340"/>
      <c r="AQ524" s="340"/>
      <c r="AR524" s="340"/>
      <c r="AS524" s="340"/>
      <c r="AT524" s="340"/>
      <c r="AU524" s="340"/>
      <c r="AV524" s="340"/>
      <c r="AY524" s="340"/>
      <c r="AZ524" s="465">
        <f t="shared" ca="1" si="398"/>
        <v>7.3698599999999999E-5</v>
      </c>
      <c r="BA524" s="464">
        <f t="shared" ca="1" si="399"/>
        <v>2.2109589000000002E-3</v>
      </c>
      <c r="BB524" s="465">
        <f t="shared" ca="1" si="399"/>
        <v>2.2846575E-3</v>
      </c>
      <c r="BC524" s="466">
        <f t="shared" ca="1" si="400"/>
        <v>58562</v>
      </c>
      <c r="BD524" s="467">
        <f t="shared" ca="1" si="413"/>
        <v>58563</v>
      </c>
      <c r="BE524" s="467">
        <f t="shared" ca="1" si="401"/>
        <v>58592</v>
      </c>
      <c r="BF524" s="468">
        <f ca="1">IF(計算!$BC524&lt;OP!$C$3,0,BD524-BC524)</f>
        <v>1</v>
      </c>
      <c r="BG524" s="468">
        <f ca="1">IF($BE524&gt;DATE(YEAR($BD$9)+OP!$C$57,MONTH($BD$9),DAY($BD$9)),0,$BE524-$BD524+1)</f>
        <v>30</v>
      </c>
      <c r="BH524" s="469">
        <f t="shared" ca="1" si="402"/>
        <v>31</v>
      </c>
      <c r="BI524" t="str">
        <f t="shared" si="384"/>
        <v/>
      </c>
      <c r="BJ524">
        <v>11</v>
      </c>
      <c r="BN524" s="468">
        <f t="shared" si="414"/>
        <v>43</v>
      </c>
      <c r="BO524" s="468">
        <f t="shared" si="415"/>
        <v>11</v>
      </c>
      <c r="BP524" s="467">
        <f t="shared" ca="1" si="403"/>
        <v>58563</v>
      </c>
      <c r="BQ524" s="475">
        <f t="shared" ref="BQ524:BQ587" ca="1" si="417">IF(BO523=12,BQ523+1,BQ523)</f>
        <v>75</v>
      </c>
      <c r="BR524" s="475" t="str">
        <f t="shared" si="416"/>
        <v/>
      </c>
      <c r="BS524" s="471" t="str">
        <f t="shared" si="404"/>
        <v/>
      </c>
      <c r="BT524" s="472" t="str">
        <f t="shared" si="385"/>
        <v/>
      </c>
      <c r="BU524" s="472">
        <f t="shared" ca="1" si="405"/>
        <v>0</v>
      </c>
      <c r="BV524" s="472">
        <f t="shared" ca="1" si="405"/>
        <v>0</v>
      </c>
      <c r="BW524" s="472"/>
      <c r="BX524" s="473">
        <f t="shared" ca="1" si="406"/>
        <v>613782.02594835102</v>
      </c>
      <c r="BY524" s="473">
        <f t="shared" si="407"/>
        <v>0</v>
      </c>
      <c r="BZ524" s="473">
        <f t="shared" ca="1" si="389"/>
        <v>1402.281708948</v>
      </c>
      <c r="CA524" s="476">
        <f t="shared" ca="1" si="408"/>
        <v>0</v>
      </c>
      <c r="CB524" s="494">
        <f ca="1">IF(OR($Q523&lt;&gt;1,OP!$D$5+$BN524-1&lt;16,$BN524-1&lt;1),0,ROUND(ROUND(ROUND(((VLOOKUP($BN524-1,MORE_PV,5,0)/10000)*VLOOKUP($BN524,MORE_PV,$CB$5,0)),3)*VLOOKUP($BN524,more1,5,0),0)/$R523,0))</f>
        <v>0</v>
      </c>
      <c r="CC524" s="473">
        <f t="shared" ca="1" si="409"/>
        <v>0</v>
      </c>
      <c r="CD524" s="477"/>
    </row>
    <row r="525" spans="2:82" ht="16.5" hidden="1">
      <c r="B525" s="80"/>
      <c r="C525" s="80"/>
      <c r="D525" s="80"/>
      <c r="E525" s="80"/>
      <c r="F525" s="80"/>
      <c r="G525" s="80"/>
      <c r="H525" s="80"/>
      <c r="I525" s="80"/>
      <c r="J525" s="192">
        <f t="shared" si="390"/>
        <v>44</v>
      </c>
      <c r="K525" s="192">
        <f t="shared" si="391"/>
        <v>1</v>
      </c>
      <c r="L525" s="192" t="str">
        <f t="shared" si="386"/>
        <v/>
      </c>
      <c r="M525" s="216">
        <f t="shared" ca="1" si="392"/>
        <v>0</v>
      </c>
      <c r="N525" s="216"/>
      <c r="O525" s="216"/>
      <c r="P525" s="216"/>
      <c r="Q525" s="456" t="str">
        <f t="shared" ca="1" si="393"/>
        <v/>
      </c>
      <c r="R525" s="450">
        <f t="shared" ca="1" si="394"/>
        <v>1</v>
      </c>
      <c r="S525" s="191">
        <f t="shared" si="395"/>
        <v>44</v>
      </c>
      <c r="T525" s="191">
        <f t="shared" si="396"/>
        <v>1</v>
      </c>
      <c r="U525" s="191">
        <f ca="1">OP!$D$5+$S525-1</f>
        <v>76</v>
      </c>
      <c r="V525" s="191" t="str">
        <f t="shared" si="397"/>
        <v/>
      </c>
      <c r="W525" s="350">
        <f ca="1">IF(Q525&lt;&gt;1,0,VLOOKUP(OP!$C$55,PVFB,$S525+2,0))</f>
        <v>0</v>
      </c>
      <c r="X525" s="473">
        <f t="shared" ca="1" si="410"/>
        <v>0</v>
      </c>
      <c r="Y525" s="348">
        <f t="shared" ca="1" si="411"/>
        <v>0</v>
      </c>
      <c r="Z525" s="348">
        <f t="shared" ca="1" si="412"/>
        <v>8012</v>
      </c>
      <c r="AA525" s="348">
        <f ca="1">IF(Q525&lt;&gt;1,0,VLOOKUP(OP!$C$55,PVFB,$S525+2,0))</f>
        <v>0</v>
      </c>
      <c r="AB525" s="488" t="str">
        <f ca="1">IF(AND(S525&lt;OP!$C$24,$U525&lt;15),0,IF(AND($U525&lt;15,$T525=12),ROUND(VLOOKUP($S525,DOWN16,5,0),3),IF($T525=12,ROUND(($Z525/10000)*$AA525,3)+IF(AND($P$7="購買增額繳清保險",T525=12,U525=110),VLOOKUP(S525,$B$10:$H$121,7,0),0),"")))</f>
        <v/>
      </c>
      <c r="AC525" s="350" t="str">
        <f ca="1">IF(AND(S525&lt;OP!$C$24,$U525&lt;15),0,IF(AND($U525&lt;16,$T525=12),VLOOKUP($S525,DOWN16,4,0),IF($T525=12,ROUND(VLOOKUP(OP!$C$55,_DIE2,$S525+1,0)*(Z525/10000),0)+IF(AND($P$7="購買增額繳清保險",T525=12,U525=110),VLOOKUP(S525,$B$10:$H$121,7,0),0),"")))</f>
        <v/>
      </c>
      <c r="AD525" s="347"/>
      <c r="AE525" s="350" t="str">
        <f t="shared" ca="1" si="387"/>
        <v/>
      </c>
      <c r="AF525" s="351" t="str">
        <f t="shared" ca="1" si="388"/>
        <v/>
      </c>
      <c r="AG525" s="340"/>
      <c r="AH525" s="340"/>
      <c r="AI525" s="340"/>
      <c r="AJ525" s="340"/>
      <c r="AK525" s="340"/>
      <c r="AL525" s="340"/>
      <c r="AM525" s="340"/>
      <c r="AN525" s="340"/>
      <c r="AO525" s="340"/>
      <c r="AP525" s="340"/>
      <c r="AQ525" s="340"/>
      <c r="AR525" s="340"/>
      <c r="AS525" s="340"/>
      <c r="AT525" s="340"/>
      <c r="AU525" s="340"/>
      <c r="AV525" s="340"/>
      <c r="AY525" s="340"/>
      <c r="AZ525" s="465">
        <f t="shared" ca="1" si="398"/>
        <v>7.3698599999999999E-5</v>
      </c>
      <c r="BA525" s="464">
        <f t="shared" ca="1" si="399"/>
        <v>2.1372602999999999E-3</v>
      </c>
      <c r="BB525" s="465">
        <f t="shared" ca="1" si="399"/>
        <v>2.2109589000000002E-3</v>
      </c>
      <c r="BC525" s="466">
        <f t="shared" ca="1" si="400"/>
        <v>58593</v>
      </c>
      <c r="BD525" s="467">
        <f t="shared" ca="1" si="413"/>
        <v>58594</v>
      </c>
      <c r="BE525" s="467">
        <f t="shared" ca="1" si="401"/>
        <v>58622</v>
      </c>
      <c r="BF525" s="468">
        <f ca="1">IF(計算!$BC525&lt;OP!$C$3,0,BD525-BC525)</f>
        <v>1</v>
      </c>
      <c r="BG525" s="468">
        <f ca="1">IF($BE525&gt;DATE(YEAR($BD$9)+OP!$C$57,MONTH($BD$9),DAY($BD$9)),0,$BE525-$BD525+1)</f>
        <v>29</v>
      </c>
      <c r="BH525" s="469">
        <f t="shared" ca="1" si="402"/>
        <v>30</v>
      </c>
      <c r="BI525">
        <f t="shared" ca="1" si="384"/>
        <v>366</v>
      </c>
      <c r="BJ525">
        <v>12</v>
      </c>
      <c r="BN525" s="468">
        <f t="shared" si="414"/>
        <v>43</v>
      </c>
      <c r="BO525" s="468">
        <f t="shared" si="415"/>
        <v>12</v>
      </c>
      <c r="BP525" s="467">
        <f t="shared" ca="1" si="403"/>
        <v>58594</v>
      </c>
      <c r="BQ525" s="475">
        <f t="shared" ca="1" si="417"/>
        <v>75</v>
      </c>
      <c r="BR525" s="475">
        <f t="shared" si="416"/>
        <v>43</v>
      </c>
      <c r="BS525" s="471">
        <f t="shared" ca="1" si="404"/>
        <v>14947</v>
      </c>
      <c r="BT525" s="472">
        <f t="shared" ca="1" si="385"/>
        <v>630176</v>
      </c>
      <c r="BU525" s="472">
        <f t="shared" ca="1" si="405"/>
        <v>14603</v>
      </c>
      <c r="BV525" s="472">
        <f t="shared" ca="1" si="405"/>
        <v>344</v>
      </c>
      <c r="BW525" s="472">
        <f ca="1">ROUND(SUM(BY525,BZ513:BZ524),0)</f>
        <v>16355</v>
      </c>
      <c r="BX525" s="473">
        <f t="shared" ca="1" si="406"/>
        <v>630176.64587951498</v>
      </c>
      <c r="BY525" s="473">
        <f t="shared" ca="1" si="407"/>
        <v>45.338222215999998</v>
      </c>
      <c r="BZ525" s="473">
        <f t="shared" ca="1" si="389"/>
        <v>1346.8515272249999</v>
      </c>
      <c r="CA525" s="476">
        <f t="shared" ca="1" si="408"/>
        <v>14603</v>
      </c>
      <c r="CB525" s="494">
        <f ca="1">IF(OR($Q524&lt;&gt;1,OP!$D$5+$BN525-1&lt;16,$BN525-1&lt;1),0,ROUND(ROUND(ROUND(((VLOOKUP($BN525-1,MORE_PV,5,0)/10000)*VLOOKUP($BN525,MORE_PV,$CB$5,0)),3)*VLOOKUP($BN525,more1,5,0),0)/$R524,0))</f>
        <v>344</v>
      </c>
      <c r="CC525" s="473">
        <f t="shared" ca="1" si="409"/>
        <v>0</v>
      </c>
      <c r="CD525" s="477"/>
    </row>
    <row r="526" spans="2:82" ht="16.5" hidden="1">
      <c r="B526" s="80"/>
      <c r="C526" s="80"/>
      <c r="D526" s="80"/>
      <c r="E526" s="80"/>
      <c r="F526" s="80"/>
      <c r="G526" s="80"/>
      <c r="H526" s="80"/>
      <c r="I526" s="80"/>
      <c r="J526" s="192">
        <f t="shared" si="390"/>
        <v>44</v>
      </c>
      <c r="K526" s="192">
        <f t="shared" si="391"/>
        <v>2</v>
      </c>
      <c r="L526" s="192" t="str">
        <f t="shared" si="386"/>
        <v/>
      </c>
      <c r="M526" s="216">
        <f t="shared" ca="1" si="392"/>
        <v>0</v>
      </c>
      <c r="N526" s="216"/>
      <c r="O526" s="216"/>
      <c r="P526" s="216"/>
      <c r="Q526" s="456" t="str">
        <f t="shared" ca="1" si="393"/>
        <v/>
      </c>
      <c r="R526" s="450">
        <f t="shared" ca="1" si="394"/>
        <v>1</v>
      </c>
      <c r="S526" s="191">
        <f t="shared" si="395"/>
        <v>44</v>
      </c>
      <c r="T526" s="191">
        <f t="shared" si="396"/>
        <v>2</v>
      </c>
      <c r="U526" s="191">
        <f ca="1">OP!$D$5+$S526-1</f>
        <v>76</v>
      </c>
      <c r="V526" s="191" t="str">
        <f t="shared" si="397"/>
        <v/>
      </c>
      <c r="W526" s="350">
        <f ca="1">IF(Q526&lt;&gt;1,0,VLOOKUP(OP!$C$55,PVFB,$S526+2,0))</f>
        <v>0</v>
      </c>
      <c r="X526" s="473">
        <f t="shared" ca="1" si="410"/>
        <v>0</v>
      </c>
      <c r="Y526" s="348">
        <f t="shared" ca="1" si="411"/>
        <v>0</v>
      </c>
      <c r="Z526" s="348">
        <f t="shared" ca="1" si="412"/>
        <v>8012</v>
      </c>
      <c r="AA526" s="348">
        <f ca="1">IF(Q526&lt;&gt;1,0,VLOOKUP(OP!$C$55,PVFB,$S526+2,0))</f>
        <v>0</v>
      </c>
      <c r="AB526" s="488" t="str">
        <f ca="1">IF(AND(S526&lt;OP!$C$24,$U526&lt;15),0,IF(AND($U526&lt;15,$T526=12),ROUND(VLOOKUP($S526,DOWN16,5,0),3),IF($T526=12,ROUND(($Z526/10000)*$AA526,3)+IF(AND($P$7="購買增額繳清保險",T526=12,U526=110),VLOOKUP(S526,$B$10:$H$121,7,0),0),"")))</f>
        <v/>
      </c>
      <c r="AC526" s="350" t="str">
        <f ca="1">IF(AND(S526&lt;OP!$C$24,$U526&lt;15),0,IF(AND($U526&lt;16,$T526=12),VLOOKUP($S526,DOWN16,4,0),IF($T526=12,ROUND(VLOOKUP(OP!$C$55,_DIE2,$S526+1,0)*(Z526/10000),0)+IF(AND($P$7="購買增額繳清保險",T526=12,U526=110),VLOOKUP(S526,$B$10:$H$121,7,0),0),"")))</f>
        <v/>
      </c>
      <c r="AD526" s="347"/>
      <c r="AE526" s="350" t="str">
        <f t="shared" ca="1" si="387"/>
        <v/>
      </c>
      <c r="AF526" s="351" t="str">
        <f t="shared" ca="1" si="388"/>
        <v/>
      </c>
      <c r="AG526" s="340"/>
      <c r="AH526" s="340"/>
      <c r="AI526" s="340"/>
      <c r="AJ526" s="340"/>
      <c r="AK526" s="340"/>
      <c r="AL526" s="340"/>
      <c r="AM526" s="340"/>
      <c r="AN526" s="340"/>
      <c r="AO526" s="340"/>
      <c r="AP526" s="340"/>
      <c r="AQ526" s="340"/>
      <c r="AR526" s="340"/>
      <c r="AS526" s="340"/>
      <c r="AT526" s="340"/>
      <c r="AU526" s="340"/>
      <c r="AV526" s="340"/>
      <c r="AY526" s="340"/>
      <c r="AZ526" s="465">
        <f t="shared" ca="1" si="398"/>
        <v>7.3698599999999999E-5</v>
      </c>
      <c r="BA526" s="464">
        <f t="shared" ca="1" si="399"/>
        <v>2.2109589000000002E-3</v>
      </c>
      <c r="BB526" s="465">
        <f t="shared" ca="1" si="399"/>
        <v>2.2846575E-3</v>
      </c>
      <c r="BC526" s="466">
        <f t="shared" ca="1" si="400"/>
        <v>58623</v>
      </c>
      <c r="BD526" s="467">
        <f t="shared" ca="1" si="413"/>
        <v>58624</v>
      </c>
      <c r="BE526" s="467">
        <f t="shared" ca="1" si="401"/>
        <v>58653</v>
      </c>
      <c r="BF526" s="468">
        <f ca="1">IF(計算!$BC526&lt;OP!$C$3,0,BD526-BC526)</f>
        <v>1</v>
      </c>
      <c r="BG526" s="468">
        <f ca="1">IF($BE526&gt;DATE(YEAR($BD$9)+OP!$C$57,MONTH($BD$9),DAY($BD$9)),0,$BE526-$BD526+1)</f>
        <v>30</v>
      </c>
      <c r="BH526" s="469">
        <f t="shared" ca="1" si="402"/>
        <v>31</v>
      </c>
      <c r="BI526" t="str">
        <f t="shared" si="384"/>
        <v/>
      </c>
      <c r="BJ526">
        <v>1</v>
      </c>
      <c r="BN526" s="468">
        <f t="shared" si="414"/>
        <v>44</v>
      </c>
      <c r="BO526" s="468">
        <f t="shared" si="415"/>
        <v>1</v>
      </c>
      <c r="BP526" s="467">
        <f t="shared" ca="1" si="403"/>
        <v>58624</v>
      </c>
      <c r="BQ526" s="475">
        <f t="shared" ca="1" si="417"/>
        <v>76</v>
      </c>
      <c r="BR526" s="475" t="str">
        <f t="shared" si="416"/>
        <v/>
      </c>
      <c r="BS526" s="471" t="str">
        <f t="shared" si="404"/>
        <v/>
      </c>
      <c r="BT526" s="472" t="str">
        <f t="shared" si="385"/>
        <v/>
      </c>
      <c r="BU526" s="472">
        <f t="shared" ca="1" si="405"/>
        <v>0</v>
      </c>
      <c r="BV526" s="472">
        <f t="shared" ca="1" si="405"/>
        <v>0</v>
      </c>
      <c r="BW526" s="472"/>
      <c r="BX526" s="473">
        <f t="shared" ca="1" si="406"/>
        <v>631523.49740673997</v>
      </c>
      <c r="BY526" s="473">
        <f t="shared" si="407"/>
        <v>0</v>
      </c>
      <c r="BZ526" s="473">
        <f t="shared" ca="1" si="389"/>
        <v>1442.8148947770001</v>
      </c>
      <c r="CA526" s="476">
        <f t="shared" ca="1" si="408"/>
        <v>0</v>
      </c>
      <c r="CB526" s="494">
        <f ca="1">IF(OR($Q525&lt;&gt;1,OP!$D$5+$BN526-1&lt;16,$BN526-1&lt;1),0,ROUND(ROUND(ROUND(((VLOOKUP($BN526-1,MORE_PV,5,0)/10000)*VLOOKUP($BN526,MORE_PV,$CB$5,0)),3)*VLOOKUP($BN526,more1,5,0),0)/$R525,0))</f>
        <v>0</v>
      </c>
      <c r="CC526" s="473">
        <f t="shared" ca="1" si="409"/>
        <v>0</v>
      </c>
      <c r="CD526" s="477"/>
    </row>
    <row r="527" spans="2:82" ht="16.5" hidden="1">
      <c r="B527" s="80"/>
      <c r="C527" s="80"/>
      <c r="D527" s="80"/>
      <c r="E527" s="80"/>
      <c r="F527" s="80"/>
      <c r="G527" s="80"/>
      <c r="H527" s="80"/>
      <c r="I527" s="80"/>
      <c r="J527" s="192">
        <f t="shared" si="390"/>
        <v>44</v>
      </c>
      <c r="K527" s="192">
        <f t="shared" si="391"/>
        <v>3</v>
      </c>
      <c r="L527" s="192" t="str">
        <f t="shared" si="386"/>
        <v/>
      </c>
      <c r="M527" s="216">
        <f t="shared" ca="1" si="392"/>
        <v>0</v>
      </c>
      <c r="N527" s="216"/>
      <c r="O527" s="216"/>
      <c r="P527" s="216"/>
      <c r="Q527" s="456" t="str">
        <f t="shared" ca="1" si="393"/>
        <v/>
      </c>
      <c r="R527" s="450">
        <f t="shared" ca="1" si="394"/>
        <v>1</v>
      </c>
      <c r="S527" s="191">
        <f t="shared" si="395"/>
        <v>44</v>
      </c>
      <c r="T527" s="191">
        <f t="shared" si="396"/>
        <v>3</v>
      </c>
      <c r="U527" s="191">
        <f ca="1">OP!$D$5+$S527-1</f>
        <v>76</v>
      </c>
      <c r="V527" s="191" t="str">
        <f t="shared" si="397"/>
        <v/>
      </c>
      <c r="W527" s="350">
        <f ca="1">IF(Q527&lt;&gt;1,0,VLOOKUP(OP!$C$55,PVFB,$S527+2,0))</f>
        <v>0</v>
      </c>
      <c r="X527" s="473">
        <f t="shared" ca="1" si="410"/>
        <v>0</v>
      </c>
      <c r="Y527" s="348">
        <f t="shared" ca="1" si="411"/>
        <v>0</v>
      </c>
      <c r="Z527" s="348">
        <f t="shared" ca="1" si="412"/>
        <v>8012</v>
      </c>
      <c r="AA527" s="348">
        <f ca="1">IF(Q527&lt;&gt;1,0,VLOOKUP(OP!$C$55,PVFB,$S527+2,0))</f>
        <v>0</v>
      </c>
      <c r="AB527" s="488" t="str">
        <f ca="1">IF(AND(S527&lt;OP!$C$24,$U527&lt;15),0,IF(AND($U527&lt;15,$T527=12),ROUND(VLOOKUP($S527,DOWN16,5,0),3),IF($T527=12,ROUND(($Z527/10000)*$AA527,3)+IF(AND($P$7="購買增額繳清保險",T527=12,U527=110),VLOOKUP(S527,$B$10:$H$121,7,0),0),"")))</f>
        <v/>
      </c>
      <c r="AC527" s="350" t="str">
        <f ca="1">IF(AND(S527&lt;OP!$C$24,$U527&lt;15),0,IF(AND($U527&lt;16,$T527=12),VLOOKUP($S527,DOWN16,4,0),IF($T527=12,ROUND(VLOOKUP(OP!$C$55,_DIE2,$S527+1,0)*(Z527/10000),0)+IF(AND($P$7="購買增額繳清保險",T527=12,U527=110),VLOOKUP(S527,$B$10:$H$121,7,0),0),"")))</f>
        <v/>
      </c>
      <c r="AD527" s="347"/>
      <c r="AE527" s="350" t="str">
        <f t="shared" ca="1" si="387"/>
        <v/>
      </c>
      <c r="AF527" s="351" t="str">
        <f t="shared" ca="1" si="388"/>
        <v/>
      </c>
      <c r="AG527" s="340"/>
      <c r="AH527" s="340"/>
      <c r="AI527" s="340"/>
      <c r="AJ527" s="340"/>
      <c r="AK527" s="340"/>
      <c r="AL527" s="340"/>
      <c r="AM527" s="340"/>
      <c r="AN527" s="340"/>
      <c r="AO527" s="340"/>
      <c r="AP527" s="340"/>
      <c r="AQ527" s="340"/>
      <c r="AR527" s="340"/>
      <c r="AS527" s="340"/>
      <c r="AT527" s="340"/>
      <c r="AU527" s="340"/>
      <c r="AV527" s="340"/>
      <c r="AY527" s="340"/>
      <c r="AZ527" s="465">
        <f t="shared" ca="1" si="398"/>
        <v>7.3698599999999999E-5</v>
      </c>
      <c r="BA527" s="464">
        <f t="shared" ca="1" si="399"/>
        <v>2.2109589000000002E-3</v>
      </c>
      <c r="BB527" s="465">
        <f t="shared" ca="1" si="399"/>
        <v>2.2846575E-3</v>
      </c>
      <c r="BC527" s="466">
        <f t="shared" ca="1" si="400"/>
        <v>58654</v>
      </c>
      <c r="BD527" s="467">
        <f t="shared" ca="1" si="413"/>
        <v>58655</v>
      </c>
      <c r="BE527" s="467">
        <f t="shared" ca="1" si="401"/>
        <v>58684</v>
      </c>
      <c r="BF527" s="468">
        <f ca="1">IF(計算!$BC527&lt;OP!$C$3,0,BD527-BC527)</f>
        <v>1</v>
      </c>
      <c r="BG527" s="468">
        <f ca="1">IF($BE527&gt;DATE(YEAR($BD$9)+OP!$C$57,MONTH($BD$9),DAY($BD$9)),0,$BE527-$BD527+1)</f>
        <v>30</v>
      </c>
      <c r="BH527" s="469">
        <f t="shared" ca="1" si="402"/>
        <v>31</v>
      </c>
      <c r="BI527" t="str">
        <f t="shared" si="384"/>
        <v/>
      </c>
      <c r="BJ527">
        <v>2</v>
      </c>
      <c r="BN527" s="468">
        <f t="shared" si="414"/>
        <v>44</v>
      </c>
      <c r="BO527" s="468">
        <f t="shared" si="415"/>
        <v>2</v>
      </c>
      <c r="BP527" s="467">
        <f t="shared" ca="1" si="403"/>
        <v>58655</v>
      </c>
      <c r="BQ527" s="475">
        <f t="shared" ca="1" si="417"/>
        <v>76</v>
      </c>
      <c r="BR527" s="475" t="str">
        <f t="shared" si="416"/>
        <v/>
      </c>
      <c r="BS527" s="471" t="str">
        <f t="shared" si="404"/>
        <v/>
      </c>
      <c r="BT527" s="472" t="str">
        <f t="shared" si="385"/>
        <v/>
      </c>
      <c r="BU527" s="472">
        <f t="shared" ca="1" si="405"/>
        <v>0</v>
      </c>
      <c r="BV527" s="472">
        <f t="shared" ca="1" si="405"/>
        <v>0</v>
      </c>
      <c r="BW527" s="472"/>
      <c r="BX527" s="473">
        <f t="shared" ca="1" si="406"/>
        <v>632966.312301517</v>
      </c>
      <c r="BY527" s="473">
        <f t="shared" si="407"/>
        <v>0</v>
      </c>
      <c r="BZ527" s="473">
        <f t="shared" ca="1" si="389"/>
        <v>1446.111232647</v>
      </c>
      <c r="CA527" s="476">
        <f t="shared" ca="1" si="408"/>
        <v>0</v>
      </c>
      <c r="CB527" s="494">
        <f ca="1">IF(OR($Q526&lt;&gt;1,OP!$D$5+$BN527-1&lt;16,$BN527-1&lt;1),0,ROUND(ROUND(ROUND(((VLOOKUP($BN527-1,MORE_PV,5,0)/10000)*VLOOKUP($BN527,MORE_PV,$CB$5,0)),3)*VLOOKUP($BN527,more1,5,0),0)/$R526,0))</f>
        <v>0</v>
      </c>
      <c r="CC527" s="473">
        <f t="shared" ca="1" si="409"/>
        <v>0</v>
      </c>
      <c r="CD527" s="477"/>
    </row>
    <row r="528" spans="2:82" ht="16.5" hidden="1">
      <c r="B528" s="80"/>
      <c r="C528" s="80"/>
      <c r="D528" s="80"/>
      <c r="E528" s="80"/>
      <c r="F528" s="80"/>
      <c r="G528" s="80"/>
      <c r="H528" s="80"/>
      <c r="I528" s="80"/>
      <c r="J528" s="192">
        <f t="shared" si="390"/>
        <v>44</v>
      </c>
      <c r="K528" s="192">
        <f t="shared" si="391"/>
        <v>4</v>
      </c>
      <c r="L528" s="192" t="str">
        <f t="shared" si="386"/>
        <v/>
      </c>
      <c r="M528" s="216">
        <f t="shared" ca="1" si="392"/>
        <v>0</v>
      </c>
      <c r="N528" s="216"/>
      <c r="O528" s="216"/>
      <c r="P528" s="216"/>
      <c r="Q528" s="456" t="str">
        <f t="shared" ca="1" si="393"/>
        <v/>
      </c>
      <c r="R528" s="450">
        <f t="shared" ca="1" si="394"/>
        <v>1</v>
      </c>
      <c r="S528" s="191">
        <f t="shared" si="395"/>
        <v>44</v>
      </c>
      <c r="T528" s="191">
        <f t="shared" si="396"/>
        <v>4</v>
      </c>
      <c r="U528" s="191">
        <f ca="1">OP!$D$5+$S528-1</f>
        <v>76</v>
      </c>
      <c r="V528" s="191" t="str">
        <f t="shared" si="397"/>
        <v/>
      </c>
      <c r="W528" s="350">
        <f ca="1">IF(Q528&lt;&gt;1,0,VLOOKUP(OP!$C$55,PVFB,$S528+2,0))</f>
        <v>0</v>
      </c>
      <c r="X528" s="473">
        <f t="shared" ca="1" si="410"/>
        <v>0</v>
      </c>
      <c r="Y528" s="348">
        <f t="shared" ca="1" si="411"/>
        <v>0</v>
      </c>
      <c r="Z528" s="348">
        <f t="shared" ca="1" si="412"/>
        <v>8012</v>
      </c>
      <c r="AA528" s="348">
        <f ca="1">IF(Q528&lt;&gt;1,0,VLOOKUP(OP!$C$55,PVFB,$S528+2,0))</f>
        <v>0</v>
      </c>
      <c r="AB528" s="488" t="str">
        <f ca="1">IF(AND(S528&lt;OP!$C$24,$U528&lt;15),0,IF(AND($U528&lt;15,$T528=12),ROUND(VLOOKUP($S528,DOWN16,5,0),3),IF($T528=12,ROUND(($Z528/10000)*$AA528,3)+IF(AND($P$7="購買增額繳清保險",T528=12,U528=110),VLOOKUP(S528,$B$10:$H$121,7,0),0),"")))</f>
        <v/>
      </c>
      <c r="AC528" s="350" t="str">
        <f ca="1">IF(AND(S528&lt;OP!$C$24,$U528&lt;15),0,IF(AND($U528&lt;16,$T528=12),VLOOKUP($S528,DOWN16,4,0),IF($T528=12,ROUND(VLOOKUP(OP!$C$55,_DIE2,$S528+1,0)*(Z528/10000),0)+IF(AND($P$7="購買增額繳清保險",T528=12,U528=110),VLOOKUP(S528,$B$10:$H$121,7,0),0),"")))</f>
        <v/>
      </c>
      <c r="AD528" s="347"/>
      <c r="AE528" s="350" t="str">
        <f t="shared" ca="1" si="387"/>
        <v/>
      </c>
      <c r="AF528" s="351" t="str">
        <f t="shared" ca="1" si="388"/>
        <v/>
      </c>
      <c r="AG528" s="340"/>
      <c r="AH528" s="340"/>
      <c r="AI528" s="340"/>
      <c r="AJ528" s="340"/>
      <c r="AK528" s="340"/>
      <c r="AL528" s="340"/>
      <c r="AM528" s="340"/>
      <c r="AN528" s="340"/>
      <c r="AO528" s="340"/>
      <c r="AP528" s="340"/>
      <c r="AQ528" s="340"/>
      <c r="AR528" s="340"/>
      <c r="AS528" s="340"/>
      <c r="AT528" s="340"/>
      <c r="AU528" s="340"/>
      <c r="AV528" s="340"/>
      <c r="AY528" s="340"/>
      <c r="AZ528" s="465">
        <f t="shared" ca="1" si="398"/>
        <v>7.3698599999999999E-5</v>
      </c>
      <c r="BA528" s="464">
        <f t="shared" ca="1" si="399"/>
        <v>2.1372602999999999E-3</v>
      </c>
      <c r="BB528" s="465">
        <f t="shared" ca="1" si="399"/>
        <v>2.2109589000000002E-3</v>
      </c>
      <c r="BC528" s="466">
        <f t="shared" ca="1" si="400"/>
        <v>58685</v>
      </c>
      <c r="BD528" s="467">
        <f t="shared" ca="1" si="413"/>
        <v>58686</v>
      </c>
      <c r="BE528" s="467">
        <f t="shared" ca="1" si="401"/>
        <v>58714</v>
      </c>
      <c r="BF528" s="468">
        <f ca="1">IF(計算!$BC528&lt;OP!$C$3,0,BD528-BC528)</f>
        <v>1</v>
      </c>
      <c r="BG528" s="468">
        <f ca="1">IF($BE528&gt;DATE(YEAR($BD$9)+OP!$C$57,MONTH($BD$9),DAY($BD$9)),0,$BE528-$BD528+1)</f>
        <v>29</v>
      </c>
      <c r="BH528" s="469">
        <f t="shared" ca="1" si="402"/>
        <v>30</v>
      </c>
      <c r="BI528" t="str">
        <f t="shared" si="384"/>
        <v/>
      </c>
      <c r="BJ528">
        <v>3</v>
      </c>
      <c r="BN528" s="468">
        <f t="shared" si="414"/>
        <v>44</v>
      </c>
      <c r="BO528" s="468">
        <f t="shared" si="415"/>
        <v>3</v>
      </c>
      <c r="BP528" s="467">
        <f t="shared" ca="1" si="403"/>
        <v>58686</v>
      </c>
      <c r="BQ528" s="475">
        <f t="shared" ca="1" si="417"/>
        <v>76</v>
      </c>
      <c r="BR528" s="475" t="str">
        <f t="shared" si="416"/>
        <v/>
      </c>
      <c r="BS528" s="471" t="str">
        <f t="shared" si="404"/>
        <v/>
      </c>
      <c r="BT528" s="472" t="str">
        <f t="shared" si="385"/>
        <v/>
      </c>
      <c r="BU528" s="472">
        <f t="shared" ca="1" si="405"/>
        <v>0</v>
      </c>
      <c r="BV528" s="472">
        <f t="shared" ca="1" si="405"/>
        <v>0</v>
      </c>
      <c r="BW528" s="472"/>
      <c r="BX528" s="473">
        <f t="shared" ca="1" si="406"/>
        <v>634412.42353416397</v>
      </c>
      <c r="BY528" s="473">
        <f t="shared" si="407"/>
        <v>0</v>
      </c>
      <c r="BZ528" s="473">
        <f t="shared" ca="1" si="389"/>
        <v>1402.659794083</v>
      </c>
      <c r="CA528" s="476">
        <f t="shared" ca="1" si="408"/>
        <v>0</v>
      </c>
      <c r="CB528" s="494">
        <f ca="1">IF(OR($Q527&lt;&gt;1,OP!$D$5+$BN528-1&lt;16,$BN528-1&lt;1),0,ROUND(ROUND(ROUND(((VLOOKUP($BN528-1,MORE_PV,5,0)/10000)*VLOOKUP($BN528,MORE_PV,$CB$5,0)),3)*VLOOKUP($BN528,more1,5,0),0)/$R527,0))</f>
        <v>0</v>
      </c>
      <c r="CC528" s="473">
        <f t="shared" ca="1" si="409"/>
        <v>0</v>
      </c>
      <c r="CD528" s="477"/>
    </row>
    <row r="529" spans="2:82" ht="16.5" hidden="1">
      <c r="B529" s="80"/>
      <c r="C529" s="80"/>
      <c r="D529" s="80"/>
      <c r="E529" s="80"/>
      <c r="F529" s="80"/>
      <c r="G529" s="80"/>
      <c r="H529" s="80"/>
      <c r="I529" s="80"/>
      <c r="J529" s="192">
        <f t="shared" si="390"/>
        <v>44</v>
      </c>
      <c r="K529" s="192">
        <f t="shared" si="391"/>
        <v>5</v>
      </c>
      <c r="L529" s="192" t="str">
        <f t="shared" si="386"/>
        <v/>
      </c>
      <c r="M529" s="216">
        <f t="shared" ca="1" si="392"/>
        <v>0</v>
      </c>
      <c r="N529" s="216"/>
      <c r="O529" s="216"/>
      <c r="P529" s="216"/>
      <c r="Q529" s="456" t="str">
        <f t="shared" ca="1" si="393"/>
        <v/>
      </c>
      <c r="R529" s="450">
        <f t="shared" ca="1" si="394"/>
        <v>1</v>
      </c>
      <c r="S529" s="191">
        <f t="shared" si="395"/>
        <v>44</v>
      </c>
      <c r="T529" s="191">
        <f t="shared" si="396"/>
        <v>5</v>
      </c>
      <c r="U529" s="191">
        <f ca="1">OP!$D$5+$S529-1</f>
        <v>76</v>
      </c>
      <c r="V529" s="191" t="str">
        <f t="shared" si="397"/>
        <v/>
      </c>
      <c r="W529" s="350">
        <f ca="1">IF(Q529&lt;&gt;1,0,VLOOKUP(OP!$C$55,PVFB,$S529+2,0))</f>
        <v>0</v>
      </c>
      <c r="X529" s="473">
        <f t="shared" ca="1" si="410"/>
        <v>0</v>
      </c>
      <c r="Y529" s="348">
        <f t="shared" ca="1" si="411"/>
        <v>0</v>
      </c>
      <c r="Z529" s="348">
        <f t="shared" ca="1" si="412"/>
        <v>8012</v>
      </c>
      <c r="AA529" s="348">
        <f ca="1">IF(Q529&lt;&gt;1,0,VLOOKUP(OP!$C$55,PVFB,$S529+2,0))</f>
        <v>0</v>
      </c>
      <c r="AB529" s="488" t="str">
        <f ca="1">IF(AND(S529&lt;OP!$C$24,$U529&lt;15),0,IF(AND($U529&lt;15,$T529=12),ROUND(VLOOKUP($S529,DOWN16,5,0),3),IF($T529=12,ROUND(($Z529/10000)*$AA529,3)+IF(AND($P$7="購買增額繳清保險",T529=12,U529=110),VLOOKUP(S529,$B$10:$H$121,7,0),0),"")))</f>
        <v/>
      </c>
      <c r="AC529" s="350" t="str">
        <f ca="1">IF(AND(S529&lt;OP!$C$24,$U529&lt;15),0,IF(AND($U529&lt;16,$T529=12),VLOOKUP($S529,DOWN16,4,0),IF($T529=12,ROUND(VLOOKUP(OP!$C$55,_DIE2,$S529+1,0)*(Z529/10000),0)+IF(AND($P$7="購買增額繳清保險",T529=12,U529=110),VLOOKUP(S529,$B$10:$H$121,7,0),0),"")))</f>
        <v/>
      </c>
      <c r="AD529" s="347"/>
      <c r="AE529" s="350" t="str">
        <f t="shared" ca="1" si="387"/>
        <v/>
      </c>
      <c r="AF529" s="351" t="str">
        <f t="shared" ca="1" si="388"/>
        <v/>
      </c>
      <c r="AG529" s="340"/>
      <c r="AH529" s="340"/>
      <c r="AI529" s="340"/>
      <c r="AJ529" s="340"/>
      <c r="AK529" s="340"/>
      <c r="AL529" s="340"/>
      <c r="AM529" s="340"/>
      <c r="AN529" s="340"/>
      <c r="AO529" s="340"/>
      <c r="AP529" s="340"/>
      <c r="AQ529" s="340"/>
      <c r="AR529" s="340"/>
      <c r="AS529" s="340"/>
      <c r="AT529" s="340"/>
      <c r="AU529" s="340"/>
      <c r="AV529" s="340"/>
      <c r="AY529" s="340"/>
      <c r="AZ529" s="465">
        <f t="shared" ca="1" si="398"/>
        <v>7.3698599999999999E-5</v>
      </c>
      <c r="BA529" s="464">
        <f t="shared" ca="1" si="399"/>
        <v>2.2109589000000002E-3</v>
      </c>
      <c r="BB529" s="465">
        <f t="shared" ca="1" si="399"/>
        <v>2.2846575E-3</v>
      </c>
      <c r="BC529" s="466">
        <f t="shared" ca="1" si="400"/>
        <v>58715</v>
      </c>
      <c r="BD529" s="467">
        <f t="shared" ca="1" si="413"/>
        <v>58716</v>
      </c>
      <c r="BE529" s="467">
        <f t="shared" ca="1" si="401"/>
        <v>58745</v>
      </c>
      <c r="BF529" s="468">
        <f ca="1">IF(計算!$BC529&lt;OP!$C$3,0,BD529-BC529)</f>
        <v>1</v>
      </c>
      <c r="BG529" s="468">
        <f ca="1">IF($BE529&gt;DATE(YEAR($BD$9)+OP!$C$57,MONTH($BD$9),DAY($BD$9)),0,$BE529-$BD529+1)</f>
        <v>30</v>
      </c>
      <c r="BH529" s="469">
        <f t="shared" ca="1" si="402"/>
        <v>31</v>
      </c>
      <c r="BI529" t="str">
        <f t="shared" si="384"/>
        <v/>
      </c>
      <c r="BJ529">
        <v>4</v>
      </c>
      <c r="BN529" s="468">
        <f t="shared" si="414"/>
        <v>44</v>
      </c>
      <c r="BO529" s="468">
        <f t="shared" si="415"/>
        <v>4</v>
      </c>
      <c r="BP529" s="467">
        <f t="shared" ca="1" si="403"/>
        <v>58716</v>
      </c>
      <c r="BQ529" s="475">
        <f t="shared" ca="1" si="417"/>
        <v>76</v>
      </c>
      <c r="BR529" s="475" t="str">
        <f t="shared" si="416"/>
        <v/>
      </c>
      <c r="BS529" s="471" t="str">
        <f t="shared" si="404"/>
        <v/>
      </c>
      <c r="BT529" s="472" t="str">
        <f t="shared" si="385"/>
        <v/>
      </c>
      <c r="BU529" s="472">
        <f t="shared" ca="1" si="405"/>
        <v>0</v>
      </c>
      <c r="BV529" s="472">
        <f t="shared" ca="1" si="405"/>
        <v>0</v>
      </c>
      <c r="BW529" s="472"/>
      <c r="BX529" s="473">
        <f t="shared" ca="1" si="406"/>
        <v>635815.08332824695</v>
      </c>
      <c r="BY529" s="473">
        <f t="shared" si="407"/>
        <v>0</v>
      </c>
      <c r="BZ529" s="473">
        <f t="shared" ca="1" si="389"/>
        <v>1452.6196987389999</v>
      </c>
      <c r="CA529" s="476">
        <f t="shared" ca="1" si="408"/>
        <v>0</v>
      </c>
      <c r="CB529" s="494">
        <f ca="1">IF(OR($Q528&lt;&gt;1,OP!$D$5+$BN529-1&lt;16,$BN529-1&lt;1),0,ROUND(ROUND(ROUND(((VLOOKUP($BN529-1,MORE_PV,5,0)/10000)*VLOOKUP($BN529,MORE_PV,$CB$5,0)),3)*VLOOKUP($BN529,more1,5,0),0)/$R528,0))</f>
        <v>0</v>
      </c>
      <c r="CC529" s="473">
        <f t="shared" ca="1" si="409"/>
        <v>0</v>
      </c>
      <c r="CD529" s="477"/>
    </row>
    <row r="530" spans="2:82" ht="16.5" hidden="1">
      <c r="B530" s="80"/>
      <c r="C530" s="80"/>
      <c r="D530" s="80"/>
      <c r="E530" s="80"/>
      <c r="F530" s="80"/>
      <c r="G530" s="80"/>
      <c r="H530" s="80"/>
      <c r="I530" s="80"/>
      <c r="J530" s="192">
        <f t="shared" si="390"/>
        <v>44</v>
      </c>
      <c r="K530" s="192">
        <f t="shared" si="391"/>
        <v>6</v>
      </c>
      <c r="L530" s="192" t="str">
        <f t="shared" si="386"/>
        <v/>
      </c>
      <c r="M530" s="216">
        <f t="shared" ca="1" si="392"/>
        <v>0</v>
      </c>
      <c r="N530" s="216"/>
      <c r="O530" s="216"/>
      <c r="P530" s="216"/>
      <c r="Q530" s="456" t="str">
        <f t="shared" ca="1" si="393"/>
        <v/>
      </c>
      <c r="R530" s="450">
        <f t="shared" ca="1" si="394"/>
        <v>1</v>
      </c>
      <c r="S530" s="191">
        <f t="shared" si="395"/>
        <v>44</v>
      </c>
      <c r="T530" s="191">
        <f t="shared" si="396"/>
        <v>6</v>
      </c>
      <c r="U530" s="191">
        <f ca="1">OP!$D$5+$S530-1</f>
        <v>76</v>
      </c>
      <c r="V530" s="191" t="str">
        <f t="shared" si="397"/>
        <v/>
      </c>
      <c r="W530" s="350">
        <f ca="1">IF(Q530&lt;&gt;1,0,VLOOKUP(OP!$C$55,PVFB,$S530+2,0))</f>
        <v>0</v>
      </c>
      <c r="X530" s="473">
        <f t="shared" ca="1" si="410"/>
        <v>0</v>
      </c>
      <c r="Y530" s="348">
        <f t="shared" ca="1" si="411"/>
        <v>0</v>
      </c>
      <c r="Z530" s="348">
        <f t="shared" ca="1" si="412"/>
        <v>8012</v>
      </c>
      <c r="AA530" s="348">
        <f ca="1">IF(Q530&lt;&gt;1,0,VLOOKUP(OP!$C$55,PVFB,$S530+2,0))</f>
        <v>0</v>
      </c>
      <c r="AB530" s="488" t="str">
        <f ca="1">IF(AND(S530&lt;OP!$C$24,$U530&lt;15),0,IF(AND($U530&lt;15,$T530=12),ROUND(VLOOKUP($S530,DOWN16,5,0),3),IF($T530=12,ROUND(($Z530/10000)*$AA530,3)+IF(AND($P$7="購買增額繳清保險",T530=12,U530=110),VLOOKUP(S530,$B$10:$H$121,7,0),0),"")))</f>
        <v/>
      </c>
      <c r="AC530" s="350" t="str">
        <f ca="1">IF(AND(S530&lt;OP!$C$24,$U530&lt;15),0,IF(AND($U530&lt;16,$T530=12),VLOOKUP($S530,DOWN16,4,0),IF($T530=12,ROUND(VLOOKUP(OP!$C$55,_DIE2,$S530+1,0)*(Z530/10000),0)+IF(AND($P$7="購買增額繳清保險",T530=12,U530=110),VLOOKUP(S530,$B$10:$H$121,7,0),0),"")))</f>
        <v/>
      </c>
      <c r="AD530" s="347"/>
      <c r="AE530" s="350" t="str">
        <f t="shared" ca="1" si="387"/>
        <v/>
      </c>
      <c r="AF530" s="351" t="str">
        <f t="shared" ca="1" si="388"/>
        <v/>
      </c>
      <c r="AG530" s="340"/>
      <c r="AH530" s="340"/>
      <c r="AI530" s="340"/>
      <c r="AJ530" s="340"/>
      <c r="AK530" s="340"/>
      <c r="AL530" s="340"/>
      <c r="AM530" s="340"/>
      <c r="AN530" s="340"/>
      <c r="AO530" s="340"/>
      <c r="AP530" s="340"/>
      <c r="AQ530" s="340"/>
      <c r="AR530" s="340"/>
      <c r="AS530" s="340"/>
      <c r="AT530" s="340"/>
      <c r="AU530" s="340"/>
      <c r="AV530" s="340"/>
      <c r="AY530" s="340"/>
      <c r="AZ530" s="465">
        <f t="shared" ca="1" si="398"/>
        <v>7.3698599999999999E-5</v>
      </c>
      <c r="BA530" s="464">
        <f t="shared" ca="1" si="399"/>
        <v>2.1372602999999999E-3</v>
      </c>
      <c r="BB530" s="465">
        <f t="shared" ca="1" si="399"/>
        <v>2.2109589000000002E-3</v>
      </c>
      <c r="BC530" s="466">
        <f t="shared" ca="1" si="400"/>
        <v>58746</v>
      </c>
      <c r="BD530" s="467">
        <f t="shared" ca="1" si="413"/>
        <v>58747</v>
      </c>
      <c r="BE530" s="467">
        <f t="shared" ca="1" si="401"/>
        <v>58775</v>
      </c>
      <c r="BF530" s="468">
        <f ca="1">IF(計算!$BC530&lt;OP!$C$3,0,BD530-BC530)</f>
        <v>1</v>
      </c>
      <c r="BG530" s="468">
        <f ca="1">IF($BE530&gt;DATE(YEAR($BD$9)+OP!$C$57,MONTH($BD$9),DAY($BD$9)),0,$BE530-$BD530+1)</f>
        <v>29</v>
      </c>
      <c r="BH530" s="469">
        <f t="shared" ca="1" si="402"/>
        <v>30</v>
      </c>
      <c r="BI530" t="str">
        <f t="shared" si="384"/>
        <v/>
      </c>
      <c r="BJ530">
        <v>5</v>
      </c>
      <c r="BN530" s="468">
        <f t="shared" si="414"/>
        <v>44</v>
      </c>
      <c r="BO530" s="468">
        <f t="shared" si="415"/>
        <v>5</v>
      </c>
      <c r="BP530" s="467">
        <f t="shared" ca="1" si="403"/>
        <v>58747</v>
      </c>
      <c r="BQ530" s="475">
        <f t="shared" ca="1" si="417"/>
        <v>76</v>
      </c>
      <c r="BR530" s="475" t="str">
        <f t="shared" si="416"/>
        <v/>
      </c>
      <c r="BS530" s="471" t="str">
        <f t="shared" si="404"/>
        <v/>
      </c>
      <c r="BT530" s="472" t="str">
        <f t="shared" si="385"/>
        <v/>
      </c>
      <c r="BU530" s="472">
        <f t="shared" ca="1" si="405"/>
        <v>0</v>
      </c>
      <c r="BV530" s="472">
        <f t="shared" ca="1" si="405"/>
        <v>0</v>
      </c>
      <c r="BW530" s="472"/>
      <c r="BX530" s="473">
        <f t="shared" ca="1" si="406"/>
        <v>637267.70302698598</v>
      </c>
      <c r="BY530" s="473">
        <f t="shared" si="407"/>
        <v>0</v>
      </c>
      <c r="BZ530" s="473">
        <f t="shared" ca="1" si="389"/>
        <v>1408.9726996899999</v>
      </c>
      <c r="CA530" s="476">
        <f t="shared" ca="1" si="408"/>
        <v>0</v>
      </c>
      <c r="CB530" s="494">
        <f ca="1">IF(OR($Q529&lt;&gt;1,OP!$D$5+$BN530-1&lt;16,$BN530-1&lt;1),0,ROUND(ROUND(ROUND(((VLOOKUP($BN530-1,MORE_PV,5,0)/10000)*VLOOKUP($BN530,MORE_PV,$CB$5,0)),3)*VLOOKUP($BN530,more1,5,0),0)/$R529,0))</f>
        <v>0</v>
      </c>
      <c r="CC530" s="473">
        <f t="shared" ca="1" si="409"/>
        <v>0</v>
      </c>
      <c r="CD530" s="477"/>
    </row>
    <row r="531" spans="2:82" ht="16.5" hidden="1">
      <c r="B531" s="80"/>
      <c r="C531" s="80"/>
      <c r="D531" s="80"/>
      <c r="E531" s="80"/>
      <c r="F531" s="80"/>
      <c r="G531" s="80"/>
      <c r="H531" s="80"/>
      <c r="I531" s="80"/>
      <c r="J531" s="192">
        <f t="shared" si="390"/>
        <v>44</v>
      </c>
      <c r="K531" s="192">
        <f t="shared" si="391"/>
        <v>7</v>
      </c>
      <c r="L531" s="192" t="str">
        <f t="shared" si="386"/>
        <v/>
      </c>
      <c r="M531" s="216">
        <f t="shared" ca="1" si="392"/>
        <v>0</v>
      </c>
      <c r="N531" s="216"/>
      <c r="O531" s="216"/>
      <c r="P531" s="216"/>
      <c r="Q531" s="456" t="str">
        <f t="shared" ca="1" si="393"/>
        <v/>
      </c>
      <c r="R531" s="450">
        <f t="shared" ca="1" si="394"/>
        <v>1</v>
      </c>
      <c r="S531" s="191">
        <f t="shared" si="395"/>
        <v>44</v>
      </c>
      <c r="T531" s="191">
        <f t="shared" si="396"/>
        <v>7</v>
      </c>
      <c r="U531" s="191">
        <f ca="1">OP!$D$5+$S531-1</f>
        <v>76</v>
      </c>
      <c r="V531" s="191" t="str">
        <f t="shared" si="397"/>
        <v/>
      </c>
      <c r="W531" s="350">
        <f ca="1">IF(Q531&lt;&gt;1,0,VLOOKUP(OP!$C$55,PVFB,$S531+2,0))</f>
        <v>0</v>
      </c>
      <c r="X531" s="473">
        <f t="shared" ca="1" si="410"/>
        <v>0</v>
      </c>
      <c r="Y531" s="348">
        <f t="shared" ca="1" si="411"/>
        <v>0</v>
      </c>
      <c r="Z531" s="348">
        <f t="shared" ca="1" si="412"/>
        <v>8012</v>
      </c>
      <c r="AA531" s="348">
        <f ca="1">IF(Q531&lt;&gt;1,0,VLOOKUP(OP!$C$55,PVFB,$S531+2,0))</f>
        <v>0</v>
      </c>
      <c r="AB531" s="488" t="str">
        <f ca="1">IF(AND(S531&lt;OP!$C$24,$U531&lt;15),0,IF(AND($U531&lt;15,$T531=12),ROUND(VLOOKUP($S531,DOWN16,5,0),3),IF($T531=12,ROUND(($Z531/10000)*$AA531,3)+IF(AND($P$7="購買增額繳清保險",T531=12,U531=110),VLOOKUP(S531,$B$10:$H$121,7,0),0),"")))</f>
        <v/>
      </c>
      <c r="AC531" s="350" t="str">
        <f ca="1">IF(AND(S531&lt;OP!$C$24,$U531&lt;15),0,IF(AND($U531&lt;16,$T531=12),VLOOKUP($S531,DOWN16,4,0),IF($T531=12,ROUND(VLOOKUP(OP!$C$55,_DIE2,$S531+1,0)*(Z531/10000),0)+IF(AND($P$7="購買增額繳清保險",T531=12,U531=110),VLOOKUP(S531,$B$10:$H$121,7,0),0),"")))</f>
        <v/>
      </c>
      <c r="AD531" s="347"/>
      <c r="AE531" s="350" t="str">
        <f t="shared" ca="1" si="387"/>
        <v/>
      </c>
      <c r="AF531" s="351" t="str">
        <f t="shared" ca="1" si="388"/>
        <v/>
      </c>
      <c r="AG531" s="340"/>
      <c r="AH531" s="340"/>
      <c r="AI531" s="340"/>
      <c r="AJ531" s="340"/>
      <c r="AK531" s="340"/>
      <c r="AL531" s="340"/>
      <c r="AM531" s="340"/>
      <c r="AN531" s="340"/>
      <c r="AO531" s="340"/>
      <c r="AP531" s="340"/>
      <c r="AQ531" s="340"/>
      <c r="AR531" s="340"/>
      <c r="AS531" s="340"/>
      <c r="AT531" s="340"/>
      <c r="AU531" s="340"/>
      <c r="AV531" s="340"/>
      <c r="AY531" s="340"/>
      <c r="AZ531" s="465">
        <f t="shared" ca="1" si="398"/>
        <v>7.3698599999999999E-5</v>
      </c>
      <c r="BA531" s="464">
        <f t="shared" ca="1" si="399"/>
        <v>2.2109589000000002E-3</v>
      </c>
      <c r="BB531" s="465">
        <f t="shared" ca="1" si="399"/>
        <v>2.2846575E-3</v>
      </c>
      <c r="BC531" s="466">
        <f t="shared" ca="1" si="400"/>
        <v>58776</v>
      </c>
      <c r="BD531" s="467">
        <f t="shared" ca="1" si="413"/>
        <v>58777</v>
      </c>
      <c r="BE531" s="467">
        <f t="shared" ca="1" si="401"/>
        <v>58806</v>
      </c>
      <c r="BF531" s="468">
        <f ca="1">IF(計算!$BC531&lt;OP!$C$3,0,BD531-BC531)</f>
        <v>1</v>
      </c>
      <c r="BG531" s="468">
        <f ca="1">IF($BE531&gt;DATE(YEAR($BD$9)+OP!$C$57,MONTH($BD$9),DAY($BD$9)),0,$BE531-$BD531+1)</f>
        <v>30</v>
      </c>
      <c r="BH531" s="469">
        <f t="shared" ca="1" si="402"/>
        <v>31</v>
      </c>
      <c r="BI531" t="str">
        <f t="shared" si="384"/>
        <v/>
      </c>
      <c r="BJ531">
        <v>6</v>
      </c>
      <c r="BN531" s="468">
        <f t="shared" si="414"/>
        <v>44</v>
      </c>
      <c r="BO531" s="468">
        <f t="shared" si="415"/>
        <v>6</v>
      </c>
      <c r="BP531" s="467">
        <f t="shared" ca="1" si="403"/>
        <v>58777</v>
      </c>
      <c r="BQ531" s="475">
        <f t="shared" ca="1" si="417"/>
        <v>76</v>
      </c>
      <c r="BR531" s="475" t="str">
        <f t="shared" si="416"/>
        <v/>
      </c>
      <c r="BS531" s="471" t="str">
        <f t="shared" si="404"/>
        <v/>
      </c>
      <c r="BT531" s="472" t="str">
        <f t="shared" si="385"/>
        <v/>
      </c>
      <c r="BU531" s="472">
        <f t="shared" ca="1" si="405"/>
        <v>0</v>
      </c>
      <c r="BV531" s="472">
        <f t="shared" ca="1" si="405"/>
        <v>0</v>
      </c>
      <c r="BW531" s="472"/>
      <c r="BX531" s="473">
        <f t="shared" ca="1" si="406"/>
        <v>638676.67572667601</v>
      </c>
      <c r="BY531" s="473">
        <f t="shared" si="407"/>
        <v>0</v>
      </c>
      <c r="BZ531" s="473">
        <f t="shared" ca="1" si="389"/>
        <v>1459.1574572740001</v>
      </c>
      <c r="CA531" s="476">
        <f t="shared" ca="1" si="408"/>
        <v>0</v>
      </c>
      <c r="CB531" s="494">
        <f ca="1">IF(OR($Q530&lt;&gt;1,OP!$D$5+$BN531-1&lt;16,$BN531-1&lt;1),0,ROUND(ROUND(ROUND(((VLOOKUP($BN531-1,MORE_PV,5,0)/10000)*VLOOKUP($BN531,MORE_PV,$CB$5,0)),3)*VLOOKUP($BN531,more1,5,0),0)/$R530,0))</f>
        <v>0</v>
      </c>
      <c r="CC531" s="473">
        <f t="shared" ca="1" si="409"/>
        <v>0</v>
      </c>
      <c r="CD531" s="477"/>
    </row>
    <row r="532" spans="2:82" ht="16.5" hidden="1">
      <c r="B532" s="80"/>
      <c r="C532" s="80"/>
      <c r="D532" s="80"/>
      <c r="E532" s="80"/>
      <c r="F532" s="80"/>
      <c r="G532" s="80"/>
      <c r="H532" s="80"/>
      <c r="I532" s="80"/>
      <c r="J532" s="192">
        <f t="shared" si="390"/>
        <v>44</v>
      </c>
      <c r="K532" s="192">
        <f t="shared" si="391"/>
        <v>8</v>
      </c>
      <c r="L532" s="192" t="str">
        <f t="shared" si="386"/>
        <v/>
      </c>
      <c r="M532" s="216">
        <f t="shared" ca="1" si="392"/>
        <v>0</v>
      </c>
      <c r="N532" s="216"/>
      <c r="O532" s="216"/>
      <c r="P532" s="216"/>
      <c r="Q532" s="456" t="str">
        <f t="shared" ca="1" si="393"/>
        <v/>
      </c>
      <c r="R532" s="450">
        <f t="shared" ca="1" si="394"/>
        <v>1</v>
      </c>
      <c r="S532" s="191">
        <f t="shared" si="395"/>
        <v>44</v>
      </c>
      <c r="T532" s="191">
        <f t="shared" si="396"/>
        <v>8</v>
      </c>
      <c r="U532" s="191">
        <f ca="1">OP!$D$5+$S532-1</f>
        <v>76</v>
      </c>
      <c r="V532" s="191" t="str">
        <f t="shared" si="397"/>
        <v/>
      </c>
      <c r="W532" s="350">
        <f ca="1">IF(Q532&lt;&gt;1,0,VLOOKUP(OP!$C$55,PVFB,$S532+2,0))</f>
        <v>0</v>
      </c>
      <c r="X532" s="473">
        <f t="shared" ca="1" si="410"/>
        <v>0</v>
      </c>
      <c r="Y532" s="348">
        <f t="shared" ca="1" si="411"/>
        <v>0</v>
      </c>
      <c r="Z532" s="348">
        <f t="shared" ca="1" si="412"/>
        <v>8012</v>
      </c>
      <c r="AA532" s="348">
        <f ca="1">IF(Q532&lt;&gt;1,0,VLOOKUP(OP!$C$55,PVFB,$S532+2,0))</f>
        <v>0</v>
      </c>
      <c r="AB532" s="488" t="str">
        <f ca="1">IF(AND(S532&lt;OP!$C$24,$U532&lt;15),0,IF(AND($U532&lt;15,$T532=12),ROUND(VLOOKUP($S532,DOWN16,5,0),3),IF($T532=12,ROUND(($Z532/10000)*$AA532,3)+IF(AND($P$7="購買增額繳清保險",T532=12,U532=110),VLOOKUP(S532,$B$10:$H$121,7,0),0),"")))</f>
        <v/>
      </c>
      <c r="AC532" s="350" t="str">
        <f ca="1">IF(AND(S532&lt;OP!$C$24,$U532&lt;15),0,IF(AND($U532&lt;16,$T532=12),VLOOKUP($S532,DOWN16,4,0),IF($T532=12,ROUND(VLOOKUP(OP!$C$55,_DIE2,$S532+1,0)*(Z532/10000),0)+IF(AND($P$7="購買增額繳清保險",T532=12,U532=110),VLOOKUP(S532,$B$10:$H$121,7,0),0),"")))</f>
        <v/>
      </c>
      <c r="AD532" s="347"/>
      <c r="AE532" s="350" t="str">
        <f t="shared" ca="1" si="387"/>
        <v/>
      </c>
      <c r="AF532" s="351" t="str">
        <f t="shared" ca="1" si="388"/>
        <v/>
      </c>
      <c r="AG532" s="340"/>
      <c r="AH532" s="340"/>
      <c r="AI532" s="340"/>
      <c r="AJ532" s="340"/>
      <c r="AK532" s="340"/>
      <c r="AL532" s="340"/>
      <c r="AM532" s="340"/>
      <c r="AN532" s="340"/>
      <c r="AO532" s="340"/>
      <c r="AP532" s="340"/>
      <c r="AQ532" s="340"/>
      <c r="AR532" s="340"/>
      <c r="AS532" s="340"/>
      <c r="AT532" s="340"/>
      <c r="AU532" s="340"/>
      <c r="AV532" s="340"/>
      <c r="AY532" s="340"/>
      <c r="AZ532" s="465">
        <f t="shared" ca="1" si="398"/>
        <v>7.3698599999999999E-5</v>
      </c>
      <c r="BA532" s="464">
        <f t="shared" ca="1" si="399"/>
        <v>2.2109589000000002E-3</v>
      </c>
      <c r="BB532" s="465">
        <f t="shared" ca="1" si="399"/>
        <v>2.2846575E-3</v>
      </c>
      <c r="BC532" s="466">
        <f t="shared" ca="1" si="400"/>
        <v>58807</v>
      </c>
      <c r="BD532" s="467">
        <f t="shared" ca="1" si="413"/>
        <v>58808</v>
      </c>
      <c r="BE532" s="467">
        <f t="shared" ca="1" si="401"/>
        <v>58837</v>
      </c>
      <c r="BF532" s="468">
        <f ca="1">IF(計算!$BC532&lt;OP!$C$3,0,BD532-BC532)</f>
        <v>1</v>
      </c>
      <c r="BG532" s="468">
        <f ca="1">IF($BE532&gt;DATE(YEAR($BD$9)+OP!$C$57,MONTH($BD$9),DAY($BD$9)),0,$BE532-$BD532+1)</f>
        <v>30</v>
      </c>
      <c r="BH532" s="469">
        <f t="shared" ca="1" si="402"/>
        <v>31</v>
      </c>
      <c r="BI532" t="str">
        <f t="shared" si="384"/>
        <v/>
      </c>
      <c r="BJ532">
        <v>7</v>
      </c>
      <c r="BN532" s="468">
        <f t="shared" si="414"/>
        <v>44</v>
      </c>
      <c r="BO532" s="468">
        <f t="shared" si="415"/>
        <v>7</v>
      </c>
      <c r="BP532" s="467">
        <f t="shared" ca="1" si="403"/>
        <v>58808</v>
      </c>
      <c r="BQ532" s="475">
        <f t="shared" ca="1" si="417"/>
        <v>76</v>
      </c>
      <c r="BR532" s="475" t="str">
        <f t="shared" si="416"/>
        <v/>
      </c>
      <c r="BS532" s="471" t="str">
        <f t="shared" si="404"/>
        <v/>
      </c>
      <c r="BT532" s="472" t="str">
        <f t="shared" si="385"/>
        <v/>
      </c>
      <c r="BU532" s="472">
        <f t="shared" ca="1" si="405"/>
        <v>0</v>
      </c>
      <c r="BV532" s="472">
        <f t="shared" ca="1" si="405"/>
        <v>0</v>
      </c>
      <c r="BW532" s="472"/>
      <c r="BX532" s="473">
        <f t="shared" ca="1" si="406"/>
        <v>640135.83318395005</v>
      </c>
      <c r="BY532" s="473">
        <f t="shared" si="407"/>
        <v>0</v>
      </c>
      <c r="BZ532" s="473">
        <f t="shared" ca="1" si="389"/>
        <v>1462.4911323020001</v>
      </c>
      <c r="CA532" s="476">
        <f t="shared" ca="1" si="408"/>
        <v>0</v>
      </c>
      <c r="CB532" s="494">
        <f ca="1">IF(OR($Q531&lt;&gt;1,OP!$D$5+$BN532-1&lt;16,$BN532-1&lt;1),0,ROUND(ROUND(ROUND(((VLOOKUP($BN532-1,MORE_PV,5,0)/10000)*VLOOKUP($BN532,MORE_PV,$CB$5,0)),3)*VLOOKUP($BN532,more1,5,0),0)/$R531,0))</f>
        <v>0</v>
      </c>
      <c r="CC532" s="473">
        <f t="shared" ca="1" si="409"/>
        <v>0</v>
      </c>
      <c r="CD532" s="477"/>
    </row>
    <row r="533" spans="2:82" ht="16.5" hidden="1">
      <c r="B533" s="80"/>
      <c r="C533" s="80"/>
      <c r="D533" s="80"/>
      <c r="E533" s="80"/>
      <c r="F533" s="80"/>
      <c r="G533" s="80"/>
      <c r="H533" s="80"/>
      <c r="I533" s="80"/>
      <c r="J533" s="192">
        <f t="shared" si="390"/>
        <v>44</v>
      </c>
      <c r="K533" s="192">
        <f t="shared" si="391"/>
        <v>9</v>
      </c>
      <c r="L533" s="192" t="str">
        <f t="shared" si="386"/>
        <v/>
      </c>
      <c r="M533" s="216">
        <f t="shared" ca="1" si="392"/>
        <v>0</v>
      </c>
      <c r="N533" s="216"/>
      <c r="O533" s="216"/>
      <c r="P533" s="216"/>
      <c r="Q533" s="456" t="str">
        <f t="shared" ca="1" si="393"/>
        <v/>
      </c>
      <c r="R533" s="450">
        <f t="shared" ca="1" si="394"/>
        <v>1</v>
      </c>
      <c r="S533" s="191">
        <f t="shared" si="395"/>
        <v>44</v>
      </c>
      <c r="T533" s="191">
        <f t="shared" si="396"/>
        <v>9</v>
      </c>
      <c r="U533" s="191">
        <f ca="1">OP!$D$5+$S533-1</f>
        <v>76</v>
      </c>
      <c r="V533" s="191" t="str">
        <f t="shared" si="397"/>
        <v/>
      </c>
      <c r="W533" s="350">
        <f ca="1">IF(Q533&lt;&gt;1,0,VLOOKUP(OP!$C$55,PVFB,$S533+2,0))</f>
        <v>0</v>
      </c>
      <c r="X533" s="473">
        <f t="shared" ca="1" si="410"/>
        <v>0</v>
      </c>
      <c r="Y533" s="348">
        <f t="shared" ca="1" si="411"/>
        <v>0</v>
      </c>
      <c r="Z533" s="348">
        <f t="shared" ca="1" si="412"/>
        <v>8012</v>
      </c>
      <c r="AA533" s="348">
        <f ca="1">IF(Q533&lt;&gt;1,0,VLOOKUP(OP!$C$55,PVFB,$S533+2,0))</f>
        <v>0</v>
      </c>
      <c r="AB533" s="488" t="str">
        <f ca="1">IF(AND(S533&lt;OP!$C$24,$U533&lt;15),0,IF(AND($U533&lt;15,$T533=12),ROUND(VLOOKUP($S533,DOWN16,5,0),3),IF($T533=12,ROUND(($Z533/10000)*$AA533,3)+IF(AND($P$7="購買增額繳清保險",T533=12,U533=110),VLOOKUP(S533,$B$10:$H$121,7,0),0),"")))</f>
        <v/>
      </c>
      <c r="AC533" s="350" t="str">
        <f ca="1">IF(AND(S533&lt;OP!$C$24,$U533&lt;15),0,IF(AND($U533&lt;16,$T533=12),VLOOKUP($S533,DOWN16,4,0),IF($T533=12,ROUND(VLOOKUP(OP!$C$55,_DIE2,$S533+1,0)*(Z533/10000),0)+IF(AND($P$7="購買增額繳清保險",T533=12,U533=110),VLOOKUP(S533,$B$10:$H$121,7,0),0),"")))</f>
        <v/>
      </c>
      <c r="AD533" s="347"/>
      <c r="AE533" s="350" t="str">
        <f t="shared" ca="1" si="387"/>
        <v/>
      </c>
      <c r="AF533" s="351" t="str">
        <f t="shared" ca="1" si="388"/>
        <v/>
      </c>
      <c r="AG533" s="340"/>
      <c r="AH533" s="340"/>
      <c r="AI533" s="340"/>
      <c r="AJ533" s="340"/>
      <c r="AK533" s="340"/>
      <c r="AL533" s="340"/>
      <c r="AM533" s="340"/>
      <c r="AN533" s="340"/>
      <c r="AO533" s="340"/>
      <c r="AP533" s="340"/>
      <c r="AQ533" s="340"/>
      <c r="AR533" s="340"/>
      <c r="AS533" s="340"/>
      <c r="AT533" s="340"/>
      <c r="AU533" s="340"/>
      <c r="AV533" s="340"/>
      <c r="AY533" s="340"/>
      <c r="AZ533" s="465">
        <f t="shared" ca="1" si="398"/>
        <v>7.3698599999999999E-5</v>
      </c>
      <c r="BA533" s="464">
        <f t="shared" ca="1" si="399"/>
        <v>1.9898630000000001E-3</v>
      </c>
      <c r="BB533" s="465">
        <f t="shared" ca="1" si="399"/>
        <v>2.0635616E-3</v>
      </c>
      <c r="BC533" s="466">
        <f t="shared" ca="1" si="400"/>
        <v>58838</v>
      </c>
      <c r="BD533" s="467">
        <f t="shared" ca="1" si="413"/>
        <v>58839</v>
      </c>
      <c r="BE533" s="467">
        <f t="shared" ca="1" si="401"/>
        <v>58865</v>
      </c>
      <c r="BF533" s="468">
        <f ca="1">IF(計算!$BC533&lt;OP!$C$3,0,BD533-BC533)</f>
        <v>1</v>
      </c>
      <c r="BG533" s="468">
        <f ca="1">IF($BE533&gt;DATE(YEAR($BD$9)+OP!$C$57,MONTH($BD$9),DAY($BD$9)),0,$BE533-$BD533+1)</f>
        <v>27</v>
      </c>
      <c r="BH533" s="469">
        <f t="shared" ca="1" si="402"/>
        <v>28</v>
      </c>
      <c r="BI533" t="str">
        <f t="shared" ref="BI533:BI596" si="418">IF(BJ533=12,BD533-BD521,"")</f>
        <v/>
      </c>
      <c r="BJ533">
        <v>8</v>
      </c>
      <c r="BN533" s="468">
        <f t="shared" si="414"/>
        <v>44</v>
      </c>
      <c r="BO533" s="468">
        <f t="shared" si="415"/>
        <v>8</v>
      </c>
      <c r="BP533" s="467">
        <f t="shared" ca="1" si="403"/>
        <v>58839</v>
      </c>
      <c r="BQ533" s="475">
        <f t="shared" ca="1" si="417"/>
        <v>76</v>
      </c>
      <c r="BR533" s="475" t="str">
        <f t="shared" si="416"/>
        <v/>
      </c>
      <c r="BS533" s="471" t="str">
        <f t="shared" si="404"/>
        <v/>
      </c>
      <c r="BT533" s="472" t="str">
        <f t="shared" si="385"/>
        <v/>
      </c>
      <c r="BU533" s="472">
        <f t="shared" ca="1" si="405"/>
        <v>0</v>
      </c>
      <c r="BV533" s="472">
        <f t="shared" ca="1" si="405"/>
        <v>0</v>
      </c>
      <c r="BW533" s="472"/>
      <c r="BX533" s="473">
        <f t="shared" ca="1" si="406"/>
        <v>641598.32431625202</v>
      </c>
      <c r="BY533" s="473">
        <f t="shared" si="407"/>
        <v>0</v>
      </c>
      <c r="BZ533" s="473">
        <f t="shared" ca="1" si="389"/>
        <v>1323.9776646830001</v>
      </c>
      <c r="CA533" s="476">
        <f t="shared" ca="1" si="408"/>
        <v>0</v>
      </c>
      <c r="CB533" s="494">
        <f ca="1">IF(OR($Q532&lt;&gt;1,OP!$D$5+$BN533-1&lt;16,$BN533-1&lt;1),0,ROUND(ROUND(ROUND(((VLOOKUP($BN533-1,MORE_PV,5,0)/10000)*VLOOKUP($BN533,MORE_PV,$CB$5,0)),3)*VLOOKUP($BN533,more1,5,0),0)/$R532,0))</f>
        <v>0</v>
      </c>
      <c r="CC533" s="473">
        <f t="shared" ca="1" si="409"/>
        <v>0</v>
      </c>
      <c r="CD533" s="477"/>
    </row>
    <row r="534" spans="2:82" ht="16.5" hidden="1">
      <c r="B534" s="80"/>
      <c r="C534" s="80"/>
      <c r="D534" s="80"/>
      <c r="E534" s="80"/>
      <c r="F534" s="80"/>
      <c r="G534" s="80"/>
      <c r="H534" s="80"/>
      <c r="I534" s="80"/>
      <c r="J534" s="192">
        <f t="shared" si="390"/>
        <v>44</v>
      </c>
      <c r="K534" s="192">
        <f t="shared" si="391"/>
        <v>10</v>
      </c>
      <c r="L534" s="192" t="str">
        <f t="shared" si="386"/>
        <v/>
      </c>
      <c r="M534" s="216">
        <f t="shared" ca="1" si="392"/>
        <v>0</v>
      </c>
      <c r="N534" s="216"/>
      <c r="O534" s="216"/>
      <c r="P534" s="216"/>
      <c r="Q534" s="456" t="str">
        <f t="shared" ca="1" si="393"/>
        <v/>
      </c>
      <c r="R534" s="450">
        <f t="shared" ca="1" si="394"/>
        <v>1</v>
      </c>
      <c r="S534" s="191">
        <f t="shared" si="395"/>
        <v>44</v>
      </c>
      <c r="T534" s="191">
        <f t="shared" si="396"/>
        <v>10</v>
      </c>
      <c r="U534" s="191">
        <f ca="1">OP!$D$5+$S534-1</f>
        <v>76</v>
      </c>
      <c r="V534" s="191" t="str">
        <f t="shared" si="397"/>
        <v/>
      </c>
      <c r="W534" s="350">
        <f ca="1">IF(Q534&lt;&gt;1,0,VLOOKUP(OP!$C$55,PVFB,$S534+2,0))</f>
        <v>0</v>
      </c>
      <c r="X534" s="473">
        <f t="shared" ca="1" si="410"/>
        <v>0</v>
      </c>
      <c r="Y534" s="348">
        <f t="shared" ca="1" si="411"/>
        <v>0</v>
      </c>
      <c r="Z534" s="348">
        <f t="shared" ca="1" si="412"/>
        <v>8012</v>
      </c>
      <c r="AA534" s="348">
        <f ca="1">IF(Q534&lt;&gt;1,0,VLOOKUP(OP!$C$55,PVFB,$S534+2,0))</f>
        <v>0</v>
      </c>
      <c r="AB534" s="488" t="str">
        <f ca="1">IF(AND(S534&lt;OP!$C$24,$U534&lt;15),0,IF(AND($U534&lt;15,$T534=12),ROUND(VLOOKUP($S534,DOWN16,5,0),3),IF($T534=12,ROUND(($Z534/10000)*$AA534,3)+IF(AND($P$7="購買增額繳清保險",T534=12,U534=110),VLOOKUP(S534,$B$10:$H$121,7,0),0),"")))</f>
        <v/>
      </c>
      <c r="AC534" s="350" t="str">
        <f ca="1">IF(AND(S534&lt;OP!$C$24,$U534&lt;15),0,IF(AND($U534&lt;16,$T534=12),VLOOKUP($S534,DOWN16,4,0),IF($T534=12,ROUND(VLOOKUP(OP!$C$55,_DIE2,$S534+1,0)*(Z534/10000),0)+IF(AND($P$7="購買增額繳清保險",T534=12,U534=110),VLOOKUP(S534,$B$10:$H$121,7,0),0),"")))</f>
        <v/>
      </c>
      <c r="AD534" s="347"/>
      <c r="AE534" s="350" t="str">
        <f t="shared" ca="1" si="387"/>
        <v/>
      </c>
      <c r="AF534" s="351" t="str">
        <f t="shared" ca="1" si="388"/>
        <v/>
      </c>
      <c r="AG534" s="340"/>
      <c r="AH534" s="340"/>
      <c r="AI534" s="340"/>
      <c r="AJ534" s="340"/>
      <c r="AK534" s="340"/>
      <c r="AL534" s="340"/>
      <c r="AM534" s="340"/>
      <c r="AN534" s="340"/>
      <c r="AO534" s="340"/>
      <c r="AP534" s="340"/>
      <c r="AQ534" s="340"/>
      <c r="AR534" s="340"/>
      <c r="AS534" s="340"/>
      <c r="AT534" s="340"/>
      <c r="AU534" s="340"/>
      <c r="AV534" s="340"/>
      <c r="AY534" s="340"/>
      <c r="AZ534" s="465">
        <f t="shared" ca="1" si="398"/>
        <v>7.3698599999999999E-5</v>
      </c>
      <c r="BA534" s="464">
        <f t="shared" ca="1" si="399"/>
        <v>2.2109589000000002E-3</v>
      </c>
      <c r="BB534" s="465">
        <f t="shared" ca="1" si="399"/>
        <v>2.2846575E-3</v>
      </c>
      <c r="BC534" s="466">
        <f t="shared" ca="1" si="400"/>
        <v>58866</v>
      </c>
      <c r="BD534" s="467">
        <f t="shared" ca="1" si="413"/>
        <v>58867</v>
      </c>
      <c r="BE534" s="467">
        <f t="shared" ca="1" si="401"/>
        <v>58896</v>
      </c>
      <c r="BF534" s="468">
        <f ca="1">IF(計算!$BC534&lt;OP!$C$3,0,BD534-BC534)</f>
        <v>1</v>
      </c>
      <c r="BG534" s="468">
        <f ca="1">IF($BE534&gt;DATE(YEAR($BD$9)+OP!$C$57,MONTH($BD$9),DAY($BD$9)),0,$BE534-$BD534+1)</f>
        <v>30</v>
      </c>
      <c r="BH534" s="469">
        <f t="shared" ca="1" si="402"/>
        <v>31</v>
      </c>
      <c r="BI534" t="str">
        <f t="shared" si="418"/>
        <v/>
      </c>
      <c r="BJ534">
        <v>9</v>
      </c>
      <c r="BN534" s="468">
        <f t="shared" si="414"/>
        <v>44</v>
      </c>
      <c r="BO534" s="468">
        <f t="shared" si="415"/>
        <v>9</v>
      </c>
      <c r="BP534" s="467">
        <f t="shared" ca="1" si="403"/>
        <v>58867</v>
      </c>
      <c r="BQ534" s="475">
        <f t="shared" ca="1" si="417"/>
        <v>76</v>
      </c>
      <c r="BR534" s="475" t="str">
        <f t="shared" si="416"/>
        <v/>
      </c>
      <c r="BS534" s="471" t="str">
        <f t="shared" si="404"/>
        <v/>
      </c>
      <c r="BT534" s="472" t="str">
        <f t="shared" ref="BT534:BT597" si="419">IF(BW534&lt;&gt;"",IF(BN534&gt;=$P$4+1,ROUND(BU534,0)+ROUND(BV534,0)+ROUND(BW534,0)+BT522,0),"")</f>
        <v/>
      </c>
      <c r="BU534" s="472">
        <f t="shared" ca="1" si="405"/>
        <v>0</v>
      </c>
      <c r="BV534" s="472">
        <f t="shared" ca="1" si="405"/>
        <v>0</v>
      </c>
      <c r="BW534" s="472"/>
      <c r="BX534" s="473">
        <f t="shared" ca="1" si="406"/>
        <v>642922.30198093504</v>
      </c>
      <c r="BY534" s="473">
        <f t="shared" si="407"/>
        <v>0</v>
      </c>
      <c r="BZ534" s="473">
        <f t="shared" ca="1" si="389"/>
        <v>1468.857259138</v>
      </c>
      <c r="CA534" s="476">
        <f t="shared" ca="1" si="408"/>
        <v>0</v>
      </c>
      <c r="CB534" s="494">
        <f ca="1">IF(OR($Q533&lt;&gt;1,OP!$D$5+$BN534-1&lt;16,$BN534-1&lt;1),0,ROUND(ROUND(ROUND(((VLOOKUP($BN534-1,MORE_PV,5,0)/10000)*VLOOKUP($BN534,MORE_PV,$CB$5,0)),3)*VLOOKUP($BN534,more1,5,0),0)/$R533,0))</f>
        <v>0</v>
      </c>
      <c r="CC534" s="473">
        <f t="shared" ca="1" si="409"/>
        <v>0</v>
      </c>
      <c r="CD534" s="477"/>
    </row>
    <row r="535" spans="2:82" ht="16.5" hidden="1">
      <c r="B535" s="80"/>
      <c r="C535" s="80"/>
      <c r="D535" s="80"/>
      <c r="E535" s="80"/>
      <c r="F535" s="80"/>
      <c r="G535" s="80"/>
      <c r="H535" s="80"/>
      <c r="I535" s="80"/>
      <c r="J535" s="192">
        <f t="shared" si="390"/>
        <v>44</v>
      </c>
      <c r="K535" s="192">
        <f t="shared" si="391"/>
        <v>11</v>
      </c>
      <c r="L535" s="192" t="str">
        <f t="shared" si="386"/>
        <v/>
      </c>
      <c r="M535" s="216">
        <f t="shared" ca="1" si="392"/>
        <v>0</v>
      </c>
      <c r="N535" s="216"/>
      <c r="O535" s="216"/>
      <c r="P535" s="216"/>
      <c r="Q535" s="456" t="str">
        <f t="shared" ca="1" si="393"/>
        <v/>
      </c>
      <c r="R535" s="450">
        <f t="shared" ca="1" si="394"/>
        <v>1</v>
      </c>
      <c r="S535" s="191">
        <f t="shared" si="395"/>
        <v>44</v>
      </c>
      <c r="T535" s="191">
        <f t="shared" si="396"/>
        <v>11</v>
      </c>
      <c r="U535" s="191">
        <f ca="1">OP!$D$5+$S535-1</f>
        <v>76</v>
      </c>
      <c r="V535" s="191" t="str">
        <f t="shared" si="397"/>
        <v/>
      </c>
      <c r="W535" s="350">
        <f ca="1">IF(Q535&lt;&gt;1,0,VLOOKUP(OP!$C$55,PVFB,$S535+2,0))</f>
        <v>0</v>
      </c>
      <c r="X535" s="473">
        <f t="shared" ca="1" si="410"/>
        <v>0</v>
      </c>
      <c r="Y535" s="348">
        <f t="shared" ca="1" si="411"/>
        <v>0</v>
      </c>
      <c r="Z535" s="348">
        <f t="shared" ca="1" si="412"/>
        <v>8012</v>
      </c>
      <c r="AA535" s="348">
        <f ca="1">IF(Q535&lt;&gt;1,0,VLOOKUP(OP!$C$55,PVFB,$S535+2,0))</f>
        <v>0</v>
      </c>
      <c r="AB535" s="488" t="str">
        <f ca="1">IF(AND(S535&lt;OP!$C$24,$U535&lt;15),0,IF(AND($U535&lt;15,$T535=12),ROUND(VLOOKUP($S535,DOWN16,5,0),3),IF($T535=12,ROUND(($Z535/10000)*$AA535,3)+IF(AND($P$7="購買增額繳清保險",T535=12,U535=110),VLOOKUP(S535,$B$10:$H$121,7,0),0),"")))</f>
        <v/>
      </c>
      <c r="AC535" s="350" t="str">
        <f ca="1">IF(AND(S535&lt;OP!$C$24,$U535&lt;15),0,IF(AND($U535&lt;16,$T535=12),VLOOKUP($S535,DOWN16,4,0),IF($T535=12,ROUND(VLOOKUP(OP!$C$55,_DIE2,$S535+1,0)*(Z535/10000),0)+IF(AND($P$7="購買增額繳清保險",T535=12,U535=110),VLOOKUP(S535,$B$10:$H$121,7,0),0),"")))</f>
        <v/>
      </c>
      <c r="AD535" s="347"/>
      <c r="AE535" s="350" t="str">
        <f t="shared" ca="1" si="387"/>
        <v/>
      </c>
      <c r="AF535" s="351" t="str">
        <f t="shared" ca="1" si="388"/>
        <v/>
      </c>
      <c r="AG535" s="340"/>
      <c r="AH535" s="340"/>
      <c r="AI535" s="340"/>
      <c r="AJ535" s="340"/>
      <c r="AK535" s="340"/>
      <c r="AL535" s="340"/>
      <c r="AM535" s="340"/>
      <c r="AN535" s="340"/>
      <c r="AO535" s="340"/>
      <c r="AP535" s="340"/>
      <c r="AQ535" s="340"/>
      <c r="AR535" s="340"/>
      <c r="AS535" s="340"/>
      <c r="AT535" s="340"/>
      <c r="AU535" s="340"/>
      <c r="AV535" s="340"/>
      <c r="AY535" s="340"/>
      <c r="AZ535" s="465">
        <f t="shared" ca="1" si="398"/>
        <v>7.3698599999999999E-5</v>
      </c>
      <c r="BA535" s="464">
        <f t="shared" ca="1" si="399"/>
        <v>2.1372602999999999E-3</v>
      </c>
      <c r="BB535" s="465">
        <f t="shared" ca="1" si="399"/>
        <v>2.2109589000000002E-3</v>
      </c>
      <c r="BC535" s="466">
        <f t="shared" ca="1" si="400"/>
        <v>58897</v>
      </c>
      <c r="BD535" s="467">
        <f t="shared" ca="1" si="413"/>
        <v>58898</v>
      </c>
      <c r="BE535" s="467">
        <f t="shared" ca="1" si="401"/>
        <v>58926</v>
      </c>
      <c r="BF535" s="468">
        <f ca="1">IF(計算!$BC535&lt;OP!$C$3,0,BD535-BC535)</f>
        <v>1</v>
      </c>
      <c r="BG535" s="468">
        <f ca="1">IF($BE535&gt;DATE(YEAR($BD$9)+OP!$C$57,MONTH($BD$9),DAY($BD$9)),0,$BE535-$BD535+1)</f>
        <v>29</v>
      </c>
      <c r="BH535" s="469">
        <f t="shared" ca="1" si="402"/>
        <v>30</v>
      </c>
      <c r="BI535" t="str">
        <f t="shared" si="418"/>
        <v/>
      </c>
      <c r="BJ535">
        <v>10</v>
      </c>
      <c r="BN535" s="468">
        <f t="shared" si="414"/>
        <v>44</v>
      </c>
      <c r="BO535" s="468">
        <f t="shared" si="415"/>
        <v>10</v>
      </c>
      <c r="BP535" s="467">
        <f t="shared" ca="1" si="403"/>
        <v>58898</v>
      </c>
      <c r="BQ535" s="475">
        <f t="shared" ca="1" si="417"/>
        <v>76</v>
      </c>
      <c r="BR535" s="475" t="str">
        <f t="shared" si="416"/>
        <v/>
      </c>
      <c r="BS535" s="471" t="str">
        <f t="shared" si="404"/>
        <v/>
      </c>
      <c r="BT535" s="472" t="str">
        <f t="shared" si="419"/>
        <v/>
      </c>
      <c r="BU535" s="472">
        <f t="shared" ca="1" si="405"/>
        <v>0</v>
      </c>
      <c r="BV535" s="472">
        <f t="shared" ca="1" si="405"/>
        <v>0</v>
      </c>
      <c r="BW535" s="472"/>
      <c r="BX535" s="473">
        <f t="shared" ca="1" si="406"/>
        <v>644391.15924007294</v>
      </c>
      <c r="BY535" s="473">
        <f t="shared" si="407"/>
        <v>0</v>
      </c>
      <c r="BZ535" s="473">
        <f t="shared" ca="1" si="389"/>
        <v>1424.7223686029999</v>
      </c>
      <c r="CA535" s="476">
        <f t="shared" ca="1" si="408"/>
        <v>0</v>
      </c>
      <c r="CB535" s="494">
        <f ca="1">IF(OR($Q534&lt;&gt;1,OP!$D$5+$BN535-1&lt;16,$BN535-1&lt;1),0,ROUND(ROUND(ROUND(((VLOOKUP($BN535-1,MORE_PV,5,0)/10000)*VLOOKUP($BN535,MORE_PV,$CB$5,0)),3)*VLOOKUP($BN535,more1,5,0),0)/$R534,0))</f>
        <v>0</v>
      </c>
      <c r="CC535" s="473">
        <f t="shared" ca="1" si="409"/>
        <v>0</v>
      </c>
      <c r="CD535" s="477"/>
    </row>
    <row r="536" spans="2:82" ht="16.5" hidden="1">
      <c r="B536" s="80"/>
      <c r="C536" s="80"/>
      <c r="D536" s="80"/>
      <c r="E536" s="80"/>
      <c r="F536" s="80"/>
      <c r="G536" s="80"/>
      <c r="H536" s="80"/>
      <c r="I536" s="80"/>
      <c r="J536" s="192">
        <f t="shared" si="390"/>
        <v>44</v>
      </c>
      <c r="K536" s="192">
        <f t="shared" si="391"/>
        <v>12</v>
      </c>
      <c r="L536" s="192">
        <f t="shared" si="386"/>
        <v>44</v>
      </c>
      <c r="M536" s="216">
        <f t="shared" ca="1" si="392"/>
        <v>662580</v>
      </c>
      <c r="N536" s="216"/>
      <c r="O536" s="216"/>
      <c r="P536" s="216"/>
      <c r="Q536" s="456">
        <f t="shared" ca="1" si="393"/>
        <v>1</v>
      </c>
      <c r="R536" s="450">
        <f t="shared" ca="1" si="394"/>
        <v>1</v>
      </c>
      <c r="S536" s="191">
        <f t="shared" si="395"/>
        <v>44</v>
      </c>
      <c r="T536" s="191">
        <f t="shared" si="396"/>
        <v>12</v>
      </c>
      <c r="U536" s="191">
        <f ca="1">OP!$D$5+$S536-1</f>
        <v>76</v>
      </c>
      <c r="V536" s="191">
        <f t="shared" si="397"/>
        <v>44</v>
      </c>
      <c r="W536" s="350">
        <f ca="1">IF(Q536&lt;&gt;1,0,VLOOKUP(OP!$C$55,PVFB,$S536+2,0))</f>
        <v>63476</v>
      </c>
      <c r="X536" s="473">
        <f t="shared" ca="1" si="410"/>
        <v>15242</v>
      </c>
      <c r="Y536" s="348">
        <f t="shared" ca="1" si="411"/>
        <v>0</v>
      </c>
      <c r="Z536" s="348">
        <f t="shared" ca="1" si="412"/>
        <v>8012</v>
      </c>
      <c r="AA536" s="348">
        <f ca="1">IF(Q536&lt;&gt;1,0,VLOOKUP(OP!$C$55,PVFB,$S536+2,0))</f>
        <v>63476</v>
      </c>
      <c r="AB536" s="488">
        <f ca="1">IF(AND(S536&lt;OP!$C$24,$U536&lt;15),0,IF(AND($U536&lt;15,$T536=12),ROUND(VLOOKUP($S536,DOWN16,5,0),3),IF($T536=12,ROUND(($Z536/10000)*$AA536,3)+IF(AND($P$7="購買增額繳清保險",T536=12,U536=110),VLOOKUP(S536,$B$10:$H$121,7,0),0),"")))</f>
        <v>50856.970999999998</v>
      </c>
      <c r="AC536" s="350">
        <f ca="1">IF(AND(S536&lt;OP!$C$24,$U536&lt;15),0,IF(AND($U536&lt;16,$T536=12),VLOOKUP($S536,DOWN16,4,0),IF($T536=12,ROUND(VLOOKUP(OP!$C$55,_DIE2,$S536+1,0)*(Z536/10000),0)+IF(AND($P$7="購買增額繳清保險",T536=12,U536=110),VLOOKUP(S536,$B$10:$H$121,7,0),0),"")))</f>
        <v>50857</v>
      </c>
      <c r="AD536" s="347"/>
      <c r="AE536" s="350" t="str">
        <f t="shared" ca="1" si="387"/>
        <v/>
      </c>
      <c r="AF536" s="351" t="str">
        <f t="shared" ca="1" si="388"/>
        <v/>
      </c>
      <c r="AG536" s="340"/>
      <c r="AH536" s="340"/>
      <c r="AI536" s="340"/>
      <c r="AJ536" s="340"/>
      <c r="AK536" s="340"/>
      <c r="AL536" s="340"/>
      <c r="AM536" s="340"/>
      <c r="AN536" s="340"/>
      <c r="AO536" s="340"/>
      <c r="AP536" s="340"/>
      <c r="AQ536" s="340"/>
      <c r="AR536" s="340"/>
      <c r="AS536" s="340"/>
      <c r="AT536" s="340"/>
      <c r="AU536" s="340"/>
      <c r="AV536" s="340"/>
      <c r="AY536" s="340"/>
      <c r="AZ536" s="465">
        <f t="shared" ca="1" si="398"/>
        <v>7.3698599999999999E-5</v>
      </c>
      <c r="BA536" s="464">
        <f t="shared" ca="1" si="399"/>
        <v>2.2109589000000002E-3</v>
      </c>
      <c r="BB536" s="465">
        <f t="shared" ca="1" si="399"/>
        <v>2.2846575E-3</v>
      </c>
      <c r="BC536" s="466">
        <f t="shared" ca="1" si="400"/>
        <v>58927</v>
      </c>
      <c r="BD536" s="467">
        <f t="shared" ca="1" si="413"/>
        <v>58928</v>
      </c>
      <c r="BE536" s="467">
        <f t="shared" ca="1" si="401"/>
        <v>58957</v>
      </c>
      <c r="BF536" s="468">
        <f ca="1">IF(計算!$BC536&lt;OP!$C$3,0,BD536-BC536)</f>
        <v>1</v>
      </c>
      <c r="BG536" s="468">
        <f ca="1">IF($BE536&gt;DATE(YEAR($BD$9)+OP!$C$57,MONTH($BD$9),DAY($BD$9)),0,$BE536-$BD536+1)</f>
        <v>30</v>
      </c>
      <c r="BH536" s="469">
        <f t="shared" ca="1" si="402"/>
        <v>31</v>
      </c>
      <c r="BI536" t="str">
        <f t="shared" si="418"/>
        <v/>
      </c>
      <c r="BJ536">
        <v>11</v>
      </c>
      <c r="BN536" s="468">
        <f t="shared" si="414"/>
        <v>44</v>
      </c>
      <c r="BO536" s="468">
        <f t="shared" si="415"/>
        <v>11</v>
      </c>
      <c r="BP536" s="467">
        <f t="shared" ca="1" si="403"/>
        <v>58928</v>
      </c>
      <c r="BQ536" s="475">
        <f t="shared" ca="1" si="417"/>
        <v>76</v>
      </c>
      <c r="BR536" s="475" t="str">
        <f t="shared" si="416"/>
        <v/>
      </c>
      <c r="BS536" s="471" t="str">
        <f t="shared" si="404"/>
        <v/>
      </c>
      <c r="BT536" s="472" t="str">
        <f t="shared" si="419"/>
        <v/>
      </c>
      <c r="BU536" s="472">
        <f t="shared" ca="1" si="405"/>
        <v>0</v>
      </c>
      <c r="BV536" s="472">
        <f t="shared" ca="1" si="405"/>
        <v>0</v>
      </c>
      <c r="BW536" s="472"/>
      <c r="BX536" s="473">
        <f t="shared" ca="1" si="406"/>
        <v>645815.88160867605</v>
      </c>
      <c r="BY536" s="473">
        <f t="shared" si="407"/>
        <v>0</v>
      </c>
      <c r="BZ536" s="473">
        <f t="shared" ca="1" si="389"/>
        <v>1475.468097536</v>
      </c>
      <c r="CA536" s="476">
        <f t="shared" ca="1" si="408"/>
        <v>0</v>
      </c>
      <c r="CB536" s="494">
        <f ca="1">IF(OR($Q535&lt;&gt;1,OP!$D$5+$BN536-1&lt;16,$BN536-1&lt;1),0,ROUND(ROUND(ROUND(((VLOOKUP($BN536-1,MORE_PV,5,0)/10000)*VLOOKUP($BN536,MORE_PV,$CB$5,0)),3)*VLOOKUP($BN536,more1,5,0),0)/$R535,0))</f>
        <v>0</v>
      </c>
      <c r="CC536" s="473">
        <f t="shared" ca="1" si="409"/>
        <v>0</v>
      </c>
      <c r="CD536" s="477"/>
    </row>
    <row r="537" spans="2:82" ht="16.5" hidden="1">
      <c r="B537" s="80"/>
      <c r="C537" s="80"/>
      <c r="D537" s="80"/>
      <c r="E537" s="80"/>
      <c r="F537" s="80"/>
      <c r="G537" s="80"/>
      <c r="H537" s="80"/>
      <c r="I537" s="80"/>
      <c r="J537" s="192">
        <f t="shared" si="390"/>
        <v>45</v>
      </c>
      <c r="K537" s="192">
        <f t="shared" si="391"/>
        <v>1</v>
      </c>
      <c r="L537" s="192" t="str">
        <f t="shared" si="386"/>
        <v/>
      </c>
      <c r="M537" s="216">
        <f t="shared" ca="1" si="392"/>
        <v>0</v>
      </c>
      <c r="N537" s="216"/>
      <c r="O537" s="216"/>
      <c r="P537" s="216"/>
      <c r="Q537" s="456" t="str">
        <f t="shared" ca="1" si="393"/>
        <v/>
      </c>
      <c r="R537" s="450">
        <f t="shared" ca="1" si="394"/>
        <v>1</v>
      </c>
      <c r="S537" s="191">
        <f t="shared" si="395"/>
        <v>45</v>
      </c>
      <c r="T537" s="191">
        <f t="shared" si="396"/>
        <v>1</v>
      </c>
      <c r="U537" s="191">
        <f ca="1">OP!$D$5+$S537-1</f>
        <v>77</v>
      </c>
      <c r="V537" s="191" t="str">
        <f t="shared" si="397"/>
        <v/>
      </c>
      <c r="W537" s="350">
        <f ca="1">IF(Q537&lt;&gt;1,0,VLOOKUP(OP!$C$55,PVFB,$S537+2,0))</f>
        <v>0</v>
      </c>
      <c r="X537" s="473">
        <f t="shared" ca="1" si="410"/>
        <v>0</v>
      </c>
      <c r="Y537" s="348">
        <f t="shared" ca="1" si="411"/>
        <v>0</v>
      </c>
      <c r="Z537" s="348">
        <f t="shared" ca="1" si="412"/>
        <v>8012</v>
      </c>
      <c r="AA537" s="348">
        <f ca="1">IF(Q537&lt;&gt;1,0,VLOOKUP(OP!$C$55,PVFB,$S537+2,0))</f>
        <v>0</v>
      </c>
      <c r="AB537" s="488" t="str">
        <f ca="1">IF(AND(S537&lt;OP!$C$24,$U537&lt;15),0,IF(AND($U537&lt;15,$T537=12),ROUND(VLOOKUP($S537,DOWN16,5,0),3),IF($T537=12,ROUND(($Z537/10000)*$AA537,3)+IF(AND($P$7="購買增額繳清保險",T537=12,U537=110),VLOOKUP(S537,$B$10:$H$121,7,0),0),"")))</f>
        <v/>
      </c>
      <c r="AC537" s="350" t="str">
        <f ca="1">IF(AND(S537&lt;OP!$C$24,$U537&lt;15),0,IF(AND($U537&lt;16,$T537=12),VLOOKUP($S537,DOWN16,4,0),IF($T537=12,ROUND(VLOOKUP(OP!$C$55,_DIE2,$S537+1,0)*(Z537/10000),0)+IF(AND($P$7="購買增額繳清保險",T537=12,U537=110),VLOOKUP(S537,$B$10:$H$121,7,0),0),"")))</f>
        <v/>
      </c>
      <c r="AD537" s="347"/>
      <c r="AE537" s="350" t="str">
        <f t="shared" ca="1" si="387"/>
        <v/>
      </c>
      <c r="AF537" s="351" t="str">
        <f t="shared" ca="1" si="388"/>
        <v/>
      </c>
      <c r="AG537" s="340"/>
      <c r="AH537" s="340"/>
      <c r="AI537" s="340"/>
      <c r="AJ537" s="340"/>
      <c r="AK537" s="340"/>
      <c r="AL537" s="340"/>
      <c r="AM537" s="340"/>
      <c r="AN537" s="340"/>
      <c r="AO537" s="340"/>
      <c r="AP537" s="340"/>
      <c r="AQ537" s="340"/>
      <c r="AR537" s="340"/>
      <c r="AS537" s="340"/>
      <c r="AT537" s="340"/>
      <c r="AU537" s="340"/>
      <c r="AV537" s="340"/>
      <c r="AY537" s="340"/>
      <c r="AZ537" s="465">
        <f t="shared" ca="1" si="398"/>
        <v>7.3698599999999999E-5</v>
      </c>
      <c r="BA537" s="464">
        <f t="shared" ca="1" si="399"/>
        <v>2.1372602999999999E-3</v>
      </c>
      <c r="BB537" s="465">
        <f t="shared" ca="1" si="399"/>
        <v>2.2109589000000002E-3</v>
      </c>
      <c r="BC537" s="466">
        <f t="shared" ca="1" si="400"/>
        <v>58958</v>
      </c>
      <c r="BD537" s="467">
        <f t="shared" ca="1" si="413"/>
        <v>58959</v>
      </c>
      <c r="BE537" s="467">
        <f t="shared" ca="1" si="401"/>
        <v>58987</v>
      </c>
      <c r="BF537" s="468">
        <f ca="1">IF(計算!$BC537&lt;OP!$C$3,0,BD537-BC537)</f>
        <v>1</v>
      </c>
      <c r="BG537" s="468">
        <f ca="1">IF($BE537&gt;DATE(YEAR($BD$9)+OP!$C$57,MONTH($BD$9),DAY($BD$9)),0,$BE537-$BD537+1)</f>
        <v>29</v>
      </c>
      <c r="BH537" s="469">
        <f t="shared" ca="1" si="402"/>
        <v>30</v>
      </c>
      <c r="BI537">
        <f t="shared" ca="1" si="418"/>
        <v>365</v>
      </c>
      <c r="BJ537">
        <v>12</v>
      </c>
      <c r="BN537" s="468">
        <f t="shared" si="414"/>
        <v>44</v>
      </c>
      <c r="BO537" s="468">
        <f t="shared" si="415"/>
        <v>12</v>
      </c>
      <c r="BP537" s="467">
        <f t="shared" ca="1" si="403"/>
        <v>58959</v>
      </c>
      <c r="BQ537" s="475">
        <f t="shared" ca="1" si="417"/>
        <v>76</v>
      </c>
      <c r="BR537" s="475">
        <f t="shared" si="416"/>
        <v>44</v>
      </c>
      <c r="BS537" s="471">
        <f t="shared" ca="1" si="404"/>
        <v>15242</v>
      </c>
      <c r="BT537" s="472">
        <f t="shared" ca="1" si="419"/>
        <v>662580</v>
      </c>
      <c r="BU537" s="472">
        <f t="shared" ca="1" si="405"/>
        <v>14891</v>
      </c>
      <c r="BV537" s="472">
        <f t="shared" ca="1" si="405"/>
        <v>351</v>
      </c>
      <c r="BW537" s="472">
        <f ca="1">ROUND(SUM(BY537,BZ525:BZ536),0)</f>
        <v>17162</v>
      </c>
      <c r="BX537" s="473">
        <f t="shared" ca="1" si="406"/>
        <v>662581.05417247699</v>
      </c>
      <c r="BY537" s="473">
        <f t="shared" ca="1" si="407"/>
        <v>47.704466265000001</v>
      </c>
      <c r="BZ537" s="473">
        <f t="shared" ca="1" si="389"/>
        <v>1416.108182615</v>
      </c>
      <c r="CA537" s="476">
        <f t="shared" ca="1" si="408"/>
        <v>14891</v>
      </c>
      <c r="CB537" s="494">
        <f ca="1">IF(OR($Q536&lt;&gt;1,OP!$D$5+$BN537-1&lt;16,$BN537-1&lt;1),0,ROUND(ROUND(ROUND(((VLOOKUP($BN537-1,MORE_PV,5,0)/10000)*VLOOKUP($BN537,MORE_PV,$CB$5,0)),3)*VLOOKUP($BN537,more1,5,0),0)/$R536,0))</f>
        <v>351</v>
      </c>
      <c r="CC537" s="473">
        <f t="shared" ca="1" si="409"/>
        <v>0</v>
      </c>
      <c r="CD537" s="477"/>
    </row>
    <row r="538" spans="2:82" ht="16.5" hidden="1">
      <c r="B538" s="80"/>
      <c r="C538" s="80"/>
      <c r="D538" s="80"/>
      <c r="E538" s="80"/>
      <c r="F538" s="80"/>
      <c r="G538" s="80"/>
      <c r="H538" s="80"/>
      <c r="I538" s="80"/>
      <c r="J538" s="192">
        <f t="shared" si="390"/>
        <v>45</v>
      </c>
      <c r="K538" s="192">
        <f t="shared" si="391"/>
        <v>2</v>
      </c>
      <c r="L538" s="192" t="str">
        <f t="shared" si="386"/>
        <v/>
      </c>
      <c r="M538" s="216">
        <f t="shared" ca="1" si="392"/>
        <v>0</v>
      </c>
      <c r="N538" s="216"/>
      <c r="O538" s="216"/>
      <c r="P538" s="216"/>
      <c r="Q538" s="456" t="str">
        <f t="shared" ca="1" si="393"/>
        <v/>
      </c>
      <c r="R538" s="450">
        <f t="shared" ca="1" si="394"/>
        <v>1</v>
      </c>
      <c r="S538" s="191">
        <f t="shared" si="395"/>
        <v>45</v>
      </c>
      <c r="T538" s="191">
        <f t="shared" si="396"/>
        <v>2</v>
      </c>
      <c r="U538" s="191">
        <f ca="1">OP!$D$5+$S538-1</f>
        <v>77</v>
      </c>
      <c r="V538" s="191" t="str">
        <f t="shared" si="397"/>
        <v/>
      </c>
      <c r="W538" s="350">
        <f ca="1">IF(Q538&lt;&gt;1,0,VLOOKUP(OP!$C$55,PVFB,$S538+2,0))</f>
        <v>0</v>
      </c>
      <c r="X538" s="473">
        <f t="shared" ca="1" si="410"/>
        <v>0</v>
      </c>
      <c r="Y538" s="348">
        <f t="shared" ca="1" si="411"/>
        <v>0</v>
      </c>
      <c r="Z538" s="348">
        <f t="shared" ca="1" si="412"/>
        <v>8012</v>
      </c>
      <c r="AA538" s="348">
        <f ca="1">IF(Q538&lt;&gt;1,0,VLOOKUP(OP!$C$55,PVFB,$S538+2,0))</f>
        <v>0</v>
      </c>
      <c r="AB538" s="488" t="str">
        <f ca="1">IF(AND(S538&lt;OP!$C$24,$U538&lt;15),0,IF(AND($U538&lt;15,$T538=12),ROUND(VLOOKUP($S538,DOWN16,5,0),3),IF($T538=12,ROUND(($Z538/10000)*$AA538,3)+IF(AND($P$7="購買增額繳清保險",T538=12,U538=110),VLOOKUP(S538,$B$10:$H$121,7,0),0),"")))</f>
        <v/>
      </c>
      <c r="AC538" s="350" t="str">
        <f ca="1">IF(AND(S538&lt;OP!$C$24,$U538&lt;15),0,IF(AND($U538&lt;16,$T538=12),VLOOKUP($S538,DOWN16,4,0),IF($T538=12,ROUND(VLOOKUP(OP!$C$55,_DIE2,$S538+1,0)*(Z538/10000),0)+IF(AND($P$7="購買增額繳清保險",T538=12,U538=110),VLOOKUP(S538,$B$10:$H$121,7,0),0),"")))</f>
        <v/>
      </c>
      <c r="AD538" s="347"/>
      <c r="AE538" s="350" t="str">
        <f t="shared" ca="1" si="387"/>
        <v/>
      </c>
      <c r="AF538" s="351" t="str">
        <f t="shared" ca="1" si="388"/>
        <v/>
      </c>
      <c r="AG538" s="340"/>
      <c r="AH538" s="340"/>
      <c r="AI538" s="340"/>
      <c r="AJ538" s="340"/>
      <c r="AK538" s="340"/>
      <c r="AL538" s="340"/>
      <c r="AM538" s="340"/>
      <c r="AN538" s="340"/>
      <c r="AO538" s="340"/>
      <c r="AP538" s="340"/>
      <c r="AQ538" s="340"/>
      <c r="AR538" s="340"/>
      <c r="AS538" s="340"/>
      <c r="AT538" s="340"/>
      <c r="AU538" s="340"/>
      <c r="AV538" s="340"/>
      <c r="AY538" s="340"/>
      <c r="AZ538" s="465">
        <f t="shared" ca="1" si="398"/>
        <v>7.3698599999999999E-5</v>
      </c>
      <c r="BA538" s="464">
        <f t="shared" ca="1" si="399"/>
        <v>2.2109589000000002E-3</v>
      </c>
      <c r="BB538" s="465">
        <f t="shared" ca="1" si="399"/>
        <v>2.2846575E-3</v>
      </c>
      <c r="BC538" s="466">
        <f t="shared" ca="1" si="400"/>
        <v>58988</v>
      </c>
      <c r="BD538" s="467">
        <f t="shared" ca="1" si="413"/>
        <v>58989</v>
      </c>
      <c r="BE538" s="467">
        <f t="shared" ca="1" si="401"/>
        <v>59018</v>
      </c>
      <c r="BF538" s="468">
        <f ca="1">IF(計算!$BC538&lt;OP!$C$3,0,BD538-BC538)</f>
        <v>1</v>
      </c>
      <c r="BG538" s="468">
        <f ca="1">IF($BE538&gt;DATE(YEAR($BD$9)+OP!$C$57,MONTH($BD$9),DAY($BD$9)),0,$BE538-$BD538+1)</f>
        <v>30</v>
      </c>
      <c r="BH538" s="469">
        <f t="shared" ca="1" si="402"/>
        <v>31</v>
      </c>
      <c r="BI538" t="str">
        <f t="shared" si="418"/>
        <v/>
      </c>
      <c r="BJ538">
        <v>1</v>
      </c>
      <c r="BN538" s="468">
        <f t="shared" si="414"/>
        <v>45</v>
      </c>
      <c r="BO538" s="468">
        <f t="shared" si="415"/>
        <v>1</v>
      </c>
      <c r="BP538" s="467">
        <f t="shared" ca="1" si="403"/>
        <v>58989</v>
      </c>
      <c r="BQ538" s="475">
        <f t="shared" ca="1" si="417"/>
        <v>77</v>
      </c>
      <c r="BR538" s="475" t="str">
        <f t="shared" si="416"/>
        <v/>
      </c>
      <c r="BS538" s="471" t="str">
        <f t="shared" si="404"/>
        <v/>
      </c>
      <c r="BT538" s="472" t="str">
        <f t="shared" si="419"/>
        <v/>
      </c>
      <c r="BU538" s="472">
        <f t="shared" ca="1" si="405"/>
        <v>0</v>
      </c>
      <c r="BV538" s="472">
        <f t="shared" ca="1" si="405"/>
        <v>0</v>
      </c>
      <c r="BW538" s="472"/>
      <c r="BX538" s="473">
        <f t="shared" ca="1" si="406"/>
        <v>663997.162355092</v>
      </c>
      <c r="BY538" s="473">
        <f t="shared" si="407"/>
        <v>0</v>
      </c>
      <c r="BZ538" s="473">
        <f t="shared" ca="1" si="389"/>
        <v>1517.006096953</v>
      </c>
      <c r="CA538" s="476">
        <f t="shared" ca="1" si="408"/>
        <v>0</v>
      </c>
      <c r="CB538" s="494">
        <f ca="1">IF(OR($Q537&lt;&gt;1,OP!$D$5+$BN538-1&lt;16,$BN538-1&lt;1),0,ROUND(ROUND(ROUND(((VLOOKUP($BN538-1,MORE_PV,5,0)/10000)*VLOOKUP($BN538,MORE_PV,$CB$5,0)),3)*VLOOKUP($BN538,more1,5,0),0)/$R537,0))</f>
        <v>0</v>
      </c>
      <c r="CC538" s="473">
        <f t="shared" ca="1" si="409"/>
        <v>0</v>
      </c>
      <c r="CD538" s="477"/>
    </row>
    <row r="539" spans="2:82" ht="16.5" hidden="1">
      <c r="B539" s="80"/>
      <c r="C539" s="80"/>
      <c r="D539" s="80"/>
      <c r="E539" s="80"/>
      <c r="F539" s="80"/>
      <c r="G539" s="80"/>
      <c r="H539" s="80"/>
      <c r="I539" s="80"/>
      <c r="J539" s="192">
        <f t="shared" si="390"/>
        <v>45</v>
      </c>
      <c r="K539" s="192">
        <f t="shared" si="391"/>
        <v>3</v>
      </c>
      <c r="L539" s="192" t="str">
        <f t="shared" si="386"/>
        <v/>
      </c>
      <c r="M539" s="216">
        <f t="shared" ca="1" si="392"/>
        <v>0</v>
      </c>
      <c r="N539" s="216"/>
      <c r="O539" s="216"/>
      <c r="P539" s="216"/>
      <c r="Q539" s="456" t="str">
        <f t="shared" ca="1" si="393"/>
        <v/>
      </c>
      <c r="R539" s="450">
        <f t="shared" ca="1" si="394"/>
        <v>1</v>
      </c>
      <c r="S539" s="191">
        <f t="shared" si="395"/>
        <v>45</v>
      </c>
      <c r="T539" s="191">
        <f t="shared" si="396"/>
        <v>3</v>
      </c>
      <c r="U539" s="191">
        <f ca="1">OP!$D$5+$S539-1</f>
        <v>77</v>
      </c>
      <c r="V539" s="191" t="str">
        <f t="shared" si="397"/>
        <v/>
      </c>
      <c r="W539" s="350">
        <f ca="1">IF(Q539&lt;&gt;1,0,VLOOKUP(OP!$C$55,PVFB,$S539+2,0))</f>
        <v>0</v>
      </c>
      <c r="X539" s="473">
        <f t="shared" ca="1" si="410"/>
        <v>0</v>
      </c>
      <c r="Y539" s="348">
        <f t="shared" ca="1" si="411"/>
        <v>0</v>
      </c>
      <c r="Z539" s="348">
        <f t="shared" ca="1" si="412"/>
        <v>8012</v>
      </c>
      <c r="AA539" s="348">
        <f ca="1">IF(Q539&lt;&gt;1,0,VLOOKUP(OP!$C$55,PVFB,$S539+2,0))</f>
        <v>0</v>
      </c>
      <c r="AB539" s="488" t="str">
        <f ca="1">IF(AND(S539&lt;OP!$C$24,$U539&lt;15),0,IF(AND($U539&lt;15,$T539=12),ROUND(VLOOKUP($S539,DOWN16,5,0),3),IF($T539=12,ROUND(($Z539/10000)*$AA539,3)+IF(AND($P$7="購買增額繳清保險",T539=12,U539=110),VLOOKUP(S539,$B$10:$H$121,7,0),0),"")))</f>
        <v/>
      </c>
      <c r="AC539" s="350" t="str">
        <f ca="1">IF(AND(S539&lt;OP!$C$24,$U539&lt;15),0,IF(AND($U539&lt;16,$T539=12),VLOOKUP($S539,DOWN16,4,0),IF($T539=12,ROUND(VLOOKUP(OP!$C$55,_DIE2,$S539+1,0)*(Z539/10000),0)+IF(AND($P$7="購買增額繳清保險",T539=12,U539=110),VLOOKUP(S539,$B$10:$H$121,7,0),0),"")))</f>
        <v/>
      </c>
      <c r="AD539" s="347"/>
      <c r="AE539" s="350" t="str">
        <f t="shared" ca="1" si="387"/>
        <v/>
      </c>
      <c r="AF539" s="351" t="str">
        <f t="shared" ca="1" si="388"/>
        <v/>
      </c>
      <c r="AG539" s="340"/>
      <c r="AH539" s="340"/>
      <c r="AI539" s="340"/>
      <c r="AJ539" s="340"/>
      <c r="AK539" s="340"/>
      <c r="AL539" s="340"/>
      <c r="AM539" s="340"/>
      <c r="AN539" s="340"/>
      <c r="AO539" s="340"/>
      <c r="AP539" s="340"/>
      <c r="AQ539" s="340"/>
      <c r="AR539" s="340"/>
      <c r="AS539" s="340"/>
      <c r="AT539" s="340"/>
      <c r="AU539" s="340"/>
      <c r="AV539" s="340"/>
      <c r="AY539" s="340"/>
      <c r="AZ539" s="465">
        <f t="shared" ca="1" si="398"/>
        <v>7.3698599999999999E-5</v>
      </c>
      <c r="BA539" s="464">
        <f t="shared" ca="1" si="399"/>
        <v>2.2109589000000002E-3</v>
      </c>
      <c r="BB539" s="465">
        <f t="shared" ca="1" si="399"/>
        <v>2.2846575E-3</v>
      </c>
      <c r="BC539" s="466">
        <f t="shared" ca="1" si="400"/>
        <v>59019</v>
      </c>
      <c r="BD539" s="467">
        <f t="shared" ca="1" si="413"/>
        <v>59020</v>
      </c>
      <c r="BE539" s="467">
        <f t="shared" ca="1" si="401"/>
        <v>59049</v>
      </c>
      <c r="BF539" s="468">
        <f ca="1">IF(計算!$BC539&lt;OP!$C$3,0,BD539-BC539)</f>
        <v>1</v>
      </c>
      <c r="BG539" s="468">
        <f ca="1">IF($BE539&gt;DATE(YEAR($BD$9)+OP!$C$57,MONTH($BD$9),DAY($BD$9)),0,$BE539-$BD539+1)</f>
        <v>30</v>
      </c>
      <c r="BH539" s="469">
        <f t="shared" ca="1" si="402"/>
        <v>31</v>
      </c>
      <c r="BI539" t="str">
        <f t="shared" si="418"/>
        <v/>
      </c>
      <c r="BJ539">
        <v>2</v>
      </c>
      <c r="BN539" s="468">
        <f t="shared" si="414"/>
        <v>45</v>
      </c>
      <c r="BO539" s="468">
        <f t="shared" si="415"/>
        <v>2</v>
      </c>
      <c r="BP539" s="467">
        <f t="shared" ca="1" si="403"/>
        <v>59020</v>
      </c>
      <c r="BQ539" s="475">
        <f t="shared" ca="1" si="417"/>
        <v>77</v>
      </c>
      <c r="BR539" s="475" t="str">
        <f t="shared" si="416"/>
        <v/>
      </c>
      <c r="BS539" s="471" t="str">
        <f t="shared" si="404"/>
        <v/>
      </c>
      <c r="BT539" s="472" t="str">
        <f t="shared" si="419"/>
        <v/>
      </c>
      <c r="BU539" s="472">
        <f t="shared" ca="1" si="405"/>
        <v>0</v>
      </c>
      <c r="BV539" s="472">
        <f t="shared" ca="1" si="405"/>
        <v>0</v>
      </c>
      <c r="BW539" s="472"/>
      <c r="BX539" s="473">
        <f t="shared" ca="1" si="406"/>
        <v>665514.16845204495</v>
      </c>
      <c r="BY539" s="473">
        <f t="shared" si="407"/>
        <v>0</v>
      </c>
      <c r="BZ539" s="473">
        <f t="shared" ca="1" si="389"/>
        <v>1520.47193631</v>
      </c>
      <c r="CA539" s="476">
        <f t="shared" ca="1" si="408"/>
        <v>0</v>
      </c>
      <c r="CB539" s="494">
        <f ca="1">IF(OR($Q538&lt;&gt;1,OP!$D$5+$BN539-1&lt;16,$BN539-1&lt;1),0,ROUND(ROUND(ROUND(((VLOOKUP($BN539-1,MORE_PV,5,0)/10000)*VLOOKUP($BN539,MORE_PV,$CB$5,0)),3)*VLOOKUP($BN539,more1,5,0),0)/$R538,0))</f>
        <v>0</v>
      </c>
      <c r="CC539" s="473">
        <f t="shared" ca="1" si="409"/>
        <v>0</v>
      </c>
      <c r="CD539" s="477"/>
    </row>
    <row r="540" spans="2:82" ht="16.5" hidden="1">
      <c r="B540" s="80"/>
      <c r="C540" s="80"/>
      <c r="D540" s="80"/>
      <c r="E540" s="80"/>
      <c r="F540" s="80"/>
      <c r="G540" s="80"/>
      <c r="H540" s="80"/>
      <c r="I540" s="80"/>
      <c r="J540" s="192">
        <f t="shared" si="390"/>
        <v>45</v>
      </c>
      <c r="K540" s="192">
        <f t="shared" si="391"/>
        <v>4</v>
      </c>
      <c r="L540" s="192" t="str">
        <f t="shared" si="386"/>
        <v/>
      </c>
      <c r="M540" s="216">
        <f t="shared" ca="1" si="392"/>
        <v>0</v>
      </c>
      <c r="N540" s="216"/>
      <c r="O540" s="216"/>
      <c r="P540" s="216"/>
      <c r="Q540" s="456" t="str">
        <f t="shared" ca="1" si="393"/>
        <v/>
      </c>
      <c r="R540" s="450">
        <f t="shared" ca="1" si="394"/>
        <v>1</v>
      </c>
      <c r="S540" s="191">
        <f t="shared" si="395"/>
        <v>45</v>
      </c>
      <c r="T540" s="191">
        <f t="shared" si="396"/>
        <v>4</v>
      </c>
      <c r="U540" s="191">
        <f ca="1">OP!$D$5+$S540-1</f>
        <v>77</v>
      </c>
      <c r="V540" s="191" t="str">
        <f t="shared" si="397"/>
        <v/>
      </c>
      <c r="W540" s="350">
        <f ca="1">IF(Q540&lt;&gt;1,0,VLOOKUP(OP!$C$55,PVFB,$S540+2,0))</f>
        <v>0</v>
      </c>
      <c r="X540" s="473">
        <f t="shared" ca="1" si="410"/>
        <v>0</v>
      </c>
      <c r="Y540" s="348">
        <f t="shared" ca="1" si="411"/>
        <v>0</v>
      </c>
      <c r="Z540" s="348">
        <f t="shared" ca="1" si="412"/>
        <v>8012</v>
      </c>
      <c r="AA540" s="348">
        <f ca="1">IF(Q540&lt;&gt;1,0,VLOOKUP(OP!$C$55,PVFB,$S540+2,0))</f>
        <v>0</v>
      </c>
      <c r="AB540" s="488" t="str">
        <f ca="1">IF(AND(S540&lt;OP!$C$24,$U540&lt;15),0,IF(AND($U540&lt;15,$T540=12),ROUND(VLOOKUP($S540,DOWN16,5,0),3),IF($T540=12,ROUND(($Z540/10000)*$AA540,3)+IF(AND($P$7="購買增額繳清保險",T540=12,U540=110),VLOOKUP(S540,$B$10:$H$121,7,0),0),"")))</f>
        <v/>
      </c>
      <c r="AC540" s="350" t="str">
        <f ca="1">IF(AND(S540&lt;OP!$C$24,$U540&lt;15),0,IF(AND($U540&lt;16,$T540=12),VLOOKUP($S540,DOWN16,4,0),IF($T540=12,ROUND(VLOOKUP(OP!$C$55,_DIE2,$S540+1,0)*(Z540/10000),0)+IF(AND($P$7="購買增額繳清保險",T540=12,U540=110),VLOOKUP(S540,$B$10:$H$121,7,0),0),"")))</f>
        <v/>
      </c>
      <c r="AD540" s="347"/>
      <c r="AE540" s="350" t="str">
        <f t="shared" ca="1" si="387"/>
        <v/>
      </c>
      <c r="AF540" s="351" t="str">
        <f t="shared" ca="1" si="388"/>
        <v/>
      </c>
      <c r="AG540" s="340"/>
      <c r="AH540" s="340"/>
      <c r="AI540" s="340"/>
      <c r="AJ540" s="340"/>
      <c r="AK540" s="340"/>
      <c r="AL540" s="340"/>
      <c r="AM540" s="340"/>
      <c r="AN540" s="340"/>
      <c r="AO540" s="340"/>
      <c r="AP540" s="340"/>
      <c r="AQ540" s="340"/>
      <c r="AR540" s="340"/>
      <c r="AS540" s="340"/>
      <c r="AT540" s="340"/>
      <c r="AU540" s="340"/>
      <c r="AV540" s="340"/>
      <c r="AY540" s="340"/>
      <c r="AZ540" s="465">
        <f t="shared" ca="1" si="398"/>
        <v>7.3698599999999999E-5</v>
      </c>
      <c r="BA540" s="464">
        <f t="shared" ca="1" si="399"/>
        <v>2.1372602999999999E-3</v>
      </c>
      <c r="BB540" s="465">
        <f t="shared" ca="1" si="399"/>
        <v>2.2109589000000002E-3</v>
      </c>
      <c r="BC540" s="466">
        <f t="shared" ca="1" si="400"/>
        <v>59050</v>
      </c>
      <c r="BD540" s="467">
        <f t="shared" ca="1" si="413"/>
        <v>59051</v>
      </c>
      <c r="BE540" s="467">
        <f t="shared" ca="1" si="401"/>
        <v>59079</v>
      </c>
      <c r="BF540" s="468">
        <f ca="1">IF(計算!$BC540&lt;OP!$C$3,0,BD540-BC540)</f>
        <v>1</v>
      </c>
      <c r="BG540" s="468">
        <f ca="1">IF($BE540&gt;DATE(YEAR($BD$9)+OP!$C$57,MONTH($BD$9),DAY($BD$9)),0,$BE540-$BD540+1)</f>
        <v>29</v>
      </c>
      <c r="BH540" s="469">
        <f t="shared" ca="1" si="402"/>
        <v>30</v>
      </c>
      <c r="BI540" t="str">
        <f t="shared" si="418"/>
        <v/>
      </c>
      <c r="BJ540">
        <v>3</v>
      </c>
      <c r="BN540" s="468">
        <f t="shared" si="414"/>
        <v>45</v>
      </c>
      <c r="BO540" s="468">
        <f t="shared" si="415"/>
        <v>3</v>
      </c>
      <c r="BP540" s="467">
        <f t="shared" ca="1" si="403"/>
        <v>59051</v>
      </c>
      <c r="BQ540" s="475">
        <f t="shared" ca="1" si="417"/>
        <v>77</v>
      </c>
      <c r="BR540" s="475" t="str">
        <f t="shared" si="416"/>
        <v/>
      </c>
      <c r="BS540" s="471" t="str">
        <f t="shared" si="404"/>
        <v/>
      </c>
      <c r="BT540" s="472" t="str">
        <f t="shared" si="419"/>
        <v/>
      </c>
      <c r="BU540" s="472">
        <f t="shared" ca="1" si="405"/>
        <v>0</v>
      </c>
      <c r="BV540" s="472">
        <f t="shared" ca="1" si="405"/>
        <v>0</v>
      </c>
      <c r="BW540" s="472"/>
      <c r="BX540" s="473">
        <f t="shared" ca="1" si="406"/>
        <v>667034.64038835501</v>
      </c>
      <c r="BY540" s="473">
        <f t="shared" si="407"/>
        <v>0</v>
      </c>
      <c r="BZ540" s="473">
        <f t="shared" ca="1" si="389"/>
        <v>1474.7861747750001</v>
      </c>
      <c r="CA540" s="476">
        <f t="shared" ca="1" si="408"/>
        <v>0</v>
      </c>
      <c r="CB540" s="494">
        <f ca="1">IF(OR($Q539&lt;&gt;1,OP!$D$5+$BN540-1&lt;16,$BN540-1&lt;1),0,ROUND(ROUND(ROUND(((VLOOKUP($BN540-1,MORE_PV,5,0)/10000)*VLOOKUP($BN540,MORE_PV,$CB$5,0)),3)*VLOOKUP($BN540,more1,5,0),0)/$R539,0))</f>
        <v>0</v>
      </c>
      <c r="CC540" s="473">
        <f t="shared" ca="1" si="409"/>
        <v>0</v>
      </c>
      <c r="CD540" s="477"/>
    </row>
    <row r="541" spans="2:82" ht="16.5" hidden="1">
      <c r="B541" s="80"/>
      <c r="C541" s="80"/>
      <c r="D541" s="80"/>
      <c r="E541" s="80"/>
      <c r="F541" s="80"/>
      <c r="G541" s="80"/>
      <c r="H541" s="80"/>
      <c r="I541" s="80"/>
      <c r="J541" s="192">
        <f t="shared" si="390"/>
        <v>45</v>
      </c>
      <c r="K541" s="192">
        <f t="shared" si="391"/>
        <v>5</v>
      </c>
      <c r="L541" s="192" t="str">
        <f t="shared" si="386"/>
        <v/>
      </c>
      <c r="M541" s="216">
        <f t="shared" ca="1" si="392"/>
        <v>0</v>
      </c>
      <c r="N541" s="216"/>
      <c r="O541" s="216"/>
      <c r="P541" s="216"/>
      <c r="Q541" s="456" t="str">
        <f t="shared" ca="1" si="393"/>
        <v/>
      </c>
      <c r="R541" s="450">
        <f t="shared" ca="1" si="394"/>
        <v>1</v>
      </c>
      <c r="S541" s="191">
        <f t="shared" si="395"/>
        <v>45</v>
      </c>
      <c r="T541" s="191">
        <f t="shared" si="396"/>
        <v>5</v>
      </c>
      <c r="U541" s="191">
        <f ca="1">OP!$D$5+$S541-1</f>
        <v>77</v>
      </c>
      <c r="V541" s="191" t="str">
        <f t="shared" si="397"/>
        <v/>
      </c>
      <c r="W541" s="350">
        <f ca="1">IF(Q541&lt;&gt;1,0,VLOOKUP(OP!$C$55,PVFB,$S541+2,0))</f>
        <v>0</v>
      </c>
      <c r="X541" s="473">
        <f t="shared" ca="1" si="410"/>
        <v>0</v>
      </c>
      <c r="Y541" s="348">
        <f t="shared" ca="1" si="411"/>
        <v>0</v>
      </c>
      <c r="Z541" s="348">
        <f t="shared" ca="1" si="412"/>
        <v>8012</v>
      </c>
      <c r="AA541" s="348">
        <f ca="1">IF(Q541&lt;&gt;1,0,VLOOKUP(OP!$C$55,PVFB,$S541+2,0))</f>
        <v>0</v>
      </c>
      <c r="AB541" s="488" t="str">
        <f ca="1">IF(AND(S541&lt;OP!$C$24,$U541&lt;15),0,IF(AND($U541&lt;15,$T541=12),ROUND(VLOOKUP($S541,DOWN16,5,0),3),IF($T541=12,ROUND(($Z541/10000)*$AA541,3)+IF(AND($P$7="購買增額繳清保險",T541=12,U541=110),VLOOKUP(S541,$B$10:$H$121,7,0),0),"")))</f>
        <v/>
      </c>
      <c r="AC541" s="350" t="str">
        <f ca="1">IF(AND(S541&lt;OP!$C$24,$U541&lt;15),0,IF(AND($U541&lt;16,$T541=12),VLOOKUP($S541,DOWN16,4,0),IF($T541=12,ROUND(VLOOKUP(OP!$C$55,_DIE2,$S541+1,0)*(Z541/10000),0)+IF(AND($P$7="購買增額繳清保險",T541=12,U541=110),VLOOKUP(S541,$B$10:$H$121,7,0),0),"")))</f>
        <v/>
      </c>
      <c r="AD541" s="347"/>
      <c r="AE541" s="350" t="str">
        <f t="shared" ca="1" si="387"/>
        <v/>
      </c>
      <c r="AF541" s="351" t="str">
        <f t="shared" ca="1" si="388"/>
        <v/>
      </c>
      <c r="AG541" s="340"/>
      <c r="AH541" s="340"/>
      <c r="AI541" s="340"/>
      <c r="AJ541" s="340"/>
      <c r="AK541" s="340"/>
      <c r="AL541" s="340"/>
      <c r="AM541" s="340"/>
      <c r="AN541" s="340"/>
      <c r="AO541" s="340"/>
      <c r="AP541" s="340"/>
      <c r="AQ541" s="340"/>
      <c r="AR541" s="340"/>
      <c r="AS541" s="340"/>
      <c r="AT541" s="340"/>
      <c r="AU541" s="340"/>
      <c r="AV541" s="340"/>
      <c r="AY541" s="340"/>
      <c r="AZ541" s="465">
        <f t="shared" ca="1" si="398"/>
        <v>7.3698599999999999E-5</v>
      </c>
      <c r="BA541" s="464">
        <f t="shared" ca="1" si="399"/>
        <v>2.2109589000000002E-3</v>
      </c>
      <c r="BB541" s="465">
        <f t="shared" ca="1" si="399"/>
        <v>2.2846575E-3</v>
      </c>
      <c r="BC541" s="466">
        <f t="shared" ca="1" si="400"/>
        <v>59080</v>
      </c>
      <c r="BD541" s="467">
        <f t="shared" ca="1" si="413"/>
        <v>59081</v>
      </c>
      <c r="BE541" s="467">
        <f t="shared" ca="1" si="401"/>
        <v>59110</v>
      </c>
      <c r="BF541" s="468">
        <f ca="1">IF(計算!$BC541&lt;OP!$C$3,0,BD541-BC541)</f>
        <v>1</v>
      </c>
      <c r="BG541" s="468">
        <f ca="1">IF($BE541&gt;DATE(YEAR($BD$9)+OP!$C$57,MONTH($BD$9),DAY($BD$9)),0,$BE541-$BD541+1)</f>
        <v>30</v>
      </c>
      <c r="BH541" s="469">
        <f t="shared" ca="1" si="402"/>
        <v>31</v>
      </c>
      <c r="BI541" t="str">
        <f t="shared" si="418"/>
        <v/>
      </c>
      <c r="BJ541">
        <v>4</v>
      </c>
      <c r="BN541" s="468">
        <f t="shared" si="414"/>
        <v>45</v>
      </c>
      <c r="BO541" s="468">
        <f t="shared" si="415"/>
        <v>4</v>
      </c>
      <c r="BP541" s="467">
        <f t="shared" ca="1" si="403"/>
        <v>59081</v>
      </c>
      <c r="BQ541" s="475">
        <f t="shared" ca="1" si="417"/>
        <v>77</v>
      </c>
      <c r="BR541" s="475" t="str">
        <f t="shared" si="416"/>
        <v/>
      </c>
      <c r="BS541" s="471" t="str">
        <f t="shared" si="404"/>
        <v/>
      </c>
      <c r="BT541" s="472" t="str">
        <f t="shared" si="419"/>
        <v/>
      </c>
      <c r="BU541" s="472">
        <f t="shared" ca="1" si="405"/>
        <v>0</v>
      </c>
      <c r="BV541" s="472">
        <f t="shared" ca="1" si="405"/>
        <v>0</v>
      </c>
      <c r="BW541" s="472"/>
      <c r="BX541" s="473">
        <f t="shared" ca="1" si="406"/>
        <v>668509.42656312999</v>
      </c>
      <c r="BY541" s="473">
        <f t="shared" si="407"/>
        <v>0</v>
      </c>
      <c r="BZ541" s="473">
        <f t="shared" ca="1" si="389"/>
        <v>1527.3150752179999</v>
      </c>
      <c r="CA541" s="476">
        <f t="shared" ca="1" si="408"/>
        <v>0</v>
      </c>
      <c r="CB541" s="494">
        <f ca="1">IF(OR($Q540&lt;&gt;1,OP!$D$5+$BN541-1&lt;16,$BN541-1&lt;1),0,ROUND(ROUND(ROUND(((VLOOKUP($BN541-1,MORE_PV,5,0)/10000)*VLOOKUP($BN541,MORE_PV,$CB$5,0)),3)*VLOOKUP($BN541,more1,5,0),0)/$R540,0))</f>
        <v>0</v>
      </c>
      <c r="CC541" s="473">
        <f t="shared" ca="1" si="409"/>
        <v>0</v>
      </c>
      <c r="CD541" s="477"/>
    </row>
    <row r="542" spans="2:82" ht="16.5" hidden="1">
      <c r="B542" s="80"/>
      <c r="C542" s="80"/>
      <c r="D542" s="80"/>
      <c r="E542" s="80"/>
      <c r="F542" s="80"/>
      <c r="G542" s="80"/>
      <c r="H542" s="80"/>
      <c r="I542" s="80"/>
      <c r="J542" s="192">
        <f t="shared" si="390"/>
        <v>45</v>
      </c>
      <c r="K542" s="192">
        <f t="shared" si="391"/>
        <v>6</v>
      </c>
      <c r="L542" s="192" t="str">
        <f t="shared" si="386"/>
        <v/>
      </c>
      <c r="M542" s="216">
        <f t="shared" ca="1" si="392"/>
        <v>0</v>
      </c>
      <c r="N542" s="216"/>
      <c r="O542" s="216"/>
      <c r="P542" s="216"/>
      <c r="Q542" s="456" t="str">
        <f t="shared" ca="1" si="393"/>
        <v/>
      </c>
      <c r="R542" s="450">
        <f t="shared" ca="1" si="394"/>
        <v>1</v>
      </c>
      <c r="S542" s="191">
        <f t="shared" si="395"/>
        <v>45</v>
      </c>
      <c r="T542" s="191">
        <f t="shared" si="396"/>
        <v>6</v>
      </c>
      <c r="U542" s="191">
        <f ca="1">OP!$D$5+$S542-1</f>
        <v>77</v>
      </c>
      <c r="V542" s="191" t="str">
        <f t="shared" si="397"/>
        <v/>
      </c>
      <c r="W542" s="350">
        <f ca="1">IF(Q542&lt;&gt;1,0,VLOOKUP(OP!$C$55,PVFB,$S542+2,0))</f>
        <v>0</v>
      </c>
      <c r="X542" s="473">
        <f t="shared" ca="1" si="410"/>
        <v>0</v>
      </c>
      <c r="Y542" s="348">
        <f t="shared" ca="1" si="411"/>
        <v>0</v>
      </c>
      <c r="Z542" s="348">
        <f t="shared" ca="1" si="412"/>
        <v>8012</v>
      </c>
      <c r="AA542" s="348">
        <f ca="1">IF(Q542&lt;&gt;1,0,VLOOKUP(OP!$C$55,PVFB,$S542+2,0))</f>
        <v>0</v>
      </c>
      <c r="AB542" s="488" t="str">
        <f ca="1">IF(AND(S542&lt;OP!$C$24,$U542&lt;15),0,IF(AND($U542&lt;15,$T542=12),ROUND(VLOOKUP($S542,DOWN16,5,0),3),IF($T542=12,ROUND(($Z542/10000)*$AA542,3)+IF(AND($P$7="購買增額繳清保險",T542=12,U542=110),VLOOKUP(S542,$B$10:$H$121,7,0),0),"")))</f>
        <v/>
      </c>
      <c r="AC542" s="350" t="str">
        <f ca="1">IF(AND(S542&lt;OP!$C$24,$U542&lt;15),0,IF(AND($U542&lt;16,$T542=12),VLOOKUP($S542,DOWN16,4,0),IF($T542=12,ROUND(VLOOKUP(OP!$C$55,_DIE2,$S542+1,0)*(Z542/10000),0)+IF(AND($P$7="購買增額繳清保險",T542=12,U542=110),VLOOKUP(S542,$B$10:$H$121,7,0),0),"")))</f>
        <v/>
      </c>
      <c r="AD542" s="347"/>
      <c r="AE542" s="350" t="str">
        <f t="shared" ca="1" si="387"/>
        <v/>
      </c>
      <c r="AF542" s="351" t="str">
        <f t="shared" ca="1" si="388"/>
        <v/>
      </c>
      <c r="AG542" s="340"/>
      <c r="AH542" s="340"/>
      <c r="AI542" s="340"/>
      <c r="AJ542" s="340"/>
      <c r="AK542" s="340"/>
      <c r="AL542" s="340"/>
      <c r="AM542" s="340"/>
      <c r="AN542" s="340"/>
      <c r="AO542" s="340"/>
      <c r="AP542" s="340"/>
      <c r="AQ542" s="340"/>
      <c r="AR542" s="340"/>
      <c r="AS542" s="340"/>
      <c r="AT542" s="340"/>
      <c r="AU542" s="340"/>
      <c r="AV542" s="340"/>
      <c r="AY542" s="340"/>
      <c r="AZ542" s="465">
        <f t="shared" ca="1" si="398"/>
        <v>7.3698599999999999E-5</v>
      </c>
      <c r="BA542" s="464">
        <f t="shared" ca="1" si="399"/>
        <v>2.1372602999999999E-3</v>
      </c>
      <c r="BB542" s="465">
        <f t="shared" ca="1" si="399"/>
        <v>2.2109589000000002E-3</v>
      </c>
      <c r="BC542" s="466">
        <f t="shared" ca="1" si="400"/>
        <v>59111</v>
      </c>
      <c r="BD542" s="467">
        <f t="shared" ca="1" si="413"/>
        <v>59112</v>
      </c>
      <c r="BE542" s="467">
        <f t="shared" ca="1" si="401"/>
        <v>59140</v>
      </c>
      <c r="BF542" s="468">
        <f ca="1">IF(計算!$BC542&lt;OP!$C$3,0,BD542-BC542)</f>
        <v>1</v>
      </c>
      <c r="BG542" s="468">
        <f ca="1">IF($BE542&gt;DATE(YEAR($BD$9)+OP!$C$57,MONTH($BD$9),DAY($BD$9)),0,$BE542-$BD542+1)</f>
        <v>29</v>
      </c>
      <c r="BH542" s="469">
        <f t="shared" ca="1" si="402"/>
        <v>30</v>
      </c>
      <c r="BI542" t="str">
        <f t="shared" si="418"/>
        <v/>
      </c>
      <c r="BJ542">
        <v>5</v>
      </c>
      <c r="BN542" s="468">
        <f t="shared" si="414"/>
        <v>45</v>
      </c>
      <c r="BO542" s="468">
        <f t="shared" si="415"/>
        <v>5</v>
      </c>
      <c r="BP542" s="467">
        <f t="shared" ca="1" si="403"/>
        <v>59112</v>
      </c>
      <c r="BQ542" s="475">
        <f t="shared" ca="1" si="417"/>
        <v>77</v>
      </c>
      <c r="BR542" s="475" t="str">
        <f t="shared" si="416"/>
        <v/>
      </c>
      <c r="BS542" s="471" t="str">
        <f t="shared" si="404"/>
        <v/>
      </c>
      <c r="BT542" s="472" t="str">
        <f t="shared" si="419"/>
        <v/>
      </c>
      <c r="BU542" s="472">
        <f t="shared" ca="1" si="405"/>
        <v>0</v>
      </c>
      <c r="BV542" s="472">
        <f t="shared" ca="1" si="405"/>
        <v>0</v>
      </c>
      <c r="BW542" s="472"/>
      <c r="BX542" s="473">
        <f t="shared" ca="1" si="406"/>
        <v>670036.74163834797</v>
      </c>
      <c r="BY542" s="473">
        <f t="shared" si="407"/>
        <v>0</v>
      </c>
      <c r="BZ542" s="473">
        <f t="shared" ca="1" si="389"/>
        <v>1481.423697252</v>
      </c>
      <c r="CA542" s="476">
        <f t="shared" ca="1" si="408"/>
        <v>0</v>
      </c>
      <c r="CB542" s="494">
        <f ca="1">IF(OR($Q541&lt;&gt;1,OP!$D$5+$BN542-1&lt;16,$BN542-1&lt;1),0,ROUND(ROUND(ROUND(((VLOOKUP($BN542-1,MORE_PV,5,0)/10000)*VLOOKUP($BN542,MORE_PV,$CB$5,0)),3)*VLOOKUP($BN542,more1,5,0),0)/$R541,0))</f>
        <v>0</v>
      </c>
      <c r="CC542" s="473">
        <f t="shared" ca="1" si="409"/>
        <v>0</v>
      </c>
      <c r="CD542" s="477"/>
    </row>
    <row r="543" spans="2:82" ht="16.5" hidden="1">
      <c r="B543" s="80"/>
      <c r="C543" s="80"/>
      <c r="D543" s="80"/>
      <c r="E543" s="80"/>
      <c r="F543" s="80"/>
      <c r="G543" s="80"/>
      <c r="H543" s="80"/>
      <c r="I543" s="80"/>
      <c r="J543" s="192">
        <f t="shared" si="390"/>
        <v>45</v>
      </c>
      <c r="K543" s="192">
        <f t="shared" si="391"/>
        <v>7</v>
      </c>
      <c r="L543" s="192" t="str">
        <f t="shared" si="386"/>
        <v/>
      </c>
      <c r="M543" s="216">
        <f t="shared" ca="1" si="392"/>
        <v>0</v>
      </c>
      <c r="N543" s="216"/>
      <c r="O543" s="216"/>
      <c r="P543" s="216"/>
      <c r="Q543" s="456" t="str">
        <f t="shared" ca="1" si="393"/>
        <v/>
      </c>
      <c r="R543" s="450">
        <f t="shared" ca="1" si="394"/>
        <v>1</v>
      </c>
      <c r="S543" s="191">
        <f t="shared" si="395"/>
        <v>45</v>
      </c>
      <c r="T543" s="191">
        <f t="shared" si="396"/>
        <v>7</v>
      </c>
      <c r="U543" s="191">
        <f ca="1">OP!$D$5+$S543-1</f>
        <v>77</v>
      </c>
      <c r="V543" s="191" t="str">
        <f t="shared" si="397"/>
        <v/>
      </c>
      <c r="W543" s="350">
        <f ca="1">IF(Q543&lt;&gt;1,0,VLOOKUP(OP!$C$55,PVFB,$S543+2,0))</f>
        <v>0</v>
      </c>
      <c r="X543" s="473">
        <f t="shared" ca="1" si="410"/>
        <v>0</v>
      </c>
      <c r="Y543" s="348">
        <f t="shared" ca="1" si="411"/>
        <v>0</v>
      </c>
      <c r="Z543" s="348">
        <f t="shared" ca="1" si="412"/>
        <v>8012</v>
      </c>
      <c r="AA543" s="348">
        <f ca="1">IF(Q543&lt;&gt;1,0,VLOOKUP(OP!$C$55,PVFB,$S543+2,0))</f>
        <v>0</v>
      </c>
      <c r="AB543" s="488" t="str">
        <f ca="1">IF(AND(S543&lt;OP!$C$24,$U543&lt;15),0,IF(AND($U543&lt;15,$T543=12),ROUND(VLOOKUP($S543,DOWN16,5,0),3),IF($T543=12,ROUND(($Z543/10000)*$AA543,3)+IF(AND($P$7="購買增額繳清保險",T543=12,U543=110),VLOOKUP(S543,$B$10:$H$121,7,0),0),"")))</f>
        <v/>
      </c>
      <c r="AC543" s="350" t="str">
        <f ca="1">IF(AND(S543&lt;OP!$C$24,$U543&lt;15),0,IF(AND($U543&lt;16,$T543=12),VLOOKUP($S543,DOWN16,4,0),IF($T543=12,ROUND(VLOOKUP(OP!$C$55,_DIE2,$S543+1,0)*(Z543/10000),0)+IF(AND($P$7="購買增額繳清保險",T543=12,U543=110),VLOOKUP(S543,$B$10:$H$121,7,0),0),"")))</f>
        <v/>
      </c>
      <c r="AD543" s="347"/>
      <c r="AE543" s="350" t="str">
        <f t="shared" ca="1" si="387"/>
        <v/>
      </c>
      <c r="AF543" s="351" t="str">
        <f t="shared" ca="1" si="388"/>
        <v/>
      </c>
      <c r="AG543" s="340"/>
      <c r="AH543" s="340"/>
      <c r="AI543" s="340"/>
      <c r="AJ543" s="340"/>
      <c r="AK543" s="340"/>
      <c r="AL543" s="340"/>
      <c r="AM543" s="340"/>
      <c r="AN543" s="340"/>
      <c r="AO543" s="340"/>
      <c r="AP543" s="340"/>
      <c r="AQ543" s="340"/>
      <c r="AR543" s="340"/>
      <c r="AS543" s="340"/>
      <c r="AT543" s="340"/>
      <c r="AU543" s="340"/>
      <c r="AV543" s="340"/>
      <c r="AY543" s="340"/>
      <c r="AZ543" s="465">
        <f t="shared" ca="1" si="398"/>
        <v>7.3698599999999999E-5</v>
      </c>
      <c r="BA543" s="464">
        <f t="shared" ca="1" si="399"/>
        <v>2.2109589000000002E-3</v>
      </c>
      <c r="BB543" s="465">
        <f t="shared" ca="1" si="399"/>
        <v>2.2846575E-3</v>
      </c>
      <c r="BC543" s="466">
        <f t="shared" ca="1" si="400"/>
        <v>59141</v>
      </c>
      <c r="BD543" s="467">
        <f t="shared" ca="1" si="413"/>
        <v>59142</v>
      </c>
      <c r="BE543" s="467">
        <f t="shared" ca="1" si="401"/>
        <v>59171</v>
      </c>
      <c r="BF543" s="468">
        <f ca="1">IF(計算!$BC543&lt;OP!$C$3,0,BD543-BC543)</f>
        <v>1</v>
      </c>
      <c r="BG543" s="468">
        <f ca="1">IF($BE543&gt;DATE(YEAR($BD$9)+OP!$C$57,MONTH($BD$9),DAY($BD$9)),0,$BE543-$BD543+1)</f>
        <v>30</v>
      </c>
      <c r="BH543" s="469">
        <f t="shared" ca="1" si="402"/>
        <v>31</v>
      </c>
      <c r="BI543" t="str">
        <f t="shared" si="418"/>
        <v/>
      </c>
      <c r="BJ543">
        <v>6</v>
      </c>
      <c r="BN543" s="468">
        <f t="shared" si="414"/>
        <v>45</v>
      </c>
      <c r="BO543" s="468">
        <f t="shared" si="415"/>
        <v>6</v>
      </c>
      <c r="BP543" s="467">
        <f t="shared" ca="1" si="403"/>
        <v>59142</v>
      </c>
      <c r="BQ543" s="475">
        <f t="shared" ca="1" si="417"/>
        <v>77</v>
      </c>
      <c r="BR543" s="475" t="str">
        <f t="shared" si="416"/>
        <v/>
      </c>
      <c r="BS543" s="471" t="str">
        <f t="shared" si="404"/>
        <v/>
      </c>
      <c r="BT543" s="472" t="str">
        <f t="shared" si="419"/>
        <v/>
      </c>
      <c r="BU543" s="472">
        <f t="shared" ca="1" si="405"/>
        <v>0</v>
      </c>
      <c r="BV543" s="472">
        <f t="shared" ca="1" si="405"/>
        <v>0</v>
      </c>
      <c r="BW543" s="472"/>
      <c r="BX543" s="473">
        <f t="shared" ca="1" si="406"/>
        <v>671518.16533560003</v>
      </c>
      <c r="BY543" s="473">
        <f t="shared" si="407"/>
        <v>0</v>
      </c>
      <c r="BZ543" s="473">
        <f t="shared" ca="1" si="389"/>
        <v>1534.18901282</v>
      </c>
      <c r="CA543" s="476">
        <f t="shared" ca="1" si="408"/>
        <v>0</v>
      </c>
      <c r="CB543" s="494">
        <f ca="1">IF(OR($Q542&lt;&gt;1,OP!$D$5+$BN543-1&lt;16,$BN543-1&lt;1),0,ROUND(ROUND(ROUND(((VLOOKUP($BN543-1,MORE_PV,5,0)/10000)*VLOOKUP($BN543,MORE_PV,$CB$5,0)),3)*VLOOKUP($BN543,more1,5,0),0)/$R542,0))</f>
        <v>0</v>
      </c>
      <c r="CC543" s="473">
        <f t="shared" ca="1" si="409"/>
        <v>0</v>
      </c>
      <c r="CD543" s="477"/>
    </row>
    <row r="544" spans="2:82" ht="16.5" hidden="1">
      <c r="B544" s="80"/>
      <c r="C544" s="80"/>
      <c r="D544" s="80"/>
      <c r="E544" s="80"/>
      <c r="F544" s="80"/>
      <c r="G544" s="80"/>
      <c r="H544" s="80"/>
      <c r="I544" s="80"/>
      <c r="J544" s="192">
        <f t="shared" si="390"/>
        <v>45</v>
      </c>
      <c r="K544" s="192">
        <f t="shared" si="391"/>
        <v>8</v>
      </c>
      <c r="L544" s="192" t="str">
        <f t="shared" si="386"/>
        <v/>
      </c>
      <c r="M544" s="216">
        <f t="shared" ca="1" si="392"/>
        <v>0</v>
      </c>
      <c r="N544" s="216"/>
      <c r="O544" s="216"/>
      <c r="P544" s="216"/>
      <c r="Q544" s="456" t="str">
        <f t="shared" ca="1" si="393"/>
        <v/>
      </c>
      <c r="R544" s="450">
        <f t="shared" ca="1" si="394"/>
        <v>1</v>
      </c>
      <c r="S544" s="191">
        <f t="shared" si="395"/>
        <v>45</v>
      </c>
      <c r="T544" s="191">
        <f t="shared" si="396"/>
        <v>8</v>
      </c>
      <c r="U544" s="191">
        <f ca="1">OP!$D$5+$S544-1</f>
        <v>77</v>
      </c>
      <c r="V544" s="191" t="str">
        <f t="shared" si="397"/>
        <v/>
      </c>
      <c r="W544" s="350">
        <f ca="1">IF(Q544&lt;&gt;1,0,VLOOKUP(OP!$C$55,PVFB,$S544+2,0))</f>
        <v>0</v>
      </c>
      <c r="X544" s="473">
        <f t="shared" ca="1" si="410"/>
        <v>0</v>
      </c>
      <c r="Y544" s="348">
        <f t="shared" ca="1" si="411"/>
        <v>0</v>
      </c>
      <c r="Z544" s="348">
        <f t="shared" ca="1" si="412"/>
        <v>8012</v>
      </c>
      <c r="AA544" s="348">
        <f ca="1">IF(Q544&lt;&gt;1,0,VLOOKUP(OP!$C$55,PVFB,$S544+2,0))</f>
        <v>0</v>
      </c>
      <c r="AB544" s="488" t="str">
        <f ca="1">IF(AND(S544&lt;OP!$C$24,$U544&lt;15),0,IF(AND($U544&lt;15,$T544=12),ROUND(VLOOKUP($S544,DOWN16,5,0),3),IF($T544=12,ROUND(($Z544/10000)*$AA544,3)+IF(AND($P$7="購買增額繳清保險",T544=12,U544=110),VLOOKUP(S544,$B$10:$H$121,7,0),0),"")))</f>
        <v/>
      </c>
      <c r="AC544" s="350" t="str">
        <f ca="1">IF(AND(S544&lt;OP!$C$24,$U544&lt;15),0,IF(AND($U544&lt;16,$T544=12),VLOOKUP($S544,DOWN16,4,0),IF($T544=12,ROUND(VLOOKUP(OP!$C$55,_DIE2,$S544+1,0)*(Z544/10000),0)+IF(AND($P$7="購買增額繳清保險",T544=12,U544=110),VLOOKUP(S544,$B$10:$H$121,7,0),0),"")))</f>
        <v/>
      </c>
      <c r="AD544" s="347"/>
      <c r="AE544" s="350" t="str">
        <f t="shared" ca="1" si="387"/>
        <v/>
      </c>
      <c r="AF544" s="351" t="str">
        <f t="shared" ca="1" si="388"/>
        <v/>
      </c>
      <c r="AG544" s="340"/>
      <c r="AH544" s="340"/>
      <c r="AI544" s="340"/>
      <c r="AJ544" s="340"/>
      <c r="AK544" s="340"/>
      <c r="AL544" s="340"/>
      <c r="AM544" s="340"/>
      <c r="AN544" s="340"/>
      <c r="AO544" s="340"/>
      <c r="AP544" s="340"/>
      <c r="AQ544" s="340"/>
      <c r="AR544" s="340"/>
      <c r="AS544" s="340"/>
      <c r="AT544" s="340"/>
      <c r="AU544" s="340"/>
      <c r="AV544" s="340"/>
      <c r="AY544" s="340"/>
      <c r="AZ544" s="465">
        <f t="shared" ca="1" si="398"/>
        <v>7.3698599999999999E-5</v>
      </c>
      <c r="BA544" s="464">
        <f t="shared" ca="1" si="399"/>
        <v>2.2109589000000002E-3</v>
      </c>
      <c r="BB544" s="465">
        <f t="shared" ca="1" si="399"/>
        <v>2.2846575E-3</v>
      </c>
      <c r="BC544" s="466">
        <f t="shared" ca="1" si="400"/>
        <v>59172</v>
      </c>
      <c r="BD544" s="467">
        <f t="shared" ca="1" si="413"/>
        <v>59173</v>
      </c>
      <c r="BE544" s="467">
        <f t="shared" ca="1" si="401"/>
        <v>59202</v>
      </c>
      <c r="BF544" s="468">
        <f ca="1">IF(計算!$BC544&lt;OP!$C$3,0,BD544-BC544)</f>
        <v>1</v>
      </c>
      <c r="BG544" s="468">
        <f ca="1">IF($BE544&gt;DATE(YEAR($BD$9)+OP!$C$57,MONTH($BD$9),DAY($BD$9)),0,$BE544-$BD544+1)</f>
        <v>30</v>
      </c>
      <c r="BH544" s="469">
        <f t="shared" ca="1" si="402"/>
        <v>31</v>
      </c>
      <c r="BI544" t="str">
        <f t="shared" si="418"/>
        <v/>
      </c>
      <c r="BJ544">
        <v>7</v>
      </c>
      <c r="BN544" s="468">
        <f t="shared" si="414"/>
        <v>45</v>
      </c>
      <c r="BO544" s="468">
        <f t="shared" si="415"/>
        <v>7</v>
      </c>
      <c r="BP544" s="467">
        <f t="shared" ca="1" si="403"/>
        <v>59173</v>
      </c>
      <c r="BQ544" s="475">
        <f t="shared" ca="1" si="417"/>
        <v>77</v>
      </c>
      <c r="BR544" s="475" t="str">
        <f t="shared" si="416"/>
        <v/>
      </c>
      <c r="BS544" s="471" t="str">
        <f t="shared" si="404"/>
        <v/>
      </c>
      <c r="BT544" s="472" t="str">
        <f t="shared" si="419"/>
        <v/>
      </c>
      <c r="BU544" s="472">
        <f t="shared" ca="1" si="405"/>
        <v>0</v>
      </c>
      <c r="BV544" s="472">
        <f t="shared" ca="1" si="405"/>
        <v>0</v>
      </c>
      <c r="BW544" s="472"/>
      <c r="BX544" s="473">
        <f t="shared" ca="1" si="406"/>
        <v>673052.35434842005</v>
      </c>
      <c r="BY544" s="473">
        <f t="shared" si="407"/>
        <v>0</v>
      </c>
      <c r="BZ544" s="473">
        <f t="shared" ca="1" si="389"/>
        <v>1537.6941092550001</v>
      </c>
      <c r="CA544" s="476">
        <f t="shared" ca="1" si="408"/>
        <v>0</v>
      </c>
      <c r="CB544" s="494">
        <f ca="1">IF(OR($Q543&lt;&gt;1,OP!$D$5+$BN544-1&lt;16,$BN544-1&lt;1),0,ROUND(ROUND(ROUND(((VLOOKUP($BN544-1,MORE_PV,5,0)/10000)*VLOOKUP($BN544,MORE_PV,$CB$5,0)),3)*VLOOKUP($BN544,more1,5,0),0)/$R543,0))</f>
        <v>0</v>
      </c>
      <c r="CC544" s="473">
        <f t="shared" ca="1" si="409"/>
        <v>0</v>
      </c>
      <c r="CD544" s="477"/>
    </row>
    <row r="545" spans="2:82" ht="16.5" hidden="1">
      <c r="B545" s="80"/>
      <c r="C545" s="80"/>
      <c r="D545" s="80"/>
      <c r="E545" s="80"/>
      <c r="F545" s="80"/>
      <c r="G545" s="80"/>
      <c r="H545" s="80"/>
      <c r="I545" s="80"/>
      <c r="J545" s="192">
        <f t="shared" si="390"/>
        <v>45</v>
      </c>
      <c r="K545" s="192">
        <f t="shared" si="391"/>
        <v>9</v>
      </c>
      <c r="L545" s="192" t="str">
        <f t="shared" si="386"/>
        <v/>
      </c>
      <c r="M545" s="216">
        <f t="shared" ca="1" si="392"/>
        <v>0</v>
      </c>
      <c r="N545" s="216"/>
      <c r="O545" s="216"/>
      <c r="P545" s="216"/>
      <c r="Q545" s="456" t="str">
        <f t="shared" ca="1" si="393"/>
        <v/>
      </c>
      <c r="R545" s="450">
        <f t="shared" ca="1" si="394"/>
        <v>1</v>
      </c>
      <c r="S545" s="191">
        <f t="shared" si="395"/>
        <v>45</v>
      </c>
      <c r="T545" s="191">
        <f t="shared" si="396"/>
        <v>9</v>
      </c>
      <c r="U545" s="191">
        <f ca="1">OP!$D$5+$S545-1</f>
        <v>77</v>
      </c>
      <c r="V545" s="191" t="str">
        <f t="shared" si="397"/>
        <v/>
      </c>
      <c r="W545" s="350">
        <f ca="1">IF(Q545&lt;&gt;1,0,VLOOKUP(OP!$C$55,PVFB,$S545+2,0))</f>
        <v>0</v>
      </c>
      <c r="X545" s="473">
        <f t="shared" ca="1" si="410"/>
        <v>0</v>
      </c>
      <c r="Y545" s="348">
        <f t="shared" ca="1" si="411"/>
        <v>0</v>
      </c>
      <c r="Z545" s="348">
        <f t="shared" ca="1" si="412"/>
        <v>8012</v>
      </c>
      <c r="AA545" s="348">
        <f ca="1">IF(Q545&lt;&gt;1,0,VLOOKUP(OP!$C$55,PVFB,$S545+2,0))</f>
        <v>0</v>
      </c>
      <c r="AB545" s="488" t="str">
        <f ca="1">IF(AND(S545&lt;OP!$C$24,$U545&lt;15),0,IF(AND($U545&lt;15,$T545=12),ROUND(VLOOKUP($S545,DOWN16,5,0),3),IF($T545=12,ROUND(($Z545/10000)*$AA545,3)+IF(AND($P$7="購買增額繳清保險",T545=12,U545=110),VLOOKUP(S545,$B$10:$H$121,7,0),0),"")))</f>
        <v/>
      </c>
      <c r="AC545" s="350" t="str">
        <f ca="1">IF(AND(S545&lt;OP!$C$24,$U545&lt;15),0,IF(AND($U545&lt;16,$T545=12),VLOOKUP($S545,DOWN16,4,0),IF($T545=12,ROUND(VLOOKUP(OP!$C$55,_DIE2,$S545+1,0)*(Z545/10000),0)+IF(AND($P$7="購買增額繳清保險",T545=12,U545=110),VLOOKUP(S545,$B$10:$H$121,7,0),0),"")))</f>
        <v/>
      </c>
      <c r="AD545" s="347"/>
      <c r="AE545" s="350" t="str">
        <f t="shared" ca="1" si="387"/>
        <v/>
      </c>
      <c r="AF545" s="351" t="str">
        <f t="shared" ca="1" si="388"/>
        <v/>
      </c>
      <c r="AG545" s="340"/>
      <c r="AH545" s="340"/>
      <c r="AI545" s="340"/>
      <c r="AJ545" s="340"/>
      <c r="AK545" s="340"/>
      <c r="AL545" s="340"/>
      <c r="AM545" s="340"/>
      <c r="AN545" s="340"/>
      <c r="AO545" s="340"/>
      <c r="AP545" s="340"/>
      <c r="AQ545" s="340"/>
      <c r="AR545" s="340"/>
      <c r="AS545" s="340"/>
      <c r="AT545" s="340"/>
      <c r="AU545" s="340"/>
      <c r="AV545" s="340"/>
      <c r="AY545" s="340"/>
      <c r="AZ545" s="465">
        <f t="shared" ca="1" si="398"/>
        <v>7.3698599999999999E-5</v>
      </c>
      <c r="BA545" s="464">
        <f t="shared" ca="1" si="399"/>
        <v>1.9898630000000001E-3</v>
      </c>
      <c r="BB545" s="465">
        <f t="shared" ca="1" si="399"/>
        <v>2.0635616E-3</v>
      </c>
      <c r="BC545" s="466">
        <f t="shared" ca="1" si="400"/>
        <v>59203</v>
      </c>
      <c r="BD545" s="467">
        <f t="shared" ca="1" si="413"/>
        <v>59204</v>
      </c>
      <c r="BE545" s="467">
        <f t="shared" ca="1" si="401"/>
        <v>59230</v>
      </c>
      <c r="BF545" s="468">
        <f ca="1">IF(計算!$BC545&lt;OP!$C$3,0,BD545-BC545)</f>
        <v>1</v>
      </c>
      <c r="BG545" s="468">
        <f ca="1">IF($BE545&gt;DATE(YEAR($BD$9)+OP!$C$57,MONTH($BD$9),DAY($BD$9)),0,$BE545-$BD545+1)</f>
        <v>27</v>
      </c>
      <c r="BH545" s="469">
        <f t="shared" ca="1" si="402"/>
        <v>28</v>
      </c>
      <c r="BI545" t="str">
        <f t="shared" si="418"/>
        <v/>
      </c>
      <c r="BJ545">
        <v>8</v>
      </c>
      <c r="BN545" s="468">
        <f t="shared" si="414"/>
        <v>45</v>
      </c>
      <c r="BO545" s="468">
        <f t="shared" si="415"/>
        <v>8</v>
      </c>
      <c r="BP545" s="467">
        <f t="shared" ca="1" si="403"/>
        <v>59204</v>
      </c>
      <c r="BQ545" s="475">
        <f t="shared" ca="1" si="417"/>
        <v>77</v>
      </c>
      <c r="BR545" s="475" t="str">
        <f t="shared" si="416"/>
        <v/>
      </c>
      <c r="BS545" s="471" t="str">
        <f t="shared" si="404"/>
        <v/>
      </c>
      <c r="BT545" s="472" t="str">
        <f t="shared" si="419"/>
        <v/>
      </c>
      <c r="BU545" s="472">
        <f t="shared" ca="1" si="405"/>
        <v>0</v>
      </c>
      <c r="BV545" s="472">
        <f t="shared" ca="1" si="405"/>
        <v>0</v>
      </c>
      <c r="BW545" s="472"/>
      <c r="BX545" s="473">
        <f t="shared" ca="1" si="406"/>
        <v>674590.04845767503</v>
      </c>
      <c r="BY545" s="473">
        <f t="shared" si="407"/>
        <v>0</v>
      </c>
      <c r="BZ545" s="473">
        <f t="shared" ca="1" si="389"/>
        <v>1392.0581197389999</v>
      </c>
      <c r="CA545" s="476">
        <f t="shared" ca="1" si="408"/>
        <v>0</v>
      </c>
      <c r="CB545" s="494">
        <f ca="1">IF(OR($Q544&lt;&gt;1,OP!$D$5+$BN545-1&lt;16,$BN545-1&lt;1),0,ROUND(ROUND(ROUND(((VLOOKUP($BN545-1,MORE_PV,5,0)/10000)*VLOOKUP($BN545,MORE_PV,$CB$5,0)),3)*VLOOKUP($BN545,more1,5,0),0)/$R544,0))</f>
        <v>0</v>
      </c>
      <c r="CC545" s="473">
        <f t="shared" ca="1" si="409"/>
        <v>0</v>
      </c>
      <c r="CD545" s="477"/>
    </row>
    <row r="546" spans="2:82" ht="16.5" hidden="1">
      <c r="B546" s="80"/>
      <c r="C546" s="80"/>
      <c r="D546" s="80"/>
      <c r="E546" s="80"/>
      <c r="F546" s="80"/>
      <c r="G546" s="80"/>
      <c r="H546" s="80"/>
      <c r="I546" s="80"/>
      <c r="J546" s="192">
        <f t="shared" si="390"/>
        <v>45</v>
      </c>
      <c r="K546" s="192">
        <f t="shared" si="391"/>
        <v>10</v>
      </c>
      <c r="L546" s="192" t="str">
        <f t="shared" si="386"/>
        <v/>
      </c>
      <c r="M546" s="216">
        <f t="shared" ca="1" si="392"/>
        <v>0</v>
      </c>
      <c r="N546" s="216"/>
      <c r="O546" s="216"/>
      <c r="P546" s="216"/>
      <c r="Q546" s="456" t="str">
        <f t="shared" ca="1" si="393"/>
        <v/>
      </c>
      <c r="R546" s="450">
        <f t="shared" ca="1" si="394"/>
        <v>1</v>
      </c>
      <c r="S546" s="191">
        <f t="shared" si="395"/>
        <v>45</v>
      </c>
      <c r="T546" s="191">
        <f t="shared" si="396"/>
        <v>10</v>
      </c>
      <c r="U546" s="191">
        <f ca="1">OP!$D$5+$S546-1</f>
        <v>77</v>
      </c>
      <c r="V546" s="191" t="str">
        <f t="shared" si="397"/>
        <v/>
      </c>
      <c r="W546" s="350">
        <f ca="1">IF(Q546&lt;&gt;1,0,VLOOKUP(OP!$C$55,PVFB,$S546+2,0))</f>
        <v>0</v>
      </c>
      <c r="X546" s="473">
        <f t="shared" ca="1" si="410"/>
        <v>0</v>
      </c>
      <c r="Y546" s="348">
        <f t="shared" ca="1" si="411"/>
        <v>0</v>
      </c>
      <c r="Z546" s="348">
        <f t="shared" ca="1" si="412"/>
        <v>8012</v>
      </c>
      <c r="AA546" s="348">
        <f ca="1">IF(Q546&lt;&gt;1,0,VLOOKUP(OP!$C$55,PVFB,$S546+2,0))</f>
        <v>0</v>
      </c>
      <c r="AB546" s="488" t="str">
        <f ca="1">IF(AND(S546&lt;OP!$C$24,$U546&lt;15),0,IF(AND($U546&lt;15,$T546=12),ROUND(VLOOKUP($S546,DOWN16,5,0),3),IF($T546=12,ROUND(($Z546/10000)*$AA546,3)+IF(AND($P$7="購買增額繳清保險",T546=12,U546=110),VLOOKUP(S546,$B$10:$H$121,7,0),0),"")))</f>
        <v/>
      </c>
      <c r="AC546" s="350" t="str">
        <f ca="1">IF(AND(S546&lt;OP!$C$24,$U546&lt;15),0,IF(AND($U546&lt;16,$T546=12),VLOOKUP($S546,DOWN16,4,0),IF($T546=12,ROUND(VLOOKUP(OP!$C$55,_DIE2,$S546+1,0)*(Z546/10000),0)+IF(AND($P$7="購買增額繳清保險",T546=12,U546=110),VLOOKUP(S546,$B$10:$H$121,7,0),0),"")))</f>
        <v/>
      </c>
      <c r="AD546" s="347"/>
      <c r="AE546" s="350" t="str">
        <f t="shared" ca="1" si="387"/>
        <v/>
      </c>
      <c r="AF546" s="351" t="str">
        <f t="shared" ca="1" si="388"/>
        <v/>
      </c>
      <c r="AG546" s="340"/>
      <c r="AH546" s="340"/>
      <c r="AI546" s="340"/>
      <c r="AJ546" s="340"/>
      <c r="AK546" s="340"/>
      <c r="AL546" s="340"/>
      <c r="AM546" s="340"/>
      <c r="AN546" s="340"/>
      <c r="AO546" s="340"/>
      <c r="AP546" s="340"/>
      <c r="AQ546" s="340"/>
      <c r="AR546" s="340"/>
      <c r="AS546" s="340"/>
      <c r="AT546" s="340"/>
      <c r="AU546" s="340"/>
      <c r="AV546" s="340"/>
      <c r="AY546" s="340"/>
      <c r="AZ546" s="465">
        <f t="shared" ca="1" si="398"/>
        <v>7.3698599999999999E-5</v>
      </c>
      <c r="BA546" s="464">
        <f t="shared" ca="1" si="399"/>
        <v>2.2109589000000002E-3</v>
      </c>
      <c r="BB546" s="465">
        <f t="shared" ca="1" si="399"/>
        <v>2.2846575E-3</v>
      </c>
      <c r="BC546" s="466">
        <f t="shared" ca="1" si="400"/>
        <v>59231</v>
      </c>
      <c r="BD546" s="467">
        <f t="shared" ca="1" si="413"/>
        <v>59232</v>
      </c>
      <c r="BE546" s="467">
        <f t="shared" ca="1" si="401"/>
        <v>59261</v>
      </c>
      <c r="BF546" s="468">
        <f ca="1">IF(計算!$BC546&lt;OP!$C$3,0,BD546-BC546)</f>
        <v>1</v>
      </c>
      <c r="BG546" s="468">
        <f ca="1">IF($BE546&gt;DATE(YEAR($BD$9)+OP!$C$57,MONTH($BD$9),DAY($BD$9)),0,$BE546-$BD546+1)</f>
        <v>30</v>
      </c>
      <c r="BH546" s="469">
        <f t="shared" ca="1" si="402"/>
        <v>31</v>
      </c>
      <c r="BI546" t="str">
        <f t="shared" si="418"/>
        <v/>
      </c>
      <c r="BJ546">
        <v>9</v>
      </c>
      <c r="BN546" s="468">
        <f t="shared" si="414"/>
        <v>45</v>
      </c>
      <c r="BO546" s="468">
        <f t="shared" si="415"/>
        <v>9</v>
      </c>
      <c r="BP546" s="467">
        <f t="shared" ca="1" si="403"/>
        <v>59232</v>
      </c>
      <c r="BQ546" s="475">
        <f t="shared" ca="1" si="417"/>
        <v>77</v>
      </c>
      <c r="BR546" s="475" t="str">
        <f t="shared" si="416"/>
        <v/>
      </c>
      <c r="BS546" s="471" t="str">
        <f t="shared" si="404"/>
        <v/>
      </c>
      <c r="BT546" s="472" t="str">
        <f t="shared" si="419"/>
        <v/>
      </c>
      <c r="BU546" s="472">
        <f t="shared" ca="1" si="405"/>
        <v>0</v>
      </c>
      <c r="BV546" s="472">
        <f t="shared" ca="1" si="405"/>
        <v>0</v>
      </c>
      <c r="BW546" s="472"/>
      <c r="BX546" s="473">
        <f t="shared" ca="1" si="406"/>
        <v>675982.10657741397</v>
      </c>
      <c r="BY546" s="473">
        <f t="shared" si="407"/>
        <v>0</v>
      </c>
      <c r="BZ546" s="473">
        <f t="shared" ca="1" si="389"/>
        <v>1544.387589658</v>
      </c>
      <c r="CA546" s="476">
        <f t="shared" ca="1" si="408"/>
        <v>0</v>
      </c>
      <c r="CB546" s="494">
        <f ca="1">IF(OR($Q545&lt;&gt;1,OP!$D$5+$BN546-1&lt;16,$BN546-1&lt;1),0,ROUND(ROUND(ROUND(((VLOOKUP($BN546-1,MORE_PV,5,0)/10000)*VLOOKUP($BN546,MORE_PV,$CB$5,0)),3)*VLOOKUP($BN546,more1,5,0),0)/$R545,0))</f>
        <v>0</v>
      </c>
      <c r="CC546" s="473">
        <f t="shared" ca="1" si="409"/>
        <v>0</v>
      </c>
      <c r="CD546" s="477"/>
    </row>
    <row r="547" spans="2:82" ht="16.5" hidden="1">
      <c r="B547" s="80"/>
      <c r="C547" s="80"/>
      <c r="D547" s="80"/>
      <c r="E547" s="80"/>
      <c r="F547" s="80"/>
      <c r="G547" s="80"/>
      <c r="H547" s="80"/>
      <c r="I547" s="80"/>
      <c r="J547" s="192">
        <f t="shared" si="390"/>
        <v>45</v>
      </c>
      <c r="K547" s="192">
        <f t="shared" si="391"/>
        <v>11</v>
      </c>
      <c r="L547" s="192" t="str">
        <f t="shared" si="386"/>
        <v/>
      </c>
      <c r="M547" s="216">
        <f t="shared" ca="1" si="392"/>
        <v>0</v>
      </c>
      <c r="N547" s="216"/>
      <c r="O547" s="216"/>
      <c r="P547" s="216"/>
      <c r="Q547" s="456" t="str">
        <f t="shared" ca="1" si="393"/>
        <v/>
      </c>
      <c r="R547" s="450">
        <f t="shared" ca="1" si="394"/>
        <v>1</v>
      </c>
      <c r="S547" s="191">
        <f t="shared" si="395"/>
        <v>45</v>
      </c>
      <c r="T547" s="191">
        <f t="shared" si="396"/>
        <v>11</v>
      </c>
      <c r="U547" s="191">
        <f ca="1">OP!$D$5+$S547-1</f>
        <v>77</v>
      </c>
      <c r="V547" s="191" t="str">
        <f t="shared" si="397"/>
        <v/>
      </c>
      <c r="W547" s="350">
        <f ca="1">IF(Q547&lt;&gt;1,0,VLOOKUP(OP!$C$55,PVFB,$S547+2,0))</f>
        <v>0</v>
      </c>
      <c r="X547" s="473">
        <f t="shared" ca="1" si="410"/>
        <v>0</v>
      </c>
      <c r="Y547" s="348">
        <f t="shared" ca="1" si="411"/>
        <v>0</v>
      </c>
      <c r="Z547" s="348">
        <f t="shared" ca="1" si="412"/>
        <v>8012</v>
      </c>
      <c r="AA547" s="348">
        <f ca="1">IF(Q547&lt;&gt;1,0,VLOOKUP(OP!$C$55,PVFB,$S547+2,0))</f>
        <v>0</v>
      </c>
      <c r="AB547" s="488" t="str">
        <f ca="1">IF(AND(S547&lt;OP!$C$24,$U547&lt;15),0,IF(AND($U547&lt;15,$T547=12),ROUND(VLOOKUP($S547,DOWN16,5,0),3),IF($T547=12,ROUND(($Z547/10000)*$AA547,3)+IF(AND($P$7="購買增額繳清保險",T547=12,U547=110),VLOOKUP(S547,$B$10:$H$121,7,0),0),"")))</f>
        <v/>
      </c>
      <c r="AC547" s="350" t="str">
        <f ca="1">IF(AND(S547&lt;OP!$C$24,$U547&lt;15),0,IF(AND($U547&lt;16,$T547=12),VLOOKUP($S547,DOWN16,4,0),IF($T547=12,ROUND(VLOOKUP(OP!$C$55,_DIE2,$S547+1,0)*(Z547/10000),0)+IF(AND($P$7="購買增額繳清保險",T547=12,U547=110),VLOOKUP(S547,$B$10:$H$121,7,0),0),"")))</f>
        <v/>
      </c>
      <c r="AD547" s="347"/>
      <c r="AE547" s="350" t="str">
        <f t="shared" ca="1" si="387"/>
        <v/>
      </c>
      <c r="AF547" s="351" t="str">
        <f t="shared" ca="1" si="388"/>
        <v/>
      </c>
      <c r="AG547" s="340"/>
      <c r="AH547" s="340"/>
      <c r="AI547" s="340"/>
      <c r="AJ547" s="340"/>
      <c r="AK547" s="340"/>
      <c r="AL547" s="340"/>
      <c r="AM547" s="340"/>
      <c r="AN547" s="340"/>
      <c r="AO547" s="340"/>
      <c r="AP547" s="340"/>
      <c r="AQ547" s="340"/>
      <c r="AR547" s="340"/>
      <c r="AS547" s="340"/>
      <c r="AT547" s="340"/>
      <c r="AU547" s="340"/>
      <c r="AV547" s="340"/>
      <c r="AY547" s="340"/>
      <c r="AZ547" s="465">
        <f t="shared" ca="1" si="398"/>
        <v>7.3698599999999999E-5</v>
      </c>
      <c r="BA547" s="464">
        <f t="shared" ca="1" si="399"/>
        <v>2.1372602999999999E-3</v>
      </c>
      <c r="BB547" s="465">
        <f t="shared" ca="1" si="399"/>
        <v>2.2109589000000002E-3</v>
      </c>
      <c r="BC547" s="466">
        <f t="shared" ca="1" si="400"/>
        <v>59262</v>
      </c>
      <c r="BD547" s="467">
        <f t="shared" ca="1" si="413"/>
        <v>59263</v>
      </c>
      <c r="BE547" s="467">
        <f t="shared" ca="1" si="401"/>
        <v>59291</v>
      </c>
      <c r="BF547" s="468">
        <f ca="1">IF(計算!$BC547&lt;OP!$C$3,0,BD547-BC547)</f>
        <v>1</v>
      </c>
      <c r="BG547" s="468">
        <f ca="1">IF($BE547&gt;DATE(YEAR($BD$9)+OP!$C$57,MONTH($BD$9),DAY($BD$9)),0,$BE547-$BD547+1)</f>
        <v>29</v>
      </c>
      <c r="BH547" s="469">
        <f t="shared" ca="1" si="402"/>
        <v>30</v>
      </c>
      <c r="BI547" t="str">
        <f t="shared" si="418"/>
        <v/>
      </c>
      <c r="BJ547">
        <v>10</v>
      </c>
      <c r="BN547" s="468">
        <f t="shared" si="414"/>
        <v>45</v>
      </c>
      <c r="BO547" s="468">
        <f t="shared" si="415"/>
        <v>10</v>
      </c>
      <c r="BP547" s="467">
        <f t="shared" ca="1" si="403"/>
        <v>59263</v>
      </c>
      <c r="BQ547" s="475">
        <f t="shared" ca="1" si="417"/>
        <v>77</v>
      </c>
      <c r="BR547" s="475" t="str">
        <f t="shared" si="416"/>
        <v/>
      </c>
      <c r="BS547" s="471" t="str">
        <f t="shared" si="404"/>
        <v/>
      </c>
      <c r="BT547" s="472" t="str">
        <f t="shared" si="419"/>
        <v/>
      </c>
      <c r="BU547" s="472">
        <f t="shared" ca="1" si="405"/>
        <v>0</v>
      </c>
      <c r="BV547" s="472">
        <f t="shared" ca="1" si="405"/>
        <v>0</v>
      </c>
      <c r="BW547" s="472"/>
      <c r="BX547" s="473">
        <f t="shared" ca="1" si="406"/>
        <v>677526.494167072</v>
      </c>
      <c r="BY547" s="473">
        <f t="shared" si="407"/>
        <v>0</v>
      </c>
      <c r="BZ547" s="473">
        <f t="shared" ca="1" si="389"/>
        <v>1497.983232264</v>
      </c>
      <c r="CA547" s="476">
        <f t="shared" ca="1" si="408"/>
        <v>0</v>
      </c>
      <c r="CB547" s="494">
        <f ca="1">IF(OR($Q546&lt;&gt;1,OP!$D$5+$BN547-1&lt;16,$BN547-1&lt;1),0,ROUND(ROUND(ROUND(((VLOOKUP($BN547-1,MORE_PV,5,0)/10000)*VLOOKUP($BN547,MORE_PV,$CB$5,0)),3)*VLOOKUP($BN547,more1,5,0),0)/$R546,0))</f>
        <v>0</v>
      </c>
      <c r="CC547" s="473">
        <f t="shared" ca="1" si="409"/>
        <v>0</v>
      </c>
      <c r="CD547" s="477"/>
    </row>
    <row r="548" spans="2:82" ht="16.5" hidden="1">
      <c r="B548" s="80"/>
      <c r="C548" s="80"/>
      <c r="D548" s="80"/>
      <c r="E548" s="80"/>
      <c r="F548" s="80"/>
      <c r="G548" s="80"/>
      <c r="H548" s="80"/>
      <c r="I548" s="80"/>
      <c r="J548" s="192">
        <f t="shared" si="390"/>
        <v>45</v>
      </c>
      <c r="K548" s="192">
        <f t="shared" si="391"/>
        <v>12</v>
      </c>
      <c r="L548" s="192">
        <f t="shared" si="386"/>
        <v>45</v>
      </c>
      <c r="M548" s="216">
        <f t="shared" ca="1" si="392"/>
        <v>696167</v>
      </c>
      <c r="N548" s="216"/>
      <c r="O548" s="216"/>
      <c r="P548" s="216"/>
      <c r="Q548" s="456">
        <f t="shared" ca="1" si="393"/>
        <v>1</v>
      </c>
      <c r="R548" s="450">
        <f t="shared" ca="1" si="394"/>
        <v>1</v>
      </c>
      <c r="S548" s="191">
        <f t="shared" si="395"/>
        <v>45</v>
      </c>
      <c r="T548" s="191">
        <f t="shared" si="396"/>
        <v>12</v>
      </c>
      <c r="U548" s="191">
        <f ca="1">OP!$D$5+$S548-1</f>
        <v>77</v>
      </c>
      <c r="V548" s="191">
        <f t="shared" si="397"/>
        <v>45</v>
      </c>
      <c r="W548" s="350">
        <f ca="1">IF(Q548&lt;&gt;1,0,VLOOKUP(OP!$C$55,PVFB,$S548+2,0))</f>
        <v>64721</v>
      </c>
      <c r="X548" s="473">
        <f t="shared" ca="1" si="410"/>
        <v>15542</v>
      </c>
      <c r="Y548" s="348">
        <f t="shared" ca="1" si="411"/>
        <v>0</v>
      </c>
      <c r="Z548" s="348">
        <f t="shared" ca="1" si="412"/>
        <v>8012</v>
      </c>
      <c r="AA548" s="348">
        <f ca="1">IF(Q548&lt;&gt;1,0,VLOOKUP(OP!$C$55,PVFB,$S548+2,0))</f>
        <v>64721</v>
      </c>
      <c r="AB548" s="488">
        <f ca="1">IF(AND(S548&lt;OP!$C$24,$U548&lt;15),0,IF(AND($U548&lt;15,$T548=12),ROUND(VLOOKUP($S548,DOWN16,5,0),3),IF($T548=12,ROUND(($Z548/10000)*$AA548,3)+IF(AND($P$7="購買增額繳清保險",T548=12,U548=110),VLOOKUP(S548,$B$10:$H$121,7,0),0),"")))</f>
        <v>51854.464999999997</v>
      </c>
      <c r="AC548" s="350">
        <f ca="1">IF(AND(S548&lt;OP!$C$24,$U548&lt;15),0,IF(AND($U548&lt;16,$T548=12),VLOOKUP($S548,DOWN16,4,0),IF($T548=12,ROUND(VLOOKUP(OP!$C$55,_DIE2,$S548+1,0)*(Z548/10000),0)+IF(AND($P$7="購買增額繳清保險",T548=12,U548=110),VLOOKUP(S548,$B$10:$H$121,7,0),0),"")))</f>
        <v>51854</v>
      </c>
      <c r="AD548" s="347"/>
      <c r="AE548" s="350" t="str">
        <f t="shared" ca="1" si="387"/>
        <v/>
      </c>
      <c r="AF548" s="351" t="str">
        <f t="shared" ca="1" si="388"/>
        <v/>
      </c>
      <c r="AG548" s="340"/>
      <c r="AH548" s="340"/>
      <c r="AI548" s="340"/>
      <c r="AJ548" s="340"/>
      <c r="AK548" s="340"/>
      <c r="AL548" s="340"/>
      <c r="AM548" s="340"/>
      <c r="AN548" s="340"/>
      <c r="AO548" s="340"/>
      <c r="AP548" s="340"/>
      <c r="AQ548" s="340"/>
      <c r="AR548" s="340"/>
      <c r="AS548" s="340"/>
      <c r="AT548" s="340"/>
      <c r="AU548" s="340"/>
      <c r="AV548" s="340"/>
      <c r="AY548" s="340"/>
      <c r="AZ548" s="465">
        <f t="shared" ca="1" si="398"/>
        <v>7.3698599999999999E-5</v>
      </c>
      <c r="BA548" s="464">
        <f t="shared" ca="1" si="399"/>
        <v>2.2109589000000002E-3</v>
      </c>
      <c r="BB548" s="465">
        <f t="shared" ca="1" si="399"/>
        <v>2.2846575E-3</v>
      </c>
      <c r="BC548" s="466">
        <f t="shared" ca="1" si="400"/>
        <v>59292</v>
      </c>
      <c r="BD548" s="467">
        <f t="shared" ca="1" si="413"/>
        <v>59293</v>
      </c>
      <c r="BE548" s="467">
        <f t="shared" ca="1" si="401"/>
        <v>59322</v>
      </c>
      <c r="BF548" s="468">
        <f ca="1">IF(計算!$BC548&lt;OP!$C$3,0,BD548-BC548)</f>
        <v>1</v>
      </c>
      <c r="BG548" s="468">
        <f ca="1">IF($BE548&gt;DATE(YEAR($BD$9)+OP!$C$57,MONTH($BD$9),DAY($BD$9)),0,$BE548-$BD548+1)</f>
        <v>30</v>
      </c>
      <c r="BH548" s="469">
        <f t="shared" ca="1" si="402"/>
        <v>31</v>
      </c>
      <c r="BI548" t="str">
        <f t="shared" si="418"/>
        <v/>
      </c>
      <c r="BJ548">
        <v>11</v>
      </c>
      <c r="BN548" s="468">
        <f t="shared" si="414"/>
        <v>45</v>
      </c>
      <c r="BO548" s="468">
        <f t="shared" si="415"/>
        <v>11</v>
      </c>
      <c r="BP548" s="467">
        <f t="shared" ca="1" si="403"/>
        <v>59293</v>
      </c>
      <c r="BQ548" s="475">
        <f t="shared" ca="1" si="417"/>
        <v>77</v>
      </c>
      <c r="BR548" s="475" t="str">
        <f t="shared" si="416"/>
        <v/>
      </c>
      <c r="BS548" s="471" t="str">
        <f t="shared" si="404"/>
        <v/>
      </c>
      <c r="BT548" s="472" t="str">
        <f t="shared" si="419"/>
        <v/>
      </c>
      <c r="BU548" s="472">
        <f t="shared" ca="1" si="405"/>
        <v>0</v>
      </c>
      <c r="BV548" s="472">
        <f t="shared" ca="1" si="405"/>
        <v>0</v>
      </c>
      <c r="BW548" s="472"/>
      <c r="BX548" s="473">
        <f t="shared" ca="1" si="406"/>
        <v>679024.47739933606</v>
      </c>
      <c r="BY548" s="473">
        <f t="shared" si="407"/>
        <v>0</v>
      </c>
      <c r="BZ548" s="473">
        <f t="shared" ca="1" si="389"/>
        <v>1551.3383649739999</v>
      </c>
      <c r="CA548" s="476">
        <f t="shared" ca="1" si="408"/>
        <v>0</v>
      </c>
      <c r="CB548" s="494">
        <f ca="1">IF(OR($Q547&lt;&gt;1,OP!$D$5+$BN548-1&lt;16,$BN548-1&lt;1),0,ROUND(ROUND(ROUND(((VLOOKUP($BN548-1,MORE_PV,5,0)/10000)*VLOOKUP($BN548,MORE_PV,$CB$5,0)),3)*VLOOKUP($BN548,more1,5,0),0)/$R547,0))</f>
        <v>0</v>
      </c>
      <c r="CC548" s="473">
        <f t="shared" ca="1" si="409"/>
        <v>0</v>
      </c>
      <c r="CD548" s="477"/>
    </row>
    <row r="549" spans="2:82" ht="16.5" hidden="1">
      <c r="B549" s="80"/>
      <c r="C549" s="80"/>
      <c r="D549" s="80"/>
      <c r="E549" s="80"/>
      <c r="F549" s="80"/>
      <c r="G549" s="80"/>
      <c r="H549" s="80"/>
      <c r="I549" s="80"/>
      <c r="J549" s="192">
        <f t="shared" si="390"/>
        <v>46</v>
      </c>
      <c r="K549" s="192">
        <f t="shared" si="391"/>
        <v>1</v>
      </c>
      <c r="L549" s="192" t="str">
        <f t="shared" si="386"/>
        <v/>
      </c>
      <c r="M549" s="216">
        <f t="shared" ca="1" si="392"/>
        <v>0</v>
      </c>
      <c r="N549" s="216"/>
      <c r="O549" s="216"/>
      <c r="P549" s="216"/>
      <c r="Q549" s="456" t="str">
        <f t="shared" ca="1" si="393"/>
        <v/>
      </c>
      <c r="R549" s="450">
        <f t="shared" ca="1" si="394"/>
        <v>1</v>
      </c>
      <c r="S549" s="191">
        <f t="shared" si="395"/>
        <v>46</v>
      </c>
      <c r="T549" s="191">
        <f t="shared" si="396"/>
        <v>1</v>
      </c>
      <c r="U549" s="191">
        <f ca="1">OP!$D$5+$S549-1</f>
        <v>78</v>
      </c>
      <c r="V549" s="191" t="str">
        <f t="shared" si="397"/>
        <v/>
      </c>
      <c r="W549" s="350">
        <f ca="1">IF(Q549&lt;&gt;1,0,VLOOKUP(OP!$C$55,PVFB,$S549+2,0))</f>
        <v>0</v>
      </c>
      <c r="X549" s="473">
        <f t="shared" ca="1" si="410"/>
        <v>0</v>
      </c>
      <c r="Y549" s="348">
        <f t="shared" ca="1" si="411"/>
        <v>0</v>
      </c>
      <c r="Z549" s="348">
        <f t="shared" ca="1" si="412"/>
        <v>8012</v>
      </c>
      <c r="AA549" s="348">
        <f ca="1">IF(Q549&lt;&gt;1,0,VLOOKUP(OP!$C$55,PVFB,$S549+2,0))</f>
        <v>0</v>
      </c>
      <c r="AB549" s="488" t="str">
        <f ca="1">IF(AND(S549&lt;OP!$C$24,$U549&lt;15),0,IF(AND($U549&lt;15,$T549=12),ROUND(VLOOKUP($S549,DOWN16,5,0),3),IF($T549=12,ROUND(($Z549/10000)*$AA549,3)+IF(AND($P$7="購買增額繳清保險",T549=12,U549=110),VLOOKUP(S549,$B$10:$H$121,7,0),0),"")))</f>
        <v/>
      </c>
      <c r="AC549" s="350" t="str">
        <f ca="1">IF(AND(S549&lt;OP!$C$24,$U549&lt;15),0,IF(AND($U549&lt;16,$T549=12),VLOOKUP($S549,DOWN16,4,0),IF($T549=12,ROUND(VLOOKUP(OP!$C$55,_DIE2,$S549+1,0)*(Z549/10000),0)+IF(AND($P$7="購買增額繳清保險",T549=12,U549=110),VLOOKUP(S549,$B$10:$H$121,7,0),0),"")))</f>
        <v/>
      </c>
      <c r="AD549" s="347"/>
      <c r="AE549" s="350" t="str">
        <f t="shared" ca="1" si="387"/>
        <v/>
      </c>
      <c r="AF549" s="351" t="str">
        <f t="shared" ca="1" si="388"/>
        <v/>
      </c>
      <c r="AG549" s="340"/>
      <c r="AH549" s="340"/>
      <c r="AI549" s="340"/>
      <c r="AJ549" s="340"/>
      <c r="AK549" s="340"/>
      <c r="AL549" s="340"/>
      <c r="AM549" s="340"/>
      <c r="AN549" s="340"/>
      <c r="AO549" s="340"/>
      <c r="AP549" s="340"/>
      <c r="AQ549" s="340"/>
      <c r="AR549" s="340"/>
      <c r="AS549" s="340"/>
      <c r="AT549" s="340"/>
      <c r="AU549" s="340"/>
      <c r="AV549" s="340"/>
      <c r="AY549" s="340"/>
      <c r="AZ549" s="465">
        <f t="shared" ca="1" si="398"/>
        <v>7.3698599999999999E-5</v>
      </c>
      <c r="BA549" s="464">
        <f t="shared" ca="1" si="399"/>
        <v>2.1372602999999999E-3</v>
      </c>
      <c r="BB549" s="465">
        <f t="shared" ca="1" si="399"/>
        <v>2.2109589000000002E-3</v>
      </c>
      <c r="BC549" s="466">
        <f t="shared" ca="1" si="400"/>
        <v>59323</v>
      </c>
      <c r="BD549" s="467">
        <f t="shared" ca="1" si="413"/>
        <v>59324</v>
      </c>
      <c r="BE549" s="467">
        <f t="shared" ca="1" si="401"/>
        <v>59352</v>
      </c>
      <c r="BF549" s="468">
        <f ca="1">IF(計算!$BC549&lt;OP!$C$3,0,BD549-BC549)</f>
        <v>1</v>
      </c>
      <c r="BG549" s="468">
        <f ca="1">IF($BE549&gt;DATE(YEAR($BD$9)+OP!$C$57,MONTH($BD$9),DAY($BD$9)),0,$BE549-$BD549+1)</f>
        <v>29</v>
      </c>
      <c r="BH549" s="469">
        <f t="shared" ca="1" si="402"/>
        <v>30</v>
      </c>
      <c r="BI549">
        <f t="shared" ca="1" si="418"/>
        <v>365</v>
      </c>
      <c r="BJ549">
        <v>12</v>
      </c>
      <c r="BN549" s="468">
        <f t="shared" si="414"/>
        <v>45</v>
      </c>
      <c r="BO549" s="468">
        <f t="shared" si="415"/>
        <v>12</v>
      </c>
      <c r="BP549" s="467">
        <f t="shared" ca="1" si="403"/>
        <v>59324</v>
      </c>
      <c r="BQ549" s="475">
        <f t="shared" ca="1" si="417"/>
        <v>77</v>
      </c>
      <c r="BR549" s="475">
        <f t="shared" si="416"/>
        <v>45</v>
      </c>
      <c r="BS549" s="471">
        <f t="shared" ca="1" si="404"/>
        <v>15542</v>
      </c>
      <c r="BT549" s="472">
        <f t="shared" ca="1" si="419"/>
        <v>696167</v>
      </c>
      <c r="BU549" s="472">
        <f t="shared" ca="1" si="405"/>
        <v>15184</v>
      </c>
      <c r="BV549" s="472">
        <f t="shared" ca="1" si="405"/>
        <v>358</v>
      </c>
      <c r="BW549" s="472">
        <f ca="1">ROUND(SUM(BY549,BZ537:BZ548),0)</f>
        <v>18045</v>
      </c>
      <c r="BX549" s="473">
        <f t="shared" ca="1" si="406"/>
        <v>696167.97324912599</v>
      </c>
      <c r="BY549" s="473">
        <f t="shared" ca="1" si="407"/>
        <v>50.157484816</v>
      </c>
      <c r="BZ549" s="473">
        <f t="shared" ca="1" si="389"/>
        <v>1487.8921713570001</v>
      </c>
      <c r="CA549" s="476">
        <f t="shared" ca="1" si="408"/>
        <v>15184</v>
      </c>
      <c r="CB549" s="494">
        <f ca="1">IF(OR($Q548&lt;&gt;1,OP!$D$5+$BN549-1&lt;16,$BN549-1&lt;1),0,ROUND(ROUND(ROUND(((VLOOKUP($BN549-1,MORE_PV,5,0)/10000)*VLOOKUP($BN549,MORE_PV,$CB$5,0)),3)*VLOOKUP($BN549,more1,5,0),0)/$R548,0))</f>
        <v>358</v>
      </c>
      <c r="CC549" s="473">
        <f t="shared" ca="1" si="409"/>
        <v>0</v>
      </c>
      <c r="CD549" s="477"/>
    </row>
    <row r="550" spans="2:82" ht="16.5" hidden="1">
      <c r="B550" s="80"/>
      <c r="C550" s="80"/>
      <c r="D550" s="80"/>
      <c r="E550" s="80"/>
      <c r="F550" s="80"/>
      <c r="G550" s="80"/>
      <c r="H550" s="80"/>
      <c r="I550" s="80"/>
      <c r="J550" s="192">
        <f t="shared" si="390"/>
        <v>46</v>
      </c>
      <c r="K550" s="192">
        <f t="shared" si="391"/>
        <v>2</v>
      </c>
      <c r="L550" s="192" t="str">
        <f t="shared" si="386"/>
        <v/>
      </c>
      <c r="M550" s="216">
        <f t="shared" ca="1" si="392"/>
        <v>0</v>
      </c>
      <c r="N550" s="216"/>
      <c r="O550" s="216"/>
      <c r="P550" s="216"/>
      <c r="Q550" s="456" t="str">
        <f t="shared" ca="1" si="393"/>
        <v/>
      </c>
      <c r="R550" s="450">
        <f t="shared" ca="1" si="394"/>
        <v>1</v>
      </c>
      <c r="S550" s="191">
        <f t="shared" si="395"/>
        <v>46</v>
      </c>
      <c r="T550" s="191">
        <f t="shared" si="396"/>
        <v>2</v>
      </c>
      <c r="U550" s="191">
        <f ca="1">OP!$D$5+$S550-1</f>
        <v>78</v>
      </c>
      <c r="V550" s="191" t="str">
        <f t="shared" si="397"/>
        <v/>
      </c>
      <c r="W550" s="350">
        <f ca="1">IF(Q550&lt;&gt;1,0,VLOOKUP(OP!$C$55,PVFB,$S550+2,0))</f>
        <v>0</v>
      </c>
      <c r="X550" s="473">
        <f t="shared" ca="1" si="410"/>
        <v>0</v>
      </c>
      <c r="Y550" s="348">
        <f t="shared" ca="1" si="411"/>
        <v>0</v>
      </c>
      <c r="Z550" s="348">
        <f t="shared" ca="1" si="412"/>
        <v>8012</v>
      </c>
      <c r="AA550" s="348">
        <f ca="1">IF(Q550&lt;&gt;1,0,VLOOKUP(OP!$C$55,PVFB,$S550+2,0))</f>
        <v>0</v>
      </c>
      <c r="AB550" s="488" t="str">
        <f ca="1">IF(AND(S550&lt;OP!$C$24,$U550&lt;15),0,IF(AND($U550&lt;15,$T550=12),ROUND(VLOOKUP($S550,DOWN16,5,0),3),IF($T550=12,ROUND(($Z550/10000)*$AA550,3)+IF(AND($P$7="購買增額繳清保險",T550=12,U550=110),VLOOKUP(S550,$B$10:$H$121,7,0),0),"")))</f>
        <v/>
      </c>
      <c r="AC550" s="350" t="str">
        <f ca="1">IF(AND(S550&lt;OP!$C$24,$U550&lt;15),0,IF(AND($U550&lt;16,$T550=12),VLOOKUP($S550,DOWN16,4,0),IF($T550=12,ROUND(VLOOKUP(OP!$C$55,_DIE2,$S550+1,0)*(Z550/10000),0)+IF(AND($P$7="購買增額繳清保險",T550=12,U550=110),VLOOKUP(S550,$B$10:$H$121,7,0),0),"")))</f>
        <v/>
      </c>
      <c r="AD550" s="347"/>
      <c r="AE550" s="350" t="str">
        <f t="shared" ca="1" si="387"/>
        <v/>
      </c>
      <c r="AF550" s="351" t="str">
        <f t="shared" ca="1" si="388"/>
        <v/>
      </c>
      <c r="AG550" s="340"/>
      <c r="AH550" s="340"/>
      <c r="AI550" s="340"/>
      <c r="AJ550" s="340"/>
      <c r="AK550" s="340"/>
      <c r="AL550" s="340"/>
      <c r="AM550" s="340"/>
      <c r="AN550" s="340"/>
      <c r="AO550" s="340"/>
      <c r="AP550" s="340"/>
      <c r="AQ550" s="340"/>
      <c r="AR550" s="340"/>
      <c r="AS550" s="340"/>
      <c r="AT550" s="340"/>
      <c r="AU550" s="340"/>
      <c r="AV550" s="340"/>
      <c r="AY550" s="340"/>
      <c r="AZ550" s="465">
        <f t="shared" ca="1" si="398"/>
        <v>7.3698599999999999E-5</v>
      </c>
      <c r="BA550" s="464">
        <f t="shared" ca="1" si="399"/>
        <v>2.2109589000000002E-3</v>
      </c>
      <c r="BB550" s="465">
        <f t="shared" ca="1" si="399"/>
        <v>2.2846575E-3</v>
      </c>
      <c r="BC550" s="466">
        <f t="shared" ca="1" si="400"/>
        <v>59353</v>
      </c>
      <c r="BD550" s="467">
        <f t="shared" ca="1" si="413"/>
        <v>59354</v>
      </c>
      <c r="BE550" s="467">
        <f t="shared" ca="1" si="401"/>
        <v>59383</v>
      </c>
      <c r="BF550" s="468">
        <f ca="1">IF(計算!$BC550&lt;OP!$C$3,0,BD550-BC550)</f>
        <v>1</v>
      </c>
      <c r="BG550" s="468">
        <f ca="1">IF($BE550&gt;DATE(YEAR($BD$9)+OP!$C$57,MONTH($BD$9),DAY($BD$9)),0,$BE550-$BD550+1)</f>
        <v>30</v>
      </c>
      <c r="BH550" s="469">
        <f t="shared" ca="1" si="402"/>
        <v>31</v>
      </c>
      <c r="BI550" t="str">
        <f t="shared" si="418"/>
        <v/>
      </c>
      <c r="BJ550">
        <v>1</v>
      </c>
      <c r="BN550" s="468">
        <f t="shared" si="414"/>
        <v>46</v>
      </c>
      <c r="BO550" s="468">
        <f t="shared" si="415"/>
        <v>1</v>
      </c>
      <c r="BP550" s="467">
        <f t="shared" ca="1" si="403"/>
        <v>59354</v>
      </c>
      <c r="BQ550" s="475">
        <f t="shared" ca="1" si="417"/>
        <v>78</v>
      </c>
      <c r="BR550" s="475" t="str">
        <f t="shared" si="416"/>
        <v/>
      </c>
      <c r="BS550" s="471" t="str">
        <f t="shared" si="404"/>
        <v/>
      </c>
      <c r="BT550" s="472" t="str">
        <f t="shared" si="419"/>
        <v/>
      </c>
      <c r="BU550" s="472">
        <f t="shared" ca="1" si="405"/>
        <v>0</v>
      </c>
      <c r="BV550" s="472">
        <f t="shared" ca="1" si="405"/>
        <v>0</v>
      </c>
      <c r="BW550" s="472"/>
      <c r="BX550" s="473">
        <f t="shared" ca="1" si="406"/>
        <v>697655.86542048305</v>
      </c>
      <c r="BY550" s="473">
        <f t="shared" si="407"/>
        <v>0</v>
      </c>
      <c r="BZ550" s="473">
        <f t="shared" ca="1" si="389"/>
        <v>1593.9047053520001</v>
      </c>
      <c r="CA550" s="476">
        <f t="shared" ca="1" si="408"/>
        <v>0</v>
      </c>
      <c r="CB550" s="494">
        <f ca="1">IF(OR($Q549&lt;&gt;1,OP!$D$5+$BN550-1&lt;16,$BN550-1&lt;1),0,ROUND(ROUND(ROUND(((VLOOKUP($BN550-1,MORE_PV,5,0)/10000)*VLOOKUP($BN550,MORE_PV,$CB$5,0)),3)*VLOOKUP($BN550,more1,5,0),0)/$R549,0))</f>
        <v>0</v>
      </c>
      <c r="CC550" s="473">
        <f t="shared" ca="1" si="409"/>
        <v>0</v>
      </c>
      <c r="CD550" s="477"/>
    </row>
    <row r="551" spans="2:82" ht="16.5" hidden="1">
      <c r="B551" s="80"/>
      <c r="C551" s="80"/>
      <c r="D551" s="80"/>
      <c r="E551" s="80"/>
      <c r="F551" s="80"/>
      <c r="G551" s="80"/>
      <c r="H551" s="80"/>
      <c r="I551" s="80"/>
      <c r="J551" s="192">
        <f t="shared" si="390"/>
        <v>46</v>
      </c>
      <c r="K551" s="192">
        <f t="shared" si="391"/>
        <v>3</v>
      </c>
      <c r="L551" s="192" t="str">
        <f t="shared" si="386"/>
        <v/>
      </c>
      <c r="M551" s="216">
        <f t="shared" ca="1" si="392"/>
        <v>0</v>
      </c>
      <c r="N551" s="216"/>
      <c r="O551" s="216"/>
      <c r="P551" s="216"/>
      <c r="Q551" s="456" t="str">
        <f t="shared" ca="1" si="393"/>
        <v/>
      </c>
      <c r="R551" s="450">
        <f t="shared" ca="1" si="394"/>
        <v>1</v>
      </c>
      <c r="S551" s="191">
        <f t="shared" si="395"/>
        <v>46</v>
      </c>
      <c r="T551" s="191">
        <f t="shared" si="396"/>
        <v>3</v>
      </c>
      <c r="U551" s="191">
        <f ca="1">OP!$D$5+$S551-1</f>
        <v>78</v>
      </c>
      <c r="V551" s="191" t="str">
        <f t="shared" si="397"/>
        <v/>
      </c>
      <c r="W551" s="350">
        <f ca="1">IF(Q551&lt;&gt;1,0,VLOOKUP(OP!$C$55,PVFB,$S551+2,0))</f>
        <v>0</v>
      </c>
      <c r="X551" s="473">
        <f t="shared" ca="1" si="410"/>
        <v>0</v>
      </c>
      <c r="Y551" s="348">
        <f t="shared" ca="1" si="411"/>
        <v>0</v>
      </c>
      <c r="Z551" s="348">
        <f t="shared" ca="1" si="412"/>
        <v>8012</v>
      </c>
      <c r="AA551" s="348">
        <f ca="1">IF(Q551&lt;&gt;1,0,VLOOKUP(OP!$C$55,PVFB,$S551+2,0))</f>
        <v>0</v>
      </c>
      <c r="AB551" s="488" t="str">
        <f ca="1">IF(AND(S551&lt;OP!$C$24,$U551&lt;15),0,IF(AND($U551&lt;15,$T551=12),ROUND(VLOOKUP($S551,DOWN16,5,0),3),IF($T551=12,ROUND(($Z551/10000)*$AA551,3)+IF(AND($P$7="購買增額繳清保險",T551=12,U551=110),VLOOKUP(S551,$B$10:$H$121,7,0),0),"")))</f>
        <v/>
      </c>
      <c r="AC551" s="350" t="str">
        <f ca="1">IF(AND(S551&lt;OP!$C$24,$U551&lt;15),0,IF(AND($U551&lt;16,$T551=12),VLOOKUP($S551,DOWN16,4,0),IF($T551=12,ROUND(VLOOKUP(OP!$C$55,_DIE2,$S551+1,0)*(Z551/10000),0)+IF(AND($P$7="購買增額繳清保險",T551=12,U551=110),VLOOKUP(S551,$B$10:$H$121,7,0),0),"")))</f>
        <v/>
      </c>
      <c r="AD551" s="347"/>
      <c r="AE551" s="350" t="str">
        <f t="shared" ca="1" si="387"/>
        <v/>
      </c>
      <c r="AF551" s="351" t="str">
        <f t="shared" ca="1" si="388"/>
        <v/>
      </c>
      <c r="AG551" s="340"/>
      <c r="AH551" s="340"/>
      <c r="AI551" s="340"/>
      <c r="AJ551" s="340"/>
      <c r="AK551" s="340"/>
      <c r="AL551" s="340"/>
      <c r="AM551" s="340"/>
      <c r="AN551" s="340"/>
      <c r="AO551" s="340"/>
      <c r="AP551" s="340"/>
      <c r="AQ551" s="340"/>
      <c r="AR551" s="340"/>
      <c r="AS551" s="340"/>
      <c r="AT551" s="340"/>
      <c r="AU551" s="340"/>
      <c r="AV551" s="340"/>
      <c r="AY551" s="340"/>
      <c r="AZ551" s="465">
        <f t="shared" ca="1" si="398"/>
        <v>7.3698599999999999E-5</v>
      </c>
      <c r="BA551" s="464">
        <f t="shared" ca="1" si="399"/>
        <v>2.2109589000000002E-3</v>
      </c>
      <c r="BB551" s="465">
        <f t="shared" ca="1" si="399"/>
        <v>2.2846575E-3</v>
      </c>
      <c r="BC551" s="466">
        <f t="shared" ca="1" si="400"/>
        <v>59384</v>
      </c>
      <c r="BD551" s="467">
        <f t="shared" ca="1" si="413"/>
        <v>59385</v>
      </c>
      <c r="BE551" s="467">
        <f t="shared" ca="1" si="401"/>
        <v>59414</v>
      </c>
      <c r="BF551" s="468">
        <f ca="1">IF(計算!$BC551&lt;OP!$C$3,0,BD551-BC551)</f>
        <v>1</v>
      </c>
      <c r="BG551" s="468">
        <f ca="1">IF($BE551&gt;DATE(YEAR($BD$9)+OP!$C$57,MONTH($BD$9),DAY($BD$9)),0,$BE551-$BD551+1)</f>
        <v>30</v>
      </c>
      <c r="BH551" s="469">
        <f t="shared" ca="1" si="402"/>
        <v>31</v>
      </c>
      <c r="BI551" t="str">
        <f t="shared" si="418"/>
        <v/>
      </c>
      <c r="BJ551">
        <v>2</v>
      </c>
      <c r="BN551" s="468">
        <f t="shared" si="414"/>
        <v>46</v>
      </c>
      <c r="BO551" s="468">
        <f t="shared" si="415"/>
        <v>2</v>
      </c>
      <c r="BP551" s="467">
        <f t="shared" ca="1" si="403"/>
        <v>59385</v>
      </c>
      <c r="BQ551" s="475">
        <f t="shared" ca="1" si="417"/>
        <v>78</v>
      </c>
      <c r="BR551" s="475" t="str">
        <f t="shared" si="416"/>
        <v/>
      </c>
      <c r="BS551" s="471" t="str">
        <f t="shared" si="404"/>
        <v/>
      </c>
      <c r="BT551" s="472" t="str">
        <f t="shared" si="419"/>
        <v/>
      </c>
      <c r="BU551" s="472">
        <f t="shared" ca="1" si="405"/>
        <v>0</v>
      </c>
      <c r="BV551" s="472">
        <f t="shared" ca="1" si="405"/>
        <v>0</v>
      </c>
      <c r="BW551" s="472"/>
      <c r="BX551" s="473">
        <f t="shared" ca="1" si="406"/>
        <v>699249.77012583497</v>
      </c>
      <c r="BY551" s="473">
        <f t="shared" si="407"/>
        <v>0</v>
      </c>
      <c r="BZ551" s="473">
        <f t="shared" ca="1" si="389"/>
        <v>1597.546231691</v>
      </c>
      <c r="CA551" s="476">
        <f t="shared" ca="1" si="408"/>
        <v>0</v>
      </c>
      <c r="CB551" s="494">
        <f ca="1">IF(OR($Q550&lt;&gt;1,OP!$D$5+$BN551-1&lt;16,$BN551-1&lt;1),0,ROUND(ROUND(ROUND(((VLOOKUP($BN551-1,MORE_PV,5,0)/10000)*VLOOKUP($BN551,MORE_PV,$CB$5,0)),3)*VLOOKUP($BN551,more1,5,0),0)/$R550,0))</f>
        <v>0</v>
      </c>
      <c r="CC551" s="473">
        <f t="shared" ca="1" si="409"/>
        <v>0</v>
      </c>
      <c r="CD551" s="477"/>
    </row>
    <row r="552" spans="2:82" ht="16.5" hidden="1">
      <c r="B552" s="80"/>
      <c r="C552" s="80"/>
      <c r="D552" s="80"/>
      <c r="E552" s="80"/>
      <c r="F552" s="80"/>
      <c r="G552" s="80"/>
      <c r="H552" s="80"/>
      <c r="I552" s="80"/>
      <c r="J552" s="192">
        <f t="shared" si="390"/>
        <v>46</v>
      </c>
      <c r="K552" s="192">
        <f t="shared" si="391"/>
        <v>4</v>
      </c>
      <c r="L552" s="192" t="str">
        <f t="shared" si="386"/>
        <v/>
      </c>
      <c r="M552" s="216">
        <f t="shared" ca="1" si="392"/>
        <v>0</v>
      </c>
      <c r="N552" s="216"/>
      <c r="O552" s="216"/>
      <c r="P552" s="216"/>
      <c r="Q552" s="456" t="str">
        <f t="shared" ca="1" si="393"/>
        <v/>
      </c>
      <c r="R552" s="450">
        <f t="shared" ca="1" si="394"/>
        <v>1</v>
      </c>
      <c r="S552" s="191">
        <f t="shared" si="395"/>
        <v>46</v>
      </c>
      <c r="T552" s="191">
        <f t="shared" si="396"/>
        <v>4</v>
      </c>
      <c r="U552" s="191">
        <f ca="1">OP!$D$5+$S552-1</f>
        <v>78</v>
      </c>
      <c r="V552" s="191" t="str">
        <f t="shared" si="397"/>
        <v/>
      </c>
      <c r="W552" s="350">
        <f ca="1">IF(Q552&lt;&gt;1,0,VLOOKUP(OP!$C$55,PVFB,$S552+2,0))</f>
        <v>0</v>
      </c>
      <c r="X552" s="473">
        <f t="shared" ca="1" si="410"/>
        <v>0</v>
      </c>
      <c r="Y552" s="348">
        <f t="shared" ca="1" si="411"/>
        <v>0</v>
      </c>
      <c r="Z552" s="348">
        <f t="shared" ca="1" si="412"/>
        <v>8012</v>
      </c>
      <c r="AA552" s="348">
        <f ca="1">IF(Q552&lt;&gt;1,0,VLOOKUP(OP!$C$55,PVFB,$S552+2,0))</f>
        <v>0</v>
      </c>
      <c r="AB552" s="488" t="str">
        <f ca="1">IF(AND(S552&lt;OP!$C$24,$U552&lt;15),0,IF(AND($U552&lt;15,$T552=12),ROUND(VLOOKUP($S552,DOWN16,5,0),3),IF($T552=12,ROUND(($Z552/10000)*$AA552,3)+IF(AND($P$7="購買增額繳清保險",T552=12,U552=110),VLOOKUP(S552,$B$10:$H$121,7,0),0),"")))</f>
        <v/>
      </c>
      <c r="AC552" s="350" t="str">
        <f ca="1">IF(AND(S552&lt;OP!$C$24,$U552&lt;15),0,IF(AND($U552&lt;16,$T552=12),VLOOKUP($S552,DOWN16,4,0),IF($T552=12,ROUND(VLOOKUP(OP!$C$55,_DIE2,$S552+1,0)*(Z552/10000),0)+IF(AND($P$7="購買增額繳清保險",T552=12,U552=110),VLOOKUP(S552,$B$10:$H$121,7,0),0),"")))</f>
        <v/>
      </c>
      <c r="AD552" s="347"/>
      <c r="AE552" s="350" t="str">
        <f t="shared" ca="1" si="387"/>
        <v/>
      </c>
      <c r="AF552" s="351" t="str">
        <f t="shared" ca="1" si="388"/>
        <v/>
      </c>
      <c r="AG552" s="340"/>
      <c r="AH552" s="340"/>
      <c r="AI552" s="340"/>
      <c r="AJ552" s="340"/>
      <c r="AK552" s="340"/>
      <c r="AL552" s="340"/>
      <c r="AM552" s="340"/>
      <c r="AN552" s="340"/>
      <c r="AO552" s="340"/>
      <c r="AP552" s="340"/>
      <c r="AQ552" s="340"/>
      <c r="AR552" s="340"/>
      <c r="AS552" s="340"/>
      <c r="AT552" s="340"/>
      <c r="AU552" s="340"/>
      <c r="AV552" s="340"/>
      <c r="AY552" s="340"/>
      <c r="AZ552" s="465">
        <f t="shared" ca="1" si="398"/>
        <v>7.3698599999999999E-5</v>
      </c>
      <c r="BA552" s="464">
        <f t="shared" ca="1" si="399"/>
        <v>2.1372602999999999E-3</v>
      </c>
      <c r="BB552" s="465">
        <f t="shared" ca="1" si="399"/>
        <v>2.2109589000000002E-3</v>
      </c>
      <c r="BC552" s="466">
        <f t="shared" ca="1" si="400"/>
        <v>59415</v>
      </c>
      <c r="BD552" s="467">
        <f t="shared" ca="1" si="413"/>
        <v>59416</v>
      </c>
      <c r="BE552" s="467">
        <f t="shared" ca="1" si="401"/>
        <v>59444</v>
      </c>
      <c r="BF552" s="468">
        <f ca="1">IF(計算!$BC552&lt;OP!$C$3,0,BD552-BC552)</f>
        <v>1</v>
      </c>
      <c r="BG552" s="468">
        <f ca="1">IF($BE552&gt;DATE(YEAR($BD$9)+OP!$C$57,MONTH($BD$9),DAY($BD$9)),0,$BE552-$BD552+1)</f>
        <v>29</v>
      </c>
      <c r="BH552" s="469">
        <f t="shared" ca="1" si="402"/>
        <v>30</v>
      </c>
      <c r="BI552" t="str">
        <f t="shared" si="418"/>
        <v/>
      </c>
      <c r="BJ552">
        <v>3</v>
      </c>
      <c r="BN552" s="468">
        <f t="shared" si="414"/>
        <v>46</v>
      </c>
      <c r="BO552" s="468">
        <f t="shared" si="415"/>
        <v>3</v>
      </c>
      <c r="BP552" s="467">
        <f t="shared" ca="1" si="403"/>
        <v>59416</v>
      </c>
      <c r="BQ552" s="475">
        <f t="shared" ca="1" si="417"/>
        <v>78</v>
      </c>
      <c r="BR552" s="475" t="str">
        <f t="shared" si="416"/>
        <v/>
      </c>
      <c r="BS552" s="471" t="str">
        <f t="shared" si="404"/>
        <v/>
      </c>
      <c r="BT552" s="472" t="str">
        <f t="shared" si="419"/>
        <v/>
      </c>
      <c r="BU552" s="472">
        <f t="shared" ca="1" si="405"/>
        <v>0</v>
      </c>
      <c r="BV552" s="472">
        <f t="shared" ca="1" si="405"/>
        <v>0</v>
      </c>
      <c r="BW552" s="472"/>
      <c r="BX552" s="473">
        <f t="shared" ca="1" si="406"/>
        <v>700847.316357526</v>
      </c>
      <c r="BY552" s="473">
        <f t="shared" si="407"/>
        <v>0</v>
      </c>
      <c r="BZ552" s="473">
        <f t="shared" ca="1" si="389"/>
        <v>1549.5446116420001</v>
      </c>
      <c r="CA552" s="476">
        <f t="shared" ca="1" si="408"/>
        <v>0</v>
      </c>
      <c r="CB552" s="494">
        <f ca="1">IF(OR($Q551&lt;&gt;1,OP!$D$5+$BN552-1&lt;16,$BN552-1&lt;1),0,ROUND(ROUND(ROUND(((VLOOKUP($BN552-1,MORE_PV,5,0)/10000)*VLOOKUP($BN552,MORE_PV,$CB$5,0)),3)*VLOOKUP($BN552,more1,5,0),0)/$R551,0))</f>
        <v>0</v>
      </c>
      <c r="CC552" s="473">
        <f t="shared" ca="1" si="409"/>
        <v>0</v>
      </c>
      <c r="CD552" s="477"/>
    </row>
    <row r="553" spans="2:82" ht="16.5" hidden="1">
      <c r="B553" s="80"/>
      <c r="C553" s="80"/>
      <c r="D553" s="80"/>
      <c r="E553" s="80"/>
      <c r="F553" s="80"/>
      <c r="G553" s="80"/>
      <c r="H553" s="80"/>
      <c r="I553" s="80"/>
      <c r="J553" s="192">
        <f t="shared" si="390"/>
        <v>46</v>
      </c>
      <c r="K553" s="192">
        <f t="shared" si="391"/>
        <v>5</v>
      </c>
      <c r="L553" s="192" t="str">
        <f t="shared" si="386"/>
        <v/>
      </c>
      <c r="M553" s="216">
        <f t="shared" ca="1" si="392"/>
        <v>0</v>
      </c>
      <c r="N553" s="216"/>
      <c r="O553" s="216"/>
      <c r="P553" s="216"/>
      <c r="Q553" s="456" t="str">
        <f t="shared" ca="1" si="393"/>
        <v/>
      </c>
      <c r="R553" s="450">
        <f t="shared" ca="1" si="394"/>
        <v>1</v>
      </c>
      <c r="S553" s="191">
        <f t="shared" si="395"/>
        <v>46</v>
      </c>
      <c r="T553" s="191">
        <f t="shared" si="396"/>
        <v>5</v>
      </c>
      <c r="U553" s="191">
        <f ca="1">OP!$D$5+$S553-1</f>
        <v>78</v>
      </c>
      <c r="V553" s="191" t="str">
        <f t="shared" si="397"/>
        <v/>
      </c>
      <c r="W553" s="350">
        <f ca="1">IF(Q553&lt;&gt;1,0,VLOOKUP(OP!$C$55,PVFB,$S553+2,0))</f>
        <v>0</v>
      </c>
      <c r="X553" s="473">
        <f t="shared" ca="1" si="410"/>
        <v>0</v>
      </c>
      <c r="Y553" s="348">
        <f t="shared" ca="1" si="411"/>
        <v>0</v>
      </c>
      <c r="Z553" s="348">
        <f t="shared" ca="1" si="412"/>
        <v>8012</v>
      </c>
      <c r="AA553" s="348">
        <f ca="1">IF(Q553&lt;&gt;1,0,VLOOKUP(OP!$C$55,PVFB,$S553+2,0))</f>
        <v>0</v>
      </c>
      <c r="AB553" s="488" t="str">
        <f ca="1">IF(AND(S553&lt;OP!$C$24,$U553&lt;15),0,IF(AND($U553&lt;15,$T553=12),ROUND(VLOOKUP($S553,DOWN16,5,0),3),IF($T553=12,ROUND(($Z553/10000)*$AA553,3)+IF(AND($P$7="購買增額繳清保險",T553=12,U553=110),VLOOKUP(S553,$B$10:$H$121,7,0),0),"")))</f>
        <v/>
      </c>
      <c r="AC553" s="350" t="str">
        <f ca="1">IF(AND(S553&lt;OP!$C$24,$U553&lt;15),0,IF(AND($U553&lt;16,$T553=12),VLOOKUP($S553,DOWN16,4,0),IF($T553=12,ROUND(VLOOKUP(OP!$C$55,_DIE2,$S553+1,0)*(Z553/10000),0)+IF(AND($P$7="購買增額繳清保險",T553=12,U553=110),VLOOKUP(S553,$B$10:$H$121,7,0),0),"")))</f>
        <v/>
      </c>
      <c r="AD553" s="347"/>
      <c r="AE553" s="350" t="str">
        <f t="shared" ca="1" si="387"/>
        <v/>
      </c>
      <c r="AF553" s="351" t="str">
        <f t="shared" ca="1" si="388"/>
        <v/>
      </c>
      <c r="AG553" s="340"/>
      <c r="AH553" s="340"/>
      <c r="AI553" s="340"/>
      <c r="AJ553" s="340"/>
      <c r="AK553" s="340"/>
      <c r="AL553" s="340"/>
      <c r="AM553" s="340"/>
      <c r="AN553" s="340"/>
      <c r="AO553" s="340"/>
      <c r="AP553" s="340"/>
      <c r="AQ553" s="340"/>
      <c r="AR553" s="340"/>
      <c r="AS553" s="340"/>
      <c r="AT553" s="340"/>
      <c r="AU553" s="340"/>
      <c r="AV553" s="340"/>
      <c r="AY553" s="340"/>
      <c r="AZ553" s="465">
        <f t="shared" ca="1" si="398"/>
        <v>7.3698599999999999E-5</v>
      </c>
      <c r="BA553" s="464">
        <f t="shared" ca="1" si="399"/>
        <v>2.2109589000000002E-3</v>
      </c>
      <c r="BB553" s="465">
        <f t="shared" ca="1" si="399"/>
        <v>2.2846575E-3</v>
      </c>
      <c r="BC553" s="466">
        <f t="shared" ca="1" si="400"/>
        <v>59445</v>
      </c>
      <c r="BD553" s="467">
        <f t="shared" ca="1" si="413"/>
        <v>59446</v>
      </c>
      <c r="BE553" s="467">
        <f t="shared" ca="1" si="401"/>
        <v>59475</v>
      </c>
      <c r="BF553" s="468">
        <f ca="1">IF(計算!$BC553&lt;OP!$C$3,0,BD553-BC553)</f>
        <v>1</v>
      </c>
      <c r="BG553" s="468">
        <f ca="1">IF($BE553&gt;DATE(YEAR($BD$9)+OP!$C$57,MONTH($BD$9),DAY($BD$9)),0,$BE553-$BD553+1)</f>
        <v>30</v>
      </c>
      <c r="BH553" s="469">
        <f t="shared" ca="1" si="402"/>
        <v>31</v>
      </c>
      <c r="BI553" t="str">
        <f t="shared" si="418"/>
        <v/>
      </c>
      <c r="BJ553">
        <v>4</v>
      </c>
      <c r="BN553" s="468">
        <f t="shared" si="414"/>
        <v>46</v>
      </c>
      <c r="BO553" s="468">
        <f t="shared" si="415"/>
        <v>4</v>
      </c>
      <c r="BP553" s="467">
        <f t="shared" ca="1" si="403"/>
        <v>59446</v>
      </c>
      <c r="BQ553" s="475">
        <f t="shared" ca="1" si="417"/>
        <v>78</v>
      </c>
      <c r="BR553" s="475" t="str">
        <f t="shared" si="416"/>
        <v/>
      </c>
      <c r="BS553" s="471" t="str">
        <f t="shared" si="404"/>
        <v/>
      </c>
      <c r="BT553" s="472" t="str">
        <f t="shared" si="419"/>
        <v/>
      </c>
      <c r="BU553" s="472">
        <f t="shared" ca="1" si="405"/>
        <v>0</v>
      </c>
      <c r="BV553" s="472">
        <f t="shared" ca="1" si="405"/>
        <v>0</v>
      </c>
      <c r="BW553" s="472"/>
      <c r="BX553" s="473">
        <f t="shared" ca="1" si="406"/>
        <v>702396.86096916802</v>
      </c>
      <c r="BY553" s="473">
        <f t="shared" si="407"/>
        <v>0</v>
      </c>
      <c r="BZ553" s="473">
        <f t="shared" ca="1" si="389"/>
        <v>1604.7362563900001</v>
      </c>
      <c r="CA553" s="476">
        <f t="shared" ca="1" si="408"/>
        <v>0</v>
      </c>
      <c r="CB553" s="494">
        <f ca="1">IF(OR($Q552&lt;&gt;1,OP!$D$5+$BN553-1&lt;16,$BN553-1&lt;1),0,ROUND(ROUND(ROUND(((VLOOKUP($BN553-1,MORE_PV,5,0)/10000)*VLOOKUP($BN553,MORE_PV,$CB$5,0)),3)*VLOOKUP($BN553,more1,5,0),0)/$R552,0))</f>
        <v>0</v>
      </c>
      <c r="CC553" s="473">
        <f t="shared" ca="1" si="409"/>
        <v>0</v>
      </c>
      <c r="CD553" s="477"/>
    </row>
    <row r="554" spans="2:82" ht="16.5" hidden="1">
      <c r="B554" s="80"/>
      <c r="C554" s="80"/>
      <c r="D554" s="80"/>
      <c r="E554" s="80"/>
      <c r="F554" s="80"/>
      <c r="G554" s="80"/>
      <c r="H554" s="80"/>
      <c r="I554" s="80"/>
      <c r="J554" s="192">
        <f t="shared" si="390"/>
        <v>46</v>
      </c>
      <c r="K554" s="192">
        <f t="shared" si="391"/>
        <v>6</v>
      </c>
      <c r="L554" s="192" t="str">
        <f t="shared" si="386"/>
        <v/>
      </c>
      <c r="M554" s="216">
        <f t="shared" ca="1" si="392"/>
        <v>0</v>
      </c>
      <c r="N554" s="216"/>
      <c r="O554" s="216"/>
      <c r="P554" s="216"/>
      <c r="Q554" s="456" t="str">
        <f t="shared" ca="1" si="393"/>
        <v/>
      </c>
      <c r="R554" s="450">
        <f t="shared" ca="1" si="394"/>
        <v>1</v>
      </c>
      <c r="S554" s="191">
        <f t="shared" si="395"/>
        <v>46</v>
      </c>
      <c r="T554" s="191">
        <f t="shared" si="396"/>
        <v>6</v>
      </c>
      <c r="U554" s="191">
        <f ca="1">OP!$D$5+$S554-1</f>
        <v>78</v>
      </c>
      <c r="V554" s="191" t="str">
        <f t="shared" si="397"/>
        <v/>
      </c>
      <c r="W554" s="350">
        <f ca="1">IF(Q554&lt;&gt;1,0,VLOOKUP(OP!$C$55,PVFB,$S554+2,0))</f>
        <v>0</v>
      </c>
      <c r="X554" s="473">
        <f t="shared" ca="1" si="410"/>
        <v>0</v>
      </c>
      <c r="Y554" s="348">
        <f t="shared" ca="1" si="411"/>
        <v>0</v>
      </c>
      <c r="Z554" s="348">
        <f t="shared" ca="1" si="412"/>
        <v>8012</v>
      </c>
      <c r="AA554" s="348">
        <f ca="1">IF(Q554&lt;&gt;1,0,VLOOKUP(OP!$C$55,PVFB,$S554+2,0))</f>
        <v>0</v>
      </c>
      <c r="AB554" s="488" t="str">
        <f ca="1">IF(AND(S554&lt;OP!$C$24,$U554&lt;15),0,IF(AND($U554&lt;15,$T554=12),ROUND(VLOOKUP($S554,DOWN16,5,0),3),IF($T554=12,ROUND(($Z554/10000)*$AA554,3)+IF(AND($P$7="購買增額繳清保險",T554=12,U554=110),VLOOKUP(S554,$B$10:$H$121,7,0),0),"")))</f>
        <v/>
      </c>
      <c r="AC554" s="350" t="str">
        <f ca="1">IF(AND(S554&lt;OP!$C$24,$U554&lt;15),0,IF(AND($U554&lt;16,$T554=12),VLOOKUP($S554,DOWN16,4,0),IF($T554=12,ROUND(VLOOKUP(OP!$C$55,_DIE2,$S554+1,0)*(Z554/10000),0)+IF(AND($P$7="購買增額繳清保險",T554=12,U554=110),VLOOKUP(S554,$B$10:$H$121,7,0),0),"")))</f>
        <v/>
      </c>
      <c r="AD554" s="347"/>
      <c r="AE554" s="350" t="str">
        <f t="shared" ca="1" si="387"/>
        <v/>
      </c>
      <c r="AF554" s="351" t="str">
        <f t="shared" ca="1" si="388"/>
        <v/>
      </c>
      <c r="AG554" s="340"/>
      <c r="AH554" s="340"/>
      <c r="AI554" s="340"/>
      <c r="AJ554" s="340"/>
      <c r="AK554" s="340"/>
      <c r="AL554" s="340"/>
      <c r="AM554" s="340"/>
      <c r="AN554" s="340"/>
      <c r="AO554" s="340"/>
      <c r="AP554" s="340"/>
      <c r="AQ554" s="340"/>
      <c r="AR554" s="340"/>
      <c r="AS554" s="340"/>
      <c r="AT554" s="340"/>
      <c r="AU554" s="340"/>
      <c r="AV554" s="340"/>
      <c r="AY554" s="340"/>
      <c r="AZ554" s="465">
        <f t="shared" ca="1" si="398"/>
        <v>7.3698599999999999E-5</v>
      </c>
      <c r="BA554" s="464">
        <f t="shared" ca="1" si="399"/>
        <v>2.1372602999999999E-3</v>
      </c>
      <c r="BB554" s="465">
        <f t="shared" ca="1" si="399"/>
        <v>2.2109589000000002E-3</v>
      </c>
      <c r="BC554" s="466">
        <f t="shared" ca="1" si="400"/>
        <v>59476</v>
      </c>
      <c r="BD554" s="467">
        <f t="shared" ca="1" si="413"/>
        <v>59477</v>
      </c>
      <c r="BE554" s="467">
        <f t="shared" ca="1" si="401"/>
        <v>59505</v>
      </c>
      <c r="BF554" s="468">
        <f ca="1">IF(計算!$BC554&lt;OP!$C$3,0,BD554-BC554)</f>
        <v>1</v>
      </c>
      <c r="BG554" s="468">
        <f ca="1">IF($BE554&gt;DATE(YEAR($BD$9)+OP!$C$57,MONTH($BD$9),DAY($BD$9)),0,$BE554-$BD554+1)</f>
        <v>29</v>
      </c>
      <c r="BH554" s="469">
        <f t="shared" ca="1" si="402"/>
        <v>30</v>
      </c>
      <c r="BI554" t="str">
        <f t="shared" si="418"/>
        <v/>
      </c>
      <c r="BJ554">
        <v>5</v>
      </c>
      <c r="BN554" s="468">
        <f t="shared" si="414"/>
        <v>46</v>
      </c>
      <c r="BO554" s="468">
        <f t="shared" si="415"/>
        <v>5</v>
      </c>
      <c r="BP554" s="467">
        <f t="shared" ca="1" si="403"/>
        <v>59477</v>
      </c>
      <c r="BQ554" s="475">
        <f t="shared" ca="1" si="417"/>
        <v>78</v>
      </c>
      <c r="BR554" s="475" t="str">
        <f t="shared" si="416"/>
        <v/>
      </c>
      <c r="BS554" s="471" t="str">
        <f t="shared" si="404"/>
        <v/>
      </c>
      <c r="BT554" s="472" t="str">
        <f t="shared" si="419"/>
        <v/>
      </c>
      <c r="BU554" s="472">
        <f t="shared" ca="1" si="405"/>
        <v>0</v>
      </c>
      <c r="BV554" s="472">
        <f t="shared" ca="1" si="405"/>
        <v>0</v>
      </c>
      <c r="BW554" s="472"/>
      <c r="BX554" s="473">
        <f t="shared" ca="1" si="406"/>
        <v>704001.59722555801</v>
      </c>
      <c r="BY554" s="473">
        <f t="shared" si="407"/>
        <v>0</v>
      </c>
      <c r="BZ554" s="473">
        <f t="shared" ca="1" si="389"/>
        <v>1556.518597</v>
      </c>
      <c r="CA554" s="476">
        <f t="shared" ca="1" si="408"/>
        <v>0</v>
      </c>
      <c r="CB554" s="494">
        <f ca="1">IF(OR($Q553&lt;&gt;1,OP!$D$5+$BN554-1&lt;16,$BN554-1&lt;1),0,ROUND(ROUND(ROUND(((VLOOKUP($BN554-1,MORE_PV,5,0)/10000)*VLOOKUP($BN554,MORE_PV,$CB$5,0)),3)*VLOOKUP($BN554,more1,5,0),0)/$R553,0))</f>
        <v>0</v>
      </c>
      <c r="CC554" s="473">
        <f t="shared" ca="1" si="409"/>
        <v>0</v>
      </c>
      <c r="CD554" s="477"/>
    </row>
    <row r="555" spans="2:82" ht="16.5" hidden="1">
      <c r="B555" s="80"/>
      <c r="C555" s="80"/>
      <c r="D555" s="80"/>
      <c r="E555" s="80"/>
      <c r="F555" s="80"/>
      <c r="G555" s="80"/>
      <c r="H555" s="80"/>
      <c r="I555" s="80"/>
      <c r="J555" s="192">
        <f t="shared" si="390"/>
        <v>46</v>
      </c>
      <c r="K555" s="192">
        <f t="shared" si="391"/>
        <v>7</v>
      </c>
      <c r="L555" s="192" t="str">
        <f t="shared" si="386"/>
        <v/>
      </c>
      <c r="M555" s="216">
        <f t="shared" ca="1" si="392"/>
        <v>0</v>
      </c>
      <c r="N555" s="216"/>
      <c r="O555" s="216"/>
      <c r="P555" s="216"/>
      <c r="Q555" s="456" t="str">
        <f t="shared" ca="1" si="393"/>
        <v/>
      </c>
      <c r="R555" s="450">
        <f t="shared" ca="1" si="394"/>
        <v>1</v>
      </c>
      <c r="S555" s="191">
        <f t="shared" si="395"/>
        <v>46</v>
      </c>
      <c r="T555" s="191">
        <f t="shared" si="396"/>
        <v>7</v>
      </c>
      <c r="U555" s="191">
        <f ca="1">OP!$D$5+$S555-1</f>
        <v>78</v>
      </c>
      <c r="V555" s="191" t="str">
        <f t="shared" si="397"/>
        <v/>
      </c>
      <c r="W555" s="350">
        <f ca="1">IF(Q555&lt;&gt;1,0,VLOOKUP(OP!$C$55,PVFB,$S555+2,0))</f>
        <v>0</v>
      </c>
      <c r="X555" s="473">
        <f t="shared" ca="1" si="410"/>
        <v>0</v>
      </c>
      <c r="Y555" s="348">
        <f t="shared" ca="1" si="411"/>
        <v>0</v>
      </c>
      <c r="Z555" s="348">
        <f t="shared" ca="1" si="412"/>
        <v>8012</v>
      </c>
      <c r="AA555" s="348">
        <f ca="1">IF(Q555&lt;&gt;1,0,VLOOKUP(OP!$C$55,PVFB,$S555+2,0))</f>
        <v>0</v>
      </c>
      <c r="AB555" s="488" t="str">
        <f ca="1">IF(AND(S555&lt;OP!$C$24,$U555&lt;15),0,IF(AND($U555&lt;15,$T555=12),ROUND(VLOOKUP($S555,DOWN16,5,0),3),IF($T555=12,ROUND(($Z555/10000)*$AA555,3)+IF(AND($P$7="購買增額繳清保險",T555=12,U555=110),VLOOKUP(S555,$B$10:$H$121,7,0),0),"")))</f>
        <v/>
      </c>
      <c r="AC555" s="350" t="str">
        <f ca="1">IF(AND(S555&lt;OP!$C$24,$U555&lt;15),0,IF(AND($U555&lt;16,$T555=12),VLOOKUP($S555,DOWN16,4,0),IF($T555=12,ROUND(VLOOKUP(OP!$C$55,_DIE2,$S555+1,0)*(Z555/10000),0)+IF(AND($P$7="購買增額繳清保險",T555=12,U555=110),VLOOKUP(S555,$B$10:$H$121,7,0),0),"")))</f>
        <v/>
      </c>
      <c r="AD555" s="347"/>
      <c r="AE555" s="350" t="str">
        <f t="shared" ca="1" si="387"/>
        <v/>
      </c>
      <c r="AF555" s="351" t="str">
        <f t="shared" ca="1" si="388"/>
        <v/>
      </c>
      <c r="AG555" s="340"/>
      <c r="AH555" s="340"/>
      <c r="AI555" s="340"/>
      <c r="AJ555" s="340"/>
      <c r="AK555" s="340"/>
      <c r="AL555" s="340"/>
      <c r="AM555" s="340"/>
      <c r="AN555" s="340"/>
      <c r="AO555" s="340"/>
      <c r="AP555" s="340"/>
      <c r="AQ555" s="340"/>
      <c r="AR555" s="340"/>
      <c r="AS555" s="340"/>
      <c r="AT555" s="340"/>
      <c r="AU555" s="340"/>
      <c r="AV555" s="340"/>
      <c r="AY555" s="340"/>
      <c r="AZ555" s="465">
        <f t="shared" ca="1" si="398"/>
        <v>7.3698599999999999E-5</v>
      </c>
      <c r="BA555" s="464">
        <f t="shared" ca="1" si="399"/>
        <v>2.2109589000000002E-3</v>
      </c>
      <c r="BB555" s="465">
        <f t="shared" ca="1" si="399"/>
        <v>2.2846575E-3</v>
      </c>
      <c r="BC555" s="466">
        <f t="shared" ca="1" si="400"/>
        <v>59506</v>
      </c>
      <c r="BD555" s="467">
        <f t="shared" ca="1" si="413"/>
        <v>59507</v>
      </c>
      <c r="BE555" s="467">
        <f t="shared" ca="1" si="401"/>
        <v>59536</v>
      </c>
      <c r="BF555" s="468">
        <f ca="1">IF(計算!$BC555&lt;OP!$C$3,0,BD555-BC555)</f>
        <v>1</v>
      </c>
      <c r="BG555" s="468">
        <f ca="1">IF($BE555&gt;DATE(YEAR($BD$9)+OP!$C$57,MONTH($BD$9),DAY($BD$9)),0,$BE555-$BD555+1)</f>
        <v>30</v>
      </c>
      <c r="BH555" s="469">
        <f t="shared" ca="1" si="402"/>
        <v>31</v>
      </c>
      <c r="BI555" t="str">
        <f t="shared" si="418"/>
        <v/>
      </c>
      <c r="BJ555">
        <v>6</v>
      </c>
      <c r="BN555" s="468">
        <f t="shared" si="414"/>
        <v>46</v>
      </c>
      <c r="BO555" s="468">
        <f t="shared" si="415"/>
        <v>6</v>
      </c>
      <c r="BP555" s="467">
        <f t="shared" ca="1" si="403"/>
        <v>59507</v>
      </c>
      <c r="BQ555" s="475">
        <f t="shared" ca="1" si="417"/>
        <v>78</v>
      </c>
      <c r="BR555" s="475" t="str">
        <f t="shared" si="416"/>
        <v/>
      </c>
      <c r="BS555" s="471" t="str">
        <f t="shared" si="404"/>
        <v/>
      </c>
      <c r="BT555" s="472" t="str">
        <f t="shared" si="419"/>
        <v/>
      </c>
      <c r="BU555" s="472">
        <f t="shared" ca="1" si="405"/>
        <v>0</v>
      </c>
      <c r="BV555" s="472">
        <f t="shared" ca="1" si="405"/>
        <v>0</v>
      </c>
      <c r="BW555" s="472"/>
      <c r="BX555" s="473">
        <f t="shared" ca="1" si="406"/>
        <v>705558.11582255794</v>
      </c>
      <c r="BY555" s="473">
        <f t="shared" si="407"/>
        <v>0</v>
      </c>
      <c r="BZ555" s="473">
        <f t="shared" ca="1" si="389"/>
        <v>1611.9586409999999</v>
      </c>
      <c r="CA555" s="476">
        <f t="shared" ca="1" si="408"/>
        <v>0</v>
      </c>
      <c r="CB555" s="494">
        <f ca="1">IF(OR($Q554&lt;&gt;1,OP!$D$5+$BN555-1&lt;16,$BN555-1&lt;1),0,ROUND(ROUND(ROUND(((VLOOKUP($BN555-1,MORE_PV,5,0)/10000)*VLOOKUP($BN555,MORE_PV,$CB$5,0)),3)*VLOOKUP($BN555,more1,5,0),0)/$R554,0))</f>
        <v>0</v>
      </c>
      <c r="CC555" s="473">
        <f t="shared" ca="1" si="409"/>
        <v>0</v>
      </c>
      <c r="CD555" s="477"/>
    </row>
    <row r="556" spans="2:82" ht="16.5" hidden="1">
      <c r="B556" s="80"/>
      <c r="C556" s="80"/>
      <c r="D556" s="80"/>
      <c r="E556" s="80"/>
      <c r="F556" s="80"/>
      <c r="G556" s="80"/>
      <c r="H556" s="80"/>
      <c r="I556" s="80"/>
      <c r="J556" s="192">
        <f t="shared" si="390"/>
        <v>46</v>
      </c>
      <c r="K556" s="192">
        <f t="shared" si="391"/>
        <v>8</v>
      </c>
      <c r="L556" s="192" t="str">
        <f t="shared" si="386"/>
        <v/>
      </c>
      <c r="M556" s="216">
        <f t="shared" ca="1" si="392"/>
        <v>0</v>
      </c>
      <c r="N556" s="216"/>
      <c r="O556" s="216"/>
      <c r="P556" s="216"/>
      <c r="Q556" s="456" t="str">
        <f t="shared" ca="1" si="393"/>
        <v/>
      </c>
      <c r="R556" s="450">
        <f t="shared" ca="1" si="394"/>
        <v>1</v>
      </c>
      <c r="S556" s="191">
        <f t="shared" si="395"/>
        <v>46</v>
      </c>
      <c r="T556" s="191">
        <f t="shared" si="396"/>
        <v>8</v>
      </c>
      <c r="U556" s="191">
        <f ca="1">OP!$D$5+$S556-1</f>
        <v>78</v>
      </c>
      <c r="V556" s="191" t="str">
        <f t="shared" si="397"/>
        <v/>
      </c>
      <c r="W556" s="350">
        <f ca="1">IF(Q556&lt;&gt;1,0,VLOOKUP(OP!$C$55,PVFB,$S556+2,0))</f>
        <v>0</v>
      </c>
      <c r="X556" s="473">
        <f t="shared" ca="1" si="410"/>
        <v>0</v>
      </c>
      <c r="Y556" s="348">
        <f t="shared" ca="1" si="411"/>
        <v>0</v>
      </c>
      <c r="Z556" s="348">
        <f t="shared" ca="1" si="412"/>
        <v>8012</v>
      </c>
      <c r="AA556" s="348">
        <f ca="1">IF(Q556&lt;&gt;1,0,VLOOKUP(OP!$C$55,PVFB,$S556+2,0))</f>
        <v>0</v>
      </c>
      <c r="AB556" s="488" t="str">
        <f ca="1">IF(AND(S556&lt;OP!$C$24,$U556&lt;15),0,IF(AND($U556&lt;15,$T556=12),ROUND(VLOOKUP($S556,DOWN16,5,0),3),IF($T556=12,ROUND(($Z556/10000)*$AA556,3)+IF(AND($P$7="購買增額繳清保險",T556=12,U556=110),VLOOKUP(S556,$B$10:$H$121,7,0),0),"")))</f>
        <v/>
      </c>
      <c r="AC556" s="350" t="str">
        <f ca="1">IF(AND(S556&lt;OP!$C$24,$U556&lt;15),0,IF(AND($U556&lt;16,$T556=12),VLOOKUP($S556,DOWN16,4,0),IF($T556=12,ROUND(VLOOKUP(OP!$C$55,_DIE2,$S556+1,0)*(Z556/10000),0)+IF(AND($P$7="購買增額繳清保險",T556=12,U556=110),VLOOKUP(S556,$B$10:$H$121,7,0),0),"")))</f>
        <v/>
      </c>
      <c r="AD556" s="347"/>
      <c r="AE556" s="350" t="str">
        <f t="shared" ca="1" si="387"/>
        <v/>
      </c>
      <c r="AF556" s="351" t="str">
        <f t="shared" ca="1" si="388"/>
        <v/>
      </c>
      <c r="AG556" s="340"/>
      <c r="AH556" s="340"/>
      <c r="AI556" s="340"/>
      <c r="AJ556" s="340"/>
      <c r="AK556" s="340"/>
      <c r="AL556" s="340"/>
      <c r="AM556" s="340"/>
      <c r="AN556" s="340"/>
      <c r="AO556" s="340"/>
      <c r="AP556" s="340"/>
      <c r="AQ556" s="340"/>
      <c r="AR556" s="340"/>
      <c r="AS556" s="340"/>
      <c r="AT556" s="340"/>
      <c r="AU556" s="340"/>
      <c r="AV556" s="340"/>
      <c r="AY556" s="340"/>
      <c r="AZ556" s="465">
        <f t="shared" ca="1" si="398"/>
        <v>7.3698599999999999E-5</v>
      </c>
      <c r="BA556" s="464">
        <f t="shared" ca="1" si="399"/>
        <v>2.2109589000000002E-3</v>
      </c>
      <c r="BB556" s="465">
        <f t="shared" ca="1" si="399"/>
        <v>2.2846575E-3</v>
      </c>
      <c r="BC556" s="466">
        <f t="shared" ca="1" si="400"/>
        <v>59537</v>
      </c>
      <c r="BD556" s="467">
        <f t="shared" ca="1" si="413"/>
        <v>59538</v>
      </c>
      <c r="BE556" s="467">
        <f t="shared" ca="1" si="401"/>
        <v>59567</v>
      </c>
      <c r="BF556" s="468">
        <f ca="1">IF(計算!$BC556&lt;OP!$C$3,0,BD556-BC556)</f>
        <v>1</v>
      </c>
      <c r="BG556" s="468">
        <f ca="1">IF($BE556&gt;DATE(YEAR($BD$9)+OP!$C$57,MONTH($BD$9),DAY($BD$9)),0,$BE556-$BD556+1)</f>
        <v>30</v>
      </c>
      <c r="BH556" s="469">
        <f t="shared" ca="1" si="402"/>
        <v>31</v>
      </c>
      <c r="BI556" t="str">
        <f t="shared" si="418"/>
        <v/>
      </c>
      <c r="BJ556">
        <v>7</v>
      </c>
      <c r="BN556" s="468">
        <f t="shared" si="414"/>
        <v>46</v>
      </c>
      <c r="BO556" s="468">
        <f t="shared" si="415"/>
        <v>7</v>
      </c>
      <c r="BP556" s="467">
        <f t="shared" ca="1" si="403"/>
        <v>59538</v>
      </c>
      <c r="BQ556" s="475">
        <f t="shared" ca="1" si="417"/>
        <v>78</v>
      </c>
      <c r="BR556" s="475" t="str">
        <f t="shared" si="416"/>
        <v/>
      </c>
      <c r="BS556" s="471" t="str">
        <f t="shared" si="404"/>
        <v/>
      </c>
      <c r="BT556" s="472" t="str">
        <f t="shared" si="419"/>
        <v/>
      </c>
      <c r="BU556" s="472">
        <f t="shared" ca="1" si="405"/>
        <v>0</v>
      </c>
      <c r="BV556" s="472">
        <f t="shared" ca="1" si="405"/>
        <v>0</v>
      </c>
      <c r="BW556" s="472"/>
      <c r="BX556" s="473">
        <f t="shared" ca="1" si="406"/>
        <v>707170.07446355803</v>
      </c>
      <c r="BY556" s="473">
        <f t="shared" si="407"/>
        <v>0</v>
      </c>
      <c r="BZ556" s="473">
        <f t="shared" ca="1" si="389"/>
        <v>1615.641414399</v>
      </c>
      <c r="CA556" s="476">
        <f t="shared" ca="1" si="408"/>
        <v>0</v>
      </c>
      <c r="CB556" s="494">
        <f ca="1">IF(OR($Q555&lt;&gt;1,OP!$D$5+$BN556-1&lt;16,$BN556-1&lt;1),0,ROUND(ROUND(ROUND(((VLOOKUP($BN556-1,MORE_PV,5,0)/10000)*VLOOKUP($BN556,MORE_PV,$CB$5,0)),3)*VLOOKUP($BN556,more1,5,0),0)/$R555,0))</f>
        <v>0</v>
      </c>
      <c r="CC556" s="473">
        <f t="shared" ca="1" si="409"/>
        <v>0</v>
      </c>
      <c r="CD556" s="477"/>
    </row>
    <row r="557" spans="2:82" ht="16.5" hidden="1">
      <c r="B557" s="80"/>
      <c r="C557" s="80"/>
      <c r="D557" s="80"/>
      <c r="E557" s="80"/>
      <c r="F557" s="80"/>
      <c r="G557" s="80"/>
      <c r="H557" s="80"/>
      <c r="I557" s="80"/>
      <c r="J557" s="192">
        <f t="shared" si="390"/>
        <v>46</v>
      </c>
      <c r="K557" s="192">
        <f t="shared" si="391"/>
        <v>9</v>
      </c>
      <c r="L557" s="192" t="str">
        <f t="shared" si="386"/>
        <v/>
      </c>
      <c r="M557" s="216">
        <f t="shared" ca="1" si="392"/>
        <v>0</v>
      </c>
      <c r="N557" s="216"/>
      <c r="O557" s="216"/>
      <c r="P557" s="216"/>
      <c r="Q557" s="456" t="str">
        <f t="shared" ca="1" si="393"/>
        <v/>
      </c>
      <c r="R557" s="450">
        <f t="shared" ca="1" si="394"/>
        <v>1</v>
      </c>
      <c r="S557" s="191">
        <f t="shared" si="395"/>
        <v>46</v>
      </c>
      <c r="T557" s="191">
        <f t="shared" si="396"/>
        <v>9</v>
      </c>
      <c r="U557" s="191">
        <f ca="1">OP!$D$5+$S557-1</f>
        <v>78</v>
      </c>
      <c r="V557" s="191" t="str">
        <f t="shared" si="397"/>
        <v/>
      </c>
      <c r="W557" s="350">
        <f ca="1">IF(Q557&lt;&gt;1,0,VLOOKUP(OP!$C$55,PVFB,$S557+2,0))</f>
        <v>0</v>
      </c>
      <c r="X557" s="473">
        <f t="shared" ca="1" si="410"/>
        <v>0</v>
      </c>
      <c r="Y557" s="348">
        <f t="shared" ca="1" si="411"/>
        <v>0</v>
      </c>
      <c r="Z557" s="348">
        <f t="shared" ca="1" si="412"/>
        <v>8012</v>
      </c>
      <c r="AA557" s="348">
        <f ca="1">IF(Q557&lt;&gt;1,0,VLOOKUP(OP!$C$55,PVFB,$S557+2,0))</f>
        <v>0</v>
      </c>
      <c r="AB557" s="488" t="str">
        <f ca="1">IF(AND(S557&lt;OP!$C$24,$U557&lt;15),0,IF(AND($U557&lt;15,$T557=12),ROUND(VLOOKUP($S557,DOWN16,5,0),3),IF($T557=12,ROUND(($Z557/10000)*$AA557,3)+IF(AND($P$7="購買增額繳清保險",T557=12,U557=110),VLOOKUP(S557,$B$10:$H$121,7,0),0),"")))</f>
        <v/>
      </c>
      <c r="AC557" s="350" t="str">
        <f ca="1">IF(AND(S557&lt;OP!$C$24,$U557&lt;15),0,IF(AND($U557&lt;16,$T557=12),VLOOKUP($S557,DOWN16,4,0),IF($T557=12,ROUND(VLOOKUP(OP!$C$55,_DIE2,$S557+1,0)*(Z557/10000),0)+IF(AND($P$7="購買增額繳清保險",T557=12,U557=110),VLOOKUP(S557,$B$10:$H$121,7,0),0),"")))</f>
        <v/>
      </c>
      <c r="AD557" s="347"/>
      <c r="AE557" s="350" t="str">
        <f t="shared" ca="1" si="387"/>
        <v/>
      </c>
      <c r="AF557" s="351" t="str">
        <f t="shared" ca="1" si="388"/>
        <v/>
      </c>
      <c r="AG557" s="340"/>
      <c r="AH557" s="340"/>
      <c r="AI557" s="340"/>
      <c r="AJ557" s="340"/>
      <c r="AK557" s="340"/>
      <c r="AL557" s="340"/>
      <c r="AM557" s="340"/>
      <c r="AN557" s="340"/>
      <c r="AO557" s="340"/>
      <c r="AP557" s="340"/>
      <c r="AQ557" s="340"/>
      <c r="AR557" s="340"/>
      <c r="AS557" s="340"/>
      <c r="AT557" s="340"/>
      <c r="AU557" s="340"/>
      <c r="AV557" s="340"/>
      <c r="AY557" s="340"/>
      <c r="AZ557" s="465">
        <f t="shared" ca="1" si="398"/>
        <v>7.3698599999999999E-5</v>
      </c>
      <c r="BA557" s="464">
        <f t="shared" ca="1" si="399"/>
        <v>1.9898630000000001E-3</v>
      </c>
      <c r="BB557" s="465">
        <f t="shared" ca="1" si="399"/>
        <v>2.0635616E-3</v>
      </c>
      <c r="BC557" s="466">
        <f t="shared" ca="1" si="400"/>
        <v>59568</v>
      </c>
      <c r="BD557" s="467">
        <f t="shared" ca="1" si="413"/>
        <v>59569</v>
      </c>
      <c r="BE557" s="467">
        <f t="shared" ca="1" si="401"/>
        <v>59595</v>
      </c>
      <c r="BF557" s="468">
        <f ca="1">IF(計算!$BC557&lt;OP!$C$3,0,BD557-BC557)</f>
        <v>1</v>
      </c>
      <c r="BG557" s="468">
        <f ca="1">IF($BE557&gt;DATE(YEAR($BD$9)+OP!$C$57,MONTH($BD$9),DAY($BD$9)),0,$BE557-$BD557+1)</f>
        <v>27</v>
      </c>
      <c r="BH557" s="469">
        <f t="shared" ca="1" si="402"/>
        <v>28</v>
      </c>
      <c r="BI557" t="str">
        <f t="shared" si="418"/>
        <v/>
      </c>
      <c r="BJ557">
        <v>8</v>
      </c>
      <c r="BN557" s="468">
        <f t="shared" si="414"/>
        <v>46</v>
      </c>
      <c r="BO557" s="468">
        <f t="shared" si="415"/>
        <v>8</v>
      </c>
      <c r="BP557" s="467">
        <f t="shared" ca="1" si="403"/>
        <v>59569</v>
      </c>
      <c r="BQ557" s="475">
        <f t="shared" ca="1" si="417"/>
        <v>78</v>
      </c>
      <c r="BR557" s="475" t="str">
        <f t="shared" si="416"/>
        <v/>
      </c>
      <c r="BS557" s="471" t="str">
        <f t="shared" si="404"/>
        <v/>
      </c>
      <c r="BT557" s="472" t="str">
        <f t="shared" si="419"/>
        <v/>
      </c>
      <c r="BU557" s="472">
        <f t="shared" ca="1" si="405"/>
        <v>0</v>
      </c>
      <c r="BV557" s="472">
        <f t="shared" ca="1" si="405"/>
        <v>0</v>
      </c>
      <c r="BW557" s="472"/>
      <c r="BX557" s="473">
        <f t="shared" ca="1" si="406"/>
        <v>708785.71587795694</v>
      </c>
      <c r="BY557" s="473">
        <f t="shared" si="407"/>
        <v>0</v>
      </c>
      <c r="BZ557" s="473">
        <f t="shared" ca="1" si="389"/>
        <v>1462.6229859140001</v>
      </c>
      <c r="CA557" s="476">
        <f t="shared" ca="1" si="408"/>
        <v>0</v>
      </c>
      <c r="CB557" s="494">
        <f ca="1">IF(OR($Q556&lt;&gt;1,OP!$D$5+$BN557-1&lt;16,$BN557-1&lt;1),0,ROUND(ROUND(ROUND(((VLOOKUP($BN557-1,MORE_PV,5,0)/10000)*VLOOKUP($BN557,MORE_PV,$CB$5,0)),3)*VLOOKUP($BN557,more1,5,0),0)/$R556,0))</f>
        <v>0</v>
      </c>
      <c r="CC557" s="473">
        <f t="shared" ca="1" si="409"/>
        <v>0</v>
      </c>
      <c r="CD557" s="477"/>
    </row>
    <row r="558" spans="2:82" ht="16.5" hidden="1">
      <c r="B558" s="80"/>
      <c r="C558" s="80"/>
      <c r="D558" s="80"/>
      <c r="E558" s="80"/>
      <c r="F558" s="80"/>
      <c r="G558" s="80"/>
      <c r="H558" s="80"/>
      <c r="I558" s="80"/>
      <c r="J558" s="192">
        <f t="shared" si="390"/>
        <v>46</v>
      </c>
      <c r="K558" s="192">
        <f t="shared" si="391"/>
        <v>10</v>
      </c>
      <c r="L558" s="192" t="str">
        <f t="shared" si="386"/>
        <v/>
      </c>
      <c r="M558" s="216">
        <f t="shared" ca="1" si="392"/>
        <v>0</v>
      </c>
      <c r="N558" s="216"/>
      <c r="O558" s="216"/>
      <c r="P558" s="216"/>
      <c r="Q558" s="456" t="str">
        <f t="shared" ca="1" si="393"/>
        <v/>
      </c>
      <c r="R558" s="450">
        <f t="shared" ca="1" si="394"/>
        <v>1</v>
      </c>
      <c r="S558" s="191">
        <f t="shared" si="395"/>
        <v>46</v>
      </c>
      <c r="T558" s="191">
        <f t="shared" si="396"/>
        <v>10</v>
      </c>
      <c r="U558" s="191">
        <f ca="1">OP!$D$5+$S558-1</f>
        <v>78</v>
      </c>
      <c r="V558" s="191" t="str">
        <f t="shared" si="397"/>
        <v/>
      </c>
      <c r="W558" s="350">
        <f ca="1">IF(Q558&lt;&gt;1,0,VLOOKUP(OP!$C$55,PVFB,$S558+2,0))</f>
        <v>0</v>
      </c>
      <c r="X558" s="473">
        <f t="shared" ca="1" si="410"/>
        <v>0</v>
      </c>
      <c r="Y558" s="348">
        <f t="shared" ca="1" si="411"/>
        <v>0</v>
      </c>
      <c r="Z558" s="348">
        <f t="shared" ca="1" si="412"/>
        <v>8012</v>
      </c>
      <c r="AA558" s="348">
        <f ca="1">IF(Q558&lt;&gt;1,0,VLOOKUP(OP!$C$55,PVFB,$S558+2,0))</f>
        <v>0</v>
      </c>
      <c r="AB558" s="488" t="str">
        <f ca="1">IF(AND(S558&lt;OP!$C$24,$U558&lt;15),0,IF(AND($U558&lt;15,$T558=12),ROUND(VLOOKUP($S558,DOWN16,5,0),3),IF($T558=12,ROUND(($Z558/10000)*$AA558,3)+IF(AND($P$7="購買增額繳清保險",T558=12,U558=110),VLOOKUP(S558,$B$10:$H$121,7,0),0),"")))</f>
        <v/>
      </c>
      <c r="AC558" s="350" t="str">
        <f ca="1">IF(AND(S558&lt;OP!$C$24,$U558&lt;15),0,IF(AND($U558&lt;16,$T558=12),VLOOKUP($S558,DOWN16,4,0),IF($T558=12,ROUND(VLOOKUP(OP!$C$55,_DIE2,$S558+1,0)*(Z558/10000),0)+IF(AND($P$7="購買增額繳清保險",T558=12,U558=110),VLOOKUP(S558,$B$10:$H$121,7,0),0),"")))</f>
        <v/>
      </c>
      <c r="AD558" s="347"/>
      <c r="AE558" s="350" t="str">
        <f t="shared" ca="1" si="387"/>
        <v/>
      </c>
      <c r="AF558" s="351" t="str">
        <f t="shared" ca="1" si="388"/>
        <v/>
      </c>
      <c r="AG558" s="340"/>
      <c r="AH558" s="340"/>
      <c r="AI558" s="340"/>
      <c r="AJ558" s="340"/>
      <c r="AK558" s="340"/>
      <c r="AL558" s="340"/>
      <c r="AM558" s="340"/>
      <c r="AN558" s="340"/>
      <c r="AO558" s="340"/>
      <c r="AP558" s="340"/>
      <c r="AQ558" s="340"/>
      <c r="AR558" s="340"/>
      <c r="AS558" s="340"/>
      <c r="AT558" s="340"/>
      <c r="AU558" s="340"/>
      <c r="AV558" s="340"/>
      <c r="AY558" s="340"/>
      <c r="AZ558" s="465">
        <f t="shared" ca="1" si="398"/>
        <v>7.3698599999999999E-5</v>
      </c>
      <c r="BA558" s="464">
        <f t="shared" ca="1" si="399"/>
        <v>2.2109589000000002E-3</v>
      </c>
      <c r="BB558" s="465">
        <f t="shared" ca="1" si="399"/>
        <v>2.2846575E-3</v>
      </c>
      <c r="BC558" s="466">
        <f t="shared" ca="1" si="400"/>
        <v>59596</v>
      </c>
      <c r="BD558" s="467">
        <f t="shared" ca="1" si="413"/>
        <v>59597</v>
      </c>
      <c r="BE558" s="467">
        <f t="shared" ca="1" si="401"/>
        <v>59626</v>
      </c>
      <c r="BF558" s="468">
        <f ca="1">IF(計算!$BC558&lt;OP!$C$3,0,BD558-BC558)</f>
        <v>1</v>
      </c>
      <c r="BG558" s="468">
        <f ca="1">IF($BE558&gt;DATE(YEAR($BD$9)+OP!$C$57,MONTH($BD$9),DAY($BD$9)),0,$BE558-$BD558+1)</f>
        <v>30</v>
      </c>
      <c r="BH558" s="469">
        <f t="shared" ca="1" si="402"/>
        <v>31</v>
      </c>
      <c r="BI558" t="str">
        <f t="shared" si="418"/>
        <v/>
      </c>
      <c r="BJ558">
        <v>9</v>
      </c>
      <c r="BN558" s="468">
        <f t="shared" si="414"/>
        <v>46</v>
      </c>
      <c r="BO558" s="468">
        <f t="shared" si="415"/>
        <v>9</v>
      </c>
      <c r="BP558" s="467">
        <f t="shared" ca="1" si="403"/>
        <v>59597</v>
      </c>
      <c r="BQ558" s="475">
        <f t="shared" ca="1" si="417"/>
        <v>78</v>
      </c>
      <c r="BR558" s="475" t="str">
        <f t="shared" si="416"/>
        <v/>
      </c>
      <c r="BS558" s="471" t="str">
        <f t="shared" si="404"/>
        <v/>
      </c>
      <c r="BT558" s="472" t="str">
        <f t="shared" si="419"/>
        <v/>
      </c>
      <c r="BU558" s="472">
        <f t="shared" ca="1" si="405"/>
        <v>0</v>
      </c>
      <c r="BV558" s="472">
        <f t="shared" ca="1" si="405"/>
        <v>0</v>
      </c>
      <c r="BW558" s="472"/>
      <c r="BX558" s="473">
        <f t="shared" ca="1" si="406"/>
        <v>710248.33886387094</v>
      </c>
      <c r="BY558" s="473">
        <f t="shared" si="407"/>
        <v>0</v>
      </c>
      <c r="BZ558" s="473">
        <f t="shared" ca="1" si="389"/>
        <v>1622.674194248</v>
      </c>
      <c r="CA558" s="476">
        <f t="shared" ca="1" si="408"/>
        <v>0</v>
      </c>
      <c r="CB558" s="494">
        <f ca="1">IF(OR($Q557&lt;&gt;1,OP!$D$5+$BN558-1&lt;16,$BN558-1&lt;1),0,ROUND(ROUND(ROUND(((VLOOKUP($BN558-1,MORE_PV,5,0)/10000)*VLOOKUP($BN558,MORE_PV,$CB$5,0)),3)*VLOOKUP($BN558,more1,5,0),0)/$R557,0))</f>
        <v>0</v>
      </c>
      <c r="CC558" s="473">
        <f t="shared" ca="1" si="409"/>
        <v>0</v>
      </c>
      <c r="CD558" s="477"/>
    </row>
    <row r="559" spans="2:82" ht="16.5" hidden="1">
      <c r="B559" s="80"/>
      <c r="C559" s="80"/>
      <c r="D559" s="80"/>
      <c r="E559" s="80"/>
      <c r="F559" s="80"/>
      <c r="G559" s="80"/>
      <c r="H559" s="80"/>
      <c r="I559" s="80"/>
      <c r="J559" s="192">
        <f t="shared" si="390"/>
        <v>46</v>
      </c>
      <c r="K559" s="192">
        <f t="shared" si="391"/>
        <v>11</v>
      </c>
      <c r="L559" s="192" t="str">
        <f t="shared" si="386"/>
        <v/>
      </c>
      <c r="M559" s="216">
        <f t="shared" ca="1" si="392"/>
        <v>0</v>
      </c>
      <c r="N559" s="216"/>
      <c r="O559" s="216"/>
      <c r="P559" s="216"/>
      <c r="Q559" s="456" t="str">
        <f t="shared" ca="1" si="393"/>
        <v/>
      </c>
      <c r="R559" s="450">
        <f t="shared" ca="1" si="394"/>
        <v>1</v>
      </c>
      <c r="S559" s="191">
        <f t="shared" si="395"/>
        <v>46</v>
      </c>
      <c r="T559" s="191">
        <f t="shared" si="396"/>
        <v>11</v>
      </c>
      <c r="U559" s="191">
        <f ca="1">OP!$D$5+$S559-1</f>
        <v>78</v>
      </c>
      <c r="V559" s="191" t="str">
        <f t="shared" si="397"/>
        <v/>
      </c>
      <c r="W559" s="350">
        <f ca="1">IF(Q559&lt;&gt;1,0,VLOOKUP(OP!$C$55,PVFB,$S559+2,0))</f>
        <v>0</v>
      </c>
      <c r="X559" s="473">
        <f t="shared" ca="1" si="410"/>
        <v>0</v>
      </c>
      <c r="Y559" s="348">
        <f t="shared" ca="1" si="411"/>
        <v>0</v>
      </c>
      <c r="Z559" s="348">
        <f t="shared" ca="1" si="412"/>
        <v>8012</v>
      </c>
      <c r="AA559" s="348">
        <f ca="1">IF(Q559&lt;&gt;1,0,VLOOKUP(OP!$C$55,PVFB,$S559+2,0))</f>
        <v>0</v>
      </c>
      <c r="AB559" s="488" t="str">
        <f ca="1">IF(AND(S559&lt;OP!$C$24,$U559&lt;15),0,IF(AND($U559&lt;15,$T559=12),ROUND(VLOOKUP($S559,DOWN16,5,0),3),IF($T559=12,ROUND(($Z559/10000)*$AA559,3)+IF(AND($P$7="購買增額繳清保險",T559=12,U559=110),VLOOKUP(S559,$B$10:$H$121,7,0),0),"")))</f>
        <v/>
      </c>
      <c r="AC559" s="350" t="str">
        <f ca="1">IF(AND(S559&lt;OP!$C$24,$U559&lt;15),0,IF(AND($U559&lt;16,$T559=12),VLOOKUP($S559,DOWN16,4,0),IF($T559=12,ROUND(VLOOKUP(OP!$C$55,_DIE2,$S559+1,0)*(Z559/10000),0)+IF(AND($P$7="購買增額繳清保險",T559=12,U559=110),VLOOKUP(S559,$B$10:$H$121,7,0),0),"")))</f>
        <v/>
      </c>
      <c r="AD559" s="347"/>
      <c r="AE559" s="350" t="str">
        <f t="shared" ca="1" si="387"/>
        <v/>
      </c>
      <c r="AF559" s="351" t="str">
        <f t="shared" ca="1" si="388"/>
        <v/>
      </c>
      <c r="AG559" s="340"/>
      <c r="AH559" s="340"/>
      <c r="AI559" s="340"/>
      <c r="AJ559" s="340"/>
      <c r="AK559" s="340"/>
      <c r="AL559" s="340"/>
      <c r="AM559" s="340"/>
      <c r="AN559" s="340"/>
      <c r="AO559" s="340"/>
      <c r="AP559" s="340"/>
      <c r="AQ559" s="340"/>
      <c r="AR559" s="340"/>
      <c r="AS559" s="340"/>
      <c r="AT559" s="340"/>
      <c r="AU559" s="340"/>
      <c r="AV559" s="340"/>
      <c r="AY559" s="340"/>
      <c r="AZ559" s="465">
        <f t="shared" ca="1" si="398"/>
        <v>7.3698599999999999E-5</v>
      </c>
      <c r="BA559" s="464">
        <f t="shared" ca="1" si="399"/>
        <v>2.1372602999999999E-3</v>
      </c>
      <c r="BB559" s="465">
        <f t="shared" ca="1" si="399"/>
        <v>2.2109589000000002E-3</v>
      </c>
      <c r="BC559" s="466">
        <f t="shared" ca="1" si="400"/>
        <v>59627</v>
      </c>
      <c r="BD559" s="467">
        <f t="shared" ca="1" si="413"/>
        <v>59628</v>
      </c>
      <c r="BE559" s="467">
        <f t="shared" ca="1" si="401"/>
        <v>59656</v>
      </c>
      <c r="BF559" s="468">
        <f ca="1">IF(計算!$BC559&lt;OP!$C$3,0,BD559-BC559)</f>
        <v>1</v>
      </c>
      <c r="BG559" s="468">
        <f ca="1">IF($BE559&gt;DATE(YEAR($BD$9)+OP!$C$57,MONTH($BD$9),DAY($BD$9)),0,$BE559-$BD559+1)</f>
        <v>29</v>
      </c>
      <c r="BH559" s="469">
        <f t="shared" ca="1" si="402"/>
        <v>30</v>
      </c>
      <c r="BI559" t="str">
        <f t="shared" si="418"/>
        <v/>
      </c>
      <c r="BJ559">
        <v>10</v>
      </c>
      <c r="BN559" s="468">
        <f t="shared" si="414"/>
        <v>46</v>
      </c>
      <c r="BO559" s="468">
        <f t="shared" si="415"/>
        <v>10</v>
      </c>
      <c r="BP559" s="467">
        <f t="shared" ca="1" si="403"/>
        <v>59628</v>
      </c>
      <c r="BQ559" s="475">
        <f t="shared" ca="1" si="417"/>
        <v>78</v>
      </c>
      <c r="BR559" s="475" t="str">
        <f t="shared" si="416"/>
        <v/>
      </c>
      <c r="BS559" s="471" t="str">
        <f t="shared" si="404"/>
        <v/>
      </c>
      <c r="BT559" s="472" t="str">
        <f t="shared" si="419"/>
        <v/>
      </c>
      <c r="BU559" s="472">
        <f t="shared" ca="1" si="405"/>
        <v>0</v>
      </c>
      <c r="BV559" s="472">
        <f t="shared" ca="1" si="405"/>
        <v>0</v>
      </c>
      <c r="BW559" s="472"/>
      <c r="BX559" s="473">
        <f t="shared" ca="1" si="406"/>
        <v>711871.01305811899</v>
      </c>
      <c r="BY559" s="473">
        <f t="shared" si="407"/>
        <v>0</v>
      </c>
      <c r="BZ559" s="473">
        <f t="shared" ca="1" si="389"/>
        <v>1573.9175519729999</v>
      </c>
      <c r="CA559" s="476">
        <f t="shared" ca="1" si="408"/>
        <v>0</v>
      </c>
      <c r="CB559" s="494">
        <f ca="1">IF(OR($Q558&lt;&gt;1,OP!$D$5+$BN559-1&lt;16,$BN559-1&lt;1),0,ROUND(ROUND(ROUND(((VLOOKUP($BN559-1,MORE_PV,5,0)/10000)*VLOOKUP($BN559,MORE_PV,$CB$5,0)),3)*VLOOKUP($BN559,more1,5,0),0)/$R558,0))</f>
        <v>0</v>
      </c>
      <c r="CC559" s="473">
        <f t="shared" ca="1" si="409"/>
        <v>0</v>
      </c>
      <c r="CD559" s="477"/>
    </row>
    <row r="560" spans="2:82" ht="16.5" hidden="1">
      <c r="B560" s="80"/>
      <c r="C560" s="80"/>
      <c r="D560" s="80"/>
      <c r="E560" s="80"/>
      <c r="F560" s="80"/>
      <c r="G560" s="80"/>
      <c r="H560" s="80"/>
      <c r="I560" s="80"/>
      <c r="J560" s="192">
        <f t="shared" si="390"/>
        <v>46</v>
      </c>
      <c r="K560" s="192">
        <f t="shared" si="391"/>
        <v>12</v>
      </c>
      <c r="L560" s="192">
        <f t="shared" si="386"/>
        <v>46</v>
      </c>
      <c r="M560" s="216">
        <f t="shared" ca="1" si="392"/>
        <v>730971</v>
      </c>
      <c r="N560" s="216"/>
      <c r="O560" s="216"/>
      <c r="P560" s="216"/>
      <c r="Q560" s="456">
        <f t="shared" ca="1" si="393"/>
        <v>1</v>
      </c>
      <c r="R560" s="450">
        <f t="shared" ca="1" si="394"/>
        <v>1</v>
      </c>
      <c r="S560" s="191">
        <f t="shared" si="395"/>
        <v>46</v>
      </c>
      <c r="T560" s="191">
        <f t="shared" si="396"/>
        <v>12</v>
      </c>
      <c r="U560" s="191">
        <f ca="1">OP!$D$5+$S560-1</f>
        <v>78</v>
      </c>
      <c r="V560" s="191">
        <f t="shared" si="397"/>
        <v>46</v>
      </c>
      <c r="W560" s="350">
        <f ca="1">IF(Q560&lt;&gt;1,0,VLOOKUP(OP!$C$55,PVFB,$S560+2,0))</f>
        <v>65981</v>
      </c>
      <c r="X560" s="473">
        <f t="shared" ca="1" si="410"/>
        <v>15844</v>
      </c>
      <c r="Y560" s="348">
        <f t="shared" ca="1" si="411"/>
        <v>0</v>
      </c>
      <c r="Z560" s="348">
        <f t="shared" ca="1" si="412"/>
        <v>8012</v>
      </c>
      <c r="AA560" s="348">
        <f ca="1">IF(Q560&lt;&gt;1,0,VLOOKUP(OP!$C$55,PVFB,$S560+2,0))</f>
        <v>65981</v>
      </c>
      <c r="AB560" s="488">
        <f ca="1">IF(AND(S560&lt;OP!$C$24,$U560&lt;15),0,IF(AND($U560&lt;15,$T560=12),ROUND(VLOOKUP($S560,DOWN16,5,0),3),IF($T560=12,ROUND(($Z560/10000)*$AA560,3)+IF(AND($P$7="購買增額繳清保險",T560=12,U560=110),VLOOKUP(S560,$B$10:$H$121,7,0),0),"")))</f>
        <v>52863.976999999999</v>
      </c>
      <c r="AC560" s="350">
        <f ca="1">IF(AND(S560&lt;OP!$C$24,$U560&lt;15),0,IF(AND($U560&lt;16,$T560=12),VLOOKUP($S560,DOWN16,4,0),IF($T560=12,ROUND(VLOOKUP(OP!$C$55,_DIE2,$S560+1,0)*(Z560/10000),0)+IF(AND($P$7="購買增額繳清保險",T560=12,U560=110),VLOOKUP(S560,$B$10:$H$121,7,0),0),"")))</f>
        <v>52879</v>
      </c>
      <c r="AD560" s="347"/>
      <c r="AE560" s="350" t="str">
        <f t="shared" ca="1" si="387"/>
        <v/>
      </c>
      <c r="AF560" s="351" t="str">
        <f t="shared" ca="1" si="388"/>
        <v/>
      </c>
      <c r="AG560" s="340"/>
      <c r="AH560" s="340"/>
      <c r="AI560" s="340"/>
      <c r="AJ560" s="340"/>
      <c r="AK560" s="340"/>
      <c r="AL560" s="340"/>
      <c r="AM560" s="340"/>
      <c r="AN560" s="340"/>
      <c r="AO560" s="340"/>
      <c r="AP560" s="340"/>
      <c r="AQ560" s="340"/>
      <c r="AR560" s="340"/>
      <c r="AS560" s="340"/>
      <c r="AT560" s="340"/>
      <c r="AU560" s="340"/>
      <c r="AV560" s="340"/>
      <c r="AY560" s="340"/>
      <c r="AZ560" s="465">
        <f t="shared" ca="1" si="398"/>
        <v>7.3698599999999999E-5</v>
      </c>
      <c r="BA560" s="464">
        <f t="shared" ca="1" si="399"/>
        <v>2.2109589000000002E-3</v>
      </c>
      <c r="BB560" s="465">
        <f t="shared" ca="1" si="399"/>
        <v>2.2846575E-3</v>
      </c>
      <c r="BC560" s="466">
        <f t="shared" ca="1" si="400"/>
        <v>59657</v>
      </c>
      <c r="BD560" s="467">
        <f t="shared" ca="1" si="413"/>
        <v>59658</v>
      </c>
      <c r="BE560" s="467">
        <f t="shared" ca="1" si="401"/>
        <v>59687</v>
      </c>
      <c r="BF560" s="468">
        <f ca="1">IF(計算!$BC560&lt;OP!$C$3,0,BD560-BC560)</f>
        <v>1</v>
      </c>
      <c r="BG560" s="468">
        <f ca="1">IF($BE560&gt;DATE(YEAR($BD$9)+OP!$C$57,MONTH($BD$9),DAY($BD$9)),0,$BE560-$BD560+1)</f>
        <v>30</v>
      </c>
      <c r="BH560" s="469">
        <f t="shared" ca="1" si="402"/>
        <v>31</v>
      </c>
      <c r="BI560" t="str">
        <f t="shared" si="418"/>
        <v/>
      </c>
      <c r="BJ560">
        <v>11</v>
      </c>
      <c r="BN560" s="468">
        <f t="shared" si="414"/>
        <v>46</v>
      </c>
      <c r="BO560" s="468">
        <f t="shared" si="415"/>
        <v>11</v>
      </c>
      <c r="BP560" s="467">
        <f t="shared" ca="1" si="403"/>
        <v>59658</v>
      </c>
      <c r="BQ560" s="475">
        <f t="shared" ca="1" si="417"/>
        <v>78</v>
      </c>
      <c r="BR560" s="475" t="str">
        <f t="shared" si="416"/>
        <v/>
      </c>
      <c r="BS560" s="471" t="str">
        <f t="shared" si="404"/>
        <v/>
      </c>
      <c r="BT560" s="472" t="str">
        <f t="shared" si="419"/>
        <v/>
      </c>
      <c r="BU560" s="472">
        <f t="shared" ca="1" si="405"/>
        <v>0</v>
      </c>
      <c r="BV560" s="472">
        <f t="shared" ca="1" si="405"/>
        <v>0</v>
      </c>
      <c r="BW560" s="472"/>
      <c r="BX560" s="473">
        <f t="shared" ca="1" si="406"/>
        <v>713444.93061009201</v>
      </c>
      <c r="BY560" s="473">
        <f t="shared" si="407"/>
        <v>0</v>
      </c>
      <c r="BZ560" s="473">
        <f t="shared" ca="1" si="389"/>
        <v>1629.9773115549999</v>
      </c>
      <c r="CA560" s="476">
        <f t="shared" ca="1" si="408"/>
        <v>0</v>
      </c>
      <c r="CB560" s="494">
        <f ca="1">IF(OR($Q559&lt;&gt;1,OP!$D$5+$BN560-1&lt;16,$BN560-1&lt;1),0,ROUND(ROUND(ROUND(((VLOOKUP($BN560-1,MORE_PV,5,0)/10000)*VLOOKUP($BN560,MORE_PV,$CB$5,0)),3)*VLOOKUP($BN560,more1,5,0),0)/$R559,0))</f>
        <v>0</v>
      </c>
      <c r="CC560" s="473">
        <f t="shared" ca="1" si="409"/>
        <v>0</v>
      </c>
      <c r="CD560" s="477"/>
    </row>
    <row r="561" spans="2:82" ht="16.5" hidden="1">
      <c r="B561" s="80"/>
      <c r="C561" s="80"/>
      <c r="D561" s="80"/>
      <c r="E561" s="80"/>
      <c r="F561" s="80"/>
      <c r="G561" s="80"/>
      <c r="H561" s="80"/>
      <c r="I561" s="80"/>
      <c r="J561" s="192">
        <f t="shared" si="390"/>
        <v>47</v>
      </c>
      <c r="K561" s="192">
        <f t="shared" si="391"/>
        <v>1</v>
      </c>
      <c r="L561" s="192" t="str">
        <f t="shared" si="386"/>
        <v/>
      </c>
      <c r="M561" s="216">
        <f t="shared" ca="1" si="392"/>
        <v>0</v>
      </c>
      <c r="N561" s="216"/>
      <c r="O561" s="216"/>
      <c r="P561" s="216"/>
      <c r="Q561" s="456" t="str">
        <f t="shared" ca="1" si="393"/>
        <v/>
      </c>
      <c r="R561" s="450">
        <f t="shared" ca="1" si="394"/>
        <v>1</v>
      </c>
      <c r="S561" s="191">
        <f t="shared" si="395"/>
        <v>47</v>
      </c>
      <c r="T561" s="191">
        <f t="shared" si="396"/>
        <v>1</v>
      </c>
      <c r="U561" s="191">
        <f ca="1">OP!$D$5+$S561-1</f>
        <v>79</v>
      </c>
      <c r="V561" s="191" t="str">
        <f t="shared" si="397"/>
        <v/>
      </c>
      <c r="W561" s="350">
        <f ca="1">IF(Q561&lt;&gt;1,0,VLOOKUP(OP!$C$55,PVFB,$S561+2,0))</f>
        <v>0</v>
      </c>
      <c r="X561" s="473">
        <f t="shared" ca="1" si="410"/>
        <v>0</v>
      </c>
      <c r="Y561" s="348">
        <f t="shared" ca="1" si="411"/>
        <v>0</v>
      </c>
      <c r="Z561" s="348">
        <f t="shared" ca="1" si="412"/>
        <v>8012</v>
      </c>
      <c r="AA561" s="348">
        <f ca="1">IF(Q561&lt;&gt;1,0,VLOOKUP(OP!$C$55,PVFB,$S561+2,0))</f>
        <v>0</v>
      </c>
      <c r="AB561" s="488" t="str">
        <f ca="1">IF(AND(S561&lt;OP!$C$24,$U561&lt;15),0,IF(AND($U561&lt;15,$T561=12),ROUND(VLOOKUP($S561,DOWN16,5,0),3),IF($T561=12,ROUND(($Z561/10000)*$AA561,3)+IF(AND($P$7="購買增額繳清保險",T561=12,U561=110),VLOOKUP(S561,$B$10:$H$121,7,0),0),"")))</f>
        <v/>
      </c>
      <c r="AC561" s="350" t="str">
        <f ca="1">IF(AND(S561&lt;OP!$C$24,$U561&lt;15),0,IF(AND($U561&lt;16,$T561=12),VLOOKUP($S561,DOWN16,4,0),IF($T561=12,ROUND(VLOOKUP(OP!$C$55,_DIE2,$S561+1,0)*(Z561/10000),0)+IF(AND($P$7="購買增額繳清保險",T561=12,U561=110),VLOOKUP(S561,$B$10:$H$121,7,0),0),"")))</f>
        <v/>
      </c>
      <c r="AD561" s="347"/>
      <c r="AE561" s="350" t="str">
        <f t="shared" ca="1" si="387"/>
        <v/>
      </c>
      <c r="AF561" s="351" t="str">
        <f t="shared" ca="1" si="388"/>
        <v/>
      </c>
      <c r="AG561" s="340"/>
      <c r="AH561" s="340"/>
      <c r="AI561" s="340"/>
      <c r="AJ561" s="340"/>
      <c r="AK561" s="340"/>
      <c r="AL561" s="340"/>
      <c r="AM561" s="340"/>
      <c r="AN561" s="340"/>
      <c r="AO561" s="340"/>
      <c r="AP561" s="340"/>
      <c r="AQ561" s="340"/>
      <c r="AR561" s="340"/>
      <c r="AS561" s="340"/>
      <c r="AT561" s="340"/>
      <c r="AU561" s="340"/>
      <c r="AV561" s="340"/>
      <c r="AY561" s="340"/>
      <c r="AZ561" s="465">
        <f t="shared" ca="1" si="398"/>
        <v>7.3698599999999999E-5</v>
      </c>
      <c r="BA561" s="464">
        <f t="shared" ca="1" si="399"/>
        <v>2.1372602999999999E-3</v>
      </c>
      <c r="BB561" s="465">
        <f t="shared" ca="1" si="399"/>
        <v>2.2109589000000002E-3</v>
      </c>
      <c r="BC561" s="466">
        <f t="shared" ca="1" si="400"/>
        <v>59688</v>
      </c>
      <c r="BD561" s="467">
        <f t="shared" ca="1" si="413"/>
        <v>59689</v>
      </c>
      <c r="BE561" s="467">
        <f t="shared" ca="1" si="401"/>
        <v>59717</v>
      </c>
      <c r="BF561" s="468">
        <f ca="1">IF(計算!$BC561&lt;OP!$C$3,0,BD561-BC561)</f>
        <v>1</v>
      </c>
      <c r="BG561" s="468">
        <f ca="1">IF($BE561&gt;DATE(YEAR($BD$9)+OP!$C$57,MONTH($BD$9),DAY($BD$9)),0,$BE561-$BD561+1)</f>
        <v>29</v>
      </c>
      <c r="BH561" s="469">
        <f t="shared" ca="1" si="402"/>
        <v>30</v>
      </c>
      <c r="BI561">
        <f t="shared" ca="1" si="418"/>
        <v>365</v>
      </c>
      <c r="BJ561">
        <v>12</v>
      </c>
      <c r="BN561" s="468">
        <f t="shared" si="414"/>
        <v>46</v>
      </c>
      <c r="BO561" s="468">
        <f t="shared" si="415"/>
        <v>12</v>
      </c>
      <c r="BP561" s="467">
        <f t="shared" ca="1" si="403"/>
        <v>59689</v>
      </c>
      <c r="BQ561" s="475">
        <f t="shared" ca="1" si="417"/>
        <v>78</v>
      </c>
      <c r="BR561" s="475">
        <f t="shared" si="416"/>
        <v>46</v>
      </c>
      <c r="BS561" s="471">
        <f t="shared" ca="1" si="404"/>
        <v>15844</v>
      </c>
      <c r="BT561" s="472">
        <f t="shared" ca="1" si="419"/>
        <v>730971</v>
      </c>
      <c r="BU561" s="472">
        <f t="shared" ca="1" si="405"/>
        <v>15479</v>
      </c>
      <c r="BV561" s="472">
        <f t="shared" ca="1" si="405"/>
        <v>365</v>
      </c>
      <c r="BW561" s="472">
        <f ca="1">ROUND(SUM(BY561,BZ549:BZ560),0)</f>
        <v>18960</v>
      </c>
      <c r="BX561" s="473">
        <f t="shared" ca="1" si="406"/>
        <v>730971.60794125602</v>
      </c>
      <c r="BY561" s="473">
        <f t="shared" ca="1" si="407"/>
        <v>52.700019609000002</v>
      </c>
      <c r="BZ561" s="473">
        <f t="shared" ca="1" si="389"/>
        <v>1562.27659808</v>
      </c>
      <c r="CA561" s="476">
        <f t="shared" ca="1" si="408"/>
        <v>15479</v>
      </c>
      <c r="CB561" s="494">
        <f ca="1">IF(OR($Q560&lt;&gt;1,OP!$D$5+$BN561-1&lt;16,$BN561-1&lt;1),0,ROUND(ROUND(ROUND(((VLOOKUP($BN561-1,MORE_PV,5,0)/10000)*VLOOKUP($BN561,MORE_PV,$CB$5,0)),3)*VLOOKUP($BN561,more1,5,0),0)/$R560,0))</f>
        <v>365</v>
      </c>
      <c r="CC561" s="473">
        <f t="shared" ca="1" si="409"/>
        <v>0</v>
      </c>
      <c r="CD561" s="477"/>
    </row>
    <row r="562" spans="2:82" ht="16.5" hidden="1">
      <c r="B562" s="80"/>
      <c r="C562" s="80"/>
      <c r="D562" s="80"/>
      <c r="E562" s="80"/>
      <c r="F562" s="80"/>
      <c r="G562" s="80"/>
      <c r="H562" s="80"/>
      <c r="I562" s="80"/>
      <c r="J562" s="192">
        <f t="shared" si="390"/>
        <v>47</v>
      </c>
      <c r="K562" s="192">
        <f t="shared" si="391"/>
        <v>2</v>
      </c>
      <c r="L562" s="192" t="str">
        <f t="shared" si="386"/>
        <v/>
      </c>
      <c r="M562" s="216">
        <f t="shared" ca="1" si="392"/>
        <v>0</v>
      </c>
      <c r="N562" s="216"/>
      <c r="O562" s="216"/>
      <c r="P562" s="216"/>
      <c r="Q562" s="456" t="str">
        <f t="shared" ca="1" si="393"/>
        <v/>
      </c>
      <c r="R562" s="450">
        <f t="shared" ca="1" si="394"/>
        <v>1</v>
      </c>
      <c r="S562" s="191">
        <f t="shared" si="395"/>
        <v>47</v>
      </c>
      <c r="T562" s="191">
        <f t="shared" si="396"/>
        <v>2</v>
      </c>
      <c r="U562" s="191">
        <f ca="1">OP!$D$5+$S562-1</f>
        <v>79</v>
      </c>
      <c r="V562" s="191" t="str">
        <f t="shared" si="397"/>
        <v/>
      </c>
      <c r="W562" s="350">
        <f ca="1">IF(Q562&lt;&gt;1,0,VLOOKUP(OP!$C$55,PVFB,$S562+2,0))</f>
        <v>0</v>
      </c>
      <c r="X562" s="473">
        <f t="shared" ca="1" si="410"/>
        <v>0</v>
      </c>
      <c r="Y562" s="348">
        <f t="shared" ca="1" si="411"/>
        <v>0</v>
      </c>
      <c r="Z562" s="348">
        <f t="shared" ca="1" si="412"/>
        <v>8012</v>
      </c>
      <c r="AA562" s="348">
        <f ca="1">IF(Q562&lt;&gt;1,0,VLOOKUP(OP!$C$55,PVFB,$S562+2,0))</f>
        <v>0</v>
      </c>
      <c r="AB562" s="488" t="str">
        <f ca="1">IF(AND(S562&lt;OP!$C$24,$U562&lt;15),0,IF(AND($U562&lt;15,$T562=12),ROUND(VLOOKUP($S562,DOWN16,5,0),3),IF($T562=12,ROUND(($Z562/10000)*$AA562,3)+IF(AND($P$7="購買增額繳清保險",T562=12,U562=110),VLOOKUP(S562,$B$10:$H$121,7,0),0),"")))</f>
        <v/>
      </c>
      <c r="AC562" s="350" t="str">
        <f ca="1">IF(AND(S562&lt;OP!$C$24,$U562&lt;15),0,IF(AND($U562&lt;16,$T562=12),VLOOKUP($S562,DOWN16,4,0),IF($T562=12,ROUND(VLOOKUP(OP!$C$55,_DIE2,$S562+1,0)*(Z562/10000),0)+IF(AND($P$7="購買增額繳清保險",T562=12,U562=110),VLOOKUP(S562,$B$10:$H$121,7,0),0),"")))</f>
        <v/>
      </c>
      <c r="AD562" s="347"/>
      <c r="AE562" s="350" t="str">
        <f t="shared" ca="1" si="387"/>
        <v/>
      </c>
      <c r="AF562" s="351" t="str">
        <f t="shared" ca="1" si="388"/>
        <v/>
      </c>
      <c r="AG562" s="340"/>
      <c r="AH562" s="340"/>
      <c r="AI562" s="340"/>
      <c r="AJ562" s="340"/>
      <c r="AK562" s="340"/>
      <c r="AL562" s="340"/>
      <c r="AM562" s="340"/>
      <c r="AN562" s="340"/>
      <c r="AO562" s="340"/>
      <c r="AP562" s="340"/>
      <c r="AQ562" s="340"/>
      <c r="AR562" s="340"/>
      <c r="AS562" s="340"/>
      <c r="AT562" s="340"/>
      <c r="AU562" s="340"/>
      <c r="AV562" s="340"/>
      <c r="AY562" s="340"/>
      <c r="AZ562" s="465">
        <f t="shared" ca="1" si="398"/>
        <v>7.3698599999999999E-5</v>
      </c>
      <c r="BA562" s="464">
        <f t="shared" ca="1" si="399"/>
        <v>2.2109589000000002E-3</v>
      </c>
      <c r="BB562" s="465">
        <f t="shared" ca="1" si="399"/>
        <v>2.2846575E-3</v>
      </c>
      <c r="BC562" s="466">
        <f t="shared" ca="1" si="400"/>
        <v>59718</v>
      </c>
      <c r="BD562" s="467">
        <f t="shared" ca="1" si="413"/>
        <v>59719</v>
      </c>
      <c r="BE562" s="467">
        <f t="shared" ca="1" si="401"/>
        <v>59748</v>
      </c>
      <c r="BF562" s="468">
        <f ca="1">IF(計算!$BC562&lt;OP!$C$3,0,BD562-BC562)</f>
        <v>1</v>
      </c>
      <c r="BG562" s="468">
        <f ca="1">IF($BE562&gt;DATE(YEAR($BD$9)+OP!$C$57,MONTH($BD$9),DAY($BD$9)),0,$BE562-$BD562+1)</f>
        <v>30</v>
      </c>
      <c r="BH562" s="469">
        <f t="shared" ca="1" si="402"/>
        <v>31</v>
      </c>
      <c r="BI562" t="str">
        <f t="shared" si="418"/>
        <v/>
      </c>
      <c r="BJ562">
        <v>1</v>
      </c>
      <c r="BN562" s="468">
        <f t="shared" si="414"/>
        <v>47</v>
      </c>
      <c r="BO562" s="468">
        <f t="shared" si="415"/>
        <v>1</v>
      </c>
      <c r="BP562" s="467">
        <f t="shared" ca="1" si="403"/>
        <v>59719</v>
      </c>
      <c r="BQ562" s="475">
        <f t="shared" ca="1" si="417"/>
        <v>79</v>
      </c>
      <c r="BR562" s="475" t="str">
        <f t="shared" si="416"/>
        <v/>
      </c>
      <c r="BS562" s="471" t="str">
        <f t="shared" si="404"/>
        <v/>
      </c>
      <c r="BT562" s="472" t="str">
        <f t="shared" si="419"/>
        <v/>
      </c>
      <c r="BU562" s="472">
        <f t="shared" ca="1" si="405"/>
        <v>0</v>
      </c>
      <c r="BV562" s="472">
        <f t="shared" ca="1" si="405"/>
        <v>0</v>
      </c>
      <c r="BW562" s="472"/>
      <c r="BX562" s="473">
        <f t="shared" ca="1" si="406"/>
        <v>732533.88453933597</v>
      </c>
      <c r="BY562" s="473">
        <f t="shared" si="407"/>
        <v>0</v>
      </c>
      <c r="BZ562" s="473">
        <f t="shared" ca="1" si="389"/>
        <v>1673.589033317</v>
      </c>
      <c r="CA562" s="476">
        <f t="shared" ca="1" si="408"/>
        <v>0</v>
      </c>
      <c r="CB562" s="494">
        <f ca="1">IF(OR($Q561&lt;&gt;1,OP!$D$5+$BN562-1&lt;16,$BN562-1&lt;1),0,ROUND(ROUND(ROUND(((VLOOKUP($BN562-1,MORE_PV,5,0)/10000)*VLOOKUP($BN562,MORE_PV,$CB$5,0)),3)*VLOOKUP($BN562,more1,5,0),0)/$R561,0))</f>
        <v>0</v>
      </c>
      <c r="CC562" s="473">
        <f t="shared" ca="1" si="409"/>
        <v>0</v>
      </c>
      <c r="CD562" s="477"/>
    </row>
    <row r="563" spans="2:82" ht="16.5" hidden="1">
      <c r="B563" s="80"/>
      <c r="C563" s="80"/>
      <c r="D563" s="80"/>
      <c r="E563" s="80"/>
      <c r="F563" s="80"/>
      <c r="G563" s="80"/>
      <c r="H563" s="80"/>
      <c r="I563" s="80"/>
      <c r="J563" s="192">
        <f t="shared" si="390"/>
        <v>47</v>
      </c>
      <c r="K563" s="192">
        <f t="shared" si="391"/>
        <v>3</v>
      </c>
      <c r="L563" s="192" t="str">
        <f t="shared" si="386"/>
        <v/>
      </c>
      <c r="M563" s="216">
        <f t="shared" ca="1" si="392"/>
        <v>0</v>
      </c>
      <c r="N563" s="216"/>
      <c r="O563" s="216"/>
      <c r="P563" s="216"/>
      <c r="Q563" s="456" t="str">
        <f t="shared" ca="1" si="393"/>
        <v/>
      </c>
      <c r="R563" s="450">
        <f t="shared" ca="1" si="394"/>
        <v>1</v>
      </c>
      <c r="S563" s="191">
        <f t="shared" si="395"/>
        <v>47</v>
      </c>
      <c r="T563" s="191">
        <f t="shared" si="396"/>
        <v>3</v>
      </c>
      <c r="U563" s="191">
        <f ca="1">OP!$D$5+$S563-1</f>
        <v>79</v>
      </c>
      <c r="V563" s="191" t="str">
        <f t="shared" si="397"/>
        <v/>
      </c>
      <c r="W563" s="350">
        <f ca="1">IF(Q563&lt;&gt;1,0,VLOOKUP(OP!$C$55,PVFB,$S563+2,0))</f>
        <v>0</v>
      </c>
      <c r="X563" s="473">
        <f t="shared" ca="1" si="410"/>
        <v>0</v>
      </c>
      <c r="Y563" s="348">
        <f t="shared" ca="1" si="411"/>
        <v>0</v>
      </c>
      <c r="Z563" s="348">
        <f t="shared" ca="1" si="412"/>
        <v>8012</v>
      </c>
      <c r="AA563" s="348">
        <f ca="1">IF(Q563&lt;&gt;1,0,VLOOKUP(OP!$C$55,PVFB,$S563+2,0))</f>
        <v>0</v>
      </c>
      <c r="AB563" s="488" t="str">
        <f ca="1">IF(AND(S563&lt;OP!$C$24,$U563&lt;15),0,IF(AND($U563&lt;15,$T563=12),ROUND(VLOOKUP($S563,DOWN16,5,0),3),IF($T563=12,ROUND(($Z563/10000)*$AA563,3)+IF(AND($P$7="購買增額繳清保險",T563=12,U563=110),VLOOKUP(S563,$B$10:$H$121,7,0),0),"")))</f>
        <v/>
      </c>
      <c r="AC563" s="350" t="str">
        <f ca="1">IF(AND(S563&lt;OP!$C$24,$U563&lt;15),0,IF(AND($U563&lt;16,$T563=12),VLOOKUP($S563,DOWN16,4,0),IF($T563=12,ROUND(VLOOKUP(OP!$C$55,_DIE2,$S563+1,0)*(Z563/10000),0)+IF(AND($P$7="購買增額繳清保險",T563=12,U563=110),VLOOKUP(S563,$B$10:$H$121,7,0),0),"")))</f>
        <v/>
      </c>
      <c r="AD563" s="347"/>
      <c r="AE563" s="350" t="str">
        <f t="shared" ca="1" si="387"/>
        <v/>
      </c>
      <c r="AF563" s="351" t="str">
        <f t="shared" ca="1" si="388"/>
        <v/>
      </c>
      <c r="AG563" s="340"/>
      <c r="AH563" s="340"/>
      <c r="AI563" s="340"/>
      <c r="AJ563" s="340"/>
      <c r="AK563" s="340"/>
      <c r="AL563" s="340"/>
      <c r="AM563" s="340"/>
      <c r="AN563" s="340"/>
      <c r="AO563" s="340"/>
      <c r="AP563" s="340"/>
      <c r="AQ563" s="340"/>
      <c r="AR563" s="340"/>
      <c r="AS563" s="340"/>
      <c r="AT563" s="340"/>
      <c r="AU563" s="340"/>
      <c r="AV563" s="340"/>
      <c r="AY563" s="340"/>
      <c r="AZ563" s="465">
        <f t="shared" ca="1" si="398"/>
        <v>7.3698599999999999E-5</v>
      </c>
      <c r="BA563" s="464">
        <f t="shared" ca="1" si="399"/>
        <v>2.2109589000000002E-3</v>
      </c>
      <c r="BB563" s="465">
        <f t="shared" ca="1" si="399"/>
        <v>2.2846575E-3</v>
      </c>
      <c r="BC563" s="466">
        <f t="shared" ca="1" si="400"/>
        <v>59749</v>
      </c>
      <c r="BD563" s="467">
        <f t="shared" ca="1" si="413"/>
        <v>59750</v>
      </c>
      <c r="BE563" s="467">
        <f t="shared" ca="1" si="401"/>
        <v>59779</v>
      </c>
      <c r="BF563" s="468">
        <f ca="1">IF(計算!$BC563&lt;OP!$C$3,0,BD563-BC563)</f>
        <v>1</v>
      </c>
      <c r="BG563" s="468">
        <f ca="1">IF($BE563&gt;DATE(YEAR($BD$9)+OP!$C$57,MONTH($BD$9),DAY($BD$9)),0,$BE563-$BD563+1)</f>
        <v>30</v>
      </c>
      <c r="BH563" s="469">
        <f t="shared" ca="1" si="402"/>
        <v>31</v>
      </c>
      <c r="BI563" t="str">
        <f t="shared" si="418"/>
        <v/>
      </c>
      <c r="BJ563">
        <v>2</v>
      </c>
      <c r="BN563" s="468">
        <f t="shared" si="414"/>
        <v>47</v>
      </c>
      <c r="BO563" s="468">
        <f t="shared" si="415"/>
        <v>2</v>
      </c>
      <c r="BP563" s="467">
        <f t="shared" ca="1" si="403"/>
        <v>59750</v>
      </c>
      <c r="BQ563" s="475">
        <f t="shared" ca="1" si="417"/>
        <v>79</v>
      </c>
      <c r="BR563" s="475" t="str">
        <f t="shared" si="416"/>
        <v/>
      </c>
      <c r="BS563" s="471" t="str">
        <f t="shared" si="404"/>
        <v/>
      </c>
      <c r="BT563" s="472" t="str">
        <f t="shared" si="419"/>
        <v/>
      </c>
      <c r="BU563" s="472">
        <f t="shared" ca="1" si="405"/>
        <v>0</v>
      </c>
      <c r="BV563" s="472">
        <f t="shared" ca="1" si="405"/>
        <v>0</v>
      </c>
      <c r="BW563" s="472"/>
      <c r="BX563" s="473">
        <f t="shared" ca="1" si="406"/>
        <v>734207.47357265302</v>
      </c>
      <c r="BY563" s="473">
        <f t="shared" si="407"/>
        <v>0</v>
      </c>
      <c r="BZ563" s="473">
        <f t="shared" ca="1" si="389"/>
        <v>1677.4126110540001</v>
      </c>
      <c r="CA563" s="476">
        <f t="shared" ca="1" si="408"/>
        <v>0</v>
      </c>
      <c r="CB563" s="494">
        <f ca="1">IF(OR($Q562&lt;&gt;1,OP!$D$5+$BN563-1&lt;16,$BN563-1&lt;1),0,ROUND(ROUND(ROUND(((VLOOKUP($BN563-1,MORE_PV,5,0)/10000)*VLOOKUP($BN563,MORE_PV,$CB$5,0)),3)*VLOOKUP($BN563,more1,5,0),0)/$R562,0))</f>
        <v>0</v>
      </c>
      <c r="CC563" s="473">
        <f t="shared" ca="1" si="409"/>
        <v>0</v>
      </c>
      <c r="CD563" s="477"/>
    </row>
    <row r="564" spans="2:82" ht="16.5" hidden="1">
      <c r="B564" s="80"/>
      <c r="C564" s="80"/>
      <c r="D564" s="80"/>
      <c r="E564" s="80"/>
      <c r="F564" s="80"/>
      <c r="G564" s="80"/>
      <c r="H564" s="80"/>
      <c r="I564" s="80"/>
      <c r="J564" s="192">
        <f t="shared" si="390"/>
        <v>47</v>
      </c>
      <c r="K564" s="192">
        <f t="shared" si="391"/>
        <v>4</v>
      </c>
      <c r="L564" s="192" t="str">
        <f t="shared" si="386"/>
        <v/>
      </c>
      <c r="M564" s="216">
        <f t="shared" ca="1" si="392"/>
        <v>0</v>
      </c>
      <c r="N564" s="216"/>
      <c r="O564" s="216"/>
      <c r="P564" s="216"/>
      <c r="Q564" s="456" t="str">
        <f t="shared" ca="1" si="393"/>
        <v/>
      </c>
      <c r="R564" s="450">
        <f t="shared" ca="1" si="394"/>
        <v>1</v>
      </c>
      <c r="S564" s="191">
        <f t="shared" si="395"/>
        <v>47</v>
      </c>
      <c r="T564" s="191">
        <f t="shared" si="396"/>
        <v>4</v>
      </c>
      <c r="U564" s="191">
        <f ca="1">OP!$D$5+$S564-1</f>
        <v>79</v>
      </c>
      <c r="V564" s="191" t="str">
        <f t="shared" si="397"/>
        <v/>
      </c>
      <c r="W564" s="350">
        <f ca="1">IF(Q564&lt;&gt;1,0,VLOOKUP(OP!$C$55,PVFB,$S564+2,0))</f>
        <v>0</v>
      </c>
      <c r="X564" s="473">
        <f t="shared" ca="1" si="410"/>
        <v>0</v>
      </c>
      <c r="Y564" s="348">
        <f t="shared" ca="1" si="411"/>
        <v>0</v>
      </c>
      <c r="Z564" s="348">
        <f t="shared" ca="1" si="412"/>
        <v>8012</v>
      </c>
      <c r="AA564" s="348">
        <f ca="1">IF(Q564&lt;&gt;1,0,VLOOKUP(OP!$C$55,PVFB,$S564+2,0))</f>
        <v>0</v>
      </c>
      <c r="AB564" s="488" t="str">
        <f ca="1">IF(AND(S564&lt;OP!$C$24,$U564&lt;15),0,IF(AND($U564&lt;15,$T564=12),ROUND(VLOOKUP($S564,DOWN16,5,0),3),IF($T564=12,ROUND(($Z564/10000)*$AA564,3)+IF(AND($P$7="購買增額繳清保險",T564=12,U564=110),VLOOKUP(S564,$B$10:$H$121,7,0),0),"")))</f>
        <v/>
      </c>
      <c r="AC564" s="350" t="str">
        <f ca="1">IF(AND(S564&lt;OP!$C$24,$U564&lt;15),0,IF(AND($U564&lt;16,$T564=12),VLOOKUP($S564,DOWN16,4,0),IF($T564=12,ROUND(VLOOKUP(OP!$C$55,_DIE2,$S564+1,0)*(Z564/10000),0)+IF(AND($P$7="購買增額繳清保險",T564=12,U564=110),VLOOKUP(S564,$B$10:$H$121,7,0),0),"")))</f>
        <v/>
      </c>
      <c r="AD564" s="347"/>
      <c r="AE564" s="350" t="str">
        <f t="shared" ca="1" si="387"/>
        <v/>
      </c>
      <c r="AF564" s="351" t="str">
        <f t="shared" ca="1" si="388"/>
        <v/>
      </c>
      <c r="AG564" s="340"/>
      <c r="AH564" s="340"/>
      <c r="AI564" s="340"/>
      <c r="AJ564" s="340"/>
      <c r="AK564" s="340"/>
      <c r="AL564" s="340"/>
      <c r="AM564" s="340"/>
      <c r="AN564" s="340"/>
      <c r="AO564" s="340"/>
      <c r="AP564" s="340"/>
      <c r="AQ564" s="340"/>
      <c r="AR564" s="340"/>
      <c r="AS564" s="340"/>
      <c r="AT564" s="340"/>
      <c r="AU564" s="340"/>
      <c r="AV564" s="340"/>
      <c r="AY564" s="340"/>
      <c r="AZ564" s="465">
        <f t="shared" ca="1" si="398"/>
        <v>7.3698599999999999E-5</v>
      </c>
      <c r="BA564" s="464">
        <f t="shared" ca="1" si="399"/>
        <v>2.1372602999999999E-3</v>
      </c>
      <c r="BB564" s="465">
        <f t="shared" ca="1" si="399"/>
        <v>2.2109589000000002E-3</v>
      </c>
      <c r="BC564" s="466">
        <f t="shared" ca="1" si="400"/>
        <v>59780</v>
      </c>
      <c r="BD564" s="467">
        <f t="shared" ca="1" si="413"/>
        <v>59781</v>
      </c>
      <c r="BE564" s="467">
        <f t="shared" ca="1" si="401"/>
        <v>59809</v>
      </c>
      <c r="BF564" s="468">
        <f ca="1">IF(計算!$BC564&lt;OP!$C$3,0,BD564-BC564)</f>
        <v>1</v>
      </c>
      <c r="BG564" s="468">
        <f ca="1">IF($BE564&gt;DATE(YEAR($BD$9)+OP!$C$57,MONTH($BD$9),DAY($BD$9)),0,$BE564-$BD564+1)</f>
        <v>29</v>
      </c>
      <c r="BH564" s="469">
        <f t="shared" ca="1" si="402"/>
        <v>30</v>
      </c>
      <c r="BI564" t="str">
        <f t="shared" si="418"/>
        <v/>
      </c>
      <c r="BJ564">
        <v>3</v>
      </c>
      <c r="BN564" s="468">
        <f t="shared" si="414"/>
        <v>47</v>
      </c>
      <c r="BO564" s="468">
        <f t="shared" si="415"/>
        <v>3</v>
      </c>
      <c r="BP564" s="467">
        <f t="shared" ca="1" si="403"/>
        <v>59781</v>
      </c>
      <c r="BQ564" s="475">
        <f t="shared" ca="1" si="417"/>
        <v>79</v>
      </c>
      <c r="BR564" s="475" t="str">
        <f t="shared" si="416"/>
        <v/>
      </c>
      <c r="BS564" s="471" t="str">
        <f t="shared" si="404"/>
        <v/>
      </c>
      <c r="BT564" s="472" t="str">
        <f t="shared" si="419"/>
        <v/>
      </c>
      <c r="BU564" s="472">
        <f t="shared" ca="1" si="405"/>
        <v>0</v>
      </c>
      <c r="BV564" s="472">
        <f t="shared" ca="1" si="405"/>
        <v>0</v>
      </c>
      <c r="BW564" s="472"/>
      <c r="BX564" s="473">
        <f t="shared" ca="1" si="406"/>
        <v>735884.88618370704</v>
      </c>
      <c r="BY564" s="473">
        <f t="shared" si="407"/>
        <v>0</v>
      </c>
      <c r="BZ564" s="473">
        <f t="shared" ca="1" si="389"/>
        <v>1627.0112384829999</v>
      </c>
      <c r="CA564" s="476">
        <f t="shared" ca="1" si="408"/>
        <v>0</v>
      </c>
      <c r="CB564" s="494">
        <f ca="1">IF(OR($Q563&lt;&gt;1,OP!$D$5+$BN564-1&lt;16,$BN564-1&lt;1),0,ROUND(ROUND(ROUND(((VLOOKUP($BN564-1,MORE_PV,5,0)/10000)*VLOOKUP($BN564,MORE_PV,$CB$5,0)),3)*VLOOKUP($BN564,more1,5,0),0)/$R563,0))</f>
        <v>0</v>
      </c>
      <c r="CC564" s="473">
        <f t="shared" ca="1" si="409"/>
        <v>0</v>
      </c>
      <c r="CD564" s="477"/>
    </row>
    <row r="565" spans="2:82" ht="16.5" hidden="1">
      <c r="B565" s="80"/>
      <c r="C565" s="80"/>
      <c r="D565" s="80"/>
      <c r="E565" s="80"/>
      <c r="F565" s="80"/>
      <c r="G565" s="80"/>
      <c r="H565" s="80"/>
      <c r="I565" s="80"/>
      <c r="J565" s="192">
        <f t="shared" si="390"/>
        <v>47</v>
      </c>
      <c r="K565" s="192">
        <f t="shared" si="391"/>
        <v>5</v>
      </c>
      <c r="L565" s="192" t="str">
        <f t="shared" si="386"/>
        <v/>
      </c>
      <c r="M565" s="216">
        <f t="shared" ca="1" si="392"/>
        <v>0</v>
      </c>
      <c r="N565" s="216"/>
      <c r="O565" s="216"/>
      <c r="P565" s="216"/>
      <c r="Q565" s="456" t="str">
        <f t="shared" ca="1" si="393"/>
        <v/>
      </c>
      <c r="R565" s="450">
        <f t="shared" ca="1" si="394"/>
        <v>1</v>
      </c>
      <c r="S565" s="191">
        <f t="shared" si="395"/>
        <v>47</v>
      </c>
      <c r="T565" s="191">
        <f t="shared" si="396"/>
        <v>5</v>
      </c>
      <c r="U565" s="191">
        <f ca="1">OP!$D$5+$S565-1</f>
        <v>79</v>
      </c>
      <c r="V565" s="191" t="str">
        <f t="shared" si="397"/>
        <v/>
      </c>
      <c r="W565" s="350">
        <f ca="1">IF(Q565&lt;&gt;1,0,VLOOKUP(OP!$C$55,PVFB,$S565+2,0))</f>
        <v>0</v>
      </c>
      <c r="X565" s="473">
        <f t="shared" ca="1" si="410"/>
        <v>0</v>
      </c>
      <c r="Y565" s="348">
        <f t="shared" ca="1" si="411"/>
        <v>0</v>
      </c>
      <c r="Z565" s="348">
        <f t="shared" ca="1" si="412"/>
        <v>8012</v>
      </c>
      <c r="AA565" s="348">
        <f ca="1">IF(Q565&lt;&gt;1,0,VLOOKUP(OP!$C$55,PVFB,$S565+2,0))</f>
        <v>0</v>
      </c>
      <c r="AB565" s="488" t="str">
        <f ca="1">IF(AND(S565&lt;OP!$C$24,$U565&lt;15),0,IF(AND($U565&lt;15,$T565=12),ROUND(VLOOKUP($S565,DOWN16,5,0),3),IF($T565=12,ROUND(($Z565/10000)*$AA565,3)+IF(AND($P$7="購買增額繳清保險",T565=12,U565=110),VLOOKUP(S565,$B$10:$H$121,7,0),0),"")))</f>
        <v/>
      </c>
      <c r="AC565" s="350" t="str">
        <f ca="1">IF(AND(S565&lt;OP!$C$24,$U565&lt;15),0,IF(AND($U565&lt;16,$T565=12),VLOOKUP($S565,DOWN16,4,0),IF($T565=12,ROUND(VLOOKUP(OP!$C$55,_DIE2,$S565+1,0)*(Z565/10000),0)+IF(AND($P$7="購買增額繳清保險",T565=12,U565=110),VLOOKUP(S565,$B$10:$H$121,7,0),0),"")))</f>
        <v/>
      </c>
      <c r="AD565" s="347"/>
      <c r="AE565" s="350" t="str">
        <f t="shared" ca="1" si="387"/>
        <v/>
      </c>
      <c r="AF565" s="351" t="str">
        <f t="shared" ca="1" si="388"/>
        <v/>
      </c>
      <c r="AG565" s="340"/>
      <c r="AH565" s="340"/>
      <c r="AI565" s="340"/>
      <c r="AJ565" s="340"/>
      <c r="AK565" s="340"/>
      <c r="AL565" s="340"/>
      <c r="AM565" s="340"/>
      <c r="AN565" s="340"/>
      <c r="AO565" s="340"/>
      <c r="AP565" s="340"/>
      <c r="AQ565" s="340"/>
      <c r="AR565" s="340"/>
      <c r="AS565" s="340"/>
      <c r="AT565" s="340"/>
      <c r="AU565" s="340"/>
      <c r="AV565" s="340"/>
      <c r="AY565" s="340"/>
      <c r="AZ565" s="465">
        <f t="shared" ca="1" si="398"/>
        <v>7.3698599999999999E-5</v>
      </c>
      <c r="BA565" s="464">
        <f t="shared" ca="1" si="399"/>
        <v>2.2109589000000002E-3</v>
      </c>
      <c r="BB565" s="465">
        <f t="shared" ca="1" si="399"/>
        <v>2.2846575E-3</v>
      </c>
      <c r="BC565" s="466">
        <f t="shared" ca="1" si="400"/>
        <v>59810</v>
      </c>
      <c r="BD565" s="467">
        <f t="shared" ca="1" si="413"/>
        <v>59811</v>
      </c>
      <c r="BE565" s="467">
        <f t="shared" ca="1" si="401"/>
        <v>59840</v>
      </c>
      <c r="BF565" s="468">
        <f ca="1">IF(計算!$BC565&lt;OP!$C$3,0,BD565-BC565)</f>
        <v>1</v>
      </c>
      <c r="BG565" s="468">
        <f ca="1">IF($BE565&gt;DATE(YEAR($BD$9)+OP!$C$57,MONTH($BD$9),DAY($BD$9)),0,$BE565-$BD565+1)</f>
        <v>30</v>
      </c>
      <c r="BH565" s="469">
        <f t="shared" ca="1" si="402"/>
        <v>31</v>
      </c>
      <c r="BI565" t="str">
        <f t="shared" si="418"/>
        <v/>
      </c>
      <c r="BJ565">
        <v>4</v>
      </c>
      <c r="BN565" s="468">
        <f t="shared" si="414"/>
        <v>47</v>
      </c>
      <c r="BO565" s="468">
        <f t="shared" si="415"/>
        <v>4</v>
      </c>
      <c r="BP565" s="467">
        <f t="shared" ca="1" si="403"/>
        <v>59811</v>
      </c>
      <c r="BQ565" s="475">
        <f t="shared" ca="1" si="417"/>
        <v>79</v>
      </c>
      <c r="BR565" s="475" t="str">
        <f t="shared" si="416"/>
        <v/>
      </c>
      <c r="BS565" s="471" t="str">
        <f t="shared" si="404"/>
        <v/>
      </c>
      <c r="BT565" s="472" t="str">
        <f t="shared" si="419"/>
        <v/>
      </c>
      <c r="BU565" s="472">
        <f t="shared" ca="1" si="405"/>
        <v>0</v>
      </c>
      <c r="BV565" s="472">
        <f t="shared" ca="1" si="405"/>
        <v>0</v>
      </c>
      <c r="BW565" s="472"/>
      <c r="BX565" s="473">
        <f t="shared" ca="1" si="406"/>
        <v>737511.89742219006</v>
      </c>
      <c r="BY565" s="473">
        <f t="shared" si="407"/>
        <v>0</v>
      </c>
      <c r="BZ565" s="473">
        <f t="shared" ca="1" si="389"/>
        <v>1684.962087785</v>
      </c>
      <c r="CA565" s="476">
        <f t="shared" ca="1" si="408"/>
        <v>0</v>
      </c>
      <c r="CB565" s="494">
        <f ca="1">IF(OR($Q564&lt;&gt;1,OP!$D$5+$BN565-1&lt;16,$BN565-1&lt;1),0,ROUND(ROUND(ROUND(((VLOOKUP($BN565-1,MORE_PV,5,0)/10000)*VLOOKUP($BN565,MORE_PV,$CB$5,0)),3)*VLOOKUP($BN565,more1,5,0),0)/$R564,0))</f>
        <v>0</v>
      </c>
      <c r="CC565" s="473">
        <f t="shared" ca="1" si="409"/>
        <v>0</v>
      </c>
      <c r="CD565" s="477"/>
    </row>
    <row r="566" spans="2:82" ht="16.5" hidden="1">
      <c r="B566" s="80"/>
      <c r="C566" s="80"/>
      <c r="D566" s="80"/>
      <c r="E566" s="80"/>
      <c r="F566" s="80"/>
      <c r="G566" s="80"/>
      <c r="H566" s="80"/>
      <c r="I566" s="80"/>
      <c r="J566" s="192">
        <f t="shared" si="390"/>
        <v>47</v>
      </c>
      <c r="K566" s="192">
        <f t="shared" si="391"/>
        <v>6</v>
      </c>
      <c r="L566" s="192" t="str">
        <f t="shared" si="386"/>
        <v/>
      </c>
      <c r="M566" s="216">
        <f t="shared" ca="1" si="392"/>
        <v>0</v>
      </c>
      <c r="N566" s="216"/>
      <c r="O566" s="216"/>
      <c r="P566" s="216"/>
      <c r="Q566" s="456" t="str">
        <f t="shared" ca="1" si="393"/>
        <v/>
      </c>
      <c r="R566" s="450">
        <f t="shared" ca="1" si="394"/>
        <v>1</v>
      </c>
      <c r="S566" s="191">
        <f t="shared" si="395"/>
        <v>47</v>
      </c>
      <c r="T566" s="191">
        <f t="shared" si="396"/>
        <v>6</v>
      </c>
      <c r="U566" s="191">
        <f ca="1">OP!$D$5+$S566-1</f>
        <v>79</v>
      </c>
      <c r="V566" s="191" t="str">
        <f t="shared" si="397"/>
        <v/>
      </c>
      <c r="W566" s="350">
        <f ca="1">IF(Q566&lt;&gt;1,0,VLOOKUP(OP!$C$55,PVFB,$S566+2,0))</f>
        <v>0</v>
      </c>
      <c r="X566" s="473">
        <f t="shared" ca="1" si="410"/>
        <v>0</v>
      </c>
      <c r="Y566" s="348">
        <f t="shared" ca="1" si="411"/>
        <v>0</v>
      </c>
      <c r="Z566" s="348">
        <f t="shared" ca="1" si="412"/>
        <v>8012</v>
      </c>
      <c r="AA566" s="348">
        <f ca="1">IF(Q566&lt;&gt;1,0,VLOOKUP(OP!$C$55,PVFB,$S566+2,0))</f>
        <v>0</v>
      </c>
      <c r="AB566" s="488" t="str">
        <f ca="1">IF(AND(S566&lt;OP!$C$24,$U566&lt;15),0,IF(AND($U566&lt;15,$T566=12),ROUND(VLOOKUP($S566,DOWN16,5,0),3),IF($T566=12,ROUND(($Z566/10000)*$AA566,3)+IF(AND($P$7="購買增額繳清保險",T566=12,U566=110),VLOOKUP(S566,$B$10:$H$121,7,0),0),"")))</f>
        <v/>
      </c>
      <c r="AC566" s="350" t="str">
        <f ca="1">IF(AND(S566&lt;OP!$C$24,$U566&lt;15),0,IF(AND($U566&lt;16,$T566=12),VLOOKUP($S566,DOWN16,4,0),IF($T566=12,ROUND(VLOOKUP(OP!$C$55,_DIE2,$S566+1,0)*(Z566/10000),0)+IF(AND($P$7="購買增額繳清保險",T566=12,U566=110),VLOOKUP(S566,$B$10:$H$121,7,0),0),"")))</f>
        <v/>
      </c>
      <c r="AD566" s="347"/>
      <c r="AE566" s="350" t="str">
        <f t="shared" ca="1" si="387"/>
        <v/>
      </c>
      <c r="AF566" s="351" t="str">
        <f t="shared" ca="1" si="388"/>
        <v/>
      </c>
      <c r="AG566" s="340"/>
      <c r="AH566" s="340"/>
      <c r="AI566" s="340"/>
      <c r="AJ566" s="340"/>
      <c r="AK566" s="340"/>
      <c r="AL566" s="340"/>
      <c r="AM566" s="340"/>
      <c r="AN566" s="340"/>
      <c r="AO566" s="340"/>
      <c r="AP566" s="340"/>
      <c r="AQ566" s="340"/>
      <c r="AR566" s="340"/>
      <c r="AS566" s="340"/>
      <c r="AT566" s="340"/>
      <c r="AU566" s="340"/>
      <c r="AV566" s="340"/>
      <c r="AY566" s="340"/>
      <c r="AZ566" s="465">
        <f t="shared" ca="1" si="398"/>
        <v>7.3698599999999999E-5</v>
      </c>
      <c r="BA566" s="464">
        <f t="shared" ca="1" si="399"/>
        <v>2.1372602999999999E-3</v>
      </c>
      <c r="BB566" s="465">
        <f t="shared" ca="1" si="399"/>
        <v>2.2109589000000002E-3</v>
      </c>
      <c r="BC566" s="466">
        <f t="shared" ca="1" si="400"/>
        <v>59841</v>
      </c>
      <c r="BD566" s="467">
        <f t="shared" ca="1" si="413"/>
        <v>59842</v>
      </c>
      <c r="BE566" s="467">
        <f t="shared" ca="1" si="401"/>
        <v>59870</v>
      </c>
      <c r="BF566" s="468">
        <f ca="1">IF(計算!$BC566&lt;OP!$C$3,0,BD566-BC566)</f>
        <v>1</v>
      </c>
      <c r="BG566" s="468">
        <f ca="1">IF($BE566&gt;DATE(YEAR($BD$9)+OP!$C$57,MONTH($BD$9),DAY($BD$9)),0,$BE566-$BD566+1)</f>
        <v>29</v>
      </c>
      <c r="BH566" s="469">
        <f t="shared" ca="1" si="402"/>
        <v>30</v>
      </c>
      <c r="BI566" t="str">
        <f t="shared" si="418"/>
        <v/>
      </c>
      <c r="BJ566">
        <v>5</v>
      </c>
      <c r="BN566" s="468">
        <f t="shared" si="414"/>
        <v>47</v>
      </c>
      <c r="BO566" s="468">
        <f t="shared" si="415"/>
        <v>5</v>
      </c>
      <c r="BP566" s="467">
        <f t="shared" ca="1" si="403"/>
        <v>59842</v>
      </c>
      <c r="BQ566" s="475">
        <f t="shared" ca="1" si="417"/>
        <v>79</v>
      </c>
      <c r="BR566" s="475" t="str">
        <f t="shared" si="416"/>
        <v/>
      </c>
      <c r="BS566" s="471" t="str">
        <f t="shared" si="404"/>
        <v/>
      </c>
      <c r="BT566" s="472" t="str">
        <f t="shared" si="419"/>
        <v/>
      </c>
      <c r="BU566" s="472">
        <f t="shared" ca="1" si="405"/>
        <v>0</v>
      </c>
      <c r="BV566" s="472">
        <f t="shared" ca="1" si="405"/>
        <v>0</v>
      </c>
      <c r="BW566" s="472"/>
      <c r="BX566" s="473">
        <f t="shared" ca="1" si="406"/>
        <v>739196.85950997495</v>
      </c>
      <c r="BY566" s="473">
        <f t="shared" si="407"/>
        <v>0</v>
      </c>
      <c r="BZ566" s="473">
        <f t="shared" ca="1" si="389"/>
        <v>1634.333875386</v>
      </c>
      <c r="CA566" s="476">
        <f t="shared" ca="1" si="408"/>
        <v>0</v>
      </c>
      <c r="CB566" s="494">
        <f ca="1">IF(OR($Q565&lt;&gt;1,OP!$D$5+$BN566-1&lt;16,$BN566-1&lt;1),0,ROUND(ROUND(ROUND(((VLOOKUP($BN566-1,MORE_PV,5,0)/10000)*VLOOKUP($BN566,MORE_PV,$CB$5,0)),3)*VLOOKUP($BN566,more1,5,0),0)/$R565,0))</f>
        <v>0</v>
      </c>
      <c r="CC566" s="473">
        <f t="shared" ca="1" si="409"/>
        <v>0</v>
      </c>
      <c r="CD566" s="477"/>
    </row>
    <row r="567" spans="2:82" ht="16.5" hidden="1">
      <c r="B567" s="80"/>
      <c r="C567" s="80"/>
      <c r="D567" s="80"/>
      <c r="E567" s="80"/>
      <c r="F567" s="80"/>
      <c r="G567" s="80"/>
      <c r="H567" s="80"/>
      <c r="I567" s="80"/>
      <c r="J567" s="192">
        <f t="shared" si="390"/>
        <v>47</v>
      </c>
      <c r="K567" s="192">
        <f t="shared" si="391"/>
        <v>7</v>
      </c>
      <c r="L567" s="192" t="str">
        <f t="shared" si="386"/>
        <v/>
      </c>
      <c r="M567" s="216">
        <f t="shared" ca="1" si="392"/>
        <v>0</v>
      </c>
      <c r="N567" s="216"/>
      <c r="O567" s="216"/>
      <c r="P567" s="216"/>
      <c r="Q567" s="456" t="str">
        <f t="shared" ca="1" si="393"/>
        <v/>
      </c>
      <c r="R567" s="450">
        <f t="shared" ca="1" si="394"/>
        <v>1</v>
      </c>
      <c r="S567" s="191">
        <f t="shared" si="395"/>
        <v>47</v>
      </c>
      <c r="T567" s="191">
        <f t="shared" si="396"/>
        <v>7</v>
      </c>
      <c r="U567" s="191">
        <f ca="1">OP!$D$5+$S567-1</f>
        <v>79</v>
      </c>
      <c r="V567" s="191" t="str">
        <f t="shared" si="397"/>
        <v/>
      </c>
      <c r="W567" s="350">
        <f ca="1">IF(Q567&lt;&gt;1,0,VLOOKUP(OP!$C$55,PVFB,$S567+2,0))</f>
        <v>0</v>
      </c>
      <c r="X567" s="473">
        <f t="shared" ca="1" si="410"/>
        <v>0</v>
      </c>
      <c r="Y567" s="348">
        <f t="shared" ca="1" si="411"/>
        <v>0</v>
      </c>
      <c r="Z567" s="348">
        <f t="shared" ca="1" si="412"/>
        <v>8012</v>
      </c>
      <c r="AA567" s="348">
        <f ca="1">IF(Q567&lt;&gt;1,0,VLOOKUP(OP!$C$55,PVFB,$S567+2,0))</f>
        <v>0</v>
      </c>
      <c r="AB567" s="488" t="str">
        <f ca="1">IF(AND(S567&lt;OP!$C$24,$U567&lt;15),0,IF(AND($U567&lt;15,$T567=12),ROUND(VLOOKUP($S567,DOWN16,5,0),3),IF($T567=12,ROUND(($Z567/10000)*$AA567,3)+IF(AND($P$7="購買增額繳清保險",T567=12,U567=110),VLOOKUP(S567,$B$10:$H$121,7,0),0),"")))</f>
        <v/>
      </c>
      <c r="AC567" s="350" t="str">
        <f ca="1">IF(AND(S567&lt;OP!$C$24,$U567&lt;15),0,IF(AND($U567&lt;16,$T567=12),VLOOKUP($S567,DOWN16,4,0),IF($T567=12,ROUND(VLOOKUP(OP!$C$55,_DIE2,$S567+1,0)*(Z567/10000),0)+IF(AND($P$7="購買增額繳清保險",T567=12,U567=110),VLOOKUP(S567,$B$10:$H$121,7,0),0),"")))</f>
        <v/>
      </c>
      <c r="AD567" s="347"/>
      <c r="AE567" s="350" t="str">
        <f t="shared" ca="1" si="387"/>
        <v/>
      </c>
      <c r="AF567" s="351" t="str">
        <f t="shared" ca="1" si="388"/>
        <v/>
      </c>
      <c r="AG567" s="340"/>
      <c r="AH567" s="340"/>
      <c r="AI567" s="340"/>
      <c r="AJ567" s="340"/>
      <c r="AK567" s="340"/>
      <c r="AL567" s="340"/>
      <c r="AM567" s="340"/>
      <c r="AN567" s="340"/>
      <c r="AO567" s="340"/>
      <c r="AP567" s="340"/>
      <c r="AQ567" s="340"/>
      <c r="AR567" s="340"/>
      <c r="AS567" s="340"/>
      <c r="AT567" s="340"/>
      <c r="AU567" s="340"/>
      <c r="AV567" s="340"/>
      <c r="AY567" s="340"/>
      <c r="AZ567" s="465">
        <f t="shared" ca="1" si="398"/>
        <v>7.3698599999999999E-5</v>
      </c>
      <c r="BA567" s="464">
        <f t="shared" ca="1" si="399"/>
        <v>2.2109589000000002E-3</v>
      </c>
      <c r="BB567" s="465">
        <f t="shared" ca="1" si="399"/>
        <v>2.2846575E-3</v>
      </c>
      <c r="BC567" s="466">
        <f t="shared" ca="1" si="400"/>
        <v>59871</v>
      </c>
      <c r="BD567" s="467">
        <f t="shared" ca="1" si="413"/>
        <v>59872</v>
      </c>
      <c r="BE567" s="467">
        <f t="shared" ca="1" si="401"/>
        <v>59901</v>
      </c>
      <c r="BF567" s="468">
        <f ca="1">IF(計算!$BC567&lt;OP!$C$3,0,BD567-BC567)</f>
        <v>1</v>
      </c>
      <c r="BG567" s="468">
        <f ca="1">IF($BE567&gt;DATE(YEAR($BD$9)+OP!$C$57,MONTH($BD$9),DAY($BD$9)),0,$BE567-$BD567+1)</f>
        <v>30</v>
      </c>
      <c r="BH567" s="469">
        <f t="shared" ca="1" si="402"/>
        <v>31</v>
      </c>
      <c r="BI567" t="str">
        <f t="shared" si="418"/>
        <v/>
      </c>
      <c r="BJ567">
        <v>6</v>
      </c>
      <c r="BN567" s="468">
        <f t="shared" si="414"/>
        <v>47</v>
      </c>
      <c r="BO567" s="468">
        <f t="shared" si="415"/>
        <v>6</v>
      </c>
      <c r="BP567" s="467">
        <f t="shared" ca="1" si="403"/>
        <v>59872</v>
      </c>
      <c r="BQ567" s="475">
        <f t="shared" ca="1" si="417"/>
        <v>79</v>
      </c>
      <c r="BR567" s="475" t="str">
        <f t="shared" si="416"/>
        <v/>
      </c>
      <c r="BS567" s="471" t="str">
        <f t="shared" si="404"/>
        <v/>
      </c>
      <c r="BT567" s="472" t="str">
        <f t="shared" si="419"/>
        <v/>
      </c>
      <c r="BU567" s="472">
        <f t="shared" ca="1" si="405"/>
        <v>0</v>
      </c>
      <c r="BV567" s="472">
        <f t="shared" ca="1" si="405"/>
        <v>0</v>
      </c>
      <c r="BW567" s="472"/>
      <c r="BX567" s="473">
        <f t="shared" ca="1" si="406"/>
        <v>740831.193385361</v>
      </c>
      <c r="BY567" s="473">
        <f t="shared" si="407"/>
        <v>0</v>
      </c>
      <c r="BZ567" s="473">
        <f t="shared" ca="1" si="389"/>
        <v>1692.545542202</v>
      </c>
      <c r="CA567" s="476">
        <f t="shared" ca="1" si="408"/>
        <v>0</v>
      </c>
      <c r="CB567" s="494">
        <f ca="1">IF(OR($Q566&lt;&gt;1,OP!$D$5+$BN567-1&lt;16,$BN567-1&lt;1),0,ROUND(ROUND(ROUND(((VLOOKUP($BN567-1,MORE_PV,5,0)/10000)*VLOOKUP($BN567,MORE_PV,$CB$5,0)),3)*VLOOKUP($BN567,more1,5,0),0)/$R566,0))</f>
        <v>0</v>
      </c>
      <c r="CC567" s="473">
        <f t="shared" ca="1" si="409"/>
        <v>0</v>
      </c>
      <c r="CD567" s="477"/>
    </row>
    <row r="568" spans="2:82" ht="16.5" hidden="1">
      <c r="B568" s="80"/>
      <c r="C568" s="80"/>
      <c r="D568" s="80"/>
      <c r="E568" s="80"/>
      <c r="F568" s="80"/>
      <c r="G568" s="80"/>
      <c r="H568" s="80"/>
      <c r="I568" s="80"/>
      <c r="J568" s="192">
        <f t="shared" si="390"/>
        <v>47</v>
      </c>
      <c r="K568" s="192">
        <f t="shared" si="391"/>
        <v>8</v>
      </c>
      <c r="L568" s="192" t="str">
        <f t="shared" si="386"/>
        <v/>
      </c>
      <c r="M568" s="216">
        <f t="shared" ca="1" si="392"/>
        <v>0</v>
      </c>
      <c r="N568" s="216"/>
      <c r="O568" s="216"/>
      <c r="P568" s="216"/>
      <c r="Q568" s="456" t="str">
        <f t="shared" ca="1" si="393"/>
        <v/>
      </c>
      <c r="R568" s="450">
        <f t="shared" ca="1" si="394"/>
        <v>1</v>
      </c>
      <c r="S568" s="191">
        <f t="shared" si="395"/>
        <v>47</v>
      </c>
      <c r="T568" s="191">
        <f t="shared" si="396"/>
        <v>8</v>
      </c>
      <c r="U568" s="191">
        <f ca="1">OP!$D$5+$S568-1</f>
        <v>79</v>
      </c>
      <c r="V568" s="191" t="str">
        <f t="shared" si="397"/>
        <v/>
      </c>
      <c r="W568" s="350">
        <f ca="1">IF(Q568&lt;&gt;1,0,VLOOKUP(OP!$C$55,PVFB,$S568+2,0))</f>
        <v>0</v>
      </c>
      <c r="X568" s="473">
        <f t="shared" ca="1" si="410"/>
        <v>0</v>
      </c>
      <c r="Y568" s="348">
        <f t="shared" ca="1" si="411"/>
        <v>0</v>
      </c>
      <c r="Z568" s="348">
        <f t="shared" ca="1" si="412"/>
        <v>8012</v>
      </c>
      <c r="AA568" s="348">
        <f ca="1">IF(Q568&lt;&gt;1,0,VLOOKUP(OP!$C$55,PVFB,$S568+2,0))</f>
        <v>0</v>
      </c>
      <c r="AB568" s="488" t="str">
        <f ca="1">IF(AND(S568&lt;OP!$C$24,$U568&lt;15),0,IF(AND($U568&lt;15,$T568=12),ROUND(VLOOKUP($S568,DOWN16,5,0),3),IF($T568=12,ROUND(($Z568/10000)*$AA568,3)+IF(AND($P$7="購買增額繳清保險",T568=12,U568=110),VLOOKUP(S568,$B$10:$H$121,7,0),0),"")))</f>
        <v/>
      </c>
      <c r="AC568" s="350" t="str">
        <f ca="1">IF(AND(S568&lt;OP!$C$24,$U568&lt;15),0,IF(AND($U568&lt;16,$T568=12),VLOOKUP($S568,DOWN16,4,0),IF($T568=12,ROUND(VLOOKUP(OP!$C$55,_DIE2,$S568+1,0)*(Z568/10000),0)+IF(AND($P$7="購買增額繳清保險",T568=12,U568=110),VLOOKUP(S568,$B$10:$H$121,7,0),0),"")))</f>
        <v/>
      </c>
      <c r="AD568" s="347"/>
      <c r="AE568" s="350" t="str">
        <f t="shared" ca="1" si="387"/>
        <v/>
      </c>
      <c r="AF568" s="351" t="str">
        <f t="shared" ca="1" si="388"/>
        <v/>
      </c>
      <c r="AG568" s="340"/>
      <c r="AH568" s="340"/>
      <c r="AI568" s="340"/>
      <c r="AJ568" s="340"/>
      <c r="AK568" s="340"/>
      <c r="AL568" s="340"/>
      <c r="AM568" s="340"/>
      <c r="AN568" s="340"/>
      <c r="AO568" s="340"/>
      <c r="AP568" s="340"/>
      <c r="AQ568" s="340"/>
      <c r="AR568" s="340"/>
      <c r="AS568" s="340"/>
      <c r="AT568" s="340"/>
      <c r="AU568" s="340"/>
      <c r="AV568" s="340"/>
      <c r="AY568" s="340"/>
      <c r="AZ568" s="465">
        <f t="shared" ca="1" si="398"/>
        <v>7.3698599999999999E-5</v>
      </c>
      <c r="BA568" s="464">
        <f t="shared" ca="1" si="399"/>
        <v>2.2109589000000002E-3</v>
      </c>
      <c r="BB568" s="465">
        <f t="shared" ca="1" si="399"/>
        <v>2.2846575E-3</v>
      </c>
      <c r="BC568" s="466">
        <f t="shared" ca="1" si="400"/>
        <v>59902</v>
      </c>
      <c r="BD568" s="467">
        <f t="shared" ca="1" si="413"/>
        <v>59903</v>
      </c>
      <c r="BE568" s="467">
        <f t="shared" ca="1" si="401"/>
        <v>59932</v>
      </c>
      <c r="BF568" s="468">
        <f ca="1">IF(計算!$BC568&lt;OP!$C$3,0,BD568-BC568)</f>
        <v>1</v>
      </c>
      <c r="BG568" s="468">
        <f ca="1">IF($BE568&gt;DATE(YEAR($BD$9)+OP!$C$57,MONTH($BD$9),DAY($BD$9)),0,$BE568-$BD568+1)</f>
        <v>30</v>
      </c>
      <c r="BH568" s="469">
        <f t="shared" ca="1" si="402"/>
        <v>31</v>
      </c>
      <c r="BI568" t="str">
        <f t="shared" si="418"/>
        <v/>
      </c>
      <c r="BJ568">
        <v>7</v>
      </c>
      <c r="BN568" s="468">
        <f t="shared" si="414"/>
        <v>47</v>
      </c>
      <c r="BO568" s="468">
        <f t="shared" si="415"/>
        <v>7</v>
      </c>
      <c r="BP568" s="467">
        <f t="shared" ca="1" si="403"/>
        <v>59903</v>
      </c>
      <c r="BQ568" s="475">
        <f t="shared" ca="1" si="417"/>
        <v>79</v>
      </c>
      <c r="BR568" s="475" t="str">
        <f t="shared" si="416"/>
        <v/>
      </c>
      <c r="BS568" s="471" t="str">
        <f t="shared" si="404"/>
        <v/>
      </c>
      <c r="BT568" s="472" t="str">
        <f t="shared" si="419"/>
        <v/>
      </c>
      <c r="BU568" s="472">
        <f t="shared" ca="1" si="405"/>
        <v>0</v>
      </c>
      <c r="BV568" s="472">
        <f t="shared" ca="1" si="405"/>
        <v>0</v>
      </c>
      <c r="BW568" s="472"/>
      <c r="BX568" s="473">
        <f t="shared" ca="1" si="406"/>
        <v>742523.73892756295</v>
      </c>
      <c r="BY568" s="473">
        <f t="shared" si="407"/>
        <v>0</v>
      </c>
      <c r="BZ568" s="473">
        <f t="shared" ca="1" si="389"/>
        <v>1696.4124290689999</v>
      </c>
      <c r="CA568" s="476">
        <f t="shared" ca="1" si="408"/>
        <v>0</v>
      </c>
      <c r="CB568" s="494">
        <f ca="1">IF(OR($Q567&lt;&gt;1,OP!$D$5+$BN568-1&lt;16,$BN568-1&lt;1),0,ROUND(ROUND(ROUND(((VLOOKUP($BN568-1,MORE_PV,5,0)/10000)*VLOOKUP($BN568,MORE_PV,$CB$5,0)),3)*VLOOKUP($BN568,more1,5,0),0)/$R567,0))</f>
        <v>0</v>
      </c>
      <c r="CC568" s="473">
        <f t="shared" ca="1" si="409"/>
        <v>0</v>
      </c>
      <c r="CD568" s="477"/>
    </row>
    <row r="569" spans="2:82" ht="16.5" hidden="1">
      <c r="B569" s="80"/>
      <c r="C569" s="80"/>
      <c r="D569" s="80"/>
      <c r="E569" s="80"/>
      <c r="F569" s="80"/>
      <c r="G569" s="80"/>
      <c r="H569" s="80"/>
      <c r="I569" s="80"/>
      <c r="J569" s="192">
        <f t="shared" si="390"/>
        <v>47</v>
      </c>
      <c r="K569" s="192">
        <f t="shared" si="391"/>
        <v>9</v>
      </c>
      <c r="L569" s="192" t="str">
        <f t="shared" si="386"/>
        <v/>
      </c>
      <c r="M569" s="216">
        <f t="shared" ca="1" si="392"/>
        <v>0</v>
      </c>
      <c r="N569" s="216"/>
      <c r="O569" s="216"/>
      <c r="P569" s="216"/>
      <c r="Q569" s="456" t="str">
        <f t="shared" ca="1" si="393"/>
        <v/>
      </c>
      <c r="R569" s="450">
        <f t="shared" ca="1" si="394"/>
        <v>1</v>
      </c>
      <c r="S569" s="191">
        <f t="shared" si="395"/>
        <v>47</v>
      </c>
      <c r="T569" s="191">
        <f t="shared" si="396"/>
        <v>9</v>
      </c>
      <c r="U569" s="191">
        <f ca="1">OP!$D$5+$S569-1</f>
        <v>79</v>
      </c>
      <c r="V569" s="191" t="str">
        <f t="shared" si="397"/>
        <v/>
      </c>
      <c r="W569" s="350">
        <f ca="1">IF(Q569&lt;&gt;1,0,VLOOKUP(OP!$C$55,PVFB,$S569+2,0))</f>
        <v>0</v>
      </c>
      <c r="X569" s="473">
        <f t="shared" ca="1" si="410"/>
        <v>0</v>
      </c>
      <c r="Y569" s="348">
        <f t="shared" ca="1" si="411"/>
        <v>0</v>
      </c>
      <c r="Z569" s="348">
        <f t="shared" ca="1" si="412"/>
        <v>8012</v>
      </c>
      <c r="AA569" s="348">
        <f ca="1">IF(Q569&lt;&gt;1,0,VLOOKUP(OP!$C$55,PVFB,$S569+2,0))</f>
        <v>0</v>
      </c>
      <c r="AB569" s="488" t="str">
        <f ca="1">IF(AND(S569&lt;OP!$C$24,$U569&lt;15),0,IF(AND($U569&lt;15,$T569=12),ROUND(VLOOKUP($S569,DOWN16,5,0),3),IF($T569=12,ROUND(($Z569/10000)*$AA569,3)+IF(AND($P$7="購買增額繳清保險",T569=12,U569=110),VLOOKUP(S569,$B$10:$H$121,7,0),0),"")))</f>
        <v/>
      </c>
      <c r="AC569" s="350" t="str">
        <f ca="1">IF(AND(S569&lt;OP!$C$24,$U569&lt;15),0,IF(AND($U569&lt;16,$T569=12),VLOOKUP($S569,DOWN16,4,0),IF($T569=12,ROUND(VLOOKUP(OP!$C$55,_DIE2,$S569+1,0)*(Z569/10000),0)+IF(AND($P$7="購買增額繳清保險",T569=12,U569=110),VLOOKUP(S569,$B$10:$H$121,7,0),0),"")))</f>
        <v/>
      </c>
      <c r="AD569" s="347"/>
      <c r="AE569" s="350" t="str">
        <f t="shared" ca="1" si="387"/>
        <v/>
      </c>
      <c r="AF569" s="351" t="str">
        <f t="shared" ca="1" si="388"/>
        <v/>
      </c>
      <c r="AG569" s="340"/>
      <c r="AH569" s="340"/>
      <c r="AI569" s="340"/>
      <c r="AJ569" s="340"/>
      <c r="AK569" s="340"/>
      <c r="AL569" s="340"/>
      <c r="AM569" s="340"/>
      <c r="AN569" s="340"/>
      <c r="AO569" s="340"/>
      <c r="AP569" s="340"/>
      <c r="AQ569" s="340"/>
      <c r="AR569" s="340"/>
      <c r="AS569" s="340"/>
      <c r="AT569" s="340"/>
      <c r="AU569" s="340"/>
      <c r="AV569" s="340"/>
      <c r="AY569" s="340"/>
      <c r="AZ569" s="465">
        <f t="shared" ca="1" si="398"/>
        <v>7.3698599999999999E-5</v>
      </c>
      <c r="BA569" s="464">
        <f t="shared" ca="1" si="399"/>
        <v>2.0635616E-3</v>
      </c>
      <c r="BB569" s="465">
        <f t="shared" ca="1" si="399"/>
        <v>2.1372602999999999E-3</v>
      </c>
      <c r="BC569" s="466">
        <f t="shared" ca="1" si="400"/>
        <v>59933</v>
      </c>
      <c r="BD569" s="467">
        <f t="shared" ca="1" si="413"/>
        <v>59934</v>
      </c>
      <c r="BE569" s="467">
        <f t="shared" ca="1" si="401"/>
        <v>59961</v>
      </c>
      <c r="BF569" s="468">
        <f ca="1">IF(計算!$BC569&lt;OP!$C$3,0,BD569-BC569)</f>
        <v>1</v>
      </c>
      <c r="BG569" s="468">
        <f ca="1">IF($BE569&gt;DATE(YEAR($BD$9)+OP!$C$57,MONTH($BD$9),DAY($BD$9)),0,$BE569-$BD569+1)</f>
        <v>28</v>
      </c>
      <c r="BH569" s="469">
        <f t="shared" ca="1" si="402"/>
        <v>29</v>
      </c>
      <c r="BI569" t="str">
        <f t="shared" si="418"/>
        <v/>
      </c>
      <c r="BJ569">
        <v>8</v>
      </c>
      <c r="BN569" s="468">
        <f t="shared" si="414"/>
        <v>47</v>
      </c>
      <c r="BO569" s="468">
        <f t="shared" si="415"/>
        <v>8</v>
      </c>
      <c r="BP569" s="467">
        <f t="shared" ca="1" si="403"/>
        <v>59934</v>
      </c>
      <c r="BQ569" s="475">
        <f t="shared" ca="1" si="417"/>
        <v>79</v>
      </c>
      <c r="BR569" s="475" t="str">
        <f t="shared" si="416"/>
        <v/>
      </c>
      <c r="BS569" s="471" t="str">
        <f t="shared" si="404"/>
        <v/>
      </c>
      <c r="BT569" s="472" t="str">
        <f t="shared" si="419"/>
        <v/>
      </c>
      <c r="BU569" s="472">
        <f t="shared" ca="1" si="405"/>
        <v>0</v>
      </c>
      <c r="BV569" s="472">
        <f t="shared" ca="1" si="405"/>
        <v>0</v>
      </c>
      <c r="BW569" s="472"/>
      <c r="BX569" s="473">
        <f t="shared" ca="1" si="406"/>
        <v>744220.15135663201</v>
      </c>
      <c r="BY569" s="473">
        <f t="shared" si="407"/>
        <v>0</v>
      </c>
      <c r="BZ569" s="473">
        <f t="shared" ca="1" si="389"/>
        <v>1590.5921839550001</v>
      </c>
      <c r="CA569" s="476">
        <f t="shared" ca="1" si="408"/>
        <v>0</v>
      </c>
      <c r="CB569" s="494">
        <f ca="1">IF(OR($Q568&lt;&gt;1,OP!$D$5+$BN569-1&lt;16,$BN569-1&lt;1),0,ROUND(ROUND(ROUND(((VLOOKUP($BN569-1,MORE_PV,5,0)/10000)*VLOOKUP($BN569,MORE_PV,$CB$5,0)),3)*VLOOKUP($BN569,more1,5,0),0)/$R568,0))</f>
        <v>0</v>
      </c>
      <c r="CC569" s="473">
        <f t="shared" ca="1" si="409"/>
        <v>0</v>
      </c>
      <c r="CD569" s="477"/>
    </row>
    <row r="570" spans="2:82" ht="16.5" hidden="1">
      <c r="B570" s="80"/>
      <c r="C570" s="80"/>
      <c r="D570" s="80"/>
      <c r="E570" s="80"/>
      <c r="F570" s="80"/>
      <c r="G570" s="80"/>
      <c r="H570" s="80"/>
      <c r="I570" s="80"/>
      <c r="J570" s="192">
        <f t="shared" si="390"/>
        <v>47</v>
      </c>
      <c r="K570" s="192">
        <f t="shared" si="391"/>
        <v>10</v>
      </c>
      <c r="L570" s="192" t="str">
        <f t="shared" si="386"/>
        <v/>
      </c>
      <c r="M570" s="216">
        <f t="shared" ca="1" si="392"/>
        <v>0</v>
      </c>
      <c r="N570" s="216"/>
      <c r="O570" s="216"/>
      <c r="P570" s="216"/>
      <c r="Q570" s="456" t="str">
        <f t="shared" ca="1" si="393"/>
        <v/>
      </c>
      <c r="R570" s="450">
        <f t="shared" ca="1" si="394"/>
        <v>1</v>
      </c>
      <c r="S570" s="191">
        <f t="shared" si="395"/>
        <v>47</v>
      </c>
      <c r="T570" s="191">
        <f t="shared" si="396"/>
        <v>10</v>
      </c>
      <c r="U570" s="191">
        <f ca="1">OP!$D$5+$S570-1</f>
        <v>79</v>
      </c>
      <c r="V570" s="191" t="str">
        <f t="shared" si="397"/>
        <v/>
      </c>
      <c r="W570" s="350">
        <f ca="1">IF(Q570&lt;&gt;1,0,VLOOKUP(OP!$C$55,PVFB,$S570+2,0))</f>
        <v>0</v>
      </c>
      <c r="X570" s="473">
        <f t="shared" ca="1" si="410"/>
        <v>0</v>
      </c>
      <c r="Y570" s="348">
        <f t="shared" ca="1" si="411"/>
        <v>0</v>
      </c>
      <c r="Z570" s="348">
        <f t="shared" ca="1" si="412"/>
        <v>8012</v>
      </c>
      <c r="AA570" s="348">
        <f ca="1">IF(Q570&lt;&gt;1,0,VLOOKUP(OP!$C$55,PVFB,$S570+2,0))</f>
        <v>0</v>
      </c>
      <c r="AB570" s="488" t="str">
        <f ca="1">IF(AND(S570&lt;OP!$C$24,$U570&lt;15),0,IF(AND($U570&lt;15,$T570=12),ROUND(VLOOKUP($S570,DOWN16,5,0),3),IF($T570=12,ROUND(($Z570/10000)*$AA570,3)+IF(AND($P$7="購買增額繳清保險",T570=12,U570=110),VLOOKUP(S570,$B$10:$H$121,7,0),0),"")))</f>
        <v/>
      </c>
      <c r="AC570" s="350" t="str">
        <f ca="1">IF(AND(S570&lt;OP!$C$24,$U570&lt;15),0,IF(AND($U570&lt;16,$T570=12),VLOOKUP($S570,DOWN16,4,0),IF($T570=12,ROUND(VLOOKUP(OP!$C$55,_DIE2,$S570+1,0)*(Z570/10000),0)+IF(AND($P$7="購買增額繳清保險",T570=12,U570=110),VLOOKUP(S570,$B$10:$H$121,7,0),0),"")))</f>
        <v/>
      </c>
      <c r="AD570" s="347"/>
      <c r="AE570" s="350" t="str">
        <f t="shared" ca="1" si="387"/>
        <v/>
      </c>
      <c r="AF570" s="351" t="str">
        <f t="shared" ca="1" si="388"/>
        <v/>
      </c>
      <c r="AG570" s="340"/>
      <c r="AH570" s="340"/>
      <c r="AI570" s="340"/>
      <c r="AJ570" s="340"/>
      <c r="AK570" s="340"/>
      <c r="AL570" s="340"/>
      <c r="AM570" s="340"/>
      <c r="AN570" s="340"/>
      <c r="AO570" s="340"/>
      <c r="AP570" s="340"/>
      <c r="AQ570" s="340"/>
      <c r="AR570" s="340"/>
      <c r="AS570" s="340"/>
      <c r="AT570" s="340"/>
      <c r="AU570" s="340"/>
      <c r="AV570" s="340"/>
      <c r="AY570" s="340"/>
      <c r="AZ570" s="465">
        <f t="shared" ca="1" si="398"/>
        <v>7.3698599999999999E-5</v>
      </c>
      <c r="BA570" s="464">
        <f t="shared" ca="1" si="399"/>
        <v>2.2109589000000002E-3</v>
      </c>
      <c r="BB570" s="465">
        <f t="shared" ca="1" si="399"/>
        <v>2.2846575E-3</v>
      </c>
      <c r="BC570" s="466">
        <f t="shared" ca="1" si="400"/>
        <v>59962</v>
      </c>
      <c r="BD570" s="467">
        <f t="shared" ca="1" si="413"/>
        <v>59963</v>
      </c>
      <c r="BE570" s="467">
        <f t="shared" ca="1" si="401"/>
        <v>59992</v>
      </c>
      <c r="BF570" s="468">
        <f ca="1">IF(計算!$BC570&lt;OP!$C$3,0,BD570-BC570)</f>
        <v>1</v>
      </c>
      <c r="BG570" s="468">
        <f ca="1">IF($BE570&gt;DATE(YEAR($BD$9)+OP!$C$57,MONTH($BD$9),DAY($BD$9)),0,$BE570-$BD570+1)</f>
        <v>30</v>
      </c>
      <c r="BH570" s="469">
        <f t="shared" ca="1" si="402"/>
        <v>31</v>
      </c>
      <c r="BI570" t="str">
        <f t="shared" si="418"/>
        <v/>
      </c>
      <c r="BJ570">
        <v>9</v>
      </c>
      <c r="BN570" s="468">
        <f t="shared" si="414"/>
        <v>47</v>
      </c>
      <c r="BO570" s="468">
        <f t="shared" si="415"/>
        <v>9</v>
      </c>
      <c r="BP570" s="467">
        <f t="shared" ca="1" si="403"/>
        <v>59963</v>
      </c>
      <c r="BQ570" s="475">
        <f t="shared" ca="1" si="417"/>
        <v>79</v>
      </c>
      <c r="BR570" s="475" t="str">
        <f t="shared" si="416"/>
        <v/>
      </c>
      <c r="BS570" s="471" t="str">
        <f t="shared" si="404"/>
        <v/>
      </c>
      <c r="BT570" s="472" t="str">
        <f t="shared" si="419"/>
        <v/>
      </c>
      <c r="BU570" s="472">
        <f t="shared" ca="1" si="405"/>
        <v>0</v>
      </c>
      <c r="BV570" s="472">
        <f t="shared" ca="1" si="405"/>
        <v>0</v>
      </c>
      <c r="BW570" s="472"/>
      <c r="BX570" s="473">
        <f t="shared" ca="1" si="406"/>
        <v>745810.74354058702</v>
      </c>
      <c r="BY570" s="473">
        <f t="shared" si="407"/>
        <v>0</v>
      </c>
      <c r="BZ570" s="473">
        <f t="shared" ca="1" si="389"/>
        <v>1703.922108811</v>
      </c>
      <c r="CA570" s="476">
        <f t="shared" ca="1" si="408"/>
        <v>0</v>
      </c>
      <c r="CB570" s="494">
        <f ca="1">IF(OR($Q569&lt;&gt;1,OP!$D$5+$BN570-1&lt;16,$BN570-1&lt;1),0,ROUND(ROUND(ROUND(((VLOOKUP($BN570-1,MORE_PV,5,0)/10000)*VLOOKUP($BN570,MORE_PV,$CB$5,0)),3)*VLOOKUP($BN570,more1,5,0),0)/$R569,0))</f>
        <v>0</v>
      </c>
      <c r="CC570" s="473">
        <f t="shared" ca="1" si="409"/>
        <v>0</v>
      </c>
      <c r="CD570" s="477"/>
    </row>
    <row r="571" spans="2:82" ht="16.5" hidden="1">
      <c r="B571" s="80"/>
      <c r="C571" s="80"/>
      <c r="D571" s="80"/>
      <c r="E571" s="80"/>
      <c r="F571" s="80"/>
      <c r="G571" s="80"/>
      <c r="H571" s="80"/>
      <c r="I571" s="80"/>
      <c r="J571" s="192">
        <f t="shared" si="390"/>
        <v>47</v>
      </c>
      <c r="K571" s="192">
        <f t="shared" si="391"/>
        <v>11</v>
      </c>
      <c r="L571" s="192" t="str">
        <f t="shared" si="386"/>
        <v/>
      </c>
      <c r="M571" s="216">
        <f t="shared" ca="1" si="392"/>
        <v>0</v>
      </c>
      <c r="N571" s="216"/>
      <c r="O571" s="216"/>
      <c r="P571" s="216"/>
      <c r="Q571" s="456" t="str">
        <f t="shared" ca="1" si="393"/>
        <v/>
      </c>
      <c r="R571" s="450">
        <f t="shared" ca="1" si="394"/>
        <v>1</v>
      </c>
      <c r="S571" s="191">
        <f t="shared" si="395"/>
        <v>47</v>
      </c>
      <c r="T571" s="191">
        <f t="shared" si="396"/>
        <v>11</v>
      </c>
      <c r="U571" s="191">
        <f ca="1">OP!$D$5+$S571-1</f>
        <v>79</v>
      </c>
      <c r="V571" s="191" t="str">
        <f t="shared" si="397"/>
        <v/>
      </c>
      <c r="W571" s="350">
        <f ca="1">IF(Q571&lt;&gt;1,0,VLOOKUP(OP!$C$55,PVFB,$S571+2,0))</f>
        <v>0</v>
      </c>
      <c r="X571" s="473">
        <f t="shared" ca="1" si="410"/>
        <v>0</v>
      </c>
      <c r="Y571" s="348">
        <f t="shared" ca="1" si="411"/>
        <v>0</v>
      </c>
      <c r="Z571" s="348">
        <f t="shared" ca="1" si="412"/>
        <v>8012</v>
      </c>
      <c r="AA571" s="348">
        <f ca="1">IF(Q571&lt;&gt;1,0,VLOOKUP(OP!$C$55,PVFB,$S571+2,0))</f>
        <v>0</v>
      </c>
      <c r="AB571" s="488" t="str">
        <f ca="1">IF(AND(S571&lt;OP!$C$24,$U571&lt;15),0,IF(AND($U571&lt;15,$T571=12),ROUND(VLOOKUP($S571,DOWN16,5,0),3),IF($T571=12,ROUND(($Z571/10000)*$AA571,3)+IF(AND($P$7="購買增額繳清保險",T571=12,U571=110),VLOOKUP(S571,$B$10:$H$121,7,0),0),"")))</f>
        <v/>
      </c>
      <c r="AC571" s="350" t="str">
        <f ca="1">IF(AND(S571&lt;OP!$C$24,$U571&lt;15),0,IF(AND($U571&lt;16,$T571=12),VLOOKUP($S571,DOWN16,4,0),IF($T571=12,ROUND(VLOOKUP(OP!$C$55,_DIE2,$S571+1,0)*(Z571/10000),0)+IF(AND($P$7="購買增額繳清保險",T571=12,U571=110),VLOOKUP(S571,$B$10:$H$121,7,0),0),"")))</f>
        <v/>
      </c>
      <c r="AD571" s="347"/>
      <c r="AE571" s="350" t="str">
        <f t="shared" ca="1" si="387"/>
        <v/>
      </c>
      <c r="AF571" s="351" t="str">
        <f t="shared" ca="1" si="388"/>
        <v/>
      </c>
      <c r="AG571" s="340"/>
      <c r="AH571" s="340"/>
      <c r="AI571" s="340"/>
      <c r="AJ571" s="340"/>
      <c r="AK571" s="340"/>
      <c r="AL571" s="340"/>
      <c r="AM571" s="340"/>
      <c r="AN571" s="340"/>
      <c r="AO571" s="340"/>
      <c r="AP571" s="340"/>
      <c r="AQ571" s="340"/>
      <c r="AR571" s="340"/>
      <c r="AS571" s="340"/>
      <c r="AT571" s="340"/>
      <c r="AU571" s="340"/>
      <c r="AV571" s="340"/>
      <c r="AY571" s="340"/>
      <c r="AZ571" s="465">
        <f t="shared" ca="1" si="398"/>
        <v>7.3698599999999999E-5</v>
      </c>
      <c r="BA571" s="464">
        <f t="shared" ca="1" si="399"/>
        <v>2.1372602999999999E-3</v>
      </c>
      <c r="BB571" s="465">
        <f t="shared" ca="1" si="399"/>
        <v>2.2109589000000002E-3</v>
      </c>
      <c r="BC571" s="466">
        <f t="shared" ca="1" si="400"/>
        <v>59993</v>
      </c>
      <c r="BD571" s="467">
        <f t="shared" ca="1" si="413"/>
        <v>59994</v>
      </c>
      <c r="BE571" s="467">
        <f t="shared" ca="1" si="401"/>
        <v>60022</v>
      </c>
      <c r="BF571" s="468">
        <f ca="1">IF(計算!$BC571&lt;OP!$C$3,0,BD571-BC571)</f>
        <v>1</v>
      </c>
      <c r="BG571" s="468">
        <f ca="1">IF($BE571&gt;DATE(YEAR($BD$9)+OP!$C$57,MONTH($BD$9),DAY($BD$9)),0,$BE571-$BD571+1)</f>
        <v>29</v>
      </c>
      <c r="BH571" s="469">
        <f t="shared" ca="1" si="402"/>
        <v>30</v>
      </c>
      <c r="BI571" t="str">
        <f t="shared" si="418"/>
        <v/>
      </c>
      <c r="BJ571">
        <v>10</v>
      </c>
      <c r="BN571" s="468">
        <f t="shared" si="414"/>
        <v>47</v>
      </c>
      <c r="BO571" s="468">
        <f t="shared" si="415"/>
        <v>10</v>
      </c>
      <c r="BP571" s="467">
        <f t="shared" ca="1" si="403"/>
        <v>59994</v>
      </c>
      <c r="BQ571" s="475">
        <f t="shared" ca="1" si="417"/>
        <v>79</v>
      </c>
      <c r="BR571" s="475" t="str">
        <f t="shared" si="416"/>
        <v/>
      </c>
      <c r="BS571" s="471" t="str">
        <f t="shared" si="404"/>
        <v/>
      </c>
      <c r="BT571" s="472" t="str">
        <f t="shared" si="419"/>
        <v/>
      </c>
      <c r="BU571" s="472">
        <f t="shared" ca="1" si="405"/>
        <v>0</v>
      </c>
      <c r="BV571" s="472">
        <f t="shared" ca="1" si="405"/>
        <v>0</v>
      </c>
      <c r="BW571" s="472"/>
      <c r="BX571" s="473">
        <f t="shared" ca="1" si="406"/>
        <v>747514.665649398</v>
      </c>
      <c r="BY571" s="473">
        <f t="shared" si="407"/>
        <v>0</v>
      </c>
      <c r="BZ571" s="473">
        <f t="shared" ca="1" si="389"/>
        <v>1652.7242028979999</v>
      </c>
      <c r="CA571" s="476">
        <f t="shared" ca="1" si="408"/>
        <v>0</v>
      </c>
      <c r="CB571" s="494">
        <f ca="1">IF(OR($Q570&lt;&gt;1,OP!$D$5+$BN571-1&lt;16,$BN571-1&lt;1),0,ROUND(ROUND(ROUND(((VLOOKUP($BN571-1,MORE_PV,5,0)/10000)*VLOOKUP($BN571,MORE_PV,$CB$5,0)),3)*VLOOKUP($BN571,more1,5,0),0)/$R570,0))</f>
        <v>0</v>
      </c>
      <c r="CC571" s="473">
        <f t="shared" ca="1" si="409"/>
        <v>0</v>
      </c>
      <c r="CD571" s="477"/>
    </row>
    <row r="572" spans="2:82" ht="16.5" hidden="1">
      <c r="B572" s="80"/>
      <c r="C572" s="80"/>
      <c r="D572" s="80"/>
      <c r="E572" s="80"/>
      <c r="F572" s="80"/>
      <c r="G572" s="80"/>
      <c r="H572" s="80"/>
      <c r="I572" s="80"/>
      <c r="J572" s="192">
        <f t="shared" si="390"/>
        <v>47</v>
      </c>
      <c r="K572" s="192">
        <f t="shared" si="391"/>
        <v>12</v>
      </c>
      <c r="L572" s="192">
        <f t="shared" si="386"/>
        <v>47</v>
      </c>
      <c r="M572" s="216">
        <f t="shared" ca="1" si="392"/>
        <v>767084</v>
      </c>
      <c r="N572" s="216"/>
      <c r="O572" s="216"/>
      <c r="P572" s="216"/>
      <c r="Q572" s="456">
        <f t="shared" ca="1" si="393"/>
        <v>1</v>
      </c>
      <c r="R572" s="450">
        <f t="shared" ca="1" si="394"/>
        <v>1</v>
      </c>
      <c r="S572" s="191">
        <f t="shared" si="395"/>
        <v>47</v>
      </c>
      <c r="T572" s="191">
        <f t="shared" si="396"/>
        <v>12</v>
      </c>
      <c r="U572" s="191">
        <f ca="1">OP!$D$5+$S572-1</f>
        <v>79</v>
      </c>
      <c r="V572" s="191">
        <f t="shared" si="397"/>
        <v>47</v>
      </c>
      <c r="W572" s="350">
        <f ca="1">IF(Q572&lt;&gt;1,0,VLOOKUP(OP!$C$55,PVFB,$S572+2,0))</f>
        <v>67256</v>
      </c>
      <c r="X572" s="473">
        <f t="shared" ca="1" si="410"/>
        <v>16150</v>
      </c>
      <c r="Y572" s="348">
        <f t="shared" ca="1" si="411"/>
        <v>0</v>
      </c>
      <c r="Z572" s="348">
        <f t="shared" ca="1" si="412"/>
        <v>8012</v>
      </c>
      <c r="AA572" s="348">
        <f ca="1">IF(Q572&lt;&gt;1,0,VLOOKUP(OP!$C$55,PVFB,$S572+2,0))</f>
        <v>67256</v>
      </c>
      <c r="AB572" s="488">
        <f ca="1">IF(AND(S572&lt;OP!$C$24,$U572&lt;15),0,IF(AND($U572&lt;15,$T572=12),ROUND(VLOOKUP($S572,DOWN16,5,0),3),IF($T572=12,ROUND(($Z572/10000)*$AA572,3)+IF(AND($P$7="購買增額繳清保險",T572=12,U572=110),VLOOKUP(S572,$B$10:$H$121,7,0),0),"")))</f>
        <v>53885.506999999998</v>
      </c>
      <c r="AC572" s="350">
        <f ca="1">IF(AND(S572&lt;OP!$C$24,$U572&lt;15),0,IF(AND($U572&lt;16,$T572=12),VLOOKUP($S572,DOWN16,4,0),IF($T572=12,ROUND(VLOOKUP(OP!$C$55,_DIE2,$S572+1,0)*(Z572/10000),0)+IF(AND($P$7="購買增額繳清保險",T572=12,U572=110),VLOOKUP(S572,$B$10:$H$121,7,0),0),"")))</f>
        <v>54001</v>
      </c>
      <c r="AD572" s="347"/>
      <c r="AE572" s="350" t="str">
        <f t="shared" ca="1" si="387"/>
        <v/>
      </c>
      <c r="AF572" s="351" t="str">
        <f t="shared" ca="1" si="388"/>
        <v/>
      </c>
      <c r="AG572" s="340"/>
      <c r="AH572" s="340"/>
      <c r="AI572" s="340"/>
      <c r="AJ572" s="340"/>
      <c r="AK572" s="340"/>
      <c r="AL572" s="340"/>
      <c r="AM572" s="340"/>
      <c r="AN572" s="340"/>
      <c r="AO572" s="340"/>
      <c r="AP572" s="340"/>
      <c r="AQ572" s="340"/>
      <c r="AR572" s="340"/>
      <c r="AS572" s="340"/>
      <c r="AT572" s="340"/>
      <c r="AU572" s="340"/>
      <c r="AV572" s="340"/>
      <c r="AY572" s="340"/>
      <c r="AZ572" s="465">
        <f t="shared" ca="1" si="398"/>
        <v>7.3698599999999999E-5</v>
      </c>
      <c r="BA572" s="464">
        <f t="shared" ca="1" si="399"/>
        <v>2.2109589000000002E-3</v>
      </c>
      <c r="BB572" s="465">
        <f t="shared" ca="1" si="399"/>
        <v>2.2846575E-3</v>
      </c>
      <c r="BC572" s="466">
        <f t="shared" ca="1" si="400"/>
        <v>60023</v>
      </c>
      <c r="BD572" s="467">
        <f t="shared" ca="1" si="413"/>
        <v>60024</v>
      </c>
      <c r="BE572" s="467">
        <f t="shared" ca="1" si="401"/>
        <v>60053</v>
      </c>
      <c r="BF572" s="468">
        <f ca="1">IF(計算!$BC572&lt;OP!$C$3,0,BD572-BC572)</f>
        <v>1</v>
      </c>
      <c r="BG572" s="468">
        <f ca="1">IF($BE572&gt;DATE(YEAR($BD$9)+OP!$C$57,MONTH($BD$9),DAY($BD$9)),0,$BE572-$BD572+1)</f>
        <v>30</v>
      </c>
      <c r="BH572" s="469">
        <f t="shared" ca="1" si="402"/>
        <v>31</v>
      </c>
      <c r="BI572" t="str">
        <f t="shared" si="418"/>
        <v/>
      </c>
      <c r="BJ572">
        <v>11</v>
      </c>
      <c r="BN572" s="468">
        <f t="shared" si="414"/>
        <v>47</v>
      </c>
      <c r="BO572" s="468">
        <f t="shared" si="415"/>
        <v>11</v>
      </c>
      <c r="BP572" s="467">
        <f t="shared" ca="1" si="403"/>
        <v>60024</v>
      </c>
      <c r="BQ572" s="475">
        <f t="shared" ca="1" si="417"/>
        <v>79</v>
      </c>
      <c r="BR572" s="475" t="str">
        <f t="shared" si="416"/>
        <v/>
      </c>
      <c r="BS572" s="471" t="str">
        <f t="shared" si="404"/>
        <v/>
      </c>
      <c r="BT572" s="472" t="str">
        <f t="shared" si="419"/>
        <v/>
      </c>
      <c r="BU572" s="472">
        <f t="shared" ca="1" si="405"/>
        <v>0</v>
      </c>
      <c r="BV572" s="472">
        <f t="shared" ca="1" si="405"/>
        <v>0</v>
      </c>
      <c r="BW572" s="472"/>
      <c r="BX572" s="473">
        <f t="shared" ca="1" si="406"/>
        <v>749167.38985229598</v>
      </c>
      <c r="BY572" s="473">
        <f t="shared" si="407"/>
        <v>0</v>
      </c>
      <c r="BZ572" s="473">
        <f t="shared" ca="1" si="389"/>
        <v>1711.5908959809999</v>
      </c>
      <c r="CA572" s="476">
        <f t="shared" ca="1" si="408"/>
        <v>0</v>
      </c>
      <c r="CB572" s="494">
        <f ca="1">IF(OR($Q571&lt;&gt;1,OP!$D$5+$BN572-1&lt;16,$BN572-1&lt;1),0,ROUND(ROUND(ROUND(((VLOOKUP($BN572-1,MORE_PV,5,0)/10000)*VLOOKUP($BN572,MORE_PV,$CB$5,0)),3)*VLOOKUP($BN572,more1,5,0),0)/$R571,0))</f>
        <v>0</v>
      </c>
      <c r="CC572" s="473">
        <f t="shared" ca="1" si="409"/>
        <v>0</v>
      </c>
      <c r="CD572" s="477"/>
    </row>
    <row r="573" spans="2:82" ht="16.5" hidden="1">
      <c r="B573" s="80"/>
      <c r="C573" s="80"/>
      <c r="D573" s="80"/>
      <c r="E573" s="80"/>
      <c r="F573" s="80"/>
      <c r="G573" s="80"/>
      <c r="H573" s="80"/>
      <c r="I573" s="80"/>
      <c r="J573" s="192">
        <f t="shared" si="390"/>
        <v>48</v>
      </c>
      <c r="K573" s="192">
        <f t="shared" si="391"/>
        <v>1</v>
      </c>
      <c r="L573" s="192" t="str">
        <f t="shared" si="386"/>
        <v/>
      </c>
      <c r="M573" s="216">
        <f t="shared" ca="1" si="392"/>
        <v>0</v>
      </c>
      <c r="N573" s="216"/>
      <c r="O573" s="216"/>
      <c r="P573" s="216"/>
      <c r="Q573" s="456" t="str">
        <f t="shared" ca="1" si="393"/>
        <v/>
      </c>
      <c r="R573" s="450">
        <f t="shared" ca="1" si="394"/>
        <v>1</v>
      </c>
      <c r="S573" s="191">
        <f t="shared" si="395"/>
        <v>48</v>
      </c>
      <c r="T573" s="191">
        <f t="shared" si="396"/>
        <v>1</v>
      </c>
      <c r="U573" s="191">
        <f ca="1">OP!$D$5+$S573-1</f>
        <v>80</v>
      </c>
      <c r="V573" s="191" t="str">
        <f t="shared" si="397"/>
        <v/>
      </c>
      <c r="W573" s="350">
        <f ca="1">IF(Q573&lt;&gt;1,0,VLOOKUP(OP!$C$55,PVFB,$S573+2,0))</f>
        <v>0</v>
      </c>
      <c r="X573" s="473">
        <f t="shared" ca="1" si="410"/>
        <v>0</v>
      </c>
      <c r="Y573" s="348">
        <f t="shared" ca="1" si="411"/>
        <v>0</v>
      </c>
      <c r="Z573" s="348">
        <f t="shared" ca="1" si="412"/>
        <v>8012</v>
      </c>
      <c r="AA573" s="348">
        <f ca="1">IF(Q573&lt;&gt;1,0,VLOOKUP(OP!$C$55,PVFB,$S573+2,0))</f>
        <v>0</v>
      </c>
      <c r="AB573" s="488" t="str">
        <f ca="1">IF(AND(S573&lt;OP!$C$24,$U573&lt;15),0,IF(AND($U573&lt;15,$T573=12),ROUND(VLOOKUP($S573,DOWN16,5,0),3),IF($T573=12,ROUND(($Z573/10000)*$AA573,3)+IF(AND($P$7="購買增額繳清保險",T573=12,U573=110),VLOOKUP(S573,$B$10:$H$121,7,0),0),"")))</f>
        <v/>
      </c>
      <c r="AC573" s="350" t="str">
        <f ca="1">IF(AND(S573&lt;OP!$C$24,$U573&lt;15),0,IF(AND($U573&lt;16,$T573=12),VLOOKUP($S573,DOWN16,4,0),IF($T573=12,ROUND(VLOOKUP(OP!$C$55,_DIE2,$S573+1,0)*(Z573/10000),0)+IF(AND($P$7="購買增額繳清保險",T573=12,U573=110),VLOOKUP(S573,$B$10:$H$121,7,0),0),"")))</f>
        <v/>
      </c>
      <c r="AD573" s="347"/>
      <c r="AE573" s="350" t="str">
        <f t="shared" ca="1" si="387"/>
        <v/>
      </c>
      <c r="AF573" s="351" t="str">
        <f t="shared" ca="1" si="388"/>
        <v/>
      </c>
      <c r="AG573" s="340"/>
      <c r="AH573" s="340"/>
      <c r="AI573" s="340"/>
      <c r="AJ573" s="340"/>
      <c r="AK573" s="340"/>
      <c r="AL573" s="340"/>
      <c r="AM573" s="340"/>
      <c r="AN573" s="340"/>
      <c r="AO573" s="340"/>
      <c r="AP573" s="340"/>
      <c r="AQ573" s="340"/>
      <c r="AR573" s="340"/>
      <c r="AS573" s="340"/>
      <c r="AT573" s="340"/>
      <c r="AU573" s="340"/>
      <c r="AV573" s="340"/>
      <c r="AY573" s="340"/>
      <c r="AZ573" s="465">
        <f t="shared" ca="1" si="398"/>
        <v>7.3698599999999999E-5</v>
      </c>
      <c r="BA573" s="464">
        <f t="shared" ca="1" si="399"/>
        <v>2.1372602999999999E-3</v>
      </c>
      <c r="BB573" s="465">
        <f t="shared" ca="1" si="399"/>
        <v>2.2109589000000002E-3</v>
      </c>
      <c r="BC573" s="466">
        <f t="shared" ca="1" si="400"/>
        <v>60054</v>
      </c>
      <c r="BD573" s="467">
        <f t="shared" ca="1" si="413"/>
        <v>60055</v>
      </c>
      <c r="BE573" s="467">
        <f t="shared" ca="1" si="401"/>
        <v>60083</v>
      </c>
      <c r="BF573" s="468">
        <f ca="1">IF(計算!$BC573&lt;OP!$C$3,0,BD573-BC573)</f>
        <v>1</v>
      </c>
      <c r="BG573" s="468">
        <f ca="1">IF($BE573&gt;DATE(YEAR($BD$9)+OP!$C$57,MONTH($BD$9),DAY($BD$9)),0,$BE573-$BD573+1)</f>
        <v>29</v>
      </c>
      <c r="BH573" s="469">
        <f t="shared" ca="1" si="402"/>
        <v>30</v>
      </c>
      <c r="BI573">
        <f t="shared" ca="1" si="418"/>
        <v>366</v>
      </c>
      <c r="BJ573">
        <v>12</v>
      </c>
      <c r="BN573" s="468">
        <f t="shared" si="414"/>
        <v>47</v>
      </c>
      <c r="BO573" s="468">
        <f t="shared" si="415"/>
        <v>12</v>
      </c>
      <c r="BP573" s="467">
        <f t="shared" ca="1" si="403"/>
        <v>60055</v>
      </c>
      <c r="BQ573" s="475">
        <f t="shared" ca="1" si="417"/>
        <v>79</v>
      </c>
      <c r="BR573" s="475">
        <f t="shared" si="416"/>
        <v>47</v>
      </c>
      <c r="BS573" s="471">
        <f t="shared" ca="1" si="404"/>
        <v>16150</v>
      </c>
      <c r="BT573" s="472">
        <f t="shared" ca="1" si="419"/>
        <v>767084</v>
      </c>
      <c r="BU573" s="472">
        <f t="shared" ca="1" si="405"/>
        <v>15778</v>
      </c>
      <c r="BV573" s="472">
        <f t="shared" ca="1" si="405"/>
        <v>372</v>
      </c>
      <c r="BW573" s="472">
        <f ca="1">ROUND(SUM(BY573,BZ561:BZ572),0)</f>
        <v>19963</v>
      </c>
      <c r="BX573" s="473">
        <f t="shared" ca="1" si="406"/>
        <v>767084.31947792799</v>
      </c>
      <c r="BY573" s="473">
        <f t="shared" ca="1" si="407"/>
        <v>55.338729651000001</v>
      </c>
      <c r="BZ573" s="473">
        <f t="shared" ca="1" si="389"/>
        <v>1639.458862773</v>
      </c>
      <c r="CA573" s="476">
        <f t="shared" ca="1" si="408"/>
        <v>15778</v>
      </c>
      <c r="CB573" s="494">
        <f ca="1">IF(OR($Q572&lt;&gt;1,OP!$D$5+$BN573-1&lt;16,$BN573-1&lt;1),0,ROUND(ROUND(ROUND(((VLOOKUP($BN573-1,MORE_PV,5,0)/10000)*VLOOKUP($BN573,MORE_PV,$CB$5,0)),3)*VLOOKUP($BN573,more1,5,0),0)/$R572,0))</f>
        <v>372</v>
      </c>
      <c r="CC573" s="473">
        <f t="shared" ca="1" si="409"/>
        <v>0</v>
      </c>
      <c r="CD573" s="477"/>
    </row>
    <row r="574" spans="2:82" ht="16.5" hidden="1">
      <c r="B574" s="80"/>
      <c r="C574" s="80"/>
      <c r="D574" s="80"/>
      <c r="E574" s="80"/>
      <c r="F574" s="80"/>
      <c r="G574" s="80"/>
      <c r="H574" s="80"/>
      <c r="I574" s="80"/>
      <c r="J574" s="192">
        <f t="shared" si="390"/>
        <v>48</v>
      </c>
      <c r="K574" s="192">
        <f t="shared" si="391"/>
        <v>2</v>
      </c>
      <c r="L574" s="192" t="str">
        <f t="shared" si="386"/>
        <v/>
      </c>
      <c r="M574" s="216">
        <f t="shared" ca="1" si="392"/>
        <v>0</v>
      </c>
      <c r="N574" s="216"/>
      <c r="O574" s="216"/>
      <c r="P574" s="216"/>
      <c r="Q574" s="456" t="str">
        <f t="shared" ca="1" si="393"/>
        <v/>
      </c>
      <c r="R574" s="450">
        <f t="shared" ca="1" si="394"/>
        <v>1</v>
      </c>
      <c r="S574" s="191">
        <f t="shared" si="395"/>
        <v>48</v>
      </c>
      <c r="T574" s="191">
        <f t="shared" si="396"/>
        <v>2</v>
      </c>
      <c r="U574" s="191">
        <f ca="1">OP!$D$5+$S574-1</f>
        <v>80</v>
      </c>
      <c r="V574" s="191" t="str">
        <f t="shared" si="397"/>
        <v/>
      </c>
      <c r="W574" s="350">
        <f ca="1">IF(Q574&lt;&gt;1,0,VLOOKUP(OP!$C$55,PVFB,$S574+2,0))</f>
        <v>0</v>
      </c>
      <c r="X574" s="473">
        <f t="shared" ca="1" si="410"/>
        <v>0</v>
      </c>
      <c r="Y574" s="348">
        <f t="shared" ca="1" si="411"/>
        <v>0</v>
      </c>
      <c r="Z574" s="348">
        <f t="shared" ca="1" si="412"/>
        <v>8012</v>
      </c>
      <c r="AA574" s="348">
        <f ca="1">IF(Q574&lt;&gt;1,0,VLOOKUP(OP!$C$55,PVFB,$S574+2,0))</f>
        <v>0</v>
      </c>
      <c r="AB574" s="488" t="str">
        <f ca="1">IF(AND(S574&lt;OP!$C$24,$U574&lt;15),0,IF(AND($U574&lt;15,$T574=12),ROUND(VLOOKUP($S574,DOWN16,5,0),3),IF($T574=12,ROUND(($Z574/10000)*$AA574,3)+IF(AND($P$7="購買增額繳清保險",T574=12,U574=110),VLOOKUP(S574,$B$10:$H$121,7,0),0),"")))</f>
        <v/>
      </c>
      <c r="AC574" s="350" t="str">
        <f ca="1">IF(AND(S574&lt;OP!$C$24,$U574&lt;15),0,IF(AND($U574&lt;16,$T574=12),VLOOKUP($S574,DOWN16,4,0),IF($T574=12,ROUND(VLOOKUP(OP!$C$55,_DIE2,$S574+1,0)*(Z574/10000),0)+IF(AND($P$7="購買增額繳清保險",T574=12,U574=110),VLOOKUP(S574,$B$10:$H$121,7,0),0),"")))</f>
        <v/>
      </c>
      <c r="AD574" s="347"/>
      <c r="AE574" s="350" t="str">
        <f t="shared" ca="1" si="387"/>
        <v/>
      </c>
      <c r="AF574" s="351" t="str">
        <f t="shared" ca="1" si="388"/>
        <v/>
      </c>
      <c r="AG574" s="340"/>
      <c r="AH574" s="340"/>
      <c r="AI574" s="340"/>
      <c r="AJ574" s="340"/>
      <c r="AK574" s="340"/>
      <c r="AL574" s="340"/>
      <c r="AM574" s="340"/>
      <c r="AN574" s="340"/>
      <c r="AO574" s="340"/>
      <c r="AP574" s="340"/>
      <c r="AQ574" s="340"/>
      <c r="AR574" s="340"/>
      <c r="AS574" s="340"/>
      <c r="AT574" s="340"/>
      <c r="AU574" s="340"/>
      <c r="AV574" s="340"/>
      <c r="AY574" s="340"/>
      <c r="AZ574" s="465">
        <f t="shared" ca="1" si="398"/>
        <v>7.3698599999999999E-5</v>
      </c>
      <c r="BA574" s="464">
        <f t="shared" ca="1" si="399"/>
        <v>2.2109589000000002E-3</v>
      </c>
      <c r="BB574" s="465">
        <f t="shared" ca="1" si="399"/>
        <v>2.2846575E-3</v>
      </c>
      <c r="BC574" s="466">
        <f t="shared" ca="1" si="400"/>
        <v>60084</v>
      </c>
      <c r="BD574" s="467">
        <f t="shared" ca="1" si="413"/>
        <v>60085</v>
      </c>
      <c r="BE574" s="467">
        <f t="shared" ca="1" si="401"/>
        <v>60114</v>
      </c>
      <c r="BF574" s="468">
        <f ca="1">IF(計算!$BC574&lt;OP!$C$3,0,BD574-BC574)</f>
        <v>1</v>
      </c>
      <c r="BG574" s="468">
        <f ca="1">IF($BE574&gt;DATE(YEAR($BD$9)+OP!$C$57,MONTH($BD$9),DAY($BD$9)),0,$BE574-$BD574+1)</f>
        <v>30</v>
      </c>
      <c r="BH574" s="469">
        <f t="shared" ca="1" si="402"/>
        <v>31</v>
      </c>
      <c r="BI574" t="str">
        <f t="shared" si="418"/>
        <v/>
      </c>
      <c r="BJ574">
        <v>1</v>
      </c>
      <c r="BN574" s="468">
        <f t="shared" si="414"/>
        <v>48</v>
      </c>
      <c r="BO574" s="468">
        <f t="shared" si="415"/>
        <v>1</v>
      </c>
      <c r="BP574" s="467">
        <f t="shared" ca="1" si="403"/>
        <v>60085</v>
      </c>
      <c r="BQ574" s="475">
        <f t="shared" ca="1" si="417"/>
        <v>80</v>
      </c>
      <c r="BR574" s="475" t="str">
        <f t="shared" si="416"/>
        <v/>
      </c>
      <c r="BS574" s="471" t="str">
        <f t="shared" si="404"/>
        <v/>
      </c>
      <c r="BT574" s="472" t="str">
        <f t="shared" si="419"/>
        <v/>
      </c>
      <c r="BU574" s="472">
        <f t="shared" ca="1" si="405"/>
        <v>0</v>
      </c>
      <c r="BV574" s="472">
        <f t="shared" ca="1" si="405"/>
        <v>0</v>
      </c>
      <c r="BW574" s="472"/>
      <c r="BX574" s="473">
        <f t="shared" ca="1" si="406"/>
        <v>768723.77834070101</v>
      </c>
      <c r="BY574" s="473">
        <f t="shared" si="407"/>
        <v>0</v>
      </c>
      <c r="BZ574" s="473">
        <f t="shared" ca="1" si="389"/>
        <v>1756.270545614</v>
      </c>
      <c r="CA574" s="476">
        <f t="shared" ca="1" si="408"/>
        <v>0</v>
      </c>
      <c r="CB574" s="494">
        <f ca="1">IF(OR($Q573&lt;&gt;1,OP!$D$5+$BN574-1&lt;16,$BN574-1&lt;1),0,ROUND(ROUND(ROUND(((VLOOKUP($BN574-1,MORE_PV,5,0)/10000)*VLOOKUP($BN574,MORE_PV,$CB$5,0)),3)*VLOOKUP($BN574,more1,5,0),0)/$R573,0))</f>
        <v>0</v>
      </c>
      <c r="CC574" s="473">
        <f t="shared" ca="1" si="409"/>
        <v>0</v>
      </c>
      <c r="CD574" s="477"/>
    </row>
    <row r="575" spans="2:82" ht="16.5" hidden="1">
      <c r="B575" s="80"/>
      <c r="C575" s="80"/>
      <c r="D575" s="80"/>
      <c r="E575" s="80"/>
      <c r="F575" s="80"/>
      <c r="G575" s="80"/>
      <c r="H575" s="80"/>
      <c r="I575" s="80"/>
      <c r="J575" s="192">
        <f t="shared" si="390"/>
        <v>48</v>
      </c>
      <c r="K575" s="192">
        <f t="shared" si="391"/>
        <v>3</v>
      </c>
      <c r="L575" s="192" t="str">
        <f t="shared" si="386"/>
        <v/>
      </c>
      <c r="M575" s="216">
        <f t="shared" ca="1" si="392"/>
        <v>0</v>
      </c>
      <c r="N575" s="216"/>
      <c r="O575" s="216"/>
      <c r="P575" s="216"/>
      <c r="Q575" s="456" t="str">
        <f t="shared" ca="1" si="393"/>
        <v/>
      </c>
      <c r="R575" s="450">
        <f t="shared" ca="1" si="394"/>
        <v>1</v>
      </c>
      <c r="S575" s="191">
        <f t="shared" si="395"/>
        <v>48</v>
      </c>
      <c r="T575" s="191">
        <f t="shared" si="396"/>
        <v>3</v>
      </c>
      <c r="U575" s="191">
        <f ca="1">OP!$D$5+$S575-1</f>
        <v>80</v>
      </c>
      <c r="V575" s="191" t="str">
        <f t="shared" si="397"/>
        <v/>
      </c>
      <c r="W575" s="350">
        <f ca="1">IF(Q575&lt;&gt;1,0,VLOOKUP(OP!$C$55,PVFB,$S575+2,0))</f>
        <v>0</v>
      </c>
      <c r="X575" s="473">
        <f t="shared" ca="1" si="410"/>
        <v>0</v>
      </c>
      <c r="Y575" s="348">
        <f t="shared" ca="1" si="411"/>
        <v>0</v>
      </c>
      <c r="Z575" s="348">
        <f t="shared" ca="1" si="412"/>
        <v>8012</v>
      </c>
      <c r="AA575" s="348">
        <f ca="1">IF(Q575&lt;&gt;1,0,VLOOKUP(OP!$C$55,PVFB,$S575+2,0))</f>
        <v>0</v>
      </c>
      <c r="AB575" s="488" t="str">
        <f ca="1">IF(AND(S575&lt;OP!$C$24,$U575&lt;15),0,IF(AND($U575&lt;15,$T575=12),ROUND(VLOOKUP($S575,DOWN16,5,0),3),IF($T575=12,ROUND(($Z575/10000)*$AA575,3)+IF(AND($P$7="購買增額繳清保險",T575=12,U575=110),VLOOKUP(S575,$B$10:$H$121,7,0),0),"")))</f>
        <v/>
      </c>
      <c r="AC575" s="350" t="str">
        <f ca="1">IF(AND(S575&lt;OP!$C$24,$U575&lt;15),0,IF(AND($U575&lt;16,$T575=12),VLOOKUP($S575,DOWN16,4,0),IF($T575=12,ROUND(VLOOKUP(OP!$C$55,_DIE2,$S575+1,0)*(Z575/10000),0)+IF(AND($P$7="購買增額繳清保險",T575=12,U575=110),VLOOKUP(S575,$B$10:$H$121,7,0),0),"")))</f>
        <v/>
      </c>
      <c r="AD575" s="347"/>
      <c r="AE575" s="350" t="str">
        <f t="shared" ca="1" si="387"/>
        <v/>
      </c>
      <c r="AF575" s="351" t="str">
        <f t="shared" ca="1" si="388"/>
        <v/>
      </c>
      <c r="AG575" s="340"/>
      <c r="AH575" s="340"/>
      <c r="AI575" s="340"/>
      <c r="AJ575" s="340"/>
      <c r="AK575" s="340"/>
      <c r="AL575" s="340"/>
      <c r="AM575" s="340"/>
      <c r="AN575" s="340"/>
      <c r="AO575" s="340"/>
      <c r="AP575" s="340"/>
      <c r="AQ575" s="340"/>
      <c r="AR575" s="340"/>
      <c r="AS575" s="340"/>
      <c r="AT575" s="340"/>
      <c r="AU575" s="340"/>
      <c r="AV575" s="340"/>
      <c r="AY575" s="340"/>
      <c r="AZ575" s="465">
        <f t="shared" ca="1" si="398"/>
        <v>7.3698599999999999E-5</v>
      </c>
      <c r="BA575" s="464">
        <f t="shared" ca="1" si="399"/>
        <v>2.2109589000000002E-3</v>
      </c>
      <c r="BB575" s="465">
        <f t="shared" ca="1" si="399"/>
        <v>2.2846575E-3</v>
      </c>
      <c r="BC575" s="466">
        <f t="shared" ca="1" si="400"/>
        <v>60115</v>
      </c>
      <c r="BD575" s="467">
        <f t="shared" ca="1" si="413"/>
        <v>60116</v>
      </c>
      <c r="BE575" s="467">
        <f t="shared" ca="1" si="401"/>
        <v>60145</v>
      </c>
      <c r="BF575" s="468">
        <f ca="1">IF(計算!$BC575&lt;OP!$C$3,0,BD575-BC575)</f>
        <v>1</v>
      </c>
      <c r="BG575" s="468">
        <f ca="1">IF($BE575&gt;DATE(YEAR($BD$9)+OP!$C$57,MONTH($BD$9),DAY($BD$9)),0,$BE575-$BD575+1)</f>
        <v>30</v>
      </c>
      <c r="BH575" s="469">
        <f t="shared" ca="1" si="402"/>
        <v>31</v>
      </c>
      <c r="BI575" t="str">
        <f t="shared" si="418"/>
        <v/>
      </c>
      <c r="BJ575">
        <v>2</v>
      </c>
      <c r="BN575" s="468">
        <f t="shared" si="414"/>
        <v>48</v>
      </c>
      <c r="BO575" s="468">
        <f t="shared" si="415"/>
        <v>2</v>
      </c>
      <c r="BP575" s="467">
        <f t="shared" ca="1" si="403"/>
        <v>60116</v>
      </c>
      <c r="BQ575" s="475">
        <f t="shared" ca="1" si="417"/>
        <v>80</v>
      </c>
      <c r="BR575" s="475" t="str">
        <f t="shared" si="416"/>
        <v/>
      </c>
      <c r="BS575" s="471" t="str">
        <f t="shared" si="404"/>
        <v/>
      </c>
      <c r="BT575" s="472" t="str">
        <f t="shared" si="419"/>
        <v/>
      </c>
      <c r="BU575" s="472">
        <f t="shared" ca="1" si="405"/>
        <v>0</v>
      </c>
      <c r="BV575" s="472">
        <f t="shared" ca="1" si="405"/>
        <v>0</v>
      </c>
      <c r="BW575" s="472"/>
      <c r="BX575" s="473">
        <f t="shared" ca="1" si="406"/>
        <v>770480.04888631497</v>
      </c>
      <c r="BY575" s="473">
        <f t="shared" si="407"/>
        <v>0</v>
      </c>
      <c r="BZ575" s="473">
        <f t="shared" ca="1" si="389"/>
        <v>1760.283022288</v>
      </c>
      <c r="CA575" s="476">
        <f t="shared" ca="1" si="408"/>
        <v>0</v>
      </c>
      <c r="CB575" s="494">
        <f ca="1">IF(OR($Q574&lt;&gt;1,OP!$D$5+$BN575-1&lt;16,$BN575-1&lt;1),0,ROUND(ROUND(ROUND(((VLOOKUP($BN575-1,MORE_PV,5,0)/10000)*VLOOKUP($BN575,MORE_PV,$CB$5,0)),3)*VLOOKUP($BN575,more1,5,0),0)/$R574,0))</f>
        <v>0</v>
      </c>
      <c r="CC575" s="473">
        <f t="shared" ca="1" si="409"/>
        <v>0</v>
      </c>
      <c r="CD575" s="477"/>
    </row>
    <row r="576" spans="2:82" ht="16.5" hidden="1">
      <c r="B576" s="80"/>
      <c r="C576" s="80"/>
      <c r="D576" s="80"/>
      <c r="E576" s="80"/>
      <c r="F576" s="80"/>
      <c r="G576" s="80"/>
      <c r="H576" s="80"/>
      <c r="I576" s="80"/>
      <c r="J576" s="192">
        <f t="shared" si="390"/>
        <v>48</v>
      </c>
      <c r="K576" s="192">
        <f t="shared" si="391"/>
        <v>4</v>
      </c>
      <c r="L576" s="192" t="str">
        <f t="shared" si="386"/>
        <v/>
      </c>
      <c r="M576" s="216">
        <f t="shared" ca="1" si="392"/>
        <v>0</v>
      </c>
      <c r="N576" s="216"/>
      <c r="O576" s="216"/>
      <c r="P576" s="216"/>
      <c r="Q576" s="456" t="str">
        <f t="shared" ca="1" si="393"/>
        <v/>
      </c>
      <c r="R576" s="450">
        <f t="shared" ca="1" si="394"/>
        <v>1</v>
      </c>
      <c r="S576" s="191">
        <f t="shared" si="395"/>
        <v>48</v>
      </c>
      <c r="T576" s="191">
        <f t="shared" si="396"/>
        <v>4</v>
      </c>
      <c r="U576" s="191">
        <f ca="1">OP!$D$5+$S576-1</f>
        <v>80</v>
      </c>
      <c r="V576" s="191" t="str">
        <f t="shared" si="397"/>
        <v/>
      </c>
      <c r="W576" s="350">
        <f ca="1">IF(Q576&lt;&gt;1,0,VLOOKUP(OP!$C$55,PVFB,$S576+2,0))</f>
        <v>0</v>
      </c>
      <c r="X576" s="473">
        <f t="shared" ca="1" si="410"/>
        <v>0</v>
      </c>
      <c r="Y576" s="348">
        <f t="shared" ca="1" si="411"/>
        <v>0</v>
      </c>
      <c r="Z576" s="348">
        <f t="shared" ca="1" si="412"/>
        <v>8012</v>
      </c>
      <c r="AA576" s="348">
        <f ca="1">IF(Q576&lt;&gt;1,0,VLOOKUP(OP!$C$55,PVFB,$S576+2,0))</f>
        <v>0</v>
      </c>
      <c r="AB576" s="488" t="str">
        <f ca="1">IF(AND(S576&lt;OP!$C$24,$U576&lt;15),0,IF(AND($U576&lt;15,$T576=12),ROUND(VLOOKUP($S576,DOWN16,5,0),3),IF($T576=12,ROUND(($Z576/10000)*$AA576,3)+IF(AND($P$7="購買增額繳清保險",T576=12,U576=110),VLOOKUP(S576,$B$10:$H$121,7,0),0),"")))</f>
        <v/>
      </c>
      <c r="AC576" s="350" t="str">
        <f ca="1">IF(AND(S576&lt;OP!$C$24,$U576&lt;15),0,IF(AND($U576&lt;16,$T576=12),VLOOKUP($S576,DOWN16,4,0),IF($T576=12,ROUND(VLOOKUP(OP!$C$55,_DIE2,$S576+1,0)*(Z576/10000),0)+IF(AND($P$7="購買增額繳清保險",T576=12,U576=110),VLOOKUP(S576,$B$10:$H$121,7,0),0),"")))</f>
        <v/>
      </c>
      <c r="AD576" s="347"/>
      <c r="AE576" s="350" t="str">
        <f t="shared" ca="1" si="387"/>
        <v/>
      </c>
      <c r="AF576" s="351" t="str">
        <f t="shared" ca="1" si="388"/>
        <v/>
      </c>
      <c r="AG576" s="340"/>
      <c r="AH576" s="340"/>
      <c r="AI576" s="340"/>
      <c r="AJ576" s="340"/>
      <c r="AK576" s="340"/>
      <c r="AL576" s="340"/>
      <c r="AM576" s="340"/>
      <c r="AN576" s="340"/>
      <c r="AO576" s="340"/>
      <c r="AP576" s="340"/>
      <c r="AQ576" s="340"/>
      <c r="AR576" s="340"/>
      <c r="AS576" s="340"/>
      <c r="AT576" s="340"/>
      <c r="AU576" s="340"/>
      <c r="AV576" s="340"/>
      <c r="AY576" s="340"/>
      <c r="AZ576" s="465">
        <f t="shared" ca="1" si="398"/>
        <v>7.3698599999999999E-5</v>
      </c>
      <c r="BA576" s="464">
        <f t="shared" ca="1" si="399"/>
        <v>2.1372602999999999E-3</v>
      </c>
      <c r="BB576" s="465">
        <f t="shared" ca="1" si="399"/>
        <v>2.2109589000000002E-3</v>
      </c>
      <c r="BC576" s="466">
        <f t="shared" ca="1" si="400"/>
        <v>60146</v>
      </c>
      <c r="BD576" s="467">
        <f t="shared" ca="1" si="413"/>
        <v>60147</v>
      </c>
      <c r="BE576" s="467">
        <f t="shared" ca="1" si="401"/>
        <v>60175</v>
      </c>
      <c r="BF576" s="468">
        <f ca="1">IF(計算!$BC576&lt;OP!$C$3,0,BD576-BC576)</f>
        <v>1</v>
      </c>
      <c r="BG576" s="468">
        <f ca="1">IF($BE576&gt;DATE(YEAR($BD$9)+OP!$C$57,MONTH($BD$9),DAY($BD$9)),0,$BE576-$BD576+1)</f>
        <v>29</v>
      </c>
      <c r="BH576" s="469">
        <f t="shared" ca="1" si="402"/>
        <v>30</v>
      </c>
      <c r="BI576" t="str">
        <f t="shared" si="418"/>
        <v/>
      </c>
      <c r="BJ576">
        <v>3</v>
      </c>
      <c r="BN576" s="468">
        <f t="shared" si="414"/>
        <v>48</v>
      </c>
      <c r="BO576" s="468">
        <f t="shared" si="415"/>
        <v>3</v>
      </c>
      <c r="BP576" s="467">
        <f t="shared" ca="1" si="403"/>
        <v>60147</v>
      </c>
      <c r="BQ576" s="475">
        <f t="shared" ca="1" si="417"/>
        <v>80</v>
      </c>
      <c r="BR576" s="475" t="str">
        <f t="shared" si="416"/>
        <v/>
      </c>
      <c r="BS576" s="471" t="str">
        <f t="shared" si="404"/>
        <v/>
      </c>
      <c r="BT576" s="472" t="str">
        <f t="shared" si="419"/>
        <v/>
      </c>
      <c r="BU576" s="472">
        <f t="shared" ca="1" si="405"/>
        <v>0</v>
      </c>
      <c r="BV576" s="472">
        <f t="shared" ca="1" si="405"/>
        <v>0</v>
      </c>
      <c r="BW576" s="472"/>
      <c r="BX576" s="473">
        <f t="shared" ca="1" si="406"/>
        <v>772240.33190860297</v>
      </c>
      <c r="BY576" s="473">
        <f t="shared" si="407"/>
        <v>0</v>
      </c>
      <c r="BZ576" s="473">
        <f t="shared" ca="1" si="389"/>
        <v>1707.3916347720001</v>
      </c>
      <c r="CA576" s="476">
        <f t="shared" ca="1" si="408"/>
        <v>0</v>
      </c>
      <c r="CB576" s="494">
        <f ca="1">IF(OR($Q575&lt;&gt;1,OP!$D$5+$BN576-1&lt;16,$BN576-1&lt;1),0,ROUND(ROUND(ROUND(((VLOOKUP($BN576-1,MORE_PV,5,0)/10000)*VLOOKUP($BN576,MORE_PV,$CB$5,0)),3)*VLOOKUP($BN576,more1,5,0),0)/$R575,0))</f>
        <v>0</v>
      </c>
      <c r="CC576" s="473">
        <f t="shared" ca="1" si="409"/>
        <v>0</v>
      </c>
      <c r="CD576" s="477"/>
    </row>
    <row r="577" spans="2:82" ht="16.5" hidden="1">
      <c r="B577" s="80"/>
      <c r="C577" s="80"/>
      <c r="D577" s="80"/>
      <c r="E577" s="80"/>
      <c r="F577" s="80"/>
      <c r="G577" s="80"/>
      <c r="H577" s="80"/>
      <c r="I577" s="80"/>
      <c r="J577" s="192">
        <f t="shared" si="390"/>
        <v>48</v>
      </c>
      <c r="K577" s="192">
        <f t="shared" si="391"/>
        <v>5</v>
      </c>
      <c r="L577" s="192" t="str">
        <f t="shared" si="386"/>
        <v/>
      </c>
      <c r="M577" s="216">
        <f t="shared" ca="1" si="392"/>
        <v>0</v>
      </c>
      <c r="N577" s="216"/>
      <c r="O577" s="216"/>
      <c r="P577" s="216"/>
      <c r="Q577" s="456" t="str">
        <f t="shared" ca="1" si="393"/>
        <v/>
      </c>
      <c r="R577" s="450">
        <f t="shared" ca="1" si="394"/>
        <v>1</v>
      </c>
      <c r="S577" s="191">
        <f t="shared" si="395"/>
        <v>48</v>
      </c>
      <c r="T577" s="191">
        <f t="shared" si="396"/>
        <v>5</v>
      </c>
      <c r="U577" s="191">
        <f ca="1">OP!$D$5+$S577-1</f>
        <v>80</v>
      </c>
      <c r="V577" s="191" t="str">
        <f t="shared" si="397"/>
        <v/>
      </c>
      <c r="W577" s="350">
        <f ca="1">IF(Q577&lt;&gt;1,0,VLOOKUP(OP!$C$55,PVFB,$S577+2,0))</f>
        <v>0</v>
      </c>
      <c r="X577" s="473">
        <f t="shared" ca="1" si="410"/>
        <v>0</v>
      </c>
      <c r="Y577" s="348">
        <f t="shared" ca="1" si="411"/>
        <v>0</v>
      </c>
      <c r="Z577" s="348">
        <f t="shared" ca="1" si="412"/>
        <v>8012</v>
      </c>
      <c r="AA577" s="348">
        <f ca="1">IF(Q577&lt;&gt;1,0,VLOOKUP(OP!$C$55,PVFB,$S577+2,0))</f>
        <v>0</v>
      </c>
      <c r="AB577" s="488" t="str">
        <f ca="1">IF(AND(S577&lt;OP!$C$24,$U577&lt;15),0,IF(AND($U577&lt;15,$T577=12),ROUND(VLOOKUP($S577,DOWN16,5,0),3),IF($T577=12,ROUND(($Z577/10000)*$AA577,3)+IF(AND($P$7="購買增額繳清保險",T577=12,U577=110),VLOOKUP(S577,$B$10:$H$121,7,0),0),"")))</f>
        <v/>
      </c>
      <c r="AC577" s="350" t="str">
        <f ca="1">IF(AND(S577&lt;OP!$C$24,$U577&lt;15),0,IF(AND($U577&lt;16,$T577=12),VLOOKUP($S577,DOWN16,4,0),IF($T577=12,ROUND(VLOOKUP(OP!$C$55,_DIE2,$S577+1,0)*(Z577/10000),0)+IF(AND($P$7="購買增額繳清保險",T577=12,U577=110),VLOOKUP(S577,$B$10:$H$121,7,0),0),"")))</f>
        <v/>
      </c>
      <c r="AD577" s="347"/>
      <c r="AE577" s="350" t="str">
        <f t="shared" ca="1" si="387"/>
        <v/>
      </c>
      <c r="AF577" s="351" t="str">
        <f t="shared" ca="1" si="388"/>
        <v/>
      </c>
      <c r="AG577" s="340"/>
      <c r="AH577" s="340"/>
      <c r="AI577" s="340"/>
      <c r="AJ577" s="340"/>
      <c r="AK577" s="340"/>
      <c r="AL577" s="340"/>
      <c r="AM577" s="340"/>
      <c r="AN577" s="340"/>
      <c r="AO577" s="340"/>
      <c r="AP577" s="340"/>
      <c r="AQ577" s="340"/>
      <c r="AR577" s="340"/>
      <c r="AS577" s="340"/>
      <c r="AT577" s="340"/>
      <c r="AU577" s="340"/>
      <c r="AV577" s="340"/>
      <c r="AY577" s="340"/>
      <c r="AZ577" s="465">
        <f t="shared" ca="1" si="398"/>
        <v>7.3698599999999999E-5</v>
      </c>
      <c r="BA577" s="464">
        <f t="shared" ca="1" si="399"/>
        <v>2.2109589000000002E-3</v>
      </c>
      <c r="BB577" s="465">
        <f t="shared" ca="1" si="399"/>
        <v>2.2846575E-3</v>
      </c>
      <c r="BC577" s="466">
        <f t="shared" ca="1" si="400"/>
        <v>60176</v>
      </c>
      <c r="BD577" s="467">
        <f t="shared" ca="1" si="413"/>
        <v>60177</v>
      </c>
      <c r="BE577" s="467">
        <f t="shared" ca="1" si="401"/>
        <v>60206</v>
      </c>
      <c r="BF577" s="468">
        <f ca="1">IF(計算!$BC577&lt;OP!$C$3,0,BD577-BC577)</f>
        <v>1</v>
      </c>
      <c r="BG577" s="468">
        <f ca="1">IF($BE577&gt;DATE(YEAR($BD$9)+OP!$C$57,MONTH($BD$9),DAY($BD$9)),0,$BE577-$BD577+1)</f>
        <v>30</v>
      </c>
      <c r="BH577" s="469">
        <f t="shared" ca="1" si="402"/>
        <v>31</v>
      </c>
      <c r="BI577" t="str">
        <f t="shared" si="418"/>
        <v/>
      </c>
      <c r="BJ577">
        <v>4</v>
      </c>
      <c r="BN577" s="468">
        <f t="shared" si="414"/>
        <v>48</v>
      </c>
      <c r="BO577" s="468">
        <f t="shared" si="415"/>
        <v>4</v>
      </c>
      <c r="BP577" s="467">
        <f t="shared" ca="1" si="403"/>
        <v>60177</v>
      </c>
      <c r="BQ577" s="475">
        <f t="shared" ca="1" si="417"/>
        <v>80</v>
      </c>
      <c r="BR577" s="475" t="str">
        <f t="shared" si="416"/>
        <v/>
      </c>
      <c r="BS577" s="471" t="str">
        <f t="shared" si="404"/>
        <v/>
      </c>
      <c r="BT577" s="472" t="str">
        <f t="shared" si="419"/>
        <v/>
      </c>
      <c r="BU577" s="472">
        <f t="shared" ca="1" si="405"/>
        <v>0</v>
      </c>
      <c r="BV577" s="472">
        <f t="shared" ca="1" si="405"/>
        <v>0</v>
      </c>
      <c r="BW577" s="472"/>
      <c r="BX577" s="473">
        <f t="shared" ca="1" si="406"/>
        <v>773947.72354337503</v>
      </c>
      <c r="BY577" s="473">
        <f t="shared" si="407"/>
        <v>0</v>
      </c>
      <c r="BZ577" s="473">
        <f t="shared" ca="1" si="389"/>
        <v>1768.2054712009999</v>
      </c>
      <c r="CA577" s="476">
        <f t="shared" ca="1" si="408"/>
        <v>0</v>
      </c>
      <c r="CB577" s="494">
        <f ca="1">IF(OR($Q576&lt;&gt;1,OP!$D$5+$BN577-1&lt;16,$BN577-1&lt;1),0,ROUND(ROUND(ROUND(((VLOOKUP($BN577-1,MORE_PV,5,0)/10000)*VLOOKUP($BN577,MORE_PV,$CB$5,0)),3)*VLOOKUP($BN577,more1,5,0),0)/$R576,0))</f>
        <v>0</v>
      </c>
      <c r="CC577" s="473">
        <f t="shared" ca="1" si="409"/>
        <v>0</v>
      </c>
      <c r="CD577" s="477"/>
    </row>
    <row r="578" spans="2:82" ht="16.5" hidden="1">
      <c r="B578" s="80"/>
      <c r="C578" s="80"/>
      <c r="D578" s="80"/>
      <c r="E578" s="80"/>
      <c r="F578" s="80"/>
      <c r="G578" s="80"/>
      <c r="H578" s="80"/>
      <c r="I578" s="80"/>
      <c r="J578" s="192">
        <f t="shared" si="390"/>
        <v>48</v>
      </c>
      <c r="K578" s="192">
        <f t="shared" si="391"/>
        <v>6</v>
      </c>
      <c r="L578" s="192" t="str">
        <f t="shared" si="386"/>
        <v/>
      </c>
      <c r="M578" s="216">
        <f t="shared" ca="1" si="392"/>
        <v>0</v>
      </c>
      <c r="N578" s="216"/>
      <c r="O578" s="216"/>
      <c r="P578" s="216"/>
      <c r="Q578" s="456" t="str">
        <f t="shared" ca="1" si="393"/>
        <v/>
      </c>
      <c r="R578" s="450">
        <f t="shared" ca="1" si="394"/>
        <v>1</v>
      </c>
      <c r="S578" s="191">
        <f t="shared" si="395"/>
        <v>48</v>
      </c>
      <c r="T578" s="191">
        <f t="shared" si="396"/>
        <v>6</v>
      </c>
      <c r="U578" s="191">
        <f ca="1">OP!$D$5+$S578-1</f>
        <v>80</v>
      </c>
      <c r="V578" s="191" t="str">
        <f t="shared" si="397"/>
        <v/>
      </c>
      <c r="W578" s="350">
        <f ca="1">IF(Q578&lt;&gt;1,0,VLOOKUP(OP!$C$55,PVFB,$S578+2,0))</f>
        <v>0</v>
      </c>
      <c r="X578" s="473">
        <f t="shared" ca="1" si="410"/>
        <v>0</v>
      </c>
      <c r="Y578" s="348">
        <f t="shared" ca="1" si="411"/>
        <v>0</v>
      </c>
      <c r="Z578" s="348">
        <f t="shared" ca="1" si="412"/>
        <v>8012</v>
      </c>
      <c r="AA578" s="348">
        <f ca="1">IF(Q578&lt;&gt;1,0,VLOOKUP(OP!$C$55,PVFB,$S578+2,0))</f>
        <v>0</v>
      </c>
      <c r="AB578" s="488" t="str">
        <f ca="1">IF(AND(S578&lt;OP!$C$24,$U578&lt;15),0,IF(AND($U578&lt;15,$T578=12),ROUND(VLOOKUP($S578,DOWN16,5,0),3),IF($T578=12,ROUND(($Z578/10000)*$AA578,3)+IF(AND($P$7="購買增額繳清保險",T578=12,U578=110),VLOOKUP(S578,$B$10:$H$121,7,0),0),"")))</f>
        <v/>
      </c>
      <c r="AC578" s="350" t="str">
        <f ca="1">IF(AND(S578&lt;OP!$C$24,$U578&lt;15),0,IF(AND($U578&lt;16,$T578=12),VLOOKUP($S578,DOWN16,4,0),IF($T578=12,ROUND(VLOOKUP(OP!$C$55,_DIE2,$S578+1,0)*(Z578/10000),0)+IF(AND($P$7="購買增額繳清保險",T578=12,U578=110),VLOOKUP(S578,$B$10:$H$121,7,0),0),"")))</f>
        <v/>
      </c>
      <c r="AD578" s="347"/>
      <c r="AE578" s="350" t="str">
        <f t="shared" ca="1" si="387"/>
        <v/>
      </c>
      <c r="AF578" s="351" t="str">
        <f t="shared" ca="1" si="388"/>
        <v/>
      </c>
      <c r="AG578" s="340"/>
      <c r="AH578" s="340"/>
      <c r="AI578" s="340"/>
      <c r="AJ578" s="340"/>
      <c r="AK578" s="340"/>
      <c r="AL578" s="340"/>
      <c r="AM578" s="340"/>
      <c r="AN578" s="340"/>
      <c r="AO578" s="340"/>
      <c r="AP578" s="340"/>
      <c r="AQ578" s="340"/>
      <c r="AR578" s="340"/>
      <c r="AS578" s="340"/>
      <c r="AT578" s="340"/>
      <c r="AU578" s="340"/>
      <c r="AV578" s="340"/>
      <c r="AY578" s="340"/>
      <c r="AZ578" s="465">
        <f t="shared" ca="1" si="398"/>
        <v>7.3698599999999999E-5</v>
      </c>
      <c r="BA578" s="464">
        <f t="shared" ca="1" si="399"/>
        <v>2.1372602999999999E-3</v>
      </c>
      <c r="BB578" s="465">
        <f t="shared" ca="1" si="399"/>
        <v>2.2109589000000002E-3</v>
      </c>
      <c r="BC578" s="466">
        <f t="shared" ca="1" si="400"/>
        <v>60207</v>
      </c>
      <c r="BD578" s="467">
        <f t="shared" ca="1" si="413"/>
        <v>60208</v>
      </c>
      <c r="BE578" s="467">
        <f t="shared" ca="1" si="401"/>
        <v>60236</v>
      </c>
      <c r="BF578" s="468">
        <f ca="1">IF(計算!$BC578&lt;OP!$C$3,0,BD578-BC578)</f>
        <v>1</v>
      </c>
      <c r="BG578" s="468">
        <f ca="1">IF($BE578&gt;DATE(YEAR($BD$9)+OP!$C$57,MONTH($BD$9),DAY($BD$9)),0,$BE578-$BD578+1)</f>
        <v>29</v>
      </c>
      <c r="BH578" s="469">
        <f t="shared" ca="1" si="402"/>
        <v>30</v>
      </c>
      <c r="BI578" t="str">
        <f t="shared" si="418"/>
        <v/>
      </c>
      <c r="BJ578">
        <v>5</v>
      </c>
      <c r="BN578" s="468">
        <f t="shared" si="414"/>
        <v>48</v>
      </c>
      <c r="BO578" s="468">
        <f t="shared" si="415"/>
        <v>5</v>
      </c>
      <c r="BP578" s="467">
        <f t="shared" ca="1" si="403"/>
        <v>60208</v>
      </c>
      <c r="BQ578" s="475">
        <f t="shared" ca="1" si="417"/>
        <v>80</v>
      </c>
      <c r="BR578" s="475" t="str">
        <f t="shared" si="416"/>
        <v/>
      </c>
      <c r="BS578" s="471" t="str">
        <f t="shared" si="404"/>
        <v/>
      </c>
      <c r="BT578" s="472" t="str">
        <f t="shared" si="419"/>
        <v/>
      </c>
      <c r="BU578" s="472">
        <f t="shared" ca="1" si="405"/>
        <v>0</v>
      </c>
      <c r="BV578" s="472">
        <f t="shared" ca="1" si="405"/>
        <v>0</v>
      </c>
      <c r="BW578" s="472"/>
      <c r="BX578" s="473">
        <f t="shared" ca="1" si="406"/>
        <v>775715.92901457602</v>
      </c>
      <c r="BY578" s="473">
        <f t="shared" si="407"/>
        <v>0</v>
      </c>
      <c r="BZ578" s="473">
        <f t="shared" ca="1" si="389"/>
        <v>1715.0760371270001</v>
      </c>
      <c r="CA578" s="476">
        <f t="shared" ca="1" si="408"/>
        <v>0</v>
      </c>
      <c r="CB578" s="494">
        <f ca="1">IF(OR($Q577&lt;&gt;1,OP!$D$5+$BN578-1&lt;16,$BN578-1&lt;1),0,ROUND(ROUND(ROUND(((VLOOKUP($BN578-1,MORE_PV,5,0)/10000)*VLOOKUP($BN578,MORE_PV,$CB$5,0)),3)*VLOOKUP($BN578,more1,5,0),0)/$R577,0))</f>
        <v>0</v>
      </c>
      <c r="CC578" s="473">
        <f t="shared" ca="1" si="409"/>
        <v>0</v>
      </c>
      <c r="CD578" s="477"/>
    </row>
    <row r="579" spans="2:82" ht="16.5" hidden="1">
      <c r="B579" s="80"/>
      <c r="C579" s="80"/>
      <c r="D579" s="80"/>
      <c r="E579" s="80"/>
      <c r="F579" s="80"/>
      <c r="G579" s="80"/>
      <c r="H579" s="80"/>
      <c r="I579" s="80"/>
      <c r="J579" s="192">
        <f t="shared" si="390"/>
        <v>48</v>
      </c>
      <c r="K579" s="192">
        <f t="shared" si="391"/>
        <v>7</v>
      </c>
      <c r="L579" s="192" t="str">
        <f t="shared" si="386"/>
        <v/>
      </c>
      <c r="M579" s="216">
        <f t="shared" ca="1" si="392"/>
        <v>0</v>
      </c>
      <c r="N579" s="216"/>
      <c r="O579" s="216"/>
      <c r="P579" s="216"/>
      <c r="Q579" s="456" t="str">
        <f t="shared" ca="1" si="393"/>
        <v/>
      </c>
      <c r="R579" s="450">
        <f t="shared" ca="1" si="394"/>
        <v>1</v>
      </c>
      <c r="S579" s="191">
        <f t="shared" si="395"/>
        <v>48</v>
      </c>
      <c r="T579" s="191">
        <f t="shared" si="396"/>
        <v>7</v>
      </c>
      <c r="U579" s="191">
        <f ca="1">OP!$D$5+$S579-1</f>
        <v>80</v>
      </c>
      <c r="V579" s="191" t="str">
        <f t="shared" si="397"/>
        <v/>
      </c>
      <c r="W579" s="350">
        <f ca="1">IF(Q579&lt;&gt;1,0,VLOOKUP(OP!$C$55,PVFB,$S579+2,0))</f>
        <v>0</v>
      </c>
      <c r="X579" s="473">
        <f t="shared" ca="1" si="410"/>
        <v>0</v>
      </c>
      <c r="Y579" s="348">
        <f t="shared" ca="1" si="411"/>
        <v>0</v>
      </c>
      <c r="Z579" s="348">
        <f t="shared" ca="1" si="412"/>
        <v>8012</v>
      </c>
      <c r="AA579" s="348">
        <f ca="1">IF(Q579&lt;&gt;1,0,VLOOKUP(OP!$C$55,PVFB,$S579+2,0))</f>
        <v>0</v>
      </c>
      <c r="AB579" s="488" t="str">
        <f ca="1">IF(AND(S579&lt;OP!$C$24,$U579&lt;15),0,IF(AND($U579&lt;15,$T579=12),ROUND(VLOOKUP($S579,DOWN16,5,0),3),IF($T579=12,ROUND(($Z579/10000)*$AA579,3)+IF(AND($P$7="購買增額繳清保險",T579=12,U579=110),VLOOKUP(S579,$B$10:$H$121,7,0),0),"")))</f>
        <v/>
      </c>
      <c r="AC579" s="350" t="str">
        <f ca="1">IF(AND(S579&lt;OP!$C$24,$U579&lt;15),0,IF(AND($U579&lt;16,$T579=12),VLOOKUP($S579,DOWN16,4,0),IF($T579=12,ROUND(VLOOKUP(OP!$C$55,_DIE2,$S579+1,0)*(Z579/10000),0)+IF(AND($P$7="購買增額繳清保險",T579=12,U579=110),VLOOKUP(S579,$B$10:$H$121,7,0),0),"")))</f>
        <v/>
      </c>
      <c r="AD579" s="347"/>
      <c r="AE579" s="350" t="str">
        <f t="shared" ca="1" si="387"/>
        <v/>
      </c>
      <c r="AF579" s="351" t="str">
        <f t="shared" ca="1" si="388"/>
        <v/>
      </c>
      <c r="AG579" s="340"/>
      <c r="AH579" s="340"/>
      <c r="AI579" s="340"/>
      <c r="AJ579" s="340"/>
      <c r="AK579" s="340"/>
      <c r="AL579" s="340"/>
      <c r="AM579" s="340"/>
      <c r="AN579" s="340"/>
      <c r="AO579" s="340"/>
      <c r="AP579" s="340"/>
      <c r="AQ579" s="340"/>
      <c r="AR579" s="340"/>
      <c r="AS579" s="340"/>
      <c r="AT579" s="340"/>
      <c r="AU579" s="340"/>
      <c r="AV579" s="340"/>
      <c r="AY579" s="340"/>
      <c r="AZ579" s="465">
        <f t="shared" ca="1" si="398"/>
        <v>7.3698599999999999E-5</v>
      </c>
      <c r="BA579" s="464">
        <f t="shared" ca="1" si="399"/>
        <v>2.2109589000000002E-3</v>
      </c>
      <c r="BB579" s="465">
        <f t="shared" ca="1" si="399"/>
        <v>2.2846575E-3</v>
      </c>
      <c r="BC579" s="466">
        <f t="shared" ca="1" si="400"/>
        <v>60237</v>
      </c>
      <c r="BD579" s="467">
        <f t="shared" ca="1" si="413"/>
        <v>60238</v>
      </c>
      <c r="BE579" s="467">
        <f t="shared" ca="1" si="401"/>
        <v>60267</v>
      </c>
      <c r="BF579" s="468">
        <f ca="1">IF(計算!$BC579&lt;OP!$C$3,0,BD579-BC579)</f>
        <v>1</v>
      </c>
      <c r="BG579" s="468">
        <f ca="1">IF($BE579&gt;DATE(YEAR($BD$9)+OP!$C$57,MONTH($BD$9),DAY($BD$9)),0,$BE579-$BD579+1)</f>
        <v>30</v>
      </c>
      <c r="BH579" s="469">
        <f t="shared" ca="1" si="402"/>
        <v>31</v>
      </c>
      <c r="BI579" t="str">
        <f t="shared" si="418"/>
        <v/>
      </c>
      <c r="BJ579">
        <v>6</v>
      </c>
      <c r="BN579" s="468">
        <f t="shared" si="414"/>
        <v>48</v>
      </c>
      <c r="BO579" s="468">
        <f t="shared" si="415"/>
        <v>6</v>
      </c>
      <c r="BP579" s="467">
        <f t="shared" ca="1" si="403"/>
        <v>60238</v>
      </c>
      <c r="BQ579" s="475">
        <f t="shared" ca="1" si="417"/>
        <v>80</v>
      </c>
      <c r="BR579" s="475" t="str">
        <f t="shared" si="416"/>
        <v/>
      </c>
      <c r="BS579" s="471" t="str">
        <f t="shared" si="404"/>
        <v/>
      </c>
      <c r="BT579" s="472" t="str">
        <f t="shared" si="419"/>
        <v/>
      </c>
      <c r="BU579" s="472">
        <f t="shared" ca="1" si="405"/>
        <v>0</v>
      </c>
      <c r="BV579" s="472">
        <f t="shared" ca="1" si="405"/>
        <v>0</v>
      </c>
      <c r="BW579" s="472"/>
      <c r="BX579" s="473">
        <f t="shared" ca="1" si="406"/>
        <v>777431.00505170296</v>
      </c>
      <c r="BY579" s="473">
        <f t="shared" si="407"/>
        <v>0</v>
      </c>
      <c r="BZ579" s="473">
        <f t="shared" ca="1" si="389"/>
        <v>1776.163576424</v>
      </c>
      <c r="CA579" s="476">
        <f t="shared" ca="1" si="408"/>
        <v>0</v>
      </c>
      <c r="CB579" s="494">
        <f ca="1">IF(OR($Q578&lt;&gt;1,OP!$D$5+$BN579-1&lt;16,$BN579-1&lt;1),0,ROUND(ROUND(ROUND(((VLOOKUP($BN579-1,MORE_PV,5,0)/10000)*VLOOKUP($BN579,MORE_PV,$CB$5,0)),3)*VLOOKUP($BN579,more1,5,0),0)/$R578,0))</f>
        <v>0</v>
      </c>
      <c r="CC579" s="473">
        <f t="shared" ca="1" si="409"/>
        <v>0</v>
      </c>
      <c r="CD579" s="477"/>
    </row>
    <row r="580" spans="2:82" ht="16.5" hidden="1">
      <c r="B580" s="80"/>
      <c r="C580" s="80"/>
      <c r="D580" s="80"/>
      <c r="E580" s="80"/>
      <c r="F580" s="80"/>
      <c r="G580" s="80"/>
      <c r="H580" s="80"/>
      <c r="I580" s="80"/>
      <c r="J580" s="192">
        <f t="shared" si="390"/>
        <v>48</v>
      </c>
      <c r="K580" s="192">
        <f t="shared" si="391"/>
        <v>8</v>
      </c>
      <c r="L580" s="192" t="str">
        <f t="shared" si="386"/>
        <v/>
      </c>
      <c r="M580" s="216">
        <f t="shared" ca="1" si="392"/>
        <v>0</v>
      </c>
      <c r="N580" s="216"/>
      <c r="O580" s="216"/>
      <c r="P580" s="216"/>
      <c r="Q580" s="456" t="str">
        <f t="shared" ca="1" si="393"/>
        <v/>
      </c>
      <c r="R580" s="450">
        <f t="shared" ca="1" si="394"/>
        <v>1</v>
      </c>
      <c r="S580" s="191">
        <f t="shared" si="395"/>
        <v>48</v>
      </c>
      <c r="T580" s="191">
        <f t="shared" si="396"/>
        <v>8</v>
      </c>
      <c r="U580" s="191">
        <f ca="1">OP!$D$5+$S580-1</f>
        <v>80</v>
      </c>
      <c r="V580" s="191" t="str">
        <f t="shared" si="397"/>
        <v/>
      </c>
      <c r="W580" s="350">
        <f ca="1">IF(Q580&lt;&gt;1,0,VLOOKUP(OP!$C$55,PVFB,$S580+2,0))</f>
        <v>0</v>
      </c>
      <c r="X580" s="473">
        <f t="shared" ca="1" si="410"/>
        <v>0</v>
      </c>
      <c r="Y580" s="348">
        <f t="shared" ca="1" si="411"/>
        <v>0</v>
      </c>
      <c r="Z580" s="348">
        <f t="shared" ca="1" si="412"/>
        <v>8012</v>
      </c>
      <c r="AA580" s="348">
        <f ca="1">IF(Q580&lt;&gt;1,0,VLOOKUP(OP!$C$55,PVFB,$S580+2,0))</f>
        <v>0</v>
      </c>
      <c r="AB580" s="488" t="str">
        <f ca="1">IF(AND(S580&lt;OP!$C$24,$U580&lt;15),0,IF(AND($U580&lt;15,$T580=12),ROUND(VLOOKUP($S580,DOWN16,5,0),3),IF($T580=12,ROUND(($Z580/10000)*$AA580,3)+IF(AND($P$7="購買增額繳清保險",T580=12,U580=110),VLOOKUP(S580,$B$10:$H$121,7,0),0),"")))</f>
        <v/>
      </c>
      <c r="AC580" s="350" t="str">
        <f ca="1">IF(AND(S580&lt;OP!$C$24,$U580&lt;15),0,IF(AND($U580&lt;16,$T580=12),VLOOKUP($S580,DOWN16,4,0),IF($T580=12,ROUND(VLOOKUP(OP!$C$55,_DIE2,$S580+1,0)*(Z580/10000),0)+IF(AND($P$7="購買增額繳清保險",T580=12,U580=110),VLOOKUP(S580,$B$10:$H$121,7,0),0),"")))</f>
        <v/>
      </c>
      <c r="AD580" s="347"/>
      <c r="AE580" s="350" t="str">
        <f t="shared" ca="1" si="387"/>
        <v/>
      </c>
      <c r="AF580" s="351" t="str">
        <f t="shared" ca="1" si="388"/>
        <v/>
      </c>
      <c r="AG580" s="340"/>
      <c r="AH580" s="340"/>
      <c r="AI580" s="340"/>
      <c r="AJ580" s="340"/>
      <c r="AK580" s="340"/>
      <c r="AL580" s="340"/>
      <c r="AM580" s="340"/>
      <c r="AN580" s="340"/>
      <c r="AO580" s="340"/>
      <c r="AP580" s="340"/>
      <c r="AQ580" s="340"/>
      <c r="AR580" s="340"/>
      <c r="AS580" s="340"/>
      <c r="AT580" s="340"/>
      <c r="AU580" s="340"/>
      <c r="AV580" s="340"/>
      <c r="AY580" s="340"/>
      <c r="AZ580" s="465">
        <f t="shared" ca="1" si="398"/>
        <v>7.3698599999999999E-5</v>
      </c>
      <c r="BA580" s="464">
        <f t="shared" ca="1" si="399"/>
        <v>2.2109589000000002E-3</v>
      </c>
      <c r="BB580" s="465">
        <f t="shared" ca="1" si="399"/>
        <v>2.2846575E-3</v>
      </c>
      <c r="BC580" s="466">
        <f t="shared" ca="1" si="400"/>
        <v>60268</v>
      </c>
      <c r="BD580" s="467">
        <f t="shared" ca="1" si="413"/>
        <v>60269</v>
      </c>
      <c r="BE580" s="467">
        <f t="shared" ca="1" si="401"/>
        <v>60298</v>
      </c>
      <c r="BF580" s="468">
        <f ca="1">IF(計算!$BC580&lt;OP!$C$3,0,BD580-BC580)</f>
        <v>1</v>
      </c>
      <c r="BG580" s="468">
        <f ca="1">IF($BE580&gt;DATE(YEAR($BD$9)+OP!$C$57,MONTH($BD$9),DAY($BD$9)),0,$BE580-$BD580+1)</f>
        <v>30</v>
      </c>
      <c r="BH580" s="469">
        <f t="shared" ca="1" si="402"/>
        <v>31</v>
      </c>
      <c r="BI580" t="str">
        <f t="shared" si="418"/>
        <v/>
      </c>
      <c r="BJ580">
        <v>7</v>
      </c>
      <c r="BN580" s="468">
        <f t="shared" si="414"/>
        <v>48</v>
      </c>
      <c r="BO580" s="468">
        <f t="shared" si="415"/>
        <v>7</v>
      </c>
      <c r="BP580" s="467">
        <f t="shared" ca="1" si="403"/>
        <v>60269</v>
      </c>
      <c r="BQ580" s="475">
        <f t="shared" ca="1" si="417"/>
        <v>80</v>
      </c>
      <c r="BR580" s="475" t="str">
        <f t="shared" si="416"/>
        <v/>
      </c>
      <c r="BS580" s="471" t="str">
        <f t="shared" si="404"/>
        <v/>
      </c>
      <c r="BT580" s="472" t="str">
        <f t="shared" si="419"/>
        <v/>
      </c>
      <c r="BU580" s="472">
        <f t="shared" ca="1" si="405"/>
        <v>0</v>
      </c>
      <c r="BV580" s="472">
        <f t="shared" ca="1" si="405"/>
        <v>0</v>
      </c>
      <c r="BW580" s="472"/>
      <c r="BX580" s="473">
        <f t="shared" ca="1" si="406"/>
        <v>779207.16862812696</v>
      </c>
      <c r="BY580" s="473">
        <f t="shared" si="407"/>
        <v>0</v>
      </c>
      <c r="BZ580" s="473">
        <f t="shared" ca="1" si="389"/>
        <v>1780.22150186</v>
      </c>
      <c r="CA580" s="476">
        <f t="shared" ca="1" si="408"/>
        <v>0</v>
      </c>
      <c r="CB580" s="494">
        <f ca="1">IF(OR($Q579&lt;&gt;1,OP!$D$5+$BN580-1&lt;16,$BN580-1&lt;1),0,ROUND(ROUND(ROUND(((VLOOKUP($BN580-1,MORE_PV,5,0)/10000)*VLOOKUP($BN580,MORE_PV,$CB$5,0)),3)*VLOOKUP($BN580,more1,5,0),0)/$R579,0))</f>
        <v>0</v>
      </c>
      <c r="CC580" s="473">
        <f t="shared" ca="1" si="409"/>
        <v>0</v>
      </c>
      <c r="CD580" s="477"/>
    </row>
    <row r="581" spans="2:82" ht="16.5" hidden="1">
      <c r="B581" s="80"/>
      <c r="C581" s="80"/>
      <c r="D581" s="80"/>
      <c r="E581" s="80"/>
      <c r="F581" s="80"/>
      <c r="G581" s="80"/>
      <c r="H581" s="80"/>
      <c r="I581" s="80"/>
      <c r="J581" s="192">
        <f t="shared" si="390"/>
        <v>48</v>
      </c>
      <c r="K581" s="192">
        <f t="shared" si="391"/>
        <v>9</v>
      </c>
      <c r="L581" s="192" t="str">
        <f t="shared" si="386"/>
        <v/>
      </c>
      <c r="M581" s="216">
        <f t="shared" ca="1" si="392"/>
        <v>0</v>
      </c>
      <c r="N581" s="216"/>
      <c r="O581" s="216"/>
      <c r="P581" s="216"/>
      <c r="Q581" s="456" t="str">
        <f t="shared" ca="1" si="393"/>
        <v/>
      </c>
      <c r="R581" s="450">
        <f t="shared" ca="1" si="394"/>
        <v>1</v>
      </c>
      <c r="S581" s="191">
        <f t="shared" si="395"/>
        <v>48</v>
      </c>
      <c r="T581" s="191">
        <f t="shared" si="396"/>
        <v>9</v>
      </c>
      <c r="U581" s="191">
        <f ca="1">OP!$D$5+$S581-1</f>
        <v>80</v>
      </c>
      <c r="V581" s="191" t="str">
        <f t="shared" si="397"/>
        <v/>
      </c>
      <c r="W581" s="350">
        <f ca="1">IF(Q581&lt;&gt;1,0,VLOOKUP(OP!$C$55,PVFB,$S581+2,0))</f>
        <v>0</v>
      </c>
      <c r="X581" s="473">
        <f t="shared" ca="1" si="410"/>
        <v>0</v>
      </c>
      <c r="Y581" s="348">
        <f t="shared" ca="1" si="411"/>
        <v>0</v>
      </c>
      <c r="Z581" s="348">
        <f t="shared" ca="1" si="412"/>
        <v>8012</v>
      </c>
      <c r="AA581" s="348">
        <f ca="1">IF(Q581&lt;&gt;1,0,VLOOKUP(OP!$C$55,PVFB,$S581+2,0))</f>
        <v>0</v>
      </c>
      <c r="AB581" s="488" t="str">
        <f ca="1">IF(AND(S581&lt;OP!$C$24,$U581&lt;15),0,IF(AND($U581&lt;15,$T581=12),ROUND(VLOOKUP($S581,DOWN16,5,0),3),IF($T581=12,ROUND(($Z581/10000)*$AA581,3)+IF(AND($P$7="購買增額繳清保險",T581=12,U581=110),VLOOKUP(S581,$B$10:$H$121,7,0),0),"")))</f>
        <v/>
      </c>
      <c r="AC581" s="350" t="str">
        <f ca="1">IF(AND(S581&lt;OP!$C$24,$U581&lt;15),0,IF(AND($U581&lt;16,$T581=12),VLOOKUP($S581,DOWN16,4,0),IF($T581=12,ROUND(VLOOKUP(OP!$C$55,_DIE2,$S581+1,0)*(Z581/10000),0)+IF(AND($P$7="購買增額繳清保險",T581=12,U581=110),VLOOKUP(S581,$B$10:$H$121,7,0),0),"")))</f>
        <v/>
      </c>
      <c r="AD581" s="347"/>
      <c r="AE581" s="350" t="str">
        <f t="shared" ca="1" si="387"/>
        <v/>
      </c>
      <c r="AF581" s="351" t="str">
        <f t="shared" ca="1" si="388"/>
        <v/>
      </c>
      <c r="AG581" s="340"/>
      <c r="AH581" s="340"/>
      <c r="AI581" s="340"/>
      <c r="AJ581" s="340"/>
      <c r="AK581" s="340"/>
      <c r="AL581" s="340"/>
      <c r="AM581" s="340"/>
      <c r="AN581" s="340"/>
      <c r="AO581" s="340"/>
      <c r="AP581" s="340"/>
      <c r="AQ581" s="340"/>
      <c r="AR581" s="340"/>
      <c r="AS581" s="340"/>
      <c r="AT581" s="340"/>
      <c r="AU581" s="340"/>
      <c r="AV581" s="340"/>
      <c r="AY581" s="340"/>
      <c r="AZ581" s="465">
        <f t="shared" ca="1" si="398"/>
        <v>7.3698599999999999E-5</v>
      </c>
      <c r="BA581" s="464">
        <f t="shared" ca="1" si="399"/>
        <v>1.9898630000000001E-3</v>
      </c>
      <c r="BB581" s="465">
        <f t="shared" ca="1" si="399"/>
        <v>2.0635616E-3</v>
      </c>
      <c r="BC581" s="466">
        <f t="shared" ca="1" si="400"/>
        <v>60299</v>
      </c>
      <c r="BD581" s="467">
        <f t="shared" ca="1" si="413"/>
        <v>60300</v>
      </c>
      <c r="BE581" s="467">
        <f t="shared" ca="1" si="401"/>
        <v>60326</v>
      </c>
      <c r="BF581" s="468">
        <f ca="1">IF(計算!$BC581&lt;OP!$C$3,0,BD581-BC581)</f>
        <v>1</v>
      </c>
      <c r="BG581" s="468">
        <f ca="1">IF($BE581&gt;DATE(YEAR($BD$9)+OP!$C$57,MONTH($BD$9),DAY($BD$9)),0,$BE581-$BD581+1)</f>
        <v>27</v>
      </c>
      <c r="BH581" s="469">
        <f t="shared" ca="1" si="402"/>
        <v>28</v>
      </c>
      <c r="BI581" t="str">
        <f t="shared" si="418"/>
        <v/>
      </c>
      <c r="BJ581">
        <v>8</v>
      </c>
      <c r="BN581" s="468">
        <f t="shared" si="414"/>
        <v>48</v>
      </c>
      <c r="BO581" s="468">
        <f t="shared" si="415"/>
        <v>8</v>
      </c>
      <c r="BP581" s="467">
        <f t="shared" ca="1" si="403"/>
        <v>60300</v>
      </c>
      <c r="BQ581" s="475">
        <f t="shared" ca="1" si="417"/>
        <v>80</v>
      </c>
      <c r="BR581" s="475" t="str">
        <f t="shared" si="416"/>
        <v/>
      </c>
      <c r="BS581" s="471" t="str">
        <f t="shared" si="404"/>
        <v/>
      </c>
      <c r="BT581" s="472" t="str">
        <f t="shared" si="419"/>
        <v/>
      </c>
      <c r="BU581" s="472">
        <f t="shared" ca="1" si="405"/>
        <v>0</v>
      </c>
      <c r="BV581" s="472">
        <f t="shared" ca="1" si="405"/>
        <v>0</v>
      </c>
      <c r="BW581" s="472"/>
      <c r="BX581" s="473">
        <f t="shared" ca="1" si="406"/>
        <v>780987.39012998703</v>
      </c>
      <c r="BY581" s="473">
        <f t="shared" si="407"/>
        <v>0</v>
      </c>
      <c r="BZ581" s="473">
        <f t="shared" ca="1" si="389"/>
        <v>1611.615588356</v>
      </c>
      <c r="CA581" s="476">
        <f t="shared" ca="1" si="408"/>
        <v>0</v>
      </c>
      <c r="CB581" s="494">
        <f ca="1">IF(OR($Q580&lt;&gt;1,OP!$D$5+$BN581-1&lt;16,$BN581-1&lt;1),0,ROUND(ROUND(ROUND(((VLOOKUP($BN581-1,MORE_PV,5,0)/10000)*VLOOKUP($BN581,MORE_PV,$CB$5,0)),3)*VLOOKUP($BN581,more1,5,0),0)/$R580,0))</f>
        <v>0</v>
      </c>
      <c r="CC581" s="473">
        <f t="shared" ca="1" si="409"/>
        <v>0</v>
      </c>
      <c r="CD581" s="477"/>
    </row>
    <row r="582" spans="2:82" ht="16.5" hidden="1">
      <c r="B582" s="80"/>
      <c r="C582" s="80"/>
      <c r="D582" s="80"/>
      <c r="E582" s="80"/>
      <c r="F582" s="80"/>
      <c r="G582" s="80"/>
      <c r="H582" s="80"/>
      <c r="I582" s="80"/>
      <c r="J582" s="192">
        <f t="shared" si="390"/>
        <v>48</v>
      </c>
      <c r="K582" s="192">
        <f t="shared" si="391"/>
        <v>10</v>
      </c>
      <c r="L582" s="192" t="str">
        <f t="shared" si="386"/>
        <v/>
      </c>
      <c r="M582" s="216">
        <f t="shared" ca="1" si="392"/>
        <v>0</v>
      </c>
      <c r="N582" s="216"/>
      <c r="O582" s="216"/>
      <c r="P582" s="216"/>
      <c r="Q582" s="456" t="str">
        <f t="shared" ca="1" si="393"/>
        <v/>
      </c>
      <c r="R582" s="450">
        <f t="shared" ca="1" si="394"/>
        <v>1</v>
      </c>
      <c r="S582" s="191">
        <f t="shared" si="395"/>
        <v>48</v>
      </c>
      <c r="T582" s="191">
        <f t="shared" si="396"/>
        <v>10</v>
      </c>
      <c r="U582" s="191">
        <f ca="1">OP!$D$5+$S582-1</f>
        <v>80</v>
      </c>
      <c r="V582" s="191" t="str">
        <f t="shared" si="397"/>
        <v/>
      </c>
      <c r="W582" s="350">
        <f ca="1">IF(Q582&lt;&gt;1,0,VLOOKUP(OP!$C$55,PVFB,$S582+2,0))</f>
        <v>0</v>
      </c>
      <c r="X582" s="473">
        <f t="shared" ca="1" si="410"/>
        <v>0</v>
      </c>
      <c r="Y582" s="348">
        <f t="shared" ca="1" si="411"/>
        <v>0</v>
      </c>
      <c r="Z582" s="348">
        <f t="shared" ca="1" si="412"/>
        <v>8012</v>
      </c>
      <c r="AA582" s="348">
        <f ca="1">IF(Q582&lt;&gt;1,0,VLOOKUP(OP!$C$55,PVFB,$S582+2,0))</f>
        <v>0</v>
      </c>
      <c r="AB582" s="488" t="str">
        <f ca="1">IF(AND(S582&lt;OP!$C$24,$U582&lt;15),0,IF(AND($U582&lt;15,$T582=12),ROUND(VLOOKUP($S582,DOWN16,5,0),3),IF($T582=12,ROUND(($Z582/10000)*$AA582,3)+IF(AND($P$7="購買增額繳清保險",T582=12,U582=110),VLOOKUP(S582,$B$10:$H$121,7,0),0),"")))</f>
        <v/>
      </c>
      <c r="AC582" s="350" t="str">
        <f ca="1">IF(AND(S582&lt;OP!$C$24,$U582&lt;15),0,IF(AND($U582&lt;16,$T582=12),VLOOKUP($S582,DOWN16,4,0),IF($T582=12,ROUND(VLOOKUP(OP!$C$55,_DIE2,$S582+1,0)*(Z582/10000),0)+IF(AND($P$7="購買增額繳清保險",T582=12,U582=110),VLOOKUP(S582,$B$10:$H$121,7,0),0),"")))</f>
        <v/>
      </c>
      <c r="AD582" s="347"/>
      <c r="AE582" s="350" t="str">
        <f t="shared" ca="1" si="387"/>
        <v/>
      </c>
      <c r="AF582" s="351" t="str">
        <f t="shared" ca="1" si="388"/>
        <v/>
      </c>
      <c r="AG582" s="340"/>
      <c r="AH582" s="340"/>
      <c r="AI582" s="340"/>
      <c r="AJ582" s="340"/>
      <c r="AK582" s="340"/>
      <c r="AL582" s="340"/>
      <c r="AM582" s="340"/>
      <c r="AN582" s="340"/>
      <c r="AO582" s="340"/>
      <c r="AP582" s="340"/>
      <c r="AQ582" s="340"/>
      <c r="AR582" s="340"/>
      <c r="AS582" s="340"/>
      <c r="AT582" s="340"/>
      <c r="AU582" s="340"/>
      <c r="AV582" s="340"/>
      <c r="AY582" s="340"/>
      <c r="AZ582" s="465">
        <f t="shared" ca="1" si="398"/>
        <v>7.3698599999999999E-5</v>
      </c>
      <c r="BA582" s="464">
        <f t="shared" ca="1" si="399"/>
        <v>2.2109589000000002E-3</v>
      </c>
      <c r="BB582" s="465">
        <f t="shared" ca="1" si="399"/>
        <v>2.2846575E-3</v>
      </c>
      <c r="BC582" s="466">
        <f t="shared" ca="1" si="400"/>
        <v>60327</v>
      </c>
      <c r="BD582" s="467">
        <f t="shared" ca="1" si="413"/>
        <v>60328</v>
      </c>
      <c r="BE582" s="467">
        <f t="shared" ca="1" si="401"/>
        <v>60357</v>
      </c>
      <c r="BF582" s="468">
        <f ca="1">IF(計算!$BC582&lt;OP!$C$3,0,BD582-BC582)</f>
        <v>1</v>
      </c>
      <c r="BG582" s="468">
        <f ca="1">IF($BE582&gt;DATE(YEAR($BD$9)+OP!$C$57,MONTH($BD$9),DAY($BD$9)),0,$BE582-$BD582+1)</f>
        <v>30</v>
      </c>
      <c r="BH582" s="469">
        <f t="shared" ca="1" si="402"/>
        <v>31</v>
      </c>
      <c r="BI582" t="str">
        <f t="shared" si="418"/>
        <v/>
      </c>
      <c r="BJ582">
        <v>9</v>
      </c>
      <c r="BN582" s="468">
        <f t="shared" si="414"/>
        <v>48</v>
      </c>
      <c r="BO582" s="468">
        <f t="shared" si="415"/>
        <v>9</v>
      </c>
      <c r="BP582" s="467">
        <f t="shared" ca="1" si="403"/>
        <v>60328</v>
      </c>
      <c r="BQ582" s="475">
        <f t="shared" ca="1" si="417"/>
        <v>80</v>
      </c>
      <c r="BR582" s="475" t="str">
        <f t="shared" si="416"/>
        <v/>
      </c>
      <c r="BS582" s="471" t="str">
        <f t="shared" si="404"/>
        <v/>
      </c>
      <c r="BT582" s="472" t="str">
        <f t="shared" si="419"/>
        <v/>
      </c>
      <c r="BU582" s="472">
        <f t="shared" ca="1" si="405"/>
        <v>0</v>
      </c>
      <c r="BV582" s="472">
        <f t="shared" ca="1" si="405"/>
        <v>0</v>
      </c>
      <c r="BW582" s="472"/>
      <c r="BX582" s="473">
        <f t="shared" ca="1" si="406"/>
        <v>782599.00571834296</v>
      </c>
      <c r="BY582" s="473">
        <f t="shared" si="407"/>
        <v>0</v>
      </c>
      <c r="BZ582" s="473">
        <f t="shared" ca="1" si="389"/>
        <v>1787.970687907</v>
      </c>
      <c r="CA582" s="476">
        <f t="shared" ca="1" si="408"/>
        <v>0</v>
      </c>
      <c r="CB582" s="494">
        <f ca="1">IF(OR($Q581&lt;&gt;1,OP!$D$5+$BN582-1&lt;16,$BN582-1&lt;1),0,ROUND(ROUND(ROUND(((VLOOKUP($BN582-1,MORE_PV,5,0)/10000)*VLOOKUP($BN582,MORE_PV,$CB$5,0)),3)*VLOOKUP($BN582,more1,5,0),0)/$R581,0))</f>
        <v>0</v>
      </c>
      <c r="CC582" s="473">
        <f t="shared" ca="1" si="409"/>
        <v>0</v>
      </c>
      <c r="CD582" s="477"/>
    </row>
    <row r="583" spans="2:82" ht="16.5" hidden="1">
      <c r="B583" s="80"/>
      <c r="C583" s="80"/>
      <c r="D583" s="80"/>
      <c r="E583" s="80"/>
      <c r="F583" s="80"/>
      <c r="G583" s="80"/>
      <c r="H583" s="80"/>
      <c r="I583" s="80"/>
      <c r="J583" s="192">
        <f t="shared" si="390"/>
        <v>48</v>
      </c>
      <c r="K583" s="192">
        <f t="shared" si="391"/>
        <v>11</v>
      </c>
      <c r="L583" s="192" t="str">
        <f t="shared" si="386"/>
        <v/>
      </c>
      <c r="M583" s="216">
        <f t="shared" ca="1" si="392"/>
        <v>0</v>
      </c>
      <c r="N583" s="216"/>
      <c r="O583" s="216"/>
      <c r="P583" s="216"/>
      <c r="Q583" s="456" t="str">
        <f t="shared" ca="1" si="393"/>
        <v/>
      </c>
      <c r="R583" s="450">
        <f t="shared" ca="1" si="394"/>
        <v>1</v>
      </c>
      <c r="S583" s="191">
        <f t="shared" si="395"/>
        <v>48</v>
      </c>
      <c r="T583" s="191">
        <f t="shared" si="396"/>
        <v>11</v>
      </c>
      <c r="U583" s="191">
        <f ca="1">OP!$D$5+$S583-1</f>
        <v>80</v>
      </c>
      <c r="V583" s="191" t="str">
        <f t="shared" si="397"/>
        <v/>
      </c>
      <c r="W583" s="350">
        <f ca="1">IF(Q583&lt;&gt;1,0,VLOOKUP(OP!$C$55,PVFB,$S583+2,0))</f>
        <v>0</v>
      </c>
      <c r="X583" s="473">
        <f t="shared" ca="1" si="410"/>
        <v>0</v>
      </c>
      <c r="Y583" s="348">
        <f t="shared" ca="1" si="411"/>
        <v>0</v>
      </c>
      <c r="Z583" s="348">
        <f t="shared" ca="1" si="412"/>
        <v>8012</v>
      </c>
      <c r="AA583" s="348">
        <f ca="1">IF(Q583&lt;&gt;1,0,VLOOKUP(OP!$C$55,PVFB,$S583+2,0))</f>
        <v>0</v>
      </c>
      <c r="AB583" s="488" t="str">
        <f ca="1">IF(AND(S583&lt;OP!$C$24,$U583&lt;15),0,IF(AND($U583&lt;15,$T583=12),ROUND(VLOOKUP($S583,DOWN16,5,0),3),IF($T583=12,ROUND(($Z583/10000)*$AA583,3)+IF(AND($P$7="購買增額繳清保險",T583=12,U583=110),VLOOKUP(S583,$B$10:$H$121,7,0),0),"")))</f>
        <v/>
      </c>
      <c r="AC583" s="350" t="str">
        <f ca="1">IF(AND(S583&lt;OP!$C$24,$U583&lt;15),0,IF(AND($U583&lt;16,$T583=12),VLOOKUP($S583,DOWN16,4,0),IF($T583=12,ROUND(VLOOKUP(OP!$C$55,_DIE2,$S583+1,0)*(Z583/10000),0)+IF(AND($P$7="購買增額繳清保險",T583=12,U583=110),VLOOKUP(S583,$B$10:$H$121,7,0),0),"")))</f>
        <v/>
      </c>
      <c r="AD583" s="347"/>
      <c r="AE583" s="350" t="str">
        <f t="shared" ca="1" si="387"/>
        <v/>
      </c>
      <c r="AF583" s="351" t="str">
        <f t="shared" ca="1" si="388"/>
        <v/>
      </c>
      <c r="AG583" s="340"/>
      <c r="AH583" s="340"/>
      <c r="AI583" s="340"/>
      <c r="AJ583" s="340"/>
      <c r="AK583" s="340"/>
      <c r="AL583" s="340"/>
      <c r="AM583" s="340"/>
      <c r="AN583" s="340"/>
      <c r="AO583" s="340"/>
      <c r="AP583" s="340"/>
      <c r="AQ583" s="340"/>
      <c r="AR583" s="340"/>
      <c r="AS583" s="340"/>
      <c r="AT583" s="340"/>
      <c r="AU583" s="340"/>
      <c r="AV583" s="340"/>
      <c r="AY583" s="340"/>
      <c r="AZ583" s="465">
        <f t="shared" ca="1" si="398"/>
        <v>7.3698599999999999E-5</v>
      </c>
      <c r="BA583" s="464">
        <f t="shared" ca="1" si="399"/>
        <v>2.1372602999999999E-3</v>
      </c>
      <c r="BB583" s="465">
        <f t="shared" ca="1" si="399"/>
        <v>2.2109589000000002E-3</v>
      </c>
      <c r="BC583" s="466">
        <f t="shared" ca="1" si="400"/>
        <v>60358</v>
      </c>
      <c r="BD583" s="467">
        <f t="shared" ca="1" si="413"/>
        <v>60359</v>
      </c>
      <c r="BE583" s="467">
        <f t="shared" ca="1" si="401"/>
        <v>60387</v>
      </c>
      <c r="BF583" s="468">
        <f ca="1">IF(計算!$BC583&lt;OP!$C$3,0,BD583-BC583)</f>
        <v>1</v>
      </c>
      <c r="BG583" s="468">
        <f ca="1">IF($BE583&gt;DATE(YEAR($BD$9)+OP!$C$57,MONTH($BD$9),DAY($BD$9)),0,$BE583-$BD583+1)</f>
        <v>29</v>
      </c>
      <c r="BH583" s="469">
        <f t="shared" ca="1" si="402"/>
        <v>30</v>
      </c>
      <c r="BI583" t="str">
        <f t="shared" si="418"/>
        <v/>
      </c>
      <c r="BJ583">
        <v>10</v>
      </c>
      <c r="BN583" s="468">
        <f t="shared" si="414"/>
        <v>48</v>
      </c>
      <c r="BO583" s="468">
        <f t="shared" si="415"/>
        <v>10</v>
      </c>
      <c r="BP583" s="467">
        <f t="shared" ca="1" si="403"/>
        <v>60359</v>
      </c>
      <c r="BQ583" s="475">
        <f t="shared" ca="1" si="417"/>
        <v>80</v>
      </c>
      <c r="BR583" s="475" t="str">
        <f t="shared" si="416"/>
        <v/>
      </c>
      <c r="BS583" s="471" t="str">
        <f t="shared" si="404"/>
        <v/>
      </c>
      <c r="BT583" s="472" t="str">
        <f t="shared" si="419"/>
        <v/>
      </c>
      <c r="BU583" s="472">
        <f t="shared" ca="1" si="405"/>
        <v>0</v>
      </c>
      <c r="BV583" s="472">
        <f t="shared" ca="1" si="405"/>
        <v>0</v>
      </c>
      <c r="BW583" s="472"/>
      <c r="BX583" s="473">
        <f t="shared" ca="1" si="406"/>
        <v>784386.97640625003</v>
      </c>
      <c r="BY583" s="473">
        <f t="shared" si="407"/>
        <v>0</v>
      </c>
      <c r="BZ583" s="473">
        <f t="shared" ca="1" si="389"/>
        <v>1734.2473665289999</v>
      </c>
      <c r="CA583" s="476">
        <f t="shared" ca="1" si="408"/>
        <v>0</v>
      </c>
      <c r="CB583" s="494">
        <f ca="1">IF(OR($Q582&lt;&gt;1,OP!$D$5+$BN583-1&lt;16,$BN583-1&lt;1),0,ROUND(ROUND(ROUND(((VLOOKUP($BN583-1,MORE_PV,5,0)/10000)*VLOOKUP($BN583,MORE_PV,$CB$5,0)),3)*VLOOKUP($BN583,more1,5,0),0)/$R582,0))</f>
        <v>0</v>
      </c>
      <c r="CC583" s="473">
        <f t="shared" ca="1" si="409"/>
        <v>0</v>
      </c>
      <c r="CD583" s="477"/>
    </row>
    <row r="584" spans="2:82" ht="16.5" hidden="1">
      <c r="B584" s="80"/>
      <c r="C584" s="80"/>
      <c r="D584" s="80"/>
      <c r="E584" s="80"/>
      <c r="F584" s="80"/>
      <c r="G584" s="80"/>
      <c r="H584" s="80"/>
      <c r="I584" s="80"/>
      <c r="J584" s="192">
        <f t="shared" si="390"/>
        <v>48</v>
      </c>
      <c r="K584" s="192">
        <f t="shared" si="391"/>
        <v>12</v>
      </c>
      <c r="L584" s="192">
        <f t="shared" si="386"/>
        <v>48</v>
      </c>
      <c r="M584" s="216">
        <f t="shared" ca="1" si="392"/>
        <v>804435</v>
      </c>
      <c r="N584" s="216"/>
      <c r="O584" s="216"/>
      <c r="P584" s="216"/>
      <c r="Q584" s="456">
        <f t="shared" ca="1" si="393"/>
        <v>1</v>
      </c>
      <c r="R584" s="450">
        <f t="shared" ca="1" si="394"/>
        <v>1</v>
      </c>
      <c r="S584" s="191">
        <f t="shared" si="395"/>
        <v>48</v>
      </c>
      <c r="T584" s="191">
        <f t="shared" si="396"/>
        <v>12</v>
      </c>
      <c r="U584" s="191">
        <f ca="1">OP!$D$5+$S584-1</f>
        <v>80</v>
      </c>
      <c r="V584" s="191">
        <f t="shared" si="397"/>
        <v>48</v>
      </c>
      <c r="W584" s="350">
        <f ca="1">IF(Q584&lt;&gt;1,0,VLOOKUP(OP!$C$55,PVFB,$S584+2,0))</f>
        <v>68545</v>
      </c>
      <c r="X584" s="473">
        <f t="shared" ca="1" si="410"/>
        <v>16460</v>
      </c>
      <c r="Y584" s="348">
        <f t="shared" ca="1" si="411"/>
        <v>0</v>
      </c>
      <c r="Z584" s="348">
        <f t="shared" ca="1" si="412"/>
        <v>8012</v>
      </c>
      <c r="AA584" s="348">
        <f ca="1">IF(Q584&lt;&gt;1,0,VLOOKUP(OP!$C$55,PVFB,$S584+2,0))</f>
        <v>68545</v>
      </c>
      <c r="AB584" s="488">
        <f ca="1">IF(AND(S584&lt;OP!$C$24,$U584&lt;15),0,IF(AND($U584&lt;15,$T584=12),ROUND(VLOOKUP($S584,DOWN16,5,0),3),IF($T584=12,ROUND(($Z584/10000)*$AA584,3)+IF(AND($P$7="購買增額繳清保險",T584=12,U584=110),VLOOKUP(S584,$B$10:$H$121,7,0),0),"")))</f>
        <v>54918.254000000001</v>
      </c>
      <c r="AC584" s="350">
        <f ca="1">IF(AND(S584&lt;OP!$C$24,$U584&lt;15),0,IF(AND($U584&lt;16,$T584=12),VLOOKUP($S584,DOWN16,4,0),IF($T584=12,ROUND(VLOOKUP(OP!$C$55,_DIE2,$S584+1,0)*(Z584/10000),0)+IF(AND($P$7="購買增額繳清保險",T584=12,U584=110),VLOOKUP(S584,$B$10:$H$121,7,0),0),"")))</f>
        <v>55123</v>
      </c>
      <c r="AD584" s="347"/>
      <c r="AE584" s="350" t="str">
        <f t="shared" ca="1" si="387"/>
        <v/>
      </c>
      <c r="AF584" s="351" t="str">
        <f t="shared" ca="1" si="388"/>
        <v/>
      </c>
      <c r="AG584" s="340"/>
      <c r="AH584" s="340"/>
      <c r="AI584" s="340"/>
      <c r="AJ584" s="340"/>
      <c r="AK584" s="340"/>
      <c r="AL584" s="340"/>
      <c r="AM584" s="340"/>
      <c r="AN584" s="340"/>
      <c r="AO584" s="340"/>
      <c r="AP584" s="340"/>
      <c r="AQ584" s="340"/>
      <c r="AR584" s="340"/>
      <c r="AS584" s="340"/>
      <c r="AT584" s="340"/>
      <c r="AU584" s="340"/>
      <c r="AV584" s="340"/>
      <c r="AY584" s="340"/>
      <c r="AZ584" s="465">
        <f t="shared" ca="1" si="398"/>
        <v>7.3698599999999999E-5</v>
      </c>
      <c r="BA584" s="464">
        <f t="shared" ca="1" si="399"/>
        <v>2.2109589000000002E-3</v>
      </c>
      <c r="BB584" s="465">
        <f t="shared" ca="1" si="399"/>
        <v>2.2846575E-3</v>
      </c>
      <c r="BC584" s="466">
        <f t="shared" ca="1" si="400"/>
        <v>60388</v>
      </c>
      <c r="BD584" s="467">
        <f t="shared" ca="1" si="413"/>
        <v>60389</v>
      </c>
      <c r="BE584" s="467">
        <f t="shared" ca="1" si="401"/>
        <v>60418</v>
      </c>
      <c r="BF584" s="468">
        <f ca="1">IF(計算!$BC584&lt;OP!$C$3,0,BD584-BC584)</f>
        <v>1</v>
      </c>
      <c r="BG584" s="468">
        <f ca="1">IF($BE584&gt;DATE(YEAR($BD$9)+OP!$C$57,MONTH($BD$9),DAY($BD$9)),0,$BE584-$BD584+1)</f>
        <v>30</v>
      </c>
      <c r="BH584" s="469">
        <f t="shared" ca="1" si="402"/>
        <v>31</v>
      </c>
      <c r="BI584" t="str">
        <f t="shared" si="418"/>
        <v/>
      </c>
      <c r="BJ584">
        <v>11</v>
      </c>
      <c r="BN584" s="468">
        <f t="shared" si="414"/>
        <v>48</v>
      </c>
      <c r="BO584" s="468">
        <f t="shared" si="415"/>
        <v>11</v>
      </c>
      <c r="BP584" s="467">
        <f t="shared" ca="1" si="403"/>
        <v>60389</v>
      </c>
      <c r="BQ584" s="475">
        <f t="shared" ca="1" si="417"/>
        <v>80</v>
      </c>
      <c r="BR584" s="475" t="str">
        <f t="shared" si="416"/>
        <v/>
      </c>
      <c r="BS584" s="471" t="str">
        <f t="shared" si="404"/>
        <v/>
      </c>
      <c r="BT584" s="472" t="str">
        <f t="shared" si="419"/>
        <v/>
      </c>
      <c r="BU584" s="472">
        <f t="shared" ca="1" si="405"/>
        <v>0</v>
      </c>
      <c r="BV584" s="472">
        <f t="shared" ca="1" si="405"/>
        <v>0</v>
      </c>
      <c r="BW584" s="472"/>
      <c r="BX584" s="473">
        <f t="shared" ca="1" si="406"/>
        <v>786121.22377277899</v>
      </c>
      <c r="BY584" s="473">
        <f t="shared" si="407"/>
        <v>0</v>
      </c>
      <c r="BZ584" s="473">
        <f t="shared" ca="1" si="389"/>
        <v>1796.017749802</v>
      </c>
      <c r="CA584" s="476">
        <f t="shared" ca="1" si="408"/>
        <v>0</v>
      </c>
      <c r="CB584" s="494">
        <f ca="1">IF(OR($Q583&lt;&gt;1,OP!$D$5+$BN584-1&lt;16,$BN584-1&lt;1),0,ROUND(ROUND(ROUND(((VLOOKUP($BN584-1,MORE_PV,5,0)/10000)*VLOOKUP($BN584,MORE_PV,$CB$5,0)),3)*VLOOKUP($BN584,more1,5,0),0)/$R583,0))</f>
        <v>0</v>
      </c>
      <c r="CC584" s="473">
        <f t="shared" ca="1" si="409"/>
        <v>0</v>
      </c>
      <c r="CD584" s="477"/>
    </row>
    <row r="585" spans="2:82" ht="16.5" hidden="1">
      <c r="B585" s="80"/>
      <c r="C585" s="80"/>
      <c r="D585" s="80"/>
      <c r="E585" s="80"/>
      <c r="F585" s="80"/>
      <c r="G585" s="80"/>
      <c r="H585" s="80"/>
      <c r="I585" s="80"/>
      <c r="J585" s="192">
        <f t="shared" si="390"/>
        <v>49</v>
      </c>
      <c r="K585" s="192">
        <f t="shared" si="391"/>
        <v>1</v>
      </c>
      <c r="L585" s="192" t="str">
        <f t="shared" ref="L585:L648" si="420">IF($K585=12,$J585,"")</f>
        <v/>
      </c>
      <c r="M585" s="216">
        <f t="shared" ca="1" si="392"/>
        <v>0</v>
      </c>
      <c r="N585" s="216"/>
      <c r="O585" s="216"/>
      <c r="P585" s="216"/>
      <c r="Q585" s="456" t="str">
        <f t="shared" ca="1" si="393"/>
        <v/>
      </c>
      <c r="R585" s="450">
        <f t="shared" ca="1" si="394"/>
        <v>1</v>
      </c>
      <c r="S585" s="191">
        <f t="shared" si="395"/>
        <v>49</v>
      </c>
      <c r="T585" s="191">
        <f t="shared" si="396"/>
        <v>1</v>
      </c>
      <c r="U585" s="191">
        <f ca="1">OP!$D$5+$S585-1</f>
        <v>81</v>
      </c>
      <c r="V585" s="191" t="str">
        <f t="shared" si="397"/>
        <v/>
      </c>
      <c r="W585" s="350">
        <f ca="1">IF(Q585&lt;&gt;1,0,VLOOKUP(OP!$C$55,PVFB,$S585+2,0))</f>
        <v>0</v>
      </c>
      <c r="X585" s="473">
        <f t="shared" ca="1" si="410"/>
        <v>0</v>
      </c>
      <c r="Y585" s="348">
        <f t="shared" ca="1" si="411"/>
        <v>0</v>
      </c>
      <c r="Z585" s="348">
        <f t="shared" ca="1" si="412"/>
        <v>8012</v>
      </c>
      <c r="AA585" s="348">
        <f ca="1">IF(Q585&lt;&gt;1,0,VLOOKUP(OP!$C$55,PVFB,$S585+2,0))</f>
        <v>0</v>
      </c>
      <c r="AB585" s="488" t="str">
        <f ca="1">IF(AND(S585&lt;OP!$C$24,$U585&lt;15),0,IF(AND($U585&lt;15,$T585=12),ROUND(VLOOKUP($S585,DOWN16,5,0),3),IF($T585=12,ROUND(($Z585/10000)*$AA585,3)+IF(AND($P$7="購買增額繳清保險",T585=12,U585=110),VLOOKUP(S585,$B$10:$H$121,7,0),0),"")))</f>
        <v/>
      </c>
      <c r="AC585" s="350" t="str">
        <f ca="1">IF(AND(S585&lt;OP!$C$24,$U585&lt;15),0,IF(AND($U585&lt;16,$T585=12),VLOOKUP($S585,DOWN16,4,0),IF($T585=12,ROUND(VLOOKUP(OP!$C$55,_DIE2,$S585+1,0)*(Z585/10000),0)+IF(AND($P$7="購買增額繳清保險",T585=12,U585=110),VLOOKUP(S585,$B$10:$H$121,7,0),0),"")))</f>
        <v/>
      </c>
      <c r="AD585" s="347"/>
      <c r="AE585" s="350" t="str">
        <f t="shared" ref="AE585:AE648" ca="1" si="421">IF(AND($U$9&lt;16,$T585=12),VLOOKUP($S585,DOWN16,4,0),"")</f>
        <v/>
      </c>
      <c r="AF585" s="351" t="str">
        <f t="shared" ref="AF585:AF648" ca="1" si="422">IF(AND($U$9&lt;16,$T585=12),VLOOKUP($S585,DOWN16,5,0),"")</f>
        <v/>
      </c>
      <c r="AG585" s="340"/>
      <c r="AH585" s="340"/>
      <c r="AI585" s="340"/>
      <c r="AJ585" s="340"/>
      <c r="AK585" s="340"/>
      <c r="AL585" s="340"/>
      <c r="AM585" s="340"/>
      <c r="AN585" s="340"/>
      <c r="AO585" s="340"/>
      <c r="AP585" s="340"/>
      <c r="AQ585" s="340"/>
      <c r="AR585" s="340"/>
      <c r="AS585" s="340"/>
      <c r="AT585" s="340"/>
      <c r="AU585" s="340"/>
      <c r="AV585" s="340"/>
      <c r="AY585" s="340"/>
      <c r="AZ585" s="465">
        <f t="shared" ca="1" si="398"/>
        <v>7.3698599999999999E-5</v>
      </c>
      <c r="BA585" s="464">
        <f t="shared" ca="1" si="399"/>
        <v>2.1372602999999999E-3</v>
      </c>
      <c r="BB585" s="465">
        <f t="shared" ca="1" si="399"/>
        <v>2.2109589000000002E-3</v>
      </c>
      <c r="BC585" s="466">
        <f t="shared" ca="1" si="400"/>
        <v>60419</v>
      </c>
      <c r="BD585" s="467">
        <f t="shared" ca="1" si="413"/>
        <v>60420</v>
      </c>
      <c r="BE585" s="467">
        <f t="shared" ca="1" si="401"/>
        <v>60448</v>
      </c>
      <c r="BF585" s="468">
        <f ca="1">IF(計算!$BC585&lt;OP!$C$3,0,BD585-BC585)</f>
        <v>1</v>
      </c>
      <c r="BG585" s="468">
        <f ca="1">IF($BE585&gt;DATE(YEAR($BD$9)+OP!$C$57,MONTH($BD$9),DAY($BD$9)),0,$BE585-$BD585+1)</f>
        <v>29</v>
      </c>
      <c r="BH585" s="469">
        <f t="shared" ca="1" si="402"/>
        <v>30</v>
      </c>
      <c r="BI585">
        <f t="shared" ca="1" si="418"/>
        <v>365</v>
      </c>
      <c r="BJ585">
        <v>12</v>
      </c>
      <c r="BN585" s="468">
        <f t="shared" si="414"/>
        <v>48</v>
      </c>
      <c r="BO585" s="468">
        <f t="shared" si="415"/>
        <v>12</v>
      </c>
      <c r="BP585" s="467">
        <f t="shared" ca="1" si="403"/>
        <v>60420</v>
      </c>
      <c r="BQ585" s="475">
        <f t="shared" ca="1" si="417"/>
        <v>80</v>
      </c>
      <c r="BR585" s="475">
        <f t="shared" si="416"/>
        <v>48</v>
      </c>
      <c r="BS585" s="471">
        <f t="shared" ca="1" si="404"/>
        <v>16460</v>
      </c>
      <c r="BT585" s="472">
        <f t="shared" ca="1" si="419"/>
        <v>804435</v>
      </c>
      <c r="BU585" s="472">
        <f t="shared" ca="1" si="405"/>
        <v>16081</v>
      </c>
      <c r="BV585" s="472">
        <f t="shared" ca="1" si="405"/>
        <v>379</v>
      </c>
      <c r="BW585" s="472">
        <f ca="1">ROUND(SUM(BY585,BZ573:BZ584),0)</f>
        <v>20891</v>
      </c>
      <c r="BX585" s="473">
        <f t="shared" ca="1" si="406"/>
        <v>804435.309920197</v>
      </c>
      <c r="BY585" s="473">
        <f t="shared" ca="1" si="407"/>
        <v>58.068397615999999</v>
      </c>
      <c r="BZ585" s="473">
        <f t="shared" ref="BZ585:BZ648" ca="1" si="423">ROUND(BX585*IF(BO585=12,$BA585,$BB585),$CB$6)</f>
        <v>1719.2876518109999</v>
      </c>
      <c r="CA585" s="476">
        <f t="shared" ca="1" si="408"/>
        <v>16081</v>
      </c>
      <c r="CB585" s="494">
        <f ca="1">IF(OR($Q584&lt;&gt;1,OP!$D$5+$BN585-1&lt;16,$BN585-1&lt;1),0,ROUND(ROUND(ROUND(((VLOOKUP($BN585-1,MORE_PV,5,0)/10000)*VLOOKUP($BN585,MORE_PV,$CB$5,0)),3)*VLOOKUP($BN585,more1,5,0),0)/$R584,0))</f>
        <v>379</v>
      </c>
      <c r="CC585" s="473">
        <f t="shared" ca="1" si="409"/>
        <v>0</v>
      </c>
      <c r="CD585" s="477"/>
    </row>
    <row r="586" spans="2:82" ht="16.5" hidden="1">
      <c r="B586" s="80"/>
      <c r="C586" s="80"/>
      <c r="D586" s="80"/>
      <c r="E586" s="80"/>
      <c r="F586" s="80"/>
      <c r="G586" s="80"/>
      <c r="H586" s="80"/>
      <c r="I586" s="80"/>
      <c r="J586" s="192">
        <f t="shared" ref="J586:J649" si="424">IF(K585=12,J585+1,J585)</f>
        <v>49</v>
      </c>
      <c r="K586" s="192">
        <f t="shared" ref="K586:K649" si="425">IF(K585=12,1,K585+1)</f>
        <v>2</v>
      </c>
      <c r="L586" s="192" t="str">
        <f t="shared" si="420"/>
        <v/>
      </c>
      <c r="M586" s="216">
        <f t="shared" ref="M586:M649" ca="1" si="426">IF($Q586=1,VLOOKUP(L586,$BR$9:$BT$1341,3,0),0)</f>
        <v>0</v>
      </c>
      <c r="N586" s="216"/>
      <c r="O586" s="216"/>
      <c r="P586" s="216"/>
      <c r="Q586" s="456" t="str">
        <f t="shared" ref="Q586:Q649" ca="1" si="427">IF(OR($U586&gt;=$I$5,AND($G$5=1,$K586=12),AND($G$5=2,OR($K586=6,$K586=12)),AND($G$5=4,OR($K586=3,$K586=6,$K586=9,$K586=12)),$G$5=12),1,"")</f>
        <v/>
      </c>
      <c r="R586" s="450">
        <f t="shared" ref="R586:R649" ca="1" si="428">IF($U586&lt;$I$5,$G$5,$I$6)</f>
        <v>1</v>
      </c>
      <c r="S586" s="191">
        <f t="shared" ref="S586:S649" si="429">IF(T585=12,S585+1,S585)</f>
        <v>49</v>
      </c>
      <c r="T586" s="191">
        <f t="shared" ref="T586:T649" si="430">IF(T585=12,1,T585+1)</f>
        <v>2</v>
      </c>
      <c r="U586" s="191">
        <f ca="1">OP!$D$5+$S586-1</f>
        <v>81</v>
      </c>
      <c r="V586" s="191" t="str">
        <f t="shared" ref="V586:V649" si="431">IF($T586=12,$S586,"")</f>
        <v/>
      </c>
      <c r="W586" s="350">
        <f ca="1">IF(Q586&lt;&gt;1,0,VLOOKUP(OP!$C$55,PVFB,$S586+2,0))</f>
        <v>0</v>
      </c>
      <c r="X586" s="473">
        <f t="shared" ca="1" si="410"/>
        <v>0</v>
      </c>
      <c r="Y586" s="348">
        <f t="shared" ca="1" si="411"/>
        <v>0</v>
      </c>
      <c r="Z586" s="348">
        <f t="shared" ca="1" si="412"/>
        <v>8012</v>
      </c>
      <c r="AA586" s="348">
        <f ca="1">IF(Q586&lt;&gt;1,0,VLOOKUP(OP!$C$55,PVFB,$S586+2,0))</f>
        <v>0</v>
      </c>
      <c r="AB586" s="488" t="str">
        <f ca="1">IF(AND(S586&lt;OP!$C$24,$U586&lt;15),0,IF(AND($U586&lt;15,$T586=12),ROUND(VLOOKUP($S586,DOWN16,5,0),3),IF($T586=12,ROUND(($Z586/10000)*$AA586,3)+IF(AND($P$7="購買增額繳清保險",T586=12,U586=110),VLOOKUP(S586,$B$10:$H$121,7,0),0),"")))</f>
        <v/>
      </c>
      <c r="AC586" s="350" t="str">
        <f ca="1">IF(AND(S586&lt;OP!$C$24,$U586&lt;15),0,IF(AND($U586&lt;16,$T586=12),VLOOKUP($S586,DOWN16,4,0),IF($T586=12,ROUND(VLOOKUP(OP!$C$55,_DIE2,$S586+1,0)*(Z586/10000),0)+IF(AND($P$7="購買增額繳清保險",T586=12,U586=110),VLOOKUP(S586,$B$10:$H$121,7,0),0),"")))</f>
        <v/>
      </c>
      <c r="AD586" s="347"/>
      <c r="AE586" s="350" t="str">
        <f t="shared" ca="1" si="421"/>
        <v/>
      </c>
      <c r="AF586" s="351" t="str">
        <f t="shared" ca="1" si="422"/>
        <v/>
      </c>
      <c r="AG586" s="340"/>
      <c r="AH586" s="340"/>
      <c r="AI586" s="340"/>
      <c r="AJ586" s="340"/>
      <c r="AK586" s="340"/>
      <c r="AL586" s="340"/>
      <c r="AM586" s="340"/>
      <c r="AN586" s="340"/>
      <c r="AO586" s="340"/>
      <c r="AP586" s="340"/>
      <c r="AQ586" s="340"/>
      <c r="AR586" s="340"/>
      <c r="AS586" s="340"/>
      <c r="AT586" s="340"/>
      <c r="AU586" s="340"/>
      <c r="AV586" s="340"/>
      <c r="AY586" s="340"/>
      <c r="AZ586" s="465">
        <f t="shared" ref="AZ586:AZ649" ca="1" si="432">ROUND(($G$3*BF586/365),10)</f>
        <v>7.3698599999999999E-5</v>
      </c>
      <c r="BA586" s="464">
        <f t="shared" ref="BA586:BB649" ca="1" si="433">ROUND(($G$3*BG586/365),10)</f>
        <v>2.2109589000000002E-3</v>
      </c>
      <c r="BB586" s="465">
        <f t="shared" ca="1" si="433"/>
        <v>2.2846575E-3</v>
      </c>
      <c r="BC586" s="466">
        <f t="shared" ref="BC586:BC649" ca="1" si="434">DATE(YEAR(BD586),MONTH(BD586),1)</f>
        <v>60449</v>
      </c>
      <c r="BD586" s="467">
        <f t="shared" ca="1" si="413"/>
        <v>60450</v>
      </c>
      <c r="BE586" s="467">
        <f t="shared" ref="BE586:BE649" ca="1" si="435">DATE(YEAR(BD586),MONTH(BD586),DAY(DATE(YEAR(BD586),MONTH(BD586)+1,0)))</f>
        <v>60479</v>
      </c>
      <c r="BF586" s="468">
        <f ca="1">IF(計算!$BC586&lt;OP!$C$3,0,BD586-BC586)</f>
        <v>1</v>
      </c>
      <c r="BG586" s="468">
        <f ca="1">IF($BE586&gt;DATE(YEAR($BD$9)+OP!$C$57,MONTH($BD$9),DAY($BD$9)),0,$BE586-$BD586+1)</f>
        <v>30</v>
      </c>
      <c r="BH586" s="469">
        <f t="shared" ref="BH586:BH649" ca="1" si="436">BF586+BG586</f>
        <v>31</v>
      </c>
      <c r="BI586" t="str">
        <f t="shared" si="418"/>
        <v/>
      </c>
      <c r="BJ586">
        <v>1</v>
      </c>
      <c r="BN586" s="468">
        <f t="shared" si="414"/>
        <v>49</v>
      </c>
      <c r="BO586" s="468">
        <f t="shared" si="415"/>
        <v>1</v>
      </c>
      <c r="BP586" s="467">
        <f t="shared" ref="BP586:BP649" ca="1" si="437">BD586</f>
        <v>60450</v>
      </c>
      <c r="BQ586" s="475">
        <f t="shared" ca="1" si="417"/>
        <v>81</v>
      </c>
      <c r="BR586" s="475" t="str">
        <f t="shared" si="416"/>
        <v/>
      </c>
      <c r="BS586" s="471" t="str">
        <f t="shared" ref="BS586:BS649" si="438">IF(BW586&lt;&gt;"",ROUND(BU586,0)+ROUND(BV586,0),"")</f>
        <v/>
      </c>
      <c r="BT586" s="472" t="str">
        <f t="shared" si="419"/>
        <v/>
      </c>
      <c r="BU586" s="472">
        <f t="shared" ref="BU586:BV649" ca="1" si="439">ROUND(CA586,0)</f>
        <v>0</v>
      </c>
      <c r="BV586" s="472">
        <f t="shared" ca="1" si="439"/>
        <v>0</v>
      </c>
      <c r="BW586" s="472"/>
      <c r="BX586" s="473">
        <f t="shared" ref="BX586:BX649" ca="1" si="440">IF(BN586&lt;=$P$4,0,ROUNDDOWN(IF($Q585=1,CA586+CB586-CC586,0)+BX585+BY586+BZ585,VLOOKUP(LEN(ROUNDDOWN(IF($Q585=1,CA586+CB586-CC586,0)+BX585+BY586+BZ585,0)),$BK$9:$BL$24,2,0)))</f>
        <v>806154.59757200803</v>
      </c>
      <c r="BY586" s="473">
        <f t="shared" ref="BY586:BY649" si="441">IF(BO586=12,ROUND((BX585+BZ585)*$AZ586,$CB$6),0)</f>
        <v>0</v>
      </c>
      <c r="BZ586" s="473">
        <f t="shared" ca="1" si="423"/>
        <v>1841.7871475019999</v>
      </c>
      <c r="CA586" s="476">
        <f t="shared" ref="CA586:CA649" ca="1" si="442">IF($Q585=1,ROUND(VLOOKUP($BN586,more1,3,0)*VLOOKUP($BN586,more1,5,0)/$R585,0),0)</f>
        <v>0</v>
      </c>
      <c r="CB586" s="494">
        <f ca="1">IF(OR($Q585&lt;&gt;1,OP!$D$5+$BN586-1&lt;16,$BN586-1&lt;1),0,ROUND(ROUND(ROUND(((VLOOKUP($BN586-1,MORE_PV,5,0)/10000)*VLOOKUP($BN586,MORE_PV,$CB$5,0)),3)*VLOOKUP($BN586,more1,5,0),0)/$R585,0))</f>
        <v>0</v>
      </c>
      <c r="CC586" s="473">
        <f t="shared" ref="CC586:CC649" ca="1" si="443">IF(AND($BN586=$P$4,$BO586=12),$CA586+$CB586,IF(AND($BN586&gt;$P$4,$Q585=1,$G$6="現金給付",$CA586+$CB586&gt;=$P$3),$CA586+$CB586,0))</f>
        <v>0</v>
      </c>
      <c r="CD586" s="477"/>
    </row>
    <row r="587" spans="2:82" ht="16.5" hidden="1">
      <c r="B587" s="80"/>
      <c r="C587" s="80"/>
      <c r="D587" s="80"/>
      <c r="E587" s="80"/>
      <c r="F587" s="80"/>
      <c r="G587" s="80"/>
      <c r="H587" s="80"/>
      <c r="I587" s="80"/>
      <c r="J587" s="192">
        <f t="shared" si="424"/>
        <v>49</v>
      </c>
      <c r="K587" s="192">
        <f t="shared" si="425"/>
        <v>3</v>
      </c>
      <c r="L587" s="192" t="str">
        <f t="shared" si="420"/>
        <v/>
      </c>
      <c r="M587" s="216">
        <f t="shared" ca="1" si="426"/>
        <v>0</v>
      </c>
      <c r="N587" s="216"/>
      <c r="O587" s="216"/>
      <c r="P587" s="216"/>
      <c r="Q587" s="456" t="str">
        <f t="shared" ca="1" si="427"/>
        <v/>
      </c>
      <c r="R587" s="450">
        <f t="shared" ca="1" si="428"/>
        <v>1</v>
      </c>
      <c r="S587" s="191">
        <f t="shared" si="429"/>
        <v>49</v>
      </c>
      <c r="T587" s="191">
        <f t="shared" si="430"/>
        <v>3</v>
      </c>
      <c r="U587" s="191">
        <f ca="1">OP!$D$5+$S587-1</f>
        <v>81</v>
      </c>
      <c r="V587" s="191" t="str">
        <f t="shared" si="431"/>
        <v/>
      </c>
      <c r="W587" s="350">
        <f ca="1">IF(Q587&lt;&gt;1,0,VLOOKUP(OP!$C$55,PVFB,$S587+2,0))</f>
        <v>0</v>
      </c>
      <c r="X587" s="473">
        <f t="shared" ref="X587:X650" ca="1" si="444">IF(AND($U587=15,$T587=12),$CO588,IF(AND($U587&gt;15,$S587&lt;=$P$4,$T587=12),($BS588)*$R587,IF($Q587=1,($BS588),0)))</f>
        <v>0</v>
      </c>
      <c r="Y587" s="348">
        <f t="shared" ref="Y587:Y650" ca="1" si="445">IF(AND($P$7="購買增額繳清保險",U587&gt;=110),0,IF(AND($U587=15,$W587&lt;&gt;0,$T587=12),ROUND(($X587)/($W587/10000),0),IF(AND($S587&lt;=$P$4,$W587&lt;&gt;0,$T587=12,$U587&gt;15),ROUND(($X587)/($W587/10000),0),0)))</f>
        <v>0</v>
      </c>
      <c r="Z587" s="348">
        <f t="shared" ref="Z587:Z650" ca="1" si="446">Z586+Y587</f>
        <v>8012</v>
      </c>
      <c r="AA587" s="348">
        <f ca="1">IF(Q587&lt;&gt;1,0,VLOOKUP(OP!$C$55,PVFB,$S587+2,0))</f>
        <v>0</v>
      </c>
      <c r="AB587" s="488" t="str">
        <f ca="1">IF(AND(S587&lt;OP!$C$24,$U587&lt;15),0,IF(AND($U587&lt;15,$T587=12),ROUND(VLOOKUP($S587,DOWN16,5,0),3),IF($T587=12,ROUND(($Z587/10000)*$AA587,3)+IF(AND($P$7="購買增額繳清保險",T587=12,U587=110),VLOOKUP(S587,$B$10:$H$121,7,0),0),"")))</f>
        <v/>
      </c>
      <c r="AC587" s="350" t="str">
        <f ca="1">IF(AND(S587&lt;OP!$C$24,$U587&lt;15),0,IF(AND($U587&lt;16,$T587=12),VLOOKUP($S587,DOWN16,4,0),IF($T587=12,ROUND(VLOOKUP(OP!$C$55,_DIE2,$S587+1,0)*(Z587/10000),0)+IF(AND($P$7="購買增額繳清保險",T587=12,U587=110),VLOOKUP(S587,$B$10:$H$121,7,0),0),"")))</f>
        <v/>
      </c>
      <c r="AD587" s="347"/>
      <c r="AE587" s="350" t="str">
        <f t="shared" ca="1" si="421"/>
        <v/>
      </c>
      <c r="AF587" s="351" t="str">
        <f t="shared" ca="1" si="422"/>
        <v/>
      </c>
      <c r="AG587" s="340"/>
      <c r="AH587" s="340"/>
      <c r="AI587" s="340"/>
      <c r="AJ587" s="340"/>
      <c r="AK587" s="340"/>
      <c r="AL587" s="340"/>
      <c r="AM587" s="340"/>
      <c r="AN587" s="340"/>
      <c r="AO587" s="340"/>
      <c r="AP587" s="340"/>
      <c r="AQ587" s="340"/>
      <c r="AR587" s="340"/>
      <c r="AS587" s="340"/>
      <c r="AT587" s="340"/>
      <c r="AU587" s="340"/>
      <c r="AV587" s="340"/>
      <c r="AY587" s="340"/>
      <c r="AZ587" s="465">
        <f t="shared" ca="1" si="432"/>
        <v>7.3698599999999999E-5</v>
      </c>
      <c r="BA587" s="464">
        <f t="shared" ca="1" si="433"/>
        <v>2.2109589000000002E-3</v>
      </c>
      <c r="BB587" s="465">
        <f t="shared" ca="1" si="433"/>
        <v>2.2846575E-3</v>
      </c>
      <c r="BC587" s="466">
        <f t="shared" ca="1" si="434"/>
        <v>60480</v>
      </c>
      <c r="BD587" s="467">
        <f t="shared" ref="BD587:BD650" ca="1" si="447">DATE(YEAR(BD586),MONTH(BD586)+1,MIN(DAY($BD$9),DAY(DATE(YEAR(BD586),MONTH(BD586)+2,0))))</f>
        <v>60481</v>
      </c>
      <c r="BE587" s="467">
        <f t="shared" ca="1" si="435"/>
        <v>60510</v>
      </c>
      <c r="BF587" s="468">
        <f ca="1">IF(計算!$BC587&lt;OP!$C$3,0,BD587-BC587)</f>
        <v>1</v>
      </c>
      <c r="BG587" s="468">
        <f ca="1">IF($BE587&gt;DATE(YEAR($BD$9)+OP!$C$57,MONTH($BD$9),DAY($BD$9)),0,$BE587-$BD587+1)</f>
        <v>30</v>
      </c>
      <c r="BH587" s="469">
        <f t="shared" ca="1" si="436"/>
        <v>31</v>
      </c>
      <c r="BI587" t="str">
        <f t="shared" si="418"/>
        <v/>
      </c>
      <c r="BJ587">
        <v>2</v>
      </c>
      <c r="BN587" s="468">
        <f t="shared" ref="BN587:BN650" si="448">IF(BO586=12,BN586+1,BN586)</f>
        <v>49</v>
      </c>
      <c r="BO587" s="468">
        <f t="shared" ref="BO587:BO650" si="449">IF(BO586=12,1,BO586+1)</f>
        <v>2</v>
      </c>
      <c r="BP587" s="467">
        <f t="shared" ca="1" si="437"/>
        <v>60481</v>
      </c>
      <c r="BQ587" s="475">
        <f t="shared" ca="1" si="417"/>
        <v>81</v>
      </c>
      <c r="BR587" s="475" t="str">
        <f t="shared" ref="BR587:BR650" si="450">IF(BO587=12,BN587,"")</f>
        <v/>
      </c>
      <c r="BS587" s="471" t="str">
        <f t="shared" si="438"/>
        <v/>
      </c>
      <c r="BT587" s="472" t="str">
        <f t="shared" si="419"/>
        <v/>
      </c>
      <c r="BU587" s="472">
        <f t="shared" ca="1" si="439"/>
        <v>0</v>
      </c>
      <c r="BV587" s="472">
        <f t="shared" ca="1" si="439"/>
        <v>0</v>
      </c>
      <c r="BW587" s="472"/>
      <c r="BX587" s="473">
        <f t="shared" ca="1" si="440"/>
        <v>807996.38471950998</v>
      </c>
      <c r="BY587" s="473">
        <f t="shared" si="441"/>
        <v>0</v>
      </c>
      <c r="BZ587" s="473">
        <f t="shared" ca="1" si="423"/>
        <v>1845.9950003219999</v>
      </c>
      <c r="CA587" s="476">
        <f t="shared" ca="1" si="442"/>
        <v>0</v>
      </c>
      <c r="CB587" s="494">
        <f ca="1">IF(OR($Q586&lt;&gt;1,OP!$D$5+$BN587-1&lt;16,$BN587-1&lt;1),0,ROUND(ROUND(ROUND(((VLOOKUP($BN587-1,MORE_PV,5,0)/10000)*VLOOKUP($BN587,MORE_PV,$CB$5,0)),3)*VLOOKUP($BN587,more1,5,0),0)/$R586,0))</f>
        <v>0</v>
      </c>
      <c r="CC587" s="473">
        <f t="shared" ca="1" si="443"/>
        <v>0</v>
      </c>
      <c r="CD587" s="477"/>
    </row>
    <row r="588" spans="2:82" ht="16.5" hidden="1">
      <c r="B588" s="80"/>
      <c r="C588" s="80"/>
      <c r="D588" s="80"/>
      <c r="E588" s="80"/>
      <c r="F588" s="80"/>
      <c r="G588" s="80"/>
      <c r="H588" s="80"/>
      <c r="I588" s="80"/>
      <c r="J588" s="192">
        <f t="shared" si="424"/>
        <v>49</v>
      </c>
      <c r="K588" s="192">
        <f t="shared" si="425"/>
        <v>4</v>
      </c>
      <c r="L588" s="192" t="str">
        <f t="shared" si="420"/>
        <v/>
      </c>
      <c r="M588" s="216">
        <f t="shared" ca="1" si="426"/>
        <v>0</v>
      </c>
      <c r="N588" s="216"/>
      <c r="O588" s="216"/>
      <c r="P588" s="216"/>
      <c r="Q588" s="456" t="str">
        <f t="shared" ca="1" si="427"/>
        <v/>
      </c>
      <c r="R588" s="450">
        <f t="shared" ca="1" si="428"/>
        <v>1</v>
      </c>
      <c r="S588" s="191">
        <f t="shared" si="429"/>
        <v>49</v>
      </c>
      <c r="T588" s="191">
        <f t="shared" si="430"/>
        <v>4</v>
      </c>
      <c r="U588" s="191">
        <f ca="1">OP!$D$5+$S588-1</f>
        <v>81</v>
      </c>
      <c r="V588" s="191" t="str">
        <f t="shared" si="431"/>
        <v/>
      </c>
      <c r="W588" s="350">
        <f ca="1">IF(Q588&lt;&gt;1,0,VLOOKUP(OP!$C$55,PVFB,$S588+2,0))</f>
        <v>0</v>
      </c>
      <c r="X588" s="473">
        <f t="shared" ca="1" si="444"/>
        <v>0</v>
      </c>
      <c r="Y588" s="348">
        <f t="shared" ca="1" si="445"/>
        <v>0</v>
      </c>
      <c r="Z588" s="348">
        <f t="shared" ca="1" si="446"/>
        <v>8012</v>
      </c>
      <c r="AA588" s="348">
        <f ca="1">IF(Q588&lt;&gt;1,0,VLOOKUP(OP!$C$55,PVFB,$S588+2,0))</f>
        <v>0</v>
      </c>
      <c r="AB588" s="488" t="str">
        <f ca="1">IF(AND(S588&lt;OP!$C$24,$U588&lt;15),0,IF(AND($U588&lt;15,$T588=12),ROUND(VLOOKUP($S588,DOWN16,5,0),3),IF($T588=12,ROUND(($Z588/10000)*$AA588,3)+IF(AND($P$7="購買增額繳清保險",T588=12,U588=110),VLOOKUP(S588,$B$10:$H$121,7,0),0),"")))</f>
        <v/>
      </c>
      <c r="AC588" s="350" t="str">
        <f ca="1">IF(AND(S588&lt;OP!$C$24,$U588&lt;15),0,IF(AND($U588&lt;16,$T588=12),VLOOKUP($S588,DOWN16,4,0),IF($T588=12,ROUND(VLOOKUP(OP!$C$55,_DIE2,$S588+1,0)*(Z588/10000),0)+IF(AND($P$7="購買增額繳清保險",T588=12,U588=110),VLOOKUP(S588,$B$10:$H$121,7,0),0),"")))</f>
        <v/>
      </c>
      <c r="AD588" s="347"/>
      <c r="AE588" s="350" t="str">
        <f t="shared" ca="1" si="421"/>
        <v/>
      </c>
      <c r="AF588" s="351" t="str">
        <f t="shared" ca="1" si="422"/>
        <v/>
      </c>
      <c r="AG588" s="340"/>
      <c r="AH588" s="340"/>
      <c r="AI588" s="340"/>
      <c r="AJ588" s="340"/>
      <c r="AK588" s="340"/>
      <c r="AL588" s="340"/>
      <c r="AM588" s="340"/>
      <c r="AN588" s="340"/>
      <c r="AO588" s="340"/>
      <c r="AP588" s="340"/>
      <c r="AQ588" s="340"/>
      <c r="AR588" s="340"/>
      <c r="AS588" s="340"/>
      <c r="AT588" s="340"/>
      <c r="AU588" s="340"/>
      <c r="AV588" s="340"/>
      <c r="AY588" s="340"/>
      <c r="AZ588" s="465">
        <f t="shared" ca="1" si="432"/>
        <v>7.3698599999999999E-5</v>
      </c>
      <c r="BA588" s="464">
        <f t="shared" ca="1" si="433"/>
        <v>2.1372602999999999E-3</v>
      </c>
      <c r="BB588" s="465">
        <f t="shared" ca="1" si="433"/>
        <v>2.2109589000000002E-3</v>
      </c>
      <c r="BC588" s="466">
        <f t="shared" ca="1" si="434"/>
        <v>60511</v>
      </c>
      <c r="BD588" s="467">
        <f t="shared" ca="1" si="447"/>
        <v>60512</v>
      </c>
      <c r="BE588" s="467">
        <f t="shared" ca="1" si="435"/>
        <v>60540</v>
      </c>
      <c r="BF588" s="468">
        <f ca="1">IF(計算!$BC588&lt;OP!$C$3,0,BD588-BC588)</f>
        <v>1</v>
      </c>
      <c r="BG588" s="468">
        <f ca="1">IF($BE588&gt;DATE(YEAR($BD$9)+OP!$C$57,MONTH($BD$9),DAY($BD$9)),0,$BE588-$BD588+1)</f>
        <v>29</v>
      </c>
      <c r="BH588" s="469">
        <f t="shared" ca="1" si="436"/>
        <v>30</v>
      </c>
      <c r="BI588" t="str">
        <f t="shared" si="418"/>
        <v/>
      </c>
      <c r="BJ588">
        <v>3</v>
      </c>
      <c r="BN588" s="468">
        <f t="shared" si="448"/>
        <v>49</v>
      </c>
      <c r="BO588" s="468">
        <f t="shared" si="449"/>
        <v>3</v>
      </c>
      <c r="BP588" s="467">
        <f t="shared" ca="1" si="437"/>
        <v>60512</v>
      </c>
      <c r="BQ588" s="475">
        <f t="shared" ref="BQ588:BQ651" ca="1" si="451">IF(BO587=12,BQ587+1,BQ587)</f>
        <v>81</v>
      </c>
      <c r="BR588" s="475" t="str">
        <f t="shared" si="450"/>
        <v/>
      </c>
      <c r="BS588" s="471" t="str">
        <f t="shared" si="438"/>
        <v/>
      </c>
      <c r="BT588" s="472" t="str">
        <f t="shared" si="419"/>
        <v/>
      </c>
      <c r="BU588" s="472">
        <f t="shared" ca="1" si="439"/>
        <v>0</v>
      </c>
      <c r="BV588" s="472">
        <f t="shared" ca="1" si="439"/>
        <v>0</v>
      </c>
      <c r="BW588" s="472"/>
      <c r="BX588" s="473">
        <f t="shared" ca="1" si="440"/>
        <v>809842.37971983198</v>
      </c>
      <c r="BY588" s="473">
        <f t="shared" si="441"/>
        <v>0</v>
      </c>
      <c r="BZ588" s="473">
        <f t="shared" ca="1" si="423"/>
        <v>1790.5282170390001</v>
      </c>
      <c r="CA588" s="476">
        <f t="shared" ca="1" si="442"/>
        <v>0</v>
      </c>
      <c r="CB588" s="494">
        <f ca="1">IF(OR($Q587&lt;&gt;1,OP!$D$5+$BN588-1&lt;16,$BN588-1&lt;1),0,ROUND(ROUND(ROUND(((VLOOKUP($BN588-1,MORE_PV,5,0)/10000)*VLOOKUP($BN588,MORE_PV,$CB$5,0)),3)*VLOOKUP($BN588,more1,5,0),0)/$R587,0))</f>
        <v>0</v>
      </c>
      <c r="CC588" s="473">
        <f t="shared" ca="1" si="443"/>
        <v>0</v>
      </c>
      <c r="CD588" s="477"/>
    </row>
    <row r="589" spans="2:82" ht="16.5" hidden="1">
      <c r="B589" s="80"/>
      <c r="C589" s="80"/>
      <c r="D589" s="80"/>
      <c r="E589" s="80"/>
      <c r="F589" s="80"/>
      <c r="G589" s="80"/>
      <c r="H589" s="80"/>
      <c r="I589" s="80"/>
      <c r="J589" s="192">
        <f t="shared" si="424"/>
        <v>49</v>
      </c>
      <c r="K589" s="192">
        <f t="shared" si="425"/>
        <v>5</v>
      </c>
      <c r="L589" s="192" t="str">
        <f t="shared" si="420"/>
        <v/>
      </c>
      <c r="M589" s="216">
        <f t="shared" ca="1" si="426"/>
        <v>0</v>
      </c>
      <c r="N589" s="216"/>
      <c r="O589" s="216"/>
      <c r="P589" s="216"/>
      <c r="Q589" s="456" t="str">
        <f t="shared" ca="1" si="427"/>
        <v/>
      </c>
      <c r="R589" s="450">
        <f t="shared" ca="1" si="428"/>
        <v>1</v>
      </c>
      <c r="S589" s="191">
        <f t="shared" si="429"/>
        <v>49</v>
      </c>
      <c r="T589" s="191">
        <f t="shared" si="430"/>
        <v>5</v>
      </c>
      <c r="U589" s="191">
        <f ca="1">OP!$D$5+$S589-1</f>
        <v>81</v>
      </c>
      <c r="V589" s="191" t="str">
        <f t="shared" si="431"/>
        <v/>
      </c>
      <c r="W589" s="350">
        <f ca="1">IF(Q589&lt;&gt;1,0,VLOOKUP(OP!$C$55,PVFB,$S589+2,0))</f>
        <v>0</v>
      </c>
      <c r="X589" s="473">
        <f t="shared" ca="1" si="444"/>
        <v>0</v>
      </c>
      <c r="Y589" s="348">
        <f t="shared" ca="1" si="445"/>
        <v>0</v>
      </c>
      <c r="Z589" s="348">
        <f t="shared" ca="1" si="446"/>
        <v>8012</v>
      </c>
      <c r="AA589" s="348">
        <f ca="1">IF(Q589&lt;&gt;1,0,VLOOKUP(OP!$C$55,PVFB,$S589+2,0))</f>
        <v>0</v>
      </c>
      <c r="AB589" s="488" t="str">
        <f ca="1">IF(AND(S589&lt;OP!$C$24,$U589&lt;15),0,IF(AND($U589&lt;15,$T589=12),ROUND(VLOOKUP($S589,DOWN16,5,0),3),IF($T589=12,ROUND(($Z589/10000)*$AA589,3)+IF(AND($P$7="購買增額繳清保險",T589=12,U589=110),VLOOKUP(S589,$B$10:$H$121,7,0),0),"")))</f>
        <v/>
      </c>
      <c r="AC589" s="350" t="str">
        <f ca="1">IF(AND(S589&lt;OP!$C$24,$U589&lt;15),0,IF(AND($U589&lt;16,$T589=12),VLOOKUP($S589,DOWN16,4,0),IF($T589=12,ROUND(VLOOKUP(OP!$C$55,_DIE2,$S589+1,0)*(Z589/10000),0)+IF(AND($P$7="購買增額繳清保險",T589=12,U589=110),VLOOKUP(S589,$B$10:$H$121,7,0),0),"")))</f>
        <v/>
      </c>
      <c r="AD589" s="347"/>
      <c r="AE589" s="350" t="str">
        <f t="shared" ca="1" si="421"/>
        <v/>
      </c>
      <c r="AF589" s="351" t="str">
        <f t="shared" ca="1" si="422"/>
        <v/>
      </c>
      <c r="AG589" s="340"/>
      <c r="AH589" s="340"/>
      <c r="AI589" s="340"/>
      <c r="AJ589" s="340"/>
      <c r="AK589" s="340"/>
      <c r="AL589" s="340"/>
      <c r="AM589" s="340"/>
      <c r="AN589" s="340"/>
      <c r="AO589" s="340"/>
      <c r="AP589" s="340"/>
      <c r="AQ589" s="340"/>
      <c r="AR589" s="340"/>
      <c r="AS589" s="340"/>
      <c r="AT589" s="340"/>
      <c r="AU589" s="340"/>
      <c r="AV589" s="340"/>
      <c r="AY589" s="340"/>
      <c r="AZ589" s="465">
        <f t="shared" ca="1" si="432"/>
        <v>7.3698599999999999E-5</v>
      </c>
      <c r="BA589" s="464">
        <f t="shared" ca="1" si="433"/>
        <v>2.2109589000000002E-3</v>
      </c>
      <c r="BB589" s="465">
        <f t="shared" ca="1" si="433"/>
        <v>2.2846575E-3</v>
      </c>
      <c r="BC589" s="466">
        <f t="shared" ca="1" si="434"/>
        <v>60541</v>
      </c>
      <c r="BD589" s="467">
        <f t="shared" ca="1" si="447"/>
        <v>60542</v>
      </c>
      <c r="BE589" s="467">
        <f t="shared" ca="1" si="435"/>
        <v>60571</v>
      </c>
      <c r="BF589" s="468">
        <f ca="1">IF(計算!$BC589&lt;OP!$C$3,0,BD589-BC589)</f>
        <v>1</v>
      </c>
      <c r="BG589" s="468">
        <f ca="1">IF($BE589&gt;DATE(YEAR($BD$9)+OP!$C$57,MONTH($BD$9),DAY($BD$9)),0,$BE589-$BD589+1)</f>
        <v>30</v>
      </c>
      <c r="BH589" s="469">
        <f t="shared" ca="1" si="436"/>
        <v>31</v>
      </c>
      <c r="BI589" t="str">
        <f t="shared" si="418"/>
        <v/>
      </c>
      <c r="BJ589">
        <v>4</v>
      </c>
      <c r="BN589" s="468">
        <f t="shared" si="448"/>
        <v>49</v>
      </c>
      <c r="BO589" s="468">
        <f t="shared" si="449"/>
        <v>4</v>
      </c>
      <c r="BP589" s="467">
        <f t="shared" ca="1" si="437"/>
        <v>60542</v>
      </c>
      <c r="BQ589" s="475">
        <f t="shared" ca="1" si="451"/>
        <v>81</v>
      </c>
      <c r="BR589" s="475" t="str">
        <f t="shared" si="450"/>
        <v/>
      </c>
      <c r="BS589" s="471" t="str">
        <f t="shared" si="438"/>
        <v/>
      </c>
      <c r="BT589" s="472" t="str">
        <f t="shared" si="419"/>
        <v/>
      </c>
      <c r="BU589" s="472">
        <f t="shared" ca="1" si="439"/>
        <v>0</v>
      </c>
      <c r="BV589" s="472">
        <f t="shared" ca="1" si="439"/>
        <v>0</v>
      </c>
      <c r="BW589" s="472"/>
      <c r="BX589" s="473">
        <f t="shared" ca="1" si="440"/>
        <v>811632.90793687105</v>
      </c>
      <c r="BY589" s="473">
        <f t="shared" si="441"/>
        <v>0</v>
      </c>
      <c r="BZ589" s="473">
        <f t="shared" ca="1" si="423"/>
        <v>1854.303210365</v>
      </c>
      <c r="CA589" s="476">
        <f t="shared" ca="1" si="442"/>
        <v>0</v>
      </c>
      <c r="CB589" s="494">
        <f ca="1">IF(OR($Q588&lt;&gt;1,OP!$D$5+$BN589-1&lt;16,$BN589-1&lt;1),0,ROUND(ROUND(ROUND(((VLOOKUP($BN589-1,MORE_PV,5,0)/10000)*VLOOKUP($BN589,MORE_PV,$CB$5,0)),3)*VLOOKUP($BN589,more1,5,0),0)/$R588,0))</f>
        <v>0</v>
      </c>
      <c r="CC589" s="473">
        <f t="shared" ca="1" si="443"/>
        <v>0</v>
      </c>
      <c r="CD589" s="477"/>
    </row>
    <row r="590" spans="2:82" ht="16.5" hidden="1">
      <c r="B590" s="80"/>
      <c r="C590" s="80"/>
      <c r="D590" s="80"/>
      <c r="E590" s="80"/>
      <c r="F590" s="80"/>
      <c r="G590" s="80"/>
      <c r="H590" s="80"/>
      <c r="I590" s="80"/>
      <c r="J590" s="192">
        <f t="shared" si="424"/>
        <v>49</v>
      </c>
      <c r="K590" s="192">
        <f t="shared" si="425"/>
        <v>6</v>
      </c>
      <c r="L590" s="192" t="str">
        <f t="shared" si="420"/>
        <v/>
      </c>
      <c r="M590" s="216">
        <f t="shared" ca="1" si="426"/>
        <v>0</v>
      </c>
      <c r="N590" s="216"/>
      <c r="O590" s="216"/>
      <c r="P590" s="216"/>
      <c r="Q590" s="456" t="str">
        <f t="shared" ca="1" si="427"/>
        <v/>
      </c>
      <c r="R590" s="450">
        <f t="shared" ca="1" si="428"/>
        <v>1</v>
      </c>
      <c r="S590" s="191">
        <f t="shared" si="429"/>
        <v>49</v>
      </c>
      <c r="T590" s="191">
        <f t="shared" si="430"/>
        <v>6</v>
      </c>
      <c r="U590" s="191">
        <f ca="1">OP!$D$5+$S590-1</f>
        <v>81</v>
      </c>
      <c r="V590" s="191" t="str">
        <f t="shared" si="431"/>
        <v/>
      </c>
      <c r="W590" s="350">
        <f ca="1">IF(Q590&lt;&gt;1,0,VLOOKUP(OP!$C$55,PVFB,$S590+2,0))</f>
        <v>0</v>
      </c>
      <c r="X590" s="473">
        <f t="shared" ca="1" si="444"/>
        <v>0</v>
      </c>
      <c r="Y590" s="348">
        <f t="shared" ca="1" si="445"/>
        <v>0</v>
      </c>
      <c r="Z590" s="348">
        <f t="shared" ca="1" si="446"/>
        <v>8012</v>
      </c>
      <c r="AA590" s="348">
        <f ca="1">IF(Q590&lt;&gt;1,0,VLOOKUP(OP!$C$55,PVFB,$S590+2,0))</f>
        <v>0</v>
      </c>
      <c r="AB590" s="488" t="str">
        <f ca="1">IF(AND(S590&lt;OP!$C$24,$U590&lt;15),0,IF(AND($U590&lt;15,$T590=12),ROUND(VLOOKUP($S590,DOWN16,5,0),3),IF($T590=12,ROUND(($Z590/10000)*$AA590,3)+IF(AND($P$7="購買增額繳清保險",T590=12,U590=110),VLOOKUP(S590,$B$10:$H$121,7,0),0),"")))</f>
        <v/>
      </c>
      <c r="AC590" s="350" t="str">
        <f ca="1">IF(AND(S590&lt;OP!$C$24,$U590&lt;15),0,IF(AND($U590&lt;16,$T590=12),VLOOKUP($S590,DOWN16,4,0),IF($T590=12,ROUND(VLOOKUP(OP!$C$55,_DIE2,$S590+1,0)*(Z590/10000),0)+IF(AND($P$7="購買增額繳清保險",T590=12,U590=110),VLOOKUP(S590,$B$10:$H$121,7,0),0),"")))</f>
        <v/>
      </c>
      <c r="AD590" s="347"/>
      <c r="AE590" s="350" t="str">
        <f t="shared" ca="1" si="421"/>
        <v/>
      </c>
      <c r="AF590" s="351" t="str">
        <f t="shared" ca="1" si="422"/>
        <v/>
      </c>
      <c r="AG590" s="340"/>
      <c r="AH590" s="340"/>
      <c r="AI590" s="340"/>
      <c r="AJ590" s="340"/>
      <c r="AK590" s="340"/>
      <c r="AL590" s="340"/>
      <c r="AM590" s="340"/>
      <c r="AN590" s="340"/>
      <c r="AO590" s="340"/>
      <c r="AP590" s="340"/>
      <c r="AQ590" s="340"/>
      <c r="AR590" s="340"/>
      <c r="AS590" s="340"/>
      <c r="AT590" s="340"/>
      <c r="AU590" s="340"/>
      <c r="AV590" s="340"/>
      <c r="AY590" s="340"/>
      <c r="AZ590" s="465">
        <f t="shared" ca="1" si="432"/>
        <v>7.3698599999999999E-5</v>
      </c>
      <c r="BA590" s="464">
        <f t="shared" ca="1" si="433"/>
        <v>2.1372602999999999E-3</v>
      </c>
      <c r="BB590" s="465">
        <f t="shared" ca="1" si="433"/>
        <v>2.2109589000000002E-3</v>
      </c>
      <c r="BC590" s="466">
        <f t="shared" ca="1" si="434"/>
        <v>60572</v>
      </c>
      <c r="BD590" s="467">
        <f t="shared" ca="1" si="447"/>
        <v>60573</v>
      </c>
      <c r="BE590" s="467">
        <f t="shared" ca="1" si="435"/>
        <v>60601</v>
      </c>
      <c r="BF590" s="468">
        <f ca="1">IF(計算!$BC590&lt;OP!$C$3,0,BD590-BC590)</f>
        <v>1</v>
      </c>
      <c r="BG590" s="468">
        <f ca="1">IF($BE590&gt;DATE(YEAR($BD$9)+OP!$C$57,MONTH($BD$9),DAY($BD$9)),0,$BE590-$BD590+1)</f>
        <v>29</v>
      </c>
      <c r="BH590" s="469">
        <f t="shared" ca="1" si="436"/>
        <v>30</v>
      </c>
      <c r="BI590" t="str">
        <f t="shared" si="418"/>
        <v/>
      </c>
      <c r="BJ590">
        <v>5</v>
      </c>
      <c r="BN590" s="468">
        <f t="shared" si="448"/>
        <v>49</v>
      </c>
      <c r="BO590" s="468">
        <f t="shared" si="449"/>
        <v>5</v>
      </c>
      <c r="BP590" s="467">
        <f t="shared" ca="1" si="437"/>
        <v>60573</v>
      </c>
      <c r="BQ590" s="475">
        <f t="shared" ca="1" si="451"/>
        <v>81</v>
      </c>
      <c r="BR590" s="475" t="str">
        <f t="shared" si="450"/>
        <v/>
      </c>
      <c r="BS590" s="471" t="str">
        <f t="shared" si="438"/>
        <v/>
      </c>
      <c r="BT590" s="472" t="str">
        <f t="shared" si="419"/>
        <v/>
      </c>
      <c r="BU590" s="472">
        <f t="shared" ca="1" si="439"/>
        <v>0</v>
      </c>
      <c r="BV590" s="472">
        <f t="shared" ca="1" si="439"/>
        <v>0</v>
      </c>
      <c r="BW590" s="472"/>
      <c r="BX590" s="473">
        <f t="shared" ca="1" si="440"/>
        <v>813487.21114723606</v>
      </c>
      <c r="BY590" s="473">
        <f t="shared" si="441"/>
        <v>0</v>
      </c>
      <c r="BZ590" s="473">
        <f t="shared" ca="1" si="423"/>
        <v>1798.5867895219999</v>
      </c>
      <c r="CA590" s="476">
        <f t="shared" ca="1" si="442"/>
        <v>0</v>
      </c>
      <c r="CB590" s="494">
        <f ca="1">IF(OR($Q589&lt;&gt;1,OP!$D$5+$BN590-1&lt;16,$BN590-1&lt;1),0,ROUND(ROUND(ROUND(((VLOOKUP($BN590-1,MORE_PV,5,0)/10000)*VLOOKUP($BN590,MORE_PV,$CB$5,0)),3)*VLOOKUP($BN590,more1,5,0),0)/$R589,0))</f>
        <v>0</v>
      </c>
      <c r="CC590" s="473">
        <f t="shared" ca="1" si="443"/>
        <v>0</v>
      </c>
      <c r="CD590" s="477"/>
    </row>
    <row r="591" spans="2:82" ht="16.5" hidden="1">
      <c r="B591" s="80"/>
      <c r="C591" s="80"/>
      <c r="D591" s="80"/>
      <c r="E591" s="80"/>
      <c r="F591" s="80"/>
      <c r="G591" s="80"/>
      <c r="H591" s="80"/>
      <c r="I591" s="80"/>
      <c r="J591" s="192">
        <f t="shared" si="424"/>
        <v>49</v>
      </c>
      <c r="K591" s="192">
        <f t="shared" si="425"/>
        <v>7</v>
      </c>
      <c r="L591" s="192" t="str">
        <f t="shared" si="420"/>
        <v/>
      </c>
      <c r="M591" s="216">
        <f t="shared" ca="1" si="426"/>
        <v>0</v>
      </c>
      <c r="N591" s="216"/>
      <c r="O591" s="216"/>
      <c r="P591" s="216"/>
      <c r="Q591" s="456" t="str">
        <f t="shared" ca="1" si="427"/>
        <v/>
      </c>
      <c r="R591" s="450">
        <f t="shared" ca="1" si="428"/>
        <v>1</v>
      </c>
      <c r="S591" s="191">
        <f t="shared" si="429"/>
        <v>49</v>
      </c>
      <c r="T591" s="191">
        <f t="shared" si="430"/>
        <v>7</v>
      </c>
      <c r="U591" s="191">
        <f ca="1">OP!$D$5+$S591-1</f>
        <v>81</v>
      </c>
      <c r="V591" s="191" t="str">
        <f t="shared" si="431"/>
        <v/>
      </c>
      <c r="W591" s="350">
        <f ca="1">IF(Q591&lt;&gt;1,0,VLOOKUP(OP!$C$55,PVFB,$S591+2,0))</f>
        <v>0</v>
      </c>
      <c r="X591" s="473">
        <f t="shared" ca="1" si="444"/>
        <v>0</v>
      </c>
      <c r="Y591" s="348">
        <f t="shared" ca="1" si="445"/>
        <v>0</v>
      </c>
      <c r="Z591" s="348">
        <f t="shared" ca="1" si="446"/>
        <v>8012</v>
      </c>
      <c r="AA591" s="348">
        <f ca="1">IF(Q591&lt;&gt;1,0,VLOOKUP(OP!$C$55,PVFB,$S591+2,0))</f>
        <v>0</v>
      </c>
      <c r="AB591" s="488" t="str">
        <f ca="1">IF(AND(S591&lt;OP!$C$24,$U591&lt;15),0,IF(AND($U591&lt;15,$T591=12),ROUND(VLOOKUP($S591,DOWN16,5,0),3),IF($T591=12,ROUND(($Z591/10000)*$AA591,3)+IF(AND($P$7="購買增額繳清保險",T591=12,U591=110),VLOOKUP(S591,$B$10:$H$121,7,0),0),"")))</f>
        <v/>
      </c>
      <c r="AC591" s="350" t="str">
        <f ca="1">IF(AND(S591&lt;OP!$C$24,$U591&lt;15),0,IF(AND($U591&lt;16,$T591=12),VLOOKUP($S591,DOWN16,4,0),IF($T591=12,ROUND(VLOOKUP(OP!$C$55,_DIE2,$S591+1,0)*(Z591/10000),0)+IF(AND($P$7="購買增額繳清保險",T591=12,U591=110),VLOOKUP(S591,$B$10:$H$121,7,0),0),"")))</f>
        <v/>
      </c>
      <c r="AD591" s="347"/>
      <c r="AE591" s="350" t="str">
        <f t="shared" ca="1" si="421"/>
        <v/>
      </c>
      <c r="AF591" s="351" t="str">
        <f t="shared" ca="1" si="422"/>
        <v/>
      </c>
      <c r="AG591" s="340"/>
      <c r="AH591" s="340"/>
      <c r="AI591" s="340"/>
      <c r="AJ591" s="340"/>
      <c r="AK591" s="340"/>
      <c r="AL591" s="340"/>
      <c r="AM591" s="340"/>
      <c r="AN591" s="340"/>
      <c r="AO591" s="340"/>
      <c r="AP591" s="340"/>
      <c r="AQ591" s="340"/>
      <c r="AR591" s="340"/>
      <c r="AS591" s="340"/>
      <c r="AT591" s="340"/>
      <c r="AU591" s="340"/>
      <c r="AV591" s="340"/>
      <c r="AY591" s="340"/>
      <c r="AZ591" s="465">
        <f t="shared" ca="1" si="432"/>
        <v>7.3698599999999999E-5</v>
      </c>
      <c r="BA591" s="464">
        <f t="shared" ca="1" si="433"/>
        <v>2.2109589000000002E-3</v>
      </c>
      <c r="BB591" s="465">
        <f t="shared" ca="1" si="433"/>
        <v>2.2846575E-3</v>
      </c>
      <c r="BC591" s="466">
        <f t="shared" ca="1" si="434"/>
        <v>60602</v>
      </c>
      <c r="BD591" s="467">
        <f t="shared" ca="1" si="447"/>
        <v>60603</v>
      </c>
      <c r="BE591" s="467">
        <f t="shared" ca="1" si="435"/>
        <v>60632</v>
      </c>
      <c r="BF591" s="468">
        <f ca="1">IF(計算!$BC591&lt;OP!$C$3,0,BD591-BC591)</f>
        <v>1</v>
      </c>
      <c r="BG591" s="468">
        <f ca="1">IF($BE591&gt;DATE(YEAR($BD$9)+OP!$C$57,MONTH($BD$9),DAY($BD$9)),0,$BE591-$BD591+1)</f>
        <v>30</v>
      </c>
      <c r="BH591" s="469">
        <f t="shared" ca="1" si="436"/>
        <v>31</v>
      </c>
      <c r="BI591" t="str">
        <f t="shared" si="418"/>
        <v/>
      </c>
      <c r="BJ591">
        <v>6</v>
      </c>
      <c r="BN591" s="468">
        <f t="shared" si="448"/>
        <v>49</v>
      </c>
      <c r="BO591" s="468">
        <f t="shared" si="449"/>
        <v>6</v>
      </c>
      <c r="BP591" s="467">
        <f t="shared" ca="1" si="437"/>
        <v>60603</v>
      </c>
      <c r="BQ591" s="475">
        <f t="shared" ca="1" si="451"/>
        <v>81</v>
      </c>
      <c r="BR591" s="475" t="str">
        <f t="shared" si="450"/>
        <v/>
      </c>
      <c r="BS591" s="471" t="str">
        <f t="shared" si="438"/>
        <v/>
      </c>
      <c r="BT591" s="472" t="str">
        <f t="shared" si="419"/>
        <v/>
      </c>
      <c r="BU591" s="472">
        <f t="shared" ca="1" si="439"/>
        <v>0</v>
      </c>
      <c r="BV591" s="472">
        <f t="shared" ca="1" si="439"/>
        <v>0</v>
      </c>
      <c r="BW591" s="472"/>
      <c r="BX591" s="473">
        <f t="shared" ca="1" si="440"/>
        <v>815285.79793675803</v>
      </c>
      <c r="BY591" s="473">
        <f t="shared" si="441"/>
        <v>0</v>
      </c>
      <c r="BZ591" s="473">
        <f t="shared" ca="1" si="423"/>
        <v>1862.6488128999999</v>
      </c>
      <c r="CA591" s="476">
        <f t="shared" ca="1" si="442"/>
        <v>0</v>
      </c>
      <c r="CB591" s="494">
        <f ca="1">IF(OR($Q590&lt;&gt;1,OP!$D$5+$BN591-1&lt;16,$BN591-1&lt;1),0,ROUND(ROUND(ROUND(((VLOOKUP($BN591-1,MORE_PV,5,0)/10000)*VLOOKUP($BN591,MORE_PV,$CB$5,0)),3)*VLOOKUP($BN591,more1,5,0),0)/$R590,0))</f>
        <v>0</v>
      </c>
      <c r="CC591" s="473">
        <f t="shared" ca="1" si="443"/>
        <v>0</v>
      </c>
      <c r="CD591" s="477"/>
    </row>
    <row r="592" spans="2:82" ht="16.5" hidden="1">
      <c r="B592" s="80"/>
      <c r="C592" s="80"/>
      <c r="D592" s="80"/>
      <c r="E592" s="80"/>
      <c r="F592" s="80"/>
      <c r="G592" s="80"/>
      <c r="H592" s="80"/>
      <c r="I592" s="80"/>
      <c r="J592" s="192">
        <f t="shared" si="424"/>
        <v>49</v>
      </c>
      <c r="K592" s="192">
        <f t="shared" si="425"/>
        <v>8</v>
      </c>
      <c r="L592" s="192" t="str">
        <f t="shared" si="420"/>
        <v/>
      </c>
      <c r="M592" s="216">
        <f t="shared" ca="1" si="426"/>
        <v>0</v>
      </c>
      <c r="N592" s="216"/>
      <c r="O592" s="216"/>
      <c r="P592" s="216"/>
      <c r="Q592" s="456" t="str">
        <f t="shared" ca="1" si="427"/>
        <v/>
      </c>
      <c r="R592" s="450">
        <f t="shared" ca="1" si="428"/>
        <v>1</v>
      </c>
      <c r="S592" s="191">
        <f t="shared" si="429"/>
        <v>49</v>
      </c>
      <c r="T592" s="191">
        <f t="shared" si="430"/>
        <v>8</v>
      </c>
      <c r="U592" s="191">
        <f ca="1">OP!$D$5+$S592-1</f>
        <v>81</v>
      </c>
      <c r="V592" s="191" t="str">
        <f t="shared" si="431"/>
        <v/>
      </c>
      <c r="W592" s="350">
        <f ca="1">IF(Q592&lt;&gt;1,0,VLOOKUP(OP!$C$55,PVFB,$S592+2,0))</f>
        <v>0</v>
      </c>
      <c r="X592" s="473">
        <f t="shared" ca="1" si="444"/>
        <v>0</v>
      </c>
      <c r="Y592" s="348">
        <f t="shared" ca="1" si="445"/>
        <v>0</v>
      </c>
      <c r="Z592" s="348">
        <f t="shared" ca="1" si="446"/>
        <v>8012</v>
      </c>
      <c r="AA592" s="348">
        <f ca="1">IF(Q592&lt;&gt;1,0,VLOOKUP(OP!$C$55,PVFB,$S592+2,0))</f>
        <v>0</v>
      </c>
      <c r="AB592" s="488" t="str">
        <f ca="1">IF(AND(S592&lt;OP!$C$24,$U592&lt;15),0,IF(AND($U592&lt;15,$T592=12),ROUND(VLOOKUP($S592,DOWN16,5,0),3),IF($T592=12,ROUND(($Z592/10000)*$AA592,3)+IF(AND($P$7="購買增額繳清保險",T592=12,U592=110),VLOOKUP(S592,$B$10:$H$121,7,0),0),"")))</f>
        <v/>
      </c>
      <c r="AC592" s="350" t="str">
        <f ca="1">IF(AND(S592&lt;OP!$C$24,$U592&lt;15),0,IF(AND($U592&lt;16,$T592=12),VLOOKUP($S592,DOWN16,4,0),IF($T592=12,ROUND(VLOOKUP(OP!$C$55,_DIE2,$S592+1,0)*(Z592/10000),0)+IF(AND($P$7="購買增額繳清保險",T592=12,U592=110),VLOOKUP(S592,$B$10:$H$121,7,0),0),"")))</f>
        <v/>
      </c>
      <c r="AD592" s="347"/>
      <c r="AE592" s="350" t="str">
        <f t="shared" ca="1" si="421"/>
        <v/>
      </c>
      <c r="AF592" s="351" t="str">
        <f t="shared" ca="1" si="422"/>
        <v/>
      </c>
      <c r="AG592" s="340"/>
      <c r="AH592" s="340"/>
      <c r="AI592" s="340"/>
      <c r="AJ592" s="340"/>
      <c r="AK592" s="340"/>
      <c r="AL592" s="340"/>
      <c r="AM592" s="340"/>
      <c r="AN592" s="340"/>
      <c r="AO592" s="340"/>
      <c r="AP592" s="340"/>
      <c r="AQ592" s="340"/>
      <c r="AR592" s="340"/>
      <c r="AS592" s="340"/>
      <c r="AT592" s="340"/>
      <c r="AU592" s="340"/>
      <c r="AV592" s="340"/>
      <c r="AY592" s="340"/>
      <c r="AZ592" s="465">
        <f t="shared" ca="1" si="432"/>
        <v>7.3698599999999999E-5</v>
      </c>
      <c r="BA592" s="464">
        <f t="shared" ca="1" si="433"/>
        <v>2.2109589000000002E-3</v>
      </c>
      <c r="BB592" s="465">
        <f t="shared" ca="1" si="433"/>
        <v>2.2846575E-3</v>
      </c>
      <c r="BC592" s="466">
        <f t="shared" ca="1" si="434"/>
        <v>60633</v>
      </c>
      <c r="BD592" s="467">
        <f t="shared" ca="1" si="447"/>
        <v>60634</v>
      </c>
      <c r="BE592" s="467">
        <f t="shared" ca="1" si="435"/>
        <v>60663</v>
      </c>
      <c r="BF592" s="468">
        <f ca="1">IF(計算!$BC592&lt;OP!$C$3,0,BD592-BC592)</f>
        <v>1</v>
      </c>
      <c r="BG592" s="468">
        <f ca="1">IF($BE592&gt;DATE(YEAR($BD$9)+OP!$C$57,MONTH($BD$9),DAY($BD$9)),0,$BE592-$BD592+1)</f>
        <v>30</v>
      </c>
      <c r="BH592" s="469">
        <f t="shared" ca="1" si="436"/>
        <v>31</v>
      </c>
      <c r="BI592" t="str">
        <f t="shared" si="418"/>
        <v/>
      </c>
      <c r="BJ592">
        <v>7</v>
      </c>
      <c r="BN592" s="468">
        <f t="shared" si="448"/>
        <v>49</v>
      </c>
      <c r="BO592" s="468">
        <f t="shared" si="449"/>
        <v>7</v>
      </c>
      <c r="BP592" s="467">
        <f t="shared" ca="1" si="437"/>
        <v>60634</v>
      </c>
      <c r="BQ592" s="475">
        <f t="shared" ca="1" si="451"/>
        <v>81</v>
      </c>
      <c r="BR592" s="475" t="str">
        <f t="shared" si="450"/>
        <v/>
      </c>
      <c r="BS592" s="471" t="str">
        <f t="shared" si="438"/>
        <v/>
      </c>
      <c r="BT592" s="472" t="str">
        <f t="shared" si="419"/>
        <v/>
      </c>
      <c r="BU592" s="472">
        <f t="shared" ca="1" si="439"/>
        <v>0</v>
      </c>
      <c r="BV592" s="472">
        <f t="shared" ca="1" si="439"/>
        <v>0</v>
      </c>
      <c r="BW592" s="472"/>
      <c r="BX592" s="473">
        <f t="shared" ca="1" si="440"/>
        <v>817148.44674965797</v>
      </c>
      <c r="BY592" s="473">
        <f t="shared" si="441"/>
        <v>0</v>
      </c>
      <c r="BZ592" s="473">
        <f t="shared" ca="1" si="423"/>
        <v>1866.9043274799999</v>
      </c>
      <c r="CA592" s="476">
        <f t="shared" ca="1" si="442"/>
        <v>0</v>
      </c>
      <c r="CB592" s="494">
        <f ca="1">IF(OR($Q591&lt;&gt;1,OP!$D$5+$BN592-1&lt;16,$BN592-1&lt;1),0,ROUND(ROUND(ROUND(((VLOOKUP($BN592-1,MORE_PV,5,0)/10000)*VLOOKUP($BN592,MORE_PV,$CB$5,0)),3)*VLOOKUP($BN592,more1,5,0),0)/$R591,0))</f>
        <v>0</v>
      </c>
      <c r="CC592" s="473">
        <f t="shared" ca="1" si="443"/>
        <v>0</v>
      </c>
      <c r="CD592" s="477"/>
    </row>
    <row r="593" spans="2:82" ht="16.5" hidden="1">
      <c r="B593" s="80"/>
      <c r="C593" s="80"/>
      <c r="D593" s="80"/>
      <c r="E593" s="80"/>
      <c r="F593" s="80"/>
      <c r="G593" s="80"/>
      <c r="H593" s="80"/>
      <c r="I593" s="80"/>
      <c r="J593" s="192">
        <f t="shared" si="424"/>
        <v>49</v>
      </c>
      <c r="K593" s="192">
        <f t="shared" si="425"/>
        <v>9</v>
      </c>
      <c r="L593" s="192" t="str">
        <f t="shared" si="420"/>
        <v/>
      </c>
      <c r="M593" s="216">
        <f t="shared" ca="1" si="426"/>
        <v>0</v>
      </c>
      <c r="N593" s="216"/>
      <c r="O593" s="216"/>
      <c r="P593" s="216"/>
      <c r="Q593" s="456" t="str">
        <f t="shared" ca="1" si="427"/>
        <v/>
      </c>
      <c r="R593" s="450">
        <f t="shared" ca="1" si="428"/>
        <v>1</v>
      </c>
      <c r="S593" s="191">
        <f t="shared" si="429"/>
        <v>49</v>
      </c>
      <c r="T593" s="191">
        <f t="shared" si="430"/>
        <v>9</v>
      </c>
      <c r="U593" s="191">
        <f ca="1">OP!$D$5+$S593-1</f>
        <v>81</v>
      </c>
      <c r="V593" s="191" t="str">
        <f t="shared" si="431"/>
        <v/>
      </c>
      <c r="W593" s="350">
        <f ca="1">IF(Q593&lt;&gt;1,0,VLOOKUP(OP!$C$55,PVFB,$S593+2,0))</f>
        <v>0</v>
      </c>
      <c r="X593" s="473">
        <f t="shared" ca="1" si="444"/>
        <v>0</v>
      </c>
      <c r="Y593" s="348">
        <f t="shared" ca="1" si="445"/>
        <v>0</v>
      </c>
      <c r="Z593" s="348">
        <f t="shared" ca="1" si="446"/>
        <v>8012</v>
      </c>
      <c r="AA593" s="348">
        <f ca="1">IF(Q593&lt;&gt;1,0,VLOOKUP(OP!$C$55,PVFB,$S593+2,0))</f>
        <v>0</v>
      </c>
      <c r="AB593" s="488" t="str">
        <f ca="1">IF(AND(S593&lt;OP!$C$24,$U593&lt;15),0,IF(AND($U593&lt;15,$T593=12),ROUND(VLOOKUP($S593,DOWN16,5,0),3),IF($T593=12,ROUND(($Z593/10000)*$AA593,3)+IF(AND($P$7="購買增額繳清保險",T593=12,U593=110),VLOOKUP(S593,$B$10:$H$121,7,0),0),"")))</f>
        <v/>
      </c>
      <c r="AC593" s="350" t="str">
        <f ca="1">IF(AND(S593&lt;OP!$C$24,$U593&lt;15),0,IF(AND($U593&lt;16,$T593=12),VLOOKUP($S593,DOWN16,4,0),IF($T593=12,ROUND(VLOOKUP(OP!$C$55,_DIE2,$S593+1,0)*(Z593/10000),0)+IF(AND($P$7="購買增額繳清保險",T593=12,U593=110),VLOOKUP(S593,$B$10:$H$121,7,0),0),"")))</f>
        <v/>
      </c>
      <c r="AD593" s="347"/>
      <c r="AE593" s="350" t="str">
        <f t="shared" ca="1" si="421"/>
        <v/>
      </c>
      <c r="AF593" s="351" t="str">
        <f t="shared" ca="1" si="422"/>
        <v/>
      </c>
      <c r="AG593" s="340"/>
      <c r="AH593" s="340"/>
      <c r="AI593" s="340"/>
      <c r="AJ593" s="340"/>
      <c r="AK593" s="340"/>
      <c r="AL593" s="340"/>
      <c r="AM593" s="340"/>
      <c r="AN593" s="340"/>
      <c r="AO593" s="340"/>
      <c r="AP593" s="340"/>
      <c r="AQ593" s="340"/>
      <c r="AR593" s="340"/>
      <c r="AS593" s="340"/>
      <c r="AT593" s="340"/>
      <c r="AU593" s="340"/>
      <c r="AV593" s="340"/>
      <c r="AY593" s="340"/>
      <c r="AZ593" s="465">
        <f t="shared" ca="1" si="432"/>
        <v>7.3698599999999999E-5</v>
      </c>
      <c r="BA593" s="464">
        <f t="shared" ca="1" si="433"/>
        <v>1.9898630000000001E-3</v>
      </c>
      <c r="BB593" s="465">
        <f t="shared" ca="1" si="433"/>
        <v>2.0635616E-3</v>
      </c>
      <c r="BC593" s="466">
        <f t="shared" ca="1" si="434"/>
        <v>60664</v>
      </c>
      <c r="BD593" s="467">
        <f t="shared" ca="1" si="447"/>
        <v>60665</v>
      </c>
      <c r="BE593" s="467">
        <f t="shared" ca="1" si="435"/>
        <v>60691</v>
      </c>
      <c r="BF593" s="468">
        <f ca="1">IF(計算!$BC593&lt;OP!$C$3,0,BD593-BC593)</f>
        <v>1</v>
      </c>
      <c r="BG593" s="468">
        <f ca="1">IF($BE593&gt;DATE(YEAR($BD$9)+OP!$C$57,MONTH($BD$9),DAY($BD$9)),0,$BE593-$BD593+1)</f>
        <v>27</v>
      </c>
      <c r="BH593" s="469">
        <f t="shared" ca="1" si="436"/>
        <v>28</v>
      </c>
      <c r="BI593" t="str">
        <f t="shared" si="418"/>
        <v/>
      </c>
      <c r="BJ593">
        <v>8</v>
      </c>
      <c r="BN593" s="468">
        <f t="shared" si="448"/>
        <v>49</v>
      </c>
      <c r="BO593" s="468">
        <f t="shared" si="449"/>
        <v>8</v>
      </c>
      <c r="BP593" s="467">
        <f t="shared" ca="1" si="437"/>
        <v>60665</v>
      </c>
      <c r="BQ593" s="475">
        <f t="shared" ca="1" si="451"/>
        <v>81</v>
      </c>
      <c r="BR593" s="475" t="str">
        <f t="shared" si="450"/>
        <v/>
      </c>
      <c r="BS593" s="471" t="str">
        <f t="shared" si="438"/>
        <v/>
      </c>
      <c r="BT593" s="472" t="str">
        <f t="shared" si="419"/>
        <v/>
      </c>
      <c r="BU593" s="472">
        <f t="shared" ca="1" si="439"/>
        <v>0</v>
      </c>
      <c r="BV593" s="472">
        <f t="shared" ca="1" si="439"/>
        <v>0</v>
      </c>
      <c r="BW593" s="472"/>
      <c r="BX593" s="473">
        <f t="shared" ca="1" si="440"/>
        <v>819015.35107713798</v>
      </c>
      <c r="BY593" s="473">
        <f t="shared" si="441"/>
        <v>0</v>
      </c>
      <c r="BZ593" s="473">
        <f t="shared" ca="1" si="423"/>
        <v>1690.0886282930001</v>
      </c>
      <c r="CA593" s="476">
        <f t="shared" ca="1" si="442"/>
        <v>0</v>
      </c>
      <c r="CB593" s="494">
        <f ca="1">IF(OR($Q592&lt;&gt;1,OP!$D$5+$BN593-1&lt;16,$BN593-1&lt;1),0,ROUND(ROUND(ROUND(((VLOOKUP($BN593-1,MORE_PV,5,0)/10000)*VLOOKUP($BN593,MORE_PV,$CB$5,0)),3)*VLOOKUP($BN593,more1,5,0),0)/$R592,0))</f>
        <v>0</v>
      </c>
      <c r="CC593" s="473">
        <f t="shared" ca="1" si="443"/>
        <v>0</v>
      </c>
      <c r="CD593" s="477"/>
    </row>
    <row r="594" spans="2:82" ht="16.5" hidden="1">
      <c r="B594" s="80"/>
      <c r="C594" s="80"/>
      <c r="D594" s="80"/>
      <c r="E594" s="80"/>
      <c r="F594" s="80"/>
      <c r="G594" s="80"/>
      <c r="H594" s="80"/>
      <c r="I594" s="80"/>
      <c r="J594" s="192">
        <f t="shared" si="424"/>
        <v>49</v>
      </c>
      <c r="K594" s="192">
        <f t="shared" si="425"/>
        <v>10</v>
      </c>
      <c r="L594" s="192" t="str">
        <f t="shared" si="420"/>
        <v/>
      </c>
      <c r="M594" s="216">
        <f t="shared" ca="1" si="426"/>
        <v>0</v>
      </c>
      <c r="N594" s="216"/>
      <c r="O594" s="216"/>
      <c r="P594" s="216"/>
      <c r="Q594" s="456" t="str">
        <f t="shared" ca="1" si="427"/>
        <v/>
      </c>
      <c r="R594" s="450">
        <f t="shared" ca="1" si="428"/>
        <v>1</v>
      </c>
      <c r="S594" s="191">
        <f t="shared" si="429"/>
        <v>49</v>
      </c>
      <c r="T594" s="191">
        <f t="shared" si="430"/>
        <v>10</v>
      </c>
      <c r="U594" s="191">
        <f ca="1">OP!$D$5+$S594-1</f>
        <v>81</v>
      </c>
      <c r="V594" s="191" t="str">
        <f t="shared" si="431"/>
        <v/>
      </c>
      <c r="W594" s="350">
        <f ca="1">IF(Q594&lt;&gt;1,0,VLOOKUP(OP!$C$55,PVFB,$S594+2,0))</f>
        <v>0</v>
      </c>
      <c r="X594" s="473">
        <f t="shared" ca="1" si="444"/>
        <v>0</v>
      </c>
      <c r="Y594" s="348">
        <f t="shared" ca="1" si="445"/>
        <v>0</v>
      </c>
      <c r="Z594" s="348">
        <f t="shared" ca="1" si="446"/>
        <v>8012</v>
      </c>
      <c r="AA594" s="348">
        <f ca="1">IF(Q594&lt;&gt;1,0,VLOOKUP(OP!$C$55,PVFB,$S594+2,0))</f>
        <v>0</v>
      </c>
      <c r="AB594" s="488" t="str">
        <f ca="1">IF(AND(S594&lt;OP!$C$24,$U594&lt;15),0,IF(AND($U594&lt;15,$T594=12),ROUND(VLOOKUP($S594,DOWN16,5,0),3),IF($T594=12,ROUND(($Z594/10000)*$AA594,3)+IF(AND($P$7="購買增額繳清保險",T594=12,U594=110),VLOOKUP(S594,$B$10:$H$121,7,0),0),"")))</f>
        <v/>
      </c>
      <c r="AC594" s="350" t="str">
        <f ca="1">IF(AND(S594&lt;OP!$C$24,$U594&lt;15),0,IF(AND($U594&lt;16,$T594=12),VLOOKUP($S594,DOWN16,4,0),IF($T594=12,ROUND(VLOOKUP(OP!$C$55,_DIE2,$S594+1,0)*(Z594/10000),0)+IF(AND($P$7="購買增額繳清保險",T594=12,U594=110),VLOOKUP(S594,$B$10:$H$121,7,0),0),"")))</f>
        <v/>
      </c>
      <c r="AD594" s="347"/>
      <c r="AE594" s="350" t="str">
        <f t="shared" ca="1" si="421"/>
        <v/>
      </c>
      <c r="AF594" s="351" t="str">
        <f t="shared" ca="1" si="422"/>
        <v/>
      </c>
      <c r="AG594" s="340"/>
      <c r="AH594" s="340"/>
      <c r="AI594" s="340"/>
      <c r="AJ594" s="340"/>
      <c r="AK594" s="340"/>
      <c r="AL594" s="340"/>
      <c r="AM594" s="340"/>
      <c r="AN594" s="340"/>
      <c r="AO594" s="340"/>
      <c r="AP594" s="340"/>
      <c r="AQ594" s="340"/>
      <c r="AR594" s="340"/>
      <c r="AS594" s="340"/>
      <c r="AT594" s="340"/>
      <c r="AU594" s="340"/>
      <c r="AV594" s="340"/>
      <c r="AY594" s="340"/>
      <c r="AZ594" s="465">
        <f t="shared" ca="1" si="432"/>
        <v>7.3698599999999999E-5</v>
      </c>
      <c r="BA594" s="464">
        <f t="shared" ca="1" si="433"/>
        <v>2.2109589000000002E-3</v>
      </c>
      <c r="BB594" s="465">
        <f t="shared" ca="1" si="433"/>
        <v>2.2846575E-3</v>
      </c>
      <c r="BC594" s="466">
        <f t="shared" ca="1" si="434"/>
        <v>60692</v>
      </c>
      <c r="BD594" s="467">
        <f t="shared" ca="1" si="447"/>
        <v>60693</v>
      </c>
      <c r="BE594" s="467">
        <f t="shared" ca="1" si="435"/>
        <v>60722</v>
      </c>
      <c r="BF594" s="468">
        <f ca="1">IF(計算!$BC594&lt;OP!$C$3,0,BD594-BC594)</f>
        <v>1</v>
      </c>
      <c r="BG594" s="468">
        <f ca="1">IF($BE594&gt;DATE(YEAR($BD$9)+OP!$C$57,MONTH($BD$9),DAY($BD$9)),0,$BE594-$BD594+1)</f>
        <v>30</v>
      </c>
      <c r="BH594" s="469">
        <f t="shared" ca="1" si="436"/>
        <v>31</v>
      </c>
      <c r="BI594" t="str">
        <f t="shared" si="418"/>
        <v/>
      </c>
      <c r="BJ594">
        <v>9</v>
      </c>
      <c r="BN594" s="468">
        <f t="shared" si="448"/>
        <v>49</v>
      </c>
      <c r="BO594" s="468">
        <f t="shared" si="449"/>
        <v>9</v>
      </c>
      <c r="BP594" s="467">
        <f t="shared" ca="1" si="437"/>
        <v>60693</v>
      </c>
      <c r="BQ594" s="475">
        <f t="shared" ca="1" si="451"/>
        <v>81</v>
      </c>
      <c r="BR594" s="475" t="str">
        <f t="shared" si="450"/>
        <v/>
      </c>
      <c r="BS594" s="471" t="str">
        <f t="shared" si="438"/>
        <v/>
      </c>
      <c r="BT594" s="472" t="str">
        <f t="shared" si="419"/>
        <v/>
      </c>
      <c r="BU594" s="472">
        <f t="shared" ca="1" si="439"/>
        <v>0</v>
      </c>
      <c r="BV594" s="472">
        <f t="shared" ca="1" si="439"/>
        <v>0</v>
      </c>
      <c r="BW594" s="472"/>
      <c r="BX594" s="473">
        <f t="shared" ca="1" si="440"/>
        <v>820705.439705431</v>
      </c>
      <c r="BY594" s="473">
        <f t="shared" si="441"/>
        <v>0</v>
      </c>
      <c r="BZ594" s="473">
        <f t="shared" ca="1" si="423"/>
        <v>1875.0308381140001</v>
      </c>
      <c r="CA594" s="476">
        <f t="shared" ca="1" si="442"/>
        <v>0</v>
      </c>
      <c r="CB594" s="494">
        <f ca="1">IF(OR($Q593&lt;&gt;1,OP!$D$5+$BN594-1&lt;16,$BN594-1&lt;1),0,ROUND(ROUND(ROUND(((VLOOKUP($BN594-1,MORE_PV,5,0)/10000)*VLOOKUP($BN594,MORE_PV,$CB$5,0)),3)*VLOOKUP($BN594,more1,5,0),0)/$R593,0))</f>
        <v>0</v>
      </c>
      <c r="CC594" s="473">
        <f t="shared" ca="1" si="443"/>
        <v>0</v>
      </c>
      <c r="CD594" s="477"/>
    </row>
    <row r="595" spans="2:82" ht="16.5" hidden="1">
      <c r="B595" s="80"/>
      <c r="C595" s="80"/>
      <c r="D595" s="80"/>
      <c r="E595" s="80"/>
      <c r="F595" s="80"/>
      <c r="G595" s="80"/>
      <c r="H595" s="80"/>
      <c r="I595" s="80"/>
      <c r="J595" s="192">
        <f t="shared" si="424"/>
        <v>49</v>
      </c>
      <c r="K595" s="192">
        <f t="shared" si="425"/>
        <v>11</v>
      </c>
      <c r="L595" s="192" t="str">
        <f t="shared" si="420"/>
        <v/>
      </c>
      <c r="M595" s="216">
        <f t="shared" ca="1" si="426"/>
        <v>0</v>
      </c>
      <c r="N595" s="216"/>
      <c r="O595" s="216"/>
      <c r="P595" s="216"/>
      <c r="Q595" s="456" t="str">
        <f t="shared" ca="1" si="427"/>
        <v/>
      </c>
      <c r="R595" s="450">
        <f t="shared" ca="1" si="428"/>
        <v>1</v>
      </c>
      <c r="S595" s="191">
        <f t="shared" si="429"/>
        <v>49</v>
      </c>
      <c r="T595" s="191">
        <f t="shared" si="430"/>
        <v>11</v>
      </c>
      <c r="U595" s="191">
        <f ca="1">OP!$D$5+$S595-1</f>
        <v>81</v>
      </c>
      <c r="V595" s="191" t="str">
        <f t="shared" si="431"/>
        <v/>
      </c>
      <c r="W595" s="350">
        <f ca="1">IF(Q595&lt;&gt;1,0,VLOOKUP(OP!$C$55,PVFB,$S595+2,0))</f>
        <v>0</v>
      </c>
      <c r="X595" s="473">
        <f t="shared" ca="1" si="444"/>
        <v>0</v>
      </c>
      <c r="Y595" s="348">
        <f t="shared" ca="1" si="445"/>
        <v>0</v>
      </c>
      <c r="Z595" s="348">
        <f t="shared" ca="1" si="446"/>
        <v>8012</v>
      </c>
      <c r="AA595" s="348">
        <f ca="1">IF(Q595&lt;&gt;1,0,VLOOKUP(OP!$C$55,PVFB,$S595+2,0))</f>
        <v>0</v>
      </c>
      <c r="AB595" s="488" t="str">
        <f ca="1">IF(AND(S595&lt;OP!$C$24,$U595&lt;15),0,IF(AND($U595&lt;15,$T595=12),ROUND(VLOOKUP($S595,DOWN16,5,0),3),IF($T595=12,ROUND(($Z595/10000)*$AA595,3)+IF(AND($P$7="購買增額繳清保險",T595=12,U595=110),VLOOKUP(S595,$B$10:$H$121,7,0),0),"")))</f>
        <v/>
      </c>
      <c r="AC595" s="350" t="str">
        <f ca="1">IF(AND(S595&lt;OP!$C$24,$U595&lt;15),0,IF(AND($U595&lt;16,$T595=12),VLOOKUP($S595,DOWN16,4,0),IF($T595=12,ROUND(VLOOKUP(OP!$C$55,_DIE2,$S595+1,0)*(Z595/10000),0)+IF(AND($P$7="購買增額繳清保險",T595=12,U595=110),VLOOKUP(S595,$B$10:$H$121,7,0),0),"")))</f>
        <v/>
      </c>
      <c r="AD595" s="347"/>
      <c r="AE595" s="350" t="str">
        <f t="shared" ca="1" si="421"/>
        <v/>
      </c>
      <c r="AF595" s="351" t="str">
        <f t="shared" ca="1" si="422"/>
        <v/>
      </c>
      <c r="AG595" s="340"/>
      <c r="AH595" s="340"/>
      <c r="AI595" s="340"/>
      <c r="AJ595" s="340"/>
      <c r="AK595" s="340"/>
      <c r="AL595" s="340"/>
      <c r="AM595" s="340"/>
      <c r="AN595" s="340"/>
      <c r="AO595" s="340"/>
      <c r="AP595" s="340"/>
      <c r="AQ595" s="340"/>
      <c r="AR595" s="340"/>
      <c r="AS595" s="340"/>
      <c r="AT595" s="340"/>
      <c r="AU595" s="340"/>
      <c r="AV595" s="340"/>
      <c r="AY595" s="340"/>
      <c r="AZ595" s="465">
        <f t="shared" ca="1" si="432"/>
        <v>7.3698599999999999E-5</v>
      </c>
      <c r="BA595" s="464">
        <f t="shared" ca="1" si="433"/>
        <v>2.1372602999999999E-3</v>
      </c>
      <c r="BB595" s="465">
        <f t="shared" ca="1" si="433"/>
        <v>2.2109589000000002E-3</v>
      </c>
      <c r="BC595" s="466">
        <f t="shared" ca="1" si="434"/>
        <v>60723</v>
      </c>
      <c r="BD595" s="467">
        <f t="shared" ca="1" si="447"/>
        <v>60724</v>
      </c>
      <c r="BE595" s="467">
        <f t="shared" ca="1" si="435"/>
        <v>60752</v>
      </c>
      <c r="BF595" s="468">
        <f ca="1">IF(計算!$BC595&lt;OP!$C$3,0,BD595-BC595)</f>
        <v>1</v>
      </c>
      <c r="BG595" s="468">
        <f ca="1">IF($BE595&gt;DATE(YEAR($BD$9)+OP!$C$57,MONTH($BD$9),DAY($BD$9)),0,$BE595-$BD595+1)</f>
        <v>29</v>
      </c>
      <c r="BH595" s="469">
        <f t="shared" ca="1" si="436"/>
        <v>30</v>
      </c>
      <c r="BI595" t="str">
        <f t="shared" si="418"/>
        <v/>
      </c>
      <c r="BJ595">
        <v>10</v>
      </c>
      <c r="BN595" s="468">
        <f t="shared" si="448"/>
        <v>49</v>
      </c>
      <c r="BO595" s="468">
        <f t="shared" si="449"/>
        <v>10</v>
      </c>
      <c r="BP595" s="467">
        <f t="shared" ca="1" si="437"/>
        <v>60724</v>
      </c>
      <c r="BQ595" s="475">
        <f t="shared" ca="1" si="451"/>
        <v>81</v>
      </c>
      <c r="BR595" s="475" t="str">
        <f t="shared" si="450"/>
        <v/>
      </c>
      <c r="BS595" s="471" t="str">
        <f t="shared" si="438"/>
        <v/>
      </c>
      <c r="BT595" s="472" t="str">
        <f t="shared" si="419"/>
        <v/>
      </c>
      <c r="BU595" s="472">
        <f t="shared" ca="1" si="439"/>
        <v>0</v>
      </c>
      <c r="BV595" s="472">
        <f t="shared" ca="1" si="439"/>
        <v>0</v>
      </c>
      <c r="BW595" s="472"/>
      <c r="BX595" s="473">
        <f t="shared" ca="1" si="440"/>
        <v>822580.47054354497</v>
      </c>
      <c r="BY595" s="473">
        <f t="shared" si="441"/>
        <v>0</v>
      </c>
      <c r="BZ595" s="473">
        <f t="shared" ca="1" si="423"/>
        <v>1818.6916123139999</v>
      </c>
      <c r="CA595" s="476">
        <f t="shared" ca="1" si="442"/>
        <v>0</v>
      </c>
      <c r="CB595" s="494">
        <f ca="1">IF(OR($Q594&lt;&gt;1,OP!$D$5+$BN595-1&lt;16,$BN595-1&lt;1),0,ROUND(ROUND(ROUND(((VLOOKUP($BN595-1,MORE_PV,5,0)/10000)*VLOOKUP($BN595,MORE_PV,$CB$5,0)),3)*VLOOKUP($BN595,more1,5,0),0)/$R594,0))</f>
        <v>0</v>
      </c>
      <c r="CC595" s="473">
        <f t="shared" ca="1" si="443"/>
        <v>0</v>
      </c>
      <c r="CD595" s="477"/>
    </row>
    <row r="596" spans="2:82" ht="16.5" hidden="1">
      <c r="B596" s="80"/>
      <c r="C596" s="80"/>
      <c r="D596" s="80"/>
      <c r="E596" s="80"/>
      <c r="F596" s="80"/>
      <c r="G596" s="80"/>
      <c r="H596" s="80"/>
      <c r="I596" s="80"/>
      <c r="J596" s="192">
        <f t="shared" si="424"/>
        <v>49</v>
      </c>
      <c r="K596" s="192">
        <f t="shared" si="425"/>
        <v>12</v>
      </c>
      <c r="L596" s="192">
        <f t="shared" si="420"/>
        <v>49</v>
      </c>
      <c r="M596" s="216">
        <f t="shared" ca="1" si="426"/>
        <v>843115</v>
      </c>
      <c r="N596" s="216"/>
      <c r="O596" s="216"/>
      <c r="P596" s="216"/>
      <c r="Q596" s="456">
        <f t="shared" ca="1" si="427"/>
        <v>1</v>
      </c>
      <c r="R596" s="450">
        <f t="shared" ca="1" si="428"/>
        <v>1</v>
      </c>
      <c r="S596" s="191">
        <f t="shared" si="429"/>
        <v>49</v>
      </c>
      <c r="T596" s="191">
        <f t="shared" si="430"/>
        <v>12</v>
      </c>
      <c r="U596" s="191">
        <f ca="1">OP!$D$5+$S596-1</f>
        <v>81</v>
      </c>
      <c r="V596" s="191">
        <f t="shared" si="431"/>
        <v>49</v>
      </c>
      <c r="W596" s="350">
        <f ca="1">IF(Q596&lt;&gt;1,0,VLOOKUP(OP!$C$55,PVFB,$S596+2,0))</f>
        <v>69847</v>
      </c>
      <c r="X596" s="473">
        <f t="shared" ca="1" si="444"/>
        <v>16772</v>
      </c>
      <c r="Y596" s="348">
        <f t="shared" ca="1" si="445"/>
        <v>0</v>
      </c>
      <c r="Z596" s="348">
        <f t="shared" ca="1" si="446"/>
        <v>8012</v>
      </c>
      <c r="AA596" s="348">
        <f ca="1">IF(Q596&lt;&gt;1,0,VLOOKUP(OP!$C$55,PVFB,$S596+2,0))</f>
        <v>69847</v>
      </c>
      <c r="AB596" s="488">
        <f ca="1">IF(AND(S596&lt;OP!$C$24,$U596&lt;15),0,IF(AND($U596&lt;15,$T596=12),ROUND(VLOOKUP($S596,DOWN16,5,0),3),IF($T596=12,ROUND(($Z596/10000)*$AA596,3)+IF(AND($P$7="購買增額繳清保險",T596=12,U596=110),VLOOKUP(S596,$B$10:$H$121,7,0),0),"")))</f>
        <v>55961.415999999997</v>
      </c>
      <c r="AC596" s="350">
        <f ca="1">IF(AND(S596&lt;OP!$C$24,$U596&lt;15),0,IF(AND($U596&lt;16,$T596=12),VLOOKUP($S596,DOWN16,4,0),IF($T596=12,ROUND(VLOOKUP(OP!$C$55,_DIE2,$S596+1,0)*(Z596/10000),0)+IF(AND($P$7="購買增額繳清保險",T596=12,U596=110),VLOOKUP(S596,$B$10:$H$121,7,0),0),"")))</f>
        <v>56244</v>
      </c>
      <c r="AD596" s="347"/>
      <c r="AE596" s="350" t="str">
        <f t="shared" ca="1" si="421"/>
        <v/>
      </c>
      <c r="AF596" s="351" t="str">
        <f t="shared" ca="1" si="422"/>
        <v/>
      </c>
      <c r="AG596" s="340"/>
      <c r="AH596" s="340"/>
      <c r="AI596" s="340"/>
      <c r="AJ596" s="340"/>
      <c r="AK596" s="340"/>
      <c r="AL596" s="340"/>
      <c r="AM596" s="340"/>
      <c r="AN596" s="340"/>
      <c r="AO596" s="340"/>
      <c r="AP596" s="340"/>
      <c r="AQ596" s="340"/>
      <c r="AR596" s="340"/>
      <c r="AS596" s="340"/>
      <c r="AT596" s="340"/>
      <c r="AU596" s="340"/>
      <c r="AV596" s="340"/>
      <c r="AY596" s="340"/>
      <c r="AZ596" s="465">
        <f t="shared" ca="1" si="432"/>
        <v>7.3698599999999999E-5</v>
      </c>
      <c r="BA596" s="464">
        <f t="shared" ca="1" si="433"/>
        <v>2.2109589000000002E-3</v>
      </c>
      <c r="BB596" s="465">
        <f t="shared" ca="1" si="433"/>
        <v>2.2846575E-3</v>
      </c>
      <c r="BC596" s="466">
        <f t="shared" ca="1" si="434"/>
        <v>60753</v>
      </c>
      <c r="BD596" s="467">
        <f t="shared" ca="1" si="447"/>
        <v>60754</v>
      </c>
      <c r="BE596" s="467">
        <f t="shared" ca="1" si="435"/>
        <v>60783</v>
      </c>
      <c r="BF596" s="468">
        <f ca="1">IF(計算!$BC596&lt;OP!$C$3,0,BD596-BC596)</f>
        <v>1</v>
      </c>
      <c r="BG596" s="468">
        <f ca="1">IF($BE596&gt;DATE(YEAR($BD$9)+OP!$C$57,MONTH($BD$9),DAY($BD$9)),0,$BE596-$BD596+1)</f>
        <v>30</v>
      </c>
      <c r="BH596" s="469">
        <f t="shared" ca="1" si="436"/>
        <v>31</v>
      </c>
      <c r="BI596" t="str">
        <f t="shared" si="418"/>
        <v/>
      </c>
      <c r="BJ596">
        <v>11</v>
      </c>
      <c r="BN596" s="468">
        <f t="shared" si="448"/>
        <v>49</v>
      </c>
      <c r="BO596" s="468">
        <f t="shared" si="449"/>
        <v>11</v>
      </c>
      <c r="BP596" s="467">
        <f t="shared" ca="1" si="437"/>
        <v>60754</v>
      </c>
      <c r="BQ596" s="475">
        <f t="shared" ca="1" si="451"/>
        <v>81</v>
      </c>
      <c r="BR596" s="475" t="str">
        <f t="shared" si="450"/>
        <v/>
      </c>
      <c r="BS596" s="471" t="str">
        <f t="shared" si="438"/>
        <v/>
      </c>
      <c r="BT596" s="472" t="str">
        <f t="shared" si="419"/>
        <v/>
      </c>
      <c r="BU596" s="472">
        <f t="shared" ca="1" si="439"/>
        <v>0</v>
      </c>
      <c r="BV596" s="472">
        <f t="shared" ca="1" si="439"/>
        <v>0</v>
      </c>
      <c r="BW596" s="472"/>
      <c r="BX596" s="473">
        <f t="shared" ca="1" si="440"/>
        <v>824399.16215585906</v>
      </c>
      <c r="BY596" s="473">
        <f t="shared" si="441"/>
        <v>0</v>
      </c>
      <c r="BZ596" s="473">
        <f t="shared" ca="1" si="423"/>
        <v>1883.4697288130001</v>
      </c>
      <c r="CA596" s="476">
        <f t="shared" ca="1" si="442"/>
        <v>0</v>
      </c>
      <c r="CB596" s="494">
        <f ca="1">IF(OR($Q595&lt;&gt;1,OP!$D$5+$BN596-1&lt;16,$BN596-1&lt;1),0,ROUND(ROUND(ROUND(((VLOOKUP($BN596-1,MORE_PV,5,0)/10000)*VLOOKUP($BN596,MORE_PV,$CB$5,0)),3)*VLOOKUP($BN596,more1,5,0),0)/$R595,0))</f>
        <v>0</v>
      </c>
      <c r="CC596" s="473">
        <f t="shared" ca="1" si="443"/>
        <v>0</v>
      </c>
      <c r="CD596" s="477"/>
    </row>
    <row r="597" spans="2:82" ht="16.5" hidden="1">
      <c r="B597" s="80"/>
      <c r="C597" s="80"/>
      <c r="D597" s="80"/>
      <c r="E597" s="80"/>
      <c r="F597" s="80"/>
      <c r="G597" s="80"/>
      <c r="H597" s="80"/>
      <c r="I597" s="80"/>
      <c r="J597" s="192">
        <f t="shared" si="424"/>
        <v>50</v>
      </c>
      <c r="K597" s="192">
        <f t="shared" si="425"/>
        <v>1</v>
      </c>
      <c r="L597" s="192" t="str">
        <f t="shared" si="420"/>
        <v/>
      </c>
      <c r="M597" s="216">
        <f t="shared" ca="1" si="426"/>
        <v>0</v>
      </c>
      <c r="N597" s="216"/>
      <c r="O597" s="216"/>
      <c r="P597" s="216"/>
      <c r="Q597" s="456" t="str">
        <f t="shared" ca="1" si="427"/>
        <v/>
      </c>
      <c r="R597" s="450">
        <f t="shared" ca="1" si="428"/>
        <v>1</v>
      </c>
      <c r="S597" s="191">
        <f t="shared" si="429"/>
        <v>50</v>
      </c>
      <c r="T597" s="191">
        <f t="shared" si="430"/>
        <v>1</v>
      </c>
      <c r="U597" s="191">
        <f ca="1">OP!$D$5+$S597-1</f>
        <v>82</v>
      </c>
      <c r="V597" s="191" t="str">
        <f t="shared" si="431"/>
        <v/>
      </c>
      <c r="W597" s="350">
        <f ca="1">IF(Q597&lt;&gt;1,0,VLOOKUP(OP!$C$55,PVFB,$S597+2,0))</f>
        <v>0</v>
      </c>
      <c r="X597" s="473">
        <f t="shared" ca="1" si="444"/>
        <v>0</v>
      </c>
      <c r="Y597" s="348">
        <f t="shared" ca="1" si="445"/>
        <v>0</v>
      </c>
      <c r="Z597" s="348">
        <f t="shared" ca="1" si="446"/>
        <v>8012</v>
      </c>
      <c r="AA597" s="348">
        <f ca="1">IF(Q597&lt;&gt;1,0,VLOOKUP(OP!$C$55,PVFB,$S597+2,0))</f>
        <v>0</v>
      </c>
      <c r="AB597" s="488" t="str">
        <f ca="1">IF(AND(S597&lt;OP!$C$24,$U597&lt;15),0,IF(AND($U597&lt;15,$T597=12),ROUND(VLOOKUP($S597,DOWN16,5,0),3),IF($T597=12,ROUND(($Z597/10000)*$AA597,3)+IF(AND($P$7="購買增額繳清保險",T597=12,U597=110),VLOOKUP(S597,$B$10:$H$121,7,0),0),"")))</f>
        <v/>
      </c>
      <c r="AC597" s="350" t="str">
        <f ca="1">IF(AND(S597&lt;OP!$C$24,$U597&lt;15),0,IF(AND($U597&lt;16,$T597=12),VLOOKUP($S597,DOWN16,4,0),IF($T597=12,ROUND(VLOOKUP(OP!$C$55,_DIE2,$S597+1,0)*(Z597/10000),0)+IF(AND($P$7="購買增額繳清保險",T597=12,U597=110),VLOOKUP(S597,$B$10:$H$121,7,0),0),"")))</f>
        <v/>
      </c>
      <c r="AD597" s="347"/>
      <c r="AE597" s="350" t="str">
        <f t="shared" ca="1" si="421"/>
        <v/>
      </c>
      <c r="AF597" s="351" t="str">
        <f t="shared" ca="1" si="422"/>
        <v/>
      </c>
      <c r="AG597" s="340"/>
      <c r="AH597" s="340"/>
      <c r="AI597" s="340"/>
      <c r="AJ597" s="340"/>
      <c r="AK597" s="340"/>
      <c r="AL597" s="340"/>
      <c r="AM597" s="340"/>
      <c r="AN597" s="340"/>
      <c r="AO597" s="340"/>
      <c r="AP597" s="340"/>
      <c r="AQ597" s="340"/>
      <c r="AR597" s="340"/>
      <c r="AS597" s="340"/>
      <c r="AT597" s="340"/>
      <c r="AU597" s="340"/>
      <c r="AV597" s="340"/>
      <c r="AY597" s="340"/>
      <c r="AZ597" s="465">
        <f t="shared" ca="1" si="432"/>
        <v>7.3698599999999999E-5</v>
      </c>
      <c r="BA597" s="464">
        <f t="shared" ca="1" si="433"/>
        <v>2.1372602999999999E-3</v>
      </c>
      <c r="BB597" s="465">
        <f t="shared" ca="1" si="433"/>
        <v>2.2109589000000002E-3</v>
      </c>
      <c r="BC597" s="466">
        <f t="shared" ca="1" si="434"/>
        <v>60784</v>
      </c>
      <c r="BD597" s="467">
        <f t="shared" ca="1" si="447"/>
        <v>60785</v>
      </c>
      <c r="BE597" s="467">
        <f t="shared" ca="1" si="435"/>
        <v>60813</v>
      </c>
      <c r="BF597" s="468">
        <f ca="1">IF(計算!$BC597&lt;OP!$C$3,0,BD597-BC597)</f>
        <v>1</v>
      </c>
      <c r="BG597" s="468">
        <f ca="1">IF($BE597&gt;DATE(YEAR($BD$9)+OP!$C$57,MONTH($BD$9),DAY($BD$9)),0,$BE597-$BD597+1)</f>
        <v>29</v>
      </c>
      <c r="BH597" s="469">
        <f t="shared" ca="1" si="436"/>
        <v>30</v>
      </c>
      <c r="BI597">
        <f t="shared" ref="BI597:BI660" ca="1" si="452">IF(BJ597=12,BD597-BD585,"")</f>
        <v>365</v>
      </c>
      <c r="BJ597">
        <v>12</v>
      </c>
      <c r="BN597" s="468">
        <f t="shared" si="448"/>
        <v>49</v>
      </c>
      <c r="BO597" s="468">
        <f t="shared" si="449"/>
        <v>12</v>
      </c>
      <c r="BP597" s="467">
        <f t="shared" ca="1" si="437"/>
        <v>60785</v>
      </c>
      <c r="BQ597" s="475">
        <f t="shared" ca="1" si="451"/>
        <v>81</v>
      </c>
      <c r="BR597" s="475">
        <f t="shared" si="450"/>
        <v>49</v>
      </c>
      <c r="BS597" s="471">
        <f t="shared" ca="1" si="438"/>
        <v>16772</v>
      </c>
      <c r="BT597" s="472">
        <f t="shared" ca="1" si="419"/>
        <v>843115</v>
      </c>
      <c r="BU597" s="472">
        <f t="shared" ca="1" si="439"/>
        <v>16386</v>
      </c>
      <c r="BV597" s="472">
        <f t="shared" ca="1" si="439"/>
        <v>386</v>
      </c>
      <c r="BW597" s="472">
        <f ca="1">ROUND(SUM(BY597,BZ585:BZ596),0)</f>
        <v>21908</v>
      </c>
      <c r="BX597" s="473">
        <f t="shared" ca="1" si="440"/>
        <v>843115.52775784605</v>
      </c>
      <c r="BY597" s="473">
        <f t="shared" ca="1" si="441"/>
        <v>60.895873174000002</v>
      </c>
      <c r="BZ597" s="473">
        <f t="shared" ca="1" si="423"/>
        <v>1801.9573457900001</v>
      </c>
      <c r="CA597" s="476">
        <f t="shared" ca="1" si="442"/>
        <v>16386</v>
      </c>
      <c r="CB597" s="494">
        <f ca="1">IF(OR($Q596&lt;&gt;1,OP!$D$5+$BN597-1&lt;16,$BN597-1&lt;1),0,ROUND(ROUND(ROUND(((VLOOKUP($BN597-1,MORE_PV,5,0)/10000)*VLOOKUP($BN597,MORE_PV,$CB$5,0)),3)*VLOOKUP($BN597,more1,5,0),0)/$R596,0))</f>
        <v>386</v>
      </c>
      <c r="CC597" s="473">
        <f t="shared" ca="1" si="443"/>
        <v>0</v>
      </c>
      <c r="CD597" s="477"/>
    </row>
    <row r="598" spans="2:82" ht="16.5" hidden="1">
      <c r="B598" s="80"/>
      <c r="C598" s="80"/>
      <c r="D598" s="80"/>
      <c r="E598" s="80"/>
      <c r="F598" s="80"/>
      <c r="G598" s="80"/>
      <c r="H598" s="80"/>
      <c r="I598" s="80"/>
      <c r="J598" s="192">
        <f t="shared" si="424"/>
        <v>50</v>
      </c>
      <c r="K598" s="192">
        <f t="shared" si="425"/>
        <v>2</v>
      </c>
      <c r="L598" s="192" t="str">
        <f t="shared" si="420"/>
        <v/>
      </c>
      <c r="M598" s="216">
        <f t="shared" ca="1" si="426"/>
        <v>0</v>
      </c>
      <c r="N598" s="216"/>
      <c r="O598" s="216"/>
      <c r="P598" s="216"/>
      <c r="Q598" s="456" t="str">
        <f t="shared" ca="1" si="427"/>
        <v/>
      </c>
      <c r="R598" s="450">
        <f t="shared" ca="1" si="428"/>
        <v>1</v>
      </c>
      <c r="S598" s="191">
        <f t="shared" si="429"/>
        <v>50</v>
      </c>
      <c r="T598" s="191">
        <f t="shared" si="430"/>
        <v>2</v>
      </c>
      <c r="U598" s="191">
        <f ca="1">OP!$D$5+$S598-1</f>
        <v>82</v>
      </c>
      <c r="V598" s="191" t="str">
        <f t="shared" si="431"/>
        <v/>
      </c>
      <c r="W598" s="350">
        <f ca="1">IF(Q598&lt;&gt;1,0,VLOOKUP(OP!$C$55,PVFB,$S598+2,0))</f>
        <v>0</v>
      </c>
      <c r="X598" s="473">
        <f t="shared" ca="1" si="444"/>
        <v>0</v>
      </c>
      <c r="Y598" s="348">
        <f t="shared" ca="1" si="445"/>
        <v>0</v>
      </c>
      <c r="Z598" s="348">
        <f t="shared" ca="1" si="446"/>
        <v>8012</v>
      </c>
      <c r="AA598" s="348">
        <f ca="1">IF(Q598&lt;&gt;1,0,VLOOKUP(OP!$C$55,PVFB,$S598+2,0))</f>
        <v>0</v>
      </c>
      <c r="AB598" s="488" t="str">
        <f ca="1">IF(AND(S598&lt;OP!$C$24,$U598&lt;15),0,IF(AND($U598&lt;15,$T598=12),ROUND(VLOOKUP($S598,DOWN16,5,0),3),IF($T598=12,ROUND(($Z598/10000)*$AA598,3)+IF(AND($P$7="購買增額繳清保險",T598=12,U598=110),VLOOKUP(S598,$B$10:$H$121,7,0),0),"")))</f>
        <v/>
      </c>
      <c r="AC598" s="350" t="str">
        <f ca="1">IF(AND(S598&lt;OP!$C$24,$U598&lt;15),0,IF(AND($U598&lt;16,$T598=12),VLOOKUP($S598,DOWN16,4,0),IF($T598=12,ROUND(VLOOKUP(OP!$C$55,_DIE2,$S598+1,0)*(Z598/10000),0)+IF(AND($P$7="購買增額繳清保險",T598=12,U598=110),VLOOKUP(S598,$B$10:$H$121,7,0),0),"")))</f>
        <v/>
      </c>
      <c r="AD598" s="347"/>
      <c r="AE598" s="350" t="str">
        <f t="shared" ca="1" si="421"/>
        <v/>
      </c>
      <c r="AF598" s="351" t="str">
        <f t="shared" ca="1" si="422"/>
        <v/>
      </c>
      <c r="AG598" s="340"/>
      <c r="AH598" s="340"/>
      <c r="AI598" s="340"/>
      <c r="AJ598" s="340"/>
      <c r="AK598" s="340"/>
      <c r="AL598" s="340"/>
      <c r="AM598" s="340"/>
      <c r="AN598" s="340"/>
      <c r="AO598" s="340"/>
      <c r="AP598" s="340"/>
      <c r="AQ598" s="340"/>
      <c r="AR598" s="340"/>
      <c r="AS598" s="340"/>
      <c r="AT598" s="340"/>
      <c r="AU598" s="340"/>
      <c r="AV598" s="340"/>
      <c r="AY598" s="340"/>
      <c r="AZ598" s="465">
        <f t="shared" ca="1" si="432"/>
        <v>7.3698599999999999E-5</v>
      </c>
      <c r="BA598" s="464">
        <f t="shared" ca="1" si="433"/>
        <v>2.2109589000000002E-3</v>
      </c>
      <c r="BB598" s="465">
        <f t="shared" ca="1" si="433"/>
        <v>2.2846575E-3</v>
      </c>
      <c r="BC598" s="466">
        <f t="shared" ca="1" si="434"/>
        <v>60814</v>
      </c>
      <c r="BD598" s="467">
        <f t="shared" ca="1" si="447"/>
        <v>60815</v>
      </c>
      <c r="BE598" s="467">
        <f t="shared" ca="1" si="435"/>
        <v>60844</v>
      </c>
      <c r="BF598" s="468">
        <f ca="1">IF(計算!$BC598&lt;OP!$C$3,0,BD598-BC598)</f>
        <v>1</v>
      </c>
      <c r="BG598" s="468">
        <f ca="1">IF($BE598&gt;DATE(YEAR($BD$9)+OP!$C$57,MONTH($BD$9),DAY($BD$9)),0,$BE598-$BD598+1)</f>
        <v>30</v>
      </c>
      <c r="BH598" s="469">
        <f t="shared" ca="1" si="436"/>
        <v>31</v>
      </c>
      <c r="BI598" t="str">
        <f t="shared" si="452"/>
        <v/>
      </c>
      <c r="BJ598">
        <v>1</v>
      </c>
      <c r="BN598" s="468">
        <f t="shared" si="448"/>
        <v>50</v>
      </c>
      <c r="BO598" s="468">
        <f t="shared" si="449"/>
        <v>1</v>
      </c>
      <c r="BP598" s="467">
        <f t="shared" ca="1" si="437"/>
        <v>60815</v>
      </c>
      <c r="BQ598" s="475">
        <f t="shared" ca="1" si="451"/>
        <v>82</v>
      </c>
      <c r="BR598" s="475" t="str">
        <f t="shared" si="450"/>
        <v/>
      </c>
      <c r="BS598" s="471" t="str">
        <f t="shared" si="438"/>
        <v/>
      </c>
      <c r="BT598" s="472" t="str">
        <f t="shared" ref="BT598:BT661" si="453">IF(BW598&lt;&gt;"",IF(BN598&gt;=$P$4+1,ROUND(BU598,0)+ROUND(BV598,0)+ROUND(BW598,0)+BT586,0),"")</f>
        <v/>
      </c>
      <c r="BU598" s="472">
        <f t="shared" ca="1" si="439"/>
        <v>0</v>
      </c>
      <c r="BV598" s="472">
        <f t="shared" ca="1" si="439"/>
        <v>0</v>
      </c>
      <c r="BW598" s="472"/>
      <c r="BX598" s="473">
        <f t="shared" ca="1" si="440"/>
        <v>844917.48510363605</v>
      </c>
      <c r="BY598" s="473">
        <f t="shared" si="441"/>
        <v>0</v>
      </c>
      <c r="BZ598" s="473">
        <f t="shared" ca="1" si="423"/>
        <v>1930.3470692230001</v>
      </c>
      <c r="CA598" s="476">
        <f t="shared" ca="1" si="442"/>
        <v>0</v>
      </c>
      <c r="CB598" s="494">
        <f ca="1">IF(OR($Q597&lt;&gt;1,OP!$D$5+$BN598-1&lt;16,$BN598-1&lt;1),0,ROUND(ROUND(ROUND(((VLOOKUP($BN598-1,MORE_PV,5,0)/10000)*VLOOKUP($BN598,MORE_PV,$CB$5,0)),3)*VLOOKUP($BN598,more1,5,0),0)/$R597,0))</f>
        <v>0</v>
      </c>
      <c r="CC598" s="473">
        <f t="shared" ca="1" si="443"/>
        <v>0</v>
      </c>
      <c r="CD598" s="477"/>
    </row>
    <row r="599" spans="2:82" ht="16.5" hidden="1">
      <c r="B599" s="80"/>
      <c r="C599" s="80"/>
      <c r="D599" s="80"/>
      <c r="E599" s="80"/>
      <c r="F599" s="80"/>
      <c r="G599" s="80"/>
      <c r="H599" s="80"/>
      <c r="I599" s="80"/>
      <c r="J599" s="192">
        <f t="shared" si="424"/>
        <v>50</v>
      </c>
      <c r="K599" s="192">
        <f t="shared" si="425"/>
        <v>3</v>
      </c>
      <c r="L599" s="192" t="str">
        <f t="shared" si="420"/>
        <v/>
      </c>
      <c r="M599" s="216">
        <f t="shared" ca="1" si="426"/>
        <v>0</v>
      </c>
      <c r="N599" s="216"/>
      <c r="O599" s="216"/>
      <c r="P599" s="216"/>
      <c r="Q599" s="456" t="str">
        <f t="shared" ca="1" si="427"/>
        <v/>
      </c>
      <c r="R599" s="450">
        <f t="shared" ca="1" si="428"/>
        <v>1</v>
      </c>
      <c r="S599" s="191">
        <f t="shared" si="429"/>
        <v>50</v>
      </c>
      <c r="T599" s="191">
        <f t="shared" si="430"/>
        <v>3</v>
      </c>
      <c r="U599" s="191">
        <f ca="1">OP!$D$5+$S599-1</f>
        <v>82</v>
      </c>
      <c r="V599" s="191" t="str">
        <f t="shared" si="431"/>
        <v/>
      </c>
      <c r="W599" s="350">
        <f ca="1">IF(Q599&lt;&gt;1,0,VLOOKUP(OP!$C$55,PVFB,$S599+2,0))</f>
        <v>0</v>
      </c>
      <c r="X599" s="473">
        <f t="shared" ca="1" si="444"/>
        <v>0</v>
      </c>
      <c r="Y599" s="348">
        <f t="shared" ca="1" si="445"/>
        <v>0</v>
      </c>
      <c r="Z599" s="348">
        <f t="shared" ca="1" si="446"/>
        <v>8012</v>
      </c>
      <c r="AA599" s="348">
        <f ca="1">IF(Q599&lt;&gt;1,0,VLOOKUP(OP!$C$55,PVFB,$S599+2,0))</f>
        <v>0</v>
      </c>
      <c r="AB599" s="488" t="str">
        <f ca="1">IF(AND(S599&lt;OP!$C$24,$U599&lt;15),0,IF(AND($U599&lt;15,$T599=12),ROUND(VLOOKUP($S599,DOWN16,5,0),3),IF($T599=12,ROUND(($Z599/10000)*$AA599,3)+IF(AND($P$7="購買增額繳清保險",T599=12,U599=110),VLOOKUP(S599,$B$10:$H$121,7,0),0),"")))</f>
        <v/>
      </c>
      <c r="AC599" s="350" t="str">
        <f ca="1">IF(AND(S599&lt;OP!$C$24,$U599&lt;15),0,IF(AND($U599&lt;16,$T599=12),VLOOKUP($S599,DOWN16,4,0),IF($T599=12,ROUND(VLOOKUP(OP!$C$55,_DIE2,$S599+1,0)*(Z599/10000),0)+IF(AND($P$7="購買增額繳清保險",T599=12,U599=110),VLOOKUP(S599,$B$10:$H$121,7,0),0),"")))</f>
        <v/>
      </c>
      <c r="AD599" s="347"/>
      <c r="AE599" s="350" t="str">
        <f t="shared" ca="1" si="421"/>
        <v/>
      </c>
      <c r="AF599" s="351" t="str">
        <f t="shared" ca="1" si="422"/>
        <v/>
      </c>
      <c r="AG599" s="340"/>
      <c r="AH599" s="340"/>
      <c r="AI599" s="340"/>
      <c r="AJ599" s="340"/>
      <c r="AK599" s="340"/>
      <c r="AL599" s="340"/>
      <c r="AM599" s="340"/>
      <c r="AN599" s="340"/>
      <c r="AO599" s="340"/>
      <c r="AP599" s="340"/>
      <c r="AQ599" s="340"/>
      <c r="AR599" s="340"/>
      <c r="AS599" s="340"/>
      <c r="AT599" s="340"/>
      <c r="AU599" s="340"/>
      <c r="AV599" s="340"/>
      <c r="AY599" s="340"/>
      <c r="AZ599" s="465">
        <f t="shared" ca="1" si="432"/>
        <v>7.3698599999999999E-5</v>
      </c>
      <c r="BA599" s="464">
        <f t="shared" ca="1" si="433"/>
        <v>2.2109589000000002E-3</v>
      </c>
      <c r="BB599" s="465">
        <f t="shared" ca="1" si="433"/>
        <v>2.2846575E-3</v>
      </c>
      <c r="BC599" s="466">
        <f t="shared" ca="1" si="434"/>
        <v>60845</v>
      </c>
      <c r="BD599" s="467">
        <f t="shared" ca="1" si="447"/>
        <v>60846</v>
      </c>
      <c r="BE599" s="467">
        <f t="shared" ca="1" si="435"/>
        <v>60875</v>
      </c>
      <c r="BF599" s="468">
        <f ca="1">IF(計算!$BC599&lt;OP!$C$3,0,BD599-BC599)</f>
        <v>1</v>
      </c>
      <c r="BG599" s="468">
        <f ca="1">IF($BE599&gt;DATE(YEAR($BD$9)+OP!$C$57,MONTH($BD$9),DAY($BD$9)),0,$BE599-$BD599+1)</f>
        <v>30</v>
      </c>
      <c r="BH599" s="469">
        <f t="shared" ca="1" si="436"/>
        <v>31</v>
      </c>
      <c r="BI599" t="str">
        <f t="shared" si="452"/>
        <v/>
      </c>
      <c r="BJ599">
        <v>2</v>
      </c>
      <c r="BN599" s="468">
        <f t="shared" si="448"/>
        <v>50</v>
      </c>
      <c r="BO599" s="468">
        <f t="shared" si="449"/>
        <v>2</v>
      </c>
      <c r="BP599" s="467">
        <f t="shared" ca="1" si="437"/>
        <v>60846</v>
      </c>
      <c r="BQ599" s="475">
        <f t="shared" ca="1" si="451"/>
        <v>82</v>
      </c>
      <c r="BR599" s="475" t="str">
        <f t="shared" si="450"/>
        <v/>
      </c>
      <c r="BS599" s="471" t="str">
        <f t="shared" si="438"/>
        <v/>
      </c>
      <c r="BT599" s="472" t="str">
        <f t="shared" si="453"/>
        <v/>
      </c>
      <c r="BU599" s="472">
        <f t="shared" ca="1" si="439"/>
        <v>0</v>
      </c>
      <c r="BV599" s="472">
        <f t="shared" ca="1" si="439"/>
        <v>0</v>
      </c>
      <c r="BW599" s="472"/>
      <c r="BX599" s="473">
        <f t="shared" ca="1" si="440"/>
        <v>846847.83217285899</v>
      </c>
      <c r="BY599" s="473">
        <f t="shared" si="441"/>
        <v>0</v>
      </c>
      <c r="BZ599" s="473">
        <f t="shared" ca="1" si="423"/>
        <v>1934.757251132</v>
      </c>
      <c r="CA599" s="476">
        <f t="shared" ca="1" si="442"/>
        <v>0</v>
      </c>
      <c r="CB599" s="494">
        <f ca="1">IF(OR($Q598&lt;&gt;1,OP!$D$5+$BN599-1&lt;16,$BN599-1&lt;1),0,ROUND(ROUND(ROUND(((VLOOKUP($BN599-1,MORE_PV,5,0)/10000)*VLOOKUP($BN599,MORE_PV,$CB$5,0)),3)*VLOOKUP($BN599,more1,5,0),0)/$R598,0))</f>
        <v>0</v>
      </c>
      <c r="CC599" s="473">
        <f t="shared" ca="1" si="443"/>
        <v>0</v>
      </c>
      <c r="CD599" s="477"/>
    </row>
    <row r="600" spans="2:82" ht="16.5" hidden="1">
      <c r="B600" s="80"/>
      <c r="C600" s="80"/>
      <c r="D600" s="80"/>
      <c r="E600" s="80"/>
      <c r="F600" s="80"/>
      <c r="G600" s="80"/>
      <c r="H600" s="80"/>
      <c r="I600" s="80"/>
      <c r="J600" s="192">
        <f t="shared" si="424"/>
        <v>50</v>
      </c>
      <c r="K600" s="192">
        <f t="shared" si="425"/>
        <v>4</v>
      </c>
      <c r="L600" s="192" t="str">
        <f t="shared" si="420"/>
        <v/>
      </c>
      <c r="M600" s="216">
        <f t="shared" ca="1" si="426"/>
        <v>0</v>
      </c>
      <c r="N600" s="216"/>
      <c r="O600" s="216"/>
      <c r="P600" s="216"/>
      <c r="Q600" s="456" t="str">
        <f t="shared" ca="1" si="427"/>
        <v/>
      </c>
      <c r="R600" s="450">
        <f t="shared" ca="1" si="428"/>
        <v>1</v>
      </c>
      <c r="S600" s="191">
        <f t="shared" si="429"/>
        <v>50</v>
      </c>
      <c r="T600" s="191">
        <f t="shared" si="430"/>
        <v>4</v>
      </c>
      <c r="U600" s="191">
        <f ca="1">OP!$D$5+$S600-1</f>
        <v>82</v>
      </c>
      <c r="V600" s="191" t="str">
        <f t="shared" si="431"/>
        <v/>
      </c>
      <c r="W600" s="350">
        <f ca="1">IF(Q600&lt;&gt;1,0,VLOOKUP(OP!$C$55,PVFB,$S600+2,0))</f>
        <v>0</v>
      </c>
      <c r="X600" s="473">
        <f t="shared" ca="1" si="444"/>
        <v>0</v>
      </c>
      <c r="Y600" s="348">
        <f t="shared" ca="1" si="445"/>
        <v>0</v>
      </c>
      <c r="Z600" s="348">
        <f t="shared" ca="1" si="446"/>
        <v>8012</v>
      </c>
      <c r="AA600" s="348">
        <f ca="1">IF(Q600&lt;&gt;1,0,VLOOKUP(OP!$C$55,PVFB,$S600+2,0))</f>
        <v>0</v>
      </c>
      <c r="AB600" s="488" t="str">
        <f ca="1">IF(AND(S600&lt;OP!$C$24,$U600&lt;15),0,IF(AND($U600&lt;15,$T600=12),ROUND(VLOOKUP($S600,DOWN16,5,0),3),IF($T600=12,ROUND(($Z600/10000)*$AA600,3)+IF(AND($P$7="購買增額繳清保險",T600=12,U600=110),VLOOKUP(S600,$B$10:$H$121,7,0),0),"")))</f>
        <v/>
      </c>
      <c r="AC600" s="350" t="str">
        <f ca="1">IF(AND(S600&lt;OP!$C$24,$U600&lt;15),0,IF(AND($U600&lt;16,$T600=12),VLOOKUP($S600,DOWN16,4,0),IF($T600=12,ROUND(VLOOKUP(OP!$C$55,_DIE2,$S600+1,0)*(Z600/10000),0)+IF(AND($P$7="購買增額繳清保險",T600=12,U600=110),VLOOKUP(S600,$B$10:$H$121,7,0),0),"")))</f>
        <v/>
      </c>
      <c r="AD600" s="347"/>
      <c r="AE600" s="350" t="str">
        <f t="shared" ca="1" si="421"/>
        <v/>
      </c>
      <c r="AF600" s="351" t="str">
        <f t="shared" ca="1" si="422"/>
        <v/>
      </c>
      <c r="AG600" s="340"/>
      <c r="AH600" s="340"/>
      <c r="AI600" s="340"/>
      <c r="AJ600" s="340"/>
      <c r="AK600" s="340"/>
      <c r="AL600" s="340"/>
      <c r="AM600" s="340"/>
      <c r="AN600" s="340"/>
      <c r="AO600" s="340"/>
      <c r="AP600" s="340"/>
      <c r="AQ600" s="340"/>
      <c r="AR600" s="340"/>
      <c r="AS600" s="340"/>
      <c r="AT600" s="340"/>
      <c r="AU600" s="340"/>
      <c r="AV600" s="340"/>
      <c r="AY600" s="340"/>
      <c r="AZ600" s="465">
        <f t="shared" ca="1" si="432"/>
        <v>7.3698599999999999E-5</v>
      </c>
      <c r="BA600" s="464">
        <f t="shared" ca="1" si="433"/>
        <v>2.1372602999999999E-3</v>
      </c>
      <c r="BB600" s="465">
        <f t="shared" ca="1" si="433"/>
        <v>2.2109589000000002E-3</v>
      </c>
      <c r="BC600" s="466">
        <f t="shared" ca="1" si="434"/>
        <v>60876</v>
      </c>
      <c r="BD600" s="467">
        <f t="shared" ca="1" si="447"/>
        <v>60877</v>
      </c>
      <c r="BE600" s="467">
        <f t="shared" ca="1" si="435"/>
        <v>60905</v>
      </c>
      <c r="BF600" s="468">
        <f ca="1">IF(計算!$BC600&lt;OP!$C$3,0,BD600-BC600)</f>
        <v>1</v>
      </c>
      <c r="BG600" s="468">
        <f ca="1">IF($BE600&gt;DATE(YEAR($BD$9)+OP!$C$57,MONTH($BD$9),DAY($BD$9)),0,$BE600-$BD600+1)</f>
        <v>29</v>
      </c>
      <c r="BH600" s="469">
        <f t="shared" ca="1" si="436"/>
        <v>30</v>
      </c>
      <c r="BI600" t="str">
        <f t="shared" si="452"/>
        <v/>
      </c>
      <c r="BJ600">
        <v>3</v>
      </c>
      <c r="BN600" s="468">
        <f t="shared" si="448"/>
        <v>50</v>
      </c>
      <c r="BO600" s="468">
        <f t="shared" si="449"/>
        <v>3</v>
      </c>
      <c r="BP600" s="467">
        <f t="shared" ca="1" si="437"/>
        <v>60877</v>
      </c>
      <c r="BQ600" s="475">
        <f t="shared" ca="1" si="451"/>
        <v>82</v>
      </c>
      <c r="BR600" s="475" t="str">
        <f t="shared" si="450"/>
        <v/>
      </c>
      <c r="BS600" s="471" t="str">
        <f t="shared" si="438"/>
        <v/>
      </c>
      <c r="BT600" s="472" t="str">
        <f t="shared" si="453"/>
        <v/>
      </c>
      <c r="BU600" s="472">
        <f t="shared" ca="1" si="439"/>
        <v>0</v>
      </c>
      <c r="BV600" s="472">
        <f t="shared" ca="1" si="439"/>
        <v>0</v>
      </c>
      <c r="BW600" s="472"/>
      <c r="BX600" s="473">
        <f t="shared" ca="1" si="440"/>
        <v>848782.58942399104</v>
      </c>
      <c r="BY600" s="473">
        <f t="shared" si="441"/>
        <v>0</v>
      </c>
      <c r="BZ600" s="473">
        <f t="shared" ca="1" si="423"/>
        <v>1876.623420252</v>
      </c>
      <c r="CA600" s="476">
        <f t="shared" ca="1" si="442"/>
        <v>0</v>
      </c>
      <c r="CB600" s="494">
        <f ca="1">IF(OR($Q599&lt;&gt;1,OP!$D$5+$BN600-1&lt;16,$BN600-1&lt;1),0,ROUND(ROUND(ROUND(((VLOOKUP($BN600-1,MORE_PV,5,0)/10000)*VLOOKUP($BN600,MORE_PV,$CB$5,0)),3)*VLOOKUP($BN600,more1,5,0),0)/$R599,0))</f>
        <v>0</v>
      </c>
      <c r="CC600" s="473">
        <f t="shared" ca="1" si="443"/>
        <v>0</v>
      </c>
      <c r="CD600" s="477"/>
    </row>
    <row r="601" spans="2:82" ht="16.5" hidden="1">
      <c r="B601" s="80"/>
      <c r="C601" s="80"/>
      <c r="D601" s="80"/>
      <c r="E601" s="80"/>
      <c r="F601" s="80"/>
      <c r="G601" s="80"/>
      <c r="H601" s="80"/>
      <c r="I601" s="80"/>
      <c r="J601" s="192">
        <f t="shared" si="424"/>
        <v>50</v>
      </c>
      <c r="K601" s="192">
        <f t="shared" si="425"/>
        <v>5</v>
      </c>
      <c r="L601" s="192" t="str">
        <f t="shared" si="420"/>
        <v/>
      </c>
      <c r="M601" s="216">
        <f t="shared" ca="1" si="426"/>
        <v>0</v>
      </c>
      <c r="N601" s="216"/>
      <c r="O601" s="216"/>
      <c r="P601" s="216"/>
      <c r="Q601" s="456" t="str">
        <f t="shared" ca="1" si="427"/>
        <v/>
      </c>
      <c r="R601" s="450">
        <f t="shared" ca="1" si="428"/>
        <v>1</v>
      </c>
      <c r="S601" s="191">
        <f t="shared" si="429"/>
        <v>50</v>
      </c>
      <c r="T601" s="191">
        <f t="shared" si="430"/>
        <v>5</v>
      </c>
      <c r="U601" s="191">
        <f ca="1">OP!$D$5+$S601-1</f>
        <v>82</v>
      </c>
      <c r="V601" s="191" t="str">
        <f t="shared" si="431"/>
        <v/>
      </c>
      <c r="W601" s="350">
        <f ca="1">IF(Q601&lt;&gt;1,0,VLOOKUP(OP!$C$55,PVFB,$S601+2,0))</f>
        <v>0</v>
      </c>
      <c r="X601" s="473">
        <f t="shared" ca="1" si="444"/>
        <v>0</v>
      </c>
      <c r="Y601" s="348">
        <f t="shared" ca="1" si="445"/>
        <v>0</v>
      </c>
      <c r="Z601" s="348">
        <f t="shared" ca="1" si="446"/>
        <v>8012</v>
      </c>
      <c r="AA601" s="348">
        <f ca="1">IF(Q601&lt;&gt;1,0,VLOOKUP(OP!$C$55,PVFB,$S601+2,0))</f>
        <v>0</v>
      </c>
      <c r="AB601" s="488" t="str">
        <f ca="1">IF(AND(S601&lt;OP!$C$24,$U601&lt;15),0,IF(AND($U601&lt;15,$T601=12),ROUND(VLOOKUP($S601,DOWN16,5,0),3),IF($T601=12,ROUND(($Z601/10000)*$AA601,3)+IF(AND($P$7="購買增額繳清保險",T601=12,U601=110),VLOOKUP(S601,$B$10:$H$121,7,0),0),"")))</f>
        <v/>
      </c>
      <c r="AC601" s="350" t="str">
        <f ca="1">IF(AND(S601&lt;OP!$C$24,$U601&lt;15),0,IF(AND($U601&lt;16,$T601=12),VLOOKUP($S601,DOWN16,4,0),IF($T601=12,ROUND(VLOOKUP(OP!$C$55,_DIE2,$S601+1,0)*(Z601/10000),0)+IF(AND($P$7="購買增額繳清保險",T601=12,U601=110),VLOOKUP(S601,$B$10:$H$121,7,0),0),"")))</f>
        <v/>
      </c>
      <c r="AD601" s="347"/>
      <c r="AE601" s="350" t="str">
        <f t="shared" ca="1" si="421"/>
        <v/>
      </c>
      <c r="AF601" s="351" t="str">
        <f t="shared" ca="1" si="422"/>
        <v/>
      </c>
      <c r="AG601" s="340"/>
      <c r="AH601" s="340"/>
      <c r="AI601" s="340"/>
      <c r="AJ601" s="340"/>
      <c r="AK601" s="340"/>
      <c r="AL601" s="340"/>
      <c r="AM601" s="340"/>
      <c r="AN601" s="340"/>
      <c r="AO601" s="340"/>
      <c r="AP601" s="340"/>
      <c r="AQ601" s="340"/>
      <c r="AR601" s="340"/>
      <c r="AS601" s="340"/>
      <c r="AT601" s="340"/>
      <c r="AU601" s="340"/>
      <c r="AV601" s="340"/>
      <c r="AY601" s="340"/>
      <c r="AZ601" s="465">
        <f t="shared" ca="1" si="432"/>
        <v>7.3698599999999999E-5</v>
      </c>
      <c r="BA601" s="464">
        <f t="shared" ca="1" si="433"/>
        <v>2.2109589000000002E-3</v>
      </c>
      <c r="BB601" s="465">
        <f t="shared" ca="1" si="433"/>
        <v>2.2846575E-3</v>
      </c>
      <c r="BC601" s="466">
        <f t="shared" ca="1" si="434"/>
        <v>60906</v>
      </c>
      <c r="BD601" s="467">
        <f t="shared" ca="1" si="447"/>
        <v>60907</v>
      </c>
      <c r="BE601" s="467">
        <f t="shared" ca="1" si="435"/>
        <v>60936</v>
      </c>
      <c r="BF601" s="468">
        <f ca="1">IF(計算!$BC601&lt;OP!$C$3,0,BD601-BC601)</f>
        <v>1</v>
      </c>
      <c r="BG601" s="468">
        <f ca="1">IF($BE601&gt;DATE(YEAR($BD$9)+OP!$C$57,MONTH($BD$9),DAY($BD$9)),0,$BE601-$BD601+1)</f>
        <v>30</v>
      </c>
      <c r="BH601" s="469">
        <f t="shared" ca="1" si="436"/>
        <v>31</v>
      </c>
      <c r="BI601" t="str">
        <f t="shared" si="452"/>
        <v/>
      </c>
      <c r="BJ601">
        <v>4</v>
      </c>
      <c r="BN601" s="468">
        <f t="shared" si="448"/>
        <v>50</v>
      </c>
      <c r="BO601" s="468">
        <f t="shared" si="449"/>
        <v>4</v>
      </c>
      <c r="BP601" s="467">
        <f t="shared" ca="1" si="437"/>
        <v>60907</v>
      </c>
      <c r="BQ601" s="475">
        <f t="shared" ca="1" si="451"/>
        <v>82</v>
      </c>
      <c r="BR601" s="475" t="str">
        <f t="shared" si="450"/>
        <v/>
      </c>
      <c r="BS601" s="471" t="str">
        <f t="shared" si="438"/>
        <v/>
      </c>
      <c r="BT601" s="472" t="str">
        <f t="shared" si="453"/>
        <v/>
      </c>
      <c r="BU601" s="472">
        <f t="shared" ca="1" si="439"/>
        <v>0</v>
      </c>
      <c r="BV601" s="472">
        <f t="shared" ca="1" si="439"/>
        <v>0</v>
      </c>
      <c r="BW601" s="472"/>
      <c r="BX601" s="473">
        <f t="shared" ca="1" si="440"/>
        <v>850659.21284424304</v>
      </c>
      <c r="BY601" s="473">
        <f t="shared" si="441"/>
        <v>0</v>
      </c>
      <c r="BZ601" s="473">
        <f t="shared" ca="1" si="423"/>
        <v>1943.4649505689999</v>
      </c>
      <c r="CA601" s="476">
        <f t="shared" ca="1" si="442"/>
        <v>0</v>
      </c>
      <c r="CB601" s="494">
        <f ca="1">IF(OR($Q600&lt;&gt;1,OP!$D$5+$BN601-1&lt;16,$BN601-1&lt;1),0,ROUND(ROUND(ROUND(((VLOOKUP($BN601-1,MORE_PV,5,0)/10000)*VLOOKUP($BN601,MORE_PV,$CB$5,0)),3)*VLOOKUP($BN601,more1,5,0),0)/$R600,0))</f>
        <v>0</v>
      </c>
      <c r="CC601" s="473">
        <f t="shared" ca="1" si="443"/>
        <v>0</v>
      </c>
      <c r="CD601" s="477"/>
    </row>
    <row r="602" spans="2:82" ht="16.5" hidden="1">
      <c r="B602" s="80"/>
      <c r="C602" s="80"/>
      <c r="D602" s="80"/>
      <c r="E602" s="80"/>
      <c r="F602" s="80"/>
      <c r="G602" s="80"/>
      <c r="H602" s="80"/>
      <c r="I602" s="80"/>
      <c r="J602" s="192">
        <f t="shared" si="424"/>
        <v>50</v>
      </c>
      <c r="K602" s="192">
        <f t="shared" si="425"/>
        <v>6</v>
      </c>
      <c r="L602" s="192" t="str">
        <f t="shared" si="420"/>
        <v/>
      </c>
      <c r="M602" s="216">
        <f t="shared" ca="1" si="426"/>
        <v>0</v>
      </c>
      <c r="N602" s="216"/>
      <c r="O602" s="216"/>
      <c r="P602" s="216"/>
      <c r="Q602" s="456" t="str">
        <f t="shared" ca="1" si="427"/>
        <v/>
      </c>
      <c r="R602" s="450">
        <f t="shared" ca="1" si="428"/>
        <v>1</v>
      </c>
      <c r="S602" s="191">
        <f t="shared" si="429"/>
        <v>50</v>
      </c>
      <c r="T602" s="191">
        <f t="shared" si="430"/>
        <v>6</v>
      </c>
      <c r="U602" s="191">
        <f ca="1">OP!$D$5+$S602-1</f>
        <v>82</v>
      </c>
      <c r="V602" s="191" t="str">
        <f t="shared" si="431"/>
        <v/>
      </c>
      <c r="W602" s="350">
        <f ca="1">IF(Q602&lt;&gt;1,0,VLOOKUP(OP!$C$55,PVFB,$S602+2,0))</f>
        <v>0</v>
      </c>
      <c r="X602" s="473">
        <f t="shared" ca="1" si="444"/>
        <v>0</v>
      </c>
      <c r="Y602" s="348">
        <f t="shared" ca="1" si="445"/>
        <v>0</v>
      </c>
      <c r="Z602" s="348">
        <f t="shared" ca="1" si="446"/>
        <v>8012</v>
      </c>
      <c r="AA602" s="348">
        <f ca="1">IF(Q602&lt;&gt;1,0,VLOOKUP(OP!$C$55,PVFB,$S602+2,0))</f>
        <v>0</v>
      </c>
      <c r="AB602" s="488" t="str">
        <f ca="1">IF(AND(S602&lt;OP!$C$24,$U602&lt;15),0,IF(AND($U602&lt;15,$T602=12),ROUND(VLOOKUP($S602,DOWN16,5,0),3),IF($T602=12,ROUND(($Z602/10000)*$AA602,3)+IF(AND($P$7="購買增額繳清保險",T602=12,U602=110),VLOOKUP(S602,$B$10:$H$121,7,0),0),"")))</f>
        <v/>
      </c>
      <c r="AC602" s="350" t="str">
        <f ca="1">IF(AND(S602&lt;OP!$C$24,$U602&lt;15),0,IF(AND($U602&lt;16,$T602=12),VLOOKUP($S602,DOWN16,4,0),IF($T602=12,ROUND(VLOOKUP(OP!$C$55,_DIE2,$S602+1,0)*(Z602/10000),0)+IF(AND($P$7="購買增額繳清保險",T602=12,U602=110),VLOOKUP(S602,$B$10:$H$121,7,0),0),"")))</f>
        <v/>
      </c>
      <c r="AD602" s="347"/>
      <c r="AE602" s="350" t="str">
        <f t="shared" ca="1" si="421"/>
        <v/>
      </c>
      <c r="AF602" s="351" t="str">
        <f t="shared" ca="1" si="422"/>
        <v/>
      </c>
      <c r="AG602" s="340"/>
      <c r="AH602" s="340"/>
      <c r="AI602" s="340"/>
      <c r="AJ602" s="340"/>
      <c r="AK602" s="340"/>
      <c r="AL602" s="340"/>
      <c r="AM602" s="340"/>
      <c r="AN602" s="340"/>
      <c r="AO602" s="340"/>
      <c r="AP602" s="340"/>
      <c r="AQ602" s="340"/>
      <c r="AR602" s="340"/>
      <c r="AS602" s="340"/>
      <c r="AT602" s="340"/>
      <c r="AU602" s="340"/>
      <c r="AV602" s="340"/>
      <c r="AY602" s="340"/>
      <c r="AZ602" s="465">
        <f t="shared" ca="1" si="432"/>
        <v>7.3698599999999999E-5</v>
      </c>
      <c r="BA602" s="464">
        <f t="shared" ca="1" si="433"/>
        <v>2.1372602999999999E-3</v>
      </c>
      <c r="BB602" s="465">
        <f t="shared" ca="1" si="433"/>
        <v>2.2109589000000002E-3</v>
      </c>
      <c r="BC602" s="466">
        <f t="shared" ca="1" si="434"/>
        <v>60937</v>
      </c>
      <c r="BD602" s="467">
        <f t="shared" ca="1" si="447"/>
        <v>60938</v>
      </c>
      <c r="BE602" s="467">
        <f t="shared" ca="1" si="435"/>
        <v>60966</v>
      </c>
      <c r="BF602" s="468">
        <f ca="1">IF(計算!$BC602&lt;OP!$C$3,0,BD602-BC602)</f>
        <v>1</v>
      </c>
      <c r="BG602" s="468">
        <f ca="1">IF($BE602&gt;DATE(YEAR($BD$9)+OP!$C$57,MONTH($BD$9),DAY($BD$9)),0,$BE602-$BD602+1)</f>
        <v>29</v>
      </c>
      <c r="BH602" s="469">
        <f t="shared" ca="1" si="436"/>
        <v>30</v>
      </c>
      <c r="BI602" t="str">
        <f t="shared" si="452"/>
        <v/>
      </c>
      <c r="BJ602">
        <v>5</v>
      </c>
      <c r="BN602" s="468">
        <f t="shared" si="448"/>
        <v>50</v>
      </c>
      <c r="BO602" s="468">
        <f t="shared" si="449"/>
        <v>5</v>
      </c>
      <c r="BP602" s="467">
        <f t="shared" ca="1" si="437"/>
        <v>60938</v>
      </c>
      <c r="BQ602" s="475">
        <f t="shared" ca="1" si="451"/>
        <v>82</v>
      </c>
      <c r="BR602" s="475" t="str">
        <f t="shared" si="450"/>
        <v/>
      </c>
      <c r="BS602" s="471" t="str">
        <f t="shared" si="438"/>
        <v/>
      </c>
      <c r="BT602" s="472" t="str">
        <f t="shared" si="453"/>
        <v/>
      </c>
      <c r="BU602" s="472">
        <f t="shared" ca="1" si="439"/>
        <v>0</v>
      </c>
      <c r="BV602" s="472">
        <f t="shared" ca="1" si="439"/>
        <v>0</v>
      </c>
      <c r="BW602" s="472"/>
      <c r="BX602" s="473">
        <f t="shared" ca="1" si="440"/>
        <v>852602.67779481201</v>
      </c>
      <c r="BY602" s="473">
        <f t="shared" si="441"/>
        <v>0</v>
      </c>
      <c r="BZ602" s="473">
        <f t="shared" ca="1" si="423"/>
        <v>1885.069478634</v>
      </c>
      <c r="CA602" s="476">
        <f t="shared" ca="1" si="442"/>
        <v>0</v>
      </c>
      <c r="CB602" s="494">
        <f ca="1">IF(OR($Q601&lt;&gt;1,OP!$D$5+$BN602-1&lt;16,$BN602-1&lt;1),0,ROUND(ROUND(ROUND(((VLOOKUP($BN602-1,MORE_PV,5,0)/10000)*VLOOKUP($BN602,MORE_PV,$CB$5,0)),3)*VLOOKUP($BN602,more1,5,0),0)/$R601,0))</f>
        <v>0</v>
      </c>
      <c r="CC602" s="473">
        <f t="shared" ca="1" si="443"/>
        <v>0</v>
      </c>
      <c r="CD602" s="477"/>
    </row>
    <row r="603" spans="2:82" ht="16.5" hidden="1">
      <c r="B603" s="80"/>
      <c r="C603" s="80"/>
      <c r="D603" s="80"/>
      <c r="E603" s="80"/>
      <c r="F603" s="80"/>
      <c r="G603" s="80"/>
      <c r="H603" s="80"/>
      <c r="I603" s="80"/>
      <c r="J603" s="192">
        <f t="shared" si="424"/>
        <v>50</v>
      </c>
      <c r="K603" s="192">
        <f t="shared" si="425"/>
        <v>7</v>
      </c>
      <c r="L603" s="192" t="str">
        <f t="shared" si="420"/>
        <v/>
      </c>
      <c r="M603" s="216">
        <f t="shared" ca="1" si="426"/>
        <v>0</v>
      </c>
      <c r="N603" s="216"/>
      <c r="O603" s="216"/>
      <c r="P603" s="216"/>
      <c r="Q603" s="456" t="str">
        <f t="shared" ca="1" si="427"/>
        <v/>
      </c>
      <c r="R603" s="450">
        <f t="shared" ca="1" si="428"/>
        <v>1</v>
      </c>
      <c r="S603" s="191">
        <f t="shared" si="429"/>
        <v>50</v>
      </c>
      <c r="T603" s="191">
        <f t="shared" si="430"/>
        <v>7</v>
      </c>
      <c r="U603" s="191">
        <f ca="1">OP!$D$5+$S603-1</f>
        <v>82</v>
      </c>
      <c r="V603" s="191" t="str">
        <f t="shared" si="431"/>
        <v/>
      </c>
      <c r="W603" s="350">
        <f ca="1">IF(Q603&lt;&gt;1,0,VLOOKUP(OP!$C$55,PVFB,$S603+2,0))</f>
        <v>0</v>
      </c>
      <c r="X603" s="473">
        <f t="shared" ca="1" si="444"/>
        <v>0</v>
      </c>
      <c r="Y603" s="348">
        <f t="shared" ca="1" si="445"/>
        <v>0</v>
      </c>
      <c r="Z603" s="348">
        <f t="shared" ca="1" si="446"/>
        <v>8012</v>
      </c>
      <c r="AA603" s="348">
        <f ca="1">IF(Q603&lt;&gt;1,0,VLOOKUP(OP!$C$55,PVFB,$S603+2,0))</f>
        <v>0</v>
      </c>
      <c r="AB603" s="488" t="str">
        <f ca="1">IF(AND(S603&lt;OP!$C$24,$U603&lt;15),0,IF(AND($U603&lt;15,$T603=12),ROUND(VLOOKUP($S603,DOWN16,5,0),3),IF($T603=12,ROUND(($Z603/10000)*$AA603,3)+IF(AND($P$7="購買增額繳清保險",T603=12,U603=110),VLOOKUP(S603,$B$10:$H$121,7,0),0),"")))</f>
        <v/>
      </c>
      <c r="AC603" s="350" t="str">
        <f ca="1">IF(AND(S603&lt;OP!$C$24,$U603&lt;15),0,IF(AND($U603&lt;16,$T603=12),VLOOKUP($S603,DOWN16,4,0),IF($T603=12,ROUND(VLOOKUP(OP!$C$55,_DIE2,$S603+1,0)*(Z603/10000),0)+IF(AND($P$7="購買增額繳清保險",T603=12,U603=110),VLOOKUP(S603,$B$10:$H$121,7,0),0),"")))</f>
        <v/>
      </c>
      <c r="AD603" s="347"/>
      <c r="AE603" s="350" t="str">
        <f t="shared" ca="1" si="421"/>
        <v/>
      </c>
      <c r="AF603" s="351" t="str">
        <f t="shared" ca="1" si="422"/>
        <v/>
      </c>
      <c r="AG603" s="340"/>
      <c r="AH603" s="340"/>
      <c r="AI603" s="340"/>
      <c r="AJ603" s="340"/>
      <c r="AK603" s="340"/>
      <c r="AL603" s="340"/>
      <c r="AM603" s="340"/>
      <c r="AN603" s="340"/>
      <c r="AO603" s="340"/>
      <c r="AP603" s="340"/>
      <c r="AQ603" s="340"/>
      <c r="AR603" s="340"/>
      <c r="AS603" s="340"/>
      <c r="AT603" s="340"/>
      <c r="AU603" s="340"/>
      <c r="AV603" s="340"/>
      <c r="AY603" s="340"/>
      <c r="AZ603" s="465">
        <f t="shared" ca="1" si="432"/>
        <v>7.3698599999999999E-5</v>
      </c>
      <c r="BA603" s="464">
        <f t="shared" ca="1" si="433"/>
        <v>2.2109589000000002E-3</v>
      </c>
      <c r="BB603" s="465">
        <f t="shared" ca="1" si="433"/>
        <v>2.2846575E-3</v>
      </c>
      <c r="BC603" s="466">
        <f t="shared" ca="1" si="434"/>
        <v>60967</v>
      </c>
      <c r="BD603" s="467">
        <f t="shared" ca="1" si="447"/>
        <v>60968</v>
      </c>
      <c r="BE603" s="467">
        <f t="shared" ca="1" si="435"/>
        <v>60997</v>
      </c>
      <c r="BF603" s="468">
        <f ca="1">IF(計算!$BC603&lt;OP!$C$3,0,BD603-BC603)</f>
        <v>1</v>
      </c>
      <c r="BG603" s="468">
        <f ca="1">IF($BE603&gt;DATE(YEAR($BD$9)+OP!$C$57,MONTH($BD$9),DAY($BD$9)),0,$BE603-$BD603+1)</f>
        <v>30</v>
      </c>
      <c r="BH603" s="469">
        <f t="shared" ca="1" si="436"/>
        <v>31</v>
      </c>
      <c r="BI603" t="str">
        <f t="shared" si="452"/>
        <v/>
      </c>
      <c r="BJ603">
        <v>6</v>
      </c>
      <c r="BN603" s="468">
        <f t="shared" si="448"/>
        <v>50</v>
      </c>
      <c r="BO603" s="468">
        <f t="shared" si="449"/>
        <v>6</v>
      </c>
      <c r="BP603" s="467">
        <f t="shared" ca="1" si="437"/>
        <v>60968</v>
      </c>
      <c r="BQ603" s="475">
        <f t="shared" ca="1" si="451"/>
        <v>82</v>
      </c>
      <c r="BR603" s="475" t="str">
        <f t="shared" si="450"/>
        <v/>
      </c>
      <c r="BS603" s="471" t="str">
        <f t="shared" si="438"/>
        <v/>
      </c>
      <c r="BT603" s="472" t="str">
        <f t="shared" si="453"/>
        <v/>
      </c>
      <c r="BU603" s="472">
        <f t="shared" ca="1" si="439"/>
        <v>0</v>
      </c>
      <c r="BV603" s="472">
        <f t="shared" ca="1" si="439"/>
        <v>0</v>
      </c>
      <c r="BW603" s="472"/>
      <c r="BX603" s="473">
        <f t="shared" ca="1" si="440"/>
        <v>854487.74727344594</v>
      </c>
      <c r="BY603" s="473">
        <f t="shared" si="441"/>
        <v>0</v>
      </c>
      <c r="BZ603" s="473">
        <f t="shared" ca="1" si="423"/>
        <v>1952.211840466</v>
      </c>
      <c r="CA603" s="476">
        <f t="shared" ca="1" si="442"/>
        <v>0</v>
      </c>
      <c r="CB603" s="494">
        <f ca="1">IF(OR($Q602&lt;&gt;1,OP!$D$5+$BN603-1&lt;16,$BN603-1&lt;1),0,ROUND(ROUND(ROUND(((VLOOKUP($BN603-1,MORE_PV,5,0)/10000)*VLOOKUP($BN603,MORE_PV,$CB$5,0)),3)*VLOOKUP($BN603,more1,5,0),0)/$R602,0))</f>
        <v>0</v>
      </c>
      <c r="CC603" s="473">
        <f t="shared" ca="1" si="443"/>
        <v>0</v>
      </c>
      <c r="CD603" s="477"/>
    </row>
    <row r="604" spans="2:82" ht="16.5" hidden="1">
      <c r="B604" s="80"/>
      <c r="C604" s="80"/>
      <c r="D604" s="80"/>
      <c r="E604" s="80"/>
      <c r="F604" s="80"/>
      <c r="G604" s="80"/>
      <c r="H604" s="80"/>
      <c r="I604" s="80"/>
      <c r="J604" s="192">
        <f t="shared" si="424"/>
        <v>50</v>
      </c>
      <c r="K604" s="192">
        <f t="shared" si="425"/>
        <v>8</v>
      </c>
      <c r="L604" s="192" t="str">
        <f t="shared" si="420"/>
        <v/>
      </c>
      <c r="M604" s="216">
        <f t="shared" ca="1" si="426"/>
        <v>0</v>
      </c>
      <c r="N604" s="216"/>
      <c r="O604" s="216"/>
      <c r="P604" s="216"/>
      <c r="Q604" s="456" t="str">
        <f t="shared" ca="1" si="427"/>
        <v/>
      </c>
      <c r="R604" s="450">
        <f t="shared" ca="1" si="428"/>
        <v>1</v>
      </c>
      <c r="S604" s="191">
        <f t="shared" si="429"/>
        <v>50</v>
      </c>
      <c r="T604" s="191">
        <f t="shared" si="430"/>
        <v>8</v>
      </c>
      <c r="U604" s="191">
        <f ca="1">OP!$D$5+$S604-1</f>
        <v>82</v>
      </c>
      <c r="V604" s="191" t="str">
        <f t="shared" si="431"/>
        <v/>
      </c>
      <c r="W604" s="350">
        <f ca="1">IF(Q604&lt;&gt;1,0,VLOOKUP(OP!$C$55,PVFB,$S604+2,0))</f>
        <v>0</v>
      </c>
      <c r="X604" s="473">
        <f t="shared" ca="1" si="444"/>
        <v>0</v>
      </c>
      <c r="Y604" s="348">
        <f t="shared" ca="1" si="445"/>
        <v>0</v>
      </c>
      <c r="Z604" s="348">
        <f t="shared" ca="1" si="446"/>
        <v>8012</v>
      </c>
      <c r="AA604" s="348">
        <f ca="1">IF(Q604&lt;&gt;1,0,VLOOKUP(OP!$C$55,PVFB,$S604+2,0))</f>
        <v>0</v>
      </c>
      <c r="AB604" s="488" t="str">
        <f ca="1">IF(AND(S604&lt;OP!$C$24,$U604&lt;15),0,IF(AND($U604&lt;15,$T604=12),ROUND(VLOOKUP($S604,DOWN16,5,0),3),IF($T604=12,ROUND(($Z604/10000)*$AA604,3)+IF(AND($P$7="購買增額繳清保險",T604=12,U604=110),VLOOKUP(S604,$B$10:$H$121,7,0),0),"")))</f>
        <v/>
      </c>
      <c r="AC604" s="350" t="str">
        <f ca="1">IF(AND(S604&lt;OP!$C$24,$U604&lt;15),0,IF(AND($U604&lt;16,$T604=12),VLOOKUP($S604,DOWN16,4,0),IF($T604=12,ROUND(VLOOKUP(OP!$C$55,_DIE2,$S604+1,0)*(Z604/10000),0)+IF(AND($P$7="購買增額繳清保險",T604=12,U604=110),VLOOKUP(S604,$B$10:$H$121,7,0),0),"")))</f>
        <v/>
      </c>
      <c r="AD604" s="347"/>
      <c r="AE604" s="350" t="str">
        <f t="shared" ca="1" si="421"/>
        <v/>
      </c>
      <c r="AF604" s="351" t="str">
        <f t="shared" ca="1" si="422"/>
        <v/>
      </c>
      <c r="AG604" s="340"/>
      <c r="AH604" s="340"/>
      <c r="AI604" s="340"/>
      <c r="AJ604" s="340"/>
      <c r="AK604" s="340"/>
      <c r="AL604" s="340"/>
      <c r="AM604" s="340"/>
      <c r="AN604" s="340"/>
      <c r="AO604" s="340"/>
      <c r="AP604" s="340"/>
      <c r="AQ604" s="340"/>
      <c r="AR604" s="340"/>
      <c r="AS604" s="340"/>
      <c r="AT604" s="340"/>
      <c r="AU604" s="340"/>
      <c r="AV604" s="340"/>
      <c r="AY604" s="340"/>
      <c r="AZ604" s="465">
        <f t="shared" ca="1" si="432"/>
        <v>7.3698599999999999E-5</v>
      </c>
      <c r="BA604" s="464">
        <f t="shared" ca="1" si="433"/>
        <v>2.2109589000000002E-3</v>
      </c>
      <c r="BB604" s="465">
        <f t="shared" ca="1" si="433"/>
        <v>2.2846575E-3</v>
      </c>
      <c r="BC604" s="466">
        <f t="shared" ca="1" si="434"/>
        <v>60998</v>
      </c>
      <c r="BD604" s="467">
        <f t="shared" ca="1" si="447"/>
        <v>60999</v>
      </c>
      <c r="BE604" s="467">
        <f t="shared" ca="1" si="435"/>
        <v>61028</v>
      </c>
      <c r="BF604" s="468">
        <f ca="1">IF(計算!$BC604&lt;OP!$C$3,0,BD604-BC604)</f>
        <v>1</v>
      </c>
      <c r="BG604" s="468">
        <f ca="1">IF($BE604&gt;DATE(YEAR($BD$9)+OP!$C$57,MONTH($BD$9),DAY($BD$9)),0,$BE604-$BD604+1)</f>
        <v>30</v>
      </c>
      <c r="BH604" s="469">
        <f t="shared" ca="1" si="436"/>
        <v>31</v>
      </c>
      <c r="BI604" t="str">
        <f t="shared" si="452"/>
        <v/>
      </c>
      <c r="BJ604">
        <v>7</v>
      </c>
      <c r="BN604" s="468">
        <f t="shared" si="448"/>
        <v>50</v>
      </c>
      <c r="BO604" s="468">
        <f t="shared" si="449"/>
        <v>7</v>
      </c>
      <c r="BP604" s="467">
        <f t="shared" ca="1" si="437"/>
        <v>60999</v>
      </c>
      <c r="BQ604" s="475">
        <f t="shared" ca="1" si="451"/>
        <v>82</v>
      </c>
      <c r="BR604" s="475" t="str">
        <f t="shared" si="450"/>
        <v/>
      </c>
      <c r="BS604" s="471" t="str">
        <f t="shared" si="438"/>
        <v/>
      </c>
      <c r="BT604" s="472" t="str">
        <f t="shared" si="453"/>
        <v/>
      </c>
      <c r="BU604" s="472">
        <f t="shared" ca="1" si="439"/>
        <v>0</v>
      </c>
      <c r="BV604" s="472">
        <f t="shared" ca="1" si="439"/>
        <v>0</v>
      </c>
      <c r="BW604" s="472"/>
      <c r="BX604" s="473">
        <f t="shared" ca="1" si="440"/>
        <v>856439.95911391196</v>
      </c>
      <c r="BY604" s="473">
        <f t="shared" si="441"/>
        <v>0</v>
      </c>
      <c r="BZ604" s="473">
        <f t="shared" ca="1" si="423"/>
        <v>1956.6719758889999</v>
      </c>
      <c r="CA604" s="476">
        <f t="shared" ca="1" si="442"/>
        <v>0</v>
      </c>
      <c r="CB604" s="494">
        <f ca="1">IF(OR($Q603&lt;&gt;1,OP!$D$5+$BN604-1&lt;16,$BN604-1&lt;1),0,ROUND(ROUND(ROUND(((VLOOKUP($BN604-1,MORE_PV,5,0)/10000)*VLOOKUP($BN604,MORE_PV,$CB$5,0)),3)*VLOOKUP($BN604,more1,5,0),0)/$R603,0))</f>
        <v>0</v>
      </c>
      <c r="CC604" s="473">
        <f t="shared" ca="1" si="443"/>
        <v>0</v>
      </c>
      <c r="CD604" s="477"/>
    </row>
    <row r="605" spans="2:82" ht="16.5" hidden="1">
      <c r="B605" s="80"/>
      <c r="C605" s="80"/>
      <c r="D605" s="80"/>
      <c r="E605" s="80"/>
      <c r="F605" s="80"/>
      <c r="G605" s="80"/>
      <c r="H605" s="80"/>
      <c r="I605" s="80"/>
      <c r="J605" s="192">
        <f t="shared" si="424"/>
        <v>50</v>
      </c>
      <c r="K605" s="192">
        <f t="shared" si="425"/>
        <v>9</v>
      </c>
      <c r="L605" s="192" t="str">
        <f t="shared" si="420"/>
        <v/>
      </c>
      <c r="M605" s="216">
        <f t="shared" ca="1" si="426"/>
        <v>0</v>
      </c>
      <c r="N605" s="216"/>
      <c r="O605" s="216"/>
      <c r="P605" s="216"/>
      <c r="Q605" s="456" t="str">
        <f t="shared" ca="1" si="427"/>
        <v/>
      </c>
      <c r="R605" s="450">
        <f t="shared" ca="1" si="428"/>
        <v>1</v>
      </c>
      <c r="S605" s="191">
        <f t="shared" si="429"/>
        <v>50</v>
      </c>
      <c r="T605" s="191">
        <f t="shared" si="430"/>
        <v>9</v>
      </c>
      <c r="U605" s="191">
        <f ca="1">OP!$D$5+$S605-1</f>
        <v>82</v>
      </c>
      <c r="V605" s="191" t="str">
        <f t="shared" si="431"/>
        <v/>
      </c>
      <c r="W605" s="350">
        <f ca="1">IF(Q605&lt;&gt;1,0,VLOOKUP(OP!$C$55,PVFB,$S605+2,0))</f>
        <v>0</v>
      </c>
      <c r="X605" s="473">
        <f t="shared" ca="1" si="444"/>
        <v>0</v>
      </c>
      <c r="Y605" s="348">
        <f t="shared" ca="1" si="445"/>
        <v>0</v>
      </c>
      <c r="Z605" s="348">
        <f t="shared" ca="1" si="446"/>
        <v>8012</v>
      </c>
      <c r="AA605" s="348">
        <f ca="1">IF(Q605&lt;&gt;1,0,VLOOKUP(OP!$C$55,PVFB,$S605+2,0))</f>
        <v>0</v>
      </c>
      <c r="AB605" s="488" t="str">
        <f ca="1">IF(AND(S605&lt;OP!$C$24,$U605&lt;15),0,IF(AND($U605&lt;15,$T605=12),ROUND(VLOOKUP($S605,DOWN16,5,0),3),IF($T605=12,ROUND(($Z605/10000)*$AA605,3)+IF(AND($P$7="購買增額繳清保險",T605=12,U605=110),VLOOKUP(S605,$B$10:$H$121,7,0),0),"")))</f>
        <v/>
      </c>
      <c r="AC605" s="350" t="str">
        <f ca="1">IF(AND(S605&lt;OP!$C$24,$U605&lt;15),0,IF(AND($U605&lt;16,$T605=12),VLOOKUP($S605,DOWN16,4,0),IF($T605=12,ROUND(VLOOKUP(OP!$C$55,_DIE2,$S605+1,0)*(Z605/10000),0)+IF(AND($P$7="購買增額繳清保險",T605=12,U605=110),VLOOKUP(S605,$B$10:$H$121,7,0),0),"")))</f>
        <v/>
      </c>
      <c r="AD605" s="347"/>
      <c r="AE605" s="350" t="str">
        <f t="shared" ca="1" si="421"/>
        <v/>
      </c>
      <c r="AF605" s="351" t="str">
        <f t="shared" ca="1" si="422"/>
        <v/>
      </c>
      <c r="AG605" s="340"/>
      <c r="AH605" s="340"/>
      <c r="AI605" s="340"/>
      <c r="AJ605" s="340"/>
      <c r="AK605" s="340"/>
      <c r="AL605" s="340"/>
      <c r="AM605" s="340"/>
      <c r="AN605" s="340"/>
      <c r="AO605" s="340"/>
      <c r="AP605" s="340"/>
      <c r="AQ605" s="340"/>
      <c r="AR605" s="340"/>
      <c r="AS605" s="340"/>
      <c r="AT605" s="340"/>
      <c r="AU605" s="340"/>
      <c r="AV605" s="340"/>
      <c r="AY605" s="340"/>
      <c r="AZ605" s="465">
        <f t="shared" ca="1" si="432"/>
        <v>7.3698599999999999E-5</v>
      </c>
      <c r="BA605" s="464">
        <f t="shared" ca="1" si="433"/>
        <v>1.9898630000000001E-3</v>
      </c>
      <c r="BB605" s="465">
        <f t="shared" ca="1" si="433"/>
        <v>2.0635616E-3</v>
      </c>
      <c r="BC605" s="466">
        <f t="shared" ca="1" si="434"/>
        <v>61029</v>
      </c>
      <c r="BD605" s="467">
        <f t="shared" ca="1" si="447"/>
        <v>61030</v>
      </c>
      <c r="BE605" s="467">
        <f t="shared" ca="1" si="435"/>
        <v>61056</v>
      </c>
      <c r="BF605" s="468">
        <f ca="1">IF(計算!$BC605&lt;OP!$C$3,0,BD605-BC605)</f>
        <v>1</v>
      </c>
      <c r="BG605" s="468">
        <f ca="1">IF($BE605&gt;DATE(YEAR($BD$9)+OP!$C$57,MONTH($BD$9),DAY($BD$9)),0,$BE605-$BD605+1)</f>
        <v>27</v>
      </c>
      <c r="BH605" s="469">
        <f t="shared" ca="1" si="436"/>
        <v>28</v>
      </c>
      <c r="BI605" t="str">
        <f t="shared" si="452"/>
        <v/>
      </c>
      <c r="BJ605">
        <v>8</v>
      </c>
      <c r="BN605" s="468">
        <f t="shared" si="448"/>
        <v>50</v>
      </c>
      <c r="BO605" s="468">
        <f t="shared" si="449"/>
        <v>8</v>
      </c>
      <c r="BP605" s="467">
        <f t="shared" ca="1" si="437"/>
        <v>61030</v>
      </c>
      <c r="BQ605" s="475">
        <f t="shared" ca="1" si="451"/>
        <v>82</v>
      </c>
      <c r="BR605" s="475" t="str">
        <f t="shared" si="450"/>
        <v/>
      </c>
      <c r="BS605" s="471" t="str">
        <f t="shared" si="438"/>
        <v/>
      </c>
      <c r="BT605" s="472" t="str">
        <f t="shared" si="453"/>
        <v/>
      </c>
      <c r="BU605" s="472">
        <f t="shared" ca="1" si="439"/>
        <v>0</v>
      </c>
      <c r="BV605" s="472">
        <f t="shared" ca="1" si="439"/>
        <v>0</v>
      </c>
      <c r="BW605" s="472"/>
      <c r="BX605" s="473">
        <f t="shared" ca="1" si="440"/>
        <v>858396.63108980097</v>
      </c>
      <c r="BY605" s="473">
        <f t="shared" si="441"/>
        <v>0</v>
      </c>
      <c r="BZ605" s="473">
        <f t="shared" ca="1" si="423"/>
        <v>1771.3543254860001</v>
      </c>
      <c r="CA605" s="476">
        <f t="shared" ca="1" si="442"/>
        <v>0</v>
      </c>
      <c r="CB605" s="494">
        <f ca="1">IF(OR($Q604&lt;&gt;1,OP!$D$5+$BN605-1&lt;16,$BN605-1&lt;1),0,ROUND(ROUND(ROUND(((VLOOKUP($BN605-1,MORE_PV,5,0)/10000)*VLOOKUP($BN605,MORE_PV,$CB$5,0)),3)*VLOOKUP($BN605,more1,5,0),0)/$R604,0))</f>
        <v>0</v>
      </c>
      <c r="CC605" s="473">
        <f t="shared" ca="1" si="443"/>
        <v>0</v>
      </c>
      <c r="CD605" s="477"/>
    </row>
    <row r="606" spans="2:82" ht="16.5" hidden="1">
      <c r="B606" s="80"/>
      <c r="C606" s="80"/>
      <c r="D606" s="80"/>
      <c r="E606" s="80"/>
      <c r="F606" s="80"/>
      <c r="G606" s="80"/>
      <c r="H606" s="80"/>
      <c r="I606" s="80"/>
      <c r="J606" s="192">
        <f t="shared" si="424"/>
        <v>50</v>
      </c>
      <c r="K606" s="192">
        <f t="shared" si="425"/>
        <v>10</v>
      </c>
      <c r="L606" s="192" t="str">
        <f t="shared" si="420"/>
        <v/>
      </c>
      <c r="M606" s="216">
        <f t="shared" ca="1" si="426"/>
        <v>0</v>
      </c>
      <c r="N606" s="216"/>
      <c r="O606" s="216"/>
      <c r="P606" s="216"/>
      <c r="Q606" s="456" t="str">
        <f t="shared" ca="1" si="427"/>
        <v/>
      </c>
      <c r="R606" s="450">
        <f t="shared" ca="1" si="428"/>
        <v>1</v>
      </c>
      <c r="S606" s="191">
        <f t="shared" si="429"/>
        <v>50</v>
      </c>
      <c r="T606" s="191">
        <f t="shared" si="430"/>
        <v>10</v>
      </c>
      <c r="U606" s="191">
        <f ca="1">OP!$D$5+$S606-1</f>
        <v>82</v>
      </c>
      <c r="V606" s="191" t="str">
        <f t="shared" si="431"/>
        <v/>
      </c>
      <c r="W606" s="350">
        <f ca="1">IF(Q606&lt;&gt;1,0,VLOOKUP(OP!$C$55,PVFB,$S606+2,0))</f>
        <v>0</v>
      </c>
      <c r="X606" s="473">
        <f t="shared" ca="1" si="444"/>
        <v>0</v>
      </c>
      <c r="Y606" s="348">
        <f t="shared" ca="1" si="445"/>
        <v>0</v>
      </c>
      <c r="Z606" s="348">
        <f t="shared" ca="1" si="446"/>
        <v>8012</v>
      </c>
      <c r="AA606" s="348">
        <f ca="1">IF(Q606&lt;&gt;1,0,VLOOKUP(OP!$C$55,PVFB,$S606+2,0))</f>
        <v>0</v>
      </c>
      <c r="AB606" s="488" t="str">
        <f ca="1">IF(AND(S606&lt;OP!$C$24,$U606&lt;15),0,IF(AND($U606&lt;15,$T606=12),ROUND(VLOOKUP($S606,DOWN16,5,0),3),IF($T606=12,ROUND(($Z606/10000)*$AA606,3)+IF(AND($P$7="購買增額繳清保險",T606=12,U606=110),VLOOKUP(S606,$B$10:$H$121,7,0),0),"")))</f>
        <v/>
      </c>
      <c r="AC606" s="350" t="str">
        <f ca="1">IF(AND(S606&lt;OP!$C$24,$U606&lt;15),0,IF(AND($U606&lt;16,$T606=12),VLOOKUP($S606,DOWN16,4,0),IF($T606=12,ROUND(VLOOKUP(OP!$C$55,_DIE2,$S606+1,0)*(Z606/10000),0)+IF(AND($P$7="購買增額繳清保險",T606=12,U606=110),VLOOKUP(S606,$B$10:$H$121,7,0),0),"")))</f>
        <v/>
      </c>
      <c r="AD606" s="347"/>
      <c r="AE606" s="350" t="str">
        <f t="shared" ca="1" si="421"/>
        <v/>
      </c>
      <c r="AF606" s="351" t="str">
        <f t="shared" ca="1" si="422"/>
        <v/>
      </c>
      <c r="AG606" s="340"/>
      <c r="AH606" s="340"/>
      <c r="AI606" s="340"/>
      <c r="AJ606" s="340"/>
      <c r="AK606" s="340"/>
      <c r="AL606" s="340"/>
      <c r="AM606" s="340"/>
      <c r="AN606" s="340"/>
      <c r="AO606" s="340"/>
      <c r="AP606" s="340"/>
      <c r="AQ606" s="340"/>
      <c r="AR606" s="340"/>
      <c r="AS606" s="340"/>
      <c r="AT606" s="340"/>
      <c r="AU606" s="340"/>
      <c r="AV606" s="340"/>
      <c r="AY606" s="340"/>
      <c r="AZ606" s="465">
        <f t="shared" ca="1" si="432"/>
        <v>7.3698599999999999E-5</v>
      </c>
      <c r="BA606" s="464">
        <f t="shared" ca="1" si="433"/>
        <v>2.2109589000000002E-3</v>
      </c>
      <c r="BB606" s="465">
        <f t="shared" ca="1" si="433"/>
        <v>2.2846575E-3</v>
      </c>
      <c r="BC606" s="466">
        <f t="shared" ca="1" si="434"/>
        <v>61057</v>
      </c>
      <c r="BD606" s="467">
        <f t="shared" ca="1" si="447"/>
        <v>61058</v>
      </c>
      <c r="BE606" s="467">
        <f t="shared" ca="1" si="435"/>
        <v>61087</v>
      </c>
      <c r="BF606" s="468">
        <f ca="1">IF(計算!$BC606&lt;OP!$C$3,0,BD606-BC606)</f>
        <v>1</v>
      </c>
      <c r="BG606" s="468">
        <f ca="1">IF($BE606&gt;DATE(YEAR($BD$9)+OP!$C$57,MONTH($BD$9),DAY($BD$9)),0,$BE606-$BD606+1)</f>
        <v>30</v>
      </c>
      <c r="BH606" s="469">
        <f t="shared" ca="1" si="436"/>
        <v>31</v>
      </c>
      <c r="BI606" t="str">
        <f t="shared" si="452"/>
        <v/>
      </c>
      <c r="BJ606">
        <v>9</v>
      </c>
      <c r="BN606" s="468">
        <f t="shared" si="448"/>
        <v>50</v>
      </c>
      <c r="BO606" s="468">
        <f t="shared" si="449"/>
        <v>9</v>
      </c>
      <c r="BP606" s="467">
        <f t="shared" ca="1" si="437"/>
        <v>61058</v>
      </c>
      <c r="BQ606" s="475">
        <f t="shared" ca="1" si="451"/>
        <v>82</v>
      </c>
      <c r="BR606" s="475" t="str">
        <f t="shared" si="450"/>
        <v/>
      </c>
      <c r="BS606" s="471" t="str">
        <f t="shared" si="438"/>
        <v/>
      </c>
      <c r="BT606" s="472" t="str">
        <f t="shared" si="453"/>
        <v/>
      </c>
      <c r="BU606" s="472">
        <f t="shared" ca="1" si="439"/>
        <v>0</v>
      </c>
      <c r="BV606" s="472">
        <f t="shared" ca="1" si="439"/>
        <v>0</v>
      </c>
      <c r="BW606" s="472"/>
      <c r="BX606" s="473">
        <f t="shared" ca="1" si="440"/>
        <v>860167.98541528697</v>
      </c>
      <c r="BY606" s="473">
        <f t="shared" si="441"/>
        <v>0</v>
      </c>
      <c r="BZ606" s="473">
        <f t="shared" ca="1" si="423"/>
        <v>1965.1892391389999</v>
      </c>
      <c r="CA606" s="476">
        <f t="shared" ca="1" si="442"/>
        <v>0</v>
      </c>
      <c r="CB606" s="494">
        <f ca="1">IF(OR($Q605&lt;&gt;1,OP!$D$5+$BN606-1&lt;16,$BN606-1&lt;1),0,ROUND(ROUND(ROUND(((VLOOKUP($BN606-1,MORE_PV,5,0)/10000)*VLOOKUP($BN606,MORE_PV,$CB$5,0)),3)*VLOOKUP($BN606,more1,5,0),0)/$R605,0))</f>
        <v>0</v>
      </c>
      <c r="CC606" s="473">
        <f t="shared" ca="1" si="443"/>
        <v>0</v>
      </c>
      <c r="CD606" s="477"/>
    </row>
    <row r="607" spans="2:82" ht="16.5" hidden="1">
      <c r="B607" s="80"/>
      <c r="C607" s="80"/>
      <c r="D607" s="80"/>
      <c r="E607" s="80"/>
      <c r="F607" s="80"/>
      <c r="G607" s="80"/>
      <c r="H607" s="80"/>
      <c r="I607" s="80"/>
      <c r="J607" s="192">
        <f t="shared" si="424"/>
        <v>50</v>
      </c>
      <c r="K607" s="192">
        <f t="shared" si="425"/>
        <v>11</v>
      </c>
      <c r="L607" s="192" t="str">
        <f t="shared" si="420"/>
        <v/>
      </c>
      <c r="M607" s="216">
        <f t="shared" ca="1" si="426"/>
        <v>0</v>
      </c>
      <c r="N607" s="216"/>
      <c r="O607" s="216"/>
      <c r="P607" s="216"/>
      <c r="Q607" s="456" t="str">
        <f t="shared" ca="1" si="427"/>
        <v/>
      </c>
      <c r="R607" s="450">
        <f t="shared" ca="1" si="428"/>
        <v>1</v>
      </c>
      <c r="S607" s="191">
        <f t="shared" si="429"/>
        <v>50</v>
      </c>
      <c r="T607" s="191">
        <f t="shared" si="430"/>
        <v>11</v>
      </c>
      <c r="U607" s="191">
        <f ca="1">OP!$D$5+$S607-1</f>
        <v>82</v>
      </c>
      <c r="V607" s="191" t="str">
        <f t="shared" si="431"/>
        <v/>
      </c>
      <c r="W607" s="350">
        <f ca="1">IF(Q607&lt;&gt;1,0,VLOOKUP(OP!$C$55,PVFB,$S607+2,0))</f>
        <v>0</v>
      </c>
      <c r="X607" s="473">
        <f t="shared" ca="1" si="444"/>
        <v>0</v>
      </c>
      <c r="Y607" s="348">
        <f t="shared" ca="1" si="445"/>
        <v>0</v>
      </c>
      <c r="Z607" s="348">
        <f t="shared" ca="1" si="446"/>
        <v>8012</v>
      </c>
      <c r="AA607" s="348">
        <f ca="1">IF(Q607&lt;&gt;1,0,VLOOKUP(OP!$C$55,PVFB,$S607+2,0))</f>
        <v>0</v>
      </c>
      <c r="AB607" s="488" t="str">
        <f ca="1">IF(AND(S607&lt;OP!$C$24,$U607&lt;15),0,IF(AND($U607&lt;15,$T607=12),ROUND(VLOOKUP($S607,DOWN16,5,0),3),IF($T607=12,ROUND(($Z607/10000)*$AA607,3)+IF(AND($P$7="購買增額繳清保險",T607=12,U607=110),VLOOKUP(S607,$B$10:$H$121,7,0),0),"")))</f>
        <v/>
      </c>
      <c r="AC607" s="350" t="str">
        <f ca="1">IF(AND(S607&lt;OP!$C$24,$U607&lt;15),0,IF(AND($U607&lt;16,$T607=12),VLOOKUP($S607,DOWN16,4,0),IF($T607=12,ROUND(VLOOKUP(OP!$C$55,_DIE2,$S607+1,0)*(Z607/10000),0)+IF(AND($P$7="購買增額繳清保險",T607=12,U607=110),VLOOKUP(S607,$B$10:$H$121,7,0),0),"")))</f>
        <v/>
      </c>
      <c r="AD607" s="347"/>
      <c r="AE607" s="350" t="str">
        <f t="shared" ca="1" si="421"/>
        <v/>
      </c>
      <c r="AF607" s="351" t="str">
        <f t="shared" ca="1" si="422"/>
        <v/>
      </c>
      <c r="AG607" s="340"/>
      <c r="AH607" s="340"/>
      <c r="AI607" s="340"/>
      <c r="AJ607" s="340"/>
      <c r="AK607" s="340"/>
      <c r="AL607" s="340"/>
      <c r="AM607" s="340"/>
      <c r="AN607" s="340"/>
      <c r="AO607" s="340"/>
      <c r="AP607" s="340"/>
      <c r="AQ607" s="340"/>
      <c r="AR607" s="340"/>
      <c r="AS607" s="340"/>
      <c r="AT607" s="340"/>
      <c r="AU607" s="340"/>
      <c r="AV607" s="340"/>
      <c r="AY607" s="340"/>
      <c r="AZ607" s="465">
        <f t="shared" ca="1" si="432"/>
        <v>7.3698599999999999E-5</v>
      </c>
      <c r="BA607" s="464">
        <f t="shared" ca="1" si="433"/>
        <v>2.1372602999999999E-3</v>
      </c>
      <c r="BB607" s="465">
        <f t="shared" ca="1" si="433"/>
        <v>2.2109589000000002E-3</v>
      </c>
      <c r="BC607" s="466">
        <f t="shared" ca="1" si="434"/>
        <v>61088</v>
      </c>
      <c r="BD607" s="467">
        <f t="shared" ca="1" si="447"/>
        <v>61089</v>
      </c>
      <c r="BE607" s="467">
        <f t="shared" ca="1" si="435"/>
        <v>61117</v>
      </c>
      <c r="BF607" s="468">
        <f ca="1">IF(計算!$BC607&lt;OP!$C$3,0,BD607-BC607)</f>
        <v>1</v>
      </c>
      <c r="BG607" s="468">
        <f ca="1">IF($BE607&gt;DATE(YEAR($BD$9)+OP!$C$57,MONTH($BD$9),DAY($BD$9)),0,$BE607-$BD607+1)</f>
        <v>29</v>
      </c>
      <c r="BH607" s="469">
        <f t="shared" ca="1" si="436"/>
        <v>30</v>
      </c>
      <c r="BI607" t="str">
        <f t="shared" si="452"/>
        <v/>
      </c>
      <c r="BJ607">
        <v>10</v>
      </c>
      <c r="BN607" s="468">
        <f t="shared" si="448"/>
        <v>50</v>
      </c>
      <c r="BO607" s="468">
        <f t="shared" si="449"/>
        <v>10</v>
      </c>
      <c r="BP607" s="467">
        <f t="shared" ca="1" si="437"/>
        <v>61089</v>
      </c>
      <c r="BQ607" s="475">
        <f t="shared" ca="1" si="451"/>
        <v>82</v>
      </c>
      <c r="BR607" s="475" t="str">
        <f t="shared" si="450"/>
        <v/>
      </c>
      <c r="BS607" s="471" t="str">
        <f t="shared" si="438"/>
        <v/>
      </c>
      <c r="BT607" s="472" t="str">
        <f t="shared" si="453"/>
        <v/>
      </c>
      <c r="BU607" s="472">
        <f t="shared" ca="1" si="439"/>
        <v>0</v>
      </c>
      <c r="BV607" s="472">
        <f t="shared" ca="1" si="439"/>
        <v>0</v>
      </c>
      <c r="BW607" s="472"/>
      <c r="BX607" s="473">
        <f t="shared" ca="1" si="440"/>
        <v>862133.17465442605</v>
      </c>
      <c r="BY607" s="473">
        <f t="shared" si="441"/>
        <v>0</v>
      </c>
      <c r="BZ607" s="473">
        <f t="shared" ca="1" si="423"/>
        <v>1906.141015487</v>
      </c>
      <c r="CA607" s="476">
        <f t="shared" ca="1" si="442"/>
        <v>0</v>
      </c>
      <c r="CB607" s="494">
        <f ca="1">IF(OR($Q606&lt;&gt;1,OP!$D$5+$BN607-1&lt;16,$BN607-1&lt;1),0,ROUND(ROUND(ROUND(((VLOOKUP($BN607-1,MORE_PV,5,0)/10000)*VLOOKUP($BN607,MORE_PV,$CB$5,0)),3)*VLOOKUP($BN607,more1,5,0),0)/$R606,0))</f>
        <v>0</v>
      </c>
      <c r="CC607" s="473">
        <f t="shared" ca="1" si="443"/>
        <v>0</v>
      </c>
      <c r="CD607" s="477"/>
    </row>
    <row r="608" spans="2:82" ht="16.5" hidden="1">
      <c r="B608" s="80"/>
      <c r="C608" s="80"/>
      <c r="D608" s="80"/>
      <c r="E608" s="80"/>
      <c r="F608" s="80"/>
      <c r="G608" s="80"/>
      <c r="H608" s="80"/>
      <c r="I608" s="80"/>
      <c r="J608" s="192">
        <f t="shared" si="424"/>
        <v>50</v>
      </c>
      <c r="K608" s="192">
        <f t="shared" si="425"/>
        <v>12</v>
      </c>
      <c r="L608" s="192">
        <f t="shared" si="420"/>
        <v>50</v>
      </c>
      <c r="M608" s="216">
        <f t="shared" ca="1" si="426"/>
        <v>883165</v>
      </c>
      <c r="N608" s="216"/>
      <c r="O608" s="216"/>
      <c r="P608" s="216"/>
      <c r="Q608" s="456">
        <f t="shared" ca="1" si="427"/>
        <v>1</v>
      </c>
      <c r="R608" s="450">
        <f t="shared" ca="1" si="428"/>
        <v>1</v>
      </c>
      <c r="S608" s="191">
        <f t="shared" si="429"/>
        <v>50</v>
      </c>
      <c r="T608" s="191">
        <f t="shared" si="430"/>
        <v>12</v>
      </c>
      <c r="U608" s="191">
        <f ca="1">OP!$D$5+$S608-1</f>
        <v>82</v>
      </c>
      <c r="V608" s="191">
        <f t="shared" si="431"/>
        <v>50</v>
      </c>
      <c r="W608" s="350">
        <f ca="1">IF(Q608&lt;&gt;1,0,VLOOKUP(OP!$C$55,PVFB,$S608+2,0))</f>
        <v>71162</v>
      </c>
      <c r="X608" s="473">
        <f t="shared" ca="1" si="444"/>
        <v>17088</v>
      </c>
      <c r="Y608" s="348">
        <f t="shared" ca="1" si="445"/>
        <v>0</v>
      </c>
      <c r="Z608" s="348">
        <f t="shared" ca="1" si="446"/>
        <v>8012</v>
      </c>
      <c r="AA608" s="348">
        <f ca="1">IF(Q608&lt;&gt;1,0,VLOOKUP(OP!$C$55,PVFB,$S608+2,0))</f>
        <v>71162</v>
      </c>
      <c r="AB608" s="488">
        <f ca="1">IF(AND(S608&lt;OP!$C$24,$U608&lt;15),0,IF(AND($U608&lt;15,$T608=12),ROUND(VLOOKUP($S608,DOWN16,5,0),3),IF($T608=12,ROUND(($Z608/10000)*$AA608,3)+IF(AND($P$7="購買增額繳清保險",T608=12,U608=110),VLOOKUP(S608,$B$10:$H$121,7,0),0),"")))</f>
        <v>57014.993999999999</v>
      </c>
      <c r="AC608" s="350">
        <f ca="1">IF(AND(S608&lt;OP!$C$24,$U608&lt;15),0,IF(AND($U608&lt;16,$T608=12),VLOOKUP($S608,DOWN16,4,0),IF($T608=12,ROUND(VLOOKUP(OP!$C$55,_DIE2,$S608+1,0)*(Z608/10000),0)+IF(AND($P$7="購買增額繳清保險",T608=12,U608=110),VLOOKUP(S608,$B$10:$H$121,7,0),0),"")))</f>
        <v>57366</v>
      </c>
      <c r="AD608" s="347"/>
      <c r="AE608" s="350" t="str">
        <f t="shared" ca="1" si="421"/>
        <v/>
      </c>
      <c r="AF608" s="351" t="str">
        <f t="shared" ca="1" si="422"/>
        <v/>
      </c>
      <c r="AG608" s="340"/>
      <c r="AH608" s="340"/>
      <c r="AI608" s="340"/>
      <c r="AJ608" s="340"/>
      <c r="AK608" s="340"/>
      <c r="AL608" s="340"/>
      <c r="AM608" s="340"/>
      <c r="AN608" s="340"/>
      <c r="AO608" s="340"/>
      <c r="AP608" s="340"/>
      <c r="AQ608" s="340"/>
      <c r="AR608" s="340"/>
      <c r="AS608" s="340"/>
      <c r="AT608" s="340"/>
      <c r="AU608" s="340"/>
      <c r="AV608" s="340"/>
      <c r="AY608" s="340"/>
      <c r="AZ608" s="465">
        <f t="shared" ca="1" si="432"/>
        <v>7.3698599999999999E-5</v>
      </c>
      <c r="BA608" s="464">
        <f t="shared" ca="1" si="433"/>
        <v>2.2109589000000002E-3</v>
      </c>
      <c r="BB608" s="465">
        <f t="shared" ca="1" si="433"/>
        <v>2.2846575E-3</v>
      </c>
      <c r="BC608" s="466">
        <f t="shared" ca="1" si="434"/>
        <v>61118</v>
      </c>
      <c r="BD608" s="467">
        <f t="shared" ca="1" si="447"/>
        <v>61119</v>
      </c>
      <c r="BE608" s="467">
        <f t="shared" ca="1" si="435"/>
        <v>61148</v>
      </c>
      <c r="BF608" s="468">
        <f ca="1">IF(計算!$BC608&lt;OP!$C$3,0,BD608-BC608)</f>
        <v>1</v>
      </c>
      <c r="BG608" s="468">
        <f ca="1">IF($BE608&gt;DATE(YEAR($BD$9)+OP!$C$57,MONTH($BD$9),DAY($BD$9)),0,$BE608-$BD608+1)</f>
        <v>30</v>
      </c>
      <c r="BH608" s="469">
        <f t="shared" ca="1" si="436"/>
        <v>31</v>
      </c>
      <c r="BI608" t="str">
        <f t="shared" si="452"/>
        <v/>
      </c>
      <c r="BJ608">
        <v>11</v>
      </c>
      <c r="BN608" s="468">
        <f t="shared" si="448"/>
        <v>50</v>
      </c>
      <c r="BO608" s="468">
        <f t="shared" si="449"/>
        <v>11</v>
      </c>
      <c r="BP608" s="467">
        <f t="shared" ca="1" si="437"/>
        <v>61119</v>
      </c>
      <c r="BQ608" s="475">
        <f t="shared" ca="1" si="451"/>
        <v>82</v>
      </c>
      <c r="BR608" s="475" t="str">
        <f t="shared" si="450"/>
        <v/>
      </c>
      <c r="BS608" s="471" t="str">
        <f t="shared" si="438"/>
        <v/>
      </c>
      <c r="BT608" s="472" t="str">
        <f t="shared" si="453"/>
        <v/>
      </c>
      <c r="BU608" s="472">
        <f t="shared" ca="1" si="439"/>
        <v>0</v>
      </c>
      <c r="BV608" s="472">
        <f t="shared" ca="1" si="439"/>
        <v>0</v>
      </c>
      <c r="BW608" s="472"/>
      <c r="BX608" s="473">
        <f t="shared" ca="1" si="440"/>
        <v>864039.31566991296</v>
      </c>
      <c r="BY608" s="473">
        <f t="shared" si="441"/>
        <v>0</v>
      </c>
      <c r="BZ608" s="473">
        <f t="shared" ca="1" si="423"/>
        <v>1974.0339028400001</v>
      </c>
      <c r="CA608" s="476">
        <f t="shared" ca="1" si="442"/>
        <v>0</v>
      </c>
      <c r="CB608" s="494">
        <f ca="1">IF(OR($Q607&lt;&gt;1,OP!$D$5+$BN608-1&lt;16,$BN608-1&lt;1),0,ROUND(ROUND(ROUND(((VLOOKUP($BN608-1,MORE_PV,5,0)/10000)*VLOOKUP($BN608,MORE_PV,$CB$5,0)),3)*VLOOKUP($BN608,more1,5,0),0)/$R607,0))</f>
        <v>0</v>
      </c>
      <c r="CC608" s="473">
        <f t="shared" ca="1" si="443"/>
        <v>0</v>
      </c>
      <c r="CD608" s="477"/>
    </row>
    <row r="609" spans="2:82" ht="16.5" hidden="1">
      <c r="B609" s="80"/>
      <c r="C609" s="80"/>
      <c r="D609" s="80"/>
      <c r="E609" s="80"/>
      <c r="F609" s="80"/>
      <c r="G609" s="80"/>
      <c r="H609" s="80"/>
      <c r="I609" s="80"/>
      <c r="J609" s="192">
        <f t="shared" si="424"/>
        <v>51</v>
      </c>
      <c r="K609" s="192">
        <f t="shared" si="425"/>
        <v>1</v>
      </c>
      <c r="L609" s="192" t="str">
        <f t="shared" si="420"/>
        <v/>
      </c>
      <c r="M609" s="216">
        <f t="shared" ca="1" si="426"/>
        <v>0</v>
      </c>
      <c r="N609" s="216"/>
      <c r="O609" s="216"/>
      <c r="P609" s="216"/>
      <c r="Q609" s="456" t="str">
        <f t="shared" ca="1" si="427"/>
        <v/>
      </c>
      <c r="R609" s="450">
        <f t="shared" ca="1" si="428"/>
        <v>1</v>
      </c>
      <c r="S609" s="191">
        <f t="shared" si="429"/>
        <v>51</v>
      </c>
      <c r="T609" s="191">
        <f t="shared" si="430"/>
        <v>1</v>
      </c>
      <c r="U609" s="191">
        <f ca="1">OP!$D$5+$S609-1</f>
        <v>83</v>
      </c>
      <c r="V609" s="191" t="str">
        <f t="shared" si="431"/>
        <v/>
      </c>
      <c r="W609" s="350">
        <f ca="1">IF(Q609&lt;&gt;1,0,VLOOKUP(OP!$C$55,PVFB,$S609+2,0))</f>
        <v>0</v>
      </c>
      <c r="X609" s="473">
        <f t="shared" ca="1" si="444"/>
        <v>0</v>
      </c>
      <c r="Y609" s="348">
        <f t="shared" ca="1" si="445"/>
        <v>0</v>
      </c>
      <c r="Z609" s="348">
        <f t="shared" ca="1" si="446"/>
        <v>8012</v>
      </c>
      <c r="AA609" s="348">
        <f ca="1">IF(Q609&lt;&gt;1,0,VLOOKUP(OP!$C$55,PVFB,$S609+2,0))</f>
        <v>0</v>
      </c>
      <c r="AB609" s="488" t="str">
        <f ca="1">IF(AND(S609&lt;OP!$C$24,$U609&lt;15),0,IF(AND($U609&lt;15,$T609=12),ROUND(VLOOKUP($S609,DOWN16,5,0),3),IF($T609=12,ROUND(($Z609/10000)*$AA609,3)+IF(AND($P$7="購買增額繳清保險",T609=12,U609=110),VLOOKUP(S609,$B$10:$H$121,7,0),0),"")))</f>
        <v/>
      </c>
      <c r="AC609" s="350" t="str">
        <f ca="1">IF(AND(S609&lt;OP!$C$24,$U609&lt;15),0,IF(AND($U609&lt;16,$T609=12),VLOOKUP($S609,DOWN16,4,0),IF($T609=12,ROUND(VLOOKUP(OP!$C$55,_DIE2,$S609+1,0)*(Z609/10000),0)+IF(AND($P$7="購買增額繳清保險",T609=12,U609=110),VLOOKUP(S609,$B$10:$H$121,7,0),0),"")))</f>
        <v/>
      </c>
      <c r="AD609" s="347"/>
      <c r="AE609" s="350" t="str">
        <f t="shared" ca="1" si="421"/>
        <v/>
      </c>
      <c r="AF609" s="351" t="str">
        <f t="shared" ca="1" si="422"/>
        <v/>
      </c>
      <c r="AG609" s="340"/>
      <c r="AH609" s="340"/>
      <c r="AI609" s="340"/>
      <c r="AJ609" s="340"/>
      <c r="AK609" s="340"/>
      <c r="AL609" s="340"/>
      <c r="AM609" s="340"/>
      <c r="AN609" s="340"/>
      <c r="AO609" s="340"/>
      <c r="AP609" s="340"/>
      <c r="AQ609" s="340"/>
      <c r="AR609" s="340"/>
      <c r="AS609" s="340"/>
      <c r="AT609" s="340"/>
      <c r="AU609" s="340"/>
      <c r="AV609" s="340"/>
      <c r="AY609" s="340"/>
      <c r="AZ609" s="465">
        <f t="shared" ca="1" si="432"/>
        <v>7.3698599999999999E-5</v>
      </c>
      <c r="BA609" s="464">
        <f t="shared" ca="1" si="433"/>
        <v>2.1372602999999999E-3</v>
      </c>
      <c r="BB609" s="465">
        <f t="shared" ca="1" si="433"/>
        <v>2.2109589000000002E-3</v>
      </c>
      <c r="BC609" s="466">
        <f t="shared" ca="1" si="434"/>
        <v>61149</v>
      </c>
      <c r="BD609" s="467">
        <f t="shared" ca="1" si="447"/>
        <v>61150</v>
      </c>
      <c r="BE609" s="467">
        <f t="shared" ca="1" si="435"/>
        <v>61178</v>
      </c>
      <c r="BF609" s="468">
        <f ca="1">IF(計算!$BC609&lt;OP!$C$3,0,BD609-BC609)</f>
        <v>1</v>
      </c>
      <c r="BG609" s="468">
        <f ca="1">IF($BE609&gt;DATE(YEAR($BD$9)+OP!$C$57,MONTH($BD$9),DAY($BD$9)),0,$BE609-$BD609+1)</f>
        <v>29</v>
      </c>
      <c r="BH609" s="469">
        <f t="shared" ca="1" si="436"/>
        <v>30</v>
      </c>
      <c r="BI609">
        <f t="shared" ca="1" si="452"/>
        <v>365</v>
      </c>
      <c r="BJ609">
        <v>12</v>
      </c>
      <c r="BN609" s="468">
        <f t="shared" si="448"/>
        <v>50</v>
      </c>
      <c r="BO609" s="468">
        <f t="shared" si="449"/>
        <v>12</v>
      </c>
      <c r="BP609" s="467">
        <f t="shared" ca="1" si="437"/>
        <v>61150</v>
      </c>
      <c r="BQ609" s="475">
        <f t="shared" ca="1" si="451"/>
        <v>82</v>
      </c>
      <c r="BR609" s="475">
        <f t="shared" si="450"/>
        <v>50</v>
      </c>
      <c r="BS609" s="471">
        <f t="shared" ca="1" si="438"/>
        <v>17088</v>
      </c>
      <c r="BT609" s="472">
        <f t="shared" ca="1" si="453"/>
        <v>883165</v>
      </c>
      <c r="BU609" s="472">
        <f t="shared" ca="1" si="439"/>
        <v>16695</v>
      </c>
      <c r="BV609" s="472">
        <f t="shared" ca="1" si="439"/>
        <v>393</v>
      </c>
      <c r="BW609" s="472">
        <f ca="1">ROUND(SUM(BY609,BZ597:BZ608),0)</f>
        <v>22962</v>
      </c>
      <c r="BX609" s="473">
        <f t="shared" ca="1" si="440"/>
        <v>883165.17354419804</v>
      </c>
      <c r="BY609" s="473">
        <f t="shared" ca="1" si="441"/>
        <v>63.823971444999998</v>
      </c>
      <c r="BZ609" s="473">
        <f t="shared" ca="1" si="423"/>
        <v>1887.553863759</v>
      </c>
      <c r="CA609" s="476">
        <f t="shared" ca="1" si="442"/>
        <v>16695</v>
      </c>
      <c r="CB609" s="494">
        <f ca="1">IF(OR($Q608&lt;&gt;1,OP!$D$5+$BN609-1&lt;16,$BN609-1&lt;1),0,ROUND(ROUND(ROUND(((VLOOKUP($BN609-1,MORE_PV,5,0)/10000)*VLOOKUP($BN609,MORE_PV,$CB$5,0)),3)*VLOOKUP($BN609,more1,5,0),0)/$R608,0))</f>
        <v>393</v>
      </c>
      <c r="CC609" s="473">
        <f t="shared" ca="1" si="443"/>
        <v>0</v>
      </c>
      <c r="CD609" s="477"/>
    </row>
    <row r="610" spans="2:82" ht="16.5" hidden="1">
      <c r="B610" s="80"/>
      <c r="C610" s="80"/>
      <c r="D610" s="80"/>
      <c r="E610" s="80"/>
      <c r="F610" s="80"/>
      <c r="G610" s="80"/>
      <c r="H610" s="80"/>
      <c r="I610" s="80"/>
      <c r="J610" s="192">
        <f t="shared" si="424"/>
        <v>51</v>
      </c>
      <c r="K610" s="192">
        <f t="shared" si="425"/>
        <v>2</v>
      </c>
      <c r="L610" s="192" t="str">
        <f t="shared" si="420"/>
        <v/>
      </c>
      <c r="M610" s="216">
        <f t="shared" ca="1" si="426"/>
        <v>0</v>
      </c>
      <c r="N610" s="216"/>
      <c r="O610" s="216"/>
      <c r="P610" s="216"/>
      <c r="Q610" s="456" t="str">
        <f t="shared" ca="1" si="427"/>
        <v/>
      </c>
      <c r="R610" s="450">
        <f t="shared" ca="1" si="428"/>
        <v>1</v>
      </c>
      <c r="S610" s="191">
        <f t="shared" si="429"/>
        <v>51</v>
      </c>
      <c r="T610" s="191">
        <f t="shared" si="430"/>
        <v>2</v>
      </c>
      <c r="U610" s="191">
        <f ca="1">OP!$D$5+$S610-1</f>
        <v>83</v>
      </c>
      <c r="V610" s="191" t="str">
        <f t="shared" si="431"/>
        <v/>
      </c>
      <c r="W610" s="350">
        <f ca="1">IF(Q610&lt;&gt;1,0,VLOOKUP(OP!$C$55,PVFB,$S610+2,0))</f>
        <v>0</v>
      </c>
      <c r="X610" s="473">
        <f t="shared" ca="1" si="444"/>
        <v>0</v>
      </c>
      <c r="Y610" s="348">
        <f t="shared" ca="1" si="445"/>
        <v>0</v>
      </c>
      <c r="Z610" s="348">
        <f t="shared" ca="1" si="446"/>
        <v>8012</v>
      </c>
      <c r="AA610" s="348">
        <f ca="1">IF(Q610&lt;&gt;1,0,VLOOKUP(OP!$C$55,PVFB,$S610+2,0))</f>
        <v>0</v>
      </c>
      <c r="AB610" s="488" t="str">
        <f ca="1">IF(AND(S610&lt;OP!$C$24,$U610&lt;15),0,IF(AND($U610&lt;15,$T610=12),ROUND(VLOOKUP($S610,DOWN16,5,0),3),IF($T610=12,ROUND(($Z610/10000)*$AA610,3)+IF(AND($P$7="購買增額繳清保險",T610=12,U610=110),VLOOKUP(S610,$B$10:$H$121,7,0),0),"")))</f>
        <v/>
      </c>
      <c r="AC610" s="350" t="str">
        <f ca="1">IF(AND(S610&lt;OP!$C$24,$U610&lt;15),0,IF(AND($U610&lt;16,$T610=12),VLOOKUP($S610,DOWN16,4,0),IF($T610=12,ROUND(VLOOKUP(OP!$C$55,_DIE2,$S610+1,0)*(Z610/10000),0)+IF(AND($P$7="購買增額繳清保險",T610=12,U610=110),VLOOKUP(S610,$B$10:$H$121,7,0),0),"")))</f>
        <v/>
      </c>
      <c r="AD610" s="347"/>
      <c r="AE610" s="350" t="str">
        <f t="shared" ca="1" si="421"/>
        <v/>
      </c>
      <c r="AF610" s="351" t="str">
        <f t="shared" ca="1" si="422"/>
        <v/>
      </c>
      <c r="AG610" s="340"/>
      <c r="AH610" s="340"/>
      <c r="AI610" s="340"/>
      <c r="AJ610" s="340"/>
      <c r="AK610" s="340"/>
      <c r="AL610" s="340"/>
      <c r="AM610" s="340"/>
      <c r="AN610" s="340"/>
      <c r="AO610" s="340"/>
      <c r="AP610" s="340"/>
      <c r="AQ610" s="340"/>
      <c r="AR610" s="340"/>
      <c r="AS610" s="340"/>
      <c r="AT610" s="340"/>
      <c r="AU610" s="340"/>
      <c r="AV610" s="340"/>
      <c r="AY610" s="340"/>
      <c r="AZ610" s="465">
        <f t="shared" ca="1" si="432"/>
        <v>7.3698599999999999E-5</v>
      </c>
      <c r="BA610" s="464">
        <f t="shared" ca="1" si="433"/>
        <v>2.2109589000000002E-3</v>
      </c>
      <c r="BB610" s="465">
        <f t="shared" ca="1" si="433"/>
        <v>2.2846575E-3</v>
      </c>
      <c r="BC610" s="466">
        <f t="shared" ca="1" si="434"/>
        <v>61179</v>
      </c>
      <c r="BD610" s="467">
        <f t="shared" ca="1" si="447"/>
        <v>61180</v>
      </c>
      <c r="BE610" s="467">
        <f t="shared" ca="1" si="435"/>
        <v>61209</v>
      </c>
      <c r="BF610" s="468">
        <f ca="1">IF(計算!$BC610&lt;OP!$C$3,0,BD610-BC610)</f>
        <v>1</v>
      </c>
      <c r="BG610" s="468">
        <f ca="1">IF($BE610&gt;DATE(YEAR($BD$9)+OP!$C$57,MONTH($BD$9),DAY($BD$9)),0,$BE610-$BD610+1)</f>
        <v>30</v>
      </c>
      <c r="BH610" s="469">
        <f t="shared" ca="1" si="436"/>
        <v>31</v>
      </c>
      <c r="BI610" t="str">
        <f t="shared" si="452"/>
        <v/>
      </c>
      <c r="BJ610">
        <v>1</v>
      </c>
      <c r="BN610" s="468">
        <f t="shared" si="448"/>
        <v>51</v>
      </c>
      <c r="BO610" s="468">
        <f t="shared" si="449"/>
        <v>1</v>
      </c>
      <c r="BP610" s="467">
        <f t="shared" ca="1" si="437"/>
        <v>61180</v>
      </c>
      <c r="BQ610" s="475">
        <f t="shared" ca="1" si="451"/>
        <v>83</v>
      </c>
      <c r="BR610" s="475" t="str">
        <f t="shared" si="450"/>
        <v/>
      </c>
      <c r="BS610" s="471" t="str">
        <f t="shared" si="438"/>
        <v/>
      </c>
      <c r="BT610" s="472" t="str">
        <f t="shared" si="453"/>
        <v/>
      </c>
      <c r="BU610" s="472">
        <f t="shared" ca="1" si="439"/>
        <v>0</v>
      </c>
      <c r="BV610" s="472">
        <f t="shared" ca="1" si="439"/>
        <v>0</v>
      </c>
      <c r="BW610" s="472"/>
      <c r="BX610" s="473">
        <f t="shared" ca="1" si="440"/>
        <v>885052.72740795696</v>
      </c>
      <c r="BY610" s="473">
        <f t="shared" si="441"/>
        <v>0</v>
      </c>
      <c r="BZ610" s="473">
        <f t="shared" ca="1" si="423"/>
        <v>2022.042351568</v>
      </c>
      <c r="CA610" s="476">
        <f t="shared" ca="1" si="442"/>
        <v>0</v>
      </c>
      <c r="CB610" s="494">
        <f ca="1">IF(OR($Q609&lt;&gt;1,OP!$D$5+$BN610-1&lt;16,$BN610-1&lt;1),0,ROUND(ROUND(ROUND(((VLOOKUP($BN610-1,MORE_PV,5,0)/10000)*VLOOKUP($BN610,MORE_PV,$CB$5,0)),3)*VLOOKUP($BN610,more1,5,0),0)/$R609,0))</f>
        <v>0</v>
      </c>
      <c r="CC610" s="473">
        <f t="shared" ca="1" si="443"/>
        <v>0</v>
      </c>
      <c r="CD610" s="477"/>
    </row>
    <row r="611" spans="2:82" ht="16.5" hidden="1">
      <c r="B611" s="80"/>
      <c r="C611" s="80"/>
      <c r="D611" s="80"/>
      <c r="E611" s="80"/>
      <c r="F611" s="80"/>
      <c r="G611" s="80"/>
      <c r="H611" s="80"/>
      <c r="I611" s="80"/>
      <c r="J611" s="192">
        <f t="shared" si="424"/>
        <v>51</v>
      </c>
      <c r="K611" s="192">
        <f t="shared" si="425"/>
        <v>3</v>
      </c>
      <c r="L611" s="192" t="str">
        <f t="shared" si="420"/>
        <v/>
      </c>
      <c r="M611" s="216">
        <f t="shared" ca="1" si="426"/>
        <v>0</v>
      </c>
      <c r="N611" s="216"/>
      <c r="O611" s="216"/>
      <c r="P611" s="216"/>
      <c r="Q611" s="456" t="str">
        <f t="shared" ca="1" si="427"/>
        <v/>
      </c>
      <c r="R611" s="450">
        <f t="shared" ca="1" si="428"/>
        <v>1</v>
      </c>
      <c r="S611" s="191">
        <f t="shared" si="429"/>
        <v>51</v>
      </c>
      <c r="T611" s="191">
        <f t="shared" si="430"/>
        <v>3</v>
      </c>
      <c r="U611" s="191">
        <f ca="1">OP!$D$5+$S611-1</f>
        <v>83</v>
      </c>
      <c r="V611" s="191" t="str">
        <f t="shared" si="431"/>
        <v/>
      </c>
      <c r="W611" s="350">
        <f ca="1">IF(Q611&lt;&gt;1,0,VLOOKUP(OP!$C$55,PVFB,$S611+2,0))</f>
        <v>0</v>
      </c>
      <c r="X611" s="473">
        <f t="shared" ca="1" si="444"/>
        <v>0</v>
      </c>
      <c r="Y611" s="348">
        <f t="shared" ca="1" si="445"/>
        <v>0</v>
      </c>
      <c r="Z611" s="348">
        <f t="shared" ca="1" si="446"/>
        <v>8012</v>
      </c>
      <c r="AA611" s="348">
        <f ca="1">IF(Q611&lt;&gt;1,0,VLOOKUP(OP!$C$55,PVFB,$S611+2,0))</f>
        <v>0</v>
      </c>
      <c r="AB611" s="488" t="str">
        <f ca="1">IF(AND(S611&lt;OP!$C$24,$U611&lt;15),0,IF(AND($U611&lt;15,$T611=12),ROUND(VLOOKUP($S611,DOWN16,5,0),3),IF($T611=12,ROUND(($Z611/10000)*$AA611,3)+IF(AND($P$7="購買增額繳清保險",T611=12,U611=110),VLOOKUP(S611,$B$10:$H$121,7,0),0),"")))</f>
        <v/>
      </c>
      <c r="AC611" s="350" t="str">
        <f ca="1">IF(AND(S611&lt;OP!$C$24,$U611&lt;15),0,IF(AND($U611&lt;16,$T611=12),VLOOKUP($S611,DOWN16,4,0),IF($T611=12,ROUND(VLOOKUP(OP!$C$55,_DIE2,$S611+1,0)*(Z611/10000),0)+IF(AND($P$7="購買增額繳清保險",T611=12,U611=110),VLOOKUP(S611,$B$10:$H$121,7,0),0),"")))</f>
        <v/>
      </c>
      <c r="AD611" s="347"/>
      <c r="AE611" s="350" t="str">
        <f t="shared" ca="1" si="421"/>
        <v/>
      </c>
      <c r="AF611" s="351" t="str">
        <f t="shared" ca="1" si="422"/>
        <v/>
      </c>
      <c r="AG611" s="340"/>
      <c r="AH611" s="340"/>
      <c r="AI611" s="340"/>
      <c r="AJ611" s="340"/>
      <c r="AK611" s="340"/>
      <c r="AL611" s="340"/>
      <c r="AM611" s="340"/>
      <c r="AN611" s="340"/>
      <c r="AO611" s="340"/>
      <c r="AP611" s="340"/>
      <c r="AQ611" s="340"/>
      <c r="AR611" s="340"/>
      <c r="AS611" s="340"/>
      <c r="AT611" s="340"/>
      <c r="AU611" s="340"/>
      <c r="AV611" s="340"/>
      <c r="AY611" s="340"/>
      <c r="AZ611" s="465">
        <f t="shared" ca="1" si="432"/>
        <v>7.3698599999999999E-5</v>
      </c>
      <c r="BA611" s="464">
        <f t="shared" ca="1" si="433"/>
        <v>2.2109589000000002E-3</v>
      </c>
      <c r="BB611" s="465">
        <f t="shared" ca="1" si="433"/>
        <v>2.2846575E-3</v>
      </c>
      <c r="BC611" s="466">
        <f t="shared" ca="1" si="434"/>
        <v>61210</v>
      </c>
      <c r="BD611" s="467">
        <f t="shared" ca="1" si="447"/>
        <v>61211</v>
      </c>
      <c r="BE611" s="467">
        <f t="shared" ca="1" si="435"/>
        <v>61240</v>
      </c>
      <c r="BF611" s="468">
        <f ca="1">IF(計算!$BC611&lt;OP!$C$3,0,BD611-BC611)</f>
        <v>1</v>
      </c>
      <c r="BG611" s="468">
        <f ca="1">IF($BE611&gt;DATE(YEAR($BD$9)+OP!$C$57,MONTH($BD$9),DAY($BD$9)),0,$BE611-$BD611+1)</f>
        <v>30</v>
      </c>
      <c r="BH611" s="469">
        <f t="shared" ca="1" si="436"/>
        <v>31</v>
      </c>
      <c r="BI611" t="str">
        <f t="shared" si="452"/>
        <v/>
      </c>
      <c r="BJ611">
        <v>2</v>
      </c>
      <c r="BN611" s="468">
        <f t="shared" si="448"/>
        <v>51</v>
      </c>
      <c r="BO611" s="468">
        <f t="shared" si="449"/>
        <v>2</v>
      </c>
      <c r="BP611" s="467">
        <f t="shared" ca="1" si="437"/>
        <v>61211</v>
      </c>
      <c r="BQ611" s="475">
        <f t="shared" ca="1" si="451"/>
        <v>83</v>
      </c>
      <c r="BR611" s="475" t="str">
        <f t="shared" si="450"/>
        <v/>
      </c>
      <c r="BS611" s="471" t="str">
        <f t="shared" si="438"/>
        <v/>
      </c>
      <c r="BT611" s="472" t="str">
        <f t="shared" si="453"/>
        <v/>
      </c>
      <c r="BU611" s="472">
        <f t="shared" ca="1" si="439"/>
        <v>0</v>
      </c>
      <c r="BV611" s="472">
        <f t="shared" ca="1" si="439"/>
        <v>0</v>
      </c>
      <c r="BW611" s="472"/>
      <c r="BX611" s="473">
        <f t="shared" ca="1" si="440"/>
        <v>887074.76975952496</v>
      </c>
      <c r="BY611" s="473">
        <f t="shared" si="441"/>
        <v>0</v>
      </c>
      <c r="BZ611" s="473">
        <f t="shared" ca="1" si="423"/>
        <v>2026.6620257919999</v>
      </c>
      <c r="CA611" s="476">
        <f t="shared" ca="1" si="442"/>
        <v>0</v>
      </c>
      <c r="CB611" s="494">
        <f ca="1">IF(OR($Q610&lt;&gt;1,OP!$D$5+$BN611-1&lt;16,$BN611-1&lt;1),0,ROUND(ROUND(ROUND(((VLOOKUP($BN611-1,MORE_PV,5,0)/10000)*VLOOKUP($BN611,MORE_PV,$CB$5,0)),3)*VLOOKUP($BN611,more1,5,0),0)/$R610,0))</f>
        <v>0</v>
      </c>
      <c r="CC611" s="473">
        <f t="shared" ca="1" si="443"/>
        <v>0</v>
      </c>
      <c r="CD611" s="477"/>
    </row>
    <row r="612" spans="2:82" ht="16.5" hidden="1">
      <c r="B612" s="80"/>
      <c r="C612" s="80"/>
      <c r="D612" s="80"/>
      <c r="E612" s="80"/>
      <c r="F612" s="80"/>
      <c r="G612" s="80"/>
      <c r="H612" s="80"/>
      <c r="I612" s="80"/>
      <c r="J612" s="192">
        <f t="shared" si="424"/>
        <v>51</v>
      </c>
      <c r="K612" s="192">
        <f t="shared" si="425"/>
        <v>4</v>
      </c>
      <c r="L612" s="192" t="str">
        <f t="shared" si="420"/>
        <v/>
      </c>
      <c r="M612" s="216">
        <f t="shared" ca="1" si="426"/>
        <v>0</v>
      </c>
      <c r="N612" s="216"/>
      <c r="O612" s="216"/>
      <c r="P612" s="216"/>
      <c r="Q612" s="456" t="str">
        <f t="shared" ca="1" si="427"/>
        <v/>
      </c>
      <c r="R612" s="450">
        <f t="shared" ca="1" si="428"/>
        <v>1</v>
      </c>
      <c r="S612" s="191">
        <f t="shared" si="429"/>
        <v>51</v>
      </c>
      <c r="T612" s="191">
        <f t="shared" si="430"/>
        <v>4</v>
      </c>
      <c r="U612" s="191">
        <f ca="1">OP!$D$5+$S612-1</f>
        <v>83</v>
      </c>
      <c r="V612" s="191" t="str">
        <f t="shared" si="431"/>
        <v/>
      </c>
      <c r="W612" s="350">
        <f ca="1">IF(Q612&lt;&gt;1,0,VLOOKUP(OP!$C$55,PVFB,$S612+2,0))</f>
        <v>0</v>
      </c>
      <c r="X612" s="473">
        <f t="shared" ca="1" si="444"/>
        <v>0</v>
      </c>
      <c r="Y612" s="348">
        <f t="shared" ca="1" si="445"/>
        <v>0</v>
      </c>
      <c r="Z612" s="348">
        <f t="shared" ca="1" si="446"/>
        <v>8012</v>
      </c>
      <c r="AA612" s="348">
        <f ca="1">IF(Q612&lt;&gt;1,0,VLOOKUP(OP!$C$55,PVFB,$S612+2,0))</f>
        <v>0</v>
      </c>
      <c r="AB612" s="488" t="str">
        <f ca="1">IF(AND(S612&lt;OP!$C$24,$U612&lt;15),0,IF(AND($U612&lt;15,$T612=12),ROUND(VLOOKUP($S612,DOWN16,5,0),3),IF($T612=12,ROUND(($Z612/10000)*$AA612,3)+IF(AND($P$7="購買增額繳清保險",T612=12,U612=110),VLOOKUP(S612,$B$10:$H$121,7,0),0),"")))</f>
        <v/>
      </c>
      <c r="AC612" s="350" t="str">
        <f ca="1">IF(AND(S612&lt;OP!$C$24,$U612&lt;15),0,IF(AND($U612&lt;16,$T612=12),VLOOKUP($S612,DOWN16,4,0),IF($T612=12,ROUND(VLOOKUP(OP!$C$55,_DIE2,$S612+1,0)*(Z612/10000),0)+IF(AND($P$7="購買增額繳清保險",T612=12,U612=110),VLOOKUP(S612,$B$10:$H$121,7,0),0),"")))</f>
        <v/>
      </c>
      <c r="AD612" s="347"/>
      <c r="AE612" s="350" t="str">
        <f t="shared" ca="1" si="421"/>
        <v/>
      </c>
      <c r="AF612" s="351" t="str">
        <f t="shared" ca="1" si="422"/>
        <v/>
      </c>
      <c r="AG612" s="340"/>
      <c r="AH612" s="340"/>
      <c r="AI612" s="340"/>
      <c r="AJ612" s="340"/>
      <c r="AK612" s="340"/>
      <c r="AL612" s="340"/>
      <c r="AM612" s="340"/>
      <c r="AN612" s="340"/>
      <c r="AO612" s="340"/>
      <c r="AP612" s="340"/>
      <c r="AQ612" s="340"/>
      <c r="AR612" s="340"/>
      <c r="AS612" s="340"/>
      <c r="AT612" s="340"/>
      <c r="AU612" s="340"/>
      <c r="AV612" s="340"/>
      <c r="AY612" s="340"/>
      <c r="AZ612" s="465">
        <f t="shared" ca="1" si="432"/>
        <v>7.3698599999999999E-5</v>
      </c>
      <c r="BA612" s="464">
        <f t="shared" ca="1" si="433"/>
        <v>2.1372602999999999E-3</v>
      </c>
      <c r="BB612" s="465">
        <f t="shared" ca="1" si="433"/>
        <v>2.2109589000000002E-3</v>
      </c>
      <c r="BC612" s="466">
        <f t="shared" ca="1" si="434"/>
        <v>61241</v>
      </c>
      <c r="BD612" s="467">
        <f t="shared" ca="1" si="447"/>
        <v>61242</v>
      </c>
      <c r="BE612" s="467">
        <f t="shared" ca="1" si="435"/>
        <v>61270</v>
      </c>
      <c r="BF612" s="468">
        <f ca="1">IF(計算!$BC612&lt;OP!$C$3,0,BD612-BC612)</f>
        <v>1</v>
      </c>
      <c r="BG612" s="468">
        <f ca="1">IF($BE612&gt;DATE(YEAR($BD$9)+OP!$C$57,MONTH($BD$9),DAY($BD$9)),0,$BE612-$BD612+1)</f>
        <v>29</v>
      </c>
      <c r="BH612" s="469">
        <f t="shared" ca="1" si="436"/>
        <v>30</v>
      </c>
      <c r="BI612" t="str">
        <f t="shared" si="452"/>
        <v/>
      </c>
      <c r="BJ612">
        <v>3</v>
      </c>
      <c r="BN612" s="468">
        <f t="shared" si="448"/>
        <v>51</v>
      </c>
      <c r="BO612" s="468">
        <f t="shared" si="449"/>
        <v>3</v>
      </c>
      <c r="BP612" s="467">
        <f t="shared" ca="1" si="437"/>
        <v>61242</v>
      </c>
      <c r="BQ612" s="475">
        <f t="shared" ca="1" si="451"/>
        <v>83</v>
      </c>
      <c r="BR612" s="475" t="str">
        <f t="shared" si="450"/>
        <v/>
      </c>
      <c r="BS612" s="471" t="str">
        <f t="shared" si="438"/>
        <v/>
      </c>
      <c r="BT612" s="472" t="str">
        <f t="shared" si="453"/>
        <v/>
      </c>
      <c r="BU612" s="472">
        <f t="shared" ca="1" si="439"/>
        <v>0</v>
      </c>
      <c r="BV612" s="472">
        <f t="shared" ca="1" si="439"/>
        <v>0</v>
      </c>
      <c r="BW612" s="472"/>
      <c r="BX612" s="473">
        <f t="shared" ca="1" si="440"/>
        <v>889101.43178531702</v>
      </c>
      <c r="BY612" s="473">
        <f t="shared" si="441"/>
        <v>0</v>
      </c>
      <c r="BZ612" s="473">
        <f t="shared" ca="1" si="423"/>
        <v>1965.7667236079999</v>
      </c>
      <c r="CA612" s="476">
        <f t="shared" ca="1" si="442"/>
        <v>0</v>
      </c>
      <c r="CB612" s="494">
        <f ca="1">IF(OR($Q611&lt;&gt;1,OP!$D$5+$BN612-1&lt;16,$BN612-1&lt;1),0,ROUND(ROUND(ROUND(((VLOOKUP($BN612-1,MORE_PV,5,0)/10000)*VLOOKUP($BN612,MORE_PV,$CB$5,0)),3)*VLOOKUP($BN612,more1,5,0),0)/$R611,0))</f>
        <v>0</v>
      </c>
      <c r="CC612" s="473">
        <f t="shared" ca="1" si="443"/>
        <v>0</v>
      </c>
      <c r="CD612" s="477"/>
    </row>
    <row r="613" spans="2:82" ht="16.5" hidden="1">
      <c r="B613" s="80"/>
      <c r="C613" s="80"/>
      <c r="D613" s="80"/>
      <c r="E613" s="80"/>
      <c r="F613" s="80"/>
      <c r="G613" s="80"/>
      <c r="H613" s="80"/>
      <c r="I613" s="80"/>
      <c r="J613" s="192">
        <f t="shared" si="424"/>
        <v>51</v>
      </c>
      <c r="K613" s="192">
        <f t="shared" si="425"/>
        <v>5</v>
      </c>
      <c r="L613" s="192" t="str">
        <f t="shared" si="420"/>
        <v/>
      </c>
      <c r="M613" s="216">
        <f t="shared" ca="1" si="426"/>
        <v>0</v>
      </c>
      <c r="N613" s="216"/>
      <c r="O613" s="216"/>
      <c r="P613" s="216"/>
      <c r="Q613" s="456" t="str">
        <f t="shared" ca="1" si="427"/>
        <v/>
      </c>
      <c r="R613" s="450">
        <f t="shared" ca="1" si="428"/>
        <v>1</v>
      </c>
      <c r="S613" s="191">
        <f t="shared" si="429"/>
        <v>51</v>
      </c>
      <c r="T613" s="191">
        <f t="shared" si="430"/>
        <v>5</v>
      </c>
      <c r="U613" s="191">
        <f ca="1">OP!$D$5+$S613-1</f>
        <v>83</v>
      </c>
      <c r="V613" s="191" t="str">
        <f t="shared" si="431"/>
        <v/>
      </c>
      <c r="W613" s="350">
        <f ca="1">IF(Q613&lt;&gt;1,0,VLOOKUP(OP!$C$55,PVFB,$S613+2,0))</f>
        <v>0</v>
      </c>
      <c r="X613" s="473">
        <f t="shared" ca="1" si="444"/>
        <v>0</v>
      </c>
      <c r="Y613" s="348">
        <f t="shared" ca="1" si="445"/>
        <v>0</v>
      </c>
      <c r="Z613" s="348">
        <f t="shared" ca="1" si="446"/>
        <v>8012</v>
      </c>
      <c r="AA613" s="348">
        <f ca="1">IF(Q613&lt;&gt;1,0,VLOOKUP(OP!$C$55,PVFB,$S613+2,0))</f>
        <v>0</v>
      </c>
      <c r="AB613" s="488" t="str">
        <f ca="1">IF(AND(S613&lt;OP!$C$24,$U613&lt;15),0,IF(AND($U613&lt;15,$T613=12),ROUND(VLOOKUP($S613,DOWN16,5,0),3),IF($T613=12,ROUND(($Z613/10000)*$AA613,3)+IF(AND($P$7="購買增額繳清保險",T613=12,U613=110),VLOOKUP(S613,$B$10:$H$121,7,0),0),"")))</f>
        <v/>
      </c>
      <c r="AC613" s="350" t="str">
        <f ca="1">IF(AND(S613&lt;OP!$C$24,$U613&lt;15),0,IF(AND($U613&lt;16,$T613=12),VLOOKUP($S613,DOWN16,4,0),IF($T613=12,ROUND(VLOOKUP(OP!$C$55,_DIE2,$S613+1,0)*(Z613/10000),0)+IF(AND($P$7="購買增額繳清保險",T613=12,U613=110),VLOOKUP(S613,$B$10:$H$121,7,0),0),"")))</f>
        <v/>
      </c>
      <c r="AD613" s="347"/>
      <c r="AE613" s="350" t="str">
        <f t="shared" ca="1" si="421"/>
        <v/>
      </c>
      <c r="AF613" s="351" t="str">
        <f t="shared" ca="1" si="422"/>
        <v/>
      </c>
      <c r="AG613" s="340"/>
      <c r="AH613" s="340"/>
      <c r="AI613" s="340"/>
      <c r="AJ613" s="340"/>
      <c r="AK613" s="340"/>
      <c r="AL613" s="340"/>
      <c r="AM613" s="340"/>
      <c r="AN613" s="340"/>
      <c r="AO613" s="340"/>
      <c r="AP613" s="340"/>
      <c r="AQ613" s="340"/>
      <c r="AR613" s="340"/>
      <c r="AS613" s="340"/>
      <c r="AT613" s="340"/>
      <c r="AU613" s="340"/>
      <c r="AV613" s="340"/>
      <c r="AY613" s="340"/>
      <c r="AZ613" s="465">
        <f t="shared" ca="1" si="432"/>
        <v>7.3698599999999999E-5</v>
      </c>
      <c r="BA613" s="464">
        <f t="shared" ca="1" si="433"/>
        <v>2.2109589000000002E-3</v>
      </c>
      <c r="BB613" s="465">
        <f t="shared" ca="1" si="433"/>
        <v>2.2846575E-3</v>
      </c>
      <c r="BC613" s="466">
        <f t="shared" ca="1" si="434"/>
        <v>61271</v>
      </c>
      <c r="BD613" s="467">
        <f t="shared" ca="1" si="447"/>
        <v>61272</v>
      </c>
      <c r="BE613" s="467">
        <f t="shared" ca="1" si="435"/>
        <v>61301</v>
      </c>
      <c r="BF613" s="468">
        <f ca="1">IF(計算!$BC613&lt;OP!$C$3,0,BD613-BC613)</f>
        <v>1</v>
      </c>
      <c r="BG613" s="468">
        <f ca="1">IF($BE613&gt;DATE(YEAR($BD$9)+OP!$C$57,MONTH($BD$9),DAY($BD$9)),0,$BE613-$BD613+1)</f>
        <v>30</v>
      </c>
      <c r="BH613" s="469">
        <f t="shared" ca="1" si="436"/>
        <v>31</v>
      </c>
      <c r="BI613" t="str">
        <f t="shared" si="452"/>
        <v/>
      </c>
      <c r="BJ613">
        <v>4</v>
      </c>
      <c r="BN613" s="468">
        <f t="shared" si="448"/>
        <v>51</v>
      </c>
      <c r="BO613" s="468">
        <f t="shared" si="449"/>
        <v>4</v>
      </c>
      <c r="BP613" s="467">
        <f t="shared" ca="1" si="437"/>
        <v>61272</v>
      </c>
      <c r="BQ613" s="475">
        <f t="shared" ca="1" si="451"/>
        <v>83</v>
      </c>
      <c r="BR613" s="475" t="str">
        <f t="shared" si="450"/>
        <v/>
      </c>
      <c r="BS613" s="471" t="str">
        <f t="shared" si="438"/>
        <v/>
      </c>
      <c r="BT613" s="472" t="str">
        <f t="shared" si="453"/>
        <v/>
      </c>
      <c r="BU613" s="472">
        <f t="shared" ca="1" si="439"/>
        <v>0</v>
      </c>
      <c r="BV613" s="472">
        <f t="shared" ca="1" si="439"/>
        <v>0</v>
      </c>
      <c r="BW613" s="472"/>
      <c r="BX613" s="473">
        <f t="shared" ca="1" si="440"/>
        <v>891067.19850892504</v>
      </c>
      <c r="BY613" s="473">
        <f t="shared" si="441"/>
        <v>0</v>
      </c>
      <c r="BZ613" s="473">
        <f t="shared" ca="1" si="423"/>
        <v>2035.783358077</v>
      </c>
      <c r="CA613" s="476">
        <f t="shared" ca="1" si="442"/>
        <v>0</v>
      </c>
      <c r="CB613" s="494">
        <f ca="1">IF(OR($Q612&lt;&gt;1,OP!$D$5+$BN613-1&lt;16,$BN613-1&lt;1),0,ROUND(ROUND(ROUND(((VLOOKUP($BN613-1,MORE_PV,5,0)/10000)*VLOOKUP($BN613,MORE_PV,$CB$5,0)),3)*VLOOKUP($BN613,more1,5,0),0)/$R612,0))</f>
        <v>0</v>
      </c>
      <c r="CC613" s="473">
        <f t="shared" ca="1" si="443"/>
        <v>0</v>
      </c>
      <c r="CD613" s="477"/>
    </row>
    <row r="614" spans="2:82" ht="16.5" hidden="1">
      <c r="B614" s="80"/>
      <c r="C614" s="80"/>
      <c r="D614" s="80"/>
      <c r="E614" s="80"/>
      <c r="F614" s="80"/>
      <c r="G614" s="80"/>
      <c r="H614" s="80"/>
      <c r="I614" s="80"/>
      <c r="J614" s="192">
        <f t="shared" si="424"/>
        <v>51</v>
      </c>
      <c r="K614" s="192">
        <f t="shared" si="425"/>
        <v>6</v>
      </c>
      <c r="L614" s="192" t="str">
        <f t="shared" si="420"/>
        <v/>
      </c>
      <c r="M614" s="216">
        <f t="shared" ca="1" si="426"/>
        <v>0</v>
      </c>
      <c r="N614" s="216"/>
      <c r="O614" s="216"/>
      <c r="P614" s="216"/>
      <c r="Q614" s="456" t="str">
        <f t="shared" ca="1" si="427"/>
        <v/>
      </c>
      <c r="R614" s="450">
        <f t="shared" ca="1" si="428"/>
        <v>1</v>
      </c>
      <c r="S614" s="191">
        <f t="shared" si="429"/>
        <v>51</v>
      </c>
      <c r="T614" s="191">
        <f t="shared" si="430"/>
        <v>6</v>
      </c>
      <c r="U614" s="191">
        <f ca="1">OP!$D$5+$S614-1</f>
        <v>83</v>
      </c>
      <c r="V614" s="191" t="str">
        <f t="shared" si="431"/>
        <v/>
      </c>
      <c r="W614" s="350">
        <f ca="1">IF(Q614&lt;&gt;1,0,VLOOKUP(OP!$C$55,PVFB,$S614+2,0))</f>
        <v>0</v>
      </c>
      <c r="X614" s="473">
        <f t="shared" ca="1" si="444"/>
        <v>0</v>
      </c>
      <c r="Y614" s="348">
        <f t="shared" ca="1" si="445"/>
        <v>0</v>
      </c>
      <c r="Z614" s="348">
        <f t="shared" ca="1" si="446"/>
        <v>8012</v>
      </c>
      <c r="AA614" s="348">
        <f ca="1">IF(Q614&lt;&gt;1,0,VLOOKUP(OP!$C$55,PVFB,$S614+2,0))</f>
        <v>0</v>
      </c>
      <c r="AB614" s="488" t="str">
        <f ca="1">IF(AND(S614&lt;OP!$C$24,$U614&lt;15),0,IF(AND($U614&lt;15,$T614=12),ROUND(VLOOKUP($S614,DOWN16,5,0),3),IF($T614=12,ROUND(($Z614/10000)*$AA614,3)+IF(AND($P$7="購買增額繳清保險",T614=12,U614=110),VLOOKUP(S614,$B$10:$H$121,7,0),0),"")))</f>
        <v/>
      </c>
      <c r="AC614" s="350" t="str">
        <f ca="1">IF(AND(S614&lt;OP!$C$24,$U614&lt;15),0,IF(AND($U614&lt;16,$T614=12),VLOOKUP($S614,DOWN16,4,0),IF($T614=12,ROUND(VLOOKUP(OP!$C$55,_DIE2,$S614+1,0)*(Z614/10000),0)+IF(AND($P$7="購買增額繳清保險",T614=12,U614=110),VLOOKUP(S614,$B$10:$H$121,7,0),0),"")))</f>
        <v/>
      </c>
      <c r="AD614" s="347"/>
      <c r="AE614" s="350" t="str">
        <f t="shared" ca="1" si="421"/>
        <v/>
      </c>
      <c r="AF614" s="351" t="str">
        <f t="shared" ca="1" si="422"/>
        <v/>
      </c>
      <c r="AG614" s="340"/>
      <c r="AH614" s="340"/>
      <c r="AI614" s="340"/>
      <c r="AJ614" s="340"/>
      <c r="AK614" s="340"/>
      <c r="AL614" s="340"/>
      <c r="AM614" s="340"/>
      <c r="AN614" s="340"/>
      <c r="AO614" s="340"/>
      <c r="AP614" s="340"/>
      <c r="AQ614" s="340"/>
      <c r="AR614" s="340"/>
      <c r="AS614" s="340"/>
      <c r="AT614" s="340"/>
      <c r="AU614" s="340"/>
      <c r="AV614" s="340"/>
      <c r="AY614" s="340"/>
      <c r="AZ614" s="465">
        <f t="shared" ca="1" si="432"/>
        <v>7.3698599999999999E-5</v>
      </c>
      <c r="BA614" s="464">
        <f t="shared" ca="1" si="433"/>
        <v>2.1372602999999999E-3</v>
      </c>
      <c r="BB614" s="465">
        <f t="shared" ca="1" si="433"/>
        <v>2.2109589000000002E-3</v>
      </c>
      <c r="BC614" s="466">
        <f t="shared" ca="1" si="434"/>
        <v>61302</v>
      </c>
      <c r="BD614" s="467">
        <f t="shared" ca="1" si="447"/>
        <v>61303</v>
      </c>
      <c r="BE614" s="467">
        <f t="shared" ca="1" si="435"/>
        <v>61331</v>
      </c>
      <c r="BF614" s="468">
        <f ca="1">IF(計算!$BC614&lt;OP!$C$3,0,BD614-BC614)</f>
        <v>1</v>
      </c>
      <c r="BG614" s="468">
        <f ca="1">IF($BE614&gt;DATE(YEAR($BD$9)+OP!$C$57,MONTH($BD$9),DAY($BD$9)),0,$BE614-$BD614+1)</f>
        <v>29</v>
      </c>
      <c r="BH614" s="469">
        <f t="shared" ca="1" si="436"/>
        <v>30</v>
      </c>
      <c r="BI614" t="str">
        <f t="shared" si="452"/>
        <v/>
      </c>
      <c r="BJ614">
        <v>5</v>
      </c>
      <c r="BN614" s="468">
        <f t="shared" si="448"/>
        <v>51</v>
      </c>
      <c r="BO614" s="468">
        <f t="shared" si="449"/>
        <v>5</v>
      </c>
      <c r="BP614" s="467">
        <f t="shared" ca="1" si="437"/>
        <v>61303</v>
      </c>
      <c r="BQ614" s="475">
        <f t="shared" ca="1" si="451"/>
        <v>83</v>
      </c>
      <c r="BR614" s="475" t="str">
        <f t="shared" si="450"/>
        <v/>
      </c>
      <c r="BS614" s="471" t="str">
        <f t="shared" si="438"/>
        <v/>
      </c>
      <c r="BT614" s="472" t="str">
        <f t="shared" si="453"/>
        <v/>
      </c>
      <c r="BU614" s="472">
        <f t="shared" ca="1" si="439"/>
        <v>0</v>
      </c>
      <c r="BV614" s="472">
        <f t="shared" ca="1" si="439"/>
        <v>0</v>
      </c>
      <c r="BW614" s="472"/>
      <c r="BX614" s="473">
        <f t="shared" ca="1" si="440"/>
        <v>893102.98186700197</v>
      </c>
      <c r="BY614" s="473">
        <f t="shared" si="441"/>
        <v>0</v>
      </c>
      <c r="BZ614" s="473">
        <f t="shared" ca="1" si="423"/>
        <v>1974.613986375</v>
      </c>
      <c r="CA614" s="476">
        <f t="shared" ca="1" si="442"/>
        <v>0</v>
      </c>
      <c r="CB614" s="494">
        <f ca="1">IF(OR($Q613&lt;&gt;1,OP!$D$5+$BN614-1&lt;16,$BN614-1&lt;1),0,ROUND(ROUND(ROUND(((VLOOKUP($BN614-1,MORE_PV,5,0)/10000)*VLOOKUP($BN614,MORE_PV,$CB$5,0)),3)*VLOOKUP($BN614,more1,5,0),0)/$R613,0))</f>
        <v>0</v>
      </c>
      <c r="CC614" s="473">
        <f t="shared" ca="1" si="443"/>
        <v>0</v>
      </c>
      <c r="CD614" s="477"/>
    </row>
    <row r="615" spans="2:82" ht="16.5" hidden="1">
      <c r="B615" s="80"/>
      <c r="C615" s="80"/>
      <c r="D615" s="80"/>
      <c r="E615" s="80"/>
      <c r="F615" s="80"/>
      <c r="G615" s="80"/>
      <c r="H615" s="80"/>
      <c r="I615" s="80"/>
      <c r="J615" s="192">
        <f t="shared" si="424"/>
        <v>51</v>
      </c>
      <c r="K615" s="192">
        <f t="shared" si="425"/>
        <v>7</v>
      </c>
      <c r="L615" s="192" t="str">
        <f t="shared" si="420"/>
        <v/>
      </c>
      <c r="M615" s="216">
        <f t="shared" ca="1" si="426"/>
        <v>0</v>
      </c>
      <c r="N615" s="216"/>
      <c r="O615" s="216"/>
      <c r="P615" s="216"/>
      <c r="Q615" s="456" t="str">
        <f t="shared" ca="1" si="427"/>
        <v/>
      </c>
      <c r="R615" s="450">
        <f t="shared" ca="1" si="428"/>
        <v>1</v>
      </c>
      <c r="S615" s="191">
        <f t="shared" si="429"/>
        <v>51</v>
      </c>
      <c r="T615" s="191">
        <f t="shared" si="430"/>
        <v>7</v>
      </c>
      <c r="U615" s="191">
        <f ca="1">OP!$D$5+$S615-1</f>
        <v>83</v>
      </c>
      <c r="V615" s="191" t="str">
        <f t="shared" si="431"/>
        <v/>
      </c>
      <c r="W615" s="350">
        <f ca="1">IF(Q615&lt;&gt;1,0,VLOOKUP(OP!$C$55,PVFB,$S615+2,0))</f>
        <v>0</v>
      </c>
      <c r="X615" s="473">
        <f t="shared" ca="1" si="444"/>
        <v>0</v>
      </c>
      <c r="Y615" s="348">
        <f t="shared" ca="1" si="445"/>
        <v>0</v>
      </c>
      <c r="Z615" s="348">
        <f t="shared" ca="1" si="446"/>
        <v>8012</v>
      </c>
      <c r="AA615" s="348">
        <f ca="1">IF(Q615&lt;&gt;1,0,VLOOKUP(OP!$C$55,PVFB,$S615+2,0))</f>
        <v>0</v>
      </c>
      <c r="AB615" s="488" t="str">
        <f ca="1">IF(AND(S615&lt;OP!$C$24,$U615&lt;15),0,IF(AND($U615&lt;15,$T615=12),ROUND(VLOOKUP($S615,DOWN16,5,0),3),IF($T615=12,ROUND(($Z615/10000)*$AA615,3)+IF(AND($P$7="購買增額繳清保險",T615=12,U615=110),VLOOKUP(S615,$B$10:$H$121,7,0),0),"")))</f>
        <v/>
      </c>
      <c r="AC615" s="350" t="str">
        <f ca="1">IF(AND(S615&lt;OP!$C$24,$U615&lt;15),0,IF(AND($U615&lt;16,$T615=12),VLOOKUP($S615,DOWN16,4,0),IF($T615=12,ROUND(VLOOKUP(OP!$C$55,_DIE2,$S615+1,0)*(Z615/10000),0)+IF(AND($P$7="購買增額繳清保險",T615=12,U615=110),VLOOKUP(S615,$B$10:$H$121,7,0),0),"")))</f>
        <v/>
      </c>
      <c r="AD615" s="347"/>
      <c r="AE615" s="350" t="str">
        <f t="shared" ca="1" si="421"/>
        <v/>
      </c>
      <c r="AF615" s="351" t="str">
        <f t="shared" ca="1" si="422"/>
        <v/>
      </c>
      <c r="AG615" s="340"/>
      <c r="AH615" s="340"/>
      <c r="AI615" s="340"/>
      <c r="AJ615" s="340"/>
      <c r="AK615" s="340"/>
      <c r="AL615" s="340"/>
      <c r="AM615" s="340"/>
      <c r="AN615" s="340"/>
      <c r="AO615" s="340"/>
      <c r="AP615" s="340"/>
      <c r="AQ615" s="340"/>
      <c r="AR615" s="340"/>
      <c r="AS615" s="340"/>
      <c r="AT615" s="340"/>
      <c r="AU615" s="340"/>
      <c r="AV615" s="340"/>
      <c r="AY615" s="340"/>
      <c r="AZ615" s="465">
        <f t="shared" ca="1" si="432"/>
        <v>7.3698599999999999E-5</v>
      </c>
      <c r="BA615" s="464">
        <f t="shared" ca="1" si="433"/>
        <v>2.2109589000000002E-3</v>
      </c>
      <c r="BB615" s="465">
        <f t="shared" ca="1" si="433"/>
        <v>2.2846575E-3</v>
      </c>
      <c r="BC615" s="466">
        <f t="shared" ca="1" si="434"/>
        <v>61332</v>
      </c>
      <c r="BD615" s="467">
        <f t="shared" ca="1" si="447"/>
        <v>61333</v>
      </c>
      <c r="BE615" s="467">
        <f t="shared" ca="1" si="435"/>
        <v>61362</v>
      </c>
      <c r="BF615" s="468">
        <f ca="1">IF(計算!$BC615&lt;OP!$C$3,0,BD615-BC615)</f>
        <v>1</v>
      </c>
      <c r="BG615" s="468">
        <f ca="1">IF($BE615&gt;DATE(YEAR($BD$9)+OP!$C$57,MONTH($BD$9),DAY($BD$9)),0,$BE615-$BD615+1)</f>
        <v>30</v>
      </c>
      <c r="BH615" s="469">
        <f t="shared" ca="1" si="436"/>
        <v>31</v>
      </c>
      <c r="BI615" t="str">
        <f t="shared" si="452"/>
        <v/>
      </c>
      <c r="BJ615">
        <v>6</v>
      </c>
      <c r="BN615" s="468">
        <f t="shared" si="448"/>
        <v>51</v>
      </c>
      <c r="BO615" s="468">
        <f t="shared" si="449"/>
        <v>6</v>
      </c>
      <c r="BP615" s="467">
        <f t="shared" ca="1" si="437"/>
        <v>61333</v>
      </c>
      <c r="BQ615" s="475">
        <f t="shared" ca="1" si="451"/>
        <v>83</v>
      </c>
      <c r="BR615" s="475" t="str">
        <f t="shared" si="450"/>
        <v/>
      </c>
      <c r="BS615" s="471" t="str">
        <f t="shared" si="438"/>
        <v/>
      </c>
      <c r="BT615" s="472" t="str">
        <f t="shared" si="453"/>
        <v/>
      </c>
      <c r="BU615" s="472">
        <f t="shared" ca="1" si="439"/>
        <v>0</v>
      </c>
      <c r="BV615" s="472">
        <f t="shared" ca="1" si="439"/>
        <v>0</v>
      </c>
      <c r="BW615" s="472"/>
      <c r="BX615" s="473">
        <f t="shared" ca="1" si="440"/>
        <v>895077.59585337702</v>
      </c>
      <c r="BY615" s="473">
        <f t="shared" si="441"/>
        <v>0</v>
      </c>
      <c r="BZ615" s="473">
        <f t="shared" ca="1" si="423"/>
        <v>2044.9457424479999</v>
      </c>
      <c r="CA615" s="476">
        <f t="shared" ca="1" si="442"/>
        <v>0</v>
      </c>
      <c r="CB615" s="494">
        <f ca="1">IF(OR($Q614&lt;&gt;1,OP!$D$5+$BN615-1&lt;16,$BN615-1&lt;1),0,ROUND(ROUND(ROUND(((VLOOKUP($BN615-1,MORE_PV,5,0)/10000)*VLOOKUP($BN615,MORE_PV,$CB$5,0)),3)*VLOOKUP($BN615,more1,5,0),0)/$R614,0))</f>
        <v>0</v>
      </c>
      <c r="CC615" s="473">
        <f t="shared" ca="1" si="443"/>
        <v>0</v>
      </c>
      <c r="CD615" s="477"/>
    </row>
    <row r="616" spans="2:82" ht="16.5" hidden="1">
      <c r="B616" s="80"/>
      <c r="C616" s="80"/>
      <c r="D616" s="80"/>
      <c r="E616" s="80"/>
      <c r="F616" s="80"/>
      <c r="G616" s="80"/>
      <c r="H616" s="80"/>
      <c r="I616" s="80"/>
      <c r="J616" s="192">
        <f t="shared" si="424"/>
        <v>51</v>
      </c>
      <c r="K616" s="192">
        <f t="shared" si="425"/>
        <v>8</v>
      </c>
      <c r="L616" s="192" t="str">
        <f t="shared" si="420"/>
        <v/>
      </c>
      <c r="M616" s="216">
        <f t="shared" ca="1" si="426"/>
        <v>0</v>
      </c>
      <c r="N616" s="216"/>
      <c r="O616" s="216"/>
      <c r="P616" s="216"/>
      <c r="Q616" s="456" t="str">
        <f t="shared" ca="1" si="427"/>
        <v/>
      </c>
      <c r="R616" s="450">
        <f t="shared" ca="1" si="428"/>
        <v>1</v>
      </c>
      <c r="S616" s="191">
        <f t="shared" si="429"/>
        <v>51</v>
      </c>
      <c r="T616" s="191">
        <f t="shared" si="430"/>
        <v>8</v>
      </c>
      <c r="U616" s="191">
        <f ca="1">OP!$D$5+$S616-1</f>
        <v>83</v>
      </c>
      <c r="V616" s="191" t="str">
        <f t="shared" si="431"/>
        <v/>
      </c>
      <c r="W616" s="350">
        <f ca="1">IF(Q616&lt;&gt;1,0,VLOOKUP(OP!$C$55,PVFB,$S616+2,0))</f>
        <v>0</v>
      </c>
      <c r="X616" s="473">
        <f t="shared" ca="1" si="444"/>
        <v>0</v>
      </c>
      <c r="Y616" s="348">
        <f t="shared" ca="1" si="445"/>
        <v>0</v>
      </c>
      <c r="Z616" s="348">
        <f t="shared" ca="1" si="446"/>
        <v>8012</v>
      </c>
      <c r="AA616" s="348">
        <f ca="1">IF(Q616&lt;&gt;1,0,VLOOKUP(OP!$C$55,PVFB,$S616+2,0))</f>
        <v>0</v>
      </c>
      <c r="AB616" s="488" t="str">
        <f ca="1">IF(AND(S616&lt;OP!$C$24,$U616&lt;15),0,IF(AND($U616&lt;15,$T616=12),ROUND(VLOOKUP($S616,DOWN16,5,0),3),IF($T616=12,ROUND(($Z616/10000)*$AA616,3)+IF(AND($P$7="購買增額繳清保險",T616=12,U616=110),VLOOKUP(S616,$B$10:$H$121,7,0),0),"")))</f>
        <v/>
      </c>
      <c r="AC616" s="350" t="str">
        <f ca="1">IF(AND(S616&lt;OP!$C$24,$U616&lt;15),0,IF(AND($U616&lt;16,$T616=12),VLOOKUP($S616,DOWN16,4,0),IF($T616=12,ROUND(VLOOKUP(OP!$C$55,_DIE2,$S616+1,0)*(Z616/10000),0)+IF(AND($P$7="購買增額繳清保險",T616=12,U616=110),VLOOKUP(S616,$B$10:$H$121,7,0),0),"")))</f>
        <v/>
      </c>
      <c r="AD616" s="347"/>
      <c r="AE616" s="350" t="str">
        <f t="shared" ca="1" si="421"/>
        <v/>
      </c>
      <c r="AF616" s="351" t="str">
        <f t="shared" ca="1" si="422"/>
        <v/>
      </c>
      <c r="AG616" s="340"/>
      <c r="AH616" s="340"/>
      <c r="AI616" s="340"/>
      <c r="AJ616" s="340"/>
      <c r="AK616" s="340"/>
      <c r="AL616" s="340"/>
      <c r="AM616" s="340"/>
      <c r="AN616" s="340"/>
      <c r="AO616" s="340"/>
      <c r="AP616" s="340"/>
      <c r="AQ616" s="340"/>
      <c r="AR616" s="340"/>
      <c r="AS616" s="340"/>
      <c r="AT616" s="340"/>
      <c r="AU616" s="340"/>
      <c r="AV616" s="340"/>
      <c r="AY616" s="340"/>
      <c r="AZ616" s="465">
        <f t="shared" ca="1" si="432"/>
        <v>7.3698599999999999E-5</v>
      </c>
      <c r="BA616" s="464">
        <f t="shared" ca="1" si="433"/>
        <v>2.2109589000000002E-3</v>
      </c>
      <c r="BB616" s="465">
        <f t="shared" ca="1" si="433"/>
        <v>2.2846575E-3</v>
      </c>
      <c r="BC616" s="466">
        <f t="shared" ca="1" si="434"/>
        <v>61363</v>
      </c>
      <c r="BD616" s="467">
        <f t="shared" ca="1" si="447"/>
        <v>61364</v>
      </c>
      <c r="BE616" s="467">
        <f t="shared" ca="1" si="435"/>
        <v>61393</v>
      </c>
      <c r="BF616" s="468">
        <f ca="1">IF(計算!$BC616&lt;OP!$C$3,0,BD616-BC616)</f>
        <v>1</v>
      </c>
      <c r="BG616" s="468">
        <f ca="1">IF($BE616&gt;DATE(YEAR($BD$9)+OP!$C$57,MONTH($BD$9),DAY($BD$9)),0,$BE616-$BD616+1)</f>
        <v>30</v>
      </c>
      <c r="BH616" s="469">
        <f t="shared" ca="1" si="436"/>
        <v>31</v>
      </c>
      <c r="BI616" t="str">
        <f t="shared" si="452"/>
        <v/>
      </c>
      <c r="BJ616">
        <v>7</v>
      </c>
      <c r="BN616" s="468">
        <f t="shared" si="448"/>
        <v>51</v>
      </c>
      <c r="BO616" s="468">
        <f t="shared" si="449"/>
        <v>7</v>
      </c>
      <c r="BP616" s="467">
        <f t="shared" ca="1" si="437"/>
        <v>61364</v>
      </c>
      <c r="BQ616" s="475">
        <f t="shared" ca="1" si="451"/>
        <v>83</v>
      </c>
      <c r="BR616" s="475" t="str">
        <f t="shared" si="450"/>
        <v/>
      </c>
      <c r="BS616" s="471" t="str">
        <f t="shared" si="438"/>
        <v/>
      </c>
      <c r="BT616" s="472" t="str">
        <f t="shared" si="453"/>
        <v/>
      </c>
      <c r="BU616" s="472">
        <f t="shared" ca="1" si="439"/>
        <v>0</v>
      </c>
      <c r="BV616" s="472">
        <f t="shared" ca="1" si="439"/>
        <v>0</v>
      </c>
      <c r="BW616" s="472"/>
      <c r="BX616" s="473">
        <f t="shared" ca="1" si="440"/>
        <v>897122.54159582499</v>
      </c>
      <c r="BY616" s="473">
        <f t="shared" si="441"/>
        <v>0</v>
      </c>
      <c r="BZ616" s="473">
        <f t="shared" ca="1" si="423"/>
        <v>2049.6177430759999</v>
      </c>
      <c r="CA616" s="476">
        <f t="shared" ca="1" si="442"/>
        <v>0</v>
      </c>
      <c r="CB616" s="494">
        <f ca="1">IF(OR($Q615&lt;&gt;1,OP!$D$5+$BN616-1&lt;16,$BN616-1&lt;1),0,ROUND(ROUND(ROUND(((VLOOKUP($BN616-1,MORE_PV,5,0)/10000)*VLOOKUP($BN616,MORE_PV,$CB$5,0)),3)*VLOOKUP($BN616,more1,5,0),0)/$R615,0))</f>
        <v>0</v>
      </c>
      <c r="CC616" s="473">
        <f t="shared" ca="1" si="443"/>
        <v>0</v>
      </c>
      <c r="CD616" s="477"/>
    </row>
    <row r="617" spans="2:82" ht="16.5" hidden="1">
      <c r="B617" s="80"/>
      <c r="C617" s="80"/>
      <c r="D617" s="80"/>
      <c r="E617" s="80"/>
      <c r="F617" s="80"/>
      <c r="G617" s="80"/>
      <c r="H617" s="80"/>
      <c r="I617" s="80"/>
      <c r="J617" s="192">
        <f t="shared" si="424"/>
        <v>51</v>
      </c>
      <c r="K617" s="192">
        <f t="shared" si="425"/>
        <v>9</v>
      </c>
      <c r="L617" s="192" t="str">
        <f t="shared" si="420"/>
        <v/>
      </c>
      <c r="M617" s="216">
        <f t="shared" ca="1" si="426"/>
        <v>0</v>
      </c>
      <c r="N617" s="216"/>
      <c r="O617" s="216"/>
      <c r="P617" s="216"/>
      <c r="Q617" s="456" t="str">
        <f t="shared" ca="1" si="427"/>
        <v/>
      </c>
      <c r="R617" s="450">
        <f t="shared" ca="1" si="428"/>
        <v>1</v>
      </c>
      <c r="S617" s="191">
        <f t="shared" si="429"/>
        <v>51</v>
      </c>
      <c r="T617" s="191">
        <f t="shared" si="430"/>
        <v>9</v>
      </c>
      <c r="U617" s="191">
        <f ca="1">OP!$D$5+$S617-1</f>
        <v>83</v>
      </c>
      <c r="V617" s="191" t="str">
        <f t="shared" si="431"/>
        <v/>
      </c>
      <c r="W617" s="350">
        <f ca="1">IF(Q617&lt;&gt;1,0,VLOOKUP(OP!$C$55,PVFB,$S617+2,0))</f>
        <v>0</v>
      </c>
      <c r="X617" s="473">
        <f t="shared" ca="1" si="444"/>
        <v>0</v>
      </c>
      <c r="Y617" s="348">
        <f t="shared" ca="1" si="445"/>
        <v>0</v>
      </c>
      <c r="Z617" s="348">
        <f t="shared" ca="1" si="446"/>
        <v>8012</v>
      </c>
      <c r="AA617" s="348">
        <f ca="1">IF(Q617&lt;&gt;1,0,VLOOKUP(OP!$C$55,PVFB,$S617+2,0))</f>
        <v>0</v>
      </c>
      <c r="AB617" s="488" t="str">
        <f ca="1">IF(AND(S617&lt;OP!$C$24,$U617&lt;15),0,IF(AND($U617&lt;15,$T617=12),ROUND(VLOOKUP($S617,DOWN16,5,0),3),IF($T617=12,ROUND(($Z617/10000)*$AA617,3)+IF(AND($P$7="購買增額繳清保險",T617=12,U617=110),VLOOKUP(S617,$B$10:$H$121,7,0),0),"")))</f>
        <v/>
      </c>
      <c r="AC617" s="350" t="str">
        <f ca="1">IF(AND(S617&lt;OP!$C$24,$U617&lt;15),0,IF(AND($U617&lt;16,$T617=12),VLOOKUP($S617,DOWN16,4,0),IF($T617=12,ROUND(VLOOKUP(OP!$C$55,_DIE2,$S617+1,0)*(Z617/10000),0)+IF(AND($P$7="購買增額繳清保險",T617=12,U617=110),VLOOKUP(S617,$B$10:$H$121,7,0),0),"")))</f>
        <v/>
      </c>
      <c r="AD617" s="347"/>
      <c r="AE617" s="350" t="str">
        <f t="shared" ca="1" si="421"/>
        <v/>
      </c>
      <c r="AF617" s="351" t="str">
        <f t="shared" ca="1" si="422"/>
        <v/>
      </c>
      <c r="AG617" s="340"/>
      <c r="AH617" s="340"/>
      <c r="AI617" s="340"/>
      <c r="AJ617" s="340"/>
      <c r="AK617" s="340"/>
      <c r="AL617" s="340"/>
      <c r="AM617" s="340"/>
      <c r="AN617" s="340"/>
      <c r="AO617" s="340"/>
      <c r="AP617" s="340"/>
      <c r="AQ617" s="340"/>
      <c r="AR617" s="340"/>
      <c r="AS617" s="340"/>
      <c r="AT617" s="340"/>
      <c r="AU617" s="340"/>
      <c r="AV617" s="340"/>
      <c r="AY617" s="340"/>
      <c r="AZ617" s="465">
        <f t="shared" ca="1" si="432"/>
        <v>7.3698599999999999E-5</v>
      </c>
      <c r="BA617" s="464">
        <f t="shared" ca="1" si="433"/>
        <v>2.0635616E-3</v>
      </c>
      <c r="BB617" s="465">
        <f t="shared" ca="1" si="433"/>
        <v>2.1372602999999999E-3</v>
      </c>
      <c r="BC617" s="466">
        <f t="shared" ca="1" si="434"/>
        <v>61394</v>
      </c>
      <c r="BD617" s="467">
        <f t="shared" ca="1" si="447"/>
        <v>61395</v>
      </c>
      <c r="BE617" s="467">
        <f t="shared" ca="1" si="435"/>
        <v>61422</v>
      </c>
      <c r="BF617" s="468">
        <f ca="1">IF(計算!$BC617&lt;OP!$C$3,0,BD617-BC617)</f>
        <v>1</v>
      </c>
      <c r="BG617" s="468">
        <f ca="1">IF($BE617&gt;DATE(YEAR($BD$9)+OP!$C$57,MONTH($BD$9),DAY($BD$9)),0,$BE617-$BD617+1)</f>
        <v>28</v>
      </c>
      <c r="BH617" s="469">
        <f t="shared" ca="1" si="436"/>
        <v>29</v>
      </c>
      <c r="BI617" t="str">
        <f t="shared" si="452"/>
        <v/>
      </c>
      <c r="BJ617">
        <v>8</v>
      </c>
      <c r="BN617" s="468">
        <f t="shared" si="448"/>
        <v>51</v>
      </c>
      <c r="BO617" s="468">
        <f t="shared" si="449"/>
        <v>8</v>
      </c>
      <c r="BP617" s="467">
        <f t="shared" ca="1" si="437"/>
        <v>61395</v>
      </c>
      <c r="BQ617" s="475">
        <f t="shared" ca="1" si="451"/>
        <v>83</v>
      </c>
      <c r="BR617" s="475" t="str">
        <f t="shared" si="450"/>
        <v/>
      </c>
      <c r="BS617" s="471" t="str">
        <f t="shared" si="438"/>
        <v/>
      </c>
      <c r="BT617" s="472" t="str">
        <f t="shared" si="453"/>
        <v/>
      </c>
      <c r="BU617" s="472">
        <f t="shared" ca="1" si="439"/>
        <v>0</v>
      </c>
      <c r="BV617" s="472">
        <f t="shared" ca="1" si="439"/>
        <v>0</v>
      </c>
      <c r="BW617" s="472"/>
      <c r="BX617" s="473">
        <f t="shared" ca="1" si="440"/>
        <v>899172.15933890105</v>
      </c>
      <c r="BY617" s="473">
        <f t="shared" si="441"/>
        <v>0</v>
      </c>
      <c r="BZ617" s="473">
        <f t="shared" ca="1" si="423"/>
        <v>1921.7649590200001</v>
      </c>
      <c r="CA617" s="476">
        <f t="shared" ca="1" si="442"/>
        <v>0</v>
      </c>
      <c r="CB617" s="494">
        <f ca="1">IF(OR($Q616&lt;&gt;1,OP!$D$5+$BN617-1&lt;16,$BN617-1&lt;1),0,ROUND(ROUND(ROUND(((VLOOKUP($BN617-1,MORE_PV,5,0)/10000)*VLOOKUP($BN617,MORE_PV,$CB$5,0)),3)*VLOOKUP($BN617,more1,5,0),0)/$R616,0))</f>
        <v>0</v>
      </c>
      <c r="CC617" s="473">
        <f t="shared" ca="1" si="443"/>
        <v>0</v>
      </c>
      <c r="CD617" s="477"/>
    </row>
    <row r="618" spans="2:82" ht="16.5" hidden="1">
      <c r="B618" s="80"/>
      <c r="C618" s="80"/>
      <c r="D618" s="80"/>
      <c r="E618" s="80"/>
      <c r="F618" s="80"/>
      <c r="G618" s="80"/>
      <c r="H618" s="80"/>
      <c r="I618" s="80"/>
      <c r="J618" s="192">
        <f t="shared" si="424"/>
        <v>51</v>
      </c>
      <c r="K618" s="192">
        <f t="shared" si="425"/>
        <v>10</v>
      </c>
      <c r="L618" s="192" t="str">
        <f t="shared" si="420"/>
        <v/>
      </c>
      <c r="M618" s="216">
        <f t="shared" ca="1" si="426"/>
        <v>0</v>
      </c>
      <c r="N618" s="216"/>
      <c r="O618" s="216"/>
      <c r="P618" s="216"/>
      <c r="Q618" s="456" t="str">
        <f t="shared" ca="1" si="427"/>
        <v/>
      </c>
      <c r="R618" s="450">
        <f t="shared" ca="1" si="428"/>
        <v>1</v>
      </c>
      <c r="S618" s="191">
        <f t="shared" si="429"/>
        <v>51</v>
      </c>
      <c r="T618" s="191">
        <f t="shared" si="430"/>
        <v>10</v>
      </c>
      <c r="U618" s="191">
        <f ca="1">OP!$D$5+$S618-1</f>
        <v>83</v>
      </c>
      <c r="V618" s="191" t="str">
        <f t="shared" si="431"/>
        <v/>
      </c>
      <c r="W618" s="350">
        <f ca="1">IF(Q618&lt;&gt;1,0,VLOOKUP(OP!$C$55,PVFB,$S618+2,0))</f>
        <v>0</v>
      </c>
      <c r="X618" s="473">
        <f t="shared" ca="1" si="444"/>
        <v>0</v>
      </c>
      <c r="Y618" s="348">
        <f t="shared" ca="1" si="445"/>
        <v>0</v>
      </c>
      <c r="Z618" s="348">
        <f t="shared" ca="1" si="446"/>
        <v>8012</v>
      </c>
      <c r="AA618" s="348">
        <f ca="1">IF(Q618&lt;&gt;1,0,VLOOKUP(OP!$C$55,PVFB,$S618+2,0))</f>
        <v>0</v>
      </c>
      <c r="AB618" s="488" t="str">
        <f ca="1">IF(AND(S618&lt;OP!$C$24,$U618&lt;15),0,IF(AND($U618&lt;15,$T618=12),ROUND(VLOOKUP($S618,DOWN16,5,0),3),IF($T618=12,ROUND(($Z618/10000)*$AA618,3)+IF(AND($P$7="購買增額繳清保險",T618=12,U618=110),VLOOKUP(S618,$B$10:$H$121,7,0),0),"")))</f>
        <v/>
      </c>
      <c r="AC618" s="350" t="str">
        <f ca="1">IF(AND(S618&lt;OP!$C$24,$U618&lt;15),0,IF(AND($U618&lt;16,$T618=12),VLOOKUP($S618,DOWN16,4,0),IF($T618=12,ROUND(VLOOKUP(OP!$C$55,_DIE2,$S618+1,0)*(Z618/10000),0)+IF(AND($P$7="購買增額繳清保險",T618=12,U618=110),VLOOKUP(S618,$B$10:$H$121,7,0),0),"")))</f>
        <v/>
      </c>
      <c r="AD618" s="347"/>
      <c r="AE618" s="350" t="str">
        <f t="shared" ca="1" si="421"/>
        <v/>
      </c>
      <c r="AF618" s="351" t="str">
        <f t="shared" ca="1" si="422"/>
        <v/>
      </c>
      <c r="AG618" s="340"/>
      <c r="AH618" s="340"/>
      <c r="AI618" s="340"/>
      <c r="AJ618" s="340"/>
      <c r="AK618" s="340"/>
      <c r="AL618" s="340"/>
      <c r="AM618" s="340"/>
      <c r="AN618" s="340"/>
      <c r="AO618" s="340"/>
      <c r="AP618" s="340"/>
      <c r="AQ618" s="340"/>
      <c r="AR618" s="340"/>
      <c r="AS618" s="340"/>
      <c r="AT618" s="340"/>
      <c r="AU618" s="340"/>
      <c r="AV618" s="340"/>
      <c r="AY618" s="340"/>
      <c r="AZ618" s="465">
        <f t="shared" ca="1" si="432"/>
        <v>7.3698599999999999E-5</v>
      </c>
      <c r="BA618" s="464">
        <f t="shared" ca="1" si="433"/>
        <v>2.2109589000000002E-3</v>
      </c>
      <c r="BB618" s="465">
        <f t="shared" ca="1" si="433"/>
        <v>2.2846575E-3</v>
      </c>
      <c r="BC618" s="466">
        <f t="shared" ca="1" si="434"/>
        <v>61423</v>
      </c>
      <c r="BD618" s="467">
        <f t="shared" ca="1" si="447"/>
        <v>61424</v>
      </c>
      <c r="BE618" s="467">
        <f t="shared" ca="1" si="435"/>
        <v>61453</v>
      </c>
      <c r="BF618" s="468">
        <f ca="1">IF(計算!$BC618&lt;OP!$C$3,0,BD618-BC618)</f>
        <v>1</v>
      </c>
      <c r="BG618" s="468">
        <f ca="1">IF($BE618&gt;DATE(YEAR($BD$9)+OP!$C$57,MONTH($BD$9),DAY($BD$9)),0,$BE618-$BD618+1)</f>
        <v>30</v>
      </c>
      <c r="BH618" s="469">
        <f t="shared" ca="1" si="436"/>
        <v>31</v>
      </c>
      <c r="BI618" t="str">
        <f t="shared" si="452"/>
        <v/>
      </c>
      <c r="BJ618">
        <v>9</v>
      </c>
      <c r="BN618" s="468">
        <f t="shared" si="448"/>
        <v>51</v>
      </c>
      <c r="BO618" s="468">
        <f t="shared" si="449"/>
        <v>9</v>
      </c>
      <c r="BP618" s="467">
        <f t="shared" ca="1" si="437"/>
        <v>61424</v>
      </c>
      <c r="BQ618" s="475">
        <f t="shared" ca="1" si="451"/>
        <v>83</v>
      </c>
      <c r="BR618" s="475" t="str">
        <f t="shared" si="450"/>
        <v/>
      </c>
      <c r="BS618" s="471" t="str">
        <f t="shared" si="438"/>
        <v/>
      </c>
      <c r="BT618" s="472" t="str">
        <f t="shared" si="453"/>
        <v/>
      </c>
      <c r="BU618" s="472">
        <f t="shared" ca="1" si="439"/>
        <v>0</v>
      </c>
      <c r="BV618" s="472">
        <f t="shared" ca="1" si="439"/>
        <v>0</v>
      </c>
      <c r="BW618" s="472"/>
      <c r="BX618" s="473">
        <f t="shared" ca="1" si="440"/>
        <v>901093.92429792101</v>
      </c>
      <c r="BY618" s="473">
        <f t="shared" si="441"/>
        <v>0</v>
      </c>
      <c r="BZ618" s="473">
        <f t="shared" ca="1" si="423"/>
        <v>2058.6909923520002</v>
      </c>
      <c r="CA618" s="476">
        <f t="shared" ca="1" si="442"/>
        <v>0</v>
      </c>
      <c r="CB618" s="494">
        <f ca="1">IF(OR($Q617&lt;&gt;1,OP!$D$5+$BN618-1&lt;16,$BN618-1&lt;1),0,ROUND(ROUND(ROUND(((VLOOKUP($BN618-1,MORE_PV,5,0)/10000)*VLOOKUP($BN618,MORE_PV,$CB$5,0)),3)*VLOOKUP($BN618,more1,5,0),0)/$R617,0))</f>
        <v>0</v>
      </c>
      <c r="CC618" s="473">
        <f t="shared" ca="1" si="443"/>
        <v>0</v>
      </c>
      <c r="CD618" s="477"/>
    </row>
    <row r="619" spans="2:82" ht="16.5" hidden="1">
      <c r="B619" s="80"/>
      <c r="C619" s="80"/>
      <c r="D619" s="80"/>
      <c r="E619" s="80"/>
      <c r="F619" s="80"/>
      <c r="G619" s="80"/>
      <c r="H619" s="80"/>
      <c r="I619" s="80"/>
      <c r="J619" s="192">
        <f t="shared" si="424"/>
        <v>51</v>
      </c>
      <c r="K619" s="192">
        <f t="shared" si="425"/>
        <v>11</v>
      </c>
      <c r="L619" s="192" t="str">
        <f t="shared" si="420"/>
        <v/>
      </c>
      <c r="M619" s="216">
        <f t="shared" ca="1" si="426"/>
        <v>0</v>
      </c>
      <c r="N619" s="216"/>
      <c r="O619" s="216"/>
      <c r="P619" s="216"/>
      <c r="Q619" s="456" t="str">
        <f t="shared" ca="1" si="427"/>
        <v/>
      </c>
      <c r="R619" s="450">
        <f t="shared" ca="1" si="428"/>
        <v>1</v>
      </c>
      <c r="S619" s="191">
        <f t="shared" si="429"/>
        <v>51</v>
      </c>
      <c r="T619" s="191">
        <f t="shared" si="430"/>
        <v>11</v>
      </c>
      <c r="U619" s="191">
        <f ca="1">OP!$D$5+$S619-1</f>
        <v>83</v>
      </c>
      <c r="V619" s="191" t="str">
        <f t="shared" si="431"/>
        <v/>
      </c>
      <c r="W619" s="350">
        <f ca="1">IF(Q619&lt;&gt;1,0,VLOOKUP(OP!$C$55,PVFB,$S619+2,0))</f>
        <v>0</v>
      </c>
      <c r="X619" s="473">
        <f t="shared" ca="1" si="444"/>
        <v>0</v>
      </c>
      <c r="Y619" s="348">
        <f t="shared" ca="1" si="445"/>
        <v>0</v>
      </c>
      <c r="Z619" s="348">
        <f t="shared" ca="1" si="446"/>
        <v>8012</v>
      </c>
      <c r="AA619" s="348">
        <f ca="1">IF(Q619&lt;&gt;1,0,VLOOKUP(OP!$C$55,PVFB,$S619+2,0))</f>
        <v>0</v>
      </c>
      <c r="AB619" s="488" t="str">
        <f ca="1">IF(AND(S619&lt;OP!$C$24,$U619&lt;15),0,IF(AND($U619&lt;15,$T619=12),ROUND(VLOOKUP($S619,DOWN16,5,0),3),IF($T619=12,ROUND(($Z619/10000)*$AA619,3)+IF(AND($P$7="購買增額繳清保險",T619=12,U619=110),VLOOKUP(S619,$B$10:$H$121,7,0),0),"")))</f>
        <v/>
      </c>
      <c r="AC619" s="350" t="str">
        <f ca="1">IF(AND(S619&lt;OP!$C$24,$U619&lt;15),0,IF(AND($U619&lt;16,$T619=12),VLOOKUP($S619,DOWN16,4,0),IF($T619=12,ROUND(VLOOKUP(OP!$C$55,_DIE2,$S619+1,0)*(Z619/10000),0)+IF(AND($P$7="購買增額繳清保險",T619=12,U619=110),VLOOKUP(S619,$B$10:$H$121,7,0),0),"")))</f>
        <v/>
      </c>
      <c r="AD619" s="347"/>
      <c r="AE619" s="350" t="str">
        <f t="shared" ca="1" si="421"/>
        <v/>
      </c>
      <c r="AF619" s="351" t="str">
        <f t="shared" ca="1" si="422"/>
        <v/>
      </c>
      <c r="AG619" s="340"/>
      <c r="AH619" s="340"/>
      <c r="AI619" s="340"/>
      <c r="AJ619" s="340"/>
      <c r="AK619" s="340"/>
      <c r="AL619" s="340"/>
      <c r="AM619" s="340"/>
      <c r="AN619" s="340"/>
      <c r="AO619" s="340"/>
      <c r="AP619" s="340"/>
      <c r="AQ619" s="340"/>
      <c r="AR619" s="340"/>
      <c r="AS619" s="340"/>
      <c r="AT619" s="340"/>
      <c r="AU619" s="340"/>
      <c r="AV619" s="340"/>
      <c r="AY619" s="340"/>
      <c r="AZ619" s="465">
        <f t="shared" ca="1" si="432"/>
        <v>7.3698599999999999E-5</v>
      </c>
      <c r="BA619" s="464">
        <f t="shared" ca="1" si="433"/>
        <v>2.1372602999999999E-3</v>
      </c>
      <c r="BB619" s="465">
        <f t="shared" ca="1" si="433"/>
        <v>2.2109589000000002E-3</v>
      </c>
      <c r="BC619" s="466">
        <f t="shared" ca="1" si="434"/>
        <v>61454</v>
      </c>
      <c r="BD619" s="467">
        <f t="shared" ca="1" si="447"/>
        <v>61455</v>
      </c>
      <c r="BE619" s="467">
        <f t="shared" ca="1" si="435"/>
        <v>61483</v>
      </c>
      <c r="BF619" s="468">
        <f ca="1">IF(計算!$BC619&lt;OP!$C$3,0,BD619-BC619)</f>
        <v>1</v>
      </c>
      <c r="BG619" s="468">
        <f ca="1">IF($BE619&gt;DATE(YEAR($BD$9)+OP!$C$57,MONTH($BD$9),DAY($BD$9)),0,$BE619-$BD619+1)</f>
        <v>29</v>
      </c>
      <c r="BH619" s="469">
        <f t="shared" ca="1" si="436"/>
        <v>30</v>
      </c>
      <c r="BI619" t="str">
        <f t="shared" si="452"/>
        <v/>
      </c>
      <c r="BJ619">
        <v>10</v>
      </c>
      <c r="BN619" s="468">
        <f t="shared" si="448"/>
        <v>51</v>
      </c>
      <c r="BO619" s="468">
        <f t="shared" si="449"/>
        <v>10</v>
      </c>
      <c r="BP619" s="467">
        <f t="shared" ca="1" si="437"/>
        <v>61455</v>
      </c>
      <c r="BQ619" s="475">
        <f t="shared" ca="1" si="451"/>
        <v>83</v>
      </c>
      <c r="BR619" s="475" t="str">
        <f t="shared" si="450"/>
        <v/>
      </c>
      <c r="BS619" s="471" t="str">
        <f t="shared" si="438"/>
        <v/>
      </c>
      <c r="BT619" s="472" t="str">
        <f t="shared" si="453"/>
        <v/>
      </c>
      <c r="BU619" s="472">
        <f t="shared" ca="1" si="439"/>
        <v>0</v>
      </c>
      <c r="BV619" s="472">
        <f t="shared" ca="1" si="439"/>
        <v>0</v>
      </c>
      <c r="BW619" s="472"/>
      <c r="BX619" s="473">
        <f t="shared" ca="1" si="440"/>
        <v>903152.61529027298</v>
      </c>
      <c r="BY619" s="473">
        <f t="shared" si="441"/>
        <v>0</v>
      </c>
      <c r="BZ619" s="473">
        <f t="shared" ca="1" si="423"/>
        <v>1996.833312834</v>
      </c>
      <c r="CA619" s="476">
        <f t="shared" ca="1" si="442"/>
        <v>0</v>
      </c>
      <c r="CB619" s="494">
        <f ca="1">IF(OR($Q618&lt;&gt;1,OP!$D$5+$BN619-1&lt;16,$BN619-1&lt;1),0,ROUND(ROUND(ROUND(((VLOOKUP($BN619-1,MORE_PV,5,0)/10000)*VLOOKUP($BN619,MORE_PV,$CB$5,0)),3)*VLOOKUP($BN619,more1,5,0),0)/$R618,0))</f>
        <v>0</v>
      </c>
      <c r="CC619" s="473">
        <f t="shared" ca="1" si="443"/>
        <v>0</v>
      </c>
      <c r="CD619" s="477"/>
    </row>
    <row r="620" spans="2:82" ht="16.5" hidden="1">
      <c r="B620" s="80"/>
      <c r="C620" s="80"/>
      <c r="D620" s="80"/>
      <c r="E620" s="80"/>
      <c r="F620" s="80"/>
      <c r="G620" s="80"/>
      <c r="H620" s="80"/>
      <c r="I620" s="80"/>
      <c r="J620" s="192">
        <f t="shared" si="424"/>
        <v>51</v>
      </c>
      <c r="K620" s="192">
        <f t="shared" si="425"/>
        <v>12</v>
      </c>
      <c r="L620" s="192">
        <f t="shared" si="420"/>
        <v>51</v>
      </c>
      <c r="M620" s="216">
        <f t="shared" ca="1" si="426"/>
        <v>924691</v>
      </c>
      <c r="N620" s="216"/>
      <c r="O620" s="216"/>
      <c r="P620" s="216"/>
      <c r="Q620" s="456">
        <f t="shared" ca="1" si="427"/>
        <v>1</v>
      </c>
      <c r="R620" s="450">
        <f t="shared" ca="1" si="428"/>
        <v>1</v>
      </c>
      <c r="S620" s="191">
        <f t="shared" si="429"/>
        <v>51</v>
      </c>
      <c r="T620" s="191">
        <f t="shared" si="430"/>
        <v>12</v>
      </c>
      <c r="U620" s="191">
        <f ca="1">OP!$D$5+$S620-1</f>
        <v>83</v>
      </c>
      <c r="V620" s="191">
        <f t="shared" si="431"/>
        <v>51</v>
      </c>
      <c r="W620" s="350">
        <f ca="1">IF(Q620&lt;&gt;1,0,VLOOKUP(OP!$C$55,PVFB,$S620+2,0))</f>
        <v>72490</v>
      </c>
      <c r="X620" s="473">
        <f t="shared" ca="1" si="444"/>
        <v>17407</v>
      </c>
      <c r="Y620" s="348">
        <f t="shared" ca="1" si="445"/>
        <v>0</v>
      </c>
      <c r="Z620" s="348">
        <f t="shared" ca="1" si="446"/>
        <v>8012</v>
      </c>
      <c r="AA620" s="348">
        <f ca="1">IF(Q620&lt;&gt;1,0,VLOOKUP(OP!$C$55,PVFB,$S620+2,0))</f>
        <v>72490</v>
      </c>
      <c r="AB620" s="488">
        <f ca="1">IF(AND(S620&lt;OP!$C$24,$U620&lt;15),0,IF(AND($U620&lt;15,$T620=12),ROUND(VLOOKUP($S620,DOWN16,5,0),3),IF($T620=12,ROUND(($Z620/10000)*$AA620,3)+IF(AND($P$7="購買增額繳清保險",T620=12,U620=110),VLOOKUP(S620,$B$10:$H$121,7,0),0),"")))</f>
        <v>58078.987999999998</v>
      </c>
      <c r="AC620" s="350">
        <f ca="1">IF(AND(S620&lt;OP!$C$24,$U620&lt;15),0,IF(AND($U620&lt;16,$T620=12),VLOOKUP($S620,DOWN16,4,0),IF($T620=12,ROUND(VLOOKUP(OP!$C$55,_DIE2,$S620+1,0)*(Z620/10000),0)+IF(AND($P$7="購買增額繳清保險",T620=12,U620=110),VLOOKUP(S620,$B$10:$H$121,7,0),0),"")))</f>
        <v>58488</v>
      </c>
      <c r="AD620" s="347"/>
      <c r="AE620" s="350" t="str">
        <f t="shared" ca="1" si="421"/>
        <v/>
      </c>
      <c r="AF620" s="351" t="str">
        <f t="shared" ca="1" si="422"/>
        <v/>
      </c>
      <c r="AG620" s="340"/>
      <c r="AH620" s="340"/>
      <c r="AI620" s="340"/>
      <c r="AJ620" s="340"/>
      <c r="AK620" s="340"/>
      <c r="AL620" s="340"/>
      <c r="AM620" s="340"/>
      <c r="AN620" s="340"/>
      <c r="AO620" s="340"/>
      <c r="AP620" s="340"/>
      <c r="AQ620" s="340"/>
      <c r="AR620" s="340"/>
      <c r="AS620" s="340"/>
      <c r="AT620" s="340"/>
      <c r="AU620" s="340"/>
      <c r="AV620" s="340"/>
      <c r="AY620" s="340"/>
      <c r="AZ620" s="465">
        <f t="shared" ca="1" si="432"/>
        <v>7.3698599999999999E-5</v>
      </c>
      <c r="BA620" s="464">
        <f t="shared" ca="1" si="433"/>
        <v>2.2109589000000002E-3</v>
      </c>
      <c r="BB620" s="465">
        <f t="shared" ca="1" si="433"/>
        <v>2.2846575E-3</v>
      </c>
      <c r="BC620" s="466">
        <f t="shared" ca="1" si="434"/>
        <v>61484</v>
      </c>
      <c r="BD620" s="467">
        <f t="shared" ca="1" si="447"/>
        <v>61485</v>
      </c>
      <c r="BE620" s="467">
        <f t="shared" ca="1" si="435"/>
        <v>61514</v>
      </c>
      <c r="BF620" s="468">
        <f ca="1">IF(計算!$BC620&lt;OP!$C$3,0,BD620-BC620)</f>
        <v>1</v>
      </c>
      <c r="BG620" s="468">
        <f ca="1">IF($BE620&gt;DATE(YEAR($BD$9)+OP!$C$57,MONTH($BD$9),DAY($BD$9)),0,$BE620-$BD620+1)</f>
        <v>30</v>
      </c>
      <c r="BH620" s="469">
        <f t="shared" ca="1" si="436"/>
        <v>31</v>
      </c>
      <c r="BI620" t="str">
        <f t="shared" si="452"/>
        <v/>
      </c>
      <c r="BJ620">
        <v>11</v>
      </c>
      <c r="BN620" s="468">
        <f t="shared" si="448"/>
        <v>51</v>
      </c>
      <c r="BO620" s="468">
        <f t="shared" si="449"/>
        <v>11</v>
      </c>
      <c r="BP620" s="467">
        <f t="shared" ca="1" si="437"/>
        <v>61485</v>
      </c>
      <c r="BQ620" s="475">
        <f t="shared" ca="1" si="451"/>
        <v>83</v>
      </c>
      <c r="BR620" s="475" t="str">
        <f t="shared" si="450"/>
        <v/>
      </c>
      <c r="BS620" s="471" t="str">
        <f t="shared" si="438"/>
        <v/>
      </c>
      <c r="BT620" s="472" t="str">
        <f t="shared" si="453"/>
        <v/>
      </c>
      <c r="BU620" s="472">
        <f t="shared" ca="1" si="439"/>
        <v>0</v>
      </c>
      <c r="BV620" s="472">
        <f t="shared" ca="1" si="439"/>
        <v>0</v>
      </c>
      <c r="BW620" s="472"/>
      <c r="BX620" s="473">
        <f t="shared" ca="1" si="440"/>
        <v>905149.44860310701</v>
      </c>
      <c r="BY620" s="473">
        <f t="shared" si="441"/>
        <v>0</v>
      </c>
      <c r="BZ620" s="473">
        <f t="shared" ca="1" si="423"/>
        <v>2067.956476372</v>
      </c>
      <c r="CA620" s="476">
        <f t="shared" ca="1" si="442"/>
        <v>0</v>
      </c>
      <c r="CB620" s="494">
        <f ca="1">IF(OR($Q619&lt;&gt;1,OP!$D$5+$BN620-1&lt;16,$BN620-1&lt;1),0,ROUND(ROUND(ROUND(((VLOOKUP($BN620-1,MORE_PV,5,0)/10000)*VLOOKUP($BN620,MORE_PV,$CB$5,0)),3)*VLOOKUP($BN620,more1,5,0),0)/$R619,0))</f>
        <v>0</v>
      </c>
      <c r="CC620" s="473">
        <f t="shared" ca="1" si="443"/>
        <v>0</v>
      </c>
      <c r="CD620" s="477"/>
    </row>
    <row r="621" spans="2:82" ht="16.5" hidden="1">
      <c r="B621" s="80"/>
      <c r="C621" s="80"/>
      <c r="D621" s="80"/>
      <c r="E621" s="80"/>
      <c r="F621" s="80"/>
      <c r="G621" s="80"/>
      <c r="H621" s="80"/>
      <c r="I621" s="80"/>
      <c r="J621" s="192">
        <f t="shared" si="424"/>
        <v>52</v>
      </c>
      <c r="K621" s="192">
        <f t="shared" si="425"/>
        <v>1</v>
      </c>
      <c r="L621" s="192" t="str">
        <f t="shared" si="420"/>
        <v/>
      </c>
      <c r="M621" s="216">
        <f t="shared" ca="1" si="426"/>
        <v>0</v>
      </c>
      <c r="N621" s="216"/>
      <c r="O621" s="216"/>
      <c r="P621" s="216"/>
      <c r="Q621" s="456" t="str">
        <f t="shared" ca="1" si="427"/>
        <v/>
      </c>
      <c r="R621" s="450">
        <f t="shared" ca="1" si="428"/>
        <v>1</v>
      </c>
      <c r="S621" s="191">
        <f t="shared" si="429"/>
        <v>52</v>
      </c>
      <c r="T621" s="191">
        <f t="shared" si="430"/>
        <v>1</v>
      </c>
      <c r="U621" s="191">
        <f ca="1">OP!$D$5+$S621-1</f>
        <v>84</v>
      </c>
      <c r="V621" s="191" t="str">
        <f t="shared" si="431"/>
        <v/>
      </c>
      <c r="W621" s="350">
        <f ca="1">IF(Q621&lt;&gt;1,0,VLOOKUP(OP!$C$55,PVFB,$S621+2,0))</f>
        <v>0</v>
      </c>
      <c r="X621" s="473">
        <f t="shared" ca="1" si="444"/>
        <v>0</v>
      </c>
      <c r="Y621" s="348">
        <f t="shared" ca="1" si="445"/>
        <v>0</v>
      </c>
      <c r="Z621" s="348">
        <f t="shared" ca="1" si="446"/>
        <v>8012</v>
      </c>
      <c r="AA621" s="348">
        <f ca="1">IF(Q621&lt;&gt;1,0,VLOOKUP(OP!$C$55,PVFB,$S621+2,0))</f>
        <v>0</v>
      </c>
      <c r="AB621" s="488" t="str">
        <f ca="1">IF(AND(S621&lt;OP!$C$24,$U621&lt;15),0,IF(AND($U621&lt;15,$T621=12),ROUND(VLOOKUP($S621,DOWN16,5,0),3),IF($T621=12,ROUND(($Z621/10000)*$AA621,3)+IF(AND($P$7="購買增額繳清保險",T621=12,U621=110),VLOOKUP(S621,$B$10:$H$121,7,0),0),"")))</f>
        <v/>
      </c>
      <c r="AC621" s="350" t="str">
        <f ca="1">IF(AND(S621&lt;OP!$C$24,$U621&lt;15),0,IF(AND($U621&lt;16,$T621=12),VLOOKUP($S621,DOWN16,4,0),IF($T621=12,ROUND(VLOOKUP(OP!$C$55,_DIE2,$S621+1,0)*(Z621/10000),0)+IF(AND($P$7="購買增額繳清保險",T621=12,U621=110),VLOOKUP(S621,$B$10:$H$121,7,0),0),"")))</f>
        <v/>
      </c>
      <c r="AD621" s="347"/>
      <c r="AE621" s="350" t="str">
        <f t="shared" ca="1" si="421"/>
        <v/>
      </c>
      <c r="AF621" s="351" t="str">
        <f t="shared" ca="1" si="422"/>
        <v/>
      </c>
      <c r="AG621" s="340"/>
      <c r="AH621" s="340"/>
      <c r="AI621" s="340"/>
      <c r="AJ621" s="340"/>
      <c r="AK621" s="340"/>
      <c r="AL621" s="340"/>
      <c r="AM621" s="340"/>
      <c r="AN621" s="340"/>
      <c r="AO621" s="340"/>
      <c r="AP621" s="340"/>
      <c r="AQ621" s="340"/>
      <c r="AR621" s="340"/>
      <c r="AS621" s="340"/>
      <c r="AT621" s="340"/>
      <c r="AU621" s="340"/>
      <c r="AV621" s="340"/>
      <c r="AY621" s="340"/>
      <c r="AZ621" s="465">
        <f t="shared" ca="1" si="432"/>
        <v>7.3698599999999999E-5</v>
      </c>
      <c r="BA621" s="464">
        <f t="shared" ca="1" si="433"/>
        <v>2.1372602999999999E-3</v>
      </c>
      <c r="BB621" s="465">
        <f t="shared" ca="1" si="433"/>
        <v>2.2109589000000002E-3</v>
      </c>
      <c r="BC621" s="466">
        <f t="shared" ca="1" si="434"/>
        <v>61515</v>
      </c>
      <c r="BD621" s="467">
        <f t="shared" ca="1" si="447"/>
        <v>61516</v>
      </c>
      <c r="BE621" s="467">
        <f t="shared" ca="1" si="435"/>
        <v>61544</v>
      </c>
      <c r="BF621" s="468">
        <f ca="1">IF(計算!$BC621&lt;OP!$C$3,0,BD621-BC621)</f>
        <v>1</v>
      </c>
      <c r="BG621" s="468">
        <f ca="1">IF($BE621&gt;DATE(YEAR($BD$9)+OP!$C$57,MONTH($BD$9),DAY($BD$9)),0,$BE621-$BD621+1)</f>
        <v>29</v>
      </c>
      <c r="BH621" s="469">
        <f t="shared" ca="1" si="436"/>
        <v>30</v>
      </c>
      <c r="BI621">
        <f t="shared" ca="1" si="452"/>
        <v>366</v>
      </c>
      <c r="BJ621">
        <v>12</v>
      </c>
      <c r="BN621" s="468">
        <f t="shared" si="448"/>
        <v>51</v>
      </c>
      <c r="BO621" s="468">
        <f t="shared" si="449"/>
        <v>12</v>
      </c>
      <c r="BP621" s="467">
        <f t="shared" ca="1" si="437"/>
        <v>61516</v>
      </c>
      <c r="BQ621" s="475">
        <f t="shared" ca="1" si="451"/>
        <v>83</v>
      </c>
      <c r="BR621" s="475">
        <f t="shared" si="450"/>
        <v>51</v>
      </c>
      <c r="BS621" s="471">
        <f t="shared" ca="1" si="438"/>
        <v>17407</v>
      </c>
      <c r="BT621" s="472">
        <f t="shared" ca="1" si="453"/>
        <v>924691</v>
      </c>
      <c r="BU621" s="472">
        <f t="shared" ca="1" si="439"/>
        <v>17006</v>
      </c>
      <c r="BV621" s="472">
        <f t="shared" ca="1" si="439"/>
        <v>401</v>
      </c>
      <c r="BW621" s="472">
        <f ca="1">ROUND(SUM(BY621,BZ609:BZ620),0)</f>
        <v>24119</v>
      </c>
      <c r="BX621" s="473">
        <f t="shared" ca="1" si="440"/>
        <v>924691.26573212899</v>
      </c>
      <c r="BY621" s="473">
        <f t="shared" ca="1" si="441"/>
        <v>66.860652650000006</v>
      </c>
      <c r="BZ621" s="473">
        <f t="shared" ca="1" si="423"/>
        <v>1976.3059320059999</v>
      </c>
      <c r="CA621" s="476">
        <f t="shared" ca="1" si="442"/>
        <v>17006</v>
      </c>
      <c r="CB621" s="494">
        <f ca="1">IF(OR($Q620&lt;&gt;1,OP!$D$5+$BN621-1&lt;16,$BN621-1&lt;1),0,ROUND(ROUND(ROUND(((VLOOKUP($BN621-1,MORE_PV,5,0)/10000)*VLOOKUP($BN621,MORE_PV,$CB$5,0)),3)*VLOOKUP($BN621,more1,5,0),0)/$R620,0))</f>
        <v>401</v>
      </c>
      <c r="CC621" s="473">
        <f t="shared" ca="1" si="443"/>
        <v>0</v>
      </c>
      <c r="CD621" s="477"/>
    </row>
    <row r="622" spans="2:82" ht="16.5" hidden="1">
      <c r="B622" s="80"/>
      <c r="C622" s="80"/>
      <c r="D622" s="80"/>
      <c r="E622" s="80"/>
      <c r="F622" s="80"/>
      <c r="G622" s="80"/>
      <c r="H622" s="80"/>
      <c r="I622" s="80"/>
      <c r="J622" s="192">
        <f t="shared" si="424"/>
        <v>52</v>
      </c>
      <c r="K622" s="192">
        <f t="shared" si="425"/>
        <v>2</v>
      </c>
      <c r="L622" s="192" t="str">
        <f t="shared" si="420"/>
        <v/>
      </c>
      <c r="M622" s="216">
        <f t="shared" ca="1" si="426"/>
        <v>0</v>
      </c>
      <c r="N622" s="216"/>
      <c r="O622" s="216"/>
      <c r="P622" s="216"/>
      <c r="Q622" s="456" t="str">
        <f t="shared" ca="1" si="427"/>
        <v/>
      </c>
      <c r="R622" s="450">
        <f t="shared" ca="1" si="428"/>
        <v>1</v>
      </c>
      <c r="S622" s="191">
        <f t="shared" si="429"/>
        <v>52</v>
      </c>
      <c r="T622" s="191">
        <f t="shared" si="430"/>
        <v>2</v>
      </c>
      <c r="U622" s="191">
        <f ca="1">OP!$D$5+$S622-1</f>
        <v>84</v>
      </c>
      <c r="V622" s="191" t="str">
        <f t="shared" si="431"/>
        <v/>
      </c>
      <c r="W622" s="350">
        <f ca="1">IF(Q622&lt;&gt;1,0,VLOOKUP(OP!$C$55,PVFB,$S622+2,0))</f>
        <v>0</v>
      </c>
      <c r="X622" s="473">
        <f t="shared" ca="1" si="444"/>
        <v>0</v>
      </c>
      <c r="Y622" s="348">
        <f t="shared" ca="1" si="445"/>
        <v>0</v>
      </c>
      <c r="Z622" s="348">
        <f t="shared" ca="1" si="446"/>
        <v>8012</v>
      </c>
      <c r="AA622" s="348">
        <f ca="1">IF(Q622&lt;&gt;1,0,VLOOKUP(OP!$C$55,PVFB,$S622+2,0))</f>
        <v>0</v>
      </c>
      <c r="AB622" s="488" t="str">
        <f ca="1">IF(AND(S622&lt;OP!$C$24,$U622&lt;15),0,IF(AND($U622&lt;15,$T622=12),ROUND(VLOOKUP($S622,DOWN16,5,0),3),IF($T622=12,ROUND(($Z622/10000)*$AA622,3)+IF(AND($P$7="購買增額繳清保險",T622=12,U622=110),VLOOKUP(S622,$B$10:$H$121,7,0),0),"")))</f>
        <v/>
      </c>
      <c r="AC622" s="350" t="str">
        <f ca="1">IF(AND(S622&lt;OP!$C$24,$U622&lt;15),0,IF(AND($U622&lt;16,$T622=12),VLOOKUP($S622,DOWN16,4,0),IF($T622=12,ROUND(VLOOKUP(OP!$C$55,_DIE2,$S622+1,0)*(Z622/10000),0)+IF(AND($P$7="購買增額繳清保險",T622=12,U622=110),VLOOKUP(S622,$B$10:$H$121,7,0),0),"")))</f>
        <v/>
      </c>
      <c r="AD622" s="347"/>
      <c r="AE622" s="350" t="str">
        <f t="shared" ca="1" si="421"/>
        <v/>
      </c>
      <c r="AF622" s="351" t="str">
        <f t="shared" ca="1" si="422"/>
        <v/>
      </c>
      <c r="AG622" s="340"/>
      <c r="AH622" s="340"/>
      <c r="AI622" s="340"/>
      <c r="AJ622" s="340"/>
      <c r="AK622" s="340"/>
      <c r="AL622" s="340"/>
      <c r="AM622" s="340"/>
      <c r="AN622" s="340"/>
      <c r="AO622" s="340"/>
      <c r="AP622" s="340"/>
      <c r="AQ622" s="340"/>
      <c r="AR622" s="340"/>
      <c r="AS622" s="340"/>
      <c r="AT622" s="340"/>
      <c r="AU622" s="340"/>
      <c r="AV622" s="340"/>
      <c r="AY622" s="340"/>
      <c r="AZ622" s="465">
        <f t="shared" ca="1" si="432"/>
        <v>7.3698599999999999E-5</v>
      </c>
      <c r="BA622" s="464">
        <f t="shared" ca="1" si="433"/>
        <v>2.2109589000000002E-3</v>
      </c>
      <c r="BB622" s="465">
        <f t="shared" ca="1" si="433"/>
        <v>2.2846575E-3</v>
      </c>
      <c r="BC622" s="466">
        <f t="shared" ca="1" si="434"/>
        <v>61545</v>
      </c>
      <c r="BD622" s="467">
        <f t="shared" ca="1" si="447"/>
        <v>61546</v>
      </c>
      <c r="BE622" s="467">
        <f t="shared" ca="1" si="435"/>
        <v>61575</v>
      </c>
      <c r="BF622" s="468">
        <f ca="1">IF(計算!$BC622&lt;OP!$C$3,0,BD622-BC622)</f>
        <v>1</v>
      </c>
      <c r="BG622" s="468">
        <f ca="1">IF($BE622&gt;DATE(YEAR($BD$9)+OP!$C$57,MONTH($BD$9),DAY($BD$9)),0,$BE622-$BD622+1)</f>
        <v>30</v>
      </c>
      <c r="BH622" s="469">
        <f t="shared" ca="1" si="436"/>
        <v>31</v>
      </c>
      <c r="BI622" t="str">
        <f t="shared" si="452"/>
        <v/>
      </c>
      <c r="BJ622">
        <v>1</v>
      </c>
      <c r="BN622" s="468">
        <f t="shared" si="448"/>
        <v>52</v>
      </c>
      <c r="BO622" s="468">
        <f t="shared" si="449"/>
        <v>1</v>
      </c>
      <c r="BP622" s="467">
        <f t="shared" ca="1" si="437"/>
        <v>61546</v>
      </c>
      <c r="BQ622" s="475">
        <f t="shared" ca="1" si="451"/>
        <v>84</v>
      </c>
      <c r="BR622" s="475" t="str">
        <f t="shared" si="450"/>
        <v/>
      </c>
      <c r="BS622" s="471" t="str">
        <f t="shared" si="438"/>
        <v/>
      </c>
      <c r="BT622" s="472" t="str">
        <f t="shared" si="453"/>
        <v/>
      </c>
      <c r="BU622" s="472">
        <f t="shared" ca="1" si="439"/>
        <v>0</v>
      </c>
      <c r="BV622" s="472">
        <f t="shared" ca="1" si="439"/>
        <v>0</v>
      </c>
      <c r="BW622" s="472"/>
      <c r="BX622" s="473">
        <f t="shared" ca="1" si="440"/>
        <v>926667.57166413497</v>
      </c>
      <c r="BY622" s="473">
        <f t="shared" si="441"/>
        <v>0</v>
      </c>
      <c r="BZ622" s="473">
        <f t="shared" ca="1" si="423"/>
        <v>2117.1180176090002</v>
      </c>
      <c r="CA622" s="476">
        <f t="shared" ca="1" si="442"/>
        <v>0</v>
      </c>
      <c r="CB622" s="494">
        <f ca="1">IF(OR($Q621&lt;&gt;1,OP!$D$5+$BN622-1&lt;16,$BN622-1&lt;1),0,ROUND(ROUND(ROUND(((VLOOKUP($BN622-1,MORE_PV,5,0)/10000)*VLOOKUP($BN622,MORE_PV,$CB$5,0)),3)*VLOOKUP($BN622,more1,5,0),0)/$R621,0))</f>
        <v>0</v>
      </c>
      <c r="CC622" s="473">
        <f t="shared" ca="1" si="443"/>
        <v>0</v>
      </c>
      <c r="CD622" s="477"/>
    </row>
    <row r="623" spans="2:82" ht="16.5" hidden="1">
      <c r="B623" s="80"/>
      <c r="C623" s="80"/>
      <c r="D623" s="80"/>
      <c r="E623" s="80"/>
      <c r="F623" s="80"/>
      <c r="G623" s="80"/>
      <c r="H623" s="80"/>
      <c r="I623" s="80"/>
      <c r="J623" s="192">
        <f t="shared" si="424"/>
        <v>52</v>
      </c>
      <c r="K623" s="192">
        <f t="shared" si="425"/>
        <v>3</v>
      </c>
      <c r="L623" s="192" t="str">
        <f t="shared" si="420"/>
        <v/>
      </c>
      <c r="M623" s="216">
        <f t="shared" ca="1" si="426"/>
        <v>0</v>
      </c>
      <c r="N623" s="216"/>
      <c r="O623" s="216"/>
      <c r="P623" s="216"/>
      <c r="Q623" s="456" t="str">
        <f t="shared" ca="1" si="427"/>
        <v/>
      </c>
      <c r="R623" s="450">
        <f t="shared" ca="1" si="428"/>
        <v>1</v>
      </c>
      <c r="S623" s="191">
        <f t="shared" si="429"/>
        <v>52</v>
      </c>
      <c r="T623" s="191">
        <f t="shared" si="430"/>
        <v>3</v>
      </c>
      <c r="U623" s="191">
        <f ca="1">OP!$D$5+$S623-1</f>
        <v>84</v>
      </c>
      <c r="V623" s="191" t="str">
        <f t="shared" si="431"/>
        <v/>
      </c>
      <c r="W623" s="350">
        <f ca="1">IF(Q623&lt;&gt;1,0,VLOOKUP(OP!$C$55,PVFB,$S623+2,0))</f>
        <v>0</v>
      </c>
      <c r="X623" s="473">
        <f t="shared" ca="1" si="444"/>
        <v>0</v>
      </c>
      <c r="Y623" s="348">
        <f t="shared" ca="1" si="445"/>
        <v>0</v>
      </c>
      <c r="Z623" s="348">
        <f t="shared" ca="1" si="446"/>
        <v>8012</v>
      </c>
      <c r="AA623" s="348">
        <f ca="1">IF(Q623&lt;&gt;1,0,VLOOKUP(OP!$C$55,PVFB,$S623+2,0))</f>
        <v>0</v>
      </c>
      <c r="AB623" s="488" t="str">
        <f ca="1">IF(AND(S623&lt;OP!$C$24,$U623&lt;15),0,IF(AND($U623&lt;15,$T623=12),ROUND(VLOOKUP($S623,DOWN16,5,0),3),IF($T623=12,ROUND(($Z623/10000)*$AA623,3)+IF(AND($P$7="購買增額繳清保險",T623=12,U623=110),VLOOKUP(S623,$B$10:$H$121,7,0),0),"")))</f>
        <v/>
      </c>
      <c r="AC623" s="350" t="str">
        <f ca="1">IF(AND(S623&lt;OP!$C$24,$U623&lt;15),0,IF(AND($U623&lt;16,$T623=12),VLOOKUP($S623,DOWN16,4,0),IF($T623=12,ROUND(VLOOKUP(OP!$C$55,_DIE2,$S623+1,0)*(Z623/10000),0)+IF(AND($P$7="購買增額繳清保險",T623=12,U623=110),VLOOKUP(S623,$B$10:$H$121,7,0),0),"")))</f>
        <v/>
      </c>
      <c r="AD623" s="347"/>
      <c r="AE623" s="350" t="str">
        <f t="shared" ca="1" si="421"/>
        <v/>
      </c>
      <c r="AF623" s="351" t="str">
        <f t="shared" ca="1" si="422"/>
        <v/>
      </c>
      <c r="AG623" s="340"/>
      <c r="AH623" s="340"/>
      <c r="AI623" s="340"/>
      <c r="AJ623" s="340"/>
      <c r="AK623" s="340"/>
      <c r="AL623" s="340"/>
      <c r="AM623" s="340"/>
      <c r="AN623" s="340"/>
      <c r="AO623" s="340"/>
      <c r="AP623" s="340"/>
      <c r="AQ623" s="340"/>
      <c r="AR623" s="340"/>
      <c r="AS623" s="340"/>
      <c r="AT623" s="340"/>
      <c r="AU623" s="340"/>
      <c r="AV623" s="340"/>
      <c r="AY623" s="340"/>
      <c r="AZ623" s="465">
        <f t="shared" ca="1" si="432"/>
        <v>7.3698599999999999E-5</v>
      </c>
      <c r="BA623" s="464">
        <f t="shared" ca="1" si="433"/>
        <v>2.2109589000000002E-3</v>
      </c>
      <c r="BB623" s="465">
        <f t="shared" ca="1" si="433"/>
        <v>2.2846575E-3</v>
      </c>
      <c r="BC623" s="466">
        <f t="shared" ca="1" si="434"/>
        <v>61576</v>
      </c>
      <c r="BD623" s="467">
        <f t="shared" ca="1" si="447"/>
        <v>61577</v>
      </c>
      <c r="BE623" s="467">
        <f t="shared" ca="1" si="435"/>
        <v>61606</v>
      </c>
      <c r="BF623" s="468">
        <f ca="1">IF(計算!$BC623&lt;OP!$C$3,0,BD623-BC623)</f>
        <v>1</v>
      </c>
      <c r="BG623" s="468">
        <f ca="1">IF($BE623&gt;DATE(YEAR($BD$9)+OP!$C$57,MONTH($BD$9),DAY($BD$9)),0,$BE623-$BD623+1)</f>
        <v>30</v>
      </c>
      <c r="BH623" s="469">
        <f t="shared" ca="1" si="436"/>
        <v>31</v>
      </c>
      <c r="BI623" t="str">
        <f t="shared" si="452"/>
        <v/>
      </c>
      <c r="BJ623">
        <v>2</v>
      </c>
      <c r="BN623" s="468">
        <f t="shared" si="448"/>
        <v>52</v>
      </c>
      <c r="BO623" s="468">
        <f t="shared" si="449"/>
        <v>2</v>
      </c>
      <c r="BP623" s="467">
        <f t="shared" ca="1" si="437"/>
        <v>61577</v>
      </c>
      <c r="BQ623" s="475">
        <f t="shared" ca="1" si="451"/>
        <v>84</v>
      </c>
      <c r="BR623" s="475" t="str">
        <f t="shared" si="450"/>
        <v/>
      </c>
      <c r="BS623" s="471" t="str">
        <f t="shared" si="438"/>
        <v/>
      </c>
      <c r="BT623" s="472" t="str">
        <f t="shared" si="453"/>
        <v/>
      </c>
      <c r="BU623" s="472">
        <f t="shared" ca="1" si="439"/>
        <v>0</v>
      </c>
      <c r="BV623" s="472">
        <f t="shared" ca="1" si="439"/>
        <v>0</v>
      </c>
      <c r="BW623" s="472"/>
      <c r="BX623" s="473">
        <f t="shared" ca="1" si="440"/>
        <v>928784.68968174397</v>
      </c>
      <c r="BY623" s="473">
        <f t="shared" si="441"/>
        <v>0</v>
      </c>
      <c r="BZ623" s="473">
        <f t="shared" ca="1" si="423"/>
        <v>2121.9549071669999</v>
      </c>
      <c r="CA623" s="476">
        <f t="shared" ca="1" si="442"/>
        <v>0</v>
      </c>
      <c r="CB623" s="494">
        <f ca="1">IF(OR($Q622&lt;&gt;1,OP!$D$5+$BN623-1&lt;16,$BN623-1&lt;1),0,ROUND(ROUND(ROUND(((VLOOKUP($BN623-1,MORE_PV,5,0)/10000)*VLOOKUP($BN623,MORE_PV,$CB$5,0)),3)*VLOOKUP($BN623,more1,5,0),0)/$R622,0))</f>
        <v>0</v>
      </c>
      <c r="CC623" s="473">
        <f t="shared" ca="1" si="443"/>
        <v>0</v>
      </c>
      <c r="CD623" s="477"/>
    </row>
    <row r="624" spans="2:82" ht="16.5" hidden="1">
      <c r="B624" s="80"/>
      <c r="C624" s="80"/>
      <c r="D624" s="80"/>
      <c r="E624" s="80"/>
      <c r="F624" s="80"/>
      <c r="G624" s="80"/>
      <c r="H624" s="80"/>
      <c r="I624" s="80"/>
      <c r="J624" s="192">
        <f t="shared" si="424"/>
        <v>52</v>
      </c>
      <c r="K624" s="192">
        <f t="shared" si="425"/>
        <v>4</v>
      </c>
      <c r="L624" s="192" t="str">
        <f t="shared" si="420"/>
        <v/>
      </c>
      <c r="M624" s="216">
        <f t="shared" ca="1" si="426"/>
        <v>0</v>
      </c>
      <c r="N624" s="216"/>
      <c r="O624" s="216"/>
      <c r="P624" s="216"/>
      <c r="Q624" s="456" t="str">
        <f t="shared" ca="1" si="427"/>
        <v/>
      </c>
      <c r="R624" s="450">
        <f t="shared" ca="1" si="428"/>
        <v>1</v>
      </c>
      <c r="S624" s="191">
        <f t="shared" si="429"/>
        <v>52</v>
      </c>
      <c r="T624" s="191">
        <f t="shared" si="430"/>
        <v>4</v>
      </c>
      <c r="U624" s="191">
        <f ca="1">OP!$D$5+$S624-1</f>
        <v>84</v>
      </c>
      <c r="V624" s="191" t="str">
        <f t="shared" si="431"/>
        <v/>
      </c>
      <c r="W624" s="350">
        <f ca="1">IF(Q624&lt;&gt;1,0,VLOOKUP(OP!$C$55,PVFB,$S624+2,0))</f>
        <v>0</v>
      </c>
      <c r="X624" s="473">
        <f t="shared" ca="1" si="444"/>
        <v>0</v>
      </c>
      <c r="Y624" s="348">
        <f t="shared" ca="1" si="445"/>
        <v>0</v>
      </c>
      <c r="Z624" s="348">
        <f t="shared" ca="1" si="446"/>
        <v>8012</v>
      </c>
      <c r="AA624" s="348">
        <f ca="1">IF(Q624&lt;&gt;1,0,VLOOKUP(OP!$C$55,PVFB,$S624+2,0))</f>
        <v>0</v>
      </c>
      <c r="AB624" s="488" t="str">
        <f ca="1">IF(AND(S624&lt;OP!$C$24,$U624&lt;15),0,IF(AND($U624&lt;15,$T624=12),ROUND(VLOOKUP($S624,DOWN16,5,0),3),IF($T624=12,ROUND(($Z624/10000)*$AA624,3)+IF(AND($P$7="購買增額繳清保險",T624=12,U624=110),VLOOKUP(S624,$B$10:$H$121,7,0),0),"")))</f>
        <v/>
      </c>
      <c r="AC624" s="350" t="str">
        <f ca="1">IF(AND(S624&lt;OP!$C$24,$U624&lt;15),0,IF(AND($U624&lt;16,$T624=12),VLOOKUP($S624,DOWN16,4,0),IF($T624=12,ROUND(VLOOKUP(OP!$C$55,_DIE2,$S624+1,0)*(Z624/10000),0)+IF(AND($P$7="購買增額繳清保險",T624=12,U624=110),VLOOKUP(S624,$B$10:$H$121,7,0),0),"")))</f>
        <v/>
      </c>
      <c r="AD624" s="347"/>
      <c r="AE624" s="350" t="str">
        <f t="shared" ca="1" si="421"/>
        <v/>
      </c>
      <c r="AF624" s="351" t="str">
        <f t="shared" ca="1" si="422"/>
        <v/>
      </c>
      <c r="AG624" s="340"/>
      <c r="AH624" s="340"/>
      <c r="AI624" s="340"/>
      <c r="AJ624" s="340"/>
      <c r="AK624" s="340"/>
      <c r="AL624" s="340"/>
      <c r="AM624" s="340"/>
      <c r="AN624" s="340"/>
      <c r="AO624" s="340"/>
      <c r="AP624" s="340"/>
      <c r="AQ624" s="340"/>
      <c r="AR624" s="340"/>
      <c r="AS624" s="340"/>
      <c r="AT624" s="340"/>
      <c r="AU624" s="340"/>
      <c r="AV624" s="340"/>
      <c r="AY624" s="340"/>
      <c r="AZ624" s="465">
        <f t="shared" ca="1" si="432"/>
        <v>7.3698599999999999E-5</v>
      </c>
      <c r="BA624" s="464">
        <f t="shared" ca="1" si="433"/>
        <v>2.1372602999999999E-3</v>
      </c>
      <c r="BB624" s="465">
        <f t="shared" ca="1" si="433"/>
        <v>2.2109589000000002E-3</v>
      </c>
      <c r="BC624" s="466">
        <f t="shared" ca="1" si="434"/>
        <v>61607</v>
      </c>
      <c r="BD624" s="467">
        <f t="shared" ca="1" si="447"/>
        <v>61608</v>
      </c>
      <c r="BE624" s="467">
        <f t="shared" ca="1" si="435"/>
        <v>61636</v>
      </c>
      <c r="BF624" s="468">
        <f ca="1">IF(計算!$BC624&lt;OP!$C$3,0,BD624-BC624)</f>
        <v>1</v>
      </c>
      <c r="BG624" s="468">
        <f ca="1">IF($BE624&gt;DATE(YEAR($BD$9)+OP!$C$57,MONTH($BD$9),DAY($BD$9)),0,$BE624-$BD624+1)</f>
        <v>29</v>
      </c>
      <c r="BH624" s="469">
        <f t="shared" ca="1" si="436"/>
        <v>30</v>
      </c>
      <c r="BI624" t="str">
        <f t="shared" si="452"/>
        <v/>
      </c>
      <c r="BJ624">
        <v>3</v>
      </c>
      <c r="BN624" s="468">
        <f t="shared" si="448"/>
        <v>52</v>
      </c>
      <c r="BO624" s="468">
        <f t="shared" si="449"/>
        <v>3</v>
      </c>
      <c r="BP624" s="467">
        <f t="shared" ca="1" si="437"/>
        <v>61608</v>
      </c>
      <c r="BQ624" s="475">
        <f t="shared" ca="1" si="451"/>
        <v>84</v>
      </c>
      <c r="BR624" s="475" t="str">
        <f t="shared" si="450"/>
        <v/>
      </c>
      <c r="BS624" s="471" t="str">
        <f t="shared" si="438"/>
        <v/>
      </c>
      <c r="BT624" s="472" t="str">
        <f t="shared" si="453"/>
        <v/>
      </c>
      <c r="BU624" s="472">
        <f t="shared" ca="1" si="439"/>
        <v>0</v>
      </c>
      <c r="BV624" s="472">
        <f t="shared" ca="1" si="439"/>
        <v>0</v>
      </c>
      <c r="BW624" s="472"/>
      <c r="BX624" s="473">
        <f t="shared" ca="1" si="440"/>
        <v>930906.64458891097</v>
      </c>
      <c r="BY624" s="473">
        <f t="shared" si="441"/>
        <v>0</v>
      </c>
      <c r="BZ624" s="473">
        <f t="shared" ca="1" si="423"/>
        <v>2058.196330923</v>
      </c>
      <c r="CA624" s="476">
        <f t="shared" ca="1" si="442"/>
        <v>0</v>
      </c>
      <c r="CB624" s="494">
        <f ca="1">IF(OR($Q623&lt;&gt;1,OP!$D$5+$BN624-1&lt;16,$BN624-1&lt;1),0,ROUND(ROUND(ROUND(((VLOOKUP($BN624-1,MORE_PV,5,0)/10000)*VLOOKUP($BN624,MORE_PV,$CB$5,0)),3)*VLOOKUP($BN624,more1,5,0),0)/$R623,0))</f>
        <v>0</v>
      </c>
      <c r="CC624" s="473">
        <f t="shared" ca="1" si="443"/>
        <v>0</v>
      </c>
      <c r="CD624" s="477"/>
    </row>
    <row r="625" spans="2:82" ht="16.5" hidden="1">
      <c r="B625" s="80"/>
      <c r="C625" s="80"/>
      <c r="D625" s="80"/>
      <c r="E625" s="80"/>
      <c r="F625" s="80"/>
      <c r="G625" s="80"/>
      <c r="H625" s="80"/>
      <c r="I625" s="80"/>
      <c r="J625" s="192">
        <f t="shared" si="424"/>
        <v>52</v>
      </c>
      <c r="K625" s="192">
        <f t="shared" si="425"/>
        <v>5</v>
      </c>
      <c r="L625" s="192" t="str">
        <f t="shared" si="420"/>
        <v/>
      </c>
      <c r="M625" s="216">
        <f t="shared" ca="1" si="426"/>
        <v>0</v>
      </c>
      <c r="N625" s="216"/>
      <c r="O625" s="216"/>
      <c r="P625" s="216"/>
      <c r="Q625" s="456" t="str">
        <f t="shared" ca="1" si="427"/>
        <v/>
      </c>
      <c r="R625" s="450">
        <f t="shared" ca="1" si="428"/>
        <v>1</v>
      </c>
      <c r="S625" s="191">
        <f t="shared" si="429"/>
        <v>52</v>
      </c>
      <c r="T625" s="191">
        <f t="shared" si="430"/>
        <v>5</v>
      </c>
      <c r="U625" s="191">
        <f ca="1">OP!$D$5+$S625-1</f>
        <v>84</v>
      </c>
      <c r="V625" s="191" t="str">
        <f t="shared" si="431"/>
        <v/>
      </c>
      <c r="W625" s="350">
        <f ca="1">IF(Q625&lt;&gt;1,0,VLOOKUP(OP!$C$55,PVFB,$S625+2,0))</f>
        <v>0</v>
      </c>
      <c r="X625" s="473">
        <f t="shared" ca="1" si="444"/>
        <v>0</v>
      </c>
      <c r="Y625" s="348">
        <f t="shared" ca="1" si="445"/>
        <v>0</v>
      </c>
      <c r="Z625" s="348">
        <f t="shared" ca="1" si="446"/>
        <v>8012</v>
      </c>
      <c r="AA625" s="348">
        <f ca="1">IF(Q625&lt;&gt;1,0,VLOOKUP(OP!$C$55,PVFB,$S625+2,0))</f>
        <v>0</v>
      </c>
      <c r="AB625" s="488" t="str">
        <f ca="1">IF(AND(S625&lt;OP!$C$24,$U625&lt;15),0,IF(AND($U625&lt;15,$T625=12),ROUND(VLOOKUP($S625,DOWN16,5,0),3),IF($T625=12,ROUND(($Z625/10000)*$AA625,3)+IF(AND($P$7="購買增額繳清保險",T625=12,U625=110),VLOOKUP(S625,$B$10:$H$121,7,0),0),"")))</f>
        <v/>
      </c>
      <c r="AC625" s="350" t="str">
        <f ca="1">IF(AND(S625&lt;OP!$C$24,$U625&lt;15),0,IF(AND($U625&lt;16,$T625=12),VLOOKUP($S625,DOWN16,4,0),IF($T625=12,ROUND(VLOOKUP(OP!$C$55,_DIE2,$S625+1,0)*(Z625/10000),0)+IF(AND($P$7="購買增額繳清保險",T625=12,U625=110),VLOOKUP(S625,$B$10:$H$121,7,0),0),"")))</f>
        <v/>
      </c>
      <c r="AD625" s="347"/>
      <c r="AE625" s="350" t="str">
        <f t="shared" ca="1" si="421"/>
        <v/>
      </c>
      <c r="AF625" s="351" t="str">
        <f t="shared" ca="1" si="422"/>
        <v/>
      </c>
      <c r="AG625" s="340"/>
      <c r="AH625" s="340"/>
      <c r="AI625" s="340"/>
      <c r="AJ625" s="340"/>
      <c r="AK625" s="340"/>
      <c r="AL625" s="340"/>
      <c r="AM625" s="340"/>
      <c r="AN625" s="340"/>
      <c r="AO625" s="340"/>
      <c r="AP625" s="340"/>
      <c r="AQ625" s="340"/>
      <c r="AR625" s="340"/>
      <c r="AS625" s="340"/>
      <c r="AT625" s="340"/>
      <c r="AU625" s="340"/>
      <c r="AV625" s="340"/>
      <c r="AY625" s="340"/>
      <c r="AZ625" s="465">
        <f t="shared" ca="1" si="432"/>
        <v>7.3698599999999999E-5</v>
      </c>
      <c r="BA625" s="464">
        <f t="shared" ca="1" si="433"/>
        <v>2.2109589000000002E-3</v>
      </c>
      <c r="BB625" s="465">
        <f t="shared" ca="1" si="433"/>
        <v>2.2846575E-3</v>
      </c>
      <c r="BC625" s="466">
        <f t="shared" ca="1" si="434"/>
        <v>61637</v>
      </c>
      <c r="BD625" s="467">
        <f t="shared" ca="1" si="447"/>
        <v>61638</v>
      </c>
      <c r="BE625" s="467">
        <f t="shared" ca="1" si="435"/>
        <v>61667</v>
      </c>
      <c r="BF625" s="468">
        <f ca="1">IF(計算!$BC625&lt;OP!$C$3,0,BD625-BC625)</f>
        <v>1</v>
      </c>
      <c r="BG625" s="468">
        <f ca="1">IF($BE625&gt;DATE(YEAR($BD$9)+OP!$C$57,MONTH($BD$9),DAY($BD$9)),0,$BE625-$BD625+1)</f>
        <v>30</v>
      </c>
      <c r="BH625" s="469">
        <f t="shared" ca="1" si="436"/>
        <v>31</v>
      </c>
      <c r="BI625" t="str">
        <f t="shared" si="452"/>
        <v/>
      </c>
      <c r="BJ625">
        <v>4</v>
      </c>
      <c r="BN625" s="468">
        <f t="shared" si="448"/>
        <v>52</v>
      </c>
      <c r="BO625" s="468">
        <f t="shared" si="449"/>
        <v>4</v>
      </c>
      <c r="BP625" s="467">
        <f t="shared" ca="1" si="437"/>
        <v>61638</v>
      </c>
      <c r="BQ625" s="475">
        <f t="shared" ca="1" si="451"/>
        <v>84</v>
      </c>
      <c r="BR625" s="475" t="str">
        <f t="shared" si="450"/>
        <v/>
      </c>
      <c r="BS625" s="471" t="str">
        <f t="shared" si="438"/>
        <v/>
      </c>
      <c r="BT625" s="472" t="str">
        <f t="shared" si="453"/>
        <v/>
      </c>
      <c r="BU625" s="472">
        <f t="shared" ca="1" si="439"/>
        <v>0</v>
      </c>
      <c r="BV625" s="472">
        <f t="shared" ca="1" si="439"/>
        <v>0</v>
      </c>
      <c r="BW625" s="472"/>
      <c r="BX625" s="473">
        <f t="shared" ca="1" si="440"/>
        <v>932964.84091983398</v>
      </c>
      <c r="BY625" s="473">
        <f t="shared" si="441"/>
        <v>0</v>
      </c>
      <c r="BZ625" s="473">
        <f t="shared" ca="1" si="423"/>
        <v>2131.5051210440001</v>
      </c>
      <c r="CA625" s="476">
        <f t="shared" ca="1" si="442"/>
        <v>0</v>
      </c>
      <c r="CB625" s="494">
        <f ca="1">IF(OR($Q624&lt;&gt;1,OP!$D$5+$BN625-1&lt;16,$BN625-1&lt;1),0,ROUND(ROUND(ROUND(((VLOOKUP($BN625-1,MORE_PV,5,0)/10000)*VLOOKUP($BN625,MORE_PV,$CB$5,0)),3)*VLOOKUP($BN625,more1,5,0),0)/$R624,0))</f>
        <v>0</v>
      </c>
      <c r="CC625" s="473">
        <f t="shared" ca="1" si="443"/>
        <v>0</v>
      </c>
      <c r="CD625" s="477"/>
    </row>
    <row r="626" spans="2:82" ht="16.5" hidden="1">
      <c r="B626" s="80"/>
      <c r="C626" s="80"/>
      <c r="D626" s="80"/>
      <c r="E626" s="80"/>
      <c r="F626" s="80"/>
      <c r="G626" s="80"/>
      <c r="H626" s="80"/>
      <c r="I626" s="80"/>
      <c r="J626" s="192">
        <f t="shared" si="424"/>
        <v>52</v>
      </c>
      <c r="K626" s="192">
        <f t="shared" si="425"/>
        <v>6</v>
      </c>
      <c r="L626" s="192" t="str">
        <f t="shared" si="420"/>
        <v/>
      </c>
      <c r="M626" s="216">
        <f t="shared" ca="1" si="426"/>
        <v>0</v>
      </c>
      <c r="N626" s="216"/>
      <c r="O626" s="216"/>
      <c r="P626" s="216"/>
      <c r="Q626" s="456" t="str">
        <f t="shared" ca="1" si="427"/>
        <v/>
      </c>
      <c r="R626" s="450">
        <f t="shared" ca="1" si="428"/>
        <v>1</v>
      </c>
      <c r="S626" s="191">
        <f t="shared" si="429"/>
        <v>52</v>
      </c>
      <c r="T626" s="191">
        <f t="shared" si="430"/>
        <v>6</v>
      </c>
      <c r="U626" s="191">
        <f ca="1">OP!$D$5+$S626-1</f>
        <v>84</v>
      </c>
      <c r="V626" s="191" t="str">
        <f t="shared" si="431"/>
        <v/>
      </c>
      <c r="W626" s="350">
        <f ca="1">IF(Q626&lt;&gt;1,0,VLOOKUP(OP!$C$55,PVFB,$S626+2,0))</f>
        <v>0</v>
      </c>
      <c r="X626" s="473">
        <f t="shared" ca="1" si="444"/>
        <v>0</v>
      </c>
      <c r="Y626" s="348">
        <f t="shared" ca="1" si="445"/>
        <v>0</v>
      </c>
      <c r="Z626" s="348">
        <f t="shared" ca="1" si="446"/>
        <v>8012</v>
      </c>
      <c r="AA626" s="348">
        <f ca="1">IF(Q626&lt;&gt;1,0,VLOOKUP(OP!$C$55,PVFB,$S626+2,0))</f>
        <v>0</v>
      </c>
      <c r="AB626" s="488" t="str">
        <f ca="1">IF(AND(S626&lt;OP!$C$24,$U626&lt;15),0,IF(AND($U626&lt;15,$T626=12),ROUND(VLOOKUP($S626,DOWN16,5,0),3),IF($T626=12,ROUND(($Z626/10000)*$AA626,3)+IF(AND($P$7="購買增額繳清保險",T626=12,U626=110),VLOOKUP(S626,$B$10:$H$121,7,0),0),"")))</f>
        <v/>
      </c>
      <c r="AC626" s="350" t="str">
        <f ca="1">IF(AND(S626&lt;OP!$C$24,$U626&lt;15),0,IF(AND($U626&lt;16,$T626=12),VLOOKUP($S626,DOWN16,4,0),IF($T626=12,ROUND(VLOOKUP(OP!$C$55,_DIE2,$S626+1,0)*(Z626/10000),0)+IF(AND($P$7="購買增額繳清保險",T626=12,U626=110),VLOOKUP(S626,$B$10:$H$121,7,0),0),"")))</f>
        <v/>
      </c>
      <c r="AD626" s="347"/>
      <c r="AE626" s="350" t="str">
        <f t="shared" ca="1" si="421"/>
        <v/>
      </c>
      <c r="AF626" s="351" t="str">
        <f t="shared" ca="1" si="422"/>
        <v/>
      </c>
      <c r="AG626" s="340"/>
      <c r="AH626" s="340"/>
      <c r="AI626" s="340"/>
      <c r="AJ626" s="340"/>
      <c r="AK626" s="340"/>
      <c r="AL626" s="340"/>
      <c r="AM626" s="340"/>
      <c r="AN626" s="340"/>
      <c r="AO626" s="340"/>
      <c r="AP626" s="340"/>
      <c r="AQ626" s="340"/>
      <c r="AR626" s="340"/>
      <c r="AS626" s="340"/>
      <c r="AT626" s="340"/>
      <c r="AU626" s="340"/>
      <c r="AV626" s="340"/>
      <c r="AY626" s="340"/>
      <c r="AZ626" s="465">
        <f t="shared" ca="1" si="432"/>
        <v>7.3698599999999999E-5</v>
      </c>
      <c r="BA626" s="464">
        <f t="shared" ca="1" si="433"/>
        <v>2.1372602999999999E-3</v>
      </c>
      <c r="BB626" s="465">
        <f t="shared" ca="1" si="433"/>
        <v>2.2109589000000002E-3</v>
      </c>
      <c r="BC626" s="466">
        <f t="shared" ca="1" si="434"/>
        <v>61668</v>
      </c>
      <c r="BD626" s="467">
        <f t="shared" ca="1" si="447"/>
        <v>61669</v>
      </c>
      <c r="BE626" s="467">
        <f t="shared" ca="1" si="435"/>
        <v>61697</v>
      </c>
      <c r="BF626" s="468">
        <f ca="1">IF(計算!$BC626&lt;OP!$C$3,0,BD626-BC626)</f>
        <v>1</v>
      </c>
      <c r="BG626" s="468">
        <f ca="1">IF($BE626&gt;DATE(YEAR($BD$9)+OP!$C$57,MONTH($BD$9),DAY($BD$9)),0,$BE626-$BD626+1)</f>
        <v>29</v>
      </c>
      <c r="BH626" s="469">
        <f t="shared" ca="1" si="436"/>
        <v>30</v>
      </c>
      <c r="BI626" t="str">
        <f t="shared" si="452"/>
        <v/>
      </c>
      <c r="BJ626">
        <v>5</v>
      </c>
      <c r="BN626" s="468">
        <f t="shared" si="448"/>
        <v>52</v>
      </c>
      <c r="BO626" s="468">
        <f t="shared" si="449"/>
        <v>5</v>
      </c>
      <c r="BP626" s="467">
        <f t="shared" ca="1" si="437"/>
        <v>61669</v>
      </c>
      <c r="BQ626" s="475">
        <f t="shared" ca="1" si="451"/>
        <v>84</v>
      </c>
      <c r="BR626" s="475" t="str">
        <f t="shared" si="450"/>
        <v/>
      </c>
      <c r="BS626" s="471" t="str">
        <f t="shared" si="438"/>
        <v/>
      </c>
      <c r="BT626" s="472" t="str">
        <f t="shared" si="453"/>
        <v/>
      </c>
      <c r="BU626" s="472">
        <f t="shared" ca="1" si="439"/>
        <v>0</v>
      </c>
      <c r="BV626" s="472">
        <f t="shared" ca="1" si="439"/>
        <v>0</v>
      </c>
      <c r="BW626" s="472"/>
      <c r="BX626" s="473">
        <f t="shared" ca="1" si="440"/>
        <v>935096.34604087798</v>
      </c>
      <c r="BY626" s="473">
        <f t="shared" si="441"/>
        <v>0</v>
      </c>
      <c r="BZ626" s="473">
        <f t="shared" ca="1" si="423"/>
        <v>2067.4595886369998</v>
      </c>
      <c r="CA626" s="476">
        <f t="shared" ca="1" si="442"/>
        <v>0</v>
      </c>
      <c r="CB626" s="494">
        <f ca="1">IF(OR($Q625&lt;&gt;1,OP!$D$5+$BN626-1&lt;16,$BN626-1&lt;1),0,ROUND(ROUND(ROUND(((VLOOKUP($BN626-1,MORE_PV,5,0)/10000)*VLOOKUP($BN626,MORE_PV,$CB$5,0)),3)*VLOOKUP($BN626,more1,5,0),0)/$R625,0))</f>
        <v>0</v>
      </c>
      <c r="CC626" s="473">
        <f t="shared" ca="1" si="443"/>
        <v>0</v>
      </c>
      <c r="CD626" s="477"/>
    </row>
    <row r="627" spans="2:82" ht="16.5" hidden="1">
      <c r="B627" s="80"/>
      <c r="C627" s="80"/>
      <c r="D627" s="80"/>
      <c r="E627" s="80"/>
      <c r="F627" s="80"/>
      <c r="G627" s="80"/>
      <c r="H627" s="80"/>
      <c r="I627" s="80"/>
      <c r="J627" s="192">
        <f t="shared" si="424"/>
        <v>52</v>
      </c>
      <c r="K627" s="192">
        <f t="shared" si="425"/>
        <v>7</v>
      </c>
      <c r="L627" s="192" t="str">
        <f t="shared" si="420"/>
        <v/>
      </c>
      <c r="M627" s="216">
        <f t="shared" ca="1" si="426"/>
        <v>0</v>
      </c>
      <c r="N627" s="216"/>
      <c r="O627" s="216"/>
      <c r="P627" s="216"/>
      <c r="Q627" s="456" t="str">
        <f t="shared" ca="1" si="427"/>
        <v/>
      </c>
      <c r="R627" s="450">
        <f t="shared" ca="1" si="428"/>
        <v>1</v>
      </c>
      <c r="S627" s="191">
        <f t="shared" si="429"/>
        <v>52</v>
      </c>
      <c r="T627" s="191">
        <f t="shared" si="430"/>
        <v>7</v>
      </c>
      <c r="U627" s="191">
        <f ca="1">OP!$D$5+$S627-1</f>
        <v>84</v>
      </c>
      <c r="V627" s="191" t="str">
        <f t="shared" si="431"/>
        <v/>
      </c>
      <c r="W627" s="350">
        <f ca="1">IF(Q627&lt;&gt;1,0,VLOOKUP(OP!$C$55,PVFB,$S627+2,0))</f>
        <v>0</v>
      </c>
      <c r="X627" s="473">
        <f t="shared" ca="1" si="444"/>
        <v>0</v>
      </c>
      <c r="Y627" s="348">
        <f t="shared" ca="1" si="445"/>
        <v>0</v>
      </c>
      <c r="Z627" s="348">
        <f t="shared" ca="1" si="446"/>
        <v>8012</v>
      </c>
      <c r="AA627" s="348">
        <f ca="1">IF(Q627&lt;&gt;1,0,VLOOKUP(OP!$C$55,PVFB,$S627+2,0))</f>
        <v>0</v>
      </c>
      <c r="AB627" s="488" t="str">
        <f ca="1">IF(AND(S627&lt;OP!$C$24,$U627&lt;15),0,IF(AND($U627&lt;15,$T627=12),ROUND(VLOOKUP($S627,DOWN16,5,0),3),IF($T627=12,ROUND(($Z627/10000)*$AA627,3)+IF(AND($P$7="購買增額繳清保險",T627=12,U627=110),VLOOKUP(S627,$B$10:$H$121,7,0),0),"")))</f>
        <v/>
      </c>
      <c r="AC627" s="350" t="str">
        <f ca="1">IF(AND(S627&lt;OP!$C$24,$U627&lt;15),0,IF(AND($U627&lt;16,$T627=12),VLOOKUP($S627,DOWN16,4,0),IF($T627=12,ROUND(VLOOKUP(OP!$C$55,_DIE2,$S627+1,0)*(Z627/10000),0)+IF(AND($P$7="購買增額繳清保險",T627=12,U627=110),VLOOKUP(S627,$B$10:$H$121,7,0),0),"")))</f>
        <v/>
      </c>
      <c r="AD627" s="347"/>
      <c r="AE627" s="350" t="str">
        <f t="shared" ca="1" si="421"/>
        <v/>
      </c>
      <c r="AF627" s="351" t="str">
        <f t="shared" ca="1" si="422"/>
        <v/>
      </c>
      <c r="AG627" s="340"/>
      <c r="AH627" s="340"/>
      <c r="AI627" s="340"/>
      <c r="AJ627" s="340"/>
      <c r="AK627" s="340"/>
      <c r="AL627" s="340"/>
      <c r="AM627" s="340"/>
      <c r="AN627" s="340"/>
      <c r="AO627" s="340"/>
      <c r="AP627" s="340"/>
      <c r="AQ627" s="340"/>
      <c r="AR627" s="340"/>
      <c r="AS627" s="340"/>
      <c r="AT627" s="340"/>
      <c r="AU627" s="340"/>
      <c r="AV627" s="340"/>
      <c r="AY627" s="340"/>
      <c r="AZ627" s="465">
        <f t="shared" ca="1" si="432"/>
        <v>7.3698599999999999E-5</v>
      </c>
      <c r="BA627" s="464">
        <f t="shared" ca="1" si="433"/>
        <v>2.2109589000000002E-3</v>
      </c>
      <c r="BB627" s="465">
        <f t="shared" ca="1" si="433"/>
        <v>2.2846575E-3</v>
      </c>
      <c r="BC627" s="466">
        <f t="shared" ca="1" si="434"/>
        <v>61698</v>
      </c>
      <c r="BD627" s="467">
        <f t="shared" ca="1" si="447"/>
        <v>61699</v>
      </c>
      <c r="BE627" s="467">
        <f t="shared" ca="1" si="435"/>
        <v>61728</v>
      </c>
      <c r="BF627" s="468">
        <f ca="1">IF(計算!$BC627&lt;OP!$C$3,0,BD627-BC627)</f>
        <v>1</v>
      </c>
      <c r="BG627" s="468">
        <f ca="1">IF($BE627&gt;DATE(YEAR($BD$9)+OP!$C$57,MONTH($BD$9),DAY($BD$9)),0,$BE627-$BD627+1)</f>
        <v>30</v>
      </c>
      <c r="BH627" s="469">
        <f t="shared" ca="1" si="436"/>
        <v>31</v>
      </c>
      <c r="BI627" t="str">
        <f t="shared" si="452"/>
        <v/>
      </c>
      <c r="BJ627">
        <v>6</v>
      </c>
      <c r="BN627" s="468">
        <f t="shared" si="448"/>
        <v>52</v>
      </c>
      <c r="BO627" s="468">
        <f t="shared" si="449"/>
        <v>6</v>
      </c>
      <c r="BP627" s="467">
        <f t="shared" ca="1" si="437"/>
        <v>61699</v>
      </c>
      <c r="BQ627" s="475">
        <f t="shared" ca="1" si="451"/>
        <v>84</v>
      </c>
      <c r="BR627" s="475" t="str">
        <f t="shared" si="450"/>
        <v/>
      </c>
      <c r="BS627" s="471" t="str">
        <f t="shared" si="438"/>
        <v/>
      </c>
      <c r="BT627" s="472" t="str">
        <f t="shared" si="453"/>
        <v/>
      </c>
      <c r="BU627" s="472">
        <f t="shared" ca="1" si="439"/>
        <v>0</v>
      </c>
      <c r="BV627" s="472">
        <f t="shared" ca="1" si="439"/>
        <v>0</v>
      </c>
      <c r="BW627" s="472"/>
      <c r="BX627" s="473">
        <f t="shared" ca="1" si="440"/>
        <v>937163.80562951497</v>
      </c>
      <c r="BY627" s="473">
        <f t="shared" si="441"/>
        <v>0</v>
      </c>
      <c r="BZ627" s="473">
        <f t="shared" ca="1" si="423"/>
        <v>2141.0983172599999</v>
      </c>
      <c r="CA627" s="476">
        <f t="shared" ca="1" si="442"/>
        <v>0</v>
      </c>
      <c r="CB627" s="494">
        <f ca="1">IF(OR($Q626&lt;&gt;1,OP!$D$5+$BN627-1&lt;16,$BN627-1&lt;1),0,ROUND(ROUND(ROUND(((VLOOKUP($BN627-1,MORE_PV,5,0)/10000)*VLOOKUP($BN627,MORE_PV,$CB$5,0)),3)*VLOOKUP($BN627,more1,5,0),0)/$R626,0))</f>
        <v>0</v>
      </c>
      <c r="CC627" s="473">
        <f t="shared" ca="1" si="443"/>
        <v>0</v>
      </c>
      <c r="CD627" s="477"/>
    </row>
    <row r="628" spans="2:82" ht="16.5" hidden="1">
      <c r="B628" s="80"/>
      <c r="C628" s="80"/>
      <c r="D628" s="80"/>
      <c r="E628" s="80"/>
      <c r="F628" s="80"/>
      <c r="G628" s="80"/>
      <c r="H628" s="80"/>
      <c r="I628" s="80"/>
      <c r="J628" s="192">
        <f t="shared" si="424"/>
        <v>52</v>
      </c>
      <c r="K628" s="192">
        <f t="shared" si="425"/>
        <v>8</v>
      </c>
      <c r="L628" s="192" t="str">
        <f t="shared" si="420"/>
        <v/>
      </c>
      <c r="M628" s="216">
        <f t="shared" ca="1" si="426"/>
        <v>0</v>
      </c>
      <c r="N628" s="216"/>
      <c r="O628" s="216"/>
      <c r="P628" s="216"/>
      <c r="Q628" s="456" t="str">
        <f t="shared" ca="1" si="427"/>
        <v/>
      </c>
      <c r="R628" s="450">
        <f t="shared" ca="1" si="428"/>
        <v>1</v>
      </c>
      <c r="S628" s="191">
        <f t="shared" si="429"/>
        <v>52</v>
      </c>
      <c r="T628" s="191">
        <f t="shared" si="430"/>
        <v>8</v>
      </c>
      <c r="U628" s="191">
        <f ca="1">OP!$D$5+$S628-1</f>
        <v>84</v>
      </c>
      <c r="V628" s="191" t="str">
        <f t="shared" si="431"/>
        <v/>
      </c>
      <c r="W628" s="350">
        <f ca="1">IF(Q628&lt;&gt;1,0,VLOOKUP(OP!$C$55,PVFB,$S628+2,0))</f>
        <v>0</v>
      </c>
      <c r="X628" s="473">
        <f t="shared" ca="1" si="444"/>
        <v>0</v>
      </c>
      <c r="Y628" s="348">
        <f t="shared" ca="1" si="445"/>
        <v>0</v>
      </c>
      <c r="Z628" s="348">
        <f t="shared" ca="1" si="446"/>
        <v>8012</v>
      </c>
      <c r="AA628" s="348">
        <f ca="1">IF(Q628&lt;&gt;1,0,VLOOKUP(OP!$C$55,PVFB,$S628+2,0))</f>
        <v>0</v>
      </c>
      <c r="AB628" s="488" t="str">
        <f ca="1">IF(AND(S628&lt;OP!$C$24,$U628&lt;15),0,IF(AND($U628&lt;15,$T628=12),ROUND(VLOOKUP($S628,DOWN16,5,0),3),IF($T628=12,ROUND(($Z628/10000)*$AA628,3)+IF(AND($P$7="購買增額繳清保險",T628=12,U628=110),VLOOKUP(S628,$B$10:$H$121,7,0),0),"")))</f>
        <v/>
      </c>
      <c r="AC628" s="350" t="str">
        <f ca="1">IF(AND(S628&lt;OP!$C$24,$U628&lt;15),0,IF(AND($U628&lt;16,$T628=12),VLOOKUP($S628,DOWN16,4,0),IF($T628=12,ROUND(VLOOKUP(OP!$C$55,_DIE2,$S628+1,0)*(Z628/10000),0)+IF(AND($P$7="購買增額繳清保險",T628=12,U628=110),VLOOKUP(S628,$B$10:$H$121,7,0),0),"")))</f>
        <v/>
      </c>
      <c r="AD628" s="347"/>
      <c r="AE628" s="350" t="str">
        <f t="shared" ca="1" si="421"/>
        <v/>
      </c>
      <c r="AF628" s="351" t="str">
        <f t="shared" ca="1" si="422"/>
        <v/>
      </c>
      <c r="AG628" s="340"/>
      <c r="AH628" s="340"/>
      <c r="AI628" s="340"/>
      <c r="AJ628" s="340"/>
      <c r="AK628" s="340"/>
      <c r="AL628" s="340"/>
      <c r="AM628" s="340"/>
      <c r="AN628" s="340"/>
      <c r="AO628" s="340"/>
      <c r="AP628" s="340"/>
      <c r="AQ628" s="340"/>
      <c r="AR628" s="340"/>
      <c r="AS628" s="340"/>
      <c r="AT628" s="340"/>
      <c r="AU628" s="340"/>
      <c r="AV628" s="340"/>
      <c r="AY628" s="340"/>
      <c r="AZ628" s="465">
        <f t="shared" ca="1" si="432"/>
        <v>7.3698599999999999E-5</v>
      </c>
      <c r="BA628" s="464">
        <f t="shared" ca="1" si="433"/>
        <v>2.2109589000000002E-3</v>
      </c>
      <c r="BB628" s="465">
        <f t="shared" ca="1" si="433"/>
        <v>2.2846575E-3</v>
      </c>
      <c r="BC628" s="466">
        <f t="shared" ca="1" si="434"/>
        <v>61729</v>
      </c>
      <c r="BD628" s="467">
        <f t="shared" ca="1" si="447"/>
        <v>61730</v>
      </c>
      <c r="BE628" s="467">
        <f t="shared" ca="1" si="435"/>
        <v>61759</v>
      </c>
      <c r="BF628" s="468">
        <f ca="1">IF(計算!$BC628&lt;OP!$C$3,0,BD628-BC628)</f>
        <v>1</v>
      </c>
      <c r="BG628" s="468">
        <f ca="1">IF($BE628&gt;DATE(YEAR($BD$9)+OP!$C$57,MONTH($BD$9),DAY($BD$9)),0,$BE628-$BD628+1)</f>
        <v>30</v>
      </c>
      <c r="BH628" s="469">
        <f t="shared" ca="1" si="436"/>
        <v>31</v>
      </c>
      <c r="BI628" t="str">
        <f t="shared" si="452"/>
        <v/>
      </c>
      <c r="BJ628">
        <v>7</v>
      </c>
      <c r="BN628" s="468">
        <f t="shared" si="448"/>
        <v>52</v>
      </c>
      <c r="BO628" s="468">
        <f t="shared" si="449"/>
        <v>7</v>
      </c>
      <c r="BP628" s="467">
        <f t="shared" ca="1" si="437"/>
        <v>61730</v>
      </c>
      <c r="BQ628" s="475">
        <f t="shared" ca="1" si="451"/>
        <v>84</v>
      </c>
      <c r="BR628" s="475" t="str">
        <f t="shared" si="450"/>
        <v/>
      </c>
      <c r="BS628" s="471" t="str">
        <f t="shared" si="438"/>
        <v/>
      </c>
      <c r="BT628" s="472" t="str">
        <f t="shared" si="453"/>
        <v/>
      </c>
      <c r="BU628" s="472">
        <f t="shared" ca="1" si="439"/>
        <v>0</v>
      </c>
      <c r="BV628" s="472">
        <f t="shared" ca="1" si="439"/>
        <v>0</v>
      </c>
      <c r="BW628" s="472"/>
      <c r="BX628" s="473">
        <f t="shared" ca="1" si="440"/>
        <v>939304.90394677501</v>
      </c>
      <c r="BY628" s="473">
        <f t="shared" si="441"/>
        <v>0</v>
      </c>
      <c r="BZ628" s="473">
        <f t="shared" ca="1" si="423"/>
        <v>2145.9899935889998</v>
      </c>
      <c r="CA628" s="476">
        <f t="shared" ca="1" si="442"/>
        <v>0</v>
      </c>
      <c r="CB628" s="494">
        <f ca="1">IF(OR($Q627&lt;&gt;1,OP!$D$5+$BN628-1&lt;16,$BN628-1&lt;1),0,ROUND(ROUND(ROUND(((VLOOKUP($BN628-1,MORE_PV,5,0)/10000)*VLOOKUP($BN628,MORE_PV,$CB$5,0)),3)*VLOOKUP($BN628,more1,5,0),0)/$R627,0))</f>
        <v>0</v>
      </c>
      <c r="CC628" s="473">
        <f t="shared" ca="1" si="443"/>
        <v>0</v>
      </c>
      <c r="CD628" s="477"/>
    </row>
    <row r="629" spans="2:82" ht="16.5" hidden="1">
      <c r="B629" s="80"/>
      <c r="C629" s="80"/>
      <c r="D629" s="80"/>
      <c r="E629" s="80"/>
      <c r="F629" s="80"/>
      <c r="G629" s="80"/>
      <c r="H629" s="80"/>
      <c r="I629" s="80"/>
      <c r="J629" s="192">
        <f t="shared" si="424"/>
        <v>52</v>
      </c>
      <c r="K629" s="192">
        <f t="shared" si="425"/>
        <v>9</v>
      </c>
      <c r="L629" s="192" t="str">
        <f t="shared" si="420"/>
        <v/>
      </c>
      <c r="M629" s="216">
        <f t="shared" ca="1" si="426"/>
        <v>0</v>
      </c>
      <c r="N629" s="216"/>
      <c r="O629" s="216"/>
      <c r="P629" s="216"/>
      <c r="Q629" s="456" t="str">
        <f t="shared" ca="1" si="427"/>
        <v/>
      </c>
      <c r="R629" s="450">
        <f t="shared" ca="1" si="428"/>
        <v>1</v>
      </c>
      <c r="S629" s="191">
        <f t="shared" si="429"/>
        <v>52</v>
      </c>
      <c r="T629" s="191">
        <f t="shared" si="430"/>
        <v>9</v>
      </c>
      <c r="U629" s="191">
        <f ca="1">OP!$D$5+$S629-1</f>
        <v>84</v>
      </c>
      <c r="V629" s="191" t="str">
        <f t="shared" si="431"/>
        <v/>
      </c>
      <c r="W629" s="350">
        <f ca="1">IF(Q629&lt;&gt;1,0,VLOOKUP(OP!$C$55,PVFB,$S629+2,0))</f>
        <v>0</v>
      </c>
      <c r="X629" s="473">
        <f t="shared" ca="1" si="444"/>
        <v>0</v>
      </c>
      <c r="Y629" s="348">
        <f t="shared" ca="1" si="445"/>
        <v>0</v>
      </c>
      <c r="Z629" s="348">
        <f t="shared" ca="1" si="446"/>
        <v>8012</v>
      </c>
      <c r="AA629" s="348">
        <f ca="1">IF(Q629&lt;&gt;1,0,VLOOKUP(OP!$C$55,PVFB,$S629+2,0))</f>
        <v>0</v>
      </c>
      <c r="AB629" s="488" t="str">
        <f ca="1">IF(AND(S629&lt;OP!$C$24,$U629&lt;15),0,IF(AND($U629&lt;15,$T629=12),ROUND(VLOOKUP($S629,DOWN16,5,0),3),IF($T629=12,ROUND(($Z629/10000)*$AA629,3)+IF(AND($P$7="購買增額繳清保險",T629=12,U629=110),VLOOKUP(S629,$B$10:$H$121,7,0),0),"")))</f>
        <v/>
      </c>
      <c r="AC629" s="350" t="str">
        <f ca="1">IF(AND(S629&lt;OP!$C$24,$U629&lt;15),0,IF(AND($U629&lt;16,$T629=12),VLOOKUP($S629,DOWN16,4,0),IF($T629=12,ROUND(VLOOKUP(OP!$C$55,_DIE2,$S629+1,0)*(Z629/10000),0)+IF(AND($P$7="購買增額繳清保險",T629=12,U629=110),VLOOKUP(S629,$B$10:$H$121,7,0),0),"")))</f>
        <v/>
      </c>
      <c r="AD629" s="347"/>
      <c r="AE629" s="350" t="str">
        <f t="shared" ca="1" si="421"/>
        <v/>
      </c>
      <c r="AF629" s="351" t="str">
        <f t="shared" ca="1" si="422"/>
        <v/>
      </c>
      <c r="AG629" s="340"/>
      <c r="AH629" s="340"/>
      <c r="AI629" s="340"/>
      <c r="AJ629" s="340"/>
      <c r="AK629" s="340"/>
      <c r="AL629" s="340"/>
      <c r="AM629" s="340"/>
      <c r="AN629" s="340"/>
      <c r="AO629" s="340"/>
      <c r="AP629" s="340"/>
      <c r="AQ629" s="340"/>
      <c r="AR629" s="340"/>
      <c r="AS629" s="340"/>
      <c r="AT629" s="340"/>
      <c r="AU629" s="340"/>
      <c r="AV629" s="340"/>
      <c r="AY629" s="340"/>
      <c r="AZ629" s="465">
        <f t="shared" ca="1" si="432"/>
        <v>7.3698599999999999E-5</v>
      </c>
      <c r="BA629" s="464">
        <f t="shared" ca="1" si="433"/>
        <v>1.9898630000000001E-3</v>
      </c>
      <c r="BB629" s="465">
        <f t="shared" ca="1" si="433"/>
        <v>2.0635616E-3</v>
      </c>
      <c r="BC629" s="466">
        <f t="shared" ca="1" si="434"/>
        <v>61760</v>
      </c>
      <c r="BD629" s="467">
        <f t="shared" ca="1" si="447"/>
        <v>61761</v>
      </c>
      <c r="BE629" s="467">
        <f t="shared" ca="1" si="435"/>
        <v>61787</v>
      </c>
      <c r="BF629" s="468">
        <f ca="1">IF(計算!$BC629&lt;OP!$C$3,0,BD629-BC629)</f>
        <v>1</v>
      </c>
      <c r="BG629" s="468">
        <f ca="1">IF($BE629&gt;DATE(YEAR($BD$9)+OP!$C$57,MONTH($BD$9),DAY($BD$9)),0,$BE629-$BD629+1)</f>
        <v>27</v>
      </c>
      <c r="BH629" s="469">
        <f t="shared" ca="1" si="436"/>
        <v>28</v>
      </c>
      <c r="BI629" t="str">
        <f t="shared" si="452"/>
        <v/>
      </c>
      <c r="BJ629">
        <v>8</v>
      </c>
      <c r="BN629" s="468">
        <f t="shared" si="448"/>
        <v>52</v>
      </c>
      <c r="BO629" s="468">
        <f t="shared" si="449"/>
        <v>8</v>
      </c>
      <c r="BP629" s="467">
        <f t="shared" ca="1" si="437"/>
        <v>61761</v>
      </c>
      <c r="BQ629" s="475">
        <f t="shared" ca="1" si="451"/>
        <v>84</v>
      </c>
      <c r="BR629" s="475" t="str">
        <f t="shared" si="450"/>
        <v/>
      </c>
      <c r="BS629" s="471" t="str">
        <f t="shared" si="438"/>
        <v/>
      </c>
      <c r="BT629" s="472" t="str">
        <f t="shared" si="453"/>
        <v/>
      </c>
      <c r="BU629" s="472">
        <f t="shared" ca="1" si="439"/>
        <v>0</v>
      </c>
      <c r="BV629" s="472">
        <f t="shared" ca="1" si="439"/>
        <v>0</v>
      </c>
      <c r="BW629" s="472"/>
      <c r="BX629" s="473">
        <f t="shared" ca="1" si="440"/>
        <v>941450.89394036401</v>
      </c>
      <c r="BY629" s="473">
        <f t="shared" si="441"/>
        <v>0</v>
      </c>
      <c r="BZ629" s="473">
        <f t="shared" ca="1" si="423"/>
        <v>1942.7419130210001</v>
      </c>
      <c r="CA629" s="476">
        <f t="shared" ca="1" si="442"/>
        <v>0</v>
      </c>
      <c r="CB629" s="494">
        <f ca="1">IF(OR($Q628&lt;&gt;1,OP!$D$5+$BN629-1&lt;16,$BN629-1&lt;1),0,ROUND(ROUND(ROUND(((VLOOKUP($BN629-1,MORE_PV,5,0)/10000)*VLOOKUP($BN629,MORE_PV,$CB$5,0)),3)*VLOOKUP($BN629,more1,5,0),0)/$R628,0))</f>
        <v>0</v>
      </c>
      <c r="CC629" s="473">
        <f t="shared" ca="1" si="443"/>
        <v>0</v>
      </c>
      <c r="CD629" s="477"/>
    </row>
    <row r="630" spans="2:82" ht="16.5" hidden="1">
      <c r="B630" s="80"/>
      <c r="C630" s="80"/>
      <c r="D630" s="80"/>
      <c r="E630" s="80"/>
      <c r="F630" s="80"/>
      <c r="G630" s="80"/>
      <c r="H630" s="80"/>
      <c r="I630" s="80"/>
      <c r="J630" s="192">
        <f t="shared" si="424"/>
        <v>52</v>
      </c>
      <c r="K630" s="192">
        <f t="shared" si="425"/>
        <v>10</v>
      </c>
      <c r="L630" s="192" t="str">
        <f t="shared" si="420"/>
        <v/>
      </c>
      <c r="M630" s="216">
        <f t="shared" ca="1" si="426"/>
        <v>0</v>
      </c>
      <c r="N630" s="216"/>
      <c r="O630" s="216"/>
      <c r="P630" s="216"/>
      <c r="Q630" s="456" t="str">
        <f t="shared" ca="1" si="427"/>
        <v/>
      </c>
      <c r="R630" s="450">
        <f t="shared" ca="1" si="428"/>
        <v>1</v>
      </c>
      <c r="S630" s="191">
        <f t="shared" si="429"/>
        <v>52</v>
      </c>
      <c r="T630" s="191">
        <f t="shared" si="430"/>
        <v>10</v>
      </c>
      <c r="U630" s="191">
        <f ca="1">OP!$D$5+$S630-1</f>
        <v>84</v>
      </c>
      <c r="V630" s="191" t="str">
        <f t="shared" si="431"/>
        <v/>
      </c>
      <c r="W630" s="350">
        <f ca="1">IF(Q630&lt;&gt;1,0,VLOOKUP(OP!$C$55,PVFB,$S630+2,0))</f>
        <v>0</v>
      </c>
      <c r="X630" s="473">
        <f t="shared" ca="1" si="444"/>
        <v>0</v>
      </c>
      <c r="Y630" s="348">
        <f t="shared" ca="1" si="445"/>
        <v>0</v>
      </c>
      <c r="Z630" s="348">
        <f t="shared" ca="1" si="446"/>
        <v>8012</v>
      </c>
      <c r="AA630" s="348">
        <f ca="1">IF(Q630&lt;&gt;1,0,VLOOKUP(OP!$C$55,PVFB,$S630+2,0))</f>
        <v>0</v>
      </c>
      <c r="AB630" s="488" t="str">
        <f ca="1">IF(AND(S630&lt;OP!$C$24,$U630&lt;15),0,IF(AND($U630&lt;15,$T630=12),ROUND(VLOOKUP($S630,DOWN16,5,0),3),IF($T630=12,ROUND(($Z630/10000)*$AA630,3)+IF(AND($P$7="購買增額繳清保險",T630=12,U630=110),VLOOKUP(S630,$B$10:$H$121,7,0),0),"")))</f>
        <v/>
      </c>
      <c r="AC630" s="350" t="str">
        <f ca="1">IF(AND(S630&lt;OP!$C$24,$U630&lt;15),0,IF(AND($U630&lt;16,$T630=12),VLOOKUP($S630,DOWN16,4,0),IF($T630=12,ROUND(VLOOKUP(OP!$C$55,_DIE2,$S630+1,0)*(Z630/10000),0)+IF(AND($P$7="購買增額繳清保險",T630=12,U630=110),VLOOKUP(S630,$B$10:$H$121,7,0),0),"")))</f>
        <v/>
      </c>
      <c r="AD630" s="347"/>
      <c r="AE630" s="350" t="str">
        <f t="shared" ca="1" si="421"/>
        <v/>
      </c>
      <c r="AF630" s="351" t="str">
        <f t="shared" ca="1" si="422"/>
        <v/>
      </c>
      <c r="AG630" s="340"/>
      <c r="AH630" s="340"/>
      <c r="AI630" s="340"/>
      <c r="AJ630" s="340"/>
      <c r="AK630" s="340"/>
      <c r="AL630" s="340"/>
      <c r="AM630" s="340"/>
      <c r="AN630" s="340"/>
      <c r="AO630" s="340"/>
      <c r="AP630" s="340"/>
      <c r="AQ630" s="340"/>
      <c r="AR630" s="340"/>
      <c r="AS630" s="340"/>
      <c r="AT630" s="340"/>
      <c r="AU630" s="340"/>
      <c r="AV630" s="340"/>
      <c r="AY630" s="340"/>
      <c r="AZ630" s="465">
        <f t="shared" ca="1" si="432"/>
        <v>7.3698599999999999E-5</v>
      </c>
      <c r="BA630" s="464">
        <f t="shared" ca="1" si="433"/>
        <v>2.2109589000000002E-3</v>
      </c>
      <c r="BB630" s="465">
        <f t="shared" ca="1" si="433"/>
        <v>2.2846575E-3</v>
      </c>
      <c r="BC630" s="466">
        <f t="shared" ca="1" si="434"/>
        <v>61788</v>
      </c>
      <c r="BD630" s="467">
        <f t="shared" ca="1" si="447"/>
        <v>61789</v>
      </c>
      <c r="BE630" s="467">
        <f t="shared" ca="1" si="435"/>
        <v>61818</v>
      </c>
      <c r="BF630" s="468">
        <f ca="1">IF(計算!$BC630&lt;OP!$C$3,0,BD630-BC630)</f>
        <v>1</v>
      </c>
      <c r="BG630" s="468">
        <f ca="1">IF($BE630&gt;DATE(YEAR($BD$9)+OP!$C$57,MONTH($BD$9),DAY($BD$9)),0,$BE630-$BD630+1)</f>
        <v>30</v>
      </c>
      <c r="BH630" s="469">
        <f t="shared" ca="1" si="436"/>
        <v>31</v>
      </c>
      <c r="BI630" t="str">
        <f t="shared" si="452"/>
        <v/>
      </c>
      <c r="BJ630">
        <v>9</v>
      </c>
      <c r="BN630" s="468">
        <f t="shared" si="448"/>
        <v>52</v>
      </c>
      <c r="BO630" s="468">
        <f t="shared" si="449"/>
        <v>9</v>
      </c>
      <c r="BP630" s="467">
        <f t="shared" ca="1" si="437"/>
        <v>61789</v>
      </c>
      <c r="BQ630" s="475">
        <f t="shared" ca="1" si="451"/>
        <v>84</v>
      </c>
      <c r="BR630" s="475" t="str">
        <f t="shared" si="450"/>
        <v/>
      </c>
      <c r="BS630" s="471" t="str">
        <f t="shared" si="438"/>
        <v/>
      </c>
      <c r="BT630" s="472" t="str">
        <f t="shared" si="453"/>
        <v/>
      </c>
      <c r="BU630" s="472">
        <f t="shared" ca="1" si="439"/>
        <v>0</v>
      </c>
      <c r="BV630" s="472">
        <f t="shared" ca="1" si="439"/>
        <v>0</v>
      </c>
      <c r="BW630" s="472"/>
      <c r="BX630" s="473">
        <f t="shared" ca="1" si="440"/>
        <v>943393.63585338497</v>
      </c>
      <c r="BY630" s="473">
        <f t="shared" si="441"/>
        <v>0</v>
      </c>
      <c r="BZ630" s="473">
        <f t="shared" ca="1" si="423"/>
        <v>2155.331345605</v>
      </c>
      <c r="CA630" s="476">
        <f t="shared" ca="1" si="442"/>
        <v>0</v>
      </c>
      <c r="CB630" s="494">
        <f ca="1">IF(OR($Q629&lt;&gt;1,OP!$D$5+$BN630-1&lt;16,$BN630-1&lt;1),0,ROUND(ROUND(ROUND(((VLOOKUP($BN630-1,MORE_PV,5,0)/10000)*VLOOKUP($BN630,MORE_PV,$CB$5,0)),3)*VLOOKUP($BN630,more1,5,0),0)/$R629,0))</f>
        <v>0</v>
      </c>
      <c r="CC630" s="473">
        <f t="shared" ca="1" si="443"/>
        <v>0</v>
      </c>
      <c r="CD630" s="477"/>
    </row>
    <row r="631" spans="2:82" ht="16.5" hidden="1">
      <c r="B631" s="80"/>
      <c r="C631" s="80"/>
      <c r="D631" s="80"/>
      <c r="E631" s="80"/>
      <c r="F631" s="80"/>
      <c r="G631" s="80"/>
      <c r="H631" s="80"/>
      <c r="I631" s="80"/>
      <c r="J631" s="192">
        <f t="shared" si="424"/>
        <v>52</v>
      </c>
      <c r="K631" s="192">
        <f t="shared" si="425"/>
        <v>11</v>
      </c>
      <c r="L631" s="192" t="str">
        <f t="shared" si="420"/>
        <v/>
      </c>
      <c r="M631" s="216">
        <f t="shared" ca="1" si="426"/>
        <v>0</v>
      </c>
      <c r="N631" s="216"/>
      <c r="O631" s="216"/>
      <c r="P631" s="216"/>
      <c r="Q631" s="456" t="str">
        <f t="shared" ca="1" si="427"/>
        <v/>
      </c>
      <c r="R631" s="450">
        <f t="shared" ca="1" si="428"/>
        <v>1</v>
      </c>
      <c r="S631" s="191">
        <f t="shared" si="429"/>
        <v>52</v>
      </c>
      <c r="T631" s="191">
        <f t="shared" si="430"/>
        <v>11</v>
      </c>
      <c r="U631" s="191">
        <f ca="1">OP!$D$5+$S631-1</f>
        <v>84</v>
      </c>
      <c r="V631" s="191" t="str">
        <f t="shared" si="431"/>
        <v/>
      </c>
      <c r="W631" s="350">
        <f ca="1">IF(Q631&lt;&gt;1,0,VLOOKUP(OP!$C$55,PVFB,$S631+2,0))</f>
        <v>0</v>
      </c>
      <c r="X631" s="473">
        <f t="shared" ca="1" si="444"/>
        <v>0</v>
      </c>
      <c r="Y631" s="348">
        <f t="shared" ca="1" si="445"/>
        <v>0</v>
      </c>
      <c r="Z631" s="348">
        <f t="shared" ca="1" si="446"/>
        <v>8012</v>
      </c>
      <c r="AA631" s="348">
        <f ca="1">IF(Q631&lt;&gt;1,0,VLOOKUP(OP!$C$55,PVFB,$S631+2,0))</f>
        <v>0</v>
      </c>
      <c r="AB631" s="488" t="str">
        <f ca="1">IF(AND(S631&lt;OP!$C$24,$U631&lt;15),0,IF(AND($U631&lt;15,$T631=12),ROUND(VLOOKUP($S631,DOWN16,5,0),3),IF($T631=12,ROUND(($Z631/10000)*$AA631,3)+IF(AND($P$7="購買增額繳清保險",T631=12,U631=110),VLOOKUP(S631,$B$10:$H$121,7,0),0),"")))</f>
        <v/>
      </c>
      <c r="AC631" s="350" t="str">
        <f ca="1">IF(AND(S631&lt;OP!$C$24,$U631&lt;15),0,IF(AND($U631&lt;16,$T631=12),VLOOKUP($S631,DOWN16,4,0),IF($T631=12,ROUND(VLOOKUP(OP!$C$55,_DIE2,$S631+1,0)*(Z631/10000),0)+IF(AND($P$7="購買增額繳清保險",T631=12,U631=110),VLOOKUP(S631,$B$10:$H$121,7,0),0),"")))</f>
        <v/>
      </c>
      <c r="AD631" s="347"/>
      <c r="AE631" s="350" t="str">
        <f t="shared" ca="1" si="421"/>
        <v/>
      </c>
      <c r="AF631" s="351" t="str">
        <f t="shared" ca="1" si="422"/>
        <v/>
      </c>
      <c r="AG631" s="340"/>
      <c r="AH631" s="340"/>
      <c r="AI631" s="340"/>
      <c r="AJ631" s="340"/>
      <c r="AK631" s="340"/>
      <c r="AL631" s="340"/>
      <c r="AM631" s="340"/>
      <c r="AN631" s="340"/>
      <c r="AO631" s="340"/>
      <c r="AP631" s="340"/>
      <c r="AQ631" s="340"/>
      <c r="AR631" s="340"/>
      <c r="AS631" s="340"/>
      <c r="AT631" s="340"/>
      <c r="AU631" s="340"/>
      <c r="AV631" s="340"/>
      <c r="AY631" s="340"/>
      <c r="AZ631" s="465">
        <f t="shared" ca="1" si="432"/>
        <v>7.3698599999999999E-5</v>
      </c>
      <c r="BA631" s="464">
        <f t="shared" ca="1" si="433"/>
        <v>2.1372602999999999E-3</v>
      </c>
      <c r="BB631" s="465">
        <f t="shared" ca="1" si="433"/>
        <v>2.2109589000000002E-3</v>
      </c>
      <c r="BC631" s="466">
        <f t="shared" ca="1" si="434"/>
        <v>61819</v>
      </c>
      <c r="BD631" s="467">
        <f t="shared" ca="1" si="447"/>
        <v>61820</v>
      </c>
      <c r="BE631" s="467">
        <f t="shared" ca="1" si="435"/>
        <v>61848</v>
      </c>
      <c r="BF631" s="468">
        <f ca="1">IF(計算!$BC631&lt;OP!$C$3,0,BD631-BC631)</f>
        <v>1</v>
      </c>
      <c r="BG631" s="468">
        <f ca="1">IF($BE631&gt;DATE(YEAR($BD$9)+OP!$C$57,MONTH($BD$9),DAY($BD$9)),0,$BE631-$BD631+1)</f>
        <v>29</v>
      </c>
      <c r="BH631" s="469">
        <f t="shared" ca="1" si="436"/>
        <v>30</v>
      </c>
      <c r="BI631" t="str">
        <f t="shared" si="452"/>
        <v/>
      </c>
      <c r="BJ631">
        <v>10</v>
      </c>
      <c r="BN631" s="468">
        <f t="shared" si="448"/>
        <v>52</v>
      </c>
      <c r="BO631" s="468">
        <f t="shared" si="449"/>
        <v>10</v>
      </c>
      <c r="BP631" s="467">
        <f t="shared" ca="1" si="437"/>
        <v>61820</v>
      </c>
      <c r="BQ631" s="475">
        <f t="shared" ca="1" si="451"/>
        <v>84</v>
      </c>
      <c r="BR631" s="475" t="str">
        <f t="shared" si="450"/>
        <v/>
      </c>
      <c r="BS631" s="471" t="str">
        <f t="shared" si="438"/>
        <v/>
      </c>
      <c r="BT631" s="472" t="str">
        <f t="shared" si="453"/>
        <v/>
      </c>
      <c r="BU631" s="472">
        <f t="shared" ca="1" si="439"/>
        <v>0</v>
      </c>
      <c r="BV631" s="472">
        <f t="shared" ca="1" si="439"/>
        <v>0</v>
      </c>
      <c r="BW631" s="472"/>
      <c r="BX631" s="473">
        <f t="shared" ca="1" si="440"/>
        <v>945548.96719899005</v>
      </c>
      <c r="BY631" s="473">
        <f t="shared" si="441"/>
        <v>0</v>
      </c>
      <c r="BZ631" s="473">
        <f t="shared" ca="1" si="423"/>
        <v>2090.5699044140001</v>
      </c>
      <c r="CA631" s="476">
        <f t="shared" ca="1" si="442"/>
        <v>0</v>
      </c>
      <c r="CB631" s="494">
        <f ca="1">IF(OR($Q630&lt;&gt;1,OP!$D$5+$BN631-1&lt;16,$BN631-1&lt;1),0,ROUND(ROUND(ROUND(((VLOOKUP($BN631-1,MORE_PV,5,0)/10000)*VLOOKUP($BN631,MORE_PV,$CB$5,0)),3)*VLOOKUP($BN631,more1,5,0),0)/$R630,0))</f>
        <v>0</v>
      </c>
      <c r="CC631" s="473">
        <f t="shared" ca="1" si="443"/>
        <v>0</v>
      </c>
      <c r="CD631" s="477"/>
    </row>
    <row r="632" spans="2:82" ht="16.5" hidden="1">
      <c r="B632" s="80"/>
      <c r="C632" s="80"/>
      <c r="D632" s="80"/>
      <c r="E632" s="80"/>
      <c r="F632" s="80"/>
      <c r="G632" s="80"/>
      <c r="H632" s="80"/>
      <c r="I632" s="80"/>
      <c r="J632" s="192">
        <f t="shared" si="424"/>
        <v>52</v>
      </c>
      <c r="K632" s="192">
        <f t="shared" si="425"/>
        <v>12</v>
      </c>
      <c r="L632" s="192">
        <f t="shared" si="420"/>
        <v>52</v>
      </c>
      <c r="M632" s="216">
        <f t="shared" ca="1" si="426"/>
        <v>967603</v>
      </c>
      <c r="N632" s="216"/>
      <c r="O632" s="216"/>
      <c r="P632" s="216"/>
      <c r="Q632" s="456">
        <f t="shared" ca="1" si="427"/>
        <v>1</v>
      </c>
      <c r="R632" s="450">
        <f t="shared" ca="1" si="428"/>
        <v>1</v>
      </c>
      <c r="S632" s="191">
        <f t="shared" si="429"/>
        <v>52</v>
      </c>
      <c r="T632" s="191">
        <f t="shared" si="430"/>
        <v>12</v>
      </c>
      <c r="U632" s="191">
        <f ca="1">OP!$D$5+$S632-1</f>
        <v>84</v>
      </c>
      <c r="V632" s="191">
        <f t="shared" si="431"/>
        <v>52</v>
      </c>
      <c r="W632" s="350">
        <f ca="1">IF(Q632&lt;&gt;1,0,VLOOKUP(OP!$C$55,PVFB,$S632+2,0))</f>
        <v>73830</v>
      </c>
      <c r="X632" s="473">
        <f t="shared" ca="1" si="444"/>
        <v>17729</v>
      </c>
      <c r="Y632" s="348">
        <f t="shared" ca="1" si="445"/>
        <v>0</v>
      </c>
      <c r="Z632" s="348">
        <f t="shared" ca="1" si="446"/>
        <v>8012</v>
      </c>
      <c r="AA632" s="348">
        <f ca="1">IF(Q632&lt;&gt;1,0,VLOOKUP(OP!$C$55,PVFB,$S632+2,0))</f>
        <v>73830</v>
      </c>
      <c r="AB632" s="488">
        <f ca="1">IF(AND(S632&lt;OP!$C$24,$U632&lt;15),0,IF(AND($U632&lt;15,$T632=12),ROUND(VLOOKUP($S632,DOWN16,5,0),3),IF($T632=12,ROUND(($Z632/10000)*$AA632,3)+IF(AND($P$7="購買增額繳清保險",T632=12,U632=110),VLOOKUP(S632,$B$10:$H$121,7,0),0),"")))</f>
        <v>59152.595999999998</v>
      </c>
      <c r="AC632" s="350">
        <f ca="1">IF(AND(S632&lt;OP!$C$24,$U632&lt;15),0,IF(AND($U632&lt;16,$T632=12),VLOOKUP($S632,DOWN16,4,0),IF($T632=12,ROUND(VLOOKUP(OP!$C$55,_DIE2,$S632+1,0)*(Z632/10000),0)+IF(AND($P$7="購買增額繳清保險",T632=12,U632=110),VLOOKUP(S632,$B$10:$H$121,7,0),0),"")))</f>
        <v>59609</v>
      </c>
      <c r="AD632" s="347"/>
      <c r="AE632" s="350" t="str">
        <f t="shared" ca="1" si="421"/>
        <v/>
      </c>
      <c r="AF632" s="351" t="str">
        <f t="shared" ca="1" si="422"/>
        <v/>
      </c>
      <c r="AG632" s="340"/>
      <c r="AH632" s="340"/>
      <c r="AI632" s="340"/>
      <c r="AJ632" s="340"/>
      <c r="AK632" s="340"/>
      <c r="AL632" s="340"/>
      <c r="AM632" s="340"/>
      <c r="AN632" s="340"/>
      <c r="AO632" s="340"/>
      <c r="AP632" s="340"/>
      <c r="AQ632" s="340"/>
      <c r="AR632" s="340"/>
      <c r="AS632" s="340"/>
      <c r="AT632" s="340"/>
      <c r="AU632" s="340"/>
      <c r="AV632" s="340"/>
      <c r="AY632" s="340"/>
      <c r="AZ632" s="465">
        <f t="shared" ca="1" si="432"/>
        <v>7.3698599999999999E-5</v>
      </c>
      <c r="BA632" s="464">
        <f t="shared" ca="1" si="433"/>
        <v>2.2109589000000002E-3</v>
      </c>
      <c r="BB632" s="465">
        <f t="shared" ca="1" si="433"/>
        <v>2.2846575E-3</v>
      </c>
      <c r="BC632" s="466">
        <f t="shared" ca="1" si="434"/>
        <v>61849</v>
      </c>
      <c r="BD632" s="467">
        <f t="shared" ca="1" si="447"/>
        <v>61850</v>
      </c>
      <c r="BE632" s="467">
        <f t="shared" ca="1" si="435"/>
        <v>61879</v>
      </c>
      <c r="BF632" s="468">
        <f ca="1">IF(計算!$BC632&lt;OP!$C$3,0,BD632-BC632)</f>
        <v>1</v>
      </c>
      <c r="BG632" s="468">
        <f ca="1">IF($BE632&gt;DATE(YEAR($BD$9)+OP!$C$57,MONTH($BD$9),DAY($BD$9)),0,$BE632-$BD632+1)</f>
        <v>30</v>
      </c>
      <c r="BH632" s="469">
        <f t="shared" ca="1" si="436"/>
        <v>31</v>
      </c>
      <c r="BI632" t="str">
        <f t="shared" si="452"/>
        <v/>
      </c>
      <c r="BJ632">
        <v>11</v>
      </c>
      <c r="BN632" s="468">
        <f t="shared" si="448"/>
        <v>52</v>
      </c>
      <c r="BO632" s="468">
        <f t="shared" si="449"/>
        <v>11</v>
      </c>
      <c r="BP632" s="467">
        <f t="shared" ca="1" si="437"/>
        <v>61850</v>
      </c>
      <c r="BQ632" s="475">
        <f t="shared" ca="1" si="451"/>
        <v>84</v>
      </c>
      <c r="BR632" s="475" t="str">
        <f t="shared" si="450"/>
        <v/>
      </c>
      <c r="BS632" s="471" t="str">
        <f t="shared" si="438"/>
        <v/>
      </c>
      <c r="BT632" s="472" t="str">
        <f t="shared" si="453"/>
        <v/>
      </c>
      <c r="BU632" s="472">
        <f t="shared" ca="1" si="439"/>
        <v>0</v>
      </c>
      <c r="BV632" s="472">
        <f t="shared" ca="1" si="439"/>
        <v>0</v>
      </c>
      <c r="BW632" s="472"/>
      <c r="BX632" s="473">
        <f t="shared" ca="1" si="440"/>
        <v>947639.53710340406</v>
      </c>
      <c r="BY632" s="473">
        <f t="shared" si="441"/>
        <v>0</v>
      </c>
      <c r="BZ632" s="473">
        <f t="shared" ca="1" si="423"/>
        <v>2165.0317757399998</v>
      </c>
      <c r="CA632" s="476">
        <f t="shared" ca="1" si="442"/>
        <v>0</v>
      </c>
      <c r="CB632" s="494">
        <f ca="1">IF(OR($Q631&lt;&gt;1,OP!$D$5+$BN632-1&lt;16,$BN632-1&lt;1),0,ROUND(ROUND(ROUND(((VLOOKUP($BN632-1,MORE_PV,5,0)/10000)*VLOOKUP($BN632,MORE_PV,$CB$5,0)),3)*VLOOKUP($BN632,more1,5,0),0)/$R631,0))</f>
        <v>0</v>
      </c>
      <c r="CC632" s="473">
        <f t="shared" ca="1" si="443"/>
        <v>0</v>
      </c>
      <c r="CD632" s="477"/>
    </row>
    <row r="633" spans="2:82" ht="16.5" hidden="1">
      <c r="B633" s="80"/>
      <c r="C633" s="80"/>
      <c r="D633" s="80"/>
      <c r="E633" s="80"/>
      <c r="F633" s="80"/>
      <c r="G633" s="80"/>
      <c r="H633" s="80"/>
      <c r="I633" s="80"/>
      <c r="J633" s="192">
        <f t="shared" si="424"/>
        <v>53</v>
      </c>
      <c r="K633" s="192">
        <f t="shared" si="425"/>
        <v>1</v>
      </c>
      <c r="L633" s="192" t="str">
        <f t="shared" si="420"/>
        <v/>
      </c>
      <c r="M633" s="216">
        <f t="shared" ca="1" si="426"/>
        <v>0</v>
      </c>
      <c r="N633" s="216"/>
      <c r="O633" s="216"/>
      <c r="P633" s="216"/>
      <c r="Q633" s="456" t="str">
        <f t="shared" ca="1" si="427"/>
        <v/>
      </c>
      <c r="R633" s="450">
        <f t="shared" ca="1" si="428"/>
        <v>1</v>
      </c>
      <c r="S633" s="191">
        <f t="shared" si="429"/>
        <v>53</v>
      </c>
      <c r="T633" s="191">
        <f t="shared" si="430"/>
        <v>1</v>
      </c>
      <c r="U633" s="191">
        <f ca="1">OP!$D$5+$S633-1</f>
        <v>85</v>
      </c>
      <c r="V633" s="191" t="str">
        <f t="shared" si="431"/>
        <v/>
      </c>
      <c r="W633" s="350">
        <f ca="1">IF(Q633&lt;&gt;1,0,VLOOKUP(OP!$C$55,PVFB,$S633+2,0))</f>
        <v>0</v>
      </c>
      <c r="X633" s="473">
        <f t="shared" ca="1" si="444"/>
        <v>0</v>
      </c>
      <c r="Y633" s="348">
        <f t="shared" ca="1" si="445"/>
        <v>0</v>
      </c>
      <c r="Z633" s="348">
        <f t="shared" ca="1" si="446"/>
        <v>8012</v>
      </c>
      <c r="AA633" s="348">
        <f ca="1">IF(Q633&lt;&gt;1,0,VLOOKUP(OP!$C$55,PVFB,$S633+2,0))</f>
        <v>0</v>
      </c>
      <c r="AB633" s="488" t="str">
        <f ca="1">IF(AND(S633&lt;OP!$C$24,$U633&lt;15),0,IF(AND($U633&lt;15,$T633=12),ROUND(VLOOKUP($S633,DOWN16,5,0),3),IF($T633=12,ROUND(($Z633/10000)*$AA633,3)+IF(AND($P$7="購買增額繳清保險",T633=12,U633=110),VLOOKUP(S633,$B$10:$H$121,7,0),0),"")))</f>
        <v/>
      </c>
      <c r="AC633" s="350" t="str">
        <f ca="1">IF(AND(S633&lt;OP!$C$24,$U633&lt;15),0,IF(AND($U633&lt;16,$T633=12),VLOOKUP($S633,DOWN16,4,0),IF($T633=12,ROUND(VLOOKUP(OP!$C$55,_DIE2,$S633+1,0)*(Z633/10000),0)+IF(AND($P$7="購買增額繳清保險",T633=12,U633=110),VLOOKUP(S633,$B$10:$H$121,7,0),0),"")))</f>
        <v/>
      </c>
      <c r="AD633" s="347"/>
      <c r="AE633" s="350" t="str">
        <f t="shared" ca="1" si="421"/>
        <v/>
      </c>
      <c r="AF633" s="351" t="str">
        <f t="shared" ca="1" si="422"/>
        <v/>
      </c>
      <c r="AG633" s="340"/>
      <c r="AH633" s="340"/>
      <c r="AI633" s="340"/>
      <c r="AJ633" s="340"/>
      <c r="AK633" s="340"/>
      <c r="AL633" s="340"/>
      <c r="AM633" s="340"/>
      <c r="AN633" s="340"/>
      <c r="AO633" s="340"/>
      <c r="AP633" s="340"/>
      <c r="AQ633" s="340"/>
      <c r="AR633" s="340"/>
      <c r="AS633" s="340"/>
      <c r="AT633" s="340"/>
      <c r="AU633" s="340"/>
      <c r="AV633" s="340"/>
      <c r="AY633" s="340"/>
      <c r="AZ633" s="465">
        <f t="shared" ca="1" si="432"/>
        <v>7.3698599999999999E-5</v>
      </c>
      <c r="BA633" s="464">
        <f t="shared" ca="1" si="433"/>
        <v>2.1372602999999999E-3</v>
      </c>
      <c r="BB633" s="465">
        <f t="shared" ca="1" si="433"/>
        <v>2.2109589000000002E-3</v>
      </c>
      <c r="BC633" s="466">
        <f t="shared" ca="1" si="434"/>
        <v>61880</v>
      </c>
      <c r="BD633" s="467">
        <f t="shared" ca="1" si="447"/>
        <v>61881</v>
      </c>
      <c r="BE633" s="467">
        <f t="shared" ca="1" si="435"/>
        <v>61909</v>
      </c>
      <c r="BF633" s="468">
        <f ca="1">IF(計算!$BC633&lt;OP!$C$3,0,BD633-BC633)</f>
        <v>1</v>
      </c>
      <c r="BG633" s="468">
        <f ca="1">IF($BE633&gt;DATE(YEAR($BD$9)+OP!$C$57,MONTH($BD$9),DAY($BD$9)),0,$BE633-$BD633+1)</f>
        <v>29</v>
      </c>
      <c r="BH633" s="469">
        <f t="shared" ca="1" si="436"/>
        <v>30</v>
      </c>
      <c r="BI633">
        <f t="shared" ca="1" si="452"/>
        <v>365</v>
      </c>
      <c r="BJ633">
        <v>12</v>
      </c>
      <c r="BN633" s="468">
        <f t="shared" si="448"/>
        <v>52</v>
      </c>
      <c r="BO633" s="468">
        <f t="shared" si="449"/>
        <v>12</v>
      </c>
      <c r="BP633" s="467">
        <f t="shared" ca="1" si="437"/>
        <v>61881</v>
      </c>
      <c r="BQ633" s="475">
        <f t="shared" ca="1" si="451"/>
        <v>84</v>
      </c>
      <c r="BR633" s="475">
        <f t="shared" si="450"/>
        <v>52</v>
      </c>
      <c r="BS633" s="471">
        <f t="shared" ca="1" si="438"/>
        <v>17729</v>
      </c>
      <c r="BT633" s="472">
        <f t="shared" ca="1" si="453"/>
        <v>967603</v>
      </c>
      <c r="BU633" s="472">
        <f t="shared" ca="1" si="439"/>
        <v>17321</v>
      </c>
      <c r="BV633" s="472">
        <f t="shared" ca="1" si="439"/>
        <v>408</v>
      </c>
      <c r="BW633" s="472">
        <f ca="1">ROUND(SUM(BY633,BZ621:BZ632),0)</f>
        <v>25183</v>
      </c>
      <c r="BX633" s="473">
        <f t="shared" ca="1" si="440"/>
        <v>967603.56814614404</v>
      </c>
      <c r="BY633" s="473">
        <f t="shared" ca="1" si="441"/>
        <v>69.999267000000003</v>
      </c>
      <c r="BZ633" s="473">
        <f t="shared" ca="1" si="423"/>
        <v>2068.0206923370001</v>
      </c>
      <c r="CA633" s="476">
        <f t="shared" ca="1" si="442"/>
        <v>17321</v>
      </c>
      <c r="CB633" s="494">
        <f ca="1">IF(OR($Q632&lt;&gt;1,OP!$D$5+$BN633-1&lt;16,$BN633-1&lt;1),0,ROUND(ROUND(ROUND(((VLOOKUP($BN633-1,MORE_PV,5,0)/10000)*VLOOKUP($BN633,MORE_PV,$CB$5,0)),3)*VLOOKUP($BN633,more1,5,0),0)/$R632,0))</f>
        <v>408</v>
      </c>
      <c r="CC633" s="473">
        <f t="shared" ca="1" si="443"/>
        <v>0</v>
      </c>
      <c r="CD633" s="477"/>
    </row>
    <row r="634" spans="2:82" ht="16.5" hidden="1">
      <c r="B634" s="80"/>
      <c r="C634" s="80"/>
      <c r="D634" s="80"/>
      <c r="E634" s="80"/>
      <c r="F634" s="80"/>
      <c r="G634" s="80"/>
      <c r="H634" s="80"/>
      <c r="I634" s="80"/>
      <c r="J634" s="192">
        <f t="shared" si="424"/>
        <v>53</v>
      </c>
      <c r="K634" s="192">
        <f t="shared" si="425"/>
        <v>2</v>
      </c>
      <c r="L634" s="192" t="str">
        <f t="shared" si="420"/>
        <v/>
      </c>
      <c r="M634" s="216">
        <f t="shared" ca="1" si="426"/>
        <v>0</v>
      </c>
      <c r="N634" s="216"/>
      <c r="O634" s="216"/>
      <c r="P634" s="216"/>
      <c r="Q634" s="456" t="str">
        <f t="shared" ca="1" si="427"/>
        <v/>
      </c>
      <c r="R634" s="450">
        <f t="shared" ca="1" si="428"/>
        <v>1</v>
      </c>
      <c r="S634" s="191">
        <f t="shared" si="429"/>
        <v>53</v>
      </c>
      <c r="T634" s="191">
        <f t="shared" si="430"/>
        <v>2</v>
      </c>
      <c r="U634" s="191">
        <f ca="1">OP!$D$5+$S634-1</f>
        <v>85</v>
      </c>
      <c r="V634" s="191" t="str">
        <f t="shared" si="431"/>
        <v/>
      </c>
      <c r="W634" s="350">
        <f ca="1">IF(Q634&lt;&gt;1,0,VLOOKUP(OP!$C$55,PVFB,$S634+2,0))</f>
        <v>0</v>
      </c>
      <c r="X634" s="473">
        <f t="shared" ca="1" si="444"/>
        <v>0</v>
      </c>
      <c r="Y634" s="348">
        <f t="shared" ca="1" si="445"/>
        <v>0</v>
      </c>
      <c r="Z634" s="348">
        <f t="shared" ca="1" si="446"/>
        <v>8012</v>
      </c>
      <c r="AA634" s="348">
        <f ca="1">IF(Q634&lt;&gt;1,0,VLOOKUP(OP!$C$55,PVFB,$S634+2,0))</f>
        <v>0</v>
      </c>
      <c r="AB634" s="488" t="str">
        <f ca="1">IF(AND(S634&lt;OP!$C$24,$U634&lt;15),0,IF(AND($U634&lt;15,$T634=12),ROUND(VLOOKUP($S634,DOWN16,5,0),3),IF($T634=12,ROUND(($Z634/10000)*$AA634,3)+IF(AND($P$7="購買增額繳清保險",T634=12,U634=110),VLOOKUP(S634,$B$10:$H$121,7,0),0),"")))</f>
        <v/>
      </c>
      <c r="AC634" s="350" t="str">
        <f ca="1">IF(AND(S634&lt;OP!$C$24,$U634&lt;15),0,IF(AND($U634&lt;16,$T634=12),VLOOKUP($S634,DOWN16,4,0),IF($T634=12,ROUND(VLOOKUP(OP!$C$55,_DIE2,$S634+1,0)*(Z634/10000),0)+IF(AND($P$7="購買增額繳清保險",T634=12,U634=110),VLOOKUP(S634,$B$10:$H$121,7,0),0),"")))</f>
        <v/>
      </c>
      <c r="AD634" s="347"/>
      <c r="AE634" s="350" t="str">
        <f t="shared" ca="1" si="421"/>
        <v/>
      </c>
      <c r="AF634" s="351" t="str">
        <f t="shared" ca="1" si="422"/>
        <v/>
      </c>
      <c r="AG634" s="340"/>
      <c r="AH634" s="340"/>
      <c r="AI634" s="340"/>
      <c r="AJ634" s="340"/>
      <c r="AK634" s="340"/>
      <c r="AL634" s="340"/>
      <c r="AM634" s="340"/>
      <c r="AN634" s="340"/>
      <c r="AO634" s="340"/>
      <c r="AP634" s="340"/>
      <c r="AQ634" s="340"/>
      <c r="AR634" s="340"/>
      <c r="AS634" s="340"/>
      <c r="AT634" s="340"/>
      <c r="AU634" s="340"/>
      <c r="AV634" s="340"/>
      <c r="AY634" s="340"/>
      <c r="AZ634" s="465">
        <f t="shared" ca="1" si="432"/>
        <v>7.3698599999999999E-5</v>
      </c>
      <c r="BA634" s="464">
        <f t="shared" ca="1" si="433"/>
        <v>2.2109589000000002E-3</v>
      </c>
      <c r="BB634" s="465">
        <f t="shared" ca="1" si="433"/>
        <v>2.2846575E-3</v>
      </c>
      <c r="BC634" s="466">
        <f t="shared" ca="1" si="434"/>
        <v>61910</v>
      </c>
      <c r="BD634" s="467">
        <f t="shared" ca="1" si="447"/>
        <v>61911</v>
      </c>
      <c r="BE634" s="467">
        <f t="shared" ca="1" si="435"/>
        <v>61940</v>
      </c>
      <c r="BF634" s="468">
        <f ca="1">IF(計算!$BC634&lt;OP!$C$3,0,BD634-BC634)</f>
        <v>1</v>
      </c>
      <c r="BG634" s="468">
        <f ca="1">IF($BE634&gt;DATE(YEAR($BD$9)+OP!$C$57,MONTH($BD$9),DAY($BD$9)),0,$BE634-$BD634+1)</f>
        <v>30</v>
      </c>
      <c r="BH634" s="469">
        <f t="shared" ca="1" si="436"/>
        <v>31</v>
      </c>
      <c r="BI634" t="str">
        <f t="shared" si="452"/>
        <v/>
      </c>
      <c r="BJ634">
        <v>1</v>
      </c>
      <c r="BN634" s="468">
        <f t="shared" si="448"/>
        <v>53</v>
      </c>
      <c r="BO634" s="468">
        <f t="shared" si="449"/>
        <v>1</v>
      </c>
      <c r="BP634" s="467">
        <f t="shared" ca="1" si="437"/>
        <v>61911</v>
      </c>
      <c r="BQ634" s="475">
        <f t="shared" ca="1" si="451"/>
        <v>85</v>
      </c>
      <c r="BR634" s="475" t="str">
        <f t="shared" si="450"/>
        <v/>
      </c>
      <c r="BS634" s="471" t="str">
        <f t="shared" si="438"/>
        <v/>
      </c>
      <c r="BT634" s="472" t="str">
        <f t="shared" si="453"/>
        <v/>
      </c>
      <c r="BU634" s="472">
        <f t="shared" ca="1" si="439"/>
        <v>0</v>
      </c>
      <c r="BV634" s="472">
        <f t="shared" ca="1" si="439"/>
        <v>0</v>
      </c>
      <c r="BW634" s="472"/>
      <c r="BX634" s="473">
        <f t="shared" ca="1" si="440"/>
        <v>969671.588838481</v>
      </c>
      <c r="BY634" s="473">
        <f t="shared" si="441"/>
        <v>0</v>
      </c>
      <c r="BZ634" s="473">
        <f t="shared" ca="1" si="423"/>
        <v>2215.3674679770002</v>
      </c>
      <c r="CA634" s="476">
        <f t="shared" ca="1" si="442"/>
        <v>0</v>
      </c>
      <c r="CB634" s="494">
        <f ca="1">IF(OR($Q633&lt;&gt;1,OP!$D$5+$BN634-1&lt;16,$BN634-1&lt;1),0,ROUND(ROUND(ROUND(((VLOOKUP($BN634-1,MORE_PV,5,0)/10000)*VLOOKUP($BN634,MORE_PV,$CB$5,0)),3)*VLOOKUP($BN634,more1,5,0),0)/$R633,0))</f>
        <v>0</v>
      </c>
      <c r="CC634" s="473">
        <f t="shared" ca="1" si="443"/>
        <v>0</v>
      </c>
      <c r="CD634" s="477"/>
    </row>
    <row r="635" spans="2:82" ht="16.5" hidden="1">
      <c r="B635" s="80"/>
      <c r="C635" s="80"/>
      <c r="D635" s="80"/>
      <c r="E635" s="80"/>
      <c r="F635" s="80"/>
      <c r="G635" s="80"/>
      <c r="H635" s="80"/>
      <c r="I635" s="80"/>
      <c r="J635" s="192">
        <f t="shared" si="424"/>
        <v>53</v>
      </c>
      <c r="K635" s="192">
        <f t="shared" si="425"/>
        <v>3</v>
      </c>
      <c r="L635" s="192" t="str">
        <f t="shared" si="420"/>
        <v/>
      </c>
      <c r="M635" s="216">
        <f t="shared" ca="1" si="426"/>
        <v>0</v>
      </c>
      <c r="N635" s="216"/>
      <c r="O635" s="216"/>
      <c r="P635" s="216"/>
      <c r="Q635" s="456" t="str">
        <f t="shared" ca="1" si="427"/>
        <v/>
      </c>
      <c r="R635" s="450">
        <f t="shared" ca="1" si="428"/>
        <v>1</v>
      </c>
      <c r="S635" s="191">
        <f t="shared" si="429"/>
        <v>53</v>
      </c>
      <c r="T635" s="191">
        <f t="shared" si="430"/>
        <v>3</v>
      </c>
      <c r="U635" s="191">
        <f ca="1">OP!$D$5+$S635-1</f>
        <v>85</v>
      </c>
      <c r="V635" s="191" t="str">
        <f t="shared" si="431"/>
        <v/>
      </c>
      <c r="W635" s="350">
        <f ca="1">IF(Q635&lt;&gt;1,0,VLOOKUP(OP!$C$55,PVFB,$S635+2,0))</f>
        <v>0</v>
      </c>
      <c r="X635" s="473">
        <f t="shared" ca="1" si="444"/>
        <v>0</v>
      </c>
      <c r="Y635" s="348">
        <f t="shared" ca="1" si="445"/>
        <v>0</v>
      </c>
      <c r="Z635" s="348">
        <f t="shared" ca="1" si="446"/>
        <v>8012</v>
      </c>
      <c r="AA635" s="348">
        <f ca="1">IF(Q635&lt;&gt;1,0,VLOOKUP(OP!$C$55,PVFB,$S635+2,0))</f>
        <v>0</v>
      </c>
      <c r="AB635" s="488" t="str">
        <f ca="1">IF(AND(S635&lt;OP!$C$24,$U635&lt;15),0,IF(AND($U635&lt;15,$T635=12),ROUND(VLOOKUP($S635,DOWN16,5,0),3),IF($T635=12,ROUND(($Z635/10000)*$AA635,3)+IF(AND($P$7="購買增額繳清保險",T635=12,U635=110),VLOOKUP(S635,$B$10:$H$121,7,0),0),"")))</f>
        <v/>
      </c>
      <c r="AC635" s="350" t="str">
        <f ca="1">IF(AND(S635&lt;OP!$C$24,$U635&lt;15),0,IF(AND($U635&lt;16,$T635=12),VLOOKUP($S635,DOWN16,4,0),IF($T635=12,ROUND(VLOOKUP(OP!$C$55,_DIE2,$S635+1,0)*(Z635/10000),0)+IF(AND($P$7="購買增額繳清保險",T635=12,U635=110),VLOOKUP(S635,$B$10:$H$121,7,0),0),"")))</f>
        <v/>
      </c>
      <c r="AD635" s="347"/>
      <c r="AE635" s="350" t="str">
        <f t="shared" ca="1" si="421"/>
        <v/>
      </c>
      <c r="AF635" s="351" t="str">
        <f t="shared" ca="1" si="422"/>
        <v/>
      </c>
      <c r="AG635" s="340"/>
      <c r="AH635" s="340"/>
      <c r="AI635" s="340"/>
      <c r="AJ635" s="340"/>
      <c r="AK635" s="340"/>
      <c r="AL635" s="340"/>
      <c r="AM635" s="340"/>
      <c r="AN635" s="340"/>
      <c r="AO635" s="340"/>
      <c r="AP635" s="340"/>
      <c r="AQ635" s="340"/>
      <c r="AR635" s="340"/>
      <c r="AS635" s="340"/>
      <c r="AT635" s="340"/>
      <c r="AU635" s="340"/>
      <c r="AV635" s="340"/>
      <c r="AY635" s="340"/>
      <c r="AZ635" s="465">
        <f t="shared" ca="1" si="432"/>
        <v>7.3698599999999999E-5</v>
      </c>
      <c r="BA635" s="464">
        <f t="shared" ca="1" si="433"/>
        <v>2.2109589000000002E-3</v>
      </c>
      <c r="BB635" s="465">
        <f t="shared" ca="1" si="433"/>
        <v>2.2846575E-3</v>
      </c>
      <c r="BC635" s="466">
        <f t="shared" ca="1" si="434"/>
        <v>61941</v>
      </c>
      <c r="BD635" s="467">
        <f t="shared" ca="1" si="447"/>
        <v>61942</v>
      </c>
      <c r="BE635" s="467">
        <f t="shared" ca="1" si="435"/>
        <v>61971</v>
      </c>
      <c r="BF635" s="468">
        <f ca="1">IF(計算!$BC635&lt;OP!$C$3,0,BD635-BC635)</f>
        <v>1</v>
      </c>
      <c r="BG635" s="468">
        <f ca="1">IF($BE635&gt;DATE(YEAR($BD$9)+OP!$C$57,MONTH($BD$9),DAY($BD$9)),0,$BE635-$BD635+1)</f>
        <v>30</v>
      </c>
      <c r="BH635" s="469">
        <f t="shared" ca="1" si="436"/>
        <v>31</v>
      </c>
      <c r="BI635" t="str">
        <f t="shared" si="452"/>
        <v/>
      </c>
      <c r="BJ635">
        <v>2</v>
      </c>
      <c r="BN635" s="468">
        <f t="shared" si="448"/>
        <v>53</v>
      </c>
      <c r="BO635" s="468">
        <f t="shared" si="449"/>
        <v>2</v>
      </c>
      <c r="BP635" s="467">
        <f t="shared" ca="1" si="437"/>
        <v>61942</v>
      </c>
      <c r="BQ635" s="475">
        <f t="shared" ca="1" si="451"/>
        <v>85</v>
      </c>
      <c r="BR635" s="475" t="str">
        <f t="shared" si="450"/>
        <v/>
      </c>
      <c r="BS635" s="471" t="str">
        <f t="shared" si="438"/>
        <v/>
      </c>
      <c r="BT635" s="472" t="str">
        <f t="shared" si="453"/>
        <v/>
      </c>
      <c r="BU635" s="472">
        <f t="shared" ca="1" si="439"/>
        <v>0</v>
      </c>
      <c r="BV635" s="472">
        <f t="shared" ca="1" si="439"/>
        <v>0</v>
      </c>
      <c r="BW635" s="472"/>
      <c r="BX635" s="473">
        <f t="shared" ca="1" si="440"/>
        <v>971886.95630645799</v>
      </c>
      <c r="BY635" s="473">
        <f t="shared" si="441"/>
        <v>0</v>
      </c>
      <c r="BZ635" s="473">
        <f t="shared" ca="1" si="423"/>
        <v>2220.428823878</v>
      </c>
      <c r="CA635" s="476">
        <f t="shared" ca="1" si="442"/>
        <v>0</v>
      </c>
      <c r="CB635" s="494">
        <f ca="1">IF(OR($Q634&lt;&gt;1,OP!$D$5+$BN635-1&lt;16,$BN635-1&lt;1),0,ROUND(ROUND(ROUND(((VLOOKUP($BN635-1,MORE_PV,5,0)/10000)*VLOOKUP($BN635,MORE_PV,$CB$5,0)),3)*VLOOKUP($BN635,more1,5,0),0)/$R634,0))</f>
        <v>0</v>
      </c>
      <c r="CC635" s="473">
        <f t="shared" ca="1" si="443"/>
        <v>0</v>
      </c>
      <c r="CD635" s="477"/>
    </row>
    <row r="636" spans="2:82" ht="16.5" hidden="1">
      <c r="B636" s="80"/>
      <c r="C636" s="80"/>
      <c r="D636" s="80"/>
      <c r="E636" s="80"/>
      <c r="F636" s="80"/>
      <c r="G636" s="80"/>
      <c r="H636" s="80"/>
      <c r="I636" s="80"/>
      <c r="J636" s="192">
        <f t="shared" si="424"/>
        <v>53</v>
      </c>
      <c r="K636" s="192">
        <f t="shared" si="425"/>
        <v>4</v>
      </c>
      <c r="L636" s="192" t="str">
        <f t="shared" si="420"/>
        <v/>
      </c>
      <c r="M636" s="216">
        <f t="shared" ca="1" si="426"/>
        <v>0</v>
      </c>
      <c r="N636" s="216"/>
      <c r="O636" s="216"/>
      <c r="P636" s="216"/>
      <c r="Q636" s="456" t="str">
        <f t="shared" ca="1" si="427"/>
        <v/>
      </c>
      <c r="R636" s="450">
        <f t="shared" ca="1" si="428"/>
        <v>1</v>
      </c>
      <c r="S636" s="191">
        <f t="shared" si="429"/>
        <v>53</v>
      </c>
      <c r="T636" s="191">
        <f t="shared" si="430"/>
        <v>4</v>
      </c>
      <c r="U636" s="191">
        <f ca="1">OP!$D$5+$S636-1</f>
        <v>85</v>
      </c>
      <c r="V636" s="191" t="str">
        <f t="shared" si="431"/>
        <v/>
      </c>
      <c r="W636" s="350">
        <f ca="1">IF(Q636&lt;&gt;1,0,VLOOKUP(OP!$C$55,PVFB,$S636+2,0))</f>
        <v>0</v>
      </c>
      <c r="X636" s="473">
        <f t="shared" ca="1" si="444"/>
        <v>0</v>
      </c>
      <c r="Y636" s="348">
        <f t="shared" ca="1" si="445"/>
        <v>0</v>
      </c>
      <c r="Z636" s="348">
        <f t="shared" ca="1" si="446"/>
        <v>8012</v>
      </c>
      <c r="AA636" s="348">
        <f ca="1">IF(Q636&lt;&gt;1,0,VLOOKUP(OP!$C$55,PVFB,$S636+2,0))</f>
        <v>0</v>
      </c>
      <c r="AB636" s="488" t="str">
        <f ca="1">IF(AND(S636&lt;OP!$C$24,$U636&lt;15),0,IF(AND($U636&lt;15,$T636=12),ROUND(VLOOKUP($S636,DOWN16,5,0),3),IF($T636=12,ROUND(($Z636/10000)*$AA636,3)+IF(AND($P$7="購買增額繳清保險",T636=12,U636=110),VLOOKUP(S636,$B$10:$H$121,7,0),0),"")))</f>
        <v/>
      </c>
      <c r="AC636" s="350" t="str">
        <f ca="1">IF(AND(S636&lt;OP!$C$24,$U636&lt;15),0,IF(AND($U636&lt;16,$T636=12),VLOOKUP($S636,DOWN16,4,0),IF($T636=12,ROUND(VLOOKUP(OP!$C$55,_DIE2,$S636+1,0)*(Z636/10000),0)+IF(AND($P$7="購買增額繳清保險",T636=12,U636=110),VLOOKUP(S636,$B$10:$H$121,7,0),0),"")))</f>
        <v/>
      </c>
      <c r="AD636" s="347"/>
      <c r="AE636" s="350" t="str">
        <f t="shared" ca="1" si="421"/>
        <v/>
      </c>
      <c r="AF636" s="351" t="str">
        <f t="shared" ca="1" si="422"/>
        <v/>
      </c>
      <c r="AG636" s="340"/>
      <c r="AH636" s="340"/>
      <c r="AI636" s="340"/>
      <c r="AJ636" s="340"/>
      <c r="AK636" s="340"/>
      <c r="AL636" s="340"/>
      <c r="AM636" s="340"/>
      <c r="AN636" s="340"/>
      <c r="AO636" s="340"/>
      <c r="AP636" s="340"/>
      <c r="AQ636" s="340"/>
      <c r="AR636" s="340"/>
      <c r="AS636" s="340"/>
      <c r="AT636" s="340"/>
      <c r="AU636" s="340"/>
      <c r="AV636" s="340"/>
      <c r="AY636" s="340"/>
      <c r="AZ636" s="465">
        <f t="shared" ca="1" si="432"/>
        <v>7.3698599999999999E-5</v>
      </c>
      <c r="BA636" s="464">
        <f t="shared" ca="1" si="433"/>
        <v>2.1372602999999999E-3</v>
      </c>
      <c r="BB636" s="465">
        <f t="shared" ca="1" si="433"/>
        <v>2.2109589000000002E-3</v>
      </c>
      <c r="BC636" s="466">
        <f t="shared" ca="1" si="434"/>
        <v>61972</v>
      </c>
      <c r="BD636" s="467">
        <f t="shared" ca="1" si="447"/>
        <v>61973</v>
      </c>
      <c r="BE636" s="467">
        <f t="shared" ca="1" si="435"/>
        <v>62001</v>
      </c>
      <c r="BF636" s="468">
        <f ca="1">IF(計算!$BC636&lt;OP!$C$3,0,BD636-BC636)</f>
        <v>1</v>
      </c>
      <c r="BG636" s="468">
        <f ca="1">IF($BE636&gt;DATE(YEAR($BD$9)+OP!$C$57,MONTH($BD$9),DAY($BD$9)),0,$BE636-$BD636+1)</f>
        <v>29</v>
      </c>
      <c r="BH636" s="469">
        <f t="shared" ca="1" si="436"/>
        <v>30</v>
      </c>
      <c r="BI636" t="str">
        <f t="shared" si="452"/>
        <v/>
      </c>
      <c r="BJ636">
        <v>3</v>
      </c>
      <c r="BN636" s="468">
        <f t="shared" si="448"/>
        <v>53</v>
      </c>
      <c r="BO636" s="468">
        <f t="shared" si="449"/>
        <v>3</v>
      </c>
      <c r="BP636" s="467">
        <f t="shared" ca="1" si="437"/>
        <v>61973</v>
      </c>
      <c r="BQ636" s="475">
        <f t="shared" ca="1" si="451"/>
        <v>85</v>
      </c>
      <c r="BR636" s="475" t="str">
        <f t="shared" si="450"/>
        <v/>
      </c>
      <c r="BS636" s="471" t="str">
        <f t="shared" si="438"/>
        <v/>
      </c>
      <c r="BT636" s="472" t="str">
        <f t="shared" si="453"/>
        <v/>
      </c>
      <c r="BU636" s="472">
        <f t="shared" ca="1" si="439"/>
        <v>0</v>
      </c>
      <c r="BV636" s="472">
        <f t="shared" ca="1" si="439"/>
        <v>0</v>
      </c>
      <c r="BW636" s="472"/>
      <c r="BX636" s="473">
        <f t="shared" ca="1" si="440"/>
        <v>974107.38513033604</v>
      </c>
      <c r="BY636" s="473">
        <f t="shared" si="441"/>
        <v>0</v>
      </c>
      <c r="BZ636" s="473">
        <f t="shared" ca="1" si="423"/>
        <v>2153.7113927099999</v>
      </c>
      <c r="CA636" s="476">
        <f t="shared" ca="1" si="442"/>
        <v>0</v>
      </c>
      <c r="CB636" s="494">
        <f ca="1">IF(OR($Q635&lt;&gt;1,OP!$D$5+$BN636-1&lt;16,$BN636-1&lt;1),0,ROUND(ROUND(ROUND(((VLOOKUP($BN636-1,MORE_PV,5,0)/10000)*VLOOKUP($BN636,MORE_PV,$CB$5,0)),3)*VLOOKUP($BN636,more1,5,0),0)/$R635,0))</f>
        <v>0</v>
      </c>
      <c r="CC636" s="473">
        <f t="shared" ca="1" si="443"/>
        <v>0</v>
      </c>
      <c r="CD636" s="477"/>
    </row>
    <row r="637" spans="2:82" ht="16.5" hidden="1">
      <c r="B637" s="80"/>
      <c r="C637" s="80"/>
      <c r="D637" s="80"/>
      <c r="E637" s="80"/>
      <c r="F637" s="80"/>
      <c r="G637" s="80"/>
      <c r="H637" s="80"/>
      <c r="I637" s="80"/>
      <c r="J637" s="192">
        <f t="shared" si="424"/>
        <v>53</v>
      </c>
      <c r="K637" s="192">
        <f t="shared" si="425"/>
        <v>5</v>
      </c>
      <c r="L637" s="192" t="str">
        <f t="shared" si="420"/>
        <v/>
      </c>
      <c r="M637" s="216">
        <f t="shared" ca="1" si="426"/>
        <v>0</v>
      </c>
      <c r="N637" s="216"/>
      <c r="O637" s="216"/>
      <c r="P637" s="216"/>
      <c r="Q637" s="456" t="str">
        <f t="shared" ca="1" si="427"/>
        <v/>
      </c>
      <c r="R637" s="450">
        <f t="shared" ca="1" si="428"/>
        <v>1</v>
      </c>
      <c r="S637" s="191">
        <f t="shared" si="429"/>
        <v>53</v>
      </c>
      <c r="T637" s="191">
        <f t="shared" si="430"/>
        <v>5</v>
      </c>
      <c r="U637" s="191">
        <f ca="1">OP!$D$5+$S637-1</f>
        <v>85</v>
      </c>
      <c r="V637" s="191" t="str">
        <f t="shared" si="431"/>
        <v/>
      </c>
      <c r="W637" s="350">
        <f ca="1">IF(Q637&lt;&gt;1,0,VLOOKUP(OP!$C$55,PVFB,$S637+2,0))</f>
        <v>0</v>
      </c>
      <c r="X637" s="473">
        <f t="shared" ca="1" si="444"/>
        <v>0</v>
      </c>
      <c r="Y637" s="348">
        <f t="shared" ca="1" si="445"/>
        <v>0</v>
      </c>
      <c r="Z637" s="348">
        <f t="shared" ca="1" si="446"/>
        <v>8012</v>
      </c>
      <c r="AA637" s="348">
        <f ca="1">IF(Q637&lt;&gt;1,0,VLOOKUP(OP!$C$55,PVFB,$S637+2,0))</f>
        <v>0</v>
      </c>
      <c r="AB637" s="488" t="str">
        <f ca="1">IF(AND(S637&lt;OP!$C$24,$U637&lt;15),0,IF(AND($U637&lt;15,$T637=12),ROUND(VLOOKUP($S637,DOWN16,5,0),3),IF($T637=12,ROUND(($Z637/10000)*$AA637,3)+IF(AND($P$7="購買增額繳清保險",T637=12,U637=110),VLOOKUP(S637,$B$10:$H$121,7,0),0),"")))</f>
        <v/>
      </c>
      <c r="AC637" s="350" t="str">
        <f ca="1">IF(AND(S637&lt;OP!$C$24,$U637&lt;15),0,IF(AND($U637&lt;16,$T637=12),VLOOKUP($S637,DOWN16,4,0),IF($T637=12,ROUND(VLOOKUP(OP!$C$55,_DIE2,$S637+1,0)*(Z637/10000),0)+IF(AND($P$7="購買增額繳清保險",T637=12,U637=110),VLOOKUP(S637,$B$10:$H$121,7,0),0),"")))</f>
        <v/>
      </c>
      <c r="AD637" s="347"/>
      <c r="AE637" s="350" t="str">
        <f t="shared" ca="1" si="421"/>
        <v/>
      </c>
      <c r="AF637" s="351" t="str">
        <f t="shared" ca="1" si="422"/>
        <v/>
      </c>
      <c r="AG637" s="340"/>
      <c r="AH637" s="340"/>
      <c r="AI637" s="340"/>
      <c r="AJ637" s="340"/>
      <c r="AK637" s="340"/>
      <c r="AL637" s="340"/>
      <c r="AM637" s="340"/>
      <c r="AN637" s="340"/>
      <c r="AO637" s="340"/>
      <c r="AP637" s="340"/>
      <c r="AQ637" s="340"/>
      <c r="AR637" s="340"/>
      <c r="AS637" s="340"/>
      <c r="AT637" s="340"/>
      <c r="AU637" s="340"/>
      <c r="AV637" s="340"/>
      <c r="AY637" s="340"/>
      <c r="AZ637" s="465">
        <f t="shared" ca="1" si="432"/>
        <v>7.3698599999999999E-5</v>
      </c>
      <c r="BA637" s="464">
        <f t="shared" ca="1" si="433"/>
        <v>2.2109589000000002E-3</v>
      </c>
      <c r="BB637" s="465">
        <f t="shared" ca="1" si="433"/>
        <v>2.2846575E-3</v>
      </c>
      <c r="BC637" s="466">
        <f t="shared" ca="1" si="434"/>
        <v>62002</v>
      </c>
      <c r="BD637" s="467">
        <f t="shared" ca="1" si="447"/>
        <v>62003</v>
      </c>
      <c r="BE637" s="467">
        <f t="shared" ca="1" si="435"/>
        <v>62032</v>
      </c>
      <c r="BF637" s="468">
        <f ca="1">IF(計算!$BC637&lt;OP!$C$3,0,BD637-BC637)</f>
        <v>1</v>
      </c>
      <c r="BG637" s="468">
        <f ca="1">IF($BE637&gt;DATE(YEAR($BD$9)+OP!$C$57,MONTH($BD$9),DAY($BD$9)),0,$BE637-$BD637+1)</f>
        <v>30</v>
      </c>
      <c r="BH637" s="469">
        <f t="shared" ca="1" si="436"/>
        <v>31</v>
      </c>
      <c r="BI637" t="str">
        <f t="shared" si="452"/>
        <v/>
      </c>
      <c r="BJ637">
        <v>4</v>
      </c>
      <c r="BN637" s="468">
        <f t="shared" si="448"/>
        <v>53</v>
      </c>
      <c r="BO637" s="468">
        <f t="shared" si="449"/>
        <v>4</v>
      </c>
      <c r="BP637" s="467">
        <f t="shared" ca="1" si="437"/>
        <v>62003</v>
      </c>
      <c r="BQ637" s="475">
        <f t="shared" ca="1" si="451"/>
        <v>85</v>
      </c>
      <c r="BR637" s="475" t="str">
        <f t="shared" si="450"/>
        <v/>
      </c>
      <c r="BS637" s="471" t="str">
        <f t="shared" si="438"/>
        <v/>
      </c>
      <c r="BT637" s="472" t="str">
        <f t="shared" si="453"/>
        <v/>
      </c>
      <c r="BU637" s="472">
        <f t="shared" ca="1" si="439"/>
        <v>0</v>
      </c>
      <c r="BV637" s="472">
        <f t="shared" ca="1" si="439"/>
        <v>0</v>
      </c>
      <c r="BW637" s="472"/>
      <c r="BX637" s="473">
        <f t="shared" ca="1" si="440"/>
        <v>976261.09652304603</v>
      </c>
      <c r="BY637" s="473">
        <f t="shared" si="441"/>
        <v>0</v>
      </c>
      <c r="BZ637" s="473">
        <f t="shared" ca="1" si="423"/>
        <v>2230.4222361299999</v>
      </c>
      <c r="CA637" s="476">
        <f t="shared" ca="1" si="442"/>
        <v>0</v>
      </c>
      <c r="CB637" s="494">
        <f ca="1">IF(OR($Q636&lt;&gt;1,OP!$D$5+$BN637-1&lt;16,$BN637-1&lt;1),0,ROUND(ROUND(ROUND(((VLOOKUP($BN637-1,MORE_PV,5,0)/10000)*VLOOKUP($BN637,MORE_PV,$CB$5,0)),3)*VLOOKUP($BN637,more1,5,0),0)/$R636,0))</f>
        <v>0</v>
      </c>
      <c r="CC637" s="473">
        <f t="shared" ca="1" si="443"/>
        <v>0</v>
      </c>
      <c r="CD637" s="477"/>
    </row>
    <row r="638" spans="2:82" ht="16.5" hidden="1">
      <c r="B638" s="80"/>
      <c r="C638" s="80"/>
      <c r="D638" s="80"/>
      <c r="E638" s="80"/>
      <c r="F638" s="80"/>
      <c r="G638" s="80"/>
      <c r="H638" s="80"/>
      <c r="I638" s="80"/>
      <c r="J638" s="192">
        <f t="shared" si="424"/>
        <v>53</v>
      </c>
      <c r="K638" s="192">
        <f t="shared" si="425"/>
        <v>6</v>
      </c>
      <c r="L638" s="192" t="str">
        <f t="shared" si="420"/>
        <v/>
      </c>
      <c r="M638" s="216">
        <f t="shared" ca="1" si="426"/>
        <v>0</v>
      </c>
      <c r="N638" s="216"/>
      <c r="O638" s="216"/>
      <c r="P638" s="216"/>
      <c r="Q638" s="456" t="str">
        <f t="shared" ca="1" si="427"/>
        <v/>
      </c>
      <c r="R638" s="450">
        <f t="shared" ca="1" si="428"/>
        <v>1</v>
      </c>
      <c r="S638" s="191">
        <f t="shared" si="429"/>
        <v>53</v>
      </c>
      <c r="T638" s="191">
        <f t="shared" si="430"/>
        <v>6</v>
      </c>
      <c r="U638" s="191">
        <f ca="1">OP!$D$5+$S638-1</f>
        <v>85</v>
      </c>
      <c r="V638" s="191" t="str">
        <f t="shared" si="431"/>
        <v/>
      </c>
      <c r="W638" s="350">
        <f ca="1">IF(Q638&lt;&gt;1,0,VLOOKUP(OP!$C$55,PVFB,$S638+2,0))</f>
        <v>0</v>
      </c>
      <c r="X638" s="473">
        <f t="shared" ca="1" si="444"/>
        <v>0</v>
      </c>
      <c r="Y638" s="348">
        <f t="shared" ca="1" si="445"/>
        <v>0</v>
      </c>
      <c r="Z638" s="348">
        <f t="shared" ca="1" si="446"/>
        <v>8012</v>
      </c>
      <c r="AA638" s="348">
        <f ca="1">IF(Q638&lt;&gt;1,0,VLOOKUP(OP!$C$55,PVFB,$S638+2,0))</f>
        <v>0</v>
      </c>
      <c r="AB638" s="488" t="str">
        <f ca="1">IF(AND(S638&lt;OP!$C$24,$U638&lt;15),0,IF(AND($U638&lt;15,$T638=12),ROUND(VLOOKUP($S638,DOWN16,5,0),3),IF($T638=12,ROUND(($Z638/10000)*$AA638,3)+IF(AND($P$7="購買增額繳清保險",T638=12,U638=110),VLOOKUP(S638,$B$10:$H$121,7,0),0),"")))</f>
        <v/>
      </c>
      <c r="AC638" s="350" t="str">
        <f ca="1">IF(AND(S638&lt;OP!$C$24,$U638&lt;15),0,IF(AND($U638&lt;16,$T638=12),VLOOKUP($S638,DOWN16,4,0),IF($T638=12,ROUND(VLOOKUP(OP!$C$55,_DIE2,$S638+1,0)*(Z638/10000),0)+IF(AND($P$7="購買增額繳清保險",T638=12,U638=110),VLOOKUP(S638,$B$10:$H$121,7,0),0),"")))</f>
        <v/>
      </c>
      <c r="AD638" s="347"/>
      <c r="AE638" s="350" t="str">
        <f t="shared" ca="1" si="421"/>
        <v/>
      </c>
      <c r="AF638" s="351" t="str">
        <f t="shared" ca="1" si="422"/>
        <v/>
      </c>
      <c r="AG638" s="340"/>
      <c r="AH638" s="340"/>
      <c r="AI638" s="340"/>
      <c r="AJ638" s="340"/>
      <c r="AK638" s="340"/>
      <c r="AL638" s="340"/>
      <c r="AM638" s="340"/>
      <c r="AN638" s="340"/>
      <c r="AO638" s="340"/>
      <c r="AP638" s="340"/>
      <c r="AQ638" s="340"/>
      <c r="AR638" s="340"/>
      <c r="AS638" s="340"/>
      <c r="AT638" s="340"/>
      <c r="AU638" s="340"/>
      <c r="AV638" s="340"/>
      <c r="AY638" s="340"/>
      <c r="AZ638" s="465">
        <f t="shared" ca="1" si="432"/>
        <v>7.3698599999999999E-5</v>
      </c>
      <c r="BA638" s="464">
        <f t="shared" ca="1" si="433"/>
        <v>2.1372602999999999E-3</v>
      </c>
      <c r="BB638" s="465">
        <f t="shared" ca="1" si="433"/>
        <v>2.2109589000000002E-3</v>
      </c>
      <c r="BC638" s="466">
        <f t="shared" ca="1" si="434"/>
        <v>62033</v>
      </c>
      <c r="BD638" s="467">
        <f t="shared" ca="1" si="447"/>
        <v>62034</v>
      </c>
      <c r="BE638" s="467">
        <f t="shared" ca="1" si="435"/>
        <v>62062</v>
      </c>
      <c r="BF638" s="468">
        <f ca="1">IF(計算!$BC638&lt;OP!$C$3,0,BD638-BC638)</f>
        <v>1</v>
      </c>
      <c r="BG638" s="468">
        <f ca="1">IF($BE638&gt;DATE(YEAR($BD$9)+OP!$C$57,MONTH($BD$9),DAY($BD$9)),0,$BE638-$BD638+1)</f>
        <v>29</v>
      </c>
      <c r="BH638" s="469">
        <f t="shared" ca="1" si="436"/>
        <v>30</v>
      </c>
      <c r="BI638" t="str">
        <f t="shared" si="452"/>
        <v/>
      </c>
      <c r="BJ638">
        <v>5</v>
      </c>
      <c r="BN638" s="468">
        <f t="shared" si="448"/>
        <v>53</v>
      </c>
      <c r="BO638" s="468">
        <f t="shared" si="449"/>
        <v>5</v>
      </c>
      <c r="BP638" s="467">
        <f t="shared" ca="1" si="437"/>
        <v>62034</v>
      </c>
      <c r="BQ638" s="475">
        <f t="shared" ca="1" si="451"/>
        <v>85</v>
      </c>
      <c r="BR638" s="475" t="str">
        <f t="shared" si="450"/>
        <v/>
      </c>
      <c r="BS638" s="471" t="str">
        <f t="shared" si="438"/>
        <v/>
      </c>
      <c r="BT638" s="472" t="str">
        <f t="shared" si="453"/>
        <v/>
      </c>
      <c r="BU638" s="472">
        <f t="shared" ca="1" si="439"/>
        <v>0</v>
      </c>
      <c r="BV638" s="472">
        <f t="shared" ca="1" si="439"/>
        <v>0</v>
      </c>
      <c r="BW638" s="472"/>
      <c r="BX638" s="473">
        <f t="shared" ca="1" si="440"/>
        <v>978491.51875917602</v>
      </c>
      <c r="BY638" s="473">
        <f t="shared" si="441"/>
        <v>0</v>
      </c>
      <c r="BZ638" s="473">
        <f t="shared" ca="1" si="423"/>
        <v>2163.4045319749998</v>
      </c>
      <c r="CA638" s="476">
        <f t="shared" ca="1" si="442"/>
        <v>0</v>
      </c>
      <c r="CB638" s="494">
        <f ca="1">IF(OR($Q637&lt;&gt;1,OP!$D$5+$BN638-1&lt;16,$BN638-1&lt;1),0,ROUND(ROUND(ROUND(((VLOOKUP($BN638-1,MORE_PV,5,0)/10000)*VLOOKUP($BN638,MORE_PV,$CB$5,0)),3)*VLOOKUP($BN638,more1,5,0),0)/$R637,0))</f>
        <v>0</v>
      </c>
      <c r="CC638" s="473">
        <f t="shared" ca="1" si="443"/>
        <v>0</v>
      </c>
      <c r="CD638" s="477"/>
    </row>
    <row r="639" spans="2:82" ht="16.5" hidden="1">
      <c r="B639" s="80"/>
      <c r="C639" s="80"/>
      <c r="D639" s="80"/>
      <c r="E639" s="80"/>
      <c r="F639" s="80"/>
      <c r="G639" s="80"/>
      <c r="H639" s="80"/>
      <c r="I639" s="80"/>
      <c r="J639" s="192">
        <f t="shared" si="424"/>
        <v>53</v>
      </c>
      <c r="K639" s="192">
        <f t="shared" si="425"/>
        <v>7</v>
      </c>
      <c r="L639" s="192" t="str">
        <f t="shared" si="420"/>
        <v/>
      </c>
      <c r="M639" s="216">
        <f t="shared" ca="1" si="426"/>
        <v>0</v>
      </c>
      <c r="N639" s="216"/>
      <c r="O639" s="216"/>
      <c r="P639" s="216"/>
      <c r="Q639" s="456" t="str">
        <f t="shared" ca="1" si="427"/>
        <v/>
      </c>
      <c r="R639" s="450">
        <f t="shared" ca="1" si="428"/>
        <v>1</v>
      </c>
      <c r="S639" s="191">
        <f t="shared" si="429"/>
        <v>53</v>
      </c>
      <c r="T639" s="191">
        <f t="shared" si="430"/>
        <v>7</v>
      </c>
      <c r="U639" s="191">
        <f ca="1">OP!$D$5+$S639-1</f>
        <v>85</v>
      </c>
      <c r="V639" s="191" t="str">
        <f t="shared" si="431"/>
        <v/>
      </c>
      <c r="W639" s="350">
        <f ca="1">IF(Q639&lt;&gt;1,0,VLOOKUP(OP!$C$55,PVFB,$S639+2,0))</f>
        <v>0</v>
      </c>
      <c r="X639" s="473">
        <f t="shared" ca="1" si="444"/>
        <v>0</v>
      </c>
      <c r="Y639" s="348">
        <f t="shared" ca="1" si="445"/>
        <v>0</v>
      </c>
      <c r="Z639" s="348">
        <f t="shared" ca="1" si="446"/>
        <v>8012</v>
      </c>
      <c r="AA639" s="348">
        <f ca="1">IF(Q639&lt;&gt;1,0,VLOOKUP(OP!$C$55,PVFB,$S639+2,0))</f>
        <v>0</v>
      </c>
      <c r="AB639" s="488" t="str">
        <f ca="1">IF(AND(S639&lt;OP!$C$24,$U639&lt;15),0,IF(AND($U639&lt;15,$T639=12),ROUND(VLOOKUP($S639,DOWN16,5,0),3),IF($T639=12,ROUND(($Z639/10000)*$AA639,3)+IF(AND($P$7="購買增額繳清保險",T639=12,U639=110),VLOOKUP(S639,$B$10:$H$121,7,0),0),"")))</f>
        <v/>
      </c>
      <c r="AC639" s="350" t="str">
        <f ca="1">IF(AND(S639&lt;OP!$C$24,$U639&lt;15),0,IF(AND($U639&lt;16,$T639=12),VLOOKUP($S639,DOWN16,4,0),IF($T639=12,ROUND(VLOOKUP(OP!$C$55,_DIE2,$S639+1,0)*(Z639/10000),0)+IF(AND($P$7="購買增額繳清保險",T639=12,U639=110),VLOOKUP(S639,$B$10:$H$121,7,0),0),"")))</f>
        <v/>
      </c>
      <c r="AD639" s="347"/>
      <c r="AE639" s="350" t="str">
        <f t="shared" ca="1" si="421"/>
        <v/>
      </c>
      <c r="AF639" s="351" t="str">
        <f t="shared" ca="1" si="422"/>
        <v/>
      </c>
      <c r="AG639" s="340"/>
      <c r="AH639" s="340"/>
      <c r="AI639" s="340"/>
      <c r="AJ639" s="340"/>
      <c r="AK639" s="340"/>
      <c r="AL639" s="340"/>
      <c r="AM639" s="340"/>
      <c r="AN639" s="340"/>
      <c r="AO639" s="340"/>
      <c r="AP639" s="340"/>
      <c r="AQ639" s="340"/>
      <c r="AR639" s="340"/>
      <c r="AS639" s="340"/>
      <c r="AT639" s="340"/>
      <c r="AU639" s="340"/>
      <c r="AV639" s="340"/>
      <c r="AY639" s="340"/>
      <c r="AZ639" s="465">
        <f t="shared" ca="1" si="432"/>
        <v>7.3698599999999999E-5</v>
      </c>
      <c r="BA639" s="464">
        <f t="shared" ca="1" si="433"/>
        <v>2.2109589000000002E-3</v>
      </c>
      <c r="BB639" s="465">
        <f t="shared" ca="1" si="433"/>
        <v>2.2846575E-3</v>
      </c>
      <c r="BC639" s="466">
        <f t="shared" ca="1" si="434"/>
        <v>62063</v>
      </c>
      <c r="BD639" s="467">
        <f t="shared" ca="1" si="447"/>
        <v>62064</v>
      </c>
      <c r="BE639" s="467">
        <f t="shared" ca="1" si="435"/>
        <v>62093</v>
      </c>
      <c r="BF639" s="468">
        <f ca="1">IF(計算!$BC639&lt;OP!$C$3,0,BD639-BC639)</f>
        <v>1</v>
      </c>
      <c r="BG639" s="468">
        <f ca="1">IF($BE639&gt;DATE(YEAR($BD$9)+OP!$C$57,MONTH($BD$9),DAY($BD$9)),0,$BE639-$BD639+1)</f>
        <v>30</v>
      </c>
      <c r="BH639" s="469">
        <f t="shared" ca="1" si="436"/>
        <v>31</v>
      </c>
      <c r="BI639" t="str">
        <f t="shared" si="452"/>
        <v/>
      </c>
      <c r="BJ639">
        <v>6</v>
      </c>
      <c r="BN639" s="468">
        <f t="shared" si="448"/>
        <v>53</v>
      </c>
      <c r="BO639" s="468">
        <f t="shared" si="449"/>
        <v>6</v>
      </c>
      <c r="BP639" s="467">
        <f t="shared" ca="1" si="437"/>
        <v>62064</v>
      </c>
      <c r="BQ639" s="475">
        <f t="shared" ca="1" si="451"/>
        <v>85</v>
      </c>
      <c r="BR639" s="475" t="str">
        <f t="shared" si="450"/>
        <v/>
      </c>
      <c r="BS639" s="471" t="str">
        <f t="shared" si="438"/>
        <v/>
      </c>
      <c r="BT639" s="472" t="str">
        <f t="shared" si="453"/>
        <v/>
      </c>
      <c r="BU639" s="472">
        <f t="shared" ca="1" si="439"/>
        <v>0</v>
      </c>
      <c r="BV639" s="472">
        <f t="shared" ca="1" si="439"/>
        <v>0</v>
      </c>
      <c r="BW639" s="472"/>
      <c r="BX639" s="473">
        <f t="shared" ca="1" si="440"/>
        <v>980654.92329115095</v>
      </c>
      <c r="BY639" s="473">
        <f t="shared" si="441"/>
        <v>0</v>
      </c>
      <c r="BZ639" s="473">
        <f t="shared" ca="1" si="423"/>
        <v>2240.4606254089999</v>
      </c>
      <c r="CA639" s="476">
        <f t="shared" ca="1" si="442"/>
        <v>0</v>
      </c>
      <c r="CB639" s="494">
        <f ca="1">IF(OR($Q638&lt;&gt;1,OP!$D$5+$BN639-1&lt;16,$BN639-1&lt;1),0,ROUND(ROUND(ROUND(((VLOOKUP($BN639-1,MORE_PV,5,0)/10000)*VLOOKUP($BN639,MORE_PV,$CB$5,0)),3)*VLOOKUP($BN639,more1,5,0),0)/$R638,0))</f>
        <v>0</v>
      </c>
      <c r="CC639" s="473">
        <f t="shared" ca="1" si="443"/>
        <v>0</v>
      </c>
      <c r="CD639" s="477"/>
    </row>
    <row r="640" spans="2:82" ht="16.5" hidden="1">
      <c r="B640" s="80"/>
      <c r="C640" s="80"/>
      <c r="D640" s="80"/>
      <c r="E640" s="80"/>
      <c r="F640" s="80"/>
      <c r="G640" s="80"/>
      <c r="H640" s="80"/>
      <c r="I640" s="80"/>
      <c r="J640" s="192">
        <f t="shared" si="424"/>
        <v>53</v>
      </c>
      <c r="K640" s="192">
        <f t="shared" si="425"/>
        <v>8</v>
      </c>
      <c r="L640" s="192" t="str">
        <f t="shared" si="420"/>
        <v/>
      </c>
      <c r="M640" s="216">
        <f t="shared" ca="1" si="426"/>
        <v>0</v>
      </c>
      <c r="N640" s="216"/>
      <c r="O640" s="216"/>
      <c r="P640" s="216"/>
      <c r="Q640" s="456" t="str">
        <f t="shared" ca="1" si="427"/>
        <v/>
      </c>
      <c r="R640" s="450">
        <f t="shared" ca="1" si="428"/>
        <v>1</v>
      </c>
      <c r="S640" s="191">
        <f t="shared" si="429"/>
        <v>53</v>
      </c>
      <c r="T640" s="191">
        <f t="shared" si="430"/>
        <v>8</v>
      </c>
      <c r="U640" s="191">
        <f ca="1">OP!$D$5+$S640-1</f>
        <v>85</v>
      </c>
      <c r="V640" s="191" t="str">
        <f t="shared" si="431"/>
        <v/>
      </c>
      <c r="W640" s="350">
        <f ca="1">IF(Q640&lt;&gt;1,0,VLOOKUP(OP!$C$55,PVFB,$S640+2,0))</f>
        <v>0</v>
      </c>
      <c r="X640" s="473">
        <f t="shared" ca="1" si="444"/>
        <v>0</v>
      </c>
      <c r="Y640" s="348">
        <f t="shared" ca="1" si="445"/>
        <v>0</v>
      </c>
      <c r="Z640" s="348">
        <f t="shared" ca="1" si="446"/>
        <v>8012</v>
      </c>
      <c r="AA640" s="348">
        <f ca="1">IF(Q640&lt;&gt;1,0,VLOOKUP(OP!$C$55,PVFB,$S640+2,0))</f>
        <v>0</v>
      </c>
      <c r="AB640" s="488" t="str">
        <f ca="1">IF(AND(S640&lt;OP!$C$24,$U640&lt;15),0,IF(AND($U640&lt;15,$T640=12),ROUND(VLOOKUP($S640,DOWN16,5,0),3),IF($T640=12,ROUND(($Z640/10000)*$AA640,3)+IF(AND($P$7="購買增額繳清保險",T640=12,U640=110),VLOOKUP(S640,$B$10:$H$121,7,0),0),"")))</f>
        <v/>
      </c>
      <c r="AC640" s="350" t="str">
        <f ca="1">IF(AND(S640&lt;OP!$C$24,$U640&lt;15),0,IF(AND($U640&lt;16,$T640=12),VLOOKUP($S640,DOWN16,4,0),IF($T640=12,ROUND(VLOOKUP(OP!$C$55,_DIE2,$S640+1,0)*(Z640/10000),0)+IF(AND($P$7="購買增額繳清保險",T640=12,U640=110),VLOOKUP(S640,$B$10:$H$121,7,0),0),"")))</f>
        <v/>
      </c>
      <c r="AD640" s="347"/>
      <c r="AE640" s="350" t="str">
        <f t="shared" ca="1" si="421"/>
        <v/>
      </c>
      <c r="AF640" s="351" t="str">
        <f t="shared" ca="1" si="422"/>
        <v/>
      </c>
      <c r="AG640" s="340"/>
      <c r="AH640" s="340"/>
      <c r="AI640" s="340"/>
      <c r="AJ640" s="340"/>
      <c r="AK640" s="340"/>
      <c r="AL640" s="340"/>
      <c r="AM640" s="340"/>
      <c r="AN640" s="340"/>
      <c r="AO640" s="340"/>
      <c r="AP640" s="340"/>
      <c r="AQ640" s="340"/>
      <c r="AR640" s="340"/>
      <c r="AS640" s="340"/>
      <c r="AT640" s="340"/>
      <c r="AU640" s="340"/>
      <c r="AV640" s="340"/>
      <c r="AY640" s="340"/>
      <c r="AZ640" s="465">
        <f t="shared" ca="1" si="432"/>
        <v>7.3698599999999999E-5</v>
      </c>
      <c r="BA640" s="464">
        <f t="shared" ca="1" si="433"/>
        <v>2.2109589000000002E-3</v>
      </c>
      <c r="BB640" s="465">
        <f t="shared" ca="1" si="433"/>
        <v>2.2846575E-3</v>
      </c>
      <c r="BC640" s="466">
        <f t="shared" ca="1" si="434"/>
        <v>62094</v>
      </c>
      <c r="BD640" s="467">
        <f t="shared" ca="1" si="447"/>
        <v>62095</v>
      </c>
      <c r="BE640" s="467">
        <f t="shared" ca="1" si="435"/>
        <v>62124</v>
      </c>
      <c r="BF640" s="468">
        <f ca="1">IF(計算!$BC640&lt;OP!$C$3,0,BD640-BC640)</f>
        <v>1</v>
      </c>
      <c r="BG640" s="468">
        <f ca="1">IF($BE640&gt;DATE(YEAR($BD$9)+OP!$C$57,MONTH($BD$9),DAY($BD$9)),0,$BE640-$BD640+1)</f>
        <v>30</v>
      </c>
      <c r="BH640" s="469">
        <f t="shared" ca="1" si="436"/>
        <v>31</v>
      </c>
      <c r="BI640" t="str">
        <f t="shared" si="452"/>
        <v/>
      </c>
      <c r="BJ640">
        <v>7</v>
      </c>
      <c r="BN640" s="468">
        <f t="shared" si="448"/>
        <v>53</v>
      </c>
      <c r="BO640" s="468">
        <f t="shared" si="449"/>
        <v>7</v>
      </c>
      <c r="BP640" s="467">
        <f t="shared" ca="1" si="437"/>
        <v>62095</v>
      </c>
      <c r="BQ640" s="475">
        <f t="shared" ca="1" si="451"/>
        <v>85</v>
      </c>
      <c r="BR640" s="475" t="str">
        <f t="shared" si="450"/>
        <v/>
      </c>
      <c r="BS640" s="471" t="str">
        <f t="shared" si="438"/>
        <v/>
      </c>
      <c r="BT640" s="472" t="str">
        <f t="shared" si="453"/>
        <v/>
      </c>
      <c r="BU640" s="472">
        <f t="shared" ca="1" si="439"/>
        <v>0</v>
      </c>
      <c r="BV640" s="472">
        <f t="shared" ca="1" si="439"/>
        <v>0</v>
      </c>
      <c r="BW640" s="472"/>
      <c r="BX640" s="473">
        <f t="shared" ca="1" si="440"/>
        <v>982895.38391655998</v>
      </c>
      <c r="BY640" s="473">
        <f t="shared" si="441"/>
        <v>0</v>
      </c>
      <c r="BZ640" s="473">
        <f t="shared" ca="1" si="423"/>
        <v>2245.5793105799999</v>
      </c>
      <c r="CA640" s="476">
        <f t="shared" ca="1" si="442"/>
        <v>0</v>
      </c>
      <c r="CB640" s="494">
        <f ca="1">IF(OR($Q639&lt;&gt;1,OP!$D$5+$BN640-1&lt;16,$BN640-1&lt;1),0,ROUND(ROUND(ROUND(((VLOOKUP($BN640-1,MORE_PV,5,0)/10000)*VLOOKUP($BN640,MORE_PV,$CB$5,0)),3)*VLOOKUP($BN640,more1,5,0),0)/$R639,0))</f>
        <v>0</v>
      </c>
      <c r="CC640" s="473">
        <f t="shared" ca="1" si="443"/>
        <v>0</v>
      </c>
      <c r="CD640" s="477"/>
    </row>
    <row r="641" spans="2:82" ht="16.5" hidden="1">
      <c r="B641" s="80"/>
      <c r="C641" s="80"/>
      <c r="D641" s="80"/>
      <c r="E641" s="80"/>
      <c r="F641" s="80"/>
      <c r="G641" s="80"/>
      <c r="H641" s="80"/>
      <c r="I641" s="80"/>
      <c r="J641" s="192">
        <f t="shared" si="424"/>
        <v>53</v>
      </c>
      <c r="K641" s="192">
        <f t="shared" si="425"/>
        <v>9</v>
      </c>
      <c r="L641" s="192" t="str">
        <f t="shared" si="420"/>
        <v/>
      </c>
      <c r="M641" s="216">
        <f t="shared" ca="1" si="426"/>
        <v>0</v>
      </c>
      <c r="N641" s="216"/>
      <c r="O641" s="216"/>
      <c r="P641" s="216"/>
      <c r="Q641" s="456" t="str">
        <f t="shared" ca="1" si="427"/>
        <v/>
      </c>
      <c r="R641" s="450">
        <f t="shared" ca="1" si="428"/>
        <v>1</v>
      </c>
      <c r="S641" s="191">
        <f t="shared" si="429"/>
        <v>53</v>
      </c>
      <c r="T641" s="191">
        <f t="shared" si="430"/>
        <v>9</v>
      </c>
      <c r="U641" s="191">
        <f ca="1">OP!$D$5+$S641-1</f>
        <v>85</v>
      </c>
      <c r="V641" s="191" t="str">
        <f t="shared" si="431"/>
        <v/>
      </c>
      <c r="W641" s="350">
        <f ca="1">IF(Q641&lt;&gt;1,0,VLOOKUP(OP!$C$55,PVFB,$S641+2,0))</f>
        <v>0</v>
      </c>
      <c r="X641" s="473">
        <f t="shared" ca="1" si="444"/>
        <v>0</v>
      </c>
      <c r="Y641" s="348">
        <f t="shared" ca="1" si="445"/>
        <v>0</v>
      </c>
      <c r="Z641" s="348">
        <f t="shared" ca="1" si="446"/>
        <v>8012</v>
      </c>
      <c r="AA641" s="348">
        <f ca="1">IF(Q641&lt;&gt;1,0,VLOOKUP(OP!$C$55,PVFB,$S641+2,0))</f>
        <v>0</v>
      </c>
      <c r="AB641" s="488" t="str">
        <f ca="1">IF(AND(S641&lt;OP!$C$24,$U641&lt;15),0,IF(AND($U641&lt;15,$T641=12),ROUND(VLOOKUP($S641,DOWN16,5,0),3),IF($T641=12,ROUND(($Z641/10000)*$AA641,3)+IF(AND($P$7="購買增額繳清保險",T641=12,U641=110),VLOOKUP(S641,$B$10:$H$121,7,0),0),"")))</f>
        <v/>
      </c>
      <c r="AC641" s="350" t="str">
        <f ca="1">IF(AND(S641&lt;OP!$C$24,$U641&lt;15),0,IF(AND($U641&lt;16,$T641=12),VLOOKUP($S641,DOWN16,4,0),IF($T641=12,ROUND(VLOOKUP(OP!$C$55,_DIE2,$S641+1,0)*(Z641/10000),0)+IF(AND($P$7="購買增額繳清保險",T641=12,U641=110),VLOOKUP(S641,$B$10:$H$121,7,0),0),"")))</f>
        <v/>
      </c>
      <c r="AD641" s="347"/>
      <c r="AE641" s="350" t="str">
        <f t="shared" ca="1" si="421"/>
        <v/>
      </c>
      <c r="AF641" s="351" t="str">
        <f t="shared" ca="1" si="422"/>
        <v/>
      </c>
      <c r="AG641" s="340"/>
      <c r="AH641" s="340"/>
      <c r="AI641" s="340"/>
      <c r="AJ641" s="340"/>
      <c r="AK641" s="340"/>
      <c r="AL641" s="340"/>
      <c r="AM641" s="340"/>
      <c r="AN641" s="340"/>
      <c r="AO641" s="340"/>
      <c r="AP641" s="340"/>
      <c r="AQ641" s="340"/>
      <c r="AR641" s="340"/>
      <c r="AS641" s="340"/>
      <c r="AT641" s="340"/>
      <c r="AU641" s="340"/>
      <c r="AV641" s="340"/>
      <c r="AY641" s="340"/>
      <c r="AZ641" s="465">
        <f t="shared" ca="1" si="432"/>
        <v>7.3698599999999999E-5</v>
      </c>
      <c r="BA641" s="464">
        <f t="shared" ca="1" si="433"/>
        <v>1.9898630000000001E-3</v>
      </c>
      <c r="BB641" s="465">
        <f t="shared" ca="1" si="433"/>
        <v>2.0635616E-3</v>
      </c>
      <c r="BC641" s="466">
        <f t="shared" ca="1" si="434"/>
        <v>62125</v>
      </c>
      <c r="BD641" s="467">
        <f t="shared" ca="1" si="447"/>
        <v>62126</v>
      </c>
      <c r="BE641" s="467">
        <f t="shared" ca="1" si="435"/>
        <v>62152</v>
      </c>
      <c r="BF641" s="468">
        <f ca="1">IF(計算!$BC641&lt;OP!$C$3,0,BD641-BC641)</f>
        <v>1</v>
      </c>
      <c r="BG641" s="468">
        <f ca="1">IF($BE641&gt;DATE(YEAR($BD$9)+OP!$C$57,MONTH($BD$9),DAY($BD$9)),0,$BE641-$BD641+1)</f>
        <v>27</v>
      </c>
      <c r="BH641" s="469">
        <f t="shared" ca="1" si="436"/>
        <v>28</v>
      </c>
      <c r="BI641" t="str">
        <f t="shared" si="452"/>
        <v/>
      </c>
      <c r="BJ641">
        <v>8</v>
      </c>
      <c r="BN641" s="468">
        <f t="shared" si="448"/>
        <v>53</v>
      </c>
      <c r="BO641" s="468">
        <f t="shared" si="449"/>
        <v>8</v>
      </c>
      <c r="BP641" s="467">
        <f t="shared" ca="1" si="437"/>
        <v>62126</v>
      </c>
      <c r="BQ641" s="475">
        <f t="shared" ca="1" si="451"/>
        <v>85</v>
      </c>
      <c r="BR641" s="475" t="str">
        <f t="shared" si="450"/>
        <v/>
      </c>
      <c r="BS641" s="471" t="str">
        <f t="shared" si="438"/>
        <v/>
      </c>
      <c r="BT641" s="472" t="str">
        <f t="shared" si="453"/>
        <v/>
      </c>
      <c r="BU641" s="472">
        <f t="shared" ca="1" si="439"/>
        <v>0</v>
      </c>
      <c r="BV641" s="472">
        <f t="shared" ca="1" si="439"/>
        <v>0</v>
      </c>
      <c r="BW641" s="472"/>
      <c r="BX641" s="473">
        <f t="shared" ca="1" si="440"/>
        <v>985140.96322714002</v>
      </c>
      <c r="BY641" s="473">
        <f t="shared" si="441"/>
        <v>0</v>
      </c>
      <c r="BZ641" s="473">
        <f t="shared" ca="1" si="423"/>
        <v>2032.8990623029999</v>
      </c>
      <c r="CA641" s="476">
        <f t="shared" ca="1" si="442"/>
        <v>0</v>
      </c>
      <c r="CB641" s="494">
        <f ca="1">IF(OR($Q640&lt;&gt;1,OP!$D$5+$BN641-1&lt;16,$BN641-1&lt;1),0,ROUND(ROUND(ROUND(((VLOOKUP($BN641-1,MORE_PV,5,0)/10000)*VLOOKUP($BN641,MORE_PV,$CB$5,0)),3)*VLOOKUP($BN641,more1,5,0),0)/$R640,0))</f>
        <v>0</v>
      </c>
      <c r="CC641" s="473">
        <f t="shared" ca="1" si="443"/>
        <v>0</v>
      </c>
      <c r="CD641" s="477"/>
    </row>
    <row r="642" spans="2:82" ht="16.5" hidden="1">
      <c r="B642" s="80"/>
      <c r="C642" s="80"/>
      <c r="D642" s="80"/>
      <c r="E642" s="80"/>
      <c r="F642" s="80"/>
      <c r="G642" s="80"/>
      <c r="H642" s="80"/>
      <c r="I642" s="80"/>
      <c r="J642" s="192">
        <f t="shared" si="424"/>
        <v>53</v>
      </c>
      <c r="K642" s="192">
        <f t="shared" si="425"/>
        <v>10</v>
      </c>
      <c r="L642" s="192" t="str">
        <f t="shared" si="420"/>
        <v/>
      </c>
      <c r="M642" s="216">
        <f t="shared" ca="1" si="426"/>
        <v>0</v>
      </c>
      <c r="N642" s="216"/>
      <c r="O642" s="216"/>
      <c r="P642" s="216"/>
      <c r="Q642" s="456" t="str">
        <f t="shared" ca="1" si="427"/>
        <v/>
      </c>
      <c r="R642" s="450">
        <f t="shared" ca="1" si="428"/>
        <v>1</v>
      </c>
      <c r="S642" s="191">
        <f t="shared" si="429"/>
        <v>53</v>
      </c>
      <c r="T642" s="191">
        <f t="shared" si="430"/>
        <v>10</v>
      </c>
      <c r="U642" s="191">
        <f ca="1">OP!$D$5+$S642-1</f>
        <v>85</v>
      </c>
      <c r="V642" s="191" t="str">
        <f t="shared" si="431"/>
        <v/>
      </c>
      <c r="W642" s="350">
        <f ca="1">IF(Q642&lt;&gt;1,0,VLOOKUP(OP!$C$55,PVFB,$S642+2,0))</f>
        <v>0</v>
      </c>
      <c r="X642" s="473">
        <f t="shared" ca="1" si="444"/>
        <v>0</v>
      </c>
      <c r="Y642" s="348">
        <f t="shared" ca="1" si="445"/>
        <v>0</v>
      </c>
      <c r="Z642" s="348">
        <f t="shared" ca="1" si="446"/>
        <v>8012</v>
      </c>
      <c r="AA642" s="348">
        <f ca="1">IF(Q642&lt;&gt;1,0,VLOOKUP(OP!$C$55,PVFB,$S642+2,0))</f>
        <v>0</v>
      </c>
      <c r="AB642" s="488" t="str">
        <f ca="1">IF(AND(S642&lt;OP!$C$24,$U642&lt;15),0,IF(AND($U642&lt;15,$T642=12),ROUND(VLOOKUP($S642,DOWN16,5,0),3),IF($T642=12,ROUND(($Z642/10000)*$AA642,3)+IF(AND($P$7="購買增額繳清保險",T642=12,U642=110),VLOOKUP(S642,$B$10:$H$121,7,0),0),"")))</f>
        <v/>
      </c>
      <c r="AC642" s="350" t="str">
        <f ca="1">IF(AND(S642&lt;OP!$C$24,$U642&lt;15),0,IF(AND($U642&lt;16,$T642=12),VLOOKUP($S642,DOWN16,4,0),IF($T642=12,ROUND(VLOOKUP(OP!$C$55,_DIE2,$S642+1,0)*(Z642/10000),0)+IF(AND($P$7="購買增額繳清保險",T642=12,U642=110),VLOOKUP(S642,$B$10:$H$121,7,0),0),"")))</f>
        <v/>
      </c>
      <c r="AD642" s="347"/>
      <c r="AE642" s="350" t="str">
        <f t="shared" ca="1" si="421"/>
        <v/>
      </c>
      <c r="AF642" s="351" t="str">
        <f t="shared" ca="1" si="422"/>
        <v/>
      </c>
      <c r="AG642" s="340"/>
      <c r="AH642" s="340"/>
      <c r="AI642" s="340"/>
      <c r="AJ642" s="340"/>
      <c r="AK642" s="340"/>
      <c r="AL642" s="340"/>
      <c r="AM642" s="340"/>
      <c r="AN642" s="340"/>
      <c r="AO642" s="340"/>
      <c r="AP642" s="340"/>
      <c r="AQ642" s="340"/>
      <c r="AR642" s="340"/>
      <c r="AS642" s="340"/>
      <c r="AT642" s="340"/>
      <c r="AU642" s="340"/>
      <c r="AV642" s="340"/>
      <c r="AY642" s="340"/>
      <c r="AZ642" s="465">
        <f t="shared" ca="1" si="432"/>
        <v>7.3698599999999999E-5</v>
      </c>
      <c r="BA642" s="464">
        <f t="shared" ca="1" si="433"/>
        <v>2.2109589000000002E-3</v>
      </c>
      <c r="BB642" s="465">
        <f t="shared" ca="1" si="433"/>
        <v>2.2846575E-3</v>
      </c>
      <c r="BC642" s="466">
        <f t="shared" ca="1" si="434"/>
        <v>62153</v>
      </c>
      <c r="BD642" s="467">
        <f t="shared" ca="1" si="447"/>
        <v>62154</v>
      </c>
      <c r="BE642" s="467">
        <f t="shared" ca="1" si="435"/>
        <v>62183</v>
      </c>
      <c r="BF642" s="468">
        <f ca="1">IF(計算!$BC642&lt;OP!$C$3,0,BD642-BC642)</f>
        <v>1</v>
      </c>
      <c r="BG642" s="468">
        <f ca="1">IF($BE642&gt;DATE(YEAR($BD$9)+OP!$C$57,MONTH($BD$9),DAY($BD$9)),0,$BE642-$BD642+1)</f>
        <v>30</v>
      </c>
      <c r="BH642" s="469">
        <f t="shared" ca="1" si="436"/>
        <v>31</v>
      </c>
      <c r="BI642" t="str">
        <f t="shared" si="452"/>
        <v/>
      </c>
      <c r="BJ642">
        <v>9</v>
      </c>
      <c r="BN642" s="468">
        <f t="shared" si="448"/>
        <v>53</v>
      </c>
      <c r="BO642" s="468">
        <f t="shared" si="449"/>
        <v>9</v>
      </c>
      <c r="BP642" s="467">
        <f t="shared" ca="1" si="437"/>
        <v>62154</v>
      </c>
      <c r="BQ642" s="475">
        <f t="shared" ca="1" si="451"/>
        <v>85</v>
      </c>
      <c r="BR642" s="475" t="str">
        <f t="shared" si="450"/>
        <v/>
      </c>
      <c r="BS642" s="471" t="str">
        <f t="shared" si="438"/>
        <v/>
      </c>
      <c r="BT642" s="472" t="str">
        <f t="shared" si="453"/>
        <v/>
      </c>
      <c r="BU642" s="472">
        <f t="shared" ca="1" si="439"/>
        <v>0</v>
      </c>
      <c r="BV642" s="472">
        <f t="shared" ca="1" si="439"/>
        <v>0</v>
      </c>
      <c r="BW642" s="472"/>
      <c r="BX642" s="473">
        <f t="shared" ca="1" si="440"/>
        <v>987173.86228944303</v>
      </c>
      <c r="BY642" s="473">
        <f t="shared" si="441"/>
        <v>0</v>
      </c>
      <c r="BZ642" s="473">
        <f t="shared" ca="1" si="423"/>
        <v>2255.354168284</v>
      </c>
      <c r="CA642" s="476">
        <f t="shared" ca="1" si="442"/>
        <v>0</v>
      </c>
      <c r="CB642" s="494">
        <f ca="1">IF(OR($Q641&lt;&gt;1,OP!$D$5+$BN642-1&lt;16,$BN642-1&lt;1),0,ROUND(ROUND(ROUND(((VLOOKUP($BN642-1,MORE_PV,5,0)/10000)*VLOOKUP($BN642,MORE_PV,$CB$5,0)),3)*VLOOKUP($BN642,more1,5,0),0)/$R641,0))</f>
        <v>0</v>
      </c>
      <c r="CC642" s="473">
        <f t="shared" ca="1" si="443"/>
        <v>0</v>
      </c>
      <c r="CD642" s="477"/>
    </row>
    <row r="643" spans="2:82" ht="16.5" hidden="1">
      <c r="B643" s="80"/>
      <c r="C643" s="80"/>
      <c r="D643" s="80"/>
      <c r="E643" s="80"/>
      <c r="F643" s="80"/>
      <c r="G643" s="80"/>
      <c r="H643" s="80"/>
      <c r="I643" s="80"/>
      <c r="J643" s="192">
        <f t="shared" si="424"/>
        <v>53</v>
      </c>
      <c r="K643" s="192">
        <f t="shared" si="425"/>
        <v>11</v>
      </c>
      <c r="L643" s="192" t="str">
        <f t="shared" si="420"/>
        <v/>
      </c>
      <c r="M643" s="216">
        <f t="shared" ca="1" si="426"/>
        <v>0</v>
      </c>
      <c r="N643" s="216"/>
      <c r="O643" s="216"/>
      <c r="P643" s="216"/>
      <c r="Q643" s="456" t="str">
        <f t="shared" ca="1" si="427"/>
        <v/>
      </c>
      <c r="R643" s="450">
        <f t="shared" ca="1" si="428"/>
        <v>1</v>
      </c>
      <c r="S643" s="191">
        <f t="shared" si="429"/>
        <v>53</v>
      </c>
      <c r="T643" s="191">
        <f t="shared" si="430"/>
        <v>11</v>
      </c>
      <c r="U643" s="191">
        <f ca="1">OP!$D$5+$S643-1</f>
        <v>85</v>
      </c>
      <c r="V643" s="191" t="str">
        <f t="shared" si="431"/>
        <v/>
      </c>
      <c r="W643" s="350">
        <f ca="1">IF(Q643&lt;&gt;1,0,VLOOKUP(OP!$C$55,PVFB,$S643+2,0))</f>
        <v>0</v>
      </c>
      <c r="X643" s="473">
        <f t="shared" ca="1" si="444"/>
        <v>0</v>
      </c>
      <c r="Y643" s="348">
        <f t="shared" ca="1" si="445"/>
        <v>0</v>
      </c>
      <c r="Z643" s="348">
        <f t="shared" ca="1" si="446"/>
        <v>8012</v>
      </c>
      <c r="AA643" s="348">
        <f ca="1">IF(Q643&lt;&gt;1,0,VLOOKUP(OP!$C$55,PVFB,$S643+2,0))</f>
        <v>0</v>
      </c>
      <c r="AB643" s="488" t="str">
        <f ca="1">IF(AND(S643&lt;OP!$C$24,$U643&lt;15),0,IF(AND($U643&lt;15,$T643=12),ROUND(VLOOKUP($S643,DOWN16,5,0),3),IF($T643=12,ROUND(($Z643/10000)*$AA643,3)+IF(AND($P$7="購買增額繳清保險",T643=12,U643=110),VLOOKUP(S643,$B$10:$H$121,7,0),0),"")))</f>
        <v/>
      </c>
      <c r="AC643" s="350" t="str">
        <f ca="1">IF(AND(S643&lt;OP!$C$24,$U643&lt;15),0,IF(AND($U643&lt;16,$T643=12),VLOOKUP($S643,DOWN16,4,0),IF($T643=12,ROUND(VLOOKUP(OP!$C$55,_DIE2,$S643+1,0)*(Z643/10000),0)+IF(AND($P$7="購買增額繳清保險",T643=12,U643=110),VLOOKUP(S643,$B$10:$H$121,7,0),0),"")))</f>
        <v/>
      </c>
      <c r="AD643" s="347"/>
      <c r="AE643" s="350" t="str">
        <f t="shared" ca="1" si="421"/>
        <v/>
      </c>
      <c r="AF643" s="351" t="str">
        <f t="shared" ca="1" si="422"/>
        <v/>
      </c>
      <c r="AG643" s="340"/>
      <c r="AH643" s="340"/>
      <c r="AI643" s="340"/>
      <c r="AJ643" s="340"/>
      <c r="AK643" s="340"/>
      <c r="AL643" s="340"/>
      <c r="AM643" s="340"/>
      <c r="AN643" s="340"/>
      <c r="AO643" s="340"/>
      <c r="AP643" s="340"/>
      <c r="AQ643" s="340"/>
      <c r="AR643" s="340"/>
      <c r="AS643" s="340"/>
      <c r="AT643" s="340"/>
      <c r="AU643" s="340"/>
      <c r="AV643" s="340"/>
      <c r="AY643" s="340"/>
      <c r="AZ643" s="465">
        <f t="shared" ca="1" si="432"/>
        <v>7.3698599999999999E-5</v>
      </c>
      <c r="BA643" s="464">
        <f t="shared" ca="1" si="433"/>
        <v>2.1372602999999999E-3</v>
      </c>
      <c r="BB643" s="465">
        <f t="shared" ca="1" si="433"/>
        <v>2.2109589000000002E-3</v>
      </c>
      <c r="BC643" s="466">
        <f t="shared" ca="1" si="434"/>
        <v>62184</v>
      </c>
      <c r="BD643" s="467">
        <f t="shared" ca="1" si="447"/>
        <v>62185</v>
      </c>
      <c r="BE643" s="467">
        <f t="shared" ca="1" si="435"/>
        <v>62213</v>
      </c>
      <c r="BF643" s="468">
        <f ca="1">IF(計算!$BC643&lt;OP!$C$3,0,BD643-BC643)</f>
        <v>1</v>
      </c>
      <c r="BG643" s="468">
        <f ca="1">IF($BE643&gt;DATE(YEAR($BD$9)+OP!$C$57,MONTH($BD$9),DAY($BD$9)),0,$BE643-$BD643+1)</f>
        <v>29</v>
      </c>
      <c r="BH643" s="469">
        <f t="shared" ca="1" si="436"/>
        <v>30</v>
      </c>
      <c r="BI643" t="str">
        <f t="shared" si="452"/>
        <v/>
      </c>
      <c r="BJ643">
        <v>10</v>
      </c>
      <c r="BN643" s="468">
        <f t="shared" si="448"/>
        <v>53</v>
      </c>
      <c r="BO643" s="468">
        <f t="shared" si="449"/>
        <v>10</v>
      </c>
      <c r="BP643" s="467">
        <f t="shared" ca="1" si="437"/>
        <v>62185</v>
      </c>
      <c r="BQ643" s="475">
        <f t="shared" ca="1" si="451"/>
        <v>85</v>
      </c>
      <c r="BR643" s="475" t="str">
        <f t="shared" si="450"/>
        <v/>
      </c>
      <c r="BS643" s="471" t="str">
        <f t="shared" si="438"/>
        <v/>
      </c>
      <c r="BT643" s="472" t="str">
        <f t="shared" si="453"/>
        <v/>
      </c>
      <c r="BU643" s="472">
        <f t="shared" ca="1" si="439"/>
        <v>0</v>
      </c>
      <c r="BV643" s="472">
        <f t="shared" ca="1" si="439"/>
        <v>0</v>
      </c>
      <c r="BW643" s="472"/>
      <c r="BX643" s="473">
        <f t="shared" ca="1" si="440"/>
        <v>989429.21645772702</v>
      </c>
      <c r="BY643" s="473">
        <f t="shared" si="441"/>
        <v>0</v>
      </c>
      <c r="BZ643" s="473">
        <f t="shared" ca="1" si="423"/>
        <v>2187.587332047</v>
      </c>
      <c r="CA643" s="476">
        <f t="shared" ca="1" si="442"/>
        <v>0</v>
      </c>
      <c r="CB643" s="494">
        <f ca="1">IF(OR($Q642&lt;&gt;1,OP!$D$5+$BN643-1&lt;16,$BN643-1&lt;1),0,ROUND(ROUND(ROUND(((VLOOKUP($BN643-1,MORE_PV,5,0)/10000)*VLOOKUP($BN643,MORE_PV,$CB$5,0)),3)*VLOOKUP($BN643,more1,5,0),0)/$R642,0))</f>
        <v>0</v>
      </c>
      <c r="CC643" s="473">
        <f t="shared" ca="1" si="443"/>
        <v>0</v>
      </c>
      <c r="CD643" s="477"/>
    </row>
    <row r="644" spans="2:82" ht="16.5" hidden="1">
      <c r="B644" s="80"/>
      <c r="C644" s="80"/>
      <c r="D644" s="80"/>
      <c r="E644" s="80"/>
      <c r="F644" s="80"/>
      <c r="G644" s="80"/>
      <c r="H644" s="80"/>
      <c r="I644" s="80"/>
      <c r="J644" s="192">
        <f t="shared" si="424"/>
        <v>53</v>
      </c>
      <c r="K644" s="192">
        <f t="shared" si="425"/>
        <v>12</v>
      </c>
      <c r="L644" s="192">
        <f t="shared" si="420"/>
        <v>53</v>
      </c>
      <c r="M644" s="216">
        <f t="shared" ca="1" si="426"/>
        <v>1012009</v>
      </c>
      <c r="N644" s="216"/>
      <c r="O644" s="216"/>
      <c r="P644" s="216"/>
      <c r="Q644" s="456">
        <f t="shared" ca="1" si="427"/>
        <v>1</v>
      </c>
      <c r="R644" s="450">
        <f t="shared" ca="1" si="428"/>
        <v>1</v>
      </c>
      <c r="S644" s="191">
        <f t="shared" si="429"/>
        <v>53</v>
      </c>
      <c r="T644" s="191">
        <f t="shared" si="430"/>
        <v>12</v>
      </c>
      <c r="U644" s="191">
        <f ca="1">OP!$D$5+$S644-1</f>
        <v>85</v>
      </c>
      <c r="V644" s="191">
        <f t="shared" si="431"/>
        <v>53</v>
      </c>
      <c r="W644" s="350">
        <f ca="1">IF(Q644&lt;&gt;1,0,VLOOKUP(OP!$C$55,PVFB,$S644+2,0))</f>
        <v>75182</v>
      </c>
      <c r="X644" s="473">
        <f t="shared" ca="1" si="444"/>
        <v>18054</v>
      </c>
      <c r="Y644" s="348">
        <f t="shared" ca="1" si="445"/>
        <v>0</v>
      </c>
      <c r="Z644" s="348">
        <f t="shared" ca="1" si="446"/>
        <v>8012</v>
      </c>
      <c r="AA644" s="348">
        <f ca="1">IF(Q644&lt;&gt;1,0,VLOOKUP(OP!$C$55,PVFB,$S644+2,0))</f>
        <v>75182</v>
      </c>
      <c r="AB644" s="488">
        <f ca="1">IF(AND(S644&lt;OP!$C$24,$U644&lt;15),0,IF(AND($U644&lt;15,$T644=12),ROUND(VLOOKUP($S644,DOWN16,5,0),3),IF($T644=12,ROUND(($Z644/10000)*$AA644,3)+IF(AND($P$7="購買增額繳清保險",T644=12,U644=110),VLOOKUP(S644,$B$10:$H$121,7,0),0),"")))</f>
        <v>60235.817999999999</v>
      </c>
      <c r="AC644" s="350">
        <f ca="1">IF(AND(S644&lt;OP!$C$24,$U644&lt;15),0,IF(AND($U644&lt;16,$T644=12),VLOOKUP($S644,DOWN16,4,0),IF($T644=12,ROUND(VLOOKUP(OP!$C$55,_DIE2,$S644+1,0)*(Z644/10000),0)+IF(AND($P$7="購買增額繳清保險",T644=12,U644=110),VLOOKUP(S644,$B$10:$H$121,7,0),0),"")))</f>
        <v>60731</v>
      </c>
      <c r="AD644" s="347"/>
      <c r="AE644" s="350" t="str">
        <f t="shared" ca="1" si="421"/>
        <v/>
      </c>
      <c r="AF644" s="351" t="str">
        <f t="shared" ca="1" si="422"/>
        <v/>
      </c>
      <c r="AG644" s="340"/>
      <c r="AH644" s="340"/>
      <c r="AI644" s="340"/>
      <c r="AJ644" s="340"/>
      <c r="AK644" s="340"/>
      <c r="AL644" s="340"/>
      <c r="AM644" s="340"/>
      <c r="AN644" s="340"/>
      <c r="AO644" s="340"/>
      <c r="AP644" s="340"/>
      <c r="AQ644" s="340"/>
      <c r="AR644" s="340"/>
      <c r="AS644" s="340"/>
      <c r="AT644" s="340"/>
      <c r="AU644" s="340"/>
      <c r="AV644" s="340"/>
      <c r="AY644" s="340"/>
      <c r="AZ644" s="465">
        <f t="shared" ca="1" si="432"/>
        <v>7.3698599999999999E-5</v>
      </c>
      <c r="BA644" s="464">
        <f t="shared" ca="1" si="433"/>
        <v>2.2109589000000002E-3</v>
      </c>
      <c r="BB644" s="465">
        <f t="shared" ca="1" si="433"/>
        <v>2.2846575E-3</v>
      </c>
      <c r="BC644" s="466">
        <f t="shared" ca="1" si="434"/>
        <v>62214</v>
      </c>
      <c r="BD644" s="467">
        <f t="shared" ca="1" si="447"/>
        <v>62215</v>
      </c>
      <c r="BE644" s="467">
        <f t="shared" ca="1" si="435"/>
        <v>62244</v>
      </c>
      <c r="BF644" s="468">
        <f ca="1">IF(計算!$BC644&lt;OP!$C$3,0,BD644-BC644)</f>
        <v>1</v>
      </c>
      <c r="BG644" s="468">
        <f ca="1">IF($BE644&gt;DATE(YEAR($BD$9)+OP!$C$57,MONTH($BD$9),DAY($BD$9)),0,$BE644-$BD644+1)</f>
        <v>30</v>
      </c>
      <c r="BH644" s="469">
        <f t="shared" ca="1" si="436"/>
        <v>31</v>
      </c>
      <c r="BI644" t="str">
        <f t="shared" si="452"/>
        <v/>
      </c>
      <c r="BJ644">
        <v>11</v>
      </c>
      <c r="BN644" s="468">
        <f t="shared" si="448"/>
        <v>53</v>
      </c>
      <c r="BO644" s="468">
        <f t="shared" si="449"/>
        <v>11</v>
      </c>
      <c r="BP644" s="467">
        <f t="shared" ca="1" si="437"/>
        <v>62215</v>
      </c>
      <c r="BQ644" s="475">
        <f t="shared" ca="1" si="451"/>
        <v>85</v>
      </c>
      <c r="BR644" s="475" t="str">
        <f t="shared" si="450"/>
        <v/>
      </c>
      <c r="BS644" s="471" t="str">
        <f t="shared" si="438"/>
        <v/>
      </c>
      <c r="BT644" s="472" t="str">
        <f t="shared" si="453"/>
        <v/>
      </c>
      <c r="BU644" s="472">
        <f t="shared" ca="1" si="439"/>
        <v>0</v>
      </c>
      <c r="BV644" s="472">
        <f t="shared" ca="1" si="439"/>
        <v>0</v>
      </c>
      <c r="BW644" s="472"/>
      <c r="BX644" s="473">
        <f t="shared" ca="1" si="440"/>
        <v>991616.80378977396</v>
      </c>
      <c r="BY644" s="473">
        <f t="shared" si="441"/>
        <v>0</v>
      </c>
      <c r="BZ644" s="473">
        <f t="shared" ca="1" si="423"/>
        <v>2265.5047679039999</v>
      </c>
      <c r="CA644" s="476">
        <f t="shared" ca="1" si="442"/>
        <v>0</v>
      </c>
      <c r="CB644" s="494">
        <f ca="1">IF(OR($Q643&lt;&gt;1,OP!$D$5+$BN644-1&lt;16,$BN644-1&lt;1),0,ROUND(ROUND(ROUND(((VLOOKUP($BN644-1,MORE_PV,5,0)/10000)*VLOOKUP($BN644,MORE_PV,$CB$5,0)),3)*VLOOKUP($BN644,more1,5,0),0)/$R643,0))</f>
        <v>0</v>
      </c>
      <c r="CC644" s="473">
        <f t="shared" ca="1" si="443"/>
        <v>0</v>
      </c>
      <c r="CD644" s="477"/>
    </row>
    <row r="645" spans="2:82" ht="16.5" hidden="1">
      <c r="B645" s="80"/>
      <c r="C645" s="80"/>
      <c r="D645" s="80"/>
      <c r="E645" s="80"/>
      <c r="F645" s="80"/>
      <c r="G645" s="80"/>
      <c r="H645" s="80"/>
      <c r="I645" s="80"/>
      <c r="J645" s="192">
        <f t="shared" si="424"/>
        <v>54</v>
      </c>
      <c r="K645" s="192">
        <f t="shared" si="425"/>
        <v>1</v>
      </c>
      <c r="L645" s="192" t="str">
        <f t="shared" si="420"/>
        <v/>
      </c>
      <c r="M645" s="216">
        <f t="shared" ca="1" si="426"/>
        <v>0</v>
      </c>
      <c r="N645" s="216"/>
      <c r="O645" s="216"/>
      <c r="P645" s="216"/>
      <c r="Q645" s="456" t="str">
        <f t="shared" ca="1" si="427"/>
        <v/>
      </c>
      <c r="R645" s="450">
        <f t="shared" ca="1" si="428"/>
        <v>1</v>
      </c>
      <c r="S645" s="191">
        <f t="shared" si="429"/>
        <v>54</v>
      </c>
      <c r="T645" s="191">
        <f t="shared" si="430"/>
        <v>1</v>
      </c>
      <c r="U645" s="191">
        <f ca="1">OP!$D$5+$S645-1</f>
        <v>86</v>
      </c>
      <c r="V645" s="191" t="str">
        <f t="shared" si="431"/>
        <v/>
      </c>
      <c r="W645" s="350">
        <f ca="1">IF(Q645&lt;&gt;1,0,VLOOKUP(OP!$C$55,PVFB,$S645+2,0))</f>
        <v>0</v>
      </c>
      <c r="X645" s="473">
        <f t="shared" ca="1" si="444"/>
        <v>0</v>
      </c>
      <c r="Y645" s="348">
        <f t="shared" ca="1" si="445"/>
        <v>0</v>
      </c>
      <c r="Z645" s="348">
        <f t="shared" ca="1" si="446"/>
        <v>8012</v>
      </c>
      <c r="AA645" s="348">
        <f ca="1">IF(Q645&lt;&gt;1,0,VLOOKUP(OP!$C$55,PVFB,$S645+2,0))</f>
        <v>0</v>
      </c>
      <c r="AB645" s="488" t="str">
        <f ca="1">IF(AND(S645&lt;OP!$C$24,$U645&lt;15),0,IF(AND($U645&lt;15,$T645=12),ROUND(VLOOKUP($S645,DOWN16,5,0),3),IF($T645=12,ROUND(($Z645/10000)*$AA645,3)+IF(AND($P$7="購買增額繳清保險",T645=12,U645=110),VLOOKUP(S645,$B$10:$H$121,7,0),0),"")))</f>
        <v/>
      </c>
      <c r="AC645" s="350" t="str">
        <f ca="1">IF(AND(S645&lt;OP!$C$24,$U645&lt;15),0,IF(AND($U645&lt;16,$T645=12),VLOOKUP($S645,DOWN16,4,0),IF($T645=12,ROUND(VLOOKUP(OP!$C$55,_DIE2,$S645+1,0)*(Z645/10000),0)+IF(AND($P$7="購買增額繳清保險",T645=12,U645=110),VLOOKUP(S645,$B$10:$H$121,7,0),0),"")))</f>
        <v/>
      </c>
      <c r="AD645" s="347"/>
      <c r="AE645" s="350" t="str">
        <f t="shared" ca="1" si="421"/>
        <v/>
      </c>
      <c r="AF645" s="351" t="str">
        <f t="shared" ca="1" si="422"/>
        <v/>
      </c>
      <c r="AG645" s="340"/>
      <c r="AH645" s="340"/>
      <c r="AI645" s="340"/>
      <c r="AJ645" s="340"/>
      <c r="AK645" s="340"/>
      <c r="AL645" s="340"/>
      <c r="AM645" s="340"/>
      <c r="AN645" s="340"/>
      <c r="AO645" s="340"/>
      <c r="AP645" s="340"/>
      <c r="AQ645" s="340"/>
      <c r="AR645" s="340"/>
      <c r="AS645" s="340"/>
      <c r="AT645" s="340"/>
      <c r="AU645" s="340"/>
      <c r="AV645" s="340"/>
      <c r="AY645" s="340"/>
      <c r="AZ645" s="465">
        <f t="shared" ca="1" si="432"/>
        <v>7.3698599999999999E-5</v>
      </c>
      <c r="BA645" s="464">
        <f t="shared" ca="1" si="433"/>
        <v>2.1372602999999999E-3</v>
      </c>
      <c r="BB645" s="465">
        <f t="shared" ca="1" si="433"/>
        <v>2.2109589000000002E-3</v>
      </c>
      <c r="BC645" s="466">
        <f t="shared" ca="1" si="434"/>
        <v>62245</v>
      </c>
      <c r="BD645" s="467">
        <f t="shared" ca="1" si="447"/>
        <v>62246</v>
      </c>
      <c r="BE645" s="467">
        <f t="shared" ca="1" si="435"/>
        <v>62274</v>
      </c>
      <c r="BF645" s="468">
        <f ca="1">IF(計算!$BC645&lt;OP!$C$3,0,BD645-BC645)</f>
        <v>1</v>
      </c>
      <c r="BG645" s="468">
        <f ca="1">IF($BE645&gt;DATE(YEAR($BD$9)+OP!$C$57,MONTH($BD$9),DAY($BD$9)),0,$BE645-$BD645+1)</f>
        <v>29</v>
      </c>
      <c r="BH645" s="469">
        <f t="shared" ca="1" si="436"/>
        <v>30</v>
      </c>
      <c r="BI645">
        <f t="shared" ca="1" si="452"/>
        <v>365</v>
      </c>
      <c r="BJ645">
        <v>12</v>
      </c>
      <c r="BN645" s="468">
        <f t="shared" si="448"/>
        <v>53</v>
      </c>
      <c r="BO645" s="468">
        <f t="shared" si="449"/>
        <v>12</v>
      </c>
      <c r="BP645" s="467">
        <f t="shared" ca="1" si="437"/>
        <v>62246</v>
      </c>
      <c r="BQ645" s="475">
        <f t="shared" ca="1" si="451"/>
        <v>85</v>
      </c>
      <c r="BR645" s="475">
        <f t="shared" si="450"/>
        <v>53</v>
      </c>
      <c r="BS645" s="471">
        <f t="shared" ca="1" si="438"/>
        <v>18054</v>
      </c>
      <c r="BT645" s="472">
        <f t="shared" ca="1" si="453"/>
        <v>1012009</v>
      </c>
      <c r="BU645" s="472">
        <f t="shared" ca="1" si="439"/>
        <v>17638</v>
      </c>
      <c r="BV645" s="472">
        <f t="shared" ca="1" si="439"/>
        <v>416</v>
      </c>
      <c r="BW645" s="472">
        <f ca="1">ROUND(SUM(BY645,BZ633:BZ644),0)</f>
        <v>26352</v>
      </c>
      <c r="BX645" s="473">
        <f t="shared" ca="1" si="440"/>
        <v>1012009.55629238</v>
      </c>
      <c r="BY645" s="473">
        <f t="shared" ca="1" si="441"/>
        <v>73.247734704999999</v>
      </c>
      <c r="BZ645" s="473">
        <f t="shared" ca="1" si="423"/>
        <v>2162.9278478840001</v>
      </c>
      <c r="CA645" s="476">
        <f t="shared" ca="1" si="442"/>
        <v>17638</v>
      </c>
      <c r="CB645" s="494">
        <f ca="1">IF(OR($Q644&lt;&gt;1,OP!$D$5+$BN645-1&lt;16,$BN645-1&lt;1),0,ROUND(ROUND(ROUND(((VLOOKUP($BN645-1,MORE_PV,5,0)/10000)*VLOOKUP($BN645,MORE_PV,$CB$5,0)),3)*VLOOKUP($BN645,more1,5,0),0)/$R644,0))</f>
        <v>416</v>
      </c>
      <c r="CC645" s="473">
        <f t="shared" ca="1" si="443"/>
        <v>0</v>
      </c>
      <c r="CD645" s="477"/>
    </row>
    <row r="646" spans="2:82" ht="16.5" hidden="1">
      <c r="B646" s="80"/>
      <c r="C646" s="80"/>
      <c r="D646" s="80"/>
      <c r="E646" s="80"/>
      <c r="F646" s="80"/>
      <c r="G646" s="80"/>
      <c r="H646" s="80"/>
      <c r="I646" s="80"/>
      <c r="J646" s="192">
        <f t="shared" si="424"/>
        <v>54</v>
      </c>
      <c r="K646" s="192">
        <f t="shared" si="425"/>
        <v>2</v>
      </c>
      <c r="L646" s="192" t="str">
        <f t="shared" si="420"/>
        <v/>
      </c>
      <c r="M646" s="216">
        <f t="shared" ca="1" si="426"/>
        <v>0</v>
      </c>
      <c r="N646" s="216"/>
      <c r="O646" s="216"/>
      <c r="P646" s="216"/>
      <c r="Q646" s="456" t="str">
        <f t="shared" ca="1" si="427"/>
        <v/>
      </c>
      <c r="R646" s="450">
        <f t="shared" ca="1" si="428"/>
        <v>1</v>
      </c>
      <c r="S646" s="191">
        <f t="shared" si="429"/>
        <v>54</v>
      </c>
      <c r="T646" s="191">
        <f t="shared" si="430"/>
        <v>2</v>
      </c>
      <c r="U646" s="191">
        <f ca="1">OP!$D$5+$S646-1</f>
        <v>86</v>
      </c>
      <c r="V646" s="191" t="str">
        <f t="shared" si="431"/>
        <v/>
      </c>
      <c r="W646" s="350">
        <f ca="1">IF(Q646&lt;&gt;1,0,VLOOKUP(OP!$C$55,PVFB,$S646+2,0))</f>
        <v>0</v>
      </c>
      <c r="X646" s="473">
        <f t="shared" ca="1" si="444"/>
        <v>0</v>
      </c>
      <c r="Y646" s="348">
        <f t="shared" ca="1" si="445"/>
        <v>0</v>
      </c>
      <c r="Z646" s="348">
        <f t="shared" ca="1" si="446"/>
        <v>8012</v>
      </c>
      <c r="AA646" s="348">
        <f ca="1">IF(Q646&lt;&gt;1,0,VLOOKUP(OP!$C$55,PVFB,$S646+2,0))</f>
        <v>0</v>
      </c>
      <c r="AB646" s="488" t="str">
        <f ca="1">IF(AND(S646&lt;OP!$C$24,$U646&lt;15),0,IF(AND($U646&lt;15,$T646=12),ROUND(VLOOKUP($S646,DOWN16,5,0),3),IF($T646=12,ROUND(($Z646/10000)*$AA646,3)+IF(AND($P$7="購買增額繳清保險",T646=12,U646=110),VLOOKUP(S646,$B$10:$H$121,7,0),0),"")))</f>
        <v/>
      </c>
      <c r="AC646" s="350" t="str">
        <f ca="1">IF(AND(S646&lt;OP!$C$24,$U646&lt;15),0,IF(AND($U646&lt;16,$T646=12),VLOOKUP($S646,DOWN16,4,0),IF($T646=12,ROUND(VLOOKUP(OP!$C$55,_DIE2,$S646+1,0)*(Z646/10000),0)+IF(AND($P$7="購買增額繳清保險",T646=12,U646=110),VLOOKUP(S646,$B$10:$H$121,7,0),0),"")))</f>
        <v/>
      </c>
      <c r="AD646" s="347"/>
      <c r="AE646" s="350" t="str">
        <f t="shared" ca="1" si="421"/>
        <v/>
      </c>
      <c r="AF646" s="351" t="str">
        <f t="shared" ca="1" si="422"/>
        <v/>
      </c>
      <c r="AG646" s="340"/>
      <c r="AH646" s="340"/>
      <c r="AI646" s="340"/>
      <c r="AJ646" s="340"/>
      <c r="AK646" s="340"/>
      <c r="AL646" s="340"/>
      <c r="AM646" s="340"/>
      <c r="AN646" s="340"/>
      <c r="AO646" s="340"/>
      <c r="AP646" s="340"/>
      <c r="AQ646" s="340"/>
      <c r="AR646" s="340"/>
      <c r="AS646" s="340"/>
      <c r="AT646" s="340"/>
      <c r="AU646" s="340"/>
      <c r="AV646" s="340"/>
      <c r="AY646" s="340"/>
      <c r="AZ646" s="465">
        <f t="shared" ca="1" si="432"/>
        <v>7.3698599999999999E-5</v>
      </c>
      <c r="BA646" s="464">
        <f t="shared" ca="1" si="433"/>
        <v>2.2109589000000002E-3</v>
      </c>
      <c r="BB646" s="465">
        <f t="shared" ca="1" si="433"/>
        <v>2.2846575E-3</v>
      </c>
      <c r="BC646" s="466">
        <f t="shared" ca="1" si="434"/>
        <v>62275</v>
      </c>
      <c r="BD646" s="467">
        <f t="shared" ca="1" si="447"/>
        <v>62276</v>
      </c>
      <c r="BE646" s="467">
        <f t="shared" ca="1" si="435"/>
        <v>62305</v>
      </c>
      <c r="BF646" s="468">
        <f ca="1">IF(計算!$BC646&lt;OP!$C$3,0,BD646-BC646)</f>
        <v>1</v>
      </c>
      <c r="BG646" s="468">
        <f ca="1">IF($BE646&gt;DATE(YEAR($BD$9)+OP!$C$57,MONTH($BD$9),DAY($BD$9)),0,$BE646-$BD646+1)</f>
        <v>30</v>
      </c>
      <c r="BH646" s="469">
        <f t="shared" ca="1" si="436"/>
        <v>31</v>
      </c>
      <c r="BI646" t="str">
        <f t="shared" si="452"/>
        <v/>
      </c>
      <c r="BJ646">
        <v>1</v>
      </c>
      <c r="BN646" s="468">
        <f t="shared" si="448"/>
        <v>54</v>
      </c>
      <c r="BO646" s="468">
        <f t="shared" si="449"/>
        <v>1</v>
      </c>
      <c r="BP646" s="467">
        <f t="shared" ca="1" si="437"/>
        <v>62276</v>
      </c>
      <c r="BQ646" s="475">
        <f t="shared" ca="1" si="451"/>
        <v>86</v>
      </c>
      <c r="BR646" s="475" t="str">
        <f t="shared" si="450"/>
        <v/>
      </c>
      <c r="BS646" s="471" t="str">
        <f t="shared" si="438"/>
        <v/>
      </c>
      <c r="BT646" s="472" t="str">
        <f t="shared" si="453"/>
        <v/>
      </c>
      <c r="BU646" s="472">
        <f t="shared" ca="1" si="439"/>
        <v>0</v>
      </c>
      <c r="BV646" s="472">
        <f t="shared" ca="1" si="439"/>
        <v>0</v>
      </c>
      <c r="BW646" s="472"/>
      <c r="BX646" s="473">
        <f t="shared" ca="1" si="440"/>
        <v>1014172.48414026</v>
      </c>
      <c r="BY646" s="473">
        <f t="shared" si="441"/>
        <v>0</v>
      </c>
      <c r="BZ646" s="473">
        <f t="shared" ca="1" si="423"/>
        <v>2317.0367721849998</v>
      </c>
      <c r="CA646" s="476">
        <f t="shared" ca="1" si="442"/>
        <v>0</v>
      </c>
      <c r="CB646" s="494">
        <f ca="1">IF(OR($Q645&lt;&gt;1,OP!$D$5+$BN646-1&lt;16,$BN646-1&lt;1),0,ROUND(ROUND(ROUND(((VLOOKUP($BN646-1,MORE_PV,5,0)/10000)*VLOOKUP($BN646,MORE_PV,$CB$5,0)),3)*VLOOKUP($BN646,more1,5,0),0)/$R645,0))</f>
        <v>0</v>
      </c>
      <c r="CC646" s="473">
        <f t="shared" ca="1" si="443"/>
        <v>0</v>
      </c>
      <c r="CD646" s="477"/>
    </row>
    <row r="647" spans="2:82" ht="16.5" hidden="1">
      <c r="B647" s="80"/>
      <c r="C647" s="80"/>
      <c r="D647" s="80"/>
      <c r="E647" s="80"/>
      <c r="F647" s="80"/>
      <c r="G647" s="80"/>
      <c r="H647" s="80"/>
      <c r="I647" s="80"/>
      <c r="J647" s="192">
        <f t="shared" si="424"/>
        <v>54</v>
      </c>
      <c r="K647" s="192">
        <f t="shared" si="425"/>
        <v>3</v>
      </c>
      <c r="L647" s="192" t="str">
        <f t="shared" si="420"/>
        <v/>
      </c>
      <c r="M647" s="216">
        <f t="shared" ca="1" si="426"/>
        <v>0</v>
      </c>
      <c r="N647" s="216"/>
      <c r="O647" s="216"/>
      <c r="P647" s="216"/>
      <c r="Q647" s="456" t="str">
        <f t="shared" ca="1" si="427"/>
        <v/>
      </c>
      <c r="R647" s="450">
        <f t="shared" ca="1" si="428"/>
        <v>1</v>
      </c>
      <c r="S647" s="191">
        <f t="shared" si="429"/>
        <v>54</v>
      </c>
      <c r="T647" s="191">
        <f t="shared" si="430"/>
        <v>3</v>
      </c>
      <c r="U647" s="191">
        <f ca="1">OP!$D$5+$S647-1</f>
        <v>86</v>
      </c>
      <c r="V647" s="191" t="str">
        <f t="shared" si="431"/>
        <v/>
      </c>
      <c r="W647" s="350">
        <f ca="1">IF(Q647&lt;&gt;1,0,VLOOKUP(OP!$C$55,PVFB,$S647+2,0))</f>
        <v>0</v>
      </c>
      <c r="X647" s="473">
        <f t="shared" ca="1" si="444"/>
        <v>0</v>
      </c>
      <c r="Y647" s="348">
        <f t="shared" ca="1" si="445"/>
        <v>0</v>
      </c>
      <c r="Z647" s="348">
        <f t="shared" ca="1" si="446"/>
        <v>8012</v>
      </c>
      <c r="AA647" s="348">
        <f ca="1">IF(Q647&lt;&gt;1,0,VLOOKUP(OP!$C$55,PVFB,$S647+2,0))</f>
        <v>0</v>
      </c>
      <c r="AB647" s="488" t="str">
        <f ca="1">IF(AND(S647&lt;OP!$C$24,$U647&lt;15),0,IF(AND($U647&lt;15,$T647=12),ROUND(VLOOKUP($S647,DOWN16,5,0),3),IF($T647=12,ROUND(($Z647/10000)*$AA647,3)+IF(AND($P$7="購買增額繳清保險",T647=12,U647=110),VLOOKUP(S647,$B$10:$H$121,7,0),0),"")))</f>
        <v/>
      </c>
      <c r="AC647" s="350" t="str">
        <f ca="1">IF(AND(S647&lt;OP!$C$24,$U647&lt;15),0,IF(AND($U647&lt;16,$T647=12),VLOOKUP($S647,DOWN16,4,0),IF($T647=12,ROUND(VLOOKUP(OP!$C$55,_DIE2,$S647+1,0)*(Z647/10000),0)+IF(AND($P$7="購買增額繳清保險",T647=12,U647=110),VLOOKUP(S647,$B$10:$H$121,7,0),0),"")))</f>
        <v/>
      </c>
      <c r="AD647" s="347"/>
      <c r="AE647" s="350" t="str">
        <f t="shared" ca="1" si="421"/>
        <v/>
      </c>
      <c r="AF647" s="351" t="str">
        <f t="shared" ca="1" si="422"/>
        <v/>
      </c>
      <c r="AG647" s="340"/>
      <c r="AH647" s="340"/>
      <c r="AI647" s="340"/>
      <c r="AJ647" s="340"/>
      <c r="AK647" s="340"/>
      <c r="AL647" s="340"/>
      <c r="AM647" s="340"/>
      <c r="AN647" s="340"/>
      <c r="AO647" s="340"/>
      <c r="AP647" s="340"/>
      <c r="AQ647" s="340"/>
      <c r="AR647" s="340"/>
      <c r="AS647" s="340"/>
      <c r="AT647" s="340"/>
      <c r="AU647" s="340"/>
      <c r="AV647" s="340"/>
      <c r="AY647" s="340"/>
      <c r="AZ647" s="465">
        <f t="shared" ca="1" si="432"/>
        <v>7.3698599999999999E-5</v>
      </c>
      <c r="BA647" s="464">
        <f t="shared" ca="1" si="433"/>
        <v>2.2109589000000002E-3</v>
      </c>
      <c r="BB647" s="465">
        <f t="shared" ca="1" si="433"/>
        <v>2.2846575E-3</v>
      </c>
      <c r="BC647" s="466">
        <f t="shared" ca="1" si="434"/>
        <v>62306</v>
      </c>
      <c r="BD647" s="467">
        <f t="shared" ca="1" si="447"/>
        <v>62307</v>
      </c>
      <c r="BE647" s="467">
        <f t="shared" ca="1" si="435"/>
        <v>62336</v>
      </c>
      <c r="BF647" s="468">
        <f ca="1">IF(計算!$BC647&lt;OP!$C$3,0,BD647-BC647)</f>
        <v>1</v>
      </c>
      <c r="BG647" s="468">
        <f ca="1">IF($BE647&gt;DATE(YEAR($BD$9)+OP!$C$57,MONTH($BD$9),DAY($BD$9)),0,$BE647-$BD647+1)</f>
        <v>30</v>
      </c>
      <c r="BH647" s="469">
        <f t="shared" ca="1" si="436"/>
        <v>31</v>
      </c>
      <c r="BI647" t="str">
        <f t="shared" si="452"/>
        <v/>
      </c>
      <c r="BJ647">
        <v>2</v>
      </c>
      <c r="BN647" s="468">
        <f t="shared" si="448"/>
        <v>54</v>
      </c>
      <c r="BO647" s="468">
        <f t="shared" si="449"/>
        <v>2</v>
      </c>
      <c r="BP647" s="467">
        <f t="shared" ca="1" si="437"/>
        <v>62307</v>
      </c>
      <c r="BQ647" s="475">
        <f t="shared" ca="1" si="451"/>
        <v>86</v>
      </c>
      <c r="BR647" s="475" t="str">
        <f t="shared" si="450"/>
        <v/>
      </c>
      <c r="BS647" s="471" t="str">
        <f t="shared" si="438"/>
        <v/>
      </c>
      <c r="BT647" s="472" t="str">
        <f t="shared" si="453"/>
        <v/>
      </c>
      <c r="BU647" s="472">
        <f t="shared" ca="1" si="439"/>
        <v>0</v>
      </c>
      <c r="BV647" s="472">
        <f t="shared" ca="1" si="439"/>
        <v>0</v>
      </c>
      <c r="BW647" s="472"/>
      <c r="BX647" s="473">
        <f t="shared" ca="1" si="440"/>
        <v>1016489.52091245</v>
      </c>
      <c r="BY647" s="473">
        <f t="shared" si="441"/>
        <v>0</v>
      </c>
      <c r="BZ647" s="473">
        <f t="shared" ca="1" si="423"/>
        <v>2322.3304076240001</v>
      </c>
      <c r="CA647" s="476">
        <f t="shared" ca="1" si="442"/>
        <v>0</v>
      </c>
      <c r="CB647" s="494">
        <f ca="1">IF(OR($Q646&lt;&gt;1,OP!$D$5+$BN647-1&lt;16,$BN647-1&lt;1),0,ROUND(ROUND(ROUND(((VLOOKUP($BN647-1,MORE_PV,5,0)/10000)*VLOOKUP($BN647,MORE_PV,$CB$5,0)),3)*VLOOKUP($BN647,more1,5,0),0)/$R646,0))</f>
        <v>0</v>
      </c>
      <c r="CC647" s="473">
        <f t="shared" ca="1" si="443"/>
        <v>0</v>
      </c>
      <c r="CD647" s="477"/>
    </row>
    <row r="648" spans="2:82" ht="16.5" hidden="1">
      <c r="B648" s="80"/>
      <c r="C648" s="80"/>
      <c r="D648" s="80"/>
      <c r="E648" s="80"/>
      <c r="F648" s="80"/>
      <c r="G648" s="80"/>
      <c r="H648" s="80"/>
      <c r="I648" s="80"/>
      <c r="J648" s="192">
        <f t="shared" si="424"/>
        <v>54</v>
      </c>
      <c r="K648" s="192">
        <f t="shared" si="425"/>
        <v>4</v>
      </c>
      <c r="L648" s="192" t="str">
        <f t="shared" si="420"/>
        <v/>
      </c>
      <c r="M648" s="216">
        <f t="shared" ca="1" si="426"/>
        <v>0</v>
      </c>
      <c r="N648" s="216"/>
      <c r="O648" s="216"/>
      <c r="P648" s="216"/>
      <c r="Q648" s="456" t="str">
        <f t="shared" ca="1" si="427"/>
        <v/>
      </c>
      <c r="R648" s="450">
        <f t="shared" ca="1" si="428"/>
        <v>1</v>
      </c>
      <c r="S648" s="191">
        <f t="shared" si="429"/>
        <v>54</v>
      </c>
      <c r="T648" s="191">
        <f t="shared" si="430"/>
        <v>4</v>
      </c>
      <c r="U648" s="191">
        <f ca="1">OP!$D$5+$S648-1</f>
        <v>86</v>
      </c>
      <c r="V648" s="191" t="str">
        <f t="shared" si="431"/>
        <v/>
      </c>
      <c r="W648" s="350">
        <f ca="1">IF(Q648&lt;&gt;1,0,VLOOKUP(OP!$C$55,PVFB,$S648+2,0))</f>
        <v>0</v>
      </c>
      <c r="X648" s="473">
        <f t="shared" ca="1" si="444"/>
        <v>0</v>
      </c>
      <c r="Y648" s="348">
        <f t="shared" ca="1" si="445"/>
        <v>0</v>
      </c>
      <c r="Z648" s="348">
        <f t="shared" ca="1" si="446"/>
        <v>8012</v>
      </c>
      <c r="AA648" s="348">
        <f ca="1">IF(Q648&lt;&gt;1,0,VLOOKUP(OP!$C$55,PVFB,$S648+2,0))</f>
        <v>0</v>
      </c>
      <c r="AB648" s="488" t="str">
        <f ca="1">IF(AND(S648&lt;OP!$C$24,$U648&lt;15),0,IF(AND($U648&lt;15,$T648=12),ROUND(VLOOKUP($S648,DOWN16,5,0),3),IF($T648=12,ROUND(($Z648/10000)*$AA648,3)+IF(AND($P$7="購買增額繳清保險",T648=12,U648=110),VLOOKUP(S648,$B$10:$H$121,7,0),0),"")))</f>
        <v/>
      </c>
      <c r="AC648" s="350" t="str">
        <f ca="1">IF(AND(S648&lt;OP!$C$24,$U648&lt;15),0,IF(AND($U648&lt;16,$T648=12),VLOOKUP($S648,DOWN16,4,0),IF($T648=12,ROUND(VLOOKUP(OP!$C$55,_DIE2,$S648+1,0)*(Z648/10000),0)+IF(AND($P$7="購買增額繳清保險",T648=12,U648=110),VLOOKUP(S648,$B$10:$H$121,7,0),0),"")))</f>
        <v/>
      </c>
      <c r="AD648" s="347"/>
      <c r="AE648" s="350" t="str">
        <f t="shared" ca="1" si="421"/>
        <v/>
      </c>
      <c r="AF648" s="351" t="str">
        <f t="shared" ca="1" si="422"/>
        <v/>
      </c>
      <c r="AG648" s="340"/>
      <c r="AH648" s="340"/>
      <c r="AI648" s="340"/>
      <c r="AJ648" s="340"/>
      <c r="AK648" s="340"/>
      <c r="AL648" s="340"/>
      <c r="AM648" s="340"/>
      <c r="AN648" s="340"/>
      <c r="AO648" s="340"/>
      <c r="AP648" s="340"/>
      <c r="AQ648" s="340"/>
      <c r="AR648" s="340"/>
      <c r="AS648" s="340"/>
      <c r="AT648" s="340"/>
      <c r="AU648" s="340"/>
      <c r="AV648" s="340"/>
      <c r="AY648" s="340"/>
      <c r="AZ648" s="465">
        <f t="shared" ca="1" si="432"/>
        <v>7.3698599999999999E-5</v>
      </c>
      <c r="BA648" s="464">
        <f t="shared" ca="1" si="433"/>
        <v>2.1372602999999999E-3</v>
      </c>
      <c r="BB648" s="465">
        <f t="shared" ca="1" si="433"/>
        <v>2.2109589000000002E-3</v>
      </c>
      <c r="BC648" s="466">
        <f t="shared" ca="1" si="434"/>
        <v>62337</v>
      </c>
      <c r="BD648" s="467">
        <f t="shared" ca="1" si="447"/>
        <v>62338</v>
      </c>
      <c r="BE648" s="467">
        <f t="shared" ca="1" si="435"/>
        <v>62366</v>
      </c>
      <c r="BF648" s="468">
        <f ca="1">IF(計算!$BC648&lt;OP!$C$3,0,BD648-BC648)</f>
        <v>1</v>
      </c>
      <c r="BG648" s="468">
        <f ca="1">IF($BE648&gt;DATE(YEAR($BD$9)+OP!$C$57,MONTH($BD$9),DAY($BD$9)),0,$BE648-$BD648+1)</f>
        <v>29</v>
      </c>
      <c r="BH648" s="469">
        <f t="shared" ca="1" si="436"/>
        <v>30</v>
      </c>
      <c r="BI648" t="str">
        <f t="shared" si="452"/>
        <v/>
      </c>
      <c r="BJ648">
        <v>3</v>
      </c>
      <c r="BN648" s="468">
        <f t="shared" si="448"/>
        <v>54</v>
      </c>
      <c r="BO648" s="468">
        <f t="shared" si="449"/>
        <v>3</v>
      </c>
      <c r="BP648" s="467">
        <f t="shared" ca="1" si="437"/>
        <v>62338</v>
      </c>
      <c r="BQ648" s="475">
        <f t="shared" ca="1" si="451"/>
        <v>86</v>
      </c>
      <c r="BR648" s="475" t="str">
        <f t="shared" si="450"/>
        <v/>
      </c>
      <c r="BS648" s="471" t="str">
        <f t="shared" si="438"/>
        <v/>
      </c>
      <c r="BT648" s="472" t="str">
        <f t="shared" si="453"/>
        <v/>
      </c>
      <c r="BU648" s="472">
        <f t="shared" ca="1" si="439"/>
        <v>0</v>
      </c>
      <c r="BV648" s="472">
        <f t="shared" ca="1" si="439"/>
        <v>0</v>
      </c>
      <c r="BW648" s="472"/>
      <c r="BX648" s="473">
        <f t="shared" ca="1" si="440"/>
        <v>1018811.85132007</v>
      </c>
      <c r="BY648" s="473">
        <f t="shared" si="441"/>
        <v>0</v>
      </c>
      <c r="BZ648" s="473">
        <f t="shared" ca="1" si="423"/>
        <v>2252.5511301020001</v>
      </c>
      <c r="CA648" s="476">
        <f t="shared" ca="1" si="442"/>
        <v>0</v>
      </c>
      <c r="CB648" s="494">
        <f ca="1">IF(OR($Q647&lt;&gt;1,OP!$D$5+$BN648-1&lt;16,$BN648-1&lt;1),0,ROUND(ROUND(ROUND(((VLOOKUP($BN648-1,MORE_PV,5,0)/10000)*VLOOKUP($BN648,MORE_PV,$CB$5,0)),3)*VLOOKUP($BN648,more1,5,0),0)/$R647,0))</f>
        <v>0</v>
      </c>
      <c r="CC648" s="473">
        <f t="shared" ca="1" si="443"/>
        <v>0</v>
      </c>
      <c r="CD648" s="477"/>
    </row>
    <row r="649" spans="2:82" ht="16.5" hidden="1">
      <c r="B649" s="80"/>
      <c r="C649" s="80"/>
      <c r="D649" s="80"/>
      <c r="E649" s="80"/>
      <c r="F649" s="80"/>
      <c r="G649" s="80"/>
      <c r="H649" s="80"/>
      <c r="I649" s="80"/>
      <c r="J649" s="192">
        <f t="shared" si="424"/>
        <v>54</v>
      </c>
      <c r="K649" s="192">
        <f t="shared" si="425"/>
        <v>5</v>
      </c>
      <c r="L649" s="192" t="str">
        <f t="shared" ref="L649:L712" si="454">IF($K649=12,$J649,"")</f>
        <v/>
      </c>
      <c r="M649" s="216">
        <f t="shared" ca="1" si="426"/>
        <v>0</v>
      </c>
      <c r="N649" s="216"/>
      <c r="O649" s="216"/>
      <c r="P649" s="216"/>
      <c r="Q649" s="456" t="str">
        <f t="shared" ca="1" si="427"/>
        <v/>
      </c>
      <c r="R649" s="450">
        <f t="shared" ca="1" si="428"/>
        <v>1</v>
      </c>
      <c r="S649" s="191">
        <f t="shared" si="429"/>
        <v>54</v>
      </c>
      <c r="T649" s="191">
        <f t="shared" si="430"/>
        <v>5</v>
      </c>
      <c r="U649" s="191">
        <f ca="1">OP!$D$5+$S649-1</f>
        <v>86</v>
      </c>
      <c r="V649" s="191" t="str">
        <f t="shared" si="431"/>
        <v/>
      </c>
      <c r="W649" s="350">
        <f ca="1">IF(Q649&lt;&gt;1,0,VLOOKUP(OP!$C$55,PVFB,$S649+2,0))</f>
        <v>0</v>
      </c>
      <c r="X649" s="473">
        <f t="shared" ca="1" si="444"/>
        <v>0</v>
      </c>
      <c r="Y649" s="348">
        <f t="shared" ca="1" si="445"/>
        <v>0</v>
      </c>
      <c r="Z649" s="348">
        <f t="shared" ca="1" si="446"/>
        <v>8012</v>
      </c>
      <c r="AA649" s="348">
        <f ca="1">IF(Q649&lt;&gt;1,0,VLOOKUP(OP!$C$55,PVFB,$S649+2,0))</f>
        <v>0</v>
      </c>
      <c r="AB649" s="488" t="str">
        <f ca="1">IF(AND(S649&lt;OP!$C$24,$U649&lt;15),0,IF(AND($U649&lt;15,$T649=12),ROUND(VLOOKUP($S649,DOWN16,5,0),3),IF($T649=12,ROUND(($Z649/10000)*$AA649,3)+IF(AND($P$7="購買增額繳清保險",T649=12,U649=110),VLOOKUP(S649,$B$10:$H$121,7,0),0),"")))</f>
        <v/>
      </c>
      <c r="AC649" s="350" t="str">
        <f ca="1">IF(AND(S649&lt;OP!$C$24,$U649&lt;15),0,IF(AND($U649&lt;16,$T649=12),VLOOKUP($S649,DOWN16,4,0),IF($T649=12,ROUND(VLOOKUP(OP!$C$55,_DIE2,$S649+1,0)*(Z649/10000),0)+IF(AND($P$7="購買增額繳清保險",T649=12,U649=110),VLOOKUP(S649,$B$10:$H$121,7,0),0),"")))</f>
        <v/>
      </c>
      <c r="AD649" s="347"/>
      <c r="AE649" s="350" t="str">
        <f t="shared" ref="AE649:AE712" ca="1" si="455">IF(AND($U$9&lt;16,$T649=12),VLOOKUP($S649,DOWN16,4,0),"")</f>
        <v/>
      </c>
      <c r="AF649" s="351" t="str">
        <f t="shared" ref="AF649:AF712" ca="1" si="456">IF(AND($U$9&lt;16,$T649=12),VLOOKUP($S649,DOWN16,5,0),"")</f>
        <v/>
      </c>
      <c r="AG649" s="340"/>
      <c r="AH649" s="340"/>
      <c r="AI649" s="340"/>
      <c r="AJ649" s="340"/>
      <c r="AK649" s="340"/>
      <c r="AL649" s="340"/>
      <c r="AM649" s="340"/>
      <c r="AN649" s="340"/>
      <c r="AO649" s="340"/>
      <c r="AP649" s="340"/>
      <c r="AQ649" s="340"/>
      <c r="AR649" s="340"/>
      <c r="AS649" s="340"/>
      <c r="AT649" s="340"/>
      <c r="AU649" s="340"/>
      <c r="AV649" s="340"/>
      <c r="AY649" s="340"/>
      <c r="AZ649" s="465">
        <f t="shared" ca="1" si="432"/>
        <v>7.3698599999999999E-5</v>
      </c>
      <c r="BA649" s="464">
        <f t="shared" ca="1" si="433"/>
        <v>2.2109589000000002E-3</v>
      </c>
      <c r="BB649" s="465">
        <f t="shared" ca="1" si="433"/>
        <v>2.2846575E-3</v>
      </c>
      <c r="BC649" s="466">
        <f t="shared" ca="1" si="434"/>
        <v>62367</v>
      </c>
      <c r="BD649" s="467">
        <f t="shared" ca="1" si="447"/>
        <v>62368</v>
      </c>
      <c r="BE649" s="467">
        <f t="shared" ca="1" si="435"/>
        <v>62397</v>
      </c>
      <c r="BF649" s="468">
        <f ca="1">IF(計算!$BC649&lt;OP!$C$3,0,BD649-BC649)</f>
        <v>1</v>
      </c>
      <c r="BG649" s="468">
        <f ca="1">IF($BE649&gt;DATE(YEAR($BD$9)+OP!$C$57,MONTH($BD$9),DAY($BD$9)),0,$BE649-$BD649+1)</f>
        <v>30</v>
      </c>
      <c r="BH649" s="469">
        <f t="shared" ca="1" si="436"/>
        <v>31</v>
      </c>
      <c r="BI649" t="str">
        <f t="shared" si="452"/>
        <v/>
      </c>
      <c r="BJ649">
        <v>4</v>
      </c>
      <c r="BN649" s="468">
        <f t="shared" si="448"/>
        <v>54</v>
      </c>
      <c r="BO649" s="468">
        <f t="shared" si="449"/>
        <v>4</v>
      </c>
      <c r="BP649" s="467">
        <f t="shared" ca="1" si="437"/>
        <v>62368</v>
      </c>
      <c r="BQ649" s="475">
        <f t="shared" ca="1" si="451"/>
        <v>86</v>
      </c>
      <c r="BR649" s="475" t="str">
        <f t="shared" si="450"/>
        <v/>
      </c>
      <c r="BS649" s="471" t="str">
        <f t="shared" si="438"/>
        <v/>
      </c>
      <c r="BT649" s="472" t="str">
        <f t="shared" si="453"/>
        <v/>
      </c>
      <c r="BU649" s="472">
        <f t="shared" ca="1" si="439"/>
        <v>0</v>
      </c>
      <c r="BV649" s="472">
        <f t="shared" ca="1" si="439"/>
        <v>0</v>
      </c>
      <c r="BW649" s="472"/>
      <c r="BX649" s="473">
        <f t="shared" ca="1" si="440"/>
        <v>1021064.40245017</v>
      </c>
      <c r="BY649" s="473">
        <f t="shared" si="441"/>
        <v>0</v>
      </c>
      <c r="BZ649" s="473">
        <f t="shared" ref="BZ649:BZ712" ca="1" si="457">ROUND(BX649*IF(BO649=12,$BA649,$BB649),$CB$6)</f>
        <v>2332.7824450409998</v>
      </c>
      <c r="CA649" s="476">
        <f t="shared" ca="1" si="442"/>
        <v>0</v>
      </c>
      <c r="CB649" s="494">
        <f ca="1">IF(OR($Q648&lt;&gt;1,OP!$D$5+$BN649-1&lt;16,$BN649-1&lt;1),0,ROUND(ROUND(ROUND(((VLOOKUP($BN649-1,MORE_PV,5,0)/10000)*VLOOKUP($BN649,MORE_PV,$CB$5,0)),3)*VLOOKUP($BN649,more1,5,0),0)/$R648,0))</f>
        <v>0</v>
      </c>
      <c r="CC649" s="473">
        <f t="shared" ca="1" si="443"/>
        <v>0</v>
      </c>
      <c r="CD649" s="477"/>
    </row>
    <row r="650" spans="2:82" ht="16.5" hidden="1">
      <c r="B650" s="80"/>
      <c r="C650" s="80"/>
      <c r="D650" s="80"/>
      <c r="E650" s="80"/>
      <c r="F650" s="80"/>
      <c r="G650" s="80"/>
      <c r="H650" s="80"/>
      <c r="I650" s="80"/>
      <c r="J650" s="192">
        <f t="shared" ref="J650:J713" si="458">IF(K649=12,J649+1,J649)</f>
        <v>54</v>
      </c>
      <c r="K650" s="192">
        <f t="shared" ref="K650:K713" si="459">IF(K649=12,1,K649+1)</f>
        <v>6</v>
      </c>
      <c r="L650" s="192" t="str">
        <f t="shared" si="454"/>
        <v/>
      </c>
      <c r="M650" s="216">
        <f t="shared" ref="M650:M713" ca="1" si="460">IF($Q650=1,VLOOKUP(L650,$BR$9:$BT$1341,3,0),0)</f>
        <v>0</v>
      </c>
      <c r="N650" s="216"/>
      <c r="O650" s="216"/>
      <c r="P650" s="216"/>
      <c r="Q650" s="456" t="str">
        <f t="shared" ref="Q650:Q713" ca="1" si="461">IF(OR($U650&gt;=$I$5,AND($G$5=1,$K650=12),AND($G$5=2,OR($K650=6,$K650=12)),AND($G$5=4,OR($K650=3,$K650=6,$K650=9,$K650=12)),$G$5=12),1,"")</f>
        <v/>
      </c>
      <c r="R650" s="450">
        <f t="shared" ref="R650:R713" ca="1" si="462">IF($U650&lt;$I$5,$G$5,$I$6)</f>
        <v>1</v>
      </c>
      <c r="S650" s="191">
        <f t="shared" ref="S650:S713" si="463">IF(T649=12,S649+1,S649)</f>
        <v>54</v>
      </c>
      <c r="T650" s="191">
        <f t="shared" ref="T650:T713" si="464">IF(T649=12,1,T649+1)</f>
        <v>6</v>
      </c>
      <c r="U650" s="191">
        <f ca="1">OP!$D$5+$S650-1</f>
        <v>86</v>
      </c>
      <c r="V650" s="191" t="str">
        <f t="shared" ref="V650:V713" si="465">IF($T650=12,$S650,"")</f>
        <v/>
      </c>
      <c r="W650" s="350">
        <f ca="1">IF(Q650&lt;&gt;1,0,VLOOKUP(OP!$C$55,PVFB,$S650+2,0))</f>
        <v>0</v>
      </c>
      <c r="X650" s="473">
        <f t="shared" ca="1" si="444"/>
        <v>0</v>
      </c>
      <c r="Y650" s="348">
        <f t="shared" ca="1" si="445"/>
        <v>0</v>
      </c>
      <c r="Z650" s="348">
        <f t="shared" ca="1" si="446"/>
        <v>8012</v>
      </c>
      <c r="AA650" s="348">
        <f ca="1">IF(Q650&lt;&gt;1,0,VLOOKUP(OP!$C$55,PVFB,$S650+2,0))</f>
        <v>0</v>
      </c>
      <c r="AB650" s="488" t="str">
        <f ca="1">IF(AND(S650&lt;OP!$C$24,$U650&lt;15),0,IF(AND($U650&lt;15,$T650=12),ROUND(VLOOKUP($S650,DOWN16,5,0),3),IF($T650=12,ROUND(($Z650/10000)*$AA650,3)+IF(AND($P$7="購買增額繳清保險",T650=12,U650=110),VLOOKUP(S650,$B$10:$H$121,7,0),0),"")))</f>
        <v/>
      </c>
      <c r="AC650" s="350" t="str">
        <f ca="1">IF(AND(S650&lt;OP!$C$24,$U650&lt;15),0,IF(AND($U650&lt;16,$T650=12),VLOOKUP($S650,DOWN16,4,0),IF($T650=12,ROUND(VLOOKUP(OP!$C$55,_DIE2,$S650+1,0)*(Z650/10000),0)+IF(AND($P$7="購買增額繳清保險",T650=12,U650=110),VLOOKUP(S650,$B$10:$H$121,7,0),0),"")))</f>
        <v/>
      </c>
      <c r="AD650" s="347"/>
      <c r="AE650" s="350" t="str">
        <f t="shared" ca="1" si="455"/>
        <v/>
      </c>
      <c r="AF650" s="351" t="str">
        <f t="shared" ca="1" si="456"/>
        <v/>
      </c>
      <c r="AG650" s="340"/>
      <c r="AH650" s="340"/>
      <c r="AI650" s="340"/>
      <c r="AJ650" s="340"/>
      <c r="AK650" s="340"/>
      <c r="AL650" s="340"/>
      <c r="AM650" s="340"/>
      <c r="AN650" s="340"/>
      <c r="AO650" s="340"/>
      <c r="AP650" s="340"/>
      <c r="AQ650" s="340"/>
      <c r="AR650" s="340"/>
      <c r="AS650" s="340"/>
      <c r="AT650" s="340"/>
      <c r="AU650" s="340"/>
      <c r="AV650" s="340"/>
      <c r="AY650" s="340"/>
      <c r="AZ650" s="465">
        <f t="shared" ref="AZ650:AZ713" ca="1" si="466">ROUND(($G$3*BF650/365),10)</f>
        <v>7.3698599999999999E-5</v>
      </c>
      <c r="BA650" s="464">
        <f t="shared" ref="BA650:BB713" ca="1" si="467">ROUND(($G$3*BG650/365),10)</f>
        <v>2.1372602999999999E-3</v>
      </c>
      <c r="BB650" s="465">
        <f t="shared" ca="1" si="467"/>
        <v>2.2109589000000002E-3</v>
      </c>
      <c r="BC650" s="466">
        <f t="shared" ref="BC650:BC713" ca="1" si="468">DATE(YEAR(BD650),MONTH(BD650),1)</f>
        <v>62398</v>
      </c>
      <c r="BD650" s="467">
        <f t="shared" ca="1" si="447"/>
        <v>62399</v>
      </c>
      <c r="BE650" s="467">
        <f t="shared" ref="BE650:BE713" ca="1" si="469">DATE(YEAR(BD650),MONTH(BD650),DAY(DATE(YEAR(BD650),MONTH(BD650)+1,0)))</f>
        <v>62427</v>
      </c>
      <c r="BF650" s="468">
        <f ca="1">IF(計算!$BC650&lt;OP!$C$3,0,BD650-BC650)</f>
        <v>1</v>
      </c>
      <c r="BG650" s="468">
        <f ca="1">IF($BE650&gt;DATE(YEAR($BD$9)+OP!$C$57,MONTH($BD$9),DAY($BD$9)),0,$BE650-$BD650+1)</f>
        <v>29</v>
      </c>
      <c r="BH650" s="469">
        <f t="shared" ref="BH650:BH713" ca="1" si="470">BF650+BG650</f>
        <v>30</v>
      </c>
      <c r="BI650" t="str">
        <f t="shared" si="452"/>
        <v/>
      </c>
      <c r="BJ650">
        <v>5</v>
      </c>
      <c r="BN650" s="468">
        <f t="shared" si="448"/>
        <v>54</v>
      </c>
      <c r="BO650" s="468">
        <f t="shared" si="449"/>
        <v>5</v>
      </c>
      <c r="BP650" s="467">
        <f t="shared" ref="BP650:BP713" ca="1" si="471">BD650</f>
        <v>62399</v>
      </c>
      <c r="BQ650" s="475">
        <f t="shared" ca="1" si="451"/>
        <v>86</v>
      </c>
      <c r="BR650" s="475" t="str">
        <f t="shared" si="450"/>
        <v/>
      </c>
      <c r="BS650" s="471" t="str">
        <f t="shared" ref="BS650:BS713" si="472">IF(BW650&lt;&gt;"",ROUND(BU650,0)+ROUND(BV650,0),"")</f>
        <v/>
      </c>
      <c r="BT650" s="472" t="str">
        <f t="shared" si="453"/>
        <v/>
      </c>
      <c r="BU650" s="472">
        <f t="shared" ref="BU650:BV713" ca="1" si="473">ROUND(CA650,0)</f>
        <v>0</v>
      </c>
      <c r="BV650" s="472">
        <f t="shared" ca="1" si="473"/>
        <v>0</v>
      </c>
      <c r="BW650" s="472"/>
      <c r="BX650" s="473">
        <f t="shared" ref="BX650:BX713" ca="1" si="474">IF(BN650&lt;=$P$4,0,ROUNDDOWN(IF($Q649=1,CA650+CB650-CC650,0)+BX649+BY650+BZ649,VLOOKUP(LEN(ROUNDDOWN(IF($Q649=1,CA650+CB650-CC650,0)+BX649+BY650+BZ649,0)),$BK$9:$BL$24,2,0)))</f>
        <v>1023397.18489521</v>
      </c>
      <c r="BY650" s="473">
        <f t="shared" ref="BY650:BY713" si="475">IF(BO650=12,ROUND((BX649+BZ649)*$AZ650,$CB$6),0)</f>
        <v>0</v>
      </c>
      <c r="BZ650" s="473">
        <f t="shared" ca="1" si="457"/>
        <v>2262.6891141790002</v>
      </c>
      <c r="CA650" s="476">
        <f t="shared" ref="CA650:CA713" ca="1" si="476">IF($Q649=1,ROUND(VLOOKUP($BN650,more1,3,0)*VLOOKUP($BN650,more1,5,0)/$R649,0),0)</f>
        <v>0</v>
      </c>
      <c r="CB650" s="494">
        <f ca="1">IF(OR($Q649&lt;&gt;1,OP!$D$5+$BN650-1&lt;16,$BN650-1&lt;1),0,ROUND(ROUND(ROUND(((VLOOKUP($BN650-1,MORE_PV,5,0)/10000)*VLOOKUP($BN650,MORE_PV,$CB$5,0)),3)*VLOOKUP($BN650,more1,5,0),0)/$R649,0))</f>
        <v>0</v>
      </c>
      <c r="CC650" s="473">
        <f t="shared" ref="CC650:CC713" ca="1" si="477">IF(AND($BN650=$P$4,$BO650=12),$CA650+$CB650,IF(AND($BN650&gt;$P$4,$Q649=1,$G$6="現金給付",$CA650+$CB650&gt;=$P$3),$CA650+$CB650,0))</f>
        <v>0</v>
      </c>
      <c r="CD650" s="477"/>
    </row>
    <row r="651" spans="2:82" ht="16.5" hidden="1">
      <c r="B651" s="80"/>
      <c r="C651" s="80"/>
      <c r="D651" s="80"/>
      <c r="E651" s="80"/>
      <c r="F651" s="80"/>
      <c r="G651" s="80"/>
      <c r="H651" s="80"/>
      <c r="I651" s="80"/>
      <c r="J651" s="192">
        <f t="shared" si="458"/>
        <v>54</v>
      </c>
      <c r="K651" s="192">
        <f t="shared" si="459"/>
        <v>7</v>
      </c>
      <c r="L651" s="192" t="str">
        <f t="shared" si="454"/>
        <v/>
      </c>
      <c r="M651" s="216">
        <f t="shared" ca="1" si="460"/>
        <v>0</v>
      </c>
      <c r="N651" s="216"/>
      <c r="O651" s="216"/>
      <c r="P651" s="216"/>
      <c r="Q651" s="456" t="str">
        <f t="shared" ca="1" si="461"/>
        <v/>
      </c>
      <c r="R651" s="450">
        <f t="shared" ca="1" si="462"/>
        <v>1</v>
      </c>
      <c r="S651" s="191">
        <f t="shared" si="463"/>
        <v>54</v>
      </c>
      <c r="T651" s="191">
        <f t="shared" si="464"/>
        <v>7</v>
      </c>
      <c r="U651" s="191">
        <f ca="1">OP!$D$5+$S651-1</f>
        <v>86</v>
      </c>
      <c r="V651" s="191" t="str">
        <f t="shared" si="465"/>
        <v/>
      </c>
      <c r="W651" s="350">
        <f ca="1">IF(Q651&lt;&gt;1,0,VLOOKUP(OP!$C$55,PVFB,$S651+2,0))</f>
        <v>0</v>
      </c>
      <c r="X651" s="473">
        <f t="shared" ref="X651:X714" ca="1" si="478">IF(AND($U651=15,$T651=12),$CO652,IF(AND($U651&gt;15,$S651&lt;=$P$4,$T651=12),($BS652)*$R651,IF($Q651=1,($BS652),0)))</f>
        <v>0</v>
      </c>
      <c r="Y651" s="348">
        <f t="shared" ref="Y651:Y714" ca="1" si="479">IF(AND($P$7="購買增額繳清保險",U651&gt;=110),0,IF(AND($U651=15,$W651&lt;&gt;0,$T651=12),ROUND(($X651)/($W651/10000),0),IF(AND($S651&lt;=$P$4,$W651&lt;&gt;0,$T651=12,$U651&gt;15),ROUND(($X651)/($W651/10000),0),0)))</f>
        <v>0</v>
      </c>
      <c r="Z651" s="348">
        <f t="shared" ref="Z651:Z714" ca="1" si="480">Z650+Y651</f>
        <v>8012</v>
      </c>
      <c r="AA651" s="348">
        <f ca="1">IF(Q651&lt;&gt;1,0,VLOOKUP(OP!$C$55,PVFB,$S651+2,0))</f>
        <v>0</v>
      </c>
      <c r="AB651" s="488" t="str">
        <f ca="1">IF(AND(S651&lt;OP!$C$24,$U651&lt;15),0,IF(AND($U651&lt;15,$T651=12),ROUND(VLOOKUP($S651,DOWN16,5,0),3),IF($T651=12,ROUND(($Z651/10000)*$AA651,3)+IF(AND($P$7="購買增額繳清保險",T651=12,U651=110),VLOOKUP(S651,$B$10:$H$121,7,0),0),"")))</f>
        <v/>
      </c>
      <c r="AC651" s="350" t="str">
        <f ca="1">IF(AND(S651&lt;OP!$C$24,$U651&lt;15),0,IF(AND($U651&lt;16,$T651=12),VLOOKUP($S651,DOWN16,4,0),IF($T651=12,ROUND(VLOOKUP(OP!$C$55,_DIE2,$S651+1,0)*(Z651/10000),0)+IF(AND($P$7="購買增額繳清保險",T651=12,U651=110),VLOOKUP(S651,$B$10:$H$121,7,0),0),"")))</f>
        <v/>
      </c>
      <c r="AD651" s="347"/>
      <c r="AE651" s="350" t="str">
        <f t="shared" ca="1" si="455"/>
        <v/>
      </c>
      <c r="AF651" s="351" t="str">
        <f t="shared" ca="1" si="456"/>
        <v/>
      </c>
      <c r="AG651" s="340"/>
      <c r="AH651" s="340"/>
      <c r="AI651" s="340"/>
      <c r="AJ651" s="340"/>
      <c r="AK651" s="340"/>
      <c r="AL651" s="340"/>
      <c r="AM651" s="340"/>
      <c r="AN651" s="340"/>
      <c r="AO651" s="340"/>
      <c r="AP651" s="340"/>
      <c r="AQ651" s="340"/>
      <c r="AR651" s="340"/>
      <c r="AS651" s="340"/>
      <c r="AT651" s="340"/>
      <c r="AU651" s="340"/>
      <c r="AV651" s="340"/>
      <c r="AY651" s="340"/>
      <c r="AZ651" s="465">
        <f t="shared" ca="1" si="466"/>
        <v>7.3698599999999999E-5</v>
      </c>
      <c r="BA651" s="464">
        <f t="shared" ca="1" si="467"/>
        <v>2.2109589000000002E-3</v>
      </c>
      <c r="BB651" s="465">
        <f t="shared" ca="1" si="467"/>
        <v>2.2846575E-3</v>
      </c>
      <c r="BC651" s="466">
        <f t="shared" ca="1" si="468"/>
        <v>62428</v>
      </c>
      <c r="BD651" s="467">
        <f t="shared" ref="BD651:BD714" ca="1" si="481">DATE(YEAR(BD650),MONTH(BD650)+1,MIN(DAY($BD$9),DAY(DATE(YEAR(BD650),MONTH(BD650)+2,0))))</f>
        <v>62429</v>
      </c>
      <c r="BE651" s="467">
        <f t="shared" ca="1" si="469"/>
        <v>62458</v>
      </c>
      <c r="BF651" s="468">
        <f ca="1">IF(計算!$BC651&lt;OP!$C$3,0,BD651-BC651)</f>
        <v>1</v>
      </c>
      <c r="BG651" s="468">
        <f ca="1">IF($BE651&gt;DATE(YEAR($BD$9)+OP!$C$57,MONTH($BD$9),DAY($BD$9)),0,$BE651-$BD651+1)</f>
        <v>30</v>
      </c>
      <c r="BH651" s="469">
        <f t="shared" ca="1" si="470"/>
        <v>31</v>
      </c>
      <c r="BI651" t="str">
        <f t="shared" si="452"/>
        <v/>
      </c>
      <c r="BJ651">
        <v>6</v>
      </c>
      <c r="BN651" s="468">
        <f t="shared" ref="BN651:BN714" si="482">IF(BO650=12,BN650+1,BN650)</f>
        <v>54</v>
      </c>
      <c r="BO651" s="468">
        <f t="shared" ref="BO651:BO714" si="483">IF(BO650=12,1,BO650+1)</f>
        <v>6</v>
      </c>
      <c r="BP651" s="467">
        <f t="shared" ca="1" si="471"/>
        <v>62429</v>
      </c>
      <c r="BQ651" s="475">
        <f t="shared" ca="1" si="451"/>
        <v>86</v>
      </c>
      <c r="BR651" s="475" t="str">
        <f t="shared" ref="BR651:BR714" si="484">IF(BO651=12,BN651,"")</f>
        <v/>
      </c>
      <c r="BS651" s="471" t="str">
        <f t="shared" si="472"/>
        <v/>
      </c>
      <c r="BT651" s="472" t="str">
        <f t="shared" si="453"/>
        <v/>
      </c>
      <c r="BU651" s="472">
        <f t="shared" ca="1" si="473"/>
        <v>0</v>
      </c>
      <c r="BV651" s="472">
        <f t="shared" ca="1" si="473"/>
        <v>0</v>
      </c>
      <c r="BW651" s="472"/>
      <c r="BX651" s="473">
        <f t="shared" ca="1" si="474"/>
        <v>1025659.87400939</v>
      </c>
      <c r="BY651" s="473">
        <f t="shared" si="475"/>
        <v>0</v>
      </c>
      <c r="BZ651" s="473">
        <f t="shared" ca="1" si="457"/>
        <v>2343.2815236050001</v>
      </c>
      <c r="CA651" s="476">
        <f t="shared" ca="1" si="476"/>
        <v>0</v>
      </c>
      <c r="CB651" s="494">
        <f ca="1">IF(OR($Q650&lt;&gt;1,OP!$D$5+$BN651-1&lt;16,$BN651-1&lt;1),0,ROUND(ROUND(ROUND(((VLOOKUP($BN651-1,MORE_PV,5,0)/10000)*VLOOKUP($BN651,MORE_PV,$CB$5,0)),3)*VLOOKUP($BN651,more1,5,0),0)/$R650,0))</f>
        <v>0</v>
      </c>
      <c r="CC651" s="473">
        <f t="shared" ca="1" si="477"/>
        <v>0</v>
      </c>
      <c r="CD651" s="477"/>
    </row>
    <row r="652" spans="2:82" ht="16.5" hidden="1">
      <c r="B652" s="80"/>
      <c r="C652" s="80"/>
      <c r="D652" s="80"/>
      <c r="E652" s="80"/>
      <c r="F652" s="80"/>
      <c r="G652" s="80"/>
      <c r="H652" s="80"/>
      <c r="I652" s="80"/>
      <c r="J652" s="192">
        <f t="shared" si="458"/>
        <v>54</v>
      </c>
      <c r="K652" s="192">
        <f t="shared" si="459"/>
        <v>8</v>
      </c>
      <c r="L652" s="192" t="str">
        <f t="shared" si="454"/>
        <v/>
      </c>
      <c r="M652" s="216">
        <f t="shared" ca="1" si="460"/>
        <v>0</v>
      </c>
      <c r="N652" s="216"/>
      <c r="O652" s="216"/>
      <c r="P652" s="216"/>
      <c r="Q652" s="456" t="str">
        <f t="shared" ca="1" si="461"/>
        <v/>
      </c>
      <c r="R652" s="450">
        <f t="shared" ca="1" si="462"/>
        <v>1</v>
      </c>
      <c r="S652" s="191">
        <f t="shared" si="463"/>
        <v>54</v>
      </c>
      <c r="T652" s="191">
        <f t="shared" si="464"/>
        <v>8</v>
      </c>
      <c r="U652" s="191">
        <f ca="1">OP!$D$5+$S652-1</f>
        <v>86</v>
      </c>
      <c r="V652" s="191" t="str">
        <f t="shared" si="465"/>
        <v/>
      </c>
      <c r="W652" s="350">
        <f ca="1">IF(Q652&lt;&gt;1,0,VLOOKUP(OP!$C$55,PVFB,$S652+2,0))</f>
        <v>0</v>
      </c>
      <c r="X652" s="473">
        <f t="shared" ca="1" si="478"/>
        <v>0</v>
      </c>
      <c r="Y652" s="348">
        <f t="shared" ca="1" si="479"/>
        <v>0</v>
      </c>
      <c r="Z652" s="348">
        <f t="shared" ca="1" si="480"/>
        <v>8012</v>
      </c>
      <c r="AA652" s="348">
        <f ca="1">IF(Q652&lt;&gt;1,0,VLOOKUP(OP!$C$55,PVFB,$S652+2,0))</f>
        <v>0</v>
      </c>
      <c r="AB652" s="488" t="str">
        <f ca="1">IF(AND(S652&lt;OP!$C$24,$U652&lt;15),0,IF(AND($U652&lt;15,$T652=12),ROUND(VLOOKUP($S652,DOWN16,5,0),3),IF($T652=12,ROUND(($Z652/10000)*$AA652,3)+IF(AND($P$7="購買增額繳清保險",T652=12,U652=110),VLOOKUP(S652,$B$10:$H$121,7,0),0),"")))</f>
        <v/>
      </c>
      <c r="AC652" s="350" t="str">
        <f ca="1">IF(AND(S652&lt;OP!$C$24,$U652&lt;15),0,IF(AND($U652&lt;16,$T652=12),VLOOKUP($S652,DOWN16,4,0),IF($T652=12,ROUND(VLOOKUP(OP!$C$55,_DIE2,$S652+1,0)*(Z652/10000),0)+IF(AND($P$7="購買增額繳清保險",T652=12,U652=110),VLOOKUP(S652,$B$10:$H$121,7,0),0),"")))</f>
        <v/>
      </c>
      <c r="AD652" s="347"/>
      <c r="AE652" s="350" t="str">
        <f t="shared" ca="1" si="455"/>
        <v/>
      </c>
      <c r="AF652" s="351" t="str">
        <f t="shared" ca="1" si="456"/>
        <v/>
      </c>
      <c r="AG652" s="340"/>
      <c r="AH652" s="340"/>
      <c r="AI652" s="340"/>
      <c r="AJ652" s="340"/>
      <c r="AK652" s="340"/>
      <c r="AL652" s="340"/>
      <c r="AM652" s="340"/>
      <c r="AN652" s="340"/>
      <c r="AO652" s="340"/>
      <c r="AP652" s="340"/>
      <c r="AQ652" s="340"/>
      <c r="AR652" s="340"/>
      <c r="AS652" s="340"/>
      <c r="AT652" s="340"/>
      <c r="AU652" s="340"/>
      <c r="AV652" s="340"/>
      <c r="AY652" s="340"/>
      <c r="AZ652" s="465">
        <f t="shared" ca="1" si="466"/>
        <v>7.3698599999999999E-5</v>
      </c>
      <c r="BA652" s="464">
        <f t="shared" ca="1" si="467"/>
        <v>2.2109589000000002E-3</v>
      </c>
      <c r="BB652" s="465">
        <f t="shared" ca="1" si="467"/>
        <v>2.2846575E-3</v>
      </c>
      <c r="BC652" s="466">
        <f t="shared" ca="1" si="468"/>
        <v>62459</v>
      </c>
      <c r="BD652" s="467">
        <f t="shared" ca="1" si="481"/>
        <v>62460</v>
      </c>
      <c r="BE652" s="467">
        <f t="shared" ca="1" si="469"/>
        <v>62489</v>
      </c>
      <c r="BF652" s="468">
        <f ca="1">IF(計算!$BC652&lt;OP!$C$3,0,BD652-BC652)</f>
        <v>1</v>
      </c>
      <c r="BG652" s="468">
        <f ca="1">IF($BE652&gt;DATE(YEAR($BD$9)+OP!$C$57,MONTH($BD$9),DAY($BD$9)),0,$BE652-$BD652+1)</f>
        <v>30</v>
      </c>
      <c r="BH652" s="469">
        <f t="shared" ca="1" si="470"/>
        <v>31</v>
      </c>
      <c r="BI652" t="str">
        <f t="shared" si="452"/>
        <v/>
      </c>
      <c r="BJ652">
        <v>7</v>
      </c>
      <c r="BN652" s="468">
        <f t="shared" si="482"/>
        <v>54</v>
      </c>
      <c r="BO652" s="468">
        <f t="shared" si="483"/>
        <v>7</v>
      </c>
      <c r="BP652" s="467">
        <f t="shared" ca="1" si="471"/>
        <v>62460</v>
      </c>
      <c r="BQ652" s="475">
        <f t="shared" ref="BQ652:BQ715" ca="1" si="485">IF(BO651=12,BQ651+1,BQ651)</f>
        <v>86</v>
      </c>
      <c r="BR652" s="475" t="str">
        <f t="shared" si="484"/>
        <v/>
      </c>
      <c r="BS652" s="471" t="str">
        <f t="shared" si="472"/>
        <v/>
      </c>
      <c r="BT652" s="472" t="str">
        <f t="shared" si="453"/>
        <v/>
      </c>
      <c r="BU652" s="472">
        <f t="shared" ca="1" si="473"/>
        <v>0</v>
      </c>
      <c r="BV652" s="472">
        <f t="shared" ca="1" si="473"/>
        <v>0</v>
      </c>
      <c r="BW652" s="472"/>
      <c r="BX652" s="473">
        <f t="shared" ca="1" si="474"/>
        <v>1028003.155533</v>
      </c>
      <c r="BY652" s="473">
        <f t="shared" si="475"/>
        <v>0</v>
      </c>
      <c r="BZ652" s="473">
        <f t="shared" ca="1" si="457"/>
        <v>2348.6351193119999</v>
      </c>
      <c r="CA652" s="476">
        <f t="shared" ca="1" si="476"/>
        <v>0</v>
      </c>
      <c r="CB652" s="494">
        <f ca="1">IF(OR($Q651&lt;&gt;1,OP!$D$5+$BN652-1&lt;16,$BN652-1&lt;1),0,ROUND(ROUND(ROUND(((VLOOKUP($BN652-1,MORE_PV,5,0)/10000)*VLOOKUP($BN652,MORE_PV,$CB$5,0)),3)*VLOOKUP($BN652,more1,5,0),0)/$R651,0))</f>
        <v>0</v>
      </c>
      <c r="CC652" s="473">
        <f t="shared" ca="1" si="477"/>
        <v>0</v>
      </c>
      <c r="CD652" s="477"/>
    </row>
    <row r="653" spans="2:82" ht="16.5" hidden="1">
      <c r="B653" s="80"/>
      <c r="C653" s="80"/>
      <c r="D653" s="80"/>
      <c r="E653" s="80"/>
      <c r="F653" s="80"/>
      <c r="G653" s="80"/>
      <c r="H653" s="80"/>
      <c r="I653" s="80"/>
      <c r="J653" s="192">
        <f t="shared" si="458"/>
        <v>54</v>
      </c>
      <c r="K653" s="192">
        <f t="shared" si="459"/>
        <v>9</v>
      </c>
      <c r="L653" s="192" t="str">
        <f t="shared" si="454"/>
        <v/>
      </c>
      <c r="M653" s="216">
        <f t="shared" ca="1" si="460"/>
        <v>0</v>
      </c>
      <c r="N653" s="216"/>
      <c r="O653" s="216"/>
      <c r="P653" s="216"/>
      <c r="Q653" s="456" t="str">
        <f t="shared" ca="1" si="461"/>
        <v/>
      </c>
      <c r="R653" s="450">
        <f t="shared" ca="1" si="462"/>
        <v>1</v>
      </c>
      <c r="S653" s="191">
        <f t="shared" si="463"/>
        <v>54</v>
      </c>
      <c r="T653" s="191">
        <f t="shared" si="464"/>
        <v>9</v>
      </c>
      <c r="U653" s="191">
        <f ca="1">OP!$D$5+$S653-1</f>
        <v>86</v>
      </c>
      <c r="V653" s="191" t="str">
        <f t="shared" si="465"/>
        <v/>
      </c>
      <c r="W653" s="350">
        <f ca="1">IF(Q653&lt;&gt;1,0,VLOOKUP(OP!$C$55,PVFB,$S653+2,0))</f>
        <v>0</v>
      </c>
      <c r="X653" s="473">
        <f t="shared" ca="1" si="478"/>
        <v>0</v>
      </c>
      <c r="Y653" s="348">
        <f t="shared" ca="1" si="479"/>
        <v>0</v>
      </c>
      <c r="Z653" s="348">
        <f t="shared" ca="1" si="480"/>
        <v>8012</v>
      </c>
      <c r="AA653" s="348">
        <f ca="1">IF(Q653&lt;&gt;1,0,VLOOKUP(OP!$C$55,PVFB,$S653+2,0))</f>
        <v>0</v>
      </c>
      <c r="AB653" s="488" t="str">
        <f ca="1">IF(AND(S653&lt;OP!$C$24,$U653&lt;15),0,IF(AND($U653&lt;15,$T653=12),ROUND(VLOOKUP($S653,DOWN16,5,0),3),IF($T653=12,ROUND(($Z653/10000)*$AA653,3)+IF(AND($P$7="購買增額繳清保險",T653=12,U653=110),VLOOKUP(S653,$B$10:$H$121,7,0),0),"")))</f>
        <v/>
      </c>
      <c r="AC653" s="350" t="str">
        <f ca="1">IF(AND(S653&lt;OP!$C$24,$U653&lt;15),0,IF(AND($U653&lt;16,$T653=12),VLOOKUP($S653,DOWN16,4,0),IF($T653=12,ROUND(VLOOKUP(OP!$C$55,_DIE2,$S653+1,0)*(Z653/10000),0)+IF(AND($P$7="購買增額繳清保險",T653=12,U653=110),VLOOKUP(S653,$B$10:$H$121,7,0),0),"")))</f>
        <v/>
      </c>
      <c r="AD653" s="347"/>
      <c r="AE653" s="350" t="str">
        <f t="shared" ca="1" si="455"/>
        <v/>
      </c>
      <c r="AF653" s="351" t="str">
        <f t="shared" ca="1" si="456"/>
        <v/>
      </c>
      <c r="AG653" s="340"/>
      <c r="AH653" s="340"/>
      <c r="AI653" s="340"/>
      <c r="AJ653" s="340"/>
      <c r="AK653" s="340"/>
      <c r="AL653" s="340"/>
      <c r="AM653" s="340"/>
      <c r="AN653" s="340"/>
      <c r="AO653" s="340"/>
      <c r="AP653" s="340"/>
      <c r="AQ653" s="340"/>
      <c r="AR653" s="340"/>
      <c r="AS653" s="340"/>
      <c r="AT653" s="340"/>
      <c r="AU653" s="340"/>
      <c r="AV653" s="340"/>
      <c r="AY653" s="340"/>
      <c r="AZ653" s="465">
        <f t="shared" ca="1" si="466"/>
        <v>7.3698599999999999E-5</v>
      </c>
      <c r="BA653" s="464">
        <f t="shared" ca="1" si="467"/>
        <v>1.9898630000000001E-3</v>
      </c>
      <c r="BB653" s="465">
        <f t="shared" ca="1" si="467"/>
        <v>2.0635616E-3</v>
      </c>
      <c r="BC653" s="466">
        <f t="shared" ca="1" si="468"/>
        <v>62490</v>
      </c>
      <c r="BD653" s="467">
        <f t="shared" ca="1" si="481"/>
        <v>62491</v>
      </c>
      <c r="BE653" s="467">
        <f t="shared" ca="1" si="469"/>
        <v>62517</v>
      </c>
      <c r="BF653" s="468">
        <f ca="1">IF(計算!$BC653&lt;OP!$C$3,0,BD653-BC653)</f>
        <v>1</v>
      </c>
      <c r="BG653" s="468">
        <f ca="1">IF($BE653&gt;DATE(YEAR($BD$9)+OP!$C$57,MONTH($BD$9),DAY($BD$9)),0,$BE653-$BD653+1)</f>
        <v>27</v>
      </c>
      <c r="BH653" s="469">
        <f t="shared" ca="1" si="470"/>
        <v>28</v>
      </c>
      <c r="BI653" t="str">
        <f t="shared" si="452"/>
        <v/>
      </c>
      <c r="BJ653">
        <v>8</v>
      </c>
      <c r="BN653" s="468">
        <f t="shared" si="482"/>
        <v>54</v>
      </c>
      <c r="BO653" s="468">
        <f t="shared" si="483"/>
        <v>8</v>
      </c>
      <c r="BP653" s="467">
        <f t="shared" ca="1" si="471"/>
        <v>62491</v>
      </c>
      <c r="BQ653" s="475">
        <f t="shared" ca="1" si="485"/>
        <v>86</v>
      </c>
      <c r="BR653" s="475" t="str">
        <f t="shared" si="484"/>
        <v/>
      </c>
      <c r="BS653" s="471" t="str">
        <f t="shared" si="472"/>
        <v/>
      </c>
      <c r="BT653" s="472" t="str">
        <f t="shared" si="453"/>
        <v/>
      </c>
      <c r="BU653" s="472">
        <f t="shared" ca="1" si="473"/>
        <v>0</v>
      </c>
      <c r="BV653" s="472">
        <f t="shared" ca="1" si="473"/>
        <v>0</v>
      </c>
      <c r="BW653" s="472"/>
      <c r="BX653" s="473">
        <f t="shared" ca="1" si="474"/>
        <v>1030351.79065231</v>
      </c>
      <c r="BY653" s="473">
        <f t="shared" si="475"/>
        <v>0</v>
      </c>
      <c r="BZ653" s="473">
        <f t="shared" ca="1" si="457"/>
        <v>2126.1943896809998</v>
      </c>
      <c r="CA653" s="476">
        <f t="shared" ca="1" si="476"/>
        <v>0</v>
      </c>
      <c r="CB653" s="494">
        <f ca="1">IF(OR($Q652&lt;&gt;1,OP!$D$5+$BN653-1&lt;16,$BN653-1&lt;1),0,ROUND(ROUND(ROUND(((VLOOKUP($BN653-1,MORE_PV,5,0)/10000)*VLOOKUP($BN653,MORE_PV,$CB$5,0)),3)*VLOOKUP($BN653,more1,5,0),0)/$R652,0))</f>
        <v>0</v>
      </c>
      <c r="CC653" s="473">
        <f t="shared" ca="1" si="477"/>
        <v>0</v>
      </c>
      <c r="CD653" s="477"/>
    </row>
    <row r="654" spans="2:82" ht="16.5" hidden="1">
      <c r="B654" s="80"/>
      <c r="C654" s="80"/>
      <c r="D654" s="80"/>
      <c r="E654" s="80"/>
      <c r="F654" s="80"/>
      <c r="G654" s="80"/>
      <c r="H654" s="80"/>
      <c r="I654" s="80"/>
      <c r="J654" s="192">
        <f t="shared" si="458"/>
        <v>54</v>
      </c>
      <c r="K654" s="192">
        <f t="shared" si="459"/>
        <v>10</v>
      </c>
      <c r="L654" s="192" t="str">
        <f t="shared" si="454"/>
        <v/>
      </c>
      <c r="M654" s="216">
        <f t="shared" ca="1" si="460"/>
        <v>0</v>
      </c>
      <c r="N654" s="216"/>
      <c r="O654" s="216"/>
      <c r="P654" s="216"/>
      <c r="Q654" s="456" t="str">
        <f t="shared" ca="1" si="461"/>
        <v/>
      </c>
      <c r="R654" s="450">
        <f t="shared" ca="1" si="462"/>
        <v>1</v>
      </c>
      <c r="S654" s="191">
        <f t="shared" si="463"/>
        <v>54</v>
      </c>
      <c r="T654" s="191">
        <f t="shared" si="464"/>
        <v>10</v>
      </c>
      <c r="U654" s="191">
        <f ca="1">OP!$D$5+$S654-1</f>
        <v>86</v>
      </c>
      <c r="V654" s="191" t="str">
        <f t="shared" si="465"/>
        <v/>
      </c>
      <c r="W654" s="350">
        <f ca="1">IF(Q654&lt;&gt;1,0,VLOOKUP(OP!$C$55,PVFB,$S654+2,0))</f>
        <v>0</v>
      </c>
      <c r="X654" s="473">
        <f t="shared" ca="1" si="478"/>
        <v>0</v>
      </c>
      <c r="Y654" s="348">
        <f t="shared" ca="1" si="479"/>
        <v>0</v>
      </c>
      <c r="Z654" s="348">
        <f t="shared" ca="1" si="480"/>
        <v>8012</v>
      </c>
      <c r="AA654" s="348">
        <f ca="1">IF(Q654&lt;&gt;1,0,VLOOKUP(OP!$C$55,PVFB,$S654+2,0))</f>
        <v>0</v>
      </c>
      <c r="AB654" s="488" t="str">
        <f ca="1">IF(AND(S654&lt;OP!$C$24,$U654&lt;15),0,IF(AND($U654&lt;15,$T654=12),ROUND(VLOOKUP($S654,DOWN16,5,0),3),IF($T654=12,ROUND(($Z654/10000)*$AA654,3)+IF(AND($P$7="購買增額繳清保險",T654=12,U654=110),VLOOKUP(S654,$B$10:$H$121,7,0),0),"")))</f>
        <v/>
      </c>
      <c r="AC654" s="350" t="str">
        <f ca="1">IF(AND(S654&lt;OP!$C$24,$U654&lt;15),0,IF(AND($U654&lt;16,$T654=12),VLOOKUP($S654,DOWN16,4,0),IF($T654=12,ROUND(VLOOKUP(OP!$C$55,_DIE2,$S654+1,0)*(Z654/10000),0)+IF(AND($P$7="購買增額繳清保險",T654=12,U654=110),VLOOKUP(S654,$B$10:$H$121,7,0),0),"")))</f>
        <v/>
      </c>
      <c r="AD654" s="347"/>
      <c r="AE654" s="350" t="str">
        <f t="shared" ca="1" si="455"/>
        <v/>
      </c>
      <c r="AF654" s="351" t="str">
        <f t="shared" ca="1" si="456"/>
        <v/>
      </c>
      <c r="AG654" s="340"/>
      <c r="AH654" s="340"/>
      <c r="AI654" s="340"/>
      <c r="AJ654" s="340"/>
      <c r="AK654" s="340"/>
      <c r="AL654" s="340"/>
      <c r="AM654" s="340"/>
      <c r="AN654" s="340"/>
      <c r="AO654" s="340"/>
      <c r="AP654" s="340"/>
      <c r="AQ654" s="340"/>
      <c r="AR654" s="340"/>
      <c r="AS654" s="340"/>
      <c r="AT654" s="340"/>
      <c r="AU654" s="340"/>
      <c r="AV654" s="340"/>
      <c r="AY654" s="340"/>
      <c r="AZ654" s="465">
        <f t="shared" ca="1" si="466"/>
        <v>7.3698599999999999E-5</v>
      </c>
      <c r="BA654" s="464">
        <f t="shared" ca="1" si="467"/>
        <v>2.2109589000000002E-3</v>
      </c>
      <c r="BB654" s="465">
        <f t="shared" ca="1" si="467"/>
        <v>2.2846575E-3</v>
      </c>
      <c r="BC654" s="466">
        <f t="shared" ca="1" si="468"/>
        <v>62518</v>
      </c>
      <c r="BD654" s="467">
        <f t="shared" ca="1" si="481"/>
        <v>62519</v>
      </c>
      <c r="BE654" s="467">
        <f t="shared" ca="1" si="469"/>
        <v>62548</v>
      </c>
      <c r="BF654" s="468">
        <f ca="1">IF(計算!$BC654&lt;OP!$C$3,0,BD654-BC654)</f>
        <v>1</v>
      </c>
      <c r="BG654" s="468">
        <f ca="1">IF($BE654&gt;DATE(YEAR($BD$9)+OP!$C$57,MONTH($BD$9),DAY($BD$9)),0,$BE654-$BD654+1)</f>
        <v>30</v>
      </c>
      <c r="BH654" s="469">
        <f t="shared" ca="1" si="470"/>
        <v>31</v>
      </c>
      <c r="BI654" t="str">
        <f t="shared" si="452"/>
        <v/>
      </c>
      <c r="BJ654">
        <v>9</v>
      </c>
      <c r="BN654" s="468">
        <f t="shared" si="482"/>
        <v>54</v>
      </c>
      <c r="BO654" s="468">
        <f t="shared" si="483"/>
        <v>9</v>
      </c>
      <c r="BP654" s="467">
        <f t="shared" ca="1" si="471"/>
        <v>62519</v>
      </c>
      <c r="BQ654" s="475">
        <f t="shared" ca="1" si="485"/>
        <v>86</v>
      </c>
      <c r="BR654" s="475" t="str">
        <f t="shared" si="484"/>
        <v/>
      </c>
      <c r="BS654" s="471" t="str">
        <f t="shared" si="472"/>
        <v/>
      </c>
      <c r="BT654" s="472" t="str">
        <f t="shared" si="453"/>
        <v/>
      </c>
      <c r="BU654" s="472">
        <f t="shared" ca="1" si="473"/>
        <v>0</v>
      </c>
      <c r="BV654" s="472">
        <f t="shared" ca="1" si="473"/>
        <v>0</v>
      </c>
      <c r="BW654" s="472"/>
      <c r="BX654" s="473">
        <f t="shared" ca="1" si="474"/>
        <v>1032477.9850419899</v>
      </c>
      <c r="BY654" s="473">
        <f t="shared" si="475"/>
        <v>0</v>
      </c>
      <c r="BZ654" s="473">
        <f t="shared" ca="1" si="457"/>
        <v>2358.8585721109998</v>
      </c>
      <c r="CA654" s="476">
        <f t="shared" ca="1" si="476"/>
        <v>0</v>
      </c>
      <c r="CB654" s="494">
        <f ca="1">IF(OR($Q653&lt;&gt;1,OP!$D$5+$BN654-1&lt;16,$BN654-1&lt;1),0,ROUND(ROUND(ROUND(((VLOOKUP($BN654-1,MORE_PV,5,0)/10000)*VLOOKUP($BN654,MORE_PV,$CB$5,0)),3)*VLOOKUP($BN654,more1,5,0),0)/$R653,0))</f>
        <v>0</v>
      </c>
      <c r="CC654" s="473">
        <f t="shared" ca="1" si="477"/>
        <v>0</v>
      </c>
      <c r="CD654" s="477"/>
    </row>
    <row r="655" spans="2:82" ht="16.5" hidden="1">
      <c r="B655" s="80"/>
      <c r="C655" s="80"/>
      <c r="D655" s="80"/>
      <c r="E655" s="80"/>
      <c r="F655" s="80"/>
      <c r="G655" s="80"/>
      <c r="H655" s="80"/>
      <c r="I655" s="80"/>
      <c r="J655" s="192">
        <f t="shared" si="458"/>
        <v>54</v>
      </c>
      <c r="K655" s="192">
        <f t="shared" si="459"/>
        <v>11</v>
      </c>
      <c r="L655" s="192" t="str">
        <f t="shared" si="454"/>
        <v/>
      </c>
      <c r="M655" s="216">
        <f t="shared" ca="1" si="460"/>
        <v>0</v>
      </c>
      <c r="N655" s="216"/>
      <c r="O655" s="216"/>
      <c r="P655" s="216"/>
      <c r="Q655" s="456" t="str">
        <f t="shared" ca="1" si="461"/>
        <v/>
      </c>
      <c r="R655" s="450">
        <f t="shared" ca="1" si="462"/>
        <v>1</v>
      </c>
      <c r="S655" s="191">
        <f t="shared" si="463"/>
        <v>54</v>
      </c>
      <c r="T655" s="191">
        <f t="shared" si="464"/>
        <v>11</v>
      </c>
      <c r="U655" s="191">
        <f ca="1">OP!$D$5+$S655-1</f>
        <v>86</v>
      </c>
      <c r="V655" s="191" t="str">
        <f t="shared" si="465"/>
        <v/>
      </c>
      <c r="W655" s="350">
        <f ca="1">IF(Q655&lt;&gt;1,0,VLOOKUP(OP!$C$55,PVFB,$S655+2,0))</f>
        <v>0</v>
      </c>
      <c r="X655" s="473">
        <f t="shared" ca="1" si="478"/>
        <v>0</v>
      </c>
      <c r="Y655" s="348">
        <f t="shared" ca="1" si="479"/>
        <v>0</v>
      </c>
      <c r="Z655" s="348">
        <f t="shared" ca="1" si="480"/>
        <v>8012</v>
      </c>
      <c r="AA655" s="348">
        <f ca="1">IF(Q655&lt;&gt;1,0,VLOOKUP(OP!$C$55,PVFB,$S655+2,0))</f>
        <v>0</v>
      </c>
      <c r="AB655" s="488" t="str">
        <f ca="1">IF(AND(S655&lt;OP!$C$24,$U655&lt;15),0,IF(AND($U655&lt;15,$T655=12),ROUND(VLOOKUP($S655,DOWN16,5,0),3),IF($T655=12,ROUND(($Z655/10000)*$AA655,3)+IF(AND($P$7="購買增額繳清保險",T655=12,U655=110),VLOOKUP(S655,$B$10:$H$121,7,0),0),"")))</f>
        <v/>
      </c>
      <c r="AC655" s="350" t="str">
        <f ca="1">IF(AND(S655&lt;OP!$C$24,$U655&lt;15),0,IF(AND($U655&lt;16,$T655=12),VLOOKUP($S655,DOWN16,4,0),IF($T655=12,ROUND(VLOOKUP(OP!$C$55,_DIE2,$S655+1,0)*(Z655/10000),0)+IF(AND($P$7="購買增額繳清保險",T655=12,U655=110),VLOOKUP(S655,$B$10:$H$121,7,0),0),"")))</f>
        <v/>
      </c>
      <c r="AD655" s="347"/>
      <c r="AE655" s="350" t="str">
        <f t="shared" ca="1" si="455"/>
        <v/>
      </c>
      <c r="AF655" s="351" t="str">
        <f t="shared" ca="1" si="456"/>
        <v/>
      </c>
      <c r="AG655" s="340"/>
      <c r="AH655" s="340"/>
      <c r="AI655" s="340"/>
      <c r="AJ655" s="340"/>
      <c r="AK655" s="340"/>
      <c r="AL655" s="340"/>
      <c r="AM655" s="340"/>
      <c r="AN655" s="340"/>
      <c r="AO655" s="340"/>
      <c r="AP655" s="340"/>
      <c r="AQ655" s="340"/>
      <c r="AR655" s="340"/>
      <c r="AS655" s="340"/>
      <c r="AT655" s="340"/>
      <c r="AU655" s="340"/>
      <c r="AV655" s="340"/>
      <c r="AY655" s="340"/>
      <c r="AZ655" s="465">
        <f t="shared" ca="1" si="466"/>
        <v>7.3698599999999999E-5</v>
      </c>
      <c r="BA655" s="464">
        <f t="shared" ca="1" si="467"/>
        <v>2.1372602999999999E-3</v>
      </c>
      <c r="BB655" s="465">
        <f t="shared" ca="1" si="467"/>
        <v>2.2109589000000002E-3</v>
      </c>
      <c r="BC655" s="466">
        <f t="shared" ca="1" si="468"/>
        <v>62549</v>
      </c>
      <c r="BD655" s="467">
        <f t="shared" ca="1" si="481"/>
        <v>62550</v>
      </c>
      <c r="BE655" s="467">
        <f t="shared" ca="1" si="469"/>
        <v>62578</v>
      </c>
      <c r="BF655" s="468">
        <f ca="1">IF(計算!$BC655&lt;OP!$C$3,0,BD655-BC655)</f>
        <v>1</v>
      </c>
      <c r="BG655" s="468">
        <f ca="1">IF($BE655&gt;DATE(YEAR($BD$9)+OP!$C$57,MONTH($BD$9),DAY($BD$9)),0,$BE655-$BD655+1)</f>
        <v>29</v>
      </c>
      <c r="BH655" s="469">
        <f t="shared" ca="1" si="470"/>
        <v>30</v>
      </c>
      <c r="BI655" t="str">
        <f t="shared" si="452"/>
        <v/>
      </c>
      <c r="BJ655">
        <v>10</v>
      </c>
      <c r="BN655" s="468">
        <f t="shared" si="482"/>
        <v>54</v>
      </c>
      <c r="BO655" s="468">
        <f t="shared" si="483"/>
        <v>10</v>
      </c>
      <c r="BP655" s="467">
        <f t="shared" ca="1" si="471"/>
        <v>62550</v>
      </c>
      <c r="BQ655" s="475">
        <f t="shared" ca="1" si="485"/>
        <v>86</v>
      </c>
      <c r="BR655" s="475" t="str">
        <f t="shared" si="484"/>
        <v/>
      </c>
      <c r="BS655" s="471" t="str">
        <f t="shared" si="472"/>
        <v/>
      </c>
      <c r="BT655" s="472" t="str">
        <f t="shared" si="453"/>
        <v/>
      </c>
      <c r="BU655" s="472">
        <f t="shared" ca="1" si="473"/>
        <v>0</v>
      </c>
      <c r="BV655" s="472">
        <f t="shared" ca="1" si="473"/>
        <v>0</v>
      </c>
      <c r="BW655" s="472"/>
      <c r="BX655" s="473">
        <f t="shared" ca="1" si="474"/>
        <v>1034836.8436141</v>
      </c>
      <c r="BY655" s="473">
        <f t="shared" si="475"/>
        <v>0</v>
      </c>
      <c r="BZ655" s="473">
        <f t="shared" ca="1" si="457"/>
        <v>2287.981729437</v>
      </c>
      <c r="CA655" s="476">
        <f t="shared" ca="1" si="476"/>
        <v>0</v>
      </c>
      <c r="CB655" s="494">
        <f ca="1">IF(OR($Q654&lt;&gt;1,OP!$D$5+$BN655-1&lt;16,$BN655-1&lt;1),0,ROUND(ROUND(ROUND(((VLOOKUP($BN655-1,MORE_PV,5,0)/10000)*VLOOKUP($BN655,MORE_PV,$CB$5,0)),3)*VLOOKUP($BN655,more1,5,0),0)/$R654,0))</f>
        <v>0</v>
      </c>
      <c r="CC655" s="473">
        <f t="shared" ca="1" si="477"/>
        <v>0</v>
      </c>
      <c r="CD655" s="477"/>
    </row>
    <row r="656" spans="2:82" ht="16.5" hidden="1">
      <c r="B656" s="80"/>
      <c r="C656" s="80"/>
      <c r="D656" s="80"/>
      <c r="E656" s="80"/>
      <c r="F656" s="80"/>
      <c r="G656" s="80"/>
      <c r="H656" s="80"/>
      <c r="I656" s="80"/>
      <c r="J656" s="192">
        <f t="shared" si="458"/>
        <v>54</v>
      </c>
      <c r="K656" s="192">
        <f t="shared" si="459"/>
        <v>12</v>
      </c>
      <c r="L656" s="192">
        <f t="shared" si="454"/>
        <v>54</v>
      </c>
      <c r="M656" s="216">
        <f t="shared" ca="1" si="460"/>
        <v>1057950</v>
      </c>
      <c r="N656" s="216"/>
      <c r="O656" s="216"/>
      <c r="P656" s="216"/>
      <c r="Q656" s="456">
        <f t="shared" ca="1" si="461"/>
        <v>1</v>
      </c>
      <c r="R656" s="450">
        <f t="shared" ca="1" si="462"/>
        <v>1</v>
      </c>
      <c r="S656" s="191">
        <f t="shared" si="463"/>
        <v>54</v>
      </c>
      <c r="T656" s="191">
        <f t="shared" si="464"/>
        <v>12</v>
      </c>
      <c r="U656" s="191">
        <f ca="1">OP!$D$5+$S656-1</f>
        <v>86</v>
      </c>
      <c r="V656" s="191">
        <f t="shared" si="465"/>
        <v>54</v>
      </c>
      <c r="W656" s="350">
        <f ca="1">IF(Q656&lt;&gt;1,0,VLOOKUP(OP!$C$55,PVFB,$S656+2,0))</f>
        <v>76545</v>
      </c>
      <c r="X656" s="473">
        <f t="shared" ca="1" si="478"/>
        <v>18380</v>
      </c>
      <c r="Y656" s="348">
        <f t="shared" ca="1" si="479"/>
        <v>0</v>
      </c>
      <c r="Z656" s="348">
        <f t="shared" ca="1" si="480"/>
        <v>8012</v>
      </c>
      <c r="AA656" s="348">
        <f ca="1">IF(Q656&lt;&gt;1,0,VLOOKUP(OP!$C$55,PVFB,$S656+2,0))</f>
        <v>76545</v>
      </c>
      <c r="AB656" s="488">
        <f ca="1">IF(AND(S656&lt;OP!$C$24,$U656&lt;15),0,IF(AND($U656&lt;15,$T656=12),ROUND(VLOOKUP($S656,DOWN16,5,0),3),IF($T656=12,ROUND(($Z656/10000)*$AA656,3)+IF(AND($P$7="購買增額繳清保險",T656=12,U656=110),VLOOKUP(S656,$B$10:$H$121,7,0),0),"")))</f>
        <v>61327.853999999999</v>
      </c>
      <c r="AC656" s="350">
        <f ca="1">IF(AND(S656&lt;OP!$C$24,$U656&lt;15),0,IF(AND($U656&lt;16,$T656=12),VLOOKUP($S656,DOWN16,4,0),IF($T656=12,ROUND(VLOOKUP(OP!$C$55,_DIE2,$S656+1,0)*(Z656/10000),0)+IF(AND($P$7="購買增額繳清保險",T656=12,U656=110),VLOOKUP(S656,$B$10:$H$121,7,0),0),"")))</f>
        <v>61853</v>
      </c>
      <c r="AD656" s="347"/>
      <c r="AE656" s="350" t="str">
        <f t="shared" ca="1" si="455"/>
        <v/>
      </c>
      <c r="AF656" s="351" t="str">
        <f t="shared" ca="1" si="456"/>
        <v/>
      </c>
      <c r="AG656" s="340"/>
      <c r="AH656" s="340"/>
      <c r="AI656" s="340"/>
      <c r="AJ656" s="340"/>
      <c r="AK656" s="340"/>
      <c r="AL656" s="340"/>
      <c r="AM656" s="340"/>
      <c r="AN656" s="340"/>
      <c r="AO656" s="340"/>
      <c r="AP656" s="340"/>
      <c r="AQ656" s="340"/>
      <c r="AR656" s="340"/>
      <c r="AS656" s="340"/>
      <c r="AT656" s="340"/>
      <c r="AU656" s="340"/>
      <c r="AV656" s="340"/>
      <c r="AY656" s="340"/>
      <c r="AZ656" s="465">
        <f t="shared" ca="1" si="466"/>
        <v>7.3698599999999999E-5</v>
      </c>
      <c r="BA656" s="464">
        <f t="shared" ca="1" si="467"/>
        <v>2.2109589000000002E-3</v>
      </c>
      <c r="BB656" s="465">
        <f t="shared" ca="1" si="467"/>
        <v>2.2846575E-3</v>
      </c>
      <c r="BC656" s="466">
        <f t="shared" ca="1" si="468"/>
        <v>62579</v>
      </c>
      <c r="BD656" s="467">
        <f t="shared" ca="1" si="481"/>
        <v>62580</v>
      </c>
      <c r="BE656" s="467">
        <f t="shared" ca="1" si="469"/>
        <v>62609</v>
      </c>
      <c r="BF656" s="468">
        <f ca="1">IF(計算!$BC656&lt;OP!$C$3,0,BD656-BC656)</f>
        <v>1</v>
      </c>
      <c r="BG656" s="468">
        <f ca="1">IF($BE656&gt;DATE(YEAR($BD$9)+OP!$C$57,MONTH($BD$9),DAY($BD$9)),0,$BE656-$BD656+1)</f>
        <v>30</v>
      </c>
      <c r="BH656" s="469">
        <f t="shared" ca="1" si="470"/>
        <v>31</v>
      </c>
      <c r="BI656" t="str">
        <f t="shared" si="452"/>
        <v/>
      </c>
      <c r="BJ656">
        <v>11</v>
      </c>
      <c r="BN656" s="468">
        <f t="shared" si="482"/>
        <v>54</v>
      </c>
      <c r="BO656" s="468">
        <f t="shared" si="483"/>
        <v>11</v>
      </c>
      <c r="BP656" s="467">
        <f t="shared" ca="1" si="471"/>
        <v>62580</v>
      </c>
      <c r="BQ656" s="475">
        <f t="shared" ca="1" si="485"/>
        <v>86</v>
      </c>
      <c r="BR656" s="475" t="str">
        <f t="shared" si="484"/>
        <v/>
      </c>
      <c r="BS656" s="471" t="str">
        <f t="shared" si="472"/>
        <v/>
      </c>
      <c r="BT656" s="472" t="str">
        <f t="shared" si="453"/>
        <v/>
      </c>
      <c r="BU656" s="472">
        <f t="shared" ca="1" si="473"/>
        <v>0</v>
      </c>
      <c r="BV656" s="472">
        <f t="shared" ca="1" si="473"/>
        <v>0</v>
      </c>
      <c r="BW656" s="472"/>
      <c r="BX656" s="473">
        <f t="shared" ca="1" si="474"/>
        <v>1037124.8253435401</v>
      </c>
      <c r="BY656" s="473">
        <f t="shared" si="475"/>
        <v>0</v>
      </c>
      <c r="BZ656" s="473">
        <f t="shared" ca="1" si="457"/>
        <v>2369.475010657</v>
      </c>
      <c r="CA656" s="476">
        <f t="shared" ca="1" si="476"/>
        <v>0</v>
      </c>
      <c r="CB656" s="494">
        <f ca="1">IF(OR($Q655&lt;&gt;1,OP!$D$5+$BN656-1&lt;16,$BN656-1&lt;1),0,ROUND(ROUND(ROUND(((VLOOKUP($BN656-1,MORE_PV,5,0)/10000)*VLOOKUP($BN656,MORE_PV,$CB$5,0)),3)*VLOOKUP($BN656,more1,5,0),0)/$R655,0))</f>
        <v>0</v>
      </c>
      <c r="CC656" s="473">
        <f t="shared" ca="1" si="477"/>
        <v>0</v>
      </c>
      <c r="CD656" s="477"/>
    </row>
    <row r="657" spans="2:82" ht="16.5" hidden="1">
      <c r="B657" s="80"/>
      <c r="C657" s="80"/>
      <c r="D657" s="80"/>
      <c r="E657" s="80"/>
      <c r="F657" s="80"/>
      <c r="G657" s="80"/>
      <c r="H657" s="80"/>
      <c r="I657" s="80"/>
      <c r="J657" s="192">
        <f t="shared" si="458"/>
        <v>55</v>
      </c>
      <c r="K657" s="192">
        <f t="shared" si="459"/>
        <v>1</v>
      </c>
      <c r="L657" s="192" t="str">
        <f t="shared" si="454"/>
        <v/>
      </c>
      <c r="M657" s="216">
        <f t="shared" ca="1" si="460"/>
        <v>0</v>
      </c>
      <c r="N657" s="216"/>
      <c r="O657" s="216"/>
      <c r="P657" s="216"/>
      <c r="Q657" s="456" t="str">
        <f t="shared" ca="1" si="461"/>
        <v/>
      </c>
      <c r="R657" s="450">
        <f t="shared" ca="1" si="462"/>
        <v>1</v>
      </c>
      <c r="S657" s="191">
        <f t="shared" si="463"/>
        <v>55</v>
      </c>
      <c r="T657" s="191">
        <f t="shared" si="464"/>
        <v>1</v>
      </c>
      <c r="U657" s="191">
        <f ca="1">OP!$D$5+$S657-1</f>
        <v>87</v>
      </c>
      <c r="V657" s="191" t="str">
        <f t="shared" si="465"/>
        <v/>
      </c>
      <c r="W657" s="350">
        <f ca="1">IF(Q657&lt;&gt;1,0,VLOOKUP(OP!$C$55,PVFB,$S657+2,0))</f>
        <v>0</v>
      </c>
      <c r="X657" s="473">
        <f t="shared" ca="1" si="478"/>
        <v>0</v>
      </c>
      <c r="Y657" s="348">
        <f t="shared" ca="1" si="479"/>
        <v>0</v>
      </c>
      <c r="Z657" s="348">
        <f t="shared" ca="1" si="480"/>
        <v>8012</v>
      </c>
      <c r="AA657" s="348">
        <f ca="1">IF(Q657&lt;&gt;1,0,VLOOKUP(OP!$C$55,PVFB,$S657+2,0))</f>
        <v>0</v>
      </c>
      <c r="AB657" s="488" t="str">
        <f ca="1">IF(AND(S657&lt;OP!$C$24,$U657&lt;15),0,IF(AND($U657&lt;15,$T657=12),ROUND(VLOOKUP($S657,DOWN16,5,0),3),IF($T657=12,ROUND(($Z657/10000)*$AA657,3)+IF(AND($P$7="購買增額繳清保險",T657=12,U657=110),VLOOKUP(S657,$B$10:$H$121,7,0),0),"")))</f>
        <v/>
      </c>
      <c r="AC657" s="350" t="str">
        <f ca="1">IF(AND(S657&lt;OP!$C$24,$U657&lt;15),0,IF(AND($U657&lt;16,$T657=12),VLOOKUP($S657,DOWN16,4,0),IF($T657=12,ROUND(VLOOKUP(OP!$C$55,_DIE2,$S657+1,0)*(Z657/10000),0)+IF(AND($P$7="購買增額繳清保險",T657=12,U657=110),VLOOKUP(S657,$B$10:$H$121,7,0),0),"")))</f>
        <v/>
      </c>
      <c r="AD657" s="347"/>
      <c r="AE657" s="350" t="str">
        <f t="shared" ca="1" si="455"/>
        <v/>
      </c>
      <c r="AF657" s="351" t="str">
        <f t="shared" ca="1" si="456"/>
        <v/>
      </c>
      <c r="AG657" s="340"/>
      <c r="AH657" s="340"/>
      <c r="AI657" s="340"/>
      <c r="AJ657" s="340"/>
      <c r="AK657" s="340"/>
      <c r="AL657" s="340"/>
      <c r="AM657" s="340"/>
      <c r="AN657" s="340"/>
      <c r="AO657" s="340"/>
      <c r="AP657" s="340"/>
      <c r="AQ657" s="340"/>
      <c r="AR657" s="340"/>
      <c r="AS657" s="340"/>
      <c r="AT657" s="340"/>
      <c r="AU657" s="340"/>
      <c r="AV657" s="340"/>
      <c r="AY657" s="340"/>
      <c r="AZ657" s="465">
        <f t="shared" ca="1" si="466"/>
        <v>7.3698599999999999E-5</v>
      </c>
      <c r="BA657" s="464">
        <f t="shared" ca="1" si="467"/>
        <v>2.1372602999999999E-3</v>
      </c>
      <c r="BB657" s="465">
        <f t="shared" ca="1" si="467"/>
        <v>2.2109589000000002E-3</v>
      </c>
      <c r="BC657" s="466">
        <f t="shared" ca="1" si="468"/>
        <v>62610</v>
      </c>
      <c r="BD657" s="467">
        <f t="shared" ca="1" si="481"/>
        <v>62611</v>
      </c>
      <c r="BE657" s="467">
        <f t="shared" ca="1" si="469"/>
        <v>62639</v>
      </c>
      <c r="BF657" s="468">
        <f ca="1">IF(計算!$BC657&lt;OP!$C$3,0,BD657-BC657)</f>
        <v>1</v>
      </c>
      <c r="BG657" s="468">
        <f ca="1">IF($BE657&gt;DATE(YEAR($BD$9)+OP!$C$57,MONTH($BD$9),DAY($BD$9)),0,$BE657-$BD657+1)</f>
        <v>29</v>
      </c>
      <c r="BH657" s="469">
        <f t="shared" ca="1" si="470"/>
        <v>30</v>
      </c>
      <c r="BI657">
        <f t="shared" ca="1" si="452"/>
        <v>365</v>
      </c>
      <c r="BJ657">
        <v>12</v>
      </c>
      <c r="BN657" s="468">
        <f t="shared" si="482"/>
        <v>54</v>
      </c>
      <c r="BO657" s="468">
        <f t="shared" si="483"/>
        <v>12</v>
      </c>
      <c r="BP657" s="467">
        <f t="shared" ca="1" si="471"/>
        <v>62611</v>
      </c>
      <c r="BQ657" s="475">
        <f t="shared" ca="1" si="485"/>
        <v>86</v>
      </c>
      <c r="BR657" s="475">
        <f t="shared" si="484"/>
        <v>54</v>
      </c>
      <c r="BS657" s="471">
        <f t="shared" ca="1" si="472"/>
        <v>18380</v>
      </c>
      <c r="BT657" s="472">
        <f t="shared" ca="1" si="453"/>
        <v>1057950</v>
      </c>
      <c r="BU657" s="472">
        <f t="shared" ca="1" si="473"/>
        <v>17957</v>
      </c>
      <c r="BV657" s="472">
        <f t="shared" ca="1" si="473"/>
        <v>423</v>
      </c>
      <c r="BW657" s="472">
        <f ca="1">ROUND(SUM(BY657,BZ645:BZ656),0)</f>
        <v>27561</v>
      </c>
      <c r="BX657" s="473">
        <f t="shared" ca="1" si="474"/>
        <v>1057950.9096288399</v>
      </c>
      <c r="BY657" s="473">
        <f t="shared" ca="1" si="475"/>
        <v>76.609274643999996</v>
      </c>
      <c r="BZ657" s="473">
        <f t="shared" ca="1" si="457"/>
        <v>2261.1164784990001</v>
      </c>
      <c r="CA657" s="476">
        <f t="shared" ca="1" si="476"/>
        <v>17957</v>
      </c>
      <c r="CB657" s="494">
        <f ca="1">IF(OR($Q656&lt;&gt;1,OP!$D$5+$BN657-1&lt;16,$BN657-1&lt;1),0,ROUND(ROUND(ROUND(((VLOOKUP($BN657-1,MORE_PV,5,0)/10000)*VLOOKUP($BN657,MORE_PV,$CB$5,0)),3)*VLOOKUP($BN657,more1,5,0),0)/$R656,0))</f>
        <v>423</v>
      </c>
      <c r="CC657" s="473">
        <f t="shared" ca="1" si="477"/>
        <v>0</v>
      </c>
      <c r="CD657" s="477"/>
    </row>
    <row r="658" spans="2:82" ht="16.5" hidden="1">
      <c r="B658" s="80"/>
      <c r="C658" s="80"/>
      <c r="D658" s="80"/>
      <c r="E658" s="80"/>
      <c r="F658" s="80"/>
      <c r="G658" s="80"/>
      <c r="H658" s="80"/>
      <c r="I658" s="80"/>
      <c r="J658" s="192">
        <f t="shared" si="458"/>
        <v>55</v>
      </c>
      <c r="K658" s="192">
        <f t="shared" si="459"/>
        <v>2</v>
      </c>
      <c r="L658" s="192" t="str">
        <f t="shared" si="454"/>
        <v/>
      </c>
      <c r="M658" s="216">
        <f t="shared" ca="1" si="460"/>
        <v>0</v>
      </c>
      <c r="N658" s="216"/>
      <c r="O658" s="216"/>
      <c r="P658" s="216"/>
      <c r="Q658" s="456" t="str">
        <f t="shared" ca="1" si="461"/>
        <v/>
      </c>
      <c r="R658" s="450">
        <f t="shared" ca="1" si="462"/>
        <v>1</v>
      </c>
      <c r="S658" s="191">
        <f t="shared" si="463"/>
        <v>55</v>
      </c>
      <c r="T658" s="191">
        <f t="shared" si="464"/>
        <v>2</v>
      </c>
      <c r="U658" s="191">
        <f ca="1">OP!$D$5+$S658-1</f>
        <v>87</v>
      </c>
      <c r="V658" s="191" t="str">
        <f t="shared" si="465"/>
        <v/>
      </c>
      <c r="W658" s="350">
        <f ca="1">IF(Q658&lt;&gt;1,0,VLOOKUP(OP!$C$55,PVFB,$S658+2,0))</f>
        <v>0</v>
      </c>
      <c r="X658" s="473">
        <f t="shared" ca="1" si="478"/>
        <v>0</v>
      </c>
      <c r="Y658" s="348">
        <f t="shared" ca="1" si="479"/>
        <v>0</v>
      </c>
      <c r="Z658" s="348">
        <f t="shared" ca="1" si="480"/>
        <v>8012</v>
      </c>
      <c r="AA658" s="348">
        <f ca="1">IF(Q658&lt;&gt;1,0,VLOOKUP(OP!$C$55,PVFB,$S658+2,0))</f>
        <v>0</v>
      </c>
      <c r="AB658" s="488" t="str">
        <f ca="1">IF(AND(S658&lt;OP!$C$24,$U658&lt;15),0,IF(AND($U658&lt;15,$T658=12),ROUND(VLOOKUP($S658,DOWN16,5,0),3),IF($T658=12,ROUND(($Z658/10000)*$AA658,3)+IF(AND($P$7="購買增額繳清保險",T658=12,U658=110),VLOOKUP(S658,$B$10:$H$121,7,0),0),"")))</f>
        <v/>
      </c>
      <c r="AC658" s="350" t="str">
        <f ca="1">IF(AND(S658&lt;OP!$C$24,$U658&lt;15),0,IF(AND($U658&lt;16,$T658=12),VLOOKUP($S658,DOWN16,4,0),IF($T658=12,ROUND(VLOOKUP(OP!$C$55,_DIE2,$S658+1,0)*(Z658/10000),0)+IF(AND($P$7="購買增額繳清保險",T658=12,U658=110),VLOOKUP(S658,$B$10:$H$121,7,0),0),"")))</f>
        <v/>
      </c>
      <c r="AD658" s="347"/>
      <c r="AE658" s="350" t="str">
        <f t="shared" ca="1" si="455"/>
        <v/>
      </c>
      <c r="AF658" s="351" t="str">
        <f t="shared" ca="1" si="456"/>
        <v/>
      </c>
      <c r="AG658" s="340"/>
      <c r="AH658" s="340"/>
      <c r="AI658" s="340"/>
      <c r="AJ658" s="340"/>
      <c r="AK658" s="340"/>
      <c r="AL658" s="340"/>
      <c r="AM658" s="340"/>
      <c r="AN658" s="340"/>
      <c r="AO658" s="340"/>
      <c r="AP658" s="340"/>
      <c r="AQ658" s="340"/>
      <c r="AR658" s="340"/>
      <c r="AS658" s="340"/>
      <c r="AT658" s="340"/>
      <c r="AU658" s="340"/>
      <c r="AV658" s="340"/>
      <c r="AY658" s="340"/>
      <c r="AZ658" s="465">
        <f t="shared" ca="1" si="466"/>
        <v>7.3698599999999999E-5</v>
      </c>
      <c r="BA658" s="464">
        <f t="shared" ca="1" si="467"/>
        <v>2.2109589000000002E-3</v>
      </c>
      <c r="BB658" s="465">
        <f t="shared" ca="1" si="467"/>
        <v>2.2846575E-3</v>
      </c>
      <c r="BC658" s="466">
        <f t="shared" ca="1" si="468"/>
        <v>62640</v>
      </c>
      <c r="BD658" s="467">
        <f t="shared" ca="1" si="481"/>
        <v>62641</v>
      </c>
      <c r="BE658" s="467">
        <f t="shared" ca="1" si="469"/>
        <v>62670</v>
      </c>
      <c r="BF658" s="468">
        <f ca="1">IF(計算!$BC658&lt;OP!$C$3,0,BD658-BC658)</f>
        <v>1</v>
      </c>
      <c r="BG658" s="468">
        <f ca="1">IF($BE658&gt;DATE(YEAR($BD$9)+OP!$C$57,MONTH($BD$9),DAY($BD$9)),0,$BE658-$BD658+1)</f>
        <v>30</v>
      </c>
      <c r="BH658" s="469">
        <f t="shared" ca="1" si="470"/>
        <v>31</v>
      </c>
      <c r="BI658" t="str">
        <f t="shared" si="452"/>
        <v/>
      </c>
      <c r="BJ658">
        <v>1</v>
      </c>
      <c r="BN658" s="468">
        <f t="shared" si="482"/>
        <v>55</v>
      </c>
      <c r="BO658" s="468">
        <f t="shared" si="483"/>
        <v>1</v>
      </c>
      <c r="BP658" s="467">
        <f t="shared" ca="1" si="471"/>
        <v>62641</v>
      </c>
      <c r="BQ658" s="475">
        <f t="shared" ca="1" si="485"/>
        <v>87</v>
      </c>
      <c r="BR658" s="475" t="str">
        <f t="shared" si="484"/>
        <v/>
      </c>
      <c r="BS658" s="471" t="str">
        <f t="shared" si="472"/>
        <v/>
      </c>
      <c r="BT658" s="472" t="str">
        <f t="shared" si="453"/>
        <v/>
      </c>
      <c r="BU658" s="472">
        <f t="shared" ca="1" si="473"/>
        <v>0</v>
      </c>
      <c r="BV658" s="472">
        <f t="shared" ca="1" si="473"/>
        <v>0</v>
      </c>
      <c r="BW658" s="472"/>
      <c r="BX658" s="473">
        <f t="shared" ca="1" si="474"/>
        <v>1060212.0261073399</v>
      </c>
      <c r="BY658" s="473">
        <f t="shared" si="475"/>
        <v>0</v>
      </c>
      <c r="BZ658" s="473">
        <f t="shared" ca="1" si="457"/>
        <v>2422.221357036</v>
      </c>
      <c r="CA658" s="476">
        <f t="shared" ca="1" si="476"/>
        <v>0</v>
      </c>
      <c r="CB658" s="494">
        <f ca="1">IF(OR($Q657&lt;&gt;1,OP!$D$5+$BN658-1&lt;16,$BN658-1&lt;1),0,ROUND(ROUND(ROUND(((VLOOKUP($BN658-1,MORE_PV,5,0)/10000)*VLOOKUP($BN658,MORE_PV,$CB$5,0)),3)*VLOOKUP($BN658,more1,5,0),0)/$R657,0))</f>
        <v>0</v>
      </c>
      <c r="CC658" s="473">
        <f t="shared" ca="1" si="477"/>
        <v>0</v>
      </c>
      <c r="CD658" s="477"/>
    </row>
    <row r="659" spans="2:82" ht="16.5" hidden="1">
      <c r="B659" s="80"/>
      <c r="C659" s="80"/>
      <c r="D659" s="80"/>
      <c r="E659" s="80"/>
      <c r="F659" s="80"/>
      <c r="G659" s="80"/>
      <c r="H659" s="80"/>
      <c r="I659" s="80"/>
      <c r="J659" s="192">
        <f t="shared" si="458"/>
        <v>55</v>
      </c>
      <c r="K659" s="192">
        <f t="shared" si="459"/>
        <v>3</v>
      </c>
      <c r="L659" s="192" t="str">
        <f t="shared" si="454"/>
        <v/>
      </c>
      <c r="M659" s="216">
        <f t="shared" ca="1" si="460"/>
        <v>0</v>
      </c>
      <c r="N659" s="216"/>
      <c r="O659" s="216"/>
      <c r="P659" s="216"/>
      <c r="Q659" s="456" t="str">
        <f t="shared" ca="1" si="461"/>
        <v/>
      </c>
      <c r="R659" s="450">
        <f t="shared" ca="1" si="462"/>
        <v>1</v>
      </c>
      <c r="S659" s="191">
        <f t="shared" si="463"/>
        <v>55</v>
      </c>
      <c r="T659" s="191">
        <f t="shared" si="464"/>
        <v>3</v>
      </c>
      <c r="U659" s="191">
        <f ca="1">OP!$D$5+$S659-1</f>
        <v>87</v>
      </c>
      <c r="V659" s="191" t="str">
        <f t="shared" si="465"/>
        <v/>
      </c>
      <c r="W659" s="350">
        <f ca="1">IF(Q659&lt;&gt;1,0,VLOOKUP(OP!$C$55,PVFB,$S659+2,0))</f>
        <v>0</v>
      </c>
      <c r="X659" s="473">
        <f t="shared" ca="1" si="478"/>
        <v>0</v>
      </c>
      <c r="Y659" s="348">
        <f t="shared" ca="1" si="479"/>
        <v>0</v>
      </c>
      <c r="Z659" s="348">
        <f t="shared" ca="1" si="480"/>
        <v>8012</v>
      </c>
      <c r="AA659" s="348">
        <f ca="1">IF(Q659&lt;&gt;1,0,VLOOKUP(OP!$C$55,PVFB,$S659+2,0))</f>
        <v>0</v>
      </c>
      <c r="AB659" s="488" t="str">
        <f ca="1">IF(AND(S659&lt;OP!$C$24,$U659&lt;15),0,IF(AND($U659&lt;15,$T659=12),ROUND(VLOOKUP($S659,DOWN16,5,0),3),IF($T659=12,ROUND(($Z659/10000)*$AA659,3)+IF(AND($P$7="購買增額繳清保險",T659=12,U659=110),VLOOKUP(S659,$B$10:$H$121,7,0),0),"")))</f>
        <v/>
      </c>
      <c r="AC659" s="350" t="str">
        <f ca="1">IF(AND(S659&lt;OP!$C$24,$U659&lt;15),0,IF(AND($U659&lt;16,$T659=12),VLOOKUP($S659,DOWN16,4,0),IF($T659=12,ROUND(VLOOKUP(OP!$C$55,_DIE2,$S659+1,0)*(Z659/10000),0)+IF(AND($P$7="購買增額繳清保險",T659=12,U659=110),VLOOKUP(S659,$B$10:$H$121,7,0),0),"")))</f>
        <v/>
      </c>
      <c r="AD659" s="347"/>
      <c r="AE659" s="350" t="str">
        <f t="shared" ca="1" si="455"/>
        <v/>
      </c>
      <c r="AF659" s="351" t="str">
        <f t="shared" ca="1" si="456"/>
        <v/>
      </c>
      <c r="AG659" s="340"/>
      <c r="AH659" s="340"/>
      <c r="AI659" s="340"/>
      <c r="AJ659" s="340"/>
      <c r="AK659" s="340"/>
      <c r="AL659" s="340"/>
      <c r="AM659" s="340"/>
      <c r="AN659" s="340"/>
      <c r="AO659" s="340"/>
      <c r="AP659" s="340"/>
      <c r="AQ659" s="340"/>
      <c r="AR659" s="340"/>
      <c r="AS659" s="340"/>
      <c r="AT659" s="340"/>
      <c r="AU659" s="340"/>
      <c r="AV659" s="340"/>
      <c r="AY659" s="340"/>
      <c r="AZ659" s="465">
        <f t="shared" ca="1" si="466"/>
        <v>7.3698599999999999E-5</v>
      </c>
      <c r="BA659" s="464">
        <f t="shared" ca="1" si="467"/>
        <v>2.2109589000000002E-3</v>
      </c>
      <c r="BB659" s="465">
        <f t="shared" ca="1" si="467"/>
        <v>2.2846575E-3</v>
      </c>
      <c r="BC659" s="466">
        <f t="shared" ca="1" si="468"/>
        <v>62671</v>
      </c>
      <c r="BD659" s="467">
        <f t="shared" ca="1" si="481"/>
        <v>62672</v>
      </c>
      <c r="BE659" s="467">
        <f t="shared" ca="1" si="469"/>
        <v>62701</v>
      </c>
      <c r="BF659" s="468">
        <f ca="1">IF(計算!$BC659&lt;OP!$C$3,0,BD659-BC659)</f>
        <v>1</v>
      </c>
      <c r="BG659" s="468">
        <f ca="1">IF($BE659&gt;DATE(YEAR($BD$9)+OP!$C$57,MONTH($BD$9),DAY($BD$9)),0,$BE659-$BD659+1)</f>
        <v>30</v>
      </c>
      <c r="BH659" s="469">
        <f t="shared" ca="1" si="470"/>
        <v>31</v>
      </c>
      <c r="BI659" t="str">
        <f t="shared" si="452"/>
        <v/>
      </c>
      <c r="BJ659">
        <v>2</v>
      </c>
      <c r="BN659" s="468">
        <f t="shared" si="482"/>
        <v>55</v>
      </c>
      <c r="BO659" s="468">
        <f t="shared" si="483"/>
        <v>2</v>
      </c>
      <c r="BP659" s="467">
        <f t="shared" ca="1" si="471"/>
        <v>62672</v>
      </c>
      <c r="BQ659" s="475">
        <f t="shared" ca="1" si="485"/>
        <v>87</v>
      </c>
      <c r="BR659" s="475" t="str">
        <f t="shared" si="484"/>
        <v/>
      </c>
      <c r="BS659" s="471" t="str">
        <f t="shared" si="472"/>
        <v/>
      </c>
      <c r="BT659" s="472" t="str">
        <f t="shared" si="453"/>
        <v/>
      </c>
      <c r="BU659" s="472">
        <f t="shared" ca="1" si="473"/>
        <v>0</v>
      </c>
      <c r="BV659" s="472">
        <f t="shared" ca="1" si="473"/>
        <v>0</v>
      </c>
      <c r="BW659" s="472"/>
      <c r="BX659" s="473">
        <f t="shared" ca="1" si="474"/>
        <v>1062634.24746438</v>
      </c>
      <c r="BY659" s="473">
        <f t="shared" si="475"/>
        <v>0</v>
      </c>
      <c r="BZ659" s="473">
        <f t="shared" ca="1" si="457"/>
        <v>2427.7553032259998</v>
      </c>
      <c r="CA659" s="476">
        <f t="shared" ca="1" si="476"/>
        <v>0</v>
      </c>
      <c r="CB659" s="494">
        <f ca="1">IF(OR($Q658&lt;&gt;1,OP!$D$5+$BN659-1&lt;16,$BN659-1&lt;1),0,ROUND(ROUND(ROUND(((VLOOKUP($BN659-1,MORE_PV,5,0)/10000)*VLOOKUP($BN659,MORE_PV,$CB$5,0)),3)*VLOOKUP($BN659,more1,5,0),0)/$R658,0))</f>
        <v>0</v>
      </c>
      <c r="CC659" s="473">
        <f t="shared" ca="1" si="477"/>
        <v>0</v>
      </c>
      <c r="CD659" s="477"/>
    </row>
    <row r="660" spans="2:82" ht="16.5" hidden="1">
      <c r="B660" s="80"/>
      <c r="C660" s="80"/>
      <c r="D660" s="80"/>
      <c r="E660" s="80"/>
      <c r="F660" s="80"/>
      <c r="G660" s="80"/>
      <c r="H660" s="80"/>
      <c r="I660" s="80"/>
      <c r="J660" s="192">
        <f t="shared" si="458"/>
        <v>55</v>
      </c>
      <c r="K660" s="192">
        <f t="shared" si="459"/>
        <v>4</v>
      </c>
      <c r="L660" s="192" t="str">
        <f t="shared" si="454"/>
        <v/>
      </c>
      <c r="M660" s="216">
        <f t="shared" ca="1" si="460"/>
        <v>0</v>
      </c>
      <c r="N660" s="216"/>
      <c r="O660" s="216"/>
      <c r="P660" s="216"/>
      <c r="Q660" s="456" t="str">
        <f t="shared" ca="1" si="461"/>
        <v/>
      </c>
      <c r="R660" s="450">
        <f t="shared" ca="1" si="462"/>
        <v>1</v>
      </c>
      <c r="S660" s="191">
        <f t="shared" si="463"/>
        <v>55</v>
      </c>
      <c r="T660" s="191">
        <f t="shared" si="464"/>
        <v>4</v>
      </c>
      <c r="U660" s="191">
        <f ca="1">OP!$D$5+$S660-1</f>
        <v>87</v>
      </c>
      <c r="V660" s="191" t="str">
        <f t="shared" si="465"/>
        <v/>
      </c>
      <c r="W660" s="350">
        <f ca="1">IF(Q660&lt;&gt;1,0,VLOOKUP(OP!$C$55,PVFB,$S660+2,0))</f>
        <v>0</v>
      </c>
      <c r="X660" s="473">
        <f t="shared" ca="1" si="478"/>
        <v>0</v>
      </c>
      <c r="Y660" s="348">
        <f t="shared" ca="1" si="479"/>
        <v>0</v>
      </c>
      <c r="Z660" s="348">
        <f t="shared" ca="1" si="480"/>
        <v>8012</v>
      </c>
      <c r="AA660" s="348">
        <f ca="1">IF(Q660&lt;&gt;1,0,VLOOKUP(OP!$C$55,PVFB,$S660+2,0))</f>
        <v>0</v>
      </c>
      <c r="AB660" s="488" t="str">
        <f ca="1">IF(AND(S660&lt;OP!$C$24,$U660&lt;15),0,IF(AND($U660&lt;15,$T660=12),ROUND(VLOOKUP($S660,DOWN16,5,0),3),IF($T660=12,ROUND(($Z660/10000)*$AA660,3)+IF(AND($P$7="購買增額繳清保險",T660=12,U660=110),VLOOKUP(S660,$B$10:$H$121,7,0),0),"")))</f>
        <v/>
      </c>
      <c r="AC660" s="350" t="str">
        <f ca="1">IF(AND(S660&lt;OP!$C$24,$U660&lt;15),0,IF(AND($U660&lt;16,$T660=12),VLOOKUP($S660,DOWN16,4,0),IF($T660=12,ROUND(VLOOKUP(OP!$C$55,_DIE2,$S660+1,0)*(Z660/10000),0)+IF(AND($P$7="購買增額繳清保險",T660=12,U660=110),VLOOKUP(S660,$B$10:$H$121,7,0),0),"")))</f>
        <v/>
      </c>
      <c r="AD660" s="347"/>
      <c r="AE660" s="350" t="str">
        <f t="shared" ca="1" si="455"/>
        <v/>
      </c>
      <c r="AF660" s="351" t="str">
        <f t="shared" ca="1" si="456"/>
        <v/>
      </c>
      <c r="AG660" s="340"/>
      <c r="AH660" s="340"/>
      <c r="AI660" s="340"/>
      <c r="AJ660" s="340"/>
      <c r="AK660" s="340"/>
      <c r="AL660" s="340"/>
      <c r="AM660" s="340"/>
      <c r="AN660" s="340"/>
      <c r="AO660" s="340"/>
      <c r="AP660" s="340"/>
      <c r="AQ660" s="340"/>
      <c r="AR660" s="340"/>
      <c r="AS660" s="340"/>
      <c r="AT660" s="340"/>
      <c r="AU660" s="340"/>
      <c r="AV660" s="340"/>
      <c r="AY660" s="340"/>
      <c r="AZ660" s="465">
        <f t="shared" ca="1" si="466"/>
        <v>7.3698599999999999E-5</v>
      </c>
      <c r="BA660" s="464">
        <f t="shared" ca="1" si="467"/>
        <v>2.1372602999999999E-3</v>
      </c>
      <c r="BB660" s="465">
        <f t="shared" ca="1" si="467"/>
        <v>2.2109589000000002E-3</v>
      </c>
      <c r="BC660" s="466">
        <f t="shared" ca="1" si="468"/>
        <v>62702</v>
      </c>
      <c r="BD660" s="467">
        <f t="shared" ca="1" si="481"/>
        <v>62703</v>
      </c>
      <c r="BE660" s="467">
        <f t="shared" ca="1" si="469"/>
        <v>62731</v>
      </c>
      <c r="BF660" s="468">
        <f ca="1">IF(計算!$BC660&lt;OP!$C$3,0,BD660-BC660)</f>
        <v>1</v>
      </c>
      <c r="BG660" s="468">
        <f ca="1">IF($BE660&gt;DATE(YEAR($BD$9)+OP!$C$57,MONTH($BD$9),DAY($BD$9)),0,$BE660-$BD660+1)</f>
        <v>29</v>
      </c>
      <c r="BH660" s="469">
        <f t="shared" ca="1" si="470"/>
        <v>30</v>
      </c>
      <c r="BI660" t="str">
        <f t="shared" si="452"/>
        <v/>
      </c>
      <c r="BJ660">
        <v>3</v>
      </c>
      <c r="BN660" s="468">
        <f t="shared" si="482"/>
        <v>55</v>
      </c>
      <c r="BO660" s="468">
        <f t="shared" si="483"/>
        <v>3</v>
      </c>
      <c r="BP660" s="467">
        <f t="shared" ca="1" si="471"/>
        <v>62703</v>
      </c>
      <c r="BQ660" s="475">
        <f t="shared" ca="1" si="485"/>
        <v>87</v>
      </c>
      <c r="BR660" s="475" t="str">
        <f t="shared" si="484"/>
        <v/>
      </c>
      <c r="BS660" s="471" t="str">
        <f t="shared" si="472"/>
        <v/>
      </c>
      <c r="BT660" s="472" t="str">
        <f t="shared" si="453"/>
        <v/>
      </c>
      <c r="BU660" s="472">
        <f t="shared" ca="1" si="473"/>
        <v>0</v>
      </c>
      <c r="BV660" s="472">
        <f t="shared" ca="1" si="473"/>
        <v>0</v>
      </c>
      <c r="BW660" s="472"/>
      <c r="BX660" s="473">
        <f t="shared" ca="1" si="474"/>
        <v>1065062.0027676099</v>
      </c>
      <c r="BY660" s="473">
        <f t="shared" si="475"/>
        <v>0</v>
      </c>
      <c r="BZ660" s="473">
        <f t="shared" ca="1" si="457"/>
        <v>2354.808314071</v>
      </c>
      <c r="CA660" s="476">
        <f t="shared" ca="1" si="476"/>
        <v>0</v>
      </c>
      <c r="CB660" s="494">
        <f ca="1">IF(OR($Q659&lt;&gt;1,OP!$D$5+$BN660-1&lt;16,$BN660-1&lt;1),0,ROUND(ROUND(ROUND(((VLOOKUP($BN660-1,MORE_PV,5,0)/10000)*VLOOKUP($BN660,MORE_PV,$CB$5,0)),3)*VLOOKUP($BN660,more1,5,0),0)/$R659,0))</f>
        <v>0</v>
      </c>
      <c r="CC660" s="473">
        <f t="shared" ca="1" si="477"/>
        <v>0</v>
      </c>
      <c r="CD660" s="477"/>
    </row>
    <row r="661" spans="2:82" ht="16.5" hidden="1">
      <c r="B661" s="80"/>
      <c r="C661" s="80"/>
      <c r="D661" s="80"/>
      <c r="E661" s="80"/>
      <c r="F661" s="80"/>
      <c r="G661" s="80"/>
      <c r="H661" s="80"/>
      <c r="I661" s="80"/>
      <c r="J661" s="192">
        <f t="shared" si="458"/>
        <v>55</v>
      </c>
      <c r="K661" s="192">
        <f t="shared" si="459"/>
        <v>5</v>
      </c>
      <c r="L661" s="192" t="str">
        <f t="shared" si="454"/>
        <v/>
      </c>
      <c r="M661" s="216">
        <f t="shared" ca="1" si="460"/>
        <v>0</v>
      </c>
      <c r="N661" s="216"/>
      <c r="O661" s="216"/>
      <c r="P661" s="216"/>
      <c r="Q661" s="456" t="str">
        <f t="shared" ca="1" si="461"/>
        <v/>
      </c>
      <c r="R661" s="450">
        <f t="shared" ca="1" si="462"/>
        <v>1</v>
      </c>
      <c r="S661" s="191">
        <f t="shared" si="463"/>
        <v>55</v>
      </c>
      <c r="T661" s="191">
        <f t="shared" si="464"/>
        <v>5</v>
      </c>
      <c r="U661" s="191">
        <f ca="1">OP!$D$5+$S661-1</f>
        <v>87</v>
      </c>
      <c r="V661" s="191" t="str">
        <f t="shared" si="465"/>
        <v/>
      </c>
      <c r="W661" s="350">
        <f ca="1">IF(Q661&lt;&gt;1,0,VLOOKUP(OP!$C$55,PVFB,$S661+2,0))</f>
        <v>0</v>
      </c>
      <c r="X661" s="473">
        <f t="shared" ca="1" si="478"/>
        <v>0</v>
      </c>
      <c r="Y661" s="348">
        <f t="shared" ca="1" si="479"/>
        <v>0</v>
      </c>
      <c r="Z661" s="348">
        <f t="shared" ca="1" si="480"/>
        <v>8012</v>
      </c>
      <c r="AA661" s="348">
        <f ca="1">IF(Q661&lt;&gt;1,0,VLOOKUP(OP!$C$55,PVFB,$S661+2,0))</f>
        <v>0</v>
      </c>
      <c r="AB661" s="488" t="str">
        <f ca="1">IF(AND(S661&lt;OP!$C$24,$U661&lt;15),0,IF(AND($U661&lt;15,$T661=12),ROUND(VLOOKUP($S661,DOWN16,5,0),3),IF($T661=12,ROUND(($Z661/10000)*$AA661,3)+IF(AND($P$7="購買增額繳清保險",T661=12,U661=110),VLOOKUP(S661,$B$10:$H$121,7,0),0),"")))</f>
        <v/>
      </c>
      <c r="AC661" s="350" t="str">
        <f ca="1">IF(AND(S661&lt;OP!$C$24,$U661&lt;15),0,IF(AND($U661&lt;16,$T661=12),VLOOKUP($S661,DOWN16,4,0),IF($T661=12,ROUND(VLOOKUP(OP!$C$55,_DIE2,$S661+1,0)*(Z661/10000),0)+IF(AND($P$7="購買增額繳清保險",T661=12,U661=110),VLOOKUP(S661,$B$10:$H$121,7,0),0),"")))</f>
        <v/>
      </c>
      <c r="AD661" s="347"/>
      <c r="AE661" s="350" t="str">
        <f t="shared" ca="1" si="455"/>
        <v/>
      </c>
      <c r="AF661" s="351" t="str">
        <f t="shared" ca="1" si="456"/>
        <v/>
      </c>
      <c r="AG661" s="340"/>
      <c r="AH661" s="340"/>
      <c r="AI661" s="340"/>
      <c r="AJ661" s="340"/>
      <c r="AK661" s="340"/>
      <c r="AL661" s="340"/>
      <c r="AM661" s="340"/>
      <c r="AN661" s="340"/>
      <c r="AO661" s="340"/>
      <c r="AP661" s="340"/>
      <c r="AQ661" s="340"/>
      <c r="AR661" s="340"/>
      <c r="AS661" s="340"/>
      <c r="AT661" s="340"/>
      <c r="AU661" s="340"/>
      <c r="AV661" s="340"/>
      <c r="AY661" s="340"/>
      <c r="AZ661" s="465">
        <f t="shared" ca="1" si="466"/>
        <v>7.3698599999999999E-5</v>
      </c>
      <c r="BA661" s="464">
        <f t="shared" ca="1" si="467"/>
        <v>2.2109589000000002E-3</v>
      </c>
      <c r="BB661" s="465">
        <f t="shared" ca="1" si="467"/>
        <v>2.2846575E-3</v>
      </c>
      <c r="BC661" s="466">
        <f t="shared" ca="1" si="468"/>
        <v>62732</v>
      </c>
      <c r="BD661" s="467">
        <f t="shared" ca="1" si="481"/>
        <v>62733</v>
      </c>
      <c r="BE661" s="467">
        <f t="shared" ca="1" si="469"/>
        <v>62762</v>
      </c>
      <c r="BF661" s="468">
        <f ca="1">IF(計算!$BC661&lt;OP!$C$3,0,BD661-BC661)</f>
        <v>1</v>
      </c>
      <c r="BG661" s="468">
        <f ca="1">IF($BE661&gt;DATE(YEAR($BD$9)+OP!$C$57,MONTH($BD$9),DAY($BD$9)),0,$BE661-$BD661+1)</f>
        <v>30</v>
      </c>
      <c r="BH661" s="469">
        <f t="shared" ca="1" si="470"/>
        <v>31</v>
      </c>
      <c r="BI661" t="str">
        <f t="shared" ref="BI661:BI724" si="486">IF(BJ661=12,BD661-BD649,"")</f>
        <v/>
      </c>
      <c r="BJ661">
        <v>4</v>
      </c>
      <c r="BN661" s="468">
        <f t="shared" si="482"/>
        <v>55</v>
      </c>
      <c r="BO661" s="468">
        <f t="shared" si="483"/>
        <v>4</v>
      </c>
      <c r="BP661" s="467">
        <f t="shared" ca="1" si="471"/>
        <v>62733</v>
      </c>
      <c r="BQ661" s="475">
        <f t="shared" ca="1" si="485"/>
        <v>87</v>
      </c>
      <c r="BR661" s="475" t="str">
        <f t="shared" si="484"/>
        <v/>
      </c>
      <c r="BS661" s="471" t="str">
        <f t="shared" si="472"/>
        <v/>
      </c>
      <c r="BT661" s="472" t="str">
        <f t="shared" si="453"/>
        <v/>
      </c>
      <c r="BU661" s="472">
        <f t="shared" ca="1" si="473"/>
        <v>0</v>
      </c>
      <c r="BV661" s="472">
        <f t="shared" ca="1" si="473"/>
        <v>0</v>
      </c>
      <c r="BW661" s="472"/>
      <c r="BX661" s="473">
        <f t="shared" ca="1" si="474"/>
        <v>1067416.81108168</v>
      </c>
      <c r="BY661" s="473">
        <f t="shared" si="475"/>
        <v>0</v>
      </c>
      <c r="BZ661" s="473">
        <f t="shared" ca="1" si="457"/>
        <v>2438.6818230640001</v>
      </c>
      <c r="CA661" s="476">
        <f t="shared" ca="1" si="476"/>
        <v>0</v>
      </c>
      <c r="CB661" s="494">
        <f ca="1">IF(OR($Q660&lt;&gt;1,OP!$D$5+$BN661-1&lt;16,$BN661-1&lt;1),0,ROUND(ROUND(ROUND(((VLOOKUP($BN661-1,MORE_PV,5,0)/10000)*VLOOKUP($BN661,MORE_PV,$CB$5,0)),3)*VLOOKUP($BN661,more1,5,0),0)/$R660,0))</f>
        <v>0</v>
      </c>
      <c r="CC661" s="473">
        <f t="shared" ca="1" si="477"/>
        <v>0</v>
      </c>
      <c r="CD661" s="477"/>
    </row>
    <row r="662" spans="2:82" ht="16.5" hidden="1">
      <c r="B662" s="80"/>
      <c r="C662" s="80"/>
      <c r="D662" s="80"/>
      <c r="E662" s="80"/>
      <c r="F662" s="80"/>
      <c r="G662" s="80"/>
      <c r="H662" s="80"/>
      <c r="I662" s="80"/>
      <c r="J662" s="192">
        <f t="shared" si="458"/>
        <v>55</v>
      </c>
      <c r="K662" s="192">
        <f t="shared" si="459"/>
        <v>6</v>
      </c>
      <c r="L662" s="192" t="str">
        <f t="shared" si="454"/>
        <v/>
      </c>
      <c r="M662" s="216">
        <f t="shared" ca="1" si="460"/>
        <v>0</v>
      </c>
      <c r="N662" s="216"/>
      <c r="O662" s="216"/>
      <c r="P662" s="216"/>
      <c r="Q662" s="456" t="str">
        <f t="shared" ca="1" si="461"/>
        <v/>
      </c>
      <c r="R662" s="450">
        <f t="shared" ca="1" si="462"/>
        <v>1</v>
      </c>
      <c r="S662" s="191">
        <f t="shared" si="463"/>
        <v>55</v>
      </c>
      <c r="T662" s="191">
        <f t="shared" si="464"/>
        <v>6</v>
      </c>
      <c r="U662" s="191">
        <f ca="1">OP!$D$5+$S662-1</f>
        <v>87</v>
      </c>
      <c r="V662" s="191" t="str">
        <f t="shared" si="465"/>
        <v/>
      </c>
      <c r="W662" s="350">
        <f ca="1">IF(Q662&lt;&gt;1,0,VLOOKUP(OP!$C$55,PVFB,$S662+2,0))</f>
        <v>0</v>
      </c>
      <c r="X662" s="473">
        <f t="shared" ca="1" si="478"/>
        <v>0</v>
      </c>
      <c r="Y662" s="348">
        <f t="shared" ca="1" si="479"/>
        <v>0</v>
      </c>
      <c r="Z662" s="348">
        <f t="shared" ca="1" si="480"/>
        <v>8012</v>
      </c>
      <c r="AA662" s="348">
        <f ca="1">IF(Q662&lt;&gt;1,0,VLOOKUP(OP!$C$55,PVFB,$S662+2,0))</f>
        <v>0</v>
      </c>
      <c r="AB662" s="488" t="str">
        <f ca="1">IF(AND(S662&lt;OP!$C$24,$U662&lt;15),0,IF(AND($U662&lt;15,$T662=12),ROUND(VLOOKUP($S662,DOWN16,5,0),3),IF($T662=12,ROUND(($Z662/10000)*$AA662,3)+IF(AND($P$7="購買增額繳清保險",T662=12,U662=110),VLOOKUP(S662,$B$10:$H$121,7,0),0),"")))</f>
        <v/>
      </c>
      <c r="AC662" s="350" t="str">
        <f ca="1">IF(AND(S662&lt;OP!$C$24,$U662&lt;15),0,IF(AND($U662&lt;16,$T662=12),VLOOKUP($S662,DOWN16,4,0),IF($T662=12,ROUND(VLOOKUP(OP!$C$55,_DIE2,$S662+1,0)*(Z662/10000),0)+IF(AND($P$7="購買增額繳清保險",T662=12,U662=110),VLOOKUP(S662,$B$10:$H$121,7,0),0),"")))</f>
        <v/>
      </c>
      <c r="AD662" s="347"/>
      <c r="AE662" s="350" t="str">
        <f t="shared" ca="1" si="455"/>
        <v/>
      </c>
      <c r="AF662" s="351" t="str">
        <f t="shared" ca="1" si="456"/>
        <v/>
      </c>
      <c r="AG662" s="340"/>
      <c r="AH662" s="340"/>
      <c r="AI662" s="340"/>
      <c r="AJ662" s="340"/>
      <c r="AK662" s="340"/>
      <c r="AL662" s="340"/>
      <c r="AM662" s="340"/>
      <c r="AN662" s="340"/>
      <c r="AO662" s="340"/>
      <c r="AP662" s="340"/>
      <c r="AQ662" s="340"/>
      <c r="AR662" s="340"/>
      <c r="AS662" s="340"/>
      <c r="AT662" s="340"/>
      <c r="AU662" s="340"/>
      <c r="AV662" s="340"/>
      <c r="AY662" s="340"/>
      <c r="AZ662" s="465">
        <f t="shared" ca="1" si="466"/>
        <v>7.3698599999999999E-5</v>
      </c>
      <c r="BA662" s="464">
        <f t="shared" ca="1" si="467"/>
        <v>2.1372602999999999E-3</v>
      </c>
      <c r="BB662" s="465">
        <f t="shared" ca="1" si="467"/>
        <v>2.2109589000000002E-3</v>
      </c>
      <c r="BC662" s="466">
        <f t="shared" ca="1" si="468"/>
        <v>62763</v>
      </c>
      <c r="BD662" s="467">
        <f t="shared" ca="1" si="481"/>
        <v>62764</v>
      </c>
      <c r="BE662" s="467">
        <f t="shared" ca="1" si="469"/>
        <v>62792</v>
      </c>
      <c r="BF662" s="468">
        <f ca="1">IF(計算!$BC662&lt;OP!$C$3,0,BD662-BC662)</f>
        <v>1</v>
      </c>
      <c r="BG662" s="468">
        <f ca="1">IF($BE662&gt;DATE(YEAR($BD$9)+OP!$C$57,MONTH($BD$9),DAY($BD$9)),0,$BE662-$BD662+1)</f>
        <v>29</v>
      </c>
      <c r="BH662" s="469">
        <f t="shared" ca="1" si="470"/>
        <v>30</v>
      </c>
      <c r="BI662" t="str">
        <f t="shared" si="486"/>
        <v/>
      </c>
      <c r="BJ662">
        <v>5</v>
      </c>
      <c r="BN662" s="468">
        <f t="shared" si="482"/>
        <v>55</v>
      </c>
      <c r="BO662" s="468">
        <f t="shared" si="483"/>
        <v>5</v>
      </c>
      <c r="BP662" s="467">
        <f t="shared" ca="1" si="471"/>
        <v>62764</v>
      </c>
      <c r="BQ662" s="475">
        <f t="shared" ca="1" si="485"/>
        <v>87</v>
      </c>
      <c r="BR662" s="475" t="str">
        <f t="shared" si="484"/>
        <v/>
      </c>
      <c r="BS662" s="471" t="str">
        <f t="shared" si="472"/>
        <v/>
      </c>
      <c r="BT662" s="472" t="str">
        <f t="shared" ref="BT662:BT725" si="487">IF(BW662&lt;&gt;"",IF(BN662&gt;=$P$4+1,ROUND(BU662,0)+ROUND(BV662,0)+ROUND(BW662,0)+BT650,0),"")</f>
        <v/>
      </c>
      <c r="BU662" s="472">
        <f t="shared" ca="1" si="473"/>
        <v>0</v>
      </c>
      <c r="BV662" s="472">
        <f t="shared" ca="1" si="473"/>
        <v>0</v>
      </c>
      <c r="BW662" s="472"/>
      <c r="BX662" s="473">
        <f t="shared" ca="1" si="474"/>
        <v>1069855.4929047399</v>
      </c>
      <c r="BY662" s="473">
        <f t="shared" si="475"/>
        <v>0</v>
      </c>
      <c r="BZ662" s="473">
        <f t="shared" ca="1" si="457"/>
        <v>2365.4065237519999</v>
      </c>
      <c r="CA662" s="476">
        <f t="shared" ca="1" si="476"/>
        <v>0</v>
      </c>
      <c r="CB662" s="494">
        <f ca="1">IF(OR($Q661&lt;&gt;1,OP!$D$5+$BN662-1&lt;16,$BN662-1&lt;1),0,ROUND(ROUND(ROUND(((VLOOKUP($BN662-1,MORE_PV,5,0)/10000)*VLOOKUP($BN662,MORE_PV,$CB$5,0)),3)*VLOOKUP($BN662,more1,5,0),0)/$R661,0))</f>
        <v>0</v>
      </c>
      <c r="CC662" s="473">
        <f t="shared" ca="1" si="477"/>
        <v>0</v>
      </c>
      <c r="CD662" s="477"/>
    </row>
    <row r="663" spans="2:82" ht="16.5" hidden="1">
      <c r="B663" s="80"/>
      <c r="C663" s="80"/>
      <c r="D663" s="80"/>
      <c r="E663" s="80"/>
      <c r="F663" s="80"/>
      <c r="G663" s="80"/>
      <c r="H663" s="80"/>
      <c r="I663" s="80"/>
      <c r="J663" s="192">
        <f t="shared" si="458"/>
        <v>55</v>
      </c>
      <c r="K663" s="192">
        <f t="shared" si="459"/>
        <v>7</v>
      </c>
      <c r="L663" s="192" t="str">
        <f t="shared" si="454"/>
        <v/>
      </c>
      <c r="M663" s="216">
        <f t="shared" ca="1" si="460"/>
        <v>0</v>
      </c>
      <c r="N663" s="216"/>
      <c r="O663" s="216"/>
      <c r="P663" s="216"/>
      <c r="Q663" s="456" t="str">
        <f t="shared" ca="1" si="461"/>
        <v/>
      </c>
      <c r="R663" s="450">
        <f t="shared" ca="1" si="462"/>
        <v>1</v>
      </c>
      <c r="S663" s="191">
        <f t="shared" si="463"/>
        <v>55</v>
      </c>
      <c r="T663" s="191">
        <f t="shared" si="464"/>
        <v>7</v>
      </c>
      <c r="U663" s="191">
        <f ca="1">OP!$D$5+$S663-1</f>
        <v>87</v>
      </c>
      <c r="V663" s="191" t="str">
        <f t="shared" si="465"/>
        <v/>
      </c>
      <c r="W663" s="350">
        <f ca="1">IF(Q663&lt;&gt;1,0,VLOOKUP(OP!$C$55,PVFB,$S663+2,0))</f>
        <v>0</v>
      </c>
      <c r="X663" s="473">
        <f t="shared" ca="1" si="478"/>
        <v>0</v>
      </c>
      <c r="Y663" s="348">
        <f t="shared" ca="1" si="479"/>
        <v>0</v>
      </c>
      <c r="Z663" s="348">
        <f t="shared" ca="1" si="480"/>
        <v>8012</v>
      </c>
      <c r="AA663" s="348">
        <f ca="1">IF(Q663&lt;&gt;1,0,VLOOKUP(OP!$C$55,PVFB,$S663+2,0))</f>
        <v>0</v>
      </c>
      <c r="AB663" s="488" t="str">
        <f ca="1">IF(AND(S663&lt;OP!$C$24,$U663&lt;15),0,IF(AND($U663&lt;15,$T663=12),ROUND(VLOOKUP($S663,DOWN16,5,0),3),IF($T663=12,ROUND(($Z663/10000)*$AA663,3)+IF(AND($P$7="購買增額繳清保險",T663=12,U663=110),VLOOKUP(S663,$B$10:$H$121,7,0),0),"")))</f>
        <v/>
      </c>
      <c r="AC663" s="350" t="str">
        <f ca="1">IF(AND(S663&lt;OP!$C$24,$U663&lt;15),0,IF(AND($U663&lt;16,$T663=12),VLOOKUP($S663,DOWN16,4,0),IF($T663=12,ROUND(VLOOKUP(OP!$C$55,_DIE2,$S663+1,0)*(Z663/10000),0)+IF(AND($P$7="購買增額繳清保險",T663=12,U663=110),VLOOKUP(S663,$B$10:$H$121,7,0),0),"")))</f>
        <v/>
      </c>
      <c r="AD663" s="347"/>
      <c r="AE663" s="350" t="str">
        <f t="shared" ca="1" si="455"/>
        <v/>
      </c>
      <c r="AF663" s="351" t="str">
        <f t="shared" ca="1" si="456"/>
        <v/>
      </c>
      <c r="AG663" s="340"/>
      <c r="AH663" s="340"/>
      <c r="AI663" s="340"/>
      <c r="AJ663" s="340"/>
      <c r="AK663" s="340"/>
      <c r="AL663" s="340"/>
      <c r="AM663" s="340"/>
      <c r="AN663" s="340"/>
      <c r="AO663" s="340"/>
      <c r="AP663" s="340"/>
      <c r="AQ663" s="340"/>
      <c r="AR663" s="340"/>
      <c r="AS663" s="340"/>
      <c r="AT663" s="340"/>
      <c r="AU663" s="340"/>
      <c r="AV663" s="340"/>
      <c r="AY663" s="340"/>
      <c r="AZ663" s="465">
        <f t="shared" ca="1" si="466"/>
        <v>7.3698599999999999E-5</v>
      </c>
      <c r="BA663" s="464">
        <f t="shared" ca="1" si="467"/>
        <v>2.2109589000000002E-3</v>
      </c>
      <c r="BB663" s="465">
        <f t="shared" ca="1" si="467"/>
        <v>2.2846575E-3</v>
      </c>
      <c r="BC663" s="466">
        <f t="shared" ca="1" si="468"/>
        <v>62793</v>
      </c>
      <c r="BD663" s="467">
        <f t="shared" ca="1" si="481"/>
        <v>62794</v>
      </c>
      <c r="BE663" s="467">
        <f t="shared" ca="1" si="469"/>
        <v>62823</v>
      </c>
      <c r="BF663" s="468">
        <f ca="1">IF(計算!$BC663&lt;OP!$C$3,0,BD663-BC663)</f>
        <v>1</v>
      </c>
      <c r="BG663" s="468">
        <f ca="1">IF($BE663&gt;DATE(YEAR($BD$9)+OP!$C$57,MONTH($BD$9),DAY($BD$9)),0,$BE663-$BD663+1)</f>
        <v>30</v>
      </c>
      <c r="BH663" s="469">
        <f t="shared" ca="1" si="470"/>
        <v>31</v>
      </c>
      <c r="BI663" t="str">
        <f t="shared" si="486"/>
        <v/>
      </c>
      <c r="BJ663">
        <v>6</v>
      </c>
      <c r="BN663" s="468">
        <f t="shared" si="482"/>
        <v>55</v>
      </c>
      <c r="BO663" s="468">
        <f t="shared" si="483"/>
        <v>6</v>
      </c>
      <c r="BP663" s="467">
        <f t="shared" ca="1" si="471"/>
        <v>62794</v>
      </c>
      <c r="BQ663" s="475">
        <f t="shared" ca="1" si="485"/>
        <v>87</v>
      </c>
      <c r="BR663" s="475" t="str">
        <f t="shared" si="484"/>
        <v/>
      </c>
      <c r="BS663" s="471" t="str">
        <f t="shared" si="472"/>
        <v/>
      </c>
      <c r="BT663" s="472" t="str">
        <f t="shared" si="487"/>
        <v/>
      </c>
      <c r="BU663" s="472">
        <f t="shared" ca="1" si="473"/>
        <v>0</v>
      </c>
      <c r="BV663" s="472">
        <f t="shared" ca="1" si="473"/>
        <v>0</v>
      </c>
      <c r="BW663" s="472"/>
      <c r="BX663" s="473">
        <f t="shared" ca="1" si="474"/>
        <v>1072220.8994284901</v>
      </c>
      <c r="BY663" s="473">
        <f t="shared" si="475"/>
        <v>0</v>
      </c>
      <c r="BZ663" s="473">
        <f t="shared" ca="1" si="457"/>
        <v>2449.6575195360001</v>
      </c>
      <c r="CA663" s="476">
        <f t="shared" ca="1" si="476"/>
        <v>0</v>
      </c>
      <c r="CB663" s="494">
        <f ca="1">IF(OR($Q662&lt;&gt;1,OP!$D$5+$BN663-1&lt;16,$BN663-1&lt;1),0,ROUND(ROUND(ROUND(((VLOOKUP($BN663-1,MORE_PV,5,0)/10000)*VLOOKUP($BN663,MORE_PV,$CB$5,0)),3)*VLOOKUP($BN663,more1,5,0),0)/$R662,0))</f>
        <v>0</v>
      </c>
      <c r="CC663" s="473">
        <f t="shared" ca="1" si="477"/>
        <v>0</v>
      </c>
      <c r="CD663" s="477"/>
    </row>
    <row r="664" spans="2:82" ht="16.5" hidden="1">
      <c r="B664" s="80"/>
      <c r="C664" s="80"/>
      <c r="D664" s="80"/>
      <c r="E664" s="80"/>
      <c r="F664" s="80"/>
      <c r="G664" s="80"/>
      <c r="H664" s="80"/>
      <c r="I664" s="80"/>
      <c r="J664" s="192">
        <f t="shared" si="458"/>
        <v>55</v>
      </c>
      <c r="K664" s="192">
        <f t="shared" si="459"/>
        <v>8</v>
      </c>
      <c r="L664" s="192" t="str">
        <f t="shared" si="454"/>
        <v/>
      </c>
      <c r="M664" s="216">
        <f t="shared" ca="1" si="460"/>
        <v>0</v>
      </c>
      <c r="N664" s="216"/>
      <c r="O664" s="216"/>
      <c r="P664" s="216"/>
      <c r="Q664" s="456" t="str">
        <f t="shared" ca="1" si="461"/>
        <v/>
      </c>
      <c r="R664" s="450">
        <f t="shared" ca="1" si="462"/>
        <v>1</v>
      </c>
      <c r="S664" s="191">
        <f t="shared" si="463"/>
        <v>55</v>
      </c>
      <c r="T664" s="191">
        <f t="shared" si="464"/>
        <v>8</v>
      </c>
      <c r="U664" s="191">
        <f ca="1">OP!$D$5+$S664-1</f>
        <v>87</v>
      </c>
      <c r="V664" s="191" t="str">
        <f t="shared" si="465"/>
        <v/>
      </c>
      <c r="W664" s="350">
        <f ca="1">IF(Q664&lt;&gt;1,0,VLOOKUP(OP!$C$55,PVFB,$S664+2,0))</f>
        <v>0</v>
      </c>
      <c r="X664" s="473">
        <f t="shared" ca="1" si="478"/>
        <v>0</v>
      </c>
      <c r="Y664" s="348">
        <f t="shared" ca="1" si="479"/>
        <v>0</v>
      </c>
      <c r="Z664" s="348">
        <f t="shared" ca="1" si="480"/>
        <v>8012</v>
      </c>
      <c r="AA664" s="348">
        <f ca="1">IF(Q664&lt;&gt;1,0,VLOOKUP(OP!$C$55,PVFB,$S664+2,0))</f>
        <v>0</v>
      </c>
      <c r="AB664" s="488" t="str">
        <f ca="1">IF(AND(S664&lt;OP!$C$24,$U664&lt;15),0,IF(AND($U664&lt;15,$T664=12),ROUND(VLOOKUP($S664,DOWN16,5,0),3),IF($T664=12,ROUND(($Z664/10000)*$AA664,3)+IF(AND($P$7="購買增額繳清保險",T664=12,U664=110),VLOOKUP(S664,$B$10:$H$121,7,0),0),"")))</f>
        <v/>
      </c>
      <c r="AC664" s="350" t="str">
        <f ca="1">IF(AND(S664&lt;OP!$C$24,$U664&lt;15),0,IF(AND($U664&lt;16,$T664=12),VLOOKUP($S664,DOWN16,4,0),IF($T664=12,ROUND(VLOOKUP(OP!$C$55,_DIE2,$S664+1,0)*(Z664/10000),0)+IF(AND($P$7="購買增額繳清保險",T664=12,U664=110),VLOOKUP(S664,$B$10:$H$121,7,0),0),"")))</f>
        <v/>
      </c>
      <c r="AD664" s="347"/>
      <c r="AE664" s="350" t="str">
        <f t="shared" ca="1" si="455"/>
        <v/>
      </c>
      <c r="AF664" s="351" t="str">
        <f t="shared" ca="1" si="456"/>
        <v/>
      </c>
      <c r="AG664" s="340"/>
      <c r="AH664" s="340"/>
      <c r="AI664" s="340"/>
      <c r="AJ664" s="340"/>
      <c r="AK664" s="340"/>
      <c r="AL664" s="340"/>
      <c r="AM664" s="340"/>
      <c r="AN664" s="340"/>
      <c r="AO664" s="340"/>
      <c r="AP664" s="340"/>
      <c r="AQ664" s="340"/>
      <c r="AR664" s="340"/>
      <c r="AS664" s="340"/>
      <c r="AT664" s="340"/>
      <c r="AU664" s="340"/>
      <c r="AV664" s="340"/>
      <c r="AY664" s="340"/>
      <c r="AZ664" s="465">
        <f t="shared" ca="1" si="466"/>
        <v>7.3698599999999999E-5</v>
      </c>
      <c r="BA664" s="464">
        <f t="shared" ca="1" si="467"/>
        <v>2.2109589000000002E-3</v>
      </c>
      <c r="BB664" s="465">
        <f t="shared" ca="1" si="467"/>
        <v>2.2846575E-3</v>
      </c>
      <c r="BC664" s="466">
        <f t="shared" ca="1" si="468"/>
        <v>62824</v>
      </c>
      <c r="BD664" s="467">
        <f t="shared" ca="1" si="481"/>
        <v>62825</v>
      </c>
      <c r="BE664" s="467">
        <f t="shared" ca="1" si="469"/>
        <v>62854</v>
      </c>
      <c r="BF664" s="468">
        <f ca="1">IF(計算!$BC664&lt;OP!$C$3,0,BD664-BC664)</f>
        <v>1</v>
      </c>
      <c r="BG664" s="468">
        <f ca="1">IF($BE664&gt;DATE(YEAR($BD$9)+OP!$C$57,MONTH($BD$9),DAY($BD$9)),0,$BE664-$BD664+1)</f>
        <v>30</v>
      </c>
      <c r="BH664" s="469">
        <f t="shared" ca="1" si="470"/>
        <v>31</v>
      </c>
      <c r="BI664" t="str">
        <f t="shared" si="486"/>
        <v/>
      </c>
      <c r="BJ664">
        <v>7</v>
      </c>
      <c r="BN664" s="468">
        <f t="shared" si="482"/>
        <v>55</v>
      </c>
      <c r="BO664" s="468">
        <f t="shared" si="483"/>
        <v>7</v>
      </c>
      <c r="BP664" s="467">
        <f t="shared" ca="1" si="471"/>
        <v>62825</v>
      </c>
      <c r="BQ664" s="475">
        <f t="shared" ca="1" si="485"/>
        <v>87</v>
      </c>
      <c r="BR664" s="475" t="str">
        <f t="shared" si="484"/>
        <v/>
      </c>
      <c r="BS664" s="471" t="str">
        <f t="shared" si="472"/>
        <v/>
      </c>
      <c r="BT664" s="472" t="str">
        <f t="shared" si="487"/>
        <v/>
      </c>
      <c r="BU664" s="472">
        <f t="shared" ca="1" si="473"/>
        <v>0</v>
      </c>
      <c r="BV664" s="472">
        <f t="shared" ca="1" si="473"/>
        <v>0</v>
      </c>
      <c r="BW664" s="472"/>
      <c r="BX664" s="473">
        <f t="shared" ca="1" si="474"/>
        <v>1074670.5569480299</v>
      </c>
      <c r="BY664" s="473">
        <f t="shared" si="475"/>
        <v>0</v>
      </c>
      <c r="BZ664" s="473">
        <f t="shared" ca="1" si="457"/>
        <v>2455.25414796</v>
      </c>
      <c r="CA664" s="476">
        <f t="shared" ca="1" si="476"/>
        <v>0</v>
      </c>
      <c r="CB664" s="494">
        <f ca="1">IF(OR($Q663&lt;&gt;1,OP!$D$5+$BN664-1&lt;16,$BN664-1&lt;1),0,ROUND(ROUND(ROUND(((VLOOKUP($BN664-1,MORE_PV,5,0)/10000)*VLOOKUP($BN664,MORE_PV,$CB$5,0)),3)*VLOOKUP($BN664,more1,5,0),0)/$R663,0))</f>
        <v>0</v>
      </c>
      <c r="CC664" s="473">
        <f t="shared" ca="1" si="477"/>
        <v>0</v>
      </c>
      <c r="CD664" s="477"/>
    </row>
    <row r="665" spans="2:82" ht="16.5" hidden="1">
      <c r="B665" s="80"/>
      <c r="C665" s="80"/>
      <c r="D665" s="80"/>
      <c r="E665" s="80"/>
      <c r="F665" s="80"/>
      <c r="G665" s="80"/>
      <c r="H665" s="80"/>
      <c r="I665" s="80"/>
      <c r="J665" s="192">
        <f t="shared" si="458"/>
        <v>55</v>
      </c>
      <c r="K665" s="192">
        <f t="shared" si="459"/>
        <v>9</v>
      </c>
      <c r="L665" s="192" t="str">
        <f t="shared" si="454"/>
        <v/>
      </c>
      <c r="M665" s="216">
        <f t="shared" ca="1" si="460"/>
        <v>0</v>
      </c>
      <c r="N665" s="216"/>
      <c r="O665" s="216"/>
      <c r="P665" s="216"/>
      <c r="Q665" s="456" t="str">
        <f t="shared" ca="1" si="461"/>
        <v/>
      </c>
      <c r="R665" s="450">
        <f t="shared" ca="1" si="462"/>
        <v>1</v>
      </c>
      <c r="S665" s="191">
        <f t="shared" si="463"/>
        <v>55</v>
      </c>
      <c r="T665" s="191">
        <f t="shared" si="464"/>
        <v>9</v>
      </c>
      <c r="U665" s="191">
        <f ca="1">OP!$D$5+$S665-1</f>
        <v>87</v>
      </c>
      <c r="V665" s="191" t="str">
        <f t="shared" si="465"/>
        <v/>
      </c>
      <c r="W665" s="350">
        <f ca="1">IF(Q665&lt;&gt;1,0,VLOOKUP(OP!$C$55,PVFB,$S665+2,0))</f>
        <v>0</v>
      </c>
      <c r="X665" s="473">
        <f t="shared" ca="1" si="478"/>
        <v>0</v>
      </c>
      <c r="Y665" s="348">
        <f t="shared" ca="1" si="479"/>
        <v>0</v>
      </c>
      <c r="Z665" s="348">
        <f t="shared" ca="1" si="480"/>
        <v>8012</v>
      </c>
      <c r="AA665" s="348">
        <f ca="1">IF(Q665&lt;&gt;1,0,VLOOKUP(OP!$C$55,PVFB,$S665+2,0))</f>
        <v>0</v>
      </c>
      <c r="AB665" s="488" t="str">
        <f ca="1">IF(AND(S665&lt;OP!$C$24,$U665&lt;15),0,IF(AND($U665&lt;15,$T665=12),ROUND(VLOOKUP($S665,DOWN16,5,0),3),IF($T665=12,ROUND(($Z665/10000)*$AA665,3)+IF(AND($P$7="購買增額繳清保險",T665=12,U665=110),VLOOKUP(S665,$B$10:$H$121,7,0),0),"")))</f>
        <v/>
      </c>
      <c r="AC665" s="350" t="str">
        <f ca="1">IF(AND(S665&lt;OP!$C$24,$U665&lt;15),0,IF(AND($U665&lt;16,$T665=12),VLOOKUP($S665,DOWN16,4,0),IF($T665=12,ROUND(VLOOKUP(OP!$C$55,_DIE2,$S665+1,0)*(Z665/10000),0)+IF(AND($P$7="購買增額繳清保險",T665=12,U665=110),VLOOKUP(S665,$B$10:$H$121,7,0),0),"")))</f>
        <v/>
      </c>
      <c r="AD665" s="347"/>
      <c r="AE665" s="350" t="str">
        <f t="shared" ca="1" si="455"/>
        <v/>
      </c>
      <c r="AF665" s="351" t="str">
        <f t="shared" ca="1" si="456"/>
        <v/>
      </c>
      <c r="AG665" s="340"/>
      <c r="AH665" s="340"/>
      <c r="AI665" s="340"/>
      <c r="AJ665" s="340"/>
      <c r="AK665" s="340"/>
      <c r="AL665" s="340"/>
      <c r="AM665" s="340"/>
      <c r="AN665" s="340"/>
      <c r="AO665" s="340"/>
      <c r="AP665" s="340"/>
      <c r="AQ665" s="340"/>
      <c r="AR665" s="340"/>
      <c r="AS665" s="340"/>
      <c r="AT665" s="340"/>
      <c r="AU665" s="340"/>
      <c r="AV665" s="340"/>
      <c r="AY665" s="340"/>
      <c r="AZ665" s="465">
        <f t="shared" ca="1" si="466"/>
        <v>7.3698599999999999E-5</v>
      </c>
      <c r="BA665" s="464">
        <f t="shared" ca="1" si="467"/>
        <v>2.0635616E-3</v>
      </c>
      <c r="BB665" s="465">
        <f t="shared" ca="1" si="467"/>
        <v>2.1372602999999999E-3</v>
      </c>
      <c r="BC665" s="466">
        <f t="shared" ca="1" si="468"/>
        <v>62855</v>
      </c>
      <c r="BD665" s="467">
        <f t="shared" ca="1" si="481"/>
        <v>62856</v>
      </c>
      <c r="BE665" s="467">
        <f t="shared" ca="1" si="469"/>
        <v>62883</v>
      </c>
      <c r="BF665" s="468">
        <f ca="1">IF(計算!$BC665&lt;OP!$C$3,0,BD665-BC665)</f>
        <v>1</v>
      </c>
      <c r="BG665" s="468">
        <f ca="1">IF($BE665&gt;DATE(YEAR($BD$9)+OP!$C$57,MONTH($BD$9),DAY($BD$9)),0,$BE665-$BD665+1)</f>
        <v>28</v>
      </c>
      <c r="BH665" s="469">
        <f t="shared" ca="1" si="470"/>
        <v>29</v>
      </c>
      <c r="BI665" t="str">
        <f t="shared" si="486"/>
        <v/>
      </c>
      <c r="BJ665">
        <v>8</v>
      </c>
      <c r="BN665" s="468">
        <f t="shared" si="482"/>
        <v>55</v>
      </c>
      <c r="BO665" s="468">
        <f t="shared" si="483"/>
        <v>8</v>
      </c>
      <c r="BP665" s="467">
        <f t="shared" ca="1" si="471"/>
        <v>62856</v>
      </c>
      <c r="BQ665" s="475">
        <f t="shared" ca="1" si="485"/>
        <v>87</v>
      </c>
      <c r="BR665" s="475" t="str">
        <f t="shared" si="484"/>
        <v/>
      </c>
      <c r="BS665" s="471" t="str">
        <f t="shared" si="472"/>
        <v/>
      </c>
      <c r="BT665" s="472" t="str">
        <f t="shared" si="487"/>
        <v/>
      </c>
      <c r="BU665" s="472">
        <f t="shared" ca="1" si="473"/>
        <v>0</v>
      </c>
      <c r="BV665" s="472">
        <f t="shared" ca="1" si="473"/>
        <v>0</v>
      </c>
      <c r="BW665" s="472"/>
      <c r="BX665" s="473">
        <f t="shared" ca="1" si="474"/>
        <v>1077125.81109599</v>
      </c>
      <c r="BY665" s="473">
        <f t="shared" si="475"/>
        <v>0</v>
      </c>
      <c r="BZ665" s="473">
        <f t="shared" ca="1" si="457"/>
        <v>2302.0982341610002</v>
      </c>
      <c r="CA665" s="476">
        <f t="shared" ca="1" si="476"/>
        <v>0</v>
      </c>
      <c r="CB665" s="494">
        <f ca="1">IF(OR($Q664&lt;&gt;1,OP!$D$5+$BN665-1&lt;16,$BN665-1&lt;1),0,ROUND(ROUND(ROUND(((VLOOKUP($BN665-1,MORE_PV,5,0)/10000)*VLOOKUP($BN665,MORE_PV,$CB$5,0)),3)*VLOOKUP($BN665,more1,5,0),0)/$R664,0))</f>
        <v>0</v>
      </c>
      <c r="CC665" s="473">
        <f t="shared" ca="1" si="477"/>
        <v>0</v>
      </c>
      <c r="CD665" s="477"/>
    </row>
    <row r="666" spans="2:82" ht="16.5" hidden="1">
      <c r="B666" s="80"/>
      <c r="C666" s="80"/>
      <c r="D666" s="80"/>
      <c r="E666" s="80"/>
      <c r="F666" s="80"/>
      <c r="G666" s="80"/>
      <c r="H666" s="80"/>
      <c r="I666" s="80"/>
      <c r="J666" s="192">
        <f t="shared" si="458"/>
        <v>55</v>
      </c>
      <c r="K666" s="192">
        <f t="shared" si="459"/>
        <v>10</v>
      </c>
      <c r="L666" s="192" t="str">
        <f t="shared" si="454"/>
        <v/>
      </c>
      <c r="M666" s="216">
        <f t="shared" ca="1" si="460"/>
        <v>0</v>
      </c>
      <c r="N666" s="216"/>
      <c r="O666" s="216"/>
      <c r="P666" s="216"/>
      <c r="Q666" s="456" t="str">
        <f t="shared" ca="1" si="461"/>
        <v/>
      </c>
      <c r="R666" s="450">
        <f t="shared" ca="1" si="462"/>
        <v>1</v>
      </c>
      <c r="S666" s="191">
        <f t="shared" si="463"/>
        <v>55</v>
      </c>
      <c r="T666" s="191">
        <f t="shared" si="464"/>
        <v>10</v>
      </c>
      <c r="U666" s="191">
        <f ca="1">OP!$D$5+$S666-1</f>
        <v>87</v>
      </c>
      <c r="V666" s="191" t="str">
        <f t="shared" si="465"/>
        <v/>
      </c>
      <c r="W666" s="350">
        <f ca="1">IF(Q666&lt;&gt;1,0,VLOOKUP(OP!$C$55,PVFB,$S666+2,0))</f>
        <v>0</v>
      </c>
      <c r="X666" s="473">
        <f t="shared" ca="1" si="478"/>
        <v>0</v>
      </c>
      <c r="Y666" s="348">
        <f t="shared" ca="1" si="479"/>
        <v>0</v>
      </c>
      <c r="Z666" s="348">
        <f t="shared" ca="1" si="480"/>
        <v>8012</v>
      </c>
      <c r="AA666" s="348">
        <f ca="1">IF(Q666&lt;&gt;1,0,VLOOKUP(OP!$C$55,PVFB,$S666+2,0))</f>
        <v>0</v>
      </c>
      <c r="AB666" s="488" t="str">
        <f ca="1">IF(AND(S666&lt;OP!$C$24,$U666&lt;15),0,IF(AND($U666&lt;15,$T666=12),ROUND(VLOOKUP($S666,DOWN16,5,0),3),IF($T666=12,ROUND(($Z666/10000)*$AA666,3)+IF(AND($P$7="購買增額繳清保險",T666=12,U666=110),VLOOKUP(S666,$B$10:$H$121,7,0),0),"")))</f>
        <v/>
      </c>
      <c r="AC666" s="350" t="str">
        <f ca="1">IF(AND(S666&lt;OP!$C$24,$U666&lt;15),0,IF(AND($U666&lt;16,$T666=12),VLOOKUP($S666,DOWN16,4,0),IF($T666=12,ROUND(VLOOKUP(OP!$C$55,_DIE2,$S666+1,0)*(Z666/10000),0)+IF(AND($P$7="購買增額繳清保險",T666=12,U666=110),VLOOKUP(S666,$B$10:$H$121,7,0),0),"")))</f>
        <v/>
      </c>
      <c r="AD666" s="347"/>
      <c r="AE666" s="350" t="str">
        <f t="shared" ca="1" si="455"/>
        <v/>
      </c>
      <c r="AF666" s="351" t="str">
        <f t="shared" ca="1" si="456"/>
        <v/>
      </c>
      <c r="AG666" s="340"/>
      <c r="AH666" s="340"/>
      <c r="AI666" s="340"/>
      <c r="AJ666" s="340"/>
      <c r="AK666" s="340"/>
      <c r="AL666" s="340"/>
      <c r="AM666" s="340"/>
      <c r="AN666" s="340"/>
      <c r="AO666" s="340"/>
      <c r="AP666" s="340"/>
      <c r="AQ666" s="340"/>
      <c r="AR666" s="340"/>
      <c r="AS666" s="340"/>
      <c r="AT666" s="340"/>
      <c r="AU666" s="340"/>
      <c r="AV666" s="340"/>
      <c r="AY666" s="340"/>
      <c r="AZ666" s="465">
        <f t="shared" ca="1" si="466"/>
        <v>7.3698599999999999E-5</v>
      </c>
      <c r="BA666" s="464">
        <f t="shared" ca="1" si="467"/>
        <v>2.2109589000000002E-3</v>
      </c>
      <c r="BB666" s="465">
        <f t="shared" ca="1" si="467"/>
        <v>2.2846575E-3</v>
      </c>
      <c r="BC666" s="466">
        <f t="shared" ca="1" si="468"/>
        <v>62884</v>
      </c>
      <c r="BD666" s="467">
        <f t="shared" ca="1" si="481"/>
        <v>62885</v>
      </c>
      <c r="BE666" s="467">
        <f t="shared" ca="1" si="469"/>
        <v>62914</v>
      </c>
      <c r="BF666" s="468">
        <f ca="1">IF(計算!$BC666&lt;OP!$C$3,0,BD666-BC666)</f>
        <v>1</v>
      </c>
      <c r="BG666" s="468">
        <f ca="1">IF($BE666&gt;DATE(YEAR($BD$9)+OP!$C$57,MONTH($BD$9),DAY($BD$9)),0,$BE666-$BD666+1)</f>
        <v>30</v>
      </c>
      <c r="BH666" s="469">
        <f t="shared" ca="1" si="470"/>
        <v>31</v>
      </c>
      <c r="BI666" t="str">
        <f t="shared" si="486"/>
        <v/>
      </c>
      <c r="BJ666">
        <v>9</v>
      </c>
      <c r="BN666" s="468">
        <f t="shared" si="482"/>
        <v>55</v>
      </c>
      <c r="BO666" s="468">
        <f t="shared" si="483"/>
        <v>9</v>
      </c>
      <c r="BP666" s="467">
        <f t="shared" ca="1" si="471"/>
        <v>62885</v>
      </c>
      <c r="BQ666" s="475">
        <f t="shared" ca="1" si="485"/>
        <v>87</v>
      </c>
      <c r="BR666" s="475" t="str">
        <f t="shared" si="484"/>
        <v/>
      </c>
      <c r="BS666" s="471" t="str">
        <f t="shared" si="472"/>
        <v/>
      </c>
      <c r="BT666" s="472" t="str">
        <f t="shared" si="487"/>
        <v/>
      </c>
      <c r="BU666" s="472">
        <f t="shared" ca="1" si="473"/>
        <v>0</v>
      </c>
      <c r="BV666" s="472">
        <f t="shared" ca="1" si="473"/>
        <v>0</v>
      </c>
      <c r="BW666" s="472"/>
      <c r="BX666" s="473">
        <f t="shared" ca="1" si="474"/>
        <v>1079427.9093301501</v>
      </c>
      <c r="BY666" s="473">
        <f t="shared" si="475"/>
        <v>0</v>
      </c>
      <c r="BZ666" s="473">
        <f t="shared" ca="1" si="457"/>
        <v>2466.12306876</v>
      </c>
      <c r="CA666" s="476">
        <f t="shared" ca="1" si="476"/>
        <v>0</v>
      </c>
      <c r="CB666" s="494">
        <f ca="1">IF(OR($Q665&lt;&gt;1,OP!$D$5+$BN666-1&lt;16,$BN666-1&lt;1),0,ROUND(ROUND(ROUND(((VLOOKUP($BN666-1,MORE_PV,5,0)/10000)*VLOOKUP($BN666,MORE_PV,$CB$5,0)),3)*VLOOKUP($BN666,more1,5,0),0)/$R665,0))</f>
        <v>0</v>
      </c>
      <c r="CC666" s="473">
        <f t="shared" ca="1" si="477"/>
        <v>0</v>
      </c>
      <c r="CD666" s="477"/>
    </row>
    <row r="667" spans="2:82" ht="16.5" hidden="1">
      <c r="B667" s="80"/>
      <c r="C667" s="80"/>
      <c r="D667" s="80"/>
      <c r="E667" s="80"/>
      <c r="F667" s="80"/>
      <c r="G667" s="80"/>
      <c r="H667" s="80"/>
      <c r="I667" s="80"/>
      <c r="J667" s="192">
        <f t="shared" si="458"/>
        <v>55</v>
      </c>
      <c r="K667" s="192">
        <f t="shared" si="459"/>
        <v>11</v>
      </c>
      <c r="L667" s="192" t="str">
        <f t="shared" si="454"/>
        <v/>
      </c>
      <c r="M667" s="216">
        <f t="shared" ca="1" si="460"/>
        <v>0</v>
      </c>
      <c r="N667" s="216"/>
      <c r="O667" s="216"/>
      <c r="P667" s="216"/>
      <c r="Q667" s="456" t="str">
        <f t="shared" ca="1" si="461"/>
        <v/>
      </c>
      <c r="R667" s="450">
        <f t="shared" ca="1" si="462"/>
        <v>1</v>
      </c>
      <c r="S667" s="191">
        <f t="shared" si="463"/>
        <v>55</v>
      </c>
      <c r="T667" s="191">
        <f t="shared" si="464"/>
        <v>11</v>
      </c>
      <c r="U667" s="191">
        <f ca="1">OP!$D$5+$S667-1</f>
        <v>87</v>
      </c>
      <c r="V667" s="191" t="str">
        <f t="shared" si="465"/>
        <v/>
      </c>
      <c r="W667" s="350">
        <f ca="1">IF(Q667&lt;&gt;1,0,VLOOKUP(OP!$C$55,PVFB,$S667+2,0))</f>
        <v>0</v>
      </c>
      <c r="X667" s="473">
        <f t="shared" ca="1" si="478"/>
        <v>0</v>
      </c>
      <c r="Y667" s="348">
        <f t="shared" ca="1" si="479"/>
        <v>0</v>
      </c>
      <c r="Z667" s="348">
        <f t="shared" ca="1" si="480"/>
        <v>8012</v>
      </c>
      <c r="AA667" s="348">
        <f ca="1">IF(Q667&lt;&gt;1,0,VLOOKUP(OP!$C$55,PVFB,$S667+2,0))</f>
        <v>0</v>
      </c>
      <c r="AB667" s="488" t="str">
        <f ca="1">IF(AND(S667&lt;OP!$C$24,$U667&lt;15),0,IF(AND($U667&lt;15,$T667=12),ROUND(VLOOKUP($S667,DOWN16,5,0),3),IF($T667=12,ROUND(($Z667/10000)*$AA667,3)+IF(AND($P$7="購買增額繳清保險",T667=12,U667=110),VLOOKUP(S667,$B$10:$H$121,7,0),0),"")))</f>
        <v/>
      </c>
      <c r="AC667" s="350" t="str">
        <f ca="1">IF(AND(S667&lt;OP!$C$24,$U667&lt;15),0,IF(AND($U667&lt;16,$T667=12),VLOOKUP($S667,DOWN16,4,0),IF($T667=12,ROUND(VLOOKUP(OP!$C$55,_DIE2,$S667+1,0)*(Z667/10000),0)+IF(AND($P$7="購買增額繳清保險",T667=12,U667=110),VLOOKUP(S667,$B$10:$H$121,7,0),0),"")))</f>
        <v/>
      </c>
      <c r="AD667" s="347"/>
      <c r="AE667" s="350" t="str">
        <f t="shared" ca="1" si="455"/>
        <v/>
      </c>
      <c r="AF667" s="351" t="str">
        <f t="shared" ca="1" si="456"/>
        <v/>
      </c>
      <c r="AG667" s="340"/>
      <c r="AH667" s="340"/>
      <c r="AI667" s="340"/>
      <c r="AJ667" s="340"/>
      <c r="AK667" s="340"/>
      <c r="AL667" s="340"/>
      <c r="AM667" s="340"/>
      <c r="AN667" s="340"/>
      <c r="AO667" s="340"/>
      <c r="AP667" s="340"/>
      <c r="AQ667" s="340"/>
      <c r="AR667" s="340"/>
      <c r="AS667" s="340"/>
      <c r="AT667" s="340"/>
      <c r="AU667" s="340"/>
      <c r="AV667" s="340"/>
      <c r="AY667" s="340"/>
      <c r="AZ667" s="465">
        <f t="shared" ca="1" si="466"/>
        <v>7.3698599999999999E-5</v>
      </c>
      <c r="BA667" s="464">
        <f t="shared" ca="1" si="467"/>
        <v>2.1372602999999999E-3</v>
      </c>
      <c r="BB667" s="465">
        <f t="shared" ca="1" si="467"/>
        <v>2.2109589000000002E-3</v>
      </c>
      <c r="BC667" s="466">
        <f t="shared" ca="1" si="468"/>
        <v>62915</v>
      </c>
      <c r="BD667" s="467">
        <f t="shared" ca="1" si="481"/>
        <v>62916</v>
      </c>
      <c r="BE667" s="467">
        <f t="shared" ca="1" si="469"/>
        <v>62944</v>
      </c>
      <c r="BF667" s="468">
        <f ca="1">IF(計算!$BC667&lt;OP!$C$3,0,BD667-BC667)</f>
        <v>1</v>
      </c>
      <c r="BG667" s="468">
        <f ca="1">IF($BE667&gt;DATE(YEAR($BD$9)+OP!$C$57,MONTH($BD$9),DAY($BD$9)),0,$BE667-$BD667+1)</f>
        <v>29</v>
      </c>
      <c r="BH667" s="469">
        <f t="shared" ca="1" si="470"/>
        <v>30</v>
      </c>
      <c r="BI667" t="str">
        <f t="shared" si="486"/>
        <v/>
      </c>
      <c r="BJ667">
        <v>10</v>
      </c>
      <c r="BN667" s="468">
        <f t="shared" si="482"/>
        <v>55</v>
      </c>
      <c r="BO667" s="468">
        <f t="shared" si="483"/>
        <v>10</v>
      </c>
      <c r="BP667" s="467">
        <f t="shared" ca="1" si="471"/>
        <v>62916</v>
      </c>
      <c r="BQ667" s="475">
        <f t="shared" ca="1" si="485"/>
        <v>87</v>
      </c>
      <c r="BR667" s="475" t="str">
        <f t="shared" si="484"/>
        <v/>
      </c>
      <c r="BS667" s="471" t="str">
        <f t="shared" si="472"/>
        <v/>
      </c>
      <c r="BT667" s="472" t="str">
        <f t="shared" si="487"/>
        <v/>
      </c>
      <c r="BU667" s="472">
        <f t="shared" ca="1" si="473"/>
        <v>0</v>
      </c>
      <c r="BV667" s="472">
        <f t="shared" ca="1" si="473"/>
        <v>0</v>
      </c>
      <c r="BW667" s="472"/>
      <c r="BX667" s="473">
        <f t="shared" ca="1" si="474"/>
        <v>1081894.03239891</v>
      </c>
      <c r="BY667" s="473">
        <f t="shared" si="475"/>
        <v>0</v>
      </c>
      <c r="BZ667" s="473">
        <f t="shared" ca="1" si="457"/>
        <v>2392.0232397889999</v>
      </c>
      <c r="CA667" s="476">
        <f t="shared" ca="1" si="476"/>
        <v>0</v>
      </c>
      <c r="CB667" s="494">
        <f ca="1">IF(OR($Q666&lt;&gt;1,OP!$D$5+$BN667-1&lt;16,$BN667-1&lt;1),0,ROUND(ROUND(ROUND(((VLOOKUP($BN667-1,MORE_PV,5,0)/10000)*VLOOKUP($BN667,MORE_PV,$CB$5,0)),3)*VLOOKUP($BN667,more1,5,0),0)/$R666,0))</f>
        <v>0</v>
      </c>
      <c r="CC667" s="473">
        <f t="shared" ca="1" si="477"/>
        <v>0</v>
      </c>
      <c r="CD667" s="477"/>
    </row>
    <row r="668" spans="2:82" ht="16.5" hidden="1">
      <c r="B668" s="80"/>
      <c r="C668" s="80"/>
      <c r="D668" s="80"/>
      <c r="E668" s="80"/>
      <c r="F668" s="80"/>
      <c r="G668" s="80"/>
      <c r="H668" s="80"/>
      <c r="I668" s="80"/>
      <c r="J668" s="192">
        <f t="shared" si="458"/>
        <v>55</v>
      </c>
      <c r="K668" s="192">
        <f t="shared" si="459"/>
        <v>12</v>
      </c>
      <c r="L668" s="192">
        <f t="shared" si="454"/>
        <v>55</v>
      </c>
      <c r="M668" s="216">
        <f t="shared" ca="1" si="460"/>
        <v>1105553</v>
      </c>
      <c r="N668" s="216"/>
      <c r="O668" s="216"/>
      <c r="P668" s="216"/>
      <c r="Q668" s="456">
        <f t="shared" ca="1" si="461"/>
        <v>1</v>
      </c>
      <c r="R668" s="450">
        <f t="shared" ca="1" si="462"/>
        <v>1</v>
      </c>
      <c r="S668" s="191">
        <f t="shared" si="463"/>
        <v>55</v>
      </c>
      <c r="T668" s="191">
        <f t="shared" si="464"/>
        <v>12</v>
      </c>
      <c r="U668" s="191">
        <f ca="1">OP!$D$5+$S668-1</f>
        <v>87</v>
      </c>
      <c r="V668" s="191">
        <f t="shared" si="465"/>
        <v>55</v>
      </c>
      <c r="W668" s="350">
        <f ca="1">IF(Q668&lt;&gt;1,0,VLOOKUP(OP!$C$55,PVFB,$S668+2,0))</f>
        <v>77918</v>
      </c>
      <c r="X668" s="473">
        <f t="shared" ca="1" si="478"/>
        <v>18711</v>
      </c>
      <c r="Y668" s="348">
        <f t="shared" ca="1" si="479"/>
        <v>0</v>
      </c>
      <c r="Z668" s="348">
        <f t="shared" ca="1" si="480"/>
        <v>8012</v>
      </c>
      <c r="AA668" s="348">
        <f ca="1">IF(Q668&lt;&gt;1,0,VLOOKUP(OP!$C$55,PVFB,$S668+2,0))</f>
        <v>77918</v>
      </c>
      <c r="AB668" s="488">
        <f ca="1">IF(AND(S668&lt;OP!$C$24,$U668&lt;15),0,IF(AND($U668&lt;15,$T668=12),ROUND(VLOOKUP($S668,DOWN16,5,0),3),IF($T668=12,ROUND(($Z668/10000)*$AA668,3)+IF(AND($P$7="購買增額繳清保險",T668=12,U668=110),VLOOKUP(S668,$B$10:$H$121,7,0),0),"")))</f>
        <v>62427.902000000002</v>
      </c>
      <c r="AC668" s="350">
        <f ca="1">IF(AND(S668&lt;OP!$C$24,$U668&lt;15),0,IF(AND($U668&lt;16,$T668=12),VLOOKUP($S668,DOWN16,4,0),IF($T668=12,ROUND(VLOOKUP(OP!$C$55,_DIE2,$S668+1,0)*(Z668/10000),0)+IF(AND($P$7="購買增額繳清保險",T668=12,U668=110),VLOOKUP(S668,$B$10:$H$121,7,0),0),"")))</f>
        <v>62974</v>
      </c>
      <c r="AD668" s="347"/>
      <c r="AE668" s="350" t="str">
        <f t="shared" ca="1" si="455"/>
        <v/>
      </c>
      <c r="AF668" s="351" t="str">
        <f t="shared" ca="1" si="456"/>
        <v/>
      </c>
      <c r="AG668" s="340"/>
      <c r="AH668" s="340"/>
      <c r="AI668" s="340"/>
      <c r="AJ668" s="340"/>
      <c r="AK668" s="340"/>
      <c r="AL668" s="340"/>
      <c r="AM668" s="340"/>
      <c r="AN668" s="340"/>
      <c r="AO668" s="340"/>
      <c r="AP668" s="340"/>
      <c r="AQ668" s="340"/>
      <c r="AR668" s="340"/>
      <c r="AS668" s="340"/>
      <c r="AT668" s="340"/>
      <c r="AU668" s="340"/>
      <c r="AV668" s="340"/>
      <c r="AY668" s="340"/>
      <c r="AZ668" s="465">
        <f t="shared" ca="1" si="466"/>
        <v>7.3698599999999999E-5</v>
      </c>
      <c r="BA668" s="464">
        <f t="shared" ca="1" si="467"/>
        <v>2.2109589000000002E-3</v>
      </c>
      <c r="BB668" s="465">
        <f t="shared" ca="1" si="467"/>
        <v>2.2846575E-3</v>
      </c>
      <c r="BC668" s="466">
        <f t="shared" ca="1" si="468"/>
        <v>62945</v>
      </c>
      <c r="BD668" s="467">
        <f t="shared" ca="1" si="481"/>
        <v>62946</v>
      </c>
      <c r="BE668" s="467">
        <f t="shared" ca="1" si="469"/>
        <v>62975</v>
      </c>
      <c r="BF668" s="468">
        <f ca="1">IF(計算!$BC668&lt;OP!$C$3,0,BD668-BC668)</f>
        <v>1</v>
      </c>
      <c r="BG668" s="468">
        <f ca="1">IF($BE668&gt;DATE(YEAR($BD$9)+OP!$C$57,MONTH($BD$9),DAY($BD$9)),0,$BE668-$BD668+1)</f>
        <v>30</v>
      </c>
      <c r="BH668" s="469">
        <f t="shared" ca="1" si="470"/>
        <v>31</v>
      </c>
      <c r="BI668" t="str">
        <f t="shared" si="486"/>
        <v/>
      </c>
      <c r="BJ668">
        <v>11</v>
      </c>
      <c r="BN668" s="468">
        <f t="shared" si="482"/>
        <v>55</v>
      </c>
      <c r="BO668" s="468">
        <f t="shared" si="483"/>
        <v>11</v>
      </c>
      <c r="BP668" s="467">
        <f t="shared" ca="1" si="471"/>
        <v>62946</v>
      </c>
      <c r="BQ668" s="475">
        <f t="shared" ca="1" si="485"/>
        <v>87</v>
      </c>
      <c r="BR668" s="475" t="str">
        <f t="shared" si="484"/>
        <v/>
      </c>
      <c r="BS668" s="471" t="str">
        <f t="shared" si="472"/>
        <v/>
      </c>
      <c r="BT668" s="472" t="str">
        <f t="shared" si="487"/>
        <v/>
      </c>
      <c r="BU668" s="472">
        <f t="shared" ca="1" si="473"/>
        <v>0</v>
      </c>
      <c r="BV668" s="472">
        <f t="shared" ca="1" si="473"/>
        <v>0</v>
      </c>
      <c r="BW668" s="472"/>
      <c r="BX668" s="473">
        <f t="shared" ca="1" si="474"/>
        <v>1084286.0556387</v>
      </c>
      <c r="BY668" s="473">
        <f t="shared" si="475"/>
        <v>0</v>
      </c>
      <c r="BZ668" s="473">
        <f t="shared" ca="1" si="457"/>
        <v>2477.22226916</v>
      </c>
      <c r="CA668" s="476">
        <f t="shared" ca="1" si="476"/>
        <v>0</v>
      </c>
      <c r="CB668" s="494">
        <f ca="1">IF(OR($Q667&lt;&gt;1,OP!$D$5+$BN668-1&lt;16,$BN668-1&lt;1),0,ROUND(ROUND(ROUND(((VLOOKUP($BN668-1,MORE_PV,5,0)/10000)*VLOOKUP($BN668,MORE_PV,$CB$5,0)),3)*VLOOKUP($BN668,more1,5,0),0)/$R667,0))</f>
        <v>0</v>
      </c>
      <c r="CC668" s="473">
        <f t="shared" ca="1" si="477"/>
        <v>0</v>
      </c>
      <c r="CD668" s="477"/>
    </row>
    <row r="669" spans="2:82" ht="16.5" hidden="1">
      <c r="B669" s="80"/>
      <c r="C669" s="80"/>
      <c r="D669" s="80"/>
      <c r="E669" s="80"/>
      <c r="F669" s="80"/>
      <c r="G669" s="80"/>
      <c r="H669" s="80"/>
      <c r="I669" s="80"/>
      <c r="J669" s="192">
        <f t="shared" si="458"/>
        <v>56</v>
      </c>
      <c r="K669" s="192">
        <f t="shared" si="459"/>
        <v>1</v>
      </c>
      <c r="L669" s="192" t="str">
        <f t="shared" si="454"/>
        <v/>
      </c>
      <c r="M669" s="216">
        <f t="shared" ca="1" si="460"/>
        <v>0</v>
      </c>
      <c r="N669" s="216"/>
      <c r="O669" s="216"/>
      <c r="P669" s="216"/>
      <c r="Q669" s="456" t="str">
        <f t="shared" ca="1" si="461"/>
        <v/>
      </c>
      <c r="R669" s="450">
        <f t="shared" ca="1" si="462"/>
        <v>1</v>
      </c>
      <c r="S669" s="191">
        <f t="shared" si="463"/>
        <v>56</v>
      </c>
      <c r="T669" s="191">
        <f t="shared" si="464"/>
        <v>1</v>
      </c>
      <c r="U669" s="191">
        <f ca="1">OP!$D$5+$S669-1</f>
        <v>88</v>
      </c>
      <c r="V669" s="191" t="str">
        <f t="shared" si="465"/>
        <v/>
      </c>
      <c r="W669" s="350">
        <f ca="1">IF(Q669&lt;&gt;1,0,VLOOKUP(OP!$C$55,PVFB,$S669+2,0))</f>
        <v>0</v>
      </c>
      <c r="X669" s="473">
        <f t="shared" ca="1" si="478"/>
        <v>0</v>
      </c>
      <c r="Y669" s="348">
        <f t="shared" ca="1" si="479"/>
        <v>0</v>
      </c>
      <c r="Z669" s="348">
        <f t="shared" ca="1" si="480"/>
        <v>8012</v>
      </c>
      <c r="AA669" s="348">
        <f ca="1">IF(Q669&lt;&gt;1,0,VLOOKUP(OP!$C$55,PVFB,$S669+2,0))</f>
        <v>0</v>
      </c>
      <c r="AB669" s="488" t="str">
        <f ca="1">IF(AND(S669&lt;OP!$C$24,$U669&lt;15),0,IF(AND($U669&lt;15,$T669=12),ROUND(VLOOKUP($S669,DOWN16,5,0),3),IF($T669=12,ROUND(($Z669/10000)*$AA669,3)+IF(AND($P$7="購買增額繳清保險",T669=12,U669=110),VLOOKUP(S669,$B$10:$H$121,7,0),0),"")))</f>
        <v/>
      </c>
      <c r="AC669" s="350" t="str">
        <f ca="1">IF(AND(S669&lt;OP!$C$24,$U669&lt;15),0,IF(AND($U669&lt;16,$T669=12),VLOOKUP($S669,DOWN16,4,0),IF($T669=12,ROUND(VLOOKUP(OP!$C$55,_DIE2,$S669+1,0)*(Z669/10000),0)+IF(AND($P$7="購買增額繳清保險",T669=12,U669=110),VLOOKUP(S669,$B$10:$H$121,7,0),0),"")))</f>
        <v/>
      </c>
      <c r="AD669" s="347"/>
      <c r="AE669" s="350" t="str">
        <f t="shared" ca="1" si="455"/>
        <v/>
      </c>
      <c r="AF669" s="351" t="str">
        <f t="shared" ca="1" si="456"/>
        <v/>
      </c>
      <c r="AG669" s="340"/>
      <c r="AH669" s="340"/>
      <c r="AI669" s="340"/>
      <c r="AJ669" s="340"/>
      <c r="AK669" s="340"/>
      <c r="AL669" s="340"/>
      <c r="AM669" s="340"/>
      <c r="AN669" s="340"/>
      <c r="AO669" s="340"/>
      <c r="AP669" s="340"/>
      <c r="AQ669" s="340"/>
      <c r="AR669" s="340"/>
      <c r="AS669" s="340"/>
      <c r="AT669" s="340"/>
      <c r="AU669" s="340"/>
      <c r="AV669" s="340"/>
      <c r="AY669" s="340"/>
      <c r="AZ669" s="465">
        <f t="shared" ca="1" si="466"/>
        <v>7.3698599999999999E-5</v>
      </c>
      <c r="BA669" s="464">
        <f t="shared" ca="1" si="467"/>
        <v>2.1372602999999999E-3</v>
      </c>
      <c r="BB669" s="465">
        <f t="shared" ca="1" si="467"/>
        <v>2.2109589000000002E-3</v>
      </c>
      <c r="BC669" s="466">
        <f t="shared" ca="1" si="468"/>
        <v>62976</v>
      </c>
      <c r="BD669" s="467">
        <f t="shared" ca="1" si="481"/>
        <v>62977</v>
      </c>
      <c r="BE669" s="467">
        <f t="shared" ca="1" si="469"/>
        <v>63005</v>
      </c>
      <c r="BF669" s="468">
        <f ca="1">IF(計算!$BC669&lt;OP!$C$3,0,BD669-BC669)</f>
        <v>1</v>
      </c>
      <c r="BG669" s="468">
        <f ca="1">IF($BE669&gt;DATE(YEAR($BD$9)+OP!$C$57,MONTH($BD$9),DAY($BD$9)),0,$BE669-$BD669+1)</f>
        <v>29</v>
      </c>
      <c r="BH669" s="469">
        <f t="shared" ca="1" si="470"/>
        <v>30</v>
      </c>
      <c r="BI669">
        <f t="shared" ca="1" si="486"/>
        <v>366</v>
      </c>
      <c r="BJ669">
        <v>12</v>
      </c>
      <c r="BN669" s="468">
        <f t="shared" si="482"/>
        <v>55</v>
      </c>
      <c r="BO669" s="468">
        <f t="shared" si="483"/>
        <v>12</v>
      </c>
      <c r="BP669" s="467">
        <f t="shared" ca="1" si="471"/>
        <v>62977</v>
      </c>
      <c r="BQ669" s="475">
        <f t="shared" ca="1" si="485"/>
        <v>87</v>
      </c>
      <c r="BR669" s="475">
        <f t="shared" si="484"/>
        <v>55</v>
      </c>
      <c r="BS669" s="471">
        <f t="shared" ca="1" si="472"/>
        <v>18711</v>
      </c>
      <c r="BT669" s="472">
        <f t="shared" ca="1" si="487"/>
        <v>1105553</v>
      </c>
      <c r="BU669" s="472">
        <f t="shared" ca="1" si="473"/>
        <v>18280</v>
      </c>
      <c r="BV669" s="472">
        <f t="shared" ca="1" si="473"/>
        <v>431</v>
      </c>
      <c r="BW669" s="472">
        <f ca="1">ROUND(SUM(BY669,BZ657:BZ668),0)</f>
        <v>28892</v>
      </c>
      <c r="BX669" s="473">
        <f t="shared" ca="1" si="474"/>
        <v>1105554.37083997</v>
      </c>
      <c r="BY669" s="473">
        <f t="shared" ca="1" si="475"/>
        <v>80.092932113000003</v>
      </c>
      <c r="BZ669" s="473">
        <f t="shared" ca="1" si="457"/>
        <v>2362.8574662880001</v>
      </c>
      <c r="CA669" s="476">
        <f t="shared" ca="1" si="476"/>
        <v>18280</v>
      </c>
      <c r="CB669" s="494">
        <f ca="1">IF(OR($Q668&lt;&gt;1,OP!$D$5+$BN669-1&lt;16,$BN669-1&lt;1),0,ROUND(ROUND(ROUND(((VLOOKUP($BN669-1,MORE_PV,5,0)/10000)*VLOOKUP($BN669,MORE_PV,$CB$5,0)),3)*VLOOKUP($BN669,more1,5,0),0)/$R668,0))</f>
        <v>431</v>
      </c>
      <c r="CC669" s="473">
        <f t="shared" ca="1" si="477"/>
        <v>0</v>
      </c>
      <c r="CD669" s="477"/>
    </row>
    <row r="670" spans="2:82" ht="16.5" hidden="1">
      <c r="B670" s="80"/>
      <c r="C670" s="80"/>
      <c r="D670" s="80"/>
      <c r="E670" s="80"/>
      <c r="F670" s="80"/>
      <c r="G670" s="80"/>
      <c r="H670" s="80"/>
      <c r="I670" s="80"/>
      <c r="J670" s="192">
        <f t="shared" si="458"/>
        <v>56</v>
      </c>
      <c r="K670" s="192">
        <f t="shared" si="459"/>
        <v>2</v>
      </c>
      <c r="L670" s="192" t="str">
        <f t="shared" si="454"/>
        <v/>
      </c>
      <c r="M670" s="216">
        <f t="shared" ca="1" si="460"/>
        <v>0</v>
      </c>
      <c r="N670" s="216"/>
      <c r="O670" s="216"/>
      <c r="P670" s="216"/>
      <c r="Q670" s="456" t="str">
        <f t="shared" ca="1" si="461"/>
        <v/>
      </c>
      <c r="R670" s="450">
        <f t="shared" ca="1" si="462"/>
        <v>1</v>
      </c>
      <c r="S670" s="191">
        <f t="shared" si="463"/>
        <v>56</v>
      </c>
      <c r="T670" s="191">
        <f t="shared" si="464"/>
        <v>2</v>
      </c>
      <c r="U670" s="191">
        <f ca="1">OP!$D$5+$S670-1</f>
        <v>88</v>
      </c>
      <c r="V670" s="191" t="str">
        <f t="shared" si="465"/>
        <v/>
      </c>
      <c r="W670" s="350">
        <f ca="1">IF(Q670&lt;&gt;1,0,VLOOKUP(OP!$C$55,PVFB,$S670+2,0))</f>
        <v>0</v>
      </c>
      <c r="X670" s="473">
        <f t="shared" ca="1" si="478"/>
        <v>0</v>
      </c>
      <c r="Y670" s="348">
        <f t="shared" ca="1" si="479"/>
        <v>0</v>
      </c>
      <c r="Z670" s="348">
        <f t="shared" ca="1" si="480"/>
        <v>8012</v>
      </c>
      <c r="AA670" s="348">
        <f ca="1">IF(Q670&lt;&gt;1,0,VLOOKUP(OP!$C$55,PVFB,$S670+2,0))</f>
        <v>0</v>
      </c>
      <c r="AB670" s="488" t="str">
        <f ca="1">IF(AND(S670&lt;OP!$C$24,$U670&lt;15),0,IF(AND($U670&lt;15,$T670=12),ROUND(VLOOKUP($S670,DOWN16,5,0),3),IF($T670=12,ROUND(($Z670/10000)*$AA670,3)+IF(AND($P$7="購買增額繳清保險",T670=12,U670=110),VLOOKUP(S670,$B$10:$H$121,7,0),0),"")))</f>
        <v/>
      </c>
      <c r="AC670" s="350" t="str">
        <f ca="1">IF(AND(S670&lt;OP!$C$24,$U670&lt;15),0,IF(AND($U670&lt;16,$T670=12),VLOOKUP($S670,DOWN16,4,0),IF($T670=12,ROUND(VLOOKUP(OP!$C$55,_DIE2,$S670+1,0)*(Z670/10000),0)+IF(AND($P$7="購買增額繳清保險",T670=12,U670=110),VLOOKUP(S670,$B$10:$H$121,7,0),0),"")))</f>
        <v/>
      </c>
      <c r="AD670" s="347"/>
      <c r="AE670" s="350" t="str">
        <f t="shared" ca="1" si="455"/>
        <v/>
      </c>
      <c r="AF670" s="351" t="str">
        <f t="shared" ca="1" si="456"/>
        <v/>
      </c>
      <c r="AG670" s="340"/>
      <c r="AH670" s="340"/>
      <c r="AI670" s="340"/>
      <c r="AJ670" s="340"/>
      <c r="AK670" s="340"/>
      <c r="AL670" s="340"/>
      <c r="AM670" s="340"/>
      <c r="AN670" s="340"/>
      <c r="AO670" s="340"/>
      <c r="AP670" s="340"/>
      <c r="AQ670" s="340"/>
      <c r="AR670" s="340"/>
      <c r="AS670" s="340"/>
      <c r="AT670" s="340"/>
      <c r="AU670" s="340"/>
      <c r="AV670" s="340"/>
      <c r="AY670" s="340"/>
      <c r="AZ670" s="465">
        <f t="shared" ca="1" si="466"/>
        <v>7.3698599999999999E-5</v>
      </c>
      <c r="BA670" s="464">
        <f t="shared" ca="1" si="467"/>
        <v>2.2109589000000002E-3</v>
      </c>
      <c r="BB670" s="465">
        <f t="shared" ca="1" si="467"/>
        <v>2.2846575E-3</v>
      </c>
      <c r="BC670" s="466">
        <f t="shared" ca="1" si="468"/>
        <v>63006</v>
      </c>
      <c r="BD670" s="467">
        <f t="shared" ca="1" si="481"/>
        <v>63007</v>
      </c>
      <c r="BE670" s="467">
        <f t="shared" ca="1" si="469"/>
        <v>63036</v>
      </c>
      <c r="BF670" s="468">
        <f ca="1">IF(計算!$BC670&lt;OP!$C$3,0,BD670-BC670)</f>
        <v>1</v>
      </c>
      <c r="BG670" s="468">
        <f ca="1">IF($BE670&gt;DATE(YEAR($BD$9)+OP!$C$57,MONTH($BD$9),DAY($BD$9)),0,$BE670-$BD670+1)</f>
        <v>30</v>
      </c>
      <c r="BH670" s="469">
        <f t="shared" ca="1" si="470"/>
        <v>31</v>
      </c>
      <c r="BI670" t="str">
        <f t="shared" si="486"/>
        <v/>
      </c>
      <c r="BJ670">
        <v>1</v>
      </c>
      <c r="BN670" s="468">
        <f t="shared" si="482"/>
        <v>56</v>
      </c>
      <c r="BO670" s="468">
        <f t="shared" si="483"/>
        <v>1</v>
      </c>
      <c r="BP670" s="467">
        <f t="shared" ca="1" si="471"/>
        <v>63007</v>
      </c>
      <c r="BQ670" s="475">
        <f t="shared" ca="1" si="485"/>
        <v>88</v>
      </c>
      <c r="BR670" s="475" t="str">
        <f t="shared" si="484"/>
        <v/>
      </c>
      <c r="BS670" s="471" t="str">
        <f t="shared" si="472"/>
        <v/>
      </c>
      <c r="BT670" s="472" t="str">
        <f t="shared" si="487"/>
        <v/>
      </c>
      <c r="BU670" s="472">
        <f t="shared" ca="1" si="473"/>
        <v>0</v>
      </c>
      <c r="BV670" s="472">
        <f t="shared" ca="1" si="473"/>
        <v>0</v>
      </c>
      <c r="BW670" s="472"/>
      <c r="BX670" s="473">
        <f t="shared" ca="1" si="474"/>
        <v>1107917.22830626</v>
      </c>
      <c r="BY670" s="473">
        <f t="shared" si="475"/>
        <v>0</v>
      </c>
      <c r="BZ670" s="473">
        <f t="shared" ca="1" si="457"/>
        <v>2531.2114050290002</v>
      </c>
      <c r="CA670" s="476">
        <f t="shared" ca="1" si="476"/>
        <v>0</v>
      </c>
      <c r="CB670" s="494">
        <f ca="1">IF(OR($Q669&lt;&gt;1,OP!$D$5+$BN670-1&lt;16,$BN670-1&lt;1),0,ROUND(ROUND(ROUND(((VLOOKUP($BN670-1,MORE_PV,5,0)/10000)*VLOOKUP($BN670,MORE_PV,$CB$5,0)),3)*VLOOKUP($BN670,more1,5,0),0)/$R669,0))</f>
        <v>0</v>
      </c>
      <c r="CC670" s="473">
        <f t="shared" ca="1" si="477"/>
        <v>0</v>
      </c>
      <c r="CD670" s="477"/>
    </row>
    <row r="671" spans="2:82" ht="16.5" hidden="1">
      <c r="B671" s="80"/>
      <c r="C671" s="80"/>
      <c r="D671" s="80"/>
      <c r="E671" s="80"/>
      <c r="F671" s="80"/>
      <c r="G671" s="80"/>
      <c r="H671" s="80"/>
      <c r="I671" s="80"/>
      <c r="J671" s="192">
        <f t="shared" si="458"/>
        <v>56</v>
      </c>
      <c r="K671" s="192">
        <f t="shared" si="459"/>
        <v>3</v>
      </c>
      <c r="L671" s="192" t="str">
        <f t="shared" si="454"/>
        <v/>
      </c>
      <c r="M671" s="216">
        <f t="shared" ca="1" si="460"/>
        <v>0</v>
      </c>
      <c r="N671" s="216"/>
      <c r="O671" s="216"/>
      <c r="P671" s="216"/>
      <c r="Q671" s="456" t="str">
        <f t="shared" ca="1" si="461"/>
        <v/>
      </c>
      <c r="R671" s="450">
        <f t="shared" ca="1" si="462"/>
        <v>1</v>
      </c>
      <c r="S671" s="191">
        <f t="shared" si="463"/>
        <v>56</v>
      </c>
      <c r="T671" s="191">
        <f t="shared" si="464"/>
        <v>3</v>
      </c>
      <c r="U671" s="191">
        <f ca="1">OP!$D$5+$S671-1</f>
        <v>88</v>
      </c>
      <c r="V671" s="191" t="str">
        <f t="shared" si="465"/>
        <v/>
      </c>
      <c r="W671" s="350">
        <f ca="1">IF(Q671&lt;&gt;1,0,VLOOKUP(OP!$C$55,PVFB,$S671+2,0))</f>
        <v>0</v>
      </c>
      <c r="X671" s="473">
        <f t="shared" ca="1" si="478"/>
        <v>0</v>
      </c>
      <c r="Y671" s="348">
        <f t="shared" ca="1" si="479"/>
        <v>0</v>
      </c>
      <c r="Z671" s="348">
        <f t="shared" ca="1" si="480"/>
        <v>8012</v>
      </c>
      <c r="AA671" s="348">
        <f ca="1">IF(Q671&lt;&gt;1,0,VLOOKUP(OP!$C$55,PVFB,$S671+2,0))</f>
        <v>0</v>
      </c>
      <c r="AB671" s="488" t="str">
        <f ca="1">IF(AND(S671&lt;OP!$C$24,$U671&lt;15),0,IF(AND($U671&lt;15,$T671=12),ROUND(VLOOKUP($S671,DOWN16,5,0),3),IF($T671=12,ROUND(($Z671/10000)*$AA671,3)+IF(AND($P$7="購買增額繳清保險",T671=12,U671=110),VLOOKUP(S671,$B$10:$H$121,7,0),0),"")))</f>
        <v/>
      </c>
      <c r="AC671" s="350" t="str">
        <f ca="1">IF(AND(S671&lt;OP!$C$24,$U671&lt;15),0,IF(AND($U671&lt;16,$T671=12),VLOOKUP($S671,DOWN16,4,0),IF($T671=12,ROUND(VLOOKUP(OP!$C$55,_DIE2,$S671+1,0)*(Z671/10000),0)+IF(AND($P$7="購買增額繳清保險",T671=12,U671=110),VLOOKUP(S671,$B$10:$H$121,7,0),0),"")))</f>
        <v/>
      </c>
      <c r="AD671" s="347"/>
      <c r="AE671" s="350" t="str">
        <f t="shared" ca="1" si="455"/>
        <v/>
      </c>
      <c r="AF671" s="351" t="str">
        <f t="shared" ca="1" si="456"/>
        <v/>
      </c>
      <c r="AG671" s="340"/>
      <c r="AH671" s="340"/>
      <c r="AI671" s="340"/>
      <c r="AJ671" s="340"/>
      <c r="AK671" s="340"/>
      <c r="AL671" s="340"/>
      <c r="AM671" s="340"/>
      <c r="AN671" s="340"/>
      <c r="AO671" s="340"/>
      <c r="AP671" s="340"/>
      <c r="AQ671" s="340"/>
      <c r="AR671" s="340"/>
      <c r="AS671" s="340"/>
      <c r="AT671" s="340"/>
      <c r="AU671" s="340"/>
      <c r="AV671" s="340"/>
      <c r="AY671" s="340"/>
      <c r="AZ671" s="465">
        <f t="shared" ca="1" si="466"/>
        <v>7.3698599999999999E-5</v>
      </c>
      <c r="BA671" s="464">
        <f t="shared" ca="1" si="467"/>
        <v>2.2109589000000002E-3</v>
      </c>
      <c r="BB671" s="465">
        <f t="shared" ca="1" si="467"/>
        <v>2.2846575E-3</v>
      </c>
      <c r="BC671" s="466">
        <f t="shared" ca="1" si="468"/>
        <v>63037</v>
      </c>
      <c r="BD671" s="467">
        <f t="shared" ca="1" si="481"/>
        <v>63038</v>
      </c>
      <c r="BE671" s="467">
        <f t="shared" ca="1" si="469"/>
        <v>63067</v>
      </c>
      <c r="BF671" s="468">
        <f ca="1">IF(計算!$BC671&lt;OP!$C$3,0,BD671-BC671)</f>
        <v>1</v>
      </c>
      <c r="BG671" s="468">
        <f ca="1">IF($BE671&gt;DATE(YEAR($BD$9)+OP!$C$57,MONTH($BD$9),DAY($BD$9)),0,$BE671-$BD671+1)</f>
        <v>30</v>
      </c>
      <c r="BH671" s="469">
        <f t="shared" ca="1" si="470"/>
        <v>31</v>
      </c>
      <c r="BI671" t="str">
        <f t="shared" si="486"/>
        <v/>
      </c>
      <c r="BJ671">
        <v>2</v>
      </c>
      <c r="BN671" s="468">
        <f t="shared" si="482"/>
        <v>56</v>
      </c>
      <c r="BO671" s="468">
        <f t="shared" si="483"/>
        <v>2</v>
      </c>
      <c r="BP671" s="467">
        <f t="shared" ca="1" si="471"/>
        <v>63038</v>
      </c>
      <c r="BQ671" s="475">
        <f t="shared" ca="1" si="485"/>
        <v>88</v>
      </c>
      <c r="BR671" s="475" t="str">
        <f t="shared" si="484"/>
        <v/>
      </c>
      <c r="BS671" s="471" t="str">
        <f t="shared" si="472"/>
        <v/>
      </c>
      <c r="BT671" s="472" t="str">
        <f t="shared" si="487"/>
        <v/>
      </c>
      <c r="BU671" s="472">
        <f t="shared" ca="1" si="473"/>
        <v>0</v>
      </c>
      <c r="BV671" s="472">
        <f t="shared" ca="1" si="473"/>
        <v>0</v>
      </c>
      <c r="BW671" s="472"/>
      <c r="BX671" s="473">
        <f t="shared" ca="1" si="474"/>
        <v>1110448.4397112899</v>
      </c>
      <c r="BY671" s="473">
        <f t="shared" si="475"/>
        <v>0</v>
      </c>
      <c r="BZ671" s="473">
        <f t="shared" ca="1" si="457"/>
        <v>2536.9943561499999</v>
      </c>
      <c r="CA671" s="476">
        <f t="shared" ca="1" si="476"/>
        <v>0</v>
      </c>
      <c r="CB671" s="494">
        <f ca="1">IF(OR($Q670&lt;&gt;1,OP!$D$5+$BN671-1&lt;16,$BN671-1&lt;1),0,ROUND(ROUND(ROUND(((VLOOKUP($BN671-1,MORE_PV,5,0)/10000)*VLOOKUP($BN671,MORE_PV,$CB$5,0)),3)*VLOOKUP($BN671,more1,5,0),0)/$R670,0))</f>
        <v>0</v>
      </c>
      <c r="CC671" s="473">
        <f t="shared" ca="1" si="477"/>
        <v>0</v>
      </c>
      <c r="CD671" s="477"/>
    </row>
    <row r="672" spans="2:82" ht="16.5" hidden="1">
      <c r="B672" s="80"/>
      <c r="C672" s="80"/>
      <c r="D672" s="80"/>
      <c r="E672" s="80"/>
      <c r="F672" s="80"/>
      <c r="G672" s="80"/>
      <c r="H672" s="80"/>
      <c r="I672" s="80"/>
      <c r="J672" s="192">
        <f t="shared" si="458"/>
        <v>56</v>
      </c>
      <c r="K672" s="192">
        <f t="shared" si="459"/>
        <v>4</v>
      </c>
      <c r="L672" s="192" t="str">
        <f t="shared" si="454"/>
        <v/>
      </c>
      <c r="M672" s="216">
        <f t="shared" ca="1" si="460"/>
        <v>0</v>
      </c>
      <c r="N672" s="216"/>
      <c r="O672" s="216"/>
      <c r="P672" s="216"/>
      <c r="Q672" s="456" t="str">
        <f t="shared" ca="1" si="461"/>
        <v/>
      </c>
      <c r="R672" s="450">
        <f t="shared" ca="1" si="462"/>
        <v>1</v>
      </c>
      <c r="S672" s="191">
        <f t="shared" si="463"/>
        <v>56</v>
      </c>
      <c r="T672" s="191">
        <f t="shared" si="464"/>
        <v>4</v>
      </c>
      <c r="U672" s="191">
        <f ca="1">OP!$D$5+$S672-1</f>
        <v>88</v>
      </c>
      <c r="V672" s="191" t="str">
        <f t="shared" si="465"/>
        <v/>
      </c>
      <c r="W672" s="350">
        <f ca="1">IF(Q672&lt;&gt;1,0,VLOOKUP(OP!$C$55,PVFB,$S672+2,0))</f>
        <v>0</v>
      </c>
      <c r="X672" s="473">
        <f t="shared" ca="1" si="478"/>
        <v>0</v>
      </c>
      <c r="Y672" s="348">
        <f t="shared" ca="1" si="479"/>
        <v>0</v>
      </c>
      <c r="Z672" s="348">
        <f t="shared" ca="1" si="480"/>
        <v>8012</v>
      </c>
      <c r="AA672" s="348">
        <f ca="1">IF(Q672&lt;&gt;1,0,VLOOKUP(OP!$C$55,PVFB,$S672+2,0))</f>
        <v>0</v>
      </c>
      <c r="AB672" s="488" t="str">
        <f ca="1">IF(AND(S672&lt;OP!$C$24,$U672&lt;15),0,IF(AND($U672&lt;15,$T672=12),ROUND(VLOOKUP($S672,DOWN16,5,0),3),IF($T672=12,ROUND(($Z672/10000)*$AA672,3)+IF(AND($P$7="購買增額繳清保險",T672=12,U672=110),VLOOKUP(S672,$B$10:$H$121,7,0),0),"")))</f>
        <v/>
      </c>
      <c r="AC672" s="350" t="str">
        <f ca="1">IF(AND(S672&lt;OP!$C$24,$U672&lt;15),0,IF(AND($U672&lt;16,$T672=12),VLOOKUP($S672,DOWN16,4,0),IF($T672=12,ROUND(VLOOKUP(OP!$C$55,_DIE2,$S672+1,0)*(Z672/10000),0)+IF(AND($P$7="購買增額繳清保險",T672=12,U672=110),VLOOKUP(S672,$B$10:$H$121,7,0),0),"")))</f>
        <v/>
      </c>
      <c r="AD672" s="347"/>
      <c r="AE672" s="350" t="str">
        <f t="shared" ca="1" si="455"/>
        <v/>
      </c>
      <c r="AF672" s="351" t="str">
        <f t="shared" ca="1" si="456"/>
        <v/>
      </c>
      <c r="AG672" s="340"/>
      <c r="AH672" s="340"/>
      <c r="AI672" s="340"/>
      <c r="AJ672" s="340"/>
      <c r="AK672" s="340"/>
      <c r="AL672" s="340"/>
      <c r="AM672" s="340"/>
      <c r="AN672" s="340"/>
      <c r="AO672" s="340"/>
      <c r="AP672" s="340"/>
      <c r="AQ672" s="340"/>
      <c r="AR672" s="340"/>
      <c r="AS672" s="340"/>
      <c r="AT672" s="340"/>
      <c r="AU672" s="340"/>
      <c r="AV672" s="340"/>
      <c r="AY672" s="340"/>
      <c r="AZ672" s="465">
        <f t="shared" ca="1" si="466"/>
        <v>7.3698599999999999E-5</v>
      </c>
      <c r="BA672" s="464">
        <f t="shared" ca="1" si="467"/>
        <v>2.1372602999999999E-3</v>
      </c>
      <c r="BB672" s="465">
        <f t="shared" ca="1" si="467"/>
        <v>2.2109589000000002E-3</v>
      </c>
      <c r="BC672" s="466">
        <f t="shared" ca="1" si="468"/>
        <v>63068</v>
      </c>
      <c r="BD672" s="467">
        <f t="shared" ca="1" si="481"/>
        <v>63069</v>
      </c>
      <c r="BE672" s="467">
        <f t="shared" ca="1" si="469"/>
        <v>63097</v>
      </c>
      <c r="BF672" s="468">
        <f ca="1">IF(計算!$BC672&lt;OP!$C$3,0,BD672-BC672)</f>
        <v>1</v>
      </c>
      <c r="BG672" s="468">
        <f ca="1">IF($BE672&gt;DATE(YEAR($BD$9)+OP!$C$57,MONTH($BD$9),DAY($BD$9)),0,$BE672-$BD672+1)</f>
        <v>29</v>
      </c>
      <c r="BH672" s="469">
        <f t="shared" ca="1" si="470"/>
        <v>30</v>
      </c>
      <c r="BI672" t="str">
        <f t="shared" si="486"/>
        <v/>
      </c>
      <c r="BJ672">
        <v>3</v>
      </c>
      <c r="BN672" s="468">
        <f t="shared" si="482"/>
        <v>56</v>
      </c>
      <c r="BO672" s="468">
        <f t="shared" si="483"/>
        <v>3</v>
      </c>
      <c r="BP672" s="467">
        <f t="shared" ca="1" si="471"/>
        <v>63069</v>
      </c>
      <c r="BQ672" s="475">
        <f t="shared" ca="1" si="485"/>
        <v>88</v>
      </c>
      <c r="BR672" s="475" t="str">
        <f t="shared" si="484"/>
        <v/>
      </c>
      <c r="BS672" s="471" t="str">
        <f t="shared" si="472"/>
        <v/>
      </c>
      <c r="BT672" s="472" t="str">
        <f t="shared" si="487"/>
        <v/>
      </c>
      <c r="BU672" s="472">
        <f t="shared" ca="1" si="473"/>
        <v>0</v>
      </c>
      <c r="BV672" s="472">
        <f t="shared" ca="1" si="473"/>
        <v>0</v>
      </c>
      <c r="BW672" s="472"/>
      <c r="BX672" s="473">
        <f t="shared" ca="1" si="474"/>
        <v>1112985.43406744</v>
      </c>
      <c r="BY672" s="473">
        <f t="shared" si="475"/>
        <v>0</v>
      </c>
      <c r="BZ672" s="473">
        <f t="shared" ca="1" si="457"/>
        <v>2460.7650510220001</v>
      </c>
      <c r="CA672" s="476">
        <f t="shared" ca="1" si="476"/>
        <v>0</v>
      </c>
      <c r="CB672" s="494">
        <f ca="1">IF(OR($Q671&lt;&gt;1,OP!$D$5+$BN672-1&lt;16,$BN672-1&lt;1),0,ROUND(ROUND(ROUND(((VLOOKUP($BN672-1,MORE_PV,5,0)/10000)*VLOOKUP($BN672,MORE_PV,$CB$5,0)),3)*VLOOKUP($BN672,more1,5,0),0)/$R671,0))</f>
        <v>0</v>
      </c>
      <c r="CC672" s="473">
        <f t="shared" ca="1" si="477"/>
        <v>0</v>
      </c>
      <c r="CD672" s="477"/>
    </row>
    <row r="673" spans="2:82" ht="16.5" hidden="1">
      <c r="B673" s="80"/>
      <c r="C673" s="80"/>
      <c r="D673" s="80"/>
      <c r="E673" s="80"/>
      <c r="F673" s="80"/>
      <c r="G673" s="80"/>
      <c r="H673" s="80"/>
      <c r="I673" s="80"/>
      <c r="J673" s="192">
        <f t="shared" si="458"/>
        <v>56</v>
      </c>
      <c r="K673" s="192">
        <f t="shared" si="459"/>
        <v>5</v>
      </c>
      <c r="L673" s="192" t="str">
        <f t="shared" si="454"/>
        <v/>
      </c>
      <c r="M673" s="216">
        <f t="shared" ca="1" si="460"/>
        <v>0</v>
      </c>
      <c r="N673" s="216"/>
      <c r="O673" s="216"/>
      <c r="P673" s="216"/>
      <c r="Q673" s="456" t="str">
        <f t="shared" ca="1" si="461"/>
        <v/>
      </c>
      <c r="R673" s="450">
        <f t="shared" ca="1" si="462"/>
        <v>1</v>
      </c>
      <c r="S673" s="191">
        <f t="shared" si="463"/>
        <v>56</v>
      </c>
      <c r="T673" s="191">
        <f t="shared" si="464"/>
        <v>5</v>
      </c>
      <c r="U673" s="191">
        <f ca="1">OP!$D$5+$S673-1</f>
        <v>88</v>
      </c>
      <c r="V673" s="191" t="str">
        <f t="shared" si="465"/>
        <v/>
      </c>
      <c r="W673" s="350">
        <f ca="1">IF(Q673&lt;&gt;1,0,VLOOKUP(OP!$C$55,PVFB,$S673+2,0))</f>
        <v>0</v>
      </c>
      <c r="X673" s="473">
        <f t="shared" ca="1" si="478"/>
        <v>0</v>
      </c>
      <c r="Y673" s="348">
        <f t="shared" ca="1" si="479"/>
        <v>0</v>
      </c>
      <c r="Z673" s="348">
        <f t="shared" ca="1" si="480"/>
        <v>8012</v>
      </c>
      <c r="AA673" s="348">
        <f ca="1">IF(Q673&lt;&gt;1,0,VLOOKUP(OP!$C$55,PVFB,$S673+2,0))</f>
        <v>0</v>
      </c>
      <c r="AB673" s="488" t="str">
        <f ca="1">IF(AND(S673&lt;OP!$C$24,$U673&lt;15),0,IF(AND($U673&lt;15,$T673=12),ROUND(VLOOKUP($S673,DOWN16,5,0),3),IF($T673=12,ROUND(($Z673/10000)*$AA673,3)+IF(AND($P$7="購買增額繳清保險",T673=12,U673=110),VLOOKUP(S673,$B$10:$H$121,7,0),0),"")))</f>
        <v/>
      </c>
      <c r="AC673" s="350" t="str">
        <f ca="1">IF(AND(S673&lt;OP!$C$24,$U673&lt;15),0,IF(AND($U673&lt;16,$T673=12),VLOOKUP($S673,DOWN16,4,0),IF($T673=12,ROUND(VLOOKUP(OP!$C$55,_DIE2,$S673+1,0)*(Z673/10000),0)+IF(AND($P$7="購買增額繳清保險",T673=12,U673=110),VLOOKUP(S673,$B$10:$H$121,7,0),0),"")))</f>
        <v/>
      </c>
      <c r="AD673" s="347"/>
      <c r="AE673" s="350" t="str">
        <f t="shared" ca="1" si="455"/>
        <v/>
      </c>
      <c r="AF673" s="351" t="str">
        <f t="shared" ca="1" si="456"/>
        <v/>
      </c>
      <c r="AG673" s="340"/>
      <c r="AH673" s="340"/>
      <c r="AI673" s="340"/>
      <c r="AJ673" s="340"/>
      <c r="AK673" s="340"/>
      <c r="AL673" s="340"/>
      <c r="AM673" s="340"/>
      <c r="AN673" s="340"/>
      <c r="AO673" s="340"/>
      <c r="AP673" s="340"/>
      <c r="AQ673" s="340"/>
      <c r="AR673" s="340"/>
      <c r="AS673" s="340"/>
      <c r="AT673" s="340"/>
      <c r="AU673" s="340"/>
      <c r="AV673" s="340"/>
      <c r="AY673" s="340"/>
      <c r="AZ673" s="465">
        <f t="shared" ca="1" si="466"/>
        <v>7.3698599999999999E-5</v>
      </c>
      <c r="BA673" s="464">
        <f t="shared" ca="1" si="467"/>
        <v>2.2109589000000002E-3</v>
      </c>
      <c r="BB673" s="465">
        <f t="shared" ca="1" si="467"/>
        <v>2.2846575E-3</v>
      </c>
      <c r="BC673" s="466">
        <f t="shared" ca="1" si="468"/>
        <v>63098</v>
      </c>
      <c r="BD673" s="467">
        <f t="shared" ca="1" si="481"/>
        <v>63099</v>
      </c>
      <c r="BE673" s="467">
        <f t="shared" ca="1" si="469"/>
        <v>63128</v>
      </c>
      <c r="BF673" s="468">
        <f ca="1">IF(計算!$BC673&lt;OP!$C$3,0,BD673-BC673)</f>
        <v>1</v>
      </c>
      <c r="BG673" s="468">
        <f ca="1">IF($BE673&gt;DATE(YEAR($BD$9)+OP!$C$57,MONTH($BD$9),DAY($BD$9)),0,$BE673-$BD673+1)</f>
        <v>30</v>
      </c>
      <c r="BH673" s="469">
        <f t="shared" ca="1" si="470"/>
        <v>31</v>
      </c>
      <c r="BI673" t="str">
        <f t="shared" si="486"/>
        <v/>
      </c>
      <c r="BJ673">
        <v>4</v>
      </c>
      <c r="BN673" s="468">
        <f t="shared" si="482"/>
        <v>56</v>
      </c>
      <c r="BO673" s="468">
        <f t="shared" si="483"/>
        <v>4</v>
      </c>
      <c r="BP673" s="467">
        <f t="shared" ca="1" si="471"/>
        <v>63099</v>
      </c>
      <c r="BQ673" s="475">
        <f t="shared" ca="1" si="485"/>
        <v>88</v>
      </c>
      <c r="BR673" s="475" t="str">
        <f t="shared" si="484"/>
        <v/>
      </c>
      <c r="BS673" s="471" t="str">
        <f t="shared" si="472"/>
        <v/>
      </c>
      <c r="BT673" s="472" t="str">
        <f t="shared" si="487"/>
        <v/>
      </c>
      <c r="BU673" s="472">
        <f t="shared" ca="1" si="473"/>
        <v>0</v>
      </c>
      <c r="BV673" s="472">
        <f t="shared" ca="1" si="473"/>
        <v>0</v>
      </c>
      <c r="BW673" s="472"/>
      <c r="BX673" s="473">
        <f t="shared" ca="1" si="474"/>
        <v>1115446.1991184601</v>
      </c>
      <c r="BY673" s="473">
        <f t="shared" si="475"/>
        <v>0</v>
      </c>
      <c r="BZ673" s="473">
        <f t="shared" ca="1" si="457"/>
        <v>2548.4125246620001</v>
      </c>
      <c r="CA673" s="476">
        <f t="shared" ca="1" si="476"/>
        <v>0</v>
      </c>
      <c r="CB673" s="494">
        <f ca="1">IF(OR($Q672&lt;&gt;1,OP!$D$5+$BN673-1&lt;16,$BN673-1&lt;1),0,ROUND(ROUND(ROUND(((VLOOKUP($BN673-1,MORE_PV,5,0)/10000)*VLOOKUP($BN673,MORE_PV,$CB$5,0)),3)*VLOOKUP($BN673,more1,5,0),0)/$R672,0))</f>
        <v>0</v>
      </c>
      <c r="CC673" s="473">
        <f t="shared" ca="1" si="477"/>
        <v>0</v>
      </c>
      <c r="CD673" s="477"/>
    </row>
    <row r="674" spans="2:82" ht="16.5" hidden="1">
      <c r="B674" s="80"/>
      <c r="C674" s="80"/>
      <c r="D674" s="80"/>
      <c r="E674" s="80"/>
      <c r="F674" s="80"/>
      <c r="G674" s="80"/>
      <c r="H674" s="80"/>
      <c r="I674" s="80"/>
      <c r="J674" s="192">
        <f t="shared" si="458"/>
        <v>56</v>
      </c>
      <c r="K674" s="192">
        <f t="shared" si="459"/>
        <v>6</v>
      </c>
      <c r="L674" s="192" t="str">
        <f t="shared" si="454"/>
        <v/>
      </c>
      <c r="M674" s="216">
        <f t="shared" ca="1" si="460"/>
        <v>0</v>
      </c>
      <c r="N674" s="216"/>
      <c r="O674" s="216"/>
      <c r="P674" s="216"/>
      <c r="Q674" s="456" t="str">
        <f t="shared" ca="1" si="461"/>
        <v/>
      </c>
      <c r="R674" s="450">
        <f t="shared" ca="1" si="462"/>
        <v>1</v>
      </c>
      <c r="S674" s="191">
        <f t="shared" si="463"/>
        <v>56</v>
      </c>
      <c r="T674" s="191">
        <f t="shared" si="464"/>
        <v>6</v>
      </c>
      <c r="U674" s="191">
        <f ca="1">OP!$D$5+$S674-1</f>
        <v>88</v>
      </c>
      <c r="V674" s="191" t="str">
        <f t="shared" si="465"/>
        <v/>
      </c>
      <c r="W674" s="350">
        <f ca="1">IF(Q674&lt;&gt;1,0,VLOOKUP(OP!$C$55,PVFB,$S674+2,0))</f>
        <v>0</v>
      </c>
      <c r="X674" s="473">
        <f t="shared" ca="1" si="478"/>
        <v>0</v>
      </c>
      <c r="Y674" s="348">
        <f t="shared" ca="1" si="479"/>
        <v>0</v>
      </c>
      <c r="Z674" s="348">
        <f t="shared" ca="1" si="480"/>
        <v>8012</v>
      </c>
      <c r="AA674" s="348">
        <f ca="1">IF(Q674&lt;&gt;1,0,VLOOKUP(OP!$C$55,PVFB,$S674+2,0))</f>
        <v>0</v>
      </c>
      <c r="AB674" s="488" t="str">
        <f ca="1">IF(AND(S674&lt;OP!$C$24,$U674&lt;15),0,IF(AND($U674&lt;15,$T674=12),ROUND(VLOOKUP($S674,DOWN16,5,0),3),IF($T674=12,ROUND(($Z674/10000)*$AA674,3)+IF(AND($P$7="購買增額繳清保險",T674=12,U674=110),VLOOKUP(S674,$B$10:$H$121,7,0),0),"")))</f>
        <v/>
      </c>
      <c r="AC674" s="350" t="str">
        <f ca="1">IF(AND(S674&lt;OP!$C$24,$U674&lt;15),0,IF(AND($U674&lt;16,$T674=12),VLOOKUP($S674,DOWN16,4,0),IF($T674=12,ROUND(VLOOKUP(OP!$C$55,_DIE2,$S674+1,0)*(Z674/10000),0)+IF(AND($P$7="購買增額繳清保險",T674=12,U674=110),VLOOKUP(S674,$B$10:$H$121,7,0),0),"")))</f>
        <v/>
      </c>
      <c r="AD674" s="347"/>
      <c r="AE674" s="350" t="str">
        <f t="shared" ca="1" si="455"/>
        <v/>
      </c>
      <c r="AF674" s="351" t="str">
        <f t="shared" ca="1" si="456"/>
        <v/>
      </c>
      <c r="AG674" s="340"/>
      <c r="AH674" s="340"/>
      <c r="AI674" s="340"/>
      <c r="AJ674" s="340"/>
      <c r="AK674" s="340"/>
      <c r="AL674" s="340"/>
      <c r="AM674" s="340"/>
      <c r="AN674" s="340"/>
      <c r="AO674" s="340"/>
      <c r="AP674" s="340"/>
      <c r="AQ674" s="340"/>
      <c r="AR674" s="340"/>
      <c r="AS674" s="340"/>
      <c r="AT674" s="340"/>
      <c r="AU674" s="340"/>
      <c r="AV674" s="340"/>
      <c r="AY674" s="340"/>
      <c r="AZ674" s="465">
        <f t="shared" ca="1" si="466"/>
        <v>7.3698599999999999E-5</v>
      </c>
      <c r="BA674" s="464">
        <f t="shared" ca="1" si="467"/>
        <v>2.1372602999999999E-3</v>
      </c>
      <c r="BB674" s="465">
        <f t="shared" ca="1" si="467"/>
        <v>2.2109589000000002E-3</v>
      </c>
      <c r="BC674" s="466">
        <f t="shared" ca="1" si="468"/>
        <v>63129</v>
      </c>
      <c r="BD674" s="467">
        <f t="shared" ca="1" si="481"/>
        <v>63130</v>
      </c>
      <c r="BE674" s="467">
        <f t="shared" ca="1" si="469"/>
        <v>63158</v>
      </c>
      <c r="BF674" s="468">
        <f ca="1">IF(計算!$BC674&lt;OP!$C$3,0,BD674-BC674)</f>
        <v>1</v>
      </c>
      <c r="BG674" s="468">
        <f ca="1">IF($BE674&gt;DATE(YEAR($BD$9)+OP!$C$57,MONTH($BD$9),DAY($BD$9)),0,$BE674-$BD674+1)</f>
        <v>29</v>
      </c>
      <c r="BH674" s="469">
        <f t="shared" ca="1" si="470"/>
        <v>30</v>
      </c>
      <c r="BI674" t="str">
        <f t="shared" si="486"/>
        <v/>
      </c>
      <c r="BJ674">
        <v>5</v>
      </c>
      <c r="BN674" s="468">
        <f t="shared" si="482"/>
        <v>56</v>
      </c>
      <c r="BO674" s="468">
        <f t="shared" si="483"/>
        <v>5</v>
      </c>
      <c r="BP674" s="467">
        <f t="shared" ca="1" si="471"/>
        <v>63130</v>
      </c>
      <c r="BQ674" s="475">
        <f t="shared" ca="1" si="485"/>
        <v>88</v>
      </c>
      <c r="BR674" s="475" t="str">
        <f t="shared" si="484"/>
        <v/>
      </c>
      <c r="BS674" s="471" t="str">
        <f t="shared" si="472"/>
        <v/>
      </c>
      <c r="BT674" s="472" t="str">
        <f t="shared" si="487"/>
        <v/>
      </c>
      <c r="BU674" s="472">
        <f t="shared" ca="1" si="473"/>
        <v>0</v>
      </c>
      <c r="BV674" s="472">
        <f t="shared" ca="1" si="473"/>
        <v>0</v>
      </c>
      <c r="BW674" s="472"/>
      <c r="BX674" s="473">
        <f t="shared" ca="1" si="474"/>
        <v>1117994.6116431199</v>
      </c>
      <c r="BY674" s="473">
        <f t="shared" si="475"/>
        <v>0</v>
      </c>
      <c r="BZ674" s="473">
        <f t="shared" ca="1" si="457"/>
        <v>2471.8401367639999</v>
      </c>
      <c r="CA674" s="476">
        <f t="shared" ca="1" si="476"/>
        <v>0</v>
      </c>
      <c r="CB674" s="494">
        <f ca="1">IF(OR($Q673&lt;&gt;1,OP!$D$5+$BN674-1&lt;16,$BN674-1&lt;1),0,ROUND(ROUND(ROUND(((VLOOKUP($BN674-1,MORE_PV,5,0)/10000)*VLOOKUP($BN674,MORE_PV,$CB$5,0)),3)*VLOOKUP($BN674,more1,5,0),0)/$R673,0))</f>
        <v>0</v>
      </c>
      <c r="CC674" s="473">
        <f t="shared" ca="1" si="477"/>
        <v>0</v>
      </c>
      <c r="CD674" s="477"/>
    </row>
    <row r="675" spans="2:82" ht="16.5" hidden="1">
      <c r="B675" s="80"/>
      <c r="C675" s="80"/>
      <c r="D675" s="80"/>
      <c r="E675" s="80"/>
      <c r="F675" s="80"/>
      <c r="G675" s="80"/>
      <c r="H675" s="80"/>
      <c r="I675" s="80"/>
      <c r="J675" s="192">
        <f t="shared" si="458"/>
        <v>56</v>
      </c>
      <c r="K675" s="192">
        <f t="shared" si="459"/>
        <v>7</v>
      </c>
      <c r="L675" s="192" t="str">
        <f t="shared" si="454"/>
        <v/>
      </c>
      <c r="M675" s="216">
        <f t="shared" ca="1" si="460"/>
        <v>0</v>
      </c>
      <c r="N675" s="216"/>
      <c r="O675" s="216"/>
      <c r="P675" s="216"/>
      <c r="Q675" s="456" t="str">
        <f t="shared" ca="1" si="461"/>
        <v/>
      </c>
      <c r="R675" s="450">
        <f t="shared" ca="1" si="462"/>
        <v>1</v>
      </c>
      <c r="S675" s="191">
        <f t="shared" si="463"/>
        <v>56</v>
      </c>
      <c r="T675" s="191">
        <f t="shared" si="464"/>
        <v>7</v>
      </c>
      <c r="U675" s="191">
        <f ca="1">OP!$D$5+$S675-1</f>
        <v>88</v>
      </c>
      <c r="V675" s="191" t="str">
        <f t="shared" si="465"/>
        <v/>
      </c>
      <c r="W675" s="350">
        <f ca="1">IF(Q675&lt;&gt;1,0,VLOOKUP(OP!$C$55,PVFB,$S675+2,0))</f>
        <v>0</v>
      </c>
      <c r="X675" s="473">
        <f t="shared" ca="1" si="478"/>
        <v>0</v>
      </c>
      <c r="Y675" s="348">
        <f t="shared" ca="1" si="479"/>
        <v>0</v>
      </c>
      <c r="Z675" s="348">
        <f t="shared" ca="1" si="480"/>
        <v>8012</v>
      </c>
      <c r="AA675" s="348">
        <f ca="1">IF(Q675&lt;&gt;1,0,VLOOKUP(OP!$C$55,PVFB,$S675+2,0))</f>
        <v>0</v>
      </c>
      <c r="AB675" s="488" t="str">
        <f ca="1">IF(AND(S675&lt;OP!$C$24,$U675&lt;15),0,IF(AND($U675&lt;15,$T675=12),ROUND(VLOOKUP($S675,DOWN16,5,0),3),IF($T675=12,ROUND(($Z675/10000)*$AA675,3)+IF(AND($P$7="購買增額繳清保險",T675=12,U675=110),VLOOKUP(S675,$B$10:$H$121,7,0),0),"")))</f>
        <v/>
      </c>
      <c r="AC675" s="350" t="str">
        <f ca="1">IF(AND(S675&lt;OP!$C$24,$U675&lt;15),0,IF(AND($U675&lt;16,$T675=12),VLOOKUP($S675,DOWN16,4,0),IF($T675=12,ROUND(VLOOKUP(OP!$C$55,_DIE2,$S675+1,0)*(Z675/10000),0)+IF(AND($P$7="購買增額繳清保險",T675=12,U675=110),VLOOKUP(S675,$B$10:$H$121,7,0),0),"")))</f>
        <v/>
      </c>
      <c r="AD675" s="347"/>
      <c r="AE675" s="350" t="str">
        <f t="shared" ca="1" si="455"/>
        <v/>
      </c>
      <c r="AF675" s="351" t="str">
        <f t="shared" ca="1" si="456"/>
        <v/>
      </c>
      <c r="AG675" s="340"/>
      <c r="AH675" s="340"/>
      <c r="AI675" s="340"/>
      <c r="AJ675" s="340"/>
      <c r="AK675" s="340"/>
      <c r="AL675" s="340"/>
      <c r="AM675" s="340"/>
      <c r="AN675" s="340"/>
      <c r="AO675" s="340"/>
      <c r="AP675" s="340"/>
      <c r="AQ675" s="340"/>
      <c r="AR675" s="340"/>
      <c r="AS675" s="340"/>
      <c r="AT675" s="340"/>
      <c r="AU675" s="340"/>
      <c r="AV675" s="340"/>
      <c r="AY675" s="340"/>
      <c r="AZ675" s="465">
        <f t="shared" ca="1" si="466"/>
        <v>7.3698599999999999E-5</v>
      </c>
      <c r="BA675" s="464">
        <f t="shared" ca="1" si="467"/>
        <v>2.2109589000000002E-3</v>
      </c>
      <c r="BB675" s="465">
        <f t="shared" ca="1" si="467"/>
        <v>2.2846575E-3</v>
      </c>
      <c r="BC675" s="466">
        <f t="shared" ca="1" si="468"/>
        <v>63159</v>
      </c>
      <c r="BD675" s="467">
        <f t="shared" ca="1" si="481"/>
        <v>63160</v>
      </c>
      <c r="BE675" s="467">
        <f t="shared" ca="1" si="469"/>
        <v>63189</v>
      </c>
      <c r="BF675" s="468">
        <f ca="1">IF(計算!$BC675&lt;OP!$C$3,0,BD675-BC675)</f>
        <v>1</v>
      </c>
      <c r="BG675" s="468">
        <f ca="1">IF($BE675&gt;DATE(YEAR($BD$9)+OP!$C$57,MONTH($BD$9),DAY($BD$9)),0,$BE675-$BD675+1)</f>
        <v>30</v>
      </c>
      <c r="BH675" s="469">
        <f t="shared" ca="1" si="470"/>
        <v>31</v>
      </c>
      <c r="BI675" t="str">
        <f t="shared" si="486"/>
        <v/>
      </c>
      <c r="BJ675">
        <v>6</v>
      </c>
      <c r="BN675" s="468">
        <f t="shared" si="482"/>
        <v>56</v>
      </c>
      <c r="BO675" s="468">
        <f t="shared" si="483"/>
        <v>6</v>
      </c>
      <c r="BP675" s="467">
        <f t="shared" ca="1" si="471"/>
        <v>63160</v>
      </c>
      <c r="BQ675" s="475">
        <f t="shared" ca="1" si="485"/>
        <v>88</v>
      </c>
      <c r="BR675" s="475" t="str">
        <f t="shared" si="484"/>
        <v/>
      </c>
      <c r="BS675" s="471" t="str">
        <f t="shared" si="472"/>
        <v/>
      </c>
      <c r="BT675" s="472" t="str">
        <f t="shared" si="487"/>
        <v/>
      </c>
      <c r="BU675" s="472">
        <f t="shared" ca="1" si="473"/>
        <v>0</v>
      </c>
      <c r="BV675" s="472">
        <f t="shared" ca="1" si="473"/>
        <v>0</v>
      </c>
      <c r="BW675" s="472"/>
      <c r="BX675" s="473">
        <f t="shared" ca="1" si="474"/>
        <v>1120466.4517798801</v>
      </c>
      <c r="BY675" s="473">
        <f t="shared" si="475"/>
        <v>0</v>
      </c>
      <c r="BZ675" s="473">
        <f t="shared" ca="1" si="457"/>
        <v>2559.8820825570001</v>
      </c>
      <c r="CA675" s="476">
        <f t="shared" ca="1" si="476"/>
        <v>0</v>
      </c>
      <c r="CB675" s="494">
        <f ca="1">IF(OR($Q674&lt;&gt;1,OP!$D$5+$BN675-1&lt;16,$BN675-1&lt;1),0,ROUND(ROUND(ROUND(((VLOOKUP($BN675-1,MORE_PV,5,0)/10000)*VLOOKUP($BN675,MORE_PV,$CB$5,0)),3)*VLOOKUP($BN675,more1,5,0),0)/$R674,0))</f>
        <v>0</v>
      </c>
      <c r="CC675" s="473">
        <f t="shared" ca="1" si="477"/>
        <v>0</v>
      </c>
      <c r="CD675" s="477"/>
    </row>
    <row r="676" spans="2:82" ht="16.5" hidden="1">
      <c r="B676" s="80"/>
      <c r="C676" s="80"/>
      <c r="D676" s="80"/>
      <c r="E676" s="80"/>
      <c r="F676" s="80"/>
      <c r="G676" s="80"/>
      <c r="H676" s="80"/>
      <c r="I676" s="80"/>
      <c r="J676" s="192">
        <f t="shared" si="458"/>
        <v>56</v>
      </c>
      <c r="K676" s="192">
        <f t="shared" si="459"/>
        <v>8</v>
      </c>
      <c r="L676" s="192" t="str">
        <f t="shared" si="454"/>
        <v/>
      </c>
      <c r="M676" s="216">
        <f t="shared" ca="1" si="460"/>
        <v>0</v>
      </c>
      <c r="N676" s="216"/>
      <c r="O676" s="216"/>
      <c r="P676" s="216"/>
      <c r="Q676" s="456" t="str">
        <f t="shared" ca="1" si="461"/>
        <v/>
      </c>
      <c r="R676" s="450">
        <f t="shared" ca="1" si="462"/>
        <v>1</v>
      </c>
      <c r="S676" s="191">
        <f t="shared" si="463"/>
        <v>56</v>
      </c>
      <c r="T676" s="191">
        <f t="shared" si="464"/>
        <v>8</v>
      </c>
      <c r="U676" s="191">
        <f ca="1">OP!$D$5+$S676-1</f>
        <v>88</v>
      </c>
      <c r="V676" s="191" t="str">
        <f t="shared" si="465"/>
        <v/>
      </c>
      <c r="W676" s="350">
        <f ca="1">IF(Q676&lt;&gt;1,0,VLOOKUP(OP!$C$55,PVFB,$S676+2,0))</f>
        <v>0</v>
      </c>
      <c r="X676" s="473">
        <f t="shared" ca="1" si="478"/>
        <v>0</v>
      </c>
      <c r="Y676" s="348">
        <f t="shared" ca="1" si="479"/>
        <v>0</v>
      </c>
      <c r="Z676" s="348">
        <f t="shared" ca="1" si="480"/>
        <v>8012</v>
      </c>
      <c r="AA676" s="348">
        <f ca="1">IF(Q676&lt;&gt;1,0,VLOOKUP(OP!$C$55,PVFB,$S676+2,0))</f>
        <v>0</v>
      </c>
      <c r="AB676" s="488" t="str">
        <f ca="1">IF(AND(S676&lt;OP!$C$24,$U676&lt;15),0,IF(AND($U676&lt;15,$T676=12),ROUND(VLOOKUP($S676,DOWN16,5,0),3),IF($T676=12,ROUND(($Z676/10000)*$AA676,3)+IF(AND($P$7="購買增額繳清保險",T676=12,U676=110),VLOOKUP(S676,$B$10:$H$121,7,0),0),"")))</f>
        <v/>
      </c>
      <c r="AC676" s="350" t="str">
        <f ca="1">IF(AND(S676&lt;OP!$C$24,$U676&lt;15),0,IF(AND($U676&lt;16,$T676=12),VLOOKUP($S676,DOWN16,4,0),IF($T676=12,ROUND(VLOOKUP(OP!$C$55,_DIE2,$S676+1,0)*(Z676/10000),0)+IF(AND($P$7="購買增額繳清保險",T676=12,U676=110),VLOOKUP(S676,$B$10:$H$121,7,0),0),"")))</f>
        <v/>
      </c>
      <c r="AD676" s="347"/>
      <c r="AE676" s="350" t="str">
        <f t="shared" ca="1" si="455"/>
        <v/>
      </c>
      <c r="AF676" s="351" t="str">
        <f t="shared" ca="1" si="456"/>
        <v/>
      </c>
      <c r="AG676" s="340"/>
      <c r="AH676" s="340"/>
      <c r="AI676" s="340"/>
      <c r="AJ676" s="340"/>
      <c r="AK676" s="340"/>
      <c r="AL676" s="340"/>
      <c r="AM676" s="340"/>
      <c r="AN676" s="340"/>
      <c r="AO676" s="340"/>
      <c r="AP676" s="340"/>
      <c r="AQ676" s="340"/>
      <c r="AR676" s="340"/>
      <c r="AS676" s="340"/>
      <c r="AT676" s="340"/>
      <c r="AU676" s="340"/>
      <c r="AV676" s="340"/>
      <c r="AY676" s="340"/>
      <c r="AZ676" s="465">
        <f t="shared" ca="1" si="466"/>
        <v>7.3698599999999999E-5</v>
      </c>
      <c r="BA676" s="464">
        <f t="shared" ca="1" si="467"/>
        <v>2.2109589000000002E-3</v>
      </c>
      <c r="BB676" s="465">
        <f t="shared" ca="1" si="467"/>
        <v>2.2846575E-3</v>
      </c>
      <c r="BC676" s="466">
        <f t="shared" ca="1" si="468"/>
        <v>63190</v>
      </c>
      <c r="BD676" s="467">
        <f t="shared" ca="1" si="481"/>
        <v>63191</v>
      </c>
      <c r="BE676" s="467">
        <f t="shared" ca="1" si="469"/>
        <v>63220</v>
      </c>
      <c r="BF676" s="468">
        <f ca="1">IF(計算!$BC676&lt;OP!$C$3,0,BD676-BC676)</f>
        <v>1</v>
      </c>
      <c r="BG676" s="468">
        <f ca="1">IF($BE676&gt;DATE(YEAR($BD$9)+OP!$C$57,MONTH($BD$9),DAY($BD$9)),0,$BE676-$BD676+1)</f>
        <v>30</v>
      </c>
      <c r="BH676" s="469">
        <f t="shared" ca="1" si="470"/>
        <v>31</v>
      </c>
      <c r="BI676" t="str">
        <f t="shared" si="486"/>
        <v/>
      </c>
      <c r="BJ676">
        <v>7</v>
      </c>
      <c r="BN676" s="468">
        <f t="shared" si="482"/>
        <v>56</v>
      </c>
      <c r="BO676" s="468">
        <f t="shared" si="483"/>
        <v>7</v>
      </c>
      <c r="BP676" s="467">
        <f t="shared" ca="1" si="471"/>
        <v>63191</v>
      </c>
      <c r="BQ676" s="475">
        <f t="shared" ca="1" si="485"/>
        <v>88</v>
      </c>
      <c r="BR676" s="475" t="str">
        <f t="shared" si="484"/>
        <v/>
      </c>
      <c r="BS676" s="471" t="str">
        <f t="shared" si="472"/>
        <v/>
      </c>
      <c r="BT676" s="472" t="str">
        <f t="shared" si="487"/>
        <v/>
      </c>
      <c r="BU676" s="472">
        <f t="shared" ca="1" si="473"/>
        <v>0</v>
      </c>
      <c r="BV676" s="472">
        <f t="shared" ca="1" si="473"/>
        <v>0</v>
      </c>
      <c r="BW676" s="472"/>
      <c r="BX676" s="473">
        <f t="shared" ca="1" si="474"/>
        <v>1123026.33386244</v>
      </c>
      <c r="BY676" s="473">
        <f t="shared" si="475"/>
        <v>0</v>
      </c>
      <c r="BZ676" s="473">
        <f t="shared" ca="1" si="457"/>
        <v>2565.7305363559999</v>
      </c>
      <c r="CA676" s="476">
        <f t="shared" ca="1" si="476"/>
        <v>0</v>
      </c>
      <c r="CB676" s="494">
        <f ca="1">IF(OR($Q675&lt;&gt;1,OP!$D$5+$BN676-1&lt;16,$BN676-1&lt;1),0,ROUND(ROUND(ROUND(((VLOOKUP($BN676-1,MORE_PV,5,0)/10000)*VLOOKUP($BN676,MORE_PV,$CB$5,0)),3)*VLOOKUP($BN676,more1,5,0),0)/$R675,0))</f>
        <v>0</v>
      </c>
      <c r="CC676" s="473">
        <f t="shared" ca="1" si="477"/>
        <v>0</v>
      </c>
      <c r="CD676" s="477"/>
    </row>
    <row r="677" spans="2:82" ht="16.5" hidden="1">
      <c r="B677" s="80"/>
      <c r="C677" s="80"/>
      <c r="D677" s="80"/>
      <c r="E677" s="80"/>
      <c r="F677" s="80"/>
      <c r="G677" s="80"/>
      <c r="H677" s="80"/>
      <c r="I677" s="80"/>
      <c r="J677" s="192">
        <f t="shared" si="458"/>
        <v>56</v>
      </c>
      <c r="K677" s="192">
        <f t="shared" si="459"/>
        <v>9</v>
      </c>
      <c r="L677" s="192" t="str">
        <f t="shared" si="454"/>
        <v/>
      </c>
      <c r="M677" s="216">
        <f t="shared" ca="1" si="460"/>
        <v>0</v>
      </c>
      <c r="N677" s="216"/>
      <c r="O677" s="216"/>
      <c r="P677" s="216"/>
      <c r="Q677" s="456" t="str">
        <f t="shared" ca="1" si="461"/>
        <v/>
      </c>
      <c r="R677" s="450">
        <f t="shared" ca="1" si="462"/>
        <v>1</v>
      </c>
      <c r="S677" s="191">
        <f t="shared" si="463"/>
        <v>56</v>
      </c>
      <c r="T677" s="191">
        <f t="shared" si="464"/>
        <v>9</v>
      </c>
      <c r="U677" s="191">
        <f ca="1">OP!$D$5+$S677-1</f>
        <v>88</v>
      </c>
      <c r="V677" s="191" t="str">
        <f t="shared" si="465"/>
        <v/>
      </c>
      <c r="W677" s="350">
        <f ca="1">IF(Q677&lt;&gt;1,0,VLOOKUP(OP!$C$55,PVFB,$S677+2,0))</f>
        <v>0</v>
      </c>
      <c r="X677" s="473">
        <f t="shared" ca="1" si="478"/>
        <v>0</v>
      </c>
      <c r="Y677" s="348">
        <f t="shared" ca="1" si="479"/>
        <v>0</v>
      </c>
      <c r="Z677" s="348">
        <f t="shared" ca="1" si="480"/>
        <v>8012</v>
      </c>
      <c r="AA677" s="348">
        <f ca="1">IF(Q677&lt;&gt;1,0,VLOOKUP(OP!$C$55,PVFB,$S677+2,0))</f>
        <v>0</v>
      </c>
      <c r="AB677" s="488" t="str">
        <f ca="1">IF(AND(S677&lt;OP!$C$24,$U677&lt;15),0,IF(AND($U677&lt;15,$T677=12),ROUND(VLOOKUP($S677,DOWN16,5,0),3),IF($T677=12,ROUND(($Z677/10000)*$AA677,3)+IF(AND($P$7="購買增額繳清保險",T677=12,U677=110),VLOOKUP(S677,$B$10:$H$121,7,0),0),"")))</f>
        <v/>
      </c>
      <c r="AC677" s="350" t="str">
        <f ca="1">IF(AND(S677&lt;OP!$C$24,$U677&lt;15),0,IF(AND($U677&lt;16,$T677=12),VLOOKUP($S677,DOWN16,4,0),IF($T677=12,ROUND(VLOOKUP(OP!$C$55,_DIE2,$S677+1,0)*(Z677/10000),0)+IF(AND($P$7="購買增額繳清保險",T677=12,U677=110),VLOOKUP(S677,$B$10:$H$121,7,0),0),"")))</f>
        <v/>
      </c>
      <c r="AD677" s="347"/>
      <c r="AE677" s="350" t="str">
        <f t="shared" ca="1" si="455"/>
        <v/>
      </c>
      <c r="AF677" s="351" t="str">
        <f t="shared" ca="1" si="456"/>
        <v/>
      </c>
      <c r="AG677" s="340"/>
      <c r="AH677" s="340"/>
      <c r="AI677" s="340"/>
      <c r="AJ677" s="340"/>
      <c r="AK677" s="340"/>
      <c r="AL677" s="340"/>
      <c r="AM677" s="340"/>
      <c r="AN677" s="340"/>
      <c r="AO677" s="340"/>
      <c r="AP677" s="340"/>
      <c r="AQ677" s="340"/>
      <c r="AR677" s="340"/>
      <c r="AS677" s="340"/>
      <c r="AT677" s="340"/>
      <c r="AU677" s="340"/>
      <c r="AV677" s="340"/>
      <c r="AY677" s="340"/>
      <c r="AZ677" s="465">
        <f t="shared" ca="1" si="466"/>
        <v>7.3698599999999999E-5</v>
      </c>
      <c r="BA677" s="464">
        <f t="shared" ca="1" si="467"/>
        <v>1.9898630000000001E-3</v>
      </c>
      <c r="BB677" s="465">
        <f t="shared" ca="1" si="467"/>
        <v>2.0635616E-3</v>
      </c>
      <c r="BC677" s="466">
        <f t="shared" ca="1" si="468"/>
        <v>63221</v>
      </c>
      <c r="BD677" s="467">
        <f t="shared" ca="1" si="481"/>
        <v>63222</v>
      </c>
      <c r="BE677" s="467">
        <f t="shared" ca="1" si="469"/>
        <v>63248</v>
      </c>
      <c r="BF677" s="468">
        <f ca="1">IF(計算!$BC677&lt;OP!$C$3,0,BD677-BC677)</f>
        <v>1</v>
      </c>
      <c r="BG677" s="468">
        <f ca="1">IF($BE677&gt;DATE(YEAR($BD$9)+OP!$C$57,MONTH($BD$9),DAY($BD$9)),0,$BE677-$BD677+1)</f>
        <v>27</v>
      </c>
      <c r="BH677" s="469">
        <f t="shared" ca="1" si="470"/>
        <v>28</v>
      </c>
      <c r="BI677" t="str">
        <f t="shared" si="486"/>
        <v/>
      </c>
      <c r="BJ677">
        <v>8</v>
      </c>
      <c r="BN677" s="468">
        <f t="shared" si="482"/>
        <v>56</v>
      </c>
      <c r="BO677" s="468">
        <f t="shared" si="483"/>
        <v>8</v>
      </c>
      <c r="BP677" s="467">
        <f t="shared" ca="1" si="471"/>
        <v>63222</v>
      </c>
      <c r="BQ677" s="475">
        <f t="shared" ca="1" si="485"/>
        <v>88</v>
      </c>
      <c r="BR677" s="475" t="str">
        <f t="shared" si="484"/>
        <v/>
      </c>
      <c r="BS677" s="471" t="str">
        <f t="shared" si="472"/>
        <v/>
      </c>
      <c r="BT677" s="472" t="str">
        <f t="shared" si="487"/>
        <v/>
      </c>
      <c r="BU677" s="472">
        <f t="shared" ca="1" si="473"/>
        <v>0</v>
      </c>
      <c r="BV677" s="472">
        <f t="shared" ca="1" si="473"/>
        <v>0</v>
      </c>
      <c r="BW677" s="472"/>
      <c r="BX677" s="473">
        <f t="shared" ca="1" si="474"/>
        <v>1125592.0643988</v>
      </c>
      <c r="BY677" s="473">
        <f t="shared" si="475"/>
        <v>0</v>
      </c>
      <c r="BZ677" s="473">
        <f t="shared" ca="1" si="457"/>
        <v>2322.7285613580002</v>
      </c>
      <c r="CA677" s="476">
        <f t="shared" ca="1" si="476"/>
        <v>0</v>
      </c>
      <c r="CB677" s="494">
        <f ca="1">IF(OR($Q676&lt;&gt;1,OP!$D$5+$BN677-1&lt;16,$BN677-1&lt;1),0,ROUND(ROUND(ROUND(((VLOOKUP($BN677-1,MORE_PV,5,0)/10000)*VLOOKUP($BN677,MORE_PV,$CB$5,0)),3)*VLOOKUP($BN677,more1,5,0),0)/$R676,0))</f>
        <v>0</v>
      </c>
      <c r="CC677" s="473">
        <f t="shared" ca="1" si="477"/>
        <v>0</v>
      </c>
      <c r="CD677" s="477"/>
    </row>
    <row r="678" spans="2:82" ht="16.5" hidden="1">
      <c r="B678" s="80"/>
      <c r="C678" s="80"/>
      <c r="D678" s="80"/>
      <c r="E678" s="80"/>
      <c r="F678" s="80"/>
      <c r="G678" s="80"/>
      <c r="H678" s="80"/>
      <c r="I678" s="80"/>
      <c r="J678" s="192">
        <f t="shared" si="458"/>
        <v>56</v>
      </c>
      <c r="K678" s="192">
        <f t="shared" si="459"/>
        <v>10</v>
      </c>
      <c r="L678" s="192" t="str">
        <f t="shared" si="454"/>
        <v/>
      </c>
      <c r="M678" s="216">
        <f t="shared" ca="1" si="460"/>
        <v>0</v>
      </c>
      <c r="N678" s="216"/>
      <c r="O678" s="216"/>
      <c r="P678" s="216"/>
      <c r="Q678" s="456" t="str">
        <f t="shared" ca="1" si="461"/>
        <v/>
      </c>
      <c r="R678" s="450">
        <f t="shared" ca="1" si="462"/>
        <v>1</v>
      </c>
      <c r="S678" s="191">
        <f t="shared" si="463"/>
        <v>56</v>
      </c>
      <c r="T678" s="191">
        <f t="shared" si="464"/>
        <v>10</v>
      </c>
      <c r="U678" s="191">
        <f ca="1">OP!$D$5+$S678-1</f>
        <v>88</v>
      </c>
      <c r="V678" s="191" t="str">
        <f t="shared" si="465"/>
        <v/>
      </c>
      <c r="W678" s="350">
        <f ca="1">IF(Q678&lt;&gt;1,0,VLOOKUP(OP!$C$55,PVFB,$S678+2,0))</f>
        <v>0</v>
      </c>
      <c r="X678" s="473">
        <f t="shared" ca="1" si="478"/>
        <v>0</v>
      </c>
      <c r="Y678" s="348">
        <f t="shared" ca="1" si="479"/>
        <v>0</v>
      </c>
      <c r="Z678" s="348">
        <f t="shared" ca="1" si="480"/>
        <v>8012</v>
      </c>
      <c r="AA678" s="348">
        <f ca="1">IF(Q678&lt;&gt;1,0,VLOOKUP(OP!$C$55,PVFB,$S678+2,0))</f>
        <v>0</v>
      </c>
      <c r="AB678" s="488" t="str">
        <f ca="1">IF(AND(S678&lt;OP!$C$24,$U678&lt;15),0,IF(AND($U678&lt;15,$T678=12),ROUND(VLOOKUP($S678,DOWN16,5,0),3),IF($T678=12,ROUND(($Z678/10000)*$AA678,3)+IF(AND($P$7="購買增額繳清保險",T678=12,U678=110),VLOOKUP(S678,$B$10:$H$121,7,0),0),"")))</f>
        <v/>
      </c>
      <c r="AC678" s="350" t="str">
        <f ca="1">IF(AND(S678&lt;OP!$C$24,$U678&lt;15),0,IF(AND($U678&lt;16,$T678=12),VLOOKUP($S678,DOWN16,4,0),IF($T678=12,ROUND(VLOOKUP(OP!$C$55,_DIE2,$S678+1,0)*(Z678/10000),0)+IF(AND($P$7="購買增額繳清保險",T678=12,U678=110),VLOOKUP(S678,$B$10:$H$121,7,0),0),"")))</f>
        <v/>
      </c>
      <c r="AD678" s="347"/>
      <c r="AE678" s="350" t="str">
        <f t="shared" ca="1" si="455"/>
        <v/>
      </c>
      <c r="AF678" s="351" t="str">
        <f t="shared" ca="1" si="456"/>
        <v/>
      </c>
      <c r="AG678" s="340"/>
      <c r="AH678" s="340"/>
      <c r="AI678" s="340"/>
      <c r="AJ678" s="340"/>
      <c r="AK678" s="340"/>
      <c r="AL678" s="340"/>
      <c r="AM678" s="340"/>
      <c r="AN678" s="340"/>
      <c r="AO678" s="340"/>
      <c r="AP678" s="340"/>
      <c r="AQ678" s="340"/>
      <c r="AR678" s="340"/>
      <c r="AS678" s="340"/>
      <c r="AT678" s="340"/>
      <c r="AU678" s="340"/>
      <c r="AV678" s="340"/>
      <c r="AY678" s="340"/>
      <c r="AZ678" s="465">
        <f t="shared" ca="1" si="466"/>
        <v>7.3698599999999999E-5</v>
      </c>
      <c r="BA678" s="464">
        <f t="shared" ca="1" si="467"/>
        <v>2.2109589000000002E-3</v>
      </c>
      <c r="BB678" s="465">
        <f t="shared" ca="1" si="467"/>
        <v>2.2846575E-3</v>
      </c>
      <c r="BC678" s="466">
        <f t="shared" ca="1" si="468"/>
        <v>63249</v>
      </c>
      <c r="BD678" s="467">
        <f t="shared" ca="1" si="481"/>
        <v>63250</v>
      </c>
      <c r="BE678" s="467">
        <f t="shared" ca="1" si="469"/>
        <v>63279</v>
      </c>
      <c r="BF678" s="468">
        <f ca="1">IF(計算!$BC678&lt;OP!$C$3,0,BD678-BC678)</f>
        <v>1</v>
      </c>
      <c r="BG678" s="468">
        <f ca="1">IF($BE678&gt;DATE(YEAR($BD$9)+OP!$C$57,MONTH($BD$9),DAY($BD$9)),0,$BE678-$BD678+1)</f>
        <v>30</v>
      </c>
      <c r="BH678" s="469">
        <f t="shared" ca="1" si="470"/>
        <v>31</v>
      </c>
      <c r="BI678" t="str">
        <f t="shared" si="486"/>
        <v/>
      </c>
      <c r="BJ678">
        <v>9</v>
      </c>
      <c r="BN678" s="468">
        <f t="shared" si="482"/>
        <v>56</v>
      </c>
      <c r="BO678" s="468">
        <f t="shared" si="483"/>
        <v>9</v>
      </c>
      <c r="BP678" s="467">
        <f t="shared" ca="1" si="471"/>
        <v>63250</v>
      </c>
      <c r="BQ678" s="475">
        <f t="shared" ca="1" si="485"/>
        <v>88</v>
      </c>
      <c r="BR678" s="475" t="str">
        <f t="shared" si="484"/>
        <v/>
      </c>
      <c r="BS678" s="471" t="str">
        <f t="shared" si="472"/>
        <v/>
      </c>
      <c r="BT678" s="472" t="str">
        <f t="shared" si="487"/>
        <v/>
      </c>
      <c r="BU678" s="472">
        <f t="shared" ca="1" si="473"/>
        <v>0</v>
      </c>
      <c r="BV678" s="472">
        <f t="shared" ca="1" si="473"/>
        <v>0</v>
      </c>
      <c r="BW678" s="472"/>
      <c r="BX678" s="473">
        <f t="shared" ca="1" si="474"/>
        <v>1127914.7929601599</v>
      </c>
      <c r="BY678" s="473">
        <f t="shared" si="475"/>
        <v>0</v>
      </c>
      <c r="BZ678" s="473">
        <f t="shared" ca="1" si="457"/>
        <v>2576.8989910969999</v>
      </c>
      <c r="CA678" s="476">
        <f t="shared" ca="1" si="476"/>
        <v>0</v>
      </c>
      <c r="CB678" s="494">
        <f ca="1">IF(OR($Q677&lt;&gt;1,OP!$D$5+$BN678-1&lt;16,$BN678-1&lt;1),0,ROUND(ROUND(ROUND(((VLOOKUP($BN678-1,MORE_PV,5,0)/10000)*VLOOKUP($BN678,MORE_PV,$CB$5,0)),3)*VLOOKUP($BN678,more1,5,0),0)/$R677,0))</f>
        <v>0</v>
      </c>
      <c r="CC678" s="473">
        <f t="shared" ca="1" si="477"/>
        <v>0</v>
      </c>
      <c r="CD678" s="477"/>
    </row>
    <row r="679" spans="2:82" ht="16.5" hidden="1">
      <c r="B679" s="80"/>
      <c r="C679" s="80"/>
      <c r="D679" s="80"/>
      <c r="E679" s="80"/>
      <c r="F679" s="80"/>
      <c r="G679" s="80"/>
      <c r="H679" s="80"/>
      <c r="I679" s="80"/>
      <c r="J679" s="192">
        <f t="shared" si="458"/>
        <v>56</v>
      </c>
      <c r="K679" s="192">
        <f t="shared" si="459"/>
        <v>11</v>
      </c>
      <c r="L679" s="192" t="str">
        <f t="shared" si="454"/>
        <v/>
      </c>
      <c r="M679" s="216">
        <f t="shared" ca="1" si="460"/>
        <v>0</v>
      </c>
      <c r="N679" s="216"/>
      <c r="O679" s="216"/>
      <c r="P679" s="216"/>
      <c r="Q679" s="456" t="str">
        <f t="shared" ca="1" si="461"/>
        <v/>
      </c>
      <c r="R679" s="450">
        <f t="shared" ca="1" si="462"/>
        <v>1</v>
      </c>
      <c r="S679" s="191">
        <f t="shared" si="463"/>
        <v>56</v>
      </c>
      <c r="T679" s="191">
        <f t="shared" si="464"/>
        <v>11</v>
      </c>
      <c r="U679" s="191">
        <f ca="1">OP!$D$5+$S679-1</f>
        <v>88</v>
      </c>
      <c r="V679" s="191" t="str">
        <f t="shared" si="465"/>
        <v/>
      </c>
      <c r="W679" s="350">
        <f ca="1">IF(Q679&lt;&gt;1,0,VLOOKUP(OP!$C$55,PVFB,$S679+2,0))</f>
        <v>0</v>
      </c>
      <c r="X679" s="473">
        <f t="shared" ca="1" si="478"/>
        <v>0</v>
      </c>
      <c r="Y679" s="348">
        <f t="shared" ca="1" si="479"/>
        <v>0</v>
      </c>
      <c r="Z679" s="348">
        <f t="shared" ca="1" si="480"/>
        <v>8012</v>
      </c>
      <c r="AA679" s="348">
        <f ca="1">IF(Q679&lt;&gt;1,0,VLOOKUP(OP!$C$55,PVFB,$S679+2,0))</f>
        <v>0</v>
      </c>
      <c r="AB679" s="488" t="str">
        <f ca="1">IF(AND(S679&lt;OP!$C$24,$U679&lt;15),0,IF(AND($U679&lt;15,$T679=12),ROUND(VLOOKUP($S679,DOWN16,5,0),3),IF($T679=12,ROUND(($Z679/10000)*$AA679,3)+IF(AND($P$7="購買增額繳清保險",T679=12,U679=110),VLOOKUP(S679,$B$10:$H$121,7,0),0),"")))</f>
        <v/>
      </c>
      <c r="AC679" s="350" t="str">
        <f ca="1">IF(AND(S679&lt;OP!$C$24,$U679&lt;15),0,IF(AND($U679&lt;16,$T679=12),VLOOKUP($S679,DOWN16,4,0),IF($T679=12,ROUND(VLOOKUP(OP!$C$55,_DIE2,$S679+1,0)*(Z679/10000),0)+IF(AND($P$7="購買增額繳清保險",T679=12,U679=110),VLOOKUP(S679,$B$10:$H$121,7,0),0),"")))</f>
        <v/>
      </c>
      <c r="AD679" s="347"/>
      <c r="AE679" s="350" t="str">
        <f t="shared" ca="1" si="455"/>
        <v/>
      </c>
      <c r="AF679" s="351" t="str">
        <f t="shared" ca="1" si="456"/>
        <v/>
      </c>
      <c r="AG679" s="340"/>
      <c r="AH679" s="340"/>
      <c r="AI679" s="340"/>
      <c r="AJ679" s="340"/>
      <c r="AK679" s="340"/>
      <c r="AL679" s="340"/>
      <c r="AM679" s="340"/>
      <c r="AN679" s="340"/>
      <c r="AO679" s="340"/>
      <c r="AP679" s="340"/>
      <c r="AQ679" s="340"/>
      <c r="AR679" s="340"/>
      <c r="AS679" s="340"/>
      <c r="AT679" s="340"/>
      <c r="AU679" s="340"/>
      <c r="AV679" s="340"/>
      <c r="AY679" s="340"/>
      <c r="AZ679" s="465">
        <f t="shared" ca="1" si="466"/>
        <v>7.3698599999999999E-5</v>
      </c>
      <c r="BA679" s="464">
        <f t="shared" ca="1" si="467"/>
        <v>2.1372602999999999E-3</v>
      </c>
      <c r="BB679" s="465">
        <f t="shared" ca="1" si="467"/>
        <v>2.2109589000000002E-3</v>
      </c>
      <c r="BC679" s="466">
        <f t="shared" ca="1" si="468"/>
        <v>63280</v>
      </c>
      <c r="BD679" s="467">
        <f t="shared" ca="1" si="481"/>
        <v>63281</v>
      </c>
      <c r="BE679" s="467">
        <f t="shared" ca="1" si="469"/>
        <v>63309</v>
      </c>
      <c r="BF679" s="468">
        <f ca="1">IF(計算!$BC679&lt;OP!$C$3,0,BD679-BC679)</f>
        <v>1</v>
      </c>
      <c r="BG679" s="468">
        <f ca="1">IF($BE679&gt;DATE(YEAR($BD$9)+OP!$C$57,MONTH($BD$9),DAY($BD$9)),0,$BE679-$BD679+1)</f>
        <v>29</v>
      </c>
      <c r="BH679" s="469">
        <f t="shared" ca="1" si="470"/>
        <v>30</v>
      </c>
      <c r="BI679" t="str">
        <f t="shared" si="486"/>
        <v/>
      </c>
      <c r="BJ679">
        <v>10</v>
      </c>
      <c r="BN679" s="468">
        <f t="shared" si="482"/>
        <v>56</v>
      </c>
      <c r="BO679" s="468">
        <f t="shared" si="483"/>
        <v>10</v>
      </c>
      <c r="BP679" s="467">
        <f t="shared" ca="1" si="471"/>
        <v>63281</v>
      </c>
      <c r="BQ679" s="475">
        <f t="shared" ca="1" si="485"/>
        <v>88</v>
      </c>
      <c r="BR679" s="475" t="str">
        <f t="shared" si="484"/>
        <v/>
      </c>
      <c r="BS679" s="471" t="str">
        <f t="shared" si="472"/>
        <v/>
      </c>
      <c r="BT679" s="472" t="str">
        <f t="shared" si="487"/>
        <v/>
      </c>
      <c r="BU679" s="472">
        <f t="shared" ca="1" si="473"/>
        <v>0</v>
      </c>
      <c r="BV679" s="472">
        <f t="shared" ca="1" si="473"/>
        <v>0</v>
      </c>
      <c r="BW679" s="472"/>
      <c r="BX679" s="473">
        <f t="shared" ca="1" si="474"/>
        <v>1130491.69195126</v>
      </c>
      <c r="BY679" s="473">
        <f t="shared" si="475"/>
        <v>0</v>
      </c>
      <c r="BZ679" s="473">
        <f t="shared" ca="1" si="457"/>
        <v>2499.470667696</v>
      </c>
      <c r="CA679" s="476">
        <f t="shared" ca="1" si="476"/>
        <v>0</v>
      </c>
      <c r="CB679" s="494">
        <f ca="1">IF(OR($Q678&lt;&gt;1,OP!$D$5+$BN679-1&lt;16,$BN679-1&lt;1),0,ROUND(ROUND(ROUND(((VLOOKUP($BN679-1,MORE_PV,5,0)/10000)*VLOOKUP($BN679,MORE_PV,$CB$5,0)),3)*VLOOKUP($BN679,more1,5,0),0)/$R678,0))</f>
        <v>0</v>
      </c>
      <c r="CC679" s="473">
        <f t="shared" ca="1" si="477"/>
        <v>0</v>
      </c>
      <c r="CD679" s="477"/>
    </row>
    <row r="680" spans="2:82" ht="16.5" hidden="1">
      <c r="B680" s="80"/>
      <c r="C680" s="80"/>
      <c r="D680" s="80"/>
      <c r="E680" s="80"/>
      <c r="F680" s="80"/>
      <c r="G680" s="80"/>
      <c r="H680" s="80"/>
      <c r="I680" s="80"/>
      <c r="J680" s="192">
        <f t="shared" si="458"/>
        <v>56</v>
      </c>
      <c r="K680" s="192">
        <f t="shared" si="459"/>
        <v>12</v>
      </c>
      <c r="L680" s="192">
        <f t="shared" si="454"/>
        <v>56</v>
      </c>
      <c r="M680" s="216">
        <f t="shared" ca="1" si="460"/>
        <v>1154704</v>
      </c>
      <c r="N680" s="216"/>
      <c r="O680" s="216"/>
      <c r="P680" s="216"/>
      <c r="Q680" s="456">
        <f t="shared" ca="1" si="461"/>
        <v>1</v>
      </c>
      <c r="R680" s="450">
        <f t="shared" ca="1" si="462"/>
        <v>1</v>
      </c>
      <c r="S680" s="191">
        <f t="shared" si="463"/>
        <v>56</v>
      </c>
      <c r="T680" s="191">
        <f t="shared" si="464"/>
        <v>12</v>
      </c>
      <c r="U680" s="191">
        <f ca="1">OP!$D$5+$S680-1</f>
        <v>88</v>
      </c>
      <c r="V680" s="191">
        <f t="shared" si="465"/>
        <v>56</v>
      </c>
      <c r="W680" s="350">
        <f ca="1">IF(Q680&lt;&gt;1,0,VLOOKUP(OP!$C$55,PVFB,$S680+2,0))</f>
        <v>79302</v>
      </c>
      <c r="X680" s="473">
        <f t="shared" ca="1" si="478"/>
        <v>19042</v>
      </c>
      <c r="Y680" s="348">
        <f t="shared" ca="1" si="479"/>
        <v>0</v>
      </c>
      <c r="Z680" s="348">
        <f t="shared" ca="1" si="480"/>
        <v>8012</v>
      </c>
      <c r="AA680" s="348">
        <f ca="1">IF(Q680&lt;&gt;1,0,VLOOKUP(OP!$C$55,PVFB,$S680+2,0))</f>
        <v>79302</v>
      </c>
      <c r="AB680" s="488">
        <f ca="1">IF(AND(S680&lt;OP!$C$24,$U680&lt;15),0,IF(AND($U680&lt;15,$T680=12),ROUND(VLOOKUP($S680,DOWN16,5,0),3),IF($T680=12,ROUND(($Z680/10000)*$AA680,3)+IF(AND($P$7="購買增額繳清保險",T680=12,U680=110),VLOOKUP(S680,$B$10:$H$121,7,0),0),"")))</f>
        <v>63536.762000000002</v>
      </c>
      <c r="AC680" s="350">
        <f ca="1">IF(AND(S680&lt;OP!$C$24,$U680&lt;15),0,IF(AND($U680&lt;16,$T680=12),VLOOKUP($S680,DOWN16,4,0),IF($T680=12,ROUND(VLOOKUP(OP!$C$55,_DIE2,$S680+1,0)*(Z680/10000),0)+IF(AND($P$7="購買增額繳清保險",T680=12,U680=110),VLOOKUP(S680,$B$10:$H$121,7,0),0),"")))</f>
        <v>64096</v>
      </c>
      <c r="AD680" s="347"/>
      <c r="AE680" s="350" t="str">
        <f t="shared" ca="1" si="455"/>
        <v/>
      </c>
      <c r="AF680" s="351" t="str">
        <f t="shared" ca="1" si="456"/>
        <v/>
      </c>
      <c r="AG680" s="340"/>
      <c r="AH680" s="340"/>
      <c r="AI680" s="340"/>
      <c r="AJ680" s="340"/>
      <c r="AK680" s="340"/>
      <c r="AL680" s="340"/>
      <c r="AM680" s="340"/>
      <c r="AN680" s="340"/>
      <c r="AO680" s="340"/>
      <c r="AP680" s="340"/>
      <c r="AQ680" s="340"/>
      <c r="AR680" s="340"/>
      <c r="AS680" s="340"/>
      <c r="AT680" s="340"/>
      <c r="AU680" s="340"/>
      <c r="AV680" s="340"/>
      <c r="AY680" s="340"/>
      <c r="AZ680" s="465">
        <f t="shared" ca="1" si="466"/>
        <v>7.3698599999999999E-5</v>
      </c>
      <c r="BA680" s="464">
        <f t="shared" ca="1" si="467"/>
        <v>2.2109589000000002E-3</v>
      </c>
      <c r="BB680" s="465">
        <f t="shared" ca="1" si="467"/>
        <v>2.2846575E-3</v>
      </c>
      <c r="BC680" s="466">
        <f t="shared" ca="1" si="468"/>
        <v>63310</v>
      </c>
      <c r="BD680" s="467">
        <f t="shared" ca="1" si="481"/>
        <v>63311</v>
      </c>
      <c r="BE680" s="467">
        <f t="shared" ca="1" si="469"/>
        <v>63340</v>
      </c>
      <c r="BF680" s="468">
        <f ca="1">IF(計算!$BC680&lt;OP!$C$3,0,BD680-BC680)</f>
        <v>1</v>
      </c>
      <c r="BG680" s="468">
        <f ca="1">IF($BE680&gt;DATE(YEAR($BD$9)+OP!$C$57,MONTH($BD$9),DAY($BD$9)),0,$BE680-$BD680+1)</f>
        <v>30</v>
      </c>
      <c r="BH680" s="469">
        <f t="shared" ca="1" si="470"/>
        <v>31</v>
      </c>
      <c r="BI680" t="str">
        <f t="shared" si="486"/>
        <v/>
      </c>
      <c r="BJ680">
        <v>11</v>
      </c>
      <c r="BN680" s="468">
        <f t="shared" si="482"/>
        <v>56</v>
      </c>
      <c r="BO680" s="468">
        <f t="shared" si="483"/>
        <v>11</v>
      </c>
      <c r="BP680" s="467">
        <f t="shared" ca="1" si="471"/>
        <v>63311</v>
      </c>
      <c r="BQ680" s="475">
        <f t="shared" ca="1" si="485"/>
        <v>88</v>
      </c>
      <c r="BR680" s="475" t="str">
        <f t="shared" si="484"/>
        <v/>
      </c>
      <c r="BS680" s="471" t="str">
        <f t="shared" si="472"/>
        <v/>
      </c>
      <c r="BT680" s="472" t="str">
        <f t="shared" si="487"/>
        <v/>
      </c>
      <c r="BU680" s="472">
        <f t="shared" ca="1" si="473"/>
        <v>0</v>
      </c>
      <c r="BV680" s="472">
        <f t="shared" ca="1" si="473"/>
        <v>0</v>
      </c>
      <c r="BW680" s="472"/>
      <c r="BX680" s="473">
        <f t="shared" ca="1" si="474"/>
        <v>1132991.16261896</v>
      </c>
      <c r="BY680" s="473">
        <f t="shared" si="475"/>
        <v>0</v>
      </c>
      <c r="BZ680" s="473">
        <f t="shared" ca="1" si="457"/>
        <v>2588.4967571110001</v>
      </c>
      <c r="CA680" s="476">
        <f t="shared" ca="1" si="476"/>
        <v>0</v>
      </c>
      <c r="CB680" s="494">
        <f ca="1">IF(OR($Q679&lt;&gt;1,OP!$D$5+$BN680-1&lt;16,$BN680-1&lt;1),0,ROUND(ROUND(ROUND(((VLOOKUP($BN680-1,MORE_PV,5,0)/10000)*VLOOKUP($BN680,MORE_PV,$CB$5,0)),3)*VLOOKUP($BN680,more1,5,0),0)/$R679,0))</f>
        <v>0</v>
      </c>
      <c r="CC680" s="473">
        <f t="shared" ca="1" si="477"/>
        <v>0</v>
      </c>
      <c r="CD680" s="477"/>
    </row>
    <row r="681" spans="2:82" ht="16.5" hidden="1">
      <c r="B681" s="80"/>
      <c r="C681" s="80"/>
      <c r="D681" s="80"/>
      <c r="E681" s="80"/>
      <c r="F681" s="80"/>
      <c r="G681" s="80"/>
      <c r="H681" s="80"/>
      <c r="I681" s="80"/>
      <c r="J681" s="192">
        <f t="shared" si="458"/>
        <v>57</v>
      </c>
      <c r="K681" s="192">
        <f t="shared" si="459"/>
        <v>1</v>
      </c>
      <c r="L681" s="192" t="str">
        <f t="shared" si="454"/>
        <v/>
      </c>
      <c r="M681" s="216">
        <f t="shared" ca="1" si="460"/>
        <v>0</v>
      </c>
      <c r="N681" s="216"/>
      <c r="O681" s="216"/>
      <c r="P681" s="216"/>
      <c r="Q681" s="456" t="str">
        <f t="shared" ca="1" si="461"/>
        <v/>
      </c>
      <c r="R681" s="450">
        <f t="shared" ca="1" si="462"/>
        <v>1</v>
      </c>
      <c r="S681" s="191">
        <f t="shared" si="463"/>
        <v>57</v>
      </c>
      <c r="T681" s="191">
        <f t="shared" si="464"/>
        <v>1</v>
      </c>
      <c r="U681" s="191">
        <f ca="1">OP!$D$5+$S681-1</f>
        <v>89</v>
      </c>
      <c r="V681" s="191" t="str">
        <f t="shared" si="465"/>
        <v/>
      </c>
      <c r="W681" s="350">
        <f ca="1">IF(Q681&lt;&gt;1,0,VLOOKUP(OP!$C$55,PVFB,$S681+2,0))</f>
        <v>0</v>
      </c>
      <c r="X681" s="473">
        <f t="shared" ca="1" si="478"/>
        <v>0</v>
      </c>
      <c r="Y681" s="348">
        <f t="shared" ca="1" si="479"/>
        <v>0</v>
      </c>
      <c r="Z681" s="348">
        <f t="shared" ca="1" si="480"/>
        <v>8012</v>
      </c>
      <c r="AA681" s="348">
        <f ca="1">IF(Q681&lt;&gt;1,0,VLOOKUP(OP!$C$55,PVFB,$S681+2,0))</f>
        <v>0</v>
      </c>
      <c r="AB681" s="488" t="str">
        <f ca="1">IF(AND(S681&lt;OP!$C$24,$U681&lt;15),0,IF(AND($U681&lt;15,$T681=12),ROUND(VLOOKUP($S681,DOWN16,5,0),3),IF($T681=12,ROUND(($Z681/10000)*$AA681,3)+IF(AND($P$7="購買增額繳清保險",T681=12,U681=110),VLOOKUP(S681,$B$10:$H$121,7,0),0),"")))</f>
        <v/>
      </c>
      <c r="AC681" s="350" t="str">
        <f ca="1">IF(AND(S681&lt;OP!$C$24,$U681&lt;15),0,IF(AND($U681&lt;16,$T681=12),VLOOKUP($S681,DOWN16,4,0),IF($T681=12,ROUND(VLOOKUP(OP!$C$55,_DIE2,$S681+1,0)*(Z681/10000),0)+IF(AND($P$7="購買增額繳清保險",T681=12,U681=110),VLOOKUP(S681,$B$10:$H$121,7,0),0),"")))</f>
        <v/>
      </c>
      <c r="AD681" s="347"/>
      <c r="AE681" s="350" t="str">
        <f t="shared" ca="1" si="455"/>
        <v/>
      </c>
      <c r="AF681" s="351" t="str">
        <f t="shared" ca="1" si="456"/>
        <v/>
      </c>
      <c r="AG681" s="340"/>
      <c r="AH681" s="340"/>
      <c r="AI681" s="340"/>
      <c r="AJ681" s="340"/>
      <c r="AK681" s="340"/>
      <c r="AL681" s="340"/>
      <c r="AM681" s="340"/>
      <c r="AN681" s="340"/>
      <c r="AO681" s="340"/>
      <c r="AP681" s="340"/>
      <c r="AQ681" s="340"/>
      <c r="AR681" s="340"/>
      <c r="AS681" s="340"/>
      <c r="AT681" s="340"/>
      <c r="AU681" s="340"/>
      <c r="AV681" s="340"/>
      <c r="AY681" s="340"/>
      <c r="AZ681" s="465">
        <f t="shared" ca="1" si="466"/>
        <v>7.3698599999999999E-5</v>
      </c>
      <c r="BA681" s="464">
        <f t="shared" ca="1" si="467"/>
        <v>2.1372602999999999E-3</v>
      </c>
      <c r="BB681" s="465">
        <f t="shared" ca="1" si="467"/>
        <v>2.2109589000000002E-3</v>
      </c>
      <c r="BC681" s="466">
        <f t="shared" ca="1" si="468"/>
        <v>63341</v>
      </c>
      <c r="BD681" s="467">
        <f t="shared" ca="1" si="481"/>
        <v>63342</v>
      </c>
      <c r="BE681" s="467">
        <f t="shared" ca="1" si="469"/>
        <v>63370</v>
      </c>
      <c r="BF681" s="468">
        <f ca="1">IF(計算!$BC681&lt;OP!$C$3,0,BD681-BC681)</f>
        <v>1</v>
      </c>
      <c r="BG681" s="468">
        <f ca="1">IF($BE681&gt;DATE(YEAR($BD$9)+OP!$C$57,MONTH($BD$9),DAY($BD$9)),0,$BE681-$BD681+1)</f>
        <v>29</v>
      </c>
      <c r="BH681" s="469">
        <f t="shared" ca="1" si="470"/>
        <v>30</v>
      </c>
      <c r="BI681">
        <f t="shared" ca="1" si="486"/>
        <v>365</v>
      </c>
      <c r="BJ681">
        <v>12</v>
      </c>
      <c r="BN681" s="468">
        <f t="shared" si="482"/>
        <v>56</v>
      </c>
      <c r="BO681" s="468">
        <f t="shared" si="483"/>
        <v>12</v>
      </c>
      <c r="BP681" s="467">
        <f t="shared" ca="1" si="471"/>
        <v>63342</v>
      </c>
      <c r="BQ681" s="475">
        <f t="shared" ca="1" si="485"/>
        <v>88</v>
      </c>
      <c r="BR681" s="475">
        <f t="shared" si="484"/>
        <v>56</v>
      </c>
      <c r="BS681" s="471">
        <f t="shared" ca="1" si="472"/>
        <v>19042</v>
      </c>
      <c r="BT681" s="472">
        <f t="shared" ca="1" si="487"/>
        <v>1154704</v>
      </c>
      <c r="BU681" s="472">
        <f t="shared" ca="1" si="473"/>
        <v>18604</v>
      </c>
      <c r="BV681" s="472">
        <f t="shared" ca="1" si="473"/>
        <v>438</v>
      </c>
      <c r="BW681" s="472">
        <f ca="1">ROUND(SUM(BY681,BZ669:BZ680),0)</f>
        <v>30109</v>
      </c>
      <c r="BX681" s="473">
        <f t="shared" ca="1" si="474"/>
        <v>1154705.3500071501</v>
      </c>
      <c r="BY681" s="473">
        <f t="shared" ca="1" si="475"/>
        <v>83.690631084000003</v>
      </c>
      <c r="BZ681" s="473">
        <f t="shared" ca="1" si="457"/>
        <v>2467.905902768</v>
      </c>
      <c r="CA681" s="476">
        <f t="shared" ca="1" si="476"/>
        <v>18604</v>
      </c>
      <c r="CB681" s="494">
        <f ca="1">IF(OR($Q680&lt;&gt;1,OP!$D$5+$BN681-1&lt;16,$BN681-1&lt;1),0,ROUND(ROUND(ROUND(((VLOOKUP($BN681-1,MORE_PV,5,0)/10000)*VLOOKUP($BN681,MORE_PV,$CB$5,0)),3)*VLOOKUP($BN681,more1,5,0),0)/$R680,0))</f>
        <v>438</v>
      </c>
      <c r="CC681" s="473">
        <f t="shared" ca="1" si="477"/>
        <v>0</v>
      </c>
      <c r="CD681" s="477"/>
    </row>
    <row r="682" spans="2:82" ht="16.5" hidden="1">
      <c r="B682" s="80"/>
      <c r="C682" s="80"/>
      <c r="D682" s="80"/>
      <c r="E682" s="80"/>
      <c r="F682" s="80"/>
      <c r="G682" s="80"/>
      <c r="H682" s="80"/>
      <c r="I682" s="80"/>
      <c r="J682" s="192">
        <f t="shared" si="458"/>
        <v>57</v>
      </c>
      <c r="K682" s="192">
        <f t="shared" si="459"/>
        <v>2</v>
      </c>
      <c r="L682" s="192" t="str">
        <f t="shared" si="454"/>
        <v/>
      </c>
      <c r="M682" s="216">
        <f t="shared" ca="1" si="460"/>
        <v>0</v>
      </c>
      <c r="N682" s="216"/>
      <c r="O682" s="216"/>
      <c r="P682" s="216"/>
      <c r="Q682" s="456" t="str">
        <f t="shared" ca="1" si="461"/>
        <v/>
      </c>
      <c r="R682" s="450">
        <f t="shared" ca="1" si="462"/>
        <v>1</v>
      </c>
      <c r="S682" s="191">
        <f t="shared" si="463"/>
        <v>57</v>
      </c>
      <c r="T682" s="191">
        <f t="shared" si="464"/>
        <v>2</v>
      </c>
      <c r="U682" s="191">
        <f ca="1">OP!$D$5+$S682-1</f>
        <v>89</v>
      </c>
      <c r="V682" s="191" t="str">
        <f t="shared" si="465"/>
        <v/>
      </c>
      <c r="W682" s="350">
        <f ca="1">IF(Q682&lt;&gt;1,0,VLOOKUP(OP!$C$55,PVFB,$S682+2,0))</f>
        <v>0</v>
      </c>
      <c r="X682" s="473">
        <f t="shared" ca="1" si="478"/>
        <v>0</v>
      </c>
      <c r="Y682" s="348">
        <f t="shared" ca="1" si="479"/>
        <v>0</v>
      </c>
      <c r="Z682" s="348">
        <f t="shared" ca="1" si="480"/>
        <v>8012</v>
      </c>
      <c r="AA682" s="348">
        <f ca="1">IF(Q682&lt;&gt;1,0,VLOOKUP(OP!$C$55,PVFB,$S682+2,0))</f>
        <v>0</v>
      </c>
      <c r="AB682" s="488" t="str">
        <f ca="1">IF(AND(S682&lt;OP!$C$24,$U682&lt;15),0,IF(AND($U682&lt;15,$T682=12),ROUND(VLOOKUP($S682,DOWN16,5,0),3),IF($T682=12,ROUND(($Z682/10000)*$AA682,3)+IF(AND($P$7="購買增額繳清保險",T682=12,U682=110),VLOOKUP(S682,$B$10:$H$121,7,0),0),"")))</f>
        <v/>
      </c>
      <c r="AC682" s="350" t="str">
        <f ca="1">IF(AND(S682&lt;OP!$C$24,$U682&lt;15),0,IF(AND($U682&lt;16,$T682=12),VLOOKUP($S682,DOWN16,4,0),IF($T682=12,ROUND(VLOOKUP(OP!$C$55,_DIE2,$S682+1,0)*(Z682/10000),0)+IF(AND($P$7="購買增額繳清保險",T682=12,U682=110),VLOOKUP(S682,$B$10:$H$121,7,0),0),"")))</f>
        <v/>
      </c>
      <c r="AD682" s="347"/>
      <c r="AE682" s="350" t="str">
        <f t="shared" ca="1" si="455"/>
        <v/>
      </c>
      <c r="AF682" s="351" t="str">
        <f t="shared" ca="1" si="456"/>
        <v/>
      </c>
      <c r="AG682" s="340"/>
      <c r="AH682" s="340"/>
      <c r="AI682" s="340"/>
      <c r="AJ682" s="340"/>
      <c r="AK682" s="340"/>
      <c r="AL682" s="340"/>
      <c r="AM682" s="340"/>
      <c r="AN682" s="340"/>
      <c r="AO682" s="340"/>
      <c r="AP682" s="340"/>
      <c r="AQ682" s="340"/>
      <c r="AR682" s="340"/>
      <c r="AS682" s="340"/>
      <c r="AT682" s="340"/>
      <c r="AU682" s="340"/>
      <c r="AV682" s="340"/>
      <c r="AY682" s="340"/>
      <c r="AZ682" s="465">
        <f t="shared" ca="1" si="466"/>
        <v>7.3698599999999999E-5</v>
      </c>
      <c r="BA682" s="464">
        <f t="shared" ca="1" si="467"/>
        <v>2.2109589000000002E-3</v>
      </c>
      <c r="BB682" s="465">
        <f t="shared" ca="1" si="467"/>
        <v>2.2846575E-3</v>
      </c>
      <c r="BC682" s="466">
        <f t="shared" ca="1" si="468"/>
        <v>63371</v>
      </c>
      <c r="BD682" s="467">
        <f t="shared" ca="1" si="481"/>
        <v>63372</v>
      </c>
      <c r="BE682" s="467">
        <f t="shared" ca="1" si="469"/>
        <v>63401</v>
      </c>
      <c r="BF682" s="468">
        <f ca="1">IF(計算!$BC682&lt;OP!$C$3,0,BD682-BC682)</f>
        <v>1</v>
      </c>
      <c r="BG682" s="468">
        <f ca="1">IF($BE682&gt;DATE(YEAR($BD$9)+OP!$C$57,MONTH($BD$9),DAY($BD$9)),0,$BE682-$BD682+1)</f>
        <v>30</v>
      </c>
      <c r="BH682" s="469">
        <f t="shared" ca="1" si="470"/>
        <v>31</v>
      </c>
      <c r="BI682" t="str">
        <f t="shared" si="486"/>
        <v/>
      </c>
      <c r="BJ682">
        <v>1</v>
      </c>
      <c r="BN682" s="468">
        <f t="shared" si="482"/>
        <v>57</v>
      </c>
      <c r="BO682" s="468">
        <f t="shared" si="483"/>
        <v>1</v>
      </c>
      <c r="BP682" s="467">
        <f t="shared" ca="1" si="471"/>
        <v>63372</v>
      </c>
      <c r="BQ682" s="475">
        <f t="shared" ca="1" si="485"/>
        <v>89</v>
      </c>
      <c r="BR682" s="475" t="str">
        <f t="shared" si="484"/>
        <v/>
      </c>
      <c r="BS682" s="471" t="str">
        <f t="shared" si="472"/>
        <v/>
      </c>
      <c r="BT682" s="472" t="str">
        <f t="shared" si="487"/>
        <v/>
      </c>
      <c r="BU682" s="472">
        <f t="shared" ca="1" si="473"/>
        <v>0</v>
      </c>
      <c r="BV682" s="472">
        <f t="shared" ca="1" si="473"/>
        <v>0</v>
      </c>
      <c r="BW682" s="472"/>
      <c r="BX682" s="473">
        <f t="shared" ca="1" si="474"/>
        <v>1157173.25590992</v>
      </c>
      <c r="BY682" s="473">
        <f t="shared" si="475"/>
        <v>0</v>
      </c>
      <c r="BZ682" s="473">
        <f t="shared" ca="1" si="457"/>
        <v>2643.7445579139999</v>
      </c>
      <c r="CA682" s="476">
        <f t="shared" ca="1" si="476"/>
        <v>0</v>
      </c>
      <c r="CB682" s="494">
        <f ca="1">IF(OR($Q681&lt;&gt;1,OP!$D$5+$BN682-1&lt;16,$BN682-1&lt;1),0,ROUND(ROUND(ROUND(((VLOOKUP($BN682-1,MORE_PV,5,0)/10000)*VLOOKUP($BN682,MORE_PV,$CB$5,0)),3)*VLOOKUP($BN682,more1,5,0),0)/$R681,0))</f>
        <v>0</v>
      </c>
      <c r="CC682" s="473">
        <f t="shared" ca="1" si="477"/>
        <v>0</v>
      </c>
      <c r="CD682" s="477"/>
    </row>
    <row r="683" spans="2:82" ht="16.5" hidden="1">
      <c r="B683" s="80"/>
      <c r="C683" s="80"/>
      <c r="D683" s="80"/>
      <c r="E683" s="80"/>
      <c r="F683" s="80"/>
      <c r="G683" s="80"/>
      <c r="H683" s="80"/>
      <c r="I683" s="80"/>
      <c r="J683" s="192">
        <f t="shared" si="458"/>
        <v>57</v>
      </c>
      <c r="K683" s="192">
        <f t="shared" si="459"/>
        <v>3</v>
      </c>
      <c r="L683" s="192" t="str">
        <f t="shared" si="454"/>
        <v/>
      </c>
      <c r="M683" s="216">
        <f t="shared" ca="1" si="460"/>
        <v>0</v>
      </c>
      <c r="N683" s="216"/>
      <c r="O683" s="216"/>
      <c r="P683" s="216"/>
      <c r="Q683" s="456" t="str">
        <f t="shared" ca="1" si="461"/>
        <v/>
      </c>
      <c r="R683" s="450">
        <f t="shared" ca="1" si="462"/>
        <v>1</v>
      </c>
      <c r="S683" s="191">
        <f t="shared" si="463"/>
        <v>57</v>
      </c>
      <c r="T683" s="191">
        <f t="shared" si="464"/>
        <v>3</v>
      </c>
      <c r="U683" s="191">
        <f ca="1">OP!$D$5+$S683-1</f>
        <v>89</v>
      </c>
      <c r="V683" s="191" t="str">
        <f t="shared" si="465"/>
        <v/>
      </c>
      <c r="W683" s="350">
        <f ca="1">IF(Q683&lt;&gt;1,0,VLOOKUP(OP!$C$55,PVFB,$S683+2,0))</f>
        <v>0</v>
      </c>
      <c r="X683" s="473">
        <f t="shared" ca="1" si="478"/>
        <v>0</v>
      </c>
      <c r="Y683" s="348">
        <f t="shared" ca="1" si="479"/>
        <v>0</v>
      </c>
      <c r="Z683" s="348">
        <f t="shared" ca="1" si="480"/>
        <v>8012</v>
      </c>
      <c r="AA683" s="348">
        <f ca="1">IF(Q683&lt;&gt;1,0,VLOOKUP(OP!$C$55,PVFB,$S683+2,0))</f>
        <v>0</v>
      </c>
      <c r="AB683" s="488" t="str">
        <f ca="1">IF(AND(S683&lt;OP!$C$24,$U683&lt;15),0,IF(AND($U683&lt;15,$T683=12),ROUND(VLOOKUP($S683,DOWN16,5,0),3),IF($T683=12,ROUND(($Z683/10000)*$AA683,3)+IF(AND($P$7="購買增額繳清保險",T683=12,U683=110),VLOOKUP(S683,$B$10:$H$121,7,0),0),"")))</f>
        <v/>
      </c>
      <c r="AC683" s="350" t="str">
        <f ca="1">IF(AND(S683&lt;OP!$C$24,$U683&lt;15),0,IF(AND($U683&lt;16,$T683=12),VLOOKUP($S683,DOWN16,4,0),IF($T683=12,ROUND(VLOOKUP(OP!$C$55,_DIE2,$S683+1,0)*(Z683/10000),0)+IF(AND($P$7="購買增額繳清保險",T683=12,U683=110),VLOOKUP(S683,$B$10:$H$121,7,0),0),"")))</f>
        <v/>
      </c>
      <c r="AD683" s="347"/>
      <c r="AE683" s="350" t="str">
        <f t="shared" ca="1" si="455"/>
        <v/>
      </c>
      <c r="AF683" s="351" t="str">
        <f t="shared" ca="1" si="456"/>
        <v/>
      </c>
      <c r="AG683" s="340"/>
      <c r="AH683" s="340"/>
      <c r="AI683" s="340"/>
      <c r="AJ683" s="340"/>
      <c r="AK683" s="340"/>
      <c r="AL683" s="340"/>
      <c r="AM683" s="340"/>
      <c r="AN683" s="340"/>
      <c r="AO683" s="340"/>
      <c r="AP683" s="340"/>
      <c r="AQ683" s="340"/>
      <c r="AR683" s="340"/>
      <c r="AS683" s="340"/>
      <c r="AT683" s="340"/>
      <c r="AU683" s="340"/>
      <c r="AV683" s="340"/>
      <c r="AY683" s="340"/>
      <c r="AZ683" s="465">
        <f t="shared" ca="1" si="466"/>
        <v>7.3698599999999999E-5</v>
      </c>
      <c r="BA683" s="464">
        <f t="shared" ca="1" si="467"/>
        <v>2.2109589000000002E-3</v>
      </c>
      <c r="BB683" s="465">
        <f t="shared" ca="1" si="467"/>
        <v>2.2846575E-3</v>
      </c>
      <c r="BC683" s="466">
        <f t="shared" ca="1" si="468"/>
        <v>63402</v>
      </c>
      <c r="BD683" s="467">
        <f t="shared" ca="1" si="481"/>
        <v>63403</v>
      </c>
      <c r="BE683" s="467">
        <f t="shared" ca="1" si="469"/>
        <v>63432</v>
      </c>
      <c r="BF683" s="468">
        <f ca="1">IF(計算!$BC683&lt;OP!$C$3,0,BD683-BC683)</f>
        <v>1</v>
      </c>
      <c r="BG683" s="468">
        <f ca="1">IF($BE683&gt;DATE(YEAR($BD$9)+OP!$C$57,MONTH($BD$9),DAY($BD$9)),0,$BE683-$BD683+1)</f>
        <v>30</v>
      </c>
      <c r="BH683" s="469">
        <f t="shared" ca="1" si="470"/>
        <v>31</v>
      </c>
      <c r="BI683" t="str">
        <f t="shared" si="486"/>
        <v/>
      </c>
      <c r="BJ683">
        <v>2</v>
      </c>
      <c r="BN683" s="468">
        <f t="shared" si="482"/>
        <v>57</v>
      </c>
      <c r="BO683" s="468">
        <f t="shared" si="483"/>
        <v>2</v>
      </c>
      <c r="BP683" s="467">
        <f t="shared" ca="1" si="471"/>
        <v>63403</v>
      </c>
      <c r="BQ683" s="475">
        <f t="shared" ca="1" si="485"/>
        <v>89</v>
      </c>
      <c r="BR683" s="475" t="str">
        <f t="shared" si="484"/>
        <v/>
      </c>
      <c r="BS683" s="471" t="str">
        <f t="shared" si="472"/>
        <v/>
      </c>
      <c r="BT683" s="472" t="str">
        <f t="shared" si="487"/>
        <v/>
      </c>
      <c r="BU683" s="472">
        <f t="shared" ca="1" si="473"/>
        <v>0</v>
      </c>
      <c r="BV683" s="472">
        <f t="shared" ca="1" si="473"/>
        <v>0</v>
      </c>
      <c r="BW683" s="472"/>
      <c r="BX683" s="473">
        <f t="shared" ca="1" si="474"/>
        <v>1159817.0004678301</v>
      </c>
      <c r="BY683" s="473">
        <f t="shared" si="475"/>
        <v>0</v>
      </c>
      <c r="BZ683" s="473">
        <f t="shared" ca="1" si="457"/>
        <v>2649.7846087459998</v>
      </c>
      <c r="CA683" s="476">
        <f t="shared" ca="1" si="476"/>
        <v>0</v>
      </c>
      <c r="CB683" s="494">
        <f ca="1">IF(OR($Q682&lt;&gt;1,OP!$D$5+$BN683-1&lt;16,$BN683-1&lt;1),0,ROUND(ROUND(ROUND(((VLOOKUP($BN683-1,MORE_PV,5,0)/10000)*VLOOKUP($BN683,MORE_PV,$CB$5,0)),3)*VLOOKUP($BN683,more1,5,0),0)/$R682,0))</f>
        <v>0</v>
      </c>
      <c r="CC683" s="473">
        <f t="shared" ca="1" si="477"/>
        <v>0</v>
      </c>
      <c r="CD683" s="477"/>
    </row>
    <row r="684" spans="2:82" ht="16.5" hidden="1">
      <c r="B684" s="80"/>
      <c r="C684" s="80"/>
      <c r="D684" s="80"/>
      <c r="E684" s="80"/>
      <c r="F684" s="80"/>
      <c r="G684" s="80"/>
      <c r="H684" s="80"/>
      <c r="I684" s="80"/>
      <c r="J684" s="192">
        <f t="shared" si="458"/>
        <v>57</v>
      </c>
      <c r="K684" s="192">
        <f t="shared" si="459"/>
        <v>4</v>
      </c>
      <c r="L684" s="192" t="str">
        <f t="shared" si="454"/>
        <v/>
      </c>
      <c r="M684" s="216">
        <f t="shared" ca="1" si="460"/>
        <v>0</v>
      </c>
      <c r="N684" s="216"/>
      <c r="O684" s="216"/>
      <c r="P684" s="216"/>
      <c r="Q684" s="456" t="str">
        <f t="shared" ca="1" si="461"/>
        <v/>
      </c>
      <c r="R684" s="450">
        <f t="shared" ca="1" si="462"/>
        <v>1</v>
      </c>
      <c r="S684" s="191">
        <f t="shared" si="463"/>
        <v>57</v>
      </c>
      <c r="T684" s="191">
        <f t="shared" si="464"/>
        <v>4</v>
      </c>
      <c r="U684" s="191">
        <f ca="1">OP!$D$5+$S684-1</f>
        <v>89</v>
      </c>
      <c r="V684" s="191" t="str">
        <f t="shared" si="465"/>
        <v/>
      </c>
      <c r="W684" s="350">
        <f ca="1">IF(Q684&lt;&gt;1,0,VLOOKUP(OP!$C$55,PVFB,$S684+2,0))</f>
        <v>0</v>
      </c>
      <c r="X684" s="473">
        <f t="shared" ca="1" si="478"/>
        <v>0</v>
      </c>
      <c r="Y684" s="348">
        <f t="shared" ca="1" si="479"/>
        <v>0</v>
      </c>
      <c r="Z684" s="348">
        <f t="shared" ca="1" si="480"/>
        <v>8012</v>
      </c>
      <c r="AA684" s="348">
        <f ca="1">IF(Q684&lt;&gt;1,0,VLOOKUP(OP!$C$55,PVFB,$S684+2,0))</f>
        <v>0</v>
      </c>
      <c r="AB684" s="488" t="str">
        <f ca="1">IF(AND(S684&lt;OP!$C$24,$U684&lt;15),0,IF(AND($U684&lt;15,$T684=12),ROUND(VLOOKUP($S684,DOWN16,5,0),3),IF($T684=12,ROUND(($Z684/10000)*$AA684,3)+IF(AND($P$7="購買增額繳清保險",T684=12,U684=110),VLOOKUP(S684,$B$10:$H$121,7,0),0),"")))</f>
        <v/>
      </c>
      <c r="AC684" s="350" t="str">
        <f ca="1">IF(AND(S684&lt;OP!$C$24,$U684&lt;15),0,IF(AND($U684&lt;16,$T684=12),VLOOKUP($S684,DOWN16,4,0),IF($T684=12,ROUND(VLOOKUP(OP!$C$55,_DIE2,$S684+1,0)*(Z684/10000),0)+IF(AND($P$7="購買增額繳清保險",T684=12,U684=110),VLOOKUP(S684,$B$10:$H$121,7,0),0),"")))</f>
        <v/>
      </c>
      <c r="AD684" s="347"/>
      <c r="AE684" s="350" t="str">
        <f t="shared" ca="1" si="455"/>
        <v/>
      </c>
      <c r="AF684" s="351" t="str">
        <f t="shared" ca="1" si="456"/>
        <v/>
      </c>
      <c r="AG684" s="340"/>
      <c r="AH684" s="340"/>
      <c r="AI684" s="340"/>
      <c r="AJ684" s="340"/>
      <c r="AK684" s="340"/>
      <c r="AL684" s="340"/>
      <c r="AM684" s="340"/>
      <c r="AN684" s="340"/>
      <c r="AO684" s="340"/>
      <c r="AP684" s="340"/>
      <c r="AQ684" s="340"/>
      <c r="AR684" s="340"/>
      <c r="AS684" s="340"/>
      <c r="AT684" s="340"/>
      <c r="AU684" s="340"/>
      <c r="AV684" s="340"/>
      <c r="AY684" s="340"/>
      <c r="AZ684" s="465">
        <f t="shared" ca="1" si="466"/>
        <v>7.3698599999999999E-5</v>
      </c>
      <c r="BA684" s="464">
        <f t="shared" ca="1" si="467"/>
        <v>2.1372602999999999E-3</v>
      </c>
      <c r="BB684" s="465">
        <f t="shared" ca="1" si="467"/>
        <v>2.2109589000000002E-3</v>
      </c>
      <c r="BC684" s="466">
        <f t="shared" ca="1" si="468"/>
        <v>63433</v>
      </c>
      <c r="BD684" s="467">
        <f t="shared" ca="1" si="481"/>
        <v>63434</v>
      </c>
      <c r="BE684" s="467">
        <f t="shared" ca="1" si="469"/>
        <v>63462</v>
      </c>
      <c r="BF684" s="468">
        <f ca="1">IF(計算!$BC684&lt;OP!$C$3,0,BD684-BC684)</f>
        <v>1</v>
      </c>
      <c r="BG684" s="468">
        <f ca="1">IF($BE684&gt;DATE(YEAR($BD$9)+OP!$C$57,MONTH($BD$9),DAY($BD$9)),0,$BE684-$BD684+1)</f>
        <v>29</v>
      </c>
      <c r="BH684" s="469">
        <f t="shared" ca="1" si="470"/>
        <v>30</v>
      </c>
      <c r="BI684" t="str">
        <f t="shared" si="486"/>
        <v/>
      </c>
      <c r="BJ684">
        <v>3</v>
      </c>
      <c r="BN684" s="468">
        <f t="shared" si="482"/>
        <v>57</v>
      </c>
      <c r="BO684" s="468">
        <f t="shared" si="483"/>
        <v>3</v>
      </c>
      <c r="BP684" s="467">
        <f t="shared" ca="1" si="471"/>
        <v>63434</v>
      </c>
      <c r="BQ684" s="475">
        <f t="shared" ca="1" si="485"/>
        <v>89</v>
      </c>
      <c r="BR684" s="475" t="str">
        <f t="shared" si="484"/>
        <v/>
      </c>
      <c r="BS684" s="471" t="str">
        <f t="shared" si="472"/>
        <v/>
      </c>
      <c r="BT684" s="472" t="str">
        <f t="shared" si="487"/>
        <v/>
      </c>
      <c r="BU684" s="472">
        <f t="shared" ca="1" si="473"/>
        <v>0</v>
      </c>
      <c r="BV684" s="472">
        <f t="shared" ca="1" si="473"/>
        <v>0</v>
      </c>
      <c r="BW684" s="472"/>
      <c r="BX684" s="473">
        <f t="shared" ca="1" si="474"/>
        <v>1162466.78507658</v>
      </c>
      <c r="BY684" s="473">
        <f t="shared" si="475"/>
        <v>0</v>
      </c>
      <c r="BZ684" s="473">
        <f t="shared" ca="1" si="457"/>
        <v>2570.166284419</v>
      </c>
      <c r="CA684" s="476">
        <f t="shared" ca="1" si="476"/>
        <v>0</v>
      </c>
      <c r="CB684" s="494">
        <f ca="1">IF(OR($Q683&lt;&gt;1,OP!$D$5+$BN684-1&lt;16,$BN684-1&lt;1),0,ROUND(ROUND(ROUND(((VLOOKUP($BN684-1,MORE_PV,5,0)/10000)*VLOOKUP($BN684,MORE_PV,$CB$5,0)),3)*VLOOKUP($BN684,more1,5,0),0)/$R683,0))</f>
        <v>0</v>
      </c>
      <c r="CC684" s="473">
        <f t="shared" ca="1" si="477"/>
        <v>0</v>
      </c>
      <c r="CD684" s="477"/>
    </row>
    <row r="685" spans="2:82" ht="16.5" hidden="1">
      <c r="B685" s="80"/>
      <c r="C685" s="80"/>
      <c r="D685" s="80"/>
      <c r="E685" s="80"/>
      <c r="F685" s="80"/>
      <c r="G685" s="80"/>
      <c r="H685" s="80"/>
      <c r="I685" s="80"/>
      <c r="J685" s="192">
        <f t="shared" si="458"/>
        <v>57</v>
      </c>
      <c r="K685" s="192">
        <f t="shared" si="459"/>
        <v>5</v>
      </c>
      <c r="L685" s="192" t="str">
        <f t="shared" si="454"/>
        <v/>
      </c>
      <c r="M685" s="216">
        <f t="shared" ca="1" si="460"/>
        <v>0</v>
      </c>
      <c r="N685" s="216"/>
      <c r="O685" s="216"/>
      <c r="P685" s="216"/>
      <c r="Q685" s="456" t="str">
        <f t="shared" ca="1" si="461"/>
        <v/>
      </c>
      <c r="R685" s="450">
        <f t="shared" ca="1" si="462"/>
        <v>1</v>
      </c>
      <c r="S685" s="191">
        <f t="shared" si="463"/>
        <v>57</v>
      </c>
      <c r="T685" s="191">
        <f t="shared" si="464"/>
        <v>5</v>
      </c>
      <c r="U685" s="191">
        <f ca="1">OP!$D$5+$S685-1</f>
        <v>89</v>
      </c>
      <c r="V685" s="191" t="str">
        <f t="shared" si="465"/>
        <v/>
      </c>
      <c r="W685" s="350">
        <f ca="1">IF(Q685&lt;&gt;1,0,VLOOKUP(OP!$C$55,PVFB,$S685+2,0))</f>
        <v>0</v>
      </c>
      <c r="X685" s="473">
        <f t="shared" ca="1" si="478"/>
        <v>0</v>
      </c>
      <c r="Y685" s="348">
        <f t="shared" ca="1" si="479"/>
        <v>0</v>
      </c>
      <c r="Z685" s="348">
        <f t="shared" ca="1" si="480"/>
        <v>8012</v>
      </c>
      <c r="AA685" s="348">
        <f ca="1">IF(Q685&lt;&gt;1,0,VLOOKUP(OP!$C$55,PVFB,$S685+2,0))</f>
        <v>0</v>
      </c>
      <c r="AB685" s="488" t="str">
        <f ca="1">IF(AND(S685&lt;OP!$C$24,$U685&lt;15),0,IF(AND($U685&lt;15,$T685=12),ROUND(VLOOKUP($S685,DOWN16,5,0),3),IF($T685=12,ROUND(($Z685/10000)*$AA685,3)+IF(AND($P$7="購買增額繳清保險",T685=12,U685=110),VLOOKUP(S685,$B$10:$H$121,7,0),0),"")))</f>
        <v/>
      </c>
      <c r="AC685" s="350" t="str">
        <f ca="1">IF(AND(S685&lt;OP!$C$24,$U685&lt;15),0,IF(AND($U685&lt;16,$T685=12),VLOOKUP($S685,DOWN16,4,0),IF($T685=12,ROUND(VLOOKUP(OP!$C$55,_DIE2,$S685+1,0)*(Z685/10000),0)+IF(AND($P$7="購買增額繳清保險",T685=12,U685=110),VLOOKUP(S685,$B$10:$H$121,7,0),0),"")))</f>
        <v/>
      </c>
      <c r="AD685" s="347"/>
      <c r="AE685" s="350" t="str">
        <f t="shared" ca="1" si="455"/>
        <v/>
      </c>
      <c r="AF685" s="351" t="str">
        <f t="shared" ca="1" si="456"/>
        <v/>
      </c>
      <c r="AG685" s="340"/>
      <c r="AH685" s="340"/>
      <c r="AI685" s="340"/>
      <c r="AJ685" s="340"/>
      <c r="AK685" s="340"/>
      <c r="AL685" s="340"/>
      <c r="AM685" s="340"/>
      <c r="AN685" s="340"/>
      <c r="AO685" s="340"/>
      <c r="AP685" s="340"/>
      <c r="AQ685" s="340"/>
      <c r="AR685" s="340"/>
      <c r="AS685" s="340"/>
      <c r="AT685" s="340"/>
      <c r="AU685" s="340"/>
      <c r="AV685" s="340"/>
      <c r="AY685" s="340"/>
      <c r="AZ685" s="465">
        <f t="shared" ca="1" si="466"/>
        <v>7.3698599999999999E-5</v>
      </c>
      <c r="BA685" s="464">
        <f t="shared" ca="1" si="467"/>
        <v>2.2109589000000002E-3</v>
      </c>
      <c r="BB685" s="465">
        <f t="shared" ca="1" si="467"/>
        <v>2.2846575E-3</v>
      </c>
      <c r="BC685" s="466">
        <f t="shared" ca="1" si="468"/>
        <v>63463</v>
      </c>
      <c r="BD685" s="467">
        <f t="shared" ca="1" si="481"/>
        <v>63464</v>
      </c>
      <c r="BE685" s="467">
        <f t="shared" ca="1" si="469"/>
        <v>63493</v>
      </c>
      <c r="BF685" s="468">
        <f ca="1">IF(計算!$BC685&lt;OP!$C$3,0,BD685-BC685)</f>
        <v>1</v>
      </c>
      <c r="BG685" s="468">
        <f ca="1">IF($BE685&gt;DATE(YEAR($BD$9)+OP!$C$57,MONTH($BD$9),DAY($BD$9)),0,$BE685-$BD685+1)</f>
        <v>30</v>
      </c>
      <c r="BH685" s="469">
        <f t="shared" ca="1" si="470"/>
        <v>31</v>
      </c>
      <c r="BI685" t="str">
        <f t="shared" si="486"/>
        <v/>
      </c>
      <c r="BJ685">
        <v>4</v>
      </c>
      <c r="BN685" s="468">
        <f t="shared" si="482"/>
        <v>57</v>
      </c>
      <c r="BO685" s="468">
        <f t="shared" si="483"/>
        <v>4</v>
      </c>
      <c r="BP685" s="467">
        <f t="shared" ca="1" si="471"/>
        <v>63464</v>
      </c>
      <c r="BQ685" s="475">
        <f t="shared" ca="1" si="485"/>
        <v>89</v>
      </c>
      <c r="BR685" s="475" t="str">
        <f t="shared" si="484"/>
        <v/>
      </c>
      <c r="BS685" s="471" t="str">
        <f t="shared" si="472"/>
        <v/>
      </c>
      <c r="BT685" s="472" t="str">
        <f t="shared" si="487"/>
        <v/>
      </c>
      <c r="BU685" s="472">
        <f t="shared" ca="1" si="473"/>
        <v>0</v>
      </c>
      <c r="BV685" s="472">
        <f t="shared" ca="1" si="473"/>
        <v>0</v>
      </c>
      <c r="BW685" s="472"/>
      <c r="BX685" s="473">
        <f t="shared" ca="1" si="474"/>
        <v>1165036.9513610001</v>
      </c>
      <c r="BY685" s="473">
        <f t="shared" si="475"/>
        <v>0</v>
      </c>
      <c r="BZ685" s="473">
        <f t="shared" ca="1" si="457"/>
        <v>2661.7104087040002</v>
      </c>
      <c r="CA685" s="476">
        <f t="shared" ca="1" si="476"/>
        <v>0</v>
      </c>
      <c r="CB685" s="494">
        <f ca="1">IF(OR($Q684&lt;&gt;1,OP!$D$5+$BN685-1&lt;16,$BN685-1&lt;1),0,ROUND(ROUND(ROUND(((VLOOKUP($BN685-1,MORE_PV,5,0)/10000)*VLOOKUP($BN685,MORE_PV,$CB$5,0)),3)*VLOOKUP($BN685,more1,5,0),0)/$R684,0))</f>
        <v>0</v>
      </c>
      <c r="CC685" s="473">
        <f t="shared" ca="1" si="477"/>
        <v>0</v>
      </c>
      <c r="CD685" s="477"/>
    </row>
    <row r="686" spans="2:82" ht="16.5" hidden="1">
      <c r="B686" s="80"/>
      <c r="C686" s="80"/>
      <c r="D686" s="80"/>
      <c r="E686" s="80"/>
      <c r="F686" s="80"/>
      <c r="G686" s="80"/>
      <c r="H686" s="80"/>
      <c r="I686" s="80"/>
      <c r="J686" s="192">
        <f t="shared" si="458"/>
        <v>57</v>
      </c>
      <c r="K686" s="192">
        <f t="shared" si="459"/>
        <v>6</v>
      </c>
      <c r="L686" s="192" t="str">
        <f t="shared" si="454"/>
        <v/>
      </c>
      <c r="M686" s="216">
        <f t="shared" ca="1" si="460"/>
        <v>0</v>
      </c>
      <c r="N686" s="216"/>
      <c r="O686" s="216"/>
      <c r="P686" s="216"/>
      <c r="Q686" s="456" t="str">
        <f t="shared" ca="1" si="461"/>
        <v/>
      </c>
      <c r="R686" s="450">
        <f t="shared" ca="1" si="462"/>
        <v>1</v>
      </c>
      <c r="S686" s="191">
        <f t="shared" si="463"/>
        <v>57</v>
      </c>
      <c r="T686" s="191">
        <f t="shared" si="464"/>
        <v>6</v>
      </c>
      <c r="U686" s="191">
        <f ca="1">OP!$D$5+$S686-1</f>
        <v>89</v>
      </c>
      <c r="V686" s="191" t="str">
        <f t="shared" si="465"/>
        <v/>
      </c>
      <c r="W686" s="350">
        <f ca="1">IF(Q686&lt;&gt;1,0,VLOOKUP(OP!$C$55,PVFB,$S686+2,0))</f>
        <v>0</v>
      </c>
      <c r="X686" s="473">
        <f t="shared" ca="1" si="478"/>
        <v>0</v>
      </c>
      <c r="Y686" s="348">
        <f t="shared" ca="1" si="479"/>
        <v>0</v>
      </c>
      <c r="Z686" s="348">
        <f t="shared" ca="1" si="480"/>
        <v>8012</v>
      </c>
      <c r="AA686" s="348">
        <f ca="1">IF(Q686&lt;&gt;1,0,VLOOKUP(OP!$C$55,PVFB,$S686+2,0))</f>
        <v>0</v>
      </c>
      <c r="AB686" s="488" t="str">
        <f ca="1">IF(AND(S686&lt;OP!$C$24,$U686&lt;15),0,IF(AND($U686&lt;15,$T686=12),ROUND(VLOOKUP($S686,DOWN16,5,0),3),IF($T686=12,ROUND(($Z686/10000)*$AA686,3)+IF(AND($P$7="購買增額繳清保險",T686=12,U686=110),VLOOKUP(S686,$B$10:$H$121,7,0),0),"")))</f>
        <v/>
      </c>
      <c r="AC686" s="350" t="str">
        <f ca="1">IF(AND(S686&lt;OP!$C$24,$U686&lt;15),0,IF(AND($U686&lt;16,$T686=12),VLOOKUP($S686,DOWN16,4,0),IF($T686=12,ROUND(VLOOKUP(OP!$C$55,_DIE2,$S686+1,0)*(Z686/10000),0)+IF(AND($P$7="購買增額繳清保險",T686=12,U686=110),VLOOKUP(S686,$B$10:$H$121,7,0),0),"")))</f>
        <v/>
      </c>
      <c r="AD686" s="347"/>
      <c r="AE686" s="350" t="str">
        <f t="shared" ca="1" si="455"/>
        <v/>
      </c>
      <c r="AF686" s="351" t="str">
        <f t="shared" ca="1" si="456"/>
        <v/>
      </c>
      <c r="AG686" s="340"/>
      <c r="AH686" s="340"/>
      <c r="AI686" s="340"/>
      <c r="AJ686" s="340"/>
      <c r="AK686" s="340"/>
      <c r="AL686" s="340"/>
      <c r="AM686" s="340"/>
      <c r="AN686" s="340"/>
      <c r="AO686" s="340"/>
      <c r="AP686" s="340"/>
      <c r="AQ686" s="340"/>
      <c r="AR686" s="340"/>
      <c r="AS686" s="340"/>
      <c r="AT686" s="340"/>
      <c r="AU686" s="340"/>
      <c r="AV686" s="340"/>
      <c r="AY686" s="340"/>
      <c r="AZ686" s="465">
        <f t="shared" ca="1" si="466"/>
        <v>7.3698599999999999E-5</v>
      </c>
      <c r="BA686" s="464">
        <f t="shared" ca="1" si="467"/>
        <v>2.1372602999999999E-3</v>
      </c>
      <c r="BB686" s="465">
        <f t="shared" ca="1" si="467"/>
        <v>2.2109589000000002E-3</v>
      </c>
      <c r="BC686" s="466">
        <f t="shared" ca="1" si="468"/>
        <v>63494</v>
      </c>
      <c r="BD686" s="467">
        <f t="shared" ca="1" si="481"/>
        <v>63495</v>
      </c>
      <c r="BE686" s="467">
        <f t="shared" ca="1" si="469"/>
        <v>63523</v>
      </c>
      <c r="BF686" s="468">
        <f ca="1">IF(計算!$BC686&lt;OP!$C$3,0,BD686-BC686)</f>
        <v>1</v>
      </c>
      <c r="BG686" s="468">
        <f ca="1">IF($BE686&gt;DATE(YEAR($BD$9)+OP!$C$57,MONTH($BD$9),DAY($BD$9)),0,$BE686-$BD686+1)</f>
        <v>29</v>
      </c>
      <c r="BH686" s="469">
        <f t="shared" ca="1" si="470"/>
        <v>30</v>
      </c>
      <c r="BI686" t="str">
        <f t="shared" si="486"/>
        <v/>
      </c>
      <c r="BJ686">
        <v>5</v>
      </c>
      <c r="BN686" s="468">
        <f t="shared" si="482"/>
        <v>57</v>
      </c>
      <c r="BO686" s="468">
        <f t="shared" si="483"/>
        <v>5</v>
      </c>
      <c r="BP686" s="467">
        <f t="shared" ca="1" si="471"/>
        <v>63495</v>
      </c>
      <c r="BQ686" s="475">
        <f t="shared" ca="1" si="485"/>
        <v>89</v>
      </c>
      <c r="BR686" s="475" t="str">
        <f t="shared" si="484"/>
        <v/>
      </c>
      <c r="BS686" s="471" t="str">
        <f t="shared" si="472"/>
        <v/>
      </c>
      <c r="BT686" s="472" t="str">
        <f t="shared" si="487"/>
        <v/>
      </c>
      <c r="BU686" s="472">
        <f t="shared" ca="1" si="473"/>
        <v>0</v>
      </c>
      <c r="BV686" s="472">
        <f t="shared" ca="1" si="473"/>
        <v>0</v>
      </c>
      <c r="BW686" s="472"/>
      <c r="BX686" s="473">
        <f t="shared" ca="1" si="474"/>
        <v>1167698.6617697</v>
      </c>
      <c r="BY686" s="473">
        <f t="shared" si="475"/>
        <v>0</v>
      </c>
      <c r="BZ686" s="473">
        <f t="shared" ca="1" si="457"/>
        <v>2581.7337487579998</v>
      </c>
      <c r="CA686" s="476">
        <f t="shared" ca="1" si="476"/>
        <v>0</v>
      </c>
      <c r="CB686" s="494">
        <f ca="1">IF(OR($Q685&lt;&gt;1,OP!$D$5+$BN686-1&lt;16,$BN686-1&lt;1),0,ROUND(ROUND(ROUND(((VLOOKUP($BN686-1,MORE_PV,5,0)/10000)*VLOOKUP($BN686,MORE_PV,$CB$5,0)),3)*VLOOKUP($BN686,more1,5,0),0)/$R685,0))</f>
        <v>0</v>
      </c>
      <c r="CC686" s="473">
        <f t="shared" ca="1" si="477"/>
        <v>0</v>
      </c>
      <c r="CD686" s="477"/>
    </row>
    <row r="687" spans="2:82" ht="16.5" hidden="1">
      <c r="B687" s="80"/>
      <c r="C687" s="80"/>
      <c r="D687" s="80"/>
      <c r="E687" s="80"/>
      <c r="F687" s="80"/>
      <c r="G687" s="80"/>
      <c r="H687" s="80"/>
      <c r="I687" s="80"/>
      <c r="J687" s="192">
        <f t="shared" si="458"/>
        <v>57</v>
      </c>
      <c r="K687" s="192">
        <f t="shared" si="459"/>
        <v>7</v>
      </c>
      <c r="L687" s="192" t="str">
        <f t="shared" si="454"/>
        <v/>
      </c>
      <c r="M687" s="216">
        <f t="shared" ca="1" si="460"/>
        <v>0</v>
      </c>
      <c r="N687" s="216"/>
      <c r="O687" s="216"/>
      <c r="P687" s="216"/>
      <c r="Q687" s="456" t="str">
        <f t="shared" ca="1" si="461"/>
        <v/>
      </c>
      <c r="R687" s="450">
        <f t="shared" ca="1" si="462"/>
        <v>1</v>
      </c>
      <c r="S687" s="191">
        <f t="shared" si="463"/>
        <v>57</v>
      </c>
      <c r="T687" s="191">
        <f t="shared" si="464"/>
        <v>7</v>
      </c>
      <c r="U687" s="191">
        <f ca="1">OP!$D$5+$S687-1</f>
        <v>89</v>
      </c>
      <c r="V687" s="191" t="str">
        <f t="shared" si="465"/>
        <v/>
      </c>
      <c r="W687" s="350">
        <f ca="1">IF(Q687&lt;&gt;1,0,VLOOKUP(OP!$C$55,PVFB,$S687+2,0))</f>
        <v>0</v>
      </c>
      <c r="X687" s="473">
        <f t="shared" ca="1" si="478"/>
        <v>0</v>
      </c>
      <c r="Y687" s="348">
        <f t="shared" ca="1" si="479"/>
        <v>0</v>
      </c>
      <c r="Z687" s="348">
        <f t="shared" ca="1" si="480"/>
        <v>8012</v>
      </c>
      <c r="AA687" s="348">
        <f ca="1">IF(Q687&lt;&gt;1,0,VLOOKUP(OP!$C$55,PVFB,$S687+2,0))</f>
        <v>0</v>
      </c>
      <c r="AB687" s="488" t="str">
        <f ca="1">IF(AND(S687&lt;OP!$C$24,$U687&lt;15),0,IF(AND($U687&lt;15,$T687=12),ROUND(VLOOKUP($S687,DOWN16,5,0),3),IF($T687=12,ROUND(($Z687/10000)*$AA687,3)+IF(AND($P$7="購買增額繳清保險",T687=12,U687=110),VLOOKUP(S687,$B$10:$H$121,7,0),0),"")))</f>
        <v/>
      </c>
      <c r="AC687" s="350" t="str">
        <f ca="1">IF(AND(S687&lt;OP!$C$24,$U687&lt;15),0,IF(AND($U687&lt;16,$T687=12),VLOOKUP($S687,DOWN16,4,0),IF($T687=12,ROUND(VLOOKUP(OP!$C$55,_DIE2,$S687+1,0)*(Z687/10000),0)+IF(AND($P$7="購買增額繳清保險",T687=12,U687=110),VLOOKUP(S687,$B$10:$H$121,7,0),0),"")))</f>
        <v/>
      </c>
      <c r="AD687" s="347"/>
      <c r="AE687" s="350" t="str">
        <f t="shared" ca="1" si="455"/>
        <v/>
      </c>
      <c r="AF687" s="351" t="str">
        <f t="shared" ca="1" si="456"/>
        <v/>
      </c>
      <c r="AG687" s="340"/>
      <c r="AH687" s="340"/>
      <c r="AI687" s="340"/>
      <c r="AJ687" s="340"/>
      <c r="AK687" s="340"/>
      <c r="AL687" s="340"/>
      <c r="AM687" s="340"/>
      <c r="AN687" s="340"/>
      <c r="AO687" s="340"/>
      <c r="AP687" s="340"/>
      <c r="AQ687" s="340"/>
      <c r="AR687" s="340"/>
      <c r="AS687" s="340"/>
      <c r="AT687" s="340"/>
      <c r="AU687" s="340"/>
      <c r="AV687" s="340"/>
      <c r="AY687" s="340"/>
      <c r="AZ687" s="465">
        <f t="shared" ca="1" si="466"/>
        <v>7.3698599999999999E-5</v>
      </c>
      <c r="BA687" s="464">
        <f t="shared" ca="1" si="467"/>
        <v>2.2109589000000002E-3</v>
      </c>
      <c r="BB687" s="465">
        <f t="shared" ca="1" si="467"/>
        <v>2.2846575E-3</v>
      </c>
      <c r="BC687" s="466">
        <f t="shared" ca="1" si="468"/>
        <v>63524</v>
      </c>
      <c r="BD687" s="467">
        <f t="shared" ca="1" si="481"/>
        <v>63525</v>
      </c>
      <c r="BE687" s="467">
        <f t="shared" ca="1" si="469"/>
        <v>63554</v>
      </c>
      <c r="BF687" s="468">
        <f ca="1">IF(計算!$BC687&lt;OP!$C$3,0,BD687-BC687)</f>
        <v>1</v>
      </c>
      <c r="BG687" s="468">
        <f ca="1">IF($BE687&gt;DATE(YEAR($BD$9)+OP!$C$57,MONTH($BD$9),DAY($BD$9)),0,$BE687-$BD687+1)</f>
        <v>30</v>
      </c>
      <c r="BH687" s="469">
        <f t="shared" ca="1" si="470"/>
        <v>31</v>
      </c>
      <c r="BI687" t="str">
        <f t="shared" si="486"/>
        <v/>
      </c>
      <c r="BJ687">
        <v>6</v>
      </c>
      <c r="BN687" s="468">
        <f t="shared" si="482"/>
        <v>57</v>
      </c>
      <c r="BO687" s="468">
        <f t="shared" si="483"/>
        <v>6</v>
      </c>
      <c r="BP687" s="467">
        <f t="shared" ca="1" si="471"/>
        <v>63525</v>
      </c>
      <c r="BQ687" s="475">
        <f t="shared" ca="1" si="485"/>
        <v>89</v>
      </c>
      <c r="BR687" s="475" t="str">
        <f t="shared" si="484"/>
        <v/>
      </c>
      <c r="BS687" s="471" t="str">
        <f t="shared" si="472"/>
        <v/>
      </c>
      <c r="BT687" s="472" t="str">
        <f t="shared" si="487"/>
        <v/>
      </c>
      <c r="BU687" s="472">
        <f t="shared" ca="1" si="473"/>
        <v>0</v>
      </c>
      <c r="BV687" s="472">
        <f t="shared" ca="1" si="473"/>
        <v>0</v>
      </c>
      <c r="BW687" s="472"/>
      <c r="BX687" s="473">
        <f t="shared" ca="1" si="474"/>
        <v>1170280.3955184601</v>
      </c>
      <c r="BY687" s="473">
        <f t="shared" si="475"/>
        <v>0</v>
      </c>
      <c r="BZ687" s="473">
        <f t="shared" ca="1" si="457"/>
        <v>2673.6898827240002</v>
      </c>
      <c r="CA687" s="476">
        <f t="shared" ca="1" si="476"/>
        <v>0</v>
      </c>
      <c r="CB687" s="494">
        <f ca="1">IF(OR($Q686&lt;&gt;1,OP!$D$5+$BN687-1&lt;16,$BN687-1&lt;1),0,ROUND(ROUND(ROUND(((VLOOKUP($BN687-1,MORE_PV,5,0)/10000)*VLOOKUP($BN687,MORE_PV,$CB$5,0)),3)*VLOOKUP($BN687,more1,5,0),0)/$R686,0))</f>
        <v>0</v>
      </c>
      <c r="CC687" s="473">
        <f t="shared" ca="1" si="477"/>
        <v>0</v>
      </c>
      <c r="CD687" s="477"/>
    </row>
    <row r="688" spans="2:82" ht="16.5" hidden="1">
      <c r="B688" s="80"/>
      <c r="C688" s="80"/>
      <c r="D688" s="80"/>
      <c r="E688" s="80"/>
      <c r="F688" s="80"/>
      <c r="G688" s="80"/>
      <c r="H688" s="80"/>
      <c r="I688" s="80"/>
      <c r="J688" s="192">
        <f t="shared" si="458"/>
        <v>57</v>
      </c>
      <c r="K688" s="192">
        <f t="shared" si="459"/>
        <v>8</v>
      </c>
      <c r="L688" s="192" t="str">
        <f t="shared" si="454"/>
        <v/>
      </c>
      <c r="M688" s="216">
        <f t="shared" ca="1" si="460"/>
        <v>0</v>
      </c>
      <c r="N688" s="216"/>
      <c r="O688" s="216"/>
      <c r="P688" s="216"/>
      <c r="Q688" s="456" t="str">
        <f t="shared" ca="1" si="461"/>
        <v/>
      </c>
      <c r="R688" s="450">
        <f t="shared" ca="1" si="462"/>
        <v>1</v>
      </c>
      <c r="S688" s="191">
        <f t="shared" si="463"/>
        <v>57</v>
      </c>
      <c r="T688" s="191">
        <f t="shared" si="464"/>
        <v>8</v>
      </c>
      <c r="U688" s="191">
        <f ca="1">OP!$D$5+$S688-1</f>
        <v>89</v>
      </c>
      <c r="V688" s="191" t="str">
        <f t="shared" si="465"/>
        <v/>
      </c>
      <c r="W688" s="350">
        <f ca="1">IF(Q688&lt;&gt;1,0,VLOOKUP(OP!$C$55,PVFB,$S688+2,0))</f>
        <v>0</v>
      </c>
      <c r="X688" s="473">
        <f t="shared" ca="1" si="478"/>
        <v>0</v>
      </c>
      <c r="Y688" s="348">
        <f t="shared" ca="1" si="479"/>
        <v>0</v>
      </c>
      <c r="Z688" s="348">
        <f t="shared" ca="1" si="480"/>
        <v>8012</v>
      </c>
      <c r="AA688" s="348">
        <f ca="1">IF(Q688&lt;&gt;1,0,VLOOKUP(OP!$C$55,PVFB,$S688+2,0))</f>
        <v>0</v>
      </c>
      <c r="AB688" s="488" t="str">
        <f ca="1">IF(AND(S688&lt;OP!$C$24,$U688&lt;15),0,IF(AND($U688&lt;15,$T688=12),ROUND(VLOOKUP($S688,DOWN16,5,0),3),IF($T688=12,ROUND(($Z688/10000)*$AA688,3)+IF(AND($P$7="購買增額繳清保險",T688=12,U688=110),VLOOKUP(S688,$B$10:$H$121,7,0),0),"")))</f>
        <v/>
      </c>
      <c r="AC688" s="350" t="str">
        <f ca="1">IF(AND(S688&lt;OP!$C$24,$U688&lt;15),0,IF(AND($U688&lt;16,$T688=12),VLOOKUP($S688,DOWN16,4,0),IF($T688=12,ROUND(VLOOKUP(OP!$C$55,_DIE2,$S688+1,0)*(Z688/10000),0)+IF(AND($P$7="購買增額繳清保險",T688=12,U688=110),VLOOKUP(S688,$B$10:$H$121,7,0),0),"")))</f>
        <v/>
      </c>
      <c r="AD688" s="347"/>
      <c r="AE688" s="350" t="str">
        <f t="shared" ca="1" si="455"/>
        <v/>
      </c>
      <c r="AF688" s="351" t="str">
        <f t="shared" ca="1" si="456"/>
        <v/>
      </c>
      <c r="AG688" s="340"/>
      <c r="AH688" s="340"/>
      <c r="AI688" s="340"/>
      <c r="AJ688" s="340"/>
      <c r="AK688" s="340"/>
      <c r="AL688" s="340"/>
      <c r="AM688" s="340"/>
      <c r="AN688" s="340"/>
      <c r="AO688" s="340"/>
      <c r="AP688" s="340"/>
      <c r="AQ688" s="340"/>
      <c r="AR688" s="340"/>
      <c r="AS688" s="340"/>
      <c r="AT688" s="340"/>
      <c r="AU688" s="340"/>
      <c r="AV688" s="340"/>
      <c r="AY688" s="340"/>
      <c r="AZ688" s="465">
        <f t="shared" ca="1" si="466"/>
        <v>7.3698599999999999E-5</v>
      </c>
      <c r="BA688" s="464">
        <f t="shared" ca="1" si="467"/>
        <v>2.2109589000000002E-3</v>
      </c>
      <c r="BB688" s="465">
        <f t="shared" ca="1" si="467"/>
        <v>2.2846575E-3</v>
      </c>
      <c r="BC688" s="466">
        <f t="shared" ca="1" si="468"/>
        <v>63555</v>
      </c>
      <c r="BD688" s="467">
        <f t="shared" ca="1" si="481"/>
        <v>63556</v>
      </c>
      <c r="BE688" s="467">
        <f t="shared" ca="1" si="469"/>
        <v>63585</v>
      </c>
      <c r="BF688" s="468">
        <f ca="1">IF(計算!$BC688&lt;OP!$C$3,0,BD688-BC688)</f>
        <v>1</v>
      </c>
      <c r="BG688" s="468">
        <f ca="1">IF($BE688&gt;DATE(YEAR($BD$9)+OP!$C$57,MONTH($BD$9),DAY($BD$9)),0,$BE688-$BD688+1)</f>
        <v>30</v>
      </c>
      <c r="BH688" s="469">
        <f t="shared" ca="1" si="470"/>
        <v>31</v>
      </c>
      <c r="BI688" t="str">
        <f t="shared" si="486"/>
        <v/>
      </c>
      <c r="BJ688">
        <v>7</v>
      </c>
      <c r="BN688" s="468">
        <f t="shared" si="482"/>
        <v>57</v>
      </c>
      <c r="BO688" s="468">
        <f t="shared" si="483"/>
        <v>7</v>
      </c>
      <c r="BP688" s="467">
        <f t="shared" ca="1" si="471"/>
        <v>63556</v>
      </c>
      <c r="BQ688" s="475">
        <f t="shared" ca="1" si="485"/>
        <v>89</v>
      </c>
      <c r="BR688" s="475" t="str">
        <f t="shared" si="484"/>
        <v/>
      </c>
      <c r="BS688" s="471" t="str">
        <f t="shared" si="472"/>
        <v/>
      </c>
      <c r="BT688" s="472" t="str">
        <f t="shared" si="487"/>
        <v/>
      </c>
      <c r="BU688" s="472">
        <f t="shared" ca="1" si="473"/>
        <v>0</v>
      </c>
      <c r="BV688" s="472">
        <f t="shared" ca="1" si="473"/>
        <v>0</v>
      </c>
      <c r="BW688" s="472"/>
      <c r="BX688" s="473">
        <f t="shared" ca="1" si="474"/>
        <v>1172954.08540118</v>
      </c>
      <c r="BY688" s="473">
        <f t="shared" si="475"/>
        <v>0</v>
      </c>
      <c r="BZ688" s="473">
        <f t="shared" ca="1" si="457"/>
        <v>2679.798348367</v>
      </c>
      <c r="CA688" s="476">
        <f t="shared" ca="1" si="476"/>
        <v>0</v>
      </c>
      <c r="CB688" s="494">
        <f ca="1">IF(OR($Q687&lt;&gt;1,OP!$D$5+$BN688-1&lt;16,$BN688-1&lt;1),0,ROUND(ROUND(ROUND(((VLOOKUP($BN688-1,MORE_PV,5,0)/10000)*VLOOKUP($BN688,MORE_PV,$CB$5,0)),3)*VLOOKUP($BN688,more1,5,0),0)/$R687,0))</f>
        <v>0</v>
      </c>
      <c r="CC688" s="473">
        <f t="shared" ca="1" si="477"/>
        <v>0</v>
      </c>
      <c r="CD688" s="477"/>
    </row>
    <row r="689" spans="2:82" ht="16.5" hidden="1">
      <c r="B689" s="80"/>
      <c r="C689" s="80"/>
      <c r="D689" s="80"/>
      <c r="E689" s="80"/>
      <c r="F689" s="80"/>
      <c r="G689" s="80"/>
      <c r="H689" s="80"/>
      <c r="I689" s="80"/>
      <c r="J689" s="192">
        <f t="shared" si="458"/>
        <v>57</v>
      </c>
      <c r="K689" s="192">
        <f t="shared" si="459"/>
        <v>9</v>
      </c>
      <c r="L689" s="192" t="str">
        <f t="shared" si="454"/>
        <v/>
      </c>
      <c r="M689" s="216">
        <f t="shared" ca="1" si="460"/>
        <v>0</v>
      </c>
      <c r="N689" s="216"/>
      <c r="O689" s="216"/>
      <c r="P689" s="216"/>
      <c r="Q689" s="456" t="str">
        <f t="shared" ca="1" si="461"/>
        <v/>
      </c>
      <c r="R689" s="450">
        <f t="shared" ca="1" si="462"/>
        <v>1</v>
      </c>
      <c r="S689" s="191">
        <f t="shared" si="463"/>
        <v>57</v>
      </c>
      <c r="T689" s="191">
        <f t="shared" si="464"/>
        <v>9</v>
      </c>
      <c r="U689" s="191">
        <f ca="1">OP!$D$5+$S689-1</f>
        <v>89</v>
      </c>
      <c r="V689" s="191" t="str">
        <f t="shared" si="465"/>
        <v/>
      </c>
      <c r="W689" s="350">
        <f ca="1">IF(Q689&lt;&gt;1,0,VLOOKUP(OP!$C$55,PVFB,$S689+2,0))</f>
        <v>0</v>
      </c>
      <c r="X689" s="473">
        <f t="shared" ca="1" si="478"/>
        <v>0</v>
      </c>
      <c r="Y689" s="348">
        <f t="shared" ca="1" si="479"/>
        <v>0</v>
      </c>
      <c r="Z689" s="348">
        <f t="shared" ca="1" si="480"/>
        <v>8012</v>
      </c>
      <c r="AA689" s="348">
        <f ca="1">IF(Q689&lt;&gt;1,0,VLOOKUP(OP!$C$55,PVFB,$S689+2,0))</f>
        <v>0</v>
      </c>
      <c r="AB689" s="488" t="str">
        <f ca="1">IF(AND(S689&lt;OP!$C$24,$U689&lt;15),0,IF(AND($U689&lt;15,$T689=12),ROUND(VLOOKUP($S689,DOWN16,5,0),3),IF($T689=12,ROUND(($Z689/10000)*$AA689,3)+IF(AND($P$7="購買增額繳清保險",T689=12,U689=110),VLOOKUP(S689,$B$10:$H$121,7,0),0),"")))</f>
        <v/>
      </c>
      <c r="AC689" s="350" t="str">
        <f ca="1">IF(AND(S689&lt;OP!$C$24,$U689&lt;15),0,IF(AND($U689&lt;16,$T689=12),VLOOKUP($S689,DOWN16,4,0),IF($T689=12,ROUND(VLOOKUP(OP!$C$55,_DIE2,$S689+1,0)*(Z689/10000),0)+IF(AND($P$7="購買增額繳清保險",T689=12,U689=110),VLOOKUP(S689,$B$10:$H$121,7,0),0),"")))</f>
        <v/>
      </c>
      <c r="AD689" s="347"/>
      <c r="AE689" s="350" t="str">
        <f t="shared" ca="1" si="455"/>
        <v/>
      </c>
      <c r="AF689" s="351" t="str">
        <f t="shared" ca="1" si="456"/>
        <v/>
      </c>
      <c r="AG689" s="340"/>
      <c r="AH689" s="340"/>
      <c r="AI689" s="340"/>
      <c r="AJ689" s="340"/>
      <c r="AK689" s="340"/>
      <c r="AL689" s="340"/>
      <c r="AM689" s="340"/>
      <c r="AN689" s="340"/>
      <c r="AO689" s="340"/>
      <c r="AP689" s="340"/>
      <c r="AQ689" s="340"/>
      <c r="AR689" s="340"/>
      <c r="AS689" s="340"/>
      <c r="AT689" s="340"/>
      <c r="AU689" s="340"/>
      <c r="AV689" s="340"/>
      <c r="AY689" s="340"/>
      <c r="AZ689" s="465">
        <f t="shared" ca="1" si="466"/>
        <v>7.3698599999999999E-5</v>
      </c>
      <c r="BA689" s="464">
        <f t="shared" ca="1" si="467"/>
        <v>1.9898630000000001E-3</v>
      </c>
      <c r="BB689" s="465">
        <f t="shared" ca="1" si="467"/>
        <v>2.0635616E-3</v>
      </c>
      <c r="BC689" s="466">
        <f t="shared" ca="1" si="468"/>
        <v>63586</v>
      </c>
      <c r="BD689" s="467">
        <f t="shared" ca="1" si="481"/>
        <v>63587</v>
      </c>
      <c r="BE689" s="467">
        <f t="shared" ca="1" si="469"/>
        <v>63613</v>
      </c>
      <c r="BF689" s="468">
        <f ca="1">IF(計算!$BC689&lt;OP!$C$3,0,BD689-BC689)</f>
        <v>1</v>
      </c>
      <c r="BG689" s="468">
        <f ca="1">IF($BE689&gt;DATE(YEAR($BD$9)+OP!$C$57,MONTH($BD$9),DAY($BD$9)),0,$BE689-$BD689+1)</f>
        <v>27</v>
      </c>
      <c r="BH689" s="469">
        <f t="shared" ca="1" si="470"/>
        <v>28</v>
      </c>
      <c r="BI689" t="str">
        <f t="shared" si="486"/>
        <v/>
      </c>
      <c r="BJ689">
        <v>8</v>
      </c>
      <c r="BN689" s="468">
        <f t="shared" si="482"/>
        <v>57</v>
      </c>
      <c r="BO689" s="468">
        <f t="shared" si="483"/>
        <v>8</v>
      </c>
      <c r="BP689" s="467">
        <f t="shared" ca="1" si="471"/>
        <v>63587</v>
      </c>
      <c r="BQ689" s="475">
        <f t="shared" ca="1" si="485"/>
        <v>89</v>
      </c>
      <c r="BR689" s="475" t="str">
        <f t="shared" si="484"/>
        <v/>
      </c>
      <c r="BS689" s="471" t="str">
        <f t="shared" si="472"/>
        <v/>
      </c>
      <c r="BT689" s="472" t="str">
        <f t="shared" si="487"/>
        <v/>
      </c>
      <c r="BU689" s="472">
        <f t="shared" ca="1" si="473"/>
        <v>0</v>
      </c>
      <c r="BV689" s="472">
        <f t="shared" ca="1" si="473"/>
        <v>0</v>
      </c>
      <c r="BW689" s="472"/>
      <c r="BX689" s="473">
        <f t="shared" ca="1" si="474"/>
        <v>1175633.88374955</v>
      </c>
      <c r="BY689" s="473">
        <f t="shared" si="475"/>
        <v>0</v>
      </c>
      <c r="BZ689" s="473">
        <f t="shared" ca="1" si="457"/>
        <v>2425.992938164</v>
      </c>
      <c r="CA689" s="476">
        <f t="shared" ca="1" si="476"/>
        <v>0</v>
      </c>
      <c r="CB689" s="494">
        <f ca="1">IF(OR($Q688&lt;&gt;1,OP!$D$5+$BN689-1&lt;16,$BN689-1&lt;1),0,ROUND(ROUND(ROUND(((VLOOKUP($BN689-1,MORE_PV,5,0)/10000)*VLOOKUP($BN689,MORE_PV,$CB$5,0)),3)*VLOOKUP($BN689,more1,5,0),0)/$R688,0))</f>
        <v>0</v>
      </c>
      <c r="CC689" s="473">
        <f t="shared" ca="1" si="477"/>
        <v>0</v>
      </c>
      <c r="CD689" s="477"/>
    </row>
    <row r="690" spans="2:82" ht="16.5" hidden="1">
      <c r="B690" s="80"/>
      <c r="C690" s="80"/>
      <c r="D690" s="80"/>
      <c r="E690" s="80"/>
      <c r="F690" s="80"/>
      <c r="G690" s="80"/>
      <c r="H690" s="80"/>
      <c r="I690" s="80"/>
      <c r="J690" s="192">
        <f t="shared" si="458"/>
        <v>57</v>
      </c>
      <c r="K690" s="192">
        <f t="shared" si="459"/>
        <v>10</v>
      </c>
      <c r="L690" s="192" t="str">
        <f t="shared" si="454"/>
        <v/>
      </c>
      <c r="M690" s="216">
        <f t="shared" ca="1" si="460"/>
        <v>0</v>
      </c>
      <c r="N690" s="216"/>
      <c r="O690" s="216"/>
      <c r="P690" s="216"/>
      <c r="Q690" s="456" t="str">
        <f t="shared" ca="1" si="461"/>
        <v/>
      </c>
      <c r="R690" s="450">
        <f t="shared" ca="1" si="462"/>
        <v>1</v>
      </c>
      <c r="S690" s="191">
        <f t="shared" si="463"/>
        <v>57</v>
      </c>
      <c r="T690" s="191">
        <f t="shared" si="464"/>
        <v>10</v>
      </c>
      <c r="U690" s="191">
        <f ca="1">OP!$D$5+$S690-1</f>
        <v>89</v>
      </c>
      <c r="V690" s="191" t="str">
        <f t="shared" si="465"/>
        <v/>
      </c>
      <c r="W690" s="350">
        <f ca="1">IF(Q690&lt;&gt;1,0,VLOOKUP(OP!$C$55,PVFB,$S690+2,0))</f>
        <v>0</v>
      </c>
      <c r="X690" s="473">
        <f t="shared" ca="1" si="478"/>
        <v>0</v>
      </c>
      <c r="Y690" s="348">
        <f t="shared" ca="1" si="479"/>
        <v>0</v>
      </c>
      <c r="Z690" s="348">
        <f t="shared" ca="1" si="480"/>
        <v>8012</v>
      </c>
      <c r="AA690" s="348">
        <f ca="1">IF(Q690&lt;&gt;1,0,VLOOKUP(OP!$C$55,PVFB,$S690+2,0))</f>
        <v>0</v>
      </c>
      <c r="AB690" s="488" t="str">
        <f ca="1">IF(AND(S690&lt;OP!$C$24,$U690&lt;15),0,IF(AND($U690&lt;15,$T690=12),ROUND(VLOOKUP($S690,DOWN16,5,0),3),IF($T690=12,ROUND(($Z690/10000)*$AA690,3)+IF(AND($P$7="購買增額繳清保險",T690=12,U690=110),VLOOKUP(S690,$B$10:$H$121,7,0),0),"")))</f>
        <v/>
      </c>
      <c r="AC690" s="350" t="str">
        <f ca="1">IF(AND(S690&lt;OP!$C$24,$U690&lt;15),0,IF(AND($U690&lt;16,$T690=12),VLOOKUP($S690,DOWN16,4,0),IF($T690=12,ROUND(VLOOKUP(OP!$C$55,_DIE2,$S690+1,0)*(Z690/10000),0)+IF(AND($P$7="購買增額繳清保險",T690=12,U690=110),VLOOKUP(S690,$B$10:$H$121,7,0),0),"")))</f>
        <v/>
      </c>
      <c r="AD690" s="347"/>
      <c r="AE690" s="350" t="str">
        <f t="shared" ca="1" si="455"/>
        <v/>
      </c>
      <c r="AF690" s="351" t="str">
        <f t="shared" ca="1" si="456"/>
        <v/>
      </c>
      <c r="AG690" s="340"/>
      <c r="AH690" s="340"/>
      <c r="AI690" s="340"/>
      <c r="AJ690" s="340"/>
      <c r="AK690" s="340"/>
      <c r="AL690" s="340"/>
      <c r="AM690" s="340"/>
      <c r="AN690" s="340"/>
      <c r="AO690" s="340"/>
      <c r="AP690" s="340"/>
      <c r="AQ690" s="340"/>
      <c r="AR690" s="340"/>
      <c r="AS690" s="340"/>
      <c r="AT690" s="340"/>
      <c r="AU690" s="340"/>
      <c r="AV690" s="340"/>
      <c r="AY690" s="340"/>
      <c r="AZ690" s="465">
        <f t="shared" ca="1" si="466"/>
        <v>7.3698599999999999E-5</v>
      </c>
      <c r="BA690" s="464">
        <f t="shared" ca="1" si="467"/>
        <v>2.2109589000000002E-3</v>
      </c>
      <c r="BB690" s="465">
        <f t="shared" ca="1" si="467"/>
        <v>2.2846575E-3</v>
      </c>
      <c r="BC690" s="466">
        <f t="shared" ca="1" si="468"/>
        <v>63614</v>
      </c>
      <c r="BD690" s="467">
        <f t="shared" ca="1" si="481"/>
        <v>63615</v>
      </c>
      <c r="BE690" s="467">
        <f t="shared" ca="1" si="469"/>
        <v>63644</v>
      </c>
      <c r="BF690" s="468">
        <f ca="1">IF(計算!$BC690&lt;OP!$C$3,0,BD690-BC690)</f>
        <v>1</v>
      </c>
      <c r="BG690" s="468">
        <f ca="1">IF($BE690&gt;DATE(YEAR($BD$9)+OP!$C$57,MONTH($BD$9),DAY($BD$9)),0,$BE690-$BD690+1)</f>
        <v>30</v>
      </c>
      <c r="BH690" s="469">
        <f t="shared" ca="1" si="470"/>
        <v>31</v>
      </c>
      <c r="BI690" t="str">
        <f t="shared" si="486"/>
        <v/>
      </c>
      <c r="BJ690">
        <v>9</v>
      </c>
      <c r="BN690" s="468">
        <f t="shared" si="482"/>
        <v>57</v>
      </c>
      <c r="BO690" s="468">
        <f t="shared" si="483"/>
        <v>9</v>
      </c>
      <c r="BP690" s="467">
        <f t="shared" ca="1" si="471"/>
        <v>63615</v>
      </c>
      <c r="BQ690" s="475">
        <f t="shared" ca="1" si="485"/>
        <v>89</v>
      </c>
      <c r="BR690" s="475" t="str">
        <f t="shared" si="484"/>
        <v/>
      </c>
      <c r="BS690" s="471" t="str">
        <f t="shared" si="472"/>
        <v/>
      </c>
      <c r="BT690" s="472" t="str">
        <f t="shared" si="487"/>
        <v/>
      </c>
      <c r="BU690" s="472">
        <f t="shared" ca="1" si="473"/>
        <v>0</v>
      </c>
      <c r="BV690" s="472">
        <f t="shared" ca="1" si="473"/>
        <v>0</v>
      </c>
      <c r="BW690" s="472"/>
      <c r="BX690" s="473">
        <f t="shared" ca="1" si="474"/>
        <v>1178059.8766877099</v>
      </c>
      <c r="BY690" s="473">
        <f t="shared" si="475"/>
        <v>0</v>
      </c>
      <c r="BZ690" s="473">
        <f t="shared" ca="1" si="457"/>
        <v>2691.4633327239999</v>
      </c>
      <c r="CA690" s="476">
        <f t="shared" ca="1" si="476"/>
        <v>0</v>
      </c>
      <c r="CB690" s="494">
        <f ca="1">IF(OR($Q689&lt;&gt;1,OP!$D$5+$BN690-1&lt;16,$BN690-1&lt;1),0,ROUND(ROUND(ROUND(((VLOOKUP($BN690-1,MORE_PV,5,0)/10000)*VLOOKUP($BN690,MORE_PV,$CB$5,0)),3)*VLOOKUP($BN690,more1,5,0),0)/$R689,0))</f>
        <v>0</v>
      </c>
      <c r="CC690" s="473">
        <f t="shared" ca="1" si="477"/>
        <v>0</v>
      </c>
      <c r="CD690" s="477"/>
    </row>
    <row r="691" spans="2:82" ht="16.5" hidden="1">
      <c r="B691" s="80"/>
      <c r="C691" s="80"/>
      <c r="D691" s="80"/>
      <c r="E691" s="80"/>
      <c r="F691" s="80"/>
      <c r="G691" s="80"/>
      <c r="H691" s="80"/>
      <c r="I691" s="80"/>
      <c r="J691" s="192">
        <f t="shared" si="458"/>
        <v>57</v>
      </c>
      <c r="K691" s="192">
        <f t="shared" si="459"/>
        <v>11</v>
      </c>
      <c r="L691" s="192" t="str">
        <f t="shared" si="454"/>
        <v/>
      </c>
      <c r="M691" s="216">
        <f t="shared" ca="1" si="460"/>
        <v>0</v>
      </c>
      <c r="N691" s="216"/>
      <c r="O691" s="216"/>
      <c r="P691" s="216"/>
      <c r="Q691" s="456" t="str">
        <f t="shared" ca="1" si="461"/>
        <v/>
      </c>
      <c r="R691" s="450">
        <f t="shared" ca="1" si="462"/>
        <v>1</v>
      </c>
      <c r="S691" s="191">
        <f t="shared" si="463"/>
        <v>57</v>
      </c>
      <c r="T691" s="191">
        <f t="shared" si="464"/>
        <v>11</v>
      </c>
      <c r="U691" s="191">
        <f ca="1">OP!$D$5+$S691-1</f>
        <v>89</v>
      </c>
      <c r="V691" s="191" t="str">
        <f t="shared" si="465"/>
        <v/>
      </c>
      <c r="W691" s="350">
        <f ca="1">IF(Q691&lt;&gt;1,0,VLOOKUP(OP!$C$55,PVFB,$S691+2,0))</f>
        <v>0</v>
      </c>
      <c r="X691" s="473">
        <f t="shared" ca="1" si="478"/>
        <v>0</v>
      </c>
      <c r="Y691" s="348">
        <f t="shared" ca="1" si="479"/>
        <v>0</v>
      </c>
      <c r="Z691" s="348">
        <f t="shared" ca="1" si="480"/>
        <v>8012</v>
      </c>
      <c r="AA691" s="348">
        <f ca="1">IF(Q691&lt;&gt;1,0,VLOOKUP(OP!$C$55,PVFB,$S691+2,0))</f>
        <v>0</v>
      </c>
      <c r="AB691" s="488" t="str">
        <f ca="1">IF(AND(S691&lt;OP!$C$24,$U691&lt;15),0,IF(AND($U691&lt;15,$T691=12),ROUND(VLOOKUP($S691,DOWN16,5,0),3),IF($T691=12,ROUND(($Z691/10000)*$AA691,3)+IF(AND($P$7="購買增額繳清保險",T691=12,U691=110),VLOOKUP(S691,$B$10:$H$121,7,0),0),"")))</f>
        <v/>
      </c>
      <c r="AC691" s="350" t="str">
        <f ca="1">IF(AND(S691&lt;OP!$C$24,$U691&lt;15),0,IF(AND($U691&lt;16,$T691=12),VLOOKUP($S691,DOWN16,4,0),IF($T691=12,ROUND(VLOOKUP(OP!$C$55,_DIE2,$S691+1,0)*(Z691/10000),0)+IF(AND($P$7="購買增額繳清保險",T691=12,U691=110),VLOOKUP(S691,$B$10:$H$121,7,0),0),"")))</f>
        <v/>
      </c>
      <c r="AD691" s="347"/>
      <c r="AE691" s="350" t="str">
        <f t="shared" ca="1" si="455"/>
        <v/>
      </c>
      <c r="AF691" s="351" t="str">
        <f t="shared" ca="1" si="456"/>
        <v/>
      </c>
      <c r="AG691" s="340"/>
      <c r="AH691" s="340"/>
      <c r="AI691" s="340"/>
      <c r="AJ691" s="340"/>
      <c r="AK691" s="340"/>
      <c r="AL691" s="340"/>
      <c r="AM691" s="340"/>
      <c r="AN691" s="340"/>
      <c r="AO691" s="340"/>
      <c r="AP691" s="340"/>
      <c r="AQ691" s="340"/>
      <c r="AR691" s="340"/>
      <c r="AS691" s="340"/>
      <c r="AT691" s="340"/>
      <c r="AU691" s="340"/>
      <c r="AV691" s="340"/>
      <c r="AY691" s="340"/>
      <c r="AZ691" s="465">
        <f t="shared" ca="1" si="466"/>
        <v>7.3698599999999999E-5</v>
      </c>
      <c r="BA691" s="464">
        <f t="shared" ca="1" si="467"/>
        <v>2.1372602999999999E-3</v>
      </c>
      <c r="BB691" s="465">
        <f t="shared" ca="1" si="467"/>
        <v>2.2109589000000002E-3</v>
      </c>
      <c r="BC691" s="466">
        <f t="shared" ca="1" si="468"/>
        <v>63645</v>
      </c>
      <c r="BD691" s="467">
        <f t="shared" ca="1" si="481"/>
        <v>63646</v>
      </c>
      <c r="BE691" s="467">
        <f t="shared" ca="1" si="469"/>
        <v>63674</v>
      </c>
      <c r="BF691" s="468">
        <f ca="1">IF(計算!$BC691&lt;OP!$C$3,0,BD691-BC691)</f>
        <v>1</v>
      </c>
      <c r="BG691" s="468">
        <f ca="1">IF($BE691&gt;DATE(YEAR($BD$9)+OP!$C$57,MONTH($BD$9),DAY($BD$9)),0,$BE691-$BD691+1)</f>
        <v>29</v>
      </c>
      <c r="BH691" s="469">
        <f t="shared" ca="1" si="470"/>
        <v>30</v>
      </c>
      <c r="BI691" t="str">
        <f t="shared" si="486"/>
        <v/>
      </c>
      <c r="BJ691">
        <v>10</v>
      </c>
      <c r="BN691" s="468">
        <f t="shared" si="482"/>
        <v>57</v>
      </c>
      <c r="BO691" s="468">
        <f t="shared" si="483"/>
        <v>10</v>
      </c>
      <c r="BP691" s="467">
        <f t="shared" ca="1" si="471"/>
        <v>63646</v>
      </c>
      <c r="BQ691" s="475">
        <f t="shared" ca="1" si="485"/>
        <v>89</v>
      </c>
      <c r="BR691" s="475" t="str">
        <f t="shared" si="484"/>
        <v/>
      </c>
      <c r="BS691" s="471" t="str">
        <f t="shared" si="472"/>
        <v/>
      </c>
      <c r="BT691" s="472" t="str">
        <f t="shared" si="487"/>
        <v/>
      </c>
      <c r="BU691" s="472">
        <f t="shared" ca="1" si="473"/>
        <v>0</v>
      </c>
      <c r="BV691" s="472">
        <f t="shared" ca="1" si="473"/>
        <v>0</v>
      </c>
      <c r="BW691" s="472"/>
      <c r="BX691" s="473">
        <f t="shared" ca="1" si="474"/>
        <v>1180751.34002043</v>
      </c>
      <c r="BY691" s="473">
        <f t="shared" si="475"/>
        <v>0</v>
      </c>
      <c r="BZ691" s="473">
        <f t="shared" ca="1" si="457"/>
        <v>2610.5926839049998</v>
      </c>
      <c r="CA691" s="476">
        <f t="shared" ca="1" si="476"/>
        <v>0</v>
      </c>
      <c r="CB691" s="494">
        <f ca="1">IF(OR($Q690&lt;&gt;1,OP!$D$5+$BN691-1&lt;16,$BN691-1&lt;1),0,ROUND(ROUND(ROUND(((VLOOKUP($BN691-1,MORE_PV,5,0)/10000)*VLOOKUP($BN691,MORE_PV,$CB$5,0)),3)*VLOOKUP($BN691,more1,5,0),0)/$R690,0))</f>
        <v>0</v>
      </c>
      <c r="CC691" s="473">
        <f t="shared" ca="1" si="477"/>
        <v>0</v>
      </c>
      <c r="CD691" s="477"/>
    </row>
    <row r="692" spans="2:82" ht="16.5" hidden="1">
      <c r="B692" s="80"/>
      <c r="C692" s="80"/>
      <c r="D692" s="80"/>
      <c r="E692" s="80"/>
      <c r="F692" s="80"/>
      <c r="G692" s="80"/>
      <c r="H692" s="80"/>
      <c r="I692" s="80"/>
      <c r="J692" s="192">
        <f t="shared" si="458"/>
        <v>57</v>
      </c>
      <c r="K692" s="192">
        <f t="shared" si="459"/>
        <v>12</v>
      </c>
      <c r="L692" s="192">
        <f t="shared" si="454"/>
        <v>57</v>
      </c>
      <c r="M692" s="216">
        <f t="shared" ca="1" si="460"/>
        <v>1205529</v>
      </c>
      <c r="N692" s="216"/>
      <c r="O692" s="216"/>
      <c r="P692" s="216"/>
      <c r="Q692" s="456">
        <f t="shared" ca="1" si="461"/>
        <v>1</v>
      </c>
      <c r="R692" s="450">
        <f t="shared" ca="1" si="462"/>
        <v>1</v>
      </c>
      <c r="S692" s="191">
        <f t="shared" si="463"/>
        <v>57</v>
      </c>
      <c r="T692" s="191">
        <f t="shared" si="464"/>
        <v>12</v>
      </c>
      <c r="U692" s="191">
        <f ca="1">OP!$D$5+$S692-1</f>
        <v>89</v>
      </c>
      <c r="V692" s="191">
        <f t="shared" si="465"/>
        <v>57</v>
      </c>
      <c r="W692" s="350">
        <f ca="1">IF(Q692&lt;&gt;1,0,VLOOKUP(OP!$C$55,PVFB,$S692+2,0))</f>
        <v>80696</v>
      </c>
      <c r="X692" s="473">
        <f t="shared" ca="1" si="478"/>
        <v>19377</v>
      </c>
      <c r="Y692" s="348">
        <f t="shared" ca="1" si="479"/>
        <v>0</v>
      </c>
      <c r="Z692" s="348">
        <f t="shared" ca="1" si="480"/>
        <v>8012</v>
      </c>
      <c r="AA692" s="348">
        <f ca="1">IF(Q692&lt;&gt;1,0,VLOOKUP(OP!$C$55,PVFB,$S692+2,0))</f>
        <v>80696</v>
      </c>
      <c r="AB692" s="488">
        <f ca="1">IF(AND(S692&lt;OP!$C$24,$U692&lt;15),0,IF(AND($U692&lt;15,$T692=12),ROUND(VLOOKUP($S692,DOWN16,5,0),3),IF($T692=12,ROUND(($Z692/10000)*$AA692,3)+IF(AND($P$7="購買增額繳清保險",T692=12,U692=110),VLOOKUP(S692,$B$10:$H$121,7,0),0),"")))</f>
        <v>64653.635000000002</v>
      </c>
      <c r="AC692" s="350">
        <f ca="1">IF(AND(S692&lt;OP!$C$24,$U692&lt;15),0,IF(AND($U692&lt;16,$T692=12),VLOOKUP($S692,DOWN16,4,0),IF($T692=12,ROUND(VLOOKUP(OP!$C$55,_DIE2,$S692+1,0)*(Z692/10000),0)+IF(AND($P$7="購買增額繳清保險",T692=12,U692=110),VLOOKUP(S692,$B$10:$H$121,7,0),0),"")))</f>
        <v>65218</v>
      </c>
      <c r="AD692" s="347"/>
      <c r="AE692" s="350" t="str">
        <f t="shared" ca="1" si="455"/>
        <v/>
      </c>
      <c r="AF692" s="351" t="str">
        <f t="shared" ca="1" si="456"/>
        <v/>
      </c>
      <c r="AG692" s="340"/>
      <c r="AH692" s="340"/>
      <c r="AI692" s="340"/>
      <c r="AJ692" s="340"/>
      <c r="AK692" s="340"/>
      <c r="AL692" s="340"/>
      <c r="AM692" s="340"/>
      <c r="AN692" s="340"/>
      <c r="AO692" s="340"/>
      <c r="AP692" s="340"/>
      <c r="AQ692" s="340"/>
      <c r="AR692" s="340"/>
      <c r="AS692" s="340"/>
      <c r="AT692" s="340"/>
      <c r="AU692" s="340"/>
      <c r="AV692" s="340"/>
      <c r="AY692" s="340"/>
      <c r="AZ692" s="465">
        <f t="shared" ca="1" si="466"/>
        <v>7.3698599999999999E-5</v>
      </c>
      <c r="BA692" s="464">
        <f t="shared" ca="1" si="467"/>
        <v>2.2109589000000002E-3</v>
      </c>
      <c r="BB692" s="465">
        <f t="shared" ca="1" si="467"/>
        <v>2.2846575E-3</v>
      </c>
      <c r="BC692" s="466">
        <f t="shared" ca="1" si="468"/>
        <v>63675</v>
      </c>
      <c r="BD692" s="467">
        <f t="shared" ca="1" si="481"/>
        <v>63676</v>
      </c>
      <c r="BE692" s="467">
        <f t="shared" ca="1" si="469"/>
        <v>63705</v>
      </c>
      <c r="BF692" s="468">
        <f ca="1">IF(計算!$BC692&lt;OP!$C$3,0,BD692-BC692)</f>
        <v>1</v>
      </c>
      <c r="BG692" s="468">
        <f ca="1">IF($BE692&gt;DATE(YEAR($BD$9)+OP!$C$57,MONTH($BD$9),DAY($BD$9)),0,$BE692-$BD692+1)</f>
        <v>30</v>
      </c>
      <c r="BH692" s="469">
        <f t="shared" ca="1" si="470"/>
        <v>31</v>
      </c>
      <c r="BI692" t="str">
        <f t="shared" si="486"/>
        <v/>
      </c>
      <c r="BJ692">
        <v>11</v>
      </c>
      <c r="BN692" s="468">
        <f t="shared" si="482"/>
        <v>57</v>
      </c>
      <c r="BO692" s="468">
        <f t="shared" si="483"/>
        <v>11</v>
      </c>
      <c r="BP692" s="467">
        <f t="shared" ca="1" si="471"/>
        <v>63676</v>
      </c>
      <c r="BQ692" s="475">
        <f t="shared" ca="1" si="485"/>
        <v>89</v>
      </c>
      <c r="BR692" s="475" t="str">
        <f t="shared" si="484"/>
        <v/>
      </c>
      <c r="BS692" s="471" t="str">
        <f t="shared" si="472"/>
        <v/>
      </c>
      <c r="BT692" s="472" t="str">
        <f t="shared" si="487"/>
        <v/>
      </c>
      <c r="BU692" s="472">
        <f t="shared" ca="1" si="473"/>
        <v>0</v>
      </c>
      <c r="BV692" s="472">
        <f t="shared" ca="1" si="473"/>
        <v>0</v>
      </c>
      <c r="BW692" s="472"/>
      <c r="BX692" s="473">
        <f t="shared" ca="1" si="474"/>
        <v>1183361.93270434</v>
      </c>
      <c r="BY692" s="473">
        <f t="shared" si="475"/>
        <v>0</v>
      </c>
      <c r="BZ692" s="473">
        <f t="shared" ca="1" si="457"/>
        <v>2703.5767147669999</v>
      </c>
      <c r="CA692" s="476">
        <f t="shared" ca="1" si="476"/>
        <v>0</v>
      </c>
      <c r="CB692" s="494">
        <f ca="1">IF(OR($Q691&lt;&gt;1,OP!$D$5+$BN692-1&lt;16,$BN692-1&lt;1),0,ROUND(ROUND(ROUND(((VLOOKUP($BN692-1,MORE_PV,5,0)/10000)*VLOOKUP($BN692,MORE_PV,$CB$5,0)),3)*VLOOKUP($BN692,more1,5,0),0)/$R691,0))</f>
        <v>0</v>
      </c>
      <c r="CC692" s="473">
        <f t="shared" ca="1" si="477"/>
        <v>0</v>
      </c>
      <c r="CD692" s="477"/>
    </row>
    <row r="693" spans="2:82" ht="16.5" hidden="1">
      <c r="B693" s="80"/>
      <c r="C693" s="80"/>
      <c r="D693" s="80"/>
      <c r="E693" s="80"/>
      <c r="F693" s="80"/>
      <c r="G693" s="80"/>
      <c r="H693" s="80"/>
      <c r="I693" s="80"/>
      <c r="J693" s="192">
        <f t="shared" si="458"/>
        <v>58</v>
      </c>
      <c r="K693" s="192">
        <f t="shared" si="459"/>
        <v>1</v>
      </c>
      <c r="L693" s="192" t="str">
        <f t="shared" si="454"/>
        <v/>
      </c>
      <c r="M693" s="216">
        <f t="shared" ca="1" si="460"/>
        <v>0</v>
      </c>
      <c r="N693" s="216"/>
      <c r="O693" s="216"/>
      <c r="P693" s="216"/>
      <c r="Q693" s="456" t="str">
        <f t="shared" ca="1" si="461"/>
        <v/>
      </c>
      <c r="R693" s="450">
        <f t="shared" ca="1" si="462"/>
        <v>1</v>
      </c>
      <c r="S693" s="191">
        <f t="shared" si="463"/>
        <v>58</v>
      </c>
      <c r="T693" s="191">
        <f t="shared" si="464"/>
        <v>1</v>
      </c>
      <c r="U693" s="191">
        <f ca="1">OP!$D$5+$S693-1</f>
        <v>90</v>
      </c>
      <c r="V693" s="191" t="str">
        <f t="shared" si="465"/>
        <v/>
      </c>
      <c r="W693" s="350">
        <f ca="1">IF(Q693&lt;&gt;1,0,VLOOKUP(OP!$C$55,PVFB,$S693+2,0))</f>
        <v>0</v>
      </c>
      <c r="X693" s="473">
        <f t="shared" ca="1" si="478"/>
        <v>0</v>
      </c>
      <c r="Y693" s="348">
        <f t="shared" ca="1" si="479"/>
        <v>0</v>
      </c>
      <c r="Z693" s="348">
        <f t="shared" ca="1" si="480"/>
        <v>8012</v>
      </c>
      <c r="AA693" s="348">
        <f ca="1">IF(Q693&lt;&gt;1,0,VLOOKUP(OP!$C$55,PVFB,$S693+2,0))</f>
        <v>0</v>
      </c>
      <c r="AB693" s="488" t="str">
        <f ca="1">IF(AND(S693&lt;OP!$C$24,$U693&lt;15),0,IF(AND($U693&lt;15,$T693=12),ROUND(VLOOKUP($S693,DOWN16,5,0),3),IF($T693=12,ROUND(($Z693/10000)*$AA693,3)+IF(AND($P$7="購買增額繳清保險",T693=12,U693=110),VLOOKUP(S693,$B$10:$H$121,7,0),0),"")))</f>
        <v/>
      </c>
      <c r="AC693" s="350" t="str">
        <f ca="1">IF(AND(S693&lt;OP!$C$24,$U693&lt;15),0,IF(AND($U693&lt;16,$T693=12),VLOOKUP($S693,DOWN16,4,0),IF($T693=12,ROUND(VLOOKUP(OP!$C$55,_DIE2,$S693+1,0)*(Z693/10000),0)+IF(AND($P$7="購買增額繳清保險",T693=12,U693=110),VLOOKUP(S693,$B$10:$H$121,7,0),0),"")))</f>
        <v/>
      </c>
      <c r="AD693" s="347"/>
      <c r="AE693" s="350" t="str">
        <f t="shared" ca="1" si="455"/>
        <v/>
      </c>
      <c r="AF693" s="351" t="str">
        <f t="shared" ca="1" si="456"/>
        <v/>
      </c>
      <c r="AG693" s="340"/>
      <c r="AH693" s="340"/>
      <c r="AI693" s="340"/>
      <c r="AJ693" s="340"/>
      <c r="AK693" s="340"/>
      <c r="AL693" s="340"/>
      <c r="AM693" s="340"/>
      <c r="AN693" s="340"/>
      <c r="AO693" s="340"/>
      <c r="AP693" s="340"/>
      <c r="AQ693" s="340"/>
      <c r="AR693" s="340"/>
      <c r="AS693" s="340"/>
      <c r="AT693" s="340"/>
      <c r="AU693" s="340"/>
      <c r="AV693" s="340"/>
      <c r="AY693" s="340"/>
      <c r="AZ693" s="465">
        <f t="shared" ca="1" si="466"/>
        <v>7.3698599999999999E-5</v>
      </c>
      <c r="BA693" s="464">
        <f t="shared" ca="1" si="467"/>
        <v>2.1372602999999999E-3</v>
      </c>
      <c r="BB693" s="465">
        <f t="shared" ca="1" si="467"/>
        <v>2.2109589000000002E-3</v>
      </c>
      <c r="BC693" s="466">
        <f t="shared" ca="1" si="468"/>
        <v>63706</v>
      </c>
      <c r="BD693" s="467">
        <f t="shared" ca="1" si="481"/>
        <v>63707</v>
      </c>
      <c r="BE693" s="467">
        <f t="shared" ca="1" si="469"/>
        <v>63735</v>
      </c>
      <c r="BF693" s="468">
        <f ca="1">IF(計算!$BC693&lt;OP!$C$3,0,BD693-BC693)</f>
        <v>1</v>
      </c>
      <c r="BG693" s="468">
        <f ca="1">IF($BE693&gt;DATE(YEAR($BD$9)+OP!$C$57,MONTH($BD$9),DAY($BD$9)),0,$BE693-$BD693+1)</f>
        <v>29</v>
      </c>
      <c r="BH693" s="469">
        <f t="shared" ca="1" si="470"/>
        <v>30</v>
      </c>
      <c r="BI693">
        <f t="shared" ca="1" si="486"/>
        <v>365</v>
      </c>
      <c r="BJ693">
        <v>12</v>
      </c>
      <c r="BN693" s="468">
        <f t="shared" si="482"/>
        <v>57</v>
      </c>
      <c r="BO693" s="468">
        <f t="shared" si="483"/>
        <v>12</v>
      </c>
      <c r="BP693" s="467">
        <f t="shared" ca="1" si="471"/>
        <v>63707</v>
      </c>
      <c r="BQ693" s="475">
        <f t="shared" ca="1" si="485"/>
        <v>89</v>
      </c>
      <c r="BR693" s="475">
        <f t="shared" si="484"/>
        <v>57</v>
      </c>
      <c r="BS693" s="471">
        <f t="shared" ca="1" si="472"/>
        <v>19377</v>
      </c>
      <c r="BT693" s="472">
        <f t="shared" ca="1" si="487"/>
        <v>1205529</v>
      </c>
      <c r="BU693" s="472">
        <f t="shared" ca="1" si="473"/>
        <v>18931</v>
      </c>
      <c r="BV693" s="472">
        <f t="shared" ca="1" si="473"/>
        <v>446</v>
      </c>
      <c r="BW693" s="472">
        <f ca="1">ROUND(SUM(BY693,BZ681:BZ692),0)</f>
        <v>31448</v>
      </c>
      <c r="BX693" s="473">
        <f t="shared" ca="1" si="474"/>
        <v>1205529.9207866599</v>
      </c>
      <c r="BY693" s="473">
        <f t="shared" ca="1" si="475"/>
        <v>87.411367552000002</v>
      </c>
      <c r="BZ693" s="473">
        <f t="shared" ca="1" si="457"/>
        <v>2576.5312401589999</v>
      </c>
      <c r="CA693" s="476">
        <f t="shared" ca="1" si="476"/>
        <v>18931</v>
      </c>
      <c r="CB693" s="494">
        <f ca="1">IF(OR($Q692&lt;&gt;1,OP!$D$5+$BN693-1&lt;16,$BN693-1&lt;1),0,ROUND(ROUND(ROUND(((VLOOKUP($BN693-1,MORE_PV,5,0)/10000)*VLOOKUP($BN693,MORE_PV,$CB$5,0)),3)*VLOOKUP($BN693,more1,5,0),0)/$R692,0))</f>
        <v>446</v>
      </c>
      <c r="CC693" s="473">
        <f t="shared" ca="1" si="477"/>
        <v>0</v>
      </c>
      <c r="CD693" s="477"/>
    </row>
    <row r="694" spans="2:82" ht="16.5" hidden="1">
      <c r="B694" s="80"/>
      <c r="C694" s="80"/>
      <c r="D694" s="80"/>
      <c r="E694" s="80"/>
      <c r="F694" s="80"/>
      <c r="G694" s="80"/>
      <c r="H694" s="80"/>
      <c r="I694" s="80"/>
      <c r="J694" s="192">
        <f t="shared" si="458"/>
        <v>58</v>
      </c>
      <c r="K694" s="192">
        <f t="shared" si="459"/>
        <v>2</v>
      </c>
      <c r="L694" s="192" t="str">
        <f t="shared" si="454"/>
        <v/>
      </c>
      <c r="M694" s="216">
        <f t="shared" ca="1" si="460"/>
        <v>0</v>
      </c>
      <c r="N694" s="216"/>
      <c r="O694" s="216"/>
      <c r="P694" s="216"/>
      <c r="Q694" s="456" t="str">
        <f t="shared" ca="1" si="461"/>
        <v/>
      </c>
      <c r="R694" s="450">
        <f t="shared" ca="1" si="462"/>
        <v>1</v>
      </c>
      <c r="S694" s="191">
        <f t="shared" si="463"/>
        <v>58</v>
      </c>
      <c r="T694" s="191">
        <f t="shared" si="464"/>
        <v>2</v>
      </c>
      <c r="U694" s="191">
        <f ca="1">OP!$D$5+$S694-1</f>
        <v>90</v>
      </c>
      <c r="V694" s="191" t="str">
        <f t="shared" si="465"/>
        <v/>
      </c>
      <c r="W694" s="350">
        <f ca="1">IF(Q694&lt;&gt;1,0,VLOOKUP(OP!$C$55,PVFB,$S694+2,0))</f>
        <v>0</v>
      </c>
      <c r="X694" s="473">
        <f t="shared" ca="1" si="478"/>
        <v>0</v>
      </c>
      <c r="Y694" s="348">
        <f t="shared" ca="1" si="479"/>
        <v>0</v>
      </c>
      <c r="Z694" s="348">
        <f t="shared" ca="1" si="480"/>
        <v>8012</v>
      </c>
      <c r="AA694" s="348">
        <f ca="1">IF(Q694&lt;&gt;1,0,VLOOKUP(OP!$C$55,PVFB,$S694+2,0))</f>
        <v>0</v>
      </c>
      <c r="AB694" s="488" t="str">
        <f ca="1">IF(AND(S694&lt;OP!$C$24,$U694&lt;15),0,IF(AND($U694&lt;15,$T694=12),ROUND(VLOOKUP($S694,DOWN16,5,0),3),IF($T694=12,ROUND(($Z694/10000)*$AA694,3)+IF(AND($P$7="購買增額繳清保險",T694=12,U694=110),VLOOKUP(S694,$B$10:$H$121,7,0),0),"")))</f>
        <v/>
      </c>
      <c r="AC694" s="350" t="str">
        <f ca="1">IF(AND(S694&lt;OP!$C$24,$U694&lt;15),0,IF(AND($U694&lt;16,$T694=12),VLOOKUP($S694,DOWN16,4,0),IF($T694=12,ROUND(VLOOKUP(OP!$C$55,_DIE2,$S694+1,0)*(Z694/10000),0)+IF(AND($P$7="購買增額繳清保險",T694=12,U694=110),VLOOKUP(S694,$B$10:$H$121,7,0),0),"")))</f>
        <v/>
      </c>
      <c r="AD694" s="347"/>
      <c r="AE694" s="350" t="str">
        <f t="shared" ca="1" si="455"/>
        <v/>
      </c>
      <c r="AF694" s="351" t="str">
        <f t="shared" ca="1" si="456"/>
        <v/>
      </c>
      <c r="AG694" s="340"/>
      <c r="AH694" s="340"/>
      <c r="AI694" s="340"/>
      <c r="AJ694" s="340"/>
      <c r="AK694" s="340"/>
      <c r="AL694" s="340"/>
      <c r="AM694" s="340"/>
      <c r="AN694" s="340"/>
      <c r="AO694" s="340"/>
      <c r="AP694" s="340"/>
      <c r="AQ694" s="340"/>
      <c r="AR694" s="340"/>
      <c r="AS694" s="340"/>
      <c r="AT694" s="340"/>
      <c r="AU694" s="340"/>
      <c r="AV694" s="340"/>
      <c r="AY694" s="340"/>
      <c r="AZ694" s="465">
        <f t="shared" ca="1" si="466"/>
        <v>7.3698599999999999E-5</v>
      </c>
      <c r="BA694" s="464">
        <f t="shared" ca="1" si="467"/>
        <v>2.2109589000000002E-3</v>
      </c>
      <c r="BB694" s="465">
        <f t="shared" ca="1" si="467"/>
        <v>2.2846575E-3</v>
      </c>
      <c r="BC694" s="466">
        <f t="shared" ca="1" si="468"/>
        <v>63736</v>
      </c>
      <c r="BD694" s="467">
        <f t="shared" ca="1" si="481"/>
        <v>63737</v>
      </c>
      <c r="BE694" s="467">
        <f t="shared" ca="1" si="469"/>
        <v>63766</v>
      </c>
      <c r="BF694" s="468">
        <f ca="1">IF(計算!$BC694&lt;OP!$C$3,0,BD694-BC694)</f>
        <v>1</v>
      </c>
      <c r="BG694" s="468">
        <f ca="1">IF($BE694&gt;DATE(YEAR($BD$9)+OP!$C$57,MONTH($BD$9),DAY($BD$9)),0,$BE694-$BD694+1)</f>
        <v>30</v>
      </c>
      <c r="BH694" s="469">
        <f t="shared" ca="1" si="470"/>
        <v>31</v>
      </c>
      <c r="BI694" t="str">
        <f t="shared" si="486"/>
        <v/>
      </c>
      <c r="BJ694">
        <v>1</v>
      </c>
      <c r="BN694" s="468">
        <f t="shared" si="482"/>
        <v>58</v>
      </c>
      <c r="BO694" s="468">
        <f t="shared" si="483"/>
        <v>1</v>
      </c>
      <c r="BP694" s="467">
        <f t="shared" ca="1" si="471"/>
        <v>63737</v>
      </c>
      <c r="BQ694" s="475">
        <f t="shared" ca="1" si="485"/>
        <v>90</v>
      </c>
      <c r="BR694" s="475" t="str">
        <f t="shared" si="484"/>
        <v/>
      </c>
      <c r="BS694" s="471" t="str">
        <f t="shared" si="472"/>
        <v/>
      </c>
      <c r="BT694" s="472" t="str">
        <f t="shared" si="487"/>
        <v/>
      </c>
      <c r="BU694" s="472">
        <f t="shared" ca="1" si="473"/>
        <v>0</v>
      </c>
      <c r="BV694" s="472">
        <f t="shared" ca="1" si="473"/>
        <v>0</v>
      </c>
      <c r="BW694" s="472"/>
      <c r="BX694" s="473">
        <f t="shared" ca="1" si="474"/>
        <v>1208106.45202682</v>
      </c>
      <c r="BY694" s="473">
        <f t="shared" si="475"/>
        <v>0</v>
      </c>
      <c r="BZ694" s="473">
        <f t="shared" ca="1" si="457"/>
        <v>2760.109466421</v>
      </c>
      <c r="CA694" s="476">
        <f t="shared" ca="1" si="476"/>
        <v>0</v>
      </c>
      <c r="CB694" s="494">
        <f ca="1">IF(OR($Q693&lt;&gt;1,OP!$D$5+$BN694-1&lt;16,$BN694-1&lt;1),0,ROUND(ROUND(ROUND(((VLOOKUP($BN694-1,MORE_PV,5,0)/10000)*VLOOKUP($BN694,MORE_PV,$CB$5,0)),3)*VLOOKUP($BN694,more1,5,0),0)/$R693,0))</f>
        <v>0</v>
      </c>
      <c r="CC694" s="473">
        <f t="shared" ca="1" si="477"/>
        <v>0</v>
      </c>
      <c r="CD694" s="477"/>
    </row>
    <row r="695" spans="2:82" ht="16.5" hidden="1">
      <c r="B695" s="80"/>
      <c r="C695" s="80"/>
      <c r="D695" s="80"/>
      <c r="E695" s="80"/>
      <c r="F695" s="80"/>
      <c r="G695" s="80"/>
      <c r="H695" s="80"/>
      <c r="I695" s="80"/>
      <c r="J695" s="192">
        <f t="shared" si="458"/>
        <v>58</v>
      </c>
      <c r="K695" s="192">
        <f t="shared" si="459"/>
        <v>3</v>
      </c>
      <c r="L695" s="192" t="str">
        <f t="shared" si="454"/>
        <v/>
      </c>
      <c r="M695" s="216">
        <f t="shared" ca="1" si="460"/>
        <v>0</v>
      </c>
      <c r="N695" s="216"/>
      <c r="O695" s="216"/>
      <c r="P695" s="216"/>
      <c r="Q695" s="456" t="str">
        <f t="shared" ca="1" si="461"/>
        <v/>
      </c>
      <c r="R695" s="450">
        <f t="shared" ca="1" si="462"/>
        <v>1</v>
      </c>
      <c r="S695" s="191">
        <f t="shared" si="463"/>
        <v>58</v>
      </c>
      <c r="T695" s="191">
        <f t="shared" si="464"/>
        <v>3</v>
      </c>
      <c r="U695" s="191">
        <f ca="1">OP!$D$5+$S695-1</f>
        <v>90</v>
      </c>
      <c r="V695" s="191" t="str">
        <f t="shared" si="465"/>
        <v/>
      </c>
      <c r="W695" s="350">
        <f ca="1">IF(Q695&lt;&gt;1,0,VLOOKUP(OP!$C$55,PVFB,$S695+2,0))</f>
        <v>0</v>
      </c>
      <c r="X695" s="473">
        <f t="shared" ca="1" si="478"/>
        <v>0</v>
      </c>
      <c r="Y695" s="348">
        <f t="shared" ca="1" si="479"/>
        <v>0</v>
      </c>
      <c r="Z695" s="348">
        <f t="shared" ca="1" si="480"/>
        <v>8012</v>
      </c>
      <c r="AA695" s="348">
        <f ca="1">IF(Q695&lt;&gt;1,0,VLOOKUP(OP!$C$55,PVFB,$S695+2,0))</f>
        <v>0</v>
      </c>
      <c r="AB695" s="488" t="str">
        <f ca="1">IF(AND(S695&lt;OP!$C$24,$U695&lt;15),0,IF(AND($U695&lt;15,$T695=12),ROUND(VLOOKUP($S695,DOWN16,5,0),3),IF($T695=12,ROUND(($Z695/10000)*$AA695,3)+IF(AND($P$7="購買增額繳清保險",T695=12,U695=110),VLOOKUP(S695,$B$10:$H$121,7,0),0),"")))</f>
        <v/>
      </c>
      <c r="AC695" s="350" t="str">
        <f ca="1">IF(AND(S695&lt;OP!$C$24,$U695&lt;15),0,IF(AND($U695&lt;16,$T695=12),VLOOKUP($S695,DOWN16,4,0),IF($T695=12,ROUND(VLOOKUP(OP!$C$55,_DIE2,$S695+1,0)*(Z695/10000),0)+IF(AND($P$7="購買增額繳清保險",T695=12,U695=110),VLOOKUP(S695,$B$10:$H$121,7,0),0),"")))</f>
        <v/>
      </c>
      <c r="AD695" s="347"/>
      <c r="AE695" s="350" t="str">
        <f t="shared" ca="1" si="455"/>
        <v/>
      </c>
      <c r="AF695" s="351" t="str">
        <f t="shared" ca="1" si="456"/>
        <v/>
      </c>
      <c r="AG695" s="340"/>
      <c r="AH695" s="340"/>
      <c r="AI695" s="340"/>
      <c r="AJ695" s="340"/>
      <c r="AK695" s="340"/>
      <c r="AL695" s="340"/>
      <c r="AM695" s="340"/>
      <c r="AN695" s="340"/>
      <c r="AO695" s="340"/>
      <c r="AP695" s="340"/>
      <c r="AQ695" s="340"/>
      <c r="AR695" s="340"/>
      <c r="AS695" s="340"/>
      <c r="AT695" s="340"/>
      <c r="AU695" s="340"/>
      <c r="AV695" s="340"/>
      <c r="AY695" s="340"/>
      <c r="AZ695" s="465">
        <f t="shared" ca="1" si="466"/>
        <v>7.3698599999999999E-5</v>
      </c>
      <c r="BA695" s="464">
        <f t="shared" ca="1" si="467"/>
        <v>2.2109589000000002E-3</v>
      </c>
      <c r="BB695" s="465">
        <f t="shared" ca="1" si="467"/>
        <v>2.2846575E-3</v>
      </c>
      <c r="BC695" s="466">
        <f t="shared" ca="1" si="468"/>
        <v>63767</v>
      </c>
      <c r="BD695" s="467">
        <f t="shared" ca="1" si="481"/>
        <v>63768</v>
      </c>
      <c r="BE695" s="467">
        <f t="shared" ca="1" si="469"/>
        <v>63797</v>
      </c>
      <c r="BF695" s="468">
        <f ca="1">IF(計算!$BC695&lt;OP!$C$3,0,BD695-BC695)</f>
        <v>1</v>
      </c>
      <c r="BG695" s="468">
        <f ca="1">IF($BE695&gt;DATE(YEAR($BD$9)+OP!$C$57,MONTH($BD$9),DAY($BD$9)),0,$BE695-$BD695+1)</f>
        <v>30</v>
      </c>
      <c r="BH695" s="469">
        <f t="shared" ca="1" si="470"/>
        <v>31</v>
      </c>
      <c r="BI695" t="str">
        <f t="shared" si="486"/>
        <v/>
      </c>
      <c r="BJ695">
        <v>2</v>
      </c>
      <c r="BN695" s="468">
        <f t="shared" si="482"/>
        <v>58</v>
      </c>
      <c r="BO695" s="468">
        <f t="shared" si="483"/>
        <v>2</v>
      </c>
      <c r="BP695" s="467">
        <f t="shared" ca="1" si="471"/>
        <v>63768</v>
      </c>
      <c r="BQ695" s="475">
        <f t="shared" ca="1" si="485"/>
        <v>90</v>
      </c>
      <c r="BR695" s="475" t="str">
        <f t="shared" si="484"/>
        <v/>
      </c>
      <c r="BS695" s="471" t="str">
        <f t="shared" si="472"/>
        <v/>
      </c>
      <c r="BT695" s="472" t="str">
        <f t="shared" si="487"/>
        <v/>
      </c>
      <c r="BU695" s="472">
        <f t="shared" ca="1" si="473"/>
        <v>0</v>
      </c>
      <c r="BV695" s="472">
        <f t="shared" ca="1" si="473"/>
        <v>0</v>
      </c>
      <c r="BW695" s="472"/>
      <c r="BX695" s="473">
        <f t="shared" ca="1" si="474"/>
        <v>1210866.5614932401</v>
      </c>
      <c r="BY695" s="473">
        <f t="shared" si="475"/>
        <v>0</v>
      </c>
      <c r="BZ695" s="473">
        <f t="shared" ca="1" si="457"/>
        <v>2766.4153712150001</v>
      </c>
      <c r="CA695" s="476">
        <f t="shared" ca="1" si="476"/>
        <v>0</v>
      </c>
      <c r="CB695" s="494">
        <f ca="1">IF(OR($Q694&lt;&gt;1,OP!$D$5+$BN695-1&lt;16,$BN695-1&lt;1),0,ROUND(ROUND(ROUND(((VLOOKUP($BN695-1,MORE_PV,5,0)/10000)*VLOOKUP($BN695,MORE_PV,$CB$5,0)),3)*VLOOKUP($BN695,more1,5,0),0)/$R694,0))</f>
        <v>0</v>
      </c>
      <c r="CC695" s="473">
        <f t="shared" ca="1" si="477"/>
        <v>0</v>
      </c>
      <c r="CD695" s="477"/>
    </row>
    <row r="696" spans="2:82" ht="16.5" hidden="1">
      <c r="B696" s="80"/>
      <c r="C696" s="80"/>
      <c r="D696" s="80"/>
      <c r="E696" s="80"/>
      <c r="F696" s="80"/>
      <c r="G696" s="80"/>
      <c r="H696" s="80"/>
      <c r="I696" s="80"/>
      <c r="J696" s="192">
        <f t="shared" si="458"/>
        <v>58</v>
      </c>
      <c r="K696" s="192">
        <f t="shared" si="459"/>
        <v>4</v>
      </c>
      <c r="L696" s="192" t="str">
        <f t="shared" si="454"/>
        <v/>
      </c>
      <c r="M696" s="216">
        <f t="shared" ca="1" si="460"/>
        <v>0</v>
      </c>
      <c r="N696" s="216"/>
      <c r="O696" s="216"/>
      <c r="P696" s="216"/>
      <c r="Q696" s="456" t="str">
        <f t="shared" ca="1" si="461"/>
        <v/>
      </c>
      <c r="R696" s="450">
        <f t="shared" ca="1" si="462"/>
        <v>1</v>
      </c>
      <c r="S696" s="191">
        <f t="shared" si="463"/>
        <v>58</v>
      </c>
      <c r="T696" s="191">
        <f t="shared" si="464"/>
        <v>4</v>
      </c>
      <c r="U696" s="191">
        <f ca="1">OP!$D$5+$S696-1</f>
        <v>90</v>
      </c>
      <c r="V696" s="191" t="str">
        <f t="shared" si="465"/>
        <v/>
      </c>
      <c r="W696" s="350">
        <f ca="1">IF(Q696&lt;&gt;1,0,VLOOKUP(OP!$C$55,PVFB,$S696+2,0))</f>
        <v>0</v>
      </c>
      <c r="X696" s="473">
        <f t="shared" ca="1" si="478"/>
        <v>0</v>
      </c>
      <c r="Y696" s="348">
        <f t="shared" ca="1" si="479"/>
        <v>0</v>
      </c>
      <c r="Z696" s="348">
        <f t="shared" ca="1" si="480"/>
        <v>8012</v>
      </c>
      <c r="AA696" s="348">
        <f ca="1">IF(Q696&lt;&gt;1,0,VLOOKUP(OP!$C$55,PVFB,$S696+2,0))</f>
        <v>0</v>
      </c>
      <c r="AB696" s="488" t="str">
        <f ca="1">IF(AND(S696&lt;OP!$C$24,$U696&lt;15),0,IF(AND($U696&lt;15,$T696=12),ROUND(VLOOKUP($S696,DOWN16,5,0),3),IF($T696=12,ROUND(($Z696/10000)*$AA696,3)+IF(AND($P$7="購買增額繳清保險",T696=12,U696=110),VLOOKUP(S696,$B$10:$H$121,7,0),0),"")))</f>
        <v/>
      </c>
      <c r="AC696" s="350" t="str">
        <f ca="1">IF(AND(S696&lt;OP!$C$24,$U696&lt;15),0,IF(AND($U696&lt;16,$T696=12),VLOOKUP($S696,DOWN16,4,0),IF($T696=12,ROUND(VLOOKUP(OP!$C$55,_DIE2,$S696+1,0)*(Z696/10000),0)+IF(AND($P$7="購買增額繳清保險",T696=12,U696=110),VLOOKUP(S696,$B$10:$H$121,7,0),0),"")))</f>
        <v/>
      </c>
      <c r="AD696" s="347"/>
      <c r="AE696" s="350" t="str">
        <f t="shared" ca="1" si="455"/>
        <v/>
      </c>
      <c r="AF696" s="351" t="str">
        <f t="shared" ca="1" si="456"/>
        <v/>
      </c>
      <c r="AG696" s="340"/>
      <c r="AH696" s="340"/>
      <c r="AI696" s="340"/>
      <c r="AJ696" s="340"/>
      <c r="AK696" s="340"/>
      <c r="AL696" s="340"/>
      <c r="AM696" s="340"/>
      <c r="AN696" s="340"/>
      <c r="AO696" s="340"/>
      <c r="AP696" s="340"/>
      <c r="AQ696" s="340"/>
      <c r="AR696" s="340"/>
      <c r="AS696" s="340"/>
      <c r="AT696" s="340"/>
      <c r="AU696" s="340"/>
      <c r="AV696" s="340"/>
      <c r="AY696" s="340"/>
      <c r="AZ696" s="465">
        <f t="shared" ca="1" si="466"/>
        <v>7.3698599999999999E-5</v>
      </c>
      <c r="BA696" s="464">
        <f t="shared" ca="1" si="467"/>
        <v>2.1372602999999999E-3</v>
      </c>
      <c r="BB696" s="465">
        <f t="shared" ca="1" si="467"/>
        <v>2.2109589000000002E-3</v>
      </c>
      <c r="BC696" s="466">
        <f t="shared" ca="1" si="468"/>
        <v>63798</v>
      </c>
      <c r="BD696" s="467">
        <f t="shared" ca="1" si="481"/>
        <v>63799</v>
      </c>
      <c r="BE696" s="467">
        <f t="shared" ca="1" si="469"/>
        <v>63827</v>
      </c>
      <c r="BF696" s="468">
        <f ca="1">IF(計算!$BC696&lt;OP!$C$3,0,BD696-BC696)</f>
        <v>1</v>
      </c>
      <c r="BG696" s="468">
        <f ca="1">IF($BE696&gt;DATE(YEAR($BD$9)+OP!$C$57,MONTH($BD$9),DAY($BD$9)),0,$BE696-$BD696+1)</f>
        <v>29</v>
      </c>
      <c r="BH696" s="469">
        <f t="shared" ca="1" si="470"/>
        <v>30</v>
      </c>
      <c r="BI696" t="str">
        <f t="shared" si="486"/>
        <v/>
      </c>
      <c r="BJ696">
        <v>3</v>
      </c>
      <c r="BN696" s="468">
        <f t="shared" si="482"/>
        <v>58</v>
      </c>
      <c r="BO696" s="468">
        <f t="shared" si="483"/>
        <v>3</v>
      </c>
      <c r="BP696" s="467">
        <f t="shared" ca="1" si="471"/>
        <v>63799</v>
      </c>
      <c r="BQ696" s="475">
        <f t="shared" ca="1" si="485"/>
        <v>90</v>
      </c>
      <c r="BR696" s="475" t="str">
        <f t="shared" si="484"/>
        <v/>
      </c>
      <c r="BS696" s="471" t="str">
        <f t="shared" si="472"/>
        <v/>
      </c>
      <c r="BT696" s="472" t="str">
        <f t="shared" si="487"/>
        <v/>
      </c>
      <c r="BU696" s="472">
        <f t="shared" ca="1" si="473"/>
        <v>0</v>
      </c>
      <c r="BV696" s="472">
        <f t="shared" ca="1" si="473"/>
        <v>0</v>
      </c>
      <c r="BW696" s="472"/>
      <c r="BX696" s="473">
        <f t="shared" ca="1" si="474"/>
        <v>1213632.9768644599</v>
      </c>
      <c r="BY696" s="473">
        <f t="shared" si="475"/>
        <v>0</v>
      </c>
      <c r="BZ696" s="473">
        <f t="shared" ca="1" si="457"/>
        <v>2683.2926315320001</v>
      </c>
      <c r="CA696" s="476">
        <f t="shared" ca="1" si="476"/>
        <v>0</v>
      </c>
      <c r="CB696" s="494">
        <f ca="1">IF(OR($Q695&lt;&gt;1,OP!$D$5+$BN696-1&lt;16,$BN696-1&lt;1),0,ROUND(ROUND(ROUND(((VLOOKUP($BN696-1,MORE_PV,5,0)/10000)*VLOOKUP($BN696,MORE_PV,$CB$5,0)),3)*VLOOKUP($BN696,more1,5,0),0)/$R695,0))</f>
        <v>0</v>
      </c>
      <c r="CC696" s="473">
        <f t="shared" ca="1" si="477"/>
        <v>0</v>
      </c>
      <c r="CD696" s="477"/>
    </row>
    <row r="697" spans="2:82" ht="16.5" hidden="1">
      <c r="B697" s="80"/>
      <c r="C697" s="80"/>
      <c r="D697" s="80"/>
      <c r="E697" s="80"/>
      <c r="F697" s="80"/>
      <c r="G697" s="80"/>
      <c r="H697" s="80"/>
      <c r="I697" s="80"/>
      <c r="J697" s="192">
        <f t="shared" si="458"/>
        <v>58</v>
      </c>
      <c r="K697" s="192">
        <f t="shared" si="459"/>
        <v>5</v>
      </c>
      <c r="L697" s="192" t="str">
        <f t="shared" si="454"/>
        <v/>
      </c>
      <c r="M697" s="216">
        <f t="shared" ca="1" si="460"/>
        <v>0</v>
      </c>
      <c r="N697" s="216"/>
      <c r="O697" s="216"/>
      <c r="P697" s="216"/>
      <c r="Q697" s="456" t="str">
        <f t="shared" ca="1" si="461"/>
        <v/>
      </c>
      <c r="R697" s="450">
        <f t="shared" ca="1" si="462"/>
        <v>1</v>
      </c>
      <c r="S697" s="191">
        <f t="shared" si="463"/>
        <v>58</v>
      </c>
      <c r="T697" s="191">
        <f t="shared" si="464"/>
        <v>5</v>
      </c>
      <c r="U697" s="191">
        <f ca="1">OP!$D$5+$S697-1</f>
        <v>90</v>
      </c>
      <c r="V697" s="191" t="str">
        <f t="shared" si="465"/>
        <v/>
      </c>
      <c r="W697" s="350">
        <f ca="1">IF(Q697&lt;&gt;1,0,VLOOKUP(OP!$C$55,PVFB,$S697+2,0))</f>
        <v>0</v>
      </c>
      <c r="X697" s="473">
        <f t="shared" ca="1" si="478"/>
        <v>0</v>
      </c>
      <c r="Y697" s="348">
        <f t="shared" ca="1" si="479"/>
        <v>0</v>
      </c>
      <c r="Z697" s="348">
        <f t="shared" ca="1" si="480"/>
        <v>8012</v>
      </c>
      <c r="AA697" s="348">
        <f ca="1">IF(Q697&lt;&gt;1,0,VLOOKUP(OP!$C$55,PVFB,$S697+2,0))</f>
        <v>0</v>
      </c>
      <c r="AB697" s="488" t="str">
        <f ca="1">IF(AND(S697&lt;OP!$C$24,$U697&lt;15),0,IF(AND($U697&lt;15,$T697=12),ROUND(VLOOKUP($S697,DOWN16,5,0),3),IF($T697=12,ROUND(($Z697/10000)*$AA697,3)+IF(AND($P$7="購買增額繳清保險",T697=12,U697=110),VLOOKUP(S697,$B$10:$H$121,7,0),0),"")))</f>
        <v/>
      </c>
      <c r="AC697" s="350" t="str">
        <f ca="1">IF(AND(S697&lt;OP!$C$24,$U697&lt;15),0,IF(AND($U697&lt;16,$T697=12),VLOOKUP($S697,DOWN16,4,0),IF($T697=12,ROUND(VLOOKUP(OP!$C$55,_DIE2,$S697+1,0)*(Z697/10000),0)+IF(AND($P$7="購買增額繳清保險",T697=12,U697=110),VLOOKUP(S697,$B$10:$H$121,7,0),0),"")))</f>
        <v/>
      </c>
      <c r="AD697" s="347"/>
      <c r="AE697" s="350" t="str">
        <f t="shared" ca="1" si="455"/>
        <v/>
      </c>
      <c r="AF697" s="351" t="str">
        <f t="shared" ca="1" si="456"/>
        <v/>
      </c>
      <c r="AG697" s="340"/>
      <c r="AH697" s="340"/>
      <c r="AI697" s="340"/>
      <c r="AJ697" s="340"/>
      <c r="AK697" s="340"/>
      <c r="AL697" s="340"/>
      <c r="AM697" s="340"/>
      <c r="AN697" s="340"/>
      <c r="AO697" s="340"/>
      <c r="AP697" s="340"/>
      <c r="AQ697" s="340"/>
      <c r="AR697" s="340"/>
      <c r="AS697" s="340"/>
      <c r="AT697" s="340"/>
      <c r="AU697" s="340"/>
      <c r="AV697" s="340"/>
      <c r="AY697" s="340"/>
      <c r="AZ697" s="465">
        <f t="shared" ca="1" si="466"/>
        <v>7.3698599999999999E-5</v>
      </c>
      <c r="BA697" s="464">
        <f t="shared" ca="1" si="467"/>
        <v>2.2109589000000002E-3</v>
      </c>
      <c r="BB697" s="465">
        <f t="shared" ca="1" si="467"/>
        <v>2.2846575E-3</v>
      </c>
      <c r="BC697" s="466">
        <f t="shared" ca="1" si="468"/>
        <v>63828</v>
      </c>
      <c r="BD697" s="467">
        <f t="shared" ca="1" si="481"/>
        <v>63829</v>
      </c>
      <c r="BE697" s="467">
        <f t="shared" ca="1" si="469"/>
        <v>63858</v>
      </c>
      <c r="BF697" s="468">
        <f ca="1">IF(計算!$BC697&lt;OP!$C$3,0,BD697-BC697)</f>
        <v>1</v>
      </c>
      <c r="BG697" s="468">
        <f ca="1">IF($BE697&gt;DATE(YEAR($BD$9)+OP!$C$57,MONTH($BD$9),DAY($BD$9)),0,$BE697-$BD697+1)</f>
        <v>30</v>
      </c>
      <c r="BH697" s="469">
        <f t="shared" ca="1" si="470"/>
        <v>31</v>
      </c>
      <c r="BI697" t="str">
        <f t="shared" si="486"/>
        <v/>
      </c>
      <c r="BJ697">
        <v>4</v>
      </c>
      <c r="BN697" s="468">
        <f t="shared" si="482"/>
        <v>58</v>
      </c>
      <c r="BO697" s="468">
        <f t="shared" si="483"/>
        <v>4</v>
      </c>
      <c r="BP697" s="467">
        <f t="shared" ca="1" si="471"/>
        <v>63829</v>
      </c>
      <c r="BQ697" s="475">
        <f t="shared" ca="1" si="485"/>
        <v>90</v>
      </c>
      <c r="BR697" s="475" t="str">
        <f t="shared" si="484"/>
        <v/>
      </c>
      <c r="BS697" s="471" t="str">
        <f t="shared" si="472"/>
        <v/>
      </c>
      <c r="BT697" s="472" t="str">
        <f t="shared" si="487"/>
        <v/>
      </c>
      <c r="BU697" s="472">
        <f t="shared" ca="1" si="473"/>
        <v>0</v>
      </c>
      <c r="BV697" s="472">
        <f t="shared" ca="1" si="473"/>
        <v>0</v>
      </c>
      <c r="BW697" s="472"/>
      <c r="BX697" s="473">
        <f t="shared" ca="1" si="474"/>
        <v>1216316.2694959899</v>
      </c>
      <c r="BY697" s="473">
        <f t="shared" si="475"/>
        <v>0</v>
      </c>
      <c r="BZ697" s="473">
        <f t="shared" ca="1" si="457"/>
        <v>2778.8660874759998</v>
      </c>
      <c r="CA697" s="476">
        <f t="shared" ca="1" si="476"/>
        <v>0</v>
      </c>
      <c r="CB697" s="494">
        <f ca="1">IF(OR($Q696&lt;&gt;1,OP!$D$5+$BN697-1&lt;16,$BN697-1&lt;1),0,ROUND(ROUND(ROUND(((VLOOKUP($BN697-1,MORE_PV,5,0)/10000)*VLOOKUP($BN697,MORE_PV,$CB$5,0)),3)*VLOOKUP($BN697,more1,5,0),0)/$R696,0))</f>
        <v>0</v>
      </c>
      <c r="CC697" s="473">
        <f t="shared" ca="1" si="477"/>
        <v>0</v>
      </c>
      <c r="CD697" s="477"/>
    </row>
    <row r="698" spans="2:82" ht="16.5" hidden="1">
      <c r="B698" s="80"/>
      <c r="C698" s="80"/>
      <c r="D698" s="80"/>
      <c r="E698" s="80"/>
      <c r="F698" s="80"/>
      <c r="G698" s="80"/>
      <c r="H698" s="80"/>
      <c r="I698" s="80"/>
      <c r="J698" s="192">
        <f t="shared" si="458"/>
        <v>58</v>
      </c>
      <c r="K698" s="192">
        <f t="shared" si="459"/>
        <v>6</v>
      </c>
      <c r="L698" s="192" t="str">
        <f t="shared" si="454"/>
        <v/>
      </c>
      <c r="M698" s="216">
        <f t="shared" ca="1" si="460"/>
        <v>0</v>
      </c>
      <c r="N698" s="216"/>
      <c r="O698" s="216"/>
      <c r="P698" s="216"/>
      <c r="Q698" s="456" t="str">
        <f t="shared" ca="1" si="461"/>
        <v/>
      </c>
      <c r="R698" s="450">
        <f t="shared" ca="1" si="462"/>
        <v>1</v>
      </c>
      <c r="S698" s="191">
        <f t="shared" si="463"/>
        <v>58</v>
      </c>
      <c r="T698" s="191">
        <f t="shared" si="464"/>
        <v>6</v>
      </c>
      <c r="U698" s="191">
        <f ca="1">OP!$D$5+$S698-1</f>
        <v>90</v>
      </c>
      <c r="V698" s="191" t="str">
        <f t="shared" si="465"/>
        <v/>
      </c>
      <c r="W698" s="350">
        <f ca="1">IF(Q698&lt;&gt;1,0,VLOOKUP(OP!$C$55,PVFB,$S698+2,0))</f>
        <v>0</v>
      </c>
      <c r="X698" s="473">
        <f t="shared" ca="1" si="478"/>
        <v>0</v>
      </c>
      <c r="Y698" s="348">
        <f t="shared" ca="1" si="479"/>
        <v>0</v>
      </c>
      <c r="Z698" s="348">
        <f t="shared" ca="1" si="480"/>
        <v>8012</v>
      </c>
      <c r="AA698" s="348">
        <f ca="1">IF(Q698&lt;&gt;1,0,VLOOKUP(OP!$C$55,PVFB,$S698+2,0))</f>
        <v>0</v>
      </c>
      <c r="AB698" s="488" t="str">
        <f ca="1">IF(AND(S698&lt;OP!$C$24,$U698&lt;15),0,IF(AND($U698&lt;15,$T698=12),ROUND(VLOOKUP($S698,DOWN16,5,0),3),IF($T698=12,ROUND(($Z698/10000)*$AA698,3)+IF(AND($P$7="購買增額繳清保險",T698=12,U698=110),VLOOKUP(S698,$B$10:$H$121,7,0),0),"")))</f>
        <v/>
      </c>
      <c r="AC698" s="350" t="str">
        <f ca="1">IF(AND(S698&lt;OP!$C$24,$U698&lt;15),0,IF(AND($U698&lt;16,$T698=12),VLOOKUP($S698,DOWN16,4,0),IF($T698=12,ROUND(VLOOKUP(OP!$C$55,_DIE2,$S698+1,0)*(Z698/10000),0)+IF(AND($P$7="購買增額繳清保險",T698=12,U698=110),VLOOKUP(S698,$B$10:$H$121,7,0),0),"")))</f>
        <v/>
      </c>
      <c r="AD698" s="347"/>
      <c r="AE698" s="350" t="str">
        <f t="shared" ca="1" si="455"/>
        <v/>
      </c>
      <c r="AF698" s="351" t="str">
        <f t="shared" ca="1" si="456"/>
        <v/>
      </c>
      <c r="AG698" s="340"/>
      <c r="AH698" s="340"/>
      <c r="AI698" s="340"/>
      <c r="AJ698" s="340"/>
      <c r="AK698" s="340"/>
      <c r="AL698" s="340"/>
      <c r="AM698" s="340"/>
      <c r="AN698" s="340"/>
      <c r="AO698" s="340"/>
      <c r="AP698" s="340"/>
      <c r="AQ698" s="340"/>
      <c r="AR698" s="340"/>
      <c r="AS698" s="340"/>
      <c r="AT698" s="340"/>
      <c r="AU698" s="340"/>
      <c r="AV698" s="340"/>
      <c r="AY698" s="340"/>
      <c r="AZ698" s="465">
        <f t="shared" ca="1" si="466"/>
        <v>7.3698599999999999E-5</v>
      </c>
      <c r="BA698" s="464">
        <f t="shared" ca="1" si="467"/>
        <v>2.1372602999999999E-3</v>
      </c>
      <c r="BB698" s="465">
        <f t="shared" ca="1" si="467"/>
        <v>2.2109589000000002E-3</v>
      </c>
      <c r="BC698" s="466">
        <f t="shared" ca="1" si="468"/>
        <v>63859</v>
      </c>
      <c r="BD698" s="467">
        <f t="shared" ca="1" si="481"/>
        <v>63860</v>
      </c>
      <c r="BE698" s="467">
        <f t="shared" ca="1" si="469"/>
        <v>63888</v>
      </c>
      <c r="BF698" s="468">
        <f ca="1">IF(計算!$BC698&lt;OP!$C$3,0,BD698-BC698)</f>
        <v>1</v>
      </c>
      <c r="BG698" s="468">
        <f ca="1">IF($BE698&gt;DATE(YEAR($BD$9)+OP!$C$57,MONTH($BD$9),DAY($BD$9)),0,$BE698-$BD698+1)</f>
        <v>29</v>
      </c>
      <c r="BH698" s="469">
        <f t="shared" ca="1" si="470"/>
        <v>30</v>
      </c>
      <c r="BI698" t="str">
        <f t="shared" si="486"/>
        <v/>
      </c>
      <c r="BJ698">
        <v>5</v>
      </c>
      <c r="BN698" s="468">
        <f t="shared" si="482"/>
        <v>58</v>
      </c>
      <c r="BO698" s="468">
        <f t="shared" si="483"/>
        <v>5</v>
      </c>
      <c r="BP698" s="467">
        <f t="shared" ca="1" si="471"/>
        <v>63860</v>
      </c>
      <c r="BQ698" s="475">
        <f t="shared" ca="1" si="485"/>
        <v>90</v>
      </c>
      <c r="BR698" s="475" t="str">
        <f t="shared" si="484"/>
        <v/>
      </c>
      <c r="BS698" s="471" t="str">
        <f t="shared" si="472"/>
        <v/>
      </c>
      <c r="BT698" s="472" t="str">
        <f t="shared" si="487"/>
        <v/>
      </c>
      <c r="BU698" s="472">
        <f t="shared" ca="1" si="473"/>
        <v>0</v>
      </c>
      <c r="BV698" s="472">
        <f t="shared" ca="1" si="473"/>
        <v>0</v>
      </c>
      <c r="BW698" s="472"/>
      <c r="BX698" s="473">
        <f t="shared" ca="1" si="474"/>
        <v>1219095.1355834701</v>
      </c>
      <c r="BY698" s="473">
        <f t="shared" si="475"/>
        <v>0</v>
      </c>
      <c r="BZ698" s="473">
        <f t="shared" ca="1" si="457"/>
        <v>2695.3692399649999</v>
      </c>
      <c r="CA698" s="476">
        <f t="shared" ca="1" si="476"/>
        <v>0</v>
      </c>
      <c r="CB698" s="494">
        <f ca="1">IF(OR($Q697&lt;&gt;1,OP!$D$5+$BN698-1&lt;16,$BN698-1&lt;1),0,ROUND(ROUND(ROUND(((VLOOKUP($BN698-1,MORE_PV,5,0)/10000)*VLOOKUP($BN698,MORE_PV,$CB$5,0)),3)*VLOOKUP($BN698,more1,5,0),0)/$R697,0))</f>
        <v>0</v>
      </c>
      <c r="CC698" s="473">
        <f t="shared" ca="1" si="477"/>
        <v>0</v>
      </c>
      <c r="CD698" s="477"/>
    </row>
    <row r="699" spans="2:82" ht="16.5" hidden="1">
      <c r="B699" s="80"/>
      <c r="C699" s="80"/>
      <c r="D699" s="80"/>
      <c r="E699" s="80"/>
      <c r="F699" s="80"/>
      <c r="G699" s="80"/>
      <c r="H699" s="80"/>
      <c r="I699" s="80"/>
      <c r="J699" s="192">
        <f t="shared" si="458"/>
        <v>58</v>
      </c>
      <c r="K699" s="192">
        <f t="shared" si="459"/>
        <v>7</v>
      </c>
      <c r="L699" s="192" t="str">
        <f t="shared" si="454"/>
        <v/>
      </c>
      <c r="M699" s="216">
        <f t="shared" ca="1" si="460"/>
        <v>0</v>
      </c>
      <c r="N699" s="216"/>
      <c r="O699" s="216"/>
      <c r="P699" s="216"/>
      <c r="Q699" s="456" t="str">
        <f t="shared" ca="1" si="461"/>
        <v/>
      </c>
      <c r="R699" s="450">
        <f t="shared" ca="1" si="462"/>
        <v>1</v>
      </c>
      <c r="S699" s="191">
        <f t="shared" si="463"/>
        <v>58</v>
      </c>
      <c r="T699" s="191">
        <f t="shared" si="464"/>
        <v>7</v>
      </c>
      <c r="U699" s="191">
        <f ca="1">OP!$D$5+$S699-1</f>
        <v>90</v>
      </c>
      <c r="V699" s="191" t="str">
        <f t="shared" si="465"/>
        <v/>
      </c>
      <c r="W699" s="350">
        <f ca="1">IF(Q699&lt;&gt;1,0,VLOOKUP(OP!$C$55,PVFB,$S699+2,0))</f>
        <v>0</v>
      </c>
      <c r="X699" s="473">
        <f t="shared" ca="1" si="478"/>
        <v>0</v>
      </c>
      <c r="Y699" s="348">
        <f t="shared" ca="1" si="479"/>
        <v>0</v>
      </c>
      <c r="Z699" s="348">
        <f t="shared" ca="1" si="480"/>
        <v>8012</v>
      </c>
      <c r="AA699" s="348">
        <f ca="1">IF(Q699&lt;&gt;1,0,VLOOKUP(OP!$C$55,PVFB,$S699+2,0))</f>
        <v>0</v>
      </c>
      <c r="AB699" s="488" t="str">
        <f ca="1">IF(AND(S699&lt;OP!$C$24,$U699&lt;15),0,IF(AND($U699&lt;15,$T699=12),ROUND(VLOOKUP($S699,DOWN16,5,0),3),IF($T699=12,ROUND(($Z699/10000)*$AA699,3)+IF(AND($P$7="購買增額繳清保險",T699=12,U699=110),VLOOKUP(S699,$B$10:$H$121,7,0),0),"")))</f>
        <v/>
      </c>
      <c r="AC699" s="350" t="str">
        <f ca="1">IF(AND(S699&lt;OP!$C$24,$U699&lt;15),0,IF(AND($U699&lt;16,$T699=12),VLOOKUP($S699,DOWN16,4,0),IF($T699=12,ROUND(VLOOKUP(OP!$C$55,_DIE2,$S699+1,0)*(Z699/10000),0)+IF(AND($P$7="購買增額繳清保險",T699=12,U699=110),VLOOKUP(S699,$B$10:$H$121,7,0),0),"")))</f>
        <v/>
      </c>
      <c r="AD699" s="347"/>
      <c r="AE699" s="350" t="str">
        <f t="shared" ca="1" si="455"/>
        <v/>
      </c>
      <c r="AF699" s="351" t="str">
        <f t="shared" ca="1" si="456"/>
        <v/>
      </c>
      <c r="AG699" s="340"/>
      <c r="AH699" s="340"/>
      <c r="AI699" s="340"/>
      <c r="AJ699" s="340"/>
      <c r="AK699" s="340"/>
      <c r="AL699" s="340"/>
      <c r="AM699" s="340"/>
      <c r="AN699" s="340"/>
      <c r="AO699" s="340"/>
      <c r="AP699" s="340"/>
      <c r="AQ699" s="340"/>
      <c r="AR699" s="340"/>
      <c r="AS699" s="340"/>
      <c r="AT699" s="340"/>
      <c r="AU699" s="340"/>
      <c r="AV699" s="340"/>
      <c r="AY699" s="340"/>
      <c r="AZ699" s="465">
        <f t="shared" ca="1" si="466"/>
        <v>7.3698599999999999E-5</v>
      </c>
      <c r="BA699" s="464">
        <f t="shared" ca="1" si="467"/>
        <v>2.2109589000000002E-3</v>
      </c>
      <c r="BB699" s="465">
        <f t="shared" ca="1" si="467"/>
        <v>2.2846575E-3</v>
      </c>
      <c r="BC699" s="466">
        <f t="shared" ca="1" si="468"/>
        <v>63889</v>
      </c>
      <c r="BD699" s="467">
        <f t="shared" ca="1" si="481"/>
        <v>63890</v>
      </c>
      <c r="BE699" s="467">
        <f t="shared" ca="1" si="469"/>
        <v>63919</v>
      </c>
      <c r="BF699" s="468">
        <f ca="1">IF(計算!$BC699&lt;OP!$C$3,0,BD699-BC699)</f>
        <v>1</v>
      </c>
      <c r="BG699" s="468">
        <f ca="1">IF($BE699&gt;DATE(YEAR($BD$9)+OP!$C$57,MONTH($BD$9),DAY($BD$9)),0,$BE699-$BD699+1)</f>
        <v>30</v>
      </c>
      <c r="BH699" s="469">
        <f t="shared" ca="1" si="470"/>
        <v>31</v>
      </c>
      <c r="BI699" t="str">
        <f t="shared" si="486"/>
        <v/>
      </c>
      <c r="BJ699">
        <v>6</v>
      </c>
      <c r="BN699" s="468">
        <f t="shared" si="482"/>
        <v>58</v>
      </c>
      <c r="BO699" s="468">
        <f t="shared" si="483"/>
        <v>6</v>
      </c>
      <c r="BP699" s="467">
        <f t="shared" ca="1" si="471"/>
        <v>63890</v>
      </c>
      <c r="BQ699" s="475">
        <f t="shared" ca="1" si="485"/>
        <v>90</v>
      </c>
      <c r="BR699" s="475" t="str">
        <f t="shared" si="484"/>
        <v/>
      </c>
      <c r="BS699" s="471" t="str">
        <f t="shared" si="472"/>
        <v/>
      </c>
      <c r="BT699" s="472" t="str">
        <f t="shared" si="487"/>
        <v/>
      </c>
      <c r="BU699" s="472">
        <f t="shared" ca="1" si="473"/>
        <v>0</v>
      </c>
      <c r="BV699" s="472">
        <f t="shared" ca="1" si="473"/>
        <v>0</v>
      </c>
      <c r="BW699" s="472"/>
      <c r="BX699" s="473">
        <f t="shared" ca="1" si="474"/>
        <v>1221790.50482344</v>
      </c>
      <c r="BY699" s="473">
        <f t="shared" si="475"/>
        <v>0</v>
      </c>
      <c r="BZ699" s="473">
        <f t="shared" ca="1" si="457"/>
        <v>2791.3728402739998</v>
      </c>
      <c r="CA699" s="476">
        <f t="shared" ca="1" si="476"/>
        <v>0</v>
      </c>
      <c r="CB699" s="494">
        <f ca="1">IF(OR($Q698&lt;&gt;1,OP!$D$5+$BN699-1&lt;16,$BN699-1&lt;1),0,ROUND(ROUND(ROUND(((VLOOKUP($BN699-1,MORE_PV,5,0)/10000)*VLOOKUP($BN699,MORE_PV,$CB$5,0)),3)*VLOOKUP($BN699,more1,5,0),0)/$R698,0))</f>
        <v>0</v>
      </c>
      <c r="CC699" s="473">
        <f t="shared" ca="1" si="477"/>
        <v>0</v>
      </c>
      <c r="CD699" s="477"/>
    </row>
    <row r="700" spans="2:82" ht="16.5" hidden="1">
      <c r="B700" s="80"/>
      <c r="C700" s="80"/>
      <c r="D700" s="80"/>
      <c r="E700" s="80"/>
      <c r="F700" s="80"/>
      <c r="G700" s="80"/>
      <c r="H700" s="80"/>
      <c r="I700" s="80"/>
      <c r="J700" s="192">
        <f t="shared" si="458"/>
        <v>58</v>
      </c>
      <c r="K700" s="192">
        <f t="shared" si="459"/>
        <v>8</v>
      </c>
      <c r="L700" s="192" t="str">
        <f t="shared" si="454"/>
        <v/>
      </c>
      <c r="M700" s="216">
        <f t="shared" ca="1" si="460"/>
        <v>0</v>
      </c>
      <c r="N700" s="216"/>
      <c r="O700" s="216"/>
      <c r="P700" s="216"/>
      <c r="Q700" s="456" t="str">
        <f t="shared" ca="1" si="461"/>
        <v/>
      </c>
      <c r="R700" s="450">
        <f t="shared" ca="1" si="462"/>
        <v>1</v>
      </c>
      <c r="S700" s="191">
        <f t="shared" si="463"/>
        <v>58</v>
      </c>
      <c r="T700" s="191">
        <f t="shared" si="464"/>
        <v>8</v>
      </c>
      <c r="U700" s="191">
        <f ca="1">OP!$D$5+$S700-1</f>
        <v>90</v>
      </c>
      <c r="V700" s="191" t="str">
        <f t="shared" si="465"/>
        <v/>
      </c>
      <c r="W700" s="350">
        <f ca="1">IF(Q700&lt;&gt;1,0,VLOOKUP(OP!$C$55,PVFB,$S700+2,0))</f>
        <v>0</v>
      </c>
      <c r="X700" s="473">
        <f t="shared" ca="1" si="478"/>
        <v>0</v>
      </c>
      <c r="Y700" s="348">
        <f t="shared" ca="1" si="479"/>
        <v>0</v>
      </c>
      <c r="Z700" s="348">
        <f t="shared" ca="1" si="480"/>
        <v>8012</v>
      </c>
      <c r="AA700" s="348">
        <f ca="1">IF(Q700&lt;&gt;1,0,VLOOKUP(OP!$C$55,PVFB,$S700+2,0))</f>
        <v>0</v>
      </c>
      <c r="AB700" s="488" t="str">
        <f ca="1">IF(AND(S700&lt;OP!$C$24,$U700&lt;15),0,IF(AND($U700&lt;15,$T700=12),ROUND(VLOOKUP($S700,DOWN16,5,0),3),IF($T700=12,ROUND(($Z700/10000)*$AA700,3)+IF(AND($P$7="購買增額繳清保險",T700=12,U700=110),VLOOKUP(S700,$B$10:$H$121,7,0),0),"")))</f>
        <v/>
      </c>
      <c r="AC700" s="350" t="str">
        <f ca="1">IF(AND(S700&lt;OP!$C$24,$U700&lt;15),0,IF(AND($U700&lt;16,$T700=12),VLOOKUP($S700,DOWN16,4,0),IF($T700=12,ROUND(VLOOKUP(OP!$C$55,_DIE2,$S700+1,0)*(Z700/10000),0)+IF(AND($P$7="購買增額繳清保險",T700=12,U700=110),VLOOKUP(S700,$B$10:$H$121,7,0),0),"")))</f>
        <v/>
      </c>
      <c r="AD700" s="347"/>
      <c r="AE700" s="350" t="str">
        <f t="shared" ca="1" si="455"/>
        <v/>
      </c>
      <c r="AF700" s="351" t="str">
        <f t="shared" ca="1" si="456"/>
        <v/>
      </c>
      <c r="AG700" s="340"/>
      <c r="AH700" s="340"/>
      <c r="AI700" s="340"/>
      <c r="AJ700" s="340"/>
      <c r="AK700" s="340"/>
      <c r="AL700" s="340"/>
      <c r="AM700" s="340"/>
      <c r="AN700" s="340"/>
      <c r="AO700" s="340"/>
      <c r="AP700" s="340"/>
      <c r="AQ700" s="340"/>
      <c r="AR700" s="340"/>
      <c r="AS700" s="340"/>
      <c r="AT700" s="340"/>
      <c r="AU700" s="340"/>
      <c r="AV700" s="340"/>
      <c r="AY700" s="340"/>
      <c r="AZ700" s="465">
        <f t="shared" ca="1" si="466"/>
        <v>7.3698599999999999E-5</v>
      </c>
      <c r="BA700" s="464">
        <f t="shared" ca="1" si="467"/>
        <v>2.2109589000000002E-3</v>
      </c>
      <c r="BB700" s="465">
        <f t="shared" ca="1" si="467"/>
        <v>2.2846575E-3</v>
      </c>
      <c r="BC700" s="466">
        <f t="shared" ca="1" si="468"/>
        <v>63920</v>
      </c>
      <c r="BD700" s="467">
        <f t="shared" ca="1" si="481"/>
        <v>63921</v>
      </c>
      <c r="BE700" s="467">
        <f t="shared" ca="1" si="469"/>
        <v>63950</v>
      </c>
      <c r="BF700" s="468">
        <f ca="1">IF(計算!$BC700&lt;OP!$C$3,0,BD700-BC700)</f>
        <v>1</v>
      </c>
      <c r="BG700" s="468">
        <f ca="1">IF($BE700&gt;DATE(YEAR($BD$9)+OP!$C$57,MONTH($BD$9),DAY($BD$9)),0,$BE700-$BD700+1)</f>
        <v>30</v>
      </c>
      <c r="BH700" s="469">
        <f t="shared" ca="1" si="470"/>
        <v>31</v>
      </c>
      <c r="BI700" t="str">
        <f t="shared" si="486"/>
        <v/>
      </c>
      <c r="BJ700">
        <v>7</v>
      </c>
      <c r="BN700" s="468">
        <f t="shared" si="482"/>
        <v>58</v>
      </c>
      <c r="BO700" s="468">
        <f t="shared" si="483"/>
        <v>7</v>
      </c>
      <c r="BP700" s="467">
        <f t="shared" ca="1" si="471"/>
        <v>63921</v>
      </c>
      <c r="BQ700" s="475">
        <f t="shared" ca="1" si="485"/>
        <v>90</v>
      </c>
      <c r="BR700" s="475" t="str">
        <f t="shared" si="484"/>
        <v/>
      </c>
      <c r="BS700" s="471" t="str">
        <f t="shared" si="472"/>
        <v/>
      </c>
      <c r="BT700" s="472" t="str">
        <f t="shared" si="487"/>
        <v/>
      </c>
      <c r="BU700" s="472">
        <f t="shared" ca="1" si="473"/>
        <v>0</v>
      </c>
      <c r="BV700" s="472">
        <f t="shared" ca="1" si="473"/>
        <v>0</v>
      </c>
      <c r="BW700" s="472"/>
      <c r="BX700" s="473">
        <f t="shared" ca="1" si="474"/>
        <v>1224581.8776637099</v>
      </c>
      <c r="BY700" s="473">
        <f t="shared" si="475"/>
        <v>0</v>
      </c>
      <c r="BZ700" s="473">
        <f t="shared" ca="1" si="457"/>
        <v>2797.7501711680002</v>
      </c>
      <c r="CA700" s="476">
        <f t="shared" ca="1" si="476"/>
        <v>0</v>
      </c>
      <c r="CB700" s="494">
        <f ca="1">IF(OR($Q699&lt;&gt;1,OP!$D$5+$BN700-1&lt;16,$BN700-1&lt;1),0,ROUND(ROUND(ROUND(((VLOOKUP($BN700-1,MORE_PV,5,0)/10000)*VLOOKUP($BN700,MORE_PV,$CB$5,0)),3)*VLOOKUP($BN700,more1,5,0),0)/$R699,0))</f>
        <v>0</v>
      </c>
      <c r="CC700" s="473">
        <f t="shared" ca="1" si="477"/>
        <v>0</v>
      </c>
      <c r="CD700" s="477"/>
    </row>
    <row r="701" spans="2:82" ht="16.5" hidden="1">
      <c r="B701" s="80"/>
      <c r="C701" s="80"/>
      <c r="D701" s="80"/>
      <c r="E701" s="80"/>
      <c r="F701" s="80"/>
      <c r="G701" s="80"/>
      <c r="H701" s="80"/>
      <c r="I701" s="80"/>
      <c r="J701" s="192">
        <f t="shared" si="458"/>
        <v>58</v>
      </c>
      <c r="K701" s="192">
        <f t="shared" si="459"/>
        <v>9</v>
      </c>
      <c r="L701" s="192" t="str">
        <f t="shared" si="454"/>
        <v/>
      </c>
      <c r="M701" s="216">
        <f t="shared" ca="1" si="460"/>
        <v>0</v>
      </c>
      <c r="N701" s="216"/>
      <c r="O701" s="216"/>
      <c r="P701" s="216"/>
      <c r="Q701" s="456" t="str">
        <f t="shared" ca="1" si="461"/>
        <v/>
      </c>
      <c r="R701" s="450">
        <f t="shared" ca="1" si="462"/>
        <v>1</v>
      </c>
      <c r="S701" s="191">
        <f t="shared" si="463"/>
        <v>58</v>
      </c>
      <c r="T701" s="191">
        <f t="shared" si="464"/>
        <v>9</v>
      </c>
      <c r="U701" s="191">
        <f ca="1">OP!$D$5+$S701-1</f>
        <v>90</v>
      </c>
      <c r="V701" s="191" t="str">
        <f t="shared" si="465"/>
        <v/>
      </c>
      <c r="W701" s="350">
        <f ca="1">IF(Q701&lt;&gt;1,0,VLOOKUP(OP!$C$55,PVFB,$S701+2,0))</f>
        <v>0</v>
      </c>
      <c r="X701" s="473">
        <f t="shared" ca="1" si="478"/>
        <v>0</v>
      </c>
      <c r="Y701" s="348">
        <f t="shared" ca="1" si="479"/>
        <v>0</v>
      </c>
      <c r="Z701" s="348">
        <f t="shared" ca="1" si="480"/>
        <v>8012</v>
      </c>
      <c r="AA701" s="348">
        <f ca="1">IF(Q701&lt;&gt;1,0,VLOOKUP(OP!$C$55,PVFB,$S701+2,0))</f>
        <v>0</v>
      </c>
      <c r="AB701" s="488" t="str">
        <f ca="1">IF(AND(S701&lt;OP!$C$24,$U701&lt;15),0,IF(AND($U701&lt;15,$T701=12),ROUND(VLOOKUP($S701,DOWN16,5,0),3),IF($T701=12,ROUND(($Z701/10000)*$AA701,3)+IF(AND($P$7="購買增額繳清保險",T701=12,U701=110),VLOOKUP(S701,$B$10:$H$121,7,0),0),"")))</f>
        <v/>
      </c>
      <c r="AC701" s="350" t="str">
        <f ca="1">IF(AND(S701&lt;OP!$C$24,$U701&lt;15),0,IF(AND($U701&lt;16,$T701=12),VLOOKUP($S701,DOWN16,4,0),IF($T701=12,ROUND(VLOOKUP(OP!$C$55,_DIE2,$S701+1,0)*(Z701/10000),0)+IF(AND($P$7="購買增額繳清保險",T701=12,U701=110),VLOOKUP(S701,$B$10:$H$121,7,0),0),"")))</f>
        <v/>
      </c>
      <c r="AD701" s="347"/>
      <c r="AE701" s="350" t="str">
        <f t="shared" ca="1" si="455"/>
        <v/>
      </c>
      <c r="AF701" s="351" t="str">
        <f t="shared" ca="1" si="456"/>
        <v/>
      </c>
      <c r="AG701" s="340"/>
      <c r="AH701" s="340"/>
      <c r="AI701" s="340"/>
      <c r="AJ701" s="340"/>
      <c r="AK701" s="340"/>
      <c r="AL701" s="340"/>
      <c r="AM701" s="340"/>
      <c r="AN701" s="340"/>
      <c r="AO701" s="340"/>
      <c r="AP701" s="340"/>
      <c r="AQ701" s="340"/>
      <c r="AR701" s="340"/>
      <c r="AS701" s="340"/>
      <c r="AT701" s="340"/>
      <c r="AU701" s="340"/>
      <c r="AV701" s="340"/>
      <c r="AY701" s="340"/>
      <c r="AZ701" s="465">
        <f t="shared" ca="1" si="466"/>
        <v>7.3698599999999999E-5</v>
      </c>
      <c r="BA701" s="464">
        <f t="shared" ca="1" si="467"/>
        <v>1.9898630000000001E-3</v>
      </c>
      <c r="BB701" s="465">
        <f t="shared" ca="1" si="467"/>
        <v>2.0635616E-3</v>
      </c>
      <c r="BC701" s="466">
        <f t="shared" ca="1" si="468"/>
        <v>63951</v>
      </c>
      <c r="BD701" s="467">
        <f t="shared" ca="1" si="481"/>
        <v>63952</v>
      </c>
      <c r="BE701" s="467">
        <f t="shared" ca="1" si="469"/>
        <v>63978</v>
      </c>
      <c r="BF701" s="468">
        <f ca="1">IF(計算!$BC701&lt;OP!$C$3,0,BD701-BC701)</f>
        <v>1</v>
      </c>
      <c r="BG701" s="468">
        <f ca="1">IF($BE701&gt;DATE(YEAR($BD$9)+OP!$C$57,MONTH($BD$9),DAY($BD$9)),0,$BE701-$BD701+1)</f>
        <v>27</v>
      </c>
      <c r="BH701" s="469">
        <f t="shared" ca="1" si="470"/>
        <v>28</v>
      </c>
      <c r="BI701" t="str">
        <f t="shared" si="486"/>
        <v/>
      </c>
      <c r="BJ701">
        <v>8</v>
      </c>
      <c r="BN701" s="468">
        <f t="shared" si="482"/>
        <v>58</v>
      </c>
      <c r="BO701" s="468">
        <f t="shared" si="483"/>
        <v>8</v>
      </c>
      <c r="BP701" s="467">
        <f t="shared" ca="1" si="471"/>
        <v>63952</v>
      </c>
      <c r="BQ701" s="475">
        <f t="shared" ca="1" si="485"/>
        <v>90</v>
      </c>
      <c r="BR701" s="475" t="str">
        <f t="shared" si="484"/>
        <v/>
      </c>
      <c r="BS701" s="471" t="str">
        <f t="shared" si="472"/>
        <v/>
      </c>
      <c r="BT701" s="472" t="str">
        <f t="shared" si="487"/>
        <v/>
      </c>
      <c r="BU701" s="472">
        <f t="shared" ca="1" si="473"/>
        <v>0</v>
      </c>
      <c r="BV701" s="472">
        <f t="shared" ca="1" si="473"/>
        <v>0</v>
      </c>
      <c r="BW701" s="472"/>
      <c r="BX701" s="473">
        <f t="shared" ca="1" si="474"/>
        <v>1227379.62783488</v>
      </c>
      <c r="BY701" s="473">
        <f t="shared" si="475"/>
        <v>0</v>
      </c>
      <c r="BZ701" s="473">
        <f t="shared" ca="1" si="457"/>
        <v>2532.7734686220001</v>
      </c>
      <c r="CA701" s="476">
        <f t="shared" ca="1" si="476"/>
        <v>0</v>
      </c>
      <c r="CB701" s="494">
        <f ca="1">IF(OR($Q700&lt;&gt;1,OP!$D$5+$BN701-1&lt;16,$BN701-1&lt;1),0,ROUND(ROUND(ROUND(((VLOOKUP($BN701-1,MORE_PV,5,0)/10000)*VLOOKUP($BN701,MORE_PV,$CB$5,0)),3)*VLOOKUP($BN701,more1,5,0),0)/$R700,0))</f>
        <v>0</v>
      </c>
      <c r="CC701" s="473">
        <f t="shared" ca="1" si="477"/>
        <v>0</v>
      </c>
      <c r="CD701" s="477"/>
    </row>
    <row r="702" spans="2:82" ht="16.5" hidden="1">
      <c r="B702" s="80"/>
      <c r="C702" s="80"/>
      <c r="D702" s="80"/>
      <c r="E702" s="80"/>
      <c r="F702" s="80"/>
      <c r="G702" s="80"/>
      <c r="H702" s="80"/>
      <c r="I702" s="80"/>
      <c r="J702" s="192">
        <f t="shared" si="458"/>
        <v>58</v>
      </c>
      <c r="K702" s="192">
        <f t="shared" si="459"/>
        <v>10</v>
      </c>
      <c r="L702" s="192" t="str">
        <f t="shared" si="454"/>
        <v/>
      </c>
      <c r="M702" s="216">
        <f t="shared" ca="1" si="460"/>
        <v>0</v>
      </c>
      <c r="N702" s="216"/>
      <c r="O702" s="216"/>
      <c r="P702" s="216"/>
      <c r="Q702" s="456" t="str">
        <f t="shared" ca="1" si="461"/>
        <v/>
      </c>
      <c r="R702" s="450">
        <f t="shared" ca="1" si="462"/>
        <v>1</v>
      </c>
      <c r="S702" s="191">
        <f t="shared" si="463"/>
        <v>58</v>
      </c>
      <c r="T702" s="191">
        <f t="shared" si="464"/>
        <v>10</v>
      </c>
      <c r="U702" s="191">
        <f ca="1">OP!$D$5+$S702-1</f>
        <v>90</v>
      </c>
      <c r="V702" s="191" t="str">
        <f t="shared" si="465"/>
        <v/>
      </c>
      <c r="W702" s="350">
        <f ca="1">IF(Q702&lt;&gt;1,0,VLOOKUP(OP!$C$55,PVFB,$S702+2,0))</f>
        <v>0</v>
      </c>
      <c r="X702" s="473">
        <f t="shared" ca="1" si="478"/>
        <v>0</v>
      </c>
      <c r="Y702" s="348">
        <f t="shared" ca="1" si="479"/>
        <v>0</v>
      </c>
      <c r="Z702" s="348">
        <f t="shared" ca="1" si="480"/>
        <v>8012</v>
      </c>
      <c r="AA702" s="348">
        <f ca="1">IF(Q702&lt;&gt;1,0,VLOOKUP(OP!$C$55,PVFB,$S702+2,0))</f>
        <v>0</v>
      </c>
      <c r="AB702" s="488" t="str">
        <f ca="1">IF(AND(S702&lt;OP!$C$24,$U702&lt;15),0,IF(AND($U702&lt;15,$T702=12),ROUND(VLOOKUP($S702,DOWN16,5,0),3),IF($T702=12,ROUND(($Z702/10000)*$AA702,3)+IF(AND($P$7="購買增額繳清保險",T702=12,U702=110),VLOOKUP(S702,$B$10:$H$121,7,0),0),"")))</f>
        <v/>
      </c>
      <c r="AC702" s="350" t="str">
        <f ca="1">IF(AND(S702&lt;OP!$C$24,$U702&lt;15),0,IF(AND($U702&lt;16,$T702=12),VLOOKUP($S702,DOWN16,4,0),IF($T702=12,ROUND(VLOOKUP(OP!$C$55,_DIE2,$S702+1,0)*(Z702/10000),0)+IF(AND($P$7="購買增額繳清保險",T702=12,U702=110),VLOOKUP(S702,$B$10:$H$121,7,0),0),"")))</f>
        <v/>
      </c>
      <c r="AD702" s="347"/>
      <c r="AE702" s="350" t="str">
        <f t="shared" ca="1" si="455"/>
        <v/>
      </c>
      <c r="AF702" s="351" t="str">
        <f t="shared" ca="1" si="456"/>
        <v/>
      </c>
      <c r="AG702" s="340"/>
      <c r="AH702" s="340"/>
      <c r="AI702" s="340"/>
      <c r="AJ702" s="340"/>
      <c r="AK702" s="340"/>
      <c r="AL702" s="340"/>
      <c r="AM702" s="340"/>
      <c r="AN702" s="340"/>
      <c r="AO702" s="340"/>
      <c r="AP702" s="340"/>
      <c r="AQ702" s="340"/>
      <c r="AR702" s="340"/>
      <c r="AS702" s="340"/>
      <c r="AT702" s="340"/>
      <c r="AU702" s="340"/>
      <c r="AV702" s="340"/>
      <c r="AY702" s="340"/>
      <c r="AZ702" s="465">
        <f t="shared" ca="1" si="466"/>
        <v>7.3698599999999999E-5</v>
      </c>
      <c r="BA702" s="464">
        <f t="shared" ca="1" si="467"/>
        <v>2.2109589000000002E-3</v>
      </c>
      <c r="BB702" s="465">
        <f t="shared" ca="1" si="467"/>
        <v>2.2846575E-3</v>
      </c>
      <c r="BC702" s="466">
        <f t="shared" ca="1" si="468"/>
        <v>63979</v>
      </c>
      <c r="BD702" s="467">
        <f t="shared" ca="1" si="481"/>
        <v>63980</v>
      </c>
      <c r="BE702" s="467">
        <f t="shared" ca="1" si="469"/>
        <v>64009</v>
      </c>
      <c r="BF702" s="468">
        <f ca="1">IF(計算!$BC702&lt;OP!$C$3,0,BD702-BC702)</f>
        <v>1</v>
      </c>
      <c r="BG702" s="468">
        <f ca="1">IF($BE702&gt;DATE(YEAR($BD$9)+OP!$C$57,MONTH($BD$9),DAY($BD$9)),0,$BE702-$BD702+1)</f>
        <v>30</v>
      </c>
      <c r="BH702" s="469">
        <f t="shared" ca="1" si="470"/>
        <v>31</v>
      </c>
      <c r="BI702" t="str">
        <f t="shared" si="486"/>
        <v/>
      </c>
      <c r="BJ702">
        <v>9</v>
      </c>
      <c r="BN702" s="468">
        <f t="shared" si="482"/>
        <v>58</v>
      </c>
      <c r="BO702" s="468">
        <f t="shared" si="483"/>
        <v>9</v>
      </c>
      <c r="BP702" s="467">
        <f t="shared" ca="1" si="471"/>
        <v>63980</v>
      </c>
      <c r="BQ702" s="475">
        <f t="shared" ca="1" si="485"/>
        <v>90</v>
      </c>
      <c r="BR702" s="475" t="str">
        <f t="shared" si="484"/>
        <v/>
      </c>
      <c r="BS702" s="471" t="str">
        <f t="shared" si="472"/>
        <v/>
      </c>
      <c r="BT702" s="472" t="str">
        <f t="shared" si="487"/>
        <v/>
      </c>
      <c r="BU702" s="472">
        <f t="shared" ca="1" si="473"/>
        <v>0</v>
      </c>
      <c r="BV702" s="472">
        <f t="shared" ca="1" si="473"/>
        <v>0</v>
      </c>
      <c r="BW702" s="472"/>
      <c r="BX702" s="473">
        <f t="shared" ca="1" si="474"/>
        <v>1229912.4013034999</v>
      </c>
      <c r="BY702" s="473">
        <f t="shared" si="475"/>
        <v>0</v>
      </c>
      <c r="BZ702" s="473">
        <f t="shared" ca="1" si="457"/>
        <v>2809.928591981</v>
      </c>
      <c r="CA702" s="476">
        <f t="shared" ca="1" si="476"/>
        <v>0</v>
      </c>
      <c r="CB702" s="494">
        <f ca="1">IF(OR($Q701&lt;&gt;1,OP!$D$5+$BN702-1&lt;16,$BN702-1&lt;1),0,ROUND(ROUND(ROUND(((VLOOKUP($BN702-1,MORE_PV,5,0)/10000)*VLOOKUP($BN702,MORE_PV,$CB$5,0)),3)*VLOOKUP($BN702,more1,5,0),0)/$R701,0))</f>
        <v>0</v>
      </c>
      <c r="CC702" s="473">
        <f t="shared" ca="1" si="477"/>
        <v>0</v>
      </c>
      <c r="CD702" s="477"/>
    </row>
    <row r="703" spans="2:82" ht="16.5" hidden="1">
      <c r="B703" s="80"/>
      <c r="C703" s="80"/>
      <c r="D703" s="80"/>
      <c r="E703" s="80"/>
      <c r="F703" s="80"/>
      <c r="G703" s="80"/>
      <c r="H703" s="80"/>
      <c r="I703" s="80"/>
      <c r="J703" s="192">
        <f t="shared" si="458"/>
        <v>58</v>
      </c>
      <c r="K703" s="192">
        <f t="shared" si="459"/>
        <v>11</v>
      </c>
      <c r="L703" s="192" t="str">
        <f t="shared" si="454"/>
        <v/>
      </c>
      <c r="M703" s="216">
        <f t="shared" ca="1" si="460"/>
        <v>0</v>
      </c>
      <c r="N703" s="216"/>
      <c r="O703" s="216"/>
      <c r="P703" s="216"/>
      <c r="Q703" s="456" t="str">
        <f t="shared" ca="1" si="461"/>
        <v/>
      </c>
      <c r="R703" s="450">
        <f t="shared" ca="1" si="462"/>
        <v>1</v>
      </c>
      <c r="S703" s="191">
        <f t="shared" si="463"/>
        <v>58</v>
      </c>
      <c r="T703" s="191">
        <f t="shared" si="464"/>
        <v>11</v>
      </c>
      <c r="U703" s="191">
        <f ca="1">OP!$D$5+$S703-1</f>
        <v>90</v>
      </c>
      <c r="V703" s="191" t="str">
        <f t="shared" si="465"/>
        <v/>
      </c>
      <c r="W703" s="350">
        <f ca="1">IF(Q703&lt;&gt;1,0,VLOOKUP(OP!$C$55,PVFB,$S703+2,0))</f>
        <v>0</v>
      </c>
      <c r="X703" s="473">
        <f t="shared" ca="1" si="478"/>
        <v>0</v>
      </c>
      <c r="Y703" s="348">
        <f t="shared" ca="1" si="479"/>
        <v>0</v>
      </c>
      <c r="Z703" s="348">
        <f t="shared" ca="1" si="480"/>
        <v>8012</v>
      </c>
      <c r="AA703" s="348">
        <f ca="1">IF(Q703&lt;&gt;1,0,VLOOKUP(OP!$C$55,PVFB,$S703+2,0))</f>
        <v>0</v>
      </c>
      <c r="AB703" s="488" t="str">
        <f ca="1">IF(AND(S703&lt;OP!$C$24,$U703&lt;15),0,IF(AND($U703&lt;15,$T703=12),ROUND(VLOOKUP($S703,DOWN16,5,0),3),IF($T703=12,ROUND(($Z703/10000)*$AA703,3)+IF(AND($P$7="購買增額繳清保險",T703=12,U703=110),VLOOKUP(S703,$B$10:$H$121,7,0),0),"")))</f>
        <v/>
      </c>
      <c r="AC703" s="350" t="str">
        <f ca="1">IF(AND(S703&lt;OP!$C$24,$U703&lt;15),0,IF(AND($U703&lt;16,$T703=12),VLOOKUP($S703,DOWN16,4,0),IF($T703=12,ROUND(VLOOKUP(OP!$C$55,_DIE2,$S703+1,0)*(Z703/10000),0)+IF(AND($P$7="購買增額繳清保險",T703=12,U703=110),VLOOKUP(S703,$B$10:$H$121,7,0),0),"")))</f>
        <v/>
      </c>
      <c r="AD703" s="347"/>
      <c r="AE703" s="350" t="str">
        <f t="shared" ca="1" si="455"/>
        <v/>
      </c>
      <c r="AF703" s="351" t="str">
        <f t="shared" ca="1" si="456"/>
        <v/>
      </c>
      <c r="AG703" s="340"/>
      <c r="AH703" s="340"/>
      <c r="AI703" s="340"/>
      <c r="AJ703" s="340"/>
      <c r="AK703" s="340"/>
      <c r="AL703" s="340"/>
      <c r="AM703" s="340"/>
      <c r="AN703" s="340"/>
      <c r="AO703" s="340"/>
      <c r="AP703" s="340"/>
      <c r="AQ703" s="340"/>
      <c r="AR703" s="340"/>
      <c r="AS703" s="340"/>
      <c r="AT703" s="340"/>
      <c r="AU703" s="340"/>
      <c r="AV703" s="340"/>
      <c r="AY703" s="340"/>
      <c r="AZ703" s="465">
        <f t="shared" ca="1" si="466"/>
        <v>7.3698599999999999E-5</v>
      </c>
      <c r="BA703" s="464">
        <f t="shared" ca="1" si="467"/>
        <v>2.1372602999999999E-3</v>
      </c>
      <c r="BB703" s="465">
        <f t="shared" ca="1" si="467"/>
        <v>2.2109589000000002E-3</v>
      </c>
      <c r="BC703" s="466">
        <f t="shared" ca="1" si="468"/>
        <v>64010</v>
      </c>
      <c r="BD703" s="467">
        <f t="shared" ca="1" si="481"/>
        <v>64011</v>
      </c>
      <c r="BE703" s="467">
        <f t="shared" ca="1" si="469"/>
        <v>64039</v>
      </c>
      <c r="BF703" s="468">
        <f ca="1">IF(計算!$BC703&lt;OP!$C$3,0,BD703-BC703)</f>
        <v>1</v>
      </c>
      <c r="BG703" s="468">
        <f ca="1">IF($BE703&gt;DATE(YEAR($BD$9)+OP!$C$57,MONTH($BD$9),DAY($BD$9)),0,$BE703-$BD703+1)</f>
        <v>29</v>
      </c>
      <c r="BH703" s="469">
        <f t="shared" ca="1" si="470"/>
        <v>30</v>
      </c>
      <c r="BI703" t="str">
        <f t="shared" si="486"/>
        <v/>
      </c>
      <c r="BJ703">
        <v>10</v>
      </c>
      <c r="BN703" s="468">
        <f t="shared" si="482"/>
        <v>58</v>
      </c>
      <c r="BO703" s="468">
        <f t="shared" si="483"/>
        <v>10</v>
      </c>
      <c r="BP703" s="467">
        <f t="shared" ca="1" si="471"/>
        <v>64011</v>
      </c>
      <c r="BQ703" s="475">
        <f t="shared" ca="1" si="485"/>
        <v>90</v>
      </c>
      <c r="BR703" s="475" t="str">
        <f t="shared" si="484"/>
        <v/>
      </c>
      <c r="BS703" s="471" t="str">
        <f t="shared" si="472"/>
        <v/>
      </c>
      <c r="BT703" s="472" t="str">
        <f t="shared" si="487"/>
        <v/>
      </c>
      <c r="BU703" s="472">
        <f t="shared" ca="1" si="473"/>
        <v>0</v>
      </c>
      <c r="BV703" s="472">
        <f t="shared" ca="1" si="473"/>
        <v>0</v>
      </c>
      <c r="BW703" s="472"/>
      <c r="BX703" s="473">
        <f t="shared" ca="1" si="474"/>
        <v>1232722.3298954801</v>
      </c>
      <c r="BY703" s="473">
        <f t="shared" si="475"/>
        <v>0</v>
      </c>
      <c r="BZ703" s="473">
        <f t="shared" ca="1" si="457"/>
        <v>2725.4984065110002</v>
      </c>
      <c r="CA703" s="476">
        <f t="shared" ca="1" si="476"/>
        <v>0</v>
      </c>
      <c r="CB703" s="494">
        <f ca="1">IF(OR($Q702&lt;&gt;1,OP!$D$5+$BN703-1&lt;16,$BN703-1&lt;1),0,ROUND(ROUND(ROUND(((VLOOKUP($BN703-1,MORE_PV,5,0)/10000)*VLOOKUP($BN703,MORE_PV,$CB$5,0)),3)*VLOOKUP($BN703,more1,5,0),0)/$R702,0))</f>
        <v>0</v>
      </c>
      <c r="CC703" s="473">
        <f t="shared" ca="1" si="477"/>
        <v>0</v>
      </c>
      <c r="CD703" s="477"/>
    </row>
    <row r="704" spans="2:82" ht="16.5" hidden="1">
      <c r="B704" s="80"/>
      <c r="C704" s="80"/>
      <c r="D704" s="80"/>
      <c r="E704" s="80"/>
      <c r="F704" s="80"/>
      <c r="G704" s="80"/>
      <c r="H704" s="80"/>
      <c r="I704" s="80"/>
      <c r="J704" s="192">
        <f t="shared" si="458"/>
        <v>58</v>
      </c>
      <c r="K704" s="192">
        <f t="shared" si="459"/>
        <v>12</v>
      </c>
      <c r="L704" s="192">
        <f t="shared" si="454"/>
        <v>58</v>
      </c>
      <c r="M704" s="216">
        <f t="shared" ca="1" si="460"/>
        <v>1258075</v>
      </c>
      <c r="N704" s="216"/>
      <c r="O704" s="216"/>
      <c r="P704" s="216"/>
      <c r="Q704" s="456">
        <f t="shared" ca="1" si="461"/>
        <v>1</v>
      </c>
      <c r="R704" s="450">
        <f t="shared" ca="1" si="462"/>
        <v>1</v>
      </c>
      <c r="S704" s="191">
        <f t="shared" si="463"/>
        <v>58</v>
      </c>
      <c r="T704" s="191">
        <f t="shared" si="464"/>
        <v>12</v>
      </c>
      <c r="U704" s="191">
        <f ca="1">OP!$D$5+$S704-1</f>
        <v>90</v>
      </c>
      <c r="V704" s="191">
        <f t="shared" si="465"/>
        <v>58</v>
      </c>
      <c r="W704" s="350">
        <f ca="1">IF(Q704&lt;&gt;1,0,VLOOKUP(OP!$C$55,PVFB,$S704+2,0))</f>
        <v>82097</v>
      </c>
      <c r="X704" s="473">
        <f t="shared" ca="1" si="478"/>
        <v>19714</v>
      </c>
      <c r="Y704" s="348">
        <f t="shared" ca="1" si="479"/>
        <v>0</v>
      </c>
      <c r="Z704" s="348">
        <f t="shared" ca="1" si="480"/>
        <v>8012</v>
      </c>
      <c r="AA704" s="348">
        <f ca="1">IF(Q704&lt;&gt;1,0,VLOOKUP(OP!$C$55,PVFB,$S704+2,0))</f>
        <v>82097</v>
      </c>
      <c r="AB704" s="488">
        <f ca="1">IF(AND(S704&lt;OP!$C$24,$U704&lt;15),0,IF(AND($U704&lt;15,$T704=12),ROUND(VLOOKUP($S704,DOWN16,5,0),3),IF($T704=12,ROUND(($Z704/10000)*$AA704,3)+IF(AND($P$7="購買增額繳清保險",T704=12,U704=110),VLOOKUP(S704,$B$10:$H$121,7,0),0),"")))</f>
        <v>65776.115999999995</v>
      </c>
      <c r="AC704" s="350">
        <f ca="1">IF(AND(S704&lt;OP!$C$24,$U704&lt;15),0,IF(AND($U704&lt;16,$T704=12),VLOOKUP($S704,DOWN16,4,0),IF($T704=12,ROUND(VLOOKUP(OP!$C$55,_DIE2,$S704+1,0)*(Z704/10000),0)+IF(AND($P$7="購買增額繳清保險",T704=12,U704=110),VLOOKUP(S704,$B$10:$H$121,7,0),0),"")))</f>
        <v>66339</v>
      </c>
      <c r="AD704" s="347"/>
      <c r="AE704" s="350" t="str">
        <f t="shared" ca="1" si="455"/>
        <v/>
      </c>
      <c r="AF704" s="351" t="str">
        <f t="shared" ca="1" si="456"/>
        <v/>
      </c>
      <c r="AG704" s="340"/>
      <c r="AH704" s="340"/>
      <c r="AI704" s="340"/>
      <c r="AJ704" s="340"/>
      <c r="AK704" s="340"/>
      <c r="AL704" s="340"/>
      <c r="AM704" s="340"/>
      <c r="AN704" s="340"/>
      <c r="AO704" s="340"/>
      <c r="AP704" s="340"/>
      <c r="AQ704" s="340"/>
      <c r="AR704" s="340"/>
      <c r="AS704" s="340"/>
      <c r="AT704" s="340"/>
      <c r="AU704" s="340"/>
      <c r="AV704" s="340"/>
      <c r="AY704" s="340"/>
      <c r="AZ704" s="465">
        <f t="shared" ca="1" si="466"/>
        <v>7.3698599999999999E-5</v>
      </c>
      <c r="BA704" s="464">
        <f t="shared" ca="1" si="467"/>
        <v>2.2109589000000002E-3</v>
      </c>
      <c r="BB704" s="465">
        <f t="shared" ca="1" si="467"/>
        <v>2.2846575E-3</v>
      </c>
      <c r="BC704" s="466">
        <f t="shared" ca="1" si="468"/>
        <v>64040</v>
      </c>
      <c r="BD704" s="467">
        <f t="shared" ca="1" si="481"/>
        <v>64041</v>
      </c>
      <c r="BE704" s="467">
        <f t="shared" ca="1" si="469"/>
        <v>64070</v>
      </c>
      <c r="BF704" s="468">
        <f ca="1">IF(計算!$BC704&lt;OP!$C$3,0,BD704-BC704)</f>
        <v>1</v>
      </c>
      <c r="BG704" s="468">
        <f ca="1">IF($BE704&gt;DATE(YEAR($BD$9)+OP!$C$57,MONTH($BD$9),DAY($BD$9)),0,$BE704-$BD704+1)</f>
        <v>30</v>
      </c>
      <c r="BH704" s="469">
        <f t="shared" ca="1" si="470"/>
        <v>31</v>
      </c>
      <c r="BI704" t="str">
        <f t="shared" si="486"/>
        <v/>
      </c>
      <c r="BJ704">
        <v>11</v>
      </c>
      <c r="BN704" s="468">
        <f t="shared" si="482"/>
        <v>58</v>
      </c>
      <c r="BO704" s="468">
        <f t="shared" si="483"/>
        <v>11</v>
      </c>
      <c r="BP704" s="467">
        <f t="shared" ca="1" si="471"/>
        <v>64041</v>
      </c>
      <c r="BQ704" s="475">
        <f t="shared" ca="1" si="485"/>
        <v>90</v>
      </c>
      <c r="BR704" s="475" t="str">
        <f t="shared" si="484"/>
        <v/>
      </c>
      <c r="BS704" s="471" t="str">
        <f t="shared" si="472"/>
        <v/>
      </c>
      <c r="BT704" s="472" t="str">
        <f t="shared" si="487"/>
        <v/>
      </c>
      <c r="BU704" s="472">
        <f t="shared" ca="1" si="473"/>
        <v>0</v>
      </c>
      <c r="BV704" s="472">
        <f t="shared" ca="1" si="473"/>
        <v>0</v>
      </c>
      <c r="BW704" s="472"/>
      <c r="BX704" s="473">
        <f t="shared" ca="1" si="474"/>
        <v>1235447.8283019899</v>
      </c>
      <c r="BY704" s="473">
        <f t="shared" si="475"/>
        <v>0</v>
      </c>
      <c r="BZ704" s="473">
        <f t="shared" ca="1" si="457"/>
        <v>2822.575146789</v>
      </c>
      <c r="CA704" s="476">
        <f t="shared" ca="1" si="476"/>
        <v>0</v>
      </c>
      <c r="CB704" s="494">
        <f ca="1">IF(OR($Q703&lt;&gt;1,OP!$D$5+$BN704-1&lt;16,$BN704-1&lt;1),0,ROUND(ROUND(ROUND(((VLOOKUP($BN704-1,MORE_PV,5,0)/10000)*VLOOKUP($BN704,MORE_PV,$CB$5,0)),3)*VLOOKUP($BN704,more1,5,0),0)/$R703,0))</f>
        <v>0</v>
      </c>
      <c r="CC704" s="473">
        <f t="shared" ca="1" si="477"/>
        <v>0</v>
      </c>
      <c r="CD704" s="477"/>
    </row>
    <row r="705" spans="2:82" ht="16.5" hidden="1">
      <c r="B705" s="80"/>
      <c r="C705" s="80"/>
      <c r="D705" s="80"/>
      <c r="E705" s="80"/>
      <c r="F705" s="80"/>
      <c r="G705" s="80"/>
      <c r="H705" s="80"/>
      <c r="I705" s="80"/>
      <c r="J705" s="192">
        <f t="shared" si="458"/>
        <v>59</v>
      </c>
      <c r="K705" s="192">
        <f t="shared" si="459"/>
        <v>1</v>
      </c>
      <c r="L705" s="192" t="str">
        <f t="shared" si="454"/>
        <v/>
      </c>
      <c r="M705" s="216">
        <f t="shared" ca="1" si="460"/>
        <v>0</v>
      </c>
      <c r="N705" s="216"/>
      <c r="O705" s="216"/>
      <c r="P705" s="216"/>
      <c r="Q705" s="456" t="str">
        <f t="shared" ca="1" si="461"/>
        <v/>
      </c>
      <c r="R705" s="450">
        <f t="shared" ca="1" si="462"/>
        <v>1</v>
      </c>
      <c r="S705" s="191">
        <f t="shared" si="463"/>
        <v>59</v>
      </c>
      <c r="T705" s="191">
        <f t="shared" si="464"/>
        <v>1</v>
      </c>
      <c r="U705" s="191">
        <f ca="1">OP!$D$5+$S705-1</f>
        <v>91</v>
      </c>
      <c r="V705" s="191" t="str">
        <f t="shared" si="465"/>
        <v/>
      </c>
      <c r="W705" s="350">
        <f ca="1">IF(Q705&lt;&gt;1,0,VLOOKUP(OP!$C$55,PVFB,$S705+2,0))</f>
        <v>0</v>
      </c>
      <c r="X705" s="473">
        <f t="shared" ca="1" si="478"/>
        <v>0</v>
      </c>
      <c r="Y705" s="348">
        <f t="shared" ca="1" si="479"/>
        <v>0</v>
      </c>
      <c r="Z705" s="348">
        <f t="shared" ca="1" si="480"/>
        <v>8012</v>
      </c>
      <c r="AA705" s="348">
        <f ca="1">IF(Q705&lt;&gt;1,0,VLOOKUP(OP!$C$55,PVFB,$S705+2,0))</f>
        <v>0</v>
      </c>
      <c r="AB705" s="488" t="str">
        <f ca="1">IF(AND(S705&lt;OP!$C$24,$U705&lt;15),0,IF(AND($U705&lt;15,$T705=12),ROUND(VLOOKUP($S705,DOWN16,5,0),3),IF($T705=12,ROUND(($Z705/10000)*$AA705,3)+IF(AND($P$7="購買增額繳清保險",T705=12,U705=110),VLOOKUP(S705,$B$10:$H$121,7,0),0),"")))</f>
        <v/>
      </c>
      <c r="AC705" s="350" t="str">
        <f ca="1">IF(AND(S705&lt;OP!$C$24,$U705&lt;15),0,IF(AND($U705&lt;16,$T705=12),VLOOKUP($S705,DOWN16,4,0),IF($T705=12,ROUND(VLOOKUP(OP!$C$55,_DIE2,$S705+1,0)*(Z705/10000),0)+IF(AND($P$7="購買增額繳清保險",T705=12,U705=110),VLOOKUP(S705,$B$10:$H$121,7,0),0),"")))</f>
        <v/>
      </c>
      <c r="AD705" s="347"/>
      <c r="AE705" s="350" t="str">
        <f t="shared" ca="1" si="455"/>
        <v/>
      </c>
      <c r="AF705" s="351" t="str">
        <f t="shared" ca="1" si="456"/>
        <v/>
      </c>
      <c r="AG705" s="340"/>
      <c r="AH705" s="340"/>
      <c r="AI705" s="340"/>
      <c r="AJ705" s="340"/>
      <c r="AK705" s="340"/>
      <c r="AL705" s="340"/>
      <c r="AM705" s="340"/>
      <c r="AN705" s="340"/>
      <c r="AO705" s="340"/>
      <c r="AP705" s="340"/>
      <c r="AQ705" s="340"/>
      <c r="AR705" s="340"/>
      <c r="AS705" s="340"/>
      <c r="AT705" s="340"/>
      <c r="AU705" s="340"/>
      <c r="AV705" s="340"/>
      <c r="AY705" s="340"/>
      <c r="AZ705" s="465">
        <f t="shared" ca="1" si="466"/>
        <v>7.3698599999999999E-5</v>
      </c>
      <c r="BA705" s="464">
        <f t="shared" ca="1" si="467"/>
        <v>2.1372602999999999E-3</v>
      </c>
      <c r="BB705" s="465">
        <f t="shared" ca="1" si="467"/>
        <v>2.2109589000000002E-3</v>
      </c>
      <c r="BC705" s="466">
        <f t="shared" ca="1" si="468"/>
        <v>64071</v>
      </c>
      <c r="BD705" s="467">
        <f t="shared" ca="1" si="481"/>
        <v>64072</v>
      </c>
      <c r="BE705" s="467">
        <f t="shared" ca="1" si="469"/>
        <v>64100</v>
      </c>
      <c r="BF705" s="468">
        <f ca="1">IF(計算!$BC705&lt;OP!$C$3,0,BD705-BC705)</f>
        <v>1</v>
      </c>
      <c r="BG705" s="468">
        <f ca="1">IF($BE705&gt;DATE(YEAR($BD$9)+OP!$C$57,MONTH($BD$9),DAY($BD$9)),0,$BE705-$BD705+1)</f>
        <v>29</v>
      </c>
      <c r="BH705" s="469">
        <f t="shared" ca="1" si="470"/>
        <v>30</v>
      </c>
      <c r="BI705">
        <f t="shared" ca="1" si="486"/>
        <v>365</v>
      </c>
      <c r="BJ705">
        <v>12</v>
      </c>
      <c r="BN705" s="468">
        <f t="shared" si="482"/>
        <v>58</v>
      </c>
      <c r="BO705" s="468">
        <f t="shared" si="483"/>
        <v>12</v>
      </c>
      <c r="BP705" s="467">
        <f t="shared" ca="1" si="471"/>
        <v>64072</v>
      </c>
      <c r="BQ705" s="475">
        <f t="shared" ca="1" si="485"/>
        <v>90</v>
      </c>
      <c r="BR705" s="475">
        <f t="shared" si="484"/>
        <v>58</v>
      </c>
      <c r="BS705" s="471">
        <f t="shared" ca="1" si="472"/>
        <v>19714</v>
      </c>
      <c r="BT705" s="472">
        <f t="shared" ca="1" si="487"/>
        <v>1258075</v>
      </c>
      <c r="BU705" s="472">
        <f t="shared" ca="1" si="473"/>
        <v>19260</v>
      </c>
      <c r="BV705" s="472">
        <f t="shared" ca="1" si="473"/>
        <v>454</v>
      </c>
      <c r="BW705" s="472">
        <f ca="1">ROUND(SUM(BY705,BZ693:BZ704),0)</f>
        <v>32832</v>
      </c>
      <c r="BX705" s="473">
        <f t="shared" ca="1" si="474"/>
        <v>1258075.6622439299</v>
      </c>
      <c r="BY705" s="473">
        <f t="shared" ca="1" si="475"/>
        <v>91.258795156000005</v>
      </c>
      <c r="BZ705" s="473">
        <f t="shared" ca="1" si="457"/>
        <v>2688.8351673100001</v>
      </c>
      <c r="CA705" s="476">
        <f t="shared" ca="1" si="476"/>
        <v>19260</v>
      </c>
      <c r="CB705" s="494">
        <f ca="1">IF(OR($Q704&lt;&gt;1,OP!$D$5+$BN705-1&lt;16,$BN705-1&lt;1),0,ROUND(ROUND(ROUND(((VLOOKUP($BN705-1,MORE_PV,5,0)/10000)*VLOOKUP($BN705,MORE_PV,$CB$5,0)),3)*VLOOKUP($BN705,more1,5,0),0)/$R704,0))</f>
        <v>454</v>
      </c>
      <c r="CC705" s="473">
        <f t="shared" ca="1" si="477"/>
        <v>0</v>
      </c>
      <c r="CD705" s="477"/>
    </row>
    <row r="706" spans="2:82" ht="16.5" hidden="1">
      <c r="B706" s="80"/>
      <c r="C706" s="80"/>
      <c r="D706" s="80"/>
      <c r="E706" s="80"/>
      <c r="F706" s="80"/>
      <c r="G706" s="80"/>
      <c r="H706" s="80"/>
      <c r="I706" s="80"/>
      <c r="J706" s="192">
        <f t="shared" si="458"/>
        <v>59</v>
      </c>
      <c r="K706" s="192">
        <f t="shared" si="459"/>
        <v>2</v>
      </c>
      <c r="L706" s="192" t="str">
        <f t="shared" si="454"/>
        <v/>
      </c>
      <c r="M706" s="216">
        <f t="shared" ca="1" si="460"/>
        <v>0</v>
      </c>
      <c r="N706" s="216"/>
      <c r="O706" s="216"/>
      <c r="P706" s="216"/>
      <c r="Q706" s="456" t="str">
        <f t="shared" ca="1" si="461"/>
        <v/>
      </c>
      <c r="R706" s="450">
        <f t="shared" ca="1" si="462"/>
        <v>1</v>
      </c>
      <c r="S706" s="191">
        <f t="shared" si="463"/>
        <v>59</v>
      </c>
      <c r="T706" s="191">
        <f t="shared" si="464"/>
        <v>2</v>
      </c>
      <c r="U706" s="191">
        <f ca="1">OP!$D$5+$S706-1</f>
        <v>91</v>
      </c>
      <c r="V706" s="191" t="str">
        <f t="shared" si="465"/>
        <v/>
      </c>
      <c r="W706" s="350">
        <f ca="1">IF(Q706&lt;&gt;1,0,VLOOKUP(OP!$C$55,PVFB,$S706+2,0))</f>
        <v>0</v>
      </c>
      <c r="X706" s="473">
        <f t="shared" ca="1" si="478"/>
        <v>0</v>
      </c>
      <c r="Y706" s="348">
        <f t="shared" ca="1" si="479"/>
        <v>0</v>
      </c>
      <c r="Z706" s="348">
        <f t="shared" ca="1" si="480"/>
        <v>8012</v>
      </c>
      <c r="AA706" s="348">
        <f ca="1">IF(Q706&lt;&gt;1,0,VLOOKUP(OP!$C$55,PVFB,$S706+2,0))</f>
        <v>0</v>
      </c>
      <c r="AB706" s="488" t="str">
        <f ca="1">IF(AND(S706&lt;OP!$C$24,$U706&lt;15),0,IF(AND($U706&lt;15,$T706=12),ROUND(VLOOKUP($S706,DOWN16,5,0),3),IF($T706=12,ROUND(($Z706/10000)*$AA706,3)+IF(AND($P$7="購買增額繳清保險",T706=12,U706=110),VLOOKUP(S706,$B$10:$H$121,7,0),0),"")))</f>
        <v/>
      </c>
      <c r="AC706" s="350" t="str">
        <f ca="1">IF(AND(S706&lt;OP!$C$24,$U706&lt;15),0,IF(AND($U706&lt;16,$T706=12),VLOOKUP($S706,DOWN16,4,0),IF($T706=12,ROUND(VLOOKUP(OP!$C$55,_DIE2,$S706+1,0)*(Z706/10000),0)+IF(AND($P$7="購買增額繳清保險",T706=12,U706=110),VLOOKUP(S706,$B$10:$H$121,7,0),0),"")))</f>
        <v/>
      </c>
      <c r="AD706" s="347"/>
      <c r="AE706" s="350" t="str">
        <f t="shared" ca="1" si="455"/>
        <v/>
      </c>
      <c r="AF706" s="351" t="str">
        <f t="shared" ca="1" si="456"/>
        <v/>
      </c>
      <c r="AG706" s="340"/>
      <c r="AH706" s="340"/>
      <c r="AI706" s="340"/>
      <c r="AJ706" s="340"/>
      <c r="AK706" s="340"/>
      <c r="AL706" s="340"/>
      <c r="AM706" s="340"/>
      <c r="AN706" s="340"/>
      <c r="AO706" s="340"/>
      <c r="AP706" s="340"/>
      <c r="AQ706" s="340"/>
      <c r="AR706" s="340"/>
      <c r="AS706" s="340"/>
      <c r="AT706" s="340"/>
      <c r="AU706" s="340"/>
      <c r="AV706" s="340"/>
      <c r="AY706" s="340"/>
      <c r="AZ706" s="465">
        <f t="shared" ca="1" si="466"/>
        <v>7.3698599999999999E-5</v>
      </c>
      <c r="BA706" s="464">
        <f t="shared" ca="1" si="467"/>
        <v>2.2109589000000002E-3</v>
      </c>
      <c r="BB706" s="465">
        <f t="shared" ca="1" si="467"/>
        <v>2.2846575E-3</v>
      </c>
      <c r="BC706" s="466">
        <f t="shared" ca="1" si="468"/>
        <v>64101</v>
      </c>
      <c r="BD706" s="467">
        <f t="shared" ca="1" si="481"/>
        <v>64102</v>
      </c>
      <c r="BE706" s="467">
        <f t="shared" ca="1" si="469"/>
        <v>64131</v>
      </c>
      <c r="BF706" s="468">
        <f ca="1">IF(計算!$BC706&lt;OP!$C$3,0,BD706-BC706)</f>
        <v>1</v>
      </c>
      <c r="BG706" s="468">
        <f ca="1">IF($BE706&gt;DATE(YEAR($BD$9)+OP!$C$57,MONTH($BD$9),DAY($BD$9)),0,$BE706-$BD706+1)</f>
        <v>30</v>
      </c>
      <c r="BH706" s="469">
        <f t="shared" ca="1" si="470"/>
        <v>31</v>
      </c>
      <c r="BI706" t="str">
        <f t="shared" si="486"/>
        <v/>
      </c>
      <c r="BJ706">
        <v>1</v>
      </c>
      <c r="BN706" s="468">
        <f t="shared" si="482"/>
        <v>59</v>
      </c>
      <c r="BO706" s="468">
        <f t="shared" si="483"/>
        <v>1</v>
      </c>
      <c r="BP706" s="467">
        <f t="shared" ca="1" si="471"/>
        <v>64102</v>
      </c>
      <c r="BQ706" s="475">
        <f t="shared" ca="1" si="485"/>
        <v>91</v>
      </c>
      <c r="BR706" s="475" t="str">
        <f t="shared" si="484"/>
        <v/>
      </c>
      <c r="BS706" s="471" t="str">
        <f t="shared" si="472"/>
        <v/>
      </c>
      <c r="BT706" s="472" t="str">
        <f t="shared" si="487"/>
        <v/>
      </c>
      <c r="BU706" s="472">
        <f t="shared" ca="1" si="473"/>
        <v>0</v>
      </c>
      <c r="BV706" s="472">
        <f t="shared" ca="1" si="473"/>
        <v>0</v>
      </c>
      <c r="BW706" s="472"/>
      <c r="BX706" s="473">
        <f t="shared" ca="1" si="474"/>
        <v>1260764.4974112399</v>
      </c>
      <c r="BY706" s="473">
        <f t="shared" si="475"/>
        <v>0</v>
      </c>
      <c r="BZ706" s="473">
        <f t="shared" ca="1" si="457"/>
        <v>2880.4150647440001</v>
      </c>
      <c r="CA706" s="476">
        <f t="shared" ca="1" si="476"/>
        <v>0</v>
      </c>
      <c r="CB706" s="494">
        <f ca="1">IF(OR($Q705&lt;&gt;1,OP!$D$5+$BN706-1&lt;16,$BN706-1&lt;1),0,ROUND(ROUND(ROUND(((VLOOKUP($BN706-1,MORE_PV,5,0)/10000)*VLOOKUP($BN706,MORE_PV,$CB$5,0)),3)*VLOOKUP($BN706,more1,5,0),0)/$R705,0))</f>
        <v>0</v>
      </c>
      <c r="CC706" s="473">
        <f t="shared" ca="1" si="477"/>
        <v>0</v>
      </c>
      <c r="CD706" s="477"/>
    </row>
    <row r="707" spans="2:82" ht="16.5" hidden="1">
      <c r="B707" s="80"/>
      <c r="C707" s="80"/>
      <c r="D707" s="80"/>
      <c r="E707" s="80"/>
      <c r="F707" s="80"/>
      <c r="G707" s="80"/>
      <c r="H707" s="80"/>
      <c r="I707" s="80"/>
      <c r="J707" s="192">
        <f t="shared" si="458"/>
        <v>59</v>
      </c>
      <c r="K707" s="192">
        <f t="shared" si="459"/>
        <v>3</v>
      </c>
      <c r="L707" s="192" t="str">
        <f t="shared" si="454"/>
        <v/>
      </c>
      <c r="M707" s="216">
        <f t="shared" ca="1" si="460"/>
        <v>0</v>
      </c>
      <c r="N707" s="216"/>
      <c r="O707" s="216"/>
      <c r="P707" s="216"/>
      <c r="Q707" s="456" t="str">
        <f t="shared" ca="1" si="461"/>
        <v/>
      </c>
      <c r="R707" s="450">
        <f t="shared" ca="1" si="462"/>
        <v>1</v>
      </c>
      <c r="S707" s="191">
        <f t="shared" si="463"/>
        <v>59</v>
      </c>
      <c r="T707" s="191">
        <f t="shared" si="464"/>
        <v>3</v>
      </c>
      <c r="U707" s="191">
        <f ca="1">OP!$D$5+$S707-1</f>
        <v>91</v>
      </c>
      <c r="V707" s="191" t="str">
        <f t="shared" si="465"/>
        <v/>
      </c>
      <c r="W707" s="350">
        <f ca="1">IF(Q707&lt;&gt;1,0,VLOOKUP(OP!$C$55,PVFB,$S707+2,0))</f>
        <v>0</v>
      </c>
      <c r="X707" s="473">
        <f t="shared" ca="1" si="478"/>
        <v>0</v>
      </c>
      <c r="Y707" s="348">
        <f t="shared" ca="1" si="479"/>
        <v>0</v>
      </c>
      <c r="Z707" s="348">
        <f t="shared" ca="1" si="480"/>
        <v>8012</v>
      </c>
      <c r="AA707" s="348">
        <f ca="1">IF(Q707&lt;&gt;1,0,VLOOKUP(OP!$C$55,PVFB,$S707+2,0))</f>
        <v>0</v>
      </c>
      <c r="AB707" s="488" t="str">
        <f ca="1">IF(AND(S707&lt;OP!$C$24,$U707&lt;15),0,IF(AND($U707&lt;15,$T707=12),ROUND(VLOOKUP($S707,DOWN16,5,0),3),IF($T707=12,ROUND(($Z707/10000)*$AA707,3)+IF(AND($P$7="購買增額繳清保險",T707=12,U707=110),VLOOKUP(S707,$B$10:$H$121,7,0),0),"")))</f>
        <v/>
      </c>
      <c r="AC707" s="350" t="str">
        <f ca="1">IF(AND(S707&lt;OP!$C$24,$U707&lt;15),0,IF(AND($U707&lt;16,$T707=12),VLOOKUP($S707,DOWN16,4,0),IF($T707=12,ROUND(VLOOKUP(OP!$C$55,_DIE2,$S707+1,0)*(Z707/10000),0)+IF(AND($P$7="購買增額繳清保險",T707=12,U707=110),VLOOKUP(S707,$B$10:$H$121,7,0),0),"")))</f>
        <v/>
      </c>
      <c r="AD707" s="347"/>
      <c r="AE707" s="350" t="str">
        <f t="shared" ca="1" si="455"/>
        <v/>
      </c>
      <c r="AF707" s="351" t="str">
        <f t="shared" ca="1" si="456"/>
        <v/>
      </c>
      <c r="AG707" s="340"/>
      <c r="AH707" s="340"/>
      <c r="AI707" s="340"/>
      <c r="AJ707" s="340"/>
      <c r="AK707" s="340"/>
      <c r="AL707" s="340"/>
      <c r="AM707" s="340"/>
      <c r="AN707" s="340"/>
      <c r="AO707" s="340"/>
      <c r="AP707" s="340"/>
      <c r="AQ707" s="340"/>
      <c r="AR707" s="340"/>
      <c r="AS707" s="340"/>
      <c r="AT707" s="340"/>
      <c r="AU707" s="340"/>
      <c r="AV707" s="340"/>
      <c r="AY707" s="340"/>
      <c r="AZ707" s="465">
        <f t="shared" ca="1" si="466"/>
        <v>7.3698599999999999E-5</v>
      </c>
      <c r="BA707" s="464">
        <f t="shared" ca="1" si="467"/>
        <v>2.2109589000000002E-3</v>
      </c>
      <c r="BB707" s="465">
        <f t="shared" ca="1" si="467"/>
        <v>2.2846575E-3</v>
      </c>
      <c r="BC707" s="466">
        <f t="shared" ca="1" si="468"/>
        <v>64132</v>
      </c>
      <c r="BD707" s="467">
        <f t="shared" ca="1" si="481"/>
        <v>64133</v>
      </c>
      <c r="BE707" s="467">
        <f t="shared" ca="1" si="469"/>
        <v>64162</v>
      </c>
      <c r="BF707" s="468">
        <f ca="1">IF(計算!$BC707&lt;OP!$C$3,0,BD707-BC707)</f>
        <v>1</v>
      </c>
      <c r="BG707" s="468">
        <f ca="1">IF($BE707&gt;DATE(YEAR($BD$9)+OP!$C$57,MONTH($BD$9),DAY($BD$9)),0,$BE707-$BD707+1)</f>
        <v>30</v>
      </c>
      <c r="BH707" s="469">
        <f t="shared" ca="1" si="470"/>
        <v>31</v>
      </c>
      <c r="BI707" t="str">
        <f t="shared" si="486"/>
        <v/>
      </c>
      <c r="BJ707">
        <v>2</v>
      </c>
      <c r="BN707" s="468">
        <f t="shared" si="482"/>
        <v>59</v>
      </c>
      <c r="BO707" s="468">
        <f t="shared" si="483"/>
        <v>2</v>
      </c>
      <c r="BP707" s="467">
        <f t="shared" ca="1" si="471"/>
        <v>64133</v>
      </c>
      <c r="BQ707" s="475">
        <f t="shared" ca="1" si="485"/>
        <v>91</v>
      </c>
      <c r="BR707" s="475" t="str">
        <f t="shared" si="484"/>
        <v/>
      </c>
      <c r="BS707" s="471" t="str">
        <f t="shared" si="472"/>
        <v/>
      </c>
      <c r="BT707" s="472" t="str">
        <f t="shared" si="487"/>
        <v/>
      </c>
      <c r="BU707" s="472">
        <f t="shared" ca="1" si="473"/>
        <v>0</v>
      </c>
      <c r="BV707" s="472">
        <f t="shared" ca="1" si="473"/>
        <v>0</v>
      </c>
      <c r="BW707" s="472"/>
      <c r="BX707" s="473">
        <f t="shared" ca="1" si="474"/>
        <v>1263644.9124759799</v>
      </c>
      <c r="BY707" s="473">
        <f t="shared" si="475"/>
        <v>0</v>
      </c>
      <c r="BZ707" s="473">
        <f t="shared" ca="1" si="457"/>
        <v>2886.9958266250001</v>
      </c>
      <c r="CA707" s="476">
        <f t="shared" ca="1" si="476"/>
        <v>0</v>
      </c>
      <c r="CB707" s="494">
        <f ca="1">IF(OR($Q706&lt;&gt;1,OP!$D$5+$BN707-1&lt;16,$BN707-1&lt;1),0,ROUND(ROUND(ROUND(((VLOOKUP($BN707-1,MORE_PV,5,0)/10000)*VLOOKUP($BN707,MORE_PV,$CB$5,0)),3)*VLOOKUP($BN707,more1,5,0),0)/$R706,0))</f>
        <v>0</v>
      </c>
      <c r="CC707" s="473">
        <f t="shared" ca="1" si="477"/>
        <v>0</v>
      </c>
      <c r="CD707" s="477"/>
    </row>
    <row r="708" spans="2:82" ht="16.5" hidden="1">
      <c r="B708" s="80"/>
      <c r="C708" s="80"/>
      <c r="D708" s="80"/>
      <c r="E708" s="80"/>
      <c r="F708" s="80"/>
      <c r="G708" s="80"/>
      <c r="H708" s="80"/>
      <c r="I708" s="80"/>
      <c r="J708" s="192">
        <f t="shared" si="458"/>
        <v>59</v>
      </c>
      <c r="K708" s="192">
        <f t="shared" si="459"/>
        <v>4</v>
      </c>
      <c r="L708" s="192" t="str">
        <f t="shared" si="454"/>
        <v/>
      </c>
      <c r="M708" s="216">
        <f t="shared" ca="1" si="460"/>
        <v>0</v>
      </c>
      <c r="N708" s="216"/>
      <c r="O708" s="216"/>
      <c r="P708" s="216"/>
      <c r="Q708" s="456" t="str">
        <f t="shared" ca="1" si="461"/>
        <v/>
      </c>
      <c r="R708" s="450">
        <f t="shared" ca="1" si="462"/>
        <v>1</v>
      </c>
      <c r="S708" s="191">
        <f t="shared" si="463"/>
        <v>59</v>
      </c>
      <c r="T708" s="191">
        <f t="shared" si="464"/>
        <v>4</v>
      </c>
      <c r="U708" s="191">
        <f ca="1">OP!$D$5+$S708-1</f>
        <v>91</v>
      </c>
      <c r="V708" s="191" t="str">
        <f t="shared" si="465"/>
        <v/>
      </c>
      <c r="W708" s="350">
        <f ca="1">IF(Q708&lt;&gt;1,0,VLOOKUP(OP!$C$55,PVFB,$S708+2,0))</f>
        <v>0</v>
      </c>
      <c r="X708" s="473">
        <f t="shared" ca="1" si="478"/>
        <v>0</v>
      </c>
      <c r="Y708" s="348">
        <f t="shared" ca="1" si="479"/>
        <v>0</v>
      </c>
      <c r="Z708" s="348">
        <f t="shared" ca="1" si="480"/>
        <v>8012</v>
      </c>
      <c r="AA708" s="348">
        <f ca="1">IF(Q708&lt;&gt;1,0,VLOOKUP(OP!$C$55,PVFB,$S708+2,0))</f>
        <v>0</v>
      </c>
      <c r="AB708" s="488" t="str">
        <f ca="1">IF(AND(S708&lt;OP!$C$24,$U708&lt;15),0,IF(AND($U708&lt;15,$T708=12),ROUND(VLOOKUP($S708,DOWN16,5,0),3),IF($T708=12,ROUND(($Z708/10000)*$AA708,3)+IF(AND($P$7="購買增額繳清保險",T708=12,U708=110),VLOOKUP(S708,$B$10:$H$121,7,0),0),"")))</f>
        <v/>
      </c>
      <c r="AC708" s="350" t="str">
        <f ca="1">IF(AND(S708&lt;OP!$C$24,$U708&lt;15),0,IF(AND($U708&lt;16,$T708=12),VLOOKUP($S708,DOWN16,4,0),IF($T708=12,ROUND(VLOOKUP(OP!$C$55,_DIE2,$S708+1,0)*(Z708/10000),0)+IF(AND($P$7="購買增額繳清保險",T708=12,U708=110),VLOOKUP(S708,$B$10:$H$121,7,0),0),"")))</f>
        <v/>
      </c>
      <c r="AD708" s="347"/>
      <c r="AE708" s="350" t="str">
        <f t="shared" ca="1" si="455"/>
        <v/>
      </c>
      <c r="AF708" s="351" t="str">
        <f t="shared" ca="1" si="456"/>
        <v/>
      </c>
      <c r="AG708" s="340"/>
      <c r="AH708" s="340"/>
      <c r="AI708" s="340"/>
      <c r="AJ708" s="340"/>
      <c r="AK708" s="340"/>
      <c r="AL708" s="340"/>
      <c r="AM708" s="340"/>
      <c r="AN708" s="340"/>
      <c r="AO708" s="340"/>
      <c r="AP708" s="340"/>
      <c r="AQ708" s="340"/>
      <c r="AR708" s="340"/>
      <c r="AS708" s="340"/>
      <c r="AT708" s="340"/>
      <c r="AU708" s="340"/>
      <c r="AV708" s="340"/>
      <c r="AY708" s="340"/>
      <c r="AZ708" s="465">
        <f t="shared" ca="1" si="466"/>
        <v>7.3698599999999999E-5</v>
      </c>
      <c r="BA708" s="464">
        <f t="shared" ca="1" si="467"/>
        <v>2.1372602999999999E-3</v>
      </c>
      <c r="BB708" s="465">
        <f t="shared" ca="1" si="467"/>
        <v>2.2109589000000002E-3</v>
      </c>
      <c r="BC708" s="466">
        <f t="shared" ca="1" si="468"/>
        <v>64163</v>
      </c>
      <c r="BD708" s="467">
        <f t="shared" ca="1" si="481"/>
        <v>64164</v>
      </c>
      <c r="BE708" s="467">
        <f t="shared" ca="1" si="469"/>
        <v>64192</v>
      </c>
      <c r="BF708" s="468">
        <f ca="1">IF(計算!$BC708&lt;OP!$C$3,0,BD708-BC708)</f>
        <v>1</v>
      </c>
      <c r="BG708" s="468">
        <f ca="1">IF($BE708&gt;DATE(YEAR($BD$9)+OP!$C$57,MONTH($BD$9),DAY($BD$9)),0,$BE708-$BD708+1)</f>
        <v>29</v>
      </c>
      <c r="BH708" s="469">
        <f t="shared" ca="1" si="470"/>
        <v>30</v>
      </c>
      <c r="BI708" t="str">
        <f t="shared" si="486"/>
        <v/>
      </c>
      <c r="BJ708">
        <v>3</v>
      </c>
      <c r="BN708" s="468">
        <f t="shared" si="482"/>
        <v>59</v>
      </c>
      <c r="BO708" s="468">
        <f t="shared" si="483"/>
        <v>3</v>
      </c>
      <c r="BP708" s="467">
        <f t="shared" ca="1" si="471"/>
        <v>64164</v>
      </c>
      <c r="BQ708" s="475">
        <f t="shared" ca="1" si="485"/>
        <v>91</v>
      </c>
      <c r="BR708" s="475" t="str">
        <f t="shared" si="484"/>
        <v/>
      </c>
      <c r="BS708" s="471" t="str">
        <f t="shared" si="472"/>
        <v/>
      </c>
      <c r="BT708" s="472" t="str">
        <f t="shared" si="487"/>
        <v/>
      </c>
      <c r="BU708" s="472">
        <f t="shared" ca="1" si="473"/>
        <v>0</v>
      </c>
      <c r="BV708" s="472">
        <f t="shared" ca="1" si="473"/>
        <v>0</v>
      </c>
      <c r="BW708" s="472"/>
      <c r="BX708" s="473">
        <f t="shared" ca="1" si="474"/>
        <v>1266531.9083026</v>
      </c>
      <c r="BY708" s="473">
        <f t="shared" si="475"/>
        <v>0</v>
      </c>
      <c r="BZ708" s="473">
        <f t="shared" ca="1" si="457"/>
        <v>2800.249994796</v>
      </c>
      <c r="CA708" s="476">
        <f t="shared" ca="1" si="476"/>
        <v>0</v>
      </c>
      <c r="CB708" s="494">
        <f ca="1">IF(OR($Q707&lt;&gt;1,OP!$D$5+$BN708-1&lt;16,$BN708-1&lt;1),0,ROUND(ROUND(ROUND(((VLOOKUP($BN708-1,MORE_PV,5,0)/10000)*VLOOKUP($BN708,MORE_PV,$CB$5,0)),3)*VLOOKUP($BN708,more1,5,0),0)/$R707,0))</f>
        <v>0</v>
      </c>
      <c r="CC708" s="473">
        <f t="shared" ca="1" si="477"/>
        <v>0</v>
      </c>
      <c r="CD708" s="477"/>
    </row>
    <row r="709" spans="2:82" ht="16.5" hidden="1">
      <c r="B709" s="80"/>
      <c r="C709" s="80"/>
      <c r="D709" s="80"/>
      <c r="E709" s="80"/>
      <c r="F709" s="80"/>
      <c r="G709" s="80"/>
      <c r="H709" s="80"/>
      <c r="I709" s="80"/>
      <c r="J709" s="192">
        <f t="shared" si="458"/>
        <v>59</v>
      </c>
      <c r="K709" s="192">
        <f t="shared" si="459"/>
        <v>5</v>
      </c>
      <c r="L709" s="192" t="str">
        <f t="shared" si="454"/>
        <v/>
      </c>
      <c r="M709" s="216">
        <f t="shared" ca="1" si="460"/>
        <v>0</v>
      </c>
      <c r="N709" s="216"/>
      <c r="O709" s="216"/>
      <c r="P709" s="216"/>
      <c r="Q709" s="456" t="str">
        <f t="shared" ca="1" si="461"/>
        <v/>
      </c>
      <c r="R709" s="450">
        <f t="shared" ca="1" si="462"/>
        <v>1</v>
      </c>
      <c r="S709" s="191">
        <f t="shared" si="463"/>
        <v>59</v>
      </c>
      <c r="T709" s="191">
        <f t="shared" si="464"/>
        <v>5</v>
      </c>
      <c r="U709" s="191">
        <f ca="1">OP!$D$5+$S709-1</f>
        <v>91</v>
      </c>
      <c r="V709" s="191" t="str">
        <f t="shared" si="465"/>
        <v/>
      </c>
      <c r="W709" s="350">
        <f ca="1">IF(Q709&lt;&gt;1,0,VLOOKUP(OP!$C$55,PVFB,$S709+2,0))</f>
        <v>0</v>
      </c>
      <c r="X709" s="473">
        <f t="shared" ca="1" si="478"/>
        <v>0</v>
      </c>
      <c r="Y709" s="348">
        <f t="shared" ca="1" si="479"/>
        <v>0</v>
      </c>
      <c r="Z709" s="348">
        <f t="shared" ca="1" si="480"/>
        <v>8012</v>
      </c>
      <c r="AA709" s="348">
        <f ca="1">IF(Q709&lt;&gt;1,0,VLOOKUP(OP!$C$55,PVFB,$S709+2,0))</f>
        <v>0</v>
      </c>
      <c r="AB709" s="488" t="str">
        <f ca="1">IF(AND(S709&lt;OP!$C$24,$U709&lt;15),0,IF(AND($U709&lt;15,$T709=12),ROUND(VLOOKUP($S709,DOWN16,5,0),3),IF($T709=12,ROUND(($Z709/10000)*$AA709,3)+IF(AND($P$7="購買增額繳清保險",T709=12,U709=110),VLOOKUP(S709,$B$10:$H$121,7,0),0),"")))</f>
        <v/>
      </c>
      <c r="AC709" s="350" t="str">
        <f ca="1">IF(AND(S709&lt;OP!$C$24,$U709&lt;15),0,IF(AND($U709&lt;16,$T709=12),VLOOKUP($S709,DOWN16,4,0),IF($T709=12,ROUND(VLOOKUP(OP!$C$55,_DIE2,$S709+1,0)*(Z709/10000),0)+IF(AND($P$7="購買增額繳清保險",T709=12,U709=110),VLOOKUP(S709,$B$10:$H$121,7,0),0),"")))</f>
        <v/>
      </c>
      <c r="AD709" s="347"/>
      <c r="AE709" s="350" t="str">
        <f t="shared" ca="1" si="455"/>
        <v/>
      </c>
      <c r="AF709" s="351" t="str">
        <f t="shared" ca="1" si="456"/>
        <v/>
      </c>
      <c r="AG709" s="340"/>
      <c r="AH709" s="340"/>
      <c r="AI709" s="340"/>
      <c r="AJ709" s="340"/>
      <c r="AK709" s="340"/>
      <c r="AL709" s="340"/>
      <c r="AM709" s="340"/>
      <c r="AN709" s="340"/>
      <c r="AO709" s="340"/>
      <c r="AP709" s="340"/>
      <c r="AQ709" s="340"/>
      <c r="AR709" s="340"/>
      <c r="AS709" s="340"/>
      <c r="AT709" s="340"/>
      <c r="AU709" s="340"/>
      <c r="AV709" s="340"/>
      <c r="AY709" s="340"/>
      <c r="AZ709" s="465">
        <f t="shared" ca="1" si="466"/>
        <v>7.3698599999999999E-5</v>
      </c>
      <c r="BA709" s="464">
        <f t="shared" ca="1" si="467"/>
        <v>2.2109589000000002E-3</v>
      </c>
      <c r="BB709" s="465">
        <f t="shared" ca="1" si="467"/>
        <v>2.2846575E-3</v>
      </c>
      <c r="BC709" s="466">
        <f t="shared" ca="1" si="468"/>
        <v>64193</v>
      </c>
      <c r="BD709" s="467">
        <f t="shared" ca="1" si="481"/>
        <v>64194</v>
      </c>
      <c r="BE709" s="467">
        <f t="shared" ca="1" si="469"/>
        <v>64223</v>
      </c>
      <c r="BF709" s="468">
        <f ca="1">IF(計算!$BC709&lt;OP!$C$3,0,BD709-BC709)</f>
        <v>1</v>
      </c>
      <c r="BG709" s="468">
        <f ca="1">IF($BE709&gt;DATE(YEAR($BD$9)+OP!$C$57,MONTH($BD$9),DAY($BD$9)),0,$BE709-$BD709+1)</f>
        <v>30</v>
      </c>
      <c r="BH709" s="469">
        <f t="shared" ca="1" si="470"/>
        <v>31</v>
      </c>
      <c r="BI709" t="str">
        <f t="shared" si="486"/>
        <v/>
      </c>
      <c r="BJ709">
        <v>4</v>
      </c>
      <c r="BN709" s="468">
        <f t="shared" si="482"/>
        <v>59</v>
      </c>
      <c r="BO709" s="468">
        <f t="shared" si="483"/>
        <v>4</v>
      </c>
      <c r="BP709" s="467">
        <f t="shared" ca="1" si="471"/>
        <v>64194</v>
      </c>
      <c r="BQ709" s="475">
        <f t="shared" ca="1" si="485"/>
        <v>91</v>
      </c>
      <c r="BR709" s="475" t="str">
        <f t="shared" si="484"/>
        <v/>
      </c>
      <c r="BS709" s="471" t="str">
        <f t="shared" si="472"/>
        <v/>
      </c>
      <c r="BT709" s="472" t="str">
        <f t="shared" si="487"/>
        <v/>
      </c>
      <c r="BU709" s="472">
        <f t="shared" ca="1" si="473"/>
        <v>0</v>
      </c>
      <c r="BV709" s="472">
        <f t="shared" ca="1" si="473"/>
        <v>0</v>
      </c>
      <c r="BW709" s="472"/>
      <c r="BX709" s="473">
        <f t="shared" ca="1" si="474"/>
        <v>1269332.1582974</v>
      </c>
      <c r="BY709" s="473">
        <f t="shared" si="475"/>
        <v>0</v>
      </c>
      <c r="BZ709" s="473">
        <f t="shared" ca="1" si="457"/>
        <v>2899.9892354449998</v>
      </c>
      <c r="CA709" s="476">
        <f t="shared" ca="1" si="476"/>
        <v>0</v>
      </c>
      <c r="CB709" s="494">
        <f ca="1">IF(OR($Q708&lt;&gt;1,OP!$D$5+$BN709-1&lt;16,$BN709-1&lt;1),0,ROUND(ROUND(ROUND(((VLOOKUP($BN709-1,MORE_PV,5,0)/10000)*VLOOKUP($BN709,MORE_PV,$CB$5,0)),3)*VLOOKUP($BN709,more1,5,0),0)/$R708,0))</f>
        <v>0</v>
      </c>
      <c r="CC709" s="473">
        <f t="shared" ca="1" si="477"/>
        <v>0</v>
      </c>
      <c r="CD709" s="477"/>
    </row>
    <row r="710" spans="2:82" ht="16.5" hidden="1">
      <c r="B710" s="80"/>
      <c r="C710" s="80"/>
      <c r="D710" s="80"/>
      <c r="E710" s="80"/>
      <c r="F710" s="80"/>
      <c r="G710" s="80"/>
      <c r="H710" s="80"/>
      <c r="I710" s="80"/>
      <c r="J710" s="192">
        <f t="shared" si="458"/>
        <v>59</v>
      </c>
      <c r="K710" s="192">
        <f t="shared" si="459"/>
        <v>6</v>
      </c>
      <c r="L710" s="192" t="str">
        <f t="shared" si="454"/>
        <v/>
      </c>
      <c r="M710" s="216">
        <f t="shared" ca="1" si="460"/>
        <v>0</v>
      </c>
      <c r="N710" s="216"/>
      <c r="O710" s="216"/>
      <c r="P710" s="216"/>
      <c r="Q710" s="456" t="str">
        <f t="shared" ca="1" si="461"/>
        <v/>
      </c>
      <c r="R710" s="450">
        <f t="shared" ca="1" si="462"/>
        <v>1</v>
      </c>
      <c r="S710" s="191">
        <f t="shared" si="463"/>
        <v>59</v>
      </c>
      <c r="T710" s="191">
        <f t="shared" si="464"/>
        <v>6</v>
      </c>
      <c r="U710" s="191">
        <f ca="1">OP!$D$5+$S710-1</f>
        <v>91</v>
      </c>
      <c r="V710" s="191" t="str">
        <f t="shared" si="465"/>
        <v/>
      </c>
      <c r="W710" s="350">
        <f ca="1">IF(Q710&lt;&gt;1,0,VLOOKUP(OP!$C$55,PVFB,$S710+2,0))</f>
        <v>0</v>
      </c>
      <c r="X710" s="473">
        <f t="shared" ca="1" si="478"/>
        <v>0</v>
      </c>
      <c r="Y710" s="348">
        <f t="shared" ca="1" si="479"/>
        <v>0</v>
      </c>
      <c r="Z710" s="348">
        <f t="shared" ca="1" si="480"/>
        <v>8012</v>
      </c>
      <c r="AA710" s="348">
        <f ca="1">IF(Q710&lt;&gt;1,0,VLOOKUP(OP!$C$55,PVFB,$S710+2,0))</f>
        <v>0</v>
      </c>
      <c r="AB710" s="488" t="str">
        <f ca="1">IF(AND(S710&lt;OP!$C$24,$U710&lt;15),0,IF(AND($U710&lt;15,$T710=12),ROUND(VLOOKUP($S710,DOWN16,5,0),3),IF($T710=12,ROUND(($Z710/10000)*$AA710,3)+IF(AND($P$7="購買增額繳清保險",T710=12,U710=110),VLOOKUP(S710,$B$10:$H$121,7,0),0),"")))</f>
        <v/>
      </c>
      <c r="AC710" s="350" t="str">
        <f ca="1">IF(AND(S710&lt;OP!$C$24,$U710&lt;15),0,IF(AND($U710&lt;16,$T710=12),VLOOKUP($S710,DOWN16,4,0),IF($T710=12,ROUND(VLOOKUP(OP!$C$55,_DIE2,$S710+1,0)*(Z710/10000),0)+IF(AND($P$7="購買增額繳清保險",T710=12,U710=110),VLOOKUP(S710,$B$10:$H$121,7,0),0),"")))</f>
        <v/>
      </c>
      <c r="AD710" s="347"/>
      <c r="AE710" s="350" t="str">
        <f t="shared" ca="1" si="455"/>
        <v/>
      </c>
      <c r="AF710" s="351" t="str">
        <f t="shared" ca="1" si="456"/>
        <v/>
      </c>
      <c r="AG710" s="340"/>
      <c r="AH710" s="340"/>
      <c r="AI710" s="340"/>
      <c r="AJ710" s="340"/>
      <c r="AK710" s="340"/>
      <c r="AL710" s="340"/>
      <c r="AM710" s="340"/>
      <c r="AN710" s="340"/>
      <c r="AO710" s="340"/>
      <c r="AP710" s="340"/>
      <c r="AQ710" s="340"/>
      <c r="AR710" s="340"/>
      <c r="AS710" s="340"/>
      <c r="AT710" s="340"/>
      <c r="AU710" s="340"/>
      <c r="AV710" s="340"/>
      <c r="AY710" s="340"/>
      <c r="AZ710" s="465">
        <f t="shared" ca="1" si="466"/>
        <v>7.3698599999999999E-5</v>
      </c>
      <c r="BA710" s="464">
        <f t="shared" ca="1" si="467"/>
        <v>2.1372602999999999E-3</v>
      </c>
      <c r="BB710" s="465">
        <f t="shared" ca="1" si="467"/>
        <v>2.2109589000000002E-3</v>
      </c>
      <c r="BC710" s="466">
        <f t="shared" ca="1" si="468"/>
        <v>64224</v>
      </c>
      <c r="BD710" s="467">
        <f t="shared" ca="1" si="481"/>
        <v>64225</v>
      </c>
      <c r="BE710" s="467">
        <f t="shared" ca="1" si="469"/>
        <v>64253</v>
      </c>
      <c r="BF710" s="468">
        <f ca="1">IF(計算!$BC710&lt;OP!$C$3,0,BD710-BC710)</f>
        <v>1</v>
      </c>
      <c r="BG710" s="468">
        <f ca="1">IF($BE710&gt;DATE(YEAR($BD$9)+OP!$C$57,MONTH($BD$9),DAY($BD$9)),0,$BE710-$BD710+1)</f>
        <v>29</v>
      </c>
      <c r="BH710" s="469">
        <f t="shared" ca="1" si="470"/>
        <v>30</v>
      </c>
      <c r="BI710" t="str">
        <f t="shared" si="486"/>
        <v/>
      </c>
      <c r="BJ710">
        <v>5</v>
      </c>
      <c r="BN710" s="468">
        <f t="shared" si="482"/>
        <v>59</v>
      </c>
      <c r="BO710" s="468">
        <f t="shared" si="483"/>
        <v>5</v>
      </c>
      <c r="BP710" s="467">
        <f t="shared" ca="1" si="471"/>
        <v>64225</v>
      </c>
      <c r="BQ710" s="475">
        <f t="shared" ca="1" si="485"/>
        <v>91</v>
      </c>
      <c r="BR710" s="475" t="str">
        <f t="shared" si="484"/>
        <v/>
      </c>
      <c r="BS710" s="471" t="str">
        <f t="shared" si="472"/>
        <v/>
      </c>
      <c r="BT710" s="472" t="str">
        <f t="shared" si="487"/>
        <v/>
      </c>
      <c r="BU710" s="472">
        <f t="shared" ca="1" si="473"/>
        <v>0</v>
      </c>
      <c r="BV710" s="472">
        <f t="shared" ca="1" si="473"/>
        <v>0</v>
      </c>
      <c r="BW710" s="472"/>
      <c r="BX710" s="473">
        <f t="shared" ca="1" si="474"/>
        <v>1272232.14753284</v>
      </c>
      <c r="BY710" s="473">
        <f t="shared" si="475"/>
        <v>0</v>
      </c>
      <c r="BZ710" s="473">
        <f t="shared" ca="1" si="457"/>
        <v>2812.8529894540002</v>
      </c>
      <c r="CA710" s="476">
        <f t="shared" ca="1" si="476"/>
        <v>0</v>
      </c>
      <c r="CB710" s="494">
        <f ca="1">IF(OR($Q709&lt;&gt;1,OP!$D$5+$BN710-1&lt;16,$BN710-1&lt;1),0,ROUND(ROUND(ROUND(((VLOOKUP($BN710-1,MORE_PV,5,0)/10000)*VLOOKUP($BN710,MORE_PV,$CB$5,0)),3)*VLOOKUP($BN710,more1,5,0),0)/$R709,0))</f>
        <v>0</v>
      </c>
      <c r="CC710" s="473">
        <f t="shared" ca="1" si="477"/>
        <v>0</v>
      </c>
      <c r="CD710" s="477"/>
    </row>
    <row r="711" spans="2:82" ht="16.5" hidden="1">
      <c r="B711" s="80"/>
      <c r="C711" s="80"/>
      <c r="D711" s="80"/>
      <c r="E711" s="80"/>
      <c r="F711" s="80"/>
      <c r="G711" s="80"/>
      <c r="H711" s="80"/>
      <c r="I711" s="80"/>
      <c r="J711" s="192">
        <f t="shared" si="458"/>
        <v>59</v>
      </c>
      <c r="K711" s="192">
        <f t="shared" si="459"/>
        <v>7</v>
      </c>
      <c r="L711" s="192" t="str">
        <f t="shared" si="454"/>
        <v/>
      </c>
      <c r="M711" s="216">
        <f t="shared" ca="1" si="460"/>
        <v>0</v>
      </c>
      <c r="N711" s="216"/>
      <c r="O711" s="216"/>
      <c r="P711" s="216"/>
      <c r="Q711" s="456" t="str">
        <f t="shared" ca="1" si="461"/>
        <v/>
      </c>
      <c r="R711" s="450">
        <f t="shared" ca="1" si="462"/>
        <v>1</v>
      </c>
      <c r="S711" s="191">
        <f t="shared" si="463"/>
        <v>59</v>
      </c>
      <c r="T711" s="191">
        <f t="shared" si="464"/>
        <v>7</v>
      </c>
      <c r="U711" s="191">
        <f ca="1">OP!$D$5+$S711-1</f>
        <v>91</v>
      </c>
      <c r="V711" s="191" t="str">
        <f t="shared" si="465"/>
        <v/>
      </c>
      <c r="W711" s="350">
        <f ca="1">IF(Q711&lt;&gt;1,0,VLOOKUP(OP!$C$55,PVFB,$S711+2,0))</f>
        <v>0</v>
      </c>
      <c r="X711" s="473">
        <f t="shared" ca="1" si="478"/>
        <v>0</v>
      </c>
      <c r="Y711" s="348">
        <f t="shared" ca="1" si="479"/>
        <v>0</v>
      </c>
      <c r="Z711" s="348">
        <f t="shared" ca="1" si="480"/>
        <v>8012</v>
      </c>
      <c r="AA711" s="348">
        <f ca="1">IF(Q711&lt;&gt;1,0,VLOOKUP(OP!$C$55,PVFB,$S711+2,0))</f>
        <v>0</v>
      </c>
      <c r="AB711" s="488" t="str">
        <f ca="1">IF(AND(S711&lt;OP!$C$24,$U711&lt;15),0,IF(AND($U711&lt;15,$T711=12),ROUND(VLOOKUP($S711,DOWN16,5,0),3),IF($T711=12,ROUND(($Z711/10000)*$AA711,3)+IF(AND($P$7="購買增額繳清保險",T711=12,U711=110),VLOOKUP(S711,$B$10:$H$121,7,0),0),"")))</f>
        <v/>
      </c>
      <c r="AC711" s="350" t="str">
        <f ca="1">IF(AND(S711&lt;OP!$C$24,$U711&lt;15),0,IF(AND($U711&lt;16,$T711=12),VLOOKUP($S711,DOWN16,4,0),IF($T711=12,ROUND(VLOOKUP(OP!$C$55,_DIE2,$S711+1,0)*(Z711/10000),0)+IF(AND($P$7="購買增額繳清保險",T711=12,U711=110),VLOOKUP(S711,$B$10:$H$121,7,0),0),"")))</f>
        <v/>
      </c>
      <c r="AD711" s="347"/>
      <c r="AE711" s="350" t="str">
        <f t="shared" ca="1" si="455"/>
        <v/>
      </c>
      <c r="AF711" s="351" t="str">
        <f t="shared" ca="1" si="456"/>
        <v/>
      </c>
      <c r="AG711" s="340"/>
      <c r="AH711" s="340"/>
      <c r="AI711" s="340"/>
      <c r="AJ711" s="340"/>
      <c r="AK711" s="340"/>
      <c r="AL711" s="340"/>
      <c r="AM711" s="340"/>
      <c r="AN711" s="340"/>
      <c r="AO711" s="340"/>
      <c r="AP711" s="340"/>
      <c r="AQ711" s="340"/>
      <c r="AR711" s="340"/>
      <c r="AS711" s="340"/>
      <c r="AT711" s="340"/>
      <c r="AU711" s="340"/>
      <c r="AV711" s="340"/>
      <c r="AY711" s="340"/>
      <c r="AZ711" s="465">
        <f t="shared" ca="1" si="466"/>
        <v>7.3698599999999999E-5</v>
      </c>
      <c r="BA711" s="464">
        <f t="shared" ca="1" si="467"/>
        <v>2.2109589000000002E-3</v>
      </c>
      <c r="BB711" s="465">
        <f t="shared" ca="1" si="467"/>
        <v>2.2846575E-3</v>
      </c>
      <c r="BC711" s="466">
        <f t="shared" ca="1" si="468"/>
        <v>64254</v>
      </c>
      <c r="BD711" s="467">
        <f t="shared" ca="1" si="481"/>
        <v>64255</v>
      </c>
      <c r="BE711" s="467">
        <f t="shared" ca="1" si="469"/>
        <v>64284</v>
      </c>
      <c r="BF711" s="468">
        <f ca="1">IF(計算!$BC711&lt;OP!$C$3,0,BD711-BC711)</f>
        <v>1</v>
      </c>
      <c r="BG711" s="468">
        <f ca="1">IF($BE711&gt;DATE(YEAR($BD$9)+OP!$C$57,MONTH($BD$9),DAY($BD$9)),0,$BE711-$BD711+1)</f>
        <v>30</v>
      </c>
      <c r="BH711" s="469">
        <f t="shared" ca="1" si="470"/>
        <v>31</v>
      </c>
      <c r="BI711" t="str">
        <f t="shared" si="486"/>
        <v/>
      </c>
      <c r="BJ711">
        <v>6</v>
      </c>
      <c r="BN711" s="468">
        <f t="shared" si="482"/>
        <v>59</v>
      </c>
      <c r="BO711" s="468">
        <f t="shared" si="483"/>
        <v>6</v>
      </c>
      <c r="BP711" s="467">
        <f t="shared" ca="1" si="471"/>
        <v>64255</v>
      </c>
      <c r="BQ711" s="475">
        <f t="shared" ca="1" si="485"/>
        <v>91</v>
      </c>
      <c r="BR711" s="475" t="str">
        <f t="shared" si="484"/>
        <v/>
      </c>
      <c r="BS711" s="471" t="str">
        <f t="shared" si="472"/>
        <v/>
      </c>
      <c r="BT711" s="472" t="str">
        <f t="shared" si="487"/>
        <v/>
      </c>
      <c r="BU711" s="472">
        <f t="shared" ca="1" si="473"/>
        <v>0</v>
      </c>
      <c r="BV711" s="472">
        <f t="shared" ca="1" si="473"/>
        <v>0</v>
      </c>
      <c r="BW711" s="472"/>
      <c r="BX711" s="473">
        <f t="shared" ca="1" si="474"/>
        <v>1275045.0005222899</v>
      </c>
      <c r="BY711" s="473">
        <f t="shared" si="475"/>
        <v>0</v>
      </c>
      <c r="BZ711" s="473">
        <f t="shared" ca="1" si="457"/>
        <v>2913.0411232810002</v>
      </c>
      <c r="CA711" s="476">
        <f t="shared" ca="1" si="476"/>
        <v>0</v>
      </c>
      <c r="CB711" s="494">
        <f ca="1">IF(OR($Q710&lt;&gt;1,OP!$D$5+$BN711-1&lt;16,$BN711-1&lt;1),0,ROUND(ROUND(ROUND(((VLOOKUP($BN711-1,MORE_PV,5,0)/10000)*VLOOKUP($BN711,MORE_PV,$CB$5,0)),3)*VLOOKUP($BN711,more1,5,0),0)/$R710,0))</f>
        <v>0</v>
      </c>
      <c r="CC711" s="473">
        <f t="shared" ca="1" si="477"/>
        <v>0</v>
      </c>
      <c r="CD711" s="477"/>
    </row>
    <row r="712" spans="2:82" ht="16.5" hidden="1">
      <c r="B712" s="80"/>
      <c r="C712" s="80"/>
      <c r="D712" s="80"/>
      <c r="E712" s="80"/>
      <c r="F712" s="80"/>
      <c r="G712" s="80"/>
      <c r="H712" s="80"/>
      <c r="I712" s="80"/>
      <c r="J712" s="192">
        <f t="shared" si="458"/>
        <v>59</v>
      </c>
      <c r="K712" s="192">
        <f t="shared" si="459"/>
        <v>8</v>
      </c>
      <c r="L712" s="192" t="str">
        <f t="shared" si="454"/>
        <v/>
      </c>
      <c r="M712" s="216">
        <f t="shared" ca="1" si="460"/>
        <v>0</v>
      </c>
      <c r="N712" s="216"/>
      <c r="O712" s="216"/>
      <c r="P712" s="216"/>
      <c r="Q712" s="456" t="str">
        <f t="shared" ca="1" si="461"/>
        <v/>
      </c>
      <c r="R712" s="450">
        <f t="shared" ca="1" si="462"/>
        <v>1</v>
      </c>
      <c r="S712" s="191">
        <f t="shared" si="463"/>
        <v>59</v>
      </c>
      <c r="T712" s="191">
        <f t="shared" si="464"/>
        <v>8</v>
      </c>
      <c r="U712" s="191">
        <f ca="1">OP!$D$5+$S712-1</f>
        <v>91</v>
      </c>
      <c r="V712" s="191" t="str">
        <f t="shared" si="465"/>
        <v/>
      </c>
      <c r="W712" s="350">
        <f ca="1">IF(Q712&lt;&gt;1,0,VLOOKUP(OP!$C$55,PVFB,$S712+2,0))</f>
        <v>0</v>
      </c>
      <c r="X712" s="473">
        <f t="shared" ca="1" si="478"/>
        <v>0</v>
      </c>
      <c r="Y712" s="348">
        <f t="shared" ca="1" si="479"/>
        <v>0</v>
      </c>
      <c r="Z712" s="348">
        <f t="shared" ca="1" si="480"/>
        <v>8012</v>
      </c>
      <c r="AA712" s="348">
        <f ca="1">IF(Q712&lt;&gt;1,0,VLOOKUP(OP!$C$55,PVFB,$S712+2,0))</f>
        <v>0</v>
      </c>
      <c r="AB712" s="488" t="str">
        <f ca="1">IF(AND(S712&lt;OP!$C$24,$U712&lt;15),0,IF(AND($U712&lt;15,$T712=12),ROUND(VLOOKUP($S712,DOWN16,5,0),3),IF($T712=12,ROUND(($Z712/10000)*$AA712,3)+IF(AND($P$7="購買增額繳清保險",T712=12,U712=110),VLOOKUP(S712,$B$10:$H$121,7,0),0),"")))</f>
        <v/>
      </c>
      <c r="AC712" s="350" t="str">
        <f ca="1">IF(AND(S712&lt;OP!$C$24,$U712&lt;15),0,IF(AND($U712&lt;16,$T712=12),VLOOKUP($S712,DOWN16,4,0),IF($T712=12,ROUND(VLOOKUP(OP!$C$55,_DIE2,$S712+1,0)*(Z712/10000),0)+IF(AND($P$7="購買增額繳清保險",T712=12,U712=110),VLOOKUP(S712,$B$10:$H$121,7,0),0),"")))</f>
        <v/>
      </c>
      <c r="AD712" s="347"/>
      <c r="AE712" s="350" t="str">
        <f t="shared" ca="1" si="455"/>
        <v/>
      </c>
      <c r="AF712" s="351" t="str">
        <f t="shared" ca="1" si="456"/>
        <v/>
      </c>
      <c r="AG712" s="340"/>
      <c r="AH712" s="340"/>
      <c r="AI712" s="340"/>
      <c r="AJ712" s="340"/>
      <c r="AK712" s="340"/>
      <c r="AL712" s="340"/>
      <c r="AM712" s="340"/>
      <c r="AN712" s="340"/>
      <c r="AO712" s="340"/>
      <c r="AP712" s="340"/>
      <c r="AQ712" s="340"/>
      <c r="AR712" s="340"/>
      <c r="AS712" s="340"/>
      <c r="AT712" s="340"/>
      <c r="AU712" s="340"/>
      <c r="AV712" s="340"/>
      <c r="AY712" s="340"/>
      <c r="AZ712" s="465">
        <f t="shared" ca="1" si="466"/>
        <v>7.3698599999999999E-5</v>
      </c>
      <c r="BA712" s="464">
        <f t="shared" ca="1" si="467"/>
        <v>2.2109589000000002E-3</v>
      </c>
      <c r="BB712" s="465">
        <f t="shared" ca="1" si="467"/>
        <v>2.2846575E-3</v>
      </c>
      <c r="BC712" s="466">
        <f t="shared" ca="1" si="468"/>
        <v>64285</v>
      </c>
      <c r="BD712" s="467">
        <f t="shared" ca="1" si="481"/>
        <v>64286</v>
      </c>
      <c r="BE712" s="467">
        <f t="shared" ca="1" si="469"/>
        <v>64315</v>
      </c>
      <c r="BF712" s="468">
        <f ca="1">IF(計算!$BC712&lt;OP!$C$3,0,BD712-BC712)</f>
        <v>1</v>
      </c>
      <c r="BG712" s="468">
        <f ca="1">IF($BE712&gt;DATE(YEAR($BD$9)+OP!$C$57,MONTH($BD$9),DAY($BD$9)),0,$BE712-$BD712+1)</f>
        <v>30</v>
      </c>
      <c r="BH712" s="469">
        <f t="shared" ca="1" si="470"/>
        <v>31</v>
      </c>
      <c r="BI712" t="str">
        <f t="shared" si="486"/>
        <v/>
      </c>
      <c r="BJ712">
        <v>7</v>
      </c>
      <c r="BN712" s="468">
        <f t="shared" si="482"/>
        <v>59</v>
      </c>
      <c r="BO712" s="468">
        <f t="shared" si="483"/>
        <v>7</v>
      </c>
      <c r="BP712" s="467">
        <f t="shared" ca="1" si="471"/>
        <v>64286</v>
      </c>
      <c r="BQ712" s="475">
        <f t="shared" ca="1" si="485"/>
        <v>91</v>
      </c>
      <c r="BR712" s="475" t="str">
        <f t="shared" si="484"/>
        <v/>
      </c>
      <c r="BS712" s="471" t="str">
        <f t="shared" si="472"/>
        <v/>
      </c>
      <c r="BT712" s="472" t="str">
        <f t="shared" si="487"/>
        <v/>
      </c>
      <c r="BU712" s="472">
        <f t="shared" ca="1" si="473"/>
        <v>0</v>
      </c>
      <c r="BV712" s="472">
        <f t="shared" ca="1" si="473"/>
        <v>0</v>
      </c>
      <c r="BW712" s="472"/>
      <c r="BX712" s="473">
        <f t="shared" ca="1" si="474"/>
        <v>1277958.04164557</v>
      </c>
      <c r="BY712" s="473">
        <f t="shared" si="475"/>
        <v>0</v>
      </c>
      <c r="BZ712" s="473">
        <f t="shared" ca="1" si="457"/>
        <v>2919.696424531</v>
      </c>
      <c r="CA712" s="476">
        <f t="shared" ca="1" si="476"/>
        <v>0</v>
      </c>
      <c r="CB712" s="494">
        <f ca="1">IF(OR($Q711&lt;&gt;1,OP!$D$5+$BN712-1&lt;16,$BN712-1&lt;1),0,ROUND(ROUND(ROUND(((VLOOKUP($BN712-1,MORE_PV,5,0)/10000)*VLOOKUP($BN712,MORE_PV,$CB$5,0)),3)*VLOOKUP($BN712,more1,5,0),0)/$R711,0))</f>
        <v>0</v>
      </c>
      <c r="CC712" s="473">
        <f t="shared" ca="1" si="477"/>
        <v>0</v>
      </c>
      <c r="CD712" s="477"/>
    </row>
    <row r="713" spans="2:82" ht="16.5" hidden="1">
      <c r="B713" s="80"/>
      <c r="C713" s="80"/>
      <c r="D713" s="80"/>
      <c r="E713" s="80"/>
      <c r="F713" s="80"/>
      <c r="G713" s="80"/>
      <c r="H713" s="80"/>
      <c r="I713" s="80"/>
      <c r="J713" s="192">
        <f t="shared" si="458"/>
        <v>59</v>
      </c>
      <c r="K713" s="192">
        <f t="shared" si="459"/>
        <v>9</v>
      </c>
      <c r="L713" s="192" t="str">
        <f t="shared" ref="L713:L776" si="488">IF($K713=12,$J713,"")</f>
        <v/>
      </c>
      <c r="M713" s="216">
        <f t="shared" ca="1" si="460"/>
        <v>0</v>
      </c>
      <c r="N713" s="216"/>
      <c r="O713" s="216"/>
      <c r="P713" s="216"/>
      <c r="Q713" s="456" t="str">
        <f t="shared" ca="1" si="461"/>
        <v/>
      </c>
      <c r="R713" s="450">
        <f t="shared" ca="1" si="462"/>
        <v>1</v>
      </c>
      <c r="S713" s="191">
        <f t="shared" si="463"/>
        <v>59</v>
      </c>
      <c r="T713" s="191">
        <f t="shared" si="464"/>
        <v>9</v>
      </c>
      <c r="U713" s="191">
        <f ca="1">OP!$D$5+$S713-1</f>
        <v>91</v>
      </c>
      <c r="V713" s="191" t="str">
        <f t="shared" si="465"/>
        <v/>
      </c>
      <c r="W713" s="350">
        <f ca="1">IF(Q713&lt;&gt;1,0,VLOOKUP(OP!$C$55,PVFB,$S713+2,0))</f>
        <v>0</v>
      </c>
      <c r="X713" s="473">
        <f t="shared" ca="1" si="478"/>
        <v>0</v>
      </c>
      <c r="Y713" s="348">
        <f t="shared" ca="1" si="479"/>
        <v>0</v>
      </c>
      <c r="Z713" s="348">
        <f t="shared" ca="1" si="480"/>
        <v>8012</v>
      </c>
      <c r="AA713" s="348">
        <f ca="1">IF(Q713&lt;&gt;1,0,VLOOKUP(OP!$C$55,PVFB,$S713+2,0))</f>
        <v>0</v>
      </c>
      <c r="AB713" s="488" t="str">
        <f ca="1">IF(AND(S713&lt;OP!$C$24,$U713&lt;15),0,IF(AND($U713&lt;15,$T713=12),ROUND(VLOOKUP($S713,DOWN16,5,0),3),IF($T713=12,ROUND(($Z713/10000)*$AA713,3)+IF(AND($P$7="購買增額繳清保險",T713=12,U713=110),VLOOKUP(S713,$B$10:$H$121,7,0),0),"")))</f>
        <v/>
      </c>
      <c r="AC713" s="350" t="str">
        <f ca="1">IF(AND(S713&lt;OP!$C$24,$U713&lt;15),0,IF(AND($U713&lt;16,$T713=12),VLOOKUP($S713,DOWN16,4,0),IF($T713=12,ROUND(VLOOKUP(OP!$C$55,_DIE2,$S713+1,0)*(Z713/10000),0)+IF(AND($P$7="購買增額繳清保險",T713=12,U713=110),VLOOKUP(S713,$B$10:$H$121,7,0),0),"")))</f>
        <v/>
      </c>
      <c r="AD713" s="347"/>
      <c r="AE713" s="350" t="str">
        <f t="shared" ref="AE713:AE776" ca="1" si="489">IF(AND($U$9&lt;16,$T713=12),VLOOKUP($S713,DOWN16,4,0),"")</f>
        <v/>
      </c>
      <c r="AF713" s="351" t="str">
        <f t="shared" ref="AF713:AF776" ca="1" si="490">IF(AND($U$9&lt;16,$T713=12),VLOOKUP($S713,DOWN16,5,0),"")</f>
        <v/>
      </c>
      <c r="AG713" s="340"/>
      <c r="AH713" s="340"/>
      <c r="AI713" s="340"/>
      <c r="AJ713" s="340"/>
      <c r="AK713" s="340"/>
      <c r="AL713" s="340"/>
      <c r="AM713" s="340"/>
      <c r="AN713" s="340"/>
      <c r="AO713" s="340"/>
      <c r="AP713" s="340"/>
      <c r="AQ713" s="340"/>
      <c r="AR713" s="340"/>
      <c r="AS713" s="340"/>
      <c r="AT713" s="340"/>
      <c r="AU713" s="340"/>
      <c r="AV713" s="340"/>
      <c r="AY713" s="340"/>
      <c r="AZ713" s="465">
        <f t="shared" ca="1" si="466"/>
        <v>7.3698599999999999E-5</v>
      </c>
      <c r="BA713" s="464">
        <f t="shared" ca="1" si="467"/>
        <v>2.0635616E-3</v>
      </c>
      <c r="BB713" s="465">
        <f t="shared" ca="1" si="467"/>
        <v>2.1372602999999999E-3</v>
      </c>
      <c r="BC713" s="466">
        <f t="shared" ca="1" si="468"/>
        <v>64316</v>
      </c>
      <c r="BD713" s="467">
        <f t="shared" ca="1" si="481"/>
        <v>64317</v>
      </c>
      <c r="BE713" s="467">
        <f t="shared" ca="1" si="469"/>
        <v>64344</v>
      </c>
      <c r="BF713" s="468">
        <f ca="1">IF(計算!$BC713&lt;OP!$C$3,0,BD713-BC713)</f>
        <v>1</v>
      </c>
      <c r="BG713" s="468">
        <f ca="1">IF($BE713&gt;DATE(YEAR($BD$9)+OP!$C$57,MONTH($BD$9),DAY($BD$9)),0,$BE713-$BD713+1)</f>
        <v>28</v>
      </c>
      <c r="BH713" s="469">
        <f t="shared" ca="1" si="470"/>
        <v>29</v>
      </c>
      <c r="BI713" t="str">
        <f t="shared" si="486"/>
        <v/>
      </c>
      <c r="BJ713">
        <v>8</v>
      </c>
      <c r="BN713" s="468">
        <f t="shared" si="482"/>
        <v>59</v>
      </c>
      <c r="BO713" s="468">
        <f t="shared" si="483"/>
        <v>8</v>
      </c>
      <c r="BP713" s="467">
        <f t="shared" ca="1" si="471"/>
        <v>64317</v>
      </c>
      <c r="BQ713" s="475">
        <f t="shared" ca="1" si="485"/>
        <v>91</v>
      </c>
      <c r="BR713" s="475" t="str">
        <f t="shared" si="484"/>
        <v/>
      </c>
      <c r="BS713" s="471" t="str">
        <f t="shared" si="472"/>
        <v/>
      </c>
      <c r="BT713" s="472" t="str">
        <f t="shared" si="487"/>
        <v/>
      </c>
      <c r="BU713" s="472">
        <f t="shared" ca="1" si="473"/>
        <v>0</v>
      </c>
      <c r="BV713" s="472">
        <f t="shared" ca="1" si="473"/>
        <v>0</v>
      </c>
      <c r="BW713" s="472"/>
      <c r="BX713" s="473">
        <f t="shared" ca="1" si="474"/>
        <v>1280877.7380701001</v>
      </c>
      <c r="BY713" s="473">
        <f t="shared" si="475"/>
        <v>0</v>
      </c>
      <c r="BZ713" s="473">
        <f t="shared" ref="BZ713:BZ776" ca="1" si="491">ROUND(BX713*IF(BO713=12,$BA713,$BB713),$CB$6)</f>
        <v>2737.5691387309998</v>
      </c>
      <c r="CA713" s="476">
        <f t="shared" ca="1" si="476"/>
        <v>0</v>
      </c>
      <c r="CB713" s="494">
        <f ca="1">IF(OR($Q712&lt;&gt;1,OP!$D$5+$BN713-1&lt;16,$BN713-1&lt;1),0,ROUND(ROUND(ROUND(((VLOOKUP($BN713-1,MORE_PV,5,0)/10000)*VLOOKUP($BN713,MORE_PV,$CB$5,0)),3)*VLOOKUP($BN713,more1,5,0),0)/$R712,0))</f>
        <v>0</v>
      </c>
      <c r="CC713" s="473">
        <f t="shared" ca="1" si="477"/>
        <v>0</v>
      </c>
      <c r="CD713" s="477"/>
    </row>
    <row r="714" spans="2:82" ht="16.5" hidden="1">
      <c r="B714" s="80"/>
      <c r="C714" s="80"/>
      <c r="D714" s="80"/>
      <c r="E714" s="80"/>
      <c r="F714" s="80"/>
      <c r="G714" s="80"/>
      <c r="H714" s="80"/>
      <c r="I714" s="80"/>
      <c r="J714" s="192">
        <f t="shared" ref="J714:J777" si="492">IF(K713=12,J713+1,J713)</f>
        <v>59</v>
      </c>
      <c r="K714" s="192">
        <f t="shared" ref="K714:K777" si="493">IF(K713=12,1,K713+1)</f>
        <v>10</v>
      </c>
      <c r="L714" s="192" t="str">
        <f t="shared" si="488"/>
        <v/>
      </c>
      <c r="M714" s="216">
        <f t="shared" ref="M714:M777" ca="1" si="494">IF($Q714=1,VLOOKUP(L714,$BR$9:$BT$1341,3,0),0)</f>
        <v>0</v>
      </c>
      <c r="N714" s="216"/>
      <c r="O714" s="216"/>
      <c r="P714" s="216"/>
      <c r="Q714" s="456" t="str">
        <f t="shared" ref="Q714:Q777" ca="1" si="495">IF(OR($U714&gt;=$I$5,AND($G$5=1,$K714=12),AND($G$5=2,OR($K714=6,$K714=12)),AND($G$5=4,OR($K714=3,$K714=6,$K714=9,$K714=12)),$G$5=12),1,"")</f>
        <v/>
      </c>
      <c r="R714" s="450">
        <f t="shared" ref="R714:R777" ca="1" si="496">IF($U714&lt;$I$5,$G$5,$I$6)</f>
        <v>1</v>
      </c>
      <c r="S714" s="191">
        <f t="shared" ref="S714:S777" si="497">IF(T713=12,S713+1,S713)</f>
        <v>59</v>
      </c>
      <c r="T714" s="191">
        <f t="shared" ref="T714:T777" si="498">IF(T713=12,1,T713+1)</f>
        <v>10</v>
      </c>
      <c r="U714" s="191">
        <f ca="1">OP!$D$5+$S714-1</f>
        <v>91</v>
      </c>
      <c r="V714" s="191" t="str">
        <f t="shared" ref="V714:V777" si="499">IF($T714=12,$S714,"")</f>
        <v/>
      </c>
      <c r="W714" s="350">
        <f ca="1">IF(Q714&lt;&gt;1,0,VLOOKUP(OP!$C$55,PVFB,$S714+2,0))</f>
        <v>0</v>
      </c>
      <c r="X714" s="473">
        <f t="shared" ca="1" si="478"/>
        <v>0</v>
      </c>
      <c r="Y714" s="348">
        <f t="shared" ca="1" si="479"/>
        <v>0</v>
      </c>
      <c r="Z714" s="348">
        <f t="shared" ca="1" si="480"/>
        <v>8012</v>
      </c>
      <c r="AA714" s="348">
        <f ca="1">IF(Q714&lt;&gt;1,0,VLOOKUP(OP!$C$55,PVFB,$S714+2,0))</f>
        <v>0</v>
      </c>
      <c r="AB714" s="488" t="str">
        <f ca="1">IF(AND(S714&lt;OP!$C$24,$U714&lt;15),0,IF(AND($U714&lt;15,$T714=12),ROUND(VLOOKUP($S714,DOWN16,5,0),3),IF($T714=12,ROUND(($Z714/10000)*$AA714,3)+IF(AND($P$7="購買增額繳清保險",T714=12,U714=110),VLOOKUP(S714,$B$10:$H$121,7,0),0),"")))</f>
        <v/>
      </c>
      <c r="AC714" s="350" t="str">
        <f ca="1">IF(AND(S714&lt;OP!$C$24,$U714&lt;15),0,IF(AND($U714&lt;16,$T714=12),VLOOKUP($S714,DOWN16,4,0),IF($T714=12,ROUND(VLOOKUP(OP!$C$55,_DIE2,$S714+1,0)*(Z714/10000),0)+IF(AND($P$7="購買增額繳清保險",T714=12,U714=110),VLOOKUP(S714,$B$10:$H$121,7,0),0),"")))</f>
        <v/>
      </c>
      <c r="AD714" s="347"/>
      <c r="AE714" s="350" t="str">
        <f t="shared" ca="1" si="489"/>
        <v/>
      </c>
      <c r="AF714" s="351" t="str">
        <f t="shared" ca="1" si="490"/>
        <v/>
      </c>
      <c r="AG714" s="340"/>
      <c r="AH714" s="340"/>
      <c r="AI714" s="340"/>
      <c r="AJ714" s="340"/>
      <c r="AK714" s="340"/>
      <c r="AL714" s="340"/>
      <c r="AM714" s="340"/>
      <c r="AN714" s="340"/>
      <c r="AO714" s="340"/>
      <c r="AP714" s="340"/>
      <c r="AQ714" s="340"/>
      <c r="AR714" s="340"/>
      <c r="AS714" s="340"/>
      <c r="AT714" s="340"/>
      <c r="AU714" s="340"/>
      <c r="AV714" s="340"/>
      <c r="AY714" s="340"/>
      <c r="AZ714" s="465">
        <f t="shared" ref="AZ714:AZ777" ca="1" si="500">ROUND(($G$3*BF714/365),10)</f>
        <v>7.3698599999999999E-5</v>
      </c>
      <c r="BA714" s="464">
        <f t="shared" ref="BA714:BB777" ca="1" si="501">ROUND(($G$3*BG714/365),10)</f>
        <v>2.2109589000000002E-3</v>
      </c>
      <c r="BB714" s="465">
        <f t="shared" ca="1" si="501"/>
        <v>2.2846575E-3</v>
      </c>
      <c r="BC714" s="466">
        <f t="shared" ref="BC714:BC777" ca="1" si="502">DATE(YEAR(BD714),MONTH(BD714),1)</f>
        <v>64345</v>
      </c>
      <c r="BD714" s="467">
        <f t="shared" ca="1" si="481"/>
        <v>64346</v>
      </c>
      <c r="BE714" s="467">
        <f t="shared" ref="BE714:BE777" ca="1" si="503">DATE(YEAR(BD714),MONTH(BD714),DAY(DATE(YEAR(BD714),MONTH(BD714)+1,0)))</f>
        <v>64375</v>
      </c>
      <c r="BF714" s="468">
        <f ca="1">IF(計算!$BC714&lt;OP!$C$3,0,BD714-BC714)</f>
        <v>1</v>
      </c>
      <c r="BG714" s="468">
        <f ca="1">IF($BE714&gt;DATE(YEAR($BD$9)+OP!$C$57,MONTH($BD$9),DAY($BD$9)),0,$BE714-$BD714+1)</f>
        <v>30</v>
      </c>
      <c r="BH714" s="469">
        <f t="shared" ref="BH714:BH777" ca="1" si="504">BF714+BG714</f>
        <v>31</v>
      </c>
      <c r="BI714" t="str">
        <f t="shared" si="486"/>
        <v/>
      </c>
      <c r="BJ714">
        <v>9</v>
      </c>
      <c r="BN714" s="468">
        <f t="shared" si="482"/>
        <v>59</v>
      </c>
      <c r="BO714" s="468">
        <f t="shared" si="483"/>
        <v>9</v>
      </c>
      <c r="BP714" s="467">
        <f t="shared" ref="BP714:BP777" ca="1" si="505">BD714</f>
        <v>64346</v>
      </c>
      <c r="BQ714" s="475">
        <f t="shared" ca="1" si="485"/>
        <v>91</v>
      </c>
      <c r="BR714" s="475" t="str">
        <f t="shared" si="484"/>
        <v/>
      </c>
      <c r="BS714" s="471" t="str">
        <f t="shared" ref="BS714:BS777" si="506">IF(BW714&lt;&gt;"",ROUND(BU714,0)+ROUND(BV714,0),"")</f>
        <v/>
      </c>
      <c r="BT714" s="472" t="str">
        <f t="shared" si="487"/>
        <v/>
      </c>
      <c r="BU714" s="472">
        <f t="shared" ref="BU714:BV777" ca="1" si="507">ROUND(CA714,0)</f>
        <v>0</v>
      </c>
      <c r="BV714" s="472">
        <f t="shared" ca="1" si="507"/>
        <v>0</v>
      </c>
      <c r="BW714" s="472"/>
      <c r="BX714" s="473">
        <f t="shared" ref="BX714:BX777" ca="1" si="508">IF(BN714&lt;=$P$4,0,ROUNDDOWN(IF($Q713=1,CA714+CB714-CC714,0)+BX713+BY714+BZ713,VLOOKUP(LEN(ROUNDDOWN(IF($Q713=1,CA714+CB714-CC714,0)+BX713+BY714+BZ713,0)),$BK$9:$BL$24,2,0)))</f>
        <v>1283615.30720883</v>
      </c>
      <c r="BY714" s="473">
        <f t="shared" ref="BY714:BY777" si="509">IF(BO714=12,ROUND((BX713+BZ713)*$AZ714,$CB$6),0)</f>
        <v>0</v>
      </c>
      <c r="BZ714" s="473">
        <f t="shared" ca="1" si="491"/>
        <v>2932.6213387289999</v>
      </c>
      <c r="CA714" s="476">
        <f t="shared" ref="CA714:CA777" ca="1" si="510">IF($Q713=1,ROUND(VLOOKUP($BN714,more1,3,0)*VLOOKUP($BN714,more1,5,0)/$R713,0),0)</f>
        <v>0</v>
      </c>
      <c r="CB714" s="494">
        <f ca="1">IF(OR($Q713&lt;&gt;1,OP!$D$5+$BN714-1&lt;16,$BN714-1&lt;1),0,ROUND(ROUND(ROUND(((VLOOKUP($BN714-1,MORE_PV,5,0)/10000)*VLOOKUP($BN714,MORE_PV,$CB$5,0)),3)*VLOOKUP($BN714,more1,5,0),0)/$R713,0))</f>
        <v>0</v>
      </c>
      <c r="CC714" s="473">
        <f t="shared" ref="CC714:CC777" ca="1" si="511">IF(AND($BN714=$P$4,$BO714=12),$CA714+$CB714,IF(AND($BN714&gt;$P$4,$Q713=1,$G$6="現金給付",$CA714+$CB714&gt;=$P$3),$CA714+$CB714,0))</f>
        <v>0</v>
      </c>
      <c r="CD714" s="477"/>
    </row>
    <row r="715" spans="2:82" ht="16.5" hidden="1">
      <c r="B715" s="80"/>
      <c r="C715" s="80"/>
      <c r="D715" s="80"/>
      <c r="E715" s="80"/>
      <c r="F715" s="80"/>
      <c r="G715" s="80"/>
      <c r="H715" s="80"/>
      <c r="I715" s="80"/>
      <c r="J715" s="192">
        <f t="shared" si="492"/>
        <v>59</v>
      </c>
      <c r="K715" s="192">
        <f t="shared" si="493"/>
        <v>11</v>
      </c>
      <c r="L715" s="192" t="str">
        <f t="shared" si="488"/>
        <v/>
      </c>
      <c r="M715" s="216">
        <f t="shared" ca="1" si="494"/>
        <v>0</v>
      </c>
      <c r="N715" s="216"/>
      <c r="O715" s="216"/>
      <c r="P715" s="216"/>
      <c r="Q715" s="456" t="str">
        <f t="shared" ca="1" si="495"/>
        <v/>
      </c>
      <c r="R715" s="450">
        <f t="shared" ca="1" si="496"/>
        <v>1</v>
      </c>
      <c r="S715" s="191">
        <f t="shared" si="497"/>
        <v>59</v>
      </c>
      <c r="T715" s="191">
        <f t="shared" si="498"/>
        <v>11</v>
      </c>
      <c r="U715" s="191">
        <f ca="1">OP!$D$5+$S715-1</f>
        <v>91</v>
      </c>
      <c r="V715" s="191" t="str">
        <f t="shared" si="499"/>
        <v/>
      </c>
      <c r="W715" s="350">
        <f ca="1">IF(Q715&lt;&gt;1,0,VLOOKUP(OP!$C$55,PVFB,$S715+2,0))</f>
        <v>0</v>
      </c>
      <c r="X715" s="473">
        <f t="shared" ref="X715:X778" ca="1" si="512">IF(AND($U715=15,$T715=12),$CO716,IF(AND($U715&gt;15,$S715&lt;=$P$4,$T715=12),($BS716)*$R715,IF($Q715=1,($BS716),0)))</f>
        <v>0</v>
      </c>
      <c r="Y715" s="348">
        <f t="shared" ref="Y715:Y778" ca="1" si="513">IF(AND($P$7="購買增額繳清保險",U715&gt;=110),0,IF(AND($U715=15,$W715&lt;&gt;0,$T715=12),ROUND(($X715)/($W715/10000),0),IF(AND($S715&lt;=$P$4,$W715&lt;&gt;0,$T715=12,$U715&gt;15),ROUND(($X715)/($W715/10000),0),0)))</f>
        <v>0</v>
      </c>
      <c r="Z715" s="348">
        <f t="shared" ref="Z715:Z778" ca="1" si="514">Z714+Y715</f>
        <v>8012</v>
      </c>
      <c r="AA715" s="348">
        <f ca="1">IF(Q715&lt;&gt;1,0,VLOOKUP(OP!$C$55,PVFB,$S715+2,0))</f>
        <v>0</v>
      </c>
      <c r="AB715" s="488" t="str">
        <f ca="1">IF(AND(S715&lt;OP!$C$24,$U715&lt;15),0,IF(AND($U715&lt;15,$T715=12),ROUND(VLOOKUP($S715,DOWN16,5,0),3),IF($T715=12,ROUND(($Z715/10000)*$AA715,3)+IF(AND($P$7="購買增額繳清保險",T715=12,U715=110),VLOOKUP(S715,$B$10:$H$121,7,0),0),"")))</f>
        <v/>
      </c>
      <c r="AC715" s="350" t="str">
        <f ca="1">IF(AND(S715&lt;OP!$C$24,$U715&lt;15),0,IF(AND($U715&lt;16,$T715=12),VLOOKUP($S715,DOWN16,4,0),IF($T715=12,ROUND(VLOOKUP(OP!$C$55,_DIE2,$S715+1,0)*(Z715/10000),0)+IF(AND($P$7="購買增額繳清保險",T715=12,U715=110),VLOOKUP(S715,$B$10:$H$121,7,0),0),"")))</f>
        <v/>
      </c>
      <c r="AD715" s="347"/>
      <c r="AE715" s="350" t="str">
        <f t="shared" ca="1" si="489"/>
        <v/>
      </c>
      <c r="AF715" s="351" t="str">
        <f t="shared" ca="1" si="490"/>
        <v/>
      </c>
      <c r="AG715" s="340"/>
      <c r="AH715" s="340"/>
      <c r="AI715" s="340"/>
      <c r="AJ715" s="340"/>
      <c r="AK715" s="340"/>
      <c r="AL715" s="340"/>
      <c r="AM715" s="340"/>
      <c r="AN715" s="340"/>
      <c r="AO715" s="340"/>
      <c r="AP715" s="340"/>
      <c r="AQ715" s="340"/>
      <c r="AR715" s="340"/>
      <c r="AS715" s="340"/>
      <c r="AT715" s="340"/>
      <c r="AU715" s="340"/>
      <c r="AV715" s="340"/>
      <c r="AY715" s="340"/>
      <c r="AZ715" s="465">
        <f t="shared" ca="1" si="500"/>
        <v>7.3698599999999999E-5</v>
      </c>
      <c r="BA715" s="464">
        <f t="shared" ca="1" si="501"/>
        <v>2.1372602999999999E-3</v>
      </c>
      <c r="BB715" s="465">
        <f t="shared" ca="1" si="501"/>
        <v>2.2109589000000002E-3</v>
      </c>
      <c r="BC715" s="466">
        <f t="shared" ca="1" si="502"/>
        <v>64376</v>
      </c>
      <c r="BD715" s="467">
        <f t="shared" ref="BD715:BD778" ca="1" si="515">DATE(YEAR(BD714),MONTH(BD714)+1,MIN(DAY($BD$9),DAY(DATE(YEAR(BD714),MONTH(BD714)+2,0))))</f>
        <v>64377</v>
      </c>
      <c r="BE715" s="467">
        <f t="shared" ca="1" si="503"/>
        <v>64405</v>
      </c>
      <c r="BF715" s="468">
        <f ca="1">IF(計算!$BC715&lt;OP!$C$3,0,BD715-BC715)</f>
        <v>1</v>
      </c>
      <c r="BG715" s="468">
        <f ca="1">IF($BE715&gt;DATE(YEAR($BD$9)+OP!$C$57,MONTH($BD$9),DAY($BD$9)),0,$BE715-$BD715+1)</f>
        <v>29</v>
      </c>
      <c r="BH715" s="469">
        <f t="shared" ca="1" si="504"/>
        <v>30</v>
      </c>
      <c r="BI715" t="str">
        <f t="shared" si="486"/>
        <v/>
      </c>
      <c r="BJ715">
        <v>10</v>
      </c>
      <c r="BN715" s="468">
        <f t="shared" ref="BN715:BN778" si="516">IF(BO714=12,BN714+1,BN714)</f>
        <v>59</v>
      </c>
      <c r="BO715" s="468">
        <f t="shared" ref="BO715:BO778" si="517">IF(BO714=12,1,BO714+1)</f>
        <v>10</v>
      </c>
      <c r="BP715" s="467">
        <f t="shared" ca="1" si="505"/>
        <v>64377</v>
      </c>
      <c r="BQ715" s="475">
        <f t="shared" ca="1" si="485"/>
        <v>91</v>
      </c>
      <c r="BR715" s="475" t="str">
        <f t="shared" ref="BR715:BR778" si="518">IF(BO715=12,BN715,"")</f>
        <v/>
      </c>
      <c r="BS715" s="471" t="str">
        <f t="shared" si="506"/>
        <v/>
      </c>
      <c r="BT715" s="472" t="str">
        <f t="shared" si="487"/>
        <v/>
      </c>
      <c r="BU715" s="472">
        <f t="shared" ca="1" si="507"/>
        <v>0</v>
      </c>
      <c r="BV715" s="472">
        <f t="shared" ca="1" si="507"/>
        <v>0</v>
      </c>
      <c r="BW715" s="472"/>
      <c r="BX715" s="473">
        <f t="shared" ca="1" si="508"/>
        <v>1286547.92854756</v>
      </c>
      <c r="BY715" s="473">
        <f t="shared" si="509"/>
        <v>0</v>
      </c>
      <c r="BZ715" s="473">
        <f t="shared" ca="1" si="491"/>
        <v>2844.5045928989998</v>
      </c>
      <c r="CA715" s="476">
        <f t="shared" ca="1" si="510"/>
        <v>0</v>
      </c>
      <c r="CB715" s="494">
        <f ca="1">IF(OR($Q714&lt;&gt;1,OP!$D$5+$BN715-1&lt;16,$BN715-1&lt;1),0,ROUND(ROUND(ROUND(((VLOOKUP($BN715-1,MORE_PV,5,0)/10000)*VLOOKUP($BN715,MORE_PV,$CB$5,0)),3)*VLOOKUP($BN715,more1,5,0),0)/$R714,0))</f>
        <v>0</v>
      </c>
      <c r="CC715" s="473">
        <f t="shared" ca="1" si="511"/>
        <v>0</v>
      </c>
      <c r="CD715" s="477"/>
    </row>
    <row r="716" spans="2:82" ht="16.5" hidden="1">
      <c r="B716" s="80"/>
      <c r="C716" s="80"/>
      <c r="D716" s="80"/>
      <c r="E716" s="80"/>
      <c r="F716" s="80"/>
      <c r="G716" s="80"/>
      <c r="H716" s="80"/>
      <c r="I716" s="80"/>
      <c r="J716" s="192">
        <f t="shared" si="492"/>
        <v>59</v>
      </c>
      <c r="K716" s="192">
        <f t="shared" si="493"/>
        <v>12</v>
      </c>
      <c r="L716" s="192">
        <f t="shared" si="488"/>
        <v>59</v>
      </c>
      <c r="M716" s="216">
        <f t="shared" ca="1" si="494"/>
        <v>1312485</v>
      </c>
      <c r="N716" s="216"/>
      <c r="O716" s="216"/>
      <c r="P716" s="216"/>
      <c r="Q716" s="456">
        <f t="shared" ca="1" si="495"/>
        <v>1</v>
      </c>
      <c r="R716" s="450">
        <f t="shared" ca="1" si="496"/>
        <v>1</v>
      </c>
      <c r="S716" s="191">
        <f t="shared" si="497"/>
        <v>59</v>
      </c>
      <c r="T716" s="191">
        <f t="shared" si="498"/>
        <v>12</v>
      </c>
      <c r="U716" s="191">
        <f ca="1">OP!$D$5+$S716-1</f>
        <v>91</v>
      </c>
      <c r="V716" s="191">
        <f t="shared" si="499"/>
        <v>59</v>
      </c>
      <c r="W716" s="350">
        <f ca="1">IF(Q716&lt;&gt;1,0,VLOOKUP(OP!$C$55,PVFB,$S716+2,0))</f>
        <v>83504</v>
      </c>
      <c r="X716" s="473">
        <f t="shared" ca="1" si="512"/>
        <v>20052</v>
      </c>
      <c r="Y716" s="348">
        <f t="shared" ca="1" si="513"/>
        <v>0</v>
      </c>
      <c r="Z716" s="348">
        <f t="shared" ca="1" si="514"/>
        <v>8012</v>
      </c>
      <c r="AA716" s="348">
        <f ca="1">IF(Q716&lt;&gt;1,0,VLOOKUP(OP!$C$55,PVFB,$S716+2,0))</f>
        <v>83504</v>
      </c>
      <c r="AB716" s="488">
        <f ca="1">IF(AND(S716&lt;OP!$C$24,$U716&lt;15),0,IF(AND($U716&lt;15,$T716=12),ROUND(VLOOKUP($S716,DOWN16,5,0),3),IF($T716=12,ROUND(($Z716/10000)*$AA716,3)+IF(AND($P$7="購買增額繳清保險",T716=12,U716=110),VLOOKUP(S716,$B$10:$H$121,7,0),0),"")))</f>
        <v>66903.404999999999</v>
      </c>
      <c r="AC716" s="350">
        <f ca="1">IF(AND(S716&lt;OP!$C$24,$U716&lt;15),0,IF(AND($U716&lt;16,$T716=12),VLOOKUP($S716,DOWN16,4,0),IF($T716=12,ROUND(VLOOKUP(OP!$C$55,_DIE2,$S716+1,0)*(Z716/10000),0)+IF(AND($P$7="購買增額繳清保險",T716=12,U716=110),VLOOKUP(S716,$B$10:$H$121,7,0),0),"")))</f>
        <v>67461</v>
      </c>
      <c r="AD716" s="347"/>
      <c r="AE716" s="350" t="str">
        <f t="shared" ca="1" si="489"/>
        <v/>
      </c>
      <c r="AF716" s="351" t="str">
        <f t="shared" ca="1" si="490"/>
        <v/>
      </c>
      <c r="AG716" s="340"/>
      <c r="AH716" s="340"/>
      <c r="AI716" s="340"/>
      <c r="AJ716" s="340"/>
      <c r="AK716" s="340"/>
      <c r="AL716" s="340"/>
      <c r="AM716" s="340"/>
      <c r="AN716" s="340"/>
      <c r="AO716" s="340"/>
      <c r="AP716" s="340"/>
      <c r="AQ716" s="340"/>
      <c r="AR716" s="340"/>
      <c r="AS716" s="340"/>
      <c r="AT716" s="340"/>
      <c r="AU716" s="340"/>
      <c r="AV716" s="340"/>
      <c r="AY716" s="340"/>
      <c r="AZ716" s="465">
        <f t="shared" ca="1" si="500"/>
        <v>7.3698599999999999E-5</v>
      </c>
      <c r="BA716" s="464">
        <f t="shared" ca="1" si="501"/>
        <v>2.2109589000000002E-3</v>
      </c>
      <c r="BB716" s="465">
        <f t="shared" ca="1" si="501"/>
        <v>2.2846575E-3</v>
      </c>
      <c r="BC716" s="466">
        <f t="shared" ca="1" si="502"/>
        <v>64406</v>
      </c>
      <c r="BD716" s="467">
        <f t="shared" ca="1" si="515"/>
        <v>64407</v>
      </c>
      <c r="BE716" s="467">
        <f t="shared" ca="1" si="503"/>
        <v>64436</v>
      </c>
      <c r="BF716" s="468">
        <f ca="1">IF(計算!$BC716&lt;OP!$C$3,0,BD716-BC716)</f>
        <v>1</v>
      </c>
      <c r="BG716" s="468">
        <f ca="1">IF($BE716&gt;DATE(YEAR($BD$9)+OP!$C$57,MONTH($BD$9),DAY($BD$9)),0,$BE716-$BD716+1)</f>
        <v>30</v>
      </c>
      <c r="BH716" s="469">
        <f t="shared" ca="1" si="504"/>
        <v>31</v>
      </c>
      <c r="BI716" t="str">
        <f t="shared" si="486"/>
        <v/>
      </c>
      <c r="BJ716">
        <v>11</v>
      </c>
      <c r="BN716" s="468">
        <f t="shared" si="516"/>
        <v>59</v>
      </c>
      <c r="BO716" s="468">
        <f t="shared" si="517"/>
        <v>11</v>
      </c>
      <c r="BP716" s="467">
        <f t="shared" ca="1" si="505"/>
        <v>64407</v>
      </c>
      <c r="BQ716" s="475">
        <f t="shared" ref="BQ716:BQ779" ca="1" si="519">IF(BO715=12,BQ715+1,BQ715)</f>
        <v>91</v>
      </c>
      <c r="BR716" s="475" t="str">
        <f t="shared" si="518"/>
        <v/>
      </c>
      <c r="BS716" s="471" t="str">
        <f t="shared" si="506"/>
        <v/>
      </c>
      <c r="BT716" s="472" t="str">
        <f t="shared" si="487"/>
        <v/>
      </c>
      <c r="BU716" s="472">
        <f t="shared" ca="1" si="507"/>
        <v>0</v>
      </c>
      <c r="BV716" s="472">
        <f t="shared" ca="1" si="507"/>
        <v>0</v>
      </c>
      <c r="BW716" s="472"/>
      <c r="BX716" s="473">
        <f t="shared" ca="1" si="508"/>
        <v>1289392.4331404599</v>
      </c>
      <c r="BY716" s="473">
        <f t="shared" si="509"/>
        <v>0</v>
      </c>
      <c r="BZ716" s="473">
        <f t="shared" ca="1" si="491"/>
        <v>2945.8200928179999</v>
      </c>
      <c r="CA716" s="476">
        <f t="shared" ca="1" si="510"/>
        <v>0</v>
      </c>
      <c r="CB716" s="494">
        <f ca="1">IF(OR($Q715&lt;&gt;1,OP!$D$5+$BN716-1&lt;16,$BN716-1&lt;1),0,ROUND(ROUND(ROUND(((VLOOKUP($BN716-1,MORE_PV,5,0)/10000)*VLOOKUP($BN716,MORE_PV,$CB$5,0)),3)*VLOOKUP($BN716,more1,5,0),0)/$R715,0))</f>
        <v>0</v>
      </c>
      <c r="CC716" s="473">
        <f t="shared" ca="1" si="511"/>
        <v>0</v>
      </c>
      <c r="CD716" s="477"/>
    </row>
    <row r="717" spans="2:82" ht="16.5" hidden="1">
      <c r="B717" s="80"/>
      <c r="C717" s="80"/>
      <c r="D717" s="80"/>
      <c r="E717" s="80"/>
      <c r="F717" s="80"/>
      <c r="G717" s="80"/>
      <c r="H717" s="80"/>
      <c r="I717" s="80"/>
      <c r="J717" s="192">
        <f t="shared" si="492"/>
        <v>60</v>
      </c>
      <c r="K717" s="192">
        <f t="shared" si="493"/>
        <v>1</v>
      </c>
      <c r="L717" s="192" t="str">
        <f t="shared" si="488"/>
        <v/>
      </c>
      <c r="M717" s="216">
        <f t="shared" ca="1" si="494"/>
        <v>0</v>
      </c>
      <c r="N717" s="216"/>
      <c r="O717" s="216"/>
      <c r="P717" s="216"/>
      <c r="Q717" s="456" t="str">
        <f t="shared" ca="1" si="495"/>
        <v/>
      </c>
      <c r="R717" s="450">
        <f t="shared" ca="1" si="496"/>
        <v>1</v>
      </c>
      <c r="S717" s="191">
        <f t="shared" si="497"/>
        <v>60</v>
      </c>
      <c r="T717" s="191">
        <f t="shared" si="498"/>
        <v>1</v>
      </c>
      <c r="U717" s="191">
        <f ca="1">OP!$D$5+$S717-1</f>
        <v>92</v>
      </c>
      <c r="V717" s="191" t="str">
        <f t="shared" si="499"/>
        <v/>
      </c>
      <c r="W717" s="350">
        <f ca="1">IF(Q717&lt;&gt;1,0,VLOOKUP(OP!$C$55,PVFB,$S717+2,0))</f>
        <v>0</v>
      </c>
      <c r="X717" s="473">
        <f t="shared" ca="1" si="512"/>
        <v>0</v>
      </c>
      <c r="Y717" s="348">
        <f t="shared" ca="1" si="513"/>
        <v>0</v>
      </c>
      <c r="Z717" s="348">
        <f t="shared" ca="1" si="514"/>
        <v>8012</v>
      </c>
      <c r="AA717" s="348">
        <f ca="1">IF(Q717&lt;&gt;1,0,VLOOKUP(OP!$C$55,PVFB,$S717+2,0))</f>
        <v>0</v>
      </c>
      <c r="AB717" s="488" t="str">
        <f ca="1">IF(AND(S717&lt;OP!$C$24,$U717&lt;15),0,IF(AND($U717&lt;15,$T717=12),ROUND(VLOOKUP($S717,DOWN16,5,0),3),IF($T717=12,ROUND(($Z717/10000)*$AA717,3)+IF(AND($P$7="購買增額繳清保險",T717=12,U717=110),VLOOKUP(S717,$B$10:$H$121,7,0),0),"")))</f>
        <v/>
      </c>
      <c r="AC717" s="350" t="str">
        <f ca="1">IF(AND(S717&lt;OP!$C$24,$U717&lt;15),0,IF(AND($U717&lt;16,$T717=12),VLOOKUP($S717,DOWN16,4,0),IF($T717=12,ROUND(VLOOKUP(OP!$C$55,_DIE2,$S717+1,0)*(Z717/10000),0)+IF(AND($P$7="購買增額繳清保險",T717=12,U717=110),VLOOKUP(S717,$B$10:$H$121,7,0),0),"")))</f>
        <v/>
      </c>
      <c r="AD717" s="347"/>
      <c r="AE717" s="350" t="str">
        <f t="shared" ca="1" si="489"/>
        <v/>
      </c>
      <c r="AF717" s="351" t="str">
        <f t="shared" ca="1" si="490"/>
        <v/>
      </c>
      <c r="AG717" s="340"/>
      <c r="AH717" s="340"/>
      <c r="AI717" s="340"/>
      <c r="AJ717" s="340"/>
      <c r="AK717" s="340"/>
      <c r="AL717" s="340"/>
      <c r="AM717" s="340"/>
      <c r="AN717" s="340"/>
      <c r="AO717" s="340"/>
      <c r="AP717" s="340"/>
      <c r="AQ717" s="340"/>
      <c r="AR717" s="340"/>
      <c r="AS717" s="340"/>
      <c r="AT717" s="340"/>
      <c r="AU717" s="340"/>
      <c r="AV717" s="340"/>
      <c r="AY717" s="340"/>
      <c r="AZ717" s="465">
        <f t="shared" ca="1" si="500"/>
        <v>7.3698599999999999E-5</v>
      </c>
      <c r="BA717" s="464">
        <f t="shared" ca="1" si="501"/>
        <v>2.1372602999999999E-3</v>
      </c>
      <c r="BB717" s="465">
        <f t="shared" ca="1" si="501"/>
        <v>2.2109589000000002E-3</v>
      </c>
      <c r="BC717" s="466">
        <f t="shared" ca="1" si="502"/>
        <v>64437</v>
      </c>
      <c r="BD717" s="467">
        <f t="shared" ca="1" si="515"/>
        <v>64438</v>
      </c>
      <c r="BE717" s="467">
        <f t="shared" ca="1" si="503"/>
        <v>64466</v>
      </c>
      <c r="BF717" s="468">
        <f ca="1">IF(計算!$BC717&lt;OP!$C$3,0,BD717-BC717)</f>
        <v>1</v>
      </c>
      <c r="BG717" s="468">
        <f ca="1">IF($BE717&gt;DATE(YEAR($BD$9)+OP!$C$57,MONTH($BD$9),DAY($BD$9)),0,$BE717-$BD717+1)</f>
        <v>29</v>
      </c>
      <c r="BH717" s="469">
        <f t="shared" ca="1" si="504"/>
        <v>30</v>
      </c>
      <c r="BI717">
        <f t="shared" ca="1" si="486"/>
        <v>366</v>
      </c>
      <c r="BJ717">
        <v>12</v>
      </c>
      <c r="BN717" s="468">
        <f t="shared" si="516"/>
        <v>59</v>
      </c>
      <c r="BO717" s="468">
        <f t="shared" si="517"/>
        <v>12</v>
      </c>
      <c r="BP717" s="467">
        <f t="shared" ca="1" si="505"/>
        <v>64438</v>
      </c>
      <c r="BQ717" s="475">
        <f t="shared" ca="1" si="519"/>
        <v>91</v>
      </c>
      <c r="BR717" s="475">
        <f t="shared" si="518"/>
        <v>59</v>
      </c>
      <c r="BS717" s="471">
        <f t="shared" ca="1" si="506"/>
        <v>20052</v>
      </c>
      <c r="BT717" s="472">
        <f t="shared" ca="1" si="487"/>
        <v>1312485</v>
      </c>
      <c r="BU717" s="472">
        <f t="shared" ca="1" si="507"/>
        <v>19590</v>
      </c>
      <c r="BV717" s="472">
        <f t="shared" ca="1" si="507"/>
        <v>462</v>
      </c>
      <c r="BW717" s="472">
        <f ca="1">ROUND(SUM(BY717,BZ705:BZ716),0)</f>
        <v>34358</v>
      </c>
      <c r="BX717" s="473">
        <f t="shared" ca="1" si="508"/>
        <v>1312485.49675327</v>
      </c>
      <c r="BY717" s="473">
        <f t="shared" ca="1" si="509"/>
        <v>95.243519989999996</v>
      </c>
      <c r="BZ717" s="473">
        <f t="shared" ca="1" si="491"/>
        <v>2805.1231465370001</v>
      </c>
      <c r="CA717" s="476">
        <f t="shared" ca="1" si="510"/>
        <v>19590</v>
      </c>
      <c r="CB717" s="494">
        <f ca="1">IF(OR($Q716&lt;&gt;1,OP!$D$5+$BN717-1&lt;16,$BN717-1&lt;1),0,ROUND(ROUND(ROUND(((VLOOKUP($BN717-1,MORE_PV,5,0)/10000)*VLOOKUP($BN717,MORE_PV,$CB$5,0)),3)*VLOOKUP($BN717,more1,5,0),0)/$R716,0))</f>
        <v>462</v>
      </c>
      <c r="CC717" s="473">
        <f t="shared" ca="1" si="511"/>
        <v>0</v>
      </c>
      <c r="CD717" s="477"/>
    </row>
    <row r="718" spans="2:82" ht="16.5" hidden="1">
      <c r="B718" s="80"/>
      <c r="C718" s="80"/>
      <c r="D718" s="80"/>
      <c r="E718" s="80"/>
      <c r="F718" s="80"/>
      <c r="G718" s="80"/>
      <c r="H718" s="80"/>
      <c r="I718" s="80"/>
      <c r="J718" s="192">
        <f t="shared" si="492"/>
        <v>60</v>
      </c>
      <c r="K718" s="192">
        <f t="shared" si="493"/>
        <v>2</v>
      </c>
      <c r="L718" s="192" t="str">
        <f t="shared" si="488"/>
        <v/>
      </c>
      <c r="M718" s="216">
        <f t="shared" ca="1" si="494"/>
        <v>0</v>
      </c>
      <c r="N718" s="216"/>
      <c r="O718" s="216"/>
      <c r="P718" s="216"/>
      <c r="Q718" s="456" t="str">
        <f t="shared" ca="1" si="495"/>
        <v/>
      </c>
      <c r="R718" s="450">
        <f t="shared" ca="1" si="496"/>
        <v>1</v>
      </c>
      <c r="S718" s="191">
        <f t="shared" si="497"/>
        <v>60</v>
      </c>
      <c r="T718" s="191">
        <f t="shared" si="498"/>
        <v>2</v>
      </c>
      <c r="U718" s="191">
        <f ca="1">OP!$D$5+$S718-1</f>
        <v>92</v>
      </c>
      <c r="V718" s="191" t="str">
        <f t="shared" si="499"/>
        <v/>
      </c>
      <c r="W718" s="350">
        <f ca="1">IF(Q718&lt;&gt;1,0,VLOOKUP(OP!$C$55,PVFB,$S718+2,0))</f>
        <v>0</v>
      </c>
      <c r="X718" s="473">
        <f t="shared" ca="1" si="512"/>
        <v>0</v>
      </c>
      <c r="Y718" s="348">
        <f t="shared" ca="1" si="513"/>
        <v>0</v>
      </c>
      <c r="Z718" s="348">
        <f t="shared" ca="1" si="514"/>
        <v>8012</v>
      </c>
      <c r="AA718" s="348">
        <f ca="1">IF(Q718&lt;&gt;1,0,VLOOKUP(OP!$C$55,PVFB,$S718+2,0))</f>
        <v>0</v>
      </c>
      <c r="AB718" s="488" t="str">
        <f ca="1">IF(AND(S718&lt;OP!$C$24,$U718&lt;15),0,IF(AND($U718&lt;15,$T718=12),ROUND(VLOOKUP($S718,DOWN16,5,0),3),IF($T718=12,ROUND(($Z718/10000)*$AA718,3)+IF(AND($P$7="購買增額繳清保險",T718=12,U718=110),VLOOKUP(S718,$B$10:$H$121,7,0),0),"")))</f>
        <v/>
      </c>
      <c r="AC718" s="350" t="str">
        <f ca="1">IF(AND(S718&lt;OP!$C$24,$U718&lt;15),0,IF(AND($U718&lt;16,$T718=12),VLOOKUP($S718,DOWN16,4,0),IF($T718=12,ROUND(VLOOKUP(OP!$C$55,_DIE2,$S718+1,0)*(Z718/10000),0)+IF(AND($P$7="購買增額繳清保險",T718=12,U718=110),VLOOKUP(S718,$B$10:$H$121,7,0),0),"")))</f>
        <v/>
      </c>
      <c r="AD718" s="347"/>
      <c r="AE718" s="350" t="str">
        <f t="shared" ca="1" si="489"/>
        <v/>
      </c>
      <c r="AF718" s="351" t="str">
        <f t="shared" ca="1" si="490"/>
        <v/>
      </c>
      <c r="AG718" s="340"/>
      <c r="AH718" s="340"/>
      <c r="AI718" s="340"/>
      <c r="AJ718" s="340"/>
      <c r="AK718" s="340"/>
      <c r="AL718" s="340"/>
      <c r="AM718" s="340"/>
      <c r="AN718" s="340"/>
      <c r="AO718" s="340"/>
      <c r="AP718" s="340"/>
      <c r="AQ718" s="340"/>
      <c r="AR718" s="340"/>
      <c r="AS718" s="340"/>
      <c r="AT718" s="340"/>
      <c r="AU718" s="340"/>
      <c r="AV718" s="340"/>
      <c r="AY718" s="340"/>
      <c r="AZ718" s="465">
        <f t="shared" ca="1" si="500"/>
        <v>7.3698599999999999E-5</v>
      </c>
      <c r="BA718" s="464">
        <f t="shared" ca="1" si="501"/>
        <v>2.2109589000000002E-3</v>
      </c>
      <c r="BB718" s="465">
        <f t="shared" ca="1" si="501"/>
        <v>2.2846575E-3</v>
      </c>
      <c r="BC718" s="466">
        <f t="shared" ca="1" si="502"/>
        <v>64467</v>
      </c>
      <c r="BD718" s="467">
        <f t="shared" ca="1" si="515"/>
        <v>64468</v>
      </c>
      <c r="BE718" s="467">
        <f t="shared" ca="1" si="503"/>
        <v>64497</v>
      </c>
      <c r="BF718" s="468">
        <f ca="1">IF(計算!$BC718&lt;OP!$C$3,0,BD718-BC718)</f>
        <v>1</v>
      </c>
      <c r="BG718" s="468">
        <f ca="1">IF($BE718&gt;DATE(YEAR($BD$9)+OP!$C$57,MONTH($BD$9),DAY($BD$9)),0,$BE718-$BD718+1)</f>
        <v>30</v>
      </c>
      <c r="BH718" s="469">
        <f t="shared" ca="1" si="504"/>
        <v>31</v>
      </c>
      <c r="BI718" t="str">
        <f t="shared" si="486"/>
        <v/>
      </c>
      <c r="BJ718">
        <v>1</v>
      </c>
      <c r="BN718" s="468">
        <f t="shared" si="516"/>
        <v>60</v>
      </c>
      <c r="BO718" s="468">
        <f t="shared" si="517"/>
        <v>1</v>
      </c>
      <c r="BP718" s="467">
        <f t="shared" ca="1" si="505"/>
        <v>64468</v>
      </c>
      <c r="BQ718" s="475">
        <f t="shared" ca="1" si="519"/>
        <v>92</v>
      </c>
      <c r="BR718" s="475" t="str">
        <f t="shared" si="518"/>
        <v/>
      </c>
      <c r="BS718" s="471" t="str">
        <f t="shared" si="506"/>
        <v/>
      </c>
      <c r="BT718" s="472" t="str">
        <f t="shared" si="487"/>
        <v/>
      </c>
      <c r="BU718" s="472">
        <f t="shared" ca="1" si="507"/>
        <v>0</v>
      </c>
      <c r="BV718" s="472">
        <f t="shared" ca="1" si="507"/>
        <v>0</v>
      </c>
      <c r="BW718" s="472"/>
      <c r="BX718" s="473">
        <f t="shared" ca="1" si="508"/>
        <v>1315290.6198998101</v>
      </c>
      <c r="BY718" s="473">
        <f t="shared" si="509"/>
        <v>0</v>
      </c>
      <c r="BZ718" s="473">
        <f t="shared" ca="1" si="491"/>
        <v>3004.9885794339998</v>
      </c>
      <c r="CA718" s="476">
        <f t="shared" ca="1" si="510"/>
        <v>0</v>
      </c>
      <c r="CB718" s="494">
        <f ca="1">IF(OR($Q717&lt;&gt;1,OP!$D$5+$BN718-1&lt;16,$BN718-1&lt;1),0,ROUND(ROUND(ROUND(((VLOOKUP($BN718-1,MORE_PV,5,0)/10000)*VLOOKUP($BN718,MORE_PV,$CB$5,0)),3)*VLOOKUP($BN718,more1,5,0),0)/$R717,0))</f>
        <v>0</v>
      </c>
      <c r="CC718" s="473">
        <f t="shared" ca="1" si="511"/>
        <v>0</v>
      </c>
      <c r="CD718" s="477"/>
    </row>
    <row r="719" spans="2:82" ht="16.5" hidden="1">
      <c r="B719" s="80"/>
      <c r="C719" s="80"/>
      <c r="D719" s="80"/>
      <c r="E719" s="80"/>
      <c r="F719" s="80"/>
      <c r="G719" s="80"/>
      <c r="H719" s="80"/>
      <c r="I719" s="80"/>
      <c r="J719" s="192">
        <f t="shared" si="492"/>
        <v>60</v>
      </c>
      <c r="K719" s="192">
        <f t="shared" si="493"/>
        <v>3</v>
      </c>
      <c r="L719" s="192" t="str">
        <f t="shared" si="488"/>
        <v/>
      </c>
      <c r="M719" s="216">
        <f t="shared" ca="1" si="494"/>
        <v>0</v>
      </c>
      <c r="N719" s="216"/>
      <c r="O719" s="216"/>
      <c r="P719" s="216"/>
      <c r="Q719" s="456" t="str">
        <f t="shared" ca="1" si="495"/>
        <v/>
      </c>
      <c r="R719" s="450">
        <f t="shared" ca="1" si="496"/>
        <v>1</v>
      </c>
      <c r="S719" s="191">
        <f t="shared" si="497"/>
        <v>60</v>
      </c>
      <c r="T719" s="191">
        <f t="shared" si="498"/>
        <v>3</v>
      </c>
      <c r="U719" s="191">
        <f ca="1">OP!$D$5+$S719-1</f>
        <v>92</v>
      </c>
      <c r="V719" s="191" t="str">
        <f t="shared" si="499"/>
        <v/>
      </c>
      <c r="W719" s="350">
        <f ca="1">IF(Q719&lt;&gt;1,0,VLOOKUP(OP!$C$55,PVFB,$S719+2,0))</f>
        <v>0</v>
      </c>
      <c r="X719" s="473">
        <f t="shared" ca="1" si="512"/>
        <v>0</v>
      </c>
      <c r="Y719" s="348">
        <f t="shared" ca="1" si="513"/>
        <v>0</v>
      </c>
      <c r="Z719" s="348">
        <f t="shared" ca="1" si="514"/>
        <v>8012</v>
      </c>
      <c r="AA719" s="348">
        <f ca="1">IF(Q719&lt;&gt;1,0,VLOOKUP(OP!$C$55,PVFB,$S719+2,0))</f>
        <v>0</v>
      </c>
      <c r="AB719" s="488" t="str">
        <f ca="1">IF(AND(S719&lt;OP!$C$24,$U719&lt;15),0,IF(AND($U719&lt;15,$T719=12),ROUND(VLOOKUP($S719,DOWN16,5,0),3),IF($T719=12,ROUND(($Z719/10000)*$AA719,3)+IF(AND($P$7="購買增額繳清保險",T719=12,U719=110),VLOOKUP(S719,$B$10:$H$121,7,0),0),"")))</f>
        <v/>
      </c>
      <c r="AC719" s="350" t="str">
        <f ca="1">IF(AND(S719&lt;OP!$C$24,$U719&lt;15),0,IF(AND($U719&lt;16,$T719=12),VLOOKUP($S719,DOWN16,4,0),IF($T719=12,ROUND(VLOOKUP(OP!$C$55,_DIE2,$S719+1,0)*(Z719/10000),0)+IF(AND($P$7="購買增額繳清保險",T719=12,U719=110),VLOOKUP(S719,$B$10:$H$121,7,0),0),"")))</f>
        <v/>
      </c>
      <c r="AD719" s="347"/>
      <c r="AE719" s="350" t="str">
        <f t="shared" ca="1" si="489"/>
        <v/>
      </c>
      <c r="AF719" s="351" t="str">
        <f t="shared" ca="1" si="490"/>
        <v/>
      </c>
      <c r="AG719" s="340"/>
      <c r="AH719" s="340"/>
      <c r="AI719" s="340"/>
      <c r="AJ719" s="340"/>
      <c r="AK719" s="340"/>
      <c r="AL719" s="340"/>
      <c r="AM719" s="340"/>
      <c r="AN719" s="340"/>
      <c r="AO719" s="340"/>
      <c r="AP719" s="340"/>
      <c r="AQ719" s="340"/>
      <c r="AR719" s="340"/>
      <c r="AS719" s="340"/>
      <c r="AT719" s="340"/>
      <c r="AU719" s="340"/>
      <c r="AV719" s="340"/>
      <c r="AY719" s="340"/>
      <c r="AZ719" s="465">
        <f t="shared" ca="1" si="500"/>
        <v>7.3698599999999999E-5</v>
      </c>
      <c r="BA719" s="464">
        <f t="shared" ca="1" si="501"/>
        <v>2.2109589000000002E-3</v>
      </c>
      <c r="BB719" s="465">
        <f t="shared" ca="1" si="501"/>
        <v>2.2846575E-3</v>
      </c>
      <c r="BC719" s="466">
        <f t="shared" ca="1" si="502"/>
        <v>64498</v>
      </c>
      <c r="BD719" s="467">
        <f t="shared" ca="1" si="515"/>
        <v>64499</v>
      </c>
      <c r="BE719" s="467">
        <f t="shared" ca="1" si="503"/>
        <v>64528</v>
      </c>
      <c r="BF719" s="468">
        <f ca="1">IF(計算!$BC719&lt;OP!$C$3,0,BD719-BC719)</f>
        <v>1</v>
      </c>
      <c r="BG719" s="468">
        <f ca="1">IF($BE719&gt;DATE(YEAR($BD$9)+OP!$C$57,MONTH($BD$9),DAY($BD$9)),0,$BE719-$BD719+1)</f>
        <v>30</v>
      </c>
      <c r="BH719" s="469">
        <f t="shared" ca="1" si="504"/>
        <v>31</v>
      </c>
      <c r="BI719" t="str">
        <f t="shared" si="486"/>
        <v/>
      </c>
      <c r="BJ719">
        <v>2</v>
      </c>
      <c r="BN719" s="468">
        <f t="shared" si="516"/>
        <v>60</v>
      </c>
      <c r="BO719" s="468">
        <f t="shared" si="517"/>
        <v>2</v>
      </c>
      <c r="BP719" s="467">
        <f t="shared" ca="1" si="505"/>
        <v>64499</v>
      </c>
      <c r="BQ719" s="475">
        <f t="shared" ca="1" si="519"/>
        <v>92</v>
      </c>
      <c r="BR719" s="475" t="str">
        <f t="shared" si="518"/>
        <v/>
      </c>
      <c r="BS719" s="471" t="str">
        <f t="shared" si="506"/>
        <v/>
      </c>
      <c r="BT719" s="472" t="str">
        <f t="shared" si="487"/>
        <v/>
      </c>
      <c r="BU719" s="472">
        <f t="shared" ca="1" si="507"/>
        <v>0</v>
      </c>
      <c r="BV719" s="472">
        <f t="shared" ca="1" si="507"/>
        <v>0</v>
      </c>
      <c r="BW719" s="472"/>
      <c r="BX719" s="473">
        <f t="shared" ca="1" si="508"/>
        <v>1318295.60847924</v>
      </c>
      <c r="BY719" s="473">
        <f t="shared" si="509"/>
        <v>0</v>
      </c>
      <c r="BZ719" s="473">
        <f t="shared" ca="1" si="491"/>
        <v>3011.8539491289998</v>
      </c>
      <c r="CA719" s="476">
        <f t="shared" ca="1" si="510"/>
        <v>0</v>
      </c>
      <c r="CB719" s="494">
        <f ca="1">IF(OR($Q718&lt;&gt;1,OP!$D$5+$BN719-1&lt;16,$BN719-1&lt;1),0,ROUND(ROUND(ROUND(((VLOOKUP($BN719-1,MORE_PV,5,0)/10000)*VLOOKUP($BN719,MORE_PV,$CB$5,0)),3)*VLOOKUP($BN719,more1,5,0),0)/$R718,0))</f>
        <v>0</v>
      </c>
      <c r="CC719" s="473">
        <f t="shared" ca="1" si="511"/>
        <v>0</v>
      </c>
      <c r="CD719" s="477"/>
    </row>
    <row r="720" spans="2:82" ht="16.5" hidden="1">
      <c r="B720" s="80"/>
      <c r="C720" s="80"/>
      <c r="D720" s="80"/>
      <c r="E720" s="80"/>
      <c r="F720" s="80"/>
      <c r="G720" s="80"/>
      <c r="H720" s="80"/>
      <c r="I720" s="80"/>
      <c r="J720" s="192">
        <f t="shared" si="492"/>
        <v>60</v>
      </c>
      <c r="K720" s="192">
        <f t="shared" si="493"/>
        <v>4</v>
      </c>
      <c r="L720" s="192" t="str">
        <f t="shared" si="488"/>
        <v/>
      </c>
      <c r="M720" s="216">
        <f t="shared" ca="1" si="494"/>
        <v>0</v>
      </c>
      <c r="N720" s="216"/>
      <c r="O720" s="216"/>
      <c r="P720" s="216"/>
      <c r="Q720" s="456" t="str">
        <f t="shared" ca="1" si="495"/>
        <v/>
      </c>
      <c r="R720" s="450">
        <f t="shared" ca="1" si="496"/>
        <v>1</v>
      </c>
      <c r="S720" s="191">
        <f t="shared" si="497"/>
        <v>60</v>
      </c>
      <c r="T720" s="191">
        <f t="shared" si="498"/>
        <v>4</v>
      </c>
      <c r="U720" s="191">
        <f ca="1">OP!$D$5+$S720-1</f>
        <v>92</v>
      </c>
      <c r="V720" s="191" t="str">
        <f t="shared" si="499"/>
        <v/>
      </c>
      <c r="W720" s="350">
        <f ca="1">IF(Q720&lt;&gt;1,0,VLOOKUP(OP!$C$55,PVFB,$S720+2,0))</f>
        <v>0</v>
      </c>
      <c r="X720" s="473">
        <f t="shared" ca="1" si="512"/>
        <v>0</v>
      </c>
      <c r="Y720" s="348">
        <f t="shared" ca="1" si="513"/>
        <v>0</v>
      </c>
      <c r="Z720" s="348">
        <f t="shared" ca="1" si="514"/>
        <v>8012</v>
      </c>
      <c r="AA720" s="348">
        <f ca="1">IF(Q720&lt;&gt;1,0,VLOOKUP(OP!$C$55,PVFB,$S720+2,0))</f>
        <v>0</v>
      </c>
      <c r="AB720" s="488" t="str">
        <f ca="1">IF(AND(S720&lt;OP!$C$24,$U720&lt;15),0,IF(AND($U720&lt;15,$T720=12),ROUND(VLOOKUP($S720,DOWN16,5,0),3),IF($T720=12,ROUND(($Z720/10000)*$AA720,3)+IF(AND($P$7="購買增額繳清保險",T720=12,U720=110),VLOOKUP(S720,$B$10:$H$121,7,0),0),"")))</f>
        <v/>
      </c>
      <c r="AC720" s="350" t="str">
        <f ca="1">IF(AND(S720&lt;OP!$C$24,$U720&lt;15),0,IF(AND($U720&lt;16,$T720=12),VLOOKUP($S720,DOWN16,4,0),IF($T720=12,ROUND(VLOOKUP(OP!$C$55,_DIE2,$S720+1,0)*(Z720/10000),0)+IF(AND($P$7="購買增額繳清保險",T720=12,U720=110),VLOOKUP(S720,$B$10:$H$121,7,0),0),"")))</f>
        <v/>
      </c>
      <c r="AD720" s="347"/>
      <c r="AE720" s="350" t="str">
        <f t="shared" ca="1" si="489"/>
        <v/>
      </c>
      <c r="AF720" s="351" t="str">
        <f t="shared" ca="1" si="490"/>
        <v/>
      </c>
      <c r="AG720" s="340"/>
      <c r="AH720" s="340"/>
      <c r="AI720" s="340"/>
      <c r="AJ720" s="340"/>
      <c r="AK720" s="340"/>
      <c r="AL720" s="340"/>
      <c r="AM720" s="340"/>
      <c r="AN720" s="340"/>
      <c r="AO720" s="340"/>
      <c r="AP720" s="340"/>
      <c r="AQ720" s="340"/>
      <c r="AR720" s="340"/>
      <c r="AS720" s="340"/>
      <c r="AT720" s="340"/>
      <c r="AU720" s="340"/>
      <c r="AV720" s="340"/>
      <c r="AY720" s="340"/>
      <c r="AZ720" s="465">
        <f t="shared" ca="1" si="500"/>
        <v>7.3698599999999999E-5</v>
      </c>
      <c r="BA720" s="464">
        <f t="shared" ca="1" si="501"/>
        <v>2.1372602999999999E-3</v>
      </c>
      <c r="BB720" s="465">
        <f t="shared" ca="1" si="501"/>
        <v>2.2109589000000002E-3</v>
      </c>
      <c r="BC720" s="466">
        <f t="shared" ca="1" si="502"/>
        <v>64529</v>
      </c>
      <c r="BD720" s="467">
        <f t="shared" ca="1" si="515"/>
        <v>64530</v>
      </c>
      <c r="BE720" s="467">
        <f t="shared" ca="1" si="503"/>
        <v>64558</v>
      </c>
      <c r="BF720" s="468">
        <f ca="1">IF(計算!$BC720&lt;OP!$C$3,0,BD720-BC720)</f>
        <v>1</v>
      </c>
      <c r="BG720" s="468">
        <f ca="1">IF($BE720&gt;DATE(YEAR($BD$9)+OP!$C$57,MONTH($BD$9),DAY($BD$9)),0,$BE720-$BD720+1)</f>
        <v>29</v>
      </c>
      <c r="BH720" s="469">
        <f t="shared" ca="1" si="504"/>
        <v>30</v>
      </c>
      <c r="BI720" t="str">
        <f t="shared" si="486"/>
        <v/>
      </c>
      <c r="BJ720">
        <v>3</v>
      </c>
      <c r="BN720" s="468">
        <f t="shared" si="516"/>
        <v>60</v>
      </c>
      <c r="BO720" s="468">
        <f t="shared" si="517"/>
        <v>3</v>
      </c>
      <c r="BP720" s="467">
        <f t="shared" ca="1" si="505"/>
        <v>64530</v>
      </c>
      <c r="BQ720" s="475">
        <f t="shared" ca="1" si="519"/>
        <v>92</v>
      </c>
      <c r="BR720" s="475" t="str">
        <f t="shared" si="518"/>
        <v/>
      </c>
      <c r="BS720" s="471" t="str">
        <f t="shared" si="506"/>
        <v/>
      </c>
      <c r="BT720" s="472" t="str">
        <f t="shared" si="487"/>
        <v/>
      </c>
      <c r="BU720" s="472">
        <f t="shared" ca="1" si="507"/>
        <v>0</v>
      </c>
      <c r="BV720" s="472">
        <f t="shared" ca="1" si="507"/>
        <v>0</v>
      </c>
      <c r="BW720" s="472"/>
      <c r="BX720" s="473">
        <f t="shared" ca="1" si="508"/>
        <v>1321307.46242837</v>
      </c>
      <c r="BY720" s="473">
        <f t="shared" si="509"/>
        <v>0</v>
      </c>
      <c r="BZ720" s="473">
        <f t="shared" ca="1" si="491"/>
        <v>2921.3564936920002</v>
      </c>
      <c r="CA720" s="476">
        <f t="shared" ca="1" si="510"/>
        <v>0</v>
      </c>
      <c r="CB720" s="494">
        <f ca="1">IF(OR($Q719&lt;&gt;1,OP!$D$5+$BN720-1&lt;16,$BN720-1&lt;1),0,ROUND(ROUND(ROUND(((VLOOKUP($BN720-1,MORE_PV,5,0)/10000)*VLOOKUP($BN720,MORE_PV,$CB$5,0)),3)*VLOOKUP($BN720,more1,5,0),0)/$R719,0))</f>
        <v>0</v>
      </c>
      <c r="CC720" s="473">
        <f t="shared" ca="1" si="511"/>
        <v>0</v>
      </c>
      <c r="CD720" s="477"/>
    </row>
    <row r="721" spans="2:82" ht="16.5" hidden="1">
      <c r="B721" s="80"/>
      <c r="C721" s="80"/>
      <c r="D721" s="80"/>
      <c r="E721" s="80"/>
      <c r="F721" s="80"/>
      <c r="G721" s="80"/>
      <c r="H721" s="80"/>
      <c r="I721" s="80"/>
      <c r="J721" s="192">
        <f t="shared" si="492"/>
        <v>60</v>
      </c>
      <c r="K721" s="192">
        <f t="shared" si="493"/>
        <v>5</v>
      </c>
      <c r="L721" s="192" t="str">
        <f t="shared" si="488"/>
        <v/>
      </c>
      <c r="M721" s="216">
        <f t="shared" ca="1" si="494"/>
        <v>0</v>
      </c>
      <c r="N721" s="216"/>
      <c r="O721" s="216"/>
      <c r="P721" s="216"/>
      <c r="Q721" s="456" t="str">
        <f t="shared" ca="1" si="495"/>
        <v/>
      </c>
      <c r="R721" s="450">
        <f t="shared" ca="1" si="496"/>
        <v>1</v>
      </c>
      <c r="S721" s="191">
        <f t="shared" si="497"/>
        <v>60</v>
      </c>
      <c r="T721" s="191">
        <f t="shared" si="498"/>
        <v>5</v>
      </c>
      <c r="U721" s="191">
        <f ca="1">OP!$D$5+$S721-1</f>
        <v>92</v>
      </c>
      <c r="V721" s="191" t="str">
        <f t="shared" si="499"/>
        <v/>
      </c>
      <c r="W721" s="350">
        <f ca="1">IF(Q721&lt;&gt;1,0,VLOOKUP(OP!$C$55,PVFB,$S721+2,0))</f>
        <v>0</v>
      </c>
      <c r="X721" s="473">
        <f t="shared" ca="1" si="512"/>
        <v>0</v>
      </c>
      <c r="Y721" s="348">
        <f t="shared" ca="1" si="513"/>
        <v>0</v>
      </c>
      <c r="Z721" s="348">
        <f t="shared" ca="1" si="514"/>
        <v>8012</v>
      </c>
      <c r="AA721" s="348">
        <f ca="1">IF(Q721&lt;&gt;1,0,VLOOKUP(OP!$C$55,PVFB,$S721+2,0))</f>
        <v>0</v>
      </c>
      <c r="AB721" s="488" t="str">
        <f ca="1">IF(AND(S721&lt;OP!$C$24,$U721&lt;15),0,IF(AND($U721&lt;15,$T721=12),ROUND(VLOOKUP($S721,DOWN16,5,0),3),IF($T721=12,ROUND(($Z721/10000)*$AA721,3)+IF(AND($P$7="購買增額繳清保險",T721=12,U721=110),VLOOKUP(S721,$B$10:$H$121,7,0),0),"")))</f>
        <v/>
      </c>
      <c r="AC721" s="350" t="str">
        <f ca="1">IF(AND(S721&lt;OP!$C$24,$U721&lt;15),0,IF(AND($U721&lt;16,$T721=12),VLOOKUP($S721,DOWN16,4,0),IF($T721=12,ROUND(VLOOKUP(OP!$C$55,_DIE2,$S721+1,0)*(Z721/10000),0)+IF(AND($P$7="購買增額繳清保險",T721=12,U721=110),VLOOKUP(S721,$B$10:$H$121,7,0),0),"")))</f>
        <v/>
      </c>
      <c r="AD721" s="347"/>
      <c r="AE721" s="350" t="str">
        <f t="shared" ca="1" si="489"/>
        <v/>
      </c>
      <c r="AF721" s="351" t="str">
        <f t="shared" ca="1" si="490"/>
        <v/>
      </c>
      <c r="AG721" s="340"/>
      <c r="AH721" s="340"/>
      <c r="AI721" s="340"/>
      <c r="AJ721" s="340"/>
      <c r="AK721" s="340"/>
      <c r="AL721" s="340"/>
      <c r="AM721" s="340"/>
      <c r="AN721" s="340"/>
      <c r="AO721" s="340"/>
      <c r="AP721" s="340"/>
      <c r="AQ721" s="340"/>
      <c r="AR721" s="340"/>
      <c r="AS721" s="340"/>
      <c r="AT721" s="340"/>
      <c r="AU721" s="340"/>
      <c r="AV721" s="340"/>
      <c r="AY721" s="340"/>
      <c r="AZ721" s="465">
        <f t="shared" ca="1" si="500"/>
        <v>7.3698599999999999E-5</v>
      </c>
      <c r="BA721" s="464">
        <f t="shared" ca="1" si="501"/>
        <v>2.2109589000000002E-3</v>
      </c>
      <c r="BB721" s="465">
        <f t="shared" ca="1" si="501"/>
        <v>2.2846575E-3</v>
      </c>
      <c r="BC721" s="466">
        <f t="shared" ca="1" si="502"/>
        <v>64559</v>
      </c>
      <c r="BD721" s="467">
        <f t="shared" ca="1" si="515"/>
        <v>64560</v>
      </c>
      <c r="BE721" s="467">
        <f t="shared" ca="1" si="503"/>
        <v>64589</v>
      </c>
      <c r="BF721" s="468">
        <f ca="1">IF(計算!$BC721&lt;OP!$C$3,0,BD721-BC721)</f>
        <v>1</v>
      </c>
      <c r="BG721" s="468">
        <f ca="1">IF($BE721&gt;DATE(YEAR($BD$9)+OP!$C$57,MONTH($BD$9),DAY($BD$9)),0,$BE721-$BD721+1)</f>
        <v>30</v>
      </c>
      <c r="BH721" s="469">
        <f t="shared" ca="1" si="504"/>
        <v>31</v>
      </c>
      <c r="BI721" t="str">
        <f t="shared" si="486"/>
        <v/>
      </c>
      <c r="BJ721">
        <v>4</v>
      </c>
      <c r="BN721" s="468">
        <f t="shared" si="516"/>
        <v>60</v>
      </c>
      <c r="BO721" s="468">
        <f t="shared" si="517"/>
        <v>4</v>
      </c>
      <c r="BP721" s="467">
        <f t="shared" ca="1" si="505"/>
        <v>64560</v>
      </c>
      <c r="BQ721" s="475">
        <f t="shared" ca="1" si="519"/>
        <v>92</v>
      </c>
      <c r="BR721" s="475" t="str">
        <f t="shared" si="518"/>
        <v/>
      </c>
      <c r="BS721" s="471" t="str">
        <f t="shared" si="506"/>
        <v/>
      </c>
      <c r="BT721" s="472" t="str">
        <f t="shared" si="487"/>
        <v/>
      </c>
      <c r="BU721" s="472">
        <f t="shared" ca="1" si="507"/>
        <v>0</v>
      </c>
      <c r="BV721" s="472">
        <f t="shared" ca="1" si="507"/>
        <v>0</v>
      </c>
      <c r="BW721" s="472"/>
      <c r="BX721" s="473">
        <f t="shared" ca="1" si="508"/>
        <v>1324228.8189220601</v>
      </c>
      <c r="BY721" s="473">
        <f t="shared" si="509"/>
        <v>0</v>
      </c>
      <c r="BZ721" s="473">
        <f t="shared" ca="1" si="491"/>
        <v>3025.409302866</v>
      </c>
      <c r="CA721" s="476">
        <f t="shared" ca="1" si="510"/>
        <v>0</v>
      </c>
      <c r="CB721" s="494">
        <f ca="1">IF(OR($Q720&lt;&gt;1,OP!$D$5+$BN721-1&lt;16,$BN721-1&lt;1),0,ROUND(ROUND(ROUND(((VLOOKUP($BN721-1,MORE_PV,5,0)/10000)*VLOOKUP($BN721,MORE_PV,$CB$5,0)),3)*VLOOKUP($BN721,more1,5,0),0)/$R720,0))</f>
        <v>0</v>
      </c>
      <c r="CC721" s="473">
        <f t="shared" ca="1" si="511"/>
        <v>0</v>
      </c>
      <c r="CD721" s="477"/>
    </row>
    <row r="722" spans="2:82" ht="16.5" hidden="1">
      <c r="B722" s="80"/>
      <c r="C722" s="80"/>
      <c r="D722" s="80"/>
      <c r="E722" s="80"/>
      <c r="F722" s="80"/>
      <c r="G722" s="80"/>
      <c r="H722" s="80"/>
      <c r="I722" s="80"/>
      <c r="J722" s="192">
        <f t="shared" si="492"/>
        <v>60</v>
      </c>
      <c r="K722" s="192">
        <f t="shared" si="493"/>
        <v>6</v>
      </c>
      <c r="L722" s="192" t="str">
        <f t="shared" si="488"/>
        <v/>
      </c>
      <c r="M722" s="216">
        <f t="shared" ca="1" si="494"/>
        <v>0</v>
      </c>
      <c r="N722" s="216"/>
      <c r="O722" s="216"/>
      <c r="P722" s="216"/>
      <c r="Q722" s="456" t="str">
        <f t="shared" ca="1" si="495"/>
        <v/>
      </c>
      <c r="R722" s="450">
        <f t="shared" ca="1" si="496"/>
        <v>1</v>
      </c>
      <c r="S722" s="191">
        <f t="shared" si="497"/>
        <v>60</v>
      </c>
      <c r="T722" s="191">
        <f t="shared" si="498"/>
        <v>6</v>
      </c>
      <c r="U722" s="191">
        <f ca="1">OP!$D$5+$S722-1</f>
        <v>92</v>
      </c>
      <c r="V722" s="191" t="str">
        <f t="shared" si="499"/>
        <v/>
      </c>
      <c r="W722" s="350">
        <f ca="1">IF(Q722&lt;&gt;1,0,VLOOKUP(OP!$C$55,PVFB,$S722+2,0))</f>
        <v>0</v>
      </c>
      <c r="X722" s="473">
        <f t="shared" ca="1" si="512"/>
        <v>0</v>
      </c>
      <c r="Y722" s="348">
        <f t="shared" ca="1" si="513"/>
        <v>0</v>
      </c>
      <c r="Z722" s="348">
        <f t="shared" ca="1" si="514"/>
        <v>8012</v>
      </c>
      <c r="AA722" s="348">
        <f ca="1">IF(Q722&lt;&gt;1,0,VLOOKUP(OP!$C$55,PVFB,$S722+2,0))</f>
        <v>0</v>
      </c>
      <c r="AB722" s="488" t="str">
        <f ca="1">IF(AND(S722&lt;OP!$C$24,$U722&lt;15),0,IF(AND($U722&lt;15,$T722=12),ROUND(VLOOKUP($S722,DOWN16,5,0),3),IF($T722=12,ROUND(($Z722/10000)*$AA722,3)+IF(AND($P$7="購買增額繳清保險",T722=12,U722=110),VLOOKUP(S722,$B$10:$H$121,7,0),0),"")))</f>
        <v/>
      </c>
      <c r="AC722" s="350" t="str">
        <f ca="1">IF(AND(S722&lt;OP!$C$24,$U722&lt;15),0,IF(AND($U722&lt;16,$T722=12),VLOOKUP($S722,DOWN16,4,0),IF($T722=12,ROUND(VLOOKUP(OP!$C$55,_DIE2,$S722+1,0)*(Z722/10000),0)+IF(AND($P$7="購買增額繳清保險",T722=12,U722=110),VLOOKUP(S722,$B$10:$H$121,7,0),0),"")))</f>
        <v/>
      </c>
      <c r="AD722" s="347"/>
      <c r="AE722" s="350" t="str">
        <f t="shared" ca="1" si="489"/>
        <v/>
      </c>
      <c r="AF722" s="351" t="str">
        <f t="shared" ca="1" si="490"/>
        <v/>
      </c>
      <c r="AG722" s="340"/>
      <c r="AH722" s="340"/>
      <c r="AI722" s="340"/>
      <c r="AJ722" s="340"/>
      <c r="AK722" s="340"/>
      <c r="AL722" s="340"/>
      <c r="AM722" s="340"/>
      <c r="AN722" s="340"/>
      <c r="AO722" s="340"/>
      <c r="AP722" s="340"/>
      <c r="AQ722" s="340"/>
      <c r="AR722" s="340"/>
      <c r="AS722" s="340"/>
      <c r="AT722" s="340"/>
      <c r="AU722" s="340"/>
      <c r="AV722" s="340"/>
      <c r="AY722" s="340"/>
      <c r="AZ722" s="465">
        <f t="shared" ca="1" si="500"/>
        <v>7.3698599999999999E-5</v>
      </c>
      <c r="BA722" s="464">
        <f t="shared" ca="1" si="501"/>
        <v>2.1372602999999999E-3</v>
      </c>
      <c r="BB722" s="465">
        <f t="shared" ca="1" si="501"/>
        <v>2.2109589000000002E-3</v>
      </c>
      <c r="BC722" s="466">
        <f t="shared" ca="1" si="502"/>
        <v>64590</v>
      </c>
      <c r="BD722" s="467">
        <f t="shared" ca="1" si="515"/>
        <v>64591</v>
      </c>
      <c r="BE722" s="467">
        <f t="shared" ca="1" si="503"/>
        <v>64619</v>
      </c>
      <c r="BF722" s="468">
        <f ca="1">IF(計算!$BC722&lt;OP!$C$3,0,BD722-BC722)</f>
        <v>1</v>
      </c>
      <c r="BG722" s="468">
        <f ca="1">IF($BE722&gt;DATE(YEAR($BD$9)+OP!$C$57,MONTH($BD$9),DAY($BD$9)),0,$BE722-$BD722+1)</f>
        <v>29</v>
      </c>
      <c r="BH722" s="469">
        <f t="shared" ca="1" si="504"/>
        <v>30</v>
      </c>
      <c r="BI722" t="str">
        <f t="shared" si="486"/>
        <v/>
      </c>
      <c r="BJ722">
        <v>5</v>
      </c>
      <c r="BN722" s="468">
        <f t="shared" si="516"/>
        <v>60</v>
      </c>
      <c r="BO722" s="468">
        <f t="shared" si="517"/>
        <v>5</v>
      </c>
      <c r="BP722" s="467">
        <f t="shared" ca="1" si="505"/>
        <v>64591</v>
      </c>
      <c r="BQ722" s="475">
        <f t="shared" ca="1" si="519"/>
        <v>92</v>
      </c>
      <c r="BR722" s="475" t="str">
        <f t="shared" si="518"/>
        <v/>
      </c>
      <c r="BS722" s="471" t="str">
        <f t="shared" si="506"/>
        <v/>
      </c>
      <c r="BT722" s="472" t="str">
        <f t="shared" si="487"/>
        <v/>
      </c>
      <c r="BU722" s="472">
        <f t="shared" ca="1" si="507"/>
        <v>0</v>
      </c>
      <c r="BV722" s="472">
        <f t="shared" ca="1" si="507"/>
        <v>0</v>
      </c>
      <c r="BW722" s="472"/>
      <c r="BX722" s="473">
        <f t="shared" ca="1" si="508"/>
        <v>1327254.2282249299</v>
      </c>
      <c r="BY722" s="473">
        <f t="shared" si="509"/>
        <v>0</v>
      </c>
      <c r="BZ722" s="473">
        <f t="shared" ca="1" si="491"/>
        <v>2934.5045484570001</v>
      </c>
      <c r="CA722" s="476">
        <f t="shared" ca="1" si="510"/>
        <v>0</v>
      </c>
      <c r="CB722" s="494">
        <f ca="1">IF(OR($Q721&lt;&gt;1,OP!$D$5+$BN722-1&lt;16,$BN722-1&lt;1),0,ROUND(ROUND(ROUND(((VLOOKUP($BN722-1,MORE_PV,5,0)/10000)*VLOOKUP($BN722,MORE_PV,$CB$5,0)),3)*VLOOKUP($BN722,more1,5,0),0)/$R721,0))</f>
        <v>0</v>
      </c>
      <c r="CC722" s="473">
        <f t="shared" ca="1" si="511"/>
        <v>0</v>
      </c>
      <c r="CD722" s="477"/>
    </row>
    <row r="723" spans="2:82" ht="16.5" hidden="1">
      <c r="B723" s="80"/>
      <c r="C723" s="80"/>
      <c r="D723" s="80"/>
      <c r="E723" s="80"/>
      <c r="F723" s="80"/>
      <c r="G723" s="80"/>
      <c r="H723" s="80"/>
      <c r="I723" s="80"/>
      <c r="J723" s="192">
        <f t="shared" si="492"/>
        <v>60</v>
      </c>
      <c r="K723" s="192">
        <f t="shared" si="493"/>
        <v>7</v>
      </c>
      <c r="L723" s="192" t="str">
        <f t="shared" si="488"/>
        <v/>
      </c>
      <c r="M723" s="216">
        <f t="shared" ca="1" si="494"/>
        <v>0</v>
      </c>
      <c r="N723" s="216"/>
      <c r="O723" s="216"/>
      <c r="P723" s="216"/>
      <c r="Q723" s="456" t="str">
        <f t="shared" ca="1" si="495"/>
        <v/>
      </c>
      <c r="R723" s="450">
        <f t="shared" ca="1" si="496"/>
        <v>1</v>
      </c>
      <c r="S723" s="191">
        <f t="shared" si="497"/>
        <v>60</v>
      </c>
      <c r="T723" s="191">
        <f t="shared" si="498"/>
        <v>7</v>
      </c>
      <c r="U723" s="191">
        <f ca="1">OP!$D$5+$S723-1</f>
        <v>92</v>
      </c>
      <c r="V723" s="191" t="str">
        <f t="shared" si="499"/>
        <v/>
      </c>
      <c r="W723" s="350">
        <f ca="1">IF(Q723&lt;&gt;1,0,VLOOKUP(OP!$C$55,PVFB,$S723+2,0))</f>
        <v>0</v>
      </c>
      <c r="X723" s="473">
        <f t="shared" ca="1" si="512"/>
        <v>0</v>
      </c>
      <c r="Y723" s="348">
        <f t="shared" ca="1" si="513"/>
        <v>0</v>
      </c>
      <c r="Z723" s="348">
        <f t="shared" ca="1" si="514"/>
        <v>8012</v>
      </c>
      <c r="AA723" s="348">
        <f ca="1">IF(Q723&lt;&gt;1,0,VLOOKUP(OP!$C$55,PVFB,$S723+2,0))</f>
        <v>0</v>
      </c>
      <c r="AB723" s="488" t="str">
        <f ca="1">IF(AND(S723&lt;OP!$C$24,$U723&lt;15),0,IF(AND($U723&lt;15,$T723=12),ROUND(VLOOKUP($S723,DOWN16,5,0),3),IF($T723=12,ROUND(($Z723/10000)*$AA723,3)+IF(AND($P$7="購買增額繳清保險",T723=12,U723=110),VLOOKUP(S723,$B$10:$H$121,7,0),0),"")))</f>
        <v/>
      </c>
      <c r="AC723" s="350" t="str">
        <f ca="1">IF(AND(S723&lt;OP!$C$24,$U723&lt;15),0,IF(AND($U723&lt;16,$T723=12),VLOOKUP($S723,DOWN16,4,0),IF($T723=12,ROUND(VLOOKUP(OP!$C$55,_DIE2,$S723+1,0)*(Z723/10000),0)+IF(AND($P$7="購買增額繳清保險",T723=12,U723=110),VLOOKUP(S723,$B$10:$H$121,7,0),0),"")))</f>
        <v/>
      </c>
      <c r="AD723" s="347"/>
      <c r="AE723" s="350" t="str">
        <f t="shared" ca="1" si="489"/>
        <v/>
      </c>
      <c r="AF723" s="351" t="str">
        <f t="shared" ca="1" si="490"/>
        <v/>
      </c>
      <c r="AG723" s="340"/>
      <c r="AH723" s="340"/>
      <c r="AI723" s="340"/>
      <c r="AJ723" s="340"/>
      <c r="AK723" s="340"/>
      <c r="AL723" s="340"/>
      <c r="AM723" s="340"/>
      <c r="AN723" s="340"/>
      <c r="AO723" s="340"/>
      <c r="AP723" s="340"/>
      <c r="AQ723" s="340"/>
      <c r="AR723" s="340"/>
      <c r="AS723" s="340"/>
      <c r="AT723" s="340"/>
      <c r="AU723" s="340"/>
      <c r="AV723" s="340"/>
      <c r="AY723" s="340"/>
      <c r="AZ723" s="465">
        <f t="shared" ca="1" si="500"/>
        <v>7.3698599999999999E-5</v>
      </c>
      <c r="BA723" s="464">
        <f t="shared" ca="1" si="501"/>
        <v>2.2109589000000002E-3</v>
      </c>
      <c r="BB723" s="465">
        <f t="shared" ca="1" si="501"/>
        <v>2.2846575E-3</v>
      </c>
      <c r="BC723" s="466">
        <f t="shared" ca="1" si="502"/>
        <v>64620</v>
      </c>
      <c r="BD723" s="467">
        <f t="shared" ca="1" si="515"/>
        <v>64621</v>
      </c>
      <c r="BE723" s="467">
        <f t="shared" ca="1" si="503"/>
        <v>64650</v>
      </c>
      <c r="BF723" s="468">
        <f ca="1">IF(計算!$BC723&lt;OP!$C$3,0,BD723-BC723)</f>
        <v>1</v>
      </c>
      <c r="BG723" s="468">
        <f ca="1">IF($BE723&gt;DATE(YEAR($BD$9)+OP!$C$57,MONTH($BD$9),DAY($BD$9)),0,$BE723-$BD723+1)</f>
        <v>30</v>
      </c>
      <c r="BH723" s="469">
        <f t="shared" ca="1" si="504"/>
        <v>31</v>
      </c>
      <c r="BI723" t="str">
        <f t="shared" si="486"/>
        <v/>
      </c>
      <c r="BJ723">
        <v>6</v>
      </c>
      <c r="BN723" s="468">
        <f t="shared" si="516"/>
        <v>60</v>
      </c>
      <c r="BO723" s="468">
        <f t="shared" si="517"/>
        <v>6</v>
      </c>
      <c r="BP723" s="467">
        <f t="shared" ca="1" si="505"/>
        <v>64621</v>
      </c>
      <c r="BQ723" s="475">
        <f t="shared" ca="1" si="519"/>
        <v>92</v>
      </c>
      <c r="BR723" s="475" t="str">
        <f t="shared" si="518"/>
        <v/>
      </c>
      <c r="BS723" s="471" t="str">
        <f t="shared" si="506"/>
        <v/>
      </c>
      <c r="BT723" s="472" t="str">
        <f t="shared" si="487"/>
        <v/>
      </c>
      <c r="BU723" s="472">
        <f t="shared" ca="1" si="507"/>
        <v>0</v>
      </c>
      <c r="BV723" s="472">
        <f t="shared" ca="1" si="507"/>
        <v>0</v>
      </c>
      <c r="BW723" s="472"/>
      <c r="BX723" s="473">
        <f t="shared" ca="1" si="508"/>
        <v>1330188.7327733899</v>
      </c>
      <c r="BY723" s="473">
        <f t="shared" si="509"/>
        <v>0</v>
      </c>
      <c r="BZ723" s="473">
        <f t="shared" ca="1" si="491"/>
        <v>3039.0256647460001</v>
      </c>
      <c r="CA723" s="476">
        <f t="shared" ca="1" si="510"/>
        <v>0</v>
      </c>
      <c r="CB723" s="494">
        <f ca="1">IF(OR($Q722&lt;&gt;1,OP!$D$5+$BN723-1&lt;16,$BN723-1&lt;1),0,ROUND(ROUND(ROUND(((VLOOKUP($BN723-1,MORE_PV,5,0)/10000)*VLOOKUP($BN723,MORE_PV,$CB$5,0)),3)*VLOOKUP($BN723,more1,5,0),0)/$R722,0))</f>
        <v>0</v>
      </c>
      <c r="CC723" s="473">
        <f t="shared" ca="1" si="511"/>
        <v>0</v>
      </c>
      <c r="CD723" s="477"/>
    </row>
    <row r="724" spans="2:82" ht="16.5" hidden="1">
      <c r="B724" s="80"/>
      <c r="C724" s="80"/>
      <c r="D724" s="80"/>
      <c r="E724" s="80"/>
      <c r="F724" s="80"/>
      <c r="G724" s="80"/>
      <c r="H724" s="80"/>
      <c r="I724" s="80"/>
      <c r="J724" s="192">
        <f t="shared" si="492"/>
        <v>60</v>
      </c>
      <c r="K724" s="192">
        <f t="shared" si="493"/>
        <v>8</v>
      </c>
      <c r="L724" s="192" t="str">
        <f t="shared" si="488"/>
        <v/>
      </c>
      <c r="M724" s="216">
        <f t="shared" ca="1" si="494"/>
        <v>0</v>
      </c>
      <c r="N724" s="216"/>
      <c r="O724" s="216"/>
      <c r="P724" s="216"/>
      <c r="Q724" s="456" t="str">
        <f t="shared" ca="1" si="495"/>
        <v/>
      </c>
      <c r="R724" s="450">
        <f t="shared" ca="1" si="496"/>
        <v>1</v>
      </c>
      <c r="S724" s="191">
        <f t="shared" si="497"/>
        <v>60</v>
      </c>
      <c r="T724" s="191">
        <f t="shared" si="498"/>
        <v>8</v>
      </c>
      <c r="U724" s="191">
        <f ca="1">OP!$D$5+$S724-1</f>
        <v>92</v>
      </c>
      <c r="V724" s="191" t="str">
        <f t="shared" si="499"/>
        <v/>
      </c>
      <c r="W724" s="350">
        <f ca="1">IF(Q724&lt;&gt;1,0,VLOOKUP(OP!$C$55,PVFB,$S724+2,0))</f>
        <v>0</v>
      </c>
      <c r="X724" s="473">
        <f t="shared" ca="1" si="512"/>
        <v>0</v>
      </c>
      <c r="Y724" s="348">
        <f t="shared" ca="1" si="513"/>
        <v>0</v>
      </c>
      <c r="Z724" s="348">
        <f t="shared" ca="1" si="514"/>
        <v>8012</v>
      </c>
      <c r="AA724" s="348">
        <f ca="1">IF(Q724&lt;&gt;1,0,VLOOKUP(OP!$C$55,PVFB,$S724+2,0))</f>
        <v>0</v>
      </c>
      <c r="AB724" s="488" t="str">
        <f ca="1">IF(AND(S724&lt;OP!$C$24,$U724&lt;15),0,IF(AND($U724&lt;15,$T724=12),ROUND(VLOOKUP($S724,DOWN16,5,0),3),IF($T724=12,ROUND(($Z724/10000)*$AA724,3)+IF(AND($P$7="購買增額繳清保險",T724=12,U724=110),VLOOKUP(S724,$B$10:$H$121,7,0),0),"")))</f>
        <v/>
      </c>
      <c r="AC724" s="350" t="str">
        <f ca="1">IF(AND(S724&lt;OP!$C$24,$U724&lt;15),0,IF(AND($U724&lt;16,$T724=12),VLOOKUP($S724,DOWN16,4,0),IF($T724=12,ROUND(VLOOKUP(OP!$C$55,_DIE2,$S724+1,0)*(Z724/10000),0)+IF(AND($P$7="購買增額繳清保險",T724=12,U724=110),VLOOKUP(S724,$B$10:$H$121,7,0),0),"")))</f>
        <v/>
      </c>
      <c r="AD724" s="347"/>
      <c r="AE724" s="350" t="str">
        <f t="shared" ca="1" si="489"/>
        <v/>
      </c>
      <c r="AF724" s="351" t="str">
        <f t="shared" ca="1" si="490"/>
        <v/>
      </c>
      <c r="AG724" s="340"/>
      <c r="AH724" s="340"/>
      <c r="AI724" s="340"/>
      <c r="AJ724" s="340"/>
      <c r="AK724" s="340"/>
      <c r="AL724" s="340"/>
      <c r="AM724" s="340"/>
      <c r="AN724" s="340"/>
      <c r="AO724" s="340"/>
      <c r="AP724" s="340"/>
      <c r="AQ724" s="340"/>
      <c r="AR724" s="340"/>
      <c r="AS724" s="340"/>
      <c r="AT724" s="340"/>
      <c r="AU724" s="340"/>
      <c r="AV724" s="340"/>
      <c r="AY724" s="340"/>
      <c r="AZ724" s="465">
        <f t="shared" ca="1" si="500"/>
        <v>7.3698599999999999E-5</v>
      </c>
      <c r="BA724" s="464">
        <f t="shared" ca="1" si="501"/>
        <v>2.2109589000000002E-3</v>
      </c>
      <c r="BB724" s="465">
        <f t="shared" ca="1" si="501"/>
        <v>2.2846575E-3</v>
      </c>
      <c r="BC724" s="466">
        <f t="shared" ca="1" si="502"/>
        <v>64651</v>
      </c>
      <c r="BD724" s="467">
        <f t="shared" ca="1" si="515"/>
        <v>64652</v>
      </c>
      <c r="BE724" s="467">
        <f t="shared" ca="1" si="503"/>
        <v>64681</v>
      </c>
      <c r="BF724" s="468">
        <f ca="1">IF(計算!$BC724&lt;OP!$C$3,0,BD724-BC724)</f>
        <v>1</v>
      </c>
      <c r="BG724" s="468">
        <f ca="1">IF($BE724&gt;DATE(YEAR($BD$9)+OP!$C$57,MONTH($BD$9),DAY($BD$9)),0,$BE724-$BD724+1)</f>
        <v>30</v>
      </c>
      <c r="BH724" s="469">
        <f t="shared" ca="1" si="504"/>
        <v>31</v>
      </c>
      <c r="BI724" t="str">
        <f t="shared" si="486"/>
        <v/>
      </c>
      <c r="BJ724">
        <v>7</v>
      </c>
      <c r="BN724" s="468">
        <f t="shared" si="516"/>
        <v>60</v>
      </c>
      <c r="BO724" s="468">
        <f t="shared" si="517"/>
        <v>7</v>
      </c>
      <c r="BP724" s="467">
        <f t="shared" ca="1" si="505"/>
        <v>64652</v>
      </c>
      <c r="BQ724" s="475">
        <f t="shared" ca="1" si="519"/>
        <v>92</v>
      </c>
      <c r="BR724" s="475" t="str">
        <f t="shared" si="518"/>
        <v/>
      </c>
      <c r="BS724" s="471" t="str">
        <f t="shared" si="506"/>
        <v/>
      </c>
      <c r="BT724" s="472" t="str">
        <f t="shared" si="487"/>
        <v/>
      </c>
      <c r="BU724" s="472">
        <f t="shared" ca="1" si="507"/>
        <v>0</v>
      </c>
      <c r="BV724" s="472">
        <f t="shared" ca="1" si="507"/>
        <v>0</v>
      </c>
      <c r="BW724" s="472"/>
      <c r="BX724" s="473">
        <f t="shared" ca="1" si="508"/>
        <v>1333227.7584381399</v>
      </c>
      <c r="BY724" s="473">
        <f t="shared" si="509"/>
        <v>0</v>
      </c>
      <c r="BZ724" s="473">
        <f t="shared" ca="1" si="491"/>
        <v>3045.9687975239999</v>
      </c>
      <c r="CA724" s="476">
        <f t="shared" ca="1" si="510"/>
        <v>0</v>
      </c>
      <c r="CB724" s="494">
        <f ca="1">IF(OR($Q723&lt;&gt;1,OP!$D$5+$BN724-1&lt;16,$BN724-1&lt;1),0,ROUND(ROUND(ROUND(((VLOOKUP($BN724-1,MORE_PV,5,0)/10000)*VLOOKUP($BN724,MORE_PV,$CB$5,0)),3)*VLOOKUP($BN724,more1,5,0),0)/$R723,0))</f>
        <v>0</v>
      </c>
      <c r="CC724" s="473">
        <f t="shared" ca="1" si="511"/>
        <v>0</v>
      </c>
      <c r="CD724" s="477"/>
    </row>
    <row r="725" spans="2:82" ht="16.5" hidden="1">
      <c r="B725" s="80"/>
      <c r="C725" s="80"/>
      <c r="D725" s="80"/>
      <c r="E725" s="80"/>
      <c r="F725" s="80"/>
      <c r="G725" s="80"/>
      <c r="H725" s="80"/>
      <c r="I725" s="80"/>
      <c r="J725" s="192">
        <f t="shared" si="492"/>
        <v>60</v>
      </c>
      <c r="K725" s="192">
        <f t="shared" si="493"/>
        <v>9</v>
      </c>
      <c r="L725" s="192" t="str">
        <f t="shared" si="488"/>
        <v/>
      </c>
      <c r="M725" s="216">
        <f t="shared" ca="1" si="494"/>
        <v>0</v>
      </c>
      <c r="N725" s="216"/>
      <c r="O725" s="216"/>
      <c r="P725" s="216"/>
      <c r="Q725" s="456" t="str">
        <f t="shared" ca="1" si="495"/>
        <v/>
      </c>
      <c r="R725" s="450">
        <f t="shared" ca="1" si="496"/>
        <v>1</v>
      </c>
      <c r="S725" s="191">
        <f t="shared" si="497"/>
        <v>60</v>
      </c>
      <c r="T725" s="191">
        <f t="shared" si="498"/>
        <v>9</v>
      </c>
      <c r="U725" s="191">
        <f ca="1">OP!$D$5+$S725-1</f>
        <v>92</v>
      </c>
      <c r="V725" s="191" t="str">
        <f t="shared" si="499"/>
        <v/>
      </c>
      <c r="W725" s="350">
        <f ca="1">IF(Q725&lt;&gt;1,0,VLOOKUP(OP!$C$55,PVFB,$S725+2,0))</f>
        <v>0</v>
      </c>
      <c r="X725" s="473">
        <f t="shared" ca="1" si="512"/>
        <v>0</v>
      </c>
      <c r="Y725" s="348">
        <f t="shared" ca="1" si="513"/>
        <v>0</v>
      </c>
      <c r="Z725" s="348">
        <f t="shared" ca="1" si="514"/>
        <v>8012</v>
      </c>
      <c r="AA725" s="348">
        <f ca="1">IF(Q725&lt;&gt;1,0,VLOOKUP(OP!$C$55,PVFB,$S725+2,0))</f>
        <v>0</v>
      </c>
      <c r="AB725" s="488" t="str">
        <f ca="1">IF(AND(S725&lt;OP!$C$24,$U725&lt;15),0,IF(AND($U725&lt;15,$T725=12),ROUND(VLOOKUP($S725,DOWN16,5,0),3),IF($T725=12,ROUND(($Z725/10000)*$AA725,3)+IF(AND($P$7="購買增額繳清保險",T725=12,U725=110),VLOOKUP(S725,$B$10:$H$121,7,0),0),"")))</f>
        <v/>
      </c>
      <c r="AC725" s="350" t="str">
        <f ca="1">IF(AND(S725&lt;OP!$C$24,$U725&lt;15),0,IF(AND($U725&lt;16,$T725=12),VLOOKUP($S725,DOWN16,4,0),IF($T725=12,ROUND(VLOOKUP(OP!$C$55,_DIE2,$S725+1,0)*(Z725/10000),0)+IF(AND($P$7="購買增額繳清保險",T725=12,U725=110),VLOOKUP(S725,$B$10:$H$121,7,0),0),"")))</f>
        <v/>
      </c>
      <c r="AD725" s="347"/>
      <c r="AE725" s="350" t="str">
        <f t="shared" ca="1" si="489"/>
        <v/>
      </c>
      <c r="AF725" s="351" t="str">
        <f t="shared" ca="1" si="490"/>
        <v/>
      </c>
      <c r="AG725" s="340"/>
      <c r="AH725" s="340"/>
      <c r="AI725" s="340"/>
      <c r="AJ725" s="340"/>
      <c r="AK725" s="340"/>
      <c r="AL725" s="340"/>
      <c r="AM725" s="340"/>
      <c r="AN725" s="340"/>
      <c r="AO725" s="340"/>
      <c r="AP725" s="340"/>
      <c r="AQ725" s="340"/>
      <c r="AR725" s="340"/>
      <c r="AS725" s="340"/>
      <c r="AT725" s="340"/>
      <c r="AU725" s="340"/>
      <c r="AV725" s="340"/>
      <c r="AY725" s="340"/>
      <c r="AZ725" s="465">
        <f t="shared" ca="1" si="500"/>
        <v>7.3698599999999999E-5</v>
      </c>
      <c r="BA725" s="464">
        <f t="shared" ca="1" si="501"/>
        <v>1.9898630000000001E-3</v>
      </c>
      <c r="BB725" s="465">
        <f t="shared" ca="1" si="501"/>
        <v>2.0635616E-3</v>
      </c>
      <c r="BC725" s="466">
        <f t="shared" ca="1" si="502"/>
        <v>64682</v>
      </c>
      <c r="BD725" s="467">
        <f t="shared" ca="1" si="515"/>
        <v>64683</v>
      </c>
      <c r="BE725" s="467">
        <f t="shared" ca="1" si="503"/>
        <v>64709</v>
      </c>
      <c r="BF725" s="468">
        <f ca="1">IF(計算!$BC725&lt;OP!$C$3,0,BD725-BC725)</f>
        <v>1</v>
      </c>
      <c r="BG725" s="468">
        <f ca="1">IF($BE725&gt;DATE(YEAR($BD$9)+OP!$C$57,MONTH($BD$9),DAY($BD$9)),0,$BE725-$BD725+1)</f>
        <v>27</v>
      </c>
      <c r="BH725" s="469">
        <f t="shared" ca="1" si="504"/>
        <v>28</v>
      </c>
      <c r="BI725" t="str">
        <f t="shared" ref="BI725:BI788" si="520">IF(BJ725=12,BD725-BD713,"")</f>
        <v/>
      </c>
      <c r="BJ725">
        <v>8</v>
      </c>
      <c r="BN725" s="468">
        <f t="shared" si="516"/>
        <v>60</v>
      </c>
      <c r="BO725" s="468">
        <f t="shared" si="517"/>
        <v>8</v>
      </c>
      <c r="BP725" s="467">
        <f t="shared" ca="1" si="505"/>
        <v>64683</v>
      </c>
      <c r="BQ725" s="475">
        <f t="shared" ca="1" si="519"/>
        <v>92</v>
      </c>
      <c r="BR725" s="475" t="str">
        <f t="shared" si="518"/>
        <v/>
      </c>
      <c r="BS725" s="471" t="str">
        <f t="shared" si="506"/>
        <v/>
      </c>
      <c r="BT725" s="472" t="str">
        <f t="shared" si="487"/>
        <v/>
      </c>
      <c r="BU725" s="472">
        <f t="shared" ca="1" si="507"/>
        <v>0</v>
      </c>
      <c r="BV725" s="472">
        <f t="shared" ca="1" si="507"/>
        <v>0</v>
      </c>
      <c r="BW725" s="472"/>
      <c r="BX725" s="473">
        <f t="shared" ca="1" si="508"/>
        <v>1336273.72723566</v>
      </c>
      <c r="BY725" s="473">
        <f t="shared" si="509"/>
        <v>0</v>
      </c>
      <c r="BZ725" s="473">
        <f t="shared" ca="1" si="491"/>
        <v>2757.4831506119999</v>
      </c>
      <c r="CA725" s="476">
        <f t="shared" ca="1" si="510"/>
        <v>0</v>
      </c>
      <c r="CB725" s="494">
        <f ca="1">IF(OR($Q724&lt;&gt;1,OP!$D$5+$BN725-1&lt;16,$BN725-1&lt;1),0,ROUND(ROUND(ROUND(((VLOOKUP($BN725-1,MORE_PV,5,0)/10000)*VLOOKUP($BN725,MORE_PV,$CB$5,0)),3)*VLOOKUP($BN725,more1,5,0),0)/$R724,0))</f>
        <v>0</v>
      </c>
      <c r="CC725" s="473">
        <f t="shared" ca="1" si="511"/>
        <v>0</v>
      </c>
      <c r="CD725" s="477"/>
    </row>
    <row r="726" spans="2:82" ht="16.5" hidden="1">
      <c r="B726" s="80"/>
      <c r="C726" s="80"/>
      <c r="D726" s="80"/>
      <c r="E726" s="80"/>
      <c r="F726" s="80"/>
      <c r="G726" s="80"/>
      <c r="H726" s="80"/>
      <c r="I726" s="80"/>
      <c r="J726" s="192">
        <f t="shared" si="492"/>
        <v>60</v>
      </c>
      <c r="K726" s="192">
        <f t="shared" si="493"/>
        <v>10</v>
      </c>
      <c r="L726" s="192" t="str">
        <f t="shared" si="488"/>
        <v/>
      </c>
      <c r="M726" s="216">
        <f t="shared" ca="1" si="494"/>
        <v>0</v>
      </c>
      <c r="N726" s="216"/>
      <c r="O726" s="216"/>
      <c r="P726" s="216"/>
      <c r="Q726" s="456" t="str">
        <f t="shared" ca="1" si="495"/>
        <v/>
      </c>
      <c r="R726" s="450">
        <f t="shared" ca="1" si="496"/>
        <v>1</v>
      </c>
      <c r="S726" s="191">
        <f t="shared" si="497"/>
        <v>60</v>
      </c>
      <c r="T726" s="191">
        <f t="shared" si="498"/>
        <v>10</v>
      </c>
      <c r="U726" s="191">
        <f ca="1">OP!$D$5+$S726-1</f>
        <v>92</v>
      </c>
      <c r="V726" s="191" t="str">
        <f t="shared" si="499"/>
        <v/>
      </c>
      <c r="W726" s="350">
        <f ca="1">IF(Q726&lt;&gt;1,0,VLOOKUP(OP!$C$55,PVFB,$S726+2,0))</f>
        <v>0</v>
      </c>
      <c r="X726" s="473">
        <f t="shared" ca="1" si="512"/>
        <v>0</v>
      </c>
      <c r="Y726" s="348">
        <f t="shared" ca="1" si="513"/>
        <v>0</v>
      </c>
      <c r="Z726" s="348">
        <f t="shared" ca="1" si="514"/>
        <v>8012</v>
      </c>
      <c r="AA726" s="348">
        <f ca="1">IF(Q726&lt;&gt;1,0,VLOOKUP(OP!$C$55,PVFB,$S726+2,0))</f>
        <v>0</v>
      </c>
      <c r="AB726" s="488" t="str">
        <f ca="1">IF(AND(S726&lt;OP!$C$24,$U726&lt;15),0,IF(AND($U726&lt;15,$T726=12),ROUND(VLOOKUP($S726,DOWN16,5,0),3),IF($T726=12,ROUND(($Z726/10000)*$AA726,3)+IF(AND($P$7="購買增額繳清保險",T726=12,U726=110),VLOOKUP(S726,$B$10:$H$121,7,0),0),"")))</f>
        <v/>
      </c>
      <c r="AC726" s="350" t="str">
        <f ca="1">IF(AND(S726&lt;OP!$C$24,$U726&lt;15),0,IF(AND($U726&lt;16,$T726=12),VLOOKUP($S726,DOWN16,4,0),IF($T726=12,ROUND(VLOOKUP(OP!$C$55,_DIE2,$S726+1,0)*(Z726/10000),0)+IF(AND($P$7="購買增額繳清保險",T726=12,U726=110),VLOOKUP(S726,$B$10:$H$121,7,0),0),"")))</f>
        <v/>
      </c>
      <c r="AD726" s="347"/>
      <c r="AE726" s="350" t="str">
        <f t="shared" ca="1" si="489"/>
        <v/>
      </c>
      <c r="AF726" s="351" t="str">
        <f t="shared" ca="1" si="490"/>
        <v/>
      </c>
      <c r="AG726" s="340"/>
      <c r="AH726" s="340"/>
      <c r="AI726" s="340"/>
      <c r="AJ726" s="340"/>
      <c r="AK726" s="340"/>
      <c r="AL726" s="340"/>
      <c r="AM726" s="340"/>
      <c r="AN726" s="340"/>
      <c r="AO726" s="340"/>
      <c r="AP726" s="340"/>
      <c r="AQ726" s="340"/>
      <c r="AR726" s="340"/>
      <c r="AS726" s="340"/>
      <c r="AT726" s="340"/>
      <c r="AU726" s="340"/>
      <c r="AV726" s="340"/>
      <c r="AY726" s="340"/>
      <c r="AZ726" s="465">
        <f t="shared" ca="1" si="500"/>
        <v>7.3698599999999999E-5</v>
      </c>
      <c r="BA726" s="464">
        <f t="shared" ca="1" si="501"/>
        <v>2.2109589000000002E-3</v>
      </c>
      <c r="BB726" s="465">
        <f t="shared" ca="1" si="501"/>
        <v>2.2846575E-3</v>
      </c>
      <c r="BC726" s="466">
        <f t="shared" ca="1" si="502"/>
        <v>64710</v>
      </c>
      <c r="BD726" s="467">
        <f t="shared" ca="1" si="515"/>
        <v>64711</v>
      </c>
      <c r="BE726" s="467">
        <f t="shared" ca="1" si="503"/>
        <v>64740</v>
      </c>
      <c r="BF726" s="468">
        <f ca="1">IF(計算!$BC726&lt;OP!$C$3,0,BD726-BC726)</f>
        <v>1</v>
      </c>
      <c r="BG726" s="468">
        <f ca="1">IF($BE726&gt;DATE(YEAR($BD$9)+OP!$C$57,MONTH($BD$9),DAY($BD$9)),0,$BE726-$BD726+1)</f>
        <v>30</v>
      </c>
      <c r="BH726" s="469">
        <f t="shared" ca="1" si="504"/>
        <v>31</v>
      </c>
      <c r="BI726" t="str">
        <f t="shared" si="520"/>
        <v/>
      </c>
      <c r="BJ726">
        <v>9</v>
      </c>
      <c r="BN726" s="468">
        <f t="shared" si="516"/>
        <v>60</v>
      </c>
      <c r="BO726" s="468">
        <f t="shared" si="517"/>
        <v>9</v>
      </c>
      <c r="BP726" s="467">
        <f t="shared" ca="1" si="505"/>
        <v>64711</v>
      </c>
      <c r="BQ726" s="475">
        <f t="shared" ca="1" si="519"/>
        <v>92</v>
      </c>
      <c r="BR726" s="475" t="str">
        <f t="shared" si="518"/>
        <v/>
      </c>
      <c r="BS726" s="471" t="str">
        <f t="shared" si="506"/>
        <v/>
      </c>
      <c r="BT726" s="472" t="str">
        <f t="shared" ref="BT726:BT789" si="521">IF(BW726&lt;&gt;"",IF(BN726&gt;=$P$4+1,ROUND(BU726,0)+ROUND(BV726,0)+ROUND(BW726,0)+BT714,0),"")</f>
        <v/>
      </c>
      <c r="BU726" s="472">
        <f t="shared" ca="1" si="507"/>
        <v>0</v>
      </c>
      <c r="BV726" s="472">
        <f t="shared" ca="1" si="507"/>
        <v>0</v>
      </c>
      <c r="BW726" s="472"/>
      <c r="BX726" s="473">
        <f t="shared" ca="1" si="508"/>
        <v>1339031.21038627</v>
      </c>
      <c r="BY726" s="473">
        <f t="shared" si="509"/>
        <v>0</v>
      </c>
      <c r="BZ726" s="473">
        <f t="shared" ca="1" si="491"/>
        <v>3059.227697543</v>
      </c>
      <c r="CA726" s="476">
        <f t="shared" ca="1" si="510"/>
        <v>0</v>
      </c>
      <c r="CB726" s="494">
        <f ca="1">IF(OR($Q725&lt;&gt;1,OP!$D$5+$BN726-1&lt;16,$BN726-1&lt;1),0,ROUND(ROUND(ROUND(((VLOOKUP($BN726-1,MORE_PV,5,0)/10000)*VLOOKUP($BN726,MORE_PV,$CB$5,0)),3)*VLOOKUP($BN726,more1,5,0),0)/$R725,0))</f>
        <v>0</v>
      </c>
      <c r="CC726" s="473">
        <f t="shared" ca="1" si="511"/>
        <v>0</v>
      </c>
      <c r="CD726" s="477"/>
    </row>
    <row r="727" spans="2:82" ht="16.5" hidden="1">
      <c r="B727" s="80"/>
      <c r="C727" s="80"/>
      <c r="D727" s="80"/>
      <c r="E727" s="80"/>
      <c r="F727" s="80"/>
      <c r="G727" s="80"/>
      <c r="H727" s="80"/>
      <c r="I727" s="80"/>
      <c r="J727" s="192">
        <f t="shared" si="492"/>
        <v>60</v>
      </c>
      <c r="K727" s="192">
        <f t="shared" si="493"/>
        <v>11</v>
      </c>
      <c r="L727" s="192" t="str">
        <f t="shared" si="488"/>
        <v/>
      </c>
      <c r="M727" s="216">
        <f t="shared" ca="1" si="494"/>
        <v>0</v>
      </c>
      <c r="N727" s="216"/>
      <c r="O727" s="216"/>
      <c r="P727" s="216"/>
      <c r="Q727" s="456" t="str">
        <f t="shared" ca="1" si="495"/>
        <v/>
      </c>
      <c r="R727" s="450">
        <f t="shared" ca="1" si="496"/>
        <v>1</v>
      </c>
      <c r="S727" s="191">
        <f t="shared" si="497"/>
        <v>60</v>
      </c>
      <c r="T727" s="191">
        <f t="shared" si="498"/>
        <v>11</v>
      </c>
      <c r="U727" s="191">
        <f ca="1">OP!$D$5+$S727-1</f>
        <v>92</v>
      </c>
      <c r="V727" s="191" t="str">
        <f t="shared" si="499"/>
        <v/>
      </c>
      <c r="W727" s="350">
        <f ca="1">IF(Q727&lt;&gt;1,0,VLOOKUP(OP!$C$55,PVFB,$S727+2,0))</f>
        <v>0</v>
      </c>
      <c r="X727" s="473">
        <f t="shared" ca="1" si="512"/>
        <v>0</v>
      </c>
      <c r="Y727" s="348">
        <f t="shared" ca="1" si="513"/>
        <v>0</v>
      </c>
      <c r="Z727" s="348">
        <f t="shared" ca="1" si="514"/>
        <v>8012</v>
      </c>
      <c r="AA727" s="348">
        <f ca="1">IF(Q727&lt;&gt;1,0,VLOOKUP(OP!$C$55,PVFB,$S727+2,0))</f>
        <v>0</v>
      </c>
      <c r="AB727" s="488" t="str">
        <f ca="1">IF(AND(S727&lt;OP!$C$24,$U727&lt;15),0,IF(AND($U727&lt;15,$T727=12),ROUND(VLOOKUP($S727,DOWN16,5,0),3),IF($T727=12,ROUND(($Z727/10000)*$AA727,3)+IF(AND($P$7="購買增額繳清保險",T727=12,U727=110),VLOOKUP(S727,$B$10:$H$121,7,0),0),"")))</f>
        <v/>
      </c>
      <c r="AC727" s="350" t="str">
        <f ca="1">IF(AND(S727&lt;OP!$C$24,$U727&lt;15),0,IF(AND($U727&lt;16,$T727=12),VLOOKUP($S727,DOWN16,4,0),IF($T727=12,ROUND(VLOOKUP(OP!$C$55,_DIE2,$S727+1,0)*(Z727/10000),0)+IF(AND($P$7="購買增額繳清保險",T727=12,U727=110),VLOOKUP(S727,$B$10:$H$121,7,0),0),"")))</f>
        <v/>
      </c>
      <c r="AD727" s="347"/>
      <c r="AE727" s="350" t="str">
        <f t="shared" ca="1" si="489"/>
        <v/>
      </c>
      <c r="AF727" s="351" t="str">
        <f t="shared" ca="1" si="490"/>
        <v/>
      </c>
      <c r="AG727" s="340"/>
      <c r="AH727" s="340"/>
      <c r="AI727" s="340"/>
      <c r="AJ727" s="340"/>
      <c r="AK727" s="340"/>
      <c r="AL727" s="340"/>
      <c r="AM727" s="340"/>
      <c r="AN727" s="340"/>
      <c r="AO727" s="340"/>
      <c r="AP727" s="340"/>
      <c r="AQ727" s="340"/>
      <c r="AR727" s="340"/>
      <c r="AS727" s="340"/>
      <c r="AT727" s="340"/>
      <c r="AU727" s="340"/>
      <c r="AV727" s="340"/>
      <c r="AY727" s="340"/>
      <c r="AZ727" s="465">
        <f t="shared" ca="1" si="500"/>
        <v>7.3698599999999999E-5</v>
      </c>
      <c r="BA727" s="464">
        <f t="shared" ca="1" si="501"/>
        <v>2.1372602999999999E-3</v>
      </c>
      <c r="BB727" s="465">
        <f t="shared" ca="1" si="501"/>
        <v>2.2109589000000002E-3</v>
      </c>
      <c r="BC727" s="466">
        <f t="shared" ca="1" si="502"/>
        <v>64741</v>
      </c>
      <c r="BD727" s="467">
        <f t="shared" ca="1" si="515"/>
        <v>64742</v>
      </c>
      <c r="BE727" s="467">
        <f t="shared" ca="1" si="503"/>
        <v>64770</v>
      </c>
      <c r="BF727" s="468">
        <f ca="1">IF(計算!$BC727&lt;OP!$C$3,0,BD727-BC727)</f>
        <v>1</v>
      </c>
      <c r="BG727" s="468">
        <f ca="1">IF($BE727&gt;DATE(YEAR($BD$9)+OP!$C$57,MONTH($BD$9),DAY($BD$9)),0,$BE727-$BD727+1)</f>
        <v>29</v>
      </c>
      <c r="BH727" s="469">
        <f t="shared" ca="1" si="504"/>
        <v>30</v>
      </c>
      <c r="BI727" t="str">
        <f t="shared" si="520"/>
        <v/>
      </c>
      <c r="BJ727">
        <v>10</v>
      </c>
      <c r="BN727" s="468">
        <f t="shared" si="516"/>
        <v>60</v>
      </c>
      <c r="BO727" s="468">
        <f t="shared" si="517"/>
        <v>10</v>
      </c>
      <c r="BP727" s="467">
        <f t="shared" ca="1" si="505"/>
        <v>64742</v>
      </c>
      <c r="BQ727" s="475">
        <f t="shared" ca="1" si="519"/>
        <v>92</v>
      </c>
      <c r="BR727" s="475" t="str">
        <f t="shared" si="518"/>
        <v/>
      </c>
      <c r="BS727" s="471" t="str">
        <f t="shared" si="506"/>
        <v/>
      </c>
      <c r="BT727" s="472" t="str">
        <f t="shared" si="521"/>
        <v/>
      </c>
      <c r="BU727" s="472">
        <f t="shared" ca="1" si="507"/>
        <v>0</v>
      </c>
      <c r="BV727" s="472">
        <f t="shared" ca="1" si="507"/>
        <v>0</v>
      </c>
      <c r="BW727" s="472"/>
      <c r="BX727" s="473">
        <f t="shared" ca="1" si="508"/>
        <v>1342090.43808381</v>
      </c>
      <c r="BY727" s="473">
        <f t="shared" si="509"/>
        <v>0</v>
      </c>
      <c r="BZ727" s="473">
        <f t="shared" ca="1" si="491"/>
        <v>2967.3067986860001</v>
      </c>
      <c r="CA727" s="476">
        <f t="shared" ca="1" si="510"/>
        <v>0</v>
      </c>
      <c r="CB727" s="494">
        <f ca="1">IF(OR($Q726&lt;&gt;1,OP!$D$5+$BN727-1&lt;16,$BN727-1&lt;1),0,ROUND(ROUND(ROUND(((VLOOKUP($BN727-1,MORE_PV,5,0)/10000)*VLOOKUP($BN727,MORE_PV,$CB$5,0)),3)*VLOOKUP($BN727,more1,5,0),0)/$R726,0))</f>
        <v>0</v>
      </c>
      <c r="CC727" s="473">
        <f t="shared" ca="1" si="511"/>
        <v>0</v>
      </c>
      <c r="CD727" s="477"/>
    </row>
    <row r="728" spans="2:82" ht="16.5" hidden="1">
      <c r="B728" s="80"/>
      <c r="C728" s="80"/>
      <c r="D728" s="80"/>
      <c r="E728" s="80"/>
      <c r="F728" s="80"/>
      <c r="G728" s="80"/>
      <c r="H728" s="80"/>
      <c r="I728" s="80"/>
      <c r="J728" s="192">
        <f t="shared" si="492"/>
        <v>60</v>
      </c>
      <c r="K728" s="192">
        <f t="shared" si="493"/>
        <v>12</v>
      </c>
      <c r="L728" s="192">
        <f t="shared" si="488"/>
        <v>60</v>
      </c>
      <c r="M728" s="216">
        <f t="shared" ca="1" si="494"/>
        <v>1368621</v>
      </c>
      <c r="N728" s="216"/>
      <c r="O728" s="216"/>
      <c r="P728" s="216"/>
      <c r="Q728" s="456">
        <f t="shared" ca="1" si="495"/>
        <v>1</v>
      </c>
      <c r="R728" s="450">
        <f t="shared" ca="1" si="496"/>
        <v>1</v>
      </c>
      <c r="S728" s="191">
        <f t="shared" si="497"/>
        <v>60</v>
      </c>
      <c r="T728" s="191">
        <f t="shared" si="498"/>
        <v>12</v>
      </c>
      <c r="U728" s="191">
        <f ca="1">OP!$D$5+$S728-1</f>
        <v>92</v>
      </c>
      <c r="V728" s="191">
        <f t="shared" si="499"/>
        <v>60</v>
      </c>
      <c r="W728" s="350">
        <f ca="1">IF(Q728&lt;&gt;1,0,VLOOKUP(OP!$C$55,PVFB,$S728+2,0))</f>
        <v>84918</v>
      </c>
      <c r="X728" s="473">
        <f t="shared" ca="1" si="512"/>
        <v>20391</v>
      </c>
      <c r="Y728" s="348">
        <f t="shared" ca="1" si="513"/>
        <v>0</v>
      </c>
      <c r="Z728" s="348">
        <f t="shared" ca="1" si="514"/>
        <v>8012</v>
      </c>
      <c r="AA728" s="348">
        <f ca="1">IF(Q728&lt;&gt;1,0,VLOOKUP(OP!$C$55,PVFB,$S728+2,0))</f>
        <v>84918</v>
      </c>
      <c r="AB728" s="488">
        <f ca="1">IF(AND(S728&lt;OP!$C$24,$U728&lt;15),0,IF(AND($U728&lt;15,$T728=12),ROUND(VLOOKUP($S728,DOWN16,5,0),3),IF($T728=12,ROUND(($Z728/10000)*$AA728,3)+IF(AND($P$7="購買增額繳清保險",T728=12,U728=110),VLOOKUP(S728,$B$10:$H$121,7,0),0),"")))</f>
        <v>68036.301999999996</v>
      </c>
      <c r="AC728" s="350">
        <f ca="1">IF(AND(S728&lt;OP!$C$24,$U728&lt;15),0,IF(AND($U728&lt;16,$T728=12),VLOOKUP($S728,DOWN16,4,0),IF($T728=12,ROUND(VLOOKUP(OP!$C$55,_DIE2,$S728+1,0)*(Z728/10000),0)+IF(AND($P$7="購買增額繳清保險",T728=12,U728=110),VLOOKUP(S728,$B$10:$H$121,7,0),0),"")))</f>
        <v>68583</v>
      </c>
      <c r="AD728" s="347"/>
      <c r="AE728" s="350" t="str">
        <f t="shared" ca="1" si="489"/>
        <v/>
      </c>
      <c r="AF728" s="351" t="str">
        <f t="shared" ca="1" si="490"/>
        <v/>
      </c>
      <c r="AG728" s="340"/>
      <c r="AH728" s="340"/>
      <c r="AI728" s="340"/>
      <c r="AJ728" s="340"/>
      <c r="AK728" s="340"/>
      <c r="AL728" s="340"/>
      <c r="AM728" s="340"/>
      <c r="AN728" s="340"/>
      <c r="AO728" s="340"/>
      <c r="AP728" s="340"/>
      <c r="AQ728" s="340"/>
      <c r="AR728" s="340"/>
      <c r="AS728" s="340"/>
      <c r="AT728" s="340"/>
      <c r="AU728" s="340"/>
      <c r="AV728" s="340"/>
      <c r="AY728" s="340"/>
      <c r="AZ728" s="465">
        <f t="shared" ca="1" si="500"/>
        <v>7.3698599999999999E-5</v>
      </c>
      <c r="BA728" s="464">
        <f t="shared" ca="1" si="501"/>
        <v>2.2109589000000002E-3</v>
      </c>
      <c r="BB728" s="465">
        <f t="shared" ca="1" si="501"/>
        <v>2.2846575E-3</v>
      </c>
      <c r="BC728" s="466">
        <f t="shared" ca="1" si="502"/>
        <v>64771</v>
      </c>
      <c r="BD728" s="467">
        <f t="shared" ca="1" si="515"/>
        <v>64772</v>
      </c>
      <c r="BE728" s="467">
        <f t="shared" ca="1" si="503"/>
        <v>64801</v>
      </c>
      <c r="BF728" s="468">
        <f ca="1">IF(計算!$BC728&lt;OP!$C$3,0,BD728-BC728)</f>
        <v>1</v>
      </c>
      <c r="BG728" s="468">
        <f ca="1">IF($BE728&gt;DATE(YEAR($BD$9)+OP!$C$57,MONTH($BD$9),DAY($BD$9)),0,$BE728-$BD728+1)</f>
        <v>30</v>
      </c>
      <c r="BH728" s="469">
        <f t="shared" ca="1" si="504"/>
        <v>31</v>
      </c>
      <c r="BI728" t="str">
        <f t="shared" si="520"/>
        <v/>
      </c>
      <c r="BJ728">
        <v>11</v>
      </c>
      <c r="BN728" s="468">
        <f t="shared" si="516"/>
        <v>60</v>
      </c>
      <c r="BO728" s="468">
        <f t="shared" si="517"/>
        <v>11</v>
      </c>
      <c r="BP728" s="467">
        <f t="shared" ca="1" si="505"/>
        <v>64772</v>
      </c>
      <c r="BQ728" s="475">
        <f t="shared" ca="1" si="519"/>
        <v>92</v>
      </c>
      <c r="BR728" s="475" t="str">
        <f t="shared" si="518"/>
        <v/>
      </c>
      <c r="BS728" s="471" t="str">
        <f t="shared" si="506"/>
        <v/>
      </c>
      <c r="BT728" s="472" t="str">
        <f t="shared" si="521"/>
        <v/>
      </c>
      <c r="BU728" s="472">
        <f t="shared" ca="1" si="507"/>
        <v>0</v>
      </c>
      <c r="BV728" s="472">
        <f t="shared" ca="1" si="507"/>
        <v>0</v>
      </c>
      <c r="BW728" s="472"/>
      <c r="BX728" s="473">
        <f t="shared" ca="1" si="508"/>
        <v>1345057.7448825</v>
      </c>
      <c r="BY728" s="473">
        <f t="shared" si="509"/>
        <v>0</v>
      </c>
      <c r="BZ728" s="473">
        <f t="shared" ca="1" si="491"/>
        <v>3072.9962647789998</v>
      </c>
      <c r="CA728" s="476">
        <f t="shared" ca="1" si="510"/>
        <v>0</v>
      </c>
      <c r="CB728" s="494">
        <f ca="1">IF(OR($Q727&lt;&gt;1,OP!$D$5+$BN728-1&lt;16,$BN728-1&lt;1),0,ROUND(ROUND(ROUND(((VLOOKUP($BN728-1,MORE_PV,5,0)/10000)*VLOOKUP($BN728,MORE_PV,$CB$5,0)),3)*VLOOKUP($BN728,more1,5,0),0)/$R727,0))</f>
        <v>0</v>
      </c>
      <c r="CC728" s="473">
        <f t="shared" ca="1" si="511"/>
        <v>0</v>
      </c>
      <c r="CD728" s="477"/>
    </row>
    <row r="729" spans="2:82" ht="16.5" hidden="1">
      <c r="B729" s="80"/>
      <c r="C729" s="80"/>
      <c r="D729" s="80"/>
      <c r="E729" s="80"/>
      <c r="F729" s="80"/>
      <c r="G729" s="80"/>
      <c r="H729" s="80"/>
      <c r="I729" s="80"/>
      <c r="J729" s="192">
        <f t="shared" si="492"/>
        <v>61</v>
      </c>
      <c r="K729" s="192">
        <f t="shared" si="493"/>
        <v>1</v>
      </c>
      <c r="L729" s="192" t="str">
        <f t="shared" si="488"/>
        <v/>
      </c>
      <c r="M729" s="216">
        <f t="shared" ca="1" si="494"/>
        <v>0</v>
      </c>
      <c r="N729" s="216"/>
      <c r="O729" s="216"/>
      <c r="P729" s="216"/>
      <c r="Q729" s="456" t="str">
        <f t="shared" ca="1" si="495"/>
        <v/>
      </c>
      <c r="R729" s="450">
        <f t="shared" ca="1" si="496"/>
        <v>1</v>
      </c>
      <c r="S729" s="191">
        <f t="shared" si="497"/>
        <v>61</v>
      </c>
      <c r="T729" s="191">
        <f t="shared" si="498"/>
        <v>1</v>
      </c>
      <c r="U729" s="191">
        <f ca="1">OP!$D$5+$S729-1</f>
        <v>93</v>
      </c>
      <c r="V729" s="191" t="str">
        <f t="shared" si="499"/>
        <v/>
      </c>
      <c r="W729" s="350">
        <f ca="1">IF(Q729&lt;&gt;1,0,VLOOKUP(OP!$C$55,PVFB,$S729+2,0))</f>
        <v>0</v>
      </c>
      <c r="X729" s="473">
        <f t="shared" ca="1" si="512"/>
        <v>0</v>
      </c>
      <c r="Y729" s="348">
        <f t="shared" ca="1" si="513"/>
        <v>0</v>
      </c>
      <c r="Z729" s="348">
        <f t="shared" ca="1" si="514"/>
        <v>8012</v>
      </c>
      <c r="AA729" s="348">
        <f ca="1">IF(Q729&lt;&gt;1,0,VLOOKUP(OP!$C$55,PVFB,$S729+2,0))</f>
        <v>0</v>
      </c>
      <c r="AB729" s="488" t="str">
        <f ca="1">IF(AND(S729&lt;OP!$C$24,$U729&lt;15),0,IF(AND($U729&lt;15,$T729=12),ROUND(VLOOKUP($S729,DOWN16,5,0),3),IF($T729=12,ROUND(($Z729/10000)*$AA729,3)+IF(AND($P$7="購買增額繳清保險",T729=12,U729=110),VLOOKUP(S729,$B$10:$H$121,7,0),0),"")))</f>
        <v/>
      </c>
      <c r="AC729" s="350" t="str">
        <f ca="1">IF(AND(S729&lt;OP!$C$24,$U729&lt;15),0,IF(AND($U729&lt;16,$T729=12),VLOOKUP($S729,DOWN16,4,0),IF($T729=12,ROUND(VLOOKUP(OP!$C$55,_DIE2,$S729+1,0)*(Z729/10000),0)+IF(AND($P$7="購買增額繳清保險",T729=12,U729=110),VLOOKUP(S729,$B$10:$H$121,7,0),0),"")))</f>
        <v/>
      </c>
      <c r="AD729" s="347"/>
      <c r="AE729" s="350" t="str">
        <f t="shared" ca="1" si="489"/>
        <v/>
      </c>
      <c r="AF729" s="351" t="str">
        <f t="shared" ca="1" si="490"/>
        <v/>
      </c>
      <c r="AG729" s="340"/>
      <c r="AH729" s="340"/>
      <c r="AI729" s="340"/>
      <c r="AJ729" s="340"/>
      <c r="AK729" s="340"/>
      <c r="AL729" s="340"/>
      <c r="AM729" s="340"/>
      <c r="AN729" s="340"/>
      <c r="AO729" s="340"/>
      <c r="AP729" s="340"/>
      <c r="AQ729" s="340"/>
      <c r="AR729" s="340"/>
      <c r="AS729" s="340"/>
      <c r="AT729" s="340"/>
      <c r="AU729" s="340"/>
      <c r="AV729" s="340"/>
      <c r="AY729" s="340"/>
      <c r="AZ729" s="465">
        <f t="shared" ca="1" si="500"/>
        <v>7.3698599999999999E-5</v>
      </c>
      <c r="BA729" s="464">
        <f t="shared" ca="1" si="501"/>
        <v>2.1372602999999999E-3</v>
      </c>
      <c r="BB729" s="465">
        <f t="shared" ca="1" si="501"/>
        <v>2.2109589000000002E-3</v>
      </c>
      <c r="BC729" s="466">
        <f t="shared" ca="1" si="502"/>
        <v>64802</v>
      </c>
      <c r="BD729" s="467">
        <f t="shared" ca="1" si="515"/>
        <v>64803</v>
      </c>
      <c r="BE729" s="467">
        <f t="shared" ca="1" si="503"/>
        <v>64831</v>
      </c>
      <c r="BF729" s="468">
        <f ca="1">IF(計算!$BC729&lt;OP!$C$3,0,BD729-BC729)</f>
        <v>1</v>
      </c>
      <c r="BG729" s="468">
        <f ca="1">IF($BE729&gt;DATE(YEAR($BD$9)+OP!$C$57,MONTH($BD$9),DAY($BD$9)),0,$BE729-$BD729+1)</f>
        <v>29</v>
      </c>
      <c r="BH729" s="469">
        <f t="shared" ca="1" si="504"/>
        <v>30</v>
      </c>
      <c r="BI729">
        <f t="shared" ca="1" si="520"/>
        <v>365</v>
      </c>
      <c r="BJ729">
        <v>12</v>
      </c>
      <c r="BN729" s="468">
        <f t="shared" si="516"/>
        <v>60</v>
      </c>
      <c r="BO729" s="468">
        <f t="shared" si="517"/>
        <v>12</v>
      </c>
      <c r="BP729" s="467">
        <f t="shared" ca="1" si="505"/>
        <v>64803</v>
      </c>
      <c r="BQ729" s="475">
        <f t="shared" ca="1" si="519"/>
        <v>92</v>
      </c>
      <c r="BR729" s="475">
        <f t="shared" si="518"/>
        <v>60</v>
      </c>
      <c r="BS729" s="471">
        <f t="shared" ca="1" si="506"/>
        <v>20391</v>
      </c>
      <c r="BT729" s="472">
        <f t="shared" ca="1" si="521"/>
        <v>1368621</v>
      </c>
      <c r="BU729" s="472">
        <f t="shared" ca="1" si="507"/>
        <v>19922</v>
      </c>
      <c r="BV729" s="472">
        <f t="shared" ca="1" si="507"/>
        <v>469</v>
      </c>
      <c r="BW729" s="472">
        <f ca="1">ROUND(SUM(BY729,BZ717:BZ728),0)</f>
        <v>35745</v>
      </c>
      <c r="BX729" s="473">
        <f t="shared" ca="1" si="508"/>
        <v>1368621.0964955201</v>
      </c>
      <c r="BY729" s="473">
        <f t="shared" ca="1" si="509"/>
        <v>99.355348239999998</v>
      </c>
      <c r="BZ729" s="473">
        <f t="shared" ca="1" si="491"/>
        <v>2925.099535282</v>
      </c>
      <c r="CA729" s="476">
        <f t="shared" ca="1" si="510"/>
        <v>19922</v>
      </c>
      <c r="CB729" s="494">
        <f ca="1">IF(OR($Q728&lt;&gt;1,OP!$D$5+$BN729-1&lt;16,$BN729-1&lt;1),0,ROUND(ROUND(ROUND(((VLOOKUP($BN729-1,MORE_PV,5,0)/10000)*VLOOKUP($BN729,MORE_PV,$CB$5,0)),3)*VLOOKUP($BN729,more1,5,0),0)/$R728,0))</f>
        <v>469</v>
      </c>
      <c r="CC729" s="473">
        <f t="shared" ca="1" si="511"/>
        <v>0</v>
      </c>
      <c r="CD729" s="477"/>
    </row>
    <row r="730" spans="2:82" ht="16.5" hidden="1">
      <c r="B730" s="80"/>
      <c r="C730" s="80"/>
      <c r="D730" s="80"/>
      <c r="E730" s="80"/>
      <c r="F730" s="80"/>
      <c r="G730" s="80"/>
      <c r="H730" s="80"/>
      <c r="I730" s="80"/>
      <c r="J730" s="192">
        <f t="shared" si="492"/>
        <v>61</v>
      </c>
      <c r="K730" s="192">
        <f t="shared" si="493"/>
        <v>2</v>
      </c>
      <c r="L730" s="192" t="str">
        <f t="shared" si="488"/>
        <v/>
      </c>
      <c r="M730" s="216">
        <f t="shared" ca="1" si="494"/>
        <v>0</v>
      </c>
      <c r="N730" s="216"/>
      <c r="O730" s="216"/>
      <c r="P730" s="216"/>
      <c r="Q730" s="456" t="str">
        <f t="shared" ca="1" si="495"/>
        <v/>
      </c>
      <c r="R730" s="450">
        <f t="shared" ca="1" si="496"/>
        <v>1</v>
      </c>
      <c r="S730" s="191">
        <f t="shared" si="497"/>
        <v>61</v>
      </c>
      <c r="T730" s="191">
        <f t="shared" si="498"/>
        <v>2</v>
      </c>
      <c r="U730" s="191">
        <f ca="1">OP!$D$5+$S730-1</f>
        <v>93</v>
      </c>
      <c r="V730" s="191" t="str">
        <f t="shared" si="499"/>
        <v/>
      </c>
      <c r="W730" s="350">
        <f ca="1">IF(Q730&lt;&gt;1,0,VLOOKUP(OP!$C$55,PVFB,$S730+2,0))</f>
        <v>0</v>
      </c>
      <c r="X730" s="473">
        <f t="shared" ca="1" si="512"/>
        <v>0</v>
      </c>
      <c r="Y730" s="348">
        <f t="shared" ca="1" si="513"/>
        <v>0</v>
      </c>
      <c r="Z730" s="348">
        <f t="shared" ca="1" si="514"/>
        <v>8012</v>
      </c>
      <c r="AA730" s="348">
        <f ca="1">IF(Q730&lt;&gt;1,0,VLOOKUP(OP!$C$55,PVFB,$S730+2,0))</f>
        <v>0</v>
      </c>
      <c r="AB730" s="488" t="str">
        <f ca="1">IF(AND(S730&lt;OP!$C$24,$U730&lt;15),0,IF(AND($U730&lt;15,$T730=12),ROUND(VLOOKUP($S730,DOWN16,5,0),3),IF($T730=12,ROUND(($Z730/10000)*$AA730,3)+IF(AND($P$7="購買增額繳清保險",T730=12,U730=110),VLOOKUP(S730,$B$10:$H$121,7,0),0),"")))</f>
        <v/>
      </c>
      <c r="AC730" s="350" t="str">
        <f ca="1">IF(AND(S730&lt;OP!$C$24,$U730&lt;15),0,IF(AND($U730&lt;16,$T730=12),VLOOKUP($S730,DOWN16,4,0),IF($T730=12,ROUND(VLOOKUP(OP!$C$55,_DIE2,$S730+1,0)*(Z730/10000),0)+IF(AND($P$7="購買增額繳清保險",T730=12,U730=110),VLOOKUP(S730,$B$10:$H$121,7,0),0),"")))</f>
        <v/>
      </c>
      <c r="AD730" s="347"/>
      <c r="AE730" s="350" t="str">
        <f t="shared" ca="1" si="489"/>
        <v/>
      </c>
      <c r="AF730" s="351" t="str">
        <f t="shared" ca="1" si="490"/>
        <v/>
      </c>
      <c r="AG730" s="340"/>
      <c r="AH730" s="340"/>
      <c r="AI730" s="340"/>
      <c r="AJ730" s="340"/>
      <c r="AK730" s="340"/>
      <c r="AL730" s="340"/>
      <c r="AM730" s="340"/>
      <c r="AN730" s="340"/>
      <c r="AO730" s="340"/>
      <c r="AP730" s="340"/>
      <c r="AQ730" s="340"/>
      <c r="AR730" s="340"/>
      <c r="AS730" s="340"/>
      <c r="AT730" s="340"/>
      <c r="AU730" s="340"/>
      <c r="AV730" s="340"/>
      <c r="AY730" s="340"/>
      <c r="AZ730" s="465">
        <f t="shared" ca="1" si="500"/>
        <v>7.3698599999999999E-5</v>
      </c>
      <c r="BA730" s="464">
        <f t="shared" ca="1" si="501"/>
        <v>2.2109589000000002E-3</v>
      </c>
      <c r="BB730" s="465">
        <f t="shared" ca="1" si="501"/>
        <v>2.2846575E-3</v>
      </c>
      <c r="BC730" s="466">
        <f t="shared" ca="1" si="502"/>
        <v>64832</v>
      </c>
      <c r="BD730" s="467">
        <f t="shared" ca="1" si="515"/>
        <v>64833</v>
      </c>
      <c r="BE730" s="467">
        <f t="shared" ca="1" si="503"/>
        <v>64862</v>
      </c>
      <c r="BF730" s="468">
        <f ca="1">IF(計算!$BC730&lt;OP!$C$3,0,BD730-BC730)</f>
        <v>1</v>
      </c>
      <c r="BG730" s="468">
        <f ca="1">IF($BE730&gt;DATE(YEAR($BD$9)+OP!$C$57,MONTH($BD$9),DAY($BD$9)),0,$BE730-$BD730+1)</f>
        <v>30</v>
      </c>
      <c r="BH730" s="469">
        <f t="shared" ca="1" si="504"/>
        <v>31</v>
      </c>
      <c r="BI730" t="str">
        <f t="shared" si="520"/>
        <v/>
      </c>
      <c r="BJ730">
        <v>1</v>
      </c>
      <c r="BN730" s="468">
        <f t="shared" si="516"/>
        <v>61</v>
      </c>
      <c r="BO730" s="468">
        <f t="shared" si="517"/>
        <v>1</v>
      </c>
      <c r="BP730" s="467">
        <f t="shared" ca="1" si="505"/>
        <v>64833</v>
      </c>
      <c r="BQ730" s="475">
        <f t="shared" ca="1" si="519"/>
        <v>93</v>
      </c>
      <c r="BR730" s="475" t="str">
        <f t="shared" si="518"/>
        <v/>
      </c>
      <c r="BS730" s="471" t="str">
        <f t="shared" si="506"/>
        <v/>
      </c>
      <c r="BT730" s="472" t="str">
        <f t="shared" si="521"/>
        <v/>
      </c>
      <c r="BU730" s="472">
        <f t="shared" ca="1" si="507"/>
        <v>0</v>
      </c>
      <c r="BV730" s="472">
        <f t="shared" ca="1" si="507"/>
        <v>0</v>
      </c>
      <c r="BW730" s="472"/>
      <c r="BX730" s="473">
        <f t="shared" ca="1" si="508"/>
        <v>1371546.1960308</v>
      </c>
      <c r="BY730" s="473">
        <f t="shared" si="509"/>
        <v>0</v>
      </c>
      <c r="BZ730" s="473">
        <f t="shared" ca="1" si="491"/>
        <v>3133.513303358</v>
      </c>
      <c r="CA730" s="476">
        <f t="shared" ca="1" si="510"/>
        <v>0</v>
      </c>
      <c r="CB730" s="494">
        <f ca="1">IF(OR($Q729&lt;&gt;1,OP!$D$5+$BN730-1&lt;16,$BN730-1&lt;1),0,ROUND(ROUND(ROUND(((VLOOKUP($BN730-1,MORE_PV,5,0)/10000)*VLOOKUP($BN730,MORE_PV,$CB$5,0)),3)*VLOOKUP($BN730,more1,5,0),0)/$R729,0))</f>
        <v>0</v>
      </c>
      <c r="CC730" s="473">
        <f t="shared" ca="1" si="511"/>
        <v>0</v>
      </c>
      <c r="CD730" s="477"/>
    </row>
    <row r="731" spans="2:82" ht="16.5" hidden="1">
      <c r="B731" s="80"/>
      <c r="C731" s="80"/>
      <c r="D731" s="80"/>
      <c r="E731" s="80"/>
      <c r="F731" s="80"/>
      <c r="G731" s="80"/>
      <c r="H731" s="80"/>
      <c r="I731" s="80"/>
      <c r="J731" s="192">
        <f t="shared" si="492"/>
        <v>61</v>
      </c>
      <c r="K731" s="192">
        <f t="shared" si="493"/>
        <v>3</v>
      </c>
      <c r="L731" s="192" t="str">
        <f t="shared" si="488"/>
        <v/>
      </c>
      <c r="M731" s="216">
        <f t="shared" ca="1" si="494"/>
        <v>0</v>
      </c>
      <c r="N731" s="216"/>
      <c r="O731" s="216"/>
      <c r="P731" s="216"/>
      <c r="Q731" s="456" t="str">
        <f t="shared" ca="1" si="495"/>
        <v/>
      </c>
      <c r="R731" s="450">
        <f t="shared" ca="1" si="496"/>
        <v>1</v>
      </c>
      <c r="S731" s="191">
        <f t="shared" si="497"/>
        <v>61</v>
      </c>
      <c r="T731" s="191">
        <f t="shared" si="498"/>
        <v>3</v>
      </c>
      <c r="U731" s="191">
        <f ca="1">OP!$D$5+$S731-1</f>
        <v>93</v>
      </c>
      <c r="V731" s="191" t="str">
        <f t="shared" si="499"/>
        <v/>
      </c>
      <c r="W731" s="350">
        <f ca="1">IF(Q731&lt;&gt;1,0,VLOOKUP(OP!$C$55,PVFB,$S731+2,0))</f>
        <v>0</v>
      </c>
      <c r="X731" s="473">
        <f t="shared" ca="1" si="512"/>
        <v>0</v>
      </c>
      <c r="Y731" s="348">
        <f t="shared" ca="1" si="513"/>
        <v>0</v>
      </c>
      <c r="Z731" s="348">
        <f t="shared" ca="1" si="514"/>
        <v>8012</v>
      </c>
      <c r="AA731" s="348">
        <f ca="1">IF(Q731&lt;&gt;1,0,VLOOKUP(OP!$C$55,PVFB,$S731+2,0))</f>
        <v>0</v>
      </c>
      <c r="AB731" s="488" t="str">
        <f ca="1">IF(AND(S731&lt;OP!$C$24,$U731&lt;15),0,IF(AND($U731&lt;15,$T731=12),ROUND(VLOOKUP($S731,DOWN16,5,0),3),IF($T731=12,ROUND(($Z731/10000)*$AA731,3)+IF(AND($P$7="購買增額繳清保險",T731=12,U731=110),VLOOKUP(S731,$B$10:$H$121,7,0),0),"")))</f>
        <v/>
      </c>
      <c r="AC731" s="350" t="str">
        <f ca="1">IF(AND(S731&lt;OP!$C$24,$U731&lt;15),0,IF(AND($U731&lt;16,$T731=12),VLOOKUP($S731,DOWN16,4,0),IF($T731=12,ROUND(VLOOKUP(OP!$C$55,_DIE2,$S731+1,0)*(Z731/10000),0)+IF(AND($P$7="購買增額繳清保險",T731=12,U731=110),VLOOKUP(S731,$B$10:$H$121,7,0),0),"")))</f>
        <v/>
      </c>
      <c r="AD731" s="347"/>
      <c r="AE731" s="350" t="str">
        <f t="shared" ca="1" si="489"/>
        <v/>
      </c>
      <c r="AF731" s="351" t="str">
        <f t="shared" ca="1" si="490"/>
        <v/>
      </c>
      <c r="AG731" s="340"/>
      <c r="AH731" s="340"/>
      <c r="AI731" s="340"/>
      <c r="AJ731" s="340"/>
      <c r="AK731" s="340"/>
      <c r="AL731" s="340"/>
      <c r="AM731" s="340"/>
      <c r="AN731" s="340"/>
      <c r="AO731" s="340"/>
      <c r="AP731" s="340"/>
      <c r="AQ731" s="340"/>
      <c r="AR731" s="340"/>
      <c r="AS731" s="340"/>
      <c r="AT731" s="340"/>
      <c r="AU731" s="340"/>
      <c r="AV731" s="340"/>
      <c r="AY731" s="340"/>
      <c r="AZ731" s="465">
        <f t="shared" ca="1" si="500"/>
        <v>7.3698599999999999E-5</v>
      </c>
      <c r="BA731" s="464">
        <f t="shared" ca="1" si="501"/>
        <v>2.2109589000000002E-3</v>
      </c>
      <c r="BB731" s="465">
        <f t="shared" ca="1" si="501"/>
        <v>2.2846575E-3</v>
      </c>
      <c r="BC731" s="466">
        <f t="shared" ca="1" si="502"/>
        <v>64863</v>
      </c>
      <c r="BD731" s="467">
        <f t="shared" ca="1" si="515"/>
        <v>64864</v>
      </c>
      <c r="BE731" s="467">
        <f t="shared" ca="1" si="503"/>
        <v>64893</v>
      </c>
      <c r="BF731" s="468">
        <f ca="1">IF(計算!$BC731&lt;OP!$C$3,0,BD731-BC731)</f>
        <v>1</v>
      </c>
      <c r="BG731" s="468">
        <f ca="1">IF($BE731&gt;DATE(YEAR($BD$9)+OP!$C$57,MONTH($BD$9),DAY($BD$9)),0,$BE731-$BD731+1)</f>
        <v>30</v>
      </c>
      <c r="BH731" s="469">
        <f t="shared" ca="1" si="504"/>
        <v>31</v>
      </c>
      <c r="BI731" t="str">
        <f t="shared" si="520"/>
        <v/>
      </c>
      <c r="BJ731">
        <v>2</v>
      </c>
      <c r="BN731" s="468">
        <f t="shared" si="516"/>
        <v>61</v>
      </c>
      <c r="BO731" s="468">
        <f t="shared" si="517"/>
        <v>2</v>
      </c>
      <c r="BP731" s="467">
        <f t="shared" ca="1" si="505"/>
        <v>64864</v>
      </c>
      <c r="BQ731" s="475">
        <f t="shared" ca="1" si="519"/>
        <v>93</v>
      </c>
      <c r="BR731" s="475" t="str">
        <f t="shared" si="518"/>
        <v/>
      </c>
      <c r="BS731" s="471" t="str">
        <f t="shared" si="506"/>
        <v/>
      </c>
      <c r="BT731" s="472" t="str">
        <f t="shared" si="521"/>
        <v/>
      </c>
      <c r="BU731" s="472">
        <f t="shared" ca="1" si="507"/>
        <v>0</v>
      </c>
      <c r="BV731" s="472">
        <f t="shared" ca="1" si="507"/>
        <v>0</v>
      </c>
      <c r="BW731" s="472"/>
      <c r="BX731" s="473">
        <f t="shared" ca="1" si="508"/>
        <v>1374679.70933416</v>
      </c>
      <c r="BY731" s="473">
        <f t="shared" si="509"/>
        <v>0</v>
      </c>
      <c r="BZ731" s="473">
        <f t="shared" ca="1" si="491"/>
        <v>3140.6723080279999</v>
      </c>
      <c r="CA731" s="476">
        <f t="shared" ca="1" si="510"/>
        <v>0</v>
      </c>
      <c r="CB731" s="494">
        <f ca="1">IF(OR($Q730&lt;&gt;1,OP!$D$5+$BN731-1&lt;16,$BN731-1&lt;1),0,ROUND(ROUND(ROUND(((VLOOKUP($BN731-1,MORE_PV,5,0)/10000)*VLOOKUP($BN731,MORE_PV,$CB$5,0)),3)*VLOOKUP($BN731,more1,5,0),0)/$R730,0))</f>
        <v>0</v>
      </c>
      <c r="CC731" s="473">
        <f t="shared" ca="1" si="511"/>
        <v>0</v>
      </c>
      <c r="CD731" s="477"/>
    </row>
    <row r="732" spans="2:82" ht="16.5" hidden="1">
      <c r="B732" s="80"/>
      <c r="C732" s="80"/>
      <c r="D732" s="80"/>
      <c r="E732" s="80"/>
      <c r="F732" s="80"/>
      <c r="G732" s="80"/>
      <c r="H732" s="80"/>
      <c r="I732" s="80"/>
      <c r="J732" s="192">
        <f t="shared" si="492"/>
        <v>61</v>
      </c>
      <c r="K732" s="192">
        <f t="shared" si="493"/>
        <v>4</v>
      </c>
      <c r="L732" s="192" t="str">
        <f t="shared" si="488"/>
        <v/>
      </c>
      <c r="M732" s="216">
        <f t="shared" ca="1" si="494"/>
        <v>0</v>
      </c>
      <c r="N732" s="216"/>
      <c r="O732" s="216"/>
      <c r="P732" s="216"/>
      <c r="Q732" s="456" t="str">
        <f t="shared" ca="1" si="495"/>
        <v/>
      </c>
      <c r="R732" s="450">
        <f t="shared" ca="1" si="496"/>
        <v>1</v>
      </c>
      <c r="S732" s="191">
        <f t="shared" si="497"/>
        <v>61</v>
      </c>
      <c r="T732" s="191">
        <f t="shared" si="498"/>
        <v>4</v>
      </c>
      <c r="U732" s="191">
        <f ca="1">OP!$D$5+$S732-1</f>
        <v>93</v>
      </c>
      <c r="V732" s="191" t="str">
        <f t="shared" si="499"/>
        <v/>
      </c>
      <c r="W732" s="350">
        <f ca="1">IF(Q732&lt;&gt;1,0,VLOOKUP(OP!$C$55,PVFB,$S732+2,0))</f>
        <v>0</v>
      </c>
      <c r="X732" s="473">
        <f t="shared" ca="1" si="512"/>
        <v>0</v>
      </c>
      <c r="Y732" s="348">
        <f t="shared" ca="1" si="513"/>
        <v>0</v>
      </c>
      <c r="Z732" s="348">
        <f t="shared" ca="1" si="514"/>
        <v>8012</v>
      </c>
      <c r="AA732" s="348">
        <f ca="1">IF(Q732&lt;&gt;1,0,VLOOKUP(OP!$C$55,PVFB,$S732+2,0))</f>
        <v>0</v>
      </c>
      <c r="AB732" s="488" t="str">
        <f ca="1">IF(AND(S732&lt;OP!$C$24,$U732&lt;15),0,IF(AND($U732&lt;15,$T732=12),ROUND(VLOOKUP($S732,DOWN16,5,0),3),IF($T732=12,ROUND(($Z732/10000)*$AA732,3)+IF(AND($P$7="購買增額繳清保險",T732=12,U732=110),VLOOKUP(S732,$B$10:$H$121,7,0),0),"")))</f>
        <v/>
      </c>
      <c r="AC732" s="350" t="str">
        <f ca="1">IF(AND(S732&lt;OP!$C$24,$U732&lt;15),0,IF(AND($U732&lt;16,$T732=12),VLOOKUP($S732,DOWN16,4,0),IF($T732=12,ROUND(VLOOKUP(OP!$C$55,_DIE2,$S732+1,0)*(Z732/10000),0)+IF(AND($P$7="購買增額繳清保險",T732=12,U732=110),VLOOKUP(S732,$B$10:$H$121,7,0),0),"")))</f>
        <v/>
      </c>
      <c r="AD732" s="347"/>
      <c r="AE732" s="350" t="str">
        <f t="shared" ca="1" si="489"/>
        <v/>
      </c>
      <c r="AF732" s="351" t="str">
        <f t="shared" ca="1" si="490"/>
        <v/>
      </c>
      <c r="AG732" s="340"/>
      <c r="AH732" s="340"/>
      <c r="AI732" s="340"/>
      <c r="AJ732" s="340"/>
      <c r="AK732" s="340"/>
      <c r="AL732" s="340"/>
      <c r="AM732" s="340"/>
      <c r="AN732" s="340"/>
      <c r="AO732" s="340"/>
      <c r="AP732" s="340"/>
      <c r="AQ732" s="340"/>
      <c r="AR732" s="340"/>
      <c r="AS732" s="340"/>
      <c r="AT732" s="340"/>
      <c r="AU732" s="340"/>
      <c r="AV732" s="340"/>
      <c r="AY732" s="340"/>
      <c r="AZ732" s="465">
        <f t="shared" ca="1" si="500"/>
        <v>7.3698599999999999E-5</v>
      </c>
      <c r="BA732" s="464">
        <f t="shared" ca="1" si="501"/>
        <v>2.1372602999999999E-3</v>
      </c>
      <c r="BB732" s="465">
        <f t="shared" ca="1" si="501"/>
        <v>2.2109589000000002E-3</v>
      </c>
      <c r="BC732" s="466">
        <f t="shared" ca="1" si="502"/>
        <v>64894</v>
      </c>
      <c r="BD732" s="467">
        <f t="shared" ca="1" si="515"/>
        <v>64895</v>
      </c>
      <c r="BE732" s="467">
        <f t="shared" ca="1" si="503"/>
        <v>64923</v>
      </c>
      <c r="BF732" s="468">
        <f ca="1">IF(計算!$BC732&lt;OP!$C$3,0,BD732-BC732)</f>
        <v>1</v>
      </c>
      <c r="BG732" s="468">
        <f ca="1">IF($BE732&gt;DATE(YEAR($BD$9)+OP!$C$57,MONTH($BD$9),DAY($BD$9)),0,$BE732-$BD732+1)</f>
        <v>29</v>
      </c>
      <c r="BH732" s="469">
        <f t="shared" ca="1" si="504"/>
        <v>30</v>
      </c>
      <c r="BI732" t="str">
        <f t="shared" si="520"/>
        <v/>
      </c>
      <c r="BJ732">
        <v>3</v>
      </c>
      <c r="BN732" s="468">
        <f t="shared" si="516"/>
        <v>61</v>
      </c>
      <c r="BO732" s="468">
        <f t="shared" si="517"/>
        <v>3</v>
      </c>
      <c r="BP732" s="467">
        <f t="shared" ca="1" si="505"/>
        <v>64895</v>
      </c>
      <c r="BQ732" s="475">
        <f t="shared" ca="1" si="519"/>
        <v>93</v>
      </c>
      <c r="BR732" s="475" t="str">
        <f t="shared" si="518"/>
        <v/>
      </c>
      <c r="BS732" s="471" t="str">
        <f t="shared" si="506"/>
        <v/>
      </c>
      <c r="BT732" s="472" t="str">
        <f t="shared" si="521"/>
        <v/>
      </c>
      <c r="BU732" s="472">
        <f t="shared" ca="1" si="507"/>
        <v>0</v>
      </c>
      <c r="BV732" s="472">
        <f t="shared" ca="1" si="507"/>
        <v>0</v>
      </c>
      <c r="BW732" s="472"/>
      <c r="BX732" s="473">
        <f t="shared" ca="1" si="508"/>
        <v>1377820.38164219</v>
      </c>
      <c r="BY732" s="473">
        <f t="shared" si="509"/>
        <v>0</v>
      </c>
      <c r="BZ732" s="473">
        <f t="shared" ca="1" si="491"/>
        <v>3046.304235393</v>
      </c>
      <c r="CA732" s="476">
        <f t="shared" ca="1" si="510"/>
        <v>0</v>
      </c>
      <c r="CB732" s="494">
        <f ca="1">IF(OR($Q731&lt;&gt;1,OP!$D$5+$BN732-1&lt;16,$BN732-1&lt;1),0,ROUND(ROUND(ROUND(((VLOOKUP($BN732-1,MORE_PV,5,0)/10000)*VLOOKUP($BN732,MORE_PV,$CB$5,0)),3)*VLOOKUP($BN732,more1,5,0),0)/$R731,0))</f>
        <v>0</v>
      </c>
      <c r="CC732" s="473">
        <f t="shared" ca="1" si="511"/>
        <v>0</v>
      </c>
      <c r="CD732" s="477"/>
    </row>
    <row r="733" spans="2:82" ht="16.5" hidden="1">
      <c r="B733" s="80"/>
      <c r="C733" s="80"/>
      <c r="D733" s="80"/>
      <c r="E733" s="80"/>
      <c r="F733" s="80"/>
      <c r="G733" s="80"/>
      <c r="H733" s="80"/>
      <c r="I733" s="80"/>
      <c r="J733" s="192">
        <f t="shared" si="492"/>
        <v>61</v>
      </c>
      <c r="K733" s="192">
        <f t="shared" si="493"/>
        <v>5</v>
      </c>
      <c r="L733" s="192" t="str">
        <f t="shared" si="488"/>
        <v/>
      </c>
      <c r="M733" s="216">
        <f t="shared" ca="1" si="494"/>
        <v>0</v>
      </c>
      <c r="N733" s="216"/>
      <c r="O733" s="216"/>
      <c r="P733" s="216"/>
      <c r="Q733" s="456" t="str">
        <f t="shared" ca="1" si="495"/>
        <v/>
      </c>
      <c r="R733" s="450">
        <f t="shared" ca="1" si="496"/>
        <v>1</v>
      </c>
      <c r="S733" s="191">
        <f t="shared" si="497"/>
        <v>61</v>
      </c>
      <c r="T733" s="191">
        <f t="shared" si="498"/>
        <v>5</v>
      </c>
      <c r="U733" s="191">
        <f ca="1">OP!$D$5+$S733-1</f>
        <v>93</v>
      </c>
      <c r="V733" s="191" t="str">
        <f t="shared" si="499"/>
        <v/>
      </c>
      <c r="W733" s="350">
        <f ca="1">IF(Q733&lt;&gt;1,0,VLOOKUP(OP!$C$55,PVFB,$S733+2,0))</f>
        <v>0</v>
      </c>
      <c r="X733" s="473">
        <f t="shared" ca="1" si="512"/>
        <v>0</v>
      </c>
      <c r="Y733" s="348">
        <f t="shared" ca="1" si="513"/>
        <v>0</v>
      </c>
      <c r="Z733" s="348">
        <f t="shared" ca="1" si="514"/>
        <v>8012</v>
      </c>
      <c r="AA733" s="348">
        <f ca="1">IF(Q733&lt;&gt;1,0,VLOOKUP(OP!$C$55,PVFB,$S733+2,0))</f>
        <v>0</v>
      </c>
      <c r="AB733" s="488" t="str">
        <f ca="1">IF(AND(S733&lt;OP!$C$24,$U733&lt;15),0,IF(AND($U733&lt;15,$T733=12),ROUND(VLOOKUP($S733,DOWN16,5,0),3),IF($T733=12,ROUND(($Z733/10000)*$AA733,3)+IF(AND($P$7="購買增額繳清保險",T733=12,U733=110),VLOOKUP(S733,$B$10:$H$121,7,0),0),"")))</f>
        <v/>
      </c>
      <c r="AC733" s="350" t="str">
        <f ca="1">IF(AND(S733&lt;OP!$C$24,$U733&lt;15),0,IF(AND($U733&lt;16,$T733=12),VLOOKUP($S733,DOWN16,4,0),IF($T733=12,ROUND(VLOOKUP(OP!$C$55,_DIE2,$S733+1,0)*(Z733/10000),0)+IF(AND($P$7="購買增額繳清保險",T733=12,U733=110),VLOOKUP(S733,$B$10:$H$121,7,0),0),"")))</f>
        <v/>
      </c>
      <c r="AD733" s="347"/>
      <c r="AE733" s="350" t="str">
        <f t="shared" ca="1" si="489"/>
        <v/>
      </c>
      <c r="AF733" s="351" t="str">
        <f t="shared" ca="1" si="490"/>
        <v/>
      </c>
      <c r="AG733" s="340"/>
      <c r="AH733" s="340"/>
      <c r="AI733" s="340"/>
      <c r="AJ733" s="340"/>
      <c r="AK733" s="340"/>
      <c r="AL733" s="340"/>
      <c r="AM733" s="340"/>
      <c r="AN733" s="340"/>
      <c r="AO733" s="340"/>
      <c r="AP733" s="340"/>
      <c r="AQ733" s="340"/>
      <c r="AR733" s="340"/>
      <c r="AS733" s="340"/>
      <c r="AT733" s="340"/>
      <c r="AU733" s="340"/>
      <c r="AV733" s="340"/>
      <c r="AY733" s="340"/>
      <c r="AZ733" s="465">
        <f t="shared" ca="1" si="500"/>
        <v>7.3698599999999999E-5</v>
      </c>
      <c r="BA733" s="464">
        <f t="shared" ca="1" si="501"/>
        <v>2.2109589000000002E-3</v>
      </c>
      <c r="BB733" s="465">
        <f t="shared" ca="1" si="501"/>
        <v>2.2846575E-3</v>
      </c>
      <c r="BC733" s="466">
        <f t="shared" ca="1" si="502"/>
        <v>64924</v>
      </c>
      <c r="BD733" s="467">
        <f t="shared" ca="1" si="515"/>
        <v>64925</v>
      </c>
      <c r="BE733" s="467">
        <f t="shared" ca="1" si="503"/>
        <v>64954</v>
      </c>
      <c r="BF733" s="468">
        <f ca="1">IF(計算!$BC733&lt;OP!$C$3,0,BD733-BC733)</f>
        <v>1</v>
      </c>
      <c r="BG733" s="468">
        <f ca="1">IF($BE733&gt;DATE(YEAR($BD$9)+OP!$C$57,MONTH($BD$9),DAY($BD$9)),0,$BE733-$BD733+1)</f>
        <v>30</v>
      </c>
      <c r="BH733" s="469">
        <f t="shared" ca="1" si="504"/>
        <v>31</v>
      </c>
      <c r="BI733" t="str">
        <f t="shared" si="520"/>
        <v/>
      </c>
      <c r="BJ733">
        <v>4</v>
      </c>
      <c r="BN733" s="468">
        <f t="shared" si="516"/>
        <v>61</v>
      </c>
      <c r="BO733" s="468">
        <f t="shared" si="517"/>
        <v>4</v>
      </c>
      <c r="BP733" s="467">
        <f t="shared" ca="1" si="505"/>
        <v>64925</v>
      </c>
      <c r="BQ733" s="475">
        <f t="shared" ca="1" si="519"/>
        <v>93</v>
      </c>
      <c r="BR733" s="475" t="str">
        <f t="shared" si="518"/>
        <v/>
      </c>
      <c r="BS733" s="471" t="str">
        <f t="shared" si="506"/>
        <v/>
      </c>
      <c r="BT733" s="472" t="str">
        <f t="shared" si="521"/>
        <v/>
      </c>
      <c r="BU733" s="472">
        <f t="shared" ca="1" si="507"/>
        <v>0</v>
      </c>
      <c r="BV733" s="472">
        <f t="shared" ca="1" si="507"/>
        <v>0</v>
      </c>
      <c r="BW733" s="472"/>
      <c r="BX733" s="473">
        <f t="shared" ca="1" si="508"/>
        <v>1380866.68587758</v>
      </c>
      <c r="BY733" s="473">
        <f t="shared" si="509"/>
        <v>0</v>
      </c>
      <c r="BZ733" s="473">
        <f t="shared" ca="1" si="491"/>
        <v>3154.8074303899998</v>
      </c>
      <c r="CA733" s="476">
        <f t="shared" ca="1" si="510"/>
        <v>0</v>
      </c>
      <c r="CB733" s="494">
        <f ca="1">IF(OR($Q732&lt;&gt;1,OP!$D$5+$BN733-1&lt;16,$BN733-1&lt;1),0,ROUND(ROUND(ROUND(((VLOOKUP($BN733-1,MORE_PV,5,0)/10000)*VLOOKUP($BN733,MORE_PV,$CB$5,0)),3)*VLOOKUP($BN733,more1,5,0),0)/$R732,0))</f>
        <v>0</v>
      </c>
      <c r="CC733" s="473">
        <f t="shared" ca="1" si="511"/>
        <v>0</v>
      </c>
      <c r="CD733" s="477"/>
    </row>
    <row r="734" spans="2:82" ht="16.5" hidden="1">
      <c r="B734" s="80"/>
      <c r="C734" s="80"/>
      <c r="D734" s="80"/>
      <c r="E734" s="80"/>
      <c r="F734" s="80"/>
      <c r="G734" s="80"/>
      <c r="H734" s="80"/>
      <c r="I734" s="80"/>
      <c r="J734" s="192">
        <f t="shared" si="492"/>
        <v>61</v>
      </c>
      <c r="K734" s="192">
        <f t="shared" si="493"/>
        <v>6</v>
      </c>
      <c r="L734" s="192" t="str">
        <f t="shared" si="488"/>
        <v/>
      </c>
      <c r="M734" s="216">
        <f t="shared" ca="1" si="494"/>
        <v>0</v>
      </c>
      <c r="N734" s="216"/>
      <c r="O734" s="216"/>
      <c r="P734" s="216"/>
      <c r="Q734" s="456" t="str">
        <f t="shared" ca="1" si="495"/>
        <v/>
      </c>
      <c r="R734" s="450">
        <f t="shared" ca="1" si="496"/>
        <v>1</v>
      </c>
      <c r="S734" s="191">
        <f t="shared" si="497"/>
        <v>61</v>
      </c>
      <c r="T734" s="191">
        <f t="shared" si="498"/>
        <v>6</v>
      </c>
      <c r="U734" s="191">
        <f ca="1">OP!$D$5+$S734-1</f>
        <v>93</v>
      </c>
      <c r="V734" s="191" t="str">
        <f t="shared" si="499"/>
        <v/>
      </c>
      <c r="W734" s="350">
        <f ca="1">IF(Q734&lt;&gt;1,0,VLOOKUP(OP!$C$55,PVFB,$S734+2,0))</f>
        <v>0</v>
      </c>
      <c r="X734" s="473">
        <f t="shared" ca="1" si="512"/>
        <v>0</v>
      </c>
      <c r="Y734" s="348">
        <f t="shared" ca="1" si="513"/>
        <v>0</v>
      </c>
      <c r="Z734" s="348">
        <f t="shared" ca="1" si="514"/>
        <v>8012</v>
      </c>
      <c r="AA734" s="348">
        <f ca="1">IF(Q734&lt;&gt;1,0,VLOOKUP(OP!$C$55,PVFB,$S734+2,0))</f>
        <v>0</v>
      </c>
      <c r="AB734" s="488" t="str">
        <f ca="1">IF(AND(S734&lt;OP!$C$24,$U734&lt;15),0,IF(AND($U734&lt;15,$T734=12),ROUND(VLOOKUP($S734,DOWN16,5,0),3),IF($T734=12,ROUND(($Z734/10000)*$AA734,3)+IF(AND($P$7="購買增額繳清保險",T734=12,U734=110),VLOOKUP(S734,$B$10:$H$121,7,0),0),"")))</f>
        <v/>
      </c>
      <c r="AC734" s="350" t="str">
        <f ca="1">IF(AND(S734&lt;OP!$C$24,$U734&lt;15),0,IF(AND($U734&lt;16,$T734=12),VLOOKUP($S734,DOWN16,4,0),IF($T734=12,ROUND(VLOOKUP(OP!$C$55,_DIE2,$S734+1,0)*(Z734/10000),0)+IF(AND($P$7="購買增額繳清保險",T734=12,U734=110),VLOOKUP(S734,$B$10:$H$121,7,0),0),"")))</f>
        <v/>
      </c>
      <c r="AD734" s="347"/>
      <c r="AE734" s="350" t="str">
        <f t="shared" ca="1" si="489"/>
        <v/>
      </c>
      <c r="AF734" s="351" t="str">
        <f t="shared" ca="1" si="490"/>
        <v/>
      </c>
      <c r="AG734" s="340"/>
      <c r="AH734" s="340"/>
      <c r="AI734" s="340"/>
      <c r="AJ734" s="340"/>
      <c r="AK734" s="340"/>
      <c r="AL734" s="340"/>
      <c r="AM734" s="340"/>
      <c r="AN734" s="340"/>
      <c r="AO734" s="340"/>
      <c r="AP734" s="340"/>
      <c r="AQ734" s="340"/>
      <c r="AR734" s="340"/>
      <c r="AS734" s="340"/>
      <c r="AT734" s="340"/>
      <c r="AU734" s="340"/>
      <c r="AV734" s="340"/>
      <c r="AY734" s="340"/>
      <c r="AZ734" s="465">
        <f t="shared" ca="1" si="500"/>
        <v>7.3698599999999999E-5</v>
      </c>
      <c r="BA734" s="464">
        <f t="shared" ca="1" si="501"/>
        <v>2.1372602999999999E-3</v>
      </c>
      <c r="BB734" s="465">
        <f t="shared" ca="1" si="501"/>
        <v>2.2109589000000002E-3</v>
      </c>
      <c r="BC734" s="466">
        <f t="shared" ca="1" si="502"/>
        <v>64955</v>
      </c>
      <c r="BD734" s="467">
        <f t="shared" ca="1" si="515"/>
        <v>64956</v>
      </c>
      <c r="BE734" s="467">
        <f t="shared" ca="1" si="503"/>
        <v>64984</v>
      </c>
      <c r="BF734" s="468">
        <f ca="1">IF(計算!$BC734&lt;OP!$C$3,0,BD734-BC734)</f>
        <v>1</v>
      </c>
      <c r="BG734" s="468">
        <f ca="1">IF($BE734&gt;DATE(YEAR($BD$9)+OP!$C$57,MONTH($BD$9),DAY($BD$9)),0,$BE734-$BD734+1)</f>
        <v>29</v>
      </c>
      <c r="BH734" s="469">
        <f t="shared" ca="1" si="504"/>
        <v>30</v>
      </c>
      <c r="BI734" t="str">
        <f t="shared" si="520"/>
        <v/>
      </c>
      <c r="BJ734">
        <v>5</v>
      </c>
      <c r="BN734" s="468">
        <f t="shared" si="516"/>
        <v>61</v>
      </c>
      <c r="BO734" s="468">
        <f t="shared" si="517"/>
        <v>5</v>
      </c>
      <c r="BP734" s="467">
        <f t="shared" ca="1" si="505"/>
        <v>64956</v>
      </c>
      <c r="BQ734" s="475">
        <f t="shared" ca="1" si="519"/>
        <v>93</v>
      </c>
      <c r="BR734" s="475" t="str">
        <f t="shared" si="518"/>
        <v/>
      </c>
      <c r="BS734" s="471" t="str">
        <f t="shared" si="506"/>
        <v/>
      </c>
      <c r="BT734" s="472" t="str">
        <f t="shared" si="521"/>
        <v/>
      </c>
      <c r="BU734" s="472">
        <f t="shared" ca="1" si="507"/>
        <v>0</v>
      </c>
      <c r="BV734" s="472">
        <f t="shared" ca="1" si="507"/>
        <v>0</v>
      </c>
      <c r="BW734" s="472"/>
      <c r="BX734" s="473">
        <f t="shared" ca="1" si="508"/>
        <v>1384021.49330797</v>
      </c>
      <c r="BY734" s="473">
        <f t="shared" si="509"/>
        <v>0</v>
      </c>
      <c r="BZ734" s="473">
        <f t="shared" ca="1" si="491"/>
        <v>3060.0146384210002</v>
      </c>
      <c r="CA734" s="476">
        <f t="shared" ca="1" si="510"/>
        <v>0</v>
      </c>
      <c r="CB734" s="494">
        <f ca="1">IF(OR($Q733&lt;&gt;1,OP!$D$5+$BN734-1&lt;16,$BN734-1&lt;1),0,ROUND(ROUND(ROUND(((VLOOKUP($BN734-1,MORE_PV,5,0)/10000)*VLOOKUP($BN734,MORE_PV,$CB$5,0)),3)*VLOOKUP($BN734,more1,5,0),0)/$R733,0))</f>
        <v>0</v>
      </c>
      <c r="CC734" s="473">
        <f t="shared" ca="1" si="511"/>
        <v>0</v>
      </c>
      <c r="CD734" s="477"/>
    </row>
    <row r="735" spans="2:82" ht="16.5" hidden="1">
      <c r="B735" s="80"/>
      <c r="C735" s="80"/>
      <c r="D735" s="80"/>
      <c r="E735" s="80"/>
      <c r="F735" s="80"/>
      <c r="G735" s="80"/>
      <c r="H735" s="80"/>
      <c r="I735" s="80"/>
      <c r="J735" s="192">
        <f t="shared" si="492"/>
        <v>61</v>
      </c>
      <c r="K735" s="192">
        <f t="shared" si="493"/>
        <v>7</v>
      </c>
      <c r="L735" s="192" t="str">
        <f t="shared" si="488"/>
        <v/>
      </c>
      <c r="M735" s="216">
        <f t="shared" ca="1" si="494"/>
        <v>0</v>
      </c>
      <c r="N735" s="216"/>
      <c r="O735" s="216"/>
      <c r="P735" s="216"/>
      <c r="Q735" s="456" t="str">
        <f t="shared" ca="1" si="495"/>
        <v/>
      </c>
      <c r="R735" s="450">
        <f t="shared" ca="1" si="496"/>
        <v>1</v>
      </c>
      <c r="S735" s="191">
        <f t="shared" si="497"/>
        <v>61</v>
      </c>
      <c r="T735" s="191">
        <f t="shared" si="498"/>
        <v>7</v>
      </c>
      <c r="U735" s="191">
        <f ca="1">OP!$D$5+$S735-1</f>
        <v>93</v>
      </c>
      <c r="V735" s="191" t="str">
        <f t="shared" si="499"/>
        <v/>
      </c>
      <c r="W735" s="350">
        <f ca="1">IF(Q735&lt;&gt;1,0,VLOOKUP(OP!$C$55,PVFB,$S735+2,0))</f>
        <v>0</v>
      </c>
      <c r="X735" s="473">
        <f t="shared" ca="1" si="512"/>
        <v>0</v>
      </c>
      <c r="Y735" s="348">
        <f t="shared" ca="1" si="513"/>
        <v>0</v>
      </c>
      <c r="Z735" s="348">
        <f t="shared" ca="1" si="514"/>
        <v>8012</v>
      </c>
      <c r="AA735" s="348">
        <f ca="1">IF(Q735&lt;&gt;1,0,VLOOKUP(OP!$C$55,PVFB,$S735+2,0))</f>
        <v>0</v>
      </c>
      <c r="AB735" s="488" t="str">
        <f ca="1">IF(AND(S735&lt;OP!$C$24,$U735&lt;15),0,IF(AND($U735&lt;15,$T735=12),ROUND(VLOOKUP($S735,DOWN16,5,0),3),IF($T735=12,ROUND(($Z735/10000)*$AA735,3)+IF(AND($P$7="購買增額繳清保險",T735=12,U735=110),VLOOKUP(S735,$B$10:$H$121,7,0),0),"")))</f>
        <v/>
      </c>
      <c r="AC735" s="350" t="str">
        <f ca="1">IF(AND(S735&lt;OP!$C$24,$U735&lt;15),0,IF(AND($U735&lt;16,$T735=12),VLOOKUP($S735,DOWN16,4,0),IF($T735=12,ROUND(VLOOKUP(OP!$C$55,_DIE2,$S735+1,0)*(Z735/10000),0)+IF(AND($P$7="購買增額繳清保險",T735=12,U735=110),VLOOKUP(S735,$B$10:$H$121,7,0),0),"")))</f>
        <v/>
      </c>
      <c r="AD735" s="347"/>
      <c r="AE735" s="350" t="str">
        <f t="shared" ca="1" si="489"/>
        <v/>
      </c>
      <c r="AF735" s="351" t="str">
        <f t="shared" ca="1" si="490"/>
        <v/>
      </c>
      <c r="AG735" s="340"/>
      <c r="AH735" s="340"/>
      <c r="AI735" s="340"/>
      <c r="AJ735" s="340"/>
      <c r="AK735" s="340"/>
      <c r="AL735" s="340"/>
      <c r="AM735" s="340"/>
      <c r="AN735" s="340"/>
      <c r="AO735" s="340"/>
      <c r="AP735" s="340"/>
      <c r="AQ735" s="340"/>
      <c r="AR735" s="340"/>
      <c r="AS735" s="340"/>
      <c r="AT735" s="340"/>
      <c r="AU735" s="340"/>
      <c r="AV735" s="340"/>
      <c r="AY735" s="340"/>
      <c r="AZ735" s="465">
        <f t="shared" ca="1" si="500"/>
        <v>7.3698599999999999E-5</v>
      </c>
      <c r="BA735" s="464">
        <f t="shared" ca="1" si="501"/>
        <v>2.2109589000000002E-3</v>
      </c>
      <c r="BB735" s="465">
        <f t="shared" ca="1" si="501"/>
        <v>2.2846575E-3</v>
      </c>
      <c r="BC735" s="466">
        <f t="shared" ca="1" si="502"/>
        <v>64985</v>
      </c>
      <c r="BD735" s="467">
        <f t="shared" ca="1" si="515"/>
        <v>64986</v>
      </c>
      <c r="BE735" s="467">
        <f t="shared" ca="1" si="503"/>
        <v>65015</v>
      </c>
      <c r="BF735" s="468">
        <f ca="1">IF(計算!$BC735&lt;OP!$C$3,0,BD735-BC735)</f>
        <v>1</v>
      </c>
      <c r="BG735" s="468">
        <f ca="1">IF($BE735&gt;DATE(YEAR($BD$9)+OP!$C$57,MONTH($BD$9),DAY($BD$9)),0,$BE735-$BD735+1)</f>
        <v>30</v>
      </c>
      <c r="BH735" s="469">
        <f t="shared" ca="1" si="504"/>
        <v>31</v>
      </c>
      <c r="BI735" t="str">
        <f t="shared" si="520"/>
        <v/>
      </c>
      <c r="BJ735">
        <v>6</v>
      </c>
      <c r="BN735" s="468">
        <f t="shared" si="516"/>
        <v>61</v>
      </c>
      <c r="BO735" s="468">
        <f t="shared" si="517"/>
        <v>6</v>
      </c>
      <c r="BP735" s="467">
        <f t="shared" ca="1" si="505"/>
        <v>64986</v>
      </c>
      <c r="BQ735" s="475">
        <f t="shared" ca="1" si="519"/>
        <v>93</v>
      </c>
      <c r="BR735" s="475" t="str">
        <f t="shared" si="518"/>
        <v/>
      </c>
      <c r="BS735" s="471" t="str">
        <f t="shared" si="506"/>
        <v/>
      </c>
      <c r="BT735" s="472" t="str">
        <f t="shared" si="521"/>
        <v/>
      </c>
      <c r="BU735" s="472">
        <f t="shared" ca="1" si="507"/>
        <v>0</v>
      </c>
      <c r="BV735" s="472">
        <f t="shared" ca="1" si="507"/>
        <v>0</v>
      </c>
      <c r="BW735" s="472"/>
      <c r="BX735" s="473">
        <f t="shared" ca="1" si="508"/>
        <v>1387081.50794639</v>
      </c>
      <c r="BY735" s="473">
        <f t="shared" si="509"/>
        <v>0</v>
      </c>
      <c r="BZ735" s="473">
        <f t="shared" ca="1" si="491"/>
        <v>3169.0061702409998</v>
      </c>
      <c r="CA735" s="476">
        <f t="shared" ca="1" si="510"/>
        <v>0</v>
      </c>
      <c r="CB735" s="494">
        <f ca="1">IF(OR($Q734&lt;&gt;1,OP!$D$5+$BN735-1&lt;16,$BN735-1&lt;1),0,ROUND(ROUND(ROUND(((VLOOKUP($BN735-1,MORE_PV,5,0)/10000)*VLOOKUP($BN735,MORE_PV,$CB$5,0)),3)*VLOOKUP($BN735,more1,5,0),0)/$R734,0))</f>
        <v>0</v>
      </c>
      <c r="CC735" s="473">
        <f t="shared" ca="1" si="511"/>
        <v>0</v>
      </c>
      <c r="CD735" s="477"/>
    </row>
    <row r="736" spans="2:82" ht="16.5" hidden="1">
      <c r="B736" s="80"/>
      <c r="C736" s="80"/>
      <c r="D736" s="80"/>
      <c r="E736" s="80"/>
      <c r="F736" s="80"/>
      <c r="G736" s="80"/>
      <c r="H736" s="80"/>
      <c r="I736" s="80"/>
      <c r="J736" s="192">
        <f t="shared" si="492"/>
        <v>61</v>
      </c>
      <c r="K736" s="192">
        <f t="shared" si="493"/>
        <v>8</v>
      </c>
      <c r="L736" s="192" t="str">
        <f t="shared" si="488"/>
        <v/>
      </c>
      <c r="M736" s="216">
        <f t="shared" ca="1" si="494"/>
        <v>0</v>
      </c>
      <c r="N736" s="216"/>
      <c r="O736" s="216"/>
      <c r="P736" s="216"/>
      <c r="Q736" s="456" t="str">
        <f t="shared" ca="1" si="495"/>
        <v/>
      </c>
      <c r="R736" s="450">
        <f t="shared" ca="1" si="496"/>
        <v>1</v>
      </c>
      <c r="S736" s="191">
        <f t="shared" si="497"/>
        <v>61</v>
      </c>
      <c r="T736" s="191">
        <f t="shared" si="498"/>
        <v>8</v>
      </c>
      <c r="U736" s="191">
        <f ca="1">OP!$D$5+$S736-1</f>
        <v>93</v>
      </c>
      <c r="V736" s="191" t="str">
        <f t="shared" si="499"/>
        <v/>
      </c>
      <c r="W736" s="350">
        <f ca="1">IF(Q736&lt;&gt;1,0,VLOOKUP(OP!$C$55,PVFB,$S736+2,0))</f>
        <v>0</v>
      </c>
      <c r="X736" s="473">
        <f t="shared" ca="1" si="512"/>
        <v>0</v>
      </c>
      <c r="Y736" s="348">
        <f t="shared" ca="1" si="513"/>
        <v>0</v>
      </c>
      <c r="Z736" s="348">
        <f t="shared" ca="1" si="514"/>
        <v>8012</v>
      </c>
      <c r="AA736" s="348">
        <f ca="1">IF(Q736&lt;&gt;1,0,VLOOKUP(OP!$C$55,PVFB,$S736+2,0))</f>
        <v>0</v>
      </c>
      <c r="AB736" s="488" t="str">
        <f ca="1">IF(AND(S736&lt;OP!$C$24,$U736&lt;15),0,IF(AND($U736&lt;15,$T736=12),ROUND(VLOOKUP($S736,DOWN16,5,0),3),IF($T736=12,ROUND(($Z736/10000)*$AA736,3)+IF(AND($P$7="購買增額繳清保險",T736=12,U736=110),VLOOKUP(S736,$B$10:$H$121,7,0),0),"")))</f>
        <v/>
      </c>
      <c r="AC736" s="350" t="str">
        <f ca="1">IF(AND(S736&lt;OP!$C$24,$U736&lt;15),0,IF(AND($U736&lt;16,$T736=12),VLOOKUP($S736,DOWN16,4,0),IF($T736=12,ROUND(VLOOKUP(OP!$C$55,_DIE2,$S736+1,0)*(Z736/10000),0)+IF(AND($P$7="購買增額繳清保險",T736=12,U736=110),VLOOKUP(S736,$B$10:$H$121,7,0),0),"")))</f>
        <v/>
      </c>
      <c r="AD736" s="347"/>
      <c r="AE736" s="350" t="str">
        <f t="shared" ca="1" si="489"/>
        <v/>
      </c>
      <c r="AF736" s="351" t="str">
        <f t="shared" ca="1" si="490"/>
        <v/>
      </c>
      <c r="AG736" s="340"/>
      <c r="AH736" s="340"/>
      <c r="AI736" s="340"/>
      <c r="AJ736" s="340"/>
      <c r="AK736" s="340"/>
      <c r="AL736" s="340"/>
      <c r="AM736" s="340"/>
      <c r="AN736" s="340"/>
      <c r="AO736" s="340"/>
      <c r="AP736" s="340"/>
      <c r="AQ736" s="340"/>
      <c r="AR736" s="340"/>
      <c r="AS736" s="340"/>
      <c r="AT736" s="340"/>
      <c r="AU736" s="340"/>
      <c r="AV736" s="340"/>
      <c r="AY736" s="340"/>
      <c r="AZ736" s="465">
        <f t="shared" ca="1" si="500"/>
        <v>7.3698599999999999E-5</v>
      </c>
      <c r="BA736" s="464">
        <f t="shared" ca="1" si="501"/>
        <v>2.2109589000000002E-3</v>
      </c>
      <c r="BB736" s="465">
        <f t="shared" ca="1" si="501"/>
        <v>2.2846575E-3</v>
      </c>
      <c r="BC736" s="466">
        <f t="shared" ca="1" si="502"/>
        <v>65016</v>
      </c>
      <c r="BD736" s="467">
        <f t="shared" ca="1" si="515"/>
        <v>65017</v>
      </c>
      <c r="BE736" s="467">
        <f t="shared" ca="1" si="503"/>
        <v>65046</v>
      </c>
      <c r="BF736" s="468">
        <f ca="1">IF(計算!$BC736&lt;OP!$C$3,0,BD736-BC736)</f>
        <v>1</v>
      </c>
      <c r="BG736" s="468">
        <f ca="1">IF($BE736&gt;DATE(YEAR($BD$9)+OP!$C$57,MONTH($BD$9),DAY($BD$9)),0,$BE736-$BD736+1)</f>
        <v>30</v>
      </c>
      <c r="BH736" s="469">
        <f t="shared" ca="1" si="504"/>
        <v>31</v>
      </c>
      <c r="BI736" t="str">
        <f t="shared" si="520"/>
        <v/>
      </c>
      <c r="BJ736">
        <v>7</v>
      </c>
      <c r="BN736" s="468">
        <f t="shared" si="516"/>
        <v>61</v>
      </c>
      <c r="BO736" s="468">
        <f t="shared" si="517"/>
        <v>7</v>
      </c>
      <c r="BP736" s="467">
        <f t="shared" ca="1" si="505"/>
        <v>65017</v>
      </c>
      <c r="BQ736" s="475">
        <f t="shared" ca="1" si="519"/>
        <v>93</v>
      </c>
      <c r="BR736" s="475" t="str">
        <f t="shared" si="518"/>
        <v/>
      </c>
      <c r="BS736" s="471" t="str">
        <f t="shared" si="506"/>
        <v/>
      </c>
      <c r="BT736" s="472" t="str">
        <f t="shared" si="521"/>
        <v/>
      </c>
      <c r="BU736" s="472">
        <f t="shared" ca="1" si="507"/>
        <v>0</v>
      </c>
      <c r="BV736" s="472">
        <f t="shared" ca="1" si="507"/>
        <v>0</v>
      </c>
      <c r="BW736" s="472"/>
      <c r="BX736" s="473">
        <f t="shared" ca="1" si="508"/>
        <v>1390250.51411663</v>
      </c>
      <c r="BY736" s="473">
        <f t="shared" si="509"/>
        <v>0</v>
      </c>
      <c r="BZ736" s="473">
        <f t="shared" ca="1" si="491"/>
        <v>3176.2462639549999</v>
      </c>
      <c r="CA736" s="476">
        <f t="shared" ca="1" si="510"/>
        <v>0</v>
      </c>
      <c r="CB736" s="494">
        <f ca="1">IF(OR($Q735&lt;&gt;1,OP!$D$5+$BN736-1&lt;16,$BN736-1&lt;1),0,ROUND(ROUND(ROUND(((VLOOKUP($BN736-1,MORE_PV,5,0)/10000)*VLOOKUP($BN736,MORE_PV,$CB$5,0)),3)*VLOOKUP($BN736,more1,5,0),0)/$R735,0))</f>
        <v>0</v>
      </c>
      <c r="CC736" s="473">
        <f t="shared" ca="1" si="511"/>
        <v>0</v>
      </c>
      <c r="CD736" s="477"/>
    </row>
    <row r="737" spans="2:82" ht="16.5" hidden="1">
      <c r="B737" s="80"/>
      <c r="C737" s="80"/>
      <c r="D737" s="80"/>
      <c r="E737" s="80"/>
      <c r="F737" s="80"/>
      <c r="G737" s="80"/>
      <c r="H737" s="80"/>
      <c r="I737" s="80"/>
      <c r="J737" s="192">
        <f t="shared" si="492"/>
        <v>61</v>
      </c>
      <c r="K737" s="192">
        <f t="shared" si="493"/>
        <v>9</v>
      </c>
      <c r="L737" s="192" t="str">
        <f t="shared" si="488"/>
        <v/>
      </c>
      <c r="M737" s="216">
        <f t="shared" ca="1" si="494"/>
        <v>0</v>
      </c>
      <c r="N737" s="216"/>
      <c r="O737" s="216"/>
      <c r="P737" s="216"/>
      <c r="Q737" s="456" t="str">
        <f t="shared" ca="1" si="495"/>
        <v/>
      </c>
      <c r="R737" s="450">
        <f t="shared" ca="1" si="496"/>
        <v>1</v>
      </c>
      <c r="S737" s="191">
        <f t="shared" si="497"/>
        <v>61</v>
      </c>
      <c r="T737" s="191">
        <f t="shared" si="498"/>
        <v>9</v>
      </c>
      <c r="U737" s="191">
        <f ca="1">OP!$D$5+$S737-1</f>
        <v>93</v>
      </c>
      <c r="V737" s="191" t="str">
        <f t="shared" si="499"/>
        <v/>
      </c>
      <c r="W737" s="350">
        <f ca="1">IF(Q737&lt;&gt;1,0,VLOOKUP(OP!$C$55,PVFB,$S737+2,0))</f>
        <v>0</v>
      </c>
      <c r="X737" s="473">
        <f t="shared" ca="1" si="512"/>
        <v>0</v>
      </c>
      <c r="Y737" s="348">
        <f t="shared" ca="1" si="513"/>
        <v>0</v>
      </c>
      <c r="Z737" s="348">
        <f t="shared" ca="1" si="514"/>
        <v>8012</v>
      </c>
      <c r="AA737" s="348">
        <f ca="1">IF(Q737&lt;&gt;1,0,VLOOKUP(OP!$C$55,PVFB,$S737+2,0))</f>
        <v>0</v>
      </c>
      <c r="AB737" s="488" t="str">
        <f ca="1">IF(AND(S737&lt;OP!$C$24,$U737&lt;15),0,IF(AND($U737&lt;15,$T737=12),ROUND(VLOOKUP($S737,DOWN16,5,0),3),IF($T737=12,ROUND(($Z737/10000)*$AA737,3)+IF(AND($P$7="購買增額繳清保險",T737=12,U737=110),VLOOKUP(S737,$B$10:$H$121,7,0),0),"")))</f>
        <v/>
      </c>
      <c r="AC737" s="350" t="str">
        <f ca="1">IF(AND(S737&lt;OP!$C$24,$U737&lt;15),0,IF(AND($U737&lt;16,$T737=12),VLOOKUP($S737,DOWN16,4,0),IF($T737=12,ROUND(VLOOKUP(OP!$C$55,_DIE2,$S737+1,0)*(Z737/10000),0)+IF(AND($P$7="購買增額繳清保險",T737=12,U737=110),VLOOKUP(S737,$B$10:$H$121,7,0),0),"")))</f>
        <v/>
      </c>
      <c r="AD737" s="347"/>
      <c r="AE737" s="350" t="str">
        <f t="shared" ca="1" si="489"/>
        <v/>
      </c>
      <c r="AF737" s="351" t="str">
        <f t="shared" ca="1" si="490"/>
        <v/>
      </c>
      <c r="AG737" s="340"/>
      <c r="AH737" s="340"/>
      <c r="AI737" s="340"/>
      <c r="AJ737" s="340"/>
      <c r="AK737" s="340"/>
      <c r="AL737" s="340"/>
      <c r="AM737" s="340"/>
      <c r="AN737" s="340"/>
      <c r="AO737" s="340"/>
      <c r="AP737" s="340"/>
      <c r="AQ737" s="340"/>
      <c r="AR737" s="340"/>
      <c r="AS737" s="340"/>
      <c r="AT737" s="340"/>
      <c r="AU737" s="340"/>
      <c r="AV737" s="340"/>
      <c r="AY737" s="340"/>
      <c r="AZ737" s="465">
        <f t="shared" ca="1" si="500"/>
        <v>7.3698599999999999E-5</v>
      </c>
      <c r="BA737" s="464">
        <f t="shared" ca="1" si="501"/>
        <v>1.9898630000000001E-3</v>
      </c>
      <c r="BB737" s="465">
        <f t="shared" ca="1" si="501"/>
        <v>2.0635616E-3</v>
      </c>
      <c r="BC737" s="466">
        <f t="shared" ca="1" si="502"/>
        <v>65047</v>
      </c>
      <c r="BD737" s="467">
        <f t="shared" ca="1" si="515"/>
        <v>65048</v>
      </c>
      <c r="BE737" s="467">
        <f t="shared" ca="1" si="503"/>
        <v>65074</v>
      </c>
      <c r="BF737" s="468">
        <f ca="1">IF(計算!$BC737&lt;OP!$C$3,0,BD737-BC737)</f>
        <v>1</v>
      </c>
      <c r="BG737" s="468">
        <f ca="1">IF($BE737&gt;DATE(YEAR($BD$9)+OP!$C$57,MONTH($BD$9),DAY($BD$9)),0,$BE737-$BD737+1)</f>
        <v>27</v>
      </c>
      <c r="BH737" s="469">
        <f t="shared" ca="1" si="504"/>
        <v>28</v>
      </c>
      <c r="BI737" t="str">
        <f t="shared" si="520"/>
        <v/>
      </c>
      <c r="BJ737">
        <v>8</v>
      </c>
      <c r="BN737" s="468">
        <f t="shared" si="516"/>
        <v>61</v>
      </c>
      <c r="BO737" s="468">
        <f t="shared" si="517"/>
        <v>8</v>
      </c>
      <c r="BP737" s="467">
        <f t="shared" ca="1" si="505"/>
        <v>65048</v>
      </c>
      <c r="BQ737" s="475">
        <f t="shared" ca="1" si="519"/>
        <v>93</v>
      </c>
      <c r="BR737" s="475" t="str">
        <f t="shared" si="518"/>
        <v/>
      </c>
      <c r="BS737" s="471" t="str">
        <f t="shared" si="506"/>
        <v/>
      </c>
      <c r="BT737" s="472" t="str">
        <f t="shared" si="521"/>
        <v/>
      </c>
      <c r="BU737" s="472">
        <f t="shared" ca="1" si="507"/>
        <v>0</v>
      </c>
      <c r="BV737" s="472">
        <f t="shared" ca="1" si="507"/>
        <v>0</v>
      </c>
      <c r="BW737" s="472"/>
      <c r="BX737" s="473">
        <f t="shared" ca="1" si="508"/>
        <v>1393426.7603805801</v>
      </c>
      <c r="BY737" s="473">
        <f t="shared" si="509"/>
        <v>0</v>
      </c>
      <c r="BZ737" s="473">
        <f t="shared" ca="1" si="491"/>
        <v>2875.4219551340002</v>
      </c>
      <c r="CA737" s="476">
        <f t="shared" ca="1" si="510"/>
        <v>0</v>
      </c>
      <c r="CB737" s="494">
        <f ca="1">IF(OR($Q736&lt;&gt;1,OP!$D$5+$BN737-1&lt;16,$BN737-1&lt;1),0,ROUND(ROUND(ROUND(((VLOOKUP($BN737-1,MORE_PV,5,0)/10000)*VLOOKUP($BN737,MORE_PV,$CB$5,0)),3)*VLOOKUP($BN737,more1,5,0),0)/$R736,0))</f>
        <v>0</v>
      </c>
      <c r="CC737" s="473">
        <f t="shared" ca="1" si="511"/>
        <v>0</v>
      </c>
      <c r="CD737" s="477"/>
    </row>
    <row r="738" spans="2:82" ht="16.5" hidden="1">
      <c r="B738" s="80"/>
      <c r="C738" s="80"/>
      <c r="D738" s="80"/>
      <c r="E738" s="80"/>
      <c r="F738" s="80"/>
      <c r="G738" s="80"/>
      <c r="H738" s="80"/>
      <c r="I738" s="80"/>
      <c r="J738" s="192">
        <f t="shared" si="492"/>
        <v>61</v>
      </c>
      <c r="K738" s="192">
        <f t="shared" si="493"/>
        <v>10</v>
      </c>
      <c r="L738" s="192" t="str">
        <f t="shared" si="488"/>
        <v/>
      </c>
      <c r="M738" s="216">
        <f t="shared" ca="1" si="494"/>
        <v>0</v>
      </c>
      <c r="N738" s="216"/>
      <c r="O738" s="216"/>
      <c r="P738" s="216"/>
      <c r="Q738" s="456" t="str">
        <f t="shared" ca="1" si="495"/>
        <v/>
      </c>
      <c r="R738" s="450">
        <f t="shared" ca="1" si="496"/>
        <v>1</v>
      </c>
      <c r="S738" s="191">
        <f t="shared" si="497"/>
        <v>61</v>
      </c>
      <c r="T738" s="191">
        <f t="shared" si="498"/>
        <v>10</v>
      </c>
      <c r="U738" s="191">
        <f ca="1">OP!$D$5+$S738-1</f>
        <v>93</v>
      </c>
      <c r="V738" s="191" t="str">
        <f t="shared" si="499"/>
        <v/>
      </c>
      <c r="W738" s="350">
        <f ca="1">IF(Q738&lt;&gt;1,0,VLOOKUP(OP!$C$55,PVFB,$S738+2,0))</f>
        <v>0</v>
      </c>
      <c r="X738" s="473">
        <f t="shared" ca="1" si="512"/>
        <v>0</v>
      </c>
      <c r="Y738" s="348">
        <f t="shared" ca="1" si="513"/>
        <v>0</v>
      </c>
      <c r="Z738" s="348">
        <f t="shared" ca="1" si="514"/>
        <v>8012</v>
      </c>
      <c r="AA738" s="348">
        <f ca="1">IF(Q738&lt;&gt;1,0,VLOOKUP(OP!$C$55,PVFB,$S738+2,0))</f>
        <v>0</v>
      </c>
      <c r="AB738" s="488" t="str">
        <f ca="1">IF(AND(S738&lt;OP!$C$24,$U738&lt;15),0,IF(AND($U738&lt;15,$T738=12),ROUND(VLOOKUP($S738,DOWN16,5,0),3),IF($T738=12,ROUND(($Z738/10000)*$AA738,3)+IF(AND($P$7="購買增額繳清保險",T738=12,U738=110),VLOOKUP(S738,$B$10:$H$121,7,0),0),"")))</f>
        <v/>
      </c>
      <c r="AC738" s="350" t="str">
        <f ca="1">IF(AND(S738&lt;OP!$C$24,$U738&lt;15),0,IF(AND($U738&lt;16,$T738=12),VLOOKUP($S738,DOWN16,4,0),IF($T738=12,ROUND(VLOOKUP(OP!$C$55,_DIE2,$S738+1,0)*(Z738/10000),0)+IF(AND($P$7="購買增額繳清保險",T738=12,U738=110),VLOOKUP(S738,$B$10:$H$121,7,0),0),"")))</f>
        <v/>
      </c>
      <c r="AD738" s="347"/>
      <c r="AE738" s="350" t="str">
        <f t="shared" ca="1" si="489"/>
        <v/>
      </c>
      <c r="AF738" s="351" t="str">
        <f t="shared" ca="1" si="490"/>
        <v/>
      </c>
      <c r="AG738" s="340"/>
      <c r="AH738" s="340"/>
      <c r="AI738" s="340"/>
      <c r="AJ738" s="340"/>
      <c r="AK738" s="340"/>
      <c r="AL738" s="340"/>
      <c r="AM738" s="340"/>
      <c r="AN738" s="340"/>
      <c r="AO738" s="340"/>
      <c r="AP738" s="340"/>
      <c r="AQ738" s="340"/>
      <c r="AR738" s="340"/>
      <c r="AS738" s="340"/>
      <c r="AT738" s="340"/>
      <c r="AU738" s="340"/>
      <c r="AV738" s="340"/>
      <c r="AY738" s="340"/>
      <c r="AZ738" s="465">
        <f t="shared" ca="1" si="500"/>
        <v>7.3698599999999999E-5</v>
      </c>
      <c r="BA738" s="464">
        <f t="shared" ca="1" si="501"/>
        <v>2.2109589000000002E-3</v>
      </c>
      <c r="BB738" s="465">
        <f t="shared" ca="1" si="501"/>
        <v>2.2846575E-3</v>
      </c>
      <c r="BC738" s="466">
        <f t="shared" ca="1" si="502"/>
        <v>65075</v>
      </c>
      <c r="BD738" s="467">
        <f t="shared" ca="1" si="515"/>
        <v>65076</v>
      </c>
      <c r="BE738" s="467">
        <f t="shared" ca="1" si="503"/>
        <v>65105</v>
      </c>
      <c r="BF738" s="468">
        <f ca="1">IF(計算!$BC738&lt;OP!$C$3,0,BD738-BC738)</f>
        <v>1</v>
      </c>
      <c r="BG738" s="468">
        <f ca="1">IF($BE738&gt;DATE(YEAR($BD$9)+OP!$C$57,MONTH($BD$9),DAY($BD$9)),0,$BE738-$BD738+1)</f>
        <v>30</v>
      </c>
      <c r="BH738" s="469">
        <f t="shared" ca="1" si="504"/>
        <v>31</v>
      </c>
      <c r="BI738" t="str">
        <f t="shared" si="520"/>
        <v/>
      </c>
      <c r="BJ738">
        <v>9</v>
      </c>
      <c r="BN738" s="468">
        <f t="shared" si="516"/>
        <v>61</v>
      </c>
      <c r="BO738" s="468">
        <f t="shared" si="517"/>
        <v>9</v>
      </c>
      <c r="BP738" s="467">
        <f t="shared" ca="1" si="505"/>
        <v>65076</v>
      </c>
      <c r="BQ738" s="475">
        <f t="shared" ca="1" si="519"/>
        <v>93</v>
      </c>
      <c r="BR738" s="475" t="str">
        <f t="shared" si="518"/>
        <v/>
      </c>
      <c r="BS738" s="471" t="str">
        <f t="shared" si="506"/>
        <v/>
      </c>
      <c r="BT738" s="472" t="str">
        <f t="shared" si="521"/>
        <v/>
      </c>
      <c r="BU738" s="472">
        <f t="shared" ca="1" si="507"/>
        <v>0</v>
      </c>
      <c r="BV738" s="472">
        <f t="shared" ca="1" si="507"/>
        <v>0</v>
      </c>
      <c r="BW738" s="472"/>
      <c r="BX738" s="473">
        <f t="shared" ca="1" si="508"/>
        <v>1396302.1823357099</v>
      </c>
      <c r="BY738" s="473">
        <f t="shared" si="509"/>
        <v>0</v>
      </c>
      <c r="BZ738" s="473">
        <f t="shared" ca="1" si="491"/>
        <v>3190.0722531400002</v>
      </c>
      <c r="CA738" s="476">
        <f t="shared" ca="1" si="510"/>
        <v>0</v>
      </c>
      <c r="CB738" s="494">
        <f ca="1">IF(OR($Q737&lt;&gt;1,OP!$D$5+$BN738-1&lt;16,$BN738-1&lt;1),0,ROUND(ROUND(ROUND(((VLOOKUP($BN738-1,MORE_PV,5,0)/10000)*VLOOKUP($BN738,MORE_PV,$CB$5,0)),3)*VLOOKUP($BN738,more1,5,0),0)/$R737,0))</f>
        <v>0</v>
      </c>
      <c r="CC738" s="473">
        <f t="shared" ca="1" si="511"/>
        <v>0</v>
      </c>
      <c r="CD738" s="477"/>
    </row>
    <row r="739" spans="2:82" ht="16.5" hidden="1">
      <c r="B739" s="80"/>
      <c r="C739" s="80"/>
      <c r="D739" s="80"/>
      <c r="E739" s="80"/>
      <c r="F739" s="80"/>
      <c r="G739" s="80"/>
      <c r="H739" s="80"/>
      <c r="I739" s="80"/>
      <c r="J739" s="192">
        <f t="shared" si="492"/>
        <v>61</v>
      </c>
      <c r="K739" s="192">
        <f t="shared" si="493"/>
        <v>11</v>
      </c>
      <c r="L739" s="192" t="str">
        <f t="shared" si="488"/>
        <v/>
      </c>
      <c r="M739" s="216">
        <f t="shared" ca="1" si="494"/>
        <v>0</v>
      </c>
      <c r="N739" s="216"/>
      <c r="O739" s="216"/>
      <c r="P739" s="216"/>
      <c r="Q739" s="456" t="str">
        <f t="shared" ca="1" si="495"/>
        <v/>
      </c>
      <c r="R739" s="450">
        <f t="shared" ca="1" si="496"/>
        <v>1</v>
      </c>
      <c r="S739" s="191">
        <f t="shared" si="497"/>
        <v>61</v>
      </c>
      <c r="T739" s="191">
        <f t="shared" si="498"/>
        <v>11</v>
      </c>
      <c r="U739" s="191">
        <f ca="1">OP!$D$5+$S739-1</f>
        <v>93</v>
      </c>
      <c r="V739" s="191" t="str">
        <f t="shared" si="499"/>
        <v/>
      </c>
      <c r="W739" s="350">
        <f ca="1">IF(Q739&lt;&gt;1,0,VLOOKUP(OP!$C$55,PVFB,$S739+2,0))</f>
        <v>0</v>
      </c>
      <c r="X739" s="473">
        <f t="shared" ca="1" si="512"/>
        <v>0</v>
      </c>
      <c r="Y739" s="348">
        <f t="shared" ca="1" si="513"/>
        <v>0</v>
      </c>
      <c r="Z739" s="348">
        <f t="shared" ca="1" si="514"/>
        <v>8012</v>
      </c>
      <c r="AA739" s="348">
        <f ca="1">IF(Q739&lt;&gt;1,0,VLOOKUP(OP!$C$55,PVFB,$S739+2,0))</f>
        <v>0</v>
      </c>
      <c r="AB739" s="488" t="str">
        <f ca="1">IF(AND(S739&lt;OP!$C$24,$U739&lt;15),0,IF(AND($U739&lt;15,$T739=12),ROUND(VLOOKUP($S739,DOWN16,5,0),3),IF($T739=12,ROUND(($Z739/10000)*$AA739,3)+IF(AND($P$7="購買增額繳清保險",T739=12,U739=110),VLOOKUP(S739,$B$10:$H$121,7,0),0),"")))</f>
        <v/>
      </c>
      <c r="AC739" s="350" t="str">
        <f ca="1">IF(AND(S739&lt;OP!$C$24,$U739&lt;15),0,IF(AND($U739&lt;16,$T739=12),VLOOKUP($S739,DOWN16,4,0),IF($T739=12,ROUND(VLOOKUP(OP!$C$55,_DIE2,$S739+1,0)*(Z739/10000),0)+IF(AND($P$7="購買增額繳清保險",T739=12,U739=110),VLOOKUP(S739,$B$10:$H$121,7,0),0),"")))</f>
        <v/>
      </c>
      <c r="AD739" s="347"/>
      <c r="AE739" s="350" t="str">
        <f t="shared" ca="1" si="489"/>
        <v/>
      </c>
      <c r="AF739" s="351" t="str">
        <f t="shared" ca="1" si="490"/>
        <v/>
      </c>
      <c r="AG739" s="340"/>
      <c r="AH739" s="340"/>
      <c r="AI739" s="340"/>
      <c r="AJ739" s="340"/>
      <c r="AK739" s="340"/>
      <c r="AL739" s="340"/>
      <c r="AM739" s="340"/>
      <c r="AN739" s="340"/>
      <c r="AO739" s="340"/>
      <c r="AP739" s="340"/>
      <c r="AQ739" s="340"/>
      <c r="AR739" s="340"/>
      <c r="AS739" s="340"/>
      <c r="AT739" s="340"/>
      <c r="AU739" s="340"/>
      <c r="AV739" s="340"/>
      <c r="AY739" s="340"/>
      <c r="AZ739" s="465">
        <f t="shared" ca="1" si="500"/>
        <v>7.3698599999999999E-5</v>
      </c>
      <c r="BA739" s="464">
        <f t="shared" ca="1" si="501"/>
        <v>2.1372602999999999E-3</v>
      </c>
      <c r="BB739" s="465">
        <f t="shared" ca="1" si="501"/>
        <v>2.2109589000000002E-3</v>
      </c>
      <c r="BC739" s="466">
        <f t="shared" ca="1" si="502"/>
        <v>65106</v>
      </c>
      <c r="BD739" s="467">
        <f t="shared" ca="1" si="515"/>
        <v>65107</v>
      </c>
      <c r="BE739" s="467">
        <f t="shared" ca="1" si="503"/>
        <v>65135</v>
      </c>
      <c r="BF739" s="468">
        <f ca="1">IF(計算!$BC739&lt;OP!$C$3,0,BD739-BC739)</f>
        <v>1</v>
      </c>
      <c r="BG739" s="468">
        <f ca="1">IF($BE739&gt;DATE(YEAR($BD$9)+OP!$C$57,MONTH($BD$9),DAY($BD$9)),0,$BE739-$BD739+1)</f>
        <v>29</v>
      </c>
      <c r="BH739" s="469">
        <f t="shared" ca="1" si="504"/>
        <v>30</v>
      </c>
      <c r="BI739" t="str">
        <f t="shared" si="520"/>
        <v/>
      </c>
      <c r="BJ739">
        <v>10</v>
      </c>
      <c r="BN739" s="468">
        <f t="shared" si="516"/>
        <v>61</v>
      </c>
      <c r="BO739" s="468">
        <f t="shared" si="517"/>
        <v>10</v>
      </c>
      <c r="BP739" s="467">
        <f t="shared" ca="1" si="505"/>
        <v>65107</v>
      </c>
      <c r="BQ739" s="475">
        <f t="shared" ca="1" si="519"/>
        <v>93</v>
      </c>
      <c r="BR739" s="475" t="str">
        <f t="shared" si="518"/>
        <v/>
      </c>
      <c r="BS739" s="471" t="str">
        <f t="shared" si="506"/>
        <v/>
      </c>
      <c r="BT739" s="472" t="str">
        <f t="shared" si="521"/>
        <v/>
      </c>
      <c r="BU739" s="472">
        <f t="shared" ca="1" si="507"/>
        <v>0</v>
      </c>
      <c r="BV739" s="472">
        <f t="shared" ca="1" si="507"/>
        <v>0</v>
      </c>
      <c r="BW739" s="472"/>
      <c r="BX739" s="473">
        <f t="shared" ca="1" si="508"/>
        <v>1399492.2545888501</v>
      </c>
      <c r="BY739" s="473">
        <f t="shared" si="509"/>
        <v>0</v>
      </c>
      <c r="BZ739" s="473">
        <f t="shared" ca="1" si="491"/>
        <v>3094.2198557639999</v>
      </c>
      <c r="CA739" s="476">
        <f t="shared" ca="1" si="510"/>
        <v>0</v>
      </c>
      <c r="CB739" s="494">
        <f ca="1">IF(OR($Q738&lt;&gt;1,OP!$D$5+$BN739-1&lt;16,$BN739-1&lt;1),0,ROUND(ROUND(ROUND(((VLOOKUP($BN739-1,MORE_PV,5,0)/10000)*VLOOKUP($BN739,MORE_PV,$CB$5,0)),3)*VLOOKUP($BN739,more1,5,0),0)/$R738,0))</f>
        <v>0</v>
      </c>
      <c r="CC739" s="473">
        <f t="shared" ca="1" si="511"/>
        <v>0</v>
      </c>
      <c r="CD739" s="477"/>
    </row>
    <row r="740" spans="2:82" ht="16.5" hidden="1">
      <c r="B740" s="80"/>
      <c r="C740" s="80"/>
      <c r="D740" s="80"/>
      <c r="E740" s="80"/>
      <c r="F740" s="80"/>
      <c r="G740" s="80"/>
      <c r="H740" s="80"/>
      <c r="I740" s="80"/>
      <c r="J740" s="192">
        <f t="shared" si="492"/>
        <v>61</v>
      </c>
      <c r="K740" s="192">
        <f t="shared" si="493"/>
        <v>12</v>
      </c>
      <c r="L740" s="192">
        <f t="shared" si="488"/>
        <v>61</v>
      </c>
      <c r="M740" s="216">
        <f t="shared" ca="1" si="494"/>
        <v>1426626</v>
      </c>
      <c r="N740" s="216"/>
      <c r="O740" s="216"/>
      <c r="P740" s="216"/>
      <c r="Q740" s="456">
        <f t="shared" ca="1" si="495"/>
        <v>1</v>
      </c>
      <c r="R740" s="450">
        <f t="shared" ca="1" si="496"/>
        <v>1</v>
      </c>
      <c r="S740" s="191">
        <f t="shared" si="497"/>
        <v>61</v>
      </c>
      <c r="T740" s="191">
        <f t="shared" si="498"/>
        <v>12</v>
      </c>
      <c r="U740" s="191">
        <f ca="1">OP!$D$5+$S740-1</f>
        <v>93</v>
      </c>
      <c r="V740" s="191">
        <f t="shared" si="499"/>
        <v>61</v>
      </c>
      <c r="W740" s="350">
        <f ca="1">IF(Q740&lt;&gt;1,0,VLOOKUP(OP!$C$55,PVFB,$S740+2,0))</f>
        <v>86339</v>
      </c>
      <c r="X740" s="473">
        <f t="shared" ca="1" si="512"/>
        <v>20732</v>
      </c>
      <c r="Y740" s="348">
        <f t="shared" ca="1" si="513"/>
        <v>0</v>
      </c>
      <c r="Z740" s="348">
        <f t="shared" ca="1" si="514"/>
        <v>8012</v>
      </c>
      <c r="AA740" s="348">
        <f ca="1">IF(Q740&lt;&gt;1,0,VLOOKUP(OP!$C$55,PVFB,$S740+2,0))</f>
        <v>86339</v>
      </c>
      <c r="AB740" s="488">
        <f ca="1">IF(AND(S740&lt;OP!$C$24,$U740&lt;15),0,IF(AND($U740&lt;15,$T740=12),ROUND(VLOOKUP($S740,DOWN16,5,0),3),IF($T740=12,ROUND(($Z740/10000)*$AA740,3)+IF(AND($P$7="購買增額繳清保險",T740=12,U740=110),VLOOKUP(S740,$B$10:$H$121,7,0),0),"")))</f>
        <v>69174.807000000001</v>
      </c>
      <c r="AC740" s="350">
        <f ca="1">IF(AND(S740&lt;OP!$C$24,$U740&lt;15),0,IF(AND($U740&lt;16,$T740=12),VLOOKUP($S740,DOWN16,4,0),IF($T740=12,ROUND(VLOOKUP(OP!$C$55,_DIE2,$S740+1,0)*(Z740/10000),0)+IF(AND($P$7="購買增額繳清保險",T740=12,U740=110),VLOOKUP(S740,$B$10:$H$121,7,0),0),"")))</f>
        <v>69704</v>
      </c>
      <c r="AD740" s="347"/>
      <c r="AE740" s="350" t="str">
        <f t="shared" ca="1" si="489"/>
        <v/>
      </c>
      <c r="AF740" s="351" t="str">
        <f t="shared" ca="1" si="490"/>
        <v/>
      </c>
      <c r="AG740" s="340"/>
      <c r="AH740" s="340"/>
      <c r="AI740" s="340"/>
      <c r="AJ740" s="340"/>
      <c r="AK740" s="340"/>
      <c r="AL740" s="340"/>
      <c r="AM740" s="340"/>
      <c r="AN740" s="340"/>
      <c r="AO740" s="340"/>
      <c r="AP740" s="340"/>
      <c r="AQ740" s="340"/>
      <c r="AR740" s="340"/>
      <c r="AS740" s="340"/>
      <c r="AT740" s="340"/>
      <c r="AU740" s="340"/>
      <c r="AV740" s="340"/>
      <c r="AY740" s="340"/>
      <c r="AZ740" s="465">
        <f t="shared" ca="1" si="500"/>
        <v>7.3698599999999999E-5</v>
      </c>
      <c r="BA740" s="464">
        <f t="shared" ca="1" si="501"/>
        <v>2.2109589000000002E-3</v>
      </c>
      <c r="BB740" s="465">
        <f t="shared" ca="1" si="501"/>
        <v>2.2846575E-3</v>
      </c>
      <c r="BC740" s="466">
        <f t="shared" ca="1" si="502"/>
        <v>65136</v>
      </c>
      <c r="BD740" s="467">
        <f t="shared" ca="1" si="515"/>
        <v>65137</v>
      </c>
      <c r="BE740" s="467">
        <f t="shared" ca="1" si="503"/>
        <v>65166</v>
      </c>
      <c r="BF740" s="468">
        <f ca="1">IF(計算!$BC740&lt;OP!$C$3,0,BD740-BC740)</f>
        <v>1</v>
      </c>
      <c r="BG740" s="468">
        <f ca="1">IF($BE740&gt;DATE(YEAR($BD$9)+OP!$C$57,MONTH($BD$9),DAY($BD$9)),0,$BE740-$BD740+1)</f>
        <v>30</v>
      </c>
      <c r="BH740" s="469">
        <f t="shared" ca="1" si="504"/>
        <v>31</v>
      </c>
      <c r="BI740" t="str">
        <f t="shared" si="520"/>
        <v/>
      </c>
      <c r="BJ740">
        <v>11</v>
      </c>
      <c r="BN740" s="468">
        <f t="shared" si="516"/>
        <v>61</v>
      </c>
      <c r="BO740" s="468">
        <f t="shared" si="517"/>
        <v>11</v>
      </c>
      <c r="BP740" s="467">
        <f t="shared" ca="1" si="505"/>
        <v>65137</v>
      </c>
      <c r="BQ740" s="475">
        <f t="shared" ca="1" si="519"/>
        <v>93</v>
      </c>
      <c r="BR740" s="475" t="str">
        <f t="shared" si="518"/>
        <v/>
      </c>
      <c r="BS740" s="471" t="str">
        <f t="shared" si="506"/>
        <v/>
      </c>
      <c r="BT740" s="472" t="str">
        <f t="shared" si="521"/>
        <v/>
      </c>
      <c r="BU740" s="472">
        <f t="shared" ca="1" si="507"/>
        <v>0</v>
      </c>
      <c r="BV740" s="472">
        <f t="shared" ca="1" si="507"/>
        <v>0</v>
      </c>
      <c r="BW740" s="472"/>
      <c r="BX740" s="473">
        <f t="shared" ca="1" si="508"/>
        <v>1402586.4744446101</v>
      </c>
      <c r="BY740" s="473">
        <f t="shared" si="509"/>
        <v>0</v>
      </c>
      <c r="BZ740" s="473">
        <f t="shared" ca="1" si="491"/>
        <v>3204.4297082379999</v>
      </c>
      <c r="CA740" s="476">
        <f t="shared" ca="1" si="510"/>
        <v>0</v>
      </c>
      <c r="CB740" s="494">
        <f ca="1">IF(OR($Q739&lt;&gt;1,OP!$D$5+$BN740-1&lt;16,$BN740-1&lt;1),0,ROUND(ROUND(ROUND(((VLOOKUP($BN740-1,MORE_PV,5,0)/10000)*VLOOKUP($BN740,MORE_PV,$CB$5,0)),3)*VLOOKUP($BN740,more1,5,0),0)/$R739,0))</f>
        <v>0</v>
      </c>
      <c r="CC740" s="473">
        <f t="shared" ca="1" si="511"/>
        <v>0</v>
      </c>
      <c r="CD740" s="477"/>
    </row>
    <row r="741" spans="2:82" ht="16.5" hidden="1">
      <c r="B741" s="80"/>
      <c r="C741" s="80"/>
      <c r="D741" s="80"/>
      <c r="E741" s="80"/>
      <c r="F741" s="80"/>
      <c r="G741" s="80"/>
      <c r="H741" s="80"/>
      <c r="I741" s="80"/>
      <c r="J741" s="192">
        <f t="shared" si="492"/>
        <v>62</v>
      </c>
      <c r="K741" s="192">
        <f t="shared" si="493"/>
        <v>1</v>
      </c>
      <c r="L741" s="192" t="str">
        <f t="shared" si="488"/>
        <v/>
      </c>
      <c r="M741" s="216">
        <f t="shared" ca="1" si="494"/>
        <v>0</v>
      </c>
      <c r="N741" s="216"/>
      <c r="O741" s="216"/>
      <c r="P741" s="216"/>
      <c r="Q741" s="456" t="str">
        <f t="shared" ca="1" si="495"/>
        <v/>
      </c>
      <c r="R741" s="450">
        <f t="shared" ca="1" si="496"/>
        <v>1</v>
      </c>
      <c r="S741" s="191">
        <f t="shared" si="497"/>
        <v>62</v>
      </c>
      <c r="T741" s="191">
        <f t="shared" si="498"/>
        <v>1</v>
      </c>
      <c r="U741" s="191">
        <f ca="1">OP!$D$5+$S741-1</f>
        <v>94</v>
      </c>
      <c r="V741" s="191" t="str">
        <f t="shared" si="499"/>
        <v/>
      </c>
      <c r="W741" s="350">
        <f ca="1">IF(Q741&lt;&gt;1,0,VLOOKUP(OP!$C$55,PVFB,$S741+2,0))</f>
        <v>0</v>
      </c>
      <c r="X741" s="473">
        <f t="shared" ca="1" si="512"/>
        <v>0</v>
      </c>
      <c r="Y741" s="348">
        <f t="shared" ca="1" si="513"/>
        <v>0</v>
      </c>
      <c r="Z741" s="348">
        <f t="shared" ca="1" si="514"/>
        <v>8012</v>
      </c>
      <c r="AA741" s="348">
        <f ca="1">IF(Q741&lt;&gt;1,0,VLOOKUP(OP!$C$55,PVFB,$S741+2,0))</f>
        <v>0</v>
      </c>
      <c r="AB741" s="488" t="str">
        <f ca="1">IF(AND(S741&lt;OP!$C$24,$U741&lt;15),0,IF(AND($U741&lt;15,$T741=12),ROUND(VLOOKUP($S741,DOWN16,5,0),3),IF($T741=12,ROUND(($Z741/10000)*$AA741,3)+IF(AND($P$7="購買增額繳清保險",T741=12,U741=110),VLOOKUP(S741,$B$10:$H$121,7,0),0),"")))</f>
        <v/>
      </c>
      <c r="AC741" s="350" t="str">
        <f ca="1">IF(AND(S741&lt;OP!$C$24,$U741&lt;15),0,IF(AND($U741&lt;16,$T741=12),VLOOKUP($S741,DOWN16,4,0),IF($T741=12,ROUND(VLOOKUP(OP!$C$55,_DIE2,$S741+1,0)*(Z741/10000),0)+IF(AND($P$7="購買增額繳清保險",T741=12,U741=110),VLOOKUP(S741,$B$10:$H$121,7,0),0),"")))</f>
        <v/>
      </c>
      <c r="AD741" s="347"/>
      <c r="AE741" s="350" t="str">
        <f t="shared" ca="1" si="489"/>
        <v/>
      </c>
      <c r="AF741" s="351" t="str">
        <f t="shared" ca="1" si="490"/>
        <v/>
      </c>
      <c r="AG741" s="340"/>
      <c r="AH741" s="340"/>
      <c r="AI741" s="340"/>
      <c r="AJ741" s="340"/>
      <c r="AK741" s="340"/>
      <c r="AL741" s="340"/>
      <c r="AM741" s="340"/>
      <c r="AN741" s="340"/>
      <c r="AO741" s="340"/>
      <c r="AP741" s="340"/>
      <c r="AQ741" s="340"/>
      <c r="AR741" s="340"/>
      <c r="AS741" s="340"/>
      <c r="AT741" s="340"/>
      <c r="AU741" s="340"/>
      <c r="AV741" s="340"/>
      <c r="AY741" s="340"/>
      <c r="AZ741" s="465">
        <f t="shared" ca="1" si="500"/>
        <v>7.3698599999999999E-5</v>
      </c>
      <c r="BA741" s="464">
        <f t="shared" ca="1" si="501"/>
        <v>2.1372602999999999E-3</v>
      </c>
      <c r="BB741" s="465">
        <f t="shared" ca="1" si="501"/>
        <v>2.2109589000000002E-3</v>
      </c>
      <c r="BC741" s="466">
        <f t="shared" ca="1" si="502"/>
        <v>65167</v>
      </c>
      <c r="BD741" s="467">
        <f t="shared" ca="1" si="515"/>
        <v>65168</v>
      </c>
      <c r="BE741" s="467">
        <f t="shared" ca="1" si="503"/>
        <v>65196</v>
      </c>
      <c r="BF741" s="468">
        <f ca="1">IF(計算!$BC741&lt;OP!$C$3,0,BD741-BC741)</f>
        <v>1</v>
      </c>
      <c r="BG741" s="468">
        <f ca="1">IF($BE741&gt;DATE(YEAR($BD$9)+OP!$C$57,MONTH($BD$9),DAY($BD$9)),0,$BE741-$BD741+1)</f>
        <v>29</v>
      </c>
      <c r="BH741" s="469">
        <f t="shared" ca="1" si="504"/>
        <v>30</v>
      </c>
      <c r="BI741">
        <f t="shared" ca="1" si="520"/>
        <v>365</v>
      </c>
      <c r="BJ741">
        <v>12</v>
      </c>
      <c r="BN741" s="468">
        <f t="shared" si="516"/>
        <v>61</v>
      </c>
      <c r="BO741" s="468">
        <f t="shared" si="517"/>
        <v>12</v>
      </c>
      <c r="BP741" s="467">
        <f t="shared" ca="1" si="505"/>
        <v>65168</v>
      </c>
      <c r="BQ741" s="475">
        <f t="shared" ca="1" si="519"/>
        <v>93</v>
      </c>
      <c r="BR741" s="475">
        <f t="shared" si="518"/>
        <v>61</v>
      </c>
      <c r="BS741" s="471">
        <f t="shared" ca="1" si="506"/>
        <v>20732</v>
      </c>
      <c r="BT741" s="472">
        <f t="shared" ca="1" si="521"/>
        <v>1426626</v>
      </c>
      <c r="BU741" s="472">
        <f t="shared" ca="1" si="507"/>
        <v>20255</v>
      </c>
      <c r="BV741" s="472">
        <f t="shared" ca="1" si="507"/>
        <v>477</v>
      </c>
      <c r="BW741" s="472">
        <f ca="1">ROUND(SUM(BY741,BZ729:BZ740),0)</f>
        <v>37273</v>
      </c>
      <c r="BX741" s="473">
        <f t="shared" ca="1" si="508"/>
        <v>1426626.5089743801</v>
      </c>
      <c r="BY741" s="473">
        <f t="shared" ca="1" si="509"/>
        <v>103.60482152900001</v>
      </c>
      <c r="BZ741" s="473">
        <f t="shared" ca="1" si="491"/>
        <v>3049.0722005590001</v>
      </c>
      <c r="CA741" s="476">
        <f t="shared" ca="1" si="510"/>
        <v>20255</v>
      </c>
      <c r="CB741" s="494">
        <f ca="1">IF(OR($Q740&lt;&gt;1,OP!$D$5+$BN741-1&lt;16,$BN741-1&lt;1),0,ROUND(ROUND(ROUND(((VLOOKUP($BN741-1,MORE_PV,5,0)/10000)*VLOOKUP($BN741,MORE_PV,$CB$5,0)),3)*VLOOKUP($BN741,more1,5,0),0)/$R740,0))</f>
        <v>477</v>
      </c>
      <c r="CC741" s="473">
        <f t="shared" ca="1" si="511"/>
        <v>0</v>
      </c>
      <c r="CD741" s="477"/>
    </row>
    <row r="742" spans="2:82" ht="16.5" hidden="1">
      <c r="B742" s="80"/>
      <c r="C742" s="80"/>
      <c r="D742" s="80"/>
      <c r="E742" s="80"/>
      <c r="F742" s="80"/>
      <c r="G742" s="80"/>
      <c r="H742" s="80"/>
      <c r="I742" s="80"/>
      <c r="J742" s="192">
        <f t="shared" si="492"/>
        <v>62</v>
      </c>
      <c r="K742" s="192">
        <f t="shared" si="493"/>
        <v>2</v>
      </c>
      <c r="L742" s="192" t="str">
        <f t="shared" si="488"/>
        <v/>
      </c>
      <c r="M742" s="216">
        <f t="shared" ca="1" si="494"/>
        <v>0</v>
      </c>
      <c r="N742" s="216"/>
      <c r="O742" s="216"/>
      <c r="P742" s="216"/>
      <c r="Q742" s="456" t="str">
        <f t="shared" ca="1" si="495"/>
        <v/>
      </c>
      <c r="R742" s="450">
        <f t="shared" ca="1" si="496"/>
        <v>1</v>
      </c>
      <c r="S742" s="191">
        <f t="shared" si="497"/>
        <v>62</v>
      </c>
      <c r="T742" s="191">
        <f t="shared" si="498"/>
        <v>2</v>
      </c>
      <c r="U742" s="191">
        <f ca="1">OP!$D$5+$S742-1</f>
        <v>94</v>
      </c>
      <c r="V742" s="191" t="str">
        <f t="shared" si="499"/>
        <v/>
      </c>
      <c r="W742" s="350">
        <f ca="1">IF(Q742&lt;&gt;1,0,VLOOKUP(OP!$C$55,PVFB,$S742+2,0))</f>
        <v>0</v>
      </c>
      <c r="X742" s="473">
        <f t="shared" ca="1" si="512"/>
        <v>0</v>
      </c>
      <c r="Y742" s="348">
        <f t="shared" ca="1" si="513"/>
        <v>0</v>
      </c>
      <c r="Z742" s="348">
        <f t="shared" ca="1" si="514"/>
        <v>8012</v>
      </c>
      <c r="AA742" s="348">
        <f ca="1">IF(Q742&lt;&gt;1,0,VLOOKUP(OP!$C$55,PVFB,$S742+2,0))</f>
        <v>0</v>
      </c>
      <c r="AB742" s="488" t="str">
        <f ca="1">IF(AND(S742&lt;OP!$C$24,$U742&lt;15),0,IF(AND($U742&lt;15,$T742=12),ROUND(VLOOKUP($S742,DOWN16,5,0),3),IF($T742=12,ROUND(($Z742/10000)*$AA742,3)+IF(AND($P$7="購買增額繳清保險",T742=12,U742=110),VLOOKUP(S742,$B$10:$H$121,7,0),0),"")))</f>
        <v/>
      </c>
      <c r="AC742" s="350" t="str">
        <f ca="1">IF(AND(S742&lt;OP!$C$24,$U742&lt;15),0,IF(AND($U742&lt;16,$T742=12),VLOOKUP($S742,DOWN16,4,0),IF($T742=12,ROUND(VLOOKUP(OP!$C$55,_DIE2,$S742+1,0)*(Z742/10000),0)+IF(AND($P$7="購買增額繳清保險",T742=12,U742=110),VLOOKUP(S742,$B$10:$H$121,7,0),0),"")))</f>
        <v/>
      </c>
      <c r="AD742" s="347"/>
      <c r="AE742" s="350" t="str">
        <f t="shared" ca="1" si="489"/>
        <v/>
      </c>
      <c r="AF742" s="351" t="str">
        <f t="shared" ca="1" si="490"/>
        <v/>
      </c>
      <c r="AG742" s="340"/>
      <c r="AH742" s="340"/>
      <c r="AI742" s="340"/>
      <c r="AJ742" s="340"/>
      <c r="AK742" s="340"/>
      <c r="AL742" s="340"/>
      <c r="AM742" s="340"/>
      <c r="AN742" s="340"/>
      <c r="AO742" s="340"/>
      <c r="AP742" s="340"/>
      <c r="AQ742" s="340"/>
      <c r="AR742" s="340"/>
      <c r="AS742" s="340"/>
      <c r="AT742" s="340"/>
      <c r="AU742" s="340"/>
      <c r="AV742" s="340"/>
      <c r="AY742" s="340"/>
      <c r="AZ742" s="465">
        <f t="shared" ca="1" si="500"/>
        <v>7.3698599999999999E-5</v>
      </c>
      <c r="BA742" s="464">
        <f t="shared" ca="1" si="501"/>
        <v>2.2109589000000002E-3</v>
      </c>
      <c r="BB742" s="465">
        <f t="shared" ca="1" si="501"/>
        <v>2.2846575E-3</v>
      </c>
      <c r="BC742" s="466">
        <f t="shared" ca="1" si="502"/>
        <v>65197</v>
      </c>
      <c r="BD742" s="467">
        <f t="shared" ca="1" si="515"/>
        <v>65198</v>
      </c>
      <c r="BE742" s="467">
        <f t="shared" ca="1" si="503"/>
        <v>65227</v>
      </c>
      <c r="BF742" s="468">
        <f ca="1">IF(計算!$BC742&lt;OP!$C$3,0,BD742-BC742)</f>
        <v>1</v>
      </c>
      <c r="BG742" s="468">
        <f ca="1">IF($BE742&gt;DATE(YEAR($BD$9)+OP!$C$57,MONTH($BD$9),DAY($BD$9)),0,$BE742-$BD742+1)</f>
        <v>30</v>
      </c>
      <c r="BH742" s="469">
        <f t="shared" ca="1" si="504"/>
        <v>31</v>
      </c>
      <c r="BI742" t="str">
        <f t="shared" si="520"/>
        <v/>
      </c>
      <c r="BJ742">
        <v>1</v>
      </c>
      <c r="BN742" s="468">
        <f t="shared" si="516"/>
        <v>62</v>
      </c>
      <c r="BO742" s="468">
        <f t="shared" si="517"/>
        <v>1</v>
      </c>
      <c r="BP742" s="467">
        <f t="shared" ca="1" si="505"/>
        <v>65198</v>
      </c>
      <c r="BQ742" s="475">
        <f t="shared" ca="1" si="519"/>
        <v>94</v>
      </c>
      <c r="BR742" s="475" t="str">
        <f t="shared" si="518"/>
        <v/>
      </c>
      <c r="BS742" s="471" t="str">
        <f t="shared" si="506"/>
        <v/>
      </c>
      <c r="BT742" s="472" t="str">
        <f t="shared" si="521"/>
        <v/>
      </c>
      <c r="BU742" s="472">
        <f t="shared" ca="1" si="507"/>
        <v>0</v>
      </c>
      <c r="BV742" s="472">
        <f t="shared" ca="1" si="507"/>
        <v>0</v>
      </c>
      <c r="BW742" s="472"/>
      <c r="BX742" s="473">
        <f t="shared" ca="1" si="508"/>
        <v>1429675.5811749401</v>
      </c>
      <c r="BY742" s="473">
        <f t="shared" si="509"/>
        <v>0</v>
      </c>
      <c r="BZ742" s="473">
        <f t="shared" ca="1" si="491"/>
        <v>3266.3190390979998</v>
      </c>
      <c r="CA742" s="476">
        <f t="shared" ca="1" si="510"/>
        <v>0</v>
      </c>
      <c r="CB742" s="494">
        <f ca="1">IF(OR($Q741&lt;&gt;1,OP!$D$5+$BN742-1&lt;16,$BN742-1&lt;1),0,ROUND(ROUND(ROUND(((VLOOKUP($BN742-1,MORE_PV,5,0)/10000)*VLOOKUP($BN742,MORE_PV,$CB$5,0)),3)*VLOOKUP($BN742,more1,5,0),0)/$R741,0))</f>
        <v>0</v>
      </c>
      <c r="CC742" s="473">
        <f t="shared" ca="1" si="511"/>
        <v>0</v>
      </c>
      <c r="CD742" s="477"/>
    </row>
    <row r="743" spans="2:82" ht="16.5" hidden="1">
      <c r="B743" s="80"/>
      <c r="C743" s="80"/>
      <c r="D743" s="80"/>
      <c r="E743" s="80"/>
      <c r="F743" s="80"/>
      <c r="G743" s="80"/>
      <c r="H743" s="80"/>
      <c r="I743" s="80"/>
      <c r="J743" s="192">
        <f t="shared" si="492"/>
        <v>62</v>
      </c>
      <c r="K743" s="192">
        <f t="shared" si="493"/>
        <v>3</v>
      </c>
      <c r="L743" s="192" t="str">
        <f t="shared" si="488"/>
        <v/>
      </c>
      <c r="M743" s="216">
        <f t="shared" ca="1" si="494"/>
        <v>0</v>
      </c>
      <c r="N743" s="216"/>
      <c r="O743" s="216"/>
      <c r="P743" s="216"/>
      <c r="Q743" s="456" t="str">
        <f t="shared" ca="1" si="495"/>
        <v/>
      </c>
      <c r="R743" s="450">
        <f t="shared" ca="1" si="496"/>
        <v>1</v>
      </c>
      <c r="S743" s="191">
        <f t="shared" si="497"/>
        <v>62</v>
      </c>
      <c r="T743" s="191">
        <f t="shared" si="498"/>
        <v>3</v>
      </c>
      <c r="U743" s="191">
        <f ca="1">OP!$D$5+$S743-1</f>
        <v>94</v>
      </c>
      <c r="V743" s="191" t="str">
        <f t="shared" si="499"/>
        <v/>
      </c>
      <c r="W743" s="350">
        <f ca="1">IF(Q743&lt;&gt;1,0,VLOOKUP(OP!$C$55,PVFB,$S743+2,0))</f>
        <v>0</v>
      </c>
      <c r="X743" s="473">
        <f t="shared" ca="1" si="512"/>
        <v>0</v>
      </c>
      <c r="Y743" s="348">
        <f t="shared" ca="1" si="513"/>
        <v>0</v>
      </c>
      <c r="Z743" s="348">
        <f t="shared" ca="1" si="514"/>
        <v>8012</v>
      </c>
      <c r="AA743" s="348">
        <f ca="1">IF(Q743&lt;&gt;1,0,VLOOKUP(OP!$C$55,PVFB,$S743+2,0))</f>
        <v>0</v>
      </c>
      <c r="AB743" s="488" t="str">
        <f ca="1">IF(AND(S743&lt;OP!$C$24,$U743&lt;15),0,IF(AND($U743&lt;15,$T743=12),ROUND(VLOOKUP($S743,DOWN16,5,0),3),IF($T743=12,ROUND(($Z743/10000)*$AA743,3)+IF(AND($P$7="購買增額繳清保險",T743=12,U743=110),VLOOKUP(S743,$B$10:$H$121,7,0),0),"")))</f>
        <v/>
      </c>
      <c r="AC743" s="350" t="str">
        <f ca="1">IF(AND(S743&lt;OP!$C$24,$U743&lt;15),0,IF(AND($U743&lt;16,$T743=12),VLOOKUP($S743,DOWN16,4,0),IF($T743=12,ROUND(VLOOKUP(OP!$C$55,_DIE2,$S743+1,0)*(Z743/10000),0)+IF(AND($P$7="購買增額繳清保險",T743=12,U743=110),VLOOKUP(S743,$B$10:$H$121,7,0),0),"")))</f>
        <v/>
      </c>
      <c r="AD743" s="347"/>
      <c r="AE743" s="350" t="str">
        <f t="shared" ca="1" si="489"/>
        <v/>
      </c>
      <c r="AF743" s="351" t="str">
        <f t="shared" ca="1" si="490"/>
        <v/>
      </c>
      <c r="AG743" s="340"/>
      <c r="AH743" s="340"/>
      <c r="AI743" s="340"/>
      <c r="AJ743" s="340"/>
      <c r="AK743" s="340"/>
      <c r="AL743" s="340"/>
      <c r="AM743" s="340"/>
      <c r="AN743" s="340"/>
      <c r="AO743" s="340"/>
      <c r="AP743" s="340"/>
      <c r="AQ743" s="340"/>
      <c r="AR743" s="340"/>
      <c r="AS743" s="340"/>
      <c r="AT743" s="340"/>
      <c r="AU743" s="340"/>
      <c r="AV743" s="340"/>
      <c r="AY743" s="340"/>
      <c r="AZ743" s="465">
        <f t="shared" ca="1" si="500"/>
        <v>7.3698599999999999E-5</v>
      </c>
      <c r="BA743" s="464">
        <f t="shared" ca="1" si="501"/>
        <v>2.2109589000000002E-3</v>
      </c>
      <c r="BB743" s="465">
        <f t="shared" ca="1" si="501"/>
        <v>2.2846575E-3</v>
      </c>
      <c r="BC743" s="466">
        <f t="shared" ca="1" si="502"/>
        <v>65228</v>
      </c>
      <c r="BD743" s="467">
        <f t="shared" ca="1" si="515"/>
        <v>65229</v>
      </c>
      <c r="BE743" s="467">
        <f t="shared" ca="1" si="503"/>
        <v>65258</v>
      </c>
      <c r="BF743" s="468">
        <f ca="1">IF(計算!$BC743&lt;OP!$C$3,0,BD743-BC743)</f>
        <v>1</v>
      </c>
      <c r="BG743" s="468">
        <f ca="1">IF($BE743&gt;DATE(YEAR($BD$9)+OP!$C$57,MONTH($BD$9),DAY($BD$9)),0,$BE743-$BD743+1)</f>
        <v>30</v>
      </c>
      <c r="BH743" s="469">
        <f t="shared" ca="1" si="504"/>
        <v>31</v>
      </c>
      <c r="BI743" t="str">
        <f t="shared" si="520"/>
        <v/>
      </c>
      <c r="BJ743">
        <v>2</v>
      </c>
      <c r="BN743" s="468">
        <f t="shared" si="516"/>
        <v>62</v>
      </c>
      <c r="BO743" s="468">
        <f t="shared" si="517"/>
        <v>2</v>
      </c>
      <c r="BP743" s="467">
        <f t="shared" ca="1" si="505"/>
        <v>65229</v>
      </c>
      <c r="BQ743" s="475">
        <f t="shared" ca="1" si="519"/>
        <v>94</v>
      </c>
      <c r="BR743" s="475" t="str">
        <f t="shared" si="518"/>
        <v/>
      </c>
      <c r="BS743" s="471" t="str">
        <f t="shared" si="506"/>
        <v/>
      </c>
      <c r="BT743" s="472" t="str">
        <f t="shared" si="521"/>
        <v/>
      </c>
      <c r="BU743" s="472">
        <f t="shared" ca="1" si="507"/>
        <v>0</v>
      </c>
      <c r="BV743" s="472">
        <f t="shared" ca="1" si="507"/>
        <v>0</v>
      </c>
      <c r="BW743" s="472"/>
      <c r="BX743" s="473">
        <f t="shared" ca="1" si="508"/>
        <v>1432941.90021404</v>
      </c>
      <c r="BY743" s="473">
        <f t="shared" si="509"/>
        <v>0</v>
      </c>
      <c r="BZ743" s="473">
        <f t="shared" ca="1" si="491"/>
        <v>3273.7814593879998</v>
      </c>
      <c r="CA743" s="476">
        <f t="shared" ca="1" si="510"/>
        <v>0</v>
      </c>
      <c r="CB743" s="494">
        <f ca="1">IF(OR($Q742&lt;&gt;1,OP!$D$5+$BN743-1&lt;16,$BN743-1&lt;1),0,ROUND(ROUND(ROUND(((VLOOKUP($BN743-1,MORE_PV,5,0)/10000)*VLOOKUP($BN743,MORE_PV,$CB$5,0)),3)*VLOOKUP($BN743,more1,5,0),0)/$R742,0))</f>
        <v>0</v>
      </c>
      <c r="CC743" s="473">
        <f t="shared" ca="1" si="511"/>
        <v>0</v>
      </c>
      <c r="CD743" s="477"/>
    </row>
    <row r="744" spans="2:82" ht="16.5" hidden="1">
      <c r="B744" s="80"/>
      <c r="C744" s="80"/>
      <c r="D744" s="80"/>
      <c r="E744" s="80"/>
      <c r="F744" s="80"/>
      <c r="G744" s="80"/>
      <c r="H744" s="80"/>
      <c r="I744" s="80"/>
      <c r="J744" s="192">
        <f t="shared" si="492"/>
        <v>62</v>
      </c>
      <c r="K744" s="192">
        <f t="shared" si="493"/>
        <v>4</v>
      </c>
      <c r="L744" s="192" t="str">
        <f t="shared" si="488"/>
        <v/>
      </c>
      <c r="M744" s="216">
        <f t="shared" ca="1" si="494"/>
        <v>0</v>
      </c>
      <c r="N744" s="216"/>
      <c r="O744" s="216"/>
      <c r="P744" s="216"/>
      <c r="Q744" s="456" t="str">
        <f t="shared" ca="1" si="495"/>
        <v/>
      </c>
      <c r="R744" s="450">
        <f t="shared" ca="1" si="496"/>
        <v>1</v>
      </c>
      <c r="S744" s="191">
        <f t="shared" si="497"/>
        <v>62</v>
      </c>
      <c r="T744" s="191">
        <f t="shared" si="498"/>
        <v>4</v>
      </c>
      <c r="U744" s="191">
        <f ca="1">OP!$D$5+$S744-1</f>
        <v>94</v>
      </c>
      <c r="V744" s="191" t="str">
        <f t="shared" si="499"/>
        <v/>
      </c>
      <c r="W744" s="350">
        <f ca="1">IF(Q744&lt;&gt;1,0,VLOOKUP(OP!$C$55,PVFB,$S744+2,0))</f>
        <v>0</v>
      </c>
      <c r="X744" s="473">
        <f t="shared" ca="1" si="512"/>
        <v>0</v>
      </c>
      <c r="Y744" s="348">
        <f t="shared" ca="1" si="513"/>
        <v>0</v>
      </c>
      <c r="Z744" s="348">
        <f t="shared" ca="1" si="514"/>
        <v>8012</v>
      </c>
      <c r="AA744" s="348">
        <f ca="1">IF(Q744&lt;&gt;1,0,VLOOKUP(OP!$C$55,PVFB,$S744+2,0))</f>
        <v>0</v>
      </c>
      <c r="AB744" s="488" t="str">
        <f ca="1">IF(AND(S744&lt;OP!$C$24,$U744&lt;15),0,IF(AND($U744&lt;15,$T744=12),ROUND(VLOOKUP($S744,DOWN16,5,0),3),IF($T744=12,ROUND(($Z744/10000)*$AA744,3)+IF(AND($P$7="購買增額繳清保險",T744=12,U744=110),VLOOKUP(S744,$B$10:$H$121,7,0),0),"")))</f>
        <v/>
      </c>
      <c r="AC744" s="350" t="str">
        <f ca="1">IF(AND(S744&lt;OP!$C$24,$U744&lt;15),0,IF(AND($U744&lt;16,$T744=12),VLOOKUP($S744,DOWN16,4,0),IF($T744=12,ROUND(VLOOKUP(OP!$C$55,_DIE2,$S744+1,0)*(Z744/10000),0)+IF(AND($P$7="購買增額繳清保險",T744=12,U744=110),VLOOKUP(S744,$B$10:$H$121,7,0),0),"")))</f>
        <v/>
      </c>
      <c r="AD744" s="347"/>
      <c r="AE744" s="350" t="str">
        <f t="shared" ca="1" si="489"/>
        <v/>
      </c>
      <c r="AF744" s="351" t="str">
        <f t="shared" ca="1" si="490"/>
        <v/>
      </c>
      <c r="AG744" s="340"/>
      <c r="AH744" s="340"/>
      <c r="AI744" s="340"/>
      <c r="AJ744" s="340"/>
      <c r="AK744" s="340"/>
      <c r="AL744" s="340"/>
      <c r="AM744" s="340"/>
      <c r="AN744" s="340"/>
      <c r="AO744" s="340"/>
      <c r="AP744" s="340"/>
      <c r="AQ744" s="340"/>
      <c r="AR744" s="340"/>
      <c r="AS744" s="340"/>
      <c r="AT744" s="340"/>
      <c r="AU744" s="340"/>
      <c r="AV744" s="340"/>
      <c r="AY744" s="340"/>
      <c r="AZ744" s="465">
        <f t="shared" ca="1" si="500"/>
        <v>7.3698599999999999E-5</v>
      </c>
      <c r="BA744" s="464">
        <f t="shared" ca="1" si="501"/>
        <v>2.1372602999999999E-3</v>
      </c>
      <c r="BB744" s="465">
        <f t="shared" ca="1" si="501"/>
        <v>2.2109589000000002E-3</v>
      </c>
      <c r="BC744" s="466">
        <f t="shared" ca="1" si="502"/>
        <v>65259</v>
      </c>
      <c r="BD744" s="467">
        <f t="shared" ca="1" si="515"/>
        <v>65260</v>
      </c>
      <c r="BE744" s="467">
        <f t="shared" ca="1" si="503"/>
        <v>65288</v>
      </c>
      <c r="BF744" s="468">
        <f ca="1">IF(計算!$BC744&lt;OP!$C$3,0,BD744-BC744)</f>
        <v>1</v>
      </c>
      <c r="BG744" s="468">
        <f ca="1">IF($BE744&gt;DATE(YEAR($BD$9)+OP!$C$57,MONTH($BD$9),DAY($BD$9)),0,$BE744-$BD744+1)</f>
        <v>29</v>
      </c>
      <c r="BH744" s="469">
        <f t="shared" ca="1" si="504"/>
        <v>30</v>
      </c>
      <c r="BI744" t="str">
        <f t="shared" si="520"/>
        <v/>
      </c>
      <c r="BJ744">
        <v>3</v>
      </c>
      <c r="BN744" s="468">
        <f t="shared" si="516"/>
        <v>62</v>
      </c>
      <c r="BO744" s="468">
        <f t="shared" si="517"/>
        <v>3</v>
      </c>
      <c r="BP744" s="467">
        <f t="shared" ca="1" si="505"/>
        <v>65260</v>
      </c>
      <c r="BQ744" s="475">
        <f t="shared" ca="1" si="519"/>
        <v>94</v>
      </c>
      <c r="BR744" s="475" t="str">
        <f t="shared" si="518"/>
        <v/>
      </c>
      <c r="BS744" s="471" t="str">
        <f t="shared" si="506"/>
        <v/>
      </c>
      <c r="BT744" s="472" t="str">
        <f t="shared" si="521"/>
        <v/>
      </c>
      <c r="BU744" s="472">
        <f t="shared" ca="1" si="507"/>
        <v>0</v>
      </c>
      <c r="BV744" s="472">
        <f t="shared" ca="1" si="507"/>
        <v>0</v>
      </c>
      <c r="BW744" s="472"/>
      <c r="BX744" s="473">
        <f t="shared" ca="1" si="508"/>
        <v>1436215.6816734299</v>
      </c>
      <c r="BY744" s="473">
        <f t="shared" si="509"/>
        <v>0</v>
      </c>
      <c r="BZ744" s="473">
        <f t="shared" ca="1" si="491"/>
        <v>3175.413843715</v>
      </c>
      <c r="CA744" s="476">
        <f t="shared" ca="1" si="510"/>
        <v>0</v>
      </c>
      <c r="CB744" s="494">
        <f ca="1">IF(OR($Q743&lt;&gt;1,OP!$D$5+$BN744-1&lt;16,$BN744-1&lt;1),0,ROUND(ROUND(ROUND(((VLOOKUP($BN744-1,MORE_PV,5,0)/10000)*VLOOKUP($BN744,MORE_PV,$CB$5,0)),3)*VLOOKUP($BN744,more1,5,0),0)/$R743,0))</f>
        <v>0</v>
      </c>
      <c r="CC744" s="473">
        <f t="shared" ca="1" si="511"/>
        <v>0</v>
      </c>
      <c r="CD744" s="477"/>
    </row>
    <row r="745" spans="2:82" ht="16.5" hidden="1">
      <c r="B745" s="80"/>
      <c r="C745" s="80"/>
      <c r="D745" s="80"/>
      <c r="E745" s="80"/>
      <c r="F745" s="80"/>
      <c r="G745" s="80"/>
      <c r="H745" s="80"/>
      <c r="I745" s="80"/>
      <c r="J745" s="192">
        <f t="shared" si="492"/>
        <v>62</v>
      </c>
      <c r="K745" s="192">
        <f t="shared" si="493"/>
        <v>5</v>
      </c>
      <c r="L745" s="192" t="str">
        <f t="shared" si="488"/>
        <v/>
      </c>
      <c r="M745" s="216">
        <f t="shared" ca="1" si="494"/>
        <v>0</v>
      </c>
      <c r="N745" s="216"/>
      <c r="O745" s="216"/>
      <c r="P745" s="216"/>
      <c r="Q745" s="456" t="str">
        <f t="shared" ca="1" si="495"/>
        <v/>
      </c>
      <c r="R745" s="450">
        <f t="shared" ca="1" si="496"/>
        <v>1</v>
      </c>
      <c r="S745" s="191">
        <f t="shared" si="497"/>
        <v>62</v>
      </c>
      <c r="T745" s="191">
        <f t="shared" si="498"/>
        <v>5</v>
      </c>
      <c r="U745" s="191">
        <f ca="1">OP!$D$5+$S745-1</f>
        <v>94</v>
      </c>
      <c r="V745" s="191" t="str">
        <f t="shared" si="499"/>
        <v/>
      </c>
      <c r="W745" s="350">
        <f ca="1">IF(Q745&lt;&gt;1,0,VLOOKUP(OP!$C$55,PVFB,$S745+2,0))</f>
        <v>0</v>
      </c>
      <c r="X745" s="473">
        <f t="shared" ca="1" si="512"/>
        <v>0</v>
      </c>
      <c r="Y745" s="348">
        <f t="shared" ca="1" si="513"/>
        <v>0</v>
      </c>
      <c r="Z745" s="348">
        <f t="shared" ca="1" si="514"/>
        <v>8012</v>
      </c>
      <c r="AA745" s="348">
        <f ca="1">IF(Q745&lt;&gt;1,0,VLOOKUP(OP!$C$55,PVFB,$S745+2,0))</f>
        <v>0</v>
      </c>
      <c r="AB745" s="488" t="str">
        <f ca="1">IF(AND(S745&lt;OP!$C$24,$U745&lt;15),0,IF(AND($U745&lt;15,$T745=12),ROUND(VLOOKUP($S745,DOWN16,5,0),3),IF($T745=12,ROUND(($Z745/10000)*$AA745,3)+IF(AND($P$7="購買增額繳清保險",T745=12,U745=110),VLOOKUP(S745,$B$10:$H$121,7,0),0),"")))</f>
        <v/>
      </c>
      <c r="AC745" s="350" t="str">
        <f ca="1">IF(AND(S745&lt;OP!$C$24,$U745&lt;15),0,IF(AND($U745&lt;16,$T745=12),VLOOKUP($S745,DOWN16,4,0),IF($T745=12,ROUND(VLOOKUP(OP!$C$55,_DIE2,$S745+1,0)*(Z745/10000),0)+IF(AND($P$7="購買增額繳清保險",T745=12,U745=110),VLOOKUP(S745,$B$10:$H$121,7,0),0),"")))</f>
        <v/>
      </c>
      <c r="AD745" s="347"/>
      <c r="AE745" s="350" t="str">
        <f t="shared" ca="1" si="489"/>
        <v/>
      </c>
      <c r="AF745" s="351" t="str">
        <f t="shared" ca="1" si="490"/>
        <v/>
      </c>
      <c r="AG745" s="340"/>
      <c r="AH745" s="340"/>
      <c r="AI745" s="340"/>
      <c r="AJ745" s="340"/>
      <c r="AK745" s="340"/>
      <c r="AL745" s="340"/>
      <c r="AM745" s="340"/>
      <c r="AN745" s="340"/>
      <c r="AO745" s="340"/>
      <c r="AP745" s="340"/>
      <c r="AQ745" s="340"/>
      <c r="AR745" s="340"/>
      <c r="AS745" s="340"/>
      <c r="AT745" s="340"/>
      <c r="AU745" s="340"/>
      <c r="AV745" s="340"/>
      <c r="AY745" s="340"/>
      <c r="AZ745" s="465">
        <f t="shared" ca="1" si="500"/>
        <v>7.3698599999999999E-5</v>
      </c>
      <c r="BA745" s="464">
        <f t="shared" ca="1" si="501"/>
        <v>2.2109589000000002E-3</v>
      </c>
      <c r="BB745" s="465">
        <f t="shared" ca="1" si="501"/>
        <v>2.2846575E-3</v>
      </c>
      <c r="BC745" s="466">
        <f t="shared" ca="1" si="502"/>
        <v>65289</v>
      </c>
      <c r="BD745" s="467">
        <f t="shared" ca="1" si="515"/>
        <v>65290</v>
      </c>
      <c r="BE745" s="467">
        <f t="shared" ca="1" si="503"/>
        <v>65319</v>
      </c>
      <c r="BF745" s="468">
        <f ca="1">IF(計算!$BC745&lt;OP!$C$3,0,BD745-BC745)</f>
        <v>1</v>
      </c>
      <c r="BG745" s="468">
        <f ca="1">IF($BE745&gt;DATE(YEAR($BD$9)+OP!$C$57,MONTH($BD$9),DAY($BD$9)),0,$BE745-$BD745+1)</f>
        <v>30</v>
      </c>
      <c r="BH745" s="469">
        <f t="shared" ca="1" si="504"/>
        <v>31</v>
      </c>
      <c r="BI745" t="str">
        <f t="shared" si="520"/>
        <v/>
      </c>
      <c r="BJ745">
        <v>4</v>
      </c>
      <c r="BN745" s="468">
        <f t="shared" si="516"/>
        <v>62</v>
      </c>
      <c r="BO745" s="468">
        <f t="shared" si="517"/>
        <v>4</v>
      </c>
      <c r="BP745" s="467">
        <f t="shared" ca="1" si="505"/>
        <v>65290</v>
      </c>
      <c r="BQ745" s="475">
        <f t="shared" ca="1" si="519"/>
        <v>94</v>
      </c>
      <c r="BR745" s="475" t="str">
        <f t="shared" si="518"/>
        <v/>
      </c>
      <c r="BS745" s="471" t="str">
        <f t="shared" si="506"/>
        <v/>
      </c>
      <c r="BT745" s="472" t="str">
        <f t="shared" si="521"/>
        <v/>
      </c>
      <c r="BU745" s="472">
        <f t="shared" ca="1" si="507"/>
        <v>0</v>
      </c>
      <c r="BV745" s="472">
        <f t="shared" ca="1" si="507"/>
        <v>0</v>
      </c>
      <c r="BW745" s="472"/>
      <c r="BX745" s="473">
        <f t="shared" ca="1" si="508"/>
        <v>1439391.0955171499</v>
      </c>
      <c r="BY745" s="473">
        <f t="shared" si="509"/>
        <v>0</v>
      </c>
      <c r="BZ745" s="473">
        <f t="shared" ca="1" si="491"/>
        <v>3288.515661806</v>
      </c>
      <c r="CA745" s="476">
        <f t="shared" ca="1" si="510"/>
        <v>0</v>
      </c>
      <c r="CB745" s="494">
        <f ca="1">IF(OR($Q744&lt;&gt;1,OP!$D$5+$BN745-1&lt;16,$BN745-1&lt;1),0,ROUND(ROUND(ROUND(((VLOOKUP($BN745-1,MORE_PV,5,0)/10000)*VLOOKUP($BN745,MORE_PV,$CB$5,0)),3)*VLOOKUP($BN745,more1,5,0),0)/$R744,0))</f>
        <v>0</v>
      </c>
      <c r="CC745" s="473">
        <f t="shared" ca="1" si="511"/>
        <v>0</v>
      </c>
      <c r="CD745" s="477"/>
    </row>
    <row r="746" spans="2:82" ht="16.5" hidden="1">
      <c r="B746" s="80"/>
      <c r="C746" s="80"/>
      <c r="D746" s="80"/>
      <c r="E746" s="80"/>
      <c r="F746" s="80"/>
      <c r="G746" s="80"/>
      <c r="H746" s="80"/>
      <c r="I746" s="80"/>
      <c r="J746" s="192">
        <f t="shared" si="492"/>
        <v>62</v>
      </c>
      <c r="K746" s="192">
        <f t="shared" si="493"/>
        <v>6</v>
      </c>
      <c r="L746" s="192" t="str">
        <f t="shared" si="488"/>
        <v/>
      </c>
      <c r="M746" s="216">
        <f t="shared" ca="1" si="494"/>
        <v>0</v>
      </c>
      <c r="N746" s="216"/>
      <c r="O746" s="216"/>
      <c r="P746" s="216"/>
      <c r="Q746" s="456" t="str">
        <f t="shared" ca="1" si="495"/>
        <v/>
      </c>
      <c r="R746" s="450">
        <f t="shared" ca="1" si="496"/>
        <v>1</v>
      </c>
      <c r="S746" s="191">
        <f t="shared" si="497"/>
        <v>62</v>
      </c>
      <c r="T746" s="191">
        <f t="shared" si="498"/>
        <v>6</v>
      </c>
      <c r="U746" s="191">
        <f ca="1">OP!$D$5+$S746-1</f>
        <v>94</v>
      </c>
      <c r="V746" s="191" t="str">
        <f t="shared" si="499"/>
        <v/>
      </c>
      <c r="W746" s="350">
        <f ca="1">IF(Q746&lt;&gt;1,0,VLOOKUP(OP!$C$55,PVFB,$S746+2,0))</f>
        <v>0</v>
      </c>
      <c r="X746" s="473">
        <f t="shared" ca="1" si="512"/>
        <v>0</v>
      </c>
      <c r="Y746" s="348">
        <f t="shared" ca="1" si="513"/>
        <v>0</v>
      </c>
      <c r="Z746" s="348">
        <f t="shared" ca="1" si="514"/>
        <v>8012</v>
      </c>
      <c r="AA746" s="348">
        <f ca="1">IF(Q746&lt;&gt;1,0,VLOOKUP(OP!$C$55,PVFB,$S746+2,0))</f>
        <v>0</v>
      </c>
      <c r="AB746" s="488" t="str">
        <f ca="1">IF(AND(S746&lt;OP!$C$24,$U746&lt;15),0,IF(AND($U746&lt;15,$T746=12),ROUND(VLOOKUP($S746,DOWN16,5,0),3),IF($T746=12,ROUND(($Z746/10000)*$AA746,3)+IF(AND($P$7="購買增額繳清保險",T746=12,U746=110),VLOOKUP(S746,$B$10:$H$121,7,0),0),"")))</f>
        <v/>
      </c>
      <c r="AC746" s="350" t="str">
        <f ca="1">IF(AND(S746&lt;OP!$C$24,$U746&lt;15),0,IF(AND($U746&lt;16,$T746=12),VLOOKUP($S746,DOWN16,4,0),IF($T746=12,ROUND(VLOOKUP(OP!$C$55,_DIE2,$S746+1,0)*(Z746/10000),0)+IF(AND($P$7="購買增額繳清保險",T746=12,U746=110),VLOOKUP(S746,$B$10:$H$121,7,0),0),"")))</f>
        <v/>
      </c>
      <c r="AD746" s="347"/>
      <c r="AE746" s="350" t="str">
        <f t="shared" ca="1" si="489"/>
        <v/>
      </c>
      <c r="AF746" s="351" t="str">
        <f t="shared" ca="1" si="490"/>
        <v/>
      </c>
      <c r="AG746" s="340"/>
      <c r="AH746" s="340"/>
      <c r="AI746" s="340"/>
      <c r="AJ746" s="340"/>
      <c r="AK746" s="340"/>
      <c r="AL746" s="340"/>
      <c r="AM746" s="340"/>
      <c r="AN746" s="340"/>
      <c r="AO746" s="340"/>
      <c r="AP746" s="340"/>
      <c r="AQ746" s="340"/>
      <c r="AR746" s="340"/>
      <c r="AS746" s="340"/>
      <c r="AT746" s="340"/>
      <c r="AU746" s="340"/>
      <c r="AV746" s="340"/>
      <c r="AY746" s="340"/>
      <c r="AZ746" s="465">
        <f t="shared" ca="1" si="500"/>
        <v>7.3698599999999999E-5</v>
      </c>
      <c r="BA746" s="464">
        <f t="shared" ca="1" si="501"/>
        <v>2.1372602999999999E-3</v>
      </c>
      <c r="BB746" s="465">
        <f t="shared" ca="1" si="501"/>
        <v>2.2109589000000002E-3</v>
      </c>
      <c r="BC746" s="466">
        <f t="shared" ca="1" si="502"/>
        <v>65320</v>
      </c>
      <c r="BD746" s="467">
        <f t="shared" ca="1" si="515"/>
        <v>65321</v>
      </c>
      <c r="BE746" s="467">
        <f t="shared" ca="1" si="503"/>
        <v>65349</v>
      </c>
      <c r="BF746" s="468">
        <f ca="1">IF(計算!$BC746&lt;OP!$C$3,0,BD746-BC746)</f>
        <v>1</v>
      </c>
      <c r="BG746" s="468">
        <f ca="1">IF($BE746&gt;DATE(YEAR($BD$9)+OP!$C$57,MONTH($BD$9),DAY($BD$9)),0,$BE746-$BD746+1)</f>
        <v>29</v>
      </c>
      <c r="BH746" s="469">
        <f t="shared" ca="1" si="504"/>
        <v>30</v>
      </c>
      <c r="BI746" t="str">
        <f t="shared" si="520"/>
        <v/>
      </c>
      <c r="BJ746">
        <v>5</v>
      </c>
      <c r="BN746" s="468">
        <f t="shared" si="516"/>
        <v>62</v>
      </c>
      <c r="BO746" s="468">
        <f t="shared" si="517"/>
        <v>5</v>
      </c>
      <c r="BP746" s="467">
        <f t="shared" ca="1" si="505"/>
        <v>65321</v>
      </c>
      <c r="BQ746" s="475">
        <f t="shared" ca="1" si="519"/>
        <v>94</v>
      </c>
      <c r="BR746" s="475" t="str">
        <f t="shared" si="518"/>
        <v/>
      </c>
      <c r="BS746" s="471" t="str">
        <f t="shared" si="506"/>
        <v/>
      </c>
      <c r="BT746" s="472" t="str">
        <f t="shared" si="521"/>
        <v/>
      </c>
      <c r="BU746" s="472">
        <f t="shared" ca="1" si="507"/>
        <v>0</v>
      </c>
      <c r="BV746" s="472">
        <f t="shared" ca="1" si="507"/>
        <v>0</v>
      </c>
      <c r="BW746" s="472"/>
      <c r="BX746" s="473">
        <f t="shared" ca="1" si="508"/>
        <v>1442679.61117896</v>
      </c>
      <c r="BY746" s="473">
        <f t="shared" si="509"/>
        <v>0</v>
      </c>
      <c r="BZ746" s="473">
        <f t="shared" ca="1" si="491"/>
        <v>3189.7053261850001</v>
      </c>
      <c r="CA746" s="476">
        <f t="shared" ca="1" si="510"/>
        <v>0</v>
      </c>
      <c r="CB746" s="494">
        <f ca="1">IF(OR($Q745&lt;&gt;1,OP!$D$5+$BN746-1&lt;16,$BN746-1&lt;1),0,ROUND(ROUND(ROUND(((VLOOKUP($BN746-1,MORE_PV,5,0)/10000)*VLOOKUP($BN746,MORE_PV,$CB$5,0)),3)*VLOOKUP($BN746,more1,5,0),0)/$R745,0))</f>
        <v>0</v>
      </c>
      <c r="CC746" s="473">
        <f t="shared" ca="1" si="511"/>
        <v>0</v>
      </c>
      <c r="CD746" s="477"/>
    </row>
    <row r="747" spans="2:82" ht="16.5" hidden="1">
      <c r="B747" s="80"/>
      <c r="C747" s="80"/>
      <c r="D747" s="80"/>
      <c r="E747" s="80"/>
      <c r="F747" s="80"/>
      <c r="G747" s="80"/>
      <c r="H747" s="80"/>
      <c r="I747" s="80"/>
      <c r="J747" s="192">
        <f t="shared" si="492"/>
        <v>62</v>
      </c>
      <c r="K747" s="192">
        <f t="shared" si="493"/>
        <v>7</v>
      </c>
      <c r="L747" s="192" t="str">
        <f t="shared" si="488"/>
        <v/>
      </c>
      <c r="M747" s="216">
        <f t="shared" ca="1" si="494"/>
        <v>0</v>
      </c>
      <c r="N747" s="216"/>
      <c r="O747" s="216"/>
      <c r="P747" s="216"/>
      <c r="Q747" s="456" t="str">
        <f t="shared" ca="1" si="495"/>
        <v/>
      </c>
      <c r="R747" s="450">
        <f t="shared" ca="1" si="496"/>
        <v>1</v>
      </c>
      <c r="S747" s="191">
        <f t="shared" si="497"/>
        <v>62</v>
      </c>
      <c r="T747" s="191">
        <f t="shared" si="498"/>
        <v>7</v>
      </c>
      <c r="U747" s="191">
        <f ca="1">OP!$D$5+$S747-1</f>
        <v>94</v>
      </c>
      <c r="V747" s="191" t="str">
        <f t="shared" si="499"/>
        <v/>
      </c>
      <c r="W747" s="350">
        <f ca="1">IF(Q747&lt;&gt;1,0,VLOOKUP(OP!$C$55,PVFB,$S747+2,0))</f>
        <v>0</v>
      </c>
      <c r="X747" s="473">
        <f t="shared" ca="1" si="512"/>
        <v>0</v>
      </c>
      <c r="Y747" s="348">
        <f t="shared" ca="1" si="513"/>
        <v>0</v>
      </c>
      <c r="Z747" s="348">
        <f t="shared" ca="1" si="514"/>
        <v>8012</v>
      </c>
      <c r="AA747" s="348">
        <f ca="1">IF(Q747&lt;&gt;1,0,VLOOKUP(OP!$C$55,PVFB,$S747+2,0))</f>
        <v>0</v>
      </c>
      <c r="AB747" s="488" t="str">
        <f ca="1">IF(AND(S747&lt;OP!$C$24,$U747&lt;15),0,IF(AND($U747&lt;15,$T747=12),ROUND(VLOOKUP($S747,DOWN16,5,0),3),IF($T747=12,ROUND(($Z747/10000)*$AA747,3)+IF(AND($P$7="購買增額繳清保險",T747=12,U747=110),VLOOKUP(S747,$B$10:$H$121,7,0),0),"")))</f>
        <v/>
      </c>
      <c r="AC747" s="350" t="str">
        <f ca="1">IF(AND(S747&lt;OP!$C$24,$U747&lt;15),0,IF(AND($U747&lt;16,$T747=12),VLOOKUP($S747,DOWN16,4,0),IF($T747=12,ROUND(VLOOKUP(OP!$C$55,_DIE2,$S747+1,0)*(Z747/10000),0)+IF(AND($P$7="購買增額繳清保險",T747=12,U747=110),VLOOKUP(S747,$B$10:$H$121,7,0),0),"")))</f>
        <v/>
      </c>
      <c r="AD747" s="347"/>
      <c r="AE747" s="350" t="str">
        <f t="shared" ca="1" si="489"/>
        <v/>
      </c>
      <c r="AF747" s="351" t="str">
        <f t="shared" ca="1" si="490"/>
        <v/>
      </c>
      <c r="AG747" s="340"/>
      <c r="AH747" s="340"/>
      <c r="AI747" s="340"/>
      <c r="AJ747" s="340"/>
      <c r="AK747" s="340"/>
      <c r="AL747" s="340"/>
      <c r="AM747" s="340"/>
      <c r="AN747" s="340"/>
      <c r="AO747" s="340"/>
      <c r="AP747" s="340"/>
      <c r="AQ747" s="340"/>
      <c r="AR747" s="340"/>
      <c r="AS747" s="340"/>
      <c r="AT747" s="340"/>
      <c r="AU747" s="340"/>
      <c r="AV747" s="340"/>
      <c r="AY747" s="340"/>
      <c r="AZ747" s="465">
        <f t="shared" ca="1" si="500"/>
        <v>7.3698599999999999E-5</v>
      </c>
      <c r="BA747" s="464">
        <f t="shared" ca="1" si="501"/>
        <v>2.2109589000000002E-3</v>
      </c>
      <c r="BB747" s="465">
        <f t="shared" ca="1" si="501"/>
        <v>2.2846575E-3</v>
      </c>
      <c r="BC747" s="466">
        <f t="shared" ca="1" si="502"/>
        <v>65350</v>
      </c>
      <c r="BD747" s="467">
        <f t="shared" ca="1" si="515"/>
        <v>65351</v>
      </c>
      <c r="BE747" s="467">
        <f t="shared" ca="1" si="503"/>
        <v>65380</v>
      </c>
      <c r="BF747" s="468">
        <f ca="1">IF(計算!$BC747&lt;OP!$C$3,0,BD747-BC747)</f>
        <v>1</v>
      </c>
      <c r="BG747" s="468">
        <f ca="1">IF($BE747&gt;DATE(YEAR($BD$9)+OP!$C$57,MONTH($BD$9),DAY($BD$9)),0,$BE747-$BD747+1)</f>
        <v>30</v>
      </c>
      <c r="BH747" s="469">
        <f t="shared" ca="1" si="504"/>
        <v>31</v>
      </c>
      <c r="BI747" t="str">
        <f t="shared" si="520"/>
        <v/>
      </c>
      <c r="BJ747">
        <v>6</v>
      </c>
      <c r="BN747" s="468">
        <f t="shared" si="516"/>
        <v>62</v>
      </c>
      <c r="BO747" s="468">
        <f t="shared" si="517"/>
        <v>6</v>
      </c>
      <c r="BP747" s="467">
        <f t="shared" ca="1" si="505"/>
        <v>65351</v>
      </c>
      <c r="BQ747" s="475">
        <f t="shared" ca="1" si="519"/>
        <v>94</v>
      </c>
      <c r="BR747" s="475" t="str">
        <f t="shared" si="518"/>
        <v/>
      </c>
      <c r="BS747" s="471" t="str">
        <f t="shared" si="506"/>
        <v/>
      </c>
      <c r="BT747" s="472" t="str">
        <f t="shared" si="521"/>
        <v/>
      </c>
      <c r="BU747" s="472">
        <f t="shared" ca="1" si="507"/>
        <v>0</v>
      </c>
      <c r="BV747" s="472">
        <f t="shared" ca="1" si="507"/>
        <v>0</v>
      </c>
      <c r="BW747" s="472"/>
      <c r="BX747" s="473">
        <f t="shared" ca="1" si="508"/>
        <v>1445869.3165051499</v>
      </c>
      <c r="BY747" s="473">
        <f t="shared" si="509"/>
        <v>0</v>
      </c>
      <c r="BZ747" s="473">
        <f t="shared" ca="1" si="491"/>
        <v>3303.3161779729999</v>
      </c>
      <c r="CA747" s="476">
        <f t="shared" ca="1" si="510"/>
        <v>0</v>
      </c>
      <c r="CB747" s="494">
        <f ca="1">IF(OR($Q746&lt;&gt;1,OP!$D$5+$BN747-1&lt;16,$BN747-1&lt;1),0,ROUND(ROUND(ROUND(((VLOOKUP($BN747-1,MORE_PV,5,0)/10000)*VLOOKUP($BN747,MORE_PV,$CB$5,0)),3)*VLOOKUP($BN747,more1,5,0),0)/$R746,0))</f>
        <v>0</v>
      </c>
      <c r="CC747" s="473">
        <f t="shared" ca="1" si="511"/>
        <v>0</v>
      </c>
      <c r="CD747" s="477"/>
    </row>
    <row r="748" spans="2:82" ht="16.5" hidden="1">
      <c r="B748" s="80"/>
      <c r="C748" s="80"/>
      <c r="D748" s="80"/>
      <c r="E748" s="80"/>
      <c r="F748" s="80"/>
      <c r="G748" s="80"/>
      <c r="H748" s="80"/>
      <c r="I748" s="80"/>
      <c r="J748" s="192">
        <f t="shared" si="492"/>
        <v>62</v>
      </c>
      <c r="K748" s="192">
        <f t="shared" si="493"/>
        <v>8</v>
      </c>
      <c r="L748" s="192" t="str">
        <f t="shared" si="488"/>
        <v/>
      </c>
      <c r="M748" s="216">
        <f t="shared" ca="1" si="494"/>
        <v>0</v>
      </c>
      <c r="N748" s="216"/>
      <c r="O748" s="216"/>
      <c r="P748" s="216"/>
      <c r="Q748" s="456" t="str">
        <f t="shared" ca="1" si="495"/>
        <v/>
      </c>
      <c r="R748" s="450">
        <f t="shared" ca="1" si="496"/>
        <v>1</v>
      </c>
      <c r="S748" s="191">
        <f t="shared" si="497"/>
        <v>62</v>
      </c>
      <c r="T748" s="191">
        <f t="shared" si="498"/>
        <v>8</v>
      </c>
      <c r="U748" s="191">
        <f ca="1">OP!$D$5+$S748-1</f>
        <v>94</v>
      </c>
      <c r="V748" s="191" t="str">
        <f t="shared" si="499"/>
        <v/>
      </c>
      <c r="W748" s="350">
        <f ca="1">IF(Q748&lt;&gt;1,0,VLOOKUP(OP!$C$55,PVFB,$S748+2,0))</f>
        <v>0</v>
      </c>
      <c r="X748" s="473">
        <f t="shared" ca="1" si="512"/>
        <v>0</v>
      </c>
      <c r="Y748" s="348">
        <f t="shared" ca="1" si="513"/>
        <v>0</v>
      </c>
      <c r="Z748" s="348">
        <f t="shared" ca="1" si="514"/>
        <v>8012</v>
      </c>
      <c r="AA748" s="348">
        <f ca="1">IF(Q748&lt;&gt;1,0,VLOOKUP(OP!$C$55,PVFB,$S748+2,0))</f>
        <v>0</v>
      </c>
      <c r="AB748" s="488" t="str">
        <f ca="1">IF(AND(S748&lt;OP!$C$24,$U748&lt;15),0,IF(AND($U748&lt;15,$T748=12),ROUND(VLOOKUP($S748,DOWN16,5,0),3),IF($T748=12,ROUND(($Z748/10000)*$AA748,3)+IF(AND($P$7="購買增額繳清保險",T748=12,U748=110),VLOOKUP(S748,$B$10:$H$121,7,0),0),"")))</f>
        <v/>
      </c>
      <c r="AC748" s="350" t="str">
        <f ca="1">IF(AND(S748&lt;OP!$C$24,$U748&lt;15),0,IF(AND($U748&lt;16,$T748=12),VLOOKUP($S748,DOWN16,4,0),IF($T748=12,ROUND(VLOOKUP(OP!$C$55,_DIE2,$S748+1,0)*(Z748/10000),0)+IF(AND($P$7="購買增額繳清保險",T748=12,U748=110),VLOOKUP(S748,$B$10:$H$121,7,0),0),"")))</f>
        <v/>
      </c>
      <c r="AD748" s="347"/>
      <c r="AE748" s="350" t="str">
        <f t="shared" ca="1" si="489"/>
        <v/>
      </c>
      <c r="AF748" s="351" t="str">
        <f t="shared" ca="1" si="490"/>
        <v/>
      </c>
      <c r="AG748" s="340"/>
      <c r="AH748" s="340"/>
      <c r="AI748" s="340"/>
      <c r="AJ748" s="340"/>
      <c r="AK748" s="340"/>
      <c r="AL748" s="340"/>
      <c r="AM748" s="340"/>
      <c r="AN748" s="340"/>
      <c r="AO748" s="340"/>
      <c r="AP748" s="340"/>
      <c r="AQ748" s="340"/>
      <c r="AR748" s="340"/>
      <c r="AS748" s="340"/>
      <c r="AT748" s="340"/>
      <c r="AU748" s="340"/>
      <c r="AV748" s="340"/>
      <c r="AY748" s="340"/>
      <c r="AZ748" s="465">
        <f t="shared" ca="1" si="500"/>
        <v>7.3698599999999999E-5</v>
      </c>
      <c r="BA748" s="464">
        <f t="shared" ca="1" si="501"/>
        <v>2.2109589000000002E-3</v>
      </c>
      <c r="BB748" s="465">
        <f t="shared" ca="1" si="501"/>
        <v>2.2846575E-3</v>
      </c>
      <c r="BC748" s="466">
        <f t="shared" ca="1" si="502"/>
        <v>65381</v>
      </c>
      <c r="BD748" s="467">
        <f t="shared" ca="1" si="515"/>
        <v>65382</v>
      </c>
      <c r="BE748" s="467">
        <f t="shared" ca="1" si="503"/>
        <v>65411</v>
      </c>
      <c r="BF748" s="468">
        <f ca="1">IF(計算!$BC748&lt;OP!$C$3,0,BD748-BC748)</f>
        <v>1</v>
      </c>
      <c r="BG748" s="468">
        <f ca="1">IF($BE748&gt;DATE(YEAR($BD$9)+OP!$C$57,MONTH($BD$9),DAY($BD$9)),0,$BE748-$BD748+1)</f>
        <v>30</v>
      </c>
      <c r="BH748" s="469">
        <f t="shared" ca="1" si="504"/>
        <v>31</v>
      </c>
      <c r="BI748" t="str">
        <f t="shared" si="520"/>
        <v/>
      </c>
      <c r="BJ748">
        <v>7</v>
      </c>
      <c r="BN748" s="468">
        <f t="shared" si="516"/>
        <v>62</v>
      </c>
      <c r="BO748" s="468">
        <f t="shared" si="517"/>
        <v>7</v>
      </c>
      <c r="BP748" s="467">
        <f t="shared" ca="1" si="505"/>
        <v>65382</v>
      </c>
      <c r="BQ748" s="475">
        <f t="shared" ca="1" si="519"/>
        <v>94</v>
      </c>
      <c r="BR748" s="475" t="str">
        <f t="shared" si="518"/>
        <v/>
      </c>
      <c r="BS748" s="471" t="str">
        <f t="shared" si="506"/>
        <v/>
      </c>
      <c r="BT748" s="472" t="str">
        <f t="shared" si="521"/>
        <v/>
      </c>
      <c r="BU748" s="472">
        <f t="shared" ca="1" si="507"/>
        <v>0</v>
      </c>
      <c r="BV748" s="472">
        <f t="shared" ca="1" si="507"/>
        <v>0</v>
      </c>
      <c r="BW748" s="472"/>
      <c r="BX748" s="473">
        <f t="shared" ca="1" si="508"/>
        <v>1449172.63268312</v>
      </c>
      <c r="BY748" s="473">
        <f t="shared" si="509"/>
        <v>0</v>
      </c>
      <c r="BZ748" s="473">
        <f t="shared" ca="1" si="491"/>
        <v>3310.8631240539999</v>
      </c>
      <c r="CA748" s="476">
        <f t="shared" ca="1" si="510"/>
        <v>0</v>
      </c>
      <c r="CB748" s="494">
        <f ca="1">IF(OR($Q747&lt;&gt;1,OP!$D$5+$BN748-1&lt;16,$BN748-1&lt;1),0,ROUND(ROUND(ROUND(((VLOOKUP($BN748-1,MORE_PV,5,0)/10000)*VLOOKUP($BN748,MORE_PV,$CB$5,0)),3)*VLOOKUP($BN748,more1,5,0),0)/$R747,0))</f>
        <v>0</v>
      </c>
      <c r="CC748" s="473">
        <f t="shared" ca="1" si="511"/>
        <v>0</v>
      </c>
      <c r="CD748" s="477"/>
    </row>
    <row r="749" spans="2:82" ht="16.5" hidden="1">
      <c r="B749" s="80"/>
      <c r="C749" s="80"/>
      <c r="D749" s="80"/>
      <c r="E749" s="80"/>
      <c r="F749" s="80"/>
      <c r="G749" s="80"/>
      <c r="H749" s="80"/>
      <c r="I749" s="80"/>
      <c r="J749" s="192">
        <f t="shared" si="492"/>
        <v>62</v>
      </c>
      <c r="K749" s="192">
        <f t="shared" si="493"/>
        <v>9</v>
      </c>
      <c r="L749" s="192" t="str">
        <f t="shared" si="488"/>
        <v/>
      </c>
      <c r="M749" s="216">
        <f t="shared" ca="1" si="494"/>
        <v>0</v>
      </c>
      <c r="N749" s="216"/>
      <c r="O749" s="216"/>
      <c r="P749" s="216"/>
      <c r="Q749" s="456" t="str">
        <f t="shared" ca="1" si="495"/>
        <v/>
      </c>
      <c r="R749" s="450">
        <f t="shared" ca="1" si="496"/>
        <v>1</v>
      </c>
      <c r="S749" s="191">
        <f t="shared" si="497"/>
        <v>62</v>
      </c>
      <c r="T749" s="191">
        <f t="shared" si="498"/>
        <v>9</v>
      </c>
      <c r="U749" s="191">
        <f ca="1">OP!$D$5+$S749-1</f>
        <v>94</v>
      </c>
      <c r="V749" s="191" t="str">
        <f t="shared" si="499"/>
        <v/>
      </c>
      <c r="W749" s="350">
        <f ca="1">IF(Q749&lt;&gt;1,0,VLOOKUP(OP!$C$55,PVFB,$S749+2,0))</f>
        <v>0</v>
      </c>
      <c r="X749" s="473">
        <f t="shared" ca="1" si="512"/>
        <v>0</v>
      </c>
      <c r="Y749" s="348">
        <f t="shared" ca="1" si="513"/>
        <v>0</v>
      </c>
      <c r="Z749" s="348">
        <f t="shared" ca="1" si="514"/>
        <v>8012</v>
      </c>
      <c r="AA749" s="348">
        <f ca="1">IF(Q749&lt;&gt;1,0,VLOOKUP(OP!$C$55,PVFB,$S749+2,0))</f>
        <v>0</v>
      </c>
      <c r="AB749" s="488" t="str">
        <f ca="1">IF(AND(S749&lt;OP!$C$24,$U749&lt;15),0,IF(AND($U749&lt;15,$T749=12),ROUND(VLOOKUP($S749,DOWN16,5,0),3),IF($T749=12,ROUND(($Z749/10000)*$AA749,3)+IF(AND($P$7="購買增額繳清保險",T749=12,U749=110),VLOOKUP(S749,$B$10:$H$121,7,0),0),"")))</f>
        <v/>
      </c>
      <c r="AC749" s="350" t="str">
        <f ca="1">IF(AND(S749&lt;OP!$C$24,$U749&lt;15),0,IF(AND($U749&lt;16,$T749=12),VLOOKUP($S749,DOWN16,4,0),IF($T749=12,ROUND(VLOOKUP(OP!$C$55,_DIE2,$S749+1,0)*(Z749/10000),0)+IF(AND($P$7="購買增額繳清保險",T749=12,U749=110),VLOOKUP(S749,$B$10:$H$121,7,0),0),"")))</f>
        <v/>
      </c>
      <c r="AD749" s="347"/>
      <c r="AE749" s="350" t="str">
        <f t="shared" ca="1" si="489"/>
        <v/>
      </c>
      <c r="AF749" s="351" t="str">
        <f t="shared" ca="1" si="490"/>
        <v/>
      </c>
      <c r="AG749" s="340"/>
      <c r="AH749" s="340"/>
      <c r="AI749" s="340"/>
      <c r="AJ749" s="340"/>
      <c r="AK749" s="340"/>
      <c r="AL749" s="340"/>
      <c r="AM749" s="340"/>
      <c r="AN749" s="340"/>
      <c r="AO749" s="340"/>
      <c r="AP749" s="340"/>
      <c r="AQ749" s="340"/>
      <c r="AR749" s="340"/>
      <c r="AS749" s="340"/>
      <c r="AT749" s="340"/>
      <c r="AU749" s="340"/>
      <c r="AV749" s="340"/>
      <c r="AY749" s="340"/>
      <c r="AZ749" s="465">
        <f t="shared" ca="1" si="500"/>
        <v>7.3698599999999999E-5</v>
      </c>
      <c r="BA749" s="464">
        <f t="shared" ca="1" si="501"/>
        <v>1.9898630000000001E-3</v>
      </c>
      <c r="BB749" s="465">
        <f t="shared" ca="1" si="501"/>
        <v>2.0635616E-3</v>
      </c>
      <c r="BC749" s="466">
        <f t="shared" ca="1" si="502"/>
        <v>65412</v>
      </c>
      <c r="BD749" s="467">
        <f t="shared" ca="1" si="515"/>
        <v>65413</v>
      </c>
      <c r="BE749" s="467">
        <f t="shared" ca="1" si="503"/>
        <v>65439</v>
      </c>
      <c r="BF749" s="468">
        <f ca="1">IF(計算!$BC749&lt;OP!$C$3,0,BD749-BC749)</f>
        <v>1</v>
      </c>
      <c r="BG749" s="468">
        <f ca="1">IF($BE749&gt;DATE(YEAR($BD$9)+OP!$C$57,MONTH($BD$9),DAY($BD$9)),0,$BE749-$BD749+1)</f>
        <v>27</v>
      </c>
      <c r="BH749" s="469">
        <f t="shared" ca="1" si="504"/>
        <v>28</v>
      </c>
      <c r="BI749" t="str">
        <f t="shared" si="520"/>
        <v/>
      </c>
      <c r="BJ749">
        <v>8</v>
      </c>
      <c r="BN749" s="468">
        <f t="shared" si="516"/>
        <v>62</v>
      </c>
      <c r="BO749" s="468">
        <f t="shared" si="517"/>
        <v>8</v>
      </c>
      <c r="BP749" s="467">
        <f t="shared" ca="1" si="505"/>
        <v>65413</v>
      </c>
      <c r="BQ749" s="475">
        <f t="shared" ca="1" si="519"/>
        <v>94</v>
      </c>
      <c r="BR749" s="475" t="str">
        <f t="shared" si="518"/>
        <v/>
      </c>
      <c r="BS749" s="471" t="str">
        <f t="shared" si="506"/>
        <v/>
      </c>
      <c r="BT749" s="472" t="str">
        <f t="shared" si="521"/>
        <v/>
      </c>
      <c r="BU749" s="472">
        <f t="shared" ca="1" si="507"/>
        <v>0</v>
      </c>
      <c r="BV749" s="472">
        <f t="shared" ca="1" si="507"/>
        <v>0</v>
      </c>
      <c r="BW749" s="472"/>
      <c r="BX749" s="473">
        <f t="shared" ca="1" si="508"/>
        <v>1452483.4958071699</v>
      </c>
      <c r="BY749" s="473">
        <f t="shared" si="509"/>
        <v>0</v>
      </c>
      <c r="BZ749" s="473">
        <f t="shared" ca="1" si="491"/>
        <v>2997.2891665809998</v>
      </c>
      <c r="CA749" s="476">
        <f t="shared" ca="1" si="510"/>
        <v>0</v>
      </c>
      <c r="CB749" s="494">
        <f ca="1">IF(OR($Q748&lt;&gt;1,OP!$D$5+$BN749-1&lt;16,$BN749-1&lt;1),0,ROUND(ROUND(ROUND(((VLOOKUP($BN749-1,MORE_PV,5,0)/10000)*VLOOKUP($BN749,MORE_PV,$CB$5,0)),3)*VLOOKUP($BN749,more1,5,0),0)/$R748,0))</f>
        <v>0</v>
      </c>
      <c r="CC749" s="473">
        <f t="shared" ca="1" si="511"/>
        <v>0</v>
      </c>
      <c r="CD749" s="477"/>
    </row>
    <row r="750" spans="2:82" ht="16.5" hidden="1">
      <c r="B750" s="80"/>
      <c r="C750" s="80"/>
      <c r="D750" s="80"/>
      <c r="E750" s="80"/>
      <c r="F750" s="80"/>
      <c r="G750" s="80"/>
      <c r="H750" s="80"/>
      <c r="I750" s="80"/>
      <c r="J750" s="192">
        <f t="shared" si="492"/>
        <v>62</v>
      </c>
      <c r="K750" s="192">
        <f t="shared" si="493"/>
        <v>10</v>
      </c>
      <c r="L750" s="192" t="str">
        <f t="shared" si="488"/>
        <v/>
      </c>
      <c r="M750" s="216">
        <f t="shared" ca="1" si="494"/>
        <v>0</v>
      </c>
      <c r="N750" s="216"/>
      <c r="O750" s="216"/>
      <c r="P750" s="216"/>
      <c r="Q750" s="456" t="str">
        <f t="shared" ca="1" si="495"/>
        <v/>
      </c>
      <c r="R750" s="450">
        <f t="shared" ca="1" si="496"/>
        <v>1</v>
      </c>
      <c r="S750" s="191">
        <f t="shared" si="497"/>
        <v>62</v>
      </c>
      <c r="T750" s="191">
        <f t="shared" si="498"/>
        <v>10</v>
      </c>
      <c r="U750" s="191">
        <f ca="1">OP!$D$5+$S750-1</f>
        <v>94</v>
      </c>
      <c r="V750" s="191" t="str">
        <f t="shared" si="499"/>
        <v/>
      </c>
      <c r="W750" s="350">
        <f ca="1">IF(Q750&lt;&gt;1,0,VLOOKUP(OP!$C$55,PVFB,$S750+2,0))</f>
        <v>0</v>
      </c>
      <c r="X750" s="473">
        <f t="shared" ca="1" si="512"/>
        <v>0</v>
      </c>
      <c r="Y750" s="348">
        <f t="shared" ca="1" si="513"/>
        <v>0</v>
      </c>
      <c r="Z750" s="348">
        <f t="shared" ca="1" si="514"/>
        <v>8012</v>
      </c>
      <c r="AA750" s="348">
        <f ca="1">IF(Q750&lt;&gt;1,0,VLOOKUP(OP!$C$55,PVFB,$S750+2,0))</f>
        <v>0</v>
      </c>
      <c r="AB750" s="488" t="str">
        <f ca="1">IF(AND(S750&lt;OP!$C$24,$U750&lt;15),0,IF(AND($U750&lt;15,$T750=12),ROUND(VLOOKUP($S750,DOWN16,5,0),3),IF($T750=12,ROUND(($Z750/10000)*$AA750,3)+IF(AND($P$7="購買增額繳清保險",T750=12,U750=110),VLOOKUP(S750,$B$10:$H$121,7,0),0),"")))</f>
        <v/>
      </c>
      <c r="AC750" s="350" t="str">
        <f ca="1">IF(AND(S750&lt;OP!$C$24,$U750&lt;15),0,IF(AND($U750&lt;16,$T750=12),VLOOKUP($S750,DOWN16,4,0),IF($T750=12,ROUND(VLOOKUP(OP!$C$55,_DIE2,$S750+1,0)*(Z750/10000),0)+IF(AND($P$7="購買增額繳清保險",T750=12,U750=110),VLOOKUP(S750,$B$10:$H$121,7,0),0),"")))</f>
        <v/>
      </c>
      <c r="AD750" s="347"/>
      <c r="AE750" s="350" t="str">
        <f t="shared" ca="1" si="489"/>
        <v/>
      </c>
      <c r="AF750" s="351" t="str">
        <f t="shared" ca="1" si="490"/>
        <v/>
      </c>
      <c r="AG750" s="340"/>
      <c r="AH750" s="340"/>
      <c r="AI750" s="340"/>
      <c r="AJ750" s="340"/>
      <c r="AK750" s="340"/>
      <c r="AL750" s="340"/>
      <c r="AM750" s="340"/>
      <c r="AN750" s="340"/>
      <c r="AO750" s="340"/>
      <c r="AP750" s="340"/>
      <c r="AQ750" s="340"/>
      <c r="AR750" s="340"/>
      <c r="AS750" s="340"/>
      <c r="AT750" s="340"/>
      <c r="AU750" s="340"/>
      <c r="AV750" s="340"/>
      <c r="AY750" s="340"/>
      <c r="AZ750" s="465">
        <f t="shared" ca="1" si="500"/>
        <v>7.3698599999999999E-5</v>
      </c>
      <c r="BA750" s="464">
        <f t="shared" ca="1" si="501"/>
        <v>2.2109589000000002E-3</v>
      </c>
      <c r="BB750" s="465">
        <f t="shared" ca="1" si="501"/>
        <v>2.2846575E-3</v>
      </c>
      <c r="BC750" s="466">
        <f t="shared" ca="1" si="502"/>
        <v>65440</v>
      </c>
      <c r="BD750" s="467">
        <f t="shared" ca="1" si="515"/>
        <v>65441</v>
      </c>
      <c r="BE750" s="467">
        <f t="shared" ca="1" si="503"/>
        <v>65470</v>
      </c>
      <c r="BF750" s="468">
        <f ca="1">IF(計算!$BC750&lt;OP!$C$3,0,BD750-BC750)</f>
        <v>1</v>
      </c>
      <c r="BG750" s="468">
        <f ca="1">IF($BE750&gt;DATE(YEAR($BD$9)+OP!$C$57,MONTH($BD$9),DAY($BD$9)),0,$BE750-$BD750+1)</f>
        <v>30</v>
      </c>
      <c r="BH750" s="469">
        <f t="shared" ca="1" si="504"/>
        <v>31</v>
      </c>
      <c r="BI750" t="str">
        <f t="shared" si="520"/>
        <v/>
      </c>
      <c r="BJ750">
        <v>9</v>
      </c>
      <c r="BN750" s="468">
        <f t="shared" si="516"/>
        <v>62</v>
      </c>
      <c r="BO750" s="468">
        <f t="shared" si="517"/>
        <v>9</v>
      </c>
      <c r="BP750" s="467">
        <f t="shared" ca="1" si="505"/>
        <v>65441</v>
      </c>
      <c r="BQ750" s="475">
        <f t="shared" ca="1" si="519"/>
        <v>94</v>
      </c>
      <c r="BR750" s="475" t="str">
        <f t="shared" si="518"/>
        <v/>
      </c>
      <c r="BS750" s="471" t="str">
        <f t="shared" si="506"/>
        <v/>
      </c>
      <c r="BT750" s="472" t="str">
        <f t="shared" si="521"/>
        <v/>
      </c>
      <c r="BU750" s="472">
        <f t="shared" ca="1" si="507"/>
        <v>0</v>
      </c>
      <c r="BV750" s="472">
        <f t="shared" ca="1" si="507"/>
        <v>0</v>
      </c>
      <c r="BW750" s="472"/>
      <c r="BX750" s="473">
        <f t="shared" ca="1" si="508"/>
        <v>1455480.7849737499</v>
      </c>
      <c r="BY750" s="473">
        <f t="shared" si="509"/>
        <v>0</v>
      </c>
      <c r="BZ750" s="473">
        <f t="shared" ca="1" si="491"/>
        <v>3325.2750914960002</v>
      </c>
      <c r="CA750" s="476">
        <f t="shared" ca="1" si="510"/>
        <v>0</v>
      </c>
      <c r="CB750" s="494">
        <f ca="1">IF(OR($Q749&lt;&gt;1,OP!$D$5+$BN750-1&lt;16,$BN750-1&lt;1),0,ROUND(ROUND(ROUND(((VLOOKUP($BN750-1,MORE_PV,5,0)/10000)*VLOOKUP($BN750,MORE_PV,$CB$5,0)),3)*VLOOKUP($BN750,more1,5,0),0)/$R749,0))</f>
        <v>0</v>
      </c>
      <c r="CC750" s="473">
        <f t="shared" ca="1" si="511"/>
        <v>0</v>
      </c>
      <c r="CD750" s="477"/>
    </row>
    <row r="751" spans="2:82" ht="16.5" hidden="1">
      <c r="B751" s="80"/>
      <c r="C751" s="80"/>
      <c r="D751" s="80"/>
      <c r="E751" s="80"/>
      <c r="F751" s="80"/>
      <c r="G751" s="80"/>
      <c r="H751" s="80"/>
      <c r="I751" s="80"/>
      <c r="J751" s="192">
        <f t="shared" si="492"/>
        <v>62</v>
      </c>
      <c r="K751" s="192">
        <f t="shared" si="493"/>
        <v>11</v>
      </c>
      <c r="L751" s="192" t="str">
        <f t="shared" si="488"/>
        <v/>
      </c>
      <c r="M751" s="216">
        <f t="shared" ca="1" si="494"/>
        <v>0</v>
      </c>
      <c r="N751" s="216"/>
      <c r="O751" s="216"/>
      <c r="P751" s="216"/>
      <c r="Q751" s="456" t="str">
        <f t="shared" ca="1" si="495"/>
        <v/>
      </c>
      <c r="R751" s="450">
        <f t="shared" ca="1" si="496"/>
        <v>1</v>
      </c>
      <c r="S751" s="191">
        <f t="shared" si="497"/>
        <v>62</v>
      </c>
      <c r="T751" s="191">
        <f t="shared" si="498"/>
        <v>11</v>
      </c>
      <c r="U751" s="191">
        <f ca="1">OP!$D$5+$S751-1</f>
        <v>94</v>
      </c>
      <c r="V751" s="191" t="str">
        <f t="shared" si="499"/>
        <v/>
      </c>
      <c r="W751" s="350">
        <f ca="1">IF(Q751&lt;&gt;1,0,VLOOKUP(OP!$C$55,PVFB,$S751+2,0))</f>
        <v>0</v>
      </c>
      <c r="X751" s="473">
        <f t="shared" ca="1" si="512"/>
        <v>0</v>
      </c>
      <c r="Y751" s="348">
        <f t="shared" ca="1" si="513"/>
        <v>0</v>
      </c>
      <c r="Z751" s="348">
        <f t="shared" ca="1" si="514"/>
        <v>8012</v>
      </c>
      <c r="AA751" s="348">
        <f ca="1">IF(Q751&lt;&gt;1,0,VLOOKUP(OP!$C$55,PVFB,$S751+2,0))</f>
        <v>0</v>
      </c>
      <c r="AB751" s="488" t="str">
        <f ca="1">IF(AND(S751&lt;OP!$C$24,$U751&lt;15),0,IF(AND($U751&lt;15,$T751=12),ROUND(VLOOKUP($S751,DOWN16,5,0),3),IF($T751=12,ROUND(($Z751/10000)*$AA751,3)+IF(AND($P$7="購買增額繳清保險",T751=12,U751=110),VLOOKUP(S751,$B$10:$H$121,7,0),0),"")))</f>
        <v/>
      </c>
      <c r="AC751" s="350" t="str">
        <f ca="1">IF(AND(S751&lt;OP!$C$24,$U751&lt;15),0,IF(AND($U751&lt;16,$T751=12),VLOOKUP($S751,DOWN16,4,0),IF($T751=12,ROUND(VLOOKUP(OP!$C$55,_DIE2,$S751+1,0)*(Z751/10000),0)+IF(AND($P$7="購買增額繳清保險",T751=12,U751=110),VLOOKUP(S751,$B$10:$H$121,7,0),0),"")))</f>
        <v/>
      </c>
      <c r="AD751" s="347"/>
      <c r="AE751" s="350" t="str">
        <f t="shared" ca="1" si="489"/>
        <v/>
      </c>
      <c r="AF751" s="351" t="str">
        <f t="shared" ca="1" si="490"/>
        <v/>
      </c>
      <c r="AG751" s="340"/>
      <c r="AH751" s="340"/>
      <c r="AI751" s="340"/>
      <c r="AJ751" s="340"/>
      <c r="AK751" s="340"/>
      <c r="AL751" s="340"/>
      <c r="AM751" s="340"/>
      <c r="AN751" s="340"/>
      <c r="AO751" s="340"/>
      <c r="AP751" s="340"/>
      <c r="AQ751" s="340"/>
      <c r="AR751" s="340"/>
      <c r="AS751" s="340"/>
      <c r="AT751" s="340"/>
      <c r="AU751" s="340"/>
      <c r="AV751" s="340"/>
      <c r="AY751" s="340"/>
      <c r="AZ751" s="465">
        <f t="shared" ca="1" si="500"/>
        <v>7.3698599999999999E-5</v>
      </c>
      <c r="BA751" s="464">
        <f t="shared" ca="1" si="501"/>
        <v>2.1372602999999999E-3</v>
      </c>
      <c r="BB751" s="465">
        <f t="shared" ca="1" si="501"/>
        <v>2.2109589000000002E-3</v>
      </c>
      <c r="BC751" s="466">
        <f t="shared" ca="1" si="502"/>
        <v>65471</v>
      </c>
      <c r="BD751" s="467">
        <f t="shared" ca="1" si="515"/>
        <v>65472</v>
      </c>
      <c r="BE751" s="467">
        <f t="shared" ca="1" si="503"/>
        <v>65500</v>
      </c>
      <c r="BF751" s="468">
        <f ca="1">IF(計算!$BC751&lt;OP!$C$3,0,BD751-BC751)</f>
        <v>1</v>
      </c>
      <c r="BG751" s="468">
        <f ca="1">IF($BE751&gt;DATE(YEAR($BD$9)+OP!$C$57,MONTH($BD$9),DAY($BD$9)),0,$BE751-$BD751+1)</f>
        <v>29</v>
      </c>
      <c r="BH751" s="469">
        <f t="shared" ca="1" si="504"/>
        <v>30</v>
      </c>
      <c r="BI751" t="str">
        <f t="shared" si="520"/>
        <v/>
      </c>
      <c r="BJ751">
        <v>10</v>
      </c>
      <c r="BN751" s="468">
        <f t="shared" si="516"/>
        <v>62</v>
      </c>
      <c r="BO751" s="468">
        <f t="shared" si="517"/>
        <v>10</v>
      </c>
      <c r="BP751" s="467">
        <f t="shared" ca="1" si="505"/>
        <v>65472</v>
      </c>
      <c r="BQ751" s="475">
        <f t="shared" ca="1" si="519"/>
        <v>94</v>
      </c>
      <c r="BR751" s="475" t="str">
        <f t="shared" si="518"/>
        <v/>
      </c>
      <c r="BS751" s="471" t="str">
        <f t="shared" si="506"/>
        <v/>
      </c>
      <c r="BT751" s="472" t="str">
        <f t="shared" si="521"/>
        <v/>
      </c>
      <c r="BU751" s="472">
        <f t="shared" ca="1" si="507"/>
        <v>0</v>
      </c>
      <c r="BV751" s="472">
        <f t="shared" ca="1" si="507"/>
        <v>0</v>
      </c>
      <c r="BW751" s="472"/>
      <c r="BX751" s="473">
        <f t="shared" ca="1" si="508"/>
        <v>1458806.0600652499</v>
      </c>
      <c r="BY751" s="473">
        <f t="shared" si="509"/>
        <v>0</v>
      </c>
      <c r="BZ751" s="473">
        <f t="shared" ca="1" si="491"/>
        <v>3225.3602418750002</v>
      </c>
      <c r="CA751" s="476">
        <f t="shared" ca="1" si="510"/>
        <v>0</v>
      </c>
      <c r="CB751" s="494">
        <f ca="1">IF(OR($Q750&lt;&gt;1,OP!$D$5+$BN751-1&lt;16,$BN751-1&lt;1),0,ROUND(ROUND(ROUND(((VLOOKUP($BN751-1,MORE_PV,5,0)/10000)*VLOOKUP($BN751,MORE_PV,$CB$5,0)),3)*VLOOKUP($BN751,more1,5,0),0)/$R750,0))</f>
        <v>0</v>
      </c>
      <c r="CC751" s="473">
        <f t="shared" ca="1" si="511"/>
        <v>0</v>
      </c>
      <c r="CD751" s="477"/>
    </row>
    <row r="752" spans="2:82" ht="16.5" hidden="1">
      <c r="B752" s="80"/>
      <c r="C752" s="80"/>
      <c r="D752" s="80"/>
      <c r="E752" s="80"/>
      <c r="F752" s="80"/>
      <c r="G752" s="80"/>
      <c r="H752" s="80"/>
      <c r="I752" s="80"/>
      <c r="J752" s="192">
        <f t="shared" si="492"/>
        <v>62</v>
      </c>
      <c r="K752" s="192">
        <f t="shared" si="493"/>
        <v>12</v>
      </c>
      <c r="L752" s="192">
        <f t="shared" si="488"/>
        <v>62</v>
      </c>
      <c r="M752" s="216">
        <f t="shared" ca="1" si="494"/>
        <v>1486554</v>
      </c>
      <c r="N752" s="216"/>
      <c r="O752" s="216"/>
      <c r="P752" s="216"/>
      <c r="Q752" s="456">
        <f t="shared" ca="1" si="495"/>
        <v>1</v>
      </c>
      <c r="R752" s="450">
        <f t="shared" ca="1" si="496"/>
        <v>1</v>
      </c>
      <c r="S752" s="191">
        <f t="shared" si="497"/>
        <v>62</v>
      </c>
      <c r="T752" s="191">
        <f t="shared" si="498"/>
        <v>12</v>
      </c>
      <c r="U752" s="191">
        <f ca="1">OP!$D$5+$S752-1</f>
        <v>94</v>
      </c>
      <c r="V752" s="191">
        <f t="shared" si="499"/>
        <v>62</v>
      </c>
      <c r="W752" s="350">
        <f ca="1">IF(Q752&lt;&gt;1,0,VLOOKUP(OP!$C$55,PVFB,$S752+2,0))</f>
        <v>87765</v>
      </c>
      <c r="X752" s="473">
        <f t="shared" ca="1" si="512"/>
        <v>21075</v>
      </c>
      <c r="Y752" s="348">
        <f t="shared" ca="1" si="513"/>
        <v>0</v>
      </c>
      <c r="Z752" s="348">
        <f t="shared" ca="1" si="514"/>
        <v>8012</v>
      </c>
      <c r="AA752" s="348">
        <f ca="1">IF(Q752&lt;&gt;1,0,VLOOKUP(OP!$C$55,PVFB,$S752+2,0))</f>
        <v>87765</v>
      </c>
      <c r="AB752" s="488">
        <f ca="1">IF(AND(S752&lt;OP!$C$24,$U752&lt;15),0,IF(AND($U752&lt;15,$T752=12),ROUND(VLOOKUP($S752,DOWN16,5,0),3),IF($T752=12,ROUND(($Z752/10000)*$AA752,3)+IF(AND($P$7="購買增額繳清保險",T752=12,U752=110),VLOOKUP(S752,$B$10:$H$121,7,0),0),"")))</f>
        <v>70317.317999999999</v>
      </c>
      <c r="AC752" s="350">
        <f ca="1">IF(AND(S752&lt;OP!$C$24,$U752&lt;15),0,IF(AND($U752&lt;16,$T752=12),VLOOKUP($S752,DOWN16,4,0),IF($T752=12,ROUND(VLOOKUP(OP!$C$55,_DIE2,$S752+1,0)*(Z752/10000),0)+IF(AND($P$7="購買增額繳清保險",T752=12,U752=110),VLOOKUP(S752,$B$10:$H$121,7,0),0),"")))</f>
        <v>70826</v>
      </c>
      <c r="AD752" s="347"/>
      <c r="AE752" s="350" t="str">
        <f t="shared" ca="1" si="489"/>
        <v/>
      </c>
      <c r="AF752" s="351" t="str">
        <f t="shared" ca="1" si="490"/>
        <v/>
      </c>
      <c r="AG752" s="340"/>
      <c r="AH752" s="340"/>
      <c r="AI752" s="340"/>
      <c r="AJ752" s="340"/>
      <c r="AK752" s="340"/>
      <c r="AL752" s="340"/>
      <c r="AM752" s="340"/>
      <c r="AN752" s="340"/>
      <c r="AO752" s="340"/>
      <c r="AP752" s="340"/>
      <c r="AQ752" s="340"/>
      <c r="AR752" s="340"/>
      <c r="AS752" s="340"/>
      <c r="AT752" s="340"/>
      <c r="AU752" s="340"/>
      <c r="AV752" s="340"/>
      <c r="AY752" s="340"/>
      <c r="AZ752" s="465">
        <f t="shared" ca="1" si="500"/>
        <v>7.3698599999999999E-5</v>
      </c>
      <c r="BA752" s="464">
        <f t="shared" ca="1" si="501"/>
        <v>2.2109589000000002E-3</v>
      </c>
      <c r="BB752" s="465">
        <f t="shared" ca="1" si="501"/>
        <v>2.2846575E-3</v>
      </c>
      <c r="BC752" s="466">
        <f t="shared" ca="1" si="502"/>
        <v>65501</v>
      </c>
      <c r="BD752" s="467">
        <f t="shared" ca="1" si="515"/>
        <v>65502</v>
      </c>
      <c r="BE752" s="467">
        <f t="shared" ca="1" si="503"/>
        <v>65531</v>
      </c>
      <c r="BF752" s="468">
        <f ca="1">IF(計算!$BC752&lt;OP!$C$3,0,BD752-BC752)</f>
        <v>1</v>
      </c>
      <c r="BG752" s="468">
        <f ca="1">IF($BE752&gt;DATE(YEAR($BD$9)+OP!$C$57,MONTH($BD$9),DAY($BD$9)),0,$BE752-$BD752+1)</f>
        <v>30</v>
      </c>
      <c r="BH752" s="469">
        <f t="shared" ca="1" si="504"/>
        <v>31</v>
      </c>
      <c r="BI752" t="str">
        <f t="shared" si="520"/>
        <v/>
      </c>
      <c r="BJ752">
        <v>11</v>
      </c>
      <c r="BN752" s="468">
        <f t="shared" si="516"/>
        <v>62</v>
      </c>
      <c r="BO752" s="468">
        <f t="shared" si="517"/>
        <v>11</v>
      </c>
      <c r="BP752" s="467">
        <f t="shared" ca="1" si="505"/>
        <v>65502</v>
      </c>
      <c r="BQ752" s="475">
        <f t="shared" ca="1" si="519"/>
        <v>94</v>
      </c>
      <c r="BR752" s="475" t="str">
        <f t="shared" si="518"/>
        <v/>
      </c>
      <c r="BS752" s="471" t="str">
        <f t="shared" si="506"/>
        <v/>
      </c>
      <c r="BT752" s="472" t="str">
        <f t="shared" si="521"/>
        <v/>
      </c>
      <c r="BU752" s="472">
        <f t="shared" ca="1" si="507"/>
        <v>0</v>
      </c>
      <c r="BV752" s="472">
        <f t="shared" ca="1" si="507"/>
        <v>0</v>
      </c>
      <c r="BW752" s="472"/>
      <c r="BX752" s="473">
        <f t="shared" ca="1" si="508"/>
        <v>1462031.4203071201</v>
      </c>
      <c r="BY752" s="473">
        <f t="shared" si="509"/>
        <v>0</v>
      </c>
      <c r="BZ752" s="473">
        <f t="shared" ca="1" si="491"/>
        <v>3340.2410496399998</v>
      </c>
      <c r="CA752" s="476">
        <f t="shared" ca="1" si="510"/>
        <v>0</v>
      </c>
      <c r="CB752" s="494">
        <f ca="1">IF(OR($Q751&lt;&gt;1,OP!$D$5+$BN752-1&lt;16,$BN752-1&lt;1),0,ROUND(ROUND(ROUND(((VLOOKUP($BN752-1,MORE_PV,5,0)/10000)*VLOOKUP($BN752,MORE_PV,$CB$5,0)),3)*VLOOKUP($BN752,more1,5,0),0)/$R751,0))</f>
        <v>0</v>
      </c>
      <c r="CC752" s="473">
        <f t="shared" ca="1" si="511"/>
        <v>0</v>
      </c>
      <c r="CD752" s="477"/>
    </row>
    <row r="753" spans="2:82" ht="16.5" hidden="1">
      <c r="B753" s="80"/>
      <c r="C753" s="80"/>
      <c r="D753" s="80"/>
      <c r="E753" s="80"/>
      <c r="F753" s="80"/>
      <c r="G753" s="80"/>
      <c r="H753" s="80"/>
      <c r="I753" s="80"/>
      <c r="J753" s="192">
        <f t="shared" si="492"/>
        <v>63</v>
      </c>
      <c r="K753" s="192">
        <f t="shared" si="493"/>
        <v>1</v>
      </c>
      <c r="L753" s="192" t="str">
        <f t="shared" si="488"/>
        <v/>
      </c>
      <c r="M753" s="216">
        <f t="shared" ca="1" si="494"/>
        <v>0</v>
      </c>
      <c r="N753" s="216"/>
      <c r="O753" s="216"/>
      <c r="P753" s="216"/>
      <c r="Q753" s="456" t="str">
        <f t="shared" ca="1" si="495"/>
        <v/>
      </c>
      <c r="R753" s="450">
        <f t="shared" ca="1" si="496"/>
        <v>1</v>
      </c>
      <c r="S753" s="191">
        <f t="shared" si="497"/>
        <v>63</v>
      </c>
      <c r="T753" s="191">
        <f t="shared" si="498"/>
        <v>1</v>
      </c>
      <c r="U753" s="191">
        <f ca="1">OP!$D$5+$S753-1</f>
        <v>95</v>
      </c>
      <c r="V753" s="191" t="str">
        <f t="shared" si="499"/>
        <v/>
      </c>
      <c r="W753" s="350">
        <f ca="1">IF(Q753&lt;&gt;1,0,VLOOKUP(OP!$C$55,PVFB,$S753+2,0))</f>
        <v>0</v>
      </c>
      <c r="X753" s="473">
        <f t="shared" ca="1" si="512"/>
        <v>0</v>
      </c>
      <c r="Y753" s="348">
        <f t="shared" ca="1" si="513"/>
        <v>0</v>
      </c>
      <c r="Z753" s="348">
        <f t="shared" ca="1" si="514"/>
        <v>8012</v>
      </c>
      <c r="AA753" s="348">
        <f ca="1">IF(Q753&lt;&gt;1,0,VLOOKUP(OP!$C$55,PVFB,$S753+2,0))</f>
        <v>0</v>
      </c>
      <c r="AB753" s="488" t="str">
        <f ca="1">IF(AND(S753&lt;OP!$C$24,$U753&lt;15),0,IF(AND($U753&lt;15,$T753=12),ROUND(VLOOKUP($S753,DOWN16,5,0),3),IF($T753=12,ROUND(($Z753/10000)*$AA753,3)+IF(AND($P$7="購買增額繳清保險",T753=12,U753=110),VLOOKUP(S753,$B$10:$H$121,7,0),0),"")))</f>
        <v/>
      </c>
      <c r="AC753" s="350" t="str">
        <f ca="1">IF(AND(S753&lt;OP!$C$24,$U753&lt;15),0,IF(AND($U753&lt;16,$T753=12),VLOOKUP($S753,DOWN16,4,0),IF($T753=12,ROUND(VLOOKUP(OP!$C$55,_DIE2,$S753+1,0)*(Z753/10000),0)+IF(AND($P$7="購買增額繳清保險",T753=12,U753=110),VLOOKUP(S753,$B$10:$H$121,7,0),0),"")))</f>
        <v/>
      </c>
      <c r="AD753" s="347"/>
      <c r="AE753" s="350" t="str">
        <f t="shared" ca="1" si="489"/>
        <v/>
      </c>
      <c r="AF753" s="351" t="str">
        <f t="shared" ca="1" si="490"/>
        <v/>
      </c>
      <c r="AG753" s="340"/>
      <c r="AH753" s="340"/>
      <c r="AI753" s="340"/>
      <c r="AJ753" s="340"/>
      <c r="AK753" s="340"/>
      <c r="AL753" s="340"/>
      <c r="AM753" s="340"/>
      <c r="AN753" s="340"/>
      <c r="AO753" s="340"/>
      <c r="AP753" s="340"/>
      <c r="AQ753" s="340"/>
      <c r="AR753" s="340"/>
      <c r="AS753" s="340"/>
      <c r="AT753" s="340"/>
      <c r="AU753" s="340"/>
      <c r="AV753" s="340"/>
      <c r="AY753" s="340"/>
      <c r="AZ753" s="465">
        <f t="shared" ca="1" si="500"/>
        <v>7.3698599999999999E-5</v>
      </c>
      <c r="BA753" s="464">
        <f t="shared" ca="1" si="501"/>
        <v>2.1372602999999999E-3</v>
      </c>
      <c r="BB753" s="465">
        <f t="shared" ca="1" si="501"/>
        <v>2.2109589000000002E-3</v>
      </c>
      <c r="BC753" s="466">
        <f t="shared" ca="1" si="502"/>
        <v>65532</v>
      </c>
      <c r="BD753" s="467">
        <f t="shared" ca="1" si="515"/>
        <v>65533</v>
      </c>
      <c r="BE753" s="467">
        <f t="shared" ca="1" si="503"/>
        <v>65561</v>
      </c>
      <c r="BF753" s="468">
        <f ca="1">IF(計算!$BC753&lt;OP!$C$3,0,BD753-BC753)</f>
        <v>1</v>
      </c>
      <c r="BG753" s="468">
        <f ca="1">IF($BE753&gt;DATE(YEAR($BD$9)+OP!$C$57,MONTH($BD$9),DAY($BD$9)),0,$BE753-$BD753+1)</f>
        <v>29</v>
      </c>
      <c r="BH753" s="469">
        <f t="shared" ca="1" si="504"/>
        <v>30</v>
      </c>
      <c r="BI753">
        <f t="shared" ca="1" si="520"/>
        <v>365</v>
      </c>
      <c r="BJ753">
        <v>12</v>
      </c>
      <c r="BN753" s="468">
        <f t="shared" si="516"/>
        <v>62</v>
      </c>
      <c r="BO753" s="468">
        <f t="shared" si="517"/>
        <v>12</v>
      </c>
      <c r="BP753" s="467">
        <f t="shared" ca="1" si="505"/>
        <v>65533</v>
      </c>
      <c r="BQ753" s="475">
        <f t="shared" ca="1" si="519"/>
        <v>94</v>
      </c>
      <c r="BR753" s="475">
        <f t="shared" si="518"/>
        <v>62</v>
      </c>
      <c r="BS753" s="471">
        <f t="shared" ca="1" si="506"/>
        <v>21075</v>
      </c>
      <c r="BT753" s="472">
        <f t="shared" ca="1" si="521"/>
        <v>1486554</v>
      </c>
      <c r="BU753" s="472">
        <f t="shared" ca="1" si="507"/>
        <v>20590</v>
      </c>
      <c r="BV753" s="472">
        <f t="shared" ca="1" si="507"/>
        <v>485</v>
      </c>
      <c r="BW753" s="472">
        <f ca="1">ROUND(SUM(BY753,BZ741:BZ752),0)</f>
        <v>38853</v>
      </c>
      <c r="BX753" s="473">
        <f t="shared" ca="1" si="508"/>
        <v>1486554.6571966801</v>
      </c>
      <c r="BY753" s="473">
        <f t="shared" ca="1" si="509"/>
        <v>107.995839922</v>
      </c>
      <c r="BZ753" s="473">
        <f t="shared" ca="1" si="491"/>
        <v>3177.1542526070002</v>
      </c>
      <c r="CA753" s="476">
        <f t="shared" ca="1" si="510"/>
        <v>20590</v>
      </c>
      <c r="CB753" s="494">
        <f ca="1">IF(OR($Q752&lt;&gt;1,OP!$D$5+$BN753-1&lt;16,$BN753-1&lt;1),0,ROUND(ROUND(ROUND(((VLOOKUP($BN753-1,MORE_PV,5,0)/10000)*VLOOKUP($BN753,MORE_PV,$CB$5,0)),3)*VLOOKUP($BN753,more1,5,0),0)/$R752,0))</f>
        <v>485</v>
      </c>
      <c r="CC753" s="473">
        <f t="shared" ca="1" si="511"/>
        <v>0</v>
      </c>
      <c r="CD753" s="477"/>
    </row>
    <row r="754" spans="2:82" ht="16.5" hidden="1">
      <c r="B754" s="80"/>
      <c r="C754" s="80"/>
      <c r="D754" s="80"/>
      <c r="E754" s="80"/>
      <c r="F754" s="80"/>
      <c r="G754" s="80"/>
      <c r="H754" s="80"/>
      <c r="I754" s="80"/>
      <c r="J754" s="192">
        <f t="shared" si="492"/>
        <v>63</v>
      </c>
      <c r="K754" s="192">
        <f t="shared" si="493"/>
        <v>2</v>
      </c>
      <c r="L754" s="192" t="str">
        <f t="shared" si="488"/>
        <v/>
      </c>
      <c r="M754" s="216">
        <f t="shared" ca="1" si="494"/>
        <v>0</v>
      </c>
      <c r="N754" s="216"/>
      <c r="O754" s="216"/>
      <c r="P754" s="216"/>
      <c r="Q754" s="456" t="str">
        <f t="shared" ca="1" si="495"/>
        <v/>
      </c>
      <c r="R754" s="450">
        <f t="shared" ca="1" si="496"/>
        <v>1</v>
      </c>
      <c r="S754" s="191">
        <f t="shared" si="497"/>
        <v>63</v>
      </c>
      <c r="T754" s="191">
        <f t="shared" si="498"/>
        <v>2</v>
      </c>
      <c r="U754" s="191">
        <f ca="1">OP!$D$5+$S754-1</f>
        <v>95</v>
      </c>
      <c r="V754" s="191" t="str">
        <f t="shared" si="499"/>
        <v/>
      </c>
      <c r="W754" s="350">
        <f ca="1">IF(Q754&lt;&gt;1,0,VLOOKUP(OP!$C$55,PVFB,$S754+2,0))</f>
        <v>0</v>
      </c>
      <c r="X754" s="473">
        <f t="shared" ca="1" si="512"/>
        <v>0</v>
      </c>
      <c r="Y754" s="348">
        <f t="shared" ca="1" si="513"/>
        <v>0</v>
      </c>
      <c r="Z754" s="348">
        <f t="shared" ca="1" si="514"/>
        <v>8012</v>
      </c>
      <c r="AA754" s="348">
        <f ca="1">IF(Q754&lt;&gt;1,0,VLOOKUP(OP!$C$55,PVFB,$S754+2,0))</f>
        <v>0</v>
      </c>
      <c r="AB754" s="488" t="str">
        <f ca="1">IF(AND(S754&lt;OP!$C$24,$U754&lt;15),0,IF(AND($U754&lt;15,$T754=12),ROUND(VLOOKUP($S754,DOWN16,5,0),3),IF($T754=12,ROUND(($Z754/10000)*$AA754,3)+IF(AND($P$7="購買增額繳清保險",T754=12,U754=110),VLOOKUP(S754,$B$10:$H$121,7,0),0),"")))</f>
        <v/>
      </c>
      <c r="AC754" s="350" t="str">
        <f ca="1">IF(AND(S754&lt;OP!$C$24,$U754&lt;15),0,IF(AND($U754&lt;16,$T754=12),VLOOKUP($S754,DOWN16,4,0),IF($T754=12,ROUND(VLOOKUP(OP!$C$55,_DIE2,$S754+1,0)*(Z754/10000),0)+IF(AND($P$7="購買增額繳清保險",T754=12,U754=110),VLOOKUP(S754,$B$10:$H$121,7,0),0),"")))</f>
        <v/>
      </c>
      <c r="AD754" s="347"/>
      <c r="AE754" s="350" t="str">
        <f t="shared" ca="1" si="489"/>
        <v/>
      </c>
      <c r="AF754" s="351" t="str">
        <f t="shared" ca="1" si="490"/>
        <v/>
      </c>
      <c r="AG754" s="340"/>
      <c r="AH754" s="340"/>
      <c r="AI754" s="340"/>
      <c r="AJ754" s="340"/>
      <c r="AK754" s="340"/>
      <c r="AL754" s="340"/>
      <c r="AM754" s="340"/>
      <c r="AN754" s="340"/>
      <c r="AO754" s="340"/>
      <c r="AP754" s="340"/>
      <c r="AQ754" s="340"/>
      <c r="AR754" s="340"/>
      <c r="AS754" s="340"/>
      <c r="AT754" s="340"/>
      <c r="AU754" s="340"/>
      <c r="AV754" s="340"/>
      <c r="AY754" s="340"/>
      <c r="AZ754" s="465">
        <f t="shared" ca="1" si="500"/>
        <v>7.3698599999999999E-5</v>
      </c>
      <c r="BA754" s="464">
        <f t="shared" ca="1" si="501"/>
        <v>2.2109589000000002E-3</v>
      </c>
      <c r="BB754" s="465">
        <f t="shared" ca="1" si="501"/>
        <v>2.2846575E-3</v>
      </c>
      <c r="BC754" s="466">
        <f t="shared" ca="1" si="502"/>
        <v>65562</v>
      </c>
      <c r="BD754" s="467">
        <f t="shared" ca="1" si="515"/>
        <v>65563</v>
      </c>
      <c r="BE754" s="467">
        <f t="shared" ca="1" si="503"/>
        <v>65592</v>
      </c>
      <c r="BF754" s="468">
        <f ca="1">IF(計算!$BC754&lt;OP!$C$3,0,BD754-BC754)</f>
        <v>1</v>
      </c>
      <c r="BG754" s="468">
        <f ca="1">IF($BE754&gt;DATE(YEAR($BD$9)+OP!$C$57,MONTH($BD$9),DAY($BD$9)),0,$BE754-$BD754+1)</f>
        <v>30</v>
      </c>
      <c r="BH754" s="469">
        <f t="shared" ca="1" si="504"/>
        <v>31</v>
      </c>
      <c r="BI754" t="str">
        <f t="shared" si="520"/>
        <v/>
      </c>
      <c r="BJ754">
        <v>1</v>
      </c>
      <c r="BN754" s="468">
        <f t="shared" si="516"/>
        <v>63</v>
      </c>
      <c r="BO754" s="468">
        <f t="shared" si="517"/>
        <v>1</v>
      </c>
      <c r="BP754" s="467">
        <f t="shared" ca="1" si="505"/>
        <v>65563</v>
      </c>
      <c r="BQ754" s="475">
        <f t="shared" ca="1" si="519"/>
        <v>95</v>
      </c>
      <c r="BR754" s="475" t="str">
        <f t="shared" si="518"/>
        <v/>
      </c>
      <c r="BS754" s="471" t="str">
        <f t="shared" si="506"/>
        <v/>
      </c>
      <c r="BT754" s="472" t="str">
        <f t="shared" si="521"/>
        <v/>
      </c>
      <c r="BU754" s="472">
        <f t="shared" ca="1" si="507"/>
        <v>0</v>
      </c>
      <c r="BV754" s="472">
        <f t="shared" ca="1" si="507"/>
        <v>0</v>
      </c>
      <c r="BW754" s="472"/>
      <c r="BX754" s="473">
        <f t="shared" ca="1" si="508"/>
        <v>1489731.81144929</v>
      </c>
      <c r="BY754" s="473">
        <f t="shared" si="509"/>
        <v>0</v>
      </c>
      <c r="BZ754" s="473">
        <f t="shared" ca="1" si="491"/>
        <v>3403.526956016</v>
      </c>
      <c r="CA754" s="476">
        <f t="shared" ca="1" si="510"/>
        <v>0</v>
      </c>
      <c r="CB754" s="494">
        <f ca="1">IF(OR($Q753&lt;&gt;1,OP!$D$5+$BN754-1&lt;16,$BN754-1&lt;1),0,ROUND(ROUND(ROUND(((VLOOKUP($BN754-1,MORE_PV,5,0)/10000)*VLOOKUP($BN754,MORE_PV,$CB$5,0)),3)*VLOOKUP($BN754,more1,5,0),0)/$R753,0))</f>
        <v>0</v>
      </c>
      <c r="CC754" s="473">
        <f t="shared" ca="1" si="511"/>
        <v>0</v>
      </c>
      <c r="CD754" s="477"/>
    </row>
    <row r="755" spans="2:82" ht="16.5" hidden="1">
      <c r="B755" s="80"/>
      <c r="C755" s="80"/>
      <c r="D755" s="80"/>
      <c r="E755" s="80"/>
      <c r="F755" s="80"/>
      <c r="G755" s="80"/>
      <c r="H755" s="80"/>
      <c r="I755" s="80"/>
      <c r="J755" s="192">
        <f t="shared" si="492"/>
        <v>63</v>
      </c>
      <c r="K755" s="192">
        <f t="shared" si="493"/>
        <v>3</v>
      </c>
      <c r="L755" s="192" t="str">
        <f t="shared" si="488"/>
        <v/>
      </c>
      <c r="M755" s="216">
        <f t="shared" ca="1" si="494"/>
        <v>0</v>
      </c>
      <c r="N755" s="216"/>
      <c r="O755" s="216"/>
      <c r="P755" s="216"/>
      <c r="Q755" s="456" t="str">
        <f t="shared" ca="1" si="495"/>
        <v/>
      </c>
      <c r="R755" s="450">
        <f t="shared" ca="1" si="496"/>
        <v>1</v>
      </c>
      <c r="S755" s="191">
        <f t="shared" si="497"/>
        <v>63</v>
      </c>
      <c r="T755" s="191">
        <f t="shared" si="498"/>
        <v>3</v>
      </c>
      <c r="U755" s="191">
        <f ca="1">OP!$D$5+$S755-1</f>
        <v>95</v>
      </c>
      <c r="V755" s="191" t="str">
        <f t="shared" si="499"/>
        <v/>
      </c>
      <c r="W755" s="350">
        <f ca="1">IF(Q755&lt;&gt;1,0,VLOOKUP(OP!$C$55,PVFB,$S755+2,0))</f>
        <v>0</v>
      </c>
      <c r="X755" s="473">
        <f t="shared" ca="1" si="512"/>
        <v>0</v>
      </c>
      <c r="Y755" s="348">
        <f t="shared" ca="1" si="513"/>
        <v>0</v>
      </c>
      <c r="Z755" s="348">
        <f t="shared" ca="1" si="514"/>
        <v>8012</v>
      </c>
      <c r="AA755" s="348">
        <f ca="1">IF(Q755&lt;&gt;1,0,VLOOKUP(OP!$C$55,PVFB,$S755+2,0))</f>
        <v>0</v>
      </c>
      <c r="AB755" s="488" t="str">
        <f ca="1">IF(AND(S755&lt;OP!$C$24,$U755&lt;15),0,IF(AND($U755&lt;15,$T755=12),ROUND(VLOOKUP($S755,DOWN16,5,0),3),IF($T755=12,ROUND(($Z755/10000)*$AA755,3)+IF(AND($P$7="購買增額繳清保險",T755=12,U755=110),VLOOKUP(S755,$B$10:$H$121,7,0),0),"")))</f>
        <v/>
      </c>
      <c r="AC755" s="350" t="str">
        <f ca="1">IF(AND(S755&lt;OP!$C$24,$U755&lt;15),0,IF(AND($U755&lt;16,$T755=12),VLOOKUP($S755,DOWN16,4,0),IF($T755=12,ROUND(VLOOKUP(OP!$C$55,_DIE2,$S755+1,0)*(Z755/10000),0)+IF(AND($P$7="購買增額繳清保險",T755=12,U755=110),VLOOKUP(S755,$B$10:$H$121,7,0),0),"")))</f>
        <v/>
      </c>
      <c r="AD755" s="347"/>
      <c r="AE755" s="350" t="str">
        <f t="shared" ca="1" si="489"/>
        <v/>
      </c>
      <c r="AF755" s="351" t="str">
        <f t="shared" ca="1" si="490"/>
        <v/>
      </c>
      <c r="AG755" s="340"/>
      <c r="AH755" s="340"/>
      <c r="AI755" s="340"/>
      <c r="AJ755" s="340"/>
      <c r="AK755" s="340"/>
      <c r="AL755" s="340"/>
      <c r="AM755" s="340"/>
      <c r="AN755" s="340"/>
      <c r="AO755" s="340"/>
      <c r="AP755" s="340"/>
      <c r="AQ755" s="340"/>
      <c r="AR755" s="340"/>
      <c r="AS755" s="340"/>
      <c r="AT755" s="340"/>
      <c r="AU755" s="340"/>
      <c r="AV755" s="340"/>
      <c r="AY755" s="340"/>
      <c r="AZ755" s="465">
        <f t="shared" ca="1" si="500"/>
        <v>7.3698599999999999E-5</v>
      </c>
      <c r="BA755" s="464">
        <f t="shared" ca="1" si="501"/>
        <v>2.2109589000000002E-3</v>
      </c>
      <c r="BB755" s="465">
        <f t="shared" ca="1" si="501"/>
        <v>2.2846575E-3</v>
      </c>
      <c r="BC755" s="466">
        <f t="shared" ca="1" si="502"/>
        <v>65593</v>
      </c>
      <c r="BD755" s="467">
        <f t="shared" ca="1" si="515"/>
        <v>65594</v>
      </c>
      <c r="BE755" s="467">
        <f t="shared" ca="1" si="503"/>
        <v>65623</v>
      </c>
      <c r="BF755" s="468">
        <f ca="1">IF(計算!$BC755&lt;OP!$C$3,0,BD755-BC755)</f>
        <v>1</v>
      </c>
      <c r="BG755" s="468">
        <f ca="1">IF($BE755&gt;DATE(YEAR($BD$9)+OP!$C$57,MONTH($BD$9),DAY($BD$9)),0,$BE755-$BD755+1)</f>
        <v>30</v>
      </c>
      <c r="BH755" s="469">
        <f t="shared" ca="1" si="504"/>
        <v>31</v>
      </c>
      <c r="BI755" t="str">
        <f t="shared" si="520"/>
        <v/>
      </c>
      <c r="BJ755">
        <v>2</v>
      </c>
      <c r="BN755" s="468">
        <f t="shared" si="516"/>
        <v>63</v>
      </c>
      <c r="BO755" s="468">
        <f t="shared" si="517"/>
        <v>2</v>
      </c>
      <c r="BP755" s="467">
        <f t="shared" ca="1" si="505"/>
        <v>65594</v>
      </c>
      <c r="BQ755" s="475">
        <f t="shared" ca="1" si="519"/>
        <v>95</v>
      </c>
      <c r="BR755" s="475" t="str">
        <f t="shared" si="518"/>
        <v/>
      </c>
      <c r="BS755" s="471" t="str">
        <f t="shared" si="506"/>
        <v/>
      </c>
      <c r="BT755" s="472" t="str">
        <f t="shared" si="521"/>
        <v/>
      </c>
      <c r="BU755" s="472">
        <f t="shared" ca="1" si="507"/>
        <v>0</v>
      </c>
      <c r="BV755" s="472">
        <f t="shared" ca="1" si="507"/>
        <v>0</v>
      </c>
      <c r="BW755" s="472"/>
      <c r="BX755" s="473">
        <f t="shared" ca="1" si="508"/>
        <v>1493135.3384053099</v>
      </c>
      <c r="BY755" s="473">
        <f t="shared" si="509"/>
        <v>0</v>
      </c>
      <c r="BZ755" s="473">
        <f t="shared" ca="1" si="491"/>
        <v>3411.302849403</v>
      </c>
      <c r="CA755" s="476">
        <f t="shared" ca="1" si="510"/>
        <v>0</v>
      </c>
      <c r="CB755" s="494">
        <f ca="1">IF(OR($Q754&lt;&gt;1,OP!$D$5+$BN755-1&lt;16,$BN755-1&lt;1),0,ROUND(ROUND(ROUND(((VLOOKUP($BN755-1,MORE_PV,5,0)/10000)*VLOOKUP($BN755,MORE_PV,$CB$5,0)),3)*VLOOKUP($BN755,more1,5,0),0)/$R754,0))</f>
        <v>0</v>
      </c>
      <c r="CC755" s="473">
        <f t="shared" ca="1" si="511"/>
        <v>0</v>
      </c>
      <c r="CD755" s="477"/>
    </row>
    <row r="756" spans="2:82" ht="16.5" hidden="1">
      <c r="B756" s="80"/>
      <c r="C756" s="80"/>
      <c r="D756" s="80"/>
      <c r="E756" s="80"/>
      <c r="F756" s="80"/>
      <c r="G756" s="80"/>
      <c r="H756" s="80"/>
      <c r="I756" s="80"/>
      <c r="J756" s="192">
        <f t="shared" si="492"/>
        <v>63</v>
      </c>
      <c r="K756" s="192">
        <f t="shared" si="493"/>
        <v>4</v>
      </c>
      <c r="L756" s="192" t="str">
        <f t="shared" si="488"/>
        <v/>
      </c>
      <c r="M756" s="216">
        <f t="shared" ca="1" si="494"/>
        <v>0</v>
      </c>
      <c r="N756" s="216"/>
      <c r="O756" s="216"/>
      <c r="P756" s="216"/>
      <c r="Q756" s="456" t="str">
        <f t="shared" ca="1" si="495"/>
        <v/>
      </c>
      <c r="R756" s="450">
        <f t="shared" ca="1" si="496"/>
        <v>1</v>
      </c>
      <c r="S756" s="191">
        <f t="shared" si="497"/>
        <v>63</v>
      </c>
      <c r="T756" s="191">
        <f t="shared" si="498"/>
        <v>4</v>
      </c>
      <c r="U756" s="191">
        <f ca="1">OP!$D$5+$S756-1</f>
        <v>95</v>
      </c>
      <c r="V756" s="191" t="str">
        <f t="shared" si="499"/>
        <v/>
      </c>
      <c r="W756" s="350">
        <f ca="1">IF(Q756&lt;&gt;1,0,VLOOKUP(OP!$C$55,PVFB,$S756+2,0))</f>
        <v>0</v>
      </c>
      <c r="X756" s="473">
        <f t="shared" ca="1" si="512"/>
        <v>0</v>
      </c>
      <c r="Y756" s="348">
        <f t="shared" ca="1" si="513"/>
        <v>0</v>
      </c>
      <c r="Z756" s="348">
        <f t="shared" ca="1" si="514"/>
        <v>8012</v>
      </c>
      <c r="AA756" s="348">
        <f ca="1">IF(Q756&lt;&gt;1,0,VLOOKUP(OP!$C$55,PVFB,$S756+2,0))</f>
        <v>0</v>
      </c>
      <c r="AB756" s="488" t="str">
        <f ca="1">IF(AND(S756&lt;OP!$C$24,$U756&lt;15),0,IF(AND($U756&lt;15,$T756=12),ROUND(VLOOKUP($S756,DOWN16,5,0),3),IF($T756=12,ROUND(($Z756/10000)*$AA756,3)+IF(AND($P$7="購買增額繳清保險",T756=12,U756=110),VLOOKUP(S756,$B$10:$H$121,7,0),0),"")))</f>
        <v/>
      </c>
      <c r="AC756" s="350" t="str">
        <f ca="1">IF(AND(S756&lt;OP!$C$24,$U756&lt;15),0,IF(AND($U756&lt;16,$T756=12),VLOOKUP($S756,DOWN16,4,0),IF($T756=12,ROUND(VLOOKUP(OP!$C$55,_DIE2,$S756+1,0)*(Z756/10000),0)+IF(AND($P$7="購買增額繳清保險",T756=12,U756=110),VLOOKUP(S756,$B$10:$H$121,7,0),0),"")))</f>
        <v/>
      </c>
      <c r="AD756" s="347"/>
      <c r="AE756" s="350" t="str">
        <f t="shared" ca="1" si="489"/>
        <v/>
      </c>
      <c r="AF756" s="351" t="str">
        <f t="shared" ca="1" si="490"/>
        <v/>
      </c>
      <c r="AG756" s="340"/>
      <c r="AH756" s="340"/>
      <c r="AI756" s="340"/>
      <c r="AJ756" s="340"/>
      <c r="AK756" s="340"/>
      <c r="AL756" s="340"/>
      <c r="AM756" s="340"/>
      <c r="AN756" s="340"/>
      <c r="AO756" s="340"/>
      <c r="AP756" s="340"/>
      <c r="AQ756" s="340"/>
      <c r="AR756" s="340"/>
      <c r="AS756" s="340"/>
      <c r="AT756" s="340"/>
      <c r="AU756" s="340"/>
      <c r="AV756" s="340"/>
      <c r="AY756" s="340"/>
      <c r="AZ756" s="465">
        <f t="shared" ca="1" si="500"/>
        <v>7.3698599999999999E-5</v>
      </c>
      <c r="BA756" s="464">
        <f t="shared" ca="1" si="501"/>
        <v>2.1372602999999999E-3</v>
      </c>
      <c r="BB756" s="465">
        <f t="shared" ca="1" si="501"/>
        <v>2.2109589000000002E-3</v>
      </c>
      <c r="BC756" s="466">
        <f t="shared" ca="1" si="502"/>
        <v>65624</v>
      </c>
      <c r="BD756" s="467">
        <f t="shared" ca="1" si="515"/>
        <v>65625</v>
      </c>
      <c r="BE756" s="467">
        <f t="shared" ca="1" si="503"/>
        <v>65653</v>
      </c>
      <c r="BF756" s="468">
        <f ca="1">IF(計算!$BC756&lt;OP!$C$3,0,BD756-BC756)</f>
        <v>1</v>
      </c>
      <c r="BG756" s="468">
        <f ca="1">IF($BE756&gt;DATE(YEAR($BD$9)+OP!$C$57,MONTH($BD$9),DAY($BD$9)),0,$BE756-$BD756+1)</f>
        <v>29</v>
      </c>
      <c r="BH756" s="469">
        <f t="shared" ca="1" si="504"/>
        <v>30</v>
      </c>
      <c r="BI756" t="str">
        <f t="shared" si="520"/>
        <v/>
      </c>
      <c r="BJ756">
        <v>3</v>
      </c>
      <c r="BN756" s="468">
        <f t="shared" si="516"/>
        <v>63</v>
      </c>
      <c r="BO756" s="468">
        <f t="shared" si="517"/>
        <v>3</v>
      </c>
      <c r="BP756" s="467">
        <f t="shared" ca="1" si="505"/>
        <v>65625</v>
      </c>
      <c r="BQ756" s="475">
        <f t="shared" ca="1" si="519"/>
        <v>95</v>
      </c>
      <c r="BR756" s="475" t="str">
        <f t="shared" si="518"/>
        <v/>
      </c>
      <c r="BS756" s="471" t="str">
        <f t="shared" si="506"/>
        <v/>
      </c>
      <c r="BT756" s="472" t="str">
        <f t="shared" si="521"/>
        <v/>
      </c>
      <c r="BU756" s="472">
        <f t="shared" ca="1" si="507"/>
        <v>0</v>
      </c>
      <c r="BV756" s="472">
        <f t="shared" ca="1" si="507"/>
        <v>0</v>
      </c>
      <c r="BW756" s="472"/>
      <c r="BX756" s="473">
        <f t="shared" ca="1" si="508"/>
        <v>1496546.64125471</v>
      </c>
      <c r="BY756" s="473">
        <f t="shared" si="509"/>
        <v>0</v>
      </c>
      <c r="BZ756" s="473">
        <f t="shared" ca="1" si="491"/>
        <v>3308.803115747</v>
      </c>
      <c r="CA756" s="476">
        <f t="shared" ca="1" si="510"/>
        <v>0</v>
      </c>
      <c r="CB756" s="494">
        <f ca="1">IF(OR($Q755&lt;&gt;1,OP!$D$5+$BN756-1&lt;16,$BN756-1&lt;1),0,ROUND(ROUND(ROUND(((VLOOKUP($BN756-1,MORE_PV,5,0)/10000)*VLOOKUP($BN756,MORE_PV,$CB$5,0)),3)*VLOOKUP($BN756,more1,5,0),0)/$R755,0))</f>
        <v>0</v>
      </c>
      <c r="CC756" s="473">
        <f t="shared" ca="1" si="511"/>
        <v>0</v>
      </c>
      <c r="CD756" s="477"/>
    </row>
    <row r="757" spans="2:82" ht="16.5" hidden="1">
      <c r="B757" s="80"/>
      <c r="C757" s="80"/>
      <c r="D757" s="80"/>
      <c r="E757" s="80"/>
      <c r="F757" s="80"/>
      <c r="G757" s="80"/>
      <c r="H757" s="80"/>
      <c r="I757" s="80"/>
      <c r="J757" s="192">
        <f t="shared" si="492"/>
        <v>63</v>
      </c>
      <c r="K757" s="192">
        <f t="shared" si="493"/>
        <v>5</v>
      </c>
      <c r="L757" s="192" t="str">
        <f t="shared" si="488"/>
        <v/>
      </c>
      <c r="M757" s="216">
        <f t="shared" ca="1" si="494"/>
        <v>0</v>
      </c>
      <c r="N757" s="216"/>
      <c r="O757" s="216"/>
      <c r="P757" s="216"/>
      <c r="Q757" s="456" t="str">
        <f t="shared" ca="1" si="495"/>
        <v/>
      </c>
      <c r="R757" s="450">
        <f t="shared" ca="1" si="496"/>
        <v>1</v>
      </c>
      <c r="S757" s="191">
        <f t="shared" si="497"/>
        <v>63</v>
      </c>
      <c r="T757" s="191">
        <f t="shared" si="498"/>
        <v>5</v>
      </c>
      <c r="U757" s="191">
        <f ca="1">OP!$D$5+$S757-1</f>
        <v>95</v>
      </c>
      <c r="V757" s="191" t="str">
        <f t="shared" si="499"/>
        <v/>
      </c>
      <c r="W757" s="350">
        <f ca="1">IF(Q757&lt;&gt;1,0,VLOOKUP(OP!$C$55,PVFB,$S757+2,0))</f>
        <v>0</v>
      </c>
      <c r="X757" s="473">
        <f t="shared" ca="1" si="512"/>
        <v>0</v>
      </c>
      <c r="Y757" s="348">
        <f t="shared" ca="1" si="513"/>
        <v>0</v>
      </c>
      <c r="Z757" s="348">
        <f t="shared" ca="1" si="514"/>
        <v>8012</v>
      </c>
      <c r="AA757" s="348">
        <f ca="1">IF(Q757&lt;&gt;1,0,VLOOKUP(OP!$C$55,PVFB,$S757+2,0))</f>
        <v>0</v>
      </c>
      <c r="AB757" s="488" t="str">
        <f ca="1">IF(AND(S757&lt;OP!$C$24,$U757&lt;15),0,IF(AND($U757&lt;15,$T757=12),ROUND(VLOOKUP($S757,DOWN16,5,0),3),IF($T757=12,ROUND(($Z757/10000)*$AA757,3)+IF(AND($P$7="購買增額繳清保險",T757=12,U757=110),VLOOKUP(S757,$B$10:$H$121,7,0),0),"")))</f>
        <v/>
      </c>
      <c r="AC757" s="350" t="str">
        <f ca="1">IF(AND(S757&lt;OP!$C$24,$U757&lt;15),0,IF(AND($U757&lt;16,$T757=12),VLOOKUP($S757,DOWN16,4,0),IF($T757=12,ROUND(VLOOKUP(OP!$C$55,_DIE2,$S757+1,0)*(Z757/10000),0)+IF(AND($P$7="購買增額繳清保險",T757=12,U757=110),VLOOKUP(S757,$B$10:$H$121,7,0),0),"")))</f>
        <v/>
      </c>
      <c r="AD757" s="347"/>
      <c r="AE757" s="350" t="str">
        <f t="shared" ca="1" si="489"/>
        <v/>
      </c>
      <c r="AF757" s="351" t="str">
        <f t="shared" ca="1" si="490"/>
        <v/>
      </c>
      <c r="AG757" s="340"/>
      <c r="AH757" s="340"/>
      <c r="AI757" s="340"/>
      <c r="AJ757" s="340"/>
      <c r="AK757" s="340"/>
      <c r="AL757" s="340"/>
      <c r="AM757" s="340"/>
      <c r="AN757" s="340"/>
      <c r="AO757" s="340"/>
      <c r="AP757" s="340"/>
      <c r="AQ757" s="340"/>
      <c r="AR757" s="340"/>
      <c r="AS757" s="340"/>
      <c r="AT757" s="340"/>
      <c r="AU757" s="340"/>
      <c r="AV757" s="340"/>
      <c r="AY757" s="340"/>
      <c r="AZ757" s="465">
        <f t="shared" ca="1" si="500"/>
        <v>7.3698599999999999E-5</v>
      </c>
      <c r="BA757" s="464">
        <f t="shared" ca="1" si="501"/>
        <v>2.2109589000000002E-3</v>
      </c>
      <c r="BB757" s="465">
        <f t="shared" ca="1" si="501"/>
        <v>2.2846575E-3</v>
      </c>
      <c r="BC757" s="466">
        <f t="shared" ca="1" si="502"/>
        <v>65654</v>
      </c>
      <c r="BD757" s="467">
        <f t="shared" ca="1" si="515"/>
        <v>65655</v>
      </c>
      <c r="BE757" s="467">
        <f t="shared" ca="1" si="503"/>
        <v>65684</v>
      </c>
      <c r="BF757" s="468">
        <f ca="1">IF(計算!$BC757&lt;OP!$C$3,0,BD757-BC757)</f>
        <v>1</v>
      </c>
      <c r="BG757" s="468">
        <f ca="1">IF($BE757&gt;DATE(YEAR($BD$9)+OP!$C$57,MONTH($BD$9),DAY($BD$9)),0,$BE757-$BD757+1)</f>
        <v>30</v>
      </c>
      <c r="BH757" s="469">
        <f t="shared" ca="1" si="504"/>
        <v>31</v>
      </c>
      <c r="BI757" t="str">
        <f t="shared" si="520"/>
        <v/>
      </c>
      <c r="BJ757">
        <v>4</v>
      </c>
      <c r="BN757" s="468">
        <f t="shared" si="516"/>
        <v>63</v>
      </c>
      <c r="BO757" s="468">
        <f t="shared" si="517"/>
        <v>4</v>
      </c>
      <c r="BP757" s="467">
        <f t="shared" ca="1" si="505"/>
        <v>65655</v>
      </c>
      <c r="BQ757" s="475">
        <f t="shared" ca="1" si="519"/>
        <v>95</v>
      </c>
      <c r="BR757" s="475" t="str">
        <f t="shared" si="518"/>
        <v/>
      </c>
      <c r="BS757" s="471" t="str">
        <f t="shared" si="506"/>
        <v/>
      </c>
      <c r="BT757" s="472" t="str">
        <f t="shared" si="521"/>
        <v/>
      </c>
      <c r="BU757" s="472">
        <f t="shared" ca="1" si="507"/>
        <v>0</v>
      </c>
      <c r="BV757" s="472">
        <f t="shared" ca="1" si="507"/>
        <v>0</v>
      </c>
      <c r="BW757" s="472"/>
      <c r="BX757" s="473">
        <f t="shared" ca="1" si="508"/>
        <v>1499855.44437046</v>
      </c>
      <c r="BY757" s="473">
        <f t="shared" si="509"/>
        <v>0</v>
      </c>
      <c r="BZ757" s="473">
        <f t="shared" ca="1" si="491"/>
        <v>3426.6559898969999</v>
      </c>
      <c r="CA757" s="476">
        <f t="shared" ca="1" si="510"/>
        <v>0</v>
      </c>
      <c r="CB757" s="494">
        <f ca="1">IF(OR($Q756&lt;&gt;1,OP!$D$5+$BN757-1&lt;16,$BN757-1&lt;1),0,ROUND(ROUND(ROUND(((VLOOKUP($BN757-1,MORE_PV,5,0)/10000)*VLOOKUP($BN757,MORE_PV,$CB$5,0)),3)*VLOOKUP($BN757,more1,5,0),0)/$R756,0))</f>
        <v>0</v>
      </c>
      <c r="CC757" s="473">
        <f t="shared" ca="1" si="511"/>
        <v>0</v>
      </c>
      <c r="CD757" s="477"/>
    </row>
    <row r="758" spans="2:82" ht="16.5" hidden="1">
      <c r="B758" s="80"/>
      <c r="C758" s="80"/>
      <c r="D758" s="80"/>
      <c r="E758" s="80"/>
      <c r="F758" s="80"/>
      <c r="G758" s="80"/>
      <c r="H758" s="80"/>
      <c r="I758" s="80"/>
      <c r="J758" s="192">
        <f t="shared" si="492"/>
        <v>63</v>
      </c>
      <c r="K758" s="192">
        <f t="shared" si="493"/>
        <v>6</v>
      </c>
      <c r="L758" s="192" t="str">
        <f t="shared" si="488"/>
        <v/>
      </c>
      <c r="M758" s="216">
        <f t="shared" ca="1" si="494"/>
        <v>0</v>
      </c>
      <c r="N758" s="216"/>
      <c r="O758" s="216"/>
      <c r="P758" s="216"/>
      <c r="Q758" s="456" t="str">
        <f t="shared" ca="1" si="495"/>
        <v/>
      </c>
      <c r="R758" s="450">
        <f t="shared" ca="1" si="496"/>
        <v>1</v>
      </c>
      <c r="S758" s="191">
        <f t="shared" si="497"/>
        <v>63</v>
      </c>
      <c r="T758" s="191">
        <f t="shared" si="498"/>
        <v>6</v>
      </c>
      <c r="U758" s="191">
        <f ca="1">OP!$D$5+$S758-1</f>
        <v>95</v>
      </c>
      <c r="V758" s="191" t="str">
        <f t="shared" si="499"/>
        <v/>
      </c>
      <c r="W758" s="350">
        <f ca="1">IF(Q758&lt;&gt;1,0,VLOOKUP(OP!$C$55,PVFB,$S758+2,0))</f>
        <v>0</v>
      </c>
      <c r="X758" s="473">
        <f t="shared" ca="1" si="512"/>
        <v>0</v>
      </c>
      <c r="Y758" s="348">
        <f t="shared" ca="1" si="513"/>
        <v>0</v>
      </c>
      <c r="Z758" s="348">
        <f t="shared" ca="1" si="514"/>
        <v>8012</v>
      </c>
      <c r="AA758" s="348">
        <f ca="1">IF(Q758&lt;&gt;1,0,VLOOKUP(OP!$C$55,PVFB,$S758+2,0))</f>
        <v>0</v>
      </c>
      <c r="AB758" s="488" t="str">
        <f ca="1">IF(AND(S758&lt;OP!$C$24,$U758&lt;15),0,IF(AND($U758&lt;15,$T758=12),ROUND(VLOOKUP($S758,DOWN16,5,0),3),IF($T758=12,ROUND(($Z758/10000)*$AA758,3)+IF(AND($P$7="購買增額繳清保險",T758=12,U758=110),VLOOKUP(S758,$B$10:$H$121,7,0),0),"")))</f>
        <v/>
      </c>
      <c r="AC758" s="350" t="str">
        <f ca="1">IF(AND(S758&lt;OP!$C$24,$U758&lt;15),0,IF(AND($U758&lt;16,$T758=12),VLOOKUP($S758,DOWN16,4,0),IF($T758=12,ROUND(VLOOKUP(OP!$C$55,_DIE2,$S758+1,0)*(Z758/10000),0)+IF(AND($P$7="購買增額繳清保險",T758=12,U758=110),VLOOKUP(S758,$B$10:$H$121,7,0),0),"")))</f>
        <v/>
      </c>
      <c r="AD758" s="347"/>
      <c r="AE758" s="350" t="str">
        <f t="shared" ca="1" si="489"/>
        <v/>
      </c>
      <c r="AF758" s="351" t="str">
        <f t="shared" ca="1" si="490"/>
        <v/>
      </c>
      <c r="AG758" s="340"/>
      <c r="AH758" s="340"/>
      <c r="AI758" s="340"/>
      <c r="AJ758" s="340"/>
      <c r="AK758" s="340"/>
      <c r="AL758" s="340"/>
      <c r="AM758" s="340"/>
      <c r="AN758" s="340"/>
      <c r="AO758" s="340"/>
      <c r="AP758" s="340"/>
      <c r="AQ758" s="340"/>
      <c r="AR758" s="340"/>
      <c r="AS758" s="340"/>
      <c r="AT758" s="340"/>
      <c r="AU758" s="340"/>
      <c r="AV758" s="340"/>
      <c r="AY758" s="340"/>
      <c r="AZ758" s="465">
        <f t="shared" ca="1" si="500"/>
        <v>7.3698599999999999E-5</v>
      </c>
      <c r="BA758" s="464">
        <f t="shared" ca="1" si="501"/>
        <v>2.1372602999999999E-3</v>
      </c>
      <c r="BB758" s="465">
        <f t="shared" ca="1" si="501"/>
        <v>2.2109589000000002E-3</v>
      </c>
      <c r="BC758" s="466">
        <f t="shared" ca="1" si="502"/>
        <v>65685</v>
      </c>
      <c r="BD758" s="467">
        <f t="shared" ca="1" si="515"/>
        <v>65686</v>
      </c>
      <c r="BE758" s="467">
        <f t="shared" ca="1" si="503"/>
        <v>65714</v>
      </c>
      <c r="BF758" s="468">
        <f ca="1">IF(計算!$BC758&lt;OP!$C$3,0,BD758-BC758)</f>
        <v>1</v>
      </c>
      <c r="BG758" s="468">
        <f ca="1">IF($BE758&gt;DATE(YEAR($BD$9)+OP!$C$57,MONTH($BD$9),DAY($BD$9)),0,$BE758-$BD758+1)</f>
        <v>29</v>
      </c>
      <c r="BH758" s="469">
        <f t="shared" ca="1" si="504"/>
        <v>30</v>
      </c>
      <c r="BI758" t="str">
        <f t="shared" si="520"/>
        <v/>
      </c>
      <c r="BJ758">
        <v>5</v>
      </c>
      <c r="BN758" s="468">
        <f t="shared" si="516"/>
        <v>63</v>
      </c>
      <c r="BO758" s="468">
        <f t="shared" si="517"/>
        <v>5</v>
      </c>
      <c r="BP758" s="467">
        <f t="shared" ca="1" si="505"/>
        <v>65686</v>
      </c>
      <c r="BQ758" s="475">
        <f t="shared" ca="1" si="519"/>
        <v>95</v>
      </c>
      <c r="BR758" s="475" t="str">
        <f t="shared" si="518"/>
        <v/>
      </c>
      <c r="BS758" s="471" t="str">
        <f t="shared" si="506"/>
        <v/>
      </c>
      <c r="BT758" s="472" t="str">
        <f t="shared" si="521"/>
        <v/>
      </c>
      <c r="BU758" s="472">
        <f t="shared" ca="1" si="507"/>
        <v>0</v>
      </c>
      <c r="BV758" s="472">
        <f t="shared" ca="1" si="507"/>
        <v>0</v>
      </c>
      <c r="BW758" s="472"/>
      <c r="BX758" s="473">
        <f t="shared" ca="1" si="508"/>
        <v>1503282.10036036</v>
      </c>
      <c r="BY758" s="473">
        <f t="shared" si="509"/>
        <v>0</v>
      </c>
      <c r="BZ758" s="473">
        <f t="shared" ca="1" si="491"/>
        <v>3323.694939002</v>
      </c>
      <c r="CA758" s="476">
        <f t="shared" ca="1" si="510"/>
        <v>0</v>
      </c>
      <c r="CB758" s="494">
        <f ca="1">IF(OR($Q757&lt;&gt;1,OP!$D$5+$BN758-1&lt;16,$BN758-1&lt;1),0,ROUND(ROUND(ROUND(((VLOOKUP($BN758-1,MORE_PV,5,0)/10000)*VLOOKUP($BN758,MORE_PV,$CB$5,0)),3)*VLOOKUP($BN758,more1,5,0),0)/$R757,0))</f>
        <v>0</v>
      </c>
      <c r="CC758" s="473">
        <f t="shared" ca="1" si="511"/>
        <v>0</v>
      </c>
      <c r="CD758" s="477"/>
    </row>
    <row r="759" spans="2:82" ht="16.5" hidden="1">
      <c r="B759" s="80"/>
      <c r="C759" s="80"/>
      <c r="D759" s="80"/>
      <c r="E759" s="80"/>
      <c r="F759" s="80"/>
      <c r="G759" s="80"/>
      <c r="H759" s="80"/>
      <c r="I759" s="80"/>
      <c r="J759" s="192">
        <f t="shared" si="492"/>
        <v>63</v>
      </c>
      <c r="K759" s="192">
        <f t="shared" si="493"/>
        <v>7</v>
      </c>
      <c r="L759" s="192" t="str">
        <f t="shared" si="488"/>
        <v/>
      </c>
      <c r="M759" s="216">
        <f t="shared" ca="1" si="494"/>
        <v>0</v>
      </c>
      <c r="N759" s="216"/>
      <c r="O759" s="216"/>
      <c r="P759" s="216"/>
      <c r="Q759" s="456" t="str">
        <f t="shared" ca="1" si="495"/>
        <v/>
      </c>
      <c r="R759" s="450">
        <f t="shared" ca="1" si="496"/>
        <v>1</v>
      </c>
      <c r="S759" s="191">
        <f t="shared" si="497"/>
        <v>63</v>
      </c>
      <c r="T759" s="191">
        <f t="shared" si="498"/>
        <v>7</v>
      </c>
      <c r="U759" s="191">
        <f ca="1">OP!$D$5+$S759-1</f>
        <v>95</v>
      </c>
      <c r="V759" s="191" t="str">
        <f t="shared" si="499"/>
        <v/>
      </c>
      <c r="W759" s="350">
        <f ca="1">IF(Q759&lt;&gt;1,0,VLOOKUP(OP!$C$55,PVFB,$S759+2,0))</f>
        <v>0</v>
      </c>
      <c r="X759" s="473">
        <f t="shared" ca="1" si="512"/>
        <v>0</v>
      </c>
      <c r="Y759" s="348">
        <f t="shared" ca="1" si="513"/>
        <v>0</v>
      </c>
      <c r="Z759" s="348">
        <f t="shared" ca="1" si="514"/>
        <v>8012</v>
      </c>
      <c r="AA759" s="348">
        <f ca="1">IF(Q759&lt;&gt;1,0,VLOOKUP(OP!$C$55,PVFB,$S759+2,0))</f>
        <v>0</v>
      </c>
      <c r="AB759" s="488" t="str">
        <f ca="1">IF(AND(S759&lt;OP!$C$24,$U759&lt;15),0,IF(AND($U759&lt;15,$T759=12),ROUND(VLOOKUP($S759,DOWN16,5,0),3),IF($T759=12,ROUND(($Z759/10000)*$AA759,3)+IF(AND($P$7="購買增額繳清保險",T759=12,U759=110),VLOOKUP(S759,$B$10:$H$121,7,0),0),"")))</f>
        <v/>
      </c>
      <c r="AC759" s="350" t="str">
        <f ca="1">IF(AND(S759&lt;OP!$C$24,$U759&lt;15),0,IF(AND($U759&lt;16,$T759=12),VLOOKUP($S759,DOWN16,4,0),IF($T759=12,ROUND(VLOOKUP(OP!$C$55,_DIE2,$S759+1,0)*(Z759/10000),0)+IF(AND($P$7="購買增額繳清保險",T759=12,U759=110),VLOOKUP(S759,$B$10:$H$121,7,0),0),"")))</f>
        <v/>
      </c>
      <c r="AD759" s="347"/>
      <c r="AE759" s="350" t="str">
        <f t="shared" ca="1" si="489"/>
        <v/>
      </c>
      <c r="AF759" s="351" t="str">
        <f t="shared" ca="1" si="490"/>
        <v/>
      </c>
      <c r="AG759" s="340"/>
      <c r="AH759" s="340"/>
      <c r="AI759" s="340"/>
      <c r="AJ759" s="340"/>
      <c r="AK759" s="340"/>
      <c r="AL759" s="340"/>
      <c r="AM759" s="340"/>
      <c r="AN759" s="340"/>
      <c r="AO759" s="340"/>
      <c r="AP759" s="340"/>
      <c r="AQ759" s="340"/>
      <c r="AR759" s="340"/>
      <c r="AS759" s="340"/>
      <c r="AT759" s="340"/>
      <c r="AU759" s="340"/>
      <c r="AV759" s="340"/>
      <c r="AY759" s="340"/>
      <c r="AZ759" s="465">
        <f t="shared" ca="1" si="500"/>
        <v>7.3698599999999999E-5</v>
      </c>
      <c r="BA759" s="464">
        <f t="shared" ca="1" si="501"/>
        <v>2.2109589000000002E-3</v>
      </c>
      <c r="BB759" s="465">
        <f t="shared" ca="1" si="501"/>
        <v>2.2846575E-3</v>
      </c>
      <c r="BC759" s="466">
        <f t="shared" ca="1" si="502"/>
        <v>65715</v>
      </c>
      <c r="BD759" s="467">
        <f t="shared" ca="1" si="515"/>
        <v>65716</v>
      </c>
      <c r="BE759" s="467">
        <f t="shared" ca="1" si="503"/>
        <v>65745</v>
      </c>
      <c r="BF759" s="468">
        <f ca="1">IF(計算!$BC759&lt;OP!$C$3,0,BD759-BC759)</f>
        <v>1</v>
      </c>
      <c r="BG759" s="468">
        <f ca="1">IF($BE759&gt;DATE(YEAR($BD$9)+OP!$C$57,MONTH($BD$9),DAY($BD$9)),0,$BE759-$BD759+1)</f>
        <v>30</v>
      </c>
      <c r="BH759" s="469">
        <f t="shared" ca="1" si="504"/>
        <v>31</v>
      </c>
      <c r="BI759" t="str">
        <f t="shared" si="520"/>
        <v/>
      </c>
      <c r="BJ759">
        <v>6</v>
      </c>
      <c r="BN759" s="468">
        <f t="shared" si="516"/>
        <v>63</v>
      </c>
      <c r="BO759" s="468">
        <f t="shared" si="517"/>
        <v>6</v>
      </c>
      <c r="BP759" s="467">
        <f t="shared" ca="1" si="505"/>
        <v>65716</v>
      </c>
      <c r="BQ759" s="475">
        <f t="shared" ca="1" si="519"/>
        <v>95</v>
      </c>
      <c r="BR759" s="475" t="str">
        <f t="shared" si="518"/>
        <v/>
      </c>
      <c r="BS759" s="471" t="str">
        <f t="shared" si="506"/>
        <v/>
      </c>
      <c r="BT759" s="472" t="str">
        <f t="shared" si="521"/>
        <v/>
      </c>
      <c r="BU759" s="472">
        <f t="shared" ca="1" si="507"/>
        <v>0</v>
      </c>
      <c r="BV759" s="472">
        <f t="shared" ca="1" si="507"/>
        <v>0</v>
      </c>
      <c r="BW759" s="472"/>
      <c r="BX759" s="473">
        <f t="shared" ca="1" si="508"/>
        <v>1506605.7952993601</v>
      </c>
      <c r="BY759" s="473">
        <f t="shared" si="509"/>
        <v>0</v>
      </c>
      <c r="BZ759" s="473">
        <f t="shared" ca="1" si="491"/>
        <v>3442.0782297740002</v>
      </c>
      <c r="CA759" s="476">
        <f t="shared" ca="1" si="510"/>
        <v>0</v>
      </c>
      <c r="CB759" s="494">
        <f ca="1">IF(OR($Q758&lt;&gt;1,OP!$D$5+$BN759-1&lt;16,$BN759-1&lt;1),0,ROUND(ROUND(ROUND(((VLOOKUP($BN759-1,MORE_PV,5,0)/10000)*VLOOKUP($BN759,MORE_PV,$CB$5,0)),3)*VLOOKUP($BN759,more1,5,0),0)/$R758,0))</f>
        <v>0</v>
      </c>
      <c r="CC759" s="473">
        <f t="shared" ca="1" si="511"/>
        <v>0</v>
      </c>
      <c r="CD759" s="477"/>
    </row>
    <row r="760" spans="2:82" ht="16.5" hidden="1">
      <c r="B760" s="80"/>
      <c r="C760" s="80"/>
      <c r="D760" s="80"/>
      <c r="E760" s="80"/>
      <c r="F760" s="80"/>
      <c r="G760" s="80"/>
      <c r="H760" s="80"/>
      <c r="I760" s="80"/>
      <c r="J760" s="192">
        <f t="shared" si="492"/>
        <v>63</v>
      </c>
      <c r="K760" s="192">
        <f t="shared" si="493"/>
        <v>8</v>
      </c>
      <c r="L760" s="192" t="str">
        <f t="shared" si="488"/>
        <v/>
      </c>
      <c r="M760" s="216">
        <f t="shared" ca="1" si="494"/>
        <v>0</v>
      </c>
      <c r="N760" s="216"/>
      <c r="O760" s="216"/>
      <c r="P760" s="216"/>
      <c r="Q760" s="456" t="str">
        <f t="shared" ca="1" si="495"/>
        <v/>
      </c>
      <c r="R760" s="450">
        <f t="shared" ca="1" si="496"/>
        <v>1</v>
      </c>
      <c r="S760" s="191">
        <f t="shared" si="497"/>
        <v>63</v>
      </c>
      <c r="T760" s="191">
        <f t="shared" si="498"/>
        <v>8</v>
      </c>
      <c r="U760" s="191">
        <f ca="1">OP!$D$5+$S760-1</f>
        <v>95</v>
      </c>
      <c r="V760" s="191" t="str">
        <f t="shared" si="499"/>
        <v/>
      </c>
      <c r="W760" s="350">
        <f ca="1">IF(Q760&lt;&gt;1,0,VLOOKUP(OP!$C$55,PVFB,$S760+2,0))</f>
        <v>0</v>
      </c>
      <c r="X760" s="473">
        <f t="shared" ca="1" si="512"/>
        <v>0</v>
      </c>
      <c r="Y760" s="348">
        <f t="shared" ca="1" si="513"/>
        <v>0</v>
      </c>
      <c r="Z760" s="348">
        <f t="shared" ca="1" si="514"/>
        <v>8012</v>
      </c>
      <c r="AA760" s="348">
        <f ca="1">IF(Q760&lt;&gt;1,0,VLOOKUP(OP!$C$55,PVFB,$S760+2,0))</f>
        <v>0</v>
      </c>
      <c r="AB760" s="488" t="str">
        <f ca="1">IF(AND(S760&lt;OP!$C$24,$U760&lt;15),0,IF(AND($U760&lt;15,$T760=12),ROUND(VLOOKUP($S760,DOWN16,5,0),3),IF($T760=12,ROUND(($Z760/10000)*$AA760,3)+IF(AND($P$7="購買增額繳清保險",T760=12,U760=110),VLOOKUP(S760,$B$10:$H$121,7,0),0),"")))</f>
        <v/>
      </c>
      <c r="AC760" s="350" t="str">
        <f ca="1">IF(AND(S760&lt;OP!$C$24,$U760&lt;15),0,IF(AND($U760&lt;16,$T760=12),VLOOKUP($S760,DOWN16,4,0),IF($T760=12,ROUND(VLOOKUP(OP!$C$55,_DIE2,$S760+1,0)*(Z760/10000),0)+IF(AND($P$7="購買增額繳清保險",T760=12,U760=110),VLOOKUP(S760,$B$10:$H$121,7,0),0),"")))</f>
        <v/>
      </c>
      <c r="AD760" s="347"/>
      <c r="AE760" s="350" t="str">
        <f t="shared" ca="1" si="489"/>
        <v/>
      </c>
      <c r="AF760" s="351" t="str">
        <f t="shared" ca="1" si="490"/>
        <v/>
      </c>
      <c r="AG760" s="340"/>
      <c r="AH760" s="340"/>
      <c r="AI760" s="340"/>
      <c r="AJ760" s="340"/>
      <c r="AK760" s="340"/>
      <c r="AL760" s="340"/>
      <c r="AM760" s="340"/>
      <c r="AN760" s="340"/>
      <c r="AO760" s="340"/>
      <c r="AP760" s="340"/>
      <c r="AQ760" s="340"/>
      <c r="AR760" s="340"/>
      <c r="AS760" s="340"/>
      <c r="AT760" s="340"/>
      <c r="AU760" s="340"/>
      <c r="AV760" s="340"/>
      <c r="AY760" s="340"/>
      <c r="AZ760" s="465">
        <f t="shared" ca="1" si="500"/>
        <v>7.3698599999999999E-5</v>
      </c>
      <c r="BA760" s="464">
        <f t="shared" ca="1" si="501"/>
        <v>2.2109589000000002E-3</v>
      </c>
      <c r="BB760" s="465">
        <f t="shared" ca="1" si="501"/>
        <v>2.2846575E-3</v>
      </c>
      <c r="BC760" s="466">
        <f t="shared" ca="1" si="502"/>
        <v>65746</v>
      </c>
      <c r="BD760" s="467">
        <f t="shared" ca="1" si="515"/>
        <v>65747</v>
      </c>
      <c r="BE760" s="467">
        <f t="shared" ca="1" si="503"/>
        <v>65776</v>
      </c>
      <c r="BF760" s="468">
        <f ca="1">IF(計算!$BC760&lt;OP!$C$3,0,BD760-BC760)</f>
        <v>1</v>
      </c>
      <c r="BG760" s="468">
        <f ca="1">IF($BE760&gt;DATE(YEAR($BD$9)+OP!$C$57,MONTH($BD$9),DAY($BD$9)),0,$BE760-$BD760+1)</f>
        <v>30</v>
      </c>
      <c r="BH760" s="469">
        <f t="shared" ca="1" si="504"/>
        <v>31</v>
      </c>
      <c r="BI760" t="str">
        <f t="shared" si="520"/>
        <v/>
      </c>
      <c r="BJ760">
        <v>7</v>
      </c>
      <c r="BN760" s="468">
        <f t="shared" si="516"/>
        <v>63</v>
      </c>
      <c r="BO760" s="468">
        <f t="shared" si="517"/>
        <v>7</v>
      </c>
      <c r="BP760" s="467">
        <f t="shared" ca="1" si="505"/>
        <v>65747</v>
      </c>
      <c r="BQ760" s="475">
        <f t="shared" ca="1" si="519"/>
        <v>95</v>
      </c>
      <c r="BR760" s="475" t="str">
        <f t="shared" si="518"/>
        <v/>
      </c>
      <c r="BS760" s="471" t="str">
        <f t="shared" si="506"/>
        <v/>
      </c>
      <c r="BT760" s="472" t="str">
        <f t="shared" si="521"/>
        <v/>
      </c>
      <c r="BU760" s="472">
        <f t="shared" ca="1" si="507"/>
        <v>0</v>
      </c>
      <c r="BV760" s="472">
        <f t="shared" ca="1" si="507"/>
        <v>0</v>
      </c>
      <c r="BW760" s="472"/>
      <c r="BX760" s="473">
        <f t="shared" ca="1" si="508"/>
        <v>1510047.8735291299</v>
      </c>
      <c r="BY760" s="473">
        <f t="shared" si="509"/>
        <v>0</v>
      </c>
      <c r="BZ760" s="473">
        <f t="shared" ca="1" si="491"/>
        <v>3449.9421996169999</v>
      </c>
      <c r="CA760" s="476">
        <f t="shared" ca="1" si="510"/>
        <v>0</v>
      </c>
      <c r="CB760" s="494">
        <f ca="1">IF(OR($Q759&lt;&gt;1,OP!$D$5+$BN760-1&lt;16,$BN760-1&lt;1),0,ROUND(ROUND(ROUND(((VLOOKUP($BN760-1,MORE_PV,5,0)/10000)*VLOOKUP($BN760,MORE_PV,$CB$5,0)),3)*VLOOKUP($BN760,more1,5,0),0)/$R759,0))</f>
        <v>0</v>
      </c>
      <c r="CC760" s="473">
        <f t="shared" ca="1" si="511"/>
        <v>0</v>
      </c>
      <c r="CD760" s="477"/>
    </row>
    <row r="761" spans="2:82" ht="16.5" hidden="1">
      <c r="B761" s="80"/>
      <c r="C761" s="80"/>
      <c r="D761" s="80"/>
      <c r="E761" s="80"/>
      <c r="F761" s="80"/>
      <c r="G761" s="80"/>
      <c r="H761" s="80"/>
      <c r="I761" s="80"/>
      <c r="J761" s="192">
        <f t="shared" si="492"/>
        <v>63</v>
      </c>
      <c r="K761" s="192">
        <f t="shared" si="493"/>
        <v>9</v>
      </c>
      <c r="L761" s="192" t="str">
        <f t="shared" si="488"/>
        <v/>
      </c>
      <c r="M761" s="216">
        <f t="shared" ca="1" si="494"/>
        <v>0</v>
      </c>
      <c r="N761" s="216"/>
      <c r="O761" s="216"/>
      <c r="P761" s="216"/>
      <c r="Q761" s="456" t="str">
        <f t="shared" ca="1" si="495"/>
        <v/>
      </c>
      <c r="R761" s="450">
        <f t="shared" ca="1" si="496"/>
        <v>1</v>
      </c>
      <c r="S761" s="191">
        <f t="shared" si="497"/>
        <v>63</v>
      </c>
      <c r="T761" s="191">
        <f t="shared" si="498"/>
        <v>9</v>
      </c>
      <c r="U761" s="191">
        <f ca="1">OP!$D$5+$S761-1</f>
        <v>95</v>
      </c>
      <c r="V761" s="191" t="str">
        <f t="shared" si="499"/>
        <v/>
      </c>
      <c r="W761" s="350">
        <f ca="1">IF(Q761&lt;&gt;1,0,VLOOKUP(OP!$C$55,PVFB,$S761+2,0))</f>
        <v>0</v>
      </c>
      <c r="X761" s="473">
        <f t="shared" ca="1" si="512"/>
        <v>0</v>
      </c>
      <c r="Y761" s="348">
        <f t="shared" ca="1" si="513"/>
        <v>0</v>
      </c>
      <c r="Z761" s="348">
        <f t="shared" ca="1" si="514"/>
        <v>8012</v>
      </c>
      <c r="AA761" s="348">
        <f ca="1">IF(Q761&lt;&gt;1,0,VLOOKUP(OP!$C$55,PVFB,$S761+2,0))</f>
        <v>0</v>
      </c>
      <c r="AB761" s="488" t="str">
        <f ca="1">IF(AND(S761&lt;OP!$C$24,$U761&lt;15),0,IF(AND($U761&lt;15,$T761=12),ROUND(VLOOKUP($S761,DOWN16,5,0),3),IF($T761=12,ROUND(($Z761/10000)*$AA761,3)+IF(AND($P$7="購買增額繳清保險",T761=12,U761=110),VLOOKUP(S761,$B$10:$H$121,7,0),0),"")))</f>
        <v/>
      </c>
      <c r="AC761" s="350" t="str">
        <f ca="1">IF(AND(S761&lt;OP!$C$24,$U761&lt;15),0,IF(AND($U761&lt;16,$T761=12),VLOOKUP($S761,DOWN16,4,0),IF($T761=12,ROUND(VLOOKUP(OP!$C$55,_DIE2,$S761+1,0)*(Z761/10000),0)+IF(AND($P$7="購買增額繳清保險",T761=12,U761=110),VLOOKUP(S761,$B$10:$H$121,7,0),0),"")))</f>
        <v/>
      </c>
      <c r="AD761" s="347"/>
      <c r="AE761" s="350" t="str">
        <f t="shared" ca="1" si="489"/>
        <v/>
      </c>
      <c r="AF761" s="351" t="str">
        <f t="shared" ca="1" si="490"/>
        <v/>
      </c>
      <c r="AG761" s="340"/>
      <c r="AH761" s="340"/>
      <c r="AI761" s="340"/>
      <c r="AJ761" s="340"/>
      <c r="AK761" s="340"/>
      <c r="AL761" s="340"/>
      <c r="AM761" s="340"/>
      <c r="AN761" s="340"/>
      <c r="AO761" s="340"/>
      <c r="AP761" s="340"/>
      <c r="AQ761" s="340"/>
      <c r="AR761" s="340"/>
      <c r="AS761" s="340"/>
      <c r="AT761" s="340"/>
      <c r="AU761" s="340"/>
      <c r="AV761" s="340"/>
      <c r="AY761" s="340"/>
      <c r="AZ761" s="465">
        <f t="shared" ca="1" si="500"/>
        <v>7.3698599999999999E-5</v>
      </c>
      <c r="BA761" s="464">
        <f t="shared" ca="1" si="501"/>
        <v>2.0635616E-3</v>
      </c>
      <c r="BB761" s="465">
        <f t="shared" ca="1" si="501"/>
        <v>2.1372602999999999E-3</v>
      </c>
      <c r="BC761" s="466">
        <f t="shared" ca="1" si="502"/>
        <v>65777</v>
      </c>
      <c r="BD761" s="467">
        <f t="shared" ca="1" si="515"/>
        <v>65778</v>
      </c>
      <c r="BE761" s="467">
        <f t="shared" ca="1" si="503"/>
        <v>65805</v>
      </c>
      <c r="BF761" s="468">
        <f ca="1">IF(計算!$BC761&lt;OP!$C$3,0,BD761-BC761)</f>
        <v>1</v>
      </c>
      <c r="BG761" s="468">
        <f ca="1">IF($BE761&gt;DATE(YEAR($BD$9)+OP!$C$57,MONTH($BD$9),DAY($BD$9)),0,$BE761-$BD761+1)</f>
        <v>28</v>
      </c>
      <c r="BH761" s="469">
        <f t="shared" ca="1" si="504"/>
        <v>29</v>
      </c>
      <c r="BI761" t="str">
        <f t="shared" si="520"/>
        <v/>
      </c>
      <c r="BJ761">
        <v>8</v>
      </c>
      <c r="BN761" s="468">
        <f t="shared" si="516"/>
        <v>63</v>
      </c>
      <c r="BO761" s="468">
        <f t="shared" si="517"/>
        <v>8</v>
      </c>
      <c r="BP761" s="467">
        <f t="shared" ca="1" si="505"/>
        <v>65778</v>
      </c>
      <c r="BQ761" s="475">
        <f t="shared" ca="1" si="519"/>
        <v>95</v>
      </c>
      <c r="BR761" s="475" t="str">
        <f t="shared" si="518"/>
        <v/>
      </c>
      <c r="BS761" s="471" t="str">
        <f t="shared" si="506"/>
        <v/>
      </c>
      <c r="BT761" s="472" t="str">
        <f t="shared" si="521"/>
        <v/>
      </c>
      <c r="BU761" s="472">
        <f t="shared" ca="1" si="507"/>
        <v>0</v>
      </c>
      <c r="BV761" s="472">
        <f t="shared" ca="1" si="507"/>
        <v>0</v>
      </c>
      <c r="BW761" s="472"/>
      <c r="BX761" s="473">
        <f t="shared" ca="1" si="508"/>
        <v>1513497.8157287501</v>
      </c>
      <c r="BY761" s="473">
        <f t="shared" si="509"/>
        <v>0</v>
      </c>
      <c r="BZ761" s="473">
        <f t="shared" ca="1" si="491"/>
        <v>3234.7387956940001</v>
      </c>
      <c r="CA761" s="476">
        <f t="shared" ca="1" si="510"/>
        <v>0</v>
      </c>
      <c r="CB761" s="494">
        <f ca="1">IF(OR($Q760&lt;&gt;1,OP!$D$5+$BN761-1&lt;16,$BN761-1&lt;1),0,ROUND(ROUND(ROUND(((VLOOKUP($BN761-1,MORE_PV,5,0)/10000)*VLOOKUP($BN761,MORE_PV,$CB$5,0)),3)*VLOOKUP($BN761,more1,5,0),0)/$R760,0))</f>
        <v>0</v>
      </c>
      <c r="CC761" s="473">
        <f t="shared" ca="1" si="511"/>
        <v>0</v>
      </c>
      <c r="CD761" s="477"/>
    </row>
    <row r="762" spans="2:82" ht="16.5" hidden="1">
      <c r="B762" s="80"/>
      <c r="C762" s="80"/>
      <c r="D762" s="80"/>
      <c r="E762" s="80"/>
      <c r="F762" s="80"/>
      <c r="G762" s="80"/>
      <c r="H762" s="80"/>
      <c r="I762" s="80"/>
      <c r="J762" s="192">
        <f t="shared" si="492"/>
        <v>63</v>
      </c>
      <c r="K762" s="192">
        <f t="shared" si="493"/>
        <v>10</v>
      </c>
      <c r="L762" s="192" t="str">
        <f t="shared" si="488"/>
        <v/>
      </c>
      <c r="M762" s="216">
        <f t="shared" ca="1" si="494"/>
        <v>0</v>
      </c>
      <c r="N762" s="216"/>
      <c r="O762" s="216"/>
      <c r="P762" s="216"/>
      <c r="Q762" s="456" t="str">
        <f t="shared" ca="1" si="495"/>
        <v/>
      </c>
      <c r="R762" s="450">
        <f t="shared" ca="1" si="496"/>
        <v>1</v>
      </c>
      <c r="S762" s="191">
        <f t="shared" si="497"/>
        <v>63</v>
      </c>
      <c r="T762" s="191">
        <f t="shared" si="498"/>
        <v>10</v>
      </c>
      <c r="U762" s="191">
        <f ca="1">OP!$D$5+$S762-1</f>
        <v>95</v>
      </c>
      <c r="V762" s="191" t="str">
        <f t="shared" si="499"/>
        <v/>
      </c>
      <c r="W762" s="350">
        <f ca="1">IF(Q762&lt;&gt;1,0,VLOOKUP(OP!$C$55,PVFB,$S762+2,0))</f>
        <v>0</v>
      </c>
      <c r="X762" s="473">
        <f t="shared" ca="1" si="512"/>
        <v>0</v>
      </c>
      <c r="Y762" s="348">
        <f t="shared" ca="1" si="513"/>
        <v>0</v>
      </c>
      <c r="Z762" s="348">
        <f t="shared" ca="1" si="514"/>
        <v>8012</v>
      </c>
      <c r="AA762" s="348">
        <f ca="1">IF(Q762&lt;&gt;1,0,VLOOKUP(OP!$C$55,PVFB,$S762+2,0))</f>
        <v>0</v>
      </c>
      <c r="AB762" s="488" t="str">
        <f ca="1">IF(AND(S762&lt;OP!$C$24,$U762&lt;15),0,IF(AND($U762&lt;15,$T762=12),ROUND(VLOOKUP($S762,DOWN16,5,0),3),IF($T762=12,ROUND(($Z762/10000)*$AA762,3)+IF(AND($P$7="購買增額繳清保險",T762=12,U762=110),VLOOKUP(S762,$B$10:$H$121,7,0),0),"")))</f>
        <v/>
      </c>
      <c r="AC762" s="350" t="str">
        <f ca="1">IF(AND(S762&lt;OP!$C$24,$U762&lt;15),0,IF(AND($U762&lt;16,$T762=12),VLOOKUP($S762,DOWN16,4,0),IF($T762=12,ROUND(VLOOKUP(OP!$C$55,_DIE2,$S762+1,0)*(Z762/10000),0)+IF(AND($P$7="購買增額繳清保險",T762=12,U762=110),VLOOKUP(S762,$B$10:$H$121,7,0),0),"")))</f>
        <v/>
      </c>
      <c r="AD762" s="347"/>
      <c r="AE762" s="350" t="str">
        <f t="shared" ca="1" si="489"/>
        <v/>
      </c>
      <c r="AF762" s="351" t="str">
        <f t="shared" ca="1" si="490"/>
        <v/>
      </c>
      <c r="AG762" s="340"/>
      <c r="AH762" s="340"/>
      <c r="AI762" s="340"/>
      <c r="AJ762" s="340"/>
      <c r="AK762" s="340"/>
      <c r="AL762" s="340"/>
      <c r="AM762" s="340"/>
      <c r="AN762" s="340"/>
      <c r="AO762" s="340"/>
      <c r="AP762" s="340"/>
      <c r="AQ762" s="340"/>
      <c r="AR762" s="340"/>
      <c r="AS762" s="340"/>
      <c r="AT762" s="340"/>
      <c r="AU762" s="340"/>
      <c r="AV762" s="340"/>
      <c r="AY762" s="340"/>
      <c r="AZ762" s="465">
        <f t="shared" ca="1" si="500"/>
        <v>7.3698599999999999E-5</v>
      </c>
      <c r="BA762" s="464">
        <f t="shared" ca="1" si="501"/>
        <v>2.2109589000000002E-3</v>
      </c>
      <c r="BB762" s="465">
        <f t="shared" ca="1" si="501"/>
        <v>2.2846575E-3</v>
      </c>
      <c r="BC762" s="466">
        <f t="shared" ca="1" si="502"/>
        <v>65806</v>
      </c>
      <c r="BD762" s="467">
        <f t="shared" ca="1" si="515"/>
        <v>65807</v>
      </c>
      <c r="BE762" s="467">
        <f t="shared" ca="1" si="503"/>
        <v>65836</v>
      </c>
      <c r="BF762" s="468">
        <f ca="1">IF(計算!$BC762&lt;OP!$C$3,0,BD762-BC762)</f>
        <v>1</v>
      </c>
      <c r="BG762" s="468">
        <f ca="1">IF($BE762&gt;DATE(YEAR($BD$9)+OP!$C$57,MONTH($BD$9),DAY($BD$9)),0,$BE762-$BD762+1)</f>
        <v>30</v>
      </c>
      <c r="BH762" s="469">
        <f t="shared" ca="1" si="504"/>
        <v>31</v>
      </c>
      <c r="BI762" t="str">
        <f t="shared" si="520"/>
        <v/>
      </c>
      <c r="BJ762">
        <v>9</v>
      </c>
      <c r="BN762" s="468">
        <f t="shared" si="516"/>
        <v>63</v>
      </c>
      <c r="BO762" s="468">
        <f t="shared" si="517"/>
        <v>9</v>
      </c>
      <c r="BP762" s="467">
        <f t="shared" ca="1" si="505"/>
        <v>65807</v>
      </c>
      <c r="BQ762" s="475">
        <f t="shared" ca="1" si="519"/>
        <v>95</v>
      </c>
      <c r="BR762" s="475" t="str">
        <f t="shared" si="518"/>
        <v/>
      </c>
      <c r="BS762" s="471" t="str">
        <f t="shared" si="506"/>
        <v/>
      </c>
      <c r="BT762" s="472" t="str">
        <f t="shared" si="521"/>
        <v/>
      </c>
      <c r="BU762" s="472">
        <f t="shared" ca="1" si="507"/>
        <v>0</v>
      </c>
      <c r="BV762" s="472">
        <f t="shared" ca="1" si="507"/>
        <v>0</v>
      </c>
      <c r="BW762" s="472"/>
      <c r="BX762" s="473">
        <f t="shared" ca="1" si="508"/>
        <v>1516732.5545244401</v>
      </c>
      <c r="BY762" s="473">
        <f t="shared" si="509"/>
        <v>0</v>
      </c>
      <c r="BZ762" s="473">
        <f t="shared" ca="1" si="491"/>
        <v>3465.2144061879999</v>
      </c>
      <c r="CA762" s="476">
        <f t="shared" ca="1" si="510"/>
        <v>0</v>
      </c>
      <c r="CB762" s="494">
        <f ca="1">IF(OR($Q761&lt;&gt;1,OP!$D$5+$BN762-1&lt;16,$BN762-1&lt;1),0,ROUND(ROUND(ROUND(((VLOOKUP($BN762-1,MORE_PV,5,0)/10000)*VLOOKUP($BN762,MORE_PV,$CB$5,0)),3)*VLOOKUP($BN762,more1,5,0),0)/$R761,0))</f>
        <v>0</v>
      </c>
      <c r="CC762" s="473">
        <f t="shared" ca="1" si="511"/>
        <v>0</v>
      </c>
      <c r="CD762" s="477"/>
    </row>
    <row r="763" spans="2:82" ht="16.5" hidden="1">
      <c r="B763" s="80"/>
      <c r="C763" s="80"/>
      <c r="D763" s="80"/>
      <c r="E763" s="80"/>
      <c r="F763" s="80"/>
      <c r="G763" s="80"/>
      <c r="H763" s="80"/>
      <c r="I763" s="80"/>
      <c r="J763" s="192">
        <f t="shared" si="492"/>
        <v>63</v>
      </c>
      <c r="K763" s="192">
        <f t="shared" si="493"/>
        <v>11</v>
      </c>
      <c r="L763" s="192" t="str">
        <f t="shared" si="488"/>
        <v/>
      </c>
      <c r="M763" s="216">
        <f t="shared" ca="1" si="494"/>
        <v>0</v>
      </c>
      <c r="N763" s="216"/>
      <c r="O763" s="216"/>
      <c r="P763" s="216"/>
      <c r="Q763" s="456" t="str">
        <f t="shared" ca="1" si="495"/>
        <v/>
      </c>
      <c r="R763" s="450">
        <f t="shared" ca="1" si="496"/>
        <v>1</v>
      </c>
      <c r="S763" s="191">
        <f t="shared" si="497"/>
        <v>63</v>
      </c>
      <c r="T763" s="191">
        <f t="shared" si="498"/>
        <v>11</v>
      </c>
      <c r="U763" s="191">
        <f ca="1">OP!$D$5+$S763-1</f>
        <v>95</v>
      </c>
      <c r="V763" s="191" t="str">
        <f t="shared" si="499"/>
        <v/>
      </c>
      <c r="W763" s="350">
        <f ca="1">IF(Q763&lt;&gt;1,0,VLOOKUP(OP!$C$55,PVFB,$S763+2,0))</f>
        <v>0</v>
      </c>
      <c r="X763" s="473">
        <f t="shared" ca="1" si="512"/>
        <v>0</v>
      </c>
      <c r="Y763" s="348">
        <f t="shared" ca="1" si="513"/>
        <v>0</v>
      </c>
      <c r="Z763" s="348">
        <f t="shared" ca="1" si="514"/>
        <v>8012</v>
      </c>
      <c r="AA763" s="348">
        <f ca="1">IF(Q763&lt;&gt;1,0,VLOOKUP(OP!$C$55,PVFB,$S763+2,0))</f>
        <v>0</v>
      </c>
      <c r="AB763" s="488" t="str">
        <f ca="1">IF(AND(S763&lt;OP!$C$24,$U763&lt;15),0,IF(AND($U763&lt;15,$T763=12),ROUND(VLOOKUP($S763,DOWN16,5,0),3),IF($T763=12,ROUND(($Z763/10000)*$AA763,3)+IF(AND($P$7="購買增額繳清保險",T763=12,U763=110),VLOOKUP(S763,$B$10:$H$121,7,0),0),"")))</f>
        <v/>
      </c>
      <c r="AC763" s="350" t="str">
        <f ca="1">IF(AND(S763&lt;OP!$C$24,$U763&lt;15),0,IF(AND($U763&lt;16,$T763=12),VLOOKUP($S763,DOWN16,4,0),IF($T763=12,ROUND(VLOOKUP(OP!$C$55,_DIE2,$S763+1,0)*(Z763/10000),0)+IF(AND($P$7="購買增額繳清保險",T763=12,U763=110),VLOOKUP(S763,$B$10:$H$121,7,0),0),"")))</f>
        <v/>
      </c>
      <c r="AD763" s="347"/>
      <c r="AE763" s="350" t="str">
        <f t="shared" ca="1" si="489"/>
        <v/>
      </c>
      <c r="AF763" s="351" t="str">
        <f t="shared" ca="1" si="490"/>
        <v/>
      </c>
      <c r="AG763" s="340"/>
      <c r="AH763" s="340"/>
      <c r="AI763" s="340"/>
      <c r="AJ763" s="340"/>
      <c r="AK763" s="340"/>
      <c r="AL763" s="340"/>
      <c r="AM763" s="340"/>
      <c r="AN763" s="340"/>
      <c r="AO763" s="340"/>
      <c r="AP763" s="340"/>
      <c r="AQ763" s="340"/>
      <c r="AR763" s="340"/>
      <c r="AS763" s="340"/>
      <c r="AT763" s="340"/>
      <c r="AU763" s="340"/>
      <c r="AV763" s="340"/>
      <c r="AY763" s="340"/>
      <c r="AZ763" s="465">
        <f t="shared" ca="1" si="500"/>
        <v>7.3698599999999999E-5</v>
      </c>
      <c r="BA763" s="464">
        <f t="shared" ca="1" si="501"/>
        <v>2.1372602999999999E-3</v>
      </c>
      <c r="BB763" s="465">
        <f t="shared" ca="1" si="501"/>
        <v>2.2109589000000002E-3</v>
      </c>
      <c r="BC763" s="466">
        <f t="shared" ca="1" si="502"/>
        <v>65837</v>
      </c>
      <c r="BD763" s="467">
        <f t="shared" ca="1" si="515"/>
        <v>65838</v>
      </c>
      <c r="BE763" s="467">
        <f t="shared" ca="1" si="503"/>
        <v>65866</v>
      </c>
      <c r="BF763" s="468">
        <f ca="1">IF(計算!$BC763&lt;OP!$C$3,0,BD763-BC763)</f>
        <v>1</v>
      </c>
      <c r="BG763" s="468">
        <f ca="1">IF($BE763&gt;DATE(YEAR($BD$9)+OP!$C$57,MONTH($BD$9),DAY($BD$9)),0,$BE763-$BD763+1)</f>
        <v>29</v>
      </c>
      <c r="BH763" s="469">
        <f t="shared" ca="1" si="504"/>
        <v>30</v>
      </c>
      <c r="BI763" t="str">
        <f t="shared" si="520"/>
        <v/>
      </c>
      <c r="BJ763">
        <v>10</v>
      </c>
      <c r="BN763" s="468">
        <f t="shared" si="516"/>
        <v>63</v>
      </c>
      <c r="BO763" s="468">
        <f t="shared" si="517"/>
        <v>10</v>
      </c>
      <c r="BP763" s="467">
        <f t="shared" ca="1" si="505"/>
        <v>65838</v>
      </c>
      <c r="BQ763" s="475">
        <f t="shared" ca="1" si="519"/>
        <v>95</v>
      </c>
      <c r="BR763" s="475" t="str">
        <f t="shared" si="518"/>
        <v/>
      </c>
      <c r="BS763" s="471" t="str">
        <f t="shared" si="506"/>
        <v/>
      </c>
      <c r="BT763" s="472" t="str">
        <f t="shared" si="521"/>
        <v/>
      </c>
      <c r="BU763" s="472">
        <f t="shared" ca="1" si="507"/>
        <v>0</v>
      </c>
      <c r="BV763" s="472">
        <f t="shared" ca="1" si="507"/>
        <v>0</v>
      </c>
      <c r="BW763" s="472"/>
      <c r="BX763" s="473">
        <f t="shared" ca="1" si="508"/>
        <v>1520197.7689306301</v>
      </c>
      <c r="BY763" s="473">
        <f t="shared" si="509"/>
        <v>0</v>
      </c>
      <c r="BZ763" s="473">
        <f t="shared" ca="1" si="491"/>
        <v>3361.0947869769998</v>
      </c>
      <c r="CA763" s="476">
        <f t="shared" ca="1" si="510"/>
        <v>0</v>
      </c>
      <c r="CB763" s="494">
        <f ca="1">IF(OR($Q762&lt;&gt;1,OP!$D$5+$BN763-1&lt;16,$BN763-1&lt;1),0,ROUND(ROUND(ROUND(((VLOOKUP($BN763-1,MORE_PV,5,0)/10000)*VLOOKUP($BN763,MORE_PV,$CB$5,0)),3)*VLOOKUP($BN763,more1,5,0),0)/$R762,0))</f>
        <v>0</v>
      </c>
      <c r="CC763" s="473">
        <f t="shared" ca="1" si="511"/>
        <v>0</v>
      </c>
      <c r="CD763" s="477"/>
    </row>
    <row r="764" spans="2:82" ht="16.5" hidden="1">
      <c r="B764" s="80"/>
      <c r="C764" s="80"/>
      <c r="D764" s="80"/>
      <c r="E764" s="80"/>
      <c r="F764" s="80"/>
      <c r="G764" s="80"/>
      <c r="H764" s="80"/>
      <c r="I764" s="80"/>
      <c r="J764" s="192">
        <f t="shared" si="492"/>
        <v>63</v>
      </c>
      <c r="K764" s="192">
        <f t="shared" si="493"/>
        <v>12</v>
      </c>
      <c r="L764" s="192">
        <f t="shared" si="488"/>
        <v>63</v>
      </c>
      <c r="M764" s="216">
        <f t="shared" ca="1" si="494"/>
        <v>1548570</v>
      </c>
      <c r="N764" s="216"/>
      <c r="O764" s="216"/>
      <c r="P764" s="216"/>
      <c r="Q764" s="456">
        <f t="shared" ca="1" si="495"/>
        <v>1</v>
      </c>
      <c r="R764" s="450">
        <f t="shared" ca="1" si="496"/>
        <v>1</v>
      </c>
      <c r="S764" s="191">
        <f t="shared" si="497"/>
        <v>63</v>
      </c>
      <c r="T764" s="191">
        <f t="shared" si="498"/>
        <v>12</v>
      </c>
      <c r="U764" s="191">
        <f ca="1">OP!$D$5+$S764-1</f>
        <v>95</v>
      </c>
      <c r="V764" s="191">
        <f t="shared" si="499"/>
        <v>63</v>
      </c>
      <c r="W764" s="350">
        <f ca="1">IF(Q764&lt;&gt;1,0,VLOOKUP(OP!$C$55,PVFB,$S764+2,0))</f>
        <v>89196</v>
      </c>
      <c r="X764" s="473">
        <f t="shared" ca="1" si="512"/>
        <v>21418</v>
      </c>
      <c r="Y764" s="348">
        <f t="shared" ca="1" si="513"/>
        <v>0</v>
      </c>
      <c r="Z764" s="348">
        <f t="shared" ca="1" si="514"/>
        <v>8012</v>
      </c>
      <c r="AA764" s="348">
        <f ca="1">IF(Q764&lt;&gt;1,0,VLOOKUP(OP!$C$55,PVFB,$S764+2,0))</f>
        <v>89196</v>
      </c>
      <c r="AB764" s="488">
        <f ca="1">IF(AND(S764&lt;OP!$C$24,$U764&lt;15),0,IF(AND($U764&lt;15,$T764=12),ROUND(VLOOKUP($S764,DOWN16,5,0),3),IF($T764=12,ROUND(($Z764/10000)*$AA764,3)+IF(AND($P$7="購買增額繳清保險",T764=12,U764=110),VLOOKUP(S764,$B$10:$H$121,7,0),0),"")))</f>
        <v>71463.835000000006</v>
      </c>
      <c r="AC764" s="350">
        <f ca="1">IF(AND(S764&lt;OP!$C$24,$U764&lt;15),0,IF(AND($U764&lt;16,$T764=12),VLOOKUP($S764,DOWN16,4,0),IF($T764=12,ROUND(VLOOKUP(OP!$C$55,_DIE2,$S764+1,0)*(Z764/10000),0)+IF(AND($P$7="購買增額繳清保險",T764=12,U764=110),VLOOKUP(S764,$B$10:$H$121,7,0),0),"")))</f>
        <v>71948</v>
      </c>
      <c r="AD764" s="347"/>
      <c r="AE764" s="350" t="str">
        <f t="shared" ca="1" si="489"/>
        <v/>
      </c>
      <c r="AF764" s="351" t="str">
        <f t="shared" ca="1" si="490"/>
        <v/>
      </c>
      <c r="AG764" s="340"/>
      <c r="AH764" s="340"/>
      <c r="AI764" s="340"/>
      <c r="AJ764" s="340"/>
      <c r="AK764" s="340"/>
      <c r="AL764" s="340"/>
      <c r="AM764" s="340"/>
      <c r="AN764" s="340"/>
      <c r="AO764" s="340"/>
      <c r="AP764" s="340"/>
      <c r="AQ764" s="340"/>
      <c r="AR764" s="340"/>
      <c r="AS764" s="340"/>
      <c r="AT764" s="340"/>
      <c r="AU764" s="340"/>
      <c r="AV764" s="340"/>
      <c r="AY764" s="340"/>
      <c r="AZ764" s="465">
        <f t="shared" ca="1" si="500"/>
        <v>7.3698599999999999E-5</v>
      </c>
      <c r="BA764" s="464">
        <f t="shared" ca="1" si="501"/>
        <v>2.2109589000000002E-3</v>
      </c>
      <c r="BB764" s="465">
        <f t="shared" ca="1" si="501"/>
        <v>2.2846575E-3</v>
      </c>
      <c r="BC764" s="466">
        <f t="shared" ca="1" si="502"/>
        <v>65867</v>
      </c>
      <c r="BD764" s="467">
        <f t="shared" ca="1" si="515"/>
        <v>65868</v>
      </c>
      <c r="BE764" s="467">
        <f t="shared" ca="1" si="503"/>
        <v>65897</v>
      </c>
      <c r="BF764" s="468">
        <f ca="1">IF(計算!$BC764&lt;OP!$C$3,0,BD764-BC764)</f>
        <v>1</v>
      </c>
      <c r="BG764" s="468">
        <f ca="1">IF($BE764&gt;DATE(YEAR($BD$9)+OP!$C$57,MONTH($BD$9),DAY($BD$9)),0,$BE764-$BD764+1)</f>
        <v>30</v>
      </c>
      <c r="BH764" s="469">
        <f t="shared" ca="1" si="504"/>
        <v>31</v>
      </c>
      <c r="BI764" t="str">
        <f t="shared" si="520"/>
        <v/>
      </c>
      <c r="BJ764">
        <v>11</v>
      </c>
      <c r="BN764" s="468">
        <f t="shared" si="516"/>
        <v>63</v>
      </c>
      <c r="BO764" s="468">
        <f t="shared" si="517"/>
        <v>11</v>
      </c>
      <c r="BP764" s="467">
        <f t="shared" ca="1" si="505"/>
        <v>65868</v>
      </c>
      <c r="BQ764" s="475">
        <f t="shared" ca="1" si="519"/>
        <v>95</v>
      </c>
      <c r="BR764" s="475" t="str">
        <f t="shared" si="518"/>
        <v/>
      </c>
      <c r="BS764" s="471" t="str">
        <f t="shared" si="506"/>
        <v/>
      </c>
      <c r="BT764" s="472" t="str">
        <f t="shared" si="521"/>
        <v/>
      </c>
      <c r="BU764" s="472">
        <f t="shared" ca="1" si="507"/>
        <v>0</v>
      </c>
      <c r="BV764" s="472">
        <f t="shared" ca="1" si="507"/>
        <v>0</v>
      </c>
      <c r="BW764" s="472"/>
      <c r="BX764" s="473">
        <f t="shared" ca="1" si="508"/>
        <v>1523558.86371761</v>
      </c>
      <c r="BY764" s="473">
        <f t="shared" si="509"/>
        <v>0</v>
      </c>
      <c r="BZ764" s="473">
        <f t="shared" ca="1" si="491"/>
        <v>3480.810184684</v>
      </c>
      <c r="CA764" s="476">
        <f t="shared" ca="1" si="510"/>
        <v>0</v>
      </c>
      <c r="CB764" s="494">
        <f ca="1">IF(OR($Q763&lt;&gt;1,OP!$D$5+$BN764-1&lt;16,$BN764-1&lt;1),0,ROUND(ROUND(ROUND(((VLOOKUP($BN764-1,MORE_PV,5,0)/10000)*VLOOKUP($BN764,MORE_PV,$CB$5,0)),3)*VLOOKUP($BN764,more1,5,0),0)/$R763,0))</f>
        <v>0</v>
      </c>
      <c r="CC764" s="473">
        <f t="shared" ca="1" si="511"/>
        <v>0</v>
      </c>
      <c r="CD764" s="477"/>
    </row>
    <row r="765" spans="2:82" ht="16.5" hidden="1">
      <c r="B765" s="80"/>
      <c r="C765" s="80"/>
      <c r="D765" s="80"/>
      <c r="E765" s="80"/>
      <c r="F765" s="80"/>
      <c r="G765" s="80"/>
      <c r="H765" s="80"/>
      <c r="I765" s="80"/>
      <c r="J765" s="192">
        <f t="shared" si="492"/>
        <v>64</v>
      </c>
      <c r="K765" s="192">
        <f t="shared" si="493"/>
        <v>1</v>
      </c>
      <c r="L765" s="192" t="str">
        <f t="shared" si="488"/>
        <v/>
      </c>
      <c r="M765" s="216">
        <f t="shared" ca="1" si="494"/>
        <v>0</v>
      </c>
      <c r="N765" s="216"/>
      <c r="O765" s="216"/>
      <c r="P765" s="216"/>
      <c r="Q765" s="456" t="str">
        <f t="shared" ca="1" si="495"/>
        <v/>
      </c>
      <c r="R765" s="450">
        <f t="shared" ca="1" si="496"/>
        <v>1</v>
      </c>
      <c r="S765" s="191">
        <f t="shared" si="497"/>
        <v>64</v>
      </c>
      <c r="T765" s="191">
        <f t="shared" si="498"/>
        <v>1</v>
      </c>
      <c r="U765" s="191">
        <f ca="1">OP!$D$5+$S765-1</f>
        <v>96</v>
      </c>
      <c r="V765" s="191" t="str">
        <f t="shared" si="499"/>
        <v/>
      </c>
      <c r="W765" s="350">
        <f ca="1">IF(Q765&lt;&gt;1,0,VLOOKUP(OP!$C$55,PVFB,$S765+2,0))</f>
        <v>0</v>
      </c>
      <c r="X765" s="473">
        <f t="shared" ca="1" si="512"/>
        <v>0</v>
      </c>
      <c r="Y765" s="348">
        <f t="shared" ca="1" si="513"/>
        <v>0</v>
      </c>
      <c r="Z765" s="348">
        <f t="shared" ca="1" si="514"/>
        <v>8012</v>
      </c>
      <c r="AA765" s="348">
        <f ca="1">IF(Q765&lt;&gt;1,0,VLOOKUP(OP!$C$55,PVFB,$S765+2,0))</f>
        <v>0</v>
      </c>
      <c r="AB765" s="488" t="str">
        <f ca="1">IF(AND(S765&lt;OP!$C$24,$U765&lt;15),0,IF(AND($U765&lt;15,$T765=12),ROUND(VLOOKUP($S765,DOWN16,5,0),3),IF($T765=12,ROUND(($Z765/10000)*$AA765,3)+IF(AND($P$7="購買增額繳清保險",T765=12,U765=110),VLOOKUP(S765,$B$10:$H$121,7,0),0),"")))</f>
        <v/>
      </c>
      <c r="AC765" s="350" t="str">
        <f ca="1">IF(AND(S765&lt;OP!$C$24,$U765&lt;15),0,IF(AND($U765&lt;16,$T765=12),VLOOKUP($S765,DOWN16,4,0),IF($T765=12,ROUND(VLOOKUP(OP!$C$55,_DIE2,$S765+1,0)*(Z765/10000),0)+IF(AND($P$7="購買增額繳清保險",T765=12,U765=110),VLOOKUP(S765,$B$10:$H$121,7,0),0),"")))</f>
        <v/>
      </c>
      <c r="AD765" s="347"/>
      <c r="AE765" s="350" t="str">
        <f t="shared" ca="1" si="489"/>
        <v/>
      </c>
      <c r="AF765" s="351" t="str">
        <f t="shared" ca="1" si="490"/>
        <v/>
      </c>
      <c r="AG765" s="340"/>
      <c r="AH765" s="340"/>
      <c r="AI765" s="340"/>
      <c r="AJ765" s="340"/>
      <c r="AK765" s="340"/>
      <c r="AL765" s="340"/>
      <c r="AM765" s="340"/>
      <c r="AN765" s="340"/>
      <c r="AO765" s="340"/>
      <c r="AP765" s="340"/>
      <c r="AQ765" s="340"/>
      <c r="AR765" s="340"/>
      <c r="AS765" s="340"/>
      <c r="AT765" s="340"/>
      <c r="AU765" s="340"/>
      <c r="AV765" s="340"/>
      <c r="AY765" s="340"/>
      <c r="AZ765" s="465">
        <f t="shared" ca="1" si="500"/>
        <v>7.3698599999999999E-5</v>
      </c>
      <c r="BA765" s="464">
        <f t="shared" ca="1" si="501"/>
        <v>2.1372602999999999E-3</v>
      </c>
      <c r="BB765" s="465">
        <f t="shared" ca="1" si="501"/>
        <v>2.2109589000000002E-3</v>
      </c>
      <c r="BC765" s="466">
        <f t="shared" ca="1" si="502"/>
        <v>65898</v>
      </c>
      <c r="BD765" s="467">
        <f t="shared" ca="1" si="515"/>
        <v>65899</v>
      </c>
      <c r="BE765" s="467">
        <f t="shared" ca="1" si="503"/>
        <v>65927</v>
      </c>
      <c r="BF765" s="468">
        <f ca="1">IF(計算!$BC765&lt;OP!$C$3,0,BD765-BC765)</f>
        <v>1</v>
      </c>
      <c r="BG765" s="468">
        <f ca="1">IF($BE765&gt;DATE(YEAR($BD$9)+OP!$C$57,MONTH($BD$9),DAY($BD$9)),0,$BE765-$BD765+1)</f>
        <v>29</v>
      </c>
      <c r="BH765" s="469">
        <f t="shared" ca="1" si="504"/>
        <v>30</v>
      </c>
      <c r="BI765">
        <f t="shared" ca="1" si="520"/>
        <v>366</v>
      </c>
      <c r="BJ765">
        <v>12</v>
      </c>
      <c r="BN765" s="468">
        <f t="shared" si="516"/>
        <v>63</v>
      </c>
      <c r="BO765" s="468">
        <f t="shared" si="517"/>
        <v>12</v>
      </c>
      <c r="BP765" s="467">
        <f t="shared" ca="1" si="505"/>
        <v>65899</v>
      </c>
      <c r="BQ765" s="475">
        <f t="shared" ca="1" si="519"/>
        <v>95</v>
      </c>
      <c r="BR765" s="475">
        <f t="shared" si="518"/>
        <v>63</v>
      </c>
      <c r="BS765" s="471">
        <f t="shared" ca="1" si="506"/>
        <v>21418</v>
      </c>
      <c r="BT765" s="472">
        <f t="shared" ca="1" si="521"/>
        <v>1548570</v>
      </c>
      <c r="BU765" s="472">
        <f t="shared" ca="1" si="507"/>
        <v>20925</v>
      </c>
      <c r="BV765" s="472">
        <f t="shared" ca="1" si="507"/>
        <v>493</v>
      </c>
      <c r="BW765" s="472">
        <f ca="1">ROUND(SUM(BY765,BZ753:BZ764),0)</f>
        <v>40598</v>
      </c>
      <c r="BX765" s="473">
        <f t="shared" ca="1" si="508"/>
        <v>1548570.21458841</v>
      </c>
      <c r="BY765" s="473">
        <f t="shared" ca="1" si="509"/>
        <v>112.540686111</v>
      </c>
      <c r="BZ765" s="473">
        <f t="shared" ca="1" si="491"/>
        <v>3309.697641402</v>
      </c>
      <c r="CA765" s="476">
        <f t="shared" ca="1" si="510"/>
        <v>20925</v>
      </c>
      <c r="CB765" s="494">
        <f ca="1">IF(OR($Q764&lt;&gt;1,OP!$D$5+$BN765-1&lt;16,$BN765-1&lt;1),0,ROUND(ROUND(ROUND(((VLOOKUP($BN765-1,MORE_PV,5,0)/10000)*VLOOKUP($BN765,MORE_PV,$CB$5,0)),3)*VLOOKUP($BN765,more1,5,0),0)/$R764,0))</f>
        <v>493</v>
      </c>
      <c r="CC765" s="473">
        <f t="shared" ca="1" si="511"/>
        <v>0</v>
      </c>
      <c r="CD765" s="477"/>
    </row>
    <row r="766" spans="2:82" ht="16.5" hidden="1">
      <c r="B766" s="80"/>
      <c r="C766" s="80"/>
      <c r="D766" s="80"/>
      <c r="E766" s="80"/>
      <c r="F766" s="80"/>
      <c r="G766" s="80"/>
      <c r="H766" s="80"/>
      <c r="I766" s="80"/>
      <c r="J766" s="192">
        <f t="shared" si="492"/>
        <v>64</v>
      </c>
      <c r="K766" s="192">
        <f t="shared" si="493"/>
        <v>2</v>
      </c>
      <c r="L766" s="192" t="str">
        <f t="shared" si="488"/>
        <v/>
      </c>
      <c r="M766" s="216">
        <f t="shared" ca="1" si="494"/>
        <v>0</v>
      </c>
      <c r="N766" s="216"/>
      <c r="O766" s="216"/>
      <c r="P766" s="216"/>
      <c r="Q766" s="456" t="str">
        <f t="shared" ca="1" si="495"/>
        <v/>
      </c>
      <c r="R766" s="450">
        <f t="shared" ca="1" si="496"/>
        <v>1</v>
      </c>
      <c r="S766" s="191">
        <f t="shared" si="497"/>
        <v>64</v>
      </c>
      <c r="T766" s="191">
        <f t="shared" si="498"/>
        <v>2</v>
      </c>
      <c r="U766" s="191">
        <f ca="1">OP!$D$5+$S766-1</f>
        <v>96</v>
      </c>
      <c r="V766" s="191" t="str">
        <f t="shared" si="499"/>
        <v/>
      </c>
      <c r="W766" s="350">
        <f ca="1">IF(Q766&lt;&gt;1,0,VLOOKUP(OP!$C$55,PVFB,$S766+2,0))</f>
        <v>0</v>
      </c>
      <c r="X766" s="473">
        <f t="shared" ca="1" si="512"/>
        <v>0</v>
      </c>
      <c r="Y766" s="348">
        <f t="shared" ca="1" si="513"/>
        <v>0</v>
      </c>
      <c r="Z766" s="348">
        <f t="shared" ca="1" si="514"/>
        <v>8012</v>
      </c>
      <c r="AA766" s="348">
        <f ca="1">IF(Q766&lt;&gt;1,0,VLOOKUP(OP!$C$55,PVFB,$S766+2,0))</f>
        <v>0</v>
      </c>
      <c r="AB766" s="488" t="str">
        <f ca="1">IF(AND(S766&lt;OP!$C$24,$U766&lt;15),0,IF(AND($U766&lt;15,$T766=12),ROUND(VLOOKUP($S766,DOWN16,5,0),3),IF($T766=12,ROUND(($Z766/10000)*$AA766,3)+IF(AND($P$7="購買增額繳清保險",T766=12,U766=110),VLOOKUP(S766,$B$10:$H$121,7,0),0),"")))</f>
        <v/>
      </c>
      <c r="AC766" s="350" t="str">
        <f ca="1">IF(AND(S766&lt;OP!$C$24,$U766&lt;15),0,IF(AND($U766&lt;16,$T766=12),VLOOKUP($S766,DOWN16,4,0),IF($T766=12,ROUND(VLOOKUP(OP!$C$55,_DIE2,$S766+1,0)*(Z766/10000),0)+IF(AND($P$7="購買增額繳清保險",T766=12,U766=110),VLOOKUP(S766,$B$10:$H$121,7,0),0),"")))</f>
        <v/>
      </c>
      <c r="AD766" s="347"/>
      <c r="AE766" s="350" t="str">
        <f t="shared" ca="1" si="489"/>
        <v/>
      </c>
      <c r="AF766" s="351" t="str">
        <f t="shared" ca="1" si="490"/>
        <v/>
      </c>
      <c r="AG766" s="340"/>
      <c r="AH766" s="340"/>
      <c r="AI766" s="340"/>
      <c r="AJ766" s="340"/>
      <c r="AK766" s="340"/>
      <c r="AL766" s="340"/>
      <c r="AM766" s="340"/>
      <c r="AN766" s="340"/>
      <c r="AO766" s="340"/>
      <c r="AP766" s="340"/>
      <c r="AQ766" s="340"/>
      <c r="AR766" s="340"/>
      <c r="AS766" s="340"/>
      <c r="AT766" s="340"/>
      <c r="AU766" s="340"/>
      <c r="AV766" s="340"/>
      <c r="AY766" s="340"/>
      <c r="AZ766" s="465">
        <f t="shared" ca="1" si="500"/>
        <v>7.3698599999999999E-5</v>
      </c>
      <c r="BA766" s="464">
        <f t="shared" ca="1" si="501"/>
        <v>2.2109589000000002E-3</v>
      </c>
      <c r="BB766" s="465">
        <f t="shared" ca="1" si="501"/>
        <v>2.2846575E-3</v>
      </c>
      <c r="BC766" s="466">
        <f t="shared" ca="1" si="502"/>
        <v>65928</v>
      </c>
      <c r="BD766" s="467">
        <f t="shared" ca="1" si="515"/>
        <v>65929</v>
      </c>
      <c r="BE766" s="467">
        <f t="shared" ca="1" si="503"/>
        <v>65958</v>
      </c>
      <c r="BF766" s="468">
        <f ca="1">IF(計算!$BC766&lt;OP!$C$3,0,BD766-BC766)</f>
        <v>1</v>
      </c>
      <c r="BG766" s="468">
        <f ca="1">IF($BE766&gt;DATE(YEAR($BD$9)+OP!$C$57,MONTH($BD$9),DAY($BD$9)),0,$BE766-$BD766+1)</f>
        <v>30</v>
      </c>
      <c r="BH766" s="469">
        <f t="shared" ca="1" si="504"/>
        <v>31</v>
      </c>
      <c r="BI766" t="str">
        <f t="shared" si="520"/>
        <v/>
      </c>
      <c r="BJ766">
        <v>1</v>
      </c>
      <c r="BN766" s="468">
        <f t="shared" si="516"/>
        <v>64</v>
      </c>
      <c r="BO766" s="468">
        <f t="shared" si="517"/>
        <v>1</v>
      </c>
      <c r="BP766" s="467">
        <f t="shared" ca="1" si="505"/>
        <v>65929</v>
      </c>
      <c r="BQ766" s="475">
        <f t="shared" ca="1" si="519"/>
        <v>96</v>
      </c>
      <c r="BR766" s="475" t="str">
        <f t="shared" si="518"/>
        <v/>
      </c>
      <c r="BS766" s="471" t="str">
        <f t="shared" si="506"/>
        <v/>
      </c>
      <c r="BT766" s="472" t="str">
        <f t="shared" si="521"/>
        <v/>
      </c>
      <c r="BU766" s="472">
        <f t="shared" ca="1" si="507"/>
        <v>0</v>
      </c>
      <c r="BV766" s="472">
        <f t="shared" ca="1" si="507"/>
        <v>0</v>
      </c>
      <c r="BW766" s="472"/>
      <c r="BX766" s="473">
        <f t="shared" ca="1" si="508"/>
        <v>1551879.9122298099</v>
      </c>
      <c r="BY766" s="473">
        <f t="shared" si="509"/>
        <v>0</v>
      </c>
      <c r="BZ766" s="473">
        <f t="shared" ca="1" si="491"/>
        <v>3545.5140805750002</v>
      </c>
      <c r="CA766" s="476">
        <f t="shared" ca="1" si="510"/>
        <v>0</v>
      </c>
      <c r="CB766" s="494">
        <f ca="1">IF(OR($Q765&lt;&gt;1,OP!$D$5+$BN766-1&lt;16,$BN766-1&lt;1),0,ROUND(ROUND(ROUND(((VLOOKUP($BN766-1,MORE_PV,5,0)/10000)*VLOOKUP($BN766,MORE_PV,$CB$5,0)),3)*VLOOKUP($BN766,more1,5,0),0)/$R765,0))</f>
        <v>0</v>
      </c>
      <c r="CC766" s="473">
        <f t="shared" ca="1" si="511"/>
        <v>0</v>
      </c>
      <c r="CD766" s="477"/>
    </row>
    <row r="767" spans="2:82" ht="16.5" hidden="1">
      <c r="B767" s="80"/>
      <c r="C767" s="80"/>
      <c r="D767" s="80"/>
      <c r="E767" s="80"/>
      <c r="F767" s="80"/>
      <c r="G767" s="80"/>
      <c r="H767" s="80"/>
      <c r="I767" s="80"/>
      <c r="J767" s="192">
        <f t="shared" si="492"/>
        <v>64</v>
      </c>
      <c r="K767" s="192">
        <f t="shared" si="493"/>
        <v>3</v>
      </c>
      <c r="L767" s="192" t="str">
        <f t="shared" si="488"/>
        <v/>
      </c>
      <c r="M767" s="216">
        <f t="shared" ca="1" si="494"/>
        <v>0</v>
      </c>
      <c r="N767" s="216"/>
      <c r="O767" s="216"/>
      <c r="P767" s="216"/>
      <c r="Q767" s="456" t="str">
        <f t="shared" ca="1" si="495"/>
        <v/>
      </c>
      <c r="R767" s="450">
        <f t="shared" ca="1" si="496"/>
        <v>1</v>
      </c>
      <c r="S767" s="191">
        <f t="shared" si="497"/>
        <v>64</v>
      </c>
      <c r="T767" s="191">
        <f t="shared" si="498"/>
        <v>3</v>
      </c>
      <c r="U767" s="191">
        <f ca="1">OP!$D$5+$S767-1</f>
        <v>96</v>
      </c>
      <c r="V767" s="191" t="str">
        <f t="shared" si="499"/>
        <v/>
      </c>
      <c r="W767" s="350">
        <f ca="1">IF(Q767&lt;&gt;1,0,VLOOKUP(OP!$C$55,PVFB,$S767+2,0))</f>
        <v>0</v>
      </c>
      <c r="X767" s="473">
        <f t="shared" ca="1" si="512"/>
        <v>0</v>
      </c>
      <c r="Y767" s="348">
        <f t="shared" ca="1" si="513"/>
        <v>0</v>
      </c>
      <c r="Z767" s="348">
        <f t="shared" ca="1" si="514"/>
        <v>8012</v>
      </c>
      <c r="AA767" s="348">
        <f ca="1">IF(Q767&lt;&gt;1,0,VLOOKUP(OP!$C$55,PVFB,$S767+2,0))</f>
        <v>0</v>
      </c>
      <c r="AB767" s="488" t="str">
        <f ca="1">IF(AND(S767&lt;OP!$C$24,$U767&lt;15),0,IF(AND($U767&lt;15,$T767=12),ROUND(VLOOKUP($S767,DOWN16,5,0),3),IF($T767=12,ROUND(($Z767/10000)*$AA767,3)+IF(AND($P$7="購買增額繳清保險",T767=12,U767=110),VLOOKUP(S767,$B$10:$H$121,7,0),0),"")))</f>
        <v/>
      </c>
      <c r="AC767" s="350" t="str">
        <f ca="1">IF(AND(S767&lt;OP!$C$24,$U767&lt;15),0,IF(AND($U767&lt;16,$T767=12),VLOOKUP($S767,DOWN16,4,0),IF($T767=12,ROUND(VLOOKUP(OP!$C$55,_DIE2,$S767+1,0)*(Z767/10000),0)+IF(AND($P$7="購買增額繳清保險",T767=12,U767=110),VLOOKUP(S767,$B$10:$H$121,7,0),0),"")))</f>
        <v/>
      </c>
      <c r="AD767" s="347"/>
      <c r="AE767" s="350" t="str">
        <f t="shared" ca="1" si="489"/>
        <v/>
      </c>
      <c r="AF767" s="351" t="str">
        <f t="shared" ca="1" si="490"/>
        <v/>
      </c>
      <c r="AG767" s="340"/>
      <c r="AH767" s="340"/>
      <c r="AI767" s="340"/>
      <c r="AJ767" s="340"/>
      <c r="AK767" s="340"/>
      <c r="AL767" s="340"/>
      <c r="AM767" s="340"/>
      <c r="AN767" s="340"/>
      <c r="AO767" s="340"/>
      <c r="AP767" s="340"/>
      <c r="AQ767" s="340"/>
      <c r="AR767" s="340"/>
      <c r="AS767" s="340"/>
      <c r="AT767" s="340"/>
      <c r="AU767" s="340"/>
      <c r="AV767" s="340"/>
      <c r="AY767" s="340"/>
      <c r="AZ767" s="465">
        <f t="shared" ca="1" si="500"/>
        <v>7.3698599999999999E-5</v>
      </c>
      <c r="BA767" s="464">
        <f t="shared" ca="1" si="501"/>
        <v>2.2109589000000002E-3</v>
      </c>
      <c r="BB767" s="465">
        <f t="shared" ca="1" si="501"/>
        <v>2.2846575E-3</v>
      </c>
      <c r="BC767" s="466">
        <f t="shared" ca="1" si="502"/>
        <v>65959</v>
      </c>
      <c r="BD767" s="467">
        <f t="shared" ca="1" si="515"/>
        <v>65960</v>
      </c>
      <c r="BE767" s="467">
        <f t="shared" ca="1" si="503"/>
        <v>65989</v>
      </c>
      <c r="BF767" s="468">
        <f ca="1">IF(計算!$BC767&lt;OP!$C$3,0,BD767-BC767)</f>
        <v>1</v>
      </c>
      <c r="BG767" s="468">
        <f ca="1">IF($BE767&gt;DATE(YEAR($BD$9)+OP!$C$57,MONTH($BD$9),DAY($BD$9)),0,$BE767-$BD767+1)</f>
        <v>30</v>
      </c>
      <c r="BH767" s="469">
        <f t="shared" ca="1" si="504"/>
        <v>31</v>
      </c>
      <c r="BI767" t="str">
        <f t="shared" si="520"/>
        <v/>
      </c>
      <c r="BJ767">
        <v>2</v>
      </c>
      <c r="BN767" s="468">
        <f t="shared" si="516"/>
        <v>64</v>
      </c>
      <c r="BO767" s="468">
        <f t="shared" si="517"/>
        <v>2</v>
      </c>
      <c r="BP767" s="467">
        <f t="shared" ca="1" si="505"/>
        <v>65960</v>
      </c>
      <c r="BQ767" s="475">
        <f t="shared" ca="1" si="519"/>
        <v>96</v>
      </c>
      <c r="BR767" s="475" t="str">
        <f t="shared" si="518"/>
        <v/>
      </c>
      <c r="BS767" s="471" t="str">
        <f t="shared" si="506"/>
        <v/>
      </c>
      <c r="BT767" s="472" t="str">
        <f t="shared" si="521"/>
        <v/>
      </c>
      <c r="BU767" s="472">
        <f t="shared" ca="1" si="507"/>
        <v>0</v>
      </c>
      <c r="BV767" s="472">
        <f t="shared" ca="1" si="507"/>
        <v>0</v>
      </c>
      <c r="BW767" s="472"/>
      <c r="BX767" s="473">
        <f t="shared" ca="1" si="508"/>
        <v>1555425.42631038</v>
      </c>
      <c r="BY767" s="473">
        <f t="shared" si="509"/>
        <v>0</v>
      </c>
      <c r="BZ767" s="473">
        <f t="shared" ca="1" si="491"/>
        <v>3553.6143659109998</v>
      </c>
      <c r="CA767" s="476">
        <f t="shared" ca="1" si="510"/>
        <v>0</v>
      </c>
      <c r="CB767" s="494">
        <f ca="1">IF(OR($Q766&lt;&gt;1,OP!$D$5+$BN767-1&lt;16,$BN767-1&lt;1),0,ROUND(ROUND(ROUND(((VLOOKUP($BN767-1,MORE_PV,5,0)/10000)*VLOOKUP($BN767,MORE_PV,$CB$5,0)),3)*VLOOKUP($BN767,more1,5,0),0)/$R766,0))</f>
        <v>0</v>
      </c>
      <c r="CC767" s="473">
        <f t="shared" ca="1" si="511"/>
        <v>0</v>
      </c>
      <c r="CD767" s="477"/>
    </row>
    <row r="768" spans="2:82" ht="16.5" hidden="1">
      <c r="B768" s="80"/>
      <c r="C768" s="80"/>
      <c r="D768" s="80"/>
      <c r="E768" s="80"/>
      <c r="F768" s="80"/>
      <c r="G768" s="80"/>
      <c r="H768" s="80"/>
      <c r="I768" s="80"/>
      <c r="J768" s="192">
        <f t="shared" si="492"/>
        <v>64</v>
      </c>
      <c r="K768" s="192">
        <f t="shared" si="493"/>
        <v>4</v>
      </c>
      <c r="L768" s="192" t="str">
        <f t="shared" si="488"/>
        <v/>
      </c>
      <c r="M768" s="216">
        <f t="shared" ca="1" si="494"/>
        <v>0</v>
      </c>
      <c r="N768" s="216"/>
      <c r="O768" s="216"/>
      <c r="P768" s="216"/>
      <c r="Q768" s="456" t="str">
        <f t="shared" ca="1" si="495"/>
        <v/>
      </c>
      <c r="R768" s="450">
        <f t="shared" ca="1" si="496"/>
        <v>1</v>
      </c>
      <c r="S768" s="191">
        <f t="shared" si="497"/>
        <v>64</v>
      </c>
      <c r="T768" s="191">
        <f t="shared" si="498"/>
        <v>4</v>
      </c>
      <c r="U768" s="191">
        <f ca="1">OP!$D$5+$S768-1</f>
        <v>96</v>
      </c>
      <c r="V768" s="191" t="str">
        <f t="shared" si="499"/>
        <v/>
      </c>
      <c r="W768" s="350">
        <f ca="1">IF(Q768&lt;&gt;1,0,VLOOKUP(OP!$C$55,PVFB,$S768+2,0))</f>
        <v>0</v>
      </c>
      <c r="X768" s="473">
        <f t="shared" ca="1" si="512"/>
        <v>0</v>
      </c>
      <c r="Y768" s="348">
        <f t="shared" ca="1" si="513"/>
        <v>0</v>
      </c>
      <c r="Z768" s="348">
        <f t="shared" ca="1" si="514"/>
        <v>8012</v>
      </c>
      <c r="AA768" s="348">
        <f ca="1">IF(Q768&lt;&gt;1,0,VLOOKUP(OP!$C$55,PVFB,$S768+2,0))</f>
        <v>0</v>
      </c>
      <c r="AB768" s="488" t="str">
        <f ca="1">IF(AND(S768&lt;OP!$C$24,$U768&lt;15),0,IF(AND($U768&lt;15,$T768=12),ROUND(VLOOKUP($S768,DOWN16,5,0),3),IF($T768=12,ROUND(($Z768/10000)*$AA768,3)+IF(AND($P$7="購買增額繳清保險",T768=12,U768=110),VLOOKUP(S768,$B$10:$H$121,7,0),0),"")))</f>
        <v/>
      </c>
      <c r="AC768" s="350" t="str">
        <f ca="1">IF(AND(S768&lt;OP!$C$24,$U768&lt;15),0,IF(AND($U768&lt;16,$T768=12),VLOOKUP($S768,DOWN16,4,0),IF($T768=12,ROUND(VLOOKUP(OP!$C$55,_DIE2,$S768+1,0)*(Z768/10000),0)+IF(AND($P$7="購買增額繳清保險",T768=12,U768=110),VLOOKUP(S768,$B$10:$H$121,7,0),0),"")))</f>
        <v/>
      </c>
      <c r="AD768" s="347"/>
      <c r="AE768" s="350" t="str">
        <f t="shared" ca="1" si="489"/>
        <v/>
      </c>
      <c r="AF768" s="351" t="str">
        <f t="shared" ca="1" si="490"/>
        <v/>
      </c>
      <c r="AG768" s="340"/>
      <c r="AH768" s="340"/>
      <c r="AI768" s="340"/>
      <c r="AJ768" s="340"/>
      <c r="AK768" s="340"/>
      <c r="AL768" s="340"/>
      <c r="AM768" s="340"/>
      <c r="AN768" s="340"/>
      <c r="AO768" s="340"/>
      <c r="AP768" s="340"/>
      <c r="AQ768" s="340"/>
      <c r="AR768" s="340"/>
      <c r="AS768" s="340"/>
      <c r="AT768" s="340"/>
      <c r="AU768" s="340"/>
      <c r="AV768" s="340"/>
      <c r="AY768" s="340"/>
      <c r="AZ768" s="465">
        <f t="shared" ca="1" si="500"/>
        <v>7.3698599999999999E-5</v>
      </c>
      <c r="BA768" s="464">
        <f t="shared" ca="1" si="501"/>
        <v>2.1372602999999999E-3</v>
      </c>
      <c r="BB768" s="465">
        <f t="shared" ca="1" si="501"/>
        <v>2.2109589000000002E-3</v>
      </c>
      <c r="BC768" s="466">
        <f t="shared" ca="1" si="502"/>
        <v>65990</v>
      </c>
      <c r="BD768" s="467">
        <f t="shared" ca="1" si="515"/>
        <v>65991</v>
      </c>
      <c r="BE768" s="467">
        <f t="shared" ca="1" si="503"/>
        <v>66019</v>
      </c>
      <c r="BF768" s="468">
        <f ca="1">IF(計算!$BC768&lt;OP!$C$3,0,BD768-BC768)</f>
        <v>1</v>
      </c>
      <c r="BG768" s="468">
        <f ca="1">IF($BE768&gt;DATE(YEAR($BD$9)+OP!$C$57,MONTH($BD$9),DAY($BD$9)),0,$BE768-$BD768+1)</f>
        <v>29</v>
      </c>
      <c r="BH768" s="469">
        <f t="shared" ca="1" si="504"/>
        <v>30</v>
      </c>
      <c r="BI768" t="str">
        <f t="shared" si="520"/>
        <v/>
      </c>
      <c r="BJ768">
        <v>3</v>
      </c>
      <c r="BN768" s="468">
        <f t="shared" si="516"/>
        <v>64</v>
      </c>
      <c r="BO768" s="468">
        <f t="shared" si="517"/>
        <v>3</v>
      </c>
      <c r="BP768" s="467">
        <f t="shared" ca="1" si="505"/>
        <v>65991</v>
      </c>
      <c r="BQ768" s="475">
        <f t="shared" ca="1" si="519"/>
        <v>96</v>
      </c>
      <c r="BR768" s="475" t="str">
        <f t="shared" si="518"/>
        <v/>
      </c>
      <c r="BS768" s="471" t="str">
        <f t="shared" si="506"/>
        <v/>
      </c>
      <c r="BT768" s="472" t="str">
        <f t="shared" si="521"/>
        <v/>
      </c>
      <c r="BU768" s="472">
        <f t="shared" ca="1" si="507"/>
        <v>0</v>
      </c>
      <c r="BV768" s="472">
        <f t="shared" ca="1" si="507"/>
        <v>0</v>
      </c>
      <c r="BW768" s="472"/>
      <c r="BX768" s="473">
        <f t="shared" ca="1" si="508"/>
        <v>1558979.0406762899</v>
      </c>
      <c r="BY768" s="473">
        <f t="shared" si="509"/>
        <v>0</v>
      </c>
      <c r="BZ768" s="473">
        <f t="shared" ca="1" si="491"/>
        <v>3446.8385848970001</v>
      </c>
      <c r="CA768" s="476">
        <f t="shared" ca="1" si="510"/>
        <v>0</v>
      </c>
      <c r="CB768" s="494">
        <f ca="1">IF(OR($Q767&lt;&gt;1,OP!$D$5+$BN768-1&lt;16,$BN768-1&lt;1),0,ROUND(ROUND(ROUND(((VLOOKUP($BN768-1,MORE_PV,5,0)/10000)*VLOOKUP($BN768,MORE_PV,$CB$5,0)),3)*VLOOKUP($BN768,more1,5,0),0)/$R767,0))</f>
        <v>0</v>
      </c>
      <c r="CC768" s="473">
        <f t="shared" ca="1" si="511"/>
        <v>0</v>
      </c>
      <c r="CD768" s="477"/>
    </row>
    <row r="769" spans="2:82" ht="16.5" hidden="1">
      <c r="B769" s="80"/>
      <c r="C769" s="80"/>
      <c r="D769" s="80"/>
      <c r="E769" s="80"/>
      <c r="F769" s="80"/>
      <c r="G769" s="80"/>
      <c r="H769" s="80"/>
      <c r="I769" s="80"/>
      <c r="J769" s="192">
        <f t="shared" si="492"/>
        <v>64</v>
      </c>
      <c r="K769" s="192">
        <f t="shared" si="493"/>
        <v>5</v>
      </c>
      <c r="L769" s="192" t="str">
        <f t="shared" si="488"/>
        <v/>
      </c>
      <c r="M769" s="216">
        <f t="shared" ca="1" si="494"/>
        <v>0</v>
      </c>
      <c r="N769" s="216"/>
      <c r="O769" s="216"/>
      <c r="P769" s="216"/>
      <c r="Q769" s="456" t="str">
        <f t="shared" ca="1" si="495"/>
        <v/>
      </c>
      <c r="R769" s="450">
        <f t="shared" ca="1" si="496"/>
        <v>1</v>
      </c>
      <c r="S769" s="191">
        <f t="shared" si="497"/>
        <v>64</v>
      </c>
      <c r="T769" s="191">
        <f t="shared" si="498"/>
        <v>5</v>
      </c>
      <c r="U769" s="191">
        <f ca="1">OP!$D$5+$S769-1</f>
        <v>96</v>
      </c>
      <c r="V769" s="191" t="str">
        <f t="shared" si="499"/>
        <v/>
      </c>
      <c r="W769" s="350">
        <f ca="1">IF(Q769&lt;&gt;1,0,VLOOKUP(OP!$C$55,PVFB,$S769+2,0))</f>
        <v>0</v>
      </c>
      <c r="X769" s="473">
        <f t="shared" ca="1" si="512"/>
        <v>0</v>
      </c>
      <c r="Y769" s="348">
        <f t="shared" ca="1" si="513"/>
        <v>0</v>
      </c>
      <c r="Z769" s="348">
        <f t="shared" ca="1" si="514"/>
        <v>8012</v>
      </c>
      <c r="AA769" s="348">
        <f ca="1">IF(Q769&lt;&gt;1,0,VLOOKUP(OP!$C$55,PVFB,$S769+2,0))</f>
        <v>0</v>
      </c>
      <c r="AB769" s="488" t="str">
        <f ca="1">IF(AND(S769&lt;OP!$C$24,$U769&lt;15),0,IF(AND($U769&lt;15,$T769=12),ROUND(VLOOKUP($S769,DOWN16,5,0),3),IF($T769=12,ROUND(($Z769/10000)*$AA769,3)+IF(AND($P$7="購買增額繳清保險",T769=12,U769=110),VLOOKUP(S769,$B$10:$H$121,7,0),0),"")))</f>
        <v/>
      </c>
      <c r="AC769" s="350" t="str">
        <f ca="1">IF(AND(S769&lt;OP!$C$24,$U769&lt;15),0,IF(AND($U769&lt;16,$T769=12),VLOOKUP($S769,DOWN16,4,0),IF($T769=12,ROUND(VLOOKUP(OP!$C$55,_DIE2,$S769+1,0)*(Z769/10000),0)+IF(AND($P$7="購買增額繳清保險",T769=12,U769=110),VLOOKUP(S769,$B$10:$H$121,7,0),0),"")))</f>
        <v/>
      </c>
      <c r="AD769" s="347"/>
      <c r="AE769" s="350" t="str">
        <f t="shared" ca="1" si="489"/>
        <v/>
      </c>
      <c r="AF769" s="351" t="str">
        <f t="shared" ca="1" si="490"/>
        <v/>
      </c>
      <c r="AG769" s="340"/>
      <c r="AH769" s="340"/>
      <c r="AI769" s="340"/>
      <c r="AJ769" s="340"/>
      <c r="AK769" s="340"/>
      <c r="AL769" s="340"/>
      <c r="AM769" s="340"/>
      <c r="AN769" s="340"/>
      <c r="AO769" s="340"/>
      <c r="AP769" s="340"/>
      <c r="AQ769" s="340"/>
      <c r="AR769" s="340"/>
      <c r="AS769" s="340"/>
      <c r="AT769" s="340"/>
      <c r="AU769" s="340"/>
      <c r="AV769" s="340"/>
      <c r="AY769" s="340"/>
      <c r="AZ769" s="465">
        <f t="shared" ca="1" si="500"/>
        <v>7.3698599999999999E-5</v>
      </c>
      <c r="BA769" s="464">
        <f t="shared" ca="1" si="501"/>
        <v>2.2109589000000002E-3</v>
      </c>
      <c r="BB769" s="465">
        <f t="shared" ca="1" si="501"/>
        <v>2.2846575E-3</v>
      </c>
      <c r="BC769" s="466">
        <f t="shared" ca="1" si="502"/>
        <v>66020</v>
      </c>
      <c r="BD769" s="467">
        <f t="shared" ca="1" si="515"/>
        <v>66021</v>
      </c>
      <c r="BE769" s="467">
        <f t="shared" ca="1" si="503"/>
        <v>66050</v>
      </c>
      <c r="BF769" s="468">
        <f ca="1">IF(計算!$BC769&lt;OP!$C$3,0,BD769-BC769)</f>
        <v>1</v>
      </c>
      <c r="BG769" s="468">
        <f ca="1">IF($BE769&gt;DATE(YEAR($BD$9)+OP!$C$57,MONTH($BD$9),DAY($BD$9)),0,$BE769-$BD769+1)</f>
        <v>30</v>
      </c>
      <c r="BH769" s="469">
        <f t="shared" ca="1" si="504"/>
        <v>31</v>
      </c>
      <c r="BI769" t="str">
        <f t="shared" si="520"/>
        <v/>
      </c>
      <c r="BJ769">
        <v>4</v>
      </c>
      <c r="BN769" s="468">
        <f t="shared" si="516"/>
        <v>64</v>
      </c>
      <c r="BO769" s="468">
        <f t="shared" si="517"/>
        <v>4</v>
      </c>
      <c r="BP769" s="467">
        <f t="shared" ca="1" si="505"/>
        <v>66021</v>
      </c>
      <c r="BQ769" s="475">
        <f t="shared" ca="1" si="519"/>
        <v>96</v>
      </c>
      <c r="BR769" s="475" t="str">
        <f t="shared" si="518"/>
        <v/>
      </c>
      <c r="BS769" s="471" t="str">
        <f t="shared" si="506"/>
        <v/>
      </c>
      <c r="BT769" s="472" t="str">
        <f t="shared" si="521"/>
        <v/>
      </c>
      <c r="BU769" s="472">
        <f t="shared" ca="1" si="507"/>
        <v>0</v>
      </c>
      <c r="BV769" s="472">
        <f t="shared" ca="1" si="507"/>
        <v>0</v>
      </c>
      <c r="BW769" s="472"/>
      <c r="BX769" s="473">
        <f t="shared" ca="1" si="508"/>
        <v>1562425.8792611901</v>
      </c>
      <c r="BY769" s="473">
        <f t="shared" si="509"/>
        <v>0</v>
      </c>
      <c r="BZ769" s="473">
        <f t="shared" ca="1" si="491"/>
        <v>3569.6080032479999</v>
      </c>
      <c r="CA769" s="476">
        <f t="shared" ca="1" si="510"/>
        <v>0</v>
      </c>
      <c r="CB769" s="494">
        <f ca="1">IF(OR($Q768&lt;&gt;1,OP!$D$5+$BN769-1&lt;16,$BN769-1&lt;1),0,ROUND(ROUND(ROUND(((VLOOKUP($BN769-1,MORE_PV,5,0)/10000)*VLOOKUP($BN769,MORE_PV,$CB$5,0)),3)*VLOOKUP($BN769,more1,5,0),0)/$R768,0))</f>
        <v>0</v>
      </c>
      <c r="CC769" s="473">
        <f t="shared" ca="1" si="511"/>
        <v>0</v>
      </c>
      <c r="CD769" s="477"/>
    </row>
    <row r="770" spans="2:82" ht="16.5" hidden="1">
      <c r="B770" s="80"/>
      <c r="C770" s="80"/>
      <c r="D770" s="80"/>
      <c r="E770" s="80"/>
      <c r="F770" s="80"/>
      <c r="G770" s="80"/>
      <c r="H770" s="80"/>
      <c r="I770" s="80"/>
      <c r="J770" s="192">
        <f t="shared" si="492"/>
        <v>64</v>
      </c>
      <c r="K770" s="192">
        <f t="shared" si="493"/>
        <v>6</v>
      </c>
      <c r="L770" s="192" t="str">
        <f t="shared" si="488"/>
        <v/>
      </c>
      <c r="M770" s="216">
        <f t="shared" ca="1" si="494"/>
        <v>0</v>
      </c>
      <c r="N770" s="216"/>
      <c r="O770" s="216"/>
      <c r="P770" s="216"/>
      <c r="Q770" s="456" t="str">
        <f t="shared" ca="1" si="495"/>
        <v/>
      </c>
      <c r="R770" s="450">
        <f t="shared" ca="1" si="496"/>
        <v>1</v>
      </c>
      <c r="S770" s="191">
        <f t="shared" si="497"/>
        <v>64</v>
      </c>
      <c r="T770" s="191">
        <f t="shared" si="498"/>
        <v>6</v>
      </c>
      <c r="U770" s="191">
        <f ca="1">OP!$D$5+$S770-1</f>
        <v>96</v>
      </c>
      <c r="V770" s="191" t="str">
        <f t="shared" si="499"/>
        <v/>
      </c>
      <c r="W770" s="350">
        <f ca="1">IF(Q770&lt;&gt;1,0,VLOOKUP(OP!$C$55,PVFB,$S770+2,0))</f>
        <v>0</v>
      </c>
      <c r="X770" s="473">
        <f t="shared" ca="1" si="512"/>
        <v>0</v>
      </c>
      <c r="Y770" s="348">
        <f t="shared" ca="1" si="513"/>
        <v>0</v>
      </c>
      <c r="Z770" s="348">
        <f t="shared" ca="1" si="514"/>
        <v>8012</v>
      </c>
      <c r="AA770" s="348">
        <f ca="1">IF(Q770&lt;&gt;1,0,VLOOKUP(OP!$C$55,PVFB,$S770+2,0))</f>
        <v>0</v>
      </c>
      <c r="AB770" s="488" t="str">
        <f ca="1">IF(AND(S770&lt;OP!$C$24,$U770&lt;15),0,IF(AND($U770&lt;15,$T770=12),ROUND(VLOOKUP($S770,DOWN16,5,0),3),IF($T770=12,ROUND(($Z770/10000)*$AA770,3)+IF(AND($P$7="購買增額繳清保險",T770=12,U770=110),VLOOKUP(S770,$B$10:$H$121,7,0),0),"")))</f>
        <v/>
      </c>
      <c r="AC770" s="350" t="str">
        <f ca="1">IF(AND(S770&lt;OP!$C$24,$U770&lt;15),0,IF(AND($U770&lt;16,$T770=12),VLOOKUP($S770,DOWN16,4,0),IF($T770=12,ROUND(VLOOKUP(OP!$C$55,_DIE2,$S770+1,0)*(Z770/10000),0)+IF(AND($P$7="購買增額繳清保險",T770=12,U770=110),VLOOKUP(S770,$B$10:$H$121,7,0),0),"")))</f>
        <v/>
      </c>
      <c r="AD770" s="347"/>
      <c r="AE770" s="350" t="str">
        <f t="shared" ca="1" si="489"/>
        <v/>
      </c>
      <c r="AF770" s="351" t="str">
        <f t="shared" ca="1" si="490"/>
        <v/>
      </c>
      <c r="AG770" s="340"/>
      <c r="AH770" s="340"/>
      <c r="AI770" s="340"/>
      <c r="AJ770" s="340"/>
      <c r="AK770" s="340"/>
      <c r="AL770" s="340"/>
      <c r="AM770" s="340"/>
      <c r="AN770" s="340"/>
      <c r="AO770" s="340"/>
      <c r="AP770" s="340"/>
      <c r="AQ770" s="340"/>
      <c r="AR770" s="340"/>
      <c r="AS770" s="340"/>
      <c r="AT770" s="340"/>
      <c r="AU770" s="340"/>
      <c r="AV770" s="340"/>
      <c r="AY770" s="340"/>
      <c r="AZ770" s="465">
        <f t="shared" ca="1" si="500"/>
        <v>7.3698599999999999E-5</v>
      </c>
      <c r="BA770" s="464">
        <f t="shared" ca="1" si="501"/>
        <v>2.1372602999999999E-3</v>
      </c>
      <c r="BB770" s="465">
        <f t="shared" ca="1" si="501"/>
        <v>2.2109589000000002E-3</v>
      </c>
      <c r="BC770" s="466">
        <f t="shared" ca="1" si="502"/>
        <v>66051</v>
      </c>
      <c r="BD770" s="467">
        <f t="shared" ca="1" si="515"/>
        <v>66052</v>
      </c>
      <c r="BE770" s="467">
        <f t="shared" ca="1" si="503"/>
        <v>66080</v>
      </c>
      <c r="BF770" s="468">
        <f ca="1">IF(計算!$BC770&lt;OP!$C$3,0,BD770-BC770)</f>
        <v>1</v>
      </c>
      <c r="BG770" s="468">
        <f ca="1">IF($BE770&gt;DATE(YEAR($BD$9)+OP!$C$57,MONTH($BD$9),DAY($BD$9)),0,$BE770-$BD770+1)</f>
        <v>29</v>
      </c>
      <c r="BH770" s="469">
        <f t="shared" ca="1" si="504"/>
        <v>30</v>
      </c>
      <c r="BI770" t="str">
        <f t="shared" si="520"/>
        <v/>
      </c>
      <c r="BJ770">
        <v>5</v>
      </c>
      <c r="BN770" s="468">
        <f t="shared" si="516"/>
        <v>64</v>
      </c>
      <c r="BO770" s="468">
        <f t="shared" si="517"/>
        <v>5</v>
      </c>
      <c r="BP770" s="467">
        <f t="shared" ca="1" si="505"/>
        <v>66052</v>
      </c>
      <c r="BQ770" s="475">
        <f t="shared" ca="1" si="519"/>
        <v>96</v>
      </c>
      <c r="BR770" s="475" t="str">
        <f t="shared" si="518"/>
        <v/>
      </c>
      <c r="BS770" s="471" t="str">
        <f t="shared" si="506"/>
        <v/>
      </c>
      <c r="BT770" s="472" t="str">
        <f t="shared" si="521"/>
        <v/>
      </c>
      <c r="BU770" s="472">
        <f t="shared" ca="1" si="507"/>
        <v>0</v>
      </c>
      <c r="BV770" s="472">
        <f t="shared" ca="1" si="507"/>
        <v>0</v>
      </c>
      <c r="BW770" s="472"/>
      <c r="BX770" s="473">
        <f t="shared" ca="1" si="508"/>
        <v>1565995.4872644399</v>
      </c>
      <c r="BY770" s="473">
        <f t="shared" si="509"/>
        <v>0</v>
      </c>
      <c r="BZ770" s="473">
        <f t="shared" ca="1" si="491"/>
        <v>3462.3516599270001</v>
      </c>
      <c r="CA770" s="476">
        <f t="shared" ca="1" si="510"/>
        <v>0</v>
      </c>
      <c r="CB770" s="494">
        <f ca="1">IF(OR($Q769&lt;&gt;1,OP!$D$5+$BN770-1&lt;16,$BN770-1&lt;1),0,ROUND(ROUND(ROUND(((VLOOKUP($BN770-1,MORE_PV,5,0)/10000)*VLOOKUP($BN770,MORE_PV,$CB$5,0)),3)*VLOOKUP($BN770,more1,5,0),0)/$R769,0))</f>
        <v>0</v>
      </c>
      <c r="CC770" s="473">
        <f t="shared" ca="1" si="511"/>
        <v>0</v>
      </c>
      <c r="CD770" s="477"/>
    </row>
    <row r="771" spans="2:82" ht="16.5" hidden="1">
      <c r="B771" s="80"/>
      <c r="C771" s="80"/>
      <c r="D771" s="80"/>
      <c r="E771" s="80"/>
      <c r="F771" s="80"/>
      <c r="G771" s="80"/>
      <c r="H771" s="80"/>
      <c r="I771" s="80"/>
      <c r="J771" s="192">
        <f t="shared" si="492"/>
        <v>64</v>
      </c>
      <c r="K771" s="192">
        <f t="shared" si="493"/>
        <v>7</v>
      </c>
      <c r="L771" s="192" t="str">
        <f t="shared" si="488"/>
        <v/>
      </c>
      <c r="M771" s="216">
        <f t="shared" ca="1" si="494"/>
        <v>0</v>
      </c>
      <c r="N771" s="216"/>
      <c r="O771" s="216"/>
      <c r="P771" s="216"/>
      <c r="Q771" s="456" t="str">
        <f t="shared" ca="1" si="495"/>
        <v/>
      </c>
      <c r="R771" s="450">
        <f t="shared" ca="1" si="496"/>
        <v>1</v>
      </c>
      <c r="S771" s="191">
        <f t="shared" si="497"/>
        <v>64</v>
      </c>
      <c r="T771" s="191">
        <f t="shared" si="498"/>
        <v>7</v>
      </c>
      <c r="U771" s="191">
        <f ca="1">OP!$D$5+$S771-1</f>
        <v>96</v>
      </c>
      <c r="V771" s="191" t="str">
        <f t="shared" si="499"/>
        <v/>
      </c>
      <c r="W771" s="350">
        <f ca="1">IF(Q771&lt;&gt;1,0,VLOOKUP(OP!$C$55,PVFB,$S771+2,0))</f>
        <v>0</v>
      </c>
      <c r="X771" s="473">
        <f t="shared" ca="1" si="512"/>
        <v>0</v>
      </c>
      <c r="Y771" s="348">
        <f t="shared" ca="1" si="513"/>
        <v>0</v>
      </c>
      <c r="Z771" s="348">
        <f t="shared" ca="1" si="514"/>
        <v>8012</v>
      </c>
      <c r="AA771" s="348">
        <f ca="1">IF(Q771&lt;&gt;1,0,VLOOKUP(OP!$C$55,PVFB,$S771+2,0))</f>
        <v>0</v>
      </c>
      <c r="AB771" s="488" t="str">
        <f ca="1">IF(AND(S771&lt;OP!$C$24,$U771&lt;15),0,IF(AND($U771&lt;15,$T771=12),ROUND(VLOOKUP($S771,DOWN16,5,0),3),IF($T771=12,ROUND(($Z771/10000)*$AA771,3)+IF(AND($P$7="購買增額繳清保險",T771=12,U771=110),VLOOKUP(S771,$B$10:$H$121,7,0),0),"")))</f>
        <v/>
      </c>
      <c r="AC771" s="350" t="str">
        <f ca="1">IF(AND(S771&lt;OP!$C$24,$U771&lt;15),0,IF(AND($U771&lt;16,$T771=12),VLOOKUP($S771,DOWN16,4,0),IF($T771=12,ROUND(VLOOKUP(OP!$C$55,_DIE2,$S771+1,0)*(Z771/10000),0)+IF(AND($P$7="購買增額繳清保險",T771=12,U771=110),VLOOKUP(S771,$B$10:$H$121,7,0),0),"")))</f>
        <v/>
      </c>
      <c r="AD771" s="347"/>
      <c r="AE771" s="350" t="str">
        <f t="shared" ca="1" si="489"/>
        <v/>
      </c>
      <c r="AF771" s="351" t="str">
        <f t="shared" ca="1" si="490"/>
        <v/>
      </c>
      <c r="AG771" s="340"/>
      <c r="AH771" s="340"/>
      <c r="AI771" s="340"/>
      <c r="AJ771" s="340"/>
      <c r="AK771" s="340"/>
      <c r="AL771" s="340"/>
      <c r="AM771" s="340"/>
      <c r="AN771" s="340"/>
      <c r="AO771" s="340"/>
      <c r="AP771" s="340"/>
      <c r="AQ771" s="340"/>
      <c r="AR771" s="340"/>
      <c r="AS771" s="340"/>
      <c r="AT771" s="340"/>
      <c r="AU771" s="340"/>
      <c r="AV771" s="340"/>
      <c r="AY771" s="340"/>
      <c r="AZ771" s="465">
        <f t="shared" ca="1" si="500"/>
        <v>7.3698599999999999E-5</v>
      </c>
      <c r="BA771" s="464">
        <f t="shared" ca="1" si="501"/>
        <v>2.2109589000000002E-3</v>
      </c>
      <c r="BB771" s="465">
        <f t="shared" ca="1" si="501"/>
        <v>2.2846575E-3</v>
      </c>
      <c r="BC771" s="466">
        <f t="shared" ca="1" si="502"/>
        <v>66081</v>
      </c>
      <c r="BD771" s="467">
        <f t="shared" ca="1" si="515"/>
        <v>66082</v>
      </c>
      <c r="BE771" s="467">
        <f t="shared" ca="1" si="503"/>
        <v>66111</v>
      </c>
      <c r="BF771" s="468">
        <f ca="1">IF(計算!$BC771&lt;OP!$C$3,0,BD771-BC771)</f>
        <v>1</v>
      </c>
      <c r="BG771" s="468">
        <f ca="1">IF($BE771&gt;DATE(YEAR($BD$9)+OP!$C$57,MONTH($BD$9),DAY($BD$9)),0,$BE771-$BD771+1)</f>
        <v>30</v>
      </c>
      <c r="BH771" s="469">
        <f t="shared" ca="1" si="504"/>
        <v>31</v>
      </c>
      <c r="BI771" t="str">
        <f t="shared" si="520"/>
        <v/>
      </c>
      <c r="BJ771">
        <v>6</v>
      </c>
      <c r="BN771" s="468">
        <f t="shared" si="516"/>
        <v>64</v>
      </c>
      <c r="BO771" s="468">
        <f t="shared" si="517"/>
        <v>6</v>
      </c>
      <c r="BP771" s="467">
        <f t="shared" ca="1" si="505"/>
        <v>66082</v>
      </c>
      <c r="BQ771" s="475">
        <f t="shared" ca="1" si="519"/>
        <v>96</v>
      </c>
      <c r="BR771" s="475" t="str">
        <f t="shared" si="518"/>
        <v/>
      </c>
      <c r="BS771" s="471" t="str">
        <f t="shared" si="506"/>
        <v/>
      </c>
      <c r="BT771" s="472" t="str">
        <f t="shared" si="521"/>
        <v/>
      </c>
      <c r="BU771" s="472">
        <f t="shared" ca="1" si="507"/>
        <v>0</v>
      </c>
      <c r="BV771" s="472">
        <f t="shared" ca="1" si="507"/>
        <v>0</v>
      </c>
      <c r="BW771" s="472"/>
      <c r="BX771" s="473">
        <f t="shared" ca="1" si="508"/>
        <v>1569457.83892437</v>
      </c>
      <c r="BY771" s="473">
        <f t="shared" si="509"/>
        <v>0</v>
      </c>
      <c r="BZ771" s="473">
        <f t="shared" ca="1" si="491"/>
        <v>3585.6736226319999</v>
      </c>
      <c r="CA771" s="476">
        <f t="shared" ca="1" si="510"/>
        <v>0</v>
      </c>
      <c r="CB771" s="494">
        <f ca="1">IF(OR($Q770&lt;&gt;1,OP!$D$5+$BN771-1&lt;16,$BN771-1&lt;1),0,ROUND(ROUND(ROUND(((VLOOKUP($BN771-1,MORE_PV,5,0)/10000)*VLOOKUP($BN771,MORE_PV,$CB$5,0)),3)*VLOOKUP($BN771,more1,5,0),0)/$R770,0))</f>
        <v>0</v>
      </c>
      <c r="CC771" s="473">
        <f t="shared" ca="1" si="511"/>
        <v>0</v>
      </c>
      <c r="CD771" s="477"/>
    </row>
    <row r="772" spans="2:82" ht="16.5" hidden="1">
      <c r="B772" s="80"/>
      <c r="C772" s="80"/>
      <c r="D772" s="80"/>
      <c r="E772" s="80"/>
      <c r="F772" s="80"/>
      <c r="G772" s="80"/>
      <c r="H772" s="80"/>
      <c r="I772" s="80"/>
      <c r="J772" s="192">
        <f t="shared" si="492"/>
        <v>64</v>
      </c>
      <c r="K772" s="192">
        <f t="shared" si="493"/>
        <v>8</v>
      </c>
      <c r="L772" s="192" t="str">
        <f t="shared" si="488"/>
        <v/>
      </c>
      <c r="M772" s="216">
        <f t="shared" ca="1" si="494"/>
        <v>0</v>
      </c>
      <c r="N772" s="216"/>
      <c r="O772" s="216"/>
      <c r="P772" s="216"/>
      <c r="Q772" s="456" t="str">
        <f t="shared" ca="1" si="495"/>
        <v/>
      </c>
      <c r="R772" s="450">
        <f t="shared" ca="1" si="496"/>
        <v>1</v>
      </c>
      <c r="S772" s="191">
        <f t="shared" si="497"/>
        <v>64</v>
      </c>
      <c r="T772" s="191">
        <f t="shared" si="498"/>
        <v>8</v>
      </c>
      <c r="U772" s="191">
        <f ca="1">OP!$D$5+$S772-1</f>
        <v>96</v>
      </c>
      <c r="V772" s="191" t="str">
        <f t="shared" si="499"/>
        <v/>
      </c>
      <c r="W772" s="350">
        <f ca="1">IF(Q772&lt;&gt;1,0,VLOOKUP(OP!$C$55,PVFB,$S772+2,0))</f>
        <v>0</v>
      </c>
      <c r="X772" s="473">
        <f t="shared" ca="1" si="512"/>
        <v>0</v>
      </c>
      <c r="Y772" s="348">
        <f t="shared" ca="1" si="513"/>
        <v>0</v>
      </c>
      <c r="Z772" s="348">
        <f t="shared" ca="1" si="514"/>
        <v>8012</v>
      </c>
      <c r="AA772" s="348">
        <f ca="1">IF(Q772&lt;&gt;1,0,VLOOKUP(OP!$C$55,PVFB,$S772+2,0))</f>
        <v>0</v>
      </c>
      <c r="AB772" s="488" t="str">
        <f ca="1">IF(AND(S772&lt;OP!$C$24,$U772&lt;15),0,IF(AND($U772&lt;15,$T772=12),ROUND(VLOOKUP($S772,DOWN16,5,0),3),IF($T772=12,ROUND(($Z772/10000)*$AA772,3)+IF(AND($P$7="購買增額繳清保險",T772=12,U772=110),VLOOKUP(S772,$B$10:$H$121,7,0),0),"")))</f>
        <v/>
      </c>
      <c r="AC772" s="350" t="str">
        <f ca="1">IF(AND(S772&lt;OP!$C$24,$U772&lt;15),0,IF(AND($U772&lt;16,$T772=12),VLOOKUP($S772,DOWN16,4,0),IF($T772=12,ROUND(VLOOKUP(OP!$C$55,_DIE2,$S772+1,0)*(Z772/10000),0)+IF(AND($P$7="購買增額繳清保險",T772=12,U772=110),VLOOKUP(S772,$B$10:$H$121,7,0),0),"")))</f>
        <v/>
      </c>
      <c r="AD772" s="347"/>
      <c r="AE772" s="350" t="str">
        <f t="shared" ca="1" si="489"/>
        <v/>
      </c>
      <c r="AF772" s="351" t="str">
        <f t="shared" ca="1" si="490"/>
        <v/>
      </c>
      <c r="AG772" s="340"/>
      <c r="AH772" s="340"/>
      <c r="AI772" s="340"/>
      <c r="AJ772" s="340"/>
      <c r="AK772" s="340"/>
      <c r="AL772" s="340"/>
      <c r="AM772" s="340"/>
      <c r="AN772" s="340"/>
      <c r="AO772" s="340"/>
      <c r="AP772" s="340"/>
      <c r="AQ772" s="340"/>
      <c r="AR772" s="340"/>
      <c r="AS772" s="340"/>
      <c r="AT772" s="340"/>
      <c r="AU772" s="340"/>
      <c r="AV772" s="340"/>
      <c r="AY772" s="340"/>
      <c r="AZ772" s="465">
        <f t="shared" ca="1" si="500"/>
        <v>7.3698599999999999E-5</v>
      </c>
      <c r="BA772" s="464">
        <f t="shared" ca="1" si="501"/>
        <v>2.2109589000000002E-3</v>
      </c>
      <c r="BB772" s="465">
        <f t="shared" ca="1" si="501"/>
        <v>2.2846575E-3</v>
      </c>
      <c r="BC772" s="466">
        <f t="shared" ca="1" si="502"/>
        <v>66112</v>
      </c>
      <c r="BD772" s="467">
        <f t="shared" ca="1" si="515"/>
        <v>66113</v>
      </c>
      <c r="BE772" s="467">
        <f t="shared" ca="1" si="503"/>
        <v>66142</v>
      </c>
      <c r="BF772" s="468">
        <f ca="1">IF(計算!$BC772&lt;OP!$C$3,0,BD772-BC772)</f>
        <v>1</v>
      </c>
      <c r="BG772" s="468">
        <f ca="1">IF($BE772&gt;DATE(YEAR($BD$9)+OP!$C$57,MONTH($BD$9),DAY($BD$9)),0,$BE772-$BD772+1)</f>
        <v>30</v>
      </c>
      <c r="BH772" s="469">
        <f t="shared" ca="1" si="504"/>
        <v>31</v>
      </c>
      <c r="BI772" t="str">
        <f t="shared" si="520"/>
        <v/>
      </c>
      <c r="BJ772">
        <v>7</v>
      </c>
      <c r="BN772" s="468">
        <f t="shared" si="516"/>
        <v>64</v>
      </c>
      <c r="BO772" s="468">
        <f t="shared" si="517"/>
        <v>7</v>
      </c>
      <c r="BP772" s="467">
        <f t="shared" ca="1" si="505"/>
        <v>66113</v>
      </c>
      <c r="BQ772" s="475">
        <f t="shared" ca="1" si="519"/>
        <v>96</v>
      </c>
      <c r="BR772" s="475" t="str">
        <f t="shared" si="518"/>
        <v/>
      </c>
      <c r="BS772" s="471" t="str">
        <f t="shared" si="506"/>
        <v/>
      </c>
      <c r="BT772" s="472" t="str">
        <f t="shared" si="521"/>
        <v/>
      </c>
      <c r="BU772" s="472">
        <f t="shared" ca="1" si="507"/>
        <v>0</v>
      </c>
      <c r="BV772" s="472">
        <f t="shared" ca="1" si="507"/>
        <v>0</v>
      </c>
      <c r="BW772" s="472"/>
      <c r="BX772" s="473">
        <f t="shared" ca="1" si="508"/>
        <v>1573043.5125470001</v>
      </c>
      <c r="BY772" s="473">
        <f t="shared" si="509"/>
        <v>0</v>
      </c>
      <c r="BZ772" s="473">
        <f t="shared" ca="1" si="491"/>
        <v>3593.8656587669998</v>
      </c>
      <c r="CA772" s="476">
        <f t="shared" ca="1" si="510"/>
        <v>0</v>
      </c>
      <c r="CB772" s="494">
        <f ca="1">IF(OR($Q771&lt;&gt;1,OP!$D$5+$BN772-1&lt;16,$BN772-1&lt;1),0,ROUND(ROUND(ROUND(((VLOOKUP($BN772-1,MORE_PV,5,0)/10000)*VLOOKUP($BN772,MORE_PV,$CB$5,0)),3)*VLOOKUP($BN772,more1,5,0),0)/$R771,0))</f>
        <v>0</v>
      </c>
      <c r="CC772" s="473">
        <f t="shared" ca="1" si="511"/>
        <v>0</v>
      </c>
      <c r="CD772" s="477"/>
    </row>
    <row r="773" spans="2:82" ht="16.5" hidden="1">
      <c r="B773" s="80"/>
      <c r="C773" s="80"/>
      <c r="D773" s="80"/>
      <c r="E773" s="80"/>
      <c r="F773" s="80"/>
      <c r="G773" s="80"/>
      <c r="H773" s="80"/>
      <c r="I773" s="80"/>
      <c r="J773" s="192">
        <f t="shared" si="492"/>
        <v>64</v>
      </c>
      <c r="K773" s="192">
        <f t="shared" si="493"/>
        <v>9</v>
      </c>
      <c r="L773" s="192" t="str">
        <f t="shared" si="488"/>
        <v/>
      </c>
      <c r="M773" s="216">
        <f t="shared" ca="1" si="494"/>
        <v>0</v>
      </c>
      <c r="N773" s="216"/>
      <c r="O773" s="216"/>
      <c r="P773" s="216"/>
      <c r="Q773" s="456" t="str">
        <f t="shared" ca="1" si="495"/>
        <v/>
      </c>
      <c r="R773" s="450">
        <f t="shared" ca="1" si="496"/>
        <v>1</v>
      </c>
      <c r="S773" s="191">
        <f t="shared" si="497"/>
        <v>64</v>
      </c>
      <c r="T773" s="191">
        <f t="shared" si="498"/>
        <v>9</v>
      </c>
      <c r="U773" s="191">
        <f ca="1">OP!$D$5+$S773-1</f>
        <v>96</v>
      </c>
      <c r="V773" s="191" t="str">
        <f t="shared" si="499"/>
        <v/>
      </c>
      <c r="W773" s="350">
        <f ca="1">IF(Q773&lt;&gt;1,0,VLOOKUP(OP!$C$55,PVFB,$S773+2,0))</f>
        <v>0</v>
      </c>
      <c r="X773" s="473">
        <f t="shared" ca="1" si="512"/>
        <v>0</v>
      </c>
      <c r="Y773" s="348">
        <f t="shared" ca="1" si="513"/>
        <v>0</v>
      </c>
      <c r="Z773" s="348">
        <f t="shared" ca="1" si="514"/>
        <v>8012</v>
      </c>
      <c r="AA773" s="348">
        <f ca="1">IF(Q773&lt;&gt;1,0,VLOOKUP(OP!$C$55,PVFB,$S773+2,0))</f>
        <v>0</v>
      </c>
      <c r="AB773" s="488" t="str">
        <f ca="1">IF(AND(S773&lt;OP!$C$24,$U773&lt;15),0,IF(AND($U773&lt;15,$T773=12),ROUND(VLOOKUP($S773,DOWN16,5,0),3),IF($T773=12,ROUND(($Z773/10000)*$AA773,3)+IF(AND($P$7="購買增額繳清保險",T773=12,U773=110),VLOOKUP(S773,$B$10:$H$121,7,0),0),"")))</f>
        <v/>
      </c>
      <c r="AC773" s="350" t="str">
        <f ca="1">IF(AND(S773&lt;OP!$C$24,$U773&lt;15),0,IF(AND($U773&lt;16,$T773=12),VLOOKUP($S773,DOWN16,4,0),IF($T773=12,ROUND(VLOOKUP(OP!$C$55,_DIE2,$S773+1,0)*(Z773/10000),0)+IF(AND($P$7="購買增額繳清保險",T773=12,U773=110),VLOOKUP(S773,$B$10:$H$121,7,0),0),"")))</f>
        <v/>
      </c>
      <c r="AD773" s="347"/>
      <c r="AE773" s="350" t="str">
        <f t="shared" ca="1" si="489"/>
        <v/>
      </c>
      <c r="AF773" s="351" t="str">
        <f t="shared" ca="1" si="490"/>
        <v/>
      </c>
      <c r="AG773" s="340"/>
      <c r="AH773" s="340"/>
      <c r="AI773" s="340"/>
      <c r="AJ773" s="340"/>
      <c r="AK773" s="340"/>
      <c r="AL773" s="340"/>
      <c r="AM773" s="340"/>
      <c r="AN773" s="340"/>
      <c r="AO773" s="340"/>
      <c r="AP773" s="340"/>
      <c r="AQ773" s="340"/>
      <c r="AR773" s="340"/>
      <c r="AS773" s="340"/>
      <c r="AT773" s="340"/>
      <c r="AU773" s="340"/>
      <c r="AV773" s="340"/>
      <c r="AY773" s="340"/>
      <c r="AZ773" s="465">
        <f t="shared" ca="1" si="500"/>
        <v>7.3698599999999999E-5</v>
      </c>
      <c r="BA773" s="464">
        <f t="shared" ca="1" si="501"/>
        <v>1.9898630000000001E-3</v>
      </c>
      <c r="BB773" s="465">
        <f t="shared" ca="1" si="501"/>
        <v>2.0635616E-3</v>
      </c>
      <c r="BC773" s="466">
        <f t="shared" ca="1" si="502"/>
        <v>66143</v>
      </c>
      <c r="BD773" s="467">
        <f t="shared" ca="1" si="515"/>
        <v>66144</v>
      </c>
      <c r="BE773" s="467">
        <f t="shared" ca="1" si="503"/>
        <v>66170</v>
      </c>
      <c r="BF773" s="468">
        <f ca="1">IF(計算!$BC773&lt;OP!$C$3,0,BD773-BC773)</f>
        <v>1</v>
      </c>
      <c r="BG773" s="468">
        <f ca="1">IF($BE773&gt;DATE(YEAR($BD$9)+OP!$C$57,MONTH($BD$9),DAY($BD$9)),0,$BE773-$BD773+1)</f>
        <v>27</v>
      </c>
      <c r="BH773" s="469">
        <f t="shared" ca="1" si="504"/>
        <v>28</v>
      </c>
      <c r="BI773" t="str">
        <f t="shared" si="520"/>
        <v/>
      </c>
      <c r="BJ773">
        <v>8</v>
      </c>
      <c r="BN773" s="468">
        <f t="shared" si="516"/>
        <v>64</v>
      </c>
      <c r="BO773" s="468">
        <f t="shared" si="517"/>
        <v>8</v>
      </c>
      <c r="BP773" s="467">
        <f t="shared" ca="1" si="505"/>
        <v>66144</v>
      </c>
      <c r="BQ773" s="475">
        <f t="shared" ca="1" si="519"/>
        <v>96</v>
      </c>
      <c r="BR773" s="475" t="str">
        <f t="shared" si="518"/>
        <v/>
      </c>
      <c r="BS773" s="471" t="str">
        <f t="shared" si="506"/>
        <v/>
      </c>
      <c r="BT773" s="472" t="str">
        <f t="shared" si="521"/>
        <v/>
      </c>
      <c r="BU773" s="472">
        <f t="shared" ca="1" si="507"/>
        <v>0</v>
      </c>
      <c r="BV773" s="472">
        <f t="shared" ca="1" si="507"/>
        <v>0</v>
      </c>
      <c r="BW773" s="472"/>
      <c r="BX773" s="473">
        <f t="shared" ca="1" si="508"/>
        <v>1576637.3782057699</v>
      </c>
      <c r="BY773" s="473">
        <f t="shared" si="509"/>
        <v>0</v>
      </c>
      <c r="BZ773" s="473">
        <f t="shared" ca="1" si="491"/>
        <v>3253.4883507899999</v>
      </c>
      <c r="CA773" s="476">
        <f t="shared" ca="1" si="510"/>
        <v>0</v>
      </c>
      <c r="CB773" s="494">
        <f ca="1">IF(OR($Q772&lt;&gt;1,OP!$D$5+$BN773-1&lt;16,$BN773-1&lt;1),0,ROUND(ROUND(ROUND(((VLOOKUP($BN773-1,MORE_PV,5,0)/10000)*VLOOKUP($BN773,MORE_PV,$CB$5,0)),3)*VLOOKUP($BN773,more1,5,0),0)/$R772,0))</f>
        <v>0</v>
      </c>
      <c r="CC773" s="473">
        <f t="shared" ca="1" si="511"/>
        <v>0</v>
      </c>
      <c r="CD773" s="477"/>
    </row>
    <row r="774" spans="2:82" ht="16.5" hidden="1">
      <c r="B774" s="80"/>
      <c r="C774" s="80"/>
      <c r="D774" s="80"/>
      <c r="E774" s="80"/>
      <c r="F774" s="80"/>
      <c r="G774" s="80"/>
      <c r="H774" s="80"/>
      <c r="I774" s="80"/>
      <c r="J774" s="192">
        <f t="shared" si="492"/>
        <v>64</v>
      </c>
      <c r="K774" s="192">
        <f t="shared" si="493"/>
        <v>10</v>
      </c>
      <c r="L774" s="192" t="str">
        <f t="shared" si="488"/>
        <v/>
      </c>
      <c r="M774" s="216">
        <f t="shared" ca="1" si="494"/>
        <v>0</v>
      </c>
      <c r="N774" s="216"/>
      <c r="O774" s="216"/>
      <c r="P774" s="216"/>
      <c r="Q774" s="456" t="str">
        <f t="shared" ca="1" si="495"/>
        <v/>
      </c>
      <c r="R774" s="450">
        <f t="shared" ca="1" si="496"/>
        <v>1</v>
      </c>
      <c r="S774" s="191">
        <f t="shared" si="497"/>
        <v>64</v>
      </c>
      <c r="T774" s="191">
        <f t="shared" si="498"/>
        <v>10</v>
      </c>
      <c r="U774" s="191">
        <f ca="1">OP!$D$5+$S774-1</f>
        <v>96</v>
      </c>
      <c r="V774" s="191" t="str">
        <f t="shared" si="499"/>
        <v/>
      </c>
      <c r="W774" s="350">
        <f ca="1">IF(Q774&lt;&gt;1,0,VLOOKUP(OP!$C$55,PVFB,$S774+2,0))</f>
        <v>0</v>
      </c>
      <c r="X774" s="473">
        <f t="shared" ca="1" si="512"/>
        <v>0</v>
      </c>
      <c r="Y774" s="348">
        <f t="shared" ca="1" si="513"/>
        <v>0</v>
      </c>
      <c r="Z774" s="348">
        <f t="shared" ca="1" si="514"/>
        <v>8012</v>
      </c>
      <c r="AA774" s="348">
        <f ca="1">IF(Q774&lt;&gt;1,0,VLOOKUP(OP!$C$55,PVFB,$S774+2,0))</f>
        <v>0</v>
      </c>
      <c r="AB774" s="488" t="str">
        <f ca="1">IF(AND(S774&lt;OP!$C$24,$U774&lt;15),0,IF(AND($U774&lt;15,$T774=12),ROUND(VLOOKUP($S774,DOWN16,5,0),3),IF($T774=12,ROUND(($Z774/10000)*$AA774,3)+IF(AND($P$7="購買增額繳清保險",T774=12,U774=110),VLOOKUP(S774,$B$10:$H$121,7,0),0),"")))</f>
        <v/>
      </c>
      <c r="AC774" s="350" t="str">
        <f ca="1">IF(AND(S774&lt;OP!$C$24,$U774&lt;15),0,IF(AND($U774&lt;16,$T774=12),VLOOKUP($S774,DOWN16,4,0),IF($T774=12,ROUND(VLOOKUP(OP!$C$55,_DIE2,$S774+1,0)*(Z774/10000),0)+IF(AND($P$7="購買增額繳清保險",T774=12,U774=110),VLOOKUP(S774,$B$10:$H$121,7,0),0),"")))</f>
        <v/>
      </c>
      <c r="AD774" s="347"/>
      <c r="AE774" s="350" t="str">
        <f t="shared" ca="1" si="489"/>
        <v/>
      </c>
      <c r="AF774" s="351" t="str">
        <f t="shared" ca="1" si="490"/>
        <v/>
      </c>
      <c r="AG774" s="340"/>
      <c r="AH774" s="340"/>
      <c r="AI774" s="340"/>
      <c r="AJ774" s="340"/>
      <c r="AK774" s="340"/>
      <c r="AL774" s="340"/>
      <c r="AM774" s="340"/>
      <c r="AN774" s="340"/>
      <c r="AO774" s="340"/>
      <c r="AP774" s="340"/>
      <c r="AQ774" s="340"/>
      <c r="AR774" s="340"/>
      <c r="AS774" s="340"/>
      <c r="AT774" s="340"/>
      <c r="AU774" s="340"/>
      <c r="AV774" s="340"/>
      <c r="AY774" s="340"/>
      <c r="AZ774" s="465">
        <f t="shared" ca="1" si="500"/>
        <v>7.3698599999999999E-5</v>
      </c>
      <c r="BA774" s="464">
        <f t="shared" ca="1" si="501"/>
        <v>2.2109589000000002E-3</v>
      </c>
      <c r="BB774" s="465">
        <f t="shared" ca="1" si="501"/>
        <v>2.2846575E-3</v>
      </c>
      <c r="BC774" s="466">
        <f t="shared" ca="1" si="502"/>
        <v>66171</v>
      </c>
      <c r="BD774" s="467">
        <f t="shared" ca="1" si="515"/>
        <v>66172</v>
      </c>
      <c r="BE774" s="467">
        <f t="shared" ca="1" si="503"/>
        <v>66201</v>
      </c>
      <c r="BF774" s="468">
        <f ca="1">IF(計算!$BC774&lt;OP!$C$3,0,BD774-BC774)</f>
        <v>1</v>
      </c>
      <c r="BG774" s="468">
        <f ca="1">IF($BE774&gt;DATE(YEAR($BD$9)+OP!$C$57,MONTH($BD$9),DAY($BD$9)),0,$BE774-$BD774+1)</f>
        <v>30</v>
      </c>
      <c r="BH774" s="469">
        <f t="shared" ca="1" si="504"/>
        <v>31</v>
      </c>
      <c r="BI774" t="str">
        <f t="shared" si="520"/>
        <v/>
      </c>
      <c r="BJ774">
        <v>9</v>
      </c>
      <c r="BN774" s="468">
        <f t="shared" si="516"/>
        <v>64</v>
      </c>
      <c r="BO774" s="468">
        <f t="shared" si="517"/>
        <v>9</v>
      </c>
      <c r="BP774" s="467">
        <f t="shared" ca="1" si="505"/>
        <v>66172</v>
      </c>
      <c r="BQ774" s="475">
        <f t="shared" ca="1" si="519"/>
        <v>96</v>
      </c>
      <c r="BR774" s="475" t="str">
        <f t="shared" si="518"/>
        <v/>
      </c>
      <c r="BS774" s="471" t="str">
        <f t="shared" si="506"/>
        <v/>
      </c>
      <c r="BT774" s="472" t="str">
        <f t="shared" si="521"/>
        <v/>
      </c>
      <c r="BU774" s="472">
        <f t="shared" ca="1" si="507"/>
        <v>0</v>
      </c>
      <c r="BV774" s="472">
        <f t="shared" ca="1" si="507"/>
        <v>0</v>
      </c>
      <c r="BW774" s="472"/>
      <c r="BX774" s="473">
        <f t="shared" ca="1" si="508"/>
        <v>1579890.8665565599</v>
      </c>
      <c r="BY774" s="473">
        <f t="shared" si="509"/>
        <v>0</v>
      </c>
      <c r="BZ774" s="473">
        <f t="shared" ca="1" si="491"/>
        <v>3609.5095174600001</v>
      </c>
      <c r="CA774" s="476">
        <f t="shared" ca="1" si="510"/>
        <v>0</v>
      </c>
      <c r="CB774" s="494">
        <f ca="1">IF(OR($Q773&lt;&gt;1,OP!$D$5+$BN774-1&lt;16,$BN774-1&lt;1),0,ROUND(ROUND(ROUND(((VLOOKUP($BN774-1,MORE_PV,5,0)/10000)*VLOOKUP($BN774,MORE_PV,$CB$5,0)),3)*VLOOKUP($BN774,more1,5,0),0)/$R773,0))</f>
        <v>0</v>
      </c>
      <c r="CC774" s="473">
        <f t="shared" ca="1" si="511"/>
        <v>0</v>
      </c>
      <c r="CD774" s="477"/>
    </row>
    <row r="775" spans="2:82" ht="16.5" hidden="1">
      <c r="B775" s="80"/>
      <c r="C775" s="80"/>
      <c r="D775" s="80"/>
      <c r="E775" s="80"/>
      <c r="F775" s="80"/>
      <c r="G775" s="80"/>
      <c r="H775" s="80"/>
      <c r="I775" s="80"/>
      <c r="J775" s="192">
        <f t="shared" si="492"/>
        <v>64</v>
      </c>
      <c r="K775" s="192">
        <f t="shared" si="493"/>
        <v>11</v>
      </c>
      <c r="L775" s="192" t="str">
        <f t="shared" si="488"/>
        <v/>
      </c>
      <c r="M775" s="216">
        <f t="shared" ca="1" si="494"/>
        <v>0</v>
      </c>
      <c r="N775" s="216"/>
      <c r="O775" s="216"/>
      <c r="P775" s="216"/>
      <c r="Q775" s="456" t="str">
        <f t="shared" ca="1" si="495"/>
        <v/>
      </c>
      <c r="R775" s="450">
        <f t="shared" ca="1" si="496"/>
        <v>1</v>
      </c>
      <c r="S775" s="191">
        <f t="shared" si="497"/>
        <v>64</v>
      </c>
      <c r="T775" s="191">
        <f t="shared" si="498"/>
        <v>11</v>
      </c>
      <c r="U775" s="191">
        <f ca="1">OP!$D$5+$S775-1</f>
        <v>96</v>
      </c>
      <c r="V775" s="191" t="str">
        <f t="shared" si="499"/>
        <v/>
      </c>
      <c r="W775" s="350">
        <f ca="1">IF(Q775&lt;&gt;1,0,VLOOKUP(OP!$C$55,PVFB,$S775+2,0))</f>
        <v>0</v>
      </c>
      <c r="X775" s="473">
        <f t="shared" ca="1" si="512"/>
        <v>0</v>
      </c>
      <c r="Y775" s="348">
        <f t="shared" ca="1" si="513"/>
        <v>0</v>
      </c>
      <c r="Z775" s="348">
        <f t="shared" ca="1" si="514"/>
        <v>8012</v>
      </c>
      <c r="AA775" s="348">
        <f ca="1">IF(Q775&lt;&gt;1,0,VLOOKUP(OP!$C$55,PVFB,$S775+2,0))</f>
        <v>0</v>
      </c>
      <c r="AB775" s="488" t="str">
        <f ca="1">IF(AND(S775&lt;OP!$C$24,$U775&lt;15),0,IF(AND($U775&lt;15,$T775=12),ROUND(VLOOKUP($S775,DOWN16,5,0),3),IF($T775=12,ROUND(($Z775/10000)*$AA775,3)+IF(AND($P$7="購買增額繳清保險",T775=12,U775=110),VLOOKUP(S775,$B$10:$H$121,7,0),0),"")))</f>
        <v/>
      </c>
      <c r="AC775" s="350" t="str">
        <f ca="1">IF(AND(S775&lt;OP!$C$24,$U775&lt;15),0,IF(AND($U775&lt;16,$T775=12),VLOOKUP($S775,DOWN16,4,0),IF($T775=12,ROUND(VLOOKUP(OP!$C$55,_DIE2,$S775+1,0)*(Z775/10000),0)+IF(AND($P$7="購買增額繳清保險",T775=12,U775=110),VLOOKUP(S775,$B$10:$H$121,7,0),0),"")))</f>
        <v/>
      </c>
      <c r="AD775" s="347"/>
      <c r="AE775" s="350" t="str">
        <f t="shared" ca="1" si="489"/>
        <v/>
      </c>
      <c r="AF775" s="351" t="str">
        <f t="shared" ca="1" si="490"/>
        <v/>
      </c>
      <c r="AG775" s="340"/>
      <c r="AH775" s="340"/>
      <c r="AI775" s="340"/>
      <c r="AJ775" s="340"/>
      <c r="AK775" s="340"/>
      <c r="AL775" s="340"/>
      <c r="AM775" s="340"/>
      <c r="AN775" s="340"/>
      <c r="AO775" s="340"/>
      <c r="AP775" s="340"/>
      <c r="AQ775" s="340"/>
      <c r="AR775" s="340"/>
      <c r="AS775" s="340"/>
      <c r="AT775" s="340"/>
      <c r="AU775" s="340"/>
      <c r="AV775" s="340"/>
      <c r="AY775" s="340"/>
      <c r="AZ775" s="465">
        <f t="shared" ca="1" si="500"/>
        <v>7.3698599999999999E-5</v>
      </c>
      <c r="BA775" s="464">
        <f t="shared" ca="1" si="501"/>
        <v>2.1372602999999999E-3</v>
      </c>
      <c r="BB775" s="465">
        <f t="shared" ca="1" si="501"/>
        <v>2.2109589000000002E-3</v>
      </c>
      <c r="BC775" s="466">
        <f t="shared" ca="1" si="502"/>
        <v>66202</v>
      </c>
      <c r="BD775" s="467">
        <f t="shared" ca="1" si="515"/>
        <v>66203</v>
      </c>
      <c r="BE775" s="467">
        <f t="shared" ca="1" si="503"/>
        <v>66231</v>
      </c>
      <c r="BF775" s="468">
        <f ca="1">IF(計算!$BC775&lt;OP!$C$3,0,BD775-BC775)</f>
        <v>1</v>
      </c>
      <c r="BG775" s="468">
        <f ca="1">IF($BE775&gt;DATE(YEAR($BD$9)+OP!$C$57,MONTH($BD$9),DAY($BD$9)),0,$BE775-$BD775+1)</f>
        <v>29</v>
      </c>
      <c r="BH775" s="469">
        <f t="shared" ca="1" si="504"/>
        <v>30</v>
      </c>
      <c r="BI775" t="str">
        <f t="shared" si="520"/>
        <v/>
      </c>
      <c r="BJ775">
        <v>10</v>
      </c>
      <c r="BN775" s="468">
        <f t="shared" si="516"/>
        <v>64</v>
      </c>
      <c r="BO775" s="468">
        <f t="shared" si="517"/>
        <v>10</v>
      </c>
      <c r="BP775" s="467">
        <f t="shared" ca="1" si="505"/>
        <v>66203</v>
      </c>
      <c r="BQ775" s="475">
        <f t="shared" ca="1" si="519"/>
        <v>96</v>
      </c>
      <c r="BR775" s="475" t="str">
        <f t="shared" si="518"/>
        <v/>
      </c>
      <c r="BS775" s="471" t="str">
        <f t="shared" si="506"/>
        <v/>
      </c>
      <c r="BT775" s="472" t="str">
        <f t="shared" si="521"/>
        <v/>
      </c>
      <c r="BU775" s="472">
        <f t="shared" ca="1" si="507"/>
        <v>0</v>
      </c>
      <c r="BV775" s="472">
        <f t="shared" ca="1" si="507"/>
        <v>0</v>
      </c>
      <c r="BW775" s="472"/>
      <c r="BX775" s="473">
        <f t="shared" ca="1" si="508"/>
        <v>1583500.3760740201</v>
      </c>
      <c r="BY775" s="473">
        <f t="shared" si="509"/>
        <v>0</v>
      </c>
      <c r="BZ775" s="473">
        <f t="shared" ca="1" si="491"/>
        <v>3501.0542496339999</v>
      </c>
      <c r="CA775" s="476">
        <f t="shared" ca="1" si="510"/>
        <v>0</v>
      </c>
      <c r="CB775" s="494">
        <f ca="1">IF(OR($Q774&lt;&gt;1,OP!$D$5+$BN775-1&lt;16,$BN775-1&lt;1),0,ROUND(ROUND(ROUND(((VLOOKUP($BN775-1,MORE_PV,5,0)/10000)*VLOOKUP($BN775,MORE_PV,$CB$5,0)),3)*VLOOKUP($BN775,more1,5,0),0)/$R774,0))</f>
        <v>0</v>
      </c>
      <c r="CC775" s="473">
        <f t="shared" ca="1" si="511"/>
        <v>0</v>
      </c>
      <c r="CD775" s="477"/>
    </row>
    <row r="776" spans="2:82" ht="16.5" hidden="1">
      <c r="B776" s="80"/>
      <c r="C776" s="80"/>
      <c r="D776" s="80"/>
      <c r="E776" s="80"/>
      <c r="F776" s="80"/>
      <c r="G776" s="80"/>
      <c r="H776" s="80"/>
      <c r="I776" s="80"/>
      <c r="J776" s="192">
        <f t="shared" si="492"/>
        <v>64</v>
      </c>
      <c r="K776" s="192">
        <f t="shared" si="493"/>
        <v>12</v>
      </c>
      <c r="L776" s="192">
        <f t="shared" si="488"/>
        <v>64</v>
      </c>
      <c r="M776" s="216">
        <f t="shared" ca="1" si="494"/>
        <v>1612507</v>
      </c>
      <c r="N776" s="216"/>
      <c r="O776" s="216"/>
      <c r="P776" s="216"/>
      <c r="Q776" s="456">
        <f t="shared" ca="1" si="495"/>
        <v>1</v>
      </c>
      <c r="R776" s="450">
        <f t="shared" ca="1" si="496"/>
        <v>1</v>
      </c>
      <c r="S776" s="191">
        <f t="shared" si="497"/>
        <v>64</v>
      </c>
      <c r="T776" s="191">
        <f t="shared" si="498"/>
        <v>12</v>
      </c>
      <c r="U776" s="191">
        <f ca="1">OP!$D$5+$S776-1</f>
        <v>96</v>
      </c>
      <c r="V776" s="191">
        <f t="shared" si="499"/>
        <v>64</v>
      </c>
      <c r="W776" s="350">
        <f ca="1">IF(Q776&lt;&gt;1,0,VLOOKUP(OP!$C$55,PVFB,$S776+2,0))</f>
        <v>90632</v>
      </c>
      <c r="X776" s="473">
        <f t="shared" ca="1" si="512"/>
        <v>21763</v>
      </c>
      <c r="Y776" s="348">
        <f t="shared" ca="1" si="513"/>
        <v>0</v>
      </c>
      <c r="Z776" s="348">
        <f t="shared" ca="1" si="514"/>
        <v>8012</v>
      </c>
      <c r="AA776" s="348">
        <f ca="1">IF(Q776&lt;&gt;1,0,VLOOKUP(OP!$C$55,PVFB,$S776+2,0))</f>
        <v>90632</v>
      </c>
      <c r="AB776" s="488">
        <f ca="1">IF(AND(S776&lt;OP!$C$24,$U776&lt;15),0,IF(AND($U776&lt;15,$T776=12),ROUND(VLOOKUP($S776,DOWN16,5,0),3),IF($T776=12,ROUND(($Z776/10000)*$AA776,3)+IF(AND($P$7="購買增額繳清保險",T776=12,U776=110),VLOOKUP(S776,$B$10:$H$121,7,0),0),"")))</f>
        <v>72614.357999999993</v>
      </c>
      <c r="AC776" s="350">
        <f ca="1">IF(AND(S776&lt;OP!$C$24,$U776&lt;15),0,IF(AND($U776&lt;16,$T776=12),VLOOKUP($S776,DOWN16,4,0),IF($T776=12,ROUND(VLOOKUP(OP!$C$55,_DIE2,$S776+1,0)*(Z776/10000),0)+IF(AND($P$7="購買增額繳清保險",T776=12,U776=110),VLOOKUP(S776,$B$10:$H$121,7,0),0),"")))</f>
        <v>73069</v>
      </c>
      <c r="AD776" s="347"/>
      <c r="AE776" s="350" t="str">
        <f t="shared" ca="1" si="489"/>
        <v/>
      </c>
      <c r="AF776" s="351" t="str">
        <f t="shared" ca="1" si="490"/>
        <v/>
      </c>
      <c r="AG776" s="340"/>
      <c r="AH776" s="340"/>
      <c r="AI776" s="340"/>
      <c r="AJ776" s="340"/>
      <c r="AK776" s="340"/>
      <c r="AL776" s="340"/>
      <c r="AM776" s="340"/>
      <c r="AN776" s="340"/>
      <c r="AO776" s="340"/>
      <c r="AP776" s="340"/>
      <c r="AQ776" s="340"/>
      <c r="AR776" s="340"/>
      <c r="AS776" s="340"/>
      <c r="AT776" s="340"/>
      <c r="AU776" s="340"/>
      <c r="AV776" s="340"/>
      <c r="AY776" s="340"/>
      <c r="AZ776" s="465">
        <f t="shared" ca="1" si="500"/>
        <v>7.3698599999999999E-5</v>
      </c>
      <c r="BA776" s="464">
        <f t="shared" ca="1" si="501"/>
        <v>2.2109589000000002E-3</v>
      </c>
      <c r="BB776" s="465">
        <f t="shared" ca="1" si="501"/>
        <v>2.2846575E-3</v>
      </c>
      <c r="BC776" s="466">
        <f t="shared" ca="1" si="502"/>
        <v>66232</v>
      </c>
      <c r="BD776" s="467">
        <f t="shared" ca="1" si="515"/>
        <v>66233</v>
      </c>
      <c r="BE776" s="467">
        <f t="shared" ca="1" si="503"/>
        <v>66262</v>
      </c>
      <c r="BF776" s="468">
        <f ca="1">IF(計算!$BC776&lt;OP!$C$3,0,BD776-BC776)</f>
        <v>1</v>
      </c>
      <c r="BG776" s="468">
        <f ca="1">IF($BE776&gt;DATE(YEAR($BD$9)+OP!$C$57,MONTH($BD$9),DAY($BD$9)),0,$BE776-$BD776+1)</f>
        <v>30</v>
      </c>
      <c r="BH776" s="469">
        <f t="shared" ca="1" si="504"/>
        <v>31</v>
      </c>
      <c r="BI776" t="str">
        <f t="shared" si="520"/>
        <v/>
      </c>
      <c r="BJ776">
        <v>11</v>
      </c>
      <c r="BN776" s="468">
        <f t="shared" si="516"/>
        <v>64</v>
      </c>
      <c r="BO776" s="468">
        <f t="shared" si="517"/>
        <v>11</v>
      </c>
      <c r="BP776" s="467">
        <f t="shared" ca="1" si="505"/>
        <v>66233</v>
      </c>
      <c r="BQ776" s="475">
        <f t="shared" ca="1" si="519"/>
        <v>96</v>
      </c>
      <c r="BR776" s="475" t="str">
        <f t="shared" si="518"/>
        <v/>
      </c>
      <c r="BS776" s="471" t="str">
        <f t="shared" si="506"/>
        <v/>
      </c>
      <c r="BT776" s="472" t="str">
        <f t="shared" si="521"/>
        <v/>
      </c>
      <c r="BU776" s="472">
        <f t="shared" ca="1" si="507"/>
        <v>0</v>
      </c>
      <c r="BV776" s="472">
        <f t="shared" ca="1" si="507"/>
        <v>0</v>
      </c>
      <c r="BW776" s="472"/>
      <c r="BX776" s="473">
        <f t="shared" ca="1" si="508"/>
        <v>1587001.4303236499</v>
      </c>
      <c r="BY776" s="473">
        <f t="shared" si="509"/>
        <v>0</v>
      </c>
      <c r="BZ776" s="473">
        <f t="shared" ca="1" si="491"/>
        <v>3625.7547202999999</v>
      </c>
      <c r="CA776" s="476">
        <f t="shared" ca="1" si="510"/>
        <v>0</v>
      </c>
      <c r="CB776" s="494">
        <f ca="1">IF(OR($Q775&lt;&gt;1,OP!$D$5+$BN776-1&lt;16,$BN776-1&lt;1),0,ROUND(ROUND(ROUND(((VLOOKUP($BN776-1,MORE_PV,5,0)/10000)*VLOOKUP($BN776,MORE_PV,$CB$5,0)),3)*VLOOKUP($BN776,more1,5,0),0)/$R775,0))</f>
        <v>0</v>
      </c>
      <c r="CC776" s="473">
        <f t="shared" ca="1" si="511"/>
        <v>0</v>
      </c>
      <c r="CD776" s="477"/>
    </row>
    <row r="777" spans="2:82" ht="16.5" hidden="1">
      <c r="B777" s="80"/>
      <c r="C777" s="80"/>
      <c r="D777" s="80"/>
      <c r="E777" s="80"/>
      <c r="F777" s="80"/>
      <c r="G777" s="80"/>
      <c r="H777" s="80"/>
      <c r="I777" s="80"/>
      <c r="J777" s="192">
        <f t="shared" si="492"/>
        <v>65</v>
      </c>
      <c r="K777" s="192">
        <f t="shared" si="493"/>
        <v>1</v>
      </c>
      <c r="L777" s="192" t="str">
        <f t="shared" ref="L777:L840" si="522">IF($K777=12,$J777,"")</f>
        <v/>
      </c>
      <c r="M777" s="216">
        <f t="shared" ca="1" si="494"/>
        <v>0</v>
      </c>
      <c r="N777" s="216"/>
      <c r="O777" s="216"/>
      <c r="P777" s="216"/>
      <c r="Q777" s="456" t="str">
        <f t="shared" ca="1" si="495"/>
        <v/>
      </c>
      <c r="R777" s="450">
        <f t="shared" ca="1" si="496"/>
        <v>1</v>
      </c>
      <c r="S777" s="191">
        <f t="shared" si="497"/>
        <v>65</v>
      </c>
      <c r="T777" s="191">
        <f t="shared" si="498"/>
        <v>1</v>
      </c>
      <c r="U777" s="191">
        <f ca="1">OP!$D$5+$S777-1</f>
        <v>97</v>
      </c>
      <c r="V777" s="191" t="str">
        <f t="shared" si="499"/>
        <v/>
      </c>
      <c r="W777" s="350">
        <f ca="1">IF(Q777&lt;&gt;1,0,VLOOKUP(OP!$C$55,PVFB,$S777+2,0))</f>
        <v>0</v>
      </c>
      <c r="X777" s="473">
        <f t="shared" ca="1" si="512"/>
        <v>0</v>
      </c>
      <c r="Y777" s="348">
        <f t="shared" ca="1" si="513"/>
        <v>0</v>
      </c>
      <c r="Z777" s="348">
        <f t="shared" ca="1" si="514"/>
        <v>8012</v>
      </c>
      <c r="AA777" s="348">
        <f ca="1">IF(Q777&lt;&gt;1,0,VLOOKUP(OP!$C$55,PVFB,$S777+2,0))</f>
        <v>0</v>
      </c>
      <c r="AB777" s="488" t="str">
        <f ca="1">IF(AND(S777&lt;OP!$C$24,$U777&lt;15),0,IF(AND($U777&lt;15,$T777=12),ROUND(VLOOKUP($S777,DOWN16,5,0),3),IF($T777=12,ROUND(($Z777/10000)*$AA777,3)+IF(AND($P$7="購買增額繳清保險",T777=12,U777=110),VLOOKUP(S777,$B$10:$H$121,7,0),0),"")))</f>
        <v/>
      </c>
      <c r="AC777" s="350" t="str">
        <f ca="1">IF(AND(S777&lt;OP!$C$24,$U777&lt;15),0,IF(AND($U777&lt;16,$T777=12),VLOOKUP($S777,DOWN16,4,0),IF($T777=12,ROUND(VLOOKUP(OP!$C$55,_DIE2,$S777+1,0)*(Z777/10000),0)+IF(AND($P$7="購買增額繳清保險",T777=12,U777=110),VLOOKUP(S777,$B$10:$H$121,7,0),0),"")))</f>
        <v/>
      </c>
      <c r="AD777" s="347"/>
      <c r="AE777" s="350" t="str">
        <f t="shared" ref="AE777:AE840" ca="1" si="523">IF(AND($U$9&lt;16,$T777=12),VLOOKUP($S777,DOWN16,4,0),"")</f>
        <v/>
      </c>
      <c r="AF777" s="351" t="str">
        <f t="shared" ref="AF777:AF840" ca="1" si="524">IF(AND($U$9&lt;16,$T777=12),VLOOKUP($S777,DOWN16,5,0),"")</f>
        <v/>
      </c>
      <c r="AG777" s="340"/>
      <c r="AH777" s="340"/>
      <c r="AI777" s="340"/>
      <c r="AJ777" s="340"/>
      <c r="AK777" s="340"/>
      <c r="AL777" s="340"/>
      <c r="AM777" s="340"/>
      <c r="AN777" s="340"/>
      <c r="AO777" s="340"/>
      <c r="AP777" s="340"/>
      <c r="AQ777" s="340"/>
      <c r="AR777" s="340"/>
      <c r="AS777" s="340"/>
      <c r="AT777" s="340"/>
      <c r="AU777" s="340"/>
      <c r="AV777" s="340"/>
      <c r="AY777" s="340"/>
      <c r="AZ777" s="465">
        <f t="shared" ca="1" si="500"/>
        <v>7.3698599999999999E-5</v>
      </c>
      <c r="BA777" s="464">
        <f t="shared" ca="1" si="501"/>
        <v>2.1372602999999999E-3</v>
      </c>
      <c r="BB777" s="465">
        <f t="shared" ca="1" si="501"/>
        <v>2.2109589000000002E-3</v>
      </c>
      <c r="BC777" s="466">
        <f t="shared" ca="1" si="502"/>
        <v>66263</v>
      </c>
      <c r="BD777" s="467">
        <f t="shared" ca="1" si="515"/>
        <v>66264</v>
      </c>
      <c r="BE777" s="467">
        <f t="shared" ca="1" si="503"/>
        <v>66292</v>
      </c>
      <c r="BF777" s="468">
        <f ca="1">IF(計算!$BC777&lt;OP!$C$3,0,BD777-BC777)</f>
        <v>1</v>
      </c>
      <c r="BG777" s="468">
        <f ca="1">IF($BE777&gt;DATE(YEAR($BD$9)+OP!$C$57,MONTH($BD$9),DAY($BD$9)),0,$BE777-$BD777+1)</f>
        <v>29</v>
      </c>
      <c r="BH777" s="469">
        <f t="shared" ca="1" si="504"/>
        <v>30</v>
      </c>
      <c r="BI777">
        <f t="shared" ca="1" si="520"/>
        <v>365</v>
      </c>
      <c r="BJ777">
        <v>12</v>
      </c>
      <c r="BN777" s="468">
        <f t="shared" si="516"/>
        <v>64</v>
      </c>
      <c r="BO777" s="468">
        <f t="shared" si="517"/>
        <v>12</v>
      </c>
      <c r="BP777" s="467">
        <f t="shared" ca="1" si="505"/>
        <v>66264</v>
      </c>
      <c r="BQ777" s="475">
        <f t="shared" ca="1" si="519"/>
        <v>96</v>
      </c>
      <c r="BR777" s="475">
        <f t="shared" si="518"/>
        <v>64</v>
      </c>
      <c r="BS777" s="471">
        <f t="shared" ca="1" si="506"/>
        <v>21763</v>
      </c>
      <c r="BT777" s="472">
        <f t="shared" ca="1" si="521"/>
        <v>1612507</v>
      </c>
      <c r="BU777" s="472">
        <f t="shared" ca="1" si="507"/>
        <v>21262</v>
      </c>
      <c r="BV777" s="472">
        <f t="shared" ca="1" si="507"/>
        <v>501</v>
      </c>
      <c r="BW777" s="472">
        <f ca="1">ROUND(SUM(BY777,BZ765:BZ776),0)</f>
        <v>42174</v>
      </c>
      <c r="BX777" s="473">
        <f t="shared" ca="1" si="508"/>
        <v>1612507.4120406101</v>
      </c>
      <c r="BY777" s="473">
        <f t="shared" ca="1" si="509"/>
        <v>117.22699666</v>
      </c>
      <c r="BZ777" s="473">
        <f t="shared" ref="BZ777:BZ840" ca="1" si="525">ROUND(BX777*IF(BO777=12,$BA777,$BB777),$CB$6)</f>
        <v>3446.3480752099999</v>
      </c>
      <c r="CA777" s="476">
        <f t="shared" ca="1" si="510"/>
        <v>21262</v>
      </c>
      <c r="CB777" s="494">
        <f ca="1">IF(OR($Q776&lt;&gt;1,OP!$D$5+$BN777-1&lt;16,$BN777-1&lt;1),0,ROUND(ROUND(ROUND(((VLOOKUP($BN777-1,MORE_PV,5,0)/10000)*VLOOKUP($BN777,MORE_PV,$CB$5,0)),3)*VLOOKUP($BN777,more1,5,0),0)/$R776,0))</f>
        <v>501</v>
      </c>
      <c r="CC777" s="473">
        <f t="shared" ca="1" si="511"/>
        <v>0</v>
      </c>
      <c r="CD777" s="477"/>
    </row>
    <row r="778" spans="2:82" ht="16.5" hidden="1">
      <c r="B778" s="80"/>
      <c r="C778" s="80"/>
      <c r="D778" s="80"/>
      <c r="E778" s="80"/>
      <c r="F778" s="80"/>
      <c r="G778" s="80"/>
      <c r="H778" s="80"/>
      <c r="I778" s="80"/>
      <c r="J778" s="192">
        <f t="shared" ref="J778:J841" si="526">IF(K777=12,J777+1,J777)</f>
        <v>65</v>
      </c>
      <c r="K778" s="192">
        <f t="shared" ref="K778:K841" si="527">IF(K777=12,1,K777+1)</f>
        <v>2</v>
      </c>
      <c r="L778" s="192" t="str">
        <f t="shared" si="522"/>
        <v/>
      </c>
      <c r="M778" s="216">
        <f t="shared" ref="M778:M841" ca="1" si="528">IF($Q778=1,VLOOKUP(L778,$BR$9:$BT$1341,3,0),0)</f>
        <v>0</v>
      </c>
      <c r="N778" s="216"/>
      <c r="O778" s="216"/>
      <c r="P778" s="216"/>
      <c r="Q778" s="456" t="str">
        <f t="shared" ref="Q778:Q841" ca="1" si="529">IF(OR($U778&gt;=$I$5,AND($G$5=1,$K778=12),AND($G$5=2,OR($K778=6,$K778=12)),AND($G$5=4,OR($K778=3,$K778=6,$K778=9,$K778=12)),$G$5=12),1,"")</f>
        <v/>
      </c>
      <c r="R778" s="450">
        <f t="shared" ref="R778:R841" ca="1" si="530">IF($U778&lt;$I$5,$G$5,$I$6)</f>
        <v>1</v>
      </c>
      <c r="S778" s="191">
        <f t="shared" ref="S778:S841" si="531">IF(T777=12,S777+1,S777)</f>
        <v>65</v>
      </c>
      <c r="T778" s="191">
        <f t="shared" ref="T778:T841" si="532">IF(T777=12,1,T777+1)</f>
        <v>2</v>
      </c>
      <c r="U778" s="191">
        <f ca="1">OP!$D$5+$S778-1</f>
        <v>97</v>
      </c>
      <c r="V778" s="191" t="str">
        <f t="shared" ref="V778:V841" si="533">IF($T778=12,$S778,"")</f>
        <v/>
      </c>
      <c r="W778" s="350">
        <f ca="1">IF(Q778&lt;&gt;1,0,VLOOKUP(OP!$C$55,PVFB,$S778+2,0))</f>
        <v>0</v>
      </c>
      <c r="X778" s="473">
        <f t="shared" ca="1" si="512"/>
        <v>0</v>
      </c>
      <c r="Y778" s="348">
        <f t="shared" ca="1" si="513"/>
        <v>0</v>
      </c>
      <c r="Z778" s="348">
        <f t="shared" ca="1" si="514"/>
        <v>8012</v>
      </c>
      <c r="AA778" s="348">
        <f ca="1">IF(Q778&lt;&gt;1,0,VLOOKUP(OP!$C$55,PVFB,$S778+2,0))</f>
        <v>0</v>
      </c>
      <c r="AB778" s="488" t="str">
        <f ca="1">IF(AND(S778&lt;OP!$C$24,$U778&lt;15),0,IF(AND($U778&lt;15,$T778=12),ROUND(VLOOKUP($S778,DOWN16,5,0),3),IF($T778=12,ROUND(($Z778/10000)*$AA778,3)+IF(AND($P$7="購買增額繳清保險",T778=12,U778=110),VLOOKUP(S778,$B$10:$H$121,7,0),0),"")))</f>
        <v/>
      </c>
      <c r="AC778" s="350" t="str">
        <f ca="1">IF(AND(S778&lt;OP!$C$24,$U778&lt;15),0,IF(AND($U778&lt;16,$T778=12),VLOOKUP($S778,DOWN16,4,0),IF($T778=12,ROUND(VLOOKUP(OP!$C$55,_DIE2,$S778+1,0)*(Z778/10000),0)+IF(AND($P$7="購買增額繳清保險",T778=12,U778=110),VLOOKUP(S778,$B$10:$H$121,7,0),0),"")))</f>
        <v/>
      </c>
      <c r="AD778" s="347"/>
      <c r="AE778" s="350" t="str">
        <f t="shared" ca="1" si="523"/>
        <v/>
      </c>
      <c r="AF778" s="351" t="str">
        <f t="shared" ca="1" si="524"/>
        <v/>
      </c>
      <c r="AG778" s="340"/>
      <c r="AH778" s="340"/>
      <c r="AI778" s="340"/>
      <c r="AJ778" s="340"/>
      <c r="AK778" s="340"/>
      <c r="AL778" s="340"/>
      <c r="AM778" s="340"/>
      <c r="AN778" s="340"/>
      <c r="AO778" s="340"/>
      <c r="AP778" s="340"/>
      <c r="AQ778" s="340"/>
      <c r="AR778" s="340"/>
      <c r="AS778" s="340"/>
      <c r="AT778" s="340"/>
      <c r="AU778" s="340"/>
      <c r="AV778" s="340"/>
      <c r="AY778" s="340"/>
      <c r="AZ778" s="465">
        <f t="shared" ref="AZ778:AZ841" ca="1" si="534">ROUND(($G$3*BF778/365),10)</f>
        <v>7.3698599999999999E-5</v>
      </c>
      <c r="BA778" s="464">
        <f t="shared" ref="BA778:BB841" ca="1" si="535">ROUND(($G$3*BG778/365),10)</f>
        <v>2.2109589000000002E-3</v>
      </c>
      <c r="BB778" s="465">
        <f t="shared" ca="1" si="535"/>
        <v>2.2846575E-3</v>
      </c>
      <c r="BC778" s="466">
        <f t="shared" ref="BC778:BC841" ca="1" si="536">DATE(YEAR(BD778),MONTH(BD778),1)</f>
        <v>66293</v>
      </c>
      <c r="BD778" s="467">
        <f t="shared" ca="1" si="515"/>
        <v>66294</v>
      </c>
      <c r="BE778" s="467">
        <f t="shared" ref="BE778:BE841" ca="1" si="537">DATE(YEAR(BD778),MONTH(BD778),DAY(DATE(YEAR(BD778),MONTH(BD778)+1,0)))</f>
        <v>66323</v>
      </c>
      <c r="BF778" s="468">
        <f ca="1">IF(計算!$BC778&lt;OP!$C$3,0,BD778-BC778)</f>
        <v>1</v>
      </c>
      <c r="BG778" s="468">
        <f ca="1">IF($BE778&gt;DATE(YEAR($BD$9)+OP!$C$57,MONTH($BD$9),DAY($BD$9)),0,$BE778-$BD778+1)</f>
        <v>30</v>
      </c>
      <c r="BH778" s="469">
        <f t="shared" ref="BH778:BH841" ca="1" si="538">BF778+BG778</f>
        <v>31</v>
      </c>
      <c r="BI778" t="str">
        <f t="shared" si="520"/>
        <v/>
      </c>
      <c r="BJ778">
        <v>1</v>
      </c>
      <c r="BN778" s="468">
        <f t="shared" si="516"/>
        <v>65</v>
      </c>
      <c r="BO778" s="468">
        <f t="shared" si="517"/>
        <v>1</v>
      </c>
      <c r="BP778" s="467">
        <f t="shared" ref="BP778:BP841" ca="1" si="539">BD778</f>
        <v>66294</v>
      </c>
      <c r="BQ778" s="475">
        <f t="shared" ca="1" si="519"/>
        <v>97</v>
      </c>
      <c r="BR778" s="475" t="str">
        <f t="shared" si="518"/>
        <v/>
      </c>
      <c r="BS778" s="471" t="str">
        <f t="shared" ref="BS778:BS841" si="540">IF(BW778&lt;&gt;"",ROUND(BU778,0)+ROUND(BV778,0),"")</f>
        <v/>
      </c>
      <c r="BT778" s="472" t="str">
        <f t="shared" si="521"/>
        <v/>
      </c>
      <c r="BU778" s="472">
        <f t="shared" ref="BU778:BV841" ca="1" si="541">ROUND(CA778,0)</f>
        <v>0</v>
      </c>
      <c r="BV778" s="472">
        <f t="shared" ca="1" si="541"/>
        <v>0</v>
      </c>
      <c r="BW778" s="472"/>
      <c r="BX778" s="473">
        <f t="shared" ref="BX778:BX841" ca="1" si="542">IF(BN778&lt;=$P$4,0,ROUNDDOWN(IF($Q777=1,CA778+CB778-CC778,0)+BX777+BY778+BZ777,VLOOKUP(LEN(ROUNDDOWN(IF($Q777=1,CA778+CB778-CC778,0)+BX777+BY778+BZ777,0)),$BK$9:$BL$24,2,0)))</f>
        <v>1615953.76011582</v>
      </c>
      <c r="BY778" s="473">
        <f t="shared" ref="BY778:BY841" si="543">IF(BO778=12,ROUND((BX777+BZ777)*$AZ778,$CB$6),0)</f>
        <v>0</v>
      </c>
      <c r="BZ778" s="473">
        <f t="shared" ca="1" si="525"/>
        <v>3691.9008777019999</v>
      </c>
      <c r="CA778" s="476">
        <f t="shared" ref="CA778:CA841" ca="1" si="544">IF($Q777=1,ROUND(VLOOKUP($BN778,more1,3,0)*VLOOKUP($BN778,more1,5,0)/$R777,0),0)</f>
        <v>0</v>
      </c>
      <c r="CB778" s="494">
        <f ca="1">IF(OR($Q777&lt;&gt;1,OP!$D$5+$BN778-1&lt;16,$BN778-1&lt;1),0,ROUND(ROUND(ROUND(((VLOOKUP($BN778-1,MORE_PV,5,0)/10000)*VLOOKUP($BN778,MORE_PV,$CB$5,0)),3)*VLOOKUP($BN778,more1,5,0),0)/$R777,0))</f>
        <v>0</v>
      </c>
      <c r="CC778" s="473">
        <f t="shared" ref="CC778:CC841" ca="1" si="545">IF(AND($BN778=$P$4,$BO778=12),$CA778+$CB778,IF(AND($BN778&gt;$P$4,$Q777=1,$G$6="現金給付",$CA778+$CB778&gt;=$P$3),$CA778+$CB778,0))</f>
        <v>0</v>
      </c>
      <c r="CD778" s="477"/>
    </row>
    <row r="779" spans="2:82" ht="16.5" hidden="1">
      <c r="B779" s="80"/>
      <c r="C779" s="80"/>
      <c r="D779" s="80"/>
      <c r="E779" s="80"/>
      <c r="F779" s="80"/>
      <c r="G779" s="80"/>
      <c r="H779" s="80"/>
      <c r="I779" s="80"/>
      <c r="J779" s="192">
        <f t="shared" si="526"/>
        <v>65</v>
      </c>
      <c r="K779" s="192">
        <f t="shared" si="527"/>
        <v>3</v>
      </c>
      <c r="L779" s="192" t="str">
        <f t="shared" si="522"/>
        <v/>
      </c>
      <c r="M779" s="216">
        <f t="shared" ca="1" si="528"/>
        <v>0</v>
      </c>
      <c r="N779" s="216"/>
      <c r="O779" s="216"/>
      <c r="P779" s="216"/>
      <c r="Q779" s="456" t="str">
        <f t="shared" ca="1" si="529"/>
        <v/>
      </c>
      <c r="R779" s="450">
        <f t="shared" ca="1" si="530"/>
        <v>1</v>
      </c>
      <c r="S779" s="191">
        <f t="shared" si="531"/>
        <v>65</v>
      </c>
      <c r="T779" s="191">
        <f t="shared" si="532"/>
        <v>3</v>
      </c>
      <c r="U779" s="191">
        <f ca="1">OP!$D$5+$S779-1</f>
        <v>97</v>
      </c>
      <c r="V779" s="191" t="str">
        <f t="shared" si="533"/>
        <v/>
      </c>
      <c r="W779" s="350">
        <f ca="1">IF(Q779&lt;&gt;1,0,VLOOKUP(OP!$C$55,PVFB,$S779+2,0))</f>
        <v>0</v>
      </c>
      <c r="X779" s="473">
        <f t="shared" ref="X779:X842" ca="1" si="546">IF(AND($U779=15,$T779=12),$CO780,IF(AND($U779&gt;15,$S779&lt;=$P$4,$T779=12),($BS780)*$R779,IF($Q779=1,($BS780),0)))</f>
        <v>0</v>
      </c>
      <c r="Y779" s="348">
        <f t="shared" ref="Y779:Y842" ca="1" si="547">IF(AND($P$7="購買增額繳清保險",U779&gt;=110),0,IF(AND($U779=15,$W779&lt;&gt;0,$T779=12),ROUND(($X779)/($W779/10000),0),IF(AND($S779&lt;=$P$4,$W779&lt;&gt;0,$T779=12,$U779&gt;15),ROUND(($X779)/($W779/10000),0),0)))</f>
        <v>0</v>
      </c>
      <c r="Z779" s="348">
        <f t="shared" ref="Z779:Z842" ca="1" si="548">Z778+Y779</f>
        <v>8012</v>
      </c>
      <c r="AA779" s="348">
        <f ca="1">IF(Q779&lt;&gt;1,0,VLOOKUP(OP!$C$55,PVFB,$S779+2,0))</f>
        <v>0</v>
      </c>
      <c r="AB779" s="488" t="str">
        <f ca="1">IF(AND(S779&lt;OP!$C$24,$U779&lt;15),0,IF(AND($U779&lt;15,$T779=12),ROUND(VLOOKUP($S779,DOWN16,5,0),3),IF($T779=12,ROUND(($Z779/10000)*$AA779,3)+IF(AND($P$7="購買增額繳清保險",T779=12,U779=110),VLOOKUP(S779,$B$10:$H$121,7,0),0),"")))</f>
        <v/>
      </c>
      <c r="AC779" s="350" t="str">
        <f ca="1">IF(AND(S779&lt;OP!$C$24,$U779&lt;15),0,IF(AND($U779&lt;16,$T779=12),VLOOKUP($S779,DOWN16,4,0),IF($T779=12,ROUND(VLOOKUP(OP!$C$55,_DIE2,$S779+1,0)*(Z779/10000),0)+IF(AND($P$7="購買增額繳清保險",T779=12,U779=110),VLOOKUP(S779,$B$10:$H$121,7,0),0),"")))</f>
        <v/>
      </c>
      <c r="AD779" s="347"/>
      <c r="AE779" s="350" t="str">
        <f t="shared" ca="1" si="523"/>
        <v/>
      </c>
      <c r="AF779" s="351" t="str">
        <f t="shared" ca="1" si="524"/>
        <v/>
      </c>
      <c r="AG779" s="340"/>
      <c r="AH779" s="340"/>
      <c r="AI779" s="340"/>
      <c r="AJ779" s="340"/>
      <c r="AK779" s="340"/>
      <c r="AL779" s="340"/>
      <c r="AM779" s="340"/>
      <c r="AN779" s="340"/>
      <c r="AO779" s="340"/>
      <c r="AP779" s="340"/>
      <c r="AQ779" s="340"/>
      <c r="AR779" s="340"/>
      <c r="AS779" s="340"/>
      <c r="AT779" s="340"/>
      <c r="AU779" s="340"/>
      <c r="AV779" s="340"/>
      <c r="AY779" s="340"/>
      <c r="AZ779" s="465">
        <f t="shared" ca="1" si="534"/>
        <v>7.3698599999999999E-5</v>
      </c>
      <c r="BA779" s="464">
        <f t="shared" ca="1" si="535"/>
        <v>2.2109589000000002E-3</v>
      </c>
      <c r="BB779" s="465">
        <f t="shared" ca="1" si="535"/>
        <v>2.2846575E-3</v>
      </c>
      <c r="BC779" s="466">
        <f t="shared" ca="1" si="536"/>
        <v>66324</v>
      </c>
      <c r="BD779" s="467">
        <f t="shared" ref="BD779:BD842" ca="1" si="549">DATE(YEAR(BD778),MONTH(BD778)+1,MIN(DAY($BD$9),DAY(DATE(YEAR(BD778),MONTH(BD778)+2,0))))</f>
        <v>66325</v>
      </c>
      <c r="BE779" s="467">
        <f t="shared" ca="1" si="537"/>
        <v>66354</v>
      </c>
      <c r="BF779" s="468">
        <f ca="1">IF(計算!$BC779&lt;OP!$C$3,0,BD779-BC779)</f>
        <v>1</v>
      </c>
      <c r="BG779" s="468">
        <f ca="1">IF($BE779&gt;DATE(YEAR($BD$9)+OP!$C$57,MONTH($BD$9),DAY($BD$9)),0,$BE779-$BD779+1)</f>
        <v>30</v>
      </c>
      <c r="BH779" s="469">
        <f t="shared" ca="1" si="538"/>
        <v>31</v>
      </c>
      <c r="BI779" t="str">
        <f t="shared" si="520"/>
        <v/>
      </c>
      <c r="BJ779">
        <v>2</v>
      </c>
      <c r="BN779" s="468">
        <f t="shared" ref="BN779:BN842" si="550">IF(BO778=12,BN778+1,BN778)</f>
        <v>65</v>
      </c>
      <c r="BO779" s="468">
        <f t="shared" ref="BO779:BO842" si="551">IF(BO778=12,1,BO778+1)</f>
        <v>2</v>
      </c>
      <c r="BP779" s="467">
        <f t="shared" ca="1" si="539"/>
        <v>66325</v>
      </c>
      <c r="BQ779" s="475">
        <f t="shared" ca="1" si="519"/>
        <v>97</v>
      </c>
      <c r="BR779" s="475" t="str">
        <f t="shared" ref="BR779:BR842" si="552">IF(BO779=12,BN779,"")</f>
        <v/>
      </c>
      <c r="BS779" s="471" t="str">
        <f t="shared" si="540"/>
        <v/>
      </c>
      <c r="BT779" s="472" t="str">
        <f t="shared" si="521"/>
        <v/>
      </c>
      <c r="BU779" s="472">
        <f t="shared" ca="1" si="541"/>
        <v>0</v>
      </c>
      <c r="BV779" s="472">
        <f t="shared" ca="1" si="541"/>
        <v>0</v>
      </c>
      <c r="BW779" s="472"/>
      <c r="BX779" s="473">
        <f t="shared" ca="1" si="542"/>
        <v>1619645.6609935199</v>
      </c>
      <c r="BY779" s="473">
        <f t="shared" si="543"/>
        <v>0</v>
      </c>
      <c r="BZ779" s="473">
        <f t="shared" ca="1" si="525"/>
        <v>3700.3356067310001</v>
      </c>
      <c r="CA779" s="476">
        <f t="shared" ca="1" si="544"/>
        <v>0</v>
      </c>
      <c r="CB779" s="494">
        <f ca="1">IF(OR($Q778&lt;&gt;1,OP!$D$5+$BN779-1&lt;16,$BN779-1&lt;1),0,ROUND(ROUND(ROUND(((VLOOKUP($BN779-1,MORE_PV,5,0)/10000)*VLOOKUP($BN779,MORE_PV,$CB$5,0)),3)*VLOOKUP($BN779,more1,5,0),0)/$R778,0))</f>
        <v>0</v>
      </c>
      <c r="CC779" s="473">
        <f t="shared" ca="1" si="545"/>
        <v>0</v>
      </c>
      <c r="CD779" s="477"/>
    </row>
    <row r="780" spans="2:82" ht="16.5" hidden="1">
      <c r="B780" s="80"/>
      <c r="C780" s="80"/>
      <c r="D780" s="80"/>
      <c r="E780" s="80"/>
      <c r="F780" s="80"/>
      <c r="G780" s="80"/>
      <c r="H780" s="80"/>
      <c r="I780" s="80"/>
      <c r="J780" s="192">
        <f t="shared" si="526"/>
        <v>65</v>
      </c>
      <c r="K780" s="192">
        <f t="shared" si="527"/>
        <v>4</v>
      </c>
      <c r="L780" s="192" t="str">
        <f t="shared" si="522"/>
        <v/>
      </c>
      <c r="M780" s="216">
        <f t="shared" ca="1" si="528"/>
        <v>0</v>
      </c>
      <c r="N780" s="216"/>
      <c r="O780" s="216"/>
      <c r="P780" s="216"/>
      <c r="Q780" s="456" t="str">
        <f t="shared" ca="1" si="529"/>
        <v/>
      </c>
      <c r="R780" s="450">
        <f t="shared" ca="1" si="530"/>
        <v>1</v>
      </c>
      <c r="S780" s="191">
        <f t="shared" si="531"/>
        <v>65</v>
      </c>
      <c r="T780" s="191">
        <f t="shared" si="532"/>
        <v>4</v>
      </c>
      <c r="U780" s="191">
        <f ca="1">OP!$D$5+$S780-1</f>
        <v>97</v>
      </c>
      <c r="V780" s="191" t="str">
        <f t="shared" si="533"/>
        <v/>
      </c>
      <c r="W780" s="350">
        <f ca="1">IF(Q780&lt;&gt;1,0,VLOOKUP(OP!$C$55,PVFB,$S780+2,0))</f>
        <v>0</v>
      </c>
      <c r="X780" s="473">
        <f t="shared" ca="1" si="546"/>
        <v>0</v>
      </c>
      <c r="Y780" s="348">
        <f t="shared" ca="1" si="547"/>
        <v>0</v>
      </c>
      <c r="Z780" s="348">
        <f t="shared" ca="1" si="548"/>
        <v>8012</v>
      </c>
      <c r="AA780" s="348">
        <f ca="1">IF(Q780&lt;&gt;1,0,VLOOKUP(OP!$C$55,PVFB,$S780+2,0))</f>
        <v>0</v>
      </c>
      <c r="AB780" s="488" t="str">
        <f ca="1">IF(AND(S780&lt;OP!$C$24,$U780&lt;15),0,IF(AND($U780&lt;15,$T780=12),ROUND(VLOOKUP($S780,DOWN16,5,0),3),IF($T780=12,ROUND(($Z780/10000)*$AA780,3)+IF(AND($P$7="購買增額繳清保險",T780=12,U780=110),VLOOKUP(S780,$B$10:$H$121,7,0),0),"")))</f>
        <v/>
      </c>
      <c r="AC780" s="350" t="str">
        <f ca="1">IF(AND(S780&lt;OP!$C$24,$U780&lt;15),0,IF(AND($U780&lt;16,$T780=12),VLOOKUP($S780,DOWN16,4,0),IF($T780=12,ROUND(VLOOKUP(OP!$C$55,_DIE2,$S780+1,0)*(Z780/10000),0)+IF(AND($P$7="購買增額繳清保險",T780=12,U780=110),VLOOKUP(S780,$B$10:$H$121,7,0),0),"")))</f>
        <v/>
      </c>
      <c r="AD780" s="347"/>
      <c r="AE780" s="350" t="str">
        <f t="shared" ca="1" si="523"/>
        <v/>
      </c>
      <c r="AF780" s="351" t="str">
        <f t="shared" ca="1" si="524"/>
        <v/>
      </c>
      <c r="AG780" s="340"/>
      <c r="AH780" s="340"/>
      <c r="AI780" s="340"/>
      <c r="AJ780" s="340"/>
      <c r="AK780" s="340"/>
      <c r="AL780" s="340"/>
      <c r="AM780" s="340"/>
      <c r="AN780" s="340"/>
      <c r="AO780" s="340"/>
      <c r="AP780" s="340"/>
      <c r="AQ780" s="340"/>
      <c r="AR780" s="340"/>
      <c r="AS780" s="340"/>
      <c r="AT780" s="340"/>
      <c r="AU780" s="340"/>
      <c r="AV780" s="340"/>
      <c r="AY780" s="340"/>
      <c r="AZ780" s="465">
        <f t="shared" ca="1" si="534"/>
        <v>7.3698599999999999E-5</v>
      </c>
      <c r="BA780" s="464">
        <f t="shared" ca="1" si="535"/>
        <v>2.1372602999999999E-3</v>
      </c>
      <c r="BB780" s="465">
        <f t="shared" ca="1" si="535"/>
        <v>2.2109589000000002E-3</v>
      </c>
      <c r="BC780" s="466">
        <f t="shared" ca="1" si="536"/>
        <v>66355</v>
      </c>
      <c r="BD780" s="467">
        <f t="shared" ca="1" si="549"/>
        <v>66356</v>
      </c>
      <c r="BE780" s="467">
        <f t="shared" ca="1" si="537"/>
        <v>66384</v>
      </c>
      <c r="BF780" s="468">
        <f ca="1">IF(計算!$BC780&lt;OP!$C$3,0,BD780-BC780)</f>
        <v>1</v>
      </c>
      <c r="BG780" s="468">
        <f ca="1">IF($BE780&gt;DATE(YEAR($BD$9)+OP!$C$57,MONTH($BD$9),DAY($BD$9)),0,$BE780-$BD780+1)</f>
        <v>29</v>
      </c>
      <c r="BH780" s="469">
        <f t="shared" ca="1" si="538"/>
        <v>30</v>
      </c>
      <c r="BI780" t="str">
        <f t="shared" si="520"/>
        <v/>
      </c>
      <c r="BJ780">
        <v>3</v>
      </c>
      <c r="BN780" s="468">
        <f t="shared" si="550"/>
        <v>65</v>
      </c>
      <c r="BO780" s="468">
        <f t="shared" si="551"/>
        <v>3</v>
      </c>
      <c r="BP780" s="467">
        <f t="shared" ca="1" si="539"/>
        <v>66356</v>
      </c>
      <c r="BQ780" s="475">
        <f t="shared" ref="BQ780:BQ843" ca="1" si="553">IF(BO779=12,BQ779+1,BQ779)</f>
        <v>97</v>
      </c>
      <c r="BR780" s="475" t="str">
        <f t="shared" si="552"/>
        <v/>
      </c>
      <c r="BS780" s="471" t="str">
        <f t="shared" si="540"/>
        <v/>
      </c>
      <c r="BT780" s="472" t="str">
        <f t="shared" si="521"/>
        <v/>
      </c>
      <c r="BU780" s="472">
        <f t="shared" ca="1" si="541"/>
        <v>0</v>
      </c>
      <c r="BV780" s="472">
        <f t="shared" ca="1" si="541"/>
        <v>0</v>
      </c>
      <c r="BW780" s="472"/>
      <c r="BX780" s="473">
        <f t="shared" ca="1" si="542"/>
        <v>1623345.99660025</v>
      </c>
      <c r="BY780" s="473">
        <f t="shared" si="543"/>
        <v>0</v>
      </c>
      <c r="BZ780" s="473">
        <f t="shared" ca="1" si="525"/>
        <v>3589.1512789630001</v>
      </c>
      <c r="CA780" s="476">
        <f t="shared" ca="1" si="544"/>
        <v>0</v>
      </c>
      <c r="CB780" s="494">
        <f ca="1">IF(OR($Q779&lt;&gt;1,OP!$D$5+$BN780-1&lt;16,$BN780-1&lt;1),0,ROUND(ROUND(ROUND(((VLOOKUP($BN780-1,MORE_PV,5,0)/10000)*VLOOKUP($BN780,MORE_PV,$CB$5,0)),3)*VLOOKUP($BN780,more1,5,0),0)/$R779,0))</f>
        <v>0</v>
      </c>
      <c r="CC780" s="473">
        <f t="shared" ca="1" si="545"/>
        <v>0</v>
      </c>
      <c r="CD780" s="477"/>
    </row>
    <row r="781" spans="2:82" ht="16.5" hidden="1">
      <c r="B781" s="80"/>
      <c r="C781" s="80"/>
      <c r="D781" s="80"/>
      <c r="E781" s="80"/>
      <c r="F781" s="80"/>
      <c r="G781" s="80"/>
      <c r="H781" s="80"/>
      <c r="I781" s="80"/>
      <c r="J781" s="192">
        <f t="shared" si="526"/>
        <v>65</v>
      </c>
      <c r="K781" s="192">
        <f t="shared" si="527"/>
        <v>5</v>
      </c>
      <c r="L781" s="192" t="str">
        <f t="shared" si="522"/>
        <v/>
      </c>
      <c r="M781" s="216">
        <f t="shared" ca="1" si="528"/>
        <v>0</v>
      </c>
      <c r="N781" s="216"/>
      <c r="O781" s="216"/>
      <c r="P781" s="216"/>
      <c r="Q781" s="456" t="str">
        <f t="shared" ca="1" si="529"/>
        <v/>
      </c>
      <c r="R781" s="450">
        <f t="shared" ca="1" si="530"/>
        <v>1</v>
      </c>
      <c r="S781" s="191">
        <f t="shared" si="531"/>
        <v>65</v>
      </c>
      <c r="T781" s="191">
        <f t="shared" si="532"/>
        <v>5</v>
      </c>
      <c r="U781" s="191">
        <f ca="1">OP!$D$5+$S781-1</f>
        <v>97</v>
      </c>
      <c r="V781" s="191" t="str">
        <f t="shared" si="533"/>
        <v/>
      </c>
      <c r="W781" s="350">
        <f ca="1">IF(Q781&lt;&gt;1,0,VLOOKUP(OP!$C$55,PVFB,$S781+2,0))</f>
        <v>0</v>
      </c>
      <c r="X781" s="473">
        <f t="shared" ca="1" si="546"/>
        <v>0</v>
      </c>
      <c r="Y781" s="348">
        <f t="shared" ca="1" si="547"/>
        <v>0</v>
      </c>
      <c r="Z781" s="348">
        <f t="shared" ca="1" si="548"/>
        <v>8012</v>
      </c>
      <c r="AA781" s="348">
        <f ca="1">IF(Q781&lt;&gt;1,0,VLOOKUP(OP!$C$55,PVFB,$S781+2,0))</f>
        <v>0</v>
      </c>
      <c r="AB781" s="488" t="str">
        <f ca="1">IF(AND(S781&lt;OP!$C$24,$U781&lt;15),0,IF(AND($U781&lt;15,$T781=12),ROUND(VLOOKUP($S781,DOWN16,5,0),3),IF($T781=12,ROUND(($Z781/10000)*$AA781,3)+IF(AND($P$7="購買增額繳清保險",T781=12,U781=110),VLOOKUP(S781,$B$10:$H$121,7,0),0),"")))</f>
        <v/>
      </c>
      <c r="AC781" s="350" t="str">
        <f ca="1">IF(AND(S781&lt;OP!$C$24,$U781&lt;15),0,IF(AND($U781&lt;16,$T781=12),VLOOKUP($S781,DOWN16,4,0),IF($T781=12,ROUND(VLOOKUP(OP!$C$55,_DIE2,$S781+1,0)*(Z781/10000),0)+IF(AND($P$7="購買增額繳清保險",T781=12,U781=110),VLOOKUP(S781,$B$10:$H$121,7,0),0),"")))</f>
        <v/>
      </c>
      <c r="AD781" s="347"/>
      <c r="AE781" s="350" t="str">
        <f t="shared" ca="1" si="523"/>
        <v/>
      </c>
      <c r="AF781" s="351" t="str">
        <f t="shared" ca="1" si="524"/>
        <v/>
      </c>
      <c r="AG781" s="340"/>
      <c r="AH781" s="340"/>
      <c r="AI781" s="340"/>
      <c r="AJ781" s="340"/>
      <c r="AK781" s="340"/>
      <c r="AL781" s="340"/>
      <c r="AM781" s="340"/>
      <c r="AN781" s="340"/>
      <c r="AO781" s="340"/>
      <c r="AP781" s="340"/>
      <c r="AQ781" s="340"/>
      <c r="AR781" s="340"/>
      <c r="AS781" s="340"/>
      <c r="AT781" s="340"/>
      <c r="AU781" s="340"/>
      <c r="AV781" s="340"/>
      <c r="AY781" s="340"/>
      <c r="AZ781" s="465">
        <f t="shared" ca="1" si="534"/>
        <v>7.3698599999999999E-5</v>
      </c>
      <c r="BA781" s="464">
        <f t="shared" ca="1" si="535"/>
        <v>2.2109589000000002E-3</v>
      </c>
      <c r="BB781" s="465">
        <f t="shared" ca="1" si="535"/>
        <v>2.2846575E-3</v>
      </c>
      <c r="BC781" s="466">
        <f t="shared" ca="1" si="536"/>
        <v>66385</v>
      </c>
      <c r="BD781" s="467">
        <f t="shared" ca="1" si="549"/>
        <v>66386</v>
      </c>
      <c r="BE781" s="467">
        <f t="shared" ca="1" si="537"/>
        <v>66415</v>
      </c>
      <c r="BF781" s="468">
        <f ca="1">IF(計算!$BC781&lt;OP!$C$3,0,BD781-BC781)</f>
        <v>1</v>
      </c>
      <c r="BG781" s="468">
        <f ca="1">IF($BE781&gt;DATE(YEAR($BD$9)+OP!$C$57,MONTH($BD$9),DAY($BD$9)),0,$BE781-$BD781+1)</f>
        <v>30</v>
      </c>
      <c r="BH781" s="469">
        <f t="shared" ca="1" si="538"/>
        <v>31</v>
      </c>
      <c r="BI781" t="str">
        <f t="shared" si="520"/>
        <v/>
      </c>
      <c r="BJ781">
        <v>4</v>
      </c>
      <c r="BN781" s="468">
        <f t="shared" si="550"/>
        <v>65</v>
      </c>
      <c r="BO781" s="468">
        <f t="shared" si="551"/>
        <v>4</v>
      </c>
      <c r="BP781" s="467">
        <f t="shared" ca="1" si="539"/>
        <v>66386</v>
      </c>
      <c r="BQ781" s="475">
        <f t="shared" ca="1" si="553"/>
        <v>97</v>
      </c>
      <c r="BR781" s="475" t="str">
        <f t="shared" si="552"/>
        <v/>
      </c>
      <c r="BS781" s="471" t="str">
        <f t="shared" si="540"/>
        <v/>
      </c>
      <c r="BT781" s="472" t="str">
        <f t="shared" si="521"/>
        <v/>
      </c>
      <c r="BU781" s="472">
        <f t="shared" ca="1" si="541"/>
        <v>0</v>
      </c>
      <c r="BV781" s="472">
        <f t="shared" ca="1" si="541"/>
        <v>0</v>
      </c>
      <c r="BW781" s="472"/>
      <c r="BX781" s="473">
        <f t="shared" ca="1" si="542"/>
        <v>1626935.1478792101</v>
      </c>
      <c r="BY781" s="473">
        <f t="shared" si="543"/>
        <v>0</v>
      </c>
      <c r="BZ781" s="473">
        <f t="shared" ca="1" si="525"/>
        <v>3716.9895876159999</v>
      </c>
      <c r="CA781" s="476">
        <f t="shared" ca="1" si="544"/>
        <v>0</v>
      </c>
      <c r="CB781" s="494">
        <f ca="1">IF(OR($Q780&lt;&gt;1,OP!$D$5+$BN781-1&lt;16,$BN781-1&lt;1),0,ROUND(ROUND(ROUND(((VLOOKUP($BN781-1,MORE_PV,5,0)/10000)*VLOOKUP($BN781,MORE_PV,$CB$5,0)),3)*VLOOKUP($BN781,more1,5,0),0)/$R780,0))</f>
        <v>0</v>
      </c>
      <c r="CC781" s="473">
        <f t="shared" ca="1" si="545"/>
        <v>0</v>
      </c>
      <c r="CD781" s="477"/>
    </row>
    <row r="782" spans="2:82" ht="16.5" hidden="1">
      <c r="B782" s="80"/>
      <c r="C782" s="80"/>
      <c r="D782" s="80"/>
      <c r="E782" s="80"/>
      <c r="F782" s="80"/>
      <c r="G782" s="80"/>
      <c r="H782" s="80"/>
      <c r="I782" s="80"/>
      <c r="J782" s="192">
        <f t="shared" si="526"/>
        <v>65</v>
      </c>
      <c r="K782" s="192">
        <f t="shared" si="527"/>
        <v>6</v>
      </c>
      <c r="L782" s="192" t="str">
        <f t="shared" si="522"/>
        <v/>
      </c>
      <c r="M782" s="216">
        <f t="shared" ca="1" si="528"/>
        <v>0</v>
      </c>
      <c r="N782" s="216"/>
      <c r="O782" s="216"/>
      <c r="P782" s="216"/>
      <c r="Q782" s="456" t="str">
        <f t="shared" ca="1" si="529"/>
        <v/>
      </c>
      <c r="R782" s="450">
        <f t="shared" ca="1" si="530"/>
        <v>1</v>
      </c>
      <c r="S782" s="191">
        <f t="shared" si="531"/>
        <v>65</v>
      </c>
      <c r="T782" s="191">
        <f t="shared" si="532"/>
        <v>6</v>
      </c>
      <c r="U782" s="191">
        <f ca="1">OP!$D$5+$S782-1</f>
        <v>97</v>
      </c>
      <c r="V782" s="191" t="str">
        <f t="shared" si="533"/>
        <v/>
      </c>
      <c r="W782" s="350">
        <f ca="1">IF(Q782&lt;&gt;1,0,VLOOKUP(OP!$C$55,PVFB,$S782+2,0))</f>
        <v>0</v>
      </c>
      <c r="X782" s="473">
        <f t="shared" ca="1" si="546"/>
        <v>0</v>
      </c>
      <c r="Y782" s="348">
        <f t="shared" ca="1" si="547"/>
        <v>0</v>
      </c>
      <c r="Z782" s="348">
        <f t="shared" ca="1" si="548"/>
        <v>8012</v>
      </c>
      <c r="AA782" s="348">
        <f ca="1">IF(Q782&lt;&gt;1,0,VLOOKUP(OP!$C$55,PVFB,$S782+2,0))</f>
        <v>0</v>
      </c>
      <c r="AB782" s="488" t="str">
        <f ca="1">IF(AND(S782&lt;OP!$C$24,$U782&lt;15),0,IF(AND($U782&lt;15,$T782=12),ROUND(VLOOKUP($S782,DOWN16,5,0),3),IF($T782=12,ROUND(($Z782/10000)*$AA782,3)+IF(AND($P$7="購買增額繳清保險",T782=12,U782=110),VLOOKUP(S782,$B$10:$H$121,7,0),0),"")))</f>
        <v/>
      </c>
      <c r="AC782" s="350" t="str">
        <f ca="1">IF(AND(S782&lt;OP!$C$24,$U782&lt;15),0,IF(AND($U782&lt;16,$T782=12),VLOOKUP($S782,DOWN16,4,0),IF($T782=12,ROUND(VLOOKUP(OP!$C$55,_DIE2,$S782+1,0)*(Z782/10000),0)+IF(AND($P$7="購買增額繳清保險",T782=12,U782=110),VLOOKUP(S782,$B$10:$H$121,7,0),0),"")))</f>
        <v/>
      </c>
      <c r="AD782" s="347"/>
      <c r="AE782" s="350" t="str">
        <f t="shared" ca="1" si="523"/>
        <v/>
      </c>
      <c r="AF782" s="351" t="str">
        <f t="shared" ca="1" si="524"/>
        <v/>
      </c>
      <c r="AG782" s="340"/>
      <c r="AH782" s="340"/>
      <c r="AI782" s="340"/>
      <c r="AJ782" s="340"/>
      <c r="AK782" s="340"/>
      <c r="AL782" s="340"/>
      <c r="AM782" s="340"/>
      <c r="AN782" s="340"/>
      <c r="AO782" s="340"/>
      <c r="AP782" s="340"/>
      <c r="AQ782" s="340"/>
      <c r="AR782" s="340"/>
      <c r="AS782" s="340"/>
      <c r="AT782" s="340"/>
      <c r="AU782" s="340"/>
      <c r="AV782" s="340"/>
      <c r="AY782" s="340"/>
      <c r="AZ782" s="465">
        <f t="shared" ca="1" si="534"/>
        <v>7.3698599999999999E-5</v>
      </c>
      <c r="BA782" s="464">
        <f t="shared" ca="1" si="535"/>
        <v>2.1372602999999999E-3</v>
      </c>
      <c r="BB782" s="465">
        <f t="shared" ca="1" si="535"/>
        <v>2.2109589000000002E-3</v>
      </c>
      <c r="BC782" s="466">
        <f t="shared" ca="1" si="536"/>
        <v>66416</v>
      </c>
      <c r="BD782" s="467">
        <f t="shared" ca="1" si="549"/>
        <v>66417</v>
      </c>
      <c r="BE782" s="467">
        <f t="shared" ca="1" si="537"/>
        <v>66445</v>
      </c>
      <c r="BF782" s="468">
        <f ca="1">IF(計算!$BC782&lt;OP!$C$3,0,BD782-BC782)</f>
        <v>1</v>
      </c>
      <c r="BG782" s="468">
        <f ca="1">IF($BE782&gt;DATE(YEAR($BD$9)+OP!$C$57,MONTH($BD$9),DAY($BD$9)),0,$BE782-$BD782+1)</f>
        <v>29</v>
      </c>
      <c r="BH782" s="469">
        <f t="shared" ca="1" si="538"/>
        <v>30</v>
      </c>
      <c r="BI782" t="str">
        <f t="shared" si="520"/>
        <v/>
      </c>
      <c r="BJ782">
        <v>5</v>
      </c>
      <c r="BN782" s="468">
        <f t="shared" si="550"/>
        <v>65</v>
      </c>
      <c r="BO782" s="468">
        <f t="shared" si="551"/>
        <v>5</v>
      </c>
      <c r="BP782" s="467">
        <f t="shared" ca="1" si="539"/>
        <v>66417</v>
      </c>
      <c r="BQ782" s="475">
        <f t="shared" ca="1" si="553"/>
        <v>97</v>
      </c>
      <c r="BR782" s="475" t="str">
        <f t="shared" si="552"/>
        <v/>
      </c>
      <c r="BS782" s="471" t="str">
        <f t="shared" si="540"/>
        <v/>
      </c>
      <c r="BT782" s="472" t="str">
        <f t="shared" si="521"/>
        <v/>
      </c>
      <c r="BU782" s="472">
        <f t="shared" ca="1" si="541"/>
        <v>0</v>
      </c>
      <c r="BV782" s="472">
        <f t="shared" ca="1" si="541"/>
        <v>0</v>
      </c>
      <c r="BW782" s="472"/>
      <c r="BX782" s="473">
        <f t="shared" ca="1" si="542"/>
        <v>1630652.13746683</v>
      </c>
      <c r="BY782" s="473">
        <f t="shared" si="543"/>
        <v>0</v>
      </c>
      <c r="BZ782" s="473">
        <f t="shared" ca="1" si="525"/>
        <v>3605.3048561360001</v>
      </c>
      <c r="CA782" s="476">
        <f t="shared" ca="1" si="544"/>
        <v>0</v>
      </c>
      <c r="CB782" s="494">
        <f ca="1">IF(OR($Q781&lt;&gt;1,OP!$D$5+$BN782-1&lt;16,$BN782-1&lt;1),0,ROUND(ROUND(ROUND(((VLOOKUP($BN782-1,MORE_PV,5,0)/10000)*VLOOKUP($BN782,MORE_PV,$CB$5,0)),3)*VLOOKUP($BN782,more1,5,0),0)/$R781,0))</f>
        <v>0</v>
      </c>
      <c r="CC782" s="473">
        <f t="shared" ca="1" si="545"/>
        <v>0</v>
      </c>
      <c r="CD782" s="477"/>
    </row>
    <row r="783" spans="2:82" ht="16.5" hidden="1">
      <c r="B783" s="80"/>
      <c r="C783" s="80"/>
      <c r="D783" s="80"/>
      <c r="E783" s="80"/>
      <c r="F783" s="80"/>
      <c r="G783" s="80"/>
      <c r="H783" s="80"/>
      <c r="I783" s="80"/>
      <c r="J783" s="192">
        <f t="shared" si="526"/>
        <v>65</v>
      </c>
      <c r="K783" s="192">
        <f t="shared" si="527"/>
        <v>7</v>
      </c>
      <c r="L783" s="192" t="str">
        <f t="shared" si="522"/>
        <v/>
      </c>
      <c r="M783" s="216">
        <f t="shared" ca="1" si="528"/>
        <v>0</v>
      </c>
      <c r="N783" s="216"/>
      <c r="O783" s="216"/>
      <c r="P783" s="216"/>
      <c r="Q783" s="456" t="str">
        <f t="shared" ca="1" si="529"/>
        <v/>
      </c>
      <c r="R783" s="450">
        <f t="shared" ca="1" si="530"/>
        <v>1</v>
      </c>
      <c r="S783" s="191">
        <f t="shared" si="531"/>
        <v>65</v>
      </c>
      <c r="T783" s="191">
        <f t="shared" si="532"/>
        <v>7</v>
      </c>
      <c r="U783" s="191">
        <f ca="1">OP!$D$5+$S783-1</f>
        <v>97</v>
      </c>
      <c r="V783" s="191" t="str">
        <f t="shared" si="533"/>
        <v/>
      </c>
      <c r="W783" s="350">
        <f ca="1">IF(Q783&lt;&gt;1,0,VLOOKUP(OP!$C$55,PVFB,$S783+2,0))</f>
        <v>0</v>
      </c>
      <c r="X783" s="473">
        <f t="shared" ca="1" si="546"/>
        <v>0</v>
      </c>
      <c r="Y783" s="348">
        <f t="shared" ca="1" si="547"/>
        <v>0</v>
      </c>
      <c r="Z783" s="348">
        <f t="shared" ca="1" si="548"/>
        <v>8012</v>
      </c>
      <c r="AA783" s="348">
        <f ca="1">IF(Q783&lt;&gt;1,0,VLOOKUP(OP!$C$55,PVFB,$S783+2,0))</f>
        <v>0</v>
      </c>
      <c r="AB783" s="488" t="str">
        <f ca="1">IF(AND(S783&lt;OP!$C$24,$U783&lt;15),0,IF(AND($U783&lt;15,$T783=12),ROUND(VLOOKUP($S783,DOWN16,5,0),3),IF($T783=12,ROUND(($Z783/10000)*$AA783,3)+IF(AND($P$7="購買增額繳清保險",T783=12,U783=110),VLOOKUP(S783,$B$10:$H$121,7,0),0),"")))</f>
        <v/>
      </c>
      <c r="AC783" s="350" t="str">
        <f ca="1">IF(AND(S783&lt;OP!$C$24,$U783&lt;15),0,IF(AND($U783&lt;16,$T783=12),VLOOKUP($S783,DOWN16,4,0),IF($T783=12,ROUND(VLOOKUP(OP!$C$55,_DIE2,$S783+1,0)*(Z783/10000),0)+IF(AND($P$7="購買增額繳清保險",T783=12,U783=110),VLOOKUP(S783,$B$10:$H$121,7,0),0),"")))</f>
        <v/>
      </c>
      <c r="AD783" s="347"/>
      <c r="AE783" s="350" t="str">
        <f t="shared" ca="1" si="523"/>
        <v/>
      </c>
      <c r="AF783" s="351" t="str">
        <f t="shared" ca="1" si="524"/>
        <v/>
      </c>
      <c r="AG783" s="340"/>
      <c r="AH783" s="340"/>
      <c r="AI783" s="340"/>
      <c r="AJ783" s="340"/>
      <c r="AK783" s="340"/>
      <c r="AL783" s="340"/>
      <c r="AM783" s="340"/>
      <c r="AN783" s="340"/>
      <c r="AO783" s="340"/>
      <c r="AP783" s="340"/>
      <c r="AQ783" s="340"/>
      <c r="AR783" s="340"/>
      <c r="AS783" s="340"/>
      <c r="AT783" s="340"/>
      <c r="AU783" s="340"/>
      <c r="AV783" s="340"/>
      <c r="AY783" s="340"/>
      <c r="AZ783" s="465">
        <f t="shared" ca="1" si="534"/>
        <v>7.3698599999999999E-5</v>
      </c>
      <c r="BA783" s="464">
        <f t="shared" ca="1" si="535"/>
        <v>2.2109589000000002E-3</v>
      </c>
      <c r="BB783" s="465">
        <f t="shared" ca="1" si="535"/>
        <v>2.2846575E-3</v>
      </c>
      <c r="BC783" s="466">
        <f t="shared" ca="1" si="536"/>
        <v>66446</v>
      </c>
      <c r="BD783" s="467">
        <f t="shared" ca="1" si="549"/>
        <v>66447</v>
      </c>
      <c r="BE783" s="467">
        <f t="shared" ca="1" si="537"/>
        <v>66476</v>
      </c>
      <c r="BF783" s="468">
        <f ca="1">IF(計算!$BC783&lt;OP!$C$3,0,BD783-BC783)</f>
        <v>1</v>
      </c>
      <c r="BG783" s="468">
        <f ca="1">IF($BE783&gt;DATE(YEAR($BD$9)+OP!$C$57,MONTH($BD$9),DAY($BD$9)),0,$BE783-$BD783+1)</f>
        <v>30</v>
      </c>
      <c r="BH783" s="469">
        <f t="shared" ca="1" si="538"/>
        <v>31</v>
      </c>
      <c r="BI783" t="str">
        <f t="shared" si="520"/>
        <v/>
      </c>
      <c r="BJ783">
        <v>6</v>
      </c>
      <c r="BN783" s="468">
        <f t="shared" si="550"/>
        <v>65</v>
      </c>
      <c r="BO783" s="468">
        <f t="shared" si="551"/>
        <v>6</v>
      </c>
      <c r="BP783" s="467">
        <f t="shared" ca="1" si="539"/>
        <v>66447</v>
      </c>
      <c r="BQ783" s="475">
        <f t="shared" ca="1" si="553"/>
        <v>97</v>
      </c>
      <c r="BR783" s="475" t="str">
        <f t="shared" si="552"/>
        <v/>
      </c>
      <c r="BS783" s="471" t="str">
        <f t="shared" si="540"/>
        <v/>
      </c>
      <c r="BT783" s="472" t="str">
        <f t="shared" si="521"/>
        <v/>
      </c>
      <c r="BU783" s="472">
        <f t="shared" ca="1" si="541"/>
        <v>0</v>
      </c>
      <c r="BV783" s="472">
        <f t="shared" ca="1" si="541"/>
        <v>0</v>
      </c>
      <c r="BW783" s="472"/>
      <c r="BX783" s="473">
        <f t="shared" ca="1" si="542"/>
        <v>1634257.4423229699</v>
      </c>
      <c r="BY783" s="473">
        <f t="shared" si="543"/>
        <v>0</v>
      </c>
      <c r="BZ783" s="473">
        <f t="shared" ca="1" si="525"/>
        <v>3733.7185225339999</v>
      </c>
      <c r="CA783" s="476">
        <f t="shared" ca="1" si="544"/>
        <v>0</v>
      </c>
      <c r="CB783" s="494">
        <f ca="1">IF(OR($Q782&lt;&gt;1,OP!$D$5+$BN783-1&lt;16,$BN783-1&lt;1),0,ROUND(ROUND(ROUND(((VLOOKUP($BN783-1,MORE_PV,5,0)/10000)*VLOOKUP($BN783,MORE_PV,$CB$5,0)),3)*VLOOKUP($BN783,more1,5,0),0)/$R782,0))</f>
        <v>0</v>
      </c>
      <c r="CC783" s="473">
        <f t="shared" ca="1" si="545"/>
        <v>0</v>
      </c>
      <c r="CD783" s="477"/>
    </row>
    <row r="784" spans="2:82" ht="16.5" hidden="1">
      <c r="B784" s="80"/>
      <c r="C784" s="80"/>
      <c r="D784" s="80"/>
      <c r="E784" s="80"/>
      <c r="F784" s="80"/>
      <c r="G784" s="80"/>
      <c r="H784" s="80"/>
      <c r="I784" s="80"/>
      <c r="J784" s="192">
        <f t="shared" si="526"/>
        <v>65</v>
      </c>
      <c r="K784" s="192">
        <f t="shared" si="527"/>
        <v>8</v>
      </c>
      <c r="L784" s="192" t="str">
        <f t="shared" si="522"/>
        <v/>
      </c>
      <c r="M784" s="216">
        <f t="shared" ca="1" si="528"/>
        <v>0</v>
      </c>
      <c r="N784" s="216"/>
      <c r="O784" s="216"/>
      <c r="P784" s="216"/>
      <c r="Q784" s="456" t="str">
        <f t="shared" ca="1" si="529"/>
        <v/>
      </c>
      <c r="R784" s="450">
        <f t="shared" ca="1" si="530"/>
        <v>1</v>
      </c>
      <c r="S784" s="191">
        <f t="shared" si="531"/>
        <v>65</v>
      </c>
      <c r="T784" s="191">
        <f t="shared" si="532"/>
        <v>8</v>
      </c>
      <c r="U784" s="191">
        <f ca="1">OP!$D$5+$S784-1</f>
        <v>97</v>
      </c>
      <c r="V784" s="191" t="str">
        <f t="shared" si="533"/>
        <v/>
      </c>
      <c r="W784" s="350">
        <f ca="1">IF(Q784&lt;&gt;1,0,VLOOKUP(OP!$C$55,PVFB,$S784+2,0))</f>
        <v>0</v>
      </c>
      <c r="X784" s="473">
        <f t="shared" ca="1" si="546"/>
        <v>0</v>
      </c>
      <c r="Y784" s="348">
        <f t="shared" ca="1" si="547"/>
        <v>0</v>
      </c>
      <c r="Z784" s="348">
        <f t="shared" ca="1" si="548"/>
        <v>8012</v>
      </c>
      <c r="AA784" s="348">
        <f ca="1">IF(Q784&lt;&gt;1,0,VLOOKUP(OP!$C$55,PVFB,$S784+2,0))</f>
        <v>0</v>
      </c>
      <c r="AB784" s="488" t="str">
        <f ca="1">IF(AND(S784&lt;OP!$C$24,$U784&lt;15),0,IF(AND($U784&lt;15,$T784=12),ROUND(VLOOKUP($S784,DOWN16,5,0),3),IF($T784=12,ROUND(($Z784/10000)*$AA784,3)+IF(AND($P$7="購買增額繳清保險",T784=12,U784=110),VLOOKUP(S784,$B$10:$H$121,7,0),0),"")))</f>
        <v/>
      </c>
      <c r="AC784" s="350" t="str">
        <f ca="1">IF(AND(S784&lt;OP!$C$24,$U784&lt;15),0,IF(AND($U784&lt;16,$T784=12),VLOOKUP($S784,DOWN16,4,0),IF($T784=12,ROUND(VLOOKUP(OP!$C$55,_DIE2,$S784+1,0)*(Z784/10000),0)+IF(AND($P$7="購買增額繳清保險",T784=12,U784=110),VLOOKUP(S784,$B$10:$H$121,7,0),0),"")))</f>
        <v/>
      </c>
      <c r="AD784" s="347"/>
      <c r="AE784" s="350" t="str">
        <f t="shared" ca="1" si="523"/>
        <v/>
      </c>
      <c r="AF784" s="351" t="str">
        <f t="shared" ca="1" si="524"/>
        <v/>
      </c>
      <c r="AG784" s="340"/>
      <c r="AH784" s="340"/>
      <c r="AI784" s="340"/>
      <c r="AJ784" s="340"/>
      <c r="AK784" s="340"/>
      <c r="AL784" s="340"/>
      <c r="AM784" s="340"/>
      <c r="AN784" s="340"/>
      <c r="AO784" s="340"/>
      <c r="AP784" s="340"/>
      <c r="AQ784" s="340"/>
      <c r="AR784" s="340"/>
      <c r="AS784" s="340"/>
      <c r="AT784" s="340"/>
      <c r="AU784" s="340"/>
      <c r="AV784" s="340"/>
      <c r="AY784" s="340"/>
      <c r="AZ784" s="465">
        <f t="shared" ca="1" si="534"/>
        <v>7.3698599999999999E-5</v>
      </c>
      <c r="BA784" s="464">
        <f t="shared" ca="1" si="535"/>
        <v>2.2109589000000002E-3</v>
      </c>
      <c r="BB784" s="465">
        <f t="shared" ca="1" si="535"/>
        <v>2.2846575E-3</v>
      </c>
      <c r="BC784" s="466">
        <f t="shared" ca="1" si="536"/>
        <v>66477</v>
      </c>
      <c r="BD784" s="467">
        <f t="shared" ca="1" si="549"/>
        <v>66478</v>
      </c>
      <c r="BE784" s="467">
        <f t="shared" ca="1" si="537"/>
        <v>66507</v>
      </c>
      <c r="BF784" s="468">
        <f ca="1">IF(計算!$BC784&lt;OP!$C$3,0,BD784-BC784)</f>
        <v>1</v>
      </c>
      <c r="BG784" s="468">
        <f ca="1">IF($BE784&gt;DATE(YEAR($BD$9)+OP!$C$57,MONTH($BD$9),DAY($BD$9)),0,$BE784-$BD784+1)</f>
        <v>30</v>
      </c>
      <c r="BH784" s="469">
        <f t="shared" ca="1" si="538"/>
        <v>31</v>
      </c>
      <c r="BI784" t="str">
        <f t="shared" si="520"/>
        <v/>
      </c>
      <c r="BJ784">
        <v>7</v>
      </c>
      <c r="BN784" s="468">
        <f t="shared" si="550"/>
        <v>65</v>
      </c>
      <c r="BO784" s="468">
        <f t="shared" si="551"/>
        <v>7</v>
      </c>
      <c r="BP784" s="467">
        <f t="shared" ca="1" si="539"/>
        <v>66478</v>
      </c>
      <c r="BQ784" s="475">
        <f t="shared" ca="1" si="553"/>
        <v>97</v>
      </c>
      <c r="BR784" s="475" t="str">
        <f t="shared" si="552"/>
        <v/>
      </c>
      <c r="BS784" s="471" t="str">
        <f t="shared" si="540"/>
        <v/>
      </c>
      <c r="BT784" s="472" t="str">
        <f t="shared" si="521"/>
        <v/>
      </c>
      <c r="BU784" s="472">
        <f t="shared" ca="1" si="541"/>
        <v>0</v>
      </c>
      <c r="BV784" s="472">
        <f t="shared" ca="1" si="541"/>
        <v>0</v>
      </c>
      <c r="BW784" s="472"/>
      <c r="BX784" s="473">
        <f t="shared" ca="1" si="542"/>
        <v>1637991.1608455</v>
      </c>
      <c r="BY784" s="473">
        <f t="shared" si="543"/>
        <v>0</v>
      </c>
      <c r="BZ784" s="473">
        <f t="shared" ca="1" si="525"/>
        <v>3742.2487905590001</v>
      </c>
      <c r="CA784" s="476">
        <f t="shared" ca="1" si="544"/>
        <v>0</v>
      </c>
      <c r="CB784" s="494">
        <f ca="1">IF(OR($Q783&lt;&gt;1,OP!$D$5+$BN784-1&lt;16,$BN784-1&lt;1),0,ROUND(ROUND(ROUND(((VLOOKUP($BN784-1,MORE_PV,5,0)/10000)*VLOOKUP($BN784,MORE_PV,$CB$5,0)),3)*VLOOKUP($BN784,more1,5,0),0)/$R783,0))</f>
        <v>0</v>
      </c>
      <c r="CC784" s="473">
        <f t="shared" ca="1" si="545"/>
        <v>0</v>
      </c>
      <c r="CD784" s="477"/>
    </row>
    <row r="785" spans="2:82" ht="16.5" hidden="1">
      <c r="B785" s="80"/>
      <c r="C785" s="80"/>
      <c r="D785" s="80"/>
      <c r="E785" s="80"/>
      <c r="F785" s="80"/>
      <c r="G785" s="80"/>
      <c r="H785" s="80"/>
      <c r="I785" s="80"/>
      <c r="J785" s="192">
        <f t="shared" si="526"/>
        <v>65</v>
      </c>
      <c r="K785" s="192">
        <f t="shared" si="527"/>
        <v>9</v>
      </c>
      <c r="L785" s="192" t="str">
        <f t="shared" si="522"/>
        <v/>
      </c>
      <c r="M785" s="216">
        <f t="shared" ca="1" si="528"/>
        <v>0</v>
      </c>
      <c r="N785" s="216"/>
      <c r="O785" s="216"/>
      <c r="P785" s="216"/>
      <c r="Q785" s="456" t="str">
        <f t="shared" ca="1" si="529"/>
        <v/>
      </c>
      <c r="R785" s="450">
        <f t="shared" ca="1" si="530"/>
        <v>1</v>
      </c>
      <c r="S785" s="191">
        <f t="shared" si="531"/>
        <v>65</v>
      </c>
      <c r="T785" s="191">
        <f t="shared" si="532"/>
        <v>9</v>
      </c>
      <c r="U785" s="191">
        <f ca="1">OP!$D$5+$S785-1</f>
        <v>97</v>
      </c>
      <c r="V785" s="191" t="str">
        <f t="shared" si="533"/>
        <v/>
      </c>
      <c r="W785" s="350">
        <f ca="1">IF(Q785&lt;&gt;1,0,VLOOKUP(OP!$C$55,PVFB,$S785+2,0))</f>
        <v>0</v>
      </c>
      <c r="X785" s="473">
        <f t="shared" ca="1" si="546"/>
        <v>0</v>
      </c>
      <c r="Y785" s="348">
        <f t="shared" ca="1" si="547"/>
        <v>0</v>
      </c>
      <c r="Z785" s="348">
        <f t="shared" ca="1" si="548"/>
        <v>8012</v>
      </c>
      <c r="AA785" s="348">
        <f ca="1">IF(Q785&lt;&gt;1,0,VLOOKUP(OP!$C$55,PVFB,$S785+2,0))</f>
        <v>0</v>
      </c>
      <c r="AB785" s="488" t="str">
        <f ca="1">IF(AND(S785&lt;OP!$C$24,$U785&lt;15),0,IF(AND($U785&lt;15,$T785=12),ROUND(VLOOKUP($S785,DOWN16,5,0),3),IF($T785=12,ROUND(($Z785/10000)*$AA785,3)+IF(AND($P$7="購買增額繳清保險",T785=12,U785=110),VLOOKUP(S785,$B$10:$H$121,7,0),0),"")))</f>
        <v/>
      </c>
      <c r="AC785" s="350" t="str">
        <f ca="1">IF(AND(S785&lt;OP!$C$24,$U785&lt;15),0,IF(AND($U785&lt;16,$T785=12),VLOOKUP($S785,DOWN16,4,0),IF($T785=12,ROUND(VLOOKUP(OP!$C$55,_DIE2,$S785+1,0)*(Z785/10000),0)+IF(AND($P$7="購買增額繳清保險",T785=12,U785=110),VLOOKUP(S785,$B$10:$H$121,7,0),0),"")))</f>
        <v/>
      </c>
      <c r="AD785" s="347"/>
      <c r="AE785" s="350" t="str">
        <f t="shared" ca="1" si="523"/>
        <v/>
      </c>
      <c r="AF785" s="351" t="str">
        <f t="shared" ca="1" si="524"/>
        <v/>
      </c>
      <c r="AG785" s="340"/>
      <c r="AH785" s="340"/>
      <c r="AI785" s="340"/>
      <c r="AJ785" s="340"/>
      <c r="AK785" s="340"/>
      <c r="AL785" s="340"/>
      <c r="AM785" s="340"/>
      <c r="AN785" s="340"/>
      <c r="AO785" s="340"/>
      <c r="AP785" s="340"/>
      <c r="AQ785" s="340"/>
      <c r="AR785" s="340"/>
      <c r="AS785" s="340"/>
      <c r="AT785" s="340"/>
      <c r="AU785" s="340"/>
      <c r="AV785" s="340"/>
      <c r="AY785" s="340"/>
      <c r="AZ785" s="465">
        <f t="shared" ca="1" si="534"/>
        <v>7.3698599999999999E-5</v>
      </c>
      <c r="BA785" s="464">
        <f t="shared" ca="1" si="535"/>
        <v>1.9898630000000001E-3</v>
      </c>
      <c r="BB785" s="465">
        <f t="shared" ca="1" si="535"/>
        <v>2.0635616E-3</v>
      </c>
      <c r="BC785" s="466">
        <f t="shared" ca="1" si="536"/>
        <v>66508</v>
      </c>
      <c r="BD785" s="467">
        <f t="shared" ca="1" si="549"/>
        <v>66509</v>
      </c>
      <c r="BE785" s="467">
        <f t="shared" ca="1" si="537"/>
        <v>66535</v>
      </c>
      <c r="BF785" s="468">
        <f ca="1">IF(計算!$BC785&lt;OP!$C$3,0,BD785-BC785)</f>
        <v>1</v>
      </c>
      <c r="BG785" s="468">
        <f ca="1">IF($BE785&gt;DATE(YEAR($BD$9)+OP!$C$57,MONTH($BD$9),DAY($BD$9)),0,$BE785-$BD785+1)</f>
        <v>27</v>
      </c>
      <c r="BH785" s="469">
        <f t="shared" ca="1" si="538"/>
        <v>28</v>
      </c>
      <c r="BI785" t="str">
        <f t="shared" si="520"/>
        <v/>
      </c>
      <c r="BJ785">
        <v>8</v>
      </c>
      <c r="BN785" s="468">
        <f t="shared" si="550"/>
        <v>65</v>
      </c>
      <c r="BO785" s="468">
        <f t="shared" si="551"/>
        <v>8</v>
      </c>
      <c r="BP785" s="467">
        <f t="shared" ca="1" si="539"/>
        <v>66509</v>
      </c>
      <c r="BQ785" s="475">
        <f t="shared" ca="1" si="553"/>
        <v>97</v>
      </c>
      <c r="BR785" s="475" t="str">
        <f t="shared" si="552"/>
        <v/>
      </c>
      <c r="BS785" s="471" t="str">
        <f t="shared" si="540"/>
        <v/>
      </c>
      <c r="BT785" s="472" t="str">
        <f t="shared" si="521"/>
        <v/>
      </c>
      <c r="BU785" s="472">
        <f t="shared" ca="1" si="541"/>
        <v>0</v>
      </c>
      <c r="BV785" s="472">
        <f t="shared" ca="1" si="541"/>
        <v>0</v>
      </c>
      <c r="BW785" s="472"/>
      <c r="BX785" s="473">
        <f t="shared" ca="1" si="542"/>
        <v>1641733.40963606</v>
      </c>
      <c r="BY785" s="473">
        <f t="shared" si="543"/>
        <v>0</v>
      </c>
      <c r="BZ785" s="473">
        <f t="shared" ca="1" si="525"/>
        <v>3387.818021562</v>
      </c>
      <c r="CA785" s="476">
        <f t="shared" ca="1" si="544"/>
        <v>0</v>
      </c>
      <c r="CB785" s="494">
        <f ca="1">IF(OR($Q784&lt;&gt;1,OP!$D$5+$BN785-1&lt;16,$BN785-1&lt;1),0,ROUND(ROUND(ROUND(((VLOOKUP($BN785-1,MORE_PV,5,0)/10000)*VLOOKUP($BN785,MORE_PV,$CB$5,0)),3)*VLOOKUP($BN785,more1,5,0),0)/$R784,0))</f>
        <v>0</v>
      </c>
      <c r="CC785" s="473">
        <f t="shared" ca="1" si="545"/>
        <v>0</v>
      </c>
      <c r="CD785" s="477"/>
    </row>
    <row r="786" spans="2:82" ht="16.5" hidden="1">
      <c r="B786" s="80"/>
      <c r="C786" s="80"/>
      <c r="D786" s="80"/>
      <c r="E786" s="80"/>
      <c r="F786" s="80"/>
      <c r="G786" s="80"/>
      <c r="H786" s="80"/>
      <c r="I786" s="80"/>
      <c r="J786" s="192">
        <f t="shared" si="526"/>
        <v>65</v>
      </c>
      <c r="K786" s="192">
        <f t="shared" si="527"/>
        <v>10</v>
      </c>
      <c r="L786" s="192" t="str">
        <f t="shared" si="522"/>
        <v/>
      </c>
      <c r="M786" s="216">
        <f t="shared" ca="1" si="528"/>
        <v>0</v>
      </c>
      <c r="N786" s="216"/>
      <c r="O786" s="216"/>
      <c r="P786" s="216"/>
      <c r="Q786" s="456" t="str">
        <f t="shared" ca="1" si="529"/>
        <v/>
      </c>
      <c r="R786" s="450">
        <f t="shared" ca="1" si="530"/>
        <v>1</v>
      </c>
      <c r="S786" s="191">
        <f t="shared" si="531"/>
        <v>65</v>
      </c>
      <c r="T786" s="191">
        <f t="shared" si="532"/>
        <v>10</v>
      </c>
      <c r="U786" s="191">
        <f ca="1">OP!$D$5+$S786-1</f>
        <v>97</v>
      </c>
      <c r="V786" s="191" t="str">
        <f t="shared" si="533"/>
        <v/>
      </c>
      <c r="W786" s="350">
        <f ca="1">IF(Q786&lt;&gt;1,0,VLOOKUP(OP!$C$55,PVFB,$S786+2,0))</f>
        <v>0</v>
      </c>
      <c r="X786" s="473">
        <f t="shared" ca="1" si="546"/>
        <v>0</v>
      </c>
      <c r="Y786" s="348">
        <f t="shared" ca="1" si="547"/>
        <v>0</v>
      </c>
      <c r="Z786" s="348">
        <f t="shared" ca="1" si="548"/>
        <v>8012</v>
      </c>
      <c r="AA786" s="348">
        <f ca="1">IF(Q786&lt;&gt;1,0,VLOOKUP(OP!$C$55,PVFB,$S786+2,0))</f>
        <v>0</v>
      </c>
      <c r="AB786" s="488" t="str">
        <f ca="1">IF(AND(S786&lt;OP!$C$24,$U786&lt;15),0,IF(AND($U786&lt;15,$T786=12),ROUND(VLOOKUP($S786,DOWN16,5,0),3),IF($T786=12,ROUND(($Z786/10000)*$AA786,3)+IF(AND($P$7="購買增額繳清保險",T786=12,U786=110),VLOOKUP(S786,$B$10:$H$121,7,0),0),"")))</f>
        <v/>
      </c>
      <c r="AC786" s="350" t="str">
        <f ca="1">IF(AND(S786&lt;OP!$C$24,$U786&lt;15),0,IF(AND($U786&lt;16,$T786=12),VLOOKUP($S786,DOWN16,4,0),IF($T786=12,ROUND(VLOOKUP(OP!$C$55,_DIE2,$S786+1,0)*(Z786/10000),0)+IF(AND($P$7="購買增額繳清保險",T786=12,U786=110),VLOOKUP(S786,$B$10:$H$121,7,0),0),"")))</f>
        <v/>
      </c>
      <c r="AD786" s="347"/>
      <c r="AE786" s="350" t="str">
        <f t="shared" ca="1" si="523"/>
        <v/>
      </c>
      <c r="AF786" s="351" t="str">
        <f t="shared" ca="1" si="524"/>
        <v/>
      </c>
      <c r="AG786" s="340"/>
      <c r="AH786" s="340"/>
      <c r="AI786" s="340"/>
      <c r="AJ786" s="340"/>
      <c r="AK786" s="340"/>
      <c r="AL786" s="340"/>
      <c r="AM786" s="340"/>
      <c r="AN786" s="340"/>
      <c r="AO786" s="340"/>
      <c r="AP786" s="340"/>
      <c r="AQ786" s="340"/>
      <c r="AR786" s="340"/>
      <c r="AS786" s="340"/>
      <c r="AT786" s="340"/>
      <c r="AU786" s="340"/>
      <c r="AV786" s="340"/>
      <c r="AY786" s="340"/>
      <c r="AZ786" s="465">
        <f t="shared" ca="1" si="534"/>
        <v>7.3698599999999999E-5</v>
      </c>
      <c r="BA786" s="464">
        <f t="shared" ca="1" si="535"/>
        <v>2.2109589000000002E-3</v>
      </c>
      <c r="BB786" s="465">
        <f t="shared" ca="1" si="535"/>
        <v>2.2846575E-3</v>
      </c>
      <c r="BC786" s="466">
        <f t="shared" ca="1" si="536"/>
        <v>66536</v>
      </c>
      <c r="BD786" s="467">
        <f t="shared" ca="1" si="549"/>
        <v>66537</v>
      </c>
      <c r="BE786" s="467">
        <f t="shared" ca="1" si="537"/>
        <v>66566</v>
      </c>
      <c r="BF786" s="468">
        <f ca="1">IF(計算!$BC786&lt;OP!$C$3,0,BD786-BC786)</f>
        <v>1</v>
      </c>
      <c r="BG786" s="468">
        <f ca="1">IF($BE786&gt;DATE(YEAR($BD$9)+OP!$C$57,MONTH($BD$9),DAY($BD$9)),0,$BE786-$BD786+1)</f>
        <v>30</v>
      </c>
      <c r="BH786" s="469">
        <f t="shared" ca="1" si="538"/>
        <v>31</v>
      </c>
      <c r="BI786" t="str">
        <f t="shared" si="520"/>
        <v/>
      </c>
      <c r="BJ786">
        <v>9</v>
      </c>
      <c r="BN786" s="468">
        <f t="shared" si="550"/>
        <v>65</v>
      </c>
      <c r="BO786" s="468">
        <f t="shared" si="551"/>
        <v>9</v>
      </c>
      <c r="BP786" s="467">
        <f t="shared" ca="1" si="539"/>
        <v>66537</v>
      </c>
      <c r="BQ786" s="475">
        <f t="shared" ca="1" si="553"/>
        <v>97</v>
      </c>
      <c r="BR786" s="475" t="str">
        <f t="shared" si="552"/>
        <v/>
      </c>
      <c r="BS786" s="471" t="str">
        <f t="shared" si="540"/>
        <v/>
      </c>
      <c r="BT786" s="472" t="str">
        <f t="shared" si="521"/>
        <v/>
      </c>
      <c r="BU786" s="472">
        <f t="shared" ca="1" si="541"/>
        <v>0</v>
      </c>
      <c r="BV786" s="472">
        <f t="shared" ca="1" si="541"/>
        <v>0</v>
      </c>
      <c r="BW786" s="472"/>
      <c r="BX786" s="473">
        <f t="shared" ca="1" si="542"/>
        <v>1645121.2276576201</v>
      </c>
      <c r="BY786" s="473">
        <f t="shared" si="543"/>
        <v>0</v>
      </c>
      <c r="BZ786" s="473">
        <f t="shared" ca="1" si="525"/>
        <v>3758.538551177</v>
      </c>
      <c r="CA786" s="476">
        <f t="shared" ca="1" si="544"/>
        <v>0</v>
      </c>
      <c r="CB786" s="494">
        <f ca="1">IF(OR($Q785&lt;&gt;1,OP!$D$5+$BN786-1&lt;16,$BN786-1&lt;1),0,ROUND(ROUND(ROUND(((VLOOKUP($BN786-1,MORE_PV,5,0)/10000)*VLOOKUP($BN786,MORE_PV,$CB$5,0)),3)*VLOOKUP($BN786,more1,5,0),0)/$R785,0))</f>
        <v>0</v>
      </c>
      <c r="CC786" s="473">
        <f t="shared" ca="1" si="545"/>
        <v>0</v>
      </c>
      <c r="CD786" s="477"/>
    </row>
    <row r="787" spans="2:82" ht="16.5" hidden="1">
      <c r="B787" s="80"/>
      <c r="C787" s="80"/>
      <c r="D787" s="80"/>
      <c r="E787" s="80"/>
      <c r="F787" s="80"/>
      <c r="G787" s="80"/>
      <c r="H787" s="80"/>
      <c r="I787" s="80"/>
      <c r="J787" s="192">
        <f t="shared" si="526"/>
        <v>65</v>
      </c>
      <c r="K787" s="192">
        <f t="shared" si="527"/>
        <v>11</v>
      </c>
      <c r="L787" s="192" t="str">
        <f t="shared" si="522"/>
        <v/>
      </c>
      <c r="M787" s="216">
        <f t="shared" ca="1" si="528"/>
        <v>0</v>
      </c>
      <c r="N787" s="216"/>
      <c r="O787" s="216"/>
      <c r="P787" s="216"/>
      <c r="Q787" s="456" t="str">
        <f t="shared" ca="1" si="529"/>
        <v/>
      </c>
      <c r="R787" s="450">
        <f t="shared" ca="1" si="530"/>
        <v>1</v>
      </c>
      <c r="S787" s="191">
        <f t="shared" si="531"/>
        <v>65</v>
      </c>
      <c r="T787" s="191">
        <f t="shared" si="532"/>
        <v>11</v>
      </c>
      <c r="U787" s="191">
        <f ca="1">OP!$D$5+$S787-1</f>
        <v>97</v>
      </c>
      <c r="V787" s="191" t="str">
        <f t="shared" si="533"/>
        <v/>
      </c>
      <c r="W787" s="350">
        <f ca="1">IF(Q787&lt;&gt;1,0,VLOOKUP(OP!$C$55,PVFB,$S787+2,0))</f>
        <v>0</v>
      </c>
      <c r="X787" s="473">
        <f t="shared" ca="1" si="546"/>
        <v>0</v>
      </c>
      <c r="Y787" s="348">
        <f t="shared" ca="1" si="547"/>
        <v>0</v>
      </c>
      <c r="Z787" s="348">
        <f t="shared" ca="1" si="548"/>
        <v>8012</v>
      </c>
      <c r="AA787" s="348">
        <f ca="1">IF(Q787&lt;&gt;1,0,VLOOKUP(OP!$C$55,PVFB,$S787+2,0))</f>
        <v>0</v>
      </c>
      <c r="AB787" s="488" t="str">
        <f ca="1">IF(AND(S787&lt;OP!$C$24,$U787&lt;15),0,IF(AND($U787&lt;15,$T787=12),ROUND(VLOOKUP($S787,DOWN16,5,0),3),IF($T787=12,ROUND(($Z787/10000)*$AA787,3)+IF(AND($P$7="購買增額繳清保險",T787=12,U787=110),VLOOKUP(S787,$B$10:$H$121,7,0),0),"")))</f>
        <v/>
      </c>
      <c r="AC787" s="350" t="str">
        <f ca="1">IF(AND(S787&lt;OP!$C$24,$U787&lt;15),0,IF(AND($U787&lt;16,$T787=12),VLOOKUP($S787,DOWN16,4,0),IF($T787=12,ROUND(VLOOKUP(OP!$C$55,_DIE2,$S787+1,0)*(Z787/10000),0)+IF(AND($P$7="購買增額繳清保險",T787=12,U787=110),VLOOKUP(S787,$B$10:$H$121,7,0),0),"")))</f>
        <v/>
      </c>
      <c r="AD787" s="347"/>
      <c r="AE787" s="350" t="str">
        <f t="shared" ca="1" si="523"/>
        <v/>
      </c>
      <c r="AF787" s="351" t="str">
        <f t="shared" ca="1" si="524"/>
        <v/>
      </c>
      <c r="AG787" s="340"/>
      <c r="AH787" s="340"/>
      <c r="AI787" s="340"/>
      <c r="AJ787" s="340"/>
      <c r="AK787" s="340"/>
      <c r="AL787" s="340"/>
      <c r="AM787" s="340"/>
      <c r="AN787" s="340"/>
      <c r="AO787" s="340"/>
      <c r="AP787" s="340"/>
      <c r="AQ787" s="340"/>
      <c r="AR787" s="340"/>
      <c r="AS787" s="340"/>
      <c r="AT787" s="340"/>
      <c r="AU787" s="340"/>
      <c r="AV787" s="340"/>
      <c r="AY787" s="340"/>
      <c r="AZ787" s="465">
        <f t="shared" ca="1" si="534"/>
        <v>7.3698599999999999E-5</v>
      </c>
      <c r="BA787" s="464">
        <f t="shared" ca="1" si="535"/>
        <v>2.1372602999999999E-3</v>
      </c>
      <c r="BB787" s="465">
        <f t="shared" ca="1" si="535"/>
        <v>2.2109589000000002E-3</v>
      </c>
      <c r="BC787" s="466">
        <f t="shared" ca="1" si="536"/>
        <v>66567</v>
      </c>
      <c r="BD787" s="467">
        <f t="shared" ca="1" si="549"/>
        <v>66568</v>
      </c>
      <c r="BE787" s="467">
        <f t="shared" ca="1" si="537"/>
        <v>66596</v>
      </c>
      <c r="BF787" s="468">
        <f ca="1">IF(計算!$BC787&lt;OP!$C$3,0,BD787-BC787)</f>
        <v>1</v>
      </c>
      <c r="BG787" s="468">
        <f ca="1">IF($BE787&gt;DATE(YEAR($BD$9)+OP!$C$57,MONTH($BD$9),DAY($BD$9)),0,$BE787-$BD787+1)</f>
        <v>29</v>
      </c>
      <c r="BH787" s="469">
        <f t="shared" ca="1" si="538"/>
        <v>30</v>
      </c>
      <c r="BI787" t="str">
        <f t="shared" si="520"/>
        <v/>
      </c>
      <c r="BJ787">
        <v>10</v>
      </c>
      <c r="BN787" s="468">
        <f t="shared" si="550"/>
        <v>65</v>
      </c>
      <c r="BO787" s="468">
        <f t="shared" si="551"/>
        <v>10</v>
      </c>
      <c r="BP787" s="467">
        <f t="shared" ca="1" si="539"/>
        <v>66568</v>
      </c>
      <c r="BQ787" s="475">
        <f t="shared" ca="1" si="553"/>
        <v>97</v>
      </c>
      <c r="BR787" s="475" t="str">
        <f t="shared" si="552"/>
        <v/>
      </c>
      <c r="BS787" s="471" t="str">
        <f t="shared" si="540"/>
        <v/>
      </c>
      <c r="BT787" s="472" t="str">
        <f t="shared" si="521"/>
        <v/>
      </c>
      <c r="BU787" s="472">
        <f t="shared" ca="1" si="541"/>
        <v>0</v>
      </c>
      <c r="BV787" s="472">
        <f t="shared" ca="1" si="541"/>
        <v>0</v>
      </c>
      <c r="BW787" s="472"/>
      <c r="BX787" s="473">
        <f t="shared" ca="1" si="542"/>
        <v>1648879.7662088</v>
      </c>
      <c r="BY787" s="473">
        <f t="shared" si="543"/>
        <v>0</v>
      </c>
      <c r="BZ787" s="473">
        <f t="shared" ca="1" si="525"/>
        <v>3645.6053941290002</v>
      </c>
      <c r="CA787" s="476">
        <f t="shared" ca="1" si="544"/>
        <v>0</v>
      </c>
      <c r="CB787" s="494">
        <f ca="1">IF(OR($Q786&lt;&gt;1,OP!$D$5+$BN787-1&lt;16,$BN787-1&lt;1),0,ROUND(ROUND(ROUND(((VLOOKUP($BN787-1,MORE_PV,5,0)/10000)*VLOOKUP($BN787,MORE_PV,$CB$5,0)),3)*VLOOKUP($BN787,more1,5,0),0)/$R786,0))</f>
        <v>0</v>
      </c>
      <c r="CC787" s="473">
        <f t="shared" ca="1" si="545"/>
        <v>0</v>
      </c>
      <c r="CD787" s="477"/>
    </row>
    <row r="788" spans="2:82" ht="16.5" hidden="1">
      <c r="B788" s="80"/>
      <c r="C788" s="80"/>
      <c r="D788" s="80"/>
      <c r="E788" s="80"/>
      <c r="F788" s="80"/>
      <c r="G788" s="80"/>
      <c r="H788" s="80"/>
      <c r="I788" s="80"/>
      <c r="J788" s="192">
        <f t="shared" si="526"/>
        <v>65</v>
      </c>
      <c r="K788" s="192">
        <f t="shared" si="527"/>
        <v>12</v>
      </c>
      <c r="L788" s="192">
        <f t="shared" si="522"/>
        <v>65</v>
      </c>
      <c r="M788" s="216">
        <f t="shared" ca="1" si="528"/>
        <v>1678531</v>
      </c>
      <c r="N788" s="216"/>
      <c r="O788" s="216"/>
      <c r="P788" s="216"/>
      <c r="Q788" s="456">
        <f t="shared" ca="1" si="529"/>
        <v>1</v>
      </c>
      <c r="R788" s="450">
        <f t="shared" ca="1" si="530"/>
        <v>1</v>
      </c>
      <c r="S788" s="191">
        <f t="shared" si="531"/>
        <v>65</v>
      </c>
      <c r="T788" s="191">
        <f t="shared" si="532"/>
        <v>12</v>
      </c>
      <c r="U788" s="191">
        <f ca="1">OP!$D$5+$S788-1</f>
        <v>97</v>
      </c>
      <c r="V788" s="191">
        <f t="shared" si="533"/>
        <v>65</v>
      </c>
      <c r="W788" s="350">
        <f ca="1">IF(Q788&lt;&gt;1,0,VLOOKUP(OP!$C$55,PVFB,$S788+2,0))</f>
        <v>92072</v>
      </c>
      <c r="X788" s="473">
        <f t="shared" ca="1" si="546"/>
        <v>22109</v>
      </c>
      <c r="Y788" s="348">
        <f t="shared" ca="1" si="547"/>
        <v>0</v>
      </c>
      <c r="Z788" s="348">
        <f t="shared" ca="1" si="548"/>
        <v>8012</v>
      </c>
      <c r="AA788" s="348">
        <f ca="1">IF(Q788&lt;&gt;1,0,VLOOKUP(OP!$C$55,PVFB,$S788+2,0))</f>
        <v>92072</v>
      </c>
      <c r="AB788" s="488">
        <f ca="1">IF(AND(S788&lt;OP!$C$24,$U788&lt;15),0,IF(AND($U788&lt;15,$T788=12),ROUND(VLOOKUP($S788,DOWN16,5,0),3),IF($T788=12,ROUND(($Z788/10000)*$AA788,3)+IF(AND($P$7="購買增額繳清保險",T788=12,U788=110),VLOOKUP(S788,$B$10:$H$121,7,0),0),"")))</f>
        <v>73768.085999999996</v>
      </c>
      <c r="AC788" s="350">
        <f ca="1">IF(AND(S788&lt;OP!$C$24,$U788&lt;15),0,IF(AND($U788&lt;16,$T788=12),VLOOKUP($S788,DOWN16,4,0),IF($T788=12,ROUND(VLOOKUP(OP!$C$55,_DIE2,$S788+1,0)*(Z788/10000),0)+IF(AND($P$7="購買增額繳清保險",T788=12,U788=110),VLOOKUP(S788,$B$10:$H$121,7,0),0),"")))</f>
        <v>74191</v>
      </c>
      <c r="AD788" s="347"/>
      <c r="AE788" s="350" t="str">
        <f t="shared" ca="1" si="523"/>
        <v/>
      </c>
      <c r="AF788" s="351" t="str">
        <f t="shared" ca="1" si="524"/>
        <v/>
      </c>
      <c r="AG788" s="340"/>
      <c r="AH788" s="340"/>
      <c r="AI788" s="340"/>
      <c r="AJ788" s="340"/>
      <c r="AK788" s="340"/>
      <c r="AL788" s="340"/>
      <c r="AM788" s="340"/>
      <c r="AN788" s="340"/>
      <c r="AO788" s="340"/>
      <c r="AP788" s="340"/>
      <c r="AQ788" s="340"/>
      <c r="AR788" s="340"/>
      <c r="AS788" s="340"/>
      <c r="AT788" s="340"/>
      <c r="AU788" s="340"/>
      <c r="AV788" s="340"/>
      <c r="AY788" s="340"/>
      <c r="AZ788" s="465">
        <f t="shared" ca="1" si="534"/>
        <v>7.3698599999999999E-5</v>
      </c>
      <c r="BA788" s="464">
        <f t="shared" ca="1" si="535"/>
        <v>2.2109589000000002E-3</v>
      </c>
      <c r="BB788" s="465">
        <f t="shared" ca="1" si="535"/>
        <v>2.2846575E-3</v>
      </c>
      <c r="BC788" s="466">
        <f t="shared" ca="1" si="536"/>
        <v>66597</v>
      </c>
      <c r="BD788" s="467">
        <f t="shared" ca="1" si="549"/>
        <v>66598</v>
      </c>
      <c r="BE788" s="467">
        <f t="shared" ca="1" si="537"/>
        <v>66627</v>
      </c>
      <c r="BF788" s="468">
        <f ca="1">IF(計算!$BC788&lt;OP!$C$3,0,BD788-BC788)</f>
        <v>1</v>
      </c>
      <c r="BG788" s="468">
        <f ca="1">IF($BE788&gt;DATE(YEAR($BD$9)+OP!$C$57,MONTH($BD$9),DAY($BD$9)),0,$BE788-$BD788+1)</f>
        <v>30</v>
      </c>
      <c r="BH788" s="469">
        <f t="shared" ca="1" si="538"/>
        <v>31</v>
      </c>
      <c r="BI788" t="str">
        <f t="shared" si="520"/>
        <v/>
      </c>
      <c r="BJ788">
        <v>11</v>
      </c>
      <c r="BN788" s="468">
        <f t="shared" si="550"/>
        <v>65</v>
      </c>
      <c r="BO788" s="468">
        <f t="shared" si="551"/>
        <v>11</v>
      </c>
      <c r="BP788" s="467">
        <f t="shared" ca="1" si="539"/>
        <v>66598</v>
      </c>
      <c r="BQ788" s="475">
        <f t="shared" ca="1" si="553"/>
        <v>97</v>
      </c>
      <c r="BR788" s="475" t="str">
        <f t="shared" si="552"/>
        <v/>
      </c>
      <c r="BS788" s="471" t="str">
        <f t="shared" si="540"/>
        <v/>
      </c>
      <c r="BT788" s="472" t="str">
        <f t="shared" si="521"/>
        <v/>
      </c>
      <c r="BU788" s="472">
        <f t="shared" ca="1" si="541"/>
        <v>0</v>
      </c>
      <c r="BV788" s="472">
        <f t="shared" ca="1" si="541"/>
        <v>0</v>
      </c>
      <c r="BW788" s="472"/>
      <c r="BX788" s="473">
        <f t="shared" ca="1" si="542"/>
        <v>1652525.3716029299</v>
      </c>
      <c r="BY788" s="473">
        <f t="shared" si="543"/>
        <v>0</v>
      </c>
      <c r="BZ788" s="473">
        <f t="shared" ca="1" si="525"/>
        <v>3775.4544841729999</v>
      </c>
      <c r="CA788" s="476">
        <f t="shared" ca="1" si="544"/>
        <v>0</v>
      </c>
      <c r="CB788" s="494">
        <f ca="1">IF(OR($Q787&lt;&gt;1,OP!$D$5+$BN788-1&lt;16,$BN788-1&lt;1),0,ROUND(ROUND(ROUND(((VLOOKUP($BN788-1,MORE_PV,5,0)/10000)*VLOOKUP($BN788,MORE_PV,$CB$5,0)),3)*VLOOKUP($BN788,more1,5,0),0)/$R787,0))</f>
        <v>0</v>
      </c>
      <c r="CC788" s="473">
        <f t="shared" ca="1" si="545"/>
        <v>0</v>
      </c>
      <c r="CD788" s="477"/>
    </row>
    <row r="789" spans="2:82" ht="16.5" hidden="1">
      <c r="B789" s="80"/>
      <c r="C789" s="80"/>
      <c r="D789" s="80"/>
      <c r="E789" s="80"/>
      <c r="F789" s="80"/>
      <c r="G789" s="80"/>
      <c r="H789" s="80"/>
      <c r="I789" s="80"/>
      <c r="J789" s="192">
        <f t="shared" si="526"/>
        <v>66</v>
      </c>
      <c r="K789" s="192">
        <f t="shared" si="527"/>
        <v>1</v>
      </c>
      <c r="L789" s="192" t="str">
        <f t="shared" si="522"/>
        <v/>
      </c>
      <c r="M789" s="216">
        <f t="shared" ca="1" si="528"/>
        <v>0</v>
      </c>
      <c r="N789" s="216"/>
      <c r="O789" s="216"/>
      <c r="P789" s="216"/>
      <c r="Q789" s="456" t="str">
        <f t="shared" ca="1" si="529"/>
        <v/>
      </c>
      <c r="R789" s="450">
        <f t="shared" ca="1" si="530"/>
        <v>1</v>
      </c>
      <c r="S789" s="191">
        <f t="shared" si="531"/>
        <v>66</v>
      </c>
      <c r="T789" s="191">
        <f t="shared" si="532"/>
        <v>1</v>
      </c>
      <c r="U789" s="191">
        <f ca="1">OP!$D$5+$S789-1</f>
        <v>98</v>
      </c>
      <c r="V789" s="191" t="str">
        <f t="shared" si="533"/>
        <v/>
      </c>
      <c r="W789" s="350">
        <f ca="1">IF(Q789&lt;&gt;1,0,VLOOKUP(OP!$C$55,PVFB,$S789+2,0))</f>
        <v>0</v>
      </c>
      <c r="X789" s="473">
        <f t="shared" ca="1" si="546"/>
        <v>0</v>
      </c>
      <c r="Y789" s="348">
        <f t="shared" ca="1" si="547"/>
        <v>0</v>
      </c>
      <c r="Z789" s="348">
        <f t="shared" ca="1" si="548"/>
        <v>8012</v>
      </c>
      <c r="AA789" s="348">
        <f ca="1">IF(Q789&lt;&gt;1,0,VLOOKUP(OP!$C$55,PVFB,$S789+2,0))</f>
        <v>0</v>
      </c>
      <c r="AB789" s="488" t="str">
        <f ca="1">IF(AND(S789&lt;OP!$C$24,$U789&lt;15),0,IF(AND($U789&lt;15,$T789=12),ROUND(VLOOKUP($S789,DOWN16,5,0),3),IF($T789=12,ROUND(($Z789/10000)*$AA789,3)+IF(AND($P$7="購買增額繳清保險",T789=12,U789=110),VLOOKUP(S789,$B$10:$H$121,7,0),0),"")))</f>
        <v/>
      </c>
      <c r="AC789" s="350" t="str">
        <f ca="1">IF(AND(S789&lt;OP!$C$24,$U789&lt;15),0,IF(AND($U789&lt;16,$T789=12),VLOOKUP($S789,DOWN16,4,0),IF($T789=12,ROUND(VLOOKUP(OP!$C$55,_DIE2,$S789+1,0)*(Z789/10000),0)+IF(AND($P$7="購買增額繳清保險",T789=12,U789=110),VLOOKUP(S789,$B$10:$H$121,7,0),0),"")))</f>
        <v/>
      </c>
      <c r="AD789" s="347"/>
      <c r="AE789" s="350" t="str">
        <f t="shared" ca="1" si="523"/>
        <v/>
      </c>
      <c r="AF789" s="351" t="str">
        <f t="shared" ca="1" si="524"/>
        <v/>
      </c>
      <c r="AG789" s="340"/>
      <c r="AH789" s="340"/>
      <c r="AI789" s="340"/>
      <c r="AJ789" s="340"/>
      <c r="AK789" s="340"/>
      <c r="AL789" s="340"/>
      <c r="AM789" s="340"/>
      <c r="AN789" s="340"/>
      <c r="AO789" s="340"/>
      <c r="AP789" s="340"/>
      <c r="AQ789" s="340"/>
      <c r="AR789" s="340"/>
      <c r="AS789" s="340"/>
      <c r="AT789" s="340"/>
      <c r="AU789" s="340"/>
      <c r="AV789" s="340"/>
      <c r="AY789" s="340"/>
      <c r="AZ789" s="465">
        <f t="shared" ca="1" si="534"/>
        <v>7.3698599999999999E-5</v>
      </c>
      <c r="BA789" s="464">
        <f t="shared" ca="1" si="535"/>
        <v>2.1372602999999999E-3</v>
      </c>
      <c r="BB789" s="465">
        <f t="shared" ca="1" si="535"/>
        <v>2.2109589000000002E-3</v>
      </c>
      <c r="BC789" s="466">
        <f t="shared" ca="1" si="536"/>
        <v>66628</v>
      </c>
      <c r="BD789" s="467">
        <f t="shared" ca="1" si="549"/>
        <v>66629</v>
      </c>
      <c r="BE789" s="467">
        <f t="shared" ca="1" si="537"/>
        <v>66657</v>
      </c>
      <c r="BF789" s="468">
        <f ca="1">IF(計算!$BC789&lt;OP!$C$3,0,BD789-BC789)</f>
        <v>1</v>
      </c>
      <c r="BG789" s="468">
        <f ca="1">IF($BE789&gt;DATE(YEAR($BD$9)+OP!$C$57,MONTH($BD$9),DAY($BD$9)),0,$BE789-$BD789+1)</f>
        <v>29</v>
      </c>
      <c r="BH789" s="469">
        <f t="shared" ca="1" si="538"/>
        <v>30</v>
      </c>
      <c r="BI789">
        <f t="shared" ref="BI789:BI852" ca="1" si="554">IF(BJ789=12,BD789-BD777,"")</f>
        <v>365</v>
      </c>
      <c r="BJ789">
        <v>12</v>
      </c>
      <c r="BN789" s="468">
        <f t="shared" si="550"/>
        <v>65</v>
      </c>
      <c r="BO789" s="468">
        <f t="shared" si="551"/>
        <v>12</v>
      </c>
      <c r="BP789" s="467">
        <f t="shared" ca="1" si="539"/>
        <v>66629</v>
      </c>
      <c r="BQ789" s="475">
        <f t="shared" ca="1" si="553"/>
        <v>97</v>
      </c>
      <c r="BR789" s="475">
        <f t="shared" si="552"/>
        <v>65</v>
      </c>
      <c r="BS789" s="471">
        <f t="shared" ca="1" si="540"/>
        <v>22109</v>
      </c>
      <c r="BT789" s="472">
        <f t="shared" ca="1" si="521"/>
        <v>1678531</v>
      </c>
      <c r="BU789" s="472">
        <f t="shared" ca="1" si="541"/>
        <v>21600</v>
      </c>
      <c r="BV789" s="472">
        <f t="shared" ca="1" si="541"/>
        <v>509</v>
      </c>
      <c r="BW789" s="472">
        <f ca="1">ROUND(SUM(BY789,BZ777:BZ788),0)</f>
        <v>43915</v>
      </c>
      <c r="BX789" s="473">
        <f t="shared" ca="1" si="542"/>
        <v>1678531.89313916</v>
      </c>
      <c r="BY789" s="473">
        <f t="shared" ca="1" si="543"/>
        <v>122.067052061</v>
      </c>
      <c r="BZ789" s="473">
        <f t="shared" ca="1" si="525"/>
        <v>3587.4595774899999</v>
      </c>
      <c r="CA789" s="476">
        <f t="shared" ca="1" si="544"/>
        <v>21600</v>
      </c>
      <c r="CB789" s="494">
        <f ca="1">IF(OR($Q788&lt;&gt;1,OP!$D$5+$BN789-1&lt;16,$BN789-1&lt;1),0,ROUND(ROUND(ROUND(((VLOOKUP($BN789-1,MORE_PV,5,0)/10000)*VLOOKUP($BN789,MORE_PV,$CB$5,0)),3)*VLOOKUP($BN789,more1,5,0),0)/$R788,0))</f>
        <v>509</v>
      </c>
      <c r="CC789" s="473">
        <f t="shared" ca="1" si="545"/>
        <v>0</v>
      </c>
      <c r="CD789" s="477"/>
    </row>
    <row r="790" spans="2:82" ht="16.5" hidden="1">
      <c r="B790" s="80"/>
      <c r="C790" s="80"/>
      <c r="D790" s="80"/>
      <c r="E790" s="80"/>
      <c r="F790" s="80"/>
      <c r="G790" s="80"/>
      <c r="H790" s="80"/>
      <c r="I790" s="80"/>
      <c r="J790" s="192">
        <f t="shared" si="526"/>
        <v>66</v>
      </c>
      <c r="K790" s="192">
        <f t="shared" si="527"/>
        <v>2</v>
      </c>
      <c r="L790" s="192" t="str">
        <f t="shared" si="522"/>
        <v/>
      </c>
      <c r="M790" s="216">
        <f t="shared" ca="1" si="528"/>
        <v>0</v>
      </c>
      <c r="N790" s="216"/>
      <c r="O790" s="216"/>
      <c r="P790" s="216"/>
      <c r="Q790" s="456" t="str">
        <f t="shared" ca="1" si="529"/>
        <v/>
      </c>
      <c r="R790" s="450">
        <f t="shared" ca="1" si="530"/>
        <v>1</v>
      </c>
      <c r="S790" s="191">
        <f t="shared" si="531"/>
        <v>66</v>
      </c>
      <c r="T790" s="191">
        <f t="shared" si="532"/>
        <v>2</v>
      </c>
      <c r="U790" s="191">
        <f ca="1">OP!$D$5+$S790-1</f>
        <v>98</v>
      </c>
      <c r="V790" s="191" t="str">
        <f t="shared" si="533"/>
        <v/>
      </c>
      <c r="W790" s="350">
        <f ca="1">IF(Q790&lt;&gt;1,0,VLOOKUP(OP!$C$55,PVFB,$S790+2,0))</f>
        <v>0</v>
      </c>
      <c r="X790" s="473">
        <f t="shared" ca="1" si="546"/>
        <v>0</v>
      </c>
      <c r="Y790" s="348">
        <f t="shared" ca="1" si="547"/>
        <v>0</v>
      </c>
      <c r="Z790" s="348">
        <f t="shared" ca="1" si="548"/>
        <v>8012</v>
      </c>
      <c r="AA790" s="348">
        <f ca="1">IF(Q790&lt;&gt;1,0,VLOOKUP(OP!$C$55,PVFB,$S790+2,0))</f>
        <v>0</v>
      </c>
      <c r="AB790" s="488" t="str">
        <f ca="1">IF(AND(S790&lt;OP!$C$24,$U790&lt;15),0,IF(AND($U790&lt;15,$T790=12),ROUND(VLOOKUP($S790,DOWN16,5,0),3),IF($T790=12,ROUND(($Z790/10000)*$AA790,3)+IF(AND($P$7="購買增額繳清保險",T790=12,U790=110),VLOOKUP(S790,$B$10:$H$121,7,0),0),"")))</f>
        <v/>
      </c>
      <c r="AC790" s="350" t="str">
        <f ca="1">IF(AND(S790&lt;OP!$C$24,$U790&lt;15),0,IF(AND($U790&lt;16,$T790=12),VLOOKUP($S790,DOWN16,4,0),IF($T790=12,ROUND(VLOOKUP(OP!$C$55,_DIE2,$S790+1,0)*(Z790/10000),0)+IF(AND($P$7="購買增額繳清保險",T790=12,U790=110),VLOOKUP(S790,$B$10:$H$121,7,0),0),"")))</f>
        <v/>
      </c>
      <c r="AD790" s="347"/>
      <c r="AE790" s="350" t="str">
        <f t="shared" ca="1" si="523"/>
        <v/>
      </c>
      <c r="AF790" s="351" t="str">
        <f t="shared" ca="1" si="524"/>
        <v/>
      </c>
      <c r="AG790" s="340"/>
      <c r="AH790" s="340"/>
      <c r="AI790" s="340"/>
      <c r="AJ790" s="340"/>
      <c r="AK790" s="340"/>
      <c r="AL790" s="340"/>
      <c r="AM790" s="340"/>
      <c r="AN790" s="340"/>
      <c r="AO790" s="340"/>
      <c r="AP790" s="340"/>
      <c r="AQ790" s="340"/>
      <c r="AR790" s="340"/>
      <c r="AS790" s="340"/>
      <c r="AT790" s="340"/>
      <c r="AU790" s="340"/>
      <c r="AV790" s="340"/>
      <c r="AY790" s="340"/>
      <c r="AZ790" s="465">
        <f t="shared" ca="1" si="534"/>
        <v>7.3698599999999999E-5</v>
      </c>
      <c r="BA790" s="464">
        <f t="shared" ca="1" si="535"/>
        <v>2.2109589000000002E-3</v>
      </c>
      <c r="BB790" s="465">
        <f t="shared" ca="1" si="535"/>
        <v>2.2846575E-3</v>
      </c>
      <c r="BC790" s="466">
        <f t="shared" ca="1" si="536"/>
        <v>66658</v>
      </c>
      <c r="BD790" s="467">
        <f t="shared" ca="1" si="549"/>
        <v>66659</v>
      </c>
      <c r="BE790" s="467">
        <f t="shared" ca="1" si="537"/>
        <v>66688</v>
      </c>
      <c r="BF790" s="468">
        <f ca="1">IF(計算!$BC790&lt;OP!$C$3,0,BD790-BC790)</f>
        <v>1</v>
      </c>
      <c r="BG790" s="468">
        <f ca="1">IF($BE790&gt;DATE(YEAR($BD$9)+OP!$C$57,MONTH($BD$9),DAY($BD$9)),0,$BE790-$BD790+1)</f>
        <v>30</v>
      </c>
      <c r="BH790" s="469">
        <f t="shared" ca="1" si="538"/>
        <v>31</v>
      </c>
      <c r="BI790" t="str">
        <f t="shared" si="554"/>
        <v/>
      </c>
      <c r="BJ790">
        <v>1</v>
      </c>
      <c r="BN790" s="468">
        <f t="shared" si="550"/>
        <v>66</v>
      </c>
      <c r="BO790" s="468">
        <f t="shared" si="551"/>
        <v>1</v>
      </c>
      <c r="BP790" s="467">
        <f t="shared" ca="1" si="539"/>
        <v>66659</v>
      </c>
      <c r="BQ790" s="475">
        <f t="shared" ca="1" si="553"/>
        <v>98</v>
      </c>
      <c r="BR790" s="475" t="str">
        <f t="shared" si="552"/>
        <v/>
      </c>
      <c r="BS790" s="471" t="str">
        <f t="shared" si="540"/>
        <v/>
      </c>
      <c r="BT790" s="472" t="str">
        <f t="shared" ref="BT790:BT853" si="555">IF(BW790&lt;&gt;"",IF(BN790&gt;=$P$4+1,ROUND(BU790,0)+ROUND(BV790,0)+ROUND(BW790,0)+BT778,0),"")</f>
        <v/>
      </c>
      <c r="BU790" s="472">
        <f t="shared" ca="1" si="541"/>
        <v>0</v>
      </c>
      <c r="BV790" s="472">
        <f t="shared" ca="1" si="541"/>
        <v>0</v>
      </c>
      <c r="BW790" s="472"/>
      <c r="BX790" s="473">
        <f t="shared" ca="1" si="542"/>
        <v>1682119.3527166501</v>
      </c>
      <c r="BY790" s="473">
        <f t="shared" si="543"/>
        <v>0</v>
      </c>
      <c r="BZ790" s="473">
        <f t="shared" ca="1" si="525"/>
        <v>3843.0665950789999</v>
      </c>
      <c r="CA790" s="476">
        <f t="shared" ca="1" si="544"/>
        <v>0</v>
      </c>
      <c r="CB790" s="494">
        <f ca="1">IF(OR($Q789&lt;&gt;1,OP!$D$5+$BN790-1&lt;16,$BN790-1&lt;1),0,ROUND(ROUND(ROUND(((VLOOKUP($BN790-1,MORE_PV,5,0)/10000)*VLOOKUP($BN790,MORE_PV,$CB$5,0)),3)*VLOOKUP($BN790,more1,5,0),0)/$R789,0))</f>
        <v>0</v>
      </c>
      <c r="CC790" s="473">
        <f t="shared" ca="1" si="545"/>
        <v>0</v>
      </c>
      <c r="CD790" s="477"/>
    </row>
    <row r="791" spans="2:82" ht="16.5" hidden="1">
      <c r="B791" s="80"/>
      <c r="C791" s="80"/>
      <c r="D791" s="80"/>
      <c r="E791" s="80"/>
      <c r="F791" s="80"/>
      <c r="G791" s="80"/>
      <c r="H791" s="80"/>
      <c r="I791" s="80"/>
      <c r="J791" s="192">
        <f t="shared" si="526"/>
        <v>66</v>
      </c>
      <c r="K791" s="192">
        <f t="shared" si="527"/>
        <v>3</v>
      </c>
      <c r="L791" s="192" t="str">
        <f t="shared" si="522"/>
        <v/>
      </c>
      <c r="M791" s="216">
        <f t="shared" ca="1" si="528"/>
        <v>0</v>
      </c>
      <c r="N791" s="216"/>
      <c r="O791" s="216"/>
      <c r="P791" s="216"/>
      <c r="Q791" s="456" t="str">
        <f t="shared" ca="1" si="529"/>
        <v/>
      </c>
      <c r="R791" s="450">
        <f t="shared" ca="1" si="530"/>
        <v>1</v>
      </c>
      <c r="S791" s="191">
        <f t="shared" si="531"/>
        <v>66</v>
      </c>
      <c r="T791" s="191">
        <f t="shared" si="532"/>
        <v>3</v>
      </c>
      <c r="U791" s="191">
        <f ca="1">OP!$D$5+$S791-1</f>
        <v>98</v>
      </c>
      <c r="V791" s="191" t="str">
        <f t="shared" si="533"/>
        <v/>
      </c>
      <c r="W791" s="350">
        <f ca="1">IF(Q791&lt;&gt;1,0,VLOOKUP(OP!$C$55,PVFB,$S791+2,0))</f>
        <v>0</v>
      </c>
      <c r="X791" s="473">
        <f t="shared" ca="1" si="546"/>
        <v>0</v>
      </c>
      <c r="Y791" s="348">
        <f t="shared" ca="1" si="547"/>
        <v>0</v>
      </c>
      <c r="Z791" s="348">
        <f t="shared" ca="1" si="548"/>
        <v>8012</v>
      </c>
      <c r="AA791" s="348">
        <f ca="1">IF(Q791&lt;&gt;1,0,VLOOKUP(OP!$C$55,PVFB,$S791+2,0))</f>
        <v>0</v>
      </c>
      <c r="AB791" s="488" t="str">
        <f ca="1">IF(AND(S791&lt;OP!$C$24,$U791&lt;15),0,IF(AND($U791&lt;15,$T791=12),ROUND(VLOOKUP($S791,DOWN16,5,0),3),IF($T791=12,ROUND(($Z791/10000)*$AA791,3)+IF(AND($P$7="購買增額繳清保險",T791=12,U791=110),VLOOKUP(S791,$B$10:$H$121,7,0),0),"")))</f>
        <v/>
      </c>
      <c r="AC791" s="350" t="str">
        <f ca="1">IF(AND(S791&lt;OP!$C$24,$U791&lt;15),0,IF(AND($U791&lt;16,$T791=12),VLOOKUP($S791,DOWN16,4,0),IF($T791=12,ROUND(VLOOKUP(OP!$C$55,_DIE2,$S791+1,0)*(Z791/10000),0)+IF(AND($P$7="購買增額繳清保險",T791=12,U791=110),VLOOKUP(S791,$B$10:$H$121,7,0),0),"")))</f>
        <v/>
      </c>
      <c r="AD791" s="347"/>
      <c r="AE791" s="350" t="str">
        <f t="shared" ca="1" si="523"/>
        <v/>
      </c>
      <c r="AF791" s="351" t="str">
        <f t="shared" ca="1" si="524"/>
        <v/>
      </c>
      <c r="AG791" s="340"/>
      <c r="AH791" s="340"/>
      <c r="AI791" s="340"/>
      <c r="AJ791" s="340"/>
      <c r="AK791" s="340"/>
      <c r="AL791" s="340"/>
      <c r="AM791" s="340"/>
      <c r="AN791" s="340"/>
      <c r="AO791" s="340"/>
      <c r="AP791" s="340"/>
      <c r="AQ791" s="340"/>
      <c r="AR791" s="340"/>
      <c r="AS791" s="340"/>
      <c r="AT791" s="340"/>
      <c r="AU791" s="340"/>
      <c r="AV791" s="340"/>
      <c r="AY791" s="340"/>
      <c r="AZ791" s="465">
        <f t="shared" ca="1" si="534"/>
        <v>7.3698599999999999E-5</v>
      </c>
      <c r="BA791" s="464">
        <f t="shared" ca="1" si="535"/>
        <v>2.2109589000000002E-3</v>
      </c>
      <c r="BB791" s="465">
        <f t="shared" ca="1" si="535"/>
        <v>2.2846575E-3</v>
      </c>
      <c r="BC791" s="466">
        <f t="shared" ca="1" si="536"/>
        <v>66689</v>
      </c>
      <c r="BD791" s="467">
        <f t="shared" ca="1" si="549"/>
        <v>66690</v>
      </c>
      <c r="BE791" s="467">
        <f t="shared" ca="1" si="537"/>
        <v>66719</v>
      </c>
      <c r="BF791" s="468">
        <f ca="1">IF(計算!$BC791&lt;OP!$C$3,0,BD791-BC791)</f>
        <v>1</v>
      </c>
      <c r="BG791" s="468">
        <f ca="1">IF($BE791&gt;DATE(YEAR($BD$9)+OP!$C$57,MONTH($BD$9),DAY($BD$9)),0,$BE791-$BD791+1)</f>
        <v>30</v>
      </c>
      <c r="BH791" s="469">
        <f t="shared" ca="1" si="538"/>
        <v>31</v>
      </c>
      <c r="BI791" t="str">
        <f t="shared" si="554"/>
        <v/>
      </c>
      <c r="BJ791">
        <v>2</v>
      </c>
      <c r="BN791" s="468">
        <f t="shared" si="550"/>
        <v>66</v>
      </c>
      <c r="BO791" s="468">
        <f t="shared" si="551"/>
        <v>2</v>
      </c>
      <c r="BP791" s="467">
        <f t="shared" ca="1" si="539"/>
        <v>66690</v>
      </c>
      <c r="BQ791" s="475">
        <f t="shared" ca="1" si="553"/>
        <v>98</v>
      </c>
      <c r="BR791" s="475" t="str">
        <f t="shared" si="552"/>
        <v/>
      </c>
      <c r="BS791" s="471" t="str">
        <f t="shared" si="540"/>
        <v/>
      </c>
      <c r="BT791" s="472" t="str">
        <f t="shared" si="555"/>
        <v/>
      </c>
      <c r="BU791" s="472">
        <f t="shared" ca="1" si="541"/>
        <v>0</v>
      </c>
      <c r="BV791" s="472">
        <f t="shared" ca="1" si="541"/>
        <v>0</v>
      </c>
      <c r="BW791" s="472"/>
      <c r="BX791" s="473">
        <f t="shared" ca="1" si="542"/>
        <v>1685962.41931173</v>
      </c>
      <c r="BY791" s="473">
        <f t="shared" si="543"/>
        <v>0</v>
      </c>
      <c r="BZ791" s="473">
        <f t="shared" ca="1" si="525"/>
        <v>3851.8466859989999</v>
      </c>
      <c r="CA791" s="476">
        <f t="shared" ca="1" si="544"/>
        <v>0</v>
      </c>
      <c r="CB791" s="494">
        <f ca="1">IF(OR($Q790&lt;&gt;1,OP!$D$5+$BN791-1&lt;16,$BN791-1&lt;1),0,ROUND(ROUND(ROUND(((VLOOKUP($BN791-1,MORE_PV,5,0)/10000)*VLOOKUP($BN791,MORE_PV,$CB$5,0)),3)*VLOOKUP($BN791,more1,5,0),0)/$R790,0))</f>
        <v>0</v>
      </c>
      <c r="CC791" s="473">
        <f t="shared" ca="1" si="545"/>
        <v>0</v>
      </c>
      <c r="CD791" s="477"/>
    </row>
    <row r="792" spans="2:82" ht="16.5" hidden="1">
      <c r="B792" s="80"/>
      <c r="C792" s="80"/>
      <c r="D792" s="80"/>
      <c r="E792" s="80"/>
      <c r="F792" s="80"/>
      <c r="G792" s="80"/>
      <c r="H792" s="80"/>
      <c r="I792" s="80"/>
      <c r="J792" s="192">
        <f t="shared" si="526"/>
        <v>66</v>
      </c>
      <c r="K792" s="192">
        <f t="shared" si="527"/>
        <v>4</v>
      </c>
      <c r="L792" s="192" t="str">
        <f t="shared" si="522"/>
        <v/>
      </c>
      <c r="M792" s="216">
        <f t="shared" ca="1" si="528"/>
        <v>0</v>
      </c>
      <c r="N792" s="216"/>
      <c r="O792" s="216"/>
      <c r="P792" s="216"/>
      <c r="Q792" s="456" t="str">
        <f t="shared" ca="1" si="529"/>
        <v/>
      </c>
      <c r="R792" s="450">
        <f t="shared" ca="1" si="530"/>
        <v>1</v>
      </c>
      <c r="S792" s="191">
        <f t="shared" si="531"/>
        <v>66</v>
      </c>
      <c r="T792" s="191">
        <f t="shared" si="532"/>
        <v>4</v>
      </c>
      <c r="U792" s="191">
        <f ca="1">OP!$D$5+$S792-1</f>
        <v>98</v>
      </c>
      <c r="V792" s="191" t="str">
        <f t="shared" si="533"/>
        <v/>
      </c>
      <c r="W792" s="350">
        <f ca="1">IF(Q792&lt;&gt;1,0,VLOOKUP(OP!$C$55,PVFB,$S792+2,0))</f>
        <v>0</v>
      </c>
      <c r="X792" s="473">
        <f t="shared" ca="1" si="546"/>
        <v>0</v>
      </c>
      <c r="Y792" s="348">
        <f t="shared" ca="1" si="547"/>
        <v>0</v>
      </c>
      <c r="Z792" s="348">
        <f t="shared" ca="1" si="548"/>
        <v>8012</v>
      </c>
      <c r="AA792" s="348">
        <f ca="1">IF(Q792&lt;&gt;1,0,VLOOKUP(OP!$C$55,PVFB,$S792+2,0))</f>
        <v>0</v>
      </c>
      <c r="AB792" s="488" t="str">
        <f ca="1">IF(AND(S792&lt;OP!$C$24,$U792&lt;15),0,IF(AND($U792&lt;15,$T792=12),ROUND(VLOOKUP($S792,DOWN16,5,0),3),IF($T792=12,ROUND(($Z792/10000)*$AA792,3)+IF(AND($P$7="購買增額繳清保險",T792=12,U792=110),VLOOKUP(S792,$B$10:$H$121,7,0),0),"")))</f>
        <v/>
      </c>
      <c r="AC792" s="350" t="str">
        <f ca="1">IF(AND(S792&lt;OP!$C$24,$U792&lt;15),0,IF(AND($U792&lt;16,$T792=12),VLOOKUP($S792,DOWN16,4,0),IF($T792=12,ROUND(VLOOKUP(OP!$C$55,_DIE2,$S792+1,0)*(Z792/10000),0)+IF(AND($P$7="購買增額繳清保險",T792=12,U792=110),VLOOKUP(S792,$B$10:$H$121,7,0),0),"")))</f>
        <v/>
      </c>
      <c r="AD792" s="347"/>
      <c r="AE792" s="350" t="str">
        <f t="shared" ca="1" si="523"/>
        <v/>
      </c>
      <c r="AF792" s="351" t="str">
        <f t="shared" ca="1" si="524"/>
        <v/>
      </c>
      <c r="AG792" s="340"/>
      <c r="AH792" s="340"/>
      <c r="AI792" s="340"/>
      <c r="AJ792" s="340"/>
      <c r="AK792" s="340"/>
      <c r="AL792" s="340"/>
      <c r="AM792" s="340"/>
      <c r="AN792" s="340"/>
      <c r="AO792" s="340"/>
      <c r="AP792" s="340"/>
      <c r="AQ792" s="340"/>
      <c r="AR792" s="340"/>
      <c r="AS792" s="340"/>
      <c r="AT792" s="340"/>
      <c r="AU792" s="340"/>
      <c r="AV792" s="340"/>
      <c r="AY792" s="340"/>
      <c r="AZ792" s="465">
        <f t="shared" ca="1" si="534"/>
        <v>7.3698599999999999E-5</v>
      </c>
      <c r="BA792" s="464">
        <f t="shared" ca="1" si="535"/>
        <v>2.1372602999999999E-3</v>
      </c>
      <c r="BB792" s="465">
        <f t="shared" ca="1" si="535"/>
        <v>2.2109589000000002E-3</v>
      </c>
      <c r="BC792" s="466">
        <f t="shared" ca="1" si="536"/>
        <v>66720</v>
      </c>
      <c r="BD792" s="467">
        <f t="shared" ca="1" si="549"/>
        <v>66721</v>
      </c>
      <c r="BE792" s="467">
        <f t="shared" ca="1" si="537"/>
        <v>66749</v>
      </c>
      <c r="BF792" s="468">
        <f ca="1">IF(計算!$BC792&lt;OP!$C$3,0,BD792-BC792)</f>
        <v>1</v>
      </c>
      <c r="BG792" s="468">
        <f ca="1">IF($BE792&gt;DATE(YEAR($BD$9)+OP!$C$57,MONTH($BD$9),DAY($BD$9)),0,$BE792-$BD792+1)</f>
        <v>29</v>
      </c>
      <c r="BH792" s="469">
        <f t="shared" ca="1" si="538"/>
        <v>30</v>
      </c>
      <c r="BI792" t="str">
        <f t="shared" si="554"/>
        <v/>
      </c>
      <c r="BJ792">
        <v>3</v>
      </c>
      <c r="BN792" s="468">
        <f t="shared" si="550"/>
        <v>66</v>
      </c>
      <c r="BO792" s="468">
        <f t="shared" si="551"/>
        <v>3</v>
      </c>
      <c r="BP792" s="467">
        <f t="shared" ca="1" si="539"/>
        <v>66721</v>
      </c>
      <c r="BQ792" s="475">
        <f t="shared" ca="1" si="553"/>
        <v>98</v>
      </c>
      <c r="BR792" s="475" t="str">
        <f t="shared" si="552"/>
        <v/>
      </c>
      <c r="BS792" s="471" t="str">
        <f t="shared" si="540"/>
        <v/>
      </c>
      <c r="BT792" s="472" t="str">
        <f t="shared" si="555"/>
        <v/>
      </c>
      <c r="BU792" s="472">
        <f t="shared" ca="1" si="541"/>
        <v>0</v>
      </c>
      <c r="BV792" s="472">
        <f t="shared" ca="1" si="541"/>
        <v>0</v>
      </c>
      <c r="BW792" s="472"/>
      <c r="BX792" s="473">
        <f t="shared" ca="1" si="542"/>
        <v>1689814.26599773</v>
      </c>
      <c r="BY792" s="473">
        <f t="shared" si="543"/>
        <v>0</v>
      </c>
      <c r="BZ792" s="473">
        <f t="shared" ca="1" si="525"/>
        <v>3736.1098907549999</v>
      </c>
      <c r="CA792" s="476">
        <f t="shared" ca="1" si="544"/>
        <v>0</v>
      </c>
      <c r="CB792" s="494">
        <f ca="1">IF(OR($Q791&lt;&gt;1,OP!$D$5+$BN792-1&lt;16,$BN792-1&lt;1),0,ROUND(ROUND(ROUND(((VLOOKUP($BN792-1,MORE_PV,5,0)/10000)*VLOOKUP($BN792,MORE_PV,$CB$5,0)),3)*VLOOKUP($BN792,more1,5,0),0)/$R791,0))</f>
        <v>0</v>
      </c>
      <c r="CC792" s="473">
        <f t="shared" ca="1" si="545"/>
        <v>0</v>
      </c>
      <c r="CD792" s="477"/>
    </row>
    <row r="793" spans="2:82" ht="16.5" hidden="1">
      <c r="B793" s="80"/>
      <c r="C793" s="80"/>
      <c r="D793" s="80"/>
      <c r="E793" s="80"/>
      <c r="F793" s="80"/>
      <c r="G793" s="80"/>
      <c r="H793" s="80"/>
      <c r="I793" s="80"/>
      <c r="J793" s="192">
        <f t="shared" si="526"/>
        <v>66</v>
      </c>
      <c r="K793" s="192">
        <f t="shared" si="527"/>
        <v>5</v>
      </c>
      <c r="L793" s="192" t="str">
        <f t="shared" si="522"/>
        <v/>
      </c>
      <c r="M793" s="216">
        <f t="shared" ca="1" si="528"/>
        <v>0</v>
      </c>
      <c r="N793" s="216"/>
      <c r="O793" s="216"/>
      <c r="P793" s="216"/>
      <c r="Q793" s="456" t="str">
        <f t="shared" ca="1" si="529"/>
        <v/>
      </c>
      <c r="R793" s="450">
        <f t="shared" ca="1" si="530"/>
        <v>1</v>
      </c>
      <c r="S793" s="191">
        <f t="shared" si="531"/>
        <v>66</v>
      </c>
      <c r="T793" s="191">
        <f t="shared" si="532"/>
        <v>5</v>
      </c>
      <c r="U793" s="191">
        <f ca="1">OP!$D$5+$S793-1</f>
        <v>98</v>
      </c>
      <c r="V793" s="191" t="str">
        <f t="shared" si="533"/>
        <v/>
      </c>
      <c r="W793" s="350">
        <f ca="1">IF(Q793&lt;&gt;1,0,VLOOKUP(OP!$C$55,PVFB,$S793+2,0))</f>
        <v>0</v>
      </c>
      <c r="X793" s="473">
        <f t="shared" ca="1" si="546"/>
        <v>0</v>
      </c>
      <c r="Y793" s="348">
        <f t="shared" ca="1" si="547"/>
        <v>0</v>
      </c>
      <c r="Z793" s="348">
        <f t="shared" ca="1" si="548"/>
        <v>8012</v>
      </c>
      <c r="AA793" s="348">
        <f ca="1">IF(Q793&lt;&gt;1,0,VLOOKUP(OP!$C$55,PVFB,$S793+2,0))</f>
        <v>0</v>
      </c>
      <c r="AB793" s="488" t="str">
        <f ca="1">IF(AND(S793&lt;OP!$C$24,$U793&lt;15),0,IF(AND($U793&lt;15,$T793=12),ROUND(VLOOKUP($S793,DOWN16,5,0),3),IF($T793=12,ROUND(($Z793/10000)*$AA793,3)+IF(AND($P$7="購買增額繳清保險",T793=12,U793=110),VLOOKUP(S793,$B$10:$H$121,7,0),0),"")))</f>
        <v/>
      </c>
      <c r="AC793" s="350" t="str">
        <f ca="1">IF(AND(S793&lt;OP!$C$24,$U793&lt;15),0,IF(AND($U793&lt;16,$T793=12),VLOOKUP($S793,DOWN16,4,0),IF($T793=12,ROUND(VLOOKUP(OP!$C$55,_DIE2,$S793+1,0)*(Z793/10000),0)+IF(AND($P$7="購買增額繳清保險",T793=12,U793=110),VLOOKUP(S793,$B$10:$H$121,7,0),0),"")))</f>
        <v/>
      </c>
      <c r="AD793" s="347"/>
      <c r="AE793" s="350" t="str">
        <f t="shared" ca="1" si="523"/>
        <v/>
      </c>
      <c r="AF793" s="351" t="str">
        <f t="shared" ca="1" si="524"/>
        <v/>
      </c>
      <c r="AG793" s="340"/>
      <c r="AH793" s="340"/>
      <c r="AI793" s="340"/>
      <c r="AJ793" s="340"/>
      <c r="AK793" s="340"/>
      <c r="AL793" s="340"/>
      <c r="AM793" s="340"/>
      <c r="AN793" s="340"/>
      <c r="AO793" s="340"/>
      <c r="AP793" s="340"/>
      <c r="AQ793" s="340"/>
      <c r="AR793" s="340"/>
      <c r="AS793" s="340"/>
      <c r="AT793" s="340"/>
      <c r="AU793" s="340"/>
      <c r="AV793" s="340"/>
      <c r="AY793" s="340"/>
      <c r="AZ793" s="465">
        <f t="shared" ca="1" si="534"/>
        <v>7.3698599999999999E-5</v>
      </c>
      <c r="BA793" s="464">
        <f t="shared" ca="1" si="535"/>
        <v>2.2109589000000002E-3</v>
      </c>
      <c r="BB793" s="465">
        <f t="shared" ca="1" si="535"/>
        <v>2.2846575E-3</v>
      </c>
      <c r="BC793" s="466">
        <f t="shared" ca="1" si="536"/>
        <v>66750</v>
      </c>
      <c r="BD793" s="467">
        <f t="shared" ca="1" si="549"/>
        <v>66751</v>
      </c>
      <c r="BE793" s="467">
        <f t="shared" ca="1" si="537"/>
        <v>66780</v>
      </c>
      <c r="BF793" s="468">
        <f ca="1">IF(計算!$BC793&lt;OP!$C$3,0,BD793-BC793)</f>
        <v>1</v>
      </c>
      <c r="BG793" s="468">
        <f ca="1">IF($BE793&gt;DATE(YEAR($BD$9)+OP!$C$57,MONTH($BD$9),DAY($BD$9)),0,$BE793-$BD793+1)</f>
        <v>30</v>
      </c>
      <c r="BH793" s="469">
        <f t="shared" ca="1" si="538"/>
        <v>31</v>
      </c>
      <c r="BI793" t="str">
        <f t="shared" si="554"/>
        <v/>
      </c>
      <c r="BJ793">
        <v>4</v>
      </c>
      <c r="BN793" s="468">
        <f t="shared" si="550"/>
        <v>66</v>
      </c>
      <c r="BO793" s="468">
        <f t="shared" si="551"/>
        <v>4</v>
      </c>
      <c r="BP793" s="467">
        <f t="shared" ca="1" si="539"/>
        <v>66751</v>
      </c>
      <c r="BQ793" s="475">
        <f t="shared" ca="1" si="553"/>
        <v>98</v>
      </c>
      <c r="BR793" s="475" t="str">
        <f t="shared" si="552"/>
        <v/>
      </c>
      <c r="BS793" s="471" t="str">
        <f t="shared" si="540"/>
        <v/>
      </c>
      <c r="BT793" s="472" t="str">
        <f t="shared" si="555"/>
        <v/>
      </c>
      <c r="BU793" s="472">
        <f t="shared" ca="1" si="541"/>
        <v>0</v>
      </c>
      <c r="BV793" s="472">
        <f t="shared" ca="1" si="541"/>
        <v>0</v>
      </c>
      <c r="BW793" s="472"/>
      <c r="BX793" s="473">
        <f t="shared" ca="1" si="542"/>
        <v>1693550.3758884801</v>
      </c>
      <c r="BY793" s="473">
        <f t="shared" si="543"/>
        <v>0</v>
      </c>
      <c r="BZ793" s="473">
        <f t="shared" ca="1" si="525"/>
        <v>3869.1825679009999</v>
      </c>
      <c r="CA793" s="476">
        <f t="shared" ca="1" si="544"/>
        <v>0</v>
      </c>
      <c r="CB793" s="494">
        <f ca="1">IF(OR($Q792&lt;&gt;1,OP!$D$5+$BN793-1&lt;16,$BN793-1&lt;1),0,ROUND(ROUND(ROUND(((VLOOKUP($BN793-1,MORE_PV,5,0)/10000)*VLOOKUP($BN793,MORE_PV,$CB$5,0)),3)*VLOOKUP($BN793,more1,5,0),0)/$R792,0))</f>
        <v>0</v>
      </c>
      <c r="CC793" s="473">
        <f t="shared" ca="1" si="545"/>
        <v>0</v>
      </c>
      <c r="CD793" s="477"/>
    </row>
    <row r="794" spans="2:82" ht="16.5" hidden="1">
      <c r="B794" s="80"/>
      <c r="C794" s="80"/>
      <c r="D794" s="80"/>
      <c r="E794" s="80"/>
      <c r="F794" s="80"/>
      <c r="G794" s="80"/>
      <c r="H794" s="80"/>
      <c r="I794" s="80"/>
      <c r="J794" s="192">
        <f t="shared" si="526"/>
        <v>66</v>
      </c>
      <c r="K794" s="192">
        <f t="shared" si="527"/>
        <v>6</v>
      </c>
      <c r="L794" s="192" t="str">
        <f t="shared" si="522"/>
        <v/>
      </c>
      <c r="M794" s="216">
        <f t="shared" ca="1" si="528"/>
        <v>0</v>
      </c>
      <c r="N794" s="216"/>
      <c r="O794" s="216"/>
      <c r="P794" s="216"/>
      <c r="Q794" s="456" t="str">
        <f t="shared" ca="1" si="529"/>
        <v/>
      </c>
      <c r="R794" s="450">
        <f t="shared" ca="1" si="530"/>
        <v>1</v>
      </c>
      <c r="S794" s="191">
        <f t="shared" si="531"/>
        <v>66</v>
      </c>
      <c r="T794" s="191">
        <f t="shared" si="532"/>
        <v>6</v>
      </c>
      <c r="U794" s="191">
        <f ca="1">OP!$D$5+$S794-1</f>
        <v>98</v>
      </c>
      <c r="V794" s="191" t="str">
        <f t="shared" si="533"/>
        <v/>
      </c>
      <c r="W794" s="350">
        <f ca="1">IF(Q794&lt;&gt;1,0,VLOOKUP(OP!$C$55,PVFB,$S794+2,0))</f>
        <v>0</v>
      </c>
      <c r="X794" s="473">
        <f t="shared" ca="1" si="546"/>
        <v>0</v>
      </c>
      <c r="Y794" s="348">
        <f t="shared" ca="1" si="547"/>
        <v>0</v>
      </c>
      <c r="Z794" s="348">
        <f t="shared" ca="1" si="548"/>
        <v>8012</v>
      </c>
      <c r="AA794" s="348">
        <f ca="1">IF(Q794&lt;&gt;1,0,VLOOKUP(OP!$C$55,PVFB,$S794+2,0))</f>
        <v>0</v>
      </c>
      <c r="AB794" s="488" t="str">
        <f ca="1">IF(AND(S794&lt;OP!$C$24,$U794&lt;15),0,IF(AND($U794&lt;15,$T794=12),ROUND(VLOOKUP($S794,DOWN16,5,0),3),IF($T794=12,ROUND(($Z794/10000)*$AA794,3)+IF(AND($P$7="購買增額繳清保險",T794=12,U794=110),VLOOKUP(S794,$B$10:$H$121,7,0),0),"")))</f>
        <v/>
      </c>
      <c r="AC794" s="350" t="str">
        <f ca="1">IF(AND(S794&lt;OP!$C$24,$U794&lt;15),0,IF(AND($U794&lt;16,$T794=12),VLOOKUP($S794,DOWN16,4,0),IF($T794=12,ROUND(VLOOKUP(OP!$C$55,_DIE2,$S794+1,0)*(Z794/10000),0)+IF(AND($P$7="購買增額繳清保險",T794=12,U794=110),VLOOKUP(S794,$B$10:$H$121,7,0),0),"")))</f>
        <v/>
      </c>
      <c r="AD794" s="347"/>
      <c r="AE794" s="350" t="str">
        <f t="shared" ca="1" si="523"/>
        <v/>
      </c>
      <c r="AF794" s="351" t="str">
        <f t="shared" ca="1" si="524"/>
        <v/>
      </c>
      <c r="AG794" s="340"/>
      <c r="AH794" s="340"/>
      <c r="AI794" s="340"/>
      <c r="AJ794" s="340"/>
      <c r="AK794" s="340"/>
      <c r="AL794" s="340"/>
      <c r="AM794" s="340"/>
      <c r="AN794" s="340"/>
      <c r="AO794" s="340"/>
      <c r="AP794" s="340"/>
      <c r="AQ794" s="340"/>
      <c r="AR794" s="340"/>
      <c r="AS794" s="340"/>
      <c r="AT794" s="340"/>
      <c r="AU794" s="340"/>
      <c r="AV794" s="340"/>
      <c r="AY794" s="340"/>
      <c r="AZ794" s="465">
        <f t="shared" ca="1" si="534"/>
        <v>7.3698599999999999E-5</v>
      </c>
      <c r="BA794" s="464">
        <f t="shared" ca="1" si="535"/>
        <v>2.1372602999999999E-3</v>
      </c>
      <c r="BB794" s="465">
        <f t="shared" ca="1" si="535"/>
        <v>2.2109589000000002E-3</v>
      </c>
      <c r="BC794" s="466">
        <f t="shared" ca="1" si="536"/>
        <v>66781</v>
      </c>
      <c r="BD794" s="467">
        <f t="shared" ca="1" si="549"/>
        <v>66782</v>
      </c>
      <c r="BE794" s="467">
        <f t="shared" ca="1" si="537"/>
        <v>66810</v>
      </c>
      <c r="BF794" s="468">
        <f ca="1">IF(計算!$BC794&lt;OP!$C$3,0,BD794-BC794)</f>
        <v>1</v>
      </c>
      <c r="BG794" s="468">
        <f ca="1">IF($BE794&gt;DATE(YEAR($BD$9)+OP!$C$57,MONTH($BD$9),DAY($BD$9)),0,$BE794-$BD794+1)</f>
        <v>29</v>
      </c>
      <c r="BH794" s="469">
        <f t="shared" ca="1" si="538"/>
        <v>30</v>
      </c>
      <c r="BI794" t="str">
        <f t="shared" si="554"/>
        <v/>
      </c>
      <c r="BJ794">
        <v>5</v>
      </c>
      <c r="BN794" s="468">
        <f t="shared" si="550"/>
        <v>66</v>
      </c>
      <c r="BO794" s="468">
        <f t="shared" si="551"/>
        <v>5</v>
      </c>
      <c r="BP794" s="467">
        <f t="shared" ca="1" si="539"/>
        <v>66782</v>
      </c>
      <c r="BQ794" s="475">
        <f t="shared" ca="1" si="553"/>
        <v>98</v>
      </c>
      <c r="BR794" s="475" t="str">
        <f t="shared" si="552"/>
        <v/>
      </c>
      <c r="BS794" s="471" t="str">
        <f t="shared" si="540"/>
        <v/>
      </c>
      <c r="BT794" s="472" t="str">
        <f t="shared" si="555"/>
        <v/>
      </c>
      <c r="BU794" s="472">
        <f t="shared" ca="1" si="541"/>
        <v>0</v>
      </c>
      <c r="BV794" s="472">
        <f t="shared" ca="1" si="541"/>
        <v>0</v>
      </c>
      <c r="BW794" s="472"/>
      <c r="BX794" s="473">
        <f t="shared" ca="1" si="542"/>
        <v>1697419.5584563799</v>
      </c>
      <c r="BY794" s="473">
        <f t="shared" si="543"/>
        <v>0</v>
      </c>
      <c r="BZ794" s="473">
        <f t="shared" ca="1" si="525"/>
        <v>3752.9248798029998</v>
      </c>
      <c r="CA794" s="476">
        <f t="shared" ca="1" si="544"/>
        <v>0</v>
      </c>
      <c r="CB794" s="494">
        <f ca="1">IF(OR($Q793&lt;&gt;1,OP!$D$5+$BN794-1&lt;16,$BN794-1&lt;1),0,ROUND(ROUND(ROUND(((VLOOKUP($BN794-1,MORE_PV,5,0)/10000)*VLOOKUP($BN794,MORE_PV,$CB$5,0)),3)*VLOOKUP($BN794,more1,5,0),0)/$R793,0))</f>
        <v>0</v>
      </c>
      <c r="CC794" s="473">
        <f t="shared" ca="1" si="545"/>
        <v>0</v>
      </c>
      <c r="CD794" s="477"/>
    </row>
    <row r="795" spans="2:82" ht="16.5" hidden="1">
      <c r="B795" s="80"/>
      <c r="C795" s="80"/>
      <c r="D795" s="80"/>
      <c r="E795" s="80"/>
      <c r="F795" s="80"/>
      <c r="G795" s="80"/>
      <c r="H795" s="80"/>
      <c r="I795" s="80"/>
      <c r="J795" s="192">
        <f t="shared" si="526"/>
        <v>66</v>
      </c>
      <c r="K795" s="192">
        <f t="shared" si="527"/>
        <v>7</v>
      </c>
      <c r="L795" s="192" t="str">
        <f t="shared" si="522"/>
        <v/>
      </c>
      <c r="M795" s="216">
        <f t="shared" ca="1" si="528"/>
        <v>0</v>
      </c>
      <c r="N795" s="216"/>
      <c r="O795" s="216"/>
      <c r="P795" s="216"/>
      <c r="Q795" s="456" t="str">
        <f t="shared" ca="1" si="529"/>
        <v/>
      </c>
      <c r="R795" s="450">
        <f t="shared" ca="1" si="530"/>
        <v>1</v>
      </c>
      <c r="S795" s="191">
        <f t="shared" si="531"/>
        <v>66</v>
      </c>
      <c r="T795" s="191">
        <f t="shared" si="532"/>
        <v>7</v>
      </c>
      <c r="U795" s="191">
        <f ca="1">OP!$D$5+$S795-1</f>
        <v>98</v>
      </c>
      <c r="V795" s="191" t="str">
        <f t="shared" si="533"/>
        <v/>
      </c>
      <c r="W795" s="350">
        <f ca="1">IF(Q795&lt;&gt;1,0,VLOOKUP(OP!$C$55,PVFB,$S795+2,0))</f>
        <v>0</v>
      </c>
      <c r="X795" s="473">
        <f t="shared" ca="1" si="546"/>
        <v>0</v>
      </c>
      <c r="Y795" s="348">
        <f t="shared" ca="1" si="547"/>
        <v>0</v>
      </c>
      <c r="Z795" s="348">
        <f t="shared" ca="1" si="548"/>
        <v>8012</v>
      </c>
      <c r="AA795" s="348">
        <f ca="1">IF(Q795&lt;&gt;1,0,VLOOKUP(OP!$C$55,PVFB,$S795+2,0))</f>
        <v>0</v>
      </c>
      <c r="AB795" s="488" t="str">
        <f ca="1">IF(AND(S795&lt;OP!$C$24,$U795&lt;15),0,IF(AND($U795&lt;15,$T795=12),ROUND(VLOOKUP($S795,DOWN16,5,0),3),IF($T795=12,ROUND(($Z795/10000)*$AA795,3)+IF(AND($P$7="購買增額繳清保險",T795=12,U795=110),VLOOKUP(S795,$B$10:$H$121,7,0),0),"")))</f>
        <v/>
      </c>
      <c r="AC795" s="350" t="str">
        <f ca="1">IF(AND(S795&lt;OP!$C$24,$U795&lt;15),0,IF(AND($U795&lt;16,$T795=12),VLOOKUP($S795,DOWN16,4,0),IF($T795=12,ROUND(VLOOKUP(OP!$C$55,_DIE2,$S795+1,0)*(Z795/10000),0)+IF(AND($P$7="購買增額繳清保險",T795=12,U795=110),VLOOKUP(S795,$B$10:$H$121,7,0),0),"")))</f>
        <v/>
      </c>
      <c r="AD795" s="347"/>
      <c r="AE795" s="350" t="str">
        <f t="shared" ca="1" si="523"/>
        <v/>
      </c>
      <c r="AF795" s="351" t="str">
        <f t="shared" ca="1" si="524"/>
        <v/>
      </c>
      <c r="AG795" s="340"/>
      <c r="AH795" s="340"/>
      <c r="AI795" s="340"/>
      <c r="AJ795" s="340"/>
      <c r="AK795" s="340"/>
      <c r="AL795" s="340"/>
      <c r="AM795" s="340"/>
      <c r="AN795" s="340"/>
      <c r="AO795" s="340"/>
      <c r="AP795" s="340"/>
      <c r="AQ795" s="340"/>
      <c r="AR795" s="340"/>
      <c r="AS795" s="340"/>
      <c r="AT795" s="340"/>
      <c r="AU795" s="340"/>
      <c r="AV795" s="340"/>
      <c r="AY795" s="340"/>
      <c r="AZ795" s="465">
        <f t="shared" ca="1" si="534"/>
        <v>7.3698599999999999E-5</v>
      </c>
      <c r="BA795" s="464">
        <f t="shared" ca="1" si="535"/>
        <v>2.2109589000000002E-3</v>
      </c>
      <c r="BB795" s="465">
        <f t="shared" ca="1" si="535"/>
        <v>2.2846575E-3</v>
      </c>
      <c r="BC795" s="466">
        <f t="shared" ca="1" si="536"/>
        <v>66811</v>
      </c>
      <c r="BD795" s="467">
        <f t="shared" ca="1" si="549"/>
        <v>66812</v>
      </c>
      <c r="BE795" s="467">
        <f t="shared" ca="1" si="537"/>
        <v>66841</v>
      </c>
      <c r="BF795" s="468">
        <f ca="1">IF(計算!$BC795&lt;OP!$C$3,0,BD795-BC795)</f>
        <v>1</v>
      </c>
      <c r="BG795" s="468">
        <f ca="1">IF($BE795&gt;DATE(YEAR($BD$9)+OP!$C$57,MONTH($BD$9),DAY($BD$9)),0,$BE795-$BD795+1)</f>
        <v>30</v>
      </c>
      <c r="BH795" s="469">
        <f t="shared" ca="1" si="538"/>
        <v>31</v>
      </c>
      <c r="BI795" t="str">
        <f t="shared" si="554"/>
        <v/>
      </c>
      <c r="BJ795">
        <v>6</v>
      </c>
      <c r="BN795" s="468">
        <f t="shared" si="550"/>
        <v>66</v>
      </c>
      <c r="BO795" s="468">
        <f t="shared" si="551"/>
        <v>6</v>
      </c>
      <c r="BP795" s="467">
        <f t="shared" ca="1" si="539"/>
        <v>66812</v>
      </c>
      <c r="BQ795" s="475">
        <f t="shared" ca="1" si="553"/>
        <v>98</v>
      </c>
      <c r="BR795" s="475" t="str">
        <f t="shared" si="552"/>
        <v/>
      </c>
      <c r="BS795" s="471" t="str">
        <f t="shared" si="540"/>
        <v/>
      </c>
      <c r="BT795" s="472" t="str">
        <f t="shared" si="555"/>
        <v/>
      </c>
      <c r="BU795" s="472">
        <f t="shared" ca="1" si="541"/>
        <v>0</v>
      </c>
      <c r="BV795" s="472">
        <f t="shared" ca="1" si="541"/>
        <v>0</v>
      </c>
      <c r="BW795" s="472"/>
      <c r="BX795" s="473">
        <f t="shared" ca="1" si="542"/>
        <v>1701172.48333618</v>
      </c>
      <c r="BY795" s="473">
        <f t="shared" si="543"/>
        <v>0</v>
      </c>
      <c r="BZ795" s="473">
        <f t="shared" ca="1" si="525"/>
        <v>3886.5964728479998</v>
      </c>
      <c r="CA795" s="476">
        <f t="shared" ca="1" si="544"/>
        <v>0</v>
      </c>
      <c r="CB795" s="494">
        <f ca="1">IF(OR($Q794&lt;&gt;1,OP!$D$5+$BN795-1&lt;16,$BN795-1&lt;1),0,ROUND(ROUND(ROUND(((VLOOKUP($BN795-1,MORE_PV,5,0)/10000)*VLOOKUP($BN795,MORE_PV,$CB$5,0)),3)*VLOOKUP($BN795,more1,5,0),0)/$R794,0))</f>
        <v>0</v>
      </c>
      <c r="CC795" s="473">
        <f t="shared" ca="1" si="545"/>
        <v>0</v>
      </c>
      <c r="CD795" s="477"/>
    </row>
    <row r="796" spans="2:82" ht="16.5" hidden="1">
      <c r="B796" s="80"/>
      <c r="C796" s="80"/>
      <c r="D796" s="80"/>
      <c r="E796" s="80"/>
      <c r="F796" s="80"/>
      <c r="G796" s="80"/>
      <c r="H796" s="80"/>
      <c r="I796" s="80"/>
      <c r="J796" s="192">
        <f t="shared" si="526"/>
        <v>66</v>
      </c>
      <c r="K796" s="192">
        <f t="shared" si="527"/>
        <v>8</v>
      </c>
      <c r="L796" s="192" t="str">
        <f t="shared" si="522"/>
        <v/>
      </c>
      <c r="M796" s="216">
        <f t="shared" ca="1" si="528"/>
        <v>0</v>
      </c>
      <c r="N796" s="216"/>
      <c r="O796" s="216"/>
      <c r="P796" s="216"/>
      <c r="Q796" s="456" t="str">
        <f t="shared" ca="1" si="529"/>
        <v/>
      </c>
      <c r="R796" s="450">
        <f t="shared" ca="1" si="530"/>
        <v>1</v>
      </c>
      <c r="S796" s="191">
        <f t="shared" si="531"/>
        <v>66</v>
      </c>
      <c r="T796" s="191">
        <f t="shared" si="532"/>
        <v>8</v>
      </c>
      <c r="U796" s="191">
        <f ca="1">OP!$D$5+$S796-1</f>
        <v>98</v>
      </c>
      <c r="V796" s="191" t="str">
        <f t="shared" si="533"/>
        <v/>
      </c>
      <c r="W796" s="350">
        <f ca="1">IF(Q796&lt;&gt;1,0,VLOOKUP(OP!$C$55,PVFB,$S796+2,0))</f>
        <v>0</v>
      </c>
      <c r="X796" s="473">
        <f t="shared" ca="1" si="546"/>
        <v>0</v>
      </c>
      <c r="Y796" s="348">
        <f t="shared" ca="1" si="547"/>
        <v>0</v>
      </c>
      <c r="Z796" s="348">
        <f t="shared" ca="1" si="548"/>
        <v>8012</v>
      </c>
      <c r="AA796" s="348">
        <f ca="1">IF(Q796&lt;&gt;1,0,VLOOKUP(OP!$C$55,PVFB,$S796+2,0))</f>
        <v>0</v>
      </c>
      <c r="AB796" s="488" t="str">
        <f ca="1">IF(AND(S796&lt;OP!$C$24,$U796&lt;15),0,IF(AND($U796&lt;15,$T796=12),ROUND(VLOOKUP($S796,DOWN16,5,0),3),IF($T796=12,ROUND(($Z796/10000)*$AA796,3)+IF(AND($P$7="購買增額繳清保險",T796=12,U796=110),VLOOKUP(S796,$B$10:$H$121,7,0),0),"")))</f>
        <v/>
      </c>
      <c r="AC796" s="350" t="str">
        <f ca="1">IF(AND(S796&lt;OP!$C$24,$U796&lt;15),0,IF(AND($U796&lt;16,$T796=12),VLOOKUP($S796,DOWN16,4,0),IF($T796=12,ROUND(VLOOKUP(OP!$C$55,_DIE2,$S796+1,0)*(Z796/10000),0)+IF(AND($P$7="購買增額繳清保險",T796=12,U796=110),VLOOKUP(S796,$B$10:$H$121,7,0),0),"")))</f>
        <v/>
      </c>
      <c r="AD796" s="347"/>
      <c r="AE796" s="350" t="str">
        <f t="shared" ca="1" si="523"/>
        <v/>
      </c>
      <c r="AF796" s="351" t="str">
        <f t="shared" ca="1" si="524"/>
        <v/>
      </c>
      <c r="AG796" s="340"/>
      <c r="AH796" s="340"/>
      <c r="AI796" s="340"/>
      <c r="AJ796" s="340"/>
      <c r="AK796" s="340"/>
      <c r="AL796" s="340"/>
      <c r="AM796" s="340"/>
      <c r="AN796" s="340"/>
      <c r="AO796" s="340"/>
      <c r="AP796" s="340"/>
      <c r="AQ796" s="340"/>
      <c r="AR796" s="340"/>
      <c r="AS796" s="340"/>
      <c r="AT796" s="340"/>
      <c r="AU796" s="340"/>
      <c r="AV796" s="340"/>
      <c r="AY796" s="340"/>
      <c r="AZ796" s="465">
        <f t="shared" ca="1" si="534"/>
        <v>7.3698599999999999E-5</v>
      </c>
      <c r="BA796" s="464">
        <f t="shared" ca="1" si="535"/>
        <v>2.2109589000000002E-3</v>
      </c>
      <c r="BB796" s="465">
        <f t="shared" ca="1" si="535"/>
        <v>2.2846575E-3</v>
      </c>
      <c r="BC796" s="466">
        <f t="shared" ca="1" si="536"/>
        <v>66842</v>
      </c>
      <c r="BD796" s="467">
        <f t="shared" ca="1" si="549"/>
        <v>66843</v>
      </c>
      <c r="BE796" s="467">
        <f t="shared" ca="1" si="537"/>
        <v>66872</v>
      </c>
      <c r="BF796" s="468">
        <f ca="1">IF(計算!$BC796&lt;OP!$C$3,0,BD796-BC796)</f>
        <v>1</v>
      </c>
      <c r="BG796" s="468">
        <f ca="1">IF($BE796&gt;DATE(YEAR($BD$9)+OP!$C$57,MONTH($BD$9),DAY($BD$9)),0,$BE796-$BD796+1)</f>
        <v>30</v>
      </c>
      <c r="BH796" s="469">
        <f t="shared" ca="1" si="538"/>
        <v>31</v>
      </c>
      <c r="BI796" t="str">
        <f t="shared" si="554"/>
        <v/>
      </c>
      <c r="BJ796">
        <v>7</v>
      </c>
      <c r="BN796" s="468">
        <f t="shared" si="550"/>
        <v>66</v>
      </c>
      <c r="BO796" s="468">
        <f t="shared" si="551"/>
        <v>7</v>
      </c>
      <c r="BP796" s="467">
        <f t="shared" ca="1" si="539"/>
        <v>66843</v>
      </c>
      <c r="BQ796" s="475">
        <f t="shared" ca="1" si="553"/>
        <v>98</v>
      </c>
      <c r="BR796" s="475" t="str">
        <f t="shared" si="552"/>
        <v/>
      </c>
      <c r="BS796" s="471" t="str">
        <f t="shared" si="540"/>
        <v/>
      </c>
      <c r="BT796" s="472" t="str">
        <f t="shared" si="555"/>
        <v/>
      </c>
      <c r="BU796" s="472">
        <f t="shared" ca="1" si="541"/>
        <v>0</v>
      </c>
      <c r="BV796" s="472">
        <f t="shared" ca="1" si="541"/>
        <v>0</v>
      </c>
      <c r="BW796" s="472"/>
      <c r="BX796" s="473">
        <f t="shared" ca="1" si="542"/>
        <v>1705059.0798090301</v>
      </c>
      <c r="BY796" s="473">
        <f t="shared" si="543"/>
        <v>0</v>
      </c>
      <c r="BZ796" s="473">
        <f t="shared" ca="1" si="525"/>
        <v>3895.476014629</v>
      </c>
      <c r="CA796" s="476">
        <f t="shared" ca="1" si="544"/>
        <v>0</v>
      </c>
      <c r="CB796" s="494">
        <f ca="1">IF(OR($Q795&lt;&gt;1,OP!$D$5+$BN796-1&lt;16,$BN796-1&lt;1),0,ROUND(ROUND(ROUND(((VLOOKUP($BN796-1,MORE_PV,5,0)/10000)*VLOOKUP($BN796,MORE_PV,$CB$5,0)),3)*VLOOKUP($BN796,more1,5,0),0)/$R795,0))</f>
        <v>0</v>
      </c>
      <c r="CC796" s="473">
        <f t="shared" ca="1" si="545"/>
        <v>0</v>
      </c>
      <c r="CD796" s="477"/>
    </row>
    <row r="797" spans="2:82" ht="16.5" hidden="1">
      <c r="B797" s="80"/>
      <c r="C797" s="80"/>
      <c r="D797" s="80"/>
      <c r="E797" s="80"/>
      <c r="F797" s="80"/>
      <c r="G797" s="80"/>
      <c r="H797" s="80"/>
      <c r="I797" s="80"/>
      <c r="J797" s="192">
        <f t="shared" si="526"/>
        <v>66</v>
      </c>
      <c r="K797" s="192">
        <f t="shared" si="527"/>
        <v>9</v>
      </c>
      <c r="L797" s="192" t="str">
        <f t="shared" si="522"/>
        <v/>
      </c>
      <c r="M797" s="216">
        <f t="shared" ca="1" si="528"/>
        <v>0</v>
      </c>
      <c r="N797" s="216"/>
      <c r="O797" s="216"/>
      <c r="P797" s="216"/>
      <c r="Q797" s="456" t="str">
        <f t="shared" ca="1" si="529"/>
        <v/>
      </c>
      <c r="R797" s="450">
        <f t="shared" ca="1" si="530"/>
        <v>1</v>
      </c>
      <c r="S797" s="191">
        <f t="shared" si="531"/>
        <v>66</v>
      </c>
      <c r="T797" s="191">
        <f t="shared" si="532"/>
        <v>9</v>
      </c>
      <c r="U797" s="191">
        <f ca="1">OP!$D$5+$S797-1</f>
        <v>98</v>
      </c>
      <c r="V797" s="191" t="str">
        <f t="shared" si="533"/>
        <v/>
      </c>
      <c r="W797" s="350">
        <f ca="1">IF(Q797&lt;&gt;1,0,VLOOKUP(OP!$C$55,PVFB,$S797+2,0))</f>
        <v>0</v>
      </c>
      <c r="X797" s="473">
        <f t="shared" ca="1" si="546"/>
        <v>0</v>
      </c>
      <c r="Y797" s="348">
        <f t="shared" ca="1" si="547"/>
        <v>0</v>
      </c>
      <c r="Z797" s="348">
        <f t="shared" ca="1" si="548"/>
        <v>8012</v>
      </c>
      <c r="AA797" s="348">
        <f ca="1">IF(Q797&lt;&gt;1,0,VLOOKUP(OP!$C$55,PVFB,$S797+2,0))</f>
        <v>0</v>
      </c>
      <c r="AB797" s="488" t="str">
        <f ca="1">IF(AND(S797&lt;OP!$C$24,$U797&lt;15),0,IF(AND($U797&lt;15,$T797=12),ROUND(VLOOKUP($S797,DOWN16,5,0),3),IF($T797=12,ROUND(($Z797/10000)*$AA797,3)+IF(AND($P$7="購買增額繳清保險",T797=12,U797=110),VLOOKUP(S797,$B$10:$H$121,7,0),0),"")))</f>
        <v/>
      </c>
      <c r="AC797" s="350" t="str">
        <f ca="1">IF(AND(S797&lt;OP!$C$24,$U797&lt;15),0,IF(AND($U797&lt;16,$T797=12),VLOOKUP($S797,DOWN16,4,0),IF($T797=12,ROUND(VLOOKUP(OP!$C$55,_DIE2,$S797+1,0)*(Z797/10000),0)+IF(AND($P$7="購買增額繳清保險",T797=12,U797=110),VLOOKUP(S797,$B$10:$H$121,7,0),0),"")))</f>
        <v/>
      </c>
      <c r="AD797" s="347"/>
      <c r="AE797" s="350" t="str">
        <f t="shared" ca="1" si="523"/>
        <v/>
      </c>
      <c r="AF797" s="351" t="str">
        <f t="shared" ca="1" si="524"/>
        <v/>
      </c>
      <c r="AG797" s="340"/>
      <c r="AH797" s="340"/>
      <c r="AI797" s="340"/>
      <c r="AJ797" s="340"/>
      <c r="AK797" s="340"/>
      <c r="AL797" s="340"/>
      <c r="AM797" s="340"/>
      <c r="AN797" s="340"/>
      <c r="AO797" s="340"/>
      <c r="AP797" s="340"/>
      <c r="AQ797" s="340"/>
      <c r="AR797" s="340"/>
      <c r="AS797" s="340"/>
      <c r="AT797" s="340"/>
      <c r="AU797" s="340"/>
      <c r="AV797" s="340"/>
      <c r="AY797" s="340"/>
      <c r="AZ797" s="465">
        <f t="shared" ca="1" si="534"/>
        <v>7.3698599999999999E-5</v>
      </c>
      <c r="BA797" s="464">
        <f t="shared" ca="1" si="535"/>
        <v>1.9898630000000001E-3</v>
      </c>
      <c r="BB797" s="465">
        <f t="shared" ca="1" si="535"/>
        <v>2.0635616E-3</v>
      </c>
      <c r="BC797" s="466">
        <f t="shared" ca="1" si="536"/>
        <v>66873</v>
      </c>
      <c r="BD797" s="467">
        <f t="shared" ca="1" si="549"/>
        <v>66874</v>
      </c>
      <c r="BE797" s="467">
        <f t="shared" ca="1" si="537"/>
        <v>66900</v>
      </c>
      <c r="BF797" s="468">
        <f ca="1">IF(計算!$BC797&lt;OP!$C$3,0,BD797-BC797)</f>
        <v>1</v>
      </c>
      <c r="BG797" s="468">
        <f ca="1">IF($BE797&gt;DATE(YEAR($BD$9)+OP!$C$57,MONTH($BD$9),DAY($BD$9)),0,$BE797-$BD797+1)</f>
        <v>27</v>
      </c>
      <c r="BH797" s="469">
        <f t="shared" ca="1" si="538"/>
        <v>28</v>
      </c>
      <c r="BI797" t="str">
        <f t="shared" si="554"/>
        <v/>
      </c>
      <c r="BJ797">
        <v>8</v>
      </c>
      <c r="BN797" s="468">
        <f t="shared" si="550"/>
        <v>66</v>
      </c>
      <c r="BO797" s="468">
        <f t="shared" si="551"/>
        <v>8</v>
      </c>
      <c r="BP797" s="467">
        <f t="shared" ca="1" si="539"/>
        <v>66874</v>
      </c>
      <c r="BQ797" s="475">
        <f t="shared" ca="1" si="553"/>
        <v>98</v>
      </c>
      <c r="BR797" s="475" t="str">
        <f t="shared" si="552"/>
        <v/>
      </c>
      <c r="BS797" s="471" t="str">
        <f t="shared" si="540"/>
        <v/>
      </c>
      <c r="BT797" s="472" t="str">
        <f t="shared" si="555"/>
        <v/>
      </c>
      <c r="BU797" s="472">
        <f t="shared" ca="1" si="541"/>
        <v>0</v>
      </c>
      <c r="BV797" s="472">
        <f t="shared" ca="1" si="541"/>
        <v>0</v>
      </c>
      <c r="BW797" s="472"/>
      <c r="BX797" s="473">
        <f t="shared" ca="1" si="542"/>
        <v>1708954.55582366</v>
      </c>
      <c r="BY797" s="473">
        <f t="shared" si="543"/>
        <v>0</v>
      </c>
      <c r="BZ797" s="473">
        <f t="shared" ca="1" si="525"/>
        <v>3526.532997543</v>
      </c>
      <c r="CA797" s="476">
        <f t="shared" ca="1" si="544"/>
        <v>0</v>
      </c>
      <c r="CB797" s="494">
        <f ca="1">IF(OR($Q796&lt;&gt;1,OP!$D$5+$BN797-1&lt;16,$BN797-1&lt;1),0,ROUND(ROUND(ROUND(((VLOOKUP($BN797-1,MORE_PV,5,0)/10000)*VLOOKUP($BN797,MORE_PV,$CB$5,0)),3)*VLOOKUP($BN797,more1,5,0),0)/$R796,0))</f>
        <v>0</v>
      </c>
      <c r="CC797" s="473">
        <f t="shared" ca="1" si="545"/>
        <v>0</v>
      </c>
      <c r="CD797" s="477"/>
    </row>
    <row r="798" spans="2:82" ht="16.5" hidden="1">
      <c r="B798" s="80"/>
      <c r="C798" s="80"/>
      <c r="D798" s="80"/>
      <c r="E798" s="80"/>
      <c r="F798" s="80"/>
      <c r="G798" s="80"/>
      <c r="H798" s="80"/>
      <c r="I798" s="80"/>
      <c r="J798" s="192">
        <f t="shared" si="526"/>
        <v>66</v>
      </c>
      <c r="K798" s="192">
        <f t="shared" si="527"/>
        <v>10</v>
      </c>
      <c r="L798" s="192" t="str">
        <f t="shared" si="522"/>
        <v/>
      </c>
      <c r="M798" s="216">
        <f t="shared" ca="1" si="528"/>
        <v>0</v>
      </c>
      <c r="N798" s="216"/>
      <c r="O798" s="216"/>
      <c r="P798" s="216"/>
      <c r="Q798" s="456" t="str">
        <f t="shared" ca="1" si="529"/>
        <v/>
      </c>
      <c r="R798" s="450">
        <f t="shared" ca="1" si="530"/>
        <v>1</v>
      </c>
      <c r="S798" s="191">
        <f t="shared" si="531"/>
        <v>66</v>
      </c>
      <c r="T798" s="191">
        <f t="shared" si="532"/>
        <v>10</v>
      </c>
      <c r="U798" s="191">
        <f ca="1">OP!$D$5+$S798-1</f>
        <v>98</v>
      </c>
      <c r="V798" s="191" t="str">
        <f t="shared" si="533"/>
        <v/>
      </c>
      <c r="W798" s="350">
        <f ca="1">IF(Q798&lt;&gt;1,0,VLOOKUP(OP!$C$55,PVFB,$S798+2,0))</f>
        <v>0</v>
      </c>
      <c r="X798" s="473">
        <f t="shared" ca="1" si="546"/>
        <v>0</v>
      </c>
      <c r="Y798" s="348">
        <f t="shared" ca="1" si="547"/>
        <v>0</v>
      </c>
      <c r="Z798" s="348">
        <f t="shared" ca="1" si="548"/>
        <v>8012</v>
      </c>
      <c r="AA798" s="348">
        <f ca="1">IF(Q798&lt;&gt;1,0,VLOOKUP(OP!$C$55,PVFB,$S798+2,0))</f>
        <v>0</v>
      </c>
      <c r="AB798" s="488" t="str">
        <f ca="1">IF(AND(S798&lt;OP!$C$24,$U798&lt;15),0,IF(AND($U798&lt;15,$T798=12),ROUND(VLOOKUP($S798,DOWN16,5,0),3),IF($T798=12,ROUND(($Z798/10000)*$AA798,3)+IF(AND($P$7="購買增額繳清保險",T798=12,U798=110),VLOOKUP(S798,$B$10:$H$121,7,0),0),"")))</f>
        <v/>
      </c>
      <c r="AC798" s="350" t="str">
        <f ca="1">IF(AND(S798&lt;OP!$C$24,$U798&lt;15),0,IF(AND($U798&lt;16,$T798=12),VLOOKUP($S798,DOWN16,4,0),IF($T798=12,ROUND(VLOOKUP(OP!$C$55,_DIE2,$S798+1,0)*(Z798/10000),0)+IF(AND($P$7="購買增額繳清保險",T798=12,U798=110),VLOOKUP(S798,$B$10:$H$121,7,0),0),"")))</f>
        <v/>
      </c>
      <c r="AD798" s="347"/>
      <c r="AE798" s="350" t="str">
        <f t="shared" ca="1" si="523"/>
        <v/>
      </c>
      <c r="AF798" s="351" t="str">
        <f t="shared" ca="1" si="524"/>
        <v/>
      </c>
      <c r="AG798" s="340"/>
      <c r="AH798" s="340"/>
      <c r="AI798" s="340"/>
      <c r="AJ798" s="340"/>
      <c r="AK798" s="340"/>
      <c r="AL798" s="340"/>
      <c r="AM798" s="340"/>
      <c r="AN798" s="340"/>
      <c r="AO798" s="340"/>
      <c r="AP798" s="340"/>
      <c r="AQ798" s="340"/>
      <c r="AR798" s="340"/>
      <c r="AS798" s="340"/>
      <c r="AT798" s="340"/>
      <c r="AU798" s="340"/>
      <c r="AV798" s="340"/>
      <c r="AY798" s="340"/>
      <c r="AZ798" s="465">
        <f t="shared" ca="1" si="534"/>
        <v>7.3698599999999999E-5</v>
      </c>
      <c r="BA798" s="464">
        <f t="shared" ca="1" si="535"/>
        <v>2.2109589000000002E-3</v>
      </c>
      <c r="BB798" s="465">
        <f t="shared" ca="1" si="535"/>
        <v>2.2846575E-3</v>
      </c>
      <c r="BC798" s="466">
        <f t="shared" ca="1" si="536"/>
        <v>66901</v>
      </c>
      <c r="BD798" s="467">
        <f t="shared" ca="1" si="549"/>
        <v>66902</v>
      </c>
      <c r="BE798" s="467">
        <f t="shared" ca="1" si="537"/>
        <v>66931</v>
      </c>
      <c r="BF798" s="468">
        <f ca="1">IF(計算!$BC798&lt;OP!$C$3,0,BD798-BC798)</f>
        <v>1</v>
      </c>
      <c r="BG798" s="468">
        <f ca="1">IF($BE798&gt;DATE(YEAR($BD$9)+OP!$C$57,MONTH($BD$9),DAY($BD$9)),0,$BE798-$BD798+1)</f>
        <v>30</v>
      </c>
      <c r="BH798" s="469">
        <f t="shared" ca="1" si="538"/>
        <v>31</v>
      </c>
      <c r="BI798" t="str">
        <f t="shared" si="554"/>
        <v/>
      </c>
      <c r="BJ798">
        <v>9</v>
      </c>
      <c r="BN798" s="468">
        <f t="shared" si="550"/>
        <v>66</v>
      </c>
      <c r="BO798" s="468">
        <f t="shared" si="551"/>
        <v>9</v>
      </c>
      <c r="BP798" s="467">
        <f t="shared" ca="1" si="539"/>
        <v>66902</v>
      </c>
      <c r="BQ798" s="475">
        <f t="shared" ca="1" si="553"/>
        <v>98</v>
      </c>
      <c r="BR798" s="475" t="str">
        <f t="shared" si="552"/>
        <v/>
      </c>
      <c r="BS798" s="471" t="str">
        <f t="shared" si="540"/>
        <v/>
      </c>
      <c r="BT798" s="472" t="str">
        <f t="shared" si="555"/>
        <v/>
      </c>
      <c r="BU798" s="472">
        <f t="shared" ca="1" si="541"/>
        <v>0</v>
      </c>
      <c r="BV798" s="472">
        <f t="shared" ca="1" si="541"/>
        <v>0</v>
      </c>
      <c r="BW798" s="472"/>
      <c r="BX798" s="473">
        <f t="shared" ca="1" si="542"/>
        <v>1712481.0888212</v>
      </c>
      <c r="BY798" s="473">
        <f t="shared" si="543"/>
        <v>0</v>
      </c>
      <c r="BZ798" s="473">
        <f t="shared" ca="1" si="525"/>
        <v>3912.4327631840001</v>
      </c>
      <c r="CA798" s="476">
        <f t="shared" ca="1" si="544"/>
        <v>0</v>
      </c>
      <c r="CB798" s="494">
        <f ca="1">IF(OR($Q797&lt;&gt;1,OP!$D$5+$BN798-1&lt;16,$BN798-1&lt;1),0,ROUND(ROUND(ROUND(((VLOOKUP($BN798-1,MORE_PV,5,0)/10000)*VLOOKUP($BN798,MORE_PV,$CB$5,0)),3)*VLOOKUP($BN798,more1,5,0),0)/$R797,0))</f>
        <v>0</v>
      </c>
      <c r="CC798" s="473">
        <f t="shared" ca="1" si="545"/>
        <v>0</v>
      </c>
      <c r="CD798" s="477"/>
    </row>
    <row r="799" spans="2:82" ht="16.5" hidden="1">
      <c r="B799" s="80"/>
      <c r="C799" s="80"/>
      <c r="D799" s="80"/>
      <c r="E799" s="80"/>
      <c r="F799" s="80"/>
      <c r="G799" s="80"/>
      <c r="H799" s="80"/>
      <c r="I799" s="80"/>
      <c r="J799" s="192">
        <f t="shared" si="526"/>
        <v>66</v>
      </c>
      <c r="K799" s="192">
        <f t="shared" si="527"/>
        <v>11</v>
      </c>
      <c r="L799" s="192" t="str">
        <f t="shared" si="522"/>
        <v/>
      </c>
      <c r="M799" s="216">
        <f t="shared" ca="1" si="528"/>
        <v>0</v>
      </c>
      <c r="N799" s="216"/>
      <c r="O799" s="216"/>
      <c r="P799" s="216"/>
      <c r="Q799" s="456" t="str">
        <f t="shared" ca="1" si="529"/>
        <v/>
      </c>
      <c r="R799" s="450">
        <f t="shared" ca="1" si="530"/>
        <v>1</v>
      </c>
      <c r="S799" s="191">
        <f t="shared" si="531"/>
        <v>66</v>
      </c>
      <c r="T799" s="191">
        <f t="shared" si="532"/>
        <v>11</v>
      </c>
      <c r="U799" s="191">
        <f ca="1">OP!$D$5+$S799-1</f>
        <v>98</v>
      </c>
      <c r="V799" s="191" t="str">
        <f t="shared" si="533"/>
        <v/>
      </c>
      <c r="W799" s="350">
        <f ca="1">IF(Q799&lt;&gt;1,0,VLOOKUP(OP!$C$55,PVFB,$S799+2,0))</f>
        <v>0</v>
      </c>
      <c r="X799" s="473">
        <f t="shared" ca="1" si="546"/>
        <v>0</v>
      </c>
      <c r="Y799" s="348">
        <f t="shared" ca="1" si="547"/>
        <v>0</v>
      </c>
      <c r="Z799" s="348">
        <f t="shared" ca="1" si="548"/>
        <v>8012</v>
      </c>
      <c r="AA799" s="348">
        <f ca="1">IF(Q799&lt;&gt;1,0,VLOOKUP(OP!$C$55,PVFB,$S799+2,0))</f>
        <v>0</v>
      </c>
      <c r="AB799" s="488" t="str">
        <f ca="1">IF(AND(S799&lt;OP!$C$24,$U799&lt;15),0,IF(AND($U799&lt;15,$T799=12),ROUND(VLOOKUP($S799,DOWN16,5,0),3),IF($T799=12,ROUND(($Z799/10000)*$AA799,3)+IF(AND($P$7="購買增額繳清保險",T799=12,U799=110),VLOOKUP(S799,$B$10:$H$121,7,0),0),"")))</f>
        <v/>
      </c>
      <c r="AC799" s="350" t="str">
        <f ca="1">IF(AND(S799&lt;OP!$C$24,$U799&lt;15),0,IF(AND($U799&lt;16,$T799=12),VLOOKUP($S799,DOWN16,4,0),IF($T799=12,ROUND(VLOOKUP(OP!$C$55,_DIE2,$S799+1,0)*(Z799/10000),0)+IF(AND($P$7="購買增額繳清保險",T799=12,U799=110),VLOOKUP(S799,$B$10:$H$121,7,0),0),"")))</f>
        <v/>
      </c>
      <c r="AD799" s="347"/>
      <c r="AE799" s="350" t="str">
        <f t="shared" ca="1" si="523"/>
        <v/>
      </c>
      <c r="AF799" s="351" t="str">
        <f t="shared" ca="1" si="524"/>
        <v/>
      </c>
      <c r="AG799" s="340"/>
      <c r="AH799" s="340"/>
      <c r="AI799" s="340"/>
      <c r="AJ799" s="340"/>
      <c r="AK799" s="340"/>
      <c r="AL799" s="340"/>
      <c r="AM799" s="340"/>
      <c r="AN799" s="340"/>
      <c r="AO799" s="340"/>
      <c r="AP799" s="340"/>
      <c r="AQ799" s="340"/>
      <c r="AR799" s="340"/>
      <c r="AS799" s="340"/>
      <c r="AT799" s="340"/>
      <c r="AU799" s="340"/>
      <c r="AV799" s="340"/>
      <c r="AY799" s="340"/>
      <c r="AZ799" s="465">
        <f t="shared" ca="1" si="534"/>
        <v>7.3698599999999999E-5</v>
      </c>
      <c r="BA799" s="464">
        <f t="shared" ca="1" si="535"/>
        <v>2.1372602999999999E-3</v>
      </c>
      <c r="BB799" s="465">
        <f t="shared" ca="1" si="535"/>
        <v>2.2109589000000002E-3</v>
      </c>
      <c r="BC799" s="466">
        <f t="shared" ca="1" si="536"/>
        <v>66932</v>
      </c>
      <c r="BD799" s="467">
        <f t="shared" ca="1" si="549"/>
        <v>66933</v>
      </c>
      <c r="BE799" s="467">
        <f t="shared" ca="1" si="537"/>
        <v>66961</v>
      </c>
      <c r="BF799" s="468">
        <f ca="1">IF(計算!$BC799&lt;OP!$C$3,0,BD799-BC799)</f>
        <v>1</v>
      </c>
      <c r="BG799" s="468">
        <f ca="1">IF($BE799&gt;DATE(YEAR($BD$9)+OP!$C$57,MONTH($BD$9),DAY($BD$9)),0,$BE799-$BD799+1)</f>
        <v>29</v>
      </c>
      <c r="BH799" s="469">
        <f t="shared" ca="1" si="538"/>
        <v>30</v>
      </c>
      <c r="BI799" t="str">
        <f t="shared" si="554"/>
        <v/>
      </c>
      <c r="BJ799">
        <v>10</v>
      </c>
      <c r="BN799" s="468">
        <f t="shared" si="550"/>
        <v>66</v>
      </c>
      <c r="BO799" s="468">
        <f t="shared" si="551"/>
        <v>10</v>
      </c>
      <c r="BP799" s="467">
        <f t="shared" ca="1" si="539"/>
        <v>66933</v>
      </c>
      <c r="BQ799" s="475">
        <f t="shared" ca="1" si="553"/>
        <v>98</v>
      </c>
      <c r="BR799" s="475" t="str">
        <f t="shared" si="552"/>
        <v/>
      </c>
      <c r="BS799" s="471" t="str">
        <f t="shared" si="540"/>
        <v/>
      </c>
      <c r="BT799" s="472" t="str">
        <f t="shared" si="555"/>
        <v/>
      </c>
      <c r="BU799" s="472">
        <f t="shared" ca="1" si="541"/>
        <v>0</v>
      </c>
      <c r="BV799" s="472">
        <f t="shared" ca="1" si="541"/>
        <v>0</v>
      </c>
      <c r="BW799" s="472"/>
      <c r="BX799" s="473">
        <f t="shared" ca="1" si="542"/>
        <v>1716393.52158438</v>
      </c>
      <c r="BY799" s="473">
        <f t="shared" si="543"/>
        <v>0</v>
      </c>
      <c r="BZ799" s="473">
        <f t="shared" ca="1" si="525"/>
        <v>3794.8755324489998</v>
      </c>
      <c r="CA799" s="476">
        <f t="shared" ca="1" si="544"/>
        <v>0</v>
      </c>
      <c r="CB799" s="494">
        <f ca="1">IF(OR($Q798&lt;&gt;1,OP!$D$5+$BN799-1&lt;16,$BN799-1&lt;1),0,ROUND(ROUND(ROUND(((VLOOKUP($BN799-1,MORE_PV,5,0)/10000)*VLOOKUP($BN799,MORE_PV,$CB$5,0)),3)*VLOOKUP($BN799,more1,5,0),0)/$R798,0))</f>
        <v>0</v>
      </c>
      <c r="CC799" s="473">
        <f t="shared" ca="1" si="545"/>
        <v>0</v>
      </c>
      <c r="CD799" s="477"/>
    </row>
    <row r="800" spans="2:82" ht="16.5" hidden="1">
      <c r="B800" s="80"/>
      <c r="C800" s="80"/>
      <c r="D800" s="80"/>
      <c r="E800" s="80"/>
      <c r="F800" s="80"/>
      <c r="G800" s="80"/>
      <c r="H800" s="80"/>
      <c r="I800" s="80"/>
      <c r="J800" s="192">
        <f t="shared" si="526"/>
        <v>66</v>
      </c>
      <c r="K800" s="192">
        <f t="shared" si="527"/>
        <v>12</v>
      </c>
      <c r="L800" s="192">
        <f t="shared" si="522"/>
        <v>66</v>
      </c>
      <c r="M800" s="216">
        <f t="shared" ca="1" si="528"/>
        <v>1746701</v>
      </c>
      <c r="N800" s="216"/>
      <c r="O800" s="216"/>
      <c r="P800" s="216"/>
      <c r="Q800" s="456">
        <f t="shared" ca="1" si="529"/>
        <v>1</v>
      </c>
      <c r="R800" s="450">
        <f t="shared" ca="1" si="530"/>
        <v>1</v>
      </c>
      <c r="S800" s="191">
        <f t="shared" si="531"/>
        <v>66</v>
      </c>
      <c r="T800" s="191">
        <f t="shared" si="532"/>
        <v>12</v>
      </c>
      <c r="U800" s="191">
        <f ca="1">OP!$D$5+$S800-1</f>
        <v>98</v>
      </c>
      <c r="V800" s="191">
        <f t="shared" si="533"/>
        <v>66</v>
      </c>
      <c r="W800" s="350">
        <f ca="1">IF(Q800&lt;&gt;1,0,VLOOKUP(OP!$C$55,PVFB,$S800+2,0))</f>
        <v>93516</v>
      </c>
      <c r="X800" s="473">
        <f t="shared" ca="1" si="546"/>
        <v>22456</v>
      </c>
      <c r="Y800" s="348">
        <f t="shared" ca="1" si="547"/>
        <v>0</v>
      </c>
      <c r="Z800" s="348">
        <f t="shared" ca="1" si="548"/>
        <v>8012</v>
      </c>
      <c r="AA800" s="348">
        <f ca="1">IF(Q800&lt;&gt;1,0,VLOOKUP(OP!$C$55,PVFB,$S800+2,0))</f>
        <v>93516</v>
      </c>
      <c r="AB800" s="488">
        <f ca="1">IF(AND(S800&lt;OP!$C$24,$U800&lt;15),0,IF(AND($U800&lt;15,$T800=12),ROUND(VLOOKUP($S800,DOWN16,5,0),3),IF($T800=12,ROUND(($Z800/10000)*$AA800,3)+IF(AND($P$7="購買增額繳清保險",T800=12,U800=110),VLOOKUP(S800,$B$10:$H$121,7,0),0),"")))</f>
        <v>74925.019</v>
      </c>
      <c r="AC800" s="350">
        <f ca="1">IF(AND(S800&lt;OP!$C$24,$U800&lt;15),0,IF(AND($U800&lt;16,$T800=12),VLOOKUP($S800,DOWN16,4,0),IF($T800=12,ROUND(VLOOKUP(OP!$C$55,_DIE2,$S800+1,0)*(Z800/10000),0)+IF(AND($P$7="購買增額繳清保險",T800=12,U800=110),VLOOKUP(S800,$B$10:$H$121,7,0),0),"")))</f>
        <v>75313</v>
      </c>
      <c r="AD800" s="347"/>
      <c r="AE800" s="350" t="str">
        <f t="shared" ca="1" si="523"/>
        <v/>
      </c>
      <c r="AF800" s="351" t="str">
        <f t="shared" ca="1" si="524"/>
        <v/>
      </c>
      <c r="AG800" s="340"/>
      <c r="AH800" s="340"/>
      <c r="AI800" s="340"/>
      <c r="AJ800" s="340"/>
      <c r="AK800" s="340"/>
      <c r="AL800" s="340"/>
      <c r="AM800" s="340"/>
      <c r="AN800" s="340"/>
      <c r="AO800" s="340"/>
      <c r="AP800" s="340"/>
      <c r="AQ800" s="340"/>
      <c r="AR800" s="340"/>
      <c r="AS800" s="340"/>
      <c r="AT800" s="340"/>
      <c r="AU800" s="340"/>
      <c r="AV800" s="340"/>
      <c r="AY800" s="340"/>
      <c r="AZ800" s="465">
        <f t="shared" ca="1" si="534"/>
        <v>7.3698599999999999E-5</v>
      </c>
      <c r="BA800" s="464">
        <f t="shared" ca="1" si="535"/>
        <v>2.2109589000000002E-3</v>
      </c>
      <c r="BB800" s="465">
        <f t="shared" ca="1" si="535"/>
        <v>2.2846575E-3</v>
      </c>
      <c r="BC800" s="466">
        <f t="shared" ca="1" si="536"/>
        <v>66962</v>
      </c>
      <c r="BD800" s="467">
        <f t="shared" ca="1" si="549"/>
        <v>66963</v>
      </c>
      <c r="BE800" s="467">
        <f t="shared" ca="1" si="537"/>
        <v>66992</v>
      </c>
      <c r="BF800" s="468">
        <f ca="1">IF(計算!$BC800&lt;OP!$C$3,0,BD800-BC800)</f>
        <v>1</v>
      </c>
      <c r="BG800" s="468">
        <f ca="1">IF($BE800&gt;DATE(YEAR($BD$9)+OP!$C$57,MONTH($BD$9),DAY($BD$9)),0,$BE800-$BD800+1)</f>
        <v>30</v>
      </c>
      <c r="BH800" s="469">
        <f t="shared" ca="1" si="538"/>
        <v>31</v>
      </c>
      <c r="BI800" t="str">
        <f t="shared" si="554"/>
        <v/>
      </c>
      <c r="BJ800">
        <v>11</v>
      </c>
      <c r="BN800" s="468">
        <f t="shared" si="550"/>
        <v>66</v>
      </c>
      <c r="BO800" s="468">
        <f t="shared" si="551"/>
        <v>11</v>
      </c>
      <c r="BP800" s="467">
        <f t="shared" ca="1" si="539"/>
        <v>66963</v>
      </c>
      <c r="BQ800" s="475">
        <f t="shared" ca="1" si="553"/>
        <v>98</v>
      </c>
      <c r="BR800" s="475" t="str">
        <f t="shared" si="552"/>
        <v/>
      </c>
      <c r="BS800" s="471" t="str">
        <f t="shared" si="540"/>
        <v/>
      </c>
      <c r="BT800" s="472" t="str">
        <f t="shared" si="555"/>
        <v/>
      </c>
      <c r="BU800" s="472">
        <f t="shared" ca="1" si="541"/>
        <v>0</v>
      </c>
      <c r="BV800" s="472">
        <f t="shared" ca="1" si="541"/>
        <v>0</v>
      </c>
      <c r="BW800" s="472"/>
      <c r="BX800" s="473">
        <f t="shared" ca="1" si="542"/>
        <v>1720188.3971168301</v>
      </c>
      <c r="BY800" s="473">
        <f t="shared" si="543"/>
        <v>0</v>
      </c>
      <c r="BZ800" s="473">
        <f t="shared" ca="1" si="525"/>
        <v>3930.0413228860002</v>
      </c>
      <c r="CA800" s="476">
        <f t="shared" ca="1" si="544"/>
        <v>0</v>
      </c>
      <c r="CB800" s="494">
        <f ca="1">IF(OR($Q799&lt;&gt;1,OP!$D$5+$BN800-1&lt;16,$BN800-1&lt;1),0,ROUND(ROUND(ROUND(((VLOOKUP($BN800-1,MORE_PV,5,0)/10000)*VLOOKUP($BN800,MORE_PV,$CB$5,0)),3)*VLOOKUP($BN800,more1,5,0),0)/$R799,0))</f>
        <v>0</v>
      </c>
      <c r="CC800" s="473">
        <f t="shared" ca="1" si="545"/>
        <v>0</v>
      </c>
      <c r="CD800" s="477"/>
    </row>
    <row r="801" spans="2:82" ht="16.5" hidden="1">
      <c r="B801" s="80"/>
      <c r="C801" s="80"/>
      <c r="D801" s="80"/>
      <c r="E801" s="80"/>
      <c r="F801" s="80"/>
      <c r="G801" s="80"/>
      <c r="H801" s="80"/>
      <c r="I801" s="80"/>
      <c r="J801" s="192">
        <f t="shared" si="526"/>
        <v>67</v>
      </c>
      <c r="K801" s="192">
        <f t="shared" si="527"/>
        <v>1</v>
      </c>
      <c r="L801" s="192" t="str">
        <f t="shared" si="522"/>
        <v/>
      </c>
      <c r="M801" s="216">
        <f t="shared" ca="1" si="528"/>
        <v>0</v>
      </c>
      <c r="N801" s="216"/>
      <c r="O801" s="216"/>
      <c r="P801" s="216"/>
      <c r="Q801" s="456" t="str">
        <f t="shared" ca="1" si="529"/>
        <v/>
      </c>
      <c r="R801" s="450">
        <f t="shared" ca="1" si="530"/>
        <v>1</v>
      </c>
      <c r="S801" s="191">
        <f t="shared" si="531"/>
        <v>67</v>
      </c>
      <c r="T801" s="191">
        <f t="shared" si="532"/>
        <v>1</v>
      </c>
      <c r="U801" s="191">
        <f ca="1">OP!$D$5+$S801-1</f>
        <v>99</v>
      </c>
      <c r="V801" s="191" t="str">
        <f t="shared" si="533"/>
        <v/>
      </c>
      <c r="W801" s="350">
        <f ca="1">IF(Q801&lt;&gt;1,0,VLOOKUP(OP!$C$55,PVFB,$S801+2,0))</f>
        <v>0</v>
      </c>
      <c r="X801" s="473">
        <f t="shared" ca="1" si="546"/>
        <v>0</v>
      </c>
      <c r="Y801" s="348">
        <f t="shared" ca="1" si="547"/>
        <v>0</v>
      </c>
      <c r="Z801" s="348">
        <f t="shared" ca="1" si="548"/>
        <v>8012</v>
      </c>
      <c r="AA801" s="348">
        <f ca="1">IF(Q801&lt;&gt;1,0,VLOOKUP(OP!$C$55,PVFB,$S801+2,0))</f>
        <v>0</v>
      </c>
      <c r="AB801" s="488" t="str">
        <f ca="1">IF(AND(S801&lt;OP!$C$24,$U801&lt;15),0,IF(AND($U801&lt;15,$T801=12),ROUND(VLOOKUP($S801,DOWN16,5,0),3),IF($T801=12,ROUND(($Z801/10000)*$AA801,3)+IF(AND($P$7="購買增額繳清保險",T801=12,U801=110),VLOOKUP(S801,$B$10:$H$121,7,0),0),"")))</f>
        <v/>
      </c>
      <c r="AC801" s="350" t="str">
        <f ca="1">IF(AND(S801&lt;OP!$C$24,$U801&lt;15),0,IF(AND($U801&lt;16,$T801=12),VLOOKUP($S801,DOWN16,4,0),IF($T801=12,ROUND(VLOOKUP(OP!$C$55,_DIE2,$S801+1,0)*(Z801/10000),0)+IF(AND($P$7="購買增額繳清保險",T801=12,U801=110),VLOOKUP(S801,$B$10:$H$121,7,0),0),"")))</f>
        <v/>
      </c>
      <c r="AD801" s="347"/>
      <c r="AE801" s="350" t="str">
        <f t="shared" ca="1" si="523"/>
        <v/>
      </c>
      <c r="AF801" s="351" t="str">
        <f t="shared" ca="1" si="524"/>
        <v/>
      </c>
      <c r="AG801" s="340"/>
      <c r="AH801" s="340"/>
      <c r="AI801" s="340"/>
      <c r="AJ801" s="340"/>
      <c r="AK801" s="340"/>
      <c r="AL801" s="340"/>
      <c r="AM801" s="340"/>
      <c r="AN801" s="340"/>
      <c r="AO801" s="340"/>
      <c r="AP801" s="340"/>
      <c r="AQ801" s="340"/>
      <c r="AR801" s="340"/>
      <c r="AS801" s="340"/>
      <c r="AT801" s="340"/>
      <c r="AU801" s="340"/>
      <c r="AV801" s="340"/>
      <c r="AY801" s="340"/>
      <c r="AZ801" s="465">
        <f t="shared" ca="1" si="534"/>
        <v>7.3698599999999999E-5</v>
      </c>
      <c r="BA801" s="464">
        <f t="shared" ca="1" si="535"/>
        <v>2.1372602999999999E-3</v>
      </c>
      <c r="BB801" s="465">
        <f t="shared" ca="1" si="535"/>
        <v>2.2109589000000002E-3</v>
      </c>
      <c r="BC801" s="466">
        <f t="shared" ca="1" si="536"/>
        <v>66993</v>
      </c>
      <c r="BD801" s="467">
        <f t="shared" ca="1" si="549"/>
        <v>66994</v>
      </c>
      <c r="BE801" s="467">
        <f t="shared" ca="1" si="537"/>
        <v>67022</v>
      </c>
      <c r="BF801" s="468">
        <f ca="1">IF(計算!$BC801&lt;OP!$C$3,0,BD801-BC801)</f>
        <v>1</v>
      </c>
      <c r="BG801" s="468">
        <f ca="1">IF($BE801&gt;DATE(YEAR($BD$9)+OP!$C$57,MONTH($BD$9),DAY($BD$9)),0,$BE801-$BD801+1)</f>
        <v>29</v>
      </c>
      <c r="BH801" s="469">
        <f t="shared" ca="1" si="538"/>
        <v>30</v>
      </c>
      <c r="BI801">
        <f t="shared" ca="1" si="554"/>
        <v>365</v>
      </c>
      <c r="BJ801">
        <v>12</v>
      </c>
      <c r="BN801" s="468">
        <f t="shared" si="550"/>
        <v>66</v>
      </c>
      <c r="BO801" s="468">
        <f t="shared" si="551"/>
        <v>12</v>
      </c>
      <c r="BP801" s="467">
        <f t="shared" ca="1" si="539"/>
        <v>66994</v>
      </c>
      <c r="BQ801" s="475">
        <f t="shared" ca="1" si="553"/>
        <v>98</v>
      </c>
      <c r="BR801" s="475">
        <f t="shared" si="552"/>
        <v>66</v>
      </c>
      <c r="BS801" s="471">
        <f t="shared" ca="1" si="540"/>
        <v>22456</v>
      </c>
      <c r="BT801" s="472">
        <f t="shared" ca="1" si="555"/>
        <v>1746701</v>
      </c>
      <c r="BU801" s="472">
        <f t="shared" ca="1" si="541"/>
        <v>21939</v>
      </c>
      <c r="BV801" s="472">
        <f t="shared" ca="1" si="541"/>
        <v>517</v>
      </c>
      <c r="BW801" s="472">
        <f ca="1">ROUND(SUM(BY801,BZ789:BZ800),0)</f>
        <v>45714</v>
      </c>
      <c r="BX801" s="473">
        <f t="shared" ca="1" si="542"/>
        <v>1746701.5035548599</v>
      </c>
      <c r="BY801" s="473">
        <f t="shared" ca="1" si="543"/>
        <v>127.065115147</v>
      </c>
      <c r="BZ801" s="473">
        <f t="shared" ca="1" si="525"/>
        <v>3733.1557794979999</v>
      </c>
      <c r="CA801" s="476">
        <f t="shared" ca="1" si="544"/>
        <v>21939</v>
      </c>
      <c r="CB801" s="494">
        <f ca="1">IF(OR($Q800&lt;&gt;1,OP!$D$5+$BN801-1&lt;16,$BN801-1&lt;1),0,ROUND(ROUND(ROUND(((VLOOKUP($BN801-1,MORE_PV,5,0)/10000)*VLOOKUP($BN801,MORE_PV,$CB$5,0)),3)*VLOOKUP($BN801,more1,5,0),0)/$R800,0))</f>
        <v>517</v>
      </c>
      <c r="CC801" s="473">
        <f t="shared" ca="1" si="545"/>
        <v>0</v>
      </c>
      <c r="CD801" s="477"/>
    </row>
    <row r="802" spans="2:82" ht="16.5" hidden="1">
      <c r="B802" s="80"/>
      <c r="C802" s="80"/>
      <c r="D802" s="80"/>
      <c r="E802" s="80"/>
      <c r="F802" s="80"/>
      <c r="G802" s="80"/>
      <c r="H802" s="80"/>
      <c r="I802" s="80"/>
      <c r="J802" s="192">
        <f t="shared" si="526"/>
        <v>67</v>
      </c>
      <c r="K802" s="192">
        <f t="shared" si="527"/>
        <v>2</v>
      </c>
      <c r="L802" s="192" t="str">
        <f t="shared" si="522"/>
        <v/>
      </c>
      <c r="M802" s="216">
        <f t="shared" ca="1" si="528"/>
        <v>0</v>
      </c>
      <c r="N802" s="216"/>
      <c r="O802" s="216"/>
      <c r="P802" s="216"/>
      <c r="Q802" s="456" t="str">
        <f t="shared" ca="1" si="529"/>
        <v/>
      </c>
      <c r="R802" s="450">
        <f t="shared" ca="1" si="530"/>
        <v>1</v>
      </c>
      <c r="S802" s="191">
        <f t="shared" si="531"/>
        <v>67</v>
      </c>
      <c r="T802" s="191">
        <f t="shared" si="532"/>
        <v>2</v>
      </c>
      <c r="U802" s="191">
        <f ca="1">OP!$D$5+$S802-1</f>
        <v>99</v>
      </c>
      <c r="V802" s="191" t="str">
        <f t="shared" si="533"/>
        <v/>
      </c>
      <c r="W802" s="350">
        <f ca="1">IF(Q802&lt;&gt;1,0,VLOOKUP(OP!$C$55,PVFB,$S802+2,0))</f>
        <v>0</v>
      </c>
      <c r="X802" s="473">
        <f t="shared" ca="1" si="546"/>
        <v>0</v>
      </c>
      <c r="Y802" s="348">
        <f t="shared" ca="1" si="547"/>
        <v>0</v>
      </c>
      <c r="Z802" s="348">
        <f t="shared" ca="1" si="548"/>
        <v>8012</v>
      </c>
      <c r="AA802" s="348">
        <f ca="1">IF(Q802&lt;&gt;1,0,VLOOKUP(OP!$C$55,PVFB,$S802+2,0))</f>
        <v>0</v>
      </c>
      <c r="AB802" s="488" t="str">
        <f ca="1">IF(AND(S802&lt;OP!$C$24,$U802&lt;15),0,IF(AND($U802&lt;15,$T802=12),ROUND(VLOOKUP($S802,DOWN16,5,0),3),IF($T802=12,ROUND(($Z802/10000)*$AA802,3)+IF(AND($P$7="購買增額繳清保險",T802=12,U802=110),VLOOKUP(S802,$B$10:$H$121,7,0),0),"")))</f>
        <v/>
      </c>
      <c r="AC802" s="350" t="str">
        <f ca="1">IF(AND(S802&lt;OP!$C$24,$U802&lt;15),0,IF(AND($U802&lt;16,$T802=12),VLOOKUP($S802,DOWN16,4,0),IF($T802=12,ROUND(VLOOKUP(OP!$C$55,_DIE2,$S802+1,0)*(Z802/10000),0)+IF(AND($P$7="購買增額繳清保險",T802=12,U802=110),VLOOKUP(S802,$B$10:$H$121,7,0),0),"")))</f>
        <v/>
      </c>
      <c r="AD802" s="347"/>
      <c r="AE802" s="350" t="str">
        <f t="shared" ca="1" si="523"/>
        <v/>
      </c>
      <c r="AF802" s="351" t="str">
        <f t="shared" ca="1" si="524"/>
        <v/>
      </c>
      <c r="AG802" s="340"/>
      <c r="AH802" s="340"/>
      <c r="AI802" s="340"/>
      <c r="AJ802" s="340"/>
      <c r="AK802" s="340"/>
      <c r="AL802" s="340"/>
      <c r="AM802" s="340"/>
      <c r="AN802" s="340"/>
      <c r="AO802" s="340"/>
      <c r="AP802" s="340"/>
      <c r="AQ802" s="340"/>
      <c r="AR802" s="340"/>
      <c r="AS802" s="340"/>
      <c r="AT802" s="340"/>
      <c r="AU802" s="340"/>
      <c r="AV802" s="340"/>
      <c r="AY802" s="340"/>
      <c r="AZ802" s="465">
        <f t="shared" ca="1" si="534"/>
        <v>7.3698599999999999E-5</v>
      </c>
      <c r="BA802" s="464">
        <f t="shared" ca="1" si="535"/>
        <v>2.2109589000000002E-3</v>
      </c>
      <c r="BB802" s="465">
        <f t="shared" ca="1" si="535"/>
        <v>2.2846575E-3</v>
      </c>
      <c r="BC802" s="466">
        <f t="shared" ca="1" si="536"/>
        <v>67023</v>
      </c>
      <c r="BD802" s="467">
        <f t="shared" ca="1" si="549"/>
        <v>67024</v>
      </c>
      <c r="BE802" s="467">
        <f t="shared" ca="1" si="537"/>
        <v>67053</v>
      </c>
      <c r="BF802" s="468">
        <f ca="1">IF(計算!$BC802&lt;OP!$C$3,0,BD802-BC802)</f>
        <v>1</v>
      </c>
      <c r="BG802" s="468">
        <f ca="1">IF($BE802&gt;DATE(YEAR($BD$9)+OP!$C$57,MONTH($BD$9),DAY($BD$9)),0,$BE802-$BD802+1)</f>
        <v>30</v>
      </c>
      <c r="BH802" s="469">
        <f t="shared" ca="1" si="538"/>
        <v>31</v>
      </c>
      <c r="BI802" t="str">
        <f t="shared" si="554"/>
        <v/>
      </c>
      <c r="BJ802">
        <v>1</v>
      </c>
      <c r="BN802" s="468">
        <f t="shared" si="550"/>
        <v>67</v>
      </c>
      <c r="BO802" s="468">
        <f t="shared" si="551"/>
        <v>1</v>
      </c>
      <c r="BP802" s="467">
        <f t="shared" ca="1" si="539"/>
        <v>67024</v>
      </c>
      <c r="BQ802" s="475">
        <f t="shared" ca="1" si="553"/>
        <v>99</v>
      </c>
      <c r="BR802" s="475" t="str">
        <f t="shared" si="552"/>
        <v/>
      </c>
      <c r="BS802" s="471" t="str">
        <f t="shared" si="540"/>
        <v/>
      </c>
      <c r="BT802" s="472" t="str">
        <f t="shared" si="555"/>
        <v/>
      </c>
      <c r="BU802" s="472">
        <f t="shared" ca="1" si="541"/>
        <v>0</v>
      </c>
      <c r="BV802" s="472">
        <f t="shared" ca="1" si="541"/>
        <v>0</v>
      </c>
      <c r="BW802" s="472"/>
      <c r="BX802" s="473">
        <f t="shared" ca="1" si="542"/>
        <v>1750434.6593343599</v>
      </c>
      <c r="BY802" s="473">
        <f t="shared" si="543"/>
        <v>0</v>
      </c>
      <c r="BZ802" s="473">
        <f t="shared" ca="1" si="525"/>
        <v>3999.1436727079999</v>
      </c>
      <c r="CA802" s="476">
        <f t="shared" ca="1" si="544"/>
        <v>0</v>
      </c>
      <c r="CB802" s="494">
        <f ca="1">IF(OR($Q801&lt;&gt;1,OP!$D$5+$BN802-1&lt;16,$BN802-1&lt;1),0,ROUND(ROUND(ROUND(((VLOOKUP($BN802-1,MORE_PV,5,0)/10000)*VLOOKUP($BN802,MORE_PV,$CB$5,0)),3)*VLOOKUP($BN802,more1,5,0),0)/$R801,0))</f>
        <v>0</v>
      </c>
      <c r="CC802" s="473">
        <f t="shared" ca="1" si="545"/>
        <v>0</v>
      </c>
      <c r="CD802" s="477"/>
    </row>
    <row r="803" spans="2:82" ht="16.5" hidden="1">
      <c r="B803" s="80"/>
      <c r="C803" s="80"/>
      <c r="D803" s="80"/>
      <c r="E803" s="80"/>
      <c r="F803" s="80"/>
      <c r="G803" s="80"/>
      <c r="H803" s="80"/>
      <c r="I803" s="80"/>
      <c r="J803" s="192">
        <f t="shared" si="526"/>
        <v>67</v>
      </c>
      <c r="K803" s="192">
        <f t="shared" si="527"/>
        <v>3</v>
      </c>
      <c r="L803" s="192" t="str">
        <f t="shared" si="522"/>
        <v/>
      </c>
      <c r="M803" s="216">
        <f t="shared" ca="1" si="528"/>
        <v>0</v>
      </c>
      <c r="N803" s="216"/>
      <c r="O803" s="216"/>
      <c r="P803" s="216"/>
      <c r="Q803" s="456" t="str">
        <f t="shared" ca="1" si="529"/>
        <v/>
      </c>
      <c r="R803" s="450">
        <f t="shared" ca="1" si="530"/>
        <v>1</v>
      </c>
      <c r="S803" s="191">
        <f t="shared" si="531"/>
        <v>67</v>
      </c>
      <c r="T803" s="191">
        <f t="shared" si="532"/>
        <v>3</v>
      </c>
      <c r="U803" s="191">
        <f ca="1">OP!$D$5+$S803-1</f>
        <v>99</v>
      </c>
      <c r="V803" s="191" t="str">
        <f t="shared" si="533"/>
        <v/>
      </c>
      <c r="W803" s="350">
        <f ca="1">IF(Q803&lt;&gt;1,0,VLOOKUP(OP!$C$55,PVFB,$S803+2,0))</f>
        <v>0</v>
      </c>
      <c r="X803" s="473">
        <f t="shared" ca="1" si="546"/>
        <v>0</v>
      </c>
      <c r="Y803" s="348">
        <f t="shared" ca="1" si="547"/>
        <v>0</v>
      </c>
      <c r="Z803" s="348">
        <f t="shared" ca="1" si="548"/>
        <v>8012</v>
      </c>
      <c r="AA803" s="348">
        <f ca="1">IF(Q803&lt;&gt;1,0,VLOOKUP(OP!$C$55,PVFB,$S803+2,0))</f>
        <v>0</v>
      </c>
      <c r="AB803" s="488" t="str">
        <f ca="1">IF(AND(S803&lt;OP!$C$24,$U803&lt;15),0,IF(AND($U803&lt;15,$T803=12),ROUND(VLOOKUP($S803,DOWN16,5,0),3),IF($T803=12,ROUND(($Z803/10000)*$AA803,3)+IF(AND($P$7="購買增額繳清保險",T803=12,U803=110),VLOOKUP(S803,$B$10:$H$121,7,0),0),"")))</f>
        <v/>
      </c>
      <c r="AC803" s="350" t="str">
        <f ca="1">IF(AND(S803&lt;OP!$C$24,$U803&lt;15),0,IF(AND($U803&lt;16,$T803=12),VLOOKUP($S803,DOWN16,4,0),IF($T803=12,ROUND(VLOOKUP(OP!$C$55,_DIE2,$S803+1,0)*(Z803/10000),0)+IF(AND($P$7="購買增額繳清保險",T803=12,U803=110),VLOOKUP(S803,$B$10:$H$121,7,0),0),"")))</f>
        <v/>
      </c>
      <c r="AD803" s="347"/>
      <c r="AE803" s="350" t="str">
        <f t="shared" ca="1" si="523"/>
        <v/>
      </c>
      <c r="AF803" s="351" t="str">
        <f t="shared" ca="1" si="524"/>
        <v/>
      </c>
      <c r="AG803" s="340"/>
      <c r="AH803" s="340"/>
      <c r="AI803" s="340"/>
      <c r="AJ803" s="340"/>
      <c r="AK803" s="340"/>
      <c r="AL803" s="340"/>
      <c r="AM803" s="340"/>
      <c r="AN803" s="340"/>
      <c r="AO803" s="340"/>
      <c r="AP803" s="340"/>
      <c r="AQ803" s="340"/>
      <c r="AR803" s="340"/>
      <c r="AS803" s="340"/>
      <c r="AT803" s="340"/>
      <c r="AU803" s="340"/>
      <c r="AV803" s="340"/>
      <c r="AY803" s="340"/>
      <c r="AZ803" s="465">
        <f t="shared" ca="1" si="534"/>
        <v>7.3698599999999999E-5</v>
      </c>
      <c r="BA803" s="464">
        <f t="shared" ca="1" si="535"/>
        <v>2.2109589000000002E-3</v>
      </c>
      <c r="BB803" s="465">
        <f t="shared" ca="1" si="535"/>
        <v>2.2846575E-3</v>
      </c>
      <c r="BC803" s="466">
        <f t="shared" ca="1" si="536"/>
        <v>67054</v>
      </c>
      <c r="BD803" s="467">
        <f t="shared" ca="1" si="549"/>
        <v>67055</v>
      </c>
      <c r="BE803" s="467">
        <f t="shared" ca="1" si="537"/>
        <v>67084</v>
      </c>
      <c r="BF803" s="468">
        <f ca="1">IF(計算!$BC803&lt;OP!$C$3,0,BD803-BC803)</f>
        <v>1</v>
      </c>
      <c r="BG803" s="468">
        <f ca="1">IF($BE803&gt;DATE(YEAR($BD$9)+OP!$C$57,MONTH($BD$9),DAY($BD$9)),0,$BE803-$BD803+1)</f>
        <v>30</v>
      </c>
      <c r="BH803" s="469">
        <f t="shared" ca="1" si="538"/>
        <v>31</v>
      </c>
      <c r="BI803" t="str">
        <f t="shared" si="554"/>
        <v/>
      </c>
      <c r="BJ803">
        <v>2</v>
      </c>
      <c r="BN803" s="468">
        <f t="shared" si="550"/>
        <v>67</v>
      </c>
      <c r="BO803" s="468">
        <f t="shared" si="551"/>
        <v>2</v>
      </c>
      <c r="BP803" s="467">
        <f t="shared" ca="1" si="539"/>
        <v>67055</v>
      </c>
      <c r="BQ803" s="475">
        <f t="shared" ca="1" si="553"/>
        <v>99</v>
      </c>
      <c r="BR803" s="475" t="str">
        <f t="shared" si="552"/>
        <v/>
      </c>
      <c r="BS803" s="471" t="str">
        <f t="shared" si="540"/>
        <v/>
      </c>
      <c r="BT803" s="472" t="str">
        <f t="shared" si="555"/>
        <v/>
      </c>
      <c r="BU803" s="472">
        <f t="shared" ca="1" si="541"/>
        <v>0</v>
      </c>
      <c r="BV803" s="472">
        <f t="shared" ca="1" si="541"/>
        <v>0</v>
      </c>
      <c r="BW803" s="472"/>
      <c r="BX803" s="473">
        <f t="shared" ca="1" si="542"/>
        <v>1754433.80300707</v>
      </c>
      <c r="BY803" s="473">
        <f t="shared" si="543"/>
        <v>0</v>
      </c>
      <c r="BZ803" s="473">
        <f t="shared" ca="1" si="525"/>
        <v>4008.2803462940001</v>
      </c>
      <c r="CA803" s="476">
        <f t="shared" ca="1" si="544"/>
        <v>0</v>
      </c>
      <c r="CB803" s="494">
        <f ca="1">IF(OR($Q802&lt;&gt;1,OP!$D$5+$BN803-1&lt;16,$BN803-1&lt;1),0,ROUND(ROUND(ROUND(((VLOOKUP($BN803-1,MORE_PV,5,0)/10000)*VLOOKUP($BN803,MORE_PV,$CB$5,0)),3)*VLOOKUP($BN803,more1,5,0),0)/$R802,0))</f>
        <v>0</v>
      </c>
      <c r="CC803" s="473">
        <f t="shared" ca="1" si="545"/>
        <v>0</v>
      </c>
      <c r="CD803" s="477"/>
    </row>
    <row r="804" spans="2:82" ht="16.5" hidden="1">
      <c r="B804" s="80"/>
      <c r="C804" s="80"/>
      <c r="D804" s="80"/>
      <c r="E804" s="80"/>
      <c r="F804" s="80"/>
      <c r="G804" s="80"/>
      <c r="H804" s="80"/>
      <c r="I804" s="80"/>
      <c r="J804" s="192">
        <f t="shared" si="526"/>
        <v>67</v>
      </c>
      <c r="K804" s="192">
        <f t="shared" si="527"/>
        <v>4</v>
      </c>
      <c r="L804" s="192" t="str">
        <f t="shared" si="522"/>
        <v/>
      </c>
      <c r="M804" s="216">
        <f t="shared" ca="1" si="528"/>
        <v>0</v>
      </c>
      <c r="N804" s="216"/>
      <c r="O804" s="216"/>
      <c r="P804" s="216"/>
      <c r="Q804" s="456" t="str">
        <f t="shared" ca="1" si="529"/>
        <v/>
      </c>
      <c r="R804" s="450">
        <f t="shared" ca="1" si="530"/>
        <v>1</v>
      </c>
      <c r="S804" s="191">
        <f t="shared" si="531"/>
        <v>67</v>
      </c>
      <c r="T804" s="191">
        <f t="shared" si="532"/>
        <v>4</v>
      </c>
      <c r="U804" s="191">
        <f ca="1">OP!$D$5+$S804-1</f>
        <v>99</v>
      </c>
      <c r="V804" s="191" t="str">
        <f t="shared" si="533"/>
        <v/>
      </c>
      <c r="W804" s="350">
        <f ca="1">IF(Q804&lt;&gt;1,0,VLOOKUP(OP!$C$55,PVFB,$S804+2,0))</f>
        <v>0</v>
      </c>
      <c r="X804" s="473">
        <f t="shared" ca="1" si="546"/>
        <v>0</v>
      </c>
      <c r="Y804" s="348">
        <f t="shared" ca="1" si="547"/>
        <v>0</v>
      </c>
      <c r="Z804" s="348">
        <f t="shared" ca="1" si="548"/>
        <v>8012</v>
      </c>
      <c r="AA804" s="348">
        <f ca="1">IF(Q804&lt;&gt;1,0,VLOOKUP(OP!$C$55,PVFB,$S804+2,0))</f>
        <v>0</v>
      </c>
      <c r="AB804" s="488" t="str">
        <f ca="1">IF(AND(S804&lt;OP!$C$24,$U804&lt;15),0,IF(AND($U804&lt;15,$T804=12),ROUND(VLOOKUP($S804,DOWN16,5,0),3),IF($T804=12,ROUND(($Z804/10000)*$AA804,3)+IF(AND($P$7="購買增額繳清保險",T804=12,U804=110),VLOOKUP(S804,$B$10:$H$121,7,0),0),"")))</f>
        <v/>
      </c>
      <c r="AC804" s="350" t="str">
        <f ca="1">IF(AND(S804&lt;OP!$C$24,$U804&lt;15),0,IF(AND($U804&lt;16,$T804=12),VLOOKUP($S804,DOWN16,4,0),IF($T804=12,ROUND(VLOOKUP(OP!$C$55,_DIE2,$S804+1,0)*(Z804/10000),0)+IF(AND($P$7="購買增額繳清保險",T804=12,U804=110),VLOOKUP(S804,$B$10:$H$121,7,0),0),"")))</f>
        <v/>
      </c>
      <c r="AD804" s="347"/>
      <c r="AE804" s="350" t="str">
        <f t="shared" ca="1" si="523"/>
        <v/>
      </c>
      <c r="AF804" s="351" t="str">
        <f t="shared" ca="1" si="524"/>
        <v/>
      </c>
      <c r="AG804" s="340"/>
      <c r="AH804" s="340"/>
      <c r="AI804" s="340"/>
      <c r="AJ804" s="340"/>
      <c r="AK804" s="340"/>
      <c r="AL804" s="340"/>
      <c r="AM804" s="340"/>
      <c r="AN804" s="340"/>
      <c r="AO804" s="340"/>
      <c r="AP804" s="340"/>
      <c r="AQ804" s="340"/>
      <c r="AR804" s="340"/>
      <c r="AS804" s="340"/>
      <c r="AT804" s="340"/>
      <c r="AU804" s="340"/>
      <c r="AV804" s="340"/>
      <c r="AY804" s="340"/>
      <c r="AZ804" s="465">
        <f t="shared" ca="1" si="534"/>
        <v>7.3698599999999999E-5</v>
      </c>
      <c r="BA804" s="464">
        <f t="shared" ca="1" si="535"/>
        <v>2.1372602999999999E-3</v>
      </c>
      <c r="BB804" s="465">
        <f t="shared" ca="1" si="535"/>
        <v>2.2109589000000002E-3</v>
      </c>
      <c r="BC804" s="466">
        <f t="shared" ca="1" si="536"/>
        <v>67085</v>
      </c>
      <c r="BD804" s="467">
        <f t="shared" ca="1" si="549"/>
        <v>67086</v>
      </c>
      <c r="BE804" s="467">
        <f t="shared" ca="1" si="537"/>
        <v>67114</v>
      </c>
      <c r="BF804" s="468">
        <f ca="1">IF(計算!$BC804&lt;OP!$C$3,0,BD804-BC804)</f>
        <v>1</v>
      </c>
      <c r="BG804" s="468">
        <f ca="1">IF($BE804&gt;DATE(YEAR($BD$9)+OP!$C$57,MONTH($BD$9),DAY($BD$9)),0,$BE804-$BD804+1)</f>
        <v>29</v>
      </c>
      <c r="BH804" s="469">
        <f t="shared" ca="1" si="538"/>
        <v>30</v>
      </c>
      <c r="BI804" t="str">
        <f t="shared" si="554"/>
        <v/>
      </c>
      <c r="BJ804">
        <v>3</v>
      </c>
      <c r="BN804" s="468">
        <f t="shared" si="550"/>
        <v>67</v>
      </c>
      <c r="BO804" s="468">
        <f t="shared" si="551"/>
        <v>3</v>
      </c>
      <c r="BP804" s="467">
        <f t="shared" ca="1" si="539"/>
        <v>67086</v>
      </c>
      <c r="BQ804" s="475">
        <f t="shared" ca="1" si="553"/>
        <v>99</v>
      </c>
      <c r="BR804" s="475" t="str">
        <f t="shared" si="552"/>
        <v/>
      </c>
      <c r="BS804" s="471" t="str">
        <f t="shared" si="540"/>
        <v/>
      </c>
      <c r="BT804" s="472" t="str">
        <f t="shared" si="555"/>
        <v/>
      </c>
      <c r="BU804" s="472">
        <f t="shared" ca="1" si="541"/>
        <v>0</v>
      </c>
      <c r="BV804" s="472">
        <f t="shared" ca="1" si="541"/>
        <v>0</v>
      </c>
      <c r="BW804" s="472"/>
      <c r="BX804" s="473">
        <f t="shared" ca="1" si="542"/>
        <v>1758442.08335336</v>
      </c>
      <c r="BY804" s="473">
        <f t="shared" si="543"/>
        <v>0</v>
      </c>
      <c r="BZ804" s="473">
        <f t="shared" ca="1" si="525"/>
        <v>3887.8431743249998</v>
      </c>
      <c r="CA804" s="476">
        <f t="shared" ca="1" si="544"/>
        <v>0</v>
      </c>
      <c r="CB804" s="494">
        <f ca="1">IF(OR($Q803&lt;&gt;1,OP!$D$5+$BN804-1&lt;16,$BN804-1&lt;1),0,ROUND(ROUND(ROUND(((VLOOKUP($BN804-1,MORE_PV,5,0)/10000)*VLOOKUP($BN804,MORE_PV,$CB$5,0)),3)*VLOOKUP($BN804,more1,5,0),0)/$R803,0))</f>
        <v>0</v>
      </c>
      <c r="CC804" s="473">
        <f t="shared" ca="1" si="545"/>
        <v>0</v>
      </c>
      <c r="CD804" s="477"/>
    </row>
    <row r="805" spans="2:82" ht="16.5" hidden="1">
      <c r="B805" s="80"/>
      <c r="C805" s="80"/>
      <c r="D805" s="80"/>
      <c r="E805" s="80"/>
      <c r="F805" s="80"/>
      <c r="G805" s="80"/>
      <c r="H805" s="80"/>
      <c r="I805" s="80"/>
      <c r="J805" s="192">
        <f t="shared" si="526"/>
        <v>67</v>
      </c>
      <c r="K805" s="192">
        <f t="shared" si="527"/>
        <v>5</v>
      </c>
      <c r="L805" s="192" t="str">
        <f t="shared" si="522"/>
        <v/>
      </c>
      <c r="M805" s="216">
        <f t="shared" ca="1" si="528"/>
        <v>0</v>
      </c>
      <c r="N805" s="216"/>
      <c r="O805" s="216"/>
      <c r="P805" s="216"/>
      <c r="Q805" s="456" t="str">
        <f t="shared" ca="1" si="529"/>
        <v/>
      </c>
      <c r="R805" s="450">
        <f t="shared" ca="1" si="530"/>
        <v>1</v>
      </c>
      <c r="S805" s="191">
        <f t="shared" si="531"/>
        <v>67</v>
      </c>
      <c r="T805" s="191">
        <f t="shared" si="532"/>
        <v>5</v>
      </c>
      <c r="U805" s="191">
        <f ca="1">OP!$D$5+$S805-1</f>
        <v>99</v>
      </c>
      <c r="V805" s="191" t="str">
        <f t="shared" si="533"/>
        <v/>
      </c>
      <c r="W805" s="350">
        <f ca="1">IF(Q805&lt;&gt;1,0,VLOOKUP(OP!$C$55,PVFB,$S805+2,0))</f>
        <v>0</v>
      </c>
      <c r="X805" s="473">
        <f t="shared" ca="1" si="546"/>
        <v>0</v>
      </c>
      <c r="Y805" s="348">
        <f t="shared" ca="1" si="547"/>
        <v>0</v>
      </c>
      <c r="Z805" s="348">
        <f t="shared" ca="1" si="548"/>
        <v>8012</v>
      </c>
      <c r="AA805" s="348">
        <f ca="1">IF(Q805&lt;&gt;1,0,VLOOKUP(OP!$C$55,PVFB,$S805+2,0))</f>
        <v>0</v>
      </c>
      <c r="AB805" s="488" t="str">
        <f ca="1">IF(AND(S805&lt;OP!$C$24,$U805&lt;15),0,IF(AND($U805&lt;15,$T805=12),ROUND(VLOOKUP($S805,DOWN16,5,0),3),IF($T805=12,ROUND(($Z805/10000)*$AA805,3)+IF(AND($P$7="購買增額繳清保險",T805=12,U805=110),VLOOKUP(S805,$B$10:$H$121,7,0),0),"")))</f>
        <v/>
      </c>
      <c r="AC805" s="350" t="str">
        <f ca="1">IF(AND(S805&lt;OP!$C$24,$U805&lt;15),0,IF(AND($U805&lt;16,$T805=12),VLOOKUP($S805,DOWN16,4,0),IF($T805=12,ROUND(VLOOKUP(OP!$C$55,_DIE2,$S805+1,0)*(Z805/10000),0)+IF(AND($P$7="購買增額繳清保險",T805=12,U805=110),VLOOKUP(S805,$B$10:$H$121,7,0),0),"")))</f>
        <v/>
      </c>
      <c r="AD805" s="347"/>
      <c r="AE805" s="350" t="str">
        <f t="shared" ca="1" si="523"/>
        <v/>
      </c>
      <c r="AF805" s="351" t="str">
        <f t="shared" ca="1" si="524"/>
        <v/>
      </c>
      <c r="AG805" s="340"/>
      <c r="AH805" s="340"/>
      <c r="AI805" s="340"/>
      <c r="AJ805" s="340"/>
      <c r="AK805" s="340"/>
      <c r="AL805" s="340"/>
      <c r="AM805" s="340"/>
      <c r="AN805" s="340"/>
      <c r="AO805" s="340"/>
      <c r="AP805" s="340"/>
      <c r="AQ805" s="340"/>
      <c r="AR805" s="340"/>
      <c r="AS805" s="340"/>
      <c r="AT805" s="340"/>
      <c r="AU805" s="340"/>
      <c r="AV805" s="340"/>
      <c r="AY805" s="340"/>
      <c r="AZ805" s="465">
        <f t="shared" ca="1" si="534"/>
        <v>7.3698599999999999E-5</v>
      </c>
      <c r="BA805" s="464">
        <f t="shared" ca="1" si="535"/>
        <v>2.2109589000000002E-3</v>
      </c>
      <c r="BB805" s="465">
        <f t="shared" ca="1" si="535"/>
        <v>2.2846575E-3</v>
      </c>
      <c r="BC805" s="466">
        <f t="shared" ca="1" si="536"/>
        <v>67115</v>
      </c>
      <c r="BD805" s="467">
        <f t="shared" ca="1" si="549"/>
        <v>67116</v>
      </c>
      <c r="BE805" s="467">
        <f t="shared" ca="1" si="537"/>
        <v>67145</v>
      </c>
      <c r="BF805" s="468">
        <f ca="1">IF(計算!$BC805&lt;OP!$C$3,0,BD805-BC805)</f>
        <v>1</v>
      </c>
      <c r="BG805" s="468">
        <f ca="1">IF($BE805&gt;DATE(YEAR($BD$9)+OP!$C$57,MONTH($BD$9),DAY($BD$9)),0,$BE805-$BD805+1)</f>
        <v>30</v>
      </c>
      <c r="BH805" s="469">
        <f t="shared" ca="1" si="538"/>
        <v>31</v>
      </c>
      <c r="BI805" t="str">
        <f t="shared" si="554"/>
        <v/>
      </c>
      <c r="BJ805">
        <v>4</v>
      </c>
      <c r="BN805" s="468">
        <f t="shared" si="550"/>
        <v>67</v>
      </c>
      <c r="BO805" s="468">
        <f t="shared" si="551"/>
        <v>4</v>
      </c>
      <c r="BP805" s="467">
        <f t="shared" ca="1" si="539"/>
        <v>67116</v>
      </c>
      <c r="BQ805" s="475">
        <f t="shared" ca="1" si="553"/>
        <v>99</v>
      </c>
      <c r="BR805" s="475" t="str">
        <f t="shared" si="552"/>
        <v/>
      </c>
      <c r="BS805" s="471" t="str">
        <f t="shared" si="540"/>
        <v/>
      </c>
      <c r="BT805" s="472" t="str">
        <f t="shared" si="555"/>
        <v/>
      </c>
      <c r="BU805" s="472">
        <f t="shared" ca="1" si="541"/>
        <v>0</v>
      </c>
      <c r="BV805" s="472">
        <f t="shared" ca="1" si="541"/>
        <v>0</v>
      </c>
      <c r="BW805" s="472"/>
      <c r="BX805" s="473">
        <f t="shared" ca="1" si="542"/>
        <v>1762329.9265276899</v>
      </c>
      <c r="BY805" s="473">
        <f t="shared" si="543"/>
        <v>0</v>
      </c>
      <c r="BZ805" s="473">
        <f t="shared" ca="1" si="525"/>
        <v>4026.320284116</v>
      </c>
      <c r="CA805" s="476">
        <f t="shared" ca="1" si="544"/>
        <v>0</v>
      </c>
      <c r="CB805" s="494">
        <f ca="1">IF(OR($Q804&lt;&gt;1,OP!$D$5+$BN805-1&lt;16,$BN805-1&lt;1),0,ROUND(ROUND(ROUND(((VLOOKUP($BN805-1,MORE_PV,5,0)/10000)*VLOOKUP($BN805,MORE_PV,$CB$5,0)),3)*VLOOKUP($BN805,more1,5,0),0)/$R804,0))</f>
        <v>0</v>
      </c>
      <c r="CC805" s="473">
        <f t="shared" ca="1" si="545"/>
        <v>0</v>
      </c>
      <c r="CD805" s="477"/>
    </row>
    <row r="806" spans="2:82" ht="16.5" hidden="1">
      <c r="B806" s="80"/>
      <c r="C806" s="80"/>
      <c r="D806" s="80"/>
      <c r="E806" s="80"/>
      <c r="F806" s="80"/>
      <c r="G806" s="80"/>
      <c r="H806" s="80"/>
      <c r="I806" s="80"/>
      <c r="J806" s="192">
        <f t="shared" si="526"/>
        <v>67</v>
      </c>
      <c r="K806" s="192">
        <f t="shared" si="527"/>
        <v>6</v>
      </c>
      <c r="L806" s="192" t="str">
        <f t="shared" si="522"/>
        <v/>
      </c>
      <c r="M806" s="216">
        <f t="shared" ca="1" si="528"/>
        <v>0</v>
      </c>
      <c r="N806" s="216"/>
      <c r="O806" s="216"/>
      <c r="P806" s="216"/>
      <c r="Q806" s="456" t="str">
        <f t="shared" ca="1" si="529"/>
        <v/>
      </c>
      <c r="R806" s="450">
        <f t="shared" ca="1" si="530"/>
        <v>1</v>
      </c>
      <c r="S806" s="191">
        <f t="shared" si="531"/>
        <v>67</v>
      </c>
      <c r="T806" s="191">
        <f t="shared" si="532"/>
        <v>6</v>
      </c>
      <c r="U806" s="191">
        <f ca="1">OP!$D$5+$S806-1</f>
        <v>99</v>
      </c>
      <c r="V806" s="191" t="str">
        <f t="shared" si="533"/>
        <v/>
      </c>
      <c r="W806" s="350">
        <f ca="1">IF(Q806&lt;&gt;1,0,VLOOKUP(OP!$C$55,PVFB,$S806+2,0))</f>
        <v>0</v>
      </c>
      <c r="X806" s="473">
        <f t="shared" ca="1" si="546"/>
        <v>0</v>
      </c>
      <c r="Y806" s="348">
        <f t="shared" ca="1" si="547"/>
        <v>0</v>
      </c>
      <c r="Z806" s="348">
        <f t="shared" ca="1" si="548"/>
        <v>8012</v>
      </c>
      <c r="AA806" s="348">
        <f ca="1">IF(Q806&lt;&gt;1,0,VLOOKUP(OP!$C$55,PVFB,$S806+2,0))</f>
        <v>0</v>
      </c>
      <c r="AB806" s="488" t="str">
        <f ca="1">IF(AND(S806&lt;OP!$C$24,$U806&lt;15),0,IF(AND($U806&lt;15,$T806=12),ROUND(VLOOKUP($S806,DOWN16,5,0),3),IF($T806=12,ROUND(($Z806/10000)*$AA806,3)+IF(AND($P$7="購買增額繳清保險",T806=12,U806=110),VLOOKUP(S806,$B$10:$H$121,7,0),0),"")))</f>
        <v/>
      </c>
      <c r="AC806" s="350" t="str">
        <f ca="1">IF(AND(S806&lt;OP!$C$24,$U806&lt;15),0,IF(AND($U806&lt;16,$T806=12),VLOOKUP($S806,DOWN16,4,0),IF($T806=12,ROUND(VLOOKUP(OP!$C$55,_DIE2,$S806+1,0)*(Z806/10000),0)+IF(AND($P$7="購買增額繳清保險",T806=12,U806=110),VLOOKUP(S806,$B$10:$H$121,7,0),0),"")))</f>
        <v/>
      </c>
      <c r="AD806" s="347"/>
      <c r="AE806" s="350" t="str">
        <f t="shared" ca="1" si="523"/>
        <v/>
      </c>
      <c r="AF806" s="351" t="str">
        <f t="shared" ca="1" si="524"/>
        <v/>
      </c>
      <c r="AG806" s="340"/>
      <c r="AH806" s="340"/>
      <c r="AI806" s="340"/>
      <c r="AJ806" s="340"/>
      <c r="AK806" s="340"/>
      <c r="AL806" s="340"/>
      <c r="AM806" s="340"/>
      <c r="AN806" s="340"/>
      <c r="AO806" s="340"/>
      <c r="AP806" s="340"/>
      <c r="AQ806" s="340"/>
      <c r="AR806" s="340"/>
      <c r="AS806" s="340"/>
      <c r="AT806" s="340"/>
      <c r="AU806" s="340"/>
      <c r="AV806" s="340"/>
      <c r="AY806" s="340"/>
      <c r="AZ806" s="465">
        <f t="shared" ca="1" si="534"/>
        <v>7.3698599999999999E-5</v>
      </c>
      <c r="BA806" s="464">
        <f t="shared" ca="1" si="535"/>
        <v>2.1372602999999999E-3</v>
      </c>
      <c r="BB806" s="465">
        <f t="shared" ca="1" si="535"/>
        <v>2.2109589000000002E-3</v>
      </c>
      <c r="BC806" s="466">
        <f t="shared" ca="1" si="536"/>
        <v>67146</v>
      </c>
      <c r="BD806" s="467">
        <f t="shared" ca="1" si="549"/>
        <v>67147</v>
      </c>
      <c r="BE806" s="467">
        <f t="shared" ca="1" si="537"/>
        <v>67175</v>
      </c>
      <c r="BF806" s="468">
        <f ca="1">IF(計算!$BC806&lt;OP!$C$3,0,BD806-BC806)</f>
        <v>1</v>
      </c>
      <c r="BG806" s="468">
        <f ca="1">IF($BE806&gt;DATE(YEAR($BD$9)+OP!$C$57,MONTH($BD$9),DAY($BD$9)),0,$BE806-$BD806+1)</f>
        <v>29</v>
      </c>
      <c r="BH806" s="469">
        <f t="shared" ca="1" si="538"/>
        <v>30</v>
      </c>
      <c r="BI806" t="str">
        <f t="shared" si="554"/>
        <v/>
      </c>
      <c r="BJ806">
        <v>5</v>
      </c>
      <c r="BN806" s="468">
        <f t="shared" si="550"/>
        <v>67</v>
      </c>
      <c r="BO806" s="468">
        <f t="shared" si="551"/>
        <v>5</v>
      </c>
      <c r="BP806" s="467">
        <f t="shared" ca="1" si="539"/>
        <v>67147</v>
      </c>
      <c r="BQ806" s="475">
        <f t="shared" ca="1" si="553"/>
        <v>99</v>
      </c>
      <c r="BR806" s="475" t="str">
        <f t="shared" si="552"/>
        <v/>
      </c>
      <c r="BS806" s="471" t="str">
        <f t="shared" si="540"/>
        <v/>
      </c>
      <c r="BT806" s="472" t="str">
        <f t="shared" si="555"/>
        <v/>
      </c>
      <c r="BU806" s="472">
        <f t="shared" ca="1" si="541"/>
        <v>0</v>
      </c>
      <c r="BV806" s="472">
        <f t="shared" ca="1" si="541"/>
        <v>0</v>
      </c>
      <c r="BW806" s="472"/>
      <c r="BX806" s="473">
        <f t="shared" ca="1" si="542"/>
        <v>1766356.2468118099</v>
      </c>
      <c r="BY806" s="473">
        <f t="shared" si="543"/>
        <v>0</v>
      </c>
      <c r="BZ806" s="473">
        <f t="shared" ca="1" si="525"/>
        <v>3905.3410644589999</v>
      </c>
      <c r="CA806" s="476">
        <f t="shared" ca="1" si="544"/>
        <v>0</v>
      </c>
      <c r="CB806" s="494">
        <f ca="1">IF(OR($Q805&lt;&gt;1,OP!$D$5+$BN806-1&lt;16,$BN806-1&lt;1),0,ROUND(ROUND(ROUND(((VLOOKUP($BN806-1,MORE_PV,5,0)/10000)*VLOOKUP($BN806,MORE_PV,$CB$5,0)),3)*VLOOKUP($BN806,more1,5,0),0)/$R805,0))</f>
        <v>0</v>
      </c>
      <c r="CC806" s="473">
        <f t="shared" ca="1" si="545"/>
        <v>0</v>
      </c>
      <c r="CD806" s="477"/>
    </row>
    <row r="807" spans="2:82" ht="16.5" hidden="1">
      <c r="B807" s="80"/>
      <c r="C807" s="80"/>
      <c r="D807" s="80"/>
      <c r="E807" s="80"/>
      <c r="F807" s="80"/>
      <c r="G807" s="80"/>
      <c r="H807" s="80"/>
      <c r="I807" s="80"/>
      <c r="J807" s="192">
        <f t="shared" si="526"/>
        <v>67</v>
      </c>
      <c r="K807" s="192">
        <f t="shared" si="527"/>
        <v>7</v>
      </c>
      <c r="L807" s="192" t="str">
        <f t="shared" si="522"/>
        <v/>
      </c>
      <c r="M807" s="216">
        <f t="shared" ca="1" si="528"/>
        <v>0</v>
      </c>
      <c r="N807" s="216"/>
      <c r="O807" s="216"/>
      <c r="P807" s="216"/>
      <c r="Q807" s="456" t="str">
        <f t="shared" ca="1" si="529"/>
        <v/>
      </c>
      <c r="R807" s="450">
        <f t="shared" ca="1" si="530"/>
        <v>1</v>
      </c>
      <c r="S807" s="191">
        <f t="shared" si="531"/>
        <v>67</v>
      </c>
      <c r="T807" s="191">
        <f t="shared" si="532"/>
        <v>7</v>
      </c>
      <c r="U807" s="191">
        <f ca="1">OP!$D$5+$S807-1</f>
        <v>99</v>
      </c>
      <c r="V807" s="191" t="str">
        <f t="shared" si="533"/>
        <v/>
      </c>
      <c r="W807" s="350">
        <f ca="1">IF(Q807&lt;&gt;1,0,VLOOKUP(OP!$C$55,PVFB,$S807+2,0))</f>
        <v>0</v>
      </c>
      <c r="X807" s="473">
        <f t="shared" ca="1" si="546"/>
        <v>0</v>
      </c>
      <c r="Y807" s="348">
        <f t="shared" ca="1" si="547"/>
        <v>0</v>
      </c>
      <c r="Z807" s="348">
        <f t="shared" ca="1" si="548"/>
        <v>8012</v>
      </c>
      <c r="AA807" s="348">
        <f ca="1">IF(Q807&lt;&gt;1,0,VLOOKUP(OP!$C$55,PVFB,$S807+2,0))</f>
        <v>0</v>
      </c>
      <c r="AB807" s="488" t="str">
        <f ca="1">IF(AND(S807&lt;OP!$C$24,$U807&lt;15),0,IF(AND($U807&lt;15,$T807=12),ROUND(VLOOKUP($S807,DOWN16,5,0),3),IF($T807=12,ROUND(($Z807/10000)*$AA807,3)+IF(AND($P$7="購買增額繳清保險",T807=12,U807=110),VLOOKUP(S807,$B$10:$H$121,7,0),0),"")))</f>
        <v/>
      </c>
      <c r="AC807" s="350" t="str">
        <f ca="1">IF(AND(S807&lt;OP!$C$24,$U807&lt;15),0,IF(AND($U807&lt;16,$T807=12),VLOOKUP($S807,DOWN16,4,0),IF($T807=12,ROUND(VLOOKUP(OP!$C$55,_DIE2,$S807+1,0)*(Z807/10000),0)+IF(AND($P$7="購買增額繳清保險",T807=12,U807=110),VLOOKUP(S807,$B$10:$H$121,7,0),0),"")))</f>
        <v/>
      </c>
      <c r="AD807" s="347"/>
      <c r="AE807" s="350" t="str">
        <f t="shared" ca="1" si="523"/>
        <v/>
      </c>
      <c r="AF807" s="351" t="str">
        <f t="shared" ca="1" si="524"/>
        <v/>
      </c>
      <c r="AG807" s="340"/>
      <c r="AH807" s="340"/>
      <c r="AI807" s="340"/>
      <c r="AJ807" s="340"/>
      <c r="AK807" s="340"/>
      <c r="AL807" s="340"/>
      <c r="AM807" s="340"/>
      <c r="AN807" s="340"/>
      <c r="AO807" s="340"/>
      <c r="AP807" s="340"/>
      <c r="AQ807" s="340"/>
      <c r="AR807" s="340"/>
      <c r="AS807" s="340"/>
      <c r="AT807" s="340"/>
      <c r="AU807" s="340"/>
      <c r="AV807" s="340"/>
      <c r="AY807" s="340"/>
      <c r="AZ807" s="465">
        <f t="shared" ca="1" si="534"/>
        <v>7.3698599999999999E-5</v>
      </c>
      <c r="BA807" s="464">
        <f t="shared" ca="1" si="535"/>
        <v>2.2109589000000002E-3</v>
      </c>
      <c r="BB807" s="465">
        <f t="shared" ca="1" si="535"/>
        <v>2.2846575E-3</v>
      </c>
      <c r="BC807" s="466">
        <f t="shared" ca="1" si="536"/>
        <v>67176</v>
      </c>
      <c r="BD807" s="467">
        <f t="shared" ca="1" si="549"/>
        <v>67177</v>
      </c>
      <c r="BE807" s="467">
        <f t="shared" ca="1" si="537"/>
        <v>67206</v>
      </c>
      <c r="BF807" s="468">
        <f ca="1">IF(計算!$BC807&lt;OP!$C$3,0,BD807-BC807)</f>
        <v>1</v>
      </c>
      <c r="BG807" s="468">
        <f ca="1">IF($BE807&gt;DATE(YEAR($BD$9)+OP!$C$57,MONTH($BD$9),DAY($BD$9)),0,$BE807-$BD807+1)</f>
        <v>30</v>
      </c>
      <c r="BH807" s="469">
        <f t="shared" ca="1" si="538"/>
        <v>31</v>
      </c>
      <c r="BI807" t="str">
        <f t="shared" si="554"/>
        <v/>
      </c>
      <c r="BJ807">
        <v>6</v>
      </c>
      <c r="BN807" s="468">
        <f t="shared" si="550"/>
        <v>67</v>
      </c>
      <c r="BO807" s="468">
        <f t="shared" si="551"/>
        <v>6</v>
      </c>
      <c r="BP807" s="467">
        <f t="shared" ca="1" si="539"/>
        <v>67177</v>
      </c>
      <c r="BQ807" s="475">
        <f t="shared" ca="1" si="553"/>
        <v>99</v>
      </c>
      <c r="BR807" s="475" t="str">
        <f t="shared" si="552"/>
        <v/>
      </c>
      <c r="BS807" s="471" t="str">
        <f t="shared" si="540"/>
        <v/>
      </c>
      <c r="BT807" s="472" t="str">
        <f t="shared" si="555"/>
        <v/>
      </c>
      <c r="BU807" s="472">
        <f t="shared" ca="1" si="541"/>
        <v>0</v>
      </c>
      <c r="BV807" s="472">
        <f t="shared" ca="1" si="541"/>
        <v>0</v>
      </c>
      <c r="BW807" s="472"/>
      <c r="BX807" s="473">
        <f t="shared" ca="1" si="542"/>
        <v>1770261.5878762701</v>
      </c>
      <c r="BY807" s="473">
        <f t="shared" si="543"/>
        <v>0</v>
      </c>
      <c r="BZ807" s="473">
        <f t="shared" ca="1" si="525"/>
        <v>4044.4414137029999</v>
      </c>
      <c r="CA807" s="476">
        <f t="shared" ca="1" si="544"/>
        <v>0</v>
      </c>
      <c r="CB807" s="494">
        <f ca="1">IF(OR($Q806&lt;&gt;1,OP!$D$5+$BN807-1&lt;16,$BN807-1&lt;1),0,ROUND(ROUND(ROUND(((VLOOKUP($BN807-1,MORE_PV,5,0)/10000)*VLOOKUP($BN807,MORE_PV,$CB$5,0)),3)*VLOOKUP($BN807,more1,5,0),0)/$R806,0))</f>
        <v>0</v>
      </c>
      <c r="CC807" s="473">
        <f t="shared" ca="1" si="545"/>
        <v>0</v>
      </c>
      <c r="CD807" s="477"/>
    </row>
    <row r="808" spans="2:82" ht="16.5" hidden="1">
      <c r="B808" s="80"/>
      <c r="C808" s="80"/>
      <c r="D808" s="80"/>
      <c r="E808" s="80"/>
      <c r="F808" s="80"/>
      <c r="G808" s="80"/>
      <c r="H808" s="80"/>
      <c r="I808" s="80"/>
      <c r="J808" s="192">
        <f t="shared" si="526"/>
        <v>67</v>
      </c>
      <c r="K808" s="192">
        <f t="shared" si="527"/>
        <v>8</v>
      </c>
      <c r="L808" s="192" t="str">
        <f t="shared" si="522"/>
        <v/>
      </c>
      <c r="M808" s="216">
        <f t="shared" ca="1" si="528"/>
        <v>0</v>
      </c>
      <c r="N808" s="216"/>
      <c r="O808" s="216"/>
      <c r="P808" s="216"/>
      <c r="Q808" s="456" t="str">
        <f t="shared" ca="1" si="529"/>
        <v/>
      </c>
      <c r="R808" s="450">
        <f t="shared" ca="1" si="530"/>
        <v>1</v>
      </c>
      <c r="S808" s="191">
        <f t="shared" si="531"/>
        <v>67</v>
      </c>
      <c r="T808" s="191">
        <f t="shared" si="532"/>
        <v>8</v>
      </c>
      <c r="U808" s="191">
        <f ca="1">OP!$D$5+$S808-1</f>
        <v>99</v>
      </c>
      <c r="V808" s="191" t="str">
        <f t="shared" si="533"/>
        <v/>
      </c>
      <c r="W808" s="350">
        <f ca="1">IF(Q808&lt;&gt;1,0,VLOOKUP(OP!$C$55,PVFB,$S808+2,0))</f>
        <v>0</v>
      </c>
      <c r="X808" s="473">
        <f t="shared" ca="1" si="546"/>
        <v>0</v>
      </c>
      <c r="Y808" s="348">
        <f t="shared" ca="1" si="547"/>
        <v>0</v>
      </c>
      <c r="Z808" s="348">
        <f t="shared" ca="1" si="548"/>
        <v>8012</v>
      </c>
      <c r="AA808" s="348">
        <f ca="1">IF(Q808&lt;&gt;1,0,VLOOKUP(OP!$C$55,PVFB,$S808+2,0))</f>
        <v>0</v>
      </c>
      <c r="AB808" s="488" t="str">
        <f ca="1">IF(AND(S808&lt;OP!$C$24,$U808&lt;15),0,IF(AND($U808&lt;15,$T808=12),ROUND(VLOOKUP($S808,DOWN16,5,0),3),IF($T808=12,ROUND(($Z808/10000)*$AA808,3)+IF(AND($P$7="購買增額繳清保險",T808=12,U808=110),VLOOKUP(S808,$B$10:$H$121,7,0),0),"")))</f>
        <v/>
      </c>
      <c r="AC808" s="350" t="str">
        <f ca="1">IF(AND(S808&lt;OP!$C$24,$U808&lt;15),0,IF(AND($U808&lt;16,$T808=12),VLOOKUP($S808,DOWN16,4,0),IF($T808=12,ROUND(VLOOKUP(OP!$C$55,_DIE2,$S808+1,0)*(Z808/10000),0)+IF(AND($P$7="購買增額繳清保險",T808=12,U808=110),VLOOKUP(S808,$B$10:$H$121,7,0),0),"")))</f>
        <v/>
      </c>
      <c r="AD808" s="347"/>
      <c r="AE808" s="350" t="str">
        <f t="shared" ca="1" si="523"/>
        <v/>
      </c>
      <c r="AF808" s="351" t="str">
        <f t="shared" ca="1" si="524"/>
        <v/>
      </c>
      <c r="AG808" s="340"/>
      <c r="AH808" s="340"/>
      <c r="AI808" s="340"/>
      <c r="AJ808" s="340"/>
      <c r="AK808" s="340"/>
      <c r="AL808" s="340"/>
      <c r="AM808" s="340"/>
      <c r="AN808" s="340"/>
      <c r="AO808" s="340"/>
      <c r="AP808" s="340"/>
      <c r="AQ808" s="340"/>
      <c r="AR808" s="340"/>
      <c r="AS808" s="340"/>
      <c r="AT808" s="340"/>
      <c r="AU808" s="340"/>
      <c r="AV808" s="340"/>
      <c r="AY808" s="340"/>
      <c r="AZ808" s="465">
        <f t="shared" ca="1" si="534"/>
        <v>7.3698599999999999E-5</v>
      </c>
      <c r="BA808" s="464">
        <f t="shared" ca="1" si="535"/>
        <v>2.2109589000000002E-3</v>
      </c>
      <c r="BB808" s="465">
        <f t="shared" ca="1" si="535"/>
        <v>2.2846575E-3</v>
      </c>
      <c r="BC808" s="466">
        <f t="shared" ca="1" si="536"/>
        <v>67207</v>
      </c>
      <c r="BD808" s="467">
        <f t="shared" ca="1" si="549"/>
        <v>67208</v>
      </c>
      <c r="BE808" s="467">
        <f t="shared" ca="1" si="537"/>
        <v>67237</v>
      </c>
      <c r="BF808" s="468">
        <f ca="1">IF(計算!$BC808&lt;OP!$C$3,0,BD808-BC808)</f>
        <v>1</v>
      </c>
      <c r="BG808" s="468">
        <f ca="1">IF($BE808&gt;DATE(YEAR($BD$9)+OP!$C$57,MONTH($BD$9),DAY($BD$9)),0,$BE808-$BD808+1)</f>
        <v>30</v>
      </c>
      <c r="BH808" s="469">
        <f t="shared" ca="1" si="538"/>
        <v>31</v>
      </c>
      <c r="BI808" t="str">
        <f t="shared" si="554"/>
        <v/>
      </c>
      <c r="BJ808">
        <v>7</v>
      </c>
      <c r="BN808" s="468">
        <f t="shared" si="550"/>
        <v>67</v>
      </c>
      <c r="BO808" s="468">
        <f t="shared" si="551"/>
        <v>7</v>
      </c>
      <c r="BP808" s="467">
        <f t="shared" ca="1" si="539"/>
        <v>67208</v>
      </c>
      <c r="BQ808" s="475">
        <f t="shared" ca="1" si="553"/>
        <v>99</v>
      </c>
      <c r="BR808" s="475" t="str">
        <f t="shared" si="552"/>
        <v/>
      </c>
      <c r="BS808" s="471" t="str">
        <f t="shared" si="540"/>
        <v/>
      </c>
      <c r="BT808" s="472" t="str">
        <f t="shared" si="555"/>
        <v/>
      </c>
      <c r="BU808" s="472">
        <f t="shared" ca="1" si="541"/>
        <v>0</v>
      </c>
      <c r="BV808" s="472">
        <f t="shared" ca="1" si="541"/>
        <v>0</v>
      </c>
      <c r="BW808" s="472"/>
      <c r="BX808" s="473">
        <f t="shared" ca="1" si="542"/>
        <v>1774306.0292899699</v>
      </c>
      <c r="BY808" s="473">
        <f t="shared" si="543"/>
        <v>0</v>
      </c>
      <c r="BZ808" s="473">
        <f t="shared" ca="1" si="525"/>
        <v>4053.681577113</v>
      </c>
      <c r="CA808" s="476">
        <f t="shared" ca="1" si="544"/>
        <v>0</v>
      </c>
      <c r="CB808" s="494">
        <f ca="1">IF(OR($Q807&lt;&gt;1,OP!$D$5+$BN808-1&lt;16,$BN808-1&lt;1),0,ROUND(ROUND(ROUND(((VLOOKUP($BN808-1,MORE_PV,5,0)/10000)*VLOOKUP($BN808,MORE_PV,$CB$5,0)),3)*VLOOKUP($BN808,more1,5,0),0)/$R807,0))</f>
        <v>0</v>
      </c>
      <c r="CC808" s="473">
        <f t="shared" ca="1" si="545"/>
        <v>0</v>
      </c>
      <c r="CD808" s="477"/>
    </row>
    <row r="809" spans="2:82" ht="16.5" hidden="1">
      <c r="B809" s="80"/>
      <c r="C809" s="80"/>
      <c r="D809" s="80"/>
      <c r="E809" s="80"/>
      <c r="F809" s="80"/>
      <c r="G809" s="80"/>
      <c r="H809" s="80"/>
      <c r="I809" s="80"/>
      <c r="J809" s="192">
        <f t="shared" si="526"/>
        <v>67</v>
      </c>
      <c r="K809" s="192">
        <f t="shared" si="527"/>
        <v>9</v>
      </c>
      <c r="L809" s="192" t="str">
        <f t="shared" si="522"/>
        <v/>
      </c>
      <c r="M809" s="216">
        <f t="shared" ca="1" si="528"/>
        <v>0</v>
      </c>
      <c r="N809" s="216"/>
      <c r="O809" s="216"/>
      <c r="P809" s="216"/>
      <c r="Q809" s="456" t="str">
        <f t="shared" ca="1" si="529"/>
        <v/>
      </c>
      <c r="R809" s="450">
        <f t="shared" ca="1" si="530"/>
        <v>1</v>
      </c>
      <c r="S809" s="191">
        <f t="shared" si="531"/>
        <v>67</v>
      </c>
      <c r="T809" s="191">
        <f t="shared" si="532"/>
        <v>9</v>
      </c>
      <c r="U809" s="191">
        <f ca="1">OP!$D$5+$S809-1</f>
        <v>99</v>
      </c>
      <c r="V809" s="191" t="str">
        <f t="shared" si="533"/>
        <v/>
      </c>
      <c r="W809" s="350">
        <f ca="1">IF(Q809&lt;&gt;1,0,VLOOKUP(OP!$C$55,PVFB,$S809+2,0))</f>
        <v>0</v>
      </c>
      <c r="X809" s="473">
        <f t="shared" ca="1" si="546"/>
        <v>0</v>
      </c>
      <c r="Y809" s="348">
        <f t="shared" ca="1" si="547"/>
        <v>0</v>
      </c>
      <c r="Z809" s="348">
        <f t="shared" ca="1" si="548"/>
        <v>8012</v>
      </c>
      <c r="AA809" s="348">
        <f ca="1">IF(Q809&lt;&gt;1,0,VLOOKUP(OP!$C$55,PVFB,$S809+2,0))</f>
        <v>0</v>
      </c>
      <c r="AB809" s="488" t="str">
        <f ca="1">IF(AND(S809&lt;OP!$C$24,$U809&lt;15),0,IF(AND($U809&lt;15,$T809=12),ROUND(VLOOKUP($S809,DOWN16,5,0),3),IF($T809=12,ROUND(($Z809/10000)*$AA809,3)+IF(AND($P$7="購買增額繳清保險",T809=12,U809=110),VLOOKUP(S809,$B$10:$H$121,7,0),0),"")))</f>
        <v/>
      </c>
      <c r="AC809" s="350" t="str">
        <f ca="1">IF(AND(S809&lt;OP!$C$24,$U809&lt;15),0,IF(AND($U809&lt;16,$T809=12),VLOOKUP($S809,DOWN16,4,0),IF($T809=12,ROUND(VLOOKUP(OP!$C$55,_DIE2,$S809+1,0)*(Z809/10000),0)+IF(AND($P$7="購買增額繳清保險",T809=12,U809=110),VLOOKUP(S809,$B$10:$H$121,7,0),0),"")))</f>
        <v/>
      </c>
      <c r="AD809" s="347"/>
      <c r="AE809" s="350" t="str">
        <f t="shared" ca="1" si="523"/>
        <v/>
      </c>
      <c r="AF809" s="351" t="str">
        <f t="shared" ca="1" si="524"/>
        <v/>
      </c>
      <c r="AG809" s="340"/>
      <c r="AH809" s="340"/>
      <c r="AI809" s="340"/>
      <c r="AJ809" s="340"/>
      <c r="AK809" s="340"/>
      <c r="AL809" s="340"/>
      <c r="AM809" s="340"/>
      <c r="AN809" s="340"/>
      <c r="AO809" s="340"/>
      <c r="AP809" s="340"/>
      <c r="AQ809" s="340"/>
      <c r="AR809" s="340"/>
      <c r="AS809" s="340"/>
      <c r="AT809" s="340"/>
      <c r="AU809" s="340"/>
      <c r="AV809" s="340"/>
      <c r="AY809" s="340"/>
      <c r="AZ809" s="465">
        <f t="shared" ca="1" si="534"/>
        <v>7.3698599999999999E-5</v>
      </c>
      <c r="BA809" s="464">
        <f t="shared" ca="1" si="535"/>
        <v>2.0635616E-3</v>
      </c>
      <c r="BB809" s="465">
        <f t="shared" ca="1" si="535"/>
        <v>2.1372602999999999E-3</v>
      </c>
      <c r="BC809" s="466">
        <f t="shared" ca="1" si="536"/>
        <v>67238</v>
      </c>
      <c r="BD809" s="467">
        <f t="shared" ca="1" si="549"/>
        <v>67239</v>
      </c>
      <c r="BE809" s="467">
        <f t="shared" ca="1" si="537"/>
        <v>67266</v>
      </c>
      <c r="BF809" s="468">
        <f ca="1">IF(計算!$BC809&lt;OP!$C$3,0,BD809-BC809)</f>
        <v>1</v>
      </c>
      <c r="BG809" s="468">
        <f ca="1">IF($BE809&gt;DATE(YEAR($BD$9)+OP!$C$57,MONTH($BD$9),DAY($BD$9)),0,$BE809-$BD809+1)</f>
        <v>28</v>
      </c>
      <c r="BH809" s="469">
        <f t="shared" ca="1" si="538"/>
        <v>29</v>
      </c>
      <c r="BI809" t="str">
        <f t="shared" si="554"/>
        <v/>
      </c>
      <c r="BJ809">
        <v>8</v>
      </c>
      <c r="BN809" s="468">
        <f t="shared" si="550"/>
        <v>67</v>
      </c>
      <c r="BO809" s="468">
        <f t="shared" si="551"/>
        <v>8</v>
      </c>
      <c r="BP809" s="467">
        <f t="shared" ca="1" si="539"/>
        <v>67239</v>
      </c>
      <c r="BQ809" s="475">
        <f t="shared" ca="1" si="553"/>
        <v>99</v>
      </c>
      <c r="BR809" s="475" t="str">
        <f t="shared" si="552"/>
        <v/>
      </c>
      <c r="BS809" s="471" t="str">
        <f t="shared" si="540"/>
        <v/>
      </c>
      <c r="BT809" s="472" t="str">
        <f t="shared" si="555"/>
        <v/>
      </c>
      <c r="BU809" s="472">
        <f t="shared" ca="1" si="541"/>
        <v>0</v>
      </c>
      <c r="BV809" s="472">
        <f t="shared" ca="1" si="541"/>
        <v>0</v>
      </c>
      <c r="BW809" s="472"/>
      <c r="BX809" s="473">
        <f t="shared" ca="1" si="542"/>
        <v>1778359.7108670799</v>
      </c>
      <c r="BY809" s="473">
        <f t="shared" si="543"/>
        <v>0</v>
      </c>
      <c r="BZ809" s="473">
        <f t="shared" ca="1" si="525"/>
        <v>3800.8176091559999</v>
      </c>
      <c r="CA809" s="476">
        <f t="shared" ca="1" si="544"/>
        <v>0</v>
      </c>
      <c r="CB809" s="494">
        <f ca="1">IF(OR($Q808&lt;&gt;1,OP!$D$5+$BN809-1&lt;16,$BN809-1&lt;1),0,ROUND(ROUND(ROUND(((VLOOKUP($BN809-1,MORE_PV,5,0)/10000)*VLOOKUP($BN809,MORE_PV,$CB$5,0)),3)*VLOOKUP($BN809,more1,5,0),0)/$R808,0))</f>
        <v>0</v>
      </c>
      <c r="CC809" s="473">
        <f t="shared" ca="1" si="545"/>
        <v>0</v>
      </c>
      <c r="CD809" s="477"/>
    </row>
    <row r="810" spans="2:82" ht="16.5" hidden="1">
      <c r="B810" s="80"/>
      <c r="C810" s="80"/>
      <c r="D810" s="80"/>
      <c r="E810" s="80"/>
      <c r="F810" s="80"/>
      <c r="G810" s="80"/>
      <c r="H810" s="80"/>
      <c r="I810" s="80"/>
      <c r="J810" s="192">
        <f t="shared" si="526"/>
        <v>67</v>
      </c>
      <c r="K810" s="192">
        <f t="shared" si="527"/>
        <v>10</v>
      </c>
      <c r="L810" s="192" t="str">
        <f t="shared" si="522"/>
        <v/>
      </c>
      <c r="M810" s="216">
        <f t="shared" ca="1" si="528"/>
        <v>0</v>
      </c>
      <c r="N810" s="216"/>
      <c r="O810" s="216"/>
      <c r="P810" s="216"/>
      <c r="Q810" s="456" t="str">
        <f t="shared" ca="1" si="529"/>
        <v/>
      </c>
      <c r="R810" s="450">
        <f t="shared" ca="1" si="530"/>
        <v>1</v>
      </c>
      <c r="S810" s="191">
        <f t="shared" si="531"/>
        <v>67</v>
      </c>
      <c r="T810" s="191">
        <f t="shared" si="532"/>
        <v>10</v>
      </c>
      <c r="U810" s="191">
        <f ca="1">OP!$D$5+$S810-1</f>
        <v>99</v>
      </c>
      <c r="V810" s="191" t="str">
        <f t="shared" si="533"/>
        <v/>
      </c>
      <c r="W810" s="350">
        <f ca="1">IF(Q810&lt;&gt;1,0,VLOOKUP(OP!$C$55,PVFB,$S810+2,0))</f>
        <v>0</v>
      </c>
      <c r="X810" s="473">
        <f t="shared" ca="1" si="546"/>
        <v>0</v>
      </c>
      <c r="Y810" s="348">
        <f t="shared" ca="1" si="547"/>
        <v>0</v>
      </c>
      <c r="Z810" s="348">
        <f t="shared" ca="1" si="548"/>
        <v>8012</v>
      </c>
      <c r="AA810" s="348">
        <f ca="1">IF(Q810&lt;&gt;1,0,VLOOKUP(OP!$C$55,PVFB,$S810+2,0))</f>
        <v>0</v>
      </c>
      <c r="AB810" s="488" t="str">
        <f ca="1">IF(AND(S810&lt;OP!$C$24,$U810&lt;15),0,IF(AND($U810&lt;15,$T810=12),ROUND(VLOOKUP($S810,DOWN16,5,0),3),IF($T810=12,ROUND(($Z810/10000)*$AA810,3)+IF(AND($P$7="購買增額繳清保險",T810=12,U810=110),VLOOKUP(S810,$B$10:$H$121,7,0),0),"")))</f>
        <v/>
      </c>
      <c r="AC810" s="350" t="str">
        <f ca="1">IF(AND(S810&lt;OP!$C$24,$U810&lt;15),0,IF(AND($U810&lt;16,$T810=12),VLOOKUP($S810,DOWN16,4,0),IF($T810=12,ROUND(VLOOKUP(OP!$C$55,_DIE2,$S810+1,0)*(Z810/10000),0)+IF(AND($P$7="購買增額繳清保險",T810=12,U810=110),VLOOKUP(S810,$B$10:$H$121,7,0),0),"")))</f>
        <v/>
      </c>
      <c r="AD810" s="347"/>
      <c r="AE810" s="350" t="str">
        <f t="shared" ca="1" si="523"/>
        <v/>
      </c>
      <c r="AF810" s="351" t="str">
        <f t="shared" ca="1" si="524"/>
        <v/>
      </c>
      <c r="AG810" s="340"/>
      <c r="AH810" s="340"/>
      <c r="AI810" s="340"/>
      <c r="AJ810" s="340"/>
      <c r="AK810" s="340"/>
      <c r="AL810" s="340"/>
      <c r="AM810" s="340"/>
      <c r="AN810" s="340"/>
      <c r="AO810" s="340"/>
      <c r="AP810" s="340"/>
      <c r="AQ810" s="340"/>
      <c r="AR810" s="340"/>
      <c r="AS810" s="340"/>
      <c r="AT810" s="340"/>
      <c r="AU810" s="340"/>
      <c r="AV810" s="340"/>
      <c r="AY810" s="340"/>
      <c r="AZ810" s="465">
        <f t="shared" ca="1" si="534"/>
        <v>7.3698599999999999E-5</v>
      </c>
      <c r="BA810" s="464">
        <f t="shared" ca="1" si="535"/>
        <v>2.2109589000000002E-3</v>
      </c>
      <c r="BB810" s="465">
        <f t="shared" ca="1" si="535"/>
        <v>2.2846575E-3</v>
      </c>
      <c r="BC810" s="466">
        <f t="shared" ca="1" si="536"/>
        <v>67267</v>
      </c>
      <c r="BD810" s="467">
        <f t="shared" ca="1" si="549"/>
        <v>67268</v>
      </c>
      <c r="BE810" s="467">
        <f t="shared" ca="1" si="537"/>
        <v>67297</v>
      </c>
      <c r="BF810" s="468">
        <f ca="1">IF(計算!$BC810&lt;OP!$C$3,0,BD810-BC810)</f>
        <v>1</v>
      </c>
      <c r="BG810" s="468">
        <f ca="1">IF($BE810&gt;DATE(YEAR($BD$9)+OP!$C$57,MONTH($BD$9),DAY($BD$9)),0,$BE810-$BD810+1)</f>
        <v>30</v>
      </c>
      <c r="BH810" s="469">
        <f t="shared" ca="1" si="538"/>
        <v>31</v>
      </c>
      <c r="BI810" t="str">
        <f t="shared" si="554"/>
        <v/>
      </c>
      <c r="BJ810">
        <v>9</v>
      </c>
      <c r="BN810" s="468">
        <f t="shared" si="550"/>
        <v>67</v>
      </c>
      <c r="BO810" s="468">
        <f t="shared" si="551"/>
        <v>9</v>
      </c>
      <c r="BP810" s="467">
        <f t="shared" ca="1" si="539"/>
        <v>67268</v>
      </c>
      <c r="BQ810" s="475">
        <f t="shared" ca="1" si="553"/>
        <v>99</v>
      </c>
      <c r="BR810" s="475" t="str">
        <f t="shared" si="552"/>
        <v/>
      </c>
      <c r="BS810" s="471" t="str">
        <f t="shared" si="540"/>
        <v/>
      </c>
      <c r="BT810" s="472" t="str">
        <f t="shared" si="555"/>
        <v/>
      </c>
      <c r="BU810" s="472">
        <f t="shared" ca="1" si="541"/>
        <v>0</v>
      </c>
      <c r="BV810" s="472">
        <f t="shared" ca="1" si="541"/>
        <v>0</v>
      </c>
      <c r="BW810" s="472"/>
      <c r="BX810" s="473">
        <f t="shared" ca="1" si="542"/>
        <v>1782160.5284762401</v>
      </c>
      <c r="BY810" s="473">
        <f t="shared" si="543"/>
        <v>0</v>
      </c>
      <c r="BZ810" s="473">
        <f t="shared" ca="1" si="525"/>
        <v>4071.6264175870001</v>
      </c>
      <c r="CA810" s="476">
        <f t="shared" ca="1" si="544"/>
        <v>0</v>
      </c>
      <c r="CB810" s="494">
        <f ca="1">IF(OR($Q809&lt;&gt;1,OP!$D$5+$BN810-1&lt;16,$BN810-1&lt;1),0,ROUND(ROUND(ROUND(((VLOOKUP($BN810-1,MORE_PV,5,0)/10000)*VLOOKUP($BN810,MORE_PV,$CB$5,0)),3)*VLOOKUP($BN810,more1,5,0),0)/$R809,0))</f>
        <v>0</v>
      </c>
      <c r="CC810" s="473">
        <f t="shared" ca="1" si="545"/>
        <v>0</v>
      </c>
      <c r="CD810" s="477"/>
    </row>
    <row r="811" spans="2:82" ht="16.5" hidden="1">
      <c r="B811" s="80"/>
      <c r="C811" s="80"/>
      <c r="D811" s="80"/>
      <c r="E811" s="80"/>
      <c r="F811" s="80"/>
      <c r="G811" s="80"/>
      <c r="H811" s="80"/>
      <c r="I811" s="80"/>
      <c r="J811" s="192">
        <f t="shared" si="526"/>
        <v>67</v>
      </c>
      <c r="K811" s="192">
        <f t="shared" si="527"/>
        <v>11</v>
      </c>
      <c r="L811" s="192" t="str">
        <f t="shared" si="522"/>
        <v/>
      </c>
      <c r="M811" s="216">
        <f t="shared" ca="1" si="528"/>
        <v>0</v>
      </c>
      <c r="N811" s="216"/>
      <c r="O811" s="216"/>
      <c r="P811" s="216"/>
      <c r="Q811" s="456" t="str">
        <f t="shared" ca="1" si="529"/>
        <v/>
      </c>
      <c r="R811" s="450">
        <f t="shared" ca="1" si="530"/>
        <v>1</v>
      </c>
      <c r="S811" s="191">
        <f t="shared" si="531"/>
        <v>67</v>
      </c>
      <c r="T811" s="191">
        <f t="shared" si="532"/>
        <v>11</v>
      </c>
      <c r="U811" s="191">
        <f ca="1">OP!$D$5+$S811-1</f>
        <v>99</v>
      </c>
      <c r="V811" s="191" t="str">
        <f t="shared" si="533"/>
        <v/>
      </c>
      <c r="W811" s="350">
        <f ca="1">IF(Q811&lt;&gt;1,0,VLOOKUP(OP!$C$55,PVFB,$S811+2,0))</f>
        <v>0</v>
      </c>
      <c r="X811" s="473">
        <f t="shared" ca="1" si="546"/>
        <v>0</v>
      </c>
      <c r="Y811" s="348">
        <f t="shared" ca="1" si="547"/>
        <v>0</v>
      </c>
      <c r="Z811" s="348">
        <f t="shared" ca="1" si="548"/>
        <v>8012</v>
      </c>
      <c r="AA811" s="348">
        <f ca="1">IF(Q811&lt;&gt;1,0,VLOOKUP(OP!$C$55,PVFB,$S811+2,0))</f>
        <v>0</v>
      </c>
      <c r="AB811" s="488" t="str">
        <f ca="1">IF(AND(S811&lt;OP!$C$24,$U811&lt;15),0,IF(AND($U811&lt;15,$T811=12),ROUND(VLOOKUP($S811,DOWN16,5,0),3),IF($T811=12,ROUND(($Z811/10000)*$AA811,3)+IF(AND($P$7="購買增額繳清保險",T811=12,U811=110),VLOOKUP(S811,$B$10:$H$121,7,0),0),"")))</f>
        <v/>
      </c>
      <c r="AC811" s="350" t="str">
        <f ca="1">IF(AND(S811&lt;OP!$C$24,$U811&lt;15),0,IF(AND($U811&lt;16,$T811=12),VLOOKUP($S811,DOWN16,4,0),IF($T811=12,ROUND(VLOOKUP(OP!$C$55,_DIE2,$S811+1,0)*(Z811/10000),0)+IF(AND($P$7="購買增額繳清保險",T811=12,U811=110),VLOOKUP(S811,$B$10:$H$121,7,0),0),"")))</f>
        <v/>
      </c>
      <c r="AD811" s="347"/>
      <c r="AE811" s="350" t="str">
        <f t="shared" ca="1" si="523"/>
        <v/>
      </c>
      <c r="AF811" s="351" t="str">
        <f t="shared" ca="1" si="524"/>
        <v/>
      </c>
      <c r="AG811" s="340"/>
      <c r="AH811" s="340"/>
      <c r="AI811" s="340"/>
      <c r="AJ811" s="340"/>
      <c r="AK811" s="340"/>
      <c r="AL811" s="340"/>
      <c r="AM811" s="340"/>
      <c r="AN811" s="340"/>
      <c r="AO811" s="340"/>
      <c r="AP811" s="340"/>
      <c r="AQ811" s="340"/>
      <c r="AR811" s="340"/>
      <c r="AS811" s="340"/>
      <c r="AT811" s="340"/>
      <c r="AU811" s="340"/>
      <c r="AV811" s="340"/>
      <c r="AY811" s="340"/>
      <c r="AZ811" s="465">
        <f t="shared" ca="1" si="534"/>
        <v>7.3698599999999999E-5</v>
      </c>
      <c r="BA811" s="464">
        <f t="shared" ca="1" si="535"/>
        <v>2.1372602999999999E-3</v>
      </c>
      <c r="BB811" s="465">
        <f t="shared" ca="1" si="535"/>
        <v>2.2109589000000002E-3</v>
      </c>
      <c r="BC811" s="466">
        <f t="shared" ca="1" si="536"/>
        <v>67298</v>
      </c>
      <c r="BD811" s="467">
        <f t="shared" ca="1" si="549"/>
        <v>67299</v>
      </c>
      <c r="BE811" s="467">
        <f t="shared" ca="1" si="537"/>
        <v>67327</v>
      </c>
      <c r="BF811" s="468">
        <f ca="1">IF(計算!$BC811&lt;OP!$C$3,0,BD811-BC811)</f>
        <v>1</v>
      </c>
      <c r="BG811" s="468">
        <f ca="1">IF($BE811&gt;DATE(YEAR($BD$9)+OP!$C$57,MONTH($BD$9),DAY($BD$9)),0,$BE811-$BD811+1)</f>
        <v>29</v>
      </c>
      <c r="BH811" s="469">
        <f t="shared" ca="1" si="538"/>
        <v>30</v>
      </c>
      <c r="BI811" t="str">
        <f t="shared" si="554"/>
        <v/>
      </c>
      <c r="BJ811">
        <v>10</v>
      </c>
      <c r="BN811" s="468">
        <f t="shared" si="550"/>
        <v>67</v>
      </c>
      <c r="BO811" s="468">
        <f t="shared" si="551"/>
        <v>10</v>
      </c>
      <c r="BP811" s="467">
        <f t="shared" ca="1" si="539"/>
        <v>67299</v>
      </c>
      <c r="BQ811" s="475">
        <f t="shared" ca="1" si="553"/>
        <v>99</v>
      </c>
      <c r="BR811" s="475" t="str">
        <f t="shared" si="552"/>
        <v/>
      </c>
      <c r="BS811" s="471" t="str">
        <f t="shared" si="540"/>
        <v/>
      </c>
      <c r="BT811" s="472" t="str">
        <f t="shared" si="555"/>
        <v/>
      </c>
      <c r="BU811" s="472">
        <f t="shared" ca="1" si="541"/>
        <v>0</v>
      </c>
      <c r="BV811" s="472">
        <f t="shared" ca="1" si="541"/>
        <v>0</v>
      </c>
      <c r="BW811" s="472"/>
      <c r="BX811" s="473">
        <f t="shared" ca="1" si="542"/>
        <v>1786232.15489383</v>
      </c>
      <c r="BY811" s="473">
        <f t="shared" si="543"/>
        <v>0</v>
      </c>
      <c r="BZ811" s="473">
        <f t="shared" ca="1" si="525"/>
        <v>3949.2858803290001</v>
      </c>
      <c r="CA811" s="476">
        <f t="shared" ca="1" si="544"/>
        <v>0</v>
      </c>
      <c r="CB811" s="494">
        <f ca="1">IF(OR($Q810&lt;&gt;1,OP!$D$5+$BN811-1&lt;16,$BN811-1&lt;1),0,ROUND(ROUND(ROUND(((VLOOKUP($BN811-1,MORE_PV,5,0)/10000)*VLOOKUP($BN811,MORE_PV,$CB$5,0)),3)*VLOOKUP($BN811,more1,5,0),0)/$R810,0))</f>
        <v>0</v>
      </c>
      <c r="CC811" s="473">
        <f t="shared" ca="1" si="545"/>
        <v>0</v>
      </c>
      <c r="CD811" s="477"/>
    </row>
    <row r="812" spans="2:82" ht="16.5" hidden="1">
      <c r="B812" s="80"/>
      <c r="C812" s="80"/>
      <c r="D812" s="80"/>
      <c r="E812" s="80"/>
      <c r="F812" s="80"/>
      <c r="G812" s="80"/>
      <c r="H812" s="80"/>
      <c r="I812" s="80"/>
      <c r="J812" s="192">
        <f t="shared" si="526"/>
        <v>67</v>
      </c>
      <c r="K812" s="192">
        <f t="shared" si="527"/>
        <v>12</v>
      </c>
      <c r="L812" s="192">
        <f t="shared" si="522"/>
        <v>67</v>
      </c>
      <c r="M812" s="216">
        <f t="shared" ca="1" si="528"/>
        <v>1817206</v>
      </c>
      <c r="N812" s="216"/>
      <c r="O812" s="216"/>
      <c r="P812" s="216"/>
      <c r="Q812" s="456">
        <f t="shared" ca="1" si="529"/>
        <v>1</v>
      </c>
      <c r="R812" s="450">
        <f t="shared" ca="1" si="530"/>
        <v>1</v>
      </c>
      <c r="S812" s="191">
        <f t="shared" si="531"/>
        <v>67</v>
      </c>
      <c r="T812" s="191">
        <f t="shared" si="532"/>
        <v>12</v>
      </c>
      <c r="U812" s="191">
        <f ca="1">OP!$D$5+$S812-1</f>
        <v>99</v>
      </c>
      <c r="V812" s="191">
        <f t="shared" si="533"/>
        <v>67</v>
      </c>
      <c r="W812" s="350">
        <f ca="1">IF(Q812&lt;&gt;1,0,VLOOKUP(OP!$C$55,PVFB,$S812+2,0))</f>
        <v>94963</v>
      </c>
      <c r="X812" s="473">
        <f t="shared" ca="1" si="546"/>
        <v>22803</v>
      </c>
      <c r="Y812" s="348">
        <f t="shared" ca="1" si="547"/>
        <v>0</v>
      </c>
      <c r="Z812" s="348">
        <f t="shared" ca="1" si="548"/>
        <v>8012</v>
      </c>
      <c r="AA812" s="348">
        <f ca="1">IF(Q812&lt;&gt;1,0,VLOOKUP(OP!$C$55,PVFB,$S812+2,0))</f>
        <v>94963</v>
      </c>
      <c r="AB812" s="488">
        <f ca="1">IF(AND(S812&lt;OP!$C$24,$U812&lt;15),0,IF(AND($U812&lt;15,$T812=12),ROUND(VLOOKUP($S812,DOWN16,5,0),3),IF($T812=12,ROUND(($Z812/10000)*$AA812,3)+IF(AND($P$7="購買增額繳清保險",T812=12,U812=110),VLOOKUP(S812,$B$10:$H$121,7,0),0),"")))</f>
        <v>76084.356</v>
      </c>
      <c r="AC812" s="350">
        <f ca="1">IF(AND(S812&lt;OP!$C$24,$U812&lt;15),0,IF(AND($U812&lt;16,$T812=12),VLOOKUP($S812,DOWN16,4,0),IF($T812=12,ROUND(VLOOKUP(OP!$C$55,_DIE2,$S812+1,0)*(Z812/10000),0)+IF(AND($P$7="購買增額繳清保險",T812=12,U812=110),VLOOKUP(S812,$B$10:$H$121,7,0),0),"")))</f>
        <v>76434</v>
      </c>
      <c r="AD812" s="347"/>
      <c r="AE812" s="350" t="str">
        <f t="shared" ca="1" si="523"/>
        <v/>
      </c>
      <c r="AF812" s="351" t="str">
        <f t="shared" ca="1" si="524"/>
        <v/>
      </c>
      <c r="AG812" s="340"/>
      <c r="AH812" s="340"/>
      <c r="AI812" s="340"/>
      <c r="AJ812" s="340"/>
      <c r="AK812" s="340"/>
      <c r="AL812" s="340"/>
      <c r="AM812" s="340"/>
      <c r="AN812" s="340"/>
      <c r="AO812" s="340"/>
      <c r="AP812" s="340"/>
      <c r="AQ812" s="340"/>
      <c r="AR812" s="340"/>
      <c r="AS812" s="340"/>
      <c r="AT812" s="340"/>
      <c r="AU812" s="340"/>
      <c r="AV812" s="340"/>
      <c r="AY812" s="340"/>
      <c r="AZ812" s="465">
        <f t="shared" ca="1" si="534"/>
        <v>7.3698599999999999E-5</v>
      </c>
      <c r="BA812" s="464">
        <f t="shared" ca="1" si="535"/>
        <v>2.2109589000000002E-3</v>
      </c>
      <c r="BB812" s="465">
        <f t="shared" ca="1" si="535"/>
        <v>2.2846575E-3</v>
      </c>
      <c r="BC812" s="466">
        <f t="shared" ca="1" si="536"/>
        <v>67328</v>
      </c>
      <c r="BD812" s="467">
        <f t="shared" ca="1" si="549"/>
        <v>67329</v>
      </c>
      <c r="BE812" s="467">
        <f t="shared" ca="1" si="537"/>
        <v>67358</v>
      </c>
      <c r="BF812" s="468">
        <f ca="1">IF(計算!$BC812&lt;OP!$C$3,0,BD812-BC812)</f>
        <v>1</v>
      </c>
      <c r="BG812" s="468">
        <f ca="1">IF($BE812&gt;DATE(YEAR($BD$9)+OP!$C$57,MONTH($BD$9),DAY($BD$9)),0,$BE812-$BD812+1)</f>
        <v>30</v>
      </c>
      <c r="BH812" s="469">
        <f t="shared" ca="1" si="538"/>
        <v>31</v>
      </c>
      <c r="BI812" t="str">
        <f t="shared" si="554"/>
        <v/>
      </c>
      <c r="BJ812">
        <v>11</v>
      </c>
      <c r="BN812" s="468">
        <f t="shared" si="550"/>
        <v>67</v>
      </c>
      <c r="BO812" s="468">
        <f t="shared" si="551"/>
        <v>11</v>
      </c>
      <c r="BP812" s="467">
        <f t="shared" ca="1" si="539"/>
        <v>67329</v>
      </c>
      <c r="BQ812" s="475">
        <f t="shared" ca="1" si="553"/>
        <v>99</v>
      </c>
      <c r="BR812" s="475" t="str">
        <f t="shared" si="552"/>
        <v/>
      </c>
      <c r="BS812" s="471" t="str">
        <f t="shared" si="540"/>
        <v/>
      </c>
      <c r="BT812" s="472" t="str">
        <f t="shared" si="555"/>
        <v/>
      </c>
      <c r="BU812" s="472">
        <f t="shared" ca="1" si="541"/>
        <v>0</v>
      </c>
      <c r="BV812" s="472">
        <f t="shared" ca="1" si="541"/>
        <v>0</v>
      </c>
      <c r="BW812" s="472"/>
      <c r="BX812" s="473">
        <f t="shared" ca="1" si="542"/>
        <v>1790181.44077416</v>
      </c>
      <c r="BY812" s="473">
        <f t="shared" si="543"/>
        <v>0</v>
      </c>
      <c r="BZ812" s="473">
        <f t="shared" ca="1" si="525"/>
        <v>4089.9514550250001</v>
      </c>
      <c r="CA812" s="476">
        <f t="shared" ca="1" si="544"/>
        <v>0</v>
      </c>
      <c r="CB812" s="494">
        <f ca="1">IF(OR($Q811&lt;&gt;1,OP!$D$5+$BN812-1&lt;16,$BN812-1&lt;1),0,ROUND(ROUND(ROUND(((VLOOKUP($BN812-1,MORE_PV,5,0)/10000)*VLOOKUP($BN812,MORE_PV,$CB$5,0)),3)*VLOOKUP($BN812,more1,5,0),0)/$R811,0))</f>
        <v>0</v>
      </c>
      <c r="CC812" s="473">
        <f t="shared" ca="1" si="545"/>
        <v>0</v>
      </c>
      <c r="CD812" s="477"/>
    </row>
    <row r="813" spans="2:82" ht="16.5" hidden="1">
      <c r="B813" s="80"/>
      <c r="C813" s="80"/>
      <c r="D813" s="80"/>
      <c r="E813" s="80"/>
      <c r="F813" s="80"/>
      <c r="G813" s="80"/>
      <c r="H813" s="80"/>
      <c r="I813" s="80"/>
      <c r="J813" s="192">
        <f t="shared" si="526"/>
        <v>68</v>
      </c>
      <c r="K813" s="192">
        <f t="shared" si="527"/>
        <v>1</v>
      </c>
      <c r="L813" s="192" t="str">
        <f t="shared" si="522"/>
        <v/>
      </c>
      <c r="M813" s="216">
        <f t="shared" ca="1" si="528"/>
        <v>0</v>
      </c>
      <c r="N813" s="216"/>
      <c r="O813" s="216"/>
      <c r="P813" s="216"/>
      <c r="Q813" s="456" t="str">
        <f t="shared" ca="1" si="529"/>
        <v/>
      </c>
      <c r="R813" s="450">
        <f t="shared" ca="1" si="530"/>
        <v>1</v>
      </c>
      <c r="S813" s="191">
        <f t="shared" si="531"/>
        <v>68</v>
      </c>
      <c r="T813" s="191">
        <f t="shared" si="532"/>
        <v>1</v>
      </c>
      <c r="U813" s="191">
        <f ca="1">OP!$D$5+$S813-1</f>
        <v>100</v>
      </c>
      <c r="V813" s="191" t="str">
        <f t="shared" si="533"/>
        <v/>
      </c>
      <c r="W813" s="350">
        <f ca="1">IF(Q813&lt;&gt;1,0,VLOOKUP(OP!$C$55,PVFB,$S813+2,0))</f>
        <v>0</v>
      </c>
      <c r="X813" s="473">
        <f t="shared" ca="1" si="546"/>
        <v>0</v>
      </c>
      <c r="Y813" s="348">
        <f t="shared" ca="1" si="547"/>
        <v>0</v>
      </c>
      <c r="Z813" s="348">
        <f t="shared" ca="1" si="548"/>
        <v>8012</v>
      </c>
      <c r="AA813" s="348">
        <f ca="1">IF(Q813&lt;&gt;1,0,VLOOKUP(OP!$C$55,PVFB,$S813+2,0))</f>
        <v>0</v>
      </c>
      <c r="AB813" s="488" t="str">
        <f ca="1">IF(AND(S813&lt;OP!$C$24,$U813&lt;15),0,IF(AND($U813&lt;15,$T813=12),ROUND(VLOOKUP($S813,DOWN16,5,0),3),IF($T813=12,ROUND(($Z813/10000)*$AA813,3)+IF(AND($P$7="購買增額繳清保險",T813=12,U813=110),VLOOKUP(S813,$B$10:$H$121,7,0),0),"")))</f>
        <v/>
      </c>
      <c r="AC813" s="350" t="str">
        <f ca="1">IF(AND(S813&lt;OP!$C$24,$U813&lt;15),0,IF(AND($U813&lt;16,$T813=12),VLOOKUP($S813,DOWN16,4,0),IF($T813=12,ROUND(VLOOKUP(OP!$C$55,_DIE2,$S813+1,0)*(Z813/10000),0)+IF(AND($P$7="購買增額繳清保險",T813=12,U813=110),VLOOKUP(S813,$B$10:$H$121,7,0),0),"")))</f>
        <v/>
      </c>
      <c r="AD813" s="347"/>
      <c r="AE813" s="350" t="str">
        <f t="shared" ca="1" si="523"/>
        <v/>
      </c>
      <c r="AF813" s="351" t="str">
        <f t="shared" ca="1" si="524"/>
        <v/>
      </c>
      <c r="AG813" s="340"/>
      <c r="AH813" s="340"/>
      <c r="AI813" s="340"/>
      <c r="AJ813" s="340"/>
      <c r="AK813" s="340"/>
      <c r="AL813" s="340"/>
      <c r="AM813" s="340"/>
      <c r="AN813" s="340"/>
      <c r="AO813" s="340"/>
      <c r="AP813" s="340"/>
      <c r="AQ813" s="340"/>
      <c r="AR813" s="340"/>
      <c r="AS813" s="340"/>
      <c r="AT813" s="340"/>
      <c r="AU813" s="340"/>
      <c r="AV813" s="340"/>
      <c r="AY813" s="340"/>
      <c r="AZ813" s="465">
        <f t="shared" ca="1" si="534"/>
        <v>7.3698599999999999E-5</v>
      </c>
      <c r="BA813" s="464">
        <f t="shared" ca="1" si="535"/>
        <v>2.1372602999999999E-3</v>
      </c>
      <c r="BB813" s="465">
        <f t="shared" ca="1" si="535"/>
        <v>2.2109589000000002E-3</v>
      </c>
      <c r="BC813" s="466">
        <f t="shared" ca="1" si="536"/>
        <v>67359</v>
      </c>
      <c r="BD813" s="467">
        <f t="shared" ca="1" si="549"/>
        <v>67360</v>
      </c>
      <c r="BE813" s="467">
        <f t="shared" ca="1" si="537"/>
        <v>67388</v>
      </c>
      <c r="BF813" s="468">
        <f ca="1">IF(計算!$BC813&lt;OP!$C$3,0,BD813-BC813)</f>
        <v>1</v>
      </c>
      <c r="BG813" s="468">
        <f ca="1">IF($BE813&gt;DATE(YEAR($BD$9)+OP!$C$57,MONTH($BD$9),DAY($BD$9)),0,$BE813-$BD813+1)</f>
        <v>29</v>
      </c>
      <c r="BH813" s="469">
        <f t="shared" ca="1" si="538"/>
        <v>30</v>
      </c>
      <c r="BI813">
        <f t="shared" ca="1" si="554"/>
        <v>366</v>
      </c>
      <c r="BJ813">
        <v>12</v>
      </c>
      <c r="BN813" s="468">
        <f t="shared" si="550"/>
        <v>67</v>
      </c>
      <c r="BO813" s="468">
        <f t="shared" si="551"/>
        <v>12</v>
      </c>
      <c r="BP813" s="467">
        <f t="shared" ca="1" si="539"/>
        <v>67360</v>
      </c>
      <c r="BQ813" s="475">
        <f t="shared" ca="1" si="553"/>
        <v>99</v>
      </c>
      <c r="BR813" s="475">
        <f t="shared" si="552"/>
        <v>67</v>
      </c>
      <c r="BS813" s="471">
        <f t="shared" ca="1" si="540"/>
        <v>22803</v>
      </c>
      <c r="BT813" s="472">
        <f t="shared" ca="1" si="555"/>
        <v>1817206</v>
      </c>
      <c r="BU813" s="472">
        <f t="shared" ca="1" si="541"/>
        <v>22278</v>
      </c>
      <c r="BV813" s="472">
        <f t="shared" ca="1" si="541"/>
        <v>525</v>
      </c>
      <c r="BW813" s="472">
        <f ca="1">ROUND(SUM(BY813,BZ801:BZ812),0)</f>
        <v>47702</v>
      </c>
      <c r="BX813" s="473">
        <f t="shared" ca="1" si="542"/>
        <v>1817206.6275188101</v>
      </c>
      <c r="BY813" s="473">
        <f t="shared" ca="1" si="543"/>
        <v>132.23528962699999</v>
      </c>
      <c r="BZ813" s="473">
        <f t="shared" ca="1" si="525"/>
        <v>3883.8435818930002</v>
      </c>
      <c r="CA813" s="476">
        <f t="shared" ca="1" si="544"/>
        <v>22278</v>
      </c>
      <c r="CB813" s="494">
        <f ca="1">IF(OR($Q812&lt;&gt;1,OP!$D$5+$BN813-1&lt;16,$BN813-1&lt;1),0,ROUND(ROUND(ROUND(((VLOOKUP($BN813-1,MORE_PV,5,0)/10000)*VLOOKUP($BN813,MORE_PV,$CB$5,0)),3)*VLOOKUP($BN813,more1,5,0),0)/$R812,0))</f>
        <v>525</v>
      </c>
      <c r="CC813" s="473">
        <f t="shared" ca="1" si="545"/>
        <v>0</v>
      </c>
      <c r="CD813" s="477"/>
    </row>
    <row r="814" spans="2:82" ht="16.5" hidden="1">
      <c r="B814" s="80"/>
      <c r="C814" s="80"/>
      <c r="D814" s="80"/>
      <c r="E814" s="80"/>
      <c r="F814" s="80"/>
      <c r="G814" s="80"/>
      <c r="H814" s="80"/>
      <c r="I814" s="80"/>
      <c r="J814" s="192">
        <f t="shared" si="526"/>
        <v>68</v>
      </c>
      <c r="K814" s="192">
        <f t="shared" si="527"/>
        <v>2</v>
      </c>
      <c r="L814" s="192" t="str">
        <f t="shared" si="522"/>
        <v/>
      </c>
      <c r="M814" s="216">
        <f t="shared" ca="1" si="528"/>
        <v>0</v>
      </c>
      <c r="N814" s="216"/>
      <c r="O814" s="216"/>
      <c r="P814" s="216"/>
      <c r="Q814" s="456" t="str">
        <f t="shared" ca="1" si="529"/>
        <v/>
      </c>
      <c r="R814" s="450">
        <f t="shared" ca="1" si="530"/>
        <v>1</v>
      </c>
      <c r="S814" s="191">
        <f t="shared" si="531"/>
        <v>68</v>
      </c>
      <c r="T814" s="191">
        <f t="shared" si="532"/>
        <v>2</v>
      </c>
      <c r="U814" s="191">
        <f ca="1">OP!$D$5+$S814-1</f>
        <v>100</v>
      </c>
      <c r="V814" s="191" t="str">
        <f t="shared" si="533"/>
        <v/>
      </c>
      <c r="W814" s="350">
        <f ca="1">IF(Q814&lt;&gt;1,0,VLOOKUP(OP!$C$55,PVFB,$S814+2,0))</f>
        <v>0</v>
      </c>
      <c r="X814" s="473">
        <f t="shared" ca="1" si="546"/>
        <v>0</v>
      </c>
      <c r="Y814" s="348">
        <f t="shared" ca="1" si="547"/>
        <v>0</v>
      </c>
      <c r="Z814" s="348">
        <f t="shared" ca="1" si="548"/>
        <v>8012</v>
      </c>
      <c r="AA814" s="348">
        <f ca="1">IF(Q814&lt;&gt;1,0,VLOOKUP(OP!$C$55,PVFB,$S814+2,0))</f>
        <v>0</v>
      </c>
      <c r="AB814" s="488" t="str">
        <f ca="1">IF(AND(S814&lt;OP!$C$24,$U814&lt;15),0,IF(AND($U814&lt;15,$T814=12),ROUND(VLOOKUP($S814,DOWN16,5,0),3),IF($T814=12,ROUND(($Z814/10000)*$AA814,3)+IF(AND($P$7="購買增額繳清保險",T814=12,U814=110),VLOOKUP(S814,$B$10:$H$121,7,0),0),"")))</f>
        <v/>
      </c>
      <c r="AC814" s="350" t="str">
        <f ca="1">IF(AND(S814&lt;OP!$C$24,$U814&lt;15),0,IF(AND($U814&lt;16,$T814=12),VLOOKUP($S814,DOWN16,4,0),IF($T814=12,ROUND(VLOOKUP(OP!$C$55,_DIE2,$S814+1,0)*(Z814/10000),0)+IF(AND($P$7="購買增額繳清保險",T814=12,U814=110),VLOOKUP(S814,$B$10:$H$121,7,0),0),"")))</f>
        <v/>
      </c>
      <c r="AD814" s="347"/>
      <c r="AE814" s="350" t="str">
        <f t="shared" ca="1" si="523"/>
        <v/>
      </c>
      <c r="AF814" s="351" t="str">
        <f t="shared" ca="1" si="524"/>
        <v/>
      </c>
      <c r="AG814" s="340"/>
      <c r="AH814" s="340"/>
      <c r="AI814" s="340"/>
      <c r="AJ814" s="340"/>
      <c r="AK814" s="340"/>
      <c r="AL814" s="340"/>
      <c r="AM814" s="340"/>
      <c r="AN814" s="340"/>
      <c r="AO814" s="340"/>
      <c r="AP814" s="340"/>
      <c r="AQ814" s="340"/>
      <c r="AR814" s="340"/>
      <c r="AS814" s="340"/>
      <c r="AT814" s="340"/>
      <c r="AU814" s="340"/>
      <c r="AV814" s="340"/>
      <c r="AY814" s="340"/>
      <c r="AZ814" s="465">
        <f t="shared" ca="1" si="534"/>
        <v>7.3698599999999999E-5</v>
      </c>
      <c r="BA814" s="464">
        <f t="shared" ca="1" si="535"/>
        <v>2.2109589000000002E-3</v>
      </c>
      <c r="BB814" s="465">
        <f t="shared" ca="1" si="535"/>
        <v>2.2846575E-3</v>
      </c>
      <c r="BC814" s="466">
        <f t="shared" ca="1" si="536"/>
        <v>67389</v>
      </c>
      <c r="BD814" s="467">
        <f t="shared" ca="1" si="549"/>
        <v>67390</v>
      </c>
      <c r="BE814" s="467">
        <f t="shared" ca="1" si="537"/>
        <v>67419</v>
      </c>
      <c r="BF814" s="468">
        <f ca="1">IF(計算!$BC814&lt;OP!$C$3,0,BD814-BC814)</f>
        <v>1</v>
      </c>
      <c r="BG814" s="468">
        <f ca="1">IF($BE814&gt;DATE(YEAR($BD$9)+OP!$C$57,MONTH($BD$9),DAY($BD$9)),0,$BE814-$BD814+1)</f>
        <v>30</v>
      </c>
      <c r="BH814" s="469">
        <f t="shared" ca="1" si="538"/>
        <v>31</v>
      </c>
      <c r="BI814" t="str">
        <f t="shared" si="554"/>
        <v/>
      </c>
      <c r="BJ814">
        <v>1</v>
      </c>
      <c r="BN814" s="468">
        <f t="shared" si="550"/>
        <v>68</v>
      </c>
      <c r="BO814" s="468">
        <f t="shared" si="551"/>
        <v>1</v>
      </c>
      <c r="BP814" s="467">
        <f t="shared" ca="1" si="539"/>
        <v>67390</v>
      </c>
      <c r="BQ814" s="475">
        <f t="shared" ca="1" si="553"/>
        <v>100</v>
      </c>
      <c r="BR814" s="475" t="str">
        <f t="shared" si="552"/>
        <v/>
      </c>
      <c r="BS814" s="471" t="str">
        <f t="shared" si="540"/>
        <v/>
      </c>
      <c r="BT814" s="472" t="str">
        <f t="shared" si="555"/>
        <v/>
      </c>
      <c r="BU814" s="472">
        <f t="shared" ca="1" si="541"/>
        <v>0</v>
      </c>
      <c r="BV814" s="472">
        <f t="shared" ca="1" si="541"/>
        <v>0</v>
      </c>
      <c r="BW814" s="472"/>
      <c r="BX814" s="473">
        <f t="shared" ca="1" si="542"/>
        <v>1821090.4711007001</v>
      </c>
      <c r="BY814" s="473">
        <f t="shared" si="543"/>
        <v>0</v>
      </c>
      <c r="BZ814" s="473">
        <f t="shared" ca="1" si="525"/>
        <v>4160.5680029790001</v>
      </c>
      <c r="CA814" s="476">
        <f t="shared" ca="1" si="544"/>
        <v>0</v>
      </c>
      <c r="CB814" s="494">
        <f ca="1">IF(OR($Q813&lt;&gt;1,OP!$D$5+$BN814-1&lt;16,$BN814-1&lt;1),0,ROUND(ROUND(ROUND(((VLOOKUP($BN814-1,MORE_PV,5,0)/10000)*VLOOKUP($BN814,MORE_PV,$CB$5,0)),3)*VLOOKUP($BN814,more1,5,0),0)/$R813,0))</f>
        <v>0</v>
      </c>
      <c r="CC814" s="473">
        <f t="shared" ca="1" si="545"/>
        <v>0</v>
      </c>
      <c r="CD814" s="477"/>
    </row>
    <row r="815" spans="2:82" ht="16.5" hidden="1">
      <c r="B815" s="80"/>
      <c r="C815" s="80"/>
      <c r="D815" s="80"/>
      <c r="E815" s="80"/>
      <c r="F815" s="80"/>
      <c r="G815" s="80"/>
      <c r="H815" s="80"/>
      <c r="I815" s="80"/>
      <c r="J815" s="192">
        <f t="shared" si="526"/>
        <v>68</v>
      </c>
      <c r="K815" s="192">
        <f t="shared" si="527"/>
        <v>3</v>
      </c>
      <c r="L815" s="192" t="str">
        <f t="shared" si="522"/>
        <v/>
      </c>
      <c r="M815" s="216">
        <f t="shared" ca="1" si="528"/>
        <v>0</v>
      </c>
      <c r="N815" s="216"/>
      <c r="O815" s="216"/>
      <c r="P815" s="216"/>
      <c r="Q815" s="456" t="str">
        <f t="shared" ca="1" si="529"/>
        <v/>
      </c>
      <c r="R815" s="450">
        <f t="shared" ca="1" si="530"/>
        <v>1</v>
      </c>
      <c r="S815" s="191">
        <f t="shared" si="531"/>
        <v>68</v>
      </c>
      <c r="T815" s="191">
        <f t="shared" si="532"/>
        <v>3</v>
      </c>
      <c r="U815" s="191">
        <f ca="1">OP!$D$5+$S815-1</f>
        <v>100</v>
      </c>
      <c r="V815" s="191" t="str">
        <f t="shared" si="533"/>
        <v/>
      </c>
      <c r="W815" s="350">
        <f ca="1">IF(Q815&lt;&gt;1,0,VLOOKUP(OP!$C$55,PVFB,$S815+2,0))</f>
        <v>0</v>
      </c>
      <c r="X815" s="473">
        <f t="shared" ca="1" si="546"/>
        <v>0</v>
      </c>
      <c r="Y815" s="348">
        <f t="shared" ca="1" si="547"/>
        <v>0</v>
      </c>
      <c r="Z815" s="348">
        <f t="shared" ca="1" si="548"/>
        <v>8012</v>
      </c>
      <c r="AA815" s="348">
        <f ca="1">IF(Q815&lt;&gt;1,0,VLOOKUP(OP!$C$55,PVFB,$S815+2,0))</f>
        <v>0</v>
      </c>
      <c r="AB815" s="488" t="str">
        <f ca="1">IF(AND(S815&lt;OP!$C$24,$U815&lt;15),0,IF(AND($U815&lt;15,$T815=12),ROUND(VLOOKUP($S815,DOWN16,5,0),3),IF($T815=12,ROUND(($Z815/10000)*$AA815,3)+IF(AND($P$7="購買增額繳清保險",T815=12,U815=110),VLOOKUP(S815,$B$10:$H$121,7,0),0),"")))</f>
        <v/>
      </c>
      <c r="AC815" s="350" t="str">
        <f ca="1">IF(AND(S815&lt;OP!$C$24,$U815&lt;15),0,IF(AND($U815&lt;16,$T815=12),VLOOKUP($S815,DOWN16,4,0),IF($T815=12,ROUND(VLOOKUP(OP!$C$55,_DIE2,$S815+1,0)*(Z815/10000),0)+IF(AND($P$7="購買增額繳清保險",T815=12,U815=110),VLOOKUP(S815,$B$10:$H$121,7,0),0),"")))</f>
        <v/>
      </c>
      <c r="AD815" s="347"/>
      <c r="AE815" s="350" t="str">
        <f t="shared" ca="1" si="523"/>
        <v/>
      </c>
      <c r="AF815" s="351" t="str">
        <f t="shared" ca="1" si="524"/>
        <v/>
      </c>
      <c r="AG815" s="340"/>
      <c r="AH815" s="340"/>
      <c r="AI815" s="340"/>
      <c r="AJ815" s="340"/>
      <c r="AK815" s="340"/>
      <c r="AL815" s="340"/>
      <c r="AM815" s="340"/>
      <c r="AN815" s="340"/>
      <c r="AO815" s="340"/>
      <c r="AP815" s="340"/>
      <c r="AQ815" s="340"/>
      <c r="AR815" s="340"/>
      <c r="AS815" s="340"/>
      <c r="AT815" s="340"/>
      <c r="AU815" s="340"/>
      <c r="AV815" s="340"/>
      <c r="AY815" s="340"/>
      <c r="AZ815" s="465">
        <f t="shared" ca="1" si="534"/>
        <v>7.3698599999999999E-5</v>
      </c>
      <c r="BA815" s="464">
        <f t="shared" ca="1" si="535"/>
        <v>2.2109589000000002E-3</v>
      </c>
      <c r="BB815" s="465">
        <f t="shared" ca="1" si="535"/>
        <v>2.2846575E-3</v>
      </c>
      <c r="BC815" s="466">
        <f t="shared" ca="1" si="536"/>
        <v>67420</v>
      </c>
      <c r="BD815" s="467">
        <f t="shared" ca="1" si="549"/>
        <v>67421</v>
      </c>
      <c r="BE815" s="467">
        <f t="shared" ca="1" si="537"/>
        <v>67450</v>
      </c>
      <c r="BF815" s="468">
        <f ca="1">IF(計算!$BC815&lt;OP!$C$3,0,BD815-BC815)</f>
        <v>1</v>
      </c>
      <c r="BG815" s="468">
        <f ca="1">IF($BE815&gt;DATE(YEAR($BD$9)+OP!$C$57,MONTH($BD$9),DAY($BD$9)),0,$BE815-$BD815+1)</f>
        <v>30</v>
      </c>
      <c r="BH815" s="469">
        <f t="shared" ca="1" si="538"/>
        <v>31</v>
      </c>
      <c r="BI815" t="str">
        <f t="shared" si="554"/>
        <v/>
      </c>
      <c r="BJ815">
        <v>2</v>
      </c>
      <c r="BN815" s="468">
        <f t="shared" si="550"/>
        <v>68</v>
      </c>
      <c r="BO815" s="468">
        <f t="shared" si="551"/>
        <v>2</v>
      </c>
      <c r="BP815" s="467">
        <f t="shared" ca="1" si="539"/>
        <v>67421</v>
      </c>
      <c r="BQ815" s="475">
        <f t="shared" ca="1" si="553"/>
        <v>100</v>
      </c>
      <c r="BR815" s="475" t="str">
        <f t="shared" si="552"/>
        <v/>
      </c>
      <c r="BS815" s="471" t="str">
        <f t="shared" si="540"/>
        <v/>
      </c>
      <c r="BT815" s="472" t="str">
        <f t="shared" si="555"/>
        <v/>
      </c>
      <c r="BU815" s="472">
        <f t="shared" ca="1" si="541"/>
        <v>0</v>
      </c>
      <c r="BV815" s="472">
        <f t="shared" ca="1" si="541"/>
        <v>0</v>
      </c>
      <c r="BW815" s="472"/>
      <c r="BX815" s="473">
        <f t="shared" ca="1" si="542"/>
        <v>1825251.0391036801</v>
      </c>
      <c r="BY815" s="473">
        <f t="shared" si="543"/>
        <v>0</v>
      </c>
      <c r="BZ815" s="473">
        <f t="shared" ca="1" si="525"/>
        <v>4170.0734758709996</v>
      </c>
      <c r="CA815" s="476">
        <f t="shared" ca="1" si="544"/>
        <v>0</v>
      </c>
      <c r="CB815" s="494">
        <f ca="1">IF(OR($Q814&lt;&gt;1,OP!$D$5+$BN815-1&lt;16,$BN815-1&lt;1),0,ROUND(ROUND(ROUND(((VLOOKUP($BN815-1,MORE_PV,5,0)/10000)*VLOOKUP($BN815,MORE_PV,$CB$5,0)),3)*VLOOKUP($BN815,more1,5,0),0)/$R814,0))</f>
        <v>0</v>
      </c>
      <c r="CC815" s="473">
        <f t="shared" ca="1" si="545"/>
        <v>0</v>
      </c>
      <c r="CD815" s="477"/>
    </row>
    <row r="816" spans="2:82" ht="16.5" hidden="1">
      <c r="B816" s="80"/>
      <c r="C816" s="80"/>
      <c r="D816" s="80"/>
      <c r="E816" s="80"/>
      <c r="F816" s="80"/>
      <c r="G816" s="80"/>
      <c r="H816" s="80"/>
      <c r="I816" s="80"/>
      <c r="J816" s="192">
        <f t="shared" si="526"/>
        <v>68</v>
      </c>
      <c r="K816" s="192">
        <f t="shared" si="527"/>
        <v>4</v>
      </c>
      <c r="L816" s="192" t="str">
        <f t="shared" si="522"/>
        <v/>
      </c>
      <c r="M816" s="216">
        <f t="shared" ca="1" si="528"/>
        <v>0</v>
      </c>
      <c r="N816" s="216"/>
      <c r="O816" s="216"/>
      <c r="P816" s="216"/>
      <c r="Q816" s="456" t="str">
        <f t="shared" ca="1" si="529"/>
        <v/>
      </c>
      <c r="R816" s="450">
        <f t="shared" ca="1" si="530"/>
        <v>1</v>
      </c>
      <c r="S816" s="191">
        <f t="shared" si="531"/>
        <v>68</v>
      </c>
      <c r="T816" s="191">
        <f t="shared" si="532"/>
        <v>4</v>
      </c>
      <c r="U816" s="191">
        <f ca="1">OP!$D$5+$S816-1</f>
        <v>100</v>
      </c>
      <c r="V816" s="191" t="str">
        <f t="shared" si="533"/>
        <v/>
      </c>
      <c r="W816" s="350">
        <f ca="1">IF(Q816&lt;&gt;1,0,VLOOKUP(OP!$C$55,PVFB,$S816+2,0))</f>
        <v>0</v>
      </c>
      <c r="X816" s="473">
        <f t="shared" ca="1" si="546"/>
        <v>0</v>
      </c>
      <c r="Y816" s="348">
        <f t="shared" ca="1" si="547"/>
        <v>0</v>
      </c>
      <c r="Z816" s="348">
        <f t="shared" ca="1" si="548"/>
        <v>8012</v>
      </c>
      <c r="AA816" s="348">
        <f ca="1">IF(Q816&lt;&gt;1,0,VLOOKUP(OP!$C$55,PVFB,$S816+2,0))</f>
        <v>0</v>
      </c>
      <c r="AB816" s="488" t="str">
        <f ca="1">IF(AND(S816&lt;OP!$C$24,$U816&lt;15),0,IF(AND($U816&lt;15,$T816=12),ROUND(VLOOKUP($S816,DOWN16,5,0),3),IF($T816=12,ROUND(($Z816/10000)*$AA816,3)+IF(AND($P$7="購買增額繳清保險",T816=12,U816=110),VLOOKUP(S816,$B$10:$H$121,7,0),0),"")))</f>
        <v/>
      </c>
      <c r="AC816" s="350" t="str">
        <f ca="1">IF(AND(S816&lt;OP!$C$24,$U816&lt;15),0,IF(AND($U816&lt;16,$T816=12),VLOOKUP($S816,DOWN16,4,0),IF($T816=12,ROUND(VLOOKUP(OP!$C$55,_DIE2,$S816+1,0)*(Z816/10000),0)+IF(AND($P$7="購買增額繳清保險",T816=12,U816=110),VLOOKUP(S816,$B$10:$H$121,7,0),0),"")))</f>
        <v/>
      </c>
      <c r="AD816" s="347"/>
      <c r="AE816" s="350" t="str">
        <f t="shared" ca="1" si="523"/>
        <v/>
      </c>
      <c r="AF816" s="351" t="str">
        <f t="shared" ca="1" si="524"/>
        <v/>
      </c>
      <c r="AG816" s="340"/>
      <c r="AH816" s="340"/>
      <c r="AI816" s="340"/>
      <c r="AJ816" s="340"/>
      <c r="AK816" s="340"/>
      <c r="AL816" s="340"/>
      <c r="AM816" s="340"/>
      <c r="AN816" s="340"/>
      <c r="AO816" s="340"/>
      <c r="AP816" s="340"/>
      <c r="AQ816" s="340"/>
      <c r="AR816" s="340"/>
      <c r="AS816" s="340"/>
      <c r="AT816" s="340"/>
      <c r="AU816" s="340"/>
      <c r="AV816" s="340"/>
      <c r="AY816" s="340"/>
      <c r="AZ816" s="465">
        <f t="shared" ca="1" si="534"/>
        <v>7.3698599999999999E-5</v>
      </c>
      <c r="BA816" s="464">
        <f t="shared" ca="1" si="535"/>
        <v>2.1372602999999999E-3</v>
      </c>
      <c r="BB816" s="465">
        <f t="shared" ca="1" si="535"/>
        <v>2.2109589000000002E-3</v>
      </c>
      <c r="BC816" s="466">
        <f t="shared" ca="1" si="536"/>
        <v>67451</v>
      </c>
      <c r="BD816" s="467">
        <f t="shared" ca="1" si="549"/>
        <v>67452</v>
      </c>
      <c r="BE816" s="467">
        <f t="shared" ca="1" si="537"/>
        <v>67480</v>
      </c>
      <c r="BF816" s="468">
        <f ca="1">IF(計算!$BC816&lt;OP!$C$3,0,BD816-BC816)</f>
        <v>1</v>
      </c>
      <c r="BG816" s="468">
        <f ca="1">IF($BE816&gt;DATE(YEAR($BD$9)+OP!$C$57,MONTH($BD$9),DAY($BD$9)),0,$BE816-$BD816+1)</f>
        <v>29</v>
      </c>
      <c r="BH816" s="469">
        <f t="shared" ca="1" si="538"/>
        <v>30</v>
      </c>
      <c r="BI816" t="str">
        <f t="shared" si="554"/>
        <v/>
      </c>
      <c r="BJ816">
        <v>3</v>
      </c>
      <c r="BN816" s="468">
        <f t="shared" si="550"/>
        <v>68</v>
      </c>
      <c r="BO816" s="468">
        <f t="shared" si="551"/>
        <v>3</v>
      </c>
      <c r="BP816" s="467">
        <f t="shared" ca="1" si="539"/>
        <v>67452</v>
      </c>
      <c r="BQ816" s="475">
        <f t="shared" ca="1" si="553"/>
        <v>100</v>
      </c>
      <c r="BR816" s="475" t="str">
        <f t="shared" si="552"/>
        <v/>
      </c>
      <c r="BS816" s="471" t="str">
        <f t="shared" si="540"/>
        <v/>
      </c>
      <c r="BT816" s="472" t="str">
        <f t="shared" si="555"/>
        <v/>
      </c>
      <c r="BU816" s="472">
        <f t="shared" ca="1" si="541"/>
        <v>0</v>
      </c>
      <c r="BV816" s="472">
        <f t="shared" ca="1" si="541"/>
        <v>0</v>
      </c>
      <c r="BW816" s="472"/>
      <c r="BX816" s="473">
        <f t="shared" ca="1" si="542"/>
        <v>1829421.1125795499</v>
      </c>
      <c r="BY816" s="473">
        <f t="shared" si="543"/>
        <v>0</v>
      </c>
      <c r="BZ816" s="473">
        <f t="shared" ca="1" si="525"/>
        <v>4044.774890706</v>
      </c>
      <c r="CA816" s="476">
        <f t="shared" ca="1" si="544"/>
        <v>0</v>
      </c>
      <c r="CB816" s="494">
        <f ca="1">IF(OR($Q815&lt;&gt;1,OP!$D$5+$BN816-1&lt;16,$BN816-1&lt;1),0,ROUND(ROUND(ROUND(((VLOOKUP($BN816-1,MORE_PV,5,0)/10000)*VLOOKUP($BN816,MORE_PV,$CB$5,0)),3)*VLOOKUP($BN816,more1,5,0),0)/$R815,0))</f>
        <v>0</v>
      </c>
      <c r="CC816" s="473">
        <f t="shared" ca="1" si="545"/>
        <v>0</v>
      </c>
      <c r="CD816" s="477"/>
    </row>
    <row r="817" spans="2:82" ht="16.5" hidden="1">
      <c r="B817" s="80"/>
      <c r="C817" s="80"/>
      <c r="D817" s="80"/>
      <c r="E817" s="80"/>
      <c r="F817" s="80"/>
      <c r="G817" s="80"/>
      <c r="H817" s="80"/>
      <c r="I817" s="80"/>
      <c r="J817" s="192">
        <f t="shared" si="526"/>
        <v>68</v>
      </c>
      <c r="K817" s="192">
        <f t="shared" si="527"/>
        <v>5</v>
      </c>
      <c r="L817" s="192" t="str">
        <f t="shared" si="522"/>
        <v/>
      </c>
      <c r="M817" s="216">
        <f t="shared" ca="1" si="528"/>
        <v>0</v>
      </c>
      <c r="N817" s="216"/>
      <c r="O817" s="216"/>
      <c r="P817" s="216"/>
      <c r="Q817" s="456" t="str">
        <f t="shared" ca="1" si="529"/>
        <v/>
      </c>
      <c r="R817" s="450">
        <f t="shared" ca="1" si="530"/>
        <v>1</v>
      </c>
      <c r="S817" s="191">
        <f t="shared" si="531"/>
        <v>68</v>
      </c>
      <c r="T817" s="191">
        <f t="shared" si="532"/>
        <v>5</v>
      </c>
      <c r="U817" s="191">
        <f ca="1">OP!$D$5+$S817-1</f>
        <v>100</v>
      </c>
      <c r="V817" s="191" t="str">
        <f t="shared" si="533"/>
        <v/>
      </c>
      <c r="W817" s="350">
        <f ca="1">IF(Q817&lt;&gt;1,0,VLOOKUP(OP!$C$55,PVFB,$S817+2,0))</f>
        <v>0</v>
      </c>
      <c r="X817" s="473">
        <f t="shared" ca="1" si="546"/>
        <v>0</v>
      </c>
      <c r="Y817" s="348">
        <f t="shared" ca="1" si="547"/>
        <v>0</v>
      </c>
      <c r="Z817" s="348">
        <f t="shared" ca="1" si="548"/>
        <v>8012</v>
      </c>
      <c r="AA817" s="348">
        <f ca="1">IF(Q817&lt;&gt;1,0,VLOOKUP(OP!$C$55,PVFB,$S817+2,0))</f>
        <v>0</v>
      </c>
      <c r="AB817" s="488" t="str">
        <f ca="1">IF(AND(S817&lt;OP!$C$24,$U817&lt;15),0,IF(AND($U817&lt;15,$T817=12),ROUND(VLOOKUP($S817,DOWN16,5,0),3),IF($T817=12,ROUND(($Z817/10000)*$AA817,3)+IF(AND($P$7="購買增額繳清保險",T817=12,U817=110),VLOOKUP(S817,$B$10:$H$121,7,0),0),"")))</f>
        <v/>
      </c>
      <c r="AC817" s="350" t="str">
        <f ca="1">IF(AND(S817&lt;OP!$C$24,$U817&lt;15),0,IF(AND($U817&lt;16,$T817=12),VLOOKUP($S817,DOWN16,4,0),IF($T817=12,ROUND(VLOOKUP(OP!$C$55,_DIE2,$S817+1,0)*(Z817/10000),0)+IF(AND($P$7="購買增額繳清保險",T817=12,U817=110),VLOOKUP(S817,$B$10:$H$121,7,0),0),"")))</f>
        <v/>
      </c>
      <c r="AD817" s="347"/>
      <c r="AE817" s="350" t="str">
        <f t="shared" ca="1" si="523"/>
        <v/>
      </c>
      <c r="AF817" s="351" t="str">
        <f t="shared" ca="1" si="524"/>
        <v/>
      </c>
      <c r="AG817" s="340"/>
      <c r="AH817" s="340"/>
      <c r="AI817" s="340"/>
      <c r="AJ817" s="340"/>
      <c r="AK817" s="340"/>
      <c r="AL817" s="340"/>
      <c r="AM817" s="340"/>
      <c r="AN817" s="340"/>
      <c r="AO817" s="340"/>
      <c r="AP817" s="340"/>
      <c r="AQ817" s="340"/>
      <c r="AR817" s="340"/>
      <c r="AS817" s="340"/>
      <c r="AT817" s="340"/>
      <c r="AU817" s="340"/>
      <c r="AV817" s="340"/>
      <c r="AY817" s="340"/>
      <c r="AZ817" s="465">
        <f t="shared" ca="1" si="534"/>
        <v>7.3698599999999999E-5</v>
      </c>
      <c r="BA817" s="464">
        <f t="shared" ca="1" si="535"/>
        <v>2.2109589000000002E-3</v>
      </c>
      <c r="BB817" s="465">
        <f t="shared" ca="1" si="535"/>
        <v>2.2846575E-3</v>
      </c>
      <c r="BC817" s="466">
        <f t="shared" ca="1" si="536"/>
        <v>67481</v>
      </c>
      <c r="BD817" s="467">
        <f t="shared" ca="1" si="549"/>
        <v>67482</v>
      </c>
      <c r="BE817" s="467">
        <f t="shared" ca="1" si="537"/>
        <v>67511</v>
      </c>
      <c r="BF817" s="468">
        <f ca="1">IF(計算!$BC817&lt;OP!$C$3,0,BD817-BC817)</f>
        <v>1</v>
      </c>
      <c r="BG817" s="468">
        <f ca="1">IF($BE817&gt;DATE(YEAR($BD$9)+OP!$C$57,MONTH($BD$9),DAY($BD$9)),0,$BE817-$BD817+1)</f>
        <v>30</v>
      </c>
      <c r="BH817" s="469">
        <f t="shared" ca="1" si="538"/>
        <v>31</v>
      </c>
      <c r="BI817" t="str">
        <f t="shared" si="554"/>
        <v/>
      </c>
      <c r="BJ817">
        <v>4</v>
      </c>
      <c r="BN817" s="468">
        <f t="shared" si="550"/>
        <v>68</v>
      </c>
      <c r="BO817" s="468">
        <f t="shared" si="551"/>
        <v>4</v>
      </c>
      <c r="BP817" s="467">
        <f t="shared" ca="1" si="539"/>
        <v>67482</v>
      </c>
      <c r="BQ817" s="475">
        <f t="shared" ca="1" si="553"/>
        <v>100</v>
      </c>
      <c r="BR817" s="475" t="str">
        <f t="shared" si="552"/>
        <v/>
      </c>
      <c r="BS817" s="471" t="str">
        <f t="shared" si="540"/>
        <v/>
      </c>
      <c r="BT817" s="472" t="str">
        <f t="shared" si="555"/>
        <v/>
      </c>
      <c r="BU817" s="472">
        <f t="shared" ca="1" si="541"/>
        <v>0</v>
      </c>
      <c r="BV817" s="472">
        <f t="shared" ca="1" si="541"/>
        <v>0</v>
      </c>
      <c r="BW817" s="472"/>
      <c r="BX817" s="473">
        <f t="shared" ca="1" si="542"/>
        <v>1833465.88747026</v>
      </c>
      <c r="BY817" s="473">
        <f t="shared" si="543"/>
        <v>0</v>
      </c>
      <c r="BZ817" s="473">
        <f t="shared" ca="1" si="525"/>
        <v>4188.8415908030001</v>
      </c>
      <c r="CA817" s="476">
        <f t="shared" ca="1" si="544"/>
        <v>0</v>
      </c>
      <c r="CB817" s="494">
        <f ca="1">IF(OR($Q816&lt;&gt;1,OP!$D$5+$BN817-1&lt;16,$BN817-1&lt;1),0,ROUND(ROUND(ROUND(((VLOOKUP($BN817-1,MORE_PV,5,0)/10000)*VLOOKUP($BN817,MORE_PV,$CB$5,0)),3)*VLOOKUP($BN817,more1,5,0),0)/$R816,0))</f>
        <v>0</v>
      </c>
      <c r="CC817" s="473">
        <f t="shared" ca="1" si="545"/>
        <v>0</v>
      </c>
      <c r="CD817" s="477"/>
    </row>
    <row r="818" spans="2:82" ht="16.5" hidden="1">
      <c r="B818" s="80"/>
      <c r="C818" s="80"/>
      <c r="D818" s="80"/>
      <c r="E818" s="80"/>
      <c r="F818" s="80"/>
      <c r="G818" s="80"/>
      <c r="H818" s="80"/>
      <c r="I818" s="80"/>
      <c r="J818" s="192">
        <f t="shared" si="526"/>
        <v>68</v>
      </c>
      <c r="K818" s="192">
        <f t="shared" si="527"/>
        <v>6</v>
      </c>
      <c r="L818" s="192" t="str">
        <f t="shared" si="522"/>
        <v/>
      </c>
      <c r="M818" s="216">
        <f t="shared" ca="1" si="528"/>
        <v>0</v>
      </c>
      <c r="N818" s="216"/>
      <c r="O818" s="216"/>
      <c r="P818" s="216"/>
      <c r="Q818" s="456" t="str">
        <f t="shared" ca="1" si="529"/>
        <v/>
      </c>
      <c r="R818" s="450">
        <f t="shared" ca="1" si="530"/>
        <v>1</v>
      </c>
      <c r="S818" s="191">
        <f t="shared" si="531"/>
        <v>68</v>
      </c>
      <c r="T818" s="191">
        <f t="shared" si="532"/>
        <v>6</v>
      </c>
      <c r="U818" s="191">
        <f ca="1">OP!$D$5+$S818-1</f>
        <v>100</v>
      </c>
      <c r="V818" s="191" t="str">
        <f t="shared" si="533"/>
        <v/>
      </c>
      <c r="W818" s="350">
        <f ca="1">IF(Q818&lt;&gt;1,0,VLOOKUP(OP!$C$55,PVFB,$S818+2,0))</f>
        <v>0</v>
      </c>
      <c r="X818" s="473">
        <f t="shared" ca="1" si="546"/>
        <v>0</v>
      </c>
      <c r="Y818" s="348">
        <f t="shared" ca="1" si="547"/>
        <v>0</v>
      </c>
      <c r="Z818" s="348">
        <f t="shared" ca="1" si="548"/>
        <v>8012</v>
      </c>
      <c r="AA818" s="348">
        <f ca="1">IF(Q818&lt;&gt;1,0,VLOOKUP(OP!$C$55,PVFB,$S818+2,0))</f>
        <v>0</v>
      </c>
      <c r="AB818" s="488" t="str">
        <f ca="1">IF(AND(S818&lt;OP!$C$24,$U818&lt;15),0,IF(AND($U818&lt;15,$T818=12),ROUND(VLOOKUP($S818,DOWN16,5,0),3),IF($T818=12,ROUND(($Z818/10000)*$AA818,3)+IF(AND($P$7="購買增額繳清保險",T818=12,U818=110),VLOOKUP(S818,$B$10:$H$121,7,0),0),"")))</f>
        <v/>
      </c>
      <c r="AC818" s="350" t="str">
        <f ca="1">IF(AND(S818&lt;OP!$C$24,$U818&lt;15),0,IF(AND($U818&lt;16,$T818=12),VLOOKUP($S818,DOWN16,4,0),IF($T818=12,ROUND(VLOOKUP(OP!$C$55,_DIE2,$S818+1,0)*(Z818/10000),0)+IF(AND($P$7="購買增額繳清保險",T818=12,U818=110),VLOOKUP(S818,$B$10:$H$121,7,0),0),"")))</f>
        <v/>
      </c>
      <c r="AD818" s="347"/>
      <c r="AE818" s="350" t="str">
        <f t="shared" ca="1" si="523"/>
        <v/>
      </c>
      <c r="AF818" s="351" t="str">
        <f t="shared" ca="1" si="524"/>
        <v/>
      </c>
      <c r="AG818" s="340"/>
      <c r="AH818" s="340"/>
      <c r="AI818" s="340"/>
      <c r="AJ818" s="340"/>
      <c r="AK818" s="340"/>
      <c r="AL818" s="340"/>
      <c r="AM818" s="340"/>
      <c r="AN818" s="340"/>
      <c r="AO818" s="340"/>
      <c r="AP818" s="340"/>
      <c r="AQ818" s="340"/>
      <c r="AR818" s="340"/>
      <c r="AS818" s="340"/>
      <c r="AT818" s="340"/>
      <c r="AU818" s="340"/>
      <c r="AV818" s="340"/>
      <c r="AY818" s="340"/>
      <c r="AZ818" s="465">
        <f t="shared" ca="1" si="534"/>
        <v>7.3698599999999999E-5</v>
      </c>
      <c r="BA818" s="464">
        <f t="shared" ca="1" si="535"/>
        <v>2.1372602999999999E-3</v>
      </c>
      <c r="BB818" s="465">
        <f t="shared" ca="1" si="535"/>
        <v>2.2109589000000002E-3</v>
      </c>
      <c r="BC818" s="466">
        <f t="shared" ca="1" si="536"/>
        <v>67512</v>
      </c>
      <c r="BD818" s="467">
        <f t="shared" ca="1" si="549"/>
        <v>67513</v>
      </c>
      <c r="BE818" s="467">
        <f t="shared" ca="1" si="537"/>
        <v>67541</v>
      </c>
      <c r="BF818" s="468">
        <f ca="1">IF(計算!$BC818&lt;OP!$C$3,0,BD818-BC818)</f>
        <v>1</v>
      </c>
      <c r="BG818" s="468">
        <f ca="1">IF($BE818&gt;DATE(YEAR($BD$9)+OP!$C$57,MONTH($BD$9),DAY($BD$9)),0,$BE818-$BD818+1)</f>
        <v>29</v>
      </c>
      <c r="BH818" s="469">
        <f t="shared" ca="1" si="538"/>
        <v>30</v>
      </c>
      <c r="BI818" t="str">
        <f t="shared" si="554"/>
        <v/>
      </c>
      <c r="BJ818">
        <v>5</v>
      </c>
      <c r="BN818" s="468">
        <f t="shared" si="550"/>
        <v>68</v>
      </c>
      <c r="BO818" s="468">
        <f t="shared" si="551"/>
        <v>5</v>
      </c>
      <c r="BP818" s="467">
        <f t="shared" ca="1" si="539"/>
        <v>67513</v>
      </c>
      <c r="BQ818" s="475">
        <f t="shared" ca="1" si="553"/>
        <v>100</v>
      </c>
      <c r="BR818" s="475" t="str">
        <f t="shared" si="552"/>
        <v/>
      </c>
      <c r="BS818" s="471" t="str">
        <f t="shared" si="540"/>
        <v/>
      </c>
      <c r="BT818" s="472" t="str">
        <f t="shared" si="555"/>
        <v/>
      </c>
      <c r="BU818" s="472">
        <f t="shared" ca="1" si="541"/>
        <v>0</v>
      </c>
      <c r="BV818" s="472">
        <f t="shared" ca="1" si="541"/>
        <v>0</v>
      </c>
      <c r="BW818" s="472"/>
      <c r="BX818" s="473">
        <f t="shared" ca="1" si="542"/>
        <v>1837654.7290610599</v>
      </c>
      <c r="BY818" s="473">
        <f t="shared" si="543"/>
        <v>0</v>
      </c>
      <c r="BZ818" s="473">
        <f t="shared" ca="1" si="525"/>
        <v>4062.9790783449998</v>
      </c>
      <c r="CA818" s="476">
        <f t="shared" ca="1" si="544"/>
        <v>0</v>
      </c>
      <c r="CB818" s="494">
        <f ca="1">IF(OR($Q817&lt;&gt;1,OP!$D$5+$BN818-1&lt;16,$BN818-1&lt;1),0,ROUND(ROUND(ROUND(((VLOOKUP($BN818-1,MORE_PV,5,0)/10000)*VLOOKUP($BN818,MORE_PV,$CB$5,0)),3)*VLOOKUP($BN818,more1,5,0),0)/$R817,0))</f>
        <v>0</v>
      </c>
      <c r="CC818" s="473">
        <f t="shared" ca="1" si="545"/>
        <v>0</v>
      </c>
      <c r="CD818" s="477"/>
    </row>
    <row r="819" spans="2:82" ht="16.5" hidden="1">
      <c r="B819" s="80"/>
      <c r="C819" s="80"/>
      <c r="D819" s="80"/>
      <c r="E819" s="80"/>
      <c r="F819" s="80"/>
      <c r="G819" s="80"/>
      <c r="H819" s="80"/>
      <c r="I819" s="80"/>
      <c r="J819" s="192">
        <f t="shared" si="526"/>
        <v>68</v>
      </c>
      <c r="K819" s="192">
        <f t="shared" si="527"/>
        <v>7</v>
      </c>
      <c r="L819" s="192" t="str">
        <f t="shared" si="522"/>
        <v/>
      </c>
      <c r="M819" s="216">
        <f t="shared" ca="1" si="528"/>
        <v>0</v>
      </c>
      <c r="N819" s="216"/>
      <c r="O819" s="216"/>
      <c r="P819" s="216"/>
      <c r="Q819" s="456" t="str">
        <f t="shared" ca="1" si="529"/>
        <v/>
      </c>
      <c r="R819" s="450">
        <f t="shared" ca="1" si="530"/>
        <v>1</v>
      </c>
      <c r="S819" s="191">
        <f t="shared" si="531"/>
        <v>68</v>
      </c>
      <c r="T819" s="191">
        <f t="shared" si="532"/>
        <v>7</v>
      </c>
      <c r="U819" s="191">
        <f ca="1">OP!$D$5+$S819-1</f>
        <v>100</v>
      </c>
      <c r="V819" s="191" t="str">
        <f t="shared" si="533"/>
        <v/>
      </c>
      <c r="W819" s="350">
        <f ca="1">IF(Q819&lt;&gt;1,0,VLOOKUP(OP!$C$55,PVFB,$S819+2,0))</f>
        <v>0</v>
      </c>
      <c r="X819" s="473">
        <f t="shared" ca="1" si="546"/>
        <v>0</v>
      </c>
      <c r="Y819" s="348">
        <f t="shared" ca="1" si="547"/>
        <v>0</v>
      </c>
      <c r="Z819" s="348">
        <f t="shared" ca="1" si="548"/>
        <v>8012</v>
      </c>
      <c r="AA819" s="348">
        <f ca="1">IF(Q819&lt;&gt;1,0,VLOOKUP(OP!$C$55,PVFB,$S819+2,0))</f>
        <v>0</v>
      </c>
      <c r="AB819" s="488" t="str">
        <f ca="1">IF(AND(S819&lt;OP!$C$24,$U819&lt;15),0,IF(AND($U819&lt;15,$T819=12),ROUND(VLOOKUP($S819,DOWN16,5,0),3),IF($T819=12,ROUND(($Z819/10000)*$AA819,3)+IF(AND($P$7="購買增額繳清保險",T819=12,U819=110),VLOOKUP(S819,$B$10:$H$121,7,0),0),"")))</f>
        <v/>
      </c>
      <c r="AC819" s="350" t="str">
        <f ca="1">IF(AND(S819&lt;OP!$C$24,$U819&lt;15),0,IF(AND($U819&lt;16,$T819=12),VLOOKUP($S819,DOWN16,4,0),IF($T819=12,ROUND(VLOOKUP(OP!$C$55,_DIE2,$S819+1,0)*(Z819/10000),0)+IF(AND($P$7="購買增額繳清保險",T819=12,U819=110),VLOOKUP(S819,$B$10:$H$121,7,0),0),"")))</f>
        <v/>
      </c>
      <c r="AD819" s="347"/>
      <c r="AE819" s="350" t="str">
        <f t="shared" ca="1" si="523"/>
        <v/>
      </c>
      <c r="AF819" s="351" t="str">
        <f t="shared" ca="1" si="524"/>
        <v/>
      </c>
      <c r="AG819" s="340"/>
      <c r="AH819" s="340"/>
      <c r="AI819" s="340"/>
      <c r="AJ819" s="340"/>
      <c r="AK819" s="340"/>
      <c r="AL819" s="340"/>
      <c r="AM819" s="340"/>
      <c r="AN819" s="340"/>
      <c r="AO819" s="340"/>
      <c r="AP819" s="340"/>
      <c r="AQ819" s="340"/>
      <c r="AR819" s="340"/>
      <c r="AS819" s="340"/>
      <c r="AT819" s="340"/>
      <c r="AU819" s="340"/>
      <c r="AV819" s="340"/>
      <c r="AY819" s="340"/>
      <c r="AZ819" s="465">
        <f t="shared" ca="1" si="534"/>
        <v>7.3698599999999999E-5</v>
      </c>
      <c r="BA819" s="464">
        <f t="shared" ca="1" si="535"/>
        <v>2.2109589000000002E-3</v>
      </c>
      <c r="BB819" s="465">
        <f t="shared" ca="1" si="535"/>
        <v>2.2846575E-3</v>
      </c>
      <c r="BC819" s="466">
        <f t="shared" ca="1" si="536"/>
        <v>67542</v>
      </c>
      <c r="BD819" s="467">
        <f t="shared" ca="1" si="549"/>
        <v>67543</v>
      </c>
      <c r="BE819" s="467">
        <f t="shared" ca="1" si="537"/>
        <v>67572</v>
      </c>
      <c r="BF819" s="468">
        <f ca="1">IF(計算!$BC819&lt;OP!$C$3,0,BD819-BC819)</f>
        <v>1</v>
      </c>
      <c r="BG819" s="468">
        <f ca="1">IF($BE819&gt;DATE(YEAR($BD$9)+OP!$C$57,MONTH($BD$9),DAY($BD$9)),0,$BE819-$BD819+1)</f>
        <v>30</v>
      </c>
      <c r="BH819" s="469">
        <f t="shared" ca="1" si="538"/>
        <v>31</v>
      </c>
      <c r="BI819" t="str">
        <f t="shared" si="554"/>
        <v/>
      </c>
      <c r="BJ819">
        <v>6</v>
      </c>
      <c r="BN819" s="468">
        <f t="shared" si="550"/>
        <v>68</v>
      </c>
      <c r="BO819" s="468">
        <f t="shared" si="551"/>
        <v>6</v>
      </c>
      <c r="BP819" s="467">
        <f t="shared" ca="1" si="539"/>
        <v>67543</v>
      </c>
      <c r="BQ819" s="475">
        <f t="shared" ca="1" si="553"/>
        <v>100</v>
      </c>
      <c r="BR819" s="475" t="str">
        <f t="shared" si="552"/>
        <v/>
      </c>
      <c r="BS819" s="471" t="str">
        <f t="shared" si="540"/>
        <v/>
      </c>
      <c r="BT819" s="472" t="str">
        <f t="shared" si="555"/>
        <v/>
      </c>
      <c r="BU819" s="472">
        <f t="shared" ca="1" si="541"/>
        <v>0</v>
      </c>
      <c r="BV819" s="472">
        <f t="shared" ca="1" si="541"/>
        <v>0</v>
      </c>
      <c r="BW819" s="472"/>
      <c r="BX819" s="473">
        <f t="shared" ca="1" si="542"/>
        <v>1841717.7081394</v>
      </c>
      <c r="BY819" s="473">
        <f t="shared" si="543"/>
        <v>0</v>
      </c>
      <c r="BZ819" s="473">
        <f t="shared" ca="1" si="525"/>
        <v>4207.6941747829997</v>
      </c>
      <c r="CA819" s="476">
        <f t="shared" ca="1" si="544"/>
        <v>0</v>
      </c>
      <c r="CB819" s="494">
        <f ca="1">IF(OR($Q818&lt;&gt;1,OP!$D$5+$BN819-1&lt;16,$BN819-1&lt;1),0,ROUND(ROUND(ROUND(((VLOOKUP($BN819-1,MORE_PV,5,0)/10000)*VLOOKUP($BN819,MORE_PV,$CB$5,0)),3)*VLOOKUP($BN819,more1,5,0),0)/$R818,0))</f>
        <v>0</v>
      </c>
      <c r="CC819" s="473">
        <f t="shared" ca="1" si="545"/>
        <v>0</v>
      </c>
      <c r="CD819" s="477"/>
    </row>
    <row r="820" spans="2:82" ht="16.5" hidden="1">
      <c r="B820" s="80"/>
      <c r="C820" s="80"/>
      <c r="D820" s="80"/>
      <c r="E820" s="80"/>
      <c r="F820" s="80"/>
      <c r="G820" s="80"/>
      <c r="H820" s="80"/>
      <c r="I820" s="80"/>
      <c r="J820" s="192">
        <f t="shared" si="526"/>
        <v>68</v>
      </c>
      <c r="K820" s="192">
        <f t="shared" si="527"/>
        <v>8</v>
      </c>
      <c r="L820" s="192" t="str">
        <f t="shared" si="522"/>
        <v/>
      </c>
      <c r="M820" s="216">
        <f t="shared" ca="1" si="528"/>
        <v>0</v>
      </c>
      <c r="N820" s="216"/>
      <c r="O820" s="216"/>
      <c r="P820" s="216"/>
      <c r="Q820" s="456" t="str">
        <f t="shared" ca="1" si="529"/>
        <v/>
      </c>
      <c r="R820" s="450">
        <f t="shared" ca="1" si="530"/>
        <v>1</v>
      </c>
      <c r="S820" s="191">
        <f t="shared" si="531"/>
        <v>68</v>
      </c>
      <c r="T820" s="191">
        <f t="shared" si="532"/>
        <v>8</v>
      </c>
      <c r="U820" s="191">
        <f ca="1">OP!$D$5+$S820-1</f>
        <v>100</v>
      </c>
      <c r="V820" s="191" t="str">
        <f t="shared" si="533"/>
        <v/>
      </c>
      <c r="W820" s="350">
        <f ca="1">IF(Q820&lt;&gt;1,0,VLOOKUP(OP!$C$55,PVFB,$S820+2,0))</f>
        <v>0</v>
      </c>
      <c r="X820" s="473">
        <f t="shared" ca="1" si="546"/>
        <v>0</v>
      </c>
      <c r="Y820" s="348">
        <f t="shared" ca="1" si="547"/>
        <v>0</v>
      </c>
      <c r="Z820" s="348">
        <f t="shared" ca="1" si="548"/>
        <v>8012</v>
      </c>
      <c r="AA820" s="348">
        <f ca="1">IF(Q820&lt;&gt;1,0,VLOOKUP(OP!$C$55,PVFB,$S820+2,0))</f>
        <v>0</v>
      </c>
      <c r="AB820" s="488" t="str">
        <f ca="1">IF(AND(S820&lt;OP!$C$24,$U820&lt;15),0,IF(AND($U820&lt;15,$T820=12),ROUND(VLOOKUP($S820,DOWN16,5,0),3),IF($T820=12,ROUND(($Z820/10000)*$AA820,3)+IF(AND($P$7="購買增額繳清保險",T820=12,U820=110),VLOOKUP(S820,$B$10:$H$121,7,0),0),"")))</f>
        <v/>
      </c>
      <c r="AC820" s="350" t="str">
        <f ca="1">IF(AND(S820&lt;OP!$C$24,$U820&lt;15),0,IF(AND($U820&lt;16,$T820=12),VLOOKUP($S820,DOWN16,4,0),IF($T820=12,ROUND(VLOOKUP(OP!$C$55,_DIE2,$S820+1,0)*(Z820/10000),0)+IF(AND($P$7="購買增額繳清保險",T820=12,U820=110),VLOOKUP(S820,$B$10:$H$121,7,0),0),"")))</f>
        <v/>
      </c>
      <c r="AD820" s="347"/>
      <c r="AE820" s="350" t="str">
        <f t="shared" ca="1" si="523"/>
        <v/>
      </c>
      <c r="AF820" s="351" t="str">
        <f t="shared" ca="1" si="524"/>
        <v/>
      </c>
      <c r="AG820" s="340"/>
      <c r="AH820" s="340"/>
      <c r="AI820" s="340"/>
      <c r="AJ820" s="340"/>
      <c r="AK820" s="340"/>
      <c r="AL820" s="340"/>
      <c r="AM820" s="340"/>
      <c r="AN820" s="340"/>
      <c r="AO820" s="340"/>
      <c r="AP820" s="340"/>
      <c r="AQ820" s="340"/>
      <c r="AR820" s="340"/>
      <c r="AS820" s="340"/>
      <c r="AT820" s="340"/>
      <c r="AU820" s="340"/>
      <c r="AV820" s="340"/>
      <c r="AY820" s="340"/>
      <c r="AZ820" s="465">
        <f t="shared" ca="1" si="534"/>
        <v>7.3698599999999999E-5</v>
      </c>
      <c r="BA820" s="464">
        <f t="shared" ca="1" si="535"/>
        <v>2.2109589000000002E-3</v>
      </c>
      <c r="BB820" s="465">
        <f t="shared" ca="1" si="535"/>
        <v>2.2846575E-3</v>
      </c>
      <c r="BC820" s="466">
        <f t="shared" ca="1" si="536"/>
        <v>67573</v>
      </c>
      <c r="BD820" s="467">
        <f t="shared" ca="1" si="549"/>
        <v>67574</v>
      </c>
      <c r="BE820" s="467">
        <f t="shared" ca="1" si="537"/>
        <v>67603</v>
      </c>
      <c r="BF820" s="468">
        <f ca="1">IF(計算!$BC820&lt;OP!$C$3,0,BD820-BC820)</f>
        <v>1</v>
      </c>
      <c r="BG820" s="468">
        <f ca="1">IF($BE820&gt;DATE(YEAR($BD$9)+OP!$C$57,MONTH($BD$9),DAY($BD$9)),0,$BE820-$BD820+1)</f>
        <v>30</v>
      </c>
      <c r="BH820" s="469">
        <f t="shared" ca="1" si="538"/>
        <v>31</v>
      </c>
      <c r="BI820" t="str">
        <f t="shared" si="554"/>
        <v/>
      </c>
      <c r="BJ820">
        <v>7</v>
      </c>
      <c r="BN820" s="468">
        <f t="shared" si="550"/>
        <v>68</v>
      </c>
      <c r="BO820" s="468">
        <f t="shared" si="551"/>
        <v>7</v>
      </c>
      <c r="BP820" s="467">
        <f t="shared" ca="1" si="539"/>
        <v>67574</v>
      </c>
      <c r="BQ820" s="475">
        <f t="shared" ca="1" si="553"/>
        <v>100</v>
      </c>
      <c r="BR820" s="475" t="str">
        <f t="shared" si="552"/>
        <v/>
      </c>
      <c r="BS820" s="471" t="str">
        <f t="shared" si="540"/>
        <v/>
      </c>
      <c r="BT820" s="472" t="str">
        <f t="shared" si="555"/>
        <v/>
      </c>
      <c r="BU820" s="472">
        <f t="shared" ca="1" si="541"/>
        <v>0</v>
      </c>
      <c r="BV820" s="472">
        <f t="shared" ca="1" si="541"/>
        <v>0</v>
      </c>
      <c r="BW820" s="472"/>
      <c r="BX820" s="473">
        <f t="shared" ca="1" si="542"/>
        <v>1845925.40231418</v>
      </c>
      <c r="BY820" s="473">
        <f t="shared" si="543"/>
        <v>0</v>
      </c>
      <c r="BZ820" s="473">
        <f t="shared" ca="1" si="525"/>
        <v>4217.3073148379999</v>
      </c>
      <c r="CA820" s="476">
        <f t="shared" ca="1" si="544"/>
        <v>0</v>
      </c>
      <c r="CB820" s="494">
        <f ca="1">IF(OR($Q819&lt;&gt;1,OP!$D$5+$BN820-1&lt;16,$BN820-1&lt;1),0,ROUND(ROUND(ROUND(((VLOOKUP($BN820-1,MORE_PV,5,0)/10000)*VLOOKUP($BN820,MORE_PV,$CB$5,0)),3)*VLOOKUP($BN820,more1,5,0),0)/$R819,0))</f>
        <v>0</v>
      </c>
      <c r="CC820" s="473">
        <f t="shared" ca="1" si="545"/>
        <v>0</v>
      </c>
      <c r="CD820" s="477"/>
    </row>
    <row r="821" spans="2:82" ht="16.5" hidden="1">
      <c r="B821" s="80"/>
      <c r="C821" s="80"/>
      <c r="D821" s="80"/>
      <c r="E821" s="80"/>
      <c r="F821" s="80"/>
      <c r="G821" s="80"/>
      <c r="H821" s="80"/>
      <c r="I821" s="80"/>
      <c r="J821" s="192">
        <f t="shared" si="526"/>
        <v>68</v>
      </c>
      <c r="K821" s="192">
        <f t="shared" si="527"/>
        <v>9</v>
      </c>
      <c r="L821" s="192" t="str">
        <f t="shared" si="522"/>
        <v/>
      </c>
      <c r="M821" s="216">
        <f t="shared" ca="1" si="528"/>
        <v>0</v>
      </c>
      <c r="N821" s="216"/>
      <c r="O821" s="216"/>
      <c r="P821" s="216"/>
      <c r="Q821" s="456" t="str">
        <f t="shared" ca="1" si="529"/>
        <v/>
      </c>
      <c r="R821" s="450">
        <f t="shared" ca="1" si="530"/>
        <v>1</v>
      </c>
      <c r="S821" s="191">
        <f t="shared" si="531"/>
        <v>68</v>
      </c>
      <c r="T821" s="191">
        <f t="shared" si="532"/>
        <v>9</v>
      </c>
      <c r="U821" s="191">
        <f ca="1">OP!$D$5+$S821-1</f>
        <v>100</v>
      </c>
      <c r="V821" s="191" t="str">
        <f t="shared" si="533"/>
        <v/>
      </c>
      <c r="W821" s="350">
        <f ca="1">IF(Q821&lt;&gt;1,0,VLOOKUP(OP!$C$55,PVFB,$S821+2,0))</f>
        <v>0</v>
      </c>
      <c r="X821" s="473">
        <f t="shared" ca="1" si="546"/>
        <v>0</v>
      </c>
      <c r="Y821" s="348">
        <f t="shared" ca="1" si="547"/>
        <v>0</v>
      </c>
      <c r="Z821" s="348">
        <f t="shared" ca="1" si="548"/>
        <v>8012</v>
      </c>
      <c r="AA821" s="348">
        <f ca="1">IF(Q821&lt;&gt;1,0,VLOOKUP(OP!$C$55,PVFB,$S821+2,0))</f>
        <v>0</v>
      </c>
      <c r="AB821" s="488" t="str">
        <f ca="1">IF(AND(S821&lt;OP!$C$24,$U821&lt;15),0,IF(AND($U821&lt;15,$T821=12),ROUND(VLOOKUP($S821,DOWN16,5,0),3),IF($T821=12,ROUND(($Z821/10000)*$AA821,3)+IF(AND($P$7="購買增額繳清保險",T821=12,U821=110),VLOOKUP(S821,$B$10:$H$121,7,0),0),"")))</f>
        <v/>
      </c>
      <c r="AC821" s="350" t="str">
        <f ca="1">IF(AND(S821&lt;OP!$C$24,$U821&lt;15),0,IF(AND($U821&lt;16,$T821=12),VLOOKUP($S821,DOWN16,4,0),IF($T821=12,ROUND(VLOOKUP(OP!$C$55,_DIE2,$S821+1,0)*(Z821/10000),0)+IF(AND($P$7="購買增額繳清保險",T821=12,U821=110),VLOOKUP(S821,$B$10:$H$121,7,0),0),"")))</f>
        <v/>
      </c>
      <c r="AD821" s="347"/>
      <c r="AE821" s="350" t="str">
        <f t="shared" ca="1" si="523"/>
        <v/>
      </c>
      <c r="AF821" s="351" t="str">
        <f t="shared" ca="1" si="524"/>
        <v/>
      </c>
      <c r="AG821" s="340"/>
      <c r="AH821" s="340"/>
      <c r="AI821" s="340"/>
      <c r="AJ821" s="340"/>
      <c r="AK821" s="340"/>
      <c r="AL821" s="340"/>
      <c r="AM821" s="340"/>
      <c r="AN821" s="340"/>
      <c r="AO821" s="340"/>
      <c r="AP821" s="340"/>
      <c r="AQ821" s="340"/>
      <c r="AR821" s="340"/>
      <c r="AS821" s="340"/>
      <c r="AT821" s="340"/>
      <c r="AU821" s="340"/>
      <c r="AV821" s="340"/>
      <c r="AY821" s="340"/>
      <c r="AZ821" s="465">
        <f t="shared" ca="1" si="534"/>
        <v>7.3698599999999999E-5</v>
      </c>
      <c r="BA821" s="464">
        <f t="shared" ca="1" si="535"/>
        <v>1.9898630000000001E-3</v>
      </c>
      <c r="BB821" s="465">
        <f t="shared" ca="1" si="535"/>
        <v>2.0635616E-3</v>
      </c>
      <c r="BC821" s="466">
        <f t="shared" ca="1" si="536"/>
        <v>67604</v>
      </c>
      <c r="BD821" s="467">
        <f t="shared" ca="1" si="549"/>
        <v>67605</v>
      </c>
      <c r="BE821" s="467">
        <f t="shared" ca="1" si="537"/>
        <v>67631</v>
      </c>
      <c r="BF821" s="468">
        <f ca="1">IF(計算!$BC821&lt;OP!$C$3,0,BD821-BC821)</f>
        <v>1</v>
      </c>
      <c r="BG821" s="468">
        <f ca="1">IF($BE821&gt;DATE(YEAR($BD$9)+OP!$C$57,MONTH($BD$9),DAY($BD$9)),0,$BE821-$BD821+1)</f>
        <v>27</v>
      </c>
      <c r="BH821" s="469">
        <f t="shared" ca="1" si="538"/>
        <v>28</v>
      </c>
      <c r="BI821" t="str">
        <f t="shared" si="554"/>
        <v/>
      </c>
      <c r="BJ821">
        <v>8</v>
      </c>
      <c r="BN821" s="468">
        <f t="shared" si="550"/>
        <v>68</v>
      </c>
      <c r="BO821" s="468">
        <f t="shared" si="551"/>
        <v>8</v>
      </c>
      <c r="BP821" s="467">
        <f t="shared" ca="1" si="539"/>
        <v>67605</v>
      </c>
      <c r="BQ821" s="475">
        <f t="shared" ca="1" si="553"/>
        <v>100</v>
      </c>
      <c r="BR821" s="475" t="str">
        <f t="shared" si="552"/>
        <v/>
      </c>
      <c r="BS821" s="471" t="str">
        <f t="shared" si="540"/>
        <v/>
      </c>
      <c r="BT821" s="472" t="str">
        <f t="shared" si="555"/>
        <v/>
      </c>
      <c r="BU821" s="472">
        <f t="shared" ca="1" si="541"/>
        <v>0</v>
      </c>
      <c r="BV821" s="472">
        <f t="shared" ca="1" si="541"/>
        <v>0</v>
      </c>
      <c r="BW821" s="472"/>
      <c r="BX821" s="473">
        <f t="shared" ca="1" si="542"/>
        <v>1850142.70962902</v>
      </c>
      <c r="BY821" s="473">
        <f t="shared" si="543"/>
        <v>0</v>
      </c>
      <c r="BZ821" s="473">
        <f t="shared" ca="1" si="525"/>
        <v>3817.88345011</v>
      </c>
      <c r="CA821" s="476">
        <f t="shared" ca="1" si="544"/>
        <v>0</v>
      </c>
      <c r="CB821" s="494">
        <f ca="1">IF(OR($Q820&lt;&gt;1,OP!$D$5+$BN821-1&lt;16,$BN821-1&lt;1),0,ROUND(ROUND(ROUND(((VLOOKUP($BN821-1,MORE_PV,5,0)/10000)*VLOOKUP($BN821,MORE_PV,$CB$5,0)),3)*VLOOKUP($BN821,more1,5,0),0)/$R820,0))</f>
        <v>0</v>
      </c>
      <c r="CC821" s="473">
        <f t="shared" ca="1" si="545"/>
        <v>0</v>
      </c>
      <c r="CD821" s="477"/>
    </row>
    <row r="822" spans="2:82" ht="16.5" hidden="1">
      <c r="B822" s="80"/>
      <c r="C822" s="80"/>
      <c r="D822" s="80"/>
      <c r="E822" s="80"/>
      <c r="F822" s="80"/>
      <c r="G822" s="80"/>
      <c r="H822" s="80"/>
      <c r="I822" s="80"/>
      <c r="J822" s="192">
        <f t="shared" si="526"/>
        <v>68</v>
      </c>
      <c r="K822" s="192">
        <f t="shared" si="527"/>
        <v>10</v>
      </c>
      <c r="L822" s="192" t="str">
        <f t="shared" si="522"/>
        <v/>
      </c>
      <c r="M822" s="216">
        <f t="shared" ca="1" si="528"/>
        <v>0</v>
      </c>
      <c r="N822" s="216"/>
      <c r="O822" s="216"/>
      <c r="P822" s="216"/>
      <c r="Q822" s="456" t="str">
        <f t="shared" ca="1" si="529"/>
        <v/>
      </c>
      <c r="R822" s="450">
        <f t="shared" ca="1" si="530"/>
        <v>1</v>
      </c>
      <c r="S822" s="191">
        <f t="shared" si="531"/>
        <v>68</v>
      </c>
      <c r="T822" s="191">
        <f t="shared" si="532"/>
        <v>10</v>
      </c>
      <c r="U822" s="191">
        <f ca="1">OP!$D$5+$S822-1</f>
        <v>100</v>
      </c>
      <c r="V822" s="191" t="str">
        <f t="shared" si="533"/>
        <v/>
      </c>
      <c r="W822" s="350">
        <f ca="1">IF(Q822&lt;&gt;1,0,VLOOKUP(OP!$C$55,PVFB,$S822+2,0))</f>
        <v>0</v>
      </c>
      <c r="X822" s="473">
        <f t="shared" ca="1" si="546"/>
        <v>0</v>
      </c>
      <c r="Y822" s="348">
        <f t="shared" ca="1" si="547"/>
        <v>0</v>
      </c>
      <c r="Z822" s="348">
        <f t="shared" ca="1" si="548"/>
        <v>8012</v>
      </c>
      <c r="AA822" s="348">
        <f ca="1">IF(Q822&lt;&gt;1,0,VLOOKUP(OP!$C$55,PVFB,$S822+2,0))</f>
        <v>0</v>
      </c>
      <c r="AB822" s="488" t="str">
        <f ca="1">IF(AND(S822&lt;OP!$C$24,$U822&lt;15),0,IF(AND($U822&lt;15,$T822=12),ROUND(VLOOKUP($S822,DOWN16,5,0),3),IF($T822=12,ROUND(($Z822/10000)*$AA822,3)+IF(AND($P$7="購買增額繳清保險",T822=12,U822=110),VLOOKUP(S822,$B$10:$H$121,7,0),0),"")))</f>
        <v/>
      </c>
      <c r="AC822" s="350" t="str">
        <f ca="1">IF(AND(S822&lt;OP!$C$24,$U822&lt;15),0,IF(AND($U822&lt;16,$T822=12),VLOOKUP($S822,DOWN16,4,0),IF($T822=12,ROUND(VLOOKUP(OP!$C$55,_DIE2,$S822+1,0)*(Z822/10000),0)+IF(AND($P$7="購買增額繳清保險",T822=12,U822=110),VLOOKUP(S822,$B$10:$H$121,7,0),0),"")))</f>
        <v/>
      </c>
      <c r="AD822" s="347"/>
      <c r="AE822" s="350" t="str">
        <f t="shared" ca="1" si="523"/>
        <v/>
      </c>
      <c r="AF822" s="351" t="str">
        <f t="shared" ca="1" si="524"/>
        <v/>
      </c>
      <c r="AG822" s="340"/>
      <c r="AH822" s="340"/>
      <c r="AI822" s="340"/>
      <c r="AJ822" s="340"/>
      <c r="AK822" s="340"/>
      <c r="AL822" s="340"/>
      <c r="AM822" s="340"/>
      <c r="AN822" s="340"/>
      <c r="AO822" s="340"/>
      <c r="AP822" s="340"/>
      <c r="AQ822" s="340"/>
      <c r="AR822" s="340"/>
      <c r="AS822" s="340"/>
      <c r="AT822" s="340"/>
      <c r="AU822" s="340"/>
      <c r="AV822" s="340"/>
      <c r="AY822" s="340"/>
      <c r="AZ822" s="465">
        <f t="shared" ca="1" si="534"/>
        <v>7.3698599999999999E-5</v>
      </c>
      <c r="BA822" s="464">
        <f t="shared" ca="1" si="535"/>
        <v>2.2109589000000002E-3</v>
      </c>
      <c r="BB822" s="465">
        <f t="shared" ca="1" si="535"/>
        <v>2.2846575E-3</v>
      </c>
      <c r="BC822" s="466">
        <f t="shared" ca="1" si="536"/>
        <v>67632</v>
      </c>
      <c r="BD822" s="467">
        <f t="shared" ca="1" si="549"/>
        <v>67633</v>
      </c>
      <c r="BE822" s="467">
        <f t="shared" ca="1" si="537"/>
        <v>67662</v>
      </c>
      <c r="BF822" s="468">
        <f ca="1">IF(計算!$BC822&lt;OP!$C$3,0,BD822-BC822)</f>
        <v>1</v>
      </c>
      <c r="BG822" s="468">
        <f ca="1">IF($BE822&gt;DATE(YEAR($BD$9)+OP!$C$57,MONTH($BD$9),DAY($BD$9)),0,$BE822-$BD822+1)</f>
        <v>30</v>
      </c>
      <c r="BH822" s="469">
        <f t="shared" ca="1" si="538"/>
        <v>31</v>
      </c>
      <c r="BI822" t="str">
        <f t="shared" si="554"/>
        <v/>
      </c>
      <c r="BJ822">
        <v>9</v>
      </c>
      <c r="BN822" s="468">
        <f t="shared" si="550"/>
        <v>68</v>
      </c>
      <c r="BO822" s="468">
        <f t="shared" si="551"/>
        <v>9</v>
      </c>
      <c r="BP822" s="467">
        <f t="shared" ca="1" si="539"/>
        <v>67633</v>
      </c>
      <c r="BQ822" s="475">
        <f t="shared" ca="1" si="553"/>
        <v>100</v>
      </c>
      <c r="BR822" s="475" t="str">
        <f t="shared" si="552"/>
        <v/>
      </c>
      <c r="BS822" s="471" t="str">
        <f t="shared" si="540"/>
        <v/>
      </c>
      <c r="BT822" s="472" t="str">
        <f t="shared" si="555"/>
        <v/>
      </c>
      <c r="BU822" s="472">
        <f t="shared" ca="1" si="541"/>
        <v>0</v>
      </c>
      <c r="BV822" s="472">
        <f t="shared" ca="1" si="541"/>
        <v>0</v>
      </c>
      <c r="BW822" s="472"/>
      <c r="BX822" s="473">
        <f t="shared" ca="1" si="542"/>
        <v>1853960.5930791299</v>
      </c>
      <c r="BY822" s="473">
        <f t="shared" si="543"/>
        <v>0</v>
      </c>
      <c r="BZ822" s="473">
        <f t="shared" ca="1" si="525"/>
        <v>4235.6649736830004</v>
      </c>
      <c r="CA822" s="476">
        <f t="shared" ca="1" si="544"/>
        <v>0</v>
      </c>
      <c r="CB822" s="494">
        <f ca="1">IF(OR($Q821&lt;&gt;1,OP!$D$5+$BN822-1&lt;16,$BN822-1&lt;1),0,ROUND(ROUND(ROUND(((VLOOKUP($BN822-1,MORE_PV,5,0)/10000)*VLOOKUP($BN822,MORE_PV,$CB$5,0)),3)*VLOOKUP($BN822,more1,5,0),0)/$R821,0))</f>
        <v>0</v>
      </c>
      <c r="CC822" s="473">
        <f t="shared" ca="1" si="545"/>
        <v>0</v>
      </c>
      <c r="CD822" s="477"/>
    </row>
    <row r="823" spans="2:82" ht="16.5" hidden="1">
      <c r="B823" s="80"/>
      <c r="C823" s="80"/>
      <c r="D823" s="80"/>
      <c r="E823" s="80"/>
      <c r="F823" s="80"/>
      <c r="G823" s="80"/>
      <c r="H823" s="80"/>
      <c r="I823" s="80"/>
      <c r="J823" s="192">
        <f t="shared" si="526"/>
        <v>68</v>
      </c>
      <c r="K823" s="192">
        <f t="shared" si="527"/>
        <v>11</v>
      </c>
      <c r="L823" s="192" t="str">
        <f t="shared" si="522"/>
        <v/>
      </c>
      <c r="M823" s="216">
        <f t="shared" ca="1" si="528"/>
        <v>0</v>
      </c>
      <c r="N823" s="216"/>
      <c r="O823" s="216"/>
      <c r="P823" s="216"/>
      <c r="Q823" s="456" t="str">
        <f t="shared" ca="1" si="529"/>
        <v/>
      </c>
      <c r="R823" s="450">
        <f t="shared" ca="1" si="530"/>
        <v>1</v>
      </c>
      <c r="S823" s="191">
        <f t="shared" si="531"/>
        <v>68</v>
      </c>
      <c r="T823" s="191">
        <f t="shared" si="532"/>
        <v>11</v>
      </c>
      <c r="U823" s="191">
        <f ca="1">OP!$D$5+$S823-1</f>
        <v>100</v>
      </c>
      <c r="V823" s="191" t="str">
        <f t="shared" si="533"/>
        <v/>
      </c>
      <c r="W823" s="350">
        <f ca="1">IF(Q823&lt;&gt;1,0,VLOOKUP(OP!$C$55,PVFB,$S823+2,0))</f>
        <v>0</v>
      </c>
      <c r="X823" s="473">
        <f t="shared" ca="1" si="546"/>
        <v>0</v>
      </c>
      <c r="Y823" s="348">
        <f t="shared" ca="1" si="547"/>
        <v>0</v>
      </c>
      <c r="Z823" s="348">
        <f t="shared" ca="1" si="548"/>
        <v>8012</v>
      </c>
      <c r="AA823" s="348">
        <f ca="1">IF(Q823&lt;&gt;1,0,VLOOKUP(OP!$C$55,PVFB,$S823+2,0))</f>
        <v>0</v>
      </c>
      <c r="AB823" s="488" t="str">
        <f ca="1">IF(AND(S823&lt;OP!$C$24,$U823&lt;15),0,IF(AND($U823&lt;15,$T823=12),ROUND(VLOOKUP($S823,DOWN16,5,0),3),IF($T823=12,ROUND(($Z823/10000)*$AA823,3)+IF(AND($P$7="購買增額繳清保險",T823=12,U823=110),VLOOKUP(S823,$B$10:$H$121,7,0),0),"")))</f>
        <v/>
      </c>
      <c r="AC823" s="350" t="str">
        <f ca="1">IF(AND(S823&lt;OP!$C$24,$U823&lt;15),0,IF(AND($U823&lt;16,$T823=12),VLOOKUP($S823,DOWN16,4,0),IF($T823=12,ROUND(VLOOKUP(OP!$C$55,_DIE2,$S823+1,0)*(Z823/10000),0)+IF(AND($P$7="購買增額繳清保險",T823=12,U823=110),VLOOKUP(S823,$B$10:$H$121,7,0),0),"")))</f>
        <v/>
      </c>
      <c r="AD823" s="347"/>
      <c r="AE823" s="350" t="str">
        <f t="shared" ca="1" si="523"/>
        <v/>
      </c>
      <c r="AF823" s="351" t="str">
        <f t="shared" ca="1" si="524"/>
        <v/>
      </c>
      <c r="AG823" s="340"/>
      <c r="AH823" s="340"/>
      <c r="AI823" s="340"/>
      <c r="AJ823" s="340"/>
      <c r="AK823" s="340"/>
      <c r="AL823" s="340"/>
      <c r="AM823" s="340"/>
      <c r="AN823" s="340"/>
      <c r="AO823" s="340"/>
      <c r="AP823" s="340"/>
      <c r="AQ823" s="340"/>
      <c r="AR823" s="340"/>
      <c r="AS823" s="340"/>
      <c r="AT823" s="340"/>
      <c r="AU823" s="340"/>
      <c r="AV823" s="340"/>
      <c r="AY823" s="340"/>
      <c r="AZ823" s="465">
        <f t="shared" ca="1" si="534"/>
        <v>7.3698599999999999E-5</v>
      </c>
      <c r="BA823" s="464">
        <f t="shared" ca="1" si="535"/>
        <v>2.1372602999999999E-3</v>
      </c>
      <c r="BB823" s="465">
        <f t="shared" ca="1" si="535"/>
        <v>2.2109589000000002E-3</v>
      </c>
      <c r="BC823" s="466">
        <f t="shared" ca="1" si="536"/>
        <v>67663</v>
      </c>
      <c r="BD823" s="467">
        <f t="shared" ca="1" si="549"/>
        <v>67664</v>
      </c>
      <c r="BE823" s="467">
        <f t="shared" ca="1" si="537"/>
        <v>67692</v>
      </c>
      <c r="BF823" s="468">
        <f ca="1">IF(計算!$BC823&lt;OP!$C$3,0,BD823-BC823)</f>
        <v>1</v>
      </c>
      <c r="BG823" s="468">
        <f ca="1">IF($BE823&gt;DATE(YEAR($BD$9)+OP!$C$57,MONTH($BD$9),DAY($BD$9)),0,$BE823-$BD823+1)</f>
        <v>29</v>
      </c>
      <c r="BH823" s="469">
        <f t="shared" ca="1" si="538"/>
        <v>30</v>
      </c>
      <c r="BI823" t="str">
        <f t="shared" si="554"/>
        <v/>
      </c>
      <c r="BJ823">
        <v>10</v>
      </c>
      <c r="BN823" s="468">
        <f t="shared" si="550"/>
        <v>68</v>
      </c>
      <c r="BO823" s="468">
        <f t="shared" si="551"/>
        <v>10</v>
      </c>
      <c r="BP823" s="467">
        <f t="shared" ca="1" si="539"/>
        <v>67664</v>
      </c>
      <c r="BQ823" s="475">
        <f t="shared" ca="1" si="553"/>
        <v>100</v>
      </c>
      <c r="BR823" s="475" t="str">
        <f t="shared" si="552"/>
        <v/>
      </c>
      <c r="BS823" s="471" t="str">
        <f t="shared" si="540"/>
        <v/>
      </c>
      <c r="BT823" s="472" t="str">
        <f t="shared" si="555"/>
        <v/>
      </c>
      <c r="BU823" s="472">
        <f t="shared" ca="1" si="541"/>
        <v>0</v>
      </c>
      <c r="BV823" s="472">
        <f t="shared" ca="1" si="541"/>
        <v>0</v>
      </c>
      <c r="BW823" s="472"/>
      <c r="BX823" s="473">
        <f t="shared" ca="1" si="542"/>
        <v>1858196.2580528101</v>
      </c>
      <c r="BY823" s="473">
        <f t="shared" si="543"/>
        <v>0</v>
      </c>
      <c r="BZ823" s="473">
        <f t="shared" ca="1" si="525"/>
        <v>4108.3955546890002</v>
      </c>
      <c r="CA823" s="476">
        <f t="shared" ca="1" si="544"/>
        <v>0</v>
      </c>
      <c r="CB823" s="494">
        <f ca="1">IF(OR($Q822&lt;&gt;1,OP!$D$5+$BN823-1&lt;16,$BN823-1&lt;1),0,ROUND(ROUND(ROUND(((VLOOKUP($BN823-1,MORE_PV,5,0)/10000)*VLOOKUP($BN823,MORE_PV,$CB$5,0)),3)*VLOOKUP($BN823,more1,5,0),0)/$R822,0))</f>
        <v>0</v>
      </c>
      <c r="CC823" s="473">
        <f t="shared" ca="1" si="545"/>
        <v>0</v>
      </c>
      <c r="CD823" s="477"/>
    </row>
    <row r="824" spans="2:82" ht="16.5" hidden="1">
      <c r="B824" s="80"/>
      <c r="C824" s="80"/>
      <c r="D824" s="80"/>
      <c r="E824" s="80"/>
      <c r="F824" s="80"/>
      <c r="G824" s="80"/>
      <c r="H824" s="80"/>
      <c r="I824" s="80"/>
      <c r="J824" s="192">
        <f t="shared" si="526"/>
        <v>68</v>
      </c>
      <c r="K824" s="192">
        <f t="shared" si="527"/>
        <v>12</v>
      </c>
      <c r="L824" s="192">
        <f t="shared" si="522"/>
        <v>68</v>
      </c>
      <c r="M824" s="216">
        <f t="shared" ca="1" si="528"/>
        <v>1889847</v>
      </c>
      <c r="N824" s="216"/>
      <c r="O824" s="216"/>
      <c r="P824" s="216"/>
      <c r="Q824" s="456">
        <f t="shared" ca="1" si="529"/>
        <v>1</v>
      </c>
      <c r="R824" s="450">
        <f t="shared" ca="1" si="530"/>
        <v>1</v>
      </c>
      <c r="S824" s="191">
        <f t="shared" si="531"/>
        <v>68</v>
      </c>
      <c r="T824" s="191">
        <f t="shared" si="532"/>
        <v>12</v>
      </c>
      <c r="U824" s="191">
        <f ca="1">OP!$D$5+$S824-1</f>
        <v>100</v>
      </c>
      <c r="V824" s="191">
        <f t="shared" si="533"/>
        <v>68</v>
      </c>
      <c r="W824" s="350">
        <f ca="1">IF(Q824&lt;&gt;1,0,VLOOKUP(OP!$C$55,PVFB,$S824+2,0))</f>
        <v>96413</v>
      </c>
      <c r="X824" s="473">
        <f t="shared" ca="1" si="546"/>
        <v>23151</v>
      </c>
      <c r="Y824" s="348">
        <f t="shared" ca="1" si="547"/>
        <v>0</v>
      </c>
      <c r="Z824" s="348">
        <f t="shared" ca="1" si="548"/>
        <v>8012</v>
      </c>
      <c r="AA824" s="348">
        <f ca="1">IF(Q824&lt;&gt;1,0,VLOOKUP(OP!$C$55,PVFB,$S824+2,0))</f>
        <v>96413</v>
      </c>
      <c r="AB824" s="488">
        <f ca="1">IF(AND(S824&lt;OP!$C$24,$U824&lt;15),0,IF(AND($U824&lt;15,$T824=12),ROUND(VLOOKUP($S824,DOWN16,5,0),3),IF($T824=12,ROUND(($Z824/10000)*$AA824,3)+IF(AND($P$7="購買增額繳清保險",T824=12,U824=110),VLOOKUP(S824,$B$10:$H$121,7,0),0),"")))</f>
        <v>77246.096000000005</v>
      </c>
      <c r="AC824" s="350">
        <f ca="1">IF(AND(S824&lt;OP!$C$24,$U824&lt;15),0,IF(AND($U824&lt;16,$T824=12),VLOOKUP($S824,DOWN16,4,0),IF($T824=12,ROUND(VLOOKUP(OP!$C$55,_DIE2,$S824+1,0)*(Z824/10000),0)+IF(AND($P$7="購買增額繳清保險",T824=12,U824=110),VLOOKUP(S824,$B$10:$H$121,7,0),0),"")))</f>
        <v>77556</v>
      </c>
      <c r="AD824" s="347"/>
      <c r="AE824" s="350" t="str">
        <f t="shared" ca="1" si="523"/>
        <v/>
      </c>
      <c r="AF824" s="351" t="str">
        <f t="shared" ca="1" si="524"/>
        <v/>
      </c>
      <c r="AG824" s="340"/>
      <c r="AH824" s="340"/>
      <c r="AI824" s="340"/>
      <c r="AJ824" s="340"/>
      <c r="AK824" s="340"/>
      <c r="AL824" s="340"/>
      <c r="AM824" s="340"/>
      <c r="AN824" s="340"/>
      <c r="AO824" s="340"/>
      <c r="AP824" s="340"/>
      <c r="AQ824" s="340"/>
      <c r="AR824" s="340"/>
      <c r="AS824" s="340"/>
      <c r="AT824" s="340"/>
      <c r="AU824" s="340"/>
      <c r="AV824" s="340"/>
      <c r="AY824" s="340"/>
      <c r="AZ824" s="465">
        <f t="shared" ca="1" si="534"/>
        <v>7.3698599999999999E-5</v>
      </c>
      <c r="BA824" s="464">
        <f t="shared" ca="1" si="535"/>
        <v>2.2109589000000002E-3</v>
      </c>
      <c r="BB824" s="465">
        <f t="shared" ca="1" si="535"/>
        <v>2.2846575E-3</v>
      </c>
      <c r="BC824" s="466">
        <f t="shared" ca="1" si="536"/>
        <v>67693</v>
      </c>
      <c r="BD824" s="467">
        <f t="shared" ca="1" si="549"/>
        <v>67694</v>
      </c>
      <c r="BE824" s="467">
        <f t="shared" ca="1" si="537"/>
        <v>67723</v>
      </c>
      <c r="BF824" s="468">
        <f ca="1">IF(計算!$BC824&lt;OP!$C$3,0,BD824-BC824)</f>
        <v>1</v>
      </c>
      <c r="BG824" s="468">
        <f ca="1">IF($BE824&gt;DATE(YEAR($BD$9)+OP!$C$57,MONTH($BD$9),DAY($BD$9)),0,$BE824-$BD824+1)</f>
        <v>30</v>
      </c>
      <c r="BH824" s="469">
        <f t="shared" ca="1" si="538"/>
        <v>31</v>
      </c>
      <c r="BI824" t="str">
        <f t="shared" si="554"/>
        <v/>
      </c>
      <c r="BJ824">
        <v>11</v>
      </c>
      <c r="BN824" s="468">
        <f t="shared" si="550"/>
        <v>68</v>
      </c>
      <c r="BO824" s="468">
        <f t="shared" si="551"/>
        <v>11</v>
      </c>
      <c r="BP824" s="467">
        <f t="shared" ca="1" si="539"/>
        <v>67694</v>
      </c>
      <c r="BQ824" s="475">
        <f t="shared" ca="1" si="553"/>
        <v>100</v>
      </c>
      <c r="BR824" s="475" t="str">
        <f t="shared" si="552"/>
        <v/>
      </c>
      <c r="BS824" s="471" t="str">
        <f t="shared" si="540"/>
        <v/>
      </c>
      <c r="BT824" s="472" t="str">
        <f t="shared" si="555"/>
        <v/>
      </c>
      <c r="BU824" s="472">
        <f t="shared" ca="1" si="541"/>
        <v>0</v>
      </c>
      <c r="BV824" s="472">
        <f t="shared" ca="1" si="541"/>
        <v>0</v>
      </c>
      <c r="BW824" s="472"/>
      <c r="BX824" s="473">
        <f t="shared" ca="1" si="542"/>
        <v>1862304.6536075</v>
      </c>
      <c r="BY824" s="473">
        <f t="shared" si="543"/>
        <v>0</v>
      </c>
      <c r="BZ824" s="473">
        <f t="shared" ca="1" si="525"/>
        <v>4254.7282941490002</v>
      </c>
      <c r="CA824" s="476">
        <f t="shared" ca="1" si="544"/>
        <v>0</v>
      </c>
      <c r="CB824" s="494">
        <f ca="1">IF(OR($Q823&lt;&gt;1,OP!$D$5+$BN824-1&lt;16,$BN824-1&lt;1),0,ROUND(ROUND(ROUND(((VLOOKUP($BN824-1,MORE_PV,5,0)/10000)*VLOOKUP($BN824,MORE_PV,$CB$5,0)),3)*VLOOKUP($BN824,more1,5,0),0)/$R823,0))</f>
        <v>0</v>
      </c>
      <c r="CC824" s="473">
        <f t="shared" ca="1" si="545"/>
        <v>0</v>
      </c>
      <c r="CD824" s="477"/>
    </row>
    <row r="825" spans="2:82" ht="16.5" hidden="1">
      <c r="B825" s="80"/>
      <c r="C825" s="80"/>
      <c r="D825" s="80"/>
      <c r="E825" s="80"/>
      <c r="F825" s="80"/>
      <c r="G825" s="80"/>
      <c r="H825" s="80"/>
      <c r="I825" s="80"/>
      <c r="J825" s="192">
        <f t="shared" si="526"/>
        <v>69</v>
      </c>
      <c r="K825" s="192">
        <f t="shared" si="527"/>
        <v>1</v>
      </c>
      <c r="L825" s="192" t="str">
        <f t="shared" si="522"/>
        <v/>
      </c>
      <c r="M825" s="216">
        <f t="shared" ca="1" si="528"/>
        <v>0</v>
      </c>
      <c r="N825" s="216"/>
      <c r="O825" s="216"/>
      <c r="P825" s="216"/>
      <c r="Q825" s="456" t="str">
        <f t="shared" ca="1" si="529"/>
        <v/>
      </c>
      <c r="R825" s="450">
        <f t="shared" ca="1" si="530"/>
        <v>1</v>
      </c>
      <c r="S825" s="191">
        <f t="shared" si="531"/>
        <v>69</v>
      </c>
      <c r="T825" s="191">
        <f t="shared" si="532"/>
        <v>1</v>
      </c>
      <c r="U825" s="191">
        <f ca="1">OP!$D$5+$S825-1</f>
        <v>101</v>
      </c>
      <c r="V825" s="191" t="str">
        <f t="shared" si="533"/>
        <v/>
      </c>
      <c r="W825" s="350">
        <f ca="1">IF(Q825&lt;&gt;1,0,VLOOKUP(OP!$C$55,PVFB,$S825+2,0))</f>
        <v>0</v>
      </c>
      <c r="X825" s="473">
        <f t="shared" ca="1" si="546"/>
        <v>0</v>
      </c>
      <c r="Y825" s="348">
        <f t="shared" ca="1" si="547"/>
        <v>0</v>
      </c>
      <c r="Z825" s="348">
        <f t="shared" ca="1" si="548"/>
        <v>8012</v>
      </c>
      <c r="AA825" s="348">
        <f ca="1">IF(Q825&lt;&gt;1,0,VLOOKUP(OP!$C$55,PVFB,$S825+2,0))</f>
        <v>0</v>
      </c>
      <c r="AB825" s="488" t="str">
        <f ca="1">IF(AND(S825&lt;OP!$C$24,$U825&lt;15),0,IF(AND($U825&lt;15,$T825=12),ROUND(VLOOKUP($S825,DOWN16,5,0),3),IF($T825=12,ROUND(($Z825/10000)*$AA825,3)+IF(AND($P$7="購買增額繳清保險",T825=12,U825=110),VLOOKUP(S825,$B$10:$H$121,7,0),0),"")))</f>
        <v/>
      </c>
      <c r="AC825" s="350" t="str">
        <f ca="1">IF(AND(S825&lt;OP!$C$24,$U825&lt;15),0,IF(AND($U825&lt;16,$T825=12),VLOOKUP($S825,DOWN16,4,0),IF($T825=12,ROUND(VLOOKUP(OP!$C$55,_DIE2,$S825+1,0)*(Z825/10000),0)+IF(AND($P$7="購買增額繳清保險",T825=12,U825=110),VLOOKUP(S825,$B$10:$H$121,7,0),0),"")))</f>
        <v/>
      </c>
      <c r="AD825" s="347"/>
      <c r="AE825" s="350" t="str">
        <f t="shared" ca="1" si="523"/>
        <v/>
      </c>
      <c r="AF825" s="351" t="str">
        <f t="shared" ca="1" si="524"/>
        <v/>
      </c>
      <c r="AG825" s="340"/>
      <c r="AH825" s="340"/>
      <c r="AI825" s="340"/>
      <c r="AJ825" s="340"/>
      <c r="AK825" s="340"/>
      <c r="AL825" s="340"/>
      <c r="AM825" s="340"/>
      <c r="AN825" s="340"/>
      <c r="AO825" s="340"/>
      <c r="AP825" s="340"/>
      <c r="AQ825" s="340"/>
      <c r="AR825" s="340"/>
      <c r="AS825" s="340"/>
      <c r="AT825" s="340"/>
      <c r="AU825" s="340"/>
      <c r="AV825" s="340"/>
      <c r="AY825" s="340"/>
      <c r="AZ825" s="465">
        <f t="shared" ca="1" si="534"/>
        <v>7.3698599999999999E-5</v>
      </c>
      <c r="BA825" s="464">
        <f t="shared" ca="1" si="535"/>
        <v>2.1372602999999999E-3</v>
      </c>
      <c r="BB825" s="465">
        <f t="shared" ca="1" si="535"/>
        <v>2.2109589000000002E-3</v>
      </c>
      <c r="BC825" s="466">
        <f t="shared" ca="1" si="536"/>
        <v>67724</v>
      </c>
      <c r="BD825" s="467">
        <f t="shared" ca="1" si="549"/>
        <v>67725</v>
      </c>
      <c r="BE825" s="467">
        <f t="shared" ca="1" si="537"/>
        <v>67753</v>
      </c>
      <c r="BF825" s="468">
        <f ca="1">IF(計算!$BC825&lt;OP!$C$3,0,BD825-BC825)</f>
        <v>1</v>
      </c>
      <c r="BG825" s="468">
        <f ca="1">IF($BE825&gt;DATE(YEAR($BD$9)+OP!$C$57,MONTH($BD$9),DAY($BD$9)),0,$BE825-$BD825+1)</f>
        <v>29</v>
      </c>
      <c r="BH825" s="469">
        <f t="shared" ca="1" si="538"/>
        <v>30</v>
      </c>
      <c r="BI825">
        <f t="shared" ca="1" si="554"/>
        <v>365</v>
      </c>
      <c r="BJ825">
        <v>12</v>
      </c>
      <c r="BN825" s="468">
        <f t="shared" si="550"/>
        <v>68</v>
      </c>
      <c r="BO825" s="468">
        <f t="shared" si="551"/>
        <v>12</v>
      </c>
      <c r="BP825" s="467">
        <f t="shared" ca="1" si="539"/>
        <v>67725</v>
      </c>
      <c r="BQ825" s="475">
        <f t="shared" ca="1" si="553"/>
        <v>100</v>
      </c>
      <c r="BR825" s="475">
        <f t="shared" si="552"/>
        <v>68</v>
      </c>
      <c r="BS825" s="471">
        <f t="shared" ca="1" si="540"/>
        <v>23151</v>
      </c>
      <c r="BT825" s="472">
        <f t="shared" ca="1" si="555"/>
        <v>1889847</v>
      </c>
      <c r="BU825" s="472">
        <f t="shared" ca="1" si="541"/>
        <v>22618</v>
      </c>
      <c r="BV825" s="472">
        <f t="shared" ca="1" si="541"/>
        <v>533</v>
      </c>
      <c r="BW825" s="472">
        <f ca="1">ROUND(SUM(BY825,BZ813:BZ824),0)</f>
        <v>49490</v>
      </c>
      <c r="BX825" s="473">
        <f t="shared" ca="1" si="542"/>
        <v>1889847.9447149099</v>
      </c>
      <c r="BY825" s="473">
        <f t="shared" ca="1" si="543"/>
        <v>137.56281326300001</v>
      </c>
      <c r="BZ825" s="473">
        <f t="shared" ca="1" si="525"/>
        <v>4039.0969852759999</v>
      </c>
      <c r="CA825" s="476">
        <f t="shared" ca="1" si="544"/>
        <v>22618</v>
      </c>
      <c r="CB825" s="494">
        <f ca="1">IF(OR($Q824&lt;&gt;1,OP!$D$5+$BN825-1&lt;16,$BN825-1&lt;1),0,ROUND(ROUND(ROUND(((VLOOKUP($BN825-1,MORE_PV,5,0)/10000)*VLOOKUP($BN825,MORE_PV,$CB$5,0)),3)*VLOOKUP($BN825,more1,5,0),0)/$R824,0))</f>
        <v>533</v>
      </c>
      <c r="CC825" s="473">
        <f t="shared" ca="1" si="545"/>
        <v>0</v>
      </c>
      <c r="CD825" s="477"/>
    </row>
    <row r="826" spans="2:82" ht="16.5" hidden="1">
      <c r="B826" s="80"/>
      <c r="C826" s="80"/>
      <c r="D826" s="80"/>
      <c r="E826" s="80"/>
      <c r="F826" s="80"/>
      <c r="G826" s="80"/>
      <c r="H826" s="80"/>
      <c r="I826" s="80"/>
      <c r="J826" s="192">
        <f t="shared" si="526"/>
        <v>69</v>
      </c>
      <c r="K826" s="192">
        <f t="shared" si="527"/>
        <v>2</v>
      </c>
      <c r="L826" s="192" t="str">
        <f t="shared" si="522"/>
        <v/>
      </c>
      <c r="M826" s="216">
        <f t="shared" ca="1" si="528"/>
        <v>0</v>
      </c>
      <c r="N826" s="216"/>
      <c r="O826" s="216"/>
      <c r="P826" s="216"/>
      <c r="Q826" s="456" t="str">
        <f t="shared" ca="1" si="529"/>
        <v/>
      </c>
      <c r="R826" s="450">
        <f t="shared" ca="1" si="530"/>
        <v>1</v>
      </c>
      <c r="S826" s="191">
        <f t="shared" si="531"/>
        <v>69</v>
      </c>
      <c r="T826" s="191">
        <f t="shared" si="532"/>
        <v>2</v>
      </c>
      <c r="U826" s="191">
        <f ca="1">OP!$D$5+$S826-1</f>
        <v>101</v>
      </c>
      <c r="V826" s="191" t="str">
        <f t="shared" si="533"/>
        <v/>
      </c>
      <c r="W826" s="350">
        <f ca="1">IF(Q826&lt;&gt;1,0,VLOOKUP(OP!$C$55,PVFB,$S826+2,0))</f>
        <v>0</v>
      </c>
      <c r="X826" s="473">
        <f t="shared" ca="1" si="546"/>
        <v>0</v>
      </c>
      <c r="Y826" s="348">
        <f t="shared" ca="1" si="547"/>
        <v>0</v>
      </c>
      <c r="Z826" s="348">
        <f t="shared" ca="1" si="548"/>
        <v>8012</v>
      </c>
      <c r="AA826" s="348">
        <f ca="1">IF(Q826&lt;&gt;1,0,VLOOKUP(OP!$C$55,PVFB,$S826+2,0))</f>
        <v>0</v>
      </c>
      <c r="AB826" s="488" t="str">
        <f ca="1">IF(AND(S826&lt;OP!$C$24,$U826&lt;15),0,IF(AND($U826&lt;15,$T826=12),ROUND(VLOOKUP($S826,DOWN16,5,0),3),IF($T826=12,ROUND(($Z826/10000)*$AA826,3)+IF(AND($P$7="購買增額繳清保險",T826=12,U826=110),VLOOKUP(S826,$B$10:$H$121,7,0),0),"")))</f>
        <v/>
      </c>
      <c r="AC826" s="350" t="str">
        <f ca="1">IF(AND(S826&lt;OP!$C$24,$U826&lt;15),0,IF(AND($U826&lt;16,$T826=12),VLOOKUP($S826,DOWN16,4,0),IF($T826=12,ROUND(VLOOKUP(OP!$C$55,_DIE2,$S826+1,0)*(Z826/10000),0)+IF(AND($P$7="購買增額繳清保險",T826=12,U826=110),VLOOKUP(S826,$B$10:$H$121,7,0),0),"")))</f>
        <v/>
      </c>
      <c r="AD826" s="347"/>
      <c r="AE826" s="350" t="str">
        <f t="shared" ca="1" si="523"/>
        <v/>
      </c>
      <c r="AF826" s="351" t="str">
        <f t="shared" ca="1" si="524"/>
        <v/>
      </c>
      <c r="AG826" s="340"/>
      <c r="AH826" s="340"/>
      <c r="AI826" s="340"/>
      <c r="AJ826" s="340"/>
      <c r="AK826" s="340"/>
      <c r="AL826" s="340"/>
      <c r="AM826" s="340"/>
      <c r="AN826" s="340"/>
      <c r="AO826" s="340"/>
      <c r="AP826" s="340"/>
      <c r="AQ826" s="340"/>
      <c r="AR826" s="340"/>
      <c r="AS826" s="340"/>
      <c r="AT826" s="340"/>
      <c r="AU826" s="340"/>
      <c r="AV826" s="340"/>
      <c r="AY826" s="340"/>
      <c r="AZ826" s="465">
        <f t="shared" ca="1" si="534"/>
        <v>7.3698599999999999E-5</v>
      </c>
      <c r="BA826" s="464">
        <f t="shared" ca="1" si="535"/>
        <v>2.2109589000000002E-3</v>
      </c>
      <c r="BB826" s="465">
        <f t="shared" ca="1" si="535"/>
        <v>2.2846575E-3</v>
      </c>
      <c r="BC826" s="466">
        <f t="shared" ca="1" si="536"/>
        <v>67754</v>
      </c>
      <c r="BD826" s="467">
        <f t="shared" ca="1" si="549"/>
        <v>67755</v>
      </c>
      <c r="BE826" s="467">
        <f t="shared" ca="1" si="537"/>
        <v>67784</v>
      </c>
      <c r="BF826" s="468">
        <f ca="1">IF(計算!$BC826&lt;OP!$C$3,0,BD826-BC826)</f>
        <v>1</v>
      </c>
      <c r="BG826" s="468">
        <f ca="1">IF($BE826&gt;DATE(YEAR($BD$9)+OP!$C$57,MONTH($BD$9),DAY($BD$9)),0,$BE826-$BD826+1)</f>
        <v>30</v>
      </c>
      <c r="BH826" s="469">
        <f t="shared" ca="1" si="538"/>
        <v>31</v>
      </c>
      <c r="BI826" t="str">
        <f t="shared" si="554"/>
        <v/>
      </c>
      <c r="BJ826">
        <v>1</v>
      </c>
      <c r="BN826" s="468">
        <f t="shared" si="550"/>
        <v>69</v>
      </c>
      <c r="BO826" s="468">
        <f t="shared" si="551"/>
        <v>1</v>
      </c>
      <c r="BP826" s="467">
        <f t="shared" ca="1" si="539"/>
        <v>67755</v>
      </c>
      <c r="BQ826" s="475">
        <f t="shared" ca="1" si="553"/>
        <v>101</v>
      </c>
      <c r="BR826" s="475" t="str">
        <f t="shared" si="552"/>
        <v/>
      </c>
      <c r="BS826" s="471" t="str">
        <f t="shared" si="540"/>
        <v/>
      </c>
      <c r="BT826" s="472" t="str">
        <f t="shared" si="555"/>
        <v/>
      </c>
      <c r="BU826" s="472">
        <f t="shared" ca="1" si="541"/>
        <v>0</v>
      </c>
      <c r="BV826" s="472">
        <f t="shared" ca="1" si="541"/>
        <v>0</v>
      </c>
      <c r="BW826" s="472"/>
      <c r="BX826" s="473">
        <f t="shared" ca="1" si="542"/>
        <v>1893887.0417001899</v>
      </c>
      <c r="BY826" s="473">
        <f t="shared" si="543"/>
        <v>0</v>
      </c>
      <c r="BZ826" s="473">
        <f t="shared" ca="1" si="525"/>
        <v>4326.8832339729997</v>
      </c>
      <c r="CA826" s="476">
        <f t="shared" ca="1" si="544"/>
        <v>0</v>
      </c>
      <c r="CB826" s="494">
        <f ca="1">IF(OR($Q825&lt;&gt;1,OP!$D$5+$BN826-1&lt;16,$BN826-1&lt;1),0,ROUND(ROUND(ROUND(((VLOOKUP($BN826-1,MORE_PV,5,0)/10000)*VLOOKUP($BN826,MORE_PV,$CB$5,0)),3)*VLOOKUP($BN826,more1,5,0),0)/$R825,0))</f>
        <v>0</v>
      </c>
      <c r="CC826" s="473">
        <f t="shared" ca="1" si="545"/>
        <v>0</v>
      </c>
      <c r="CD826" s="477"/>
    </row>
    <row r="827" spans="2:82" ht="16.5" hidden="1">
      <c r="B827" s="80"/>
      <c r="C827" s="80"/>
      <c r="D827" s="80"/>
      <c r="E827" s="80"/>
      <c r="F827" s="80"/>
      <c r="G827" s="80"/>
      <c r="H827" s="80"/>
      <c r="I827" s="80"/>
      <c r="J827" s="192">
        <f t="shared" si="526"/>
        <v>69</v>
      </c>
      <c r="K827" s="192">
        <f t="shared" si="527"/>
        <v>3</v>
      </c>
      <c r="L827" s="192" t="str">
        <f t="shared" si="522"/>
        <v/>
      </c>
      <c r="M827" s="216">
        <f t="shared" ca="1" si="528"/>
        <v>0</v>
      </c>
      <c r="N827" s="216"/>
      <c r="O827" s="216"/>
      <c r="P827" s="216"/>
      <c r="Q827" s="456" t="str">
        <f t="shared" ca="1" si="529"/>
        <v/>
      </c>
      <c r="R827" s="450">
        <f t="shared" ca="1" si="530"/>
        <v>1</v>
      </c>
      <c r="S827" s="191">
        <f t="shared" si="531"/>
        <v>69</v>
      </c>
      <c r="T827" s="191">
        <f t="shared" si="532"/>
        <v>3</v>
      </c>
      <c r="U827" s="191">
        <f ca="1">OP!$D$5+$S827-1</f>
        <v>101</v>
      </c>
      <c r="V827" s="191" t="str">
        <f t="shared" si="533"/>
        <v/>
      </c>
      <c r="W827" s="350">
        <f ca="1">IF(Q827&lt;&gt;1,0,VLOOKUP(OP!$C$55,PVFB,$S827+2,0))</f>
        <v>0</v>
      </c>
      <c r="X827" s="473">
        <f t="shared" ca="1" si="546"/>
        <v>0</v>
      </c>
      <c r="Y827" s="348">
        <f t="shared" ca="1" si="547"/>
        <v>0</v>
      </c>
      <c r="Z827" s="348">
        <f t="shared" ca="1" si="548"/>
        <v>8012</v>
      </c>
      <c r="AA827" s="348">
        <f ca="1">IF(Q827&lt;&gt;1,0,VLOOKUP(OP!$C$55,PVFB,$S827+2,0))</f>
        <v>0</v>
      </c>
      <c r="AB827" s="488" t="str">
        <f ca="1">IF(AND(S827&lt;OP!$C$24,$U827&lt;15),0,IF(AND($U827&lt;15,$T827=12),ROUND(VLOOKUP($S827,DOWN16,5,0),3),IF($T827=12,ROUND(($Z827/10000)*$AA827,3)+IF(AND($P$7="購買增額繳清保險",T827=12,U827=110),VLOOKUP(S827,$B$10:$H$121,7,0),0),"")))</f>
        <v/>
      </c>
      <c r="AC827" s="350" t="str">
        <f ca="1">IF(AND(S827&lt;OP!$C$24,$U827&lt;15),0,IF(AND($U827&lt;16,$T827=12),VLOOKUP($S827,DOWN16,4,0),IF($T827=12,ROUND(VLOOKUP(OP!$C$55,_DIE2,$S827+1,0)*(Z827/10000),0)+IF(AND($P$7="購買增額繳清保險",T827=12,U827=110),VLOOKUP(S827,$B$10:$H$121,7,0),0),"")))</f>
        <v/>
      </c>
      <c r="AD827" s="347"/>
      <c r="AE827" s="350" t="str">
        <f t="shared" ca="1" si="523"/>
        <v/>
      </c>
      <c r="AF827" s="351" t="str">
        <f t="shared" ca="1" si="524"/>
        <v/>
      </c>
      <c r="AG827" s="340"/>
      <c r="AH827" s="340"/>
      <c r="AI827" s="340"/>
      <c r="AJ827" s="340"/>
      <c r="AK827" s="340"/>
      <c r="AL827" s="340"/>
      <c r="AM827" s="340"/>
      <c r="AN827" s="340"/>
      <c r="AO827" s="340"/>
      <c r="AP827" s="340"/>
      <c r="AQ827" s="340"/>
      <c r="AR827" s="340"/>
      <c r="AS827" s="340"/>
      <c r="AT827" s="340"/>
      <c r="AU827" s="340"/>
      <c r="AV827" s="340"/>
      <c r="AY827" s="340"/>
      <c r="AZ827" s="465">
        <f t="shared" ca="1" si="534"/>
        <v>7.3698599999999999E-5</v>
      </c>
      <c r="BA827" s="464">
        <f t="shared" ca="1" si="535"/>
        <v>2.2109589000000002E-3</v>
      </c>
      <c r="BB827" s="465">
        <f t="shared" ca="1" si="535"/>
        <v>2.2846575E-3</v>
      </c>
      <c r="BC827" s="466">
        <f t="shared" ca="1" si="536"/>
        <v>67785</v>
      </c>
      <c r="BD827" s="467">
        <f t="shared" ca="1" si="549"/>
        <v>67786</v>
      </c>
      <c r="BE827" s="467">
        <f t="shared" ca="1" si="537"/>
        <v>67815</v>
      </c>
      <c r="BF827" s="468">
        <f ca="1">IF(計算!$BC827&lt;OP!$C$3,0,BD827-BC827)</f>
        <v>1</v>
      </c>
      <c r="BG827" s="468">
        <f ca="1">IF($BE827&gt;DATE(YEAR($BD$9)+OP!$C$57,MONTH($BD$9),DAY($BD$9)),0,$BE827-$BD827+1)</f>
        <v>30</v>
      </c>
      <c r="BH827" s="469">
        <f t="shared" ca="1" si="538"/>
        <v>31</v>
      </c>
      <c r="BI827" t="str">
        <f t="shared" si="554"/>
        <v/>
      </c>
      <c r="BJ827">
        <v>2</v>
      </c>
      <c r="BN827" s="468">
        <f t="shared" si="550"/>
        <v>69</v>
      </c>
      <c r="BO827" s="468">
        <f t="shared" si="551"/>
        <v>2</v>
      </c>
      <c r="BP827" s="467">
        <f t="shared" ca="1" si="539"/>
        <v>67786</v>
      </c>
      <c r="BQ827" s="475">
        <f t="shared" ca="1" si="553"/>
        <v>101</v>
      </c>
      <c r="BR827" s="475" t="str">
        <f t="shared" si="552"/>
        <v/>
      </c>
      <c r="BS827" s="471" t="str">
        <f t="shared" si="540"/>
        <v/>
      </c>
      <c r="BT827" s="472" t="str">
        <f t="shared" si="555"/>
        <v/>
      </c>
      <c r="BU827" s="472">
        <f t="shared" ca="1" si="541"/>
        <v>0</v>
      </c>
      <c r="BV827" s="472">
        <f t="shared" ca="1" si="541"/>
        <v>0</v>
      </c>
      <c r="BW827" s="472"/>
      <c r="BX827" s="473">
        <f t="shared" ca="1" si="542"/>
        <v>1898213.92493416</v>
      </c>
      <c r="BY827" s="473">
        <f t="shared" si="543"/>
        <v>0</v>
      </c>
      <c r="BZ827" s="473">
        <f t="shared" ca="1" si="525"/>
        <v>4336.7686802050002</v>
      </c>
      <c r="CA827" s="476">
        <f t="shared" ca="1" si="544"/>
        <v>0</v>
      </c>
      <c r="CB827" s="494">
        <f ca="1">IF(OR($Q826&lt;&gt;1,OP!$D$5+$BN827-1&lt;16,$BN827-1&lt;1),0,ROUND(ROUND(ROUND(((VLOOKUP($BN827-1,MORE_PV,5,0)/10000)*VLOOKUP($BN827,MORE_PV,$CB$5,0)),3)*VLOOKUP($BN827,more1,5,0),0)/$R826,0))</f>
        <v>0</v>
      </c>
      <c r="CC827" s="473">
        <f t="shared" ca="1" si="545"/>
        <v>0</v>
      </c>
      <c r="CD827" s="477"/>
    </row>
    <row r="828" spans="2:82" ht="16.5" hidden="1">
      <c r="B828" s="80"/>
      <c r="C828" s="80"/>
      <c r="D828" s="80"/>
      <c r="E828" s="80"/>
      <c r="F828" s="80"/>
      <c r="G828" s="80"/>
      <c r="H828" s="80"/>
      <c r="I828" s="80"/>
      <c r="J828" s="192">
        <f t="shared" si="526"/>
        <v>69</v>
      </c>
      <c r="K828" s="192">
        <f t="shared" si="527"/>
        <v>4</v>
      </c>
      <c r="L828" s="192" t="str">
        <f t="shared" si="522"/>
        <v/>
      </c>
      <c r="M828" s="216">
        <f t="shared" ca="1" si="528"/>
        <v>0</v>
      </c>
      <c r="N828" s="216"/>
      <c r="O828" s="216"/>
      <c r="P828" s="216"/>
      <c r="Q828" s="456" t="str">
        <f t="shared" ca="1" si="529"/>
        <v/>
      </c>
      <c r="R828" s="450">
        <f t="shared" ca="1" si="530"/>
        <v>1</v>
      </c>
      <c r="S828" s="191">
        <f t="shared" si="531"/>
        <v>69</v>
      </c>
      <c r="T828" s="191">
        <f t="shared" si="532"/>
        <v>4</v>
      </c>
      <c r="U828" s="191">
        <f ca="1">OP!$D$5+$S828-1</f>
        <v>101</v>
      </c>
      <c r="V828" s="191" t="str">
        <f t="shared" si="533"/>
        <v/>
      </c>
      <c r="W828" s="350">
        <f ca="1">IF(Q828&lt;&gt;1,0,VLOOKUP(OP!$C$55,PVFB,$S828+2,0))</f>
        <v>0</v>
      </c>
      <c r="X828" s="473">
        <f t="shared" ca="1" si="546"/>
        <v>0</v>
      </c>
      <c r="Y828" s="348">
        <f t="shared" ca="1" si="547"/>
        <v>0</v>
      </c>
      <c r="Z828" s="348">
        <f t="shared" ca="1" si="548"/>
        <v>8012</v>
      </c>
      <c r="AA828" s="348">
        <f ca="1">IF(Q828&lt;&gt;1,0,VLOOKUP(OP!$C$55,PVFB,$S828+2,0))</f>
        <v>0</v>
      </c>
      <c r="AB828" s="488" t="str">
        <f ca="1">IF(AND(S828&lt;OP!$C$24,$U828&lt;15),0,IF(AND($U828&lt;15,$T828=12),ROUND(VLOOKUP($S828,DOWN16,5,0),3),IF($T828=12,ROUND(($Z828/10000)*$AA828,3)+IF(AND($P$7="購買增額繳清保險",T828=12,U828=110),VLOOKUP(S828,$B$10:$H$121,7,0),0),"")))</f>
        <v/>
      </c>
      <c r="AC828" s="350" t="str">
        <f ca="1">IF(AND(S828&lt;OP!$C$24,$U828&lt;15),0,IF(AND($U828&lt;16,$T828=12),VLOOKUP($S828,DOWN16,4,0),IF($T828=12,ROUND(VLOOKUP(OP!$C$55,_DIE2,$S828+1,0)*(Z828/10000),0)+IF(AND($P$7="購買增額繳清保險",T828=12,U828=110),VLOOKUP(S828,$B$10:$H$121,7,0),0),"")))</f>
        <v/>
      </c>
      <c r="AD828" s="347"/>
      <c r="AE828" s="350" t="str">
        <f t="shared" ca="1" si="523"/>
        <v/>
      </c>
      <c r="AF828" s="351" t="str">
        <f t="shared" ca="1" si="524"/>
        <v/>
      </c>
      <c r="AG828" s="340"/>
      <c r="AH828" s="340"/>
      <c r="AI828" s="340"/>
      <c r="AJ828" s="340"/>
      <c r="AK828" s="340"/>
      <c r="AL828" s="340"/>
      <c r="AM828" s="340"/>
      <c r="AN828" s="340"/>
      <c r="AO828" s="340"/>
      <c r="AP828" s="340"/>
      <c r="AQ828" s="340"/>
      <c r="AR828" s="340"/>
      <c r="AS828" s="340"/>
      <c r="AT828" s="340"/>
      <c r="AU828" s="340"/>
      <c r="AV828" s="340"/>
      <c r="AY828" s="340"/>
      <c r="AZ828" s="465">
        <f t="shared" ca="1" si="534"/>
        <v>7.3698599999999999E-5</v>
      </c>
      <c r="BA828" s="464">
        <f t="shared" ca="1" si="535"/>
        <v>2.1372602999999999E-3</v>
      </c>
      <c r="BB828" s="465">
        <f t="shared" ca="1" si="535"/>
        <v>2.2109589000000002E-3</v>
      </c>
      <c r="BC828" s="466">
        <f t="shared" ca="1" si="536"/>
        <v>67816</v>
      </c>
      <c r="BD828" s="467">
        <f t="shared" ca="1" si="549"/>
        <v>67817</v>
      </c>
      <c r="BE828" s="467">
        <f t="shared" ca="1" si="537"/>
        <v>67845</v>
      </c>
      <c r="BF828" s="468">
        <f ca="1">IF(計算!$BC828&lt;OP!$C$3,0,BD828-BC828)</f>
        <v>1</v>
      </c>
      <c r="BG828" s="468">
        <f ca="1">IF($BE828&gt;DATE(YEAR($BD$9)+OP!$C$57,MONTH($BD$9),DAY($BD$9)),0,$BE828-$BD828+1)</f>
        <v>29</v>
      </c>
      <c r="BH828" s="469">
        <f t="shared" ca="1" si="538"/>
        <v>30</v>
      </c>
      <c r="BI828" t="str">
        <f t="shared" si="554"/>
        <v/>
      </c>
      <c r="BJ828">
        <v>3</v>
      </c>
      <c r="BN828" s="468">
        <f t="shared" si="550"/>
        <v>69</v>
      </c>
      <c r="BO828" s="468">
        <f t="shared" si="551"/>
        <v>3</v>
      </c>
      <c r="BP828" s="467">
        <f t="shared" ca="1" si="539"/>
        <v>67817</v>
      </c>
      <c r="BQ828" s="475">
        <f t="shared" ca="1" si="553"/>
        <v>101</v>
      </c>
      <c r="BR828" s="475" t="str">
        <f t="shared" si="552"/>
        <v/>
      </c>
      <c r="BS828" s="471" t="str">
        <f t="shared" si="540"/>
        <v/>
      </c>
      <c r="BT828" s="472" t="str">
        <f t="shared" si="555"/>
        <v/>
      </c>
      <c r="BU828" s="472">
        <f t="shared" ca="1" si="541"/>
        <v>0</v>
      </c>
      <c r="BV828" s="472">
        <f t="shared" ca="1" si="541"/>
        <v>0</v>
      </c>
      <c r="BW828" s="472"/>
      <c r="BX828" s="473">
        <f t="shared" ca="1" si="542"/>
        <v>1902550.69361437</v>
      </c>
      <c r="BY828" s="473">
        <f t="shared" si="543"/>
        <v>0</v>
      </c>
      <c r="BZ828" s="473">
        <f t="shared" ca="1" si="525"/>
        <v>4206.461388748</v>
      </c>
      <c r="CA828" s="476">
        <f t="shared" ca="1" si="544"/>
        <v>0</v>
      </c>
      <c r="CB828" s="494">
        <f ca="1">IF(OR($Q827&lt;&gt;1,OP!$D$5+$BN828-1&lt;16,$BN828-1&lt;1),0,ROUND(ROUND(ROUND(((VLOOKUP($BN828-1,MORE_PV,5,0)/10000)*VLOOKUP($BN828,MORE_PV,$CB$5,0)),3)*VLOOKUP($BN828,more1,5,0),0)/$R827,0))</f>
        <v>0</v>
      </c>
      <c r="CC828" s="473">
        <f t="shared" ca="1" si="545"/>
        <v>0</v>
      </c>
      <c r="CD828" s="477"/>
    </row>
    <row r="829" spans="2:82" ht="16.5" hidden="1">
      <c r="B829" s="80"/>
      <c r="C829" s="80"/>
      <c r="D829" s="80"/>
      <c r="E829" s="80"/>
      <c r="F829" s="80"/>
      <c r="G829" s="80"/>
      <c r="H829" s="80"/>
      <c r="I829" s="80"/>
      <c r="J829" s="192">
        <f t="shared" si="526"/>
        <v>69</v>
      </c>
      <c r="K829" s="192">
        <f t="shared" si="527"/>
        <v>5</v>
      </c>
      <c r="L829" s="192" t="str">
        <f t="shared" si="522"/>
        <v/>
      </c>
      <c r="M829" s="216">
        <f t="shared" ca="1" si="528"/>
        <v>0</v>
      </c>
      <c r="N829" s="216"/>
      <c r="O829" s="216"/>
      <c r="P829" s="216"/>
      <c r="Q829" s="456" t="str">
        <f t="shared" ca="1" si="529"/>
        <v/>
      </c>
      <c r="R829" s="450">
        <f t="shared" ca="1" si="530"/>
        <v>1</v>
      </c>
      <c r="S829" s="191">
        <f t="shared" si="531"/>
        <v>69</v>
      </c>
      <c r="T829" s="191">
        <f t="shared" si="532"/>
        <v>5</v>
      </c>
      <c r="U829" s="191">
        <f ca="1">OP!$D$5+$S829-1</f>
        <v>101</v>
      </c>
      <c r="V829" s="191" t="str">
        <f t="shared" si="533"/>
        <v/>
      </c>
      <c r="W829" s="350">
        <f ca="1">IF(Q829&lt;&gt;1,0,VLOOKUP(OP!$C$55,PVFB,$S829+2,0))</f>
        <v>0</v>
      </c>
      <c r="X829" s="473">
        <f t="shared" ca="1" si="546"/>
        <v>0</v>
      </c>
      <c r="Y829" s="348">
        <f t="shared" ca="1" si="547"/>
        <v>0</v>
      </c>
      <c r="Z829" s="348">
        <f t="shared" ca="1" si="548"/>
        <v>8012</v>
      </c>
      <c r="AA829" s="348">
        <f ca="1">IF(Q829&lt;&gt;1,0,VLOOKUP(OP!$C$55,PVFB,$S829+2,0))</f>
        <v>0</v>
      </c>
      <c r="AB829" s="488" t="str">
        <f ca="1">IF(AND(S829&lt;OP!$C$24,$U829&lt;15),0,IF(AND($U829&lt;15,$T829=12),ROUND(VLOOKUP($S829,DOWN16,5,0),3),IF($T829=12,ROUND(($Z829/10000)*$AA829,3)+IF(AND($P$7="購買增額繳清保險",T829=12,U829=110),VLOOKUP(S829,$B$10:$H$121,7,0),0),"")))</f>
        <v/>
      </c>
      <c r="AC829" s="350" t="str">
        <f ca="1">IF(AND(S829&lt;OP!$C$24,$U829&lt;15),0,IF(AND($U829&lt;16,$T829=12),VLOOKUP($S829,DOWN16,4,0),IF($T829=12,ROUND(VLOOKUP(OP!$C$55,_DIE2,$S829+1,0)*(Z829/10000),0)+IF(AND($P$7="購買增額繳清保險",T829=12,U829=110),VLOOKUP(S829,$B$10:$H$121,7,0),0),"")))</f>
        <v/>
      </c>
      <c r="AD829" s="347"/>
      <c r="AE829" s="350" t="str">
        <f t="shared" ca="1" si="523"/>
        <v/>
      </c>
      <c r="AF829" s="351" t="str">
        <f t="shared" ca="1" si="524"/>
        <v/>
      </c>
      <c r="AG829" s="340"/>
      <c r="AH829" s="340"/>
      <c r="AI829" s="340"/>
      <c r="AJ829" s="340"/>
      <c r="AK829" s="340"/>
      <c r="AL829" s="340"/>
      <c r="AM829" s="340"/>
      <c r="AN829" s="340"/>
      <c r="AO829" s="340"/>
      <c r="AP829" s="340"/>
      <c r="AQ829" s="340"/>
      <c r="AR829" s="340"/>
      <c r="AS829" s="340"/>
      <c r="AT829" s="340"/>
      <c r="AU829" s="340"/>
      <c r="AV829" s="340"/>
      <c r="AY829" s="340"/>
      <c r="AZ829" s="465">
        <f t="shared" ca="1" si="534"/>
        <v>7.3698599999999999E-5</v>
      </c>
      <c r="BA829" s="464">
        <f t="shared" ca="1" si="535"/>
        <v>2.2109589000000002E-3</v>
      </c>
      <c r="BB829" s="465">
        <f t="shared" ca="1" si="535"/>
        <v>2.2846575E-3</v>
      </c>
      <c r="BC829" s="466">
        <f t="shared" ca="1" si="536"/>
        <v>67846</v>
      </c>
      <c r="BD829" s="467">
        <f t="shared" ca="1" si="549"/>
        <v>67847</v>
      </c>
      <c r="BE829" s="467">
        <f t="shared" ca="1" si="537"/>
        <v>67876</v>
      </c>
      <c r="BF829" s="468">
        <f ca="1">IF(計算!$BC829&lt;OP!$C$3,0,BD829-BC829)</f>
        <v>1</v>
      </c>
      <c r="BG829" s="468">
        <f ca="1">IF($BE829&gt;DATE(YEAR($BD$9)+OP!$C$57,MONTH($BD$9),DAY($BD$9)),0,$BE829-$BD829+1)</f>
        <v>30</v>
      </c>
      <c r="BH829" s="469">
        <f t="shared" ca="1" si="538"/>
        <v>31</v>
      </c>
      <c r="BI829" t="str">
        <f t="shared" si="554"/>
        <v/>
      </c>
      <c r="BJ829">
        <v>4</v>
      </c>
      <c r="BN829" s="468">
        <f t="shared" si="550"/>
        <v>69</v>
      </c>
      <c r="BO829" s="468">
        <f t="shared" si="551"/>
        <v>4</v>
      </c>
      <c r="BP829" s="467">
        <f t="shared" ca="1" si="539"/>
        <v>67847</v>
      </c>
      <c r="BQ829" s="475">
        <f t="shared" ca="1" si="553"/>
        <v>101</v>
      </c>
      <c r="BR829" s="475" t="str">
        <f t="shared" si="552"/>
        <v/>
      </c>
      <c r="BS829" s="471" t="str">
        <f t="shared" si="540"/>
        <v/>
      </c>
      <c r="BT829" s="472" t="str">
        <f t="shared" si="555"/>
        <v/>
      </c>
      <c r="BU829" s="472">
        <f t="shared" ca="1" si="541"/>
        <v>0</v>
      </c>
      <c r="BV829" s="472">
        <f t="shared" ca="1" si="541"/>
        <v>0</v>
      </c>
      <c r="BW829" s="472"/>
      <c r="BX829" s="473">
        <f t="shared" ca="1" si="542"/>
        <v>1906757.15500312</v>
      </c>
      <c r="BY829" s="473">
        <f t="shared" si="543"/>
        <v>0</v>
      </c>
      <c r="BZ829" s="473">
        <f t="shared" ca="1" si="525"/>
        <v>4356.2870348570004</v>
      </c>
      <c r="CA829" s="476">
        <f t="shared" ca="1" si="544"/>
        <v>0</v>
      </c>
      <c r="CB829" s="494">
        <f ca="1">IF(OR($Q828&lt;&gt;1,OP!$D$5+$BN829-1&lt;16,$BN829-1&lt;1),0,ROUND(ROUND(ROUND(((VLOOKUP($BN829-1,MORE_PV,5,0)/10000)*VLOOKUP($BN829,MORE_PV,$CB$5,0)),3)*VLOOKUP($BN829,more1,5,0),0)/$R828,0))</f>
        <v>0</v>
      </c>
      <c r="CC829" s="473">
        <f t="shared" ca="1" si="545"/>
        <v>0</v>
      </c>
      <c r="CD829" s="477"/>
    </row>
    <row r="830" spans="2:82" ht="16.5" hidden="1">
      <c r="B830" s="80"/>
      <c r="C830" s="80"/>
      <c r="D830" s="80"/>
      <c r="E830" s="80"/>
      <c r="F830" s="80"/>
      <c r="G830" s="80"/>
      <c r="H830" s="80"/>
      <c r="I830" s="80"/>
      <c r="J830" s="192">
        <f t="shared" si="526"/>
        <v>69</v>
      </c>
      <c r="K830" s="192">
        <f t="shared" si="527"/>
        <v>6</v>
      </c>
      <c r="L830" s="192" t="str">
        <f t="shared" si="522"/>
        <v/>
      </c>
      <c r="M830" s="216">
        <f t="shared" ca="1" si="528"/>
        <v>0</v>
      </c>
      <c r="N830" s="216"/>
      <c r="O830" s="216"/>
      <c r="P830" s="216"/>
      <c r="Q830" s="456" t="str">
        <f t="shared" ca="1" si="529"/>
        <v/>
      </c>
      <c r="R830" s="450">
        <f t="shared" ca="1" si="530"/>
        <v>1</v>
      </c>
      <c r="S830" s="191">
        <f t="shared" si="531"/>
        <v>69</v>
      </c>
      <c r="T830" s="191">
        <f t="shared" si="532"/>
        <v>6</v>
      </c>
      <c r="U830" s="191">
        <f ca="1">OP!$D$5+$S830-1</f>
        <v>101</v>
      </c>
      <c r="V830" s="191" t="str">
        <f t="shared" si="533"/>
        <v/>
      </c>
      <c r="W830" s="350">
        <f ca="1">IF(Q830&lt;&gt;1,0,VLOOKUP(OP!$C$55,PVFB,$S830+2,0))</f>
        <v>0</v>
      </c>
      <c r="X830" s="473">
        <f t="shared" ca="1" si="546"/>
        <v>0</v>
      </c>
      <c r="Y830" s="348">
        <f t="shared" ca="1" si="547"/>
        <v>0</v>
      </c>
      <c r="Z830" s="348">
        <f t="shared" ca="1" si="548"/>
        <v>8012</v>
      </c>
      <c r="AA830" s="348">
        <f ca="1">IF(Q830&lt;&gt;1,0,VLOOKUP(OP!$C$55,PVFB,$S830+2,0))</f>
        <v>0</v>
      </c>
      <c r="AB830" s="488" t="str">
        <f ca="1">IF(AND(S830&lt;OP!$C$24,$U830&lt;15),0,IF(AND($U830&lt;15,$T830=12),ROUND(VLOOKUP($S830,DOWN16,5,0),3),IF($T830=12,ROUND(($Z830/10000)*$AA830,3)+IF(AND($P$7="購買增額繳清保險",T830=12,U830=110),VLOOKUP(S830,$B$10:$H$121,7,0),0),"")))</f>
        <v/>
      </c>
      <c r="AC830" s="350" t="str">
        <f ca="1">IF(AND(S830&lt;OP!$C$24,$U830&lt;15),0,IF(AND($U830&lt;16,$T830=12),VLOOKUP($S830,DOWN16,4,0),IF($T830=12,ROUND(VLOOKUP(OP!$C$55,_DIE2,$S830+1,0)*(Z830/10000),0)+IF(AND($P$7="購買增額繳清保險",T830=12,U830=110),VLOOKUP(S830,$B$10:$H$121,7,0),0),"")))</f>
        <v/>
      </c>
      <c r="AD830" s="347"/>
      <c r="AE830" s="350" t="str">
        <f t="shared" ca="1" si="523"/>
        <v/>
      </c>
      <c r="AF830" s="351" t="str">
        <f t="shared" ca="1" si="524"/>
        <v/>
      </c>
      <c r="AG830" s="340"/>
      <c r="AH830" s="340"/>
      <c r="AI830" s="340"/>
      <c r="AJ830" s="340"/>
      <c r="AK830" s="340"/>
      <c r="AL830" s="340"/>
      <c r="AM830" s="340"/>
      <c r="AN830" s="340"/>
      <c r="AO830" s="340"/>
      <c r="AP830" s="340"/>
      <c r="AQ830" s="340"/>
      <c r="AR830" s="340"/>
      <c r="AS830" s="340"/>
      <c r="AT830" s="340"/>
      <c r="AU830" s="340"/>
      <c r="AV830" s="340"/>
      <c r="AY830" s="340"/>
      <c r="AZ830" s="465">
        <f t="shared" ca="1" si="534"/>
        <v>7.3698599999999999E-5</v>
      </c>
      <c r="BA830" s="464">
        <f t="shared" ca="1" si="535"/>
        <v>2.1372602999999999E-3</v>
      </c>
      <c r="BB830" s="465">
        <f t="shared" ca="1" si="535"/>
        <v>2.2109589000000002E-3</v>
      </c>
      <c r="BC830" s="466">
        <f t="shared" ca="1" si="536"/>
        <v>67877</v>
      </c>
      <c r="BD830" s="467">
        <f t="shared" ca="1" si="549"/>
        <v>67878</v>
      </c>
      <c r="BE830" s="467">
        <f t="shared" ca="1" si="537"/>
        <v>67906</v>
      </c>
      <c r="BF830" s="468">
        <f ca="1">IF(計算!$BC830&lt;OP!$C$3,0,BD830-BC830)</f>
        <v>1</v>
      </c>
      <c r="BG830" s="468">
        <f ca="1">IF($BE830&gt;DATE(YEAR($BD$9)+OP!$C$57,MONTH($BD$9),DAY($BD$9)),0,$BE830-$BD830+1)</f>
        <v>29</v>
      </c>
      <c r="BH830" s="469">
        <f t="shared" ca="1" si="538"/>
        <v>30</v>
      </c>
      <c r="BI830" t="str">
        <f t="shared" si="554"/>
        <v/>
      </c>
      <c r="BJ830">
        <v>5</v>
      </c>
      <c r="BN830" s="468">
        <f t="shared" si="550"/>
        <v>69</v>
      </c>
      <c r="BO830" s="468">
        <f t="shared" si="551"/>
        <v>5</v>
      </c>
      <c r="BP830" s="467">
        <f t="shared" ca="1" si="539"/>
        <v>67878</v>
      </c>
      <c r="BQ830" s="475">
        <f t="shared" ca="1" si="553"/>
        <v>101</v>
      </c>
      <c r="BR830" s="475" t="str">
        <f t="shared" si="552"/>
        <v/>
      </c>
      <c r="BS830" s="471" t="str">
        <f t="shared" si="540"/>
        <v/>
      </c>
      <c r="BT830" s="472" t="str">
        <f t="shared" si="555"/>
        <v/>
      </c>
      <c r="BU830" s="472">
        <f t="shared" ca="1" si="541"/>
        <v>0</v>
      </c>
      <c r="BV830" s="472">
        <f t="shared" ca="1" si="541"/>
        <v>0</v>
      </c>
      <c r="BW830" s="472"/>
      <c r="BX830" s="473">
        <f t="shared" ca="1" si="542"/>
        <v>1911113.4420379801</v>
      </c>
      <c r="BY830" s="473">
        <f t="shared" si="543"/>
        <v>0</v>
      </c>
      <c r="BZ830" s="473">
        <f t="shared" ca="1" si="525"/>
        <v>4225.3932735839999</v>
      </c>
      <c r="CA830" s="476">
        <f t="shared" ca="1" si="544"/>
        <v>0</v>
      </c>
      <c r="CB830" s="494">
        <f ca="1">IF(OR($Q829&lt;&gt;1,OP!$D$5+$BN830-1&lt;16,$BN830-1&lt;1),0,ROUND(ROUND(ROUND(((VLOOKUP($BN830-1,MORE_PV,5,0)/10000)*VLOOKUP($BN830,MORE_PV,$CB$5,0)),3)*VLOOKUP($BN830,more1,5,0),0)/$R829,0))</f>
        <v>0</v>
      </c>
      <c r="CC830" s="473">
        <f t="shared" ca="1" si="545"/>
        <v>0</v>
      </c>
      <c r="CD830" s="477"/>
    </row>
    <row r="831" spans="2:82" ht="16.5" hidden="1">
      <c r="B831" s="80"/>
      <c r="C831" s="80"/>
      <c r="D831" s="80"/>
      <c r="E831" s="80"/>
      <c r="F831" s="80"/>
      <c r="G831" s="80"/>
      <c r="H831" s="80"/>
      <c r="I831" s="80"/>
      <c r="J831" s="192">
        <f t="shared" si="526"/>
        <v>69</v>
      </c>
      <c r="K831" s="192">
        <f t="shared" si="527"/>
        <v>7</v>
      </c>
      <c r="L831" s="192" t="str">
        <f t="shared" si="522"/>
        <v/>
      </c>
      <c r="M831" s="216">
        <f t="shared" ca="1" si="528"/>
        <v>0</v>
      </c>
      <c r="N831" s="216"/>
      <c r="O831" s="216"/>
      <c r="P831" s="216"/>
      <c r="Q831" s="456" t="str">
        <f t="shared" ca="1" si="529"/>
        <v/>
      </c>
      <c r="R831" s="450">
        <f t="shared" ca="1" si="530"/>
        <v>1</v>
      </c>
      <c r="S831" s="191">
        <f t="shared" si="531"/>
        <v>69</v>
      </c>
      <c r="T831" s="191">
        <f t="shared" si="532"/>
        <v>7</v>
      </c>
      <c r="U831" s="191">
        <f ca="1">OP!$D$5+$S831-1</f>
        <v>101</v>
      </c>
      <c r="V831" s="191" t="str">
        <f t="shared" si="533"/>
        <v/>
      </c>
      <c r="W831" s="350">
        <f ca="1">IF(Q831&lt;&gt;1,0,VLOOKUP(OP!$C$55,PVFB,$S831+2,0))</f>
        <v>0</v>
      </c>
      <c r="X831" s="473">
        <f t="shared" ca="1" si="546"/>
        <v>0</v>
      </c>
      <c r="Y831" s="348">
        <f t="shared" ca="1" si="547"/>
        <v>0</v>
      </c>
      <c r="Z831" s="348">
        <f t="shared" ca="1" si="548"/>
        <v>8012</v>
      </c>
      <c r="AA831" s="348">
        <f ca="1">IF(Q831&lt;&gt;1,0,VLOOKUP(OP!$C$55,PVFB,$S831+2,0))</f>
        <v>0</v>
      </c>
      <c r="AB831" s="488" t="str">
        <f ca="1">IF(AND(S831&lt;OP!$C$24,$U831&lt;15),0,IF(AND($U831&lt;15,$T831=12),ROUND(VLOOKUP($S831,DOWN16,5,0),3),IF($T831=12,ROUND(($Z831/10000)*$AA831,3)+IF(AND($P$7="購買增額繳清保險",T831=12,U831=110),VLOOKUP(S831,$B$10:$H$121,7,0),0),"")))</f>
        <v/>
      </c>
      <c r="AC831" s="350" t="str">
        <f ca="1">IF(AND(S831&lt;OP!$C$24,$U831&lt;15),0,IF(AND($U831&lt;16,$T831=12),VLOOKUP($S831,DOWN16,4,0),IF($T831=12,ROUND(VLOOKUP(OP!$C$55,_DIE2,$S831+1,0)*(Z831/10000),0)+IF(AND($P$7="購買增額繳清保險",T831=12,U831=110),VLOOKUP(S831,$B$10:$H$121,7,0),0),"")))</f>
        <v/>
      </c>
      <c r="AD831" s="347"/>
      <c r="AE831" s="350" t="str">
        <f t="shared" ca="1" si="523"/>
        <v/>
      </c>
      <c r="AF831" s="351" t="str">
        <f t="shared" ca="1" si="524"/>
        <v/>
      </c>
      <c r="AG831" s="340"/>
      <c r="AH831" s="340"/>
      <c r="AI831" s="340"/>
      <c r="AJ831" s="340"/>
      <c r="AK831" s="340"/>
      <c r="AL831" s="340"/>
      <c r="AM831" s="340"/>
      <c r="AN831" s="340"/>
      <c r="AO831" s="340"/>
      <c r="AP831" s="340"/>
      <c r="AQ831" s="340"/>
      <c r="AR831" s="340"/>
      <c r="AS831" s="340"/>
      <c r="AT831" s="340"/>
      <c r="AU831" s="340"/>
      <c r="AV831" s="340"/>
      <c r="AY831" s="340"/>
      <c r="AZ831" s="465">
        <f t="shared" ca="1" si="534"/>
        <v>7.3698599999999999E-5</v>
      </c>
      <c r="BA831" s="464">
        <f t="shared" ca="1" si="535"/>
        <v>2.2109589000000002E-3</v>
      </c>
      <c r="BB831" s="465">
        <f t="shared" ca="1" si="535"/>
        <v>2.2846575E-3</v>
      </c>
      <c r="BC831" s="466">
        <f t="shared" ca="1" si="536"/>
        <v>67907</v>
      </c>
      <c r="BD831" s="467">
        <f t="shared" ca="1" si="549"/>
        <v>67908</v>
      </c>
      <c r="BE831" s="467">
        <f t="shared" ca="1" si="537"/>
        <v>67937</v>
      </c>
      <c r="BF831" s="468">
        <f ca="1">IF(計算!$BC831&lt;OP!$C$3,0,BD831-BC831)</f>
        <v>1</v>
      </c>
      <c r="BG831" s="468">
        <f ca="1">IF($BE831&gt;DATE(YEAR($BD$9)+OP!$C$57,MONTH($BD$9),DAY($BD$9)),0,$BE831-$BD831+1)</f>
        <v>30</v>
      </c>
      <c r="BH831" s="469">
        <f t="shared" ca="1" si="538"/>
        <v>31</v>
      </c>
      <c r="BI831" t="str">
        <f t="shared" si="554"/>
        <v/>
      </c>
      <c r="BJ831">
        <v>6</v>
      </c>
      <c r="BN831" s="468">
        <f t="shared" si="550"/>
        <v>69</v>
      </c>
      <c r="BO831" s="468">
        <f t="shared" si="551"/>
        <v>6</v>
      </c>
      <c r="BP831" s="467">
        <f t="shared" ca="1" si="539"/>
        <v>67908</v>
      </c>
      <c r="BQ831" s="475">
        <f t="shared" ca="1" si="553"/>
        <v>101</v>
      </c>
      <c r="BR831" s="475" t="str">
        <f t="shared" si="552"/>
        <v/>
      </c>
      <c r="BS831" s="471" t="str">
        <f t="shared" si="540"/>
        <v/>
      </c>
      <c r="BT831" s="472" t="str">
        <f t="shared" si="555"/>
        <v/>
      </c>
      <c r="BU831" s="472">
        <f t="shared" ca="1" si="541"/>
        <v>0</v>
      </c>
      <c r="BV831" s="472">
        <f t="shared" ca="1" si="541"/>
        <v>0</v>
      </c>
      <c r="BW831" s="472"/>
      <c r="BX831" s="473">
        <f t="shared" ca="1" si="542"/>
        <v>1915338.83531156</v>
      </c>
      <c r="BY831" s="473">
        <f t="shared" si="543"/>
        <v>0</v>
      </c>
      <c r="BZ831" s="473">
        <f t="shared" ca="1" si="525"/>
        <v>4375.8932351359999</v>
      </c>
      <c r="CA831" s="476">
        <f t="shared" ca="1" si="544"/>
        <v>0</v>
      </c>
      <c r="CB831" s="494">
        <f ca="1">IF(OR($Q830&lt;&gt;1,OP!$D$5+$BN831-1&lt;16,$BN831-1&lt;1),0,ROUND(ROUND(ROUND(((VLOOKUP($BN831-1,MORE_PV,5,0)/10000)*VLOOKUP($BN831,MORE_PV,$CB$5,0)),3)*VLOOKUP($BN831,more1,5,0),0)/$R830,0))</f>
        <v>0</v>
      </c>
      <c r="CC831" s="473">
        <f t="shared" ca="1" si="545"/>
        <v>0</v>
      </c>
      <c r="CD831" s="477"/>
    </row>
    <row r="832" spans="2:82" ht="16.5" hidden="1">
      <c r="B832" s="80"/>
      <c r="C832" s="80"/>
      <c r="D832" s="80"/>
      <c r="E832" s="80"/>
      <c r="F832" s="80"/>
      <c r="G832" s="80"/>
      <c r="H832" s="80"/>
      <c r="I832" s="80"/>
      <c r="J832" s="192">
        <f t="shared" si="526"/>
        <v>69</v>
      </c>
      <c r="K832" s="192">
        <f t="shared" si="527"/>
        <v>8</v>
      </c>
      <c r="L832" s="192" t="str">
        <f t="shared" si="522"/>
        <v/>
      </c>
      <c r="M832" s="216">
        <f t="shared" ca="1" si="528"/>
        <v>0</v>
      </c>
      <c r="N832" s="216"/>
      <c r="O832" s="216"/>
      <c r="P832" s="216"/>
      <c r="Q832" s="456" t="str">
        <f t="shared" ca="1" si="529"/>
        <v/>
      </c>
      <c r="R832" s="450">
        <f t="shared" ca="1" si="530"/>
        <v>1</v>
      </c>
      <c r="S832" s="191">
        <f t="shared" si="531"/>
        <v>69</v>
      </c>
      <c r="T832" s="191">
        <f t="shared" si="532"/>
        <v>8</v>
      </c>
      <c r="U832" s="191">
        <f ca="1">OP!$D$5+$S832-1</f>
        <v>101</v>
      </c>
      <c r="V832" s="191" t="str">
        <f t="shared" si="533"/>
        <v/>
      </c>
      <c r="W832" s="350">
        <f ca="1">IF(Q832&lt;&gt;1,0,VLOOKUP(OP!$C$55,PVFB,$S832+2,0))</f>
        <v>0</v>
      </c>
      <c r="X832" s="473">
        <f t="shared" ca="1" si="546"/>
        <v>0</v>
      </c>
      <c r="Y832" s="348">
        <f t="shared" ca="1" si="547"/>
        <v>0</v>
      </c>
      <c r="Z832" s="348">
        <f t="shared" ca="1" si="548"/>
        <v>8012</v>
      </c>
      <c r="AA832" s="348">
        <f ca="1">IF(Q832&lt;&gt;1,0,VLOOKUP(OP!$C$55,PVFB,$S832+2,0))</f>
        <v>0</v>
      </c>
      <c r="AB832" s="488" t="str">
        <f ca="1">IF(AND(S832&lt;OP!$C$24,$U832&lt;15),0,IF(AND($U832&lt;15,$T832=12),ROUND(VLOOKUP($S832,DOWN16,5,0),3),IF($T832=12,ROUND(($Z832/10000)*$AA832,3)+IF(AND($P$7="購買增額繳清保險",T832=12,U832=110),VLOOKUP(S832,$B$10:$H$121,7,0),0),"")))</f>
        <v/>
      </c>
      <c r="AC832" s="350" t="str">
        <f ca="1">IF(AND(S832&lt;OP!$C$24,$U832&lt;15),0,IF(AND($U832&lt;16,$T832=12),VLOOKUP($S832,DOWN16,4,0),IF($T832=12,ROUND(VLOOKUP(OP!$C$55,_DIE2,$S832+1,0)*(Z832/10000),0)+IF(AND($P$7="購買增額繳清保險",T832=12,U832=110),VLOOKUP(S832,$B$10:$H$121,7,0),0),"")))</f>
        <v/>
      </c>
      <c r="AD832" s="347"/>
      <c r="AE832" s="350" t="str">
        <f t="shared" ca="1" si="523"/>
        <v/>
      </c>
      <c r="AF832" s="351" t="str">
        <f t="shared" ca="1" si="524"/>
        <v/>
      </c>
      <c r="AG832" s="340"/>
      <c r="AH832" s="340"/>
      <c r="AI832" s="340"/>
      <c r="AJ832" s="340"/>
      <c r="AK832" s="340"/>
      <c r="AL832" s="340"/>
      <c r="AM832" s="340"/>
      <c r="AN832" s="340"/>
      <c r="AO832" s="340"/>
      <c r="AP832" s="340"/>
      <c r="AQ832" s="340"/>
      <c r="AR832" s="340"/>
      <c r="AS832" s="340"/>
      <c r="AT832" s="340"/>
      <c r="AU832" s="340"/>
      <c r="AV832" s="340"/>
      <c r="AY832" s="340"/>
      <c r="AZ832" s="465">
        <f t="shared" ca="1" si="534"/>
        <v>7.3698599999999999E-5</v>
      </c>
      <c r="BA832" s="464">
        <f t="shared" ca="1" si="535"/>
        <v>2.2109589000000002E-3</v>
      </c>
      <c r="BB832" s="465">
        <f t="shared" ca="1" si="535"/>
        <v>2.2846575E-3</v>
      </c>
      <c r="BC832" s="466">
        <f t="shared" ca="1" si="536"/>
        <v>67938</v>
      </c>
      <c r="BD832" s="467">
        <f t="shared" ca="1" si="549"/>
        <v>67939</v>
      </c>
      <c r="BE832" s="467">
        <f t="shared" ca="1" si="537"/>
        <v>67968</v>
      </c>
      <c r="BF832" s="468">
        <f ca="1">IF(計算!$BC832&lt;OP!$C$3,0,BD832-BC832)</f>
        <v>1</v>
      </c>
      <c r="BG832" s="468">
        <f ca="1">IF($BE832&gt;DATE(YEAR($BD$9)+OP!$C$57,MONTH($BD$9),DAY($BD$9)),0,$BE832-$BD832+1)</f>
        <v>30</v>
      </c>
      <c r="BH832" s="469">
        <f t="shared" ca="1" si="538"/>
        <v>31</v>
      </c>
      <c r="BI832" t="str">
        <f t="shared" si="554"/>
        <v/>
      </c>
      <c r="BJ832">
        <v>7</v>
      </c>
      <c r="BN832" s="468">
        <f t="shared" si="550"/>
        <v>69</v>
      </c>
      <c r="BO832" s="468">
        <f t="shared" si="551"/>
        <v>7</v>
      </c>
      <c r="BP832" s="467">
        <f t="shared" ca="1" si="539"/>
        <v>67939</v>
      </c>
      <c r="BQ832" s="475">
        <f t="shared" ca="1" si="553"/>
        <v>101</v>
      </c>
      <c r="BR832" s="475" t="str">
        <f t="shared" si="552"/>
        <v/>
      </c>
      <c r="BS832" s="471" t="str">
        <f t="shared" si="540"/>
        <v/>
      </c>
      <c r="BT832" s="472" t="str">
        <f t="shared" si="555"/>
        <v/>
      </c>
      <c r="BU832" s="472">
        <f t="shared" ca="1" si="541"/>
        <v>0</v>
      </c>
      <c r="BV832" s="472">
        <f t="shared" ca="1" si="541"/>
        <v>0</v>
      </c>
      <c r="BW832" s="472"/>
      <c r="BX832" s="473">
        <f t="shared" ca="1" si="542"/>
        <v>1919714.7285467</v>
      </c>
      <c r="BY832" s="473">
        <f t="shared" si="543"/>
        <v>0</v>
      </c>
      <c r="BZ832" s="473">
        <f t="shared" ca="1" si="525"/>
        <v>4385.8906524350004</v>
      </c>
      <c r="CA832" s="476">
        <f t="shared" ca="1" si="544"/>
        <v>0</v>
      </c>
      <c r="CB832" s="494">
        <f ca="1">IF(OR($Q831&lt;&gt;1,OP!$D$5+$BN832-1&lt;16,$BN832-1&lt;1),0,ROUND(ROUND(ROUND(((VLOOKUP($BN832-1,MORE_PV,5,0)/10000)*VLOOKUP($BN832,MORE_PV,$CB$5,0)),3)*VLOOKUP($BN832,more1,5,0),0)/$R831,0))</f>
        <v>0</v>
      </c>
      <c r="CC832" s="473">
        <f t="shared" ca="1" si="545"/>
        <v>0</v>
      </c>
      <c r="CD832" s="477"/>
    </row>
    <row r="833" spans="2:82" ht="16.5" hidden="1">
      <c r="B833" s="80"/>
      <c r="C833" s="80"/>
      <c r="D833" s="80"/>
      <c r="E833" s="80"/>
      <c r="F833" s="80"/>
      <c r="G833" s="80"/>
      <c r="H833" s="80"/>
      <c r="I833" s="80"/>
      <c r="J833" s="192">
        <f t="shared" si="526"/>
        <v>69</v>
      </c>
      <c r="K833" s="192">
        <f t="shared" si="527"/>
        <v>9</v>
      </c>
      <c r="L833" s="192" t="str">
        <f t="shared" si="522"/>
        <v/>
      </c>
      <c r="M833" s="216">
        <f t="shared" ca="1" si="528"/>
        <v>0</v>
      </c>
      <c r="N833" s="216"/>
      <c r="O833" s="216"/>
      <c r="P833" s="216"/>
      <c r="Q833" s="456" t="str">
        <f t="shared" ca="1" si="529"/>
        <v/>
      </c>
      <c r="R833" s="450">
        <f t="shared" ca="1" si="530"/>
        <v>1</v>
      </c>
      <c r="S833" s="191">
        <f t="shared" si="531"/>
        <v>69</v>
      </c>
      <c r="T833" s="191">
        <f t="shared" si="532"/>
        <v>9</v>
      </c>
      <c r="U833" s="191">
        <f ca="1">OP!$D$5+$S833-1</f>
        <v>101</v>
      </c>
      <c r="V833" s="191" t="str">
        <f t="shared" si="533"/>
        <v/>
      </c>
      <c r="W833" s="350">
        <f ca="1">IF(Q833&lt;&gt;1,0,VLOOKUP(OP!$C$55,PVFB,$S833+2,0))</f>
        <v>0</v>
      </c>
      <c r="X833" s="473">
        <f t="shared" ca="1" si="546"/>
        <v>0</v>
      </c>
      <c r="Y833" s="348">
        <f t="shared" ca="1" si="547"/>
        <v>0</v>
      </c>
      <c r="Z833" s="348">
        <f t="shared" ca="1" si="548"/>
        <v>8012</v>
      </c>
      <c r="AA833" s="348">
        <f ca="1">IF(Q833&lt;&gt;1,0,VLOOKUP(OP!$C$55,PVFB,$S833+2,0))</f>
        <v>0</v>
      </c>
      <c r="AB833" s="488" t="str">
        <f ca="1">IF(AND(S833&lt;OP!$C$24,$U833&lt;15),0,IF(AND($U833&lt;15,$T833=12),ROUND(VLOOKUP($S833,DOWN16,5,0),3),IF($T833=12,ROUND(($Z833/10000)*$AA833,3)+IF(AND($P$7="購買增額繳清保險",T833=12,U833=110),VLOOKUP(S833,$B$10:$H$121,7,0),0),"")))</f>
        <v/>
      </c>
      <c r="AC833" s="350" t="str">
        <f ca="1">IF(AND(S833&lt;OP!$C$24,$U833&lt;15),0,IF(AND($U833&lt;16,$T833=12),VLOOKUP($S833,DOWN16,4,0),IF($T833=12,ROUND(VLOOKUP(OP!$C$55,_DIE2,$S833+1,0)*(Z833/10000),0)+IF(AND($P$7="購買增額繳清保險",T833=12,U833=110),VLOOKUP(S833,$B$10:$H$121,7,0),0),"")))</f>
        <v/>
      </c>
      <c r="AD833" s="347"/>
      <c r="AE833" s="350" t="str">
        <f t="shared" ca="1" si="523"/>
        <v/>
      </c>
      <c r="AF833" s="351" t="str">
        <f t="shared" ca="1" si="524"/>
        <v/>
      </c>
      <c r="AG833" s="340"/>
      <c r="AH833" s="340"/>
      <c r="AI833" s="340"/>
      <c r="AJ833" s="340"/>
      <c r="AK833" s="340"/>
      <c r="AL833" s="340"/>
      <c r="AM833" s="340"/>
      <c r="AN833" s="340"/>
      <c r="AO833" s="340"/>
      <c r="AP833" s="340"/>
      <c r="AQ833" s="340"/>
      <c r="AR833" s="340"/>
      <c r="AS833" s="340"/>
      <c r="AT833" s="340"/>
      <c r="AU833" s="340"/>
      <c r="AV833" s="340"/>
      <c r="AY833" s="340"/>
      <c r="AZ833" s="465">
        <f t="shared" ca="1" si="534"/>
        <v>7.3698599999999999E-5</v>
      </c>
      <c r="BA833" s="464">
        <f t="shared" ca="1" si="535"/>
        <v>1.9898630000000001E-3</v>
      </c>
      <c r="BB833" s="465">
        <f t="shared" ca="1" si="535"/>
        <v>2.0635616E-3</v>
      </c>
      <c r="BC833" s="466">
        <f t="shared" ca="1" si="536"/>
        <v>67969</v>
      </c>
      <c r="BD833" s="467">
        <f t="shared" ca="1" si="549"/>
        <v>67970</v>
      </c>
      <c r="BE833" s="467">
        <f t="shared" ca="1" si="537"/>
        <v>67996</v>
      </c>
      <c r="BF833" s="468">
        <f ca="1">IF(計算!$BC833&lt;OP!$C$3,0,BD833-BC833)</f>
        <v>1</v>
      </c>
      <c r="BG833" s="468">
        <f ca="1">IF($BE833&gt;DATE(YEAR($BD$9)+OP!$C$57,MONTH($BD$9),DAY($BD$9)),0,$BE833-$BD833+1)</f>
        <v>27</v>
      </c>
      <c r="BH833" s="469">
        <f t="shared" ca="1" si="538"/>
        <v>28</v>
      </c>
      <c r="BI833" t="str">
        <f t="shared" si="554"/>
        <v/>
      </c>
      <c r="BJ833">
        <v>8</v>
      </c>
      <c r="BN833" s="468">
        <f t="shared" si="550"/>
        <v>69</v>
      </c>
      <c r="BO833" s="468">
        <f t="shared" si="551"/>
        <v>8</v>
      </c>
      <c r="BP833" s="467">
        <f t="shared" ca="1" si="539"/>
        <v>67970</v>
      </c>
      <c r="BQ833" s="475">
        <f t="shared" ca="1" si="553"/>
        <v>101</v>
      </c>
      <c r="BR833" s="475" t="str">
        <f t="shared" si="552"/>
        <v/>
      </c>
      <c r="BS833" s="471" t="str">
        <f t="shared" si="540"/>
        <v/>
      </c>
      <c r="BT833" s="472" t="str">
        <f t="shared" si="555"/>
        <v/>
      </c>
      <c r="BU833" s="472">
        <f t="shared" ca="1" si="541"/>
        <v>0</v>
      </c>
      <c r="BV833" s="472">
        <f t="shared" ca="1" si="541"/>
        <v>0</v>
      </c>
      <c r="BW833" s="472"/>
      <c r="BX833" s="473">
        <f t="shared" ca="1" si="542"/>
        <v>1924100.61919913</v>
      </c>
      <c r="BY833" s="473">
        <f t="shared" si="543"/>
        <v>0</v>
      </c>
      <c r="BZ833" s="473">
        <f t="shared" ca="1" si="525"/>
        <v>3970.5001523159999</v>
      </c>
      <c r="CA833" s="476">
        <f t="shared" ca="1" si="544"/>
        <v>0</v>
      </c>
      <c r="CB833" s="494">
        <f ca="1">IF(OR($Q832&lt;&gt;1,OP!$D$5+$BN833-1&lt;16,$BN833-1&lt;1),0,ROUND(ROUND(ROUND(((VLOOKUP($BN833-1,MORE_PV,5,0)/10000)*VLOOKUP($BN833,MORE_PV,$CB$5,0)),3)*VLOOKUP($BN833,more1,5,0),0)/$R832,0))</f>
        <v>0</v>
      </c>
      <c r="CC833" s="473">
        <f t="shared" ca="1" si="545"/>
        <v>0</v>
      </c>
      <c r="CD833" s="477"/>
    </row>
    <row r="834" spans="2:82" ht="16.5" hidden="1">
      <c r="B834" s="80"/>
      <c r="C834" s="80"/>
      <c r="D834" s="80"/>
      <c r="E834" s="80"/>
      <c r="F834" s="80"/>
      <c r="G834" s="80"/>
      <c r="H834" s="80"/>
      <c r="I834" s="80"/>
      <c r="J834" s="192">
        <f t="shared" si="526"/>
        <v>69</v>
      </c>
      <c r="K834" s="192">
        <f t="shared" si="527"/>
        <v>10</v>
      </c>
      <c r="L834" s="192" t="str">
        <f t="shared" si="522"/>
        <v/>
      </c>
      <c r="M834" s="216">
        <f t="shared" ca="1" si="528"/>
        <v>0</v>
      </c>
      <c r="N834" s="216"/>
      <c r="O834" s="216"/>
      <c r="P834" s="216"/>
      <c r="Q834" s="456" t="str">
        <f t="shared" ca="1" si="529"/>
        <v/>
      </c>
      <c r="R834" s="450">
        <f t="shared" ca="1" si="530"/>
        <v>1</v>
      </c>
      <c r="S834" s="191">
        <f t="shared" si="531"/>
        <v>69</v>
      </c>
      <c r="T834" s="191">
        <f t="shared" si="532"/>
        <v>10</v>
      </c>
      <c r="U834" s="191">
        <f ca="1">OP!$D$5+$S834-1</f>
        <v>101</v>
      </c>
      <c r="V834" s="191" t="str">
        <f t="shared" si="533"/>
        <v/>
      </c>
      <c r="W834" s="350">
        <f ca="1">IF(Q834&lt;&gt;1,0,VLOOKUP(OP!$C$55,PVFB,$S834+2,0))</f>
        <v>0</v>
      </c>
      <c r="X834" s="473">
        <f t="shared" ca="1" si="546"/>
        <v>0</v>
      </c>
      <c r="Y834" s="348">
        <f t="shared" ca="1" si="547"/>
        <v>0</v>
      </c>
      <c r="Z834" s="348">
        <f t="shared" ca="1" si="548"/>
        <v>8012</v>
      </c>
      <c r="AA834" s="348">
        <f ca="1">IF(Q834&lt;&gt;1,0,VLOOKUP(OP!$C$55,PVFB,$S834+2,0))</f>
        <v>0</v>
      </c>
      <c r="AB834" s="488" t="str">
        <f ca="1">IF(AND(S834&lt;OP!$C$24,$U834&lt;15),0,IF(AND($U834&lt;15,$T834=12),ROUND(VLOOKUP($S834,DOWN16,5,0),3),IF($T834=12,ROUND(($Z834/10000)*$AA834,3)+IF(AND($P$7="購買增額繳清保險",T834=12,U834=110),VLOOKUP(S834,$B$10:$H$121,7,0),0),"")))</f>
        <v/>
      </c>
      <c r="AC834" s="350" t="str">
        <f ca="1">IF(AND(S834&lt;OP!$C$24,$U834&lt;15),0,IF(AND($U834&lt;16,$T834=12),VLOOKUP($S834,DOWN16,4,0),IF($T834=12,ROUND(VLOOKUP(OP!$C$55,_DIE2,$S834+1,0)*(Z834/10000),0)+IF(AND($P$7="購買增額繳清保險",T834=12,U834=110),VLOOKUP(S834,$B$10:$H$121,7,0),0),"")))</f>
        <v/>
      </c>
      <c r="AD834" s="347"/>
      <c r="AE834" s="350" t="str">
        <f t="shared" ca="1" si="523"/>
        <v/>
      </c>
      <c r="AF834" s="351" t="str">
        <f t="shared" ca="1" si="524"/>
        <v/>
      </c>
      <c r="AG834" s="340"/>
      <c r="AH834" s="340"/>
      <c r="AI834" s="340"/>
      <c r="AJ834" s="340"/>
      <c r="AK834" s="340"/>
      <c r="AL834" s="340"/>
      <c r="AM834" s="340"/>
      <c r="AN834" s="340"/>
      <c r="AO834" s="340"/>
      <c r="AP834" s="340"/>
      <c r="AQ834" s="340"/>
      <c r="AR834" s="340"/>
      <c r="AS834" s="340"/>
      <c r="AT834" s="340"/>
      <c r="AU834" s="340"/>
      <c r="AV834" s="340"/>
      <c r="AY834" s="340"/>
      <c r="AZ834" s="465">
        <f t="shared" ca="1" si="534"/>
        <v>7.3698599999999999E-5</v>
      </c>
      <c r="BA834" s="464">
        <f t="shared" ca="1" si="535"/>
        <v>2.2109589000000002E-3</v>
      </c>
      <c r="BB834" s="465">
        <f t="shared" ca="1" si="535"/>
        <v>2.2846575E-3</v>
      </c>
      <c r="BC834" s="466">
        <f t="shared" ca="1" si="536"/>
        <v>67997</v>
      </c>
      <c r="BD834" s="467">
        <f t="shared" ca="1" si="549"/>
        <v>67998</v>
      </c>
      <c r="BE834" s="467">
        <f t="shared" ca="1" si="537"/>
        <v>68027</v>
      </c>
      <c r="BF834" s="468">
        <f ca="1">IF(計算!$BC834&lt;OP!$C$3,0,BD834-BC834)</f>
        <v>1</v>
      </c>
      <c r="BG834" s="468">
        <f ca="1">IF($BE834&gt;DATE(YEAR($BD$9)+OP!$C$57,MONTH($BD$9),DAY($BD$9)),0,$BE834-$BD834+1)</f>
        <v>30</v>
      </c>
      <c r="BH834" s="469">
        <f t="shared" ca="1" si="538"/>
        <v>31</v>
      </c>
      <c r="BI834" t="str">
        <f t="shared" si="554"/>
        <v/>
      </c>
      <c r="BJ834">
        <v>9</v>
      </c>
      <c r="BN834" s="468">
        <f t="shared" si="550"/>
        <v>69</v>
      </c>
      <c r="BO834" s="468">
        <f t="shared" si="551"/>
        <v>9</v>
      </c>
      <c r="BP834" s="467">
        <f t="shared" ca="1" si="539"/>
        <v>67998</v>
      </c>
      <c r="BQ834" s="475">
        <f t="shared" ca="1" si="553"/>
        <v>101</v>
      </c>
      <c r="BR834" s="475" t="str">
        <f t="shared" si="552"/>
        <v/>
      </c>
      <c r="BS834" s="471" t="str">
        <f t="shared" si="540"/>
        <v/>
      </c>
      <c r="BT834" s="472" t="str">
        <f t="shared" si="555"/>
        <v/>
      </c>
      <c r="BU834" s="472">
        <f t="shared" ca="1" si="541"/>
        <v>0</v>
      </c>
      <c r="BV834" s="472">
        <f t="shared" ca="1" si="541"/>
        <v>0</v>
      </c>
      <c r="BW834" s="472"/>
      <c r="BX834" s="473">
        <f t="shared" ca="1" si="542"/>
        <v>1928071.1193514499</v>
      </c>
      <c r="BY834" s="473">
        <f t="shared" si="543"/>
        <v>0</v>
      </c>
      <c r="BZ834" s="473">
        <f t="shared" ca="1" si="525"/>
        <v>4404.98214336</v>
      </c>
      <c r="CA834" s="476">
        <f t="shared" ca="1" si="544"/>
        <v>0</v>
      </c>
      <c r="CB834" s="494">
        <f ca="1">IF(OR($Q833&lt;&gt;1,OP!$D$5+$BN834-1&lt;16,$BN834-1&lt;1),0,ROUND(ROUND(ROUND(((VLOOKUP($BN834-1,MORE_PV,5,0)/10000)*VLOOKUP($BN834,MORE_PV,$CB$5,0)),3)*VLOOKUP($BN834,more1,5,0),0)/$R833,0))</f>
        <v>0</v>
      </c>
      <c r="CC834" s="473">
        <f t="shared" ca="1" si="545"/>
        <v>0</v>
      </c>
      <c r="CD834" s="477"/>
    </row>
    <row r="835" spans="2:82" ht="16.5" hidden="1">
      <c r="B835" s="80"/>
      <c r="C835" s="80"/>
      <c r="D835" s="80"/>
      <c r="E835" s="80"/>
      <c r="F835" s="80"/>
      <c r="G835" s="80"/>
      <c r="H835" s="80"/>
      <c r="I835" s="80"/>
      <c r="J835" s="192">
        <f t="shared" si="526"/>
        <v>69</v>
      </c>
      <c r="K835" s="192">
        <f t="shared" si="527"/>
        <v>11</v>
      </c>
      <c r="L835" s="192" t="str">
        <f t="shared" si="522"/>
        <v/>
      </c>
      <c r="M835" s="216">
        <f t="shared" ca="1" si="528"/>
        <v>0</v>
      </c>
      <c r="N835" s="216"/>
      <c r="O835" s="216"/>
      <c r="P835" s="216"/>
      <c r="Q835" s="456" t="str">
        <f t="shared" ca="1" si="529"/>
        <v/>
      </c>
      <c r="R835" s="450">
        <f t="shared" ca="1" si="530"/>
        <v>1</v>
      </c>
      <c r="S835" s="191">
        <f t="shared" si="531"/>
        <v>69</v>
      </c>
      <c r="T835" s="191">
        <f t="shared" si="532"/>
        <v>11</v>
      </c>
      <c r="U835" s="191">
        <f ca="1">OP!$D$5+$S835-1</f>
        <v>101</v>
      </c>
      <c r="V835" s="191" t="str">
        <f t="shared" si="533"/>
        <v/>
      </c>
      <c r="W835" s="350">
        <f ca="1">IF(Q835&lt;&gt;1,0,VLOOKUP(OP!$C$55,PVFB,$S835+2,0))</f>
        <v>0</v>
      </c>
      <c r="X835" s="473">
        <f t="shared" ca="1" si="546"/>
        <v>0</v>
      </c>
      <c r="Y835" s="348">
        <f t="shared" ca="1" si="547"/>
        <v>0</v>
      </c>
      <c r="Z835" s="348">
        <f t="shared" ca="1" si="548"/>
        <v>8012</v>
      </c>
      <c r="AA835" s="348">
        <f ca="1">IF(Q835&lt;&gt;1,0,VLOOKUP(OP!$C$55,PVFB,$S835+2,0))</f>
        <v>0</v>
      </c>
      <c r="AB835" s="488" t="str">
        <f ca="1">IF(AND(S835&lt;OP!$C$24,$U835&lt;15),0,IF(AND($U835&lt;15,$T835=12),ROUND(VLOOKUP($S835,DOWN16,5,0),3),IF($T835=12,ROUND(($Z835/10000)*$AA835,3)+IF(AND($P$7="購買增額繳清保險",T835=12,U835=110),VLOOKUP(S835,$B$10:$H$121,7,0),0),"")))</f>
        <v/>
      </c>
      <c r="AC835" s="350" t="str">
        <f ca="1">IF(AND(S835&lt;OP!$C$24,$U835&lt;15),0,IF(AND($U835&lt;16,$T835=12),VLOOKUP($S835,DOWN16,4,0),IF($T835=12,ROUND(VLOOKUP(OP!$C$55,_DIE2,$S835+1,0)*(Z835/10000),0)+IF(AND($P$7="購買增額繳清保險",T835=12,U835=110),VLOOKUP(S835,$B$10:$H$121,7,0),0),"")))</f>
        <v/>
      </c>
      <c r="AD835" s="347"/>
      <c r="AE835" s="350" t="str">
        <f t="shared" ca="1" si="523"/>
        <v/>
      </c>
      <c r="AF835" s="351" t="str">
        <f t="shared" ca="1" si="524"/>
        <v/>
      </c>
      <c r="AG835" s="340"/>
      <c r="AH835" s="340"/>
      <c r="AI835" s="340"/>
      <c r="AJ835" s="340"/>
      <c r="AK835" s="340"/>
      <c r="AL835" s="340"/>
      <c r="AM835" s="340"/>
      <c r="AN835" s="340"/>
      <c r="AO835" s="340"/>
      <c r="AP835" s="340"/>
      <c r="AQ835" s="340"/>
      <c r="AR835" s="340"/>
      <c r="AS835" s="340"/>
      <c r="AT835" s="340"/>
      <c r="AU835" s="340"/>
      <c r="AV835" s="340"/>
      <c r="AY835" s="340"/>
      <c r="AZ835" s="465">
        <f t="shared" ca="1" si="534"/>
        <v>7.3698599999999999E-5</v>
      </c>
      <c r="BA835" s="464">
        <f t="shared" ca="1" si="535"/>
        <v>2.1372602999999999E-3</v>
      </c>
      <c r="BB835" s="465">
        <f t="shared" ca="1" si="535"/>
        <v>2.2109589000000002E-3</v>
      </c>
      <c r="BC835" s="466">
        <f t="shared" ca="1" si="536"/>
        <v>68028</v>
      </c>
      <c r="BD835" s="467">
        <f t="shared" ca="1" si="549"/>
        <v>68029</v>
      </c>
      <c r="BE835" s="467">
        <f t="shared" ca="1" si="537"/>
        <v>68057</v>
      </c>
      <c r="BF835" s="468">
        <f ca="1">IF(計算!$BC835&lt;OP!$C$3,0,BD835-BC835)</f>
        <v>1</v>
      </c>
      <c r="BG835" s="468">
        <f ca="1">IF($BE835&gt;DATE(YEAR($BD$9)+OP!$C$57,MONTH($BD$9),DAY($BD$9)),0,$BE835-$BD835+1)</f>
        <v>29</v>
      </c>
      <c r="BH835" s="469">
        <f t="shared" ca="1" si="538"/>
        <v>30</v>
      </c>
      <c r="BI835" t="str">
        <f t="shared" si="554"/>
        <v/>
      </c>
      <c r="BJ835">
        <v>10</v>
      </c>
      <c r="BN835" s="468">
        <f t="shared" si="550"/>
        <v>69</v>
      </c>
      <c r="BO835" s="468">
        <f t="shared" si="551"/>
        <v>10</v>
      </c>
      <c r="BP835" s="467">
        <f t="shared" ca="1" si="539"/>
        <v>68029</v>
      </c>
      <c r="BQ835" s="475">
        <f t="shared" ca="1" si="553"/>
        <v>101</v>
      </c>
      <c r="BR835" s="475" t="str">
        <f t="shared" si="552"/>
        <v/>
      </c>
      <c r="BS835" s="471" t="str">
        <f t="shared" si="540"/>
        <v/>
      </c>
      <c r="BT835" s="472" t="str">
        <f t="shared" si="555"/>
        <v/>
      </c>
      <c r="BU835" s="472">
        <f t="shared" ca="1" si="541"/>
        <v>0</v>
      </c>
      <c r="BV835" s="472">
        <f t="shared" ca="1" si="541"/>
        <v>0</v>
      </c>
      <c r="BW835" s="472"/>
      <c r="BX835" s="473">
        <f t="shared" ca="1" si="542"/>
        <v>1932476.1014948101</v>
      </c>
      <c r="BY835" s="473">
        <f t="shared" si="543"/>
        <v>0</v>
      </c>
      <c r="BZ835" s="473">
        <f t="shared" ca="1" si="525"/>
        <v>4272.6252356369996</v>
      </c>
      <c r="CA835" s="476">
        <f t="shared" ca="1" si="544"/>
        <v>0</v>
      </c>
      <c r="CB835" s="494">
        <f ca="1">IF(OR($Q834&lt;&gt;1,OP!$D$5+$BN835-1&lt;16,$BN835-1&lt;1),0,ROUND(ROUND(ROUND(((VLOOKUP($BN835-1,MORE_PV,5,0)/10000)*VLOOKUP($BN835,MORE_PV,$CB$5,0)),3)*VLOOKUP($BN835,more1,5,0),0)/$R834,0))</f>
        <v>0</v>
      </c>
      <c r="CC835" s="473">
        <f t="shared" ca="1" si="545"/>
        <v>0</v>
      </c>
      <c r="CD835" s="477"/>
    </row>
    <row r="836" spans="2:82" ht="16.5" hidden="1">
      <c r="B836" s="80"/>
      <c r="C836" s="80"/>
      <c r="D836" s="80"/>
      <c r="E836" s="80"/>
      <c r="F836" s="80"/>
      <c r="G836" s="80"/>
      <c r="H836" s="80"/>
      <c r="I836" s="80"/>
      <c r="J836" s="192">
        <f t="shared" si="526"/>
        <v>69</v>
      </c>
      <c r="K836" s="192">
        <f t="shared" si="527"/>
        <v>12</v>
      </c>
      <c r="L836" s="192">
        <f t="shared" si="522"/>
        <v>69</v>
      </c>
      <c r="M836" s="216">
        <f t="shared" ca="1" si="528"/>
        <v>1964816</v>
      </c>
      <c r="N836" s="216"/>
      <c r="O836" s="216"/>
      <c r="P836" s="216"/>
      <c r="Q836" s="456">
        <f t="shared" ca="1" si="529"/>
        <v>1</v>
      </c>
      <c r="R836" s="450">
        <f t="shared" ca="1" si="530"/>
        <v>1</v>
      </c>
      <c r="S836" s="191">
        <f t="shared" si="531"/>
        <v>69</v>
      </c>
      <c r="T836" s="191">
        <f t="shared" si="532"/>
        <v>12</v>
      </c>
      <c r="U836" s="191">
        <f ca="1">OP!$D$5+$S836-1</f>
        <v>101</v>
      </c>
      <c r="V836" s="191">
        <f t="shared" si="533"/>
        <v>69</v>
      </c>
      <c r="W836" s="350">
        <f ca="1">IF(Q836&lt;&gt;1,0,VLOOKUP(OP!$C$55,PVFB,$S836+2,0))</f>
        <v>97865</v>
      </c>
      <c r="X836" s="473">
        <f t="shared" ca="1" si="546"/>
        <v>23500</v>
      </c>
      <c r="Y836" s="348">
        <f t="shared" ca="1" si="547"/>
        <v>0</v>
      </c>
      <c r="Z836" s="348">
        <f t="shared" ca="1" si="548"/>
        <v>8012</v>
      </c>
      <c r="AA836" s="348">
        <f ca="1">IF(Q836&lt;&gt;1,0,VLOOKUP(OP!$C$55,PVFB,$S836+2,0))</f>
        <v>97865</v>
      </c>
      <c r="AB836" s="488">
        <f ca="1">IF(AND(S836&lt;OP!$C$24,$U836&lt;15),0,IF(AND($U836&lt;15,$T836=12),ROUND(VLOOKUP($S836,DOWN16,5,0),3),IF($T836=12,ROUND(($Z836/10000)*$AA836,3)+IF(AND($P$7="購買增額繳清保險",T836=12,U836=110),VLOOKUP(S836,$B$10:$H$121,7,0),0),"")))</f>
        <v>78409.437999999995</v>
      </c>
      <c r="AC836" s="350">
        <f ca="1">IF(AND(S836&lt;OP!$C$24,$U836&lt;15),0,IF(AND($U836&lt;16,$T836=12),VLOOKUP($S836,DOWN16,4,0),IF($T836=12,ROUND(VLOOKUP(OP!$C$55,_DIE2,$S836+1,0)*(Z836/10000),0)+IF(AND($P$7="購買增額繳清保險",T836=12,U836=110),VLOOKUP(S836,$B$10:$H$121,7,0),0),"")))</f>
        <v>78678</v>
      </c>
      <c r="AD836" s="347"/>
      <c r="AE836" s="350" t="str">
        <f t="shared" ca="1" si="523"/>
        <v/>
      </c>
      <c r="AF836" s="351" t="str">
        <f t="shared" ca="1" si="524"/>
        <v/>
      </c>
      <c r="AG836" s="340"/>
      <c r="AH836" s="340"/>
      <c r="AI836" s="340"/>
      <c r="AJ836" s="340"/>
      <c r="AK836" s="340"/>
      <c r="AL836" s="340"/>
      <c r="AM836" s="340"/>
      <c r="AN836" s="340"/>
      <c r="AO836" s="340"/>
      <c r="AP836" s="340"/>
      <c r="AQ836" s="340"/>
      <c r="AR836" s="340"/>
      <c r="AS836" s="340"/>
      <c r="AT836" s="340"/>
      <c r="AU836" s="340"/>
      <c r="AV836" s="340"/>
      <c r="AY836" s="340"/>
      <c r="AZ836" s="465">
        <f t="shared" ca="1" si="534"/>
        <v>7.3698599999999999E-5</v>
      </c>
      <c r="BA836" s="464">
        <f t="shared" ca="1" si="535"/>
        <v>2.2109589000000002E-3</v>
      </c>
      <c r="BB836" s="465">
        <f t="shared" ca="1" si="535"/>
        <v>2.2846575E-3</v>
      </c>
      <c r="BC836" s="466">
        <f t="shared" ca="1" si="536"/>
        <v>68058</v>
      </c>
      <c r="BD836" s="467">
        <f t="shared" ca="1" si="549"/>
        <v>68059</v>
      </c>
      <c r="BE836" s="467">
        <f t="shared" ca="1" si="537"/>
        <v>68088</v>
      </c>
      <c r="BF836" s="468">
        <f ca="1">IF(計算!$BC836&lt;OP!$C$3,0,BD836-BC836)</f>
        <v>1</v>
      </c>
      <c r="BG836" s="468">
        <f ca="1">IF($BE836&gt;DATE(YEAR($BD$9)+OP!$C$57,MONTH($BD$9),DAY($BD$9)),0,$BE836-$BD836+1)</f>
        <v>30</v>
      </c>
      <c r="BH836" s="469">
        <f t="shared" ca="1" si="538"/>
        <v>31</v>
      </c>
      <c r="BI836" t="str">
        <f t="shared" si="554"/>
        <v/>
      </c>
      <c r="BJ836">
        <v>11</v>
      </c>
      <c r="BN836" s="468">
        <f t="shared" si="550"/>
        <v>69</v>
      </c>
      <c r="BO836" s="468">
        <f t="shared" si="551"/>
        <v>11</v>
      </c>
      <c r="BP836" s="467">
        <f t="shared" ca="1" si="539"/>
        <v>68059</v>
      </c>
      <c r="BQ836" s="475">
        <f t="shared" ca="1" si="553"/>
        <v>101</v>
      </c>
      <c r="BR836" s="475" t="str">
        <f t="shared" si="552"/>
        <v/>
      </c>
      <c r="BS836" s="471" t="str">
        <f t="shared" si="540"/>
        <v/>
      </c>
      <c r="BT836" s="472" t="str">
        <f t="shared" si="555"/>
        <v/>
      </c>
      <c r="BU836" s="472">
        <f t="shared" ca="1" si="541"/>
        <v>0</v>
      </c>
      <c r="BV836" s="472">
        <f t="shared" ca="1" si="541"/>
        <v>0</v>
      </c>
      <c r="BW836" s="472"/>
      <c r="BX836" s="473">
        <f t="shared" ca="1" si="542"/>
        <v>1936748.7267304501</v>
      </c>
      <c r="BY836" s="473">
        <f t="shared" si="543"/>
        <v>0</v>
      </c>
      <c r="BZ836" s="473">
        <f t="shared" ca="1" si="525"/>
        <v>4424.8075041399998</v>
      </c>
      <c r="CA836" s="476">
        <f t="shared" ca="1" si="544"/>
        <v>0</v>
      </c>
      <c r="CB836" s="494">
        <f ca="1">IF(OR($Q835&lt;&gt;1,OP!$D$5+$BN836-1&lt;16,$BN836-1&lt;1),0,ROUND(ROUND(ROUND(((VLOOKUP($BN836-1,MORE_PV,5,0)/10000)*VLOOKUP($BN836,MORE_PV,$CB$5,0)),3)*VLOOKUP($BN836,more1,5,0),0)/$R835,0))</f>
        <v>0</v>
      </c>
      <c r="CC836" s="473">
        <f t="shared" ca="1" si="545"/>
        <v>0</v>
      </c>
      <c r="CD836" s="477"/>
    </row>
    <row r="837" spans="2:82" ht="16.5" hidden="1">
      <c r="B837" s="80"/>
      <c r="C837" s="80"/>
      <c r="D837" s="80"/>
      <c r="E837" s="80"/>
      <c r="F837" s="80"/>
      <c r="G837" s="80"/>
      <c r="H837" s="80"/>
      <c r="I837" s="80"/>
      <c r="J837" s="192">
        <f t="shared" si="526"/>
        <v>70</v>
      </c>
      <c r="K837" s="192">
        <f t="shared" si="527"/>
        <v>1</v>
      </c>
      <c r="L837" s="192" t="str">
        <f t="shared" si="522"/>
        <v/>
      </c>
      <c r="M837" s="216">
        <f t="shared" ca="1" si="528"/>
        <v>0</v>
      </c>
      <c r="N837" s="216"/>
      <c r="O837" s="216"/>
      <c r="P837" s="216"/>
      <c r="Q837" s="456" t="str">
        <f t="shared" ca="1" si="529"/>
        <v/>
      </c>
      <c r="R837" s="450">
        <f t="shared" ca="1" si="530"/>
        <v>1</v>
      </c>
      <c r="S837" s="191">
        <f t="shared" si="531"/>
        <v>70</v>
      </c>
      <c r="T837" s="191">
        <f t="shared" si="532"/>
        <v>1</v>
      </c>
      <c r="U837" s="191">
        <f ca="1">OP!$D$5+$S837-1</f>
        <v>102</v>
      </c>
      <c r="V837" s="191" t="str">
        <f t="shared" si="533"/>
        <v/>
      </c>
      <c r="W837" s="350">
        <f ca="1">IF(Q837&lt;&gt;1,0,VLOOKUP(OP!$C$55,PVFB,$S837+2,0))</f>
        <v>0</v>
      </c>
      <c r="X837" s="473">
        <f t="shared" ca="1" si="546"/>
        <v>0</v>
      </c>
      <c r="Y837" s="348">
        <f t="shared" ca="1" si="547"/>
        <v>0</v>
      </c>
      <c r="Z837" s="348">
        <f t="shared" ca="1" si="548"/>
        <v>8012</v>
      </c>
      <c r="AA837" s="348">
        <f ca="1">IF(Q837&lt;&gt;1,0,VLOOKUP(OP!$C$55,PVFB,$S837+2,0))</f>
        <v>0</v>
      </c>
      <c r="AB837" s="488" t="str">
        <f ca="1">IF(AND(S837&lt;OP!$C$24,$U837&lt;15),0,IF(AND($U837&lt;15,$T837=12),ROUND(VLOOKUP($S837,DOWN16,5,0),3),IF($T837=12,ROUND(($Z837/10000)*$AA837,3)+IF(AND($P$7="購買增額繳清保險",T837=12,U837=110),VLOOKUP(S837,$B$10:$H$121,7,0),0),"")))</f>
        <v/>
      </c>
      <c r="AC837" s="350" t="str">
        <f ca="1">IF(AND(S837&lt;OP!$C$24,$U837&lt;15),0,IF(AND($U837&lt;16,$T837=12),VLOOKUP($S837,DOWN16,4,0),IF($T837=12,ROUND(VLOOKUP(OP!$C$55,_DIE2,$S837+1,0)*(Z837/10000),0)+IF(AND($P$7="購買增額繳清保險",T837=12,U837=110),VLOOKUP(S837,$B$10:$H$121,7,0),0),"")))</f>
        <v/>
      </c>
      <c r="AD837" s="347"/>
      <c r="AE837" s="350" t="str">
        <f t="shared" ca="1" si="523"/>
        <v/>
      </c>
      <c r="AF837" s="351" t="str">
        <f t="shared" ca="1" si="524"/>
        <v/>
      </c>
      <c r="AG837" s="340"/>
      <c r="AH837" s="340"/>
      <c r="AI837" s="340"/>
      <c r="AJ837" s="340"/>
      <c r="AK837" s="340"/>
      <c r="AL837" s="340"/>
      <c r="AM837" s="340"/>
      <c r="AN837" s="340"/>
      <c r="AO837" s="340"/>
      <c r="AP837" s="340"/>
      <c r="AQ837" s="340"/>
      <c r="AR837" s="340"/>
      <c r="AS837" s="340"/>
      <c r="AT837" s="340"/>
      <c r="AU837" s="340"/>
      <c r="AV837" s="340"/>
      <c r="AY837" s="340"/>
      <c r="AZ837" s="465">
        <f t="shared" ca="1" si="534"/>
        <v>7.3698599999999999E-5</v>
      </c>
      <c r="BA837" s="464">
        <f t="shared" ca="1" si="535"/>
        <v>2.1372602999999999E-3</v>
      </c>
      <c r="BB837" s="465">
        <f t="shared" ca="1" si="535"/>
        <v>2.2109589000000002E-3</v>
      </c>
      <c r="BC837" s="466">
        <f t="shared" ca="1" si="536"/>
        <v>68089</v>
      </c>
      <c r="BD837" s="467">
        <f t="shared" ca="1" si="549"/>
        <v>68090</v>
      </c>
      <c r="BE837" s="467">
        <f t="shared" ca="1" si="537"/>
        <v>68118</v>
      </c>
      <c r="BF837" s="468">
        <f ca="1">IF(計算!$BC837&lt;OP!$C$3,0,BD837-BC837)</f>
        <v>1</v>
      </c>
      <c r="BG837" s="468">
        <f ca="1">IF($BE837&gt;DATE(YEAR($BD$9)+OP!$C$57,MONTH($BD$9),DAY($BD$9)),0,$BE837-$BD837+1)</f>
        <v>29</v>
      </c>
      <c r="BH837" s="469">
        <f t="shared" ca="1" si="538"/>
        <v>30</v>
      </c>
      <c r="BI837">
        <f t="shared" ca="1" si="554"/>
        <v>365</v>
      </c>
      <c r="BJ837">
        <v>12</v>
      </c>
      <c r="BN837" s="468">
        <f t="shared" si="550"/>
        <v>69</v>
      </c>
      <c r="BO837" s="468">
        <f t="shared" si="551"/>
        <v>12</v>
      </c>
      <c r="BP837" s="467">
        <f t="shared" ca="1" si="539"/>
        <v>68090</v>
      </c>
      <c r="BQ837" s="475">
        <f t="shared" ca="1" si="553"/>
        <v>101</v>
      </c>
      <c r="BR837" s="475">
        <f t="shared" si="552"/>
        <v>69</v>
      </c>
      <c r="BS837" s="471">
        <f t="shared" ca="1" si="540"/>
        <v>23500</v>
      </c>
      <c r="BT837" s="472">
        <f t="shared" ca="1" si="555"/>
        <v>1964816</v>
      </c>
      <c r="BU837" s="472">
        <f t="shared" ca="1" si="541"/>
        <v>22959</v>
      </c>
      <c r="BV837" s="472">
        <f t="shared" ca="1" si="541"/>
        <v>541</v>
      </c>
      <c r="BW837" s="472">
        <f ca="1">ROUND(SUM(BY837,BZ825:BZ836),0)</f>
        <v>51469</v>
      </c>
      <c r="BX837" s="473">
        <f t="shared" ca="1" si="542"/>
        <v>1964816.59600642</v>
      </c>
      <c r="BY837" s="473">
        <f t="shared" ca="1" si="543"/>
        <v>143.06177183</v>
      </c>
      <c r="BZ837" s="473">
        <f t="shared" ca="1" si="525"/>
        <v>4199.3245074260003</v>
      </c>
      <c r="CA837" s="476">
        <f t="shared" ca="1" si="544"/>
        <v>22959</v>
      </c>
      <c r="CB837" s="494">
        <f ca="1">IF(OR($Q836&lt;&gt;1,OP!$D$5+$BN837-1&lt;16,$BN837-1&lt;1),0,ROUND(ROUND(ROUND(((VLOOKUP($BN837-1,MORE_PV,5,0)/10000)*VLOOKUP($BN837,MORE_PV,$CB$5,0)),3)*VLOOKUP($BN837,more1,5,0),0)/$R836,0))</f>
        <v>541</v>
      </c>
      <c r="CC837" s="473">
        <f t="shared" ca="1" si="545"/>
        <v>0</v>
      </c>
      <c r="CD837" s="477"/>
    </row>
    <row r="838" spans="2:82" ht="16.5" hidden="1">
      <c r="B838" s="80"/>
      <c r="C838" s="80"/>
      <c r="D838" s="80"/>
      <c r="E838" s="80"/>
      <c r="F838" s="80"/>
      <c r="G838" s="80"/>
      <c r="H838" s="80"/>
      <c r="I838" s="80"/>
      <c r="J838" s="192">
        <f t="shared" si="526"/>
        <v>70</v>
      </c>
      <c r="K838" s="192">
        <f t="shared" si="527"/>
        <v>2</v>
      </c>
      <c r="L838" s="192" t="str">
        <f t="shared" si="522"/>
        <v/>
      </c>
      <c r="M838" s="216">
        <f t="shared" ca="1" si="528"/>
        <v>0</v>
      </c>
      <c r="N838" s="216"/>
      <c r="O838" s="216"/>
      <c r="P838" s="216"/>
      <c r="Q838" s="456" t="str">
        <f t="shared" ca="1" si="529"/>
        <v/>
      </c>
      <c r="R838" s="450">
        <f t="shared" ca="1" si="530"/>
        <v>1</v>
      </c>
      <c r="S838" s="191">
        <f t="shared" si="531"/>
        <v>70</v>
      </c>
      <c r="T838" s="191">
        <f t="shared" si="532"/>
        <v>2</v>
      </c>
      <c r="U838" s="191">
        <f ca="1">OP!$D$5+$S838-1</f>
        <v>102</v>
      </c>
      <c r="V838" s="191" t="str">
        <f t="shared" si="533"/>
        <v/>
      </c>
      <c r="W838" s="350">
        <f ca="1">IF(Q838&lt;&gt;1,0,VLOOKUP(OP!$C$55,PVFB,$S838+2,0))</f>
        <v>0</v>
      </c>
      <c r="X838" s="473">
        <f t="shared" ca="1" si="546"/>
        <v>0</v>
      </c>
      <c r="Y838" s="348">
        <f t="shared" ca="1" si="547"/>
        <v>0</v>
      </c>
      <c r="Z838" s="348">
        <f t="shared" ca="1" si="548"/>
        <v>8012</v>
      </c>
      <c r="AA838" s="348">
        <f ca="1">IF(Q838&lt;&gt;1,0,VLOOKUP(OP!$C$55,PVFB,$S838+2,0))</f>
        <v>0</v>
      </c>
      <c r="AB838" s="488" t="str">
        <f ca="1">IF(AND(S838&lt;OP!$C$24,$U838&lt;15),0,IF(AND($U838&lt;15,$T838=12),ROUND(VLOOKUP($S838,DOWN16,5,0),3),IF($T838=12,ROUND(($Z838/10000)*$AA838,3)+IF(AND($P$7="購買增額繳清保險",T838=12,U838=110),VLOOKUP(S838,$B$10:$H$121,7,0),0),"")))</f>
        <v/>
      </c>
      <c r="AC838" s="350" t="str">
        <f ca="1">IF(AND(S838&lt;OP!$C$24,$U838&lt;15),0,IF(AND($U838&lt;16,$T838=12),VLOOKUP($S838,DOWN16,4,0),IF($T838=12,ROUND(VLOOKUP(OP!$C$55,_DIE2,$S838+1,0)*(Z838/10000),0)+IF(AND($P$7="購買增額繳清保險",T838=12,U838=110),VLOOKUP(S838,$B$10:$H$121,7,0),0),"")))</f>
        <v/>
      </c>
      <c r="AD838" s="347"/>
      <c r="AE838" s="350" t="str">
        <f t="shared" ca="1" si="523"/>
        <v/>
      </c>
      <c r="AF838" s="351" t="str">
        <f t="shared" ca="1" si="524"/>
        <v/>
      </c>
      <c r="AG838" s="340"/>
      <c r="AH838" s="340"/>
      <c r="AI838" s="340"/>
      <c r="AJ838" s="340"/>
      <c r="AK838" s="340"/>
      <c r="AL838" s="340"/>
      <c r="AM838" s="340"/>
      <c r="AN838" s="340"/>
      <c r="AO838" s="340"/>
      <c r="AP838" s="340"/>
      <c r="AQ838" s="340"/>
      <c r="AR838" s="340"/>
      <c r="AS838" s="340"/>
      <c r="AT838" s="340"/>
      <c r="AU838" s="340"/>
      <c r="AV838" s="340"/>
      <c r="AY838" s="340"/>
      <c r="AZ838" s="465">
        <f t="shared" ca="1" si="534"/>
        <v>7.3698599999999999E-5</v>
      </c>
      <c r="BA838" s="464">
        <f t="shared" ca="1" si="535"/>
        <v>2.2109589000000002E-3</v>
      </c>
      <c r="BB838" s="465">
        <f t="shared" ca="1" si="535"/>
        <v>2.2846575E-3</v>
      </c>
      <c r="BC838" s="466">
        <f t="shared" ca="1" si="536"/>
        <v>68119</v>
      </c>
      <c r="BD838" s="467">
        <f t="shared" ca="1" si="549"/>
        <v>68120</v>
      </c>
      <c r="BE838" s="467">
        <f t="shared" ca="1" si="537"/>
        <v>68149</v>
      </c>
      <c r="BF838" s="468">
        <f ca="1">IF(計算!$BC838&lt;OP!$C$3,0,BD838-BC838)</f>
        <v>1</v>
      </c>
      <c r="BG838" s="468">
        <f ca="1">IF($BE838&gt;DATE(YEAR($BD$9)+OP!$C$57,MONTH($BD$9),DAY($BD$9)),0,$BE838-$BD838+1)</f>
        <v>30</v>
      </c>
      <c r="BH838" s="469">
        <f t="shared" ca="1" si="538"/>
        <v>31</v>
      </c>
      <c r="BI838" t="str">
        <f t="shared" si="554"/>
        <v/>
      </c>
      <c r="BJ838">
        <v>1</v>
      </c>
      <c r="BN838" s="468">
        <f t="shared" si="550"/>
        <v>70</v>
      </c>
      <c r="BO838" s="468">
        <f t="shared" si="551"/>
        <v>1</v>
      </c>
      <c r="BP838" s="467">
        <f t="shared" ca="1" si="539"/>
        <v>68120</v>
      </c>
      <c r="BQ838" s="475">
        <f t="shared" ca="1" si="553"/>
        <v>102</v>
      </c>
      <c r="BR838" s="475" t="str">
        <f t="shared" si="552"/>
        <v/>
      </c>
      <c r="BS838" s="471" t="str">
        <f t="shared" si="540"/>
        <v/>
      </c>
      <c r="BT838" s="472" t="str">
        <f t="shared" si="555"/>
        <v/>
      </c>
      <c r="BU838" s="472">
        <f t="shared" ca="1" si="541"/>
        <v>0</v>
      </c>
      <c r="BV838" s="472">
        <f t="shared" ca="1" si="541"/>
        <v>0</v>
      </c>
      <c r="BW838" s="472"/>
      <c r="BX838" s="473">
        <f t="shared" ca="1" si="542"/>
        <v>1969015.9205138499</v>
      </c>
      <c r="BY838" s="473">
        <f t="shared" si="543"/>
        <v>0</v>
      </c>
      <c r="BZ838" s="473">
        <f t="shared" ca="1" si="525"/>
        <v>4498.5269904209999</v>
      </c>
      <c r="CA838" s="476">
        <f t="shared" ca="1" si="544"/>
        <v>0</v>
      </c>
      <c r="CB838" s="494">
        <f ca="1">IF(OR($Q837&lt;&gt;1,OP!$D$5+$BN838-1&lt;16,$BN838-1&lt;1),0,ROUND(ROUND(ROUND(((VLOOKUP($BN838-1,MORE_PV,5,0)/10000)*VLOOKUP($BN838,MORE_PV,$CB$5,0)),3)*VLOOKUP($BN838,more1,5,0),0)/$R837,0))</f>
        <v>0</v>
      </c>
      <c r="CC838" s="473">
        <f t="shared" ca="1" si="545"/>
        <v>0</v>
      </c>
      <c r="CD838" s="477"/>
    </row>
    <row r="839" spans="2:82" ht="16.5" hidden="1">
      <c r="B839" s="80"/>
      <c r="C839" s="80"/>
      <c r="D839" s="80"/>
      <c r="E839" s="80"/>
      <c r="F839" s="80"/>
      <c r="G839" s="80"/>
      <c r="H839" s="80"/>
      <c r="I839" s="80"/>
      <c r="J839" s="192">
        <f t="shared" si="526"/>
        <v>70</v>
      </c>
      <c r="K839" s="192">
        <f t="shared" si="527"/>
        <v>3</v>
      </c>
      <c r="L839" s="192" t="str">
        <f t="shared" si="522"/>
        <v/>
      </c>
      <c r="M839" s="216">
        <f t="shared" ca="1" si="528"/>
        <v>0</v>
      </c>
      <c r="N839" s="216"/>
      <c r="O839" s="216"/>
      <c r="P839" s="216"/>
      <c r="Q839" s="456" t="str">
        <f t="shared" ca="1" si="529"/>
        <v/>
      </c>
      <c r="R839" s="450">
        <f t="shared" ca="1" si="530"/>
        <v>1</v>
      </c>
      <c r="S839" s="191">
        <f t="shared" si="531"/>
        <v>70</v>
      </c>
      <c r="T839" s="191">
        <f t="shared" si="532"/>
        <v>3</v>
      </c>
      <c r="U839" s="191">
        <f ca="1">OP!$D$5+$S839-1</f>
        <v>102</v>
      </c>
      <c r="V839" s="191" t="str">
        <f t="shared" si="533"/>
        <v/>
      </c>
      <c r="W839" s="350">
        <f ca="1">IF(Q839&lt;&gt;1,0,VLOOKUP(OP!$C$55,PVFB,$S839+2,0))</f>
        <v>0</v>
      </c>
      <c r="X839" s="473">
        <f t="shared" ca="1" si="546"/>
        <v>0</v>
      </c>
      <c r="Y839" s="348">
        <f t="shared" ca="1" si="547"/>
        <v>0</v>
      </c>
      <c r="Z839" s="348">
        <f t="shared" ca="1" si="548"/>
        <v>8012</v>
      </c>
      <c r="AA839" s="348">
        <f ca="1">IF(Q839&lt;&gt;1,0,VLOOKUP(OP!$C$55,PVFB,$S839+2,0))</f>
        <v>0</v>
      </c>
      <c r="AB839" s="488" t="str">
        <f ca="1">IF(AND(S839&lt;OP!$C$24,$U839&lt;15),0,IF(AND($U839&lt;15,$T839=12),ROUND(VLOOKUP($S839,DOWN16,5,0),3),IF($T839=12,ROUND(($Z839/10000)*$AA839,3)+IF(AND($P$7="購買增額繳清保險",T839=12,U839=110),VLOOKUP(S839,$B$10:$H$121,7,0),0),"")))</f>
        <v/>
      </c>
      <c r="AC839" s="350" t="str">
        <f ca="1">IF(AND(S839&lt;OP!$C$24,$U839&lt;15),0,IF(AND($U839&lt;16,$T839=12),VLOOKUP($S839,DOWN16,4,0),IF($T839=12,ROUND(VLOOKUP(OP!$C$55,_DIE2,$S839+1,0)*(Z839/10000),0)+IF(AND($P$7="購買增額繳清保險",T839=12,U839=110),VLOOKUP(S839,$B$10:$H$121,7,0),0),"")))</f>
        <v/>
      </c>
      <c r="AD839" s="347"/>
      <c r="AE839" s="350" t="str">
        <f t="shared" ca="1" si="523"/>
        <v/>
      </c>
      <c r="AF839" s="351" t="str">
        <f t="shared" ca="1" si="524"/>
        <v/>
      </c>
      <c r="AG839" s="340"/>
      <c r="AH839" s="340"/>
      <c r="AI839" s="340"/>
      <c r="AJ839" s="340"/>
      <c r="AK839" s="340"/>
      <c r="AL839" s="340"/>
      <c r="AM839" s="340"/>
      <c r="AN839" s="340"/>
      <c r="AO839" s="340"/>
      <c r="AP839" s="340"/>
      <c r="AQ839" s="340"/>
      <c r="AR839" s="340"/>
      <c r="AS839" s="340"/>
      <c r="AT839" s="340"/>
      <c r="AU839" s="340"/>
      <c r="AV839" s="340"/>
      <c r="AY839" s="340"/>
      <c r="AZ839" s="465">
        <f t="shared" ca="1" si="534"/>
        <v>7.3698599999999999E-5</v>
      </c>
      <c r="BA839" s="464">
        <f t="shared" ca="1" si="535"/>
        <v>2.2109589000000002E-3</v>
      </c>
      <c r="BB839" s="465">
        <f t="shared" ca="1" si="535"/>
        <v>2.2846575E-3</v>
      </c>
      <c r="BC839" s="466">
        <f t="shared" ca="1" si="536"/>
        <v>68150</v>
      </c>
      <c r="BD839" s="467">
        <f t="shared" ca="1" si="549"/>
        <v>68151</v>
      </c>
      <c r="BE839" s="467">
        <f t="shared" ca="1" si="537"/>
        <v>68180</v>
      </c>
      <c r="BF839" s="468">
        <f ca="1">IF(計算!$BC839&lt;OP!$C$3,0,BD839-BC839)</f>
        <v>1</v>
      </c>
      <c r="BG839" s="468">
        <f ca="1">IF($BE839&gt;DATE(YEAR($BD$9)+OP!$C$57,MONTH($BD$9),DAY($BD$9)),0,$BE839-$BD839+1)</f>
        <v>30</v>
      </c>
      <c r="BH839" s="469">
        <f t="shared" ca="1" si="538"/>
        <v>31</v>
      </c>
      <c r="BI839" t="str">
        <f t="shared" si="554"/>
        <v/>
      </c>
      <c r="BJ839">
        <v>2</v>
      </c>
      <c r="BN839" s="468">
        <f t="shared" si="550"/>
        <v>70</v>
      </c>
      <c r="BO839" s="468">
        <f t="shared" si="551"/>
        <v>2</v>
      </c>
      <c r="BP839" s="467">
        <f t="shared" ca="1" si="539"/>
        <v>68151</v>
      </c>
      <c r="BQ839" s="475">
        <f t="shared" ca="1" si="553"/>
        <v>102</v>
      </c>
      <c r="BR839" s="475" t="str">
        <f t="shared" si="552"/>
        <v/>
      </c>
      <c r="BS839" s="471" t="str">
        <f t="shared" si="540"/>
        <v/>
      </c>
      <c r="BT839" s="472" t="str">
        <f t="shared" si="555"/>
        <v/>
      </c>
      <c r="BU839" s="472">
        <f t="shared" ca="1" si="541"/>
        <v>0</v>
      </c>
      <c r="BV839" s="472">
        <f t="shared" ca="1" si="541"/>
        <v>0</v>
      </c>
      <c r="BW839" s="472"/>
      <c r="BX839" s="473">
        <f t="shared" ca="1" si="542"/>
        <v>1973514.4475042699</v>
      </c>
      <c r="BY839" s="473">
        <f t="shared" si="543"/>
        <v>0</v>
      </c>
      <c r="BZ839" s="473">
        <f t="shared" ca="1" si="525"/>
        <v>4508.8045838489998</v>
      </c>
      <c r="CA839" s="476">
        <f t="shared" ca="1" si="544"/>
        <v>0</v>
      </c>
      <c r="CB839" s="494">
        <f ca="1">IF(OR($Q838&lt;&gt;1,OP!$D$5+$BN839-1&lt;16,$BN839-1&lt;1),0,ROUND(ROUND(ROUND(((VLOOKUP($BN839-1,MORE_PV,5,0)/10000)*VLOOKUP($BN839,MORE_PV,$CB$5,0)),3)*VLOOKUP($BN839,more1,5,0),0)/$R838,0))</f>
        <v>0</v>
      </c>
      <c r="CC839" s="473">
        <f t="shared" ca="1" si="545"/>
        <v>0</v>
      </c>
      <c r="CD839" s="477"/>
    </row>
    <row r="840" spans="2:82" ht="16.5" hidden="1">
      <c r="B840" s="80"/>
      <c r="C840" s="80"/>
      <c r="D840" s="80"/>
      <c r="E840" s="80"/>
      <c r="F840" s="80"/>
      <c r="G840" s="80"/>
      <c r="H840" s="80"/>
      <c r="I840" s="80"/>
      <c r="J840" s="192">
        <f t="shared" si="526"/>
        <v>70</v>
      </c>
      <c r="K840" s="192">
        <f t="shared" si="527"/>
        <v>4</v>
      </c>
      <c r="L840" s="192" t="str">
        <f t="shared" si="522"/>
        <v/>
      </c>
      <c r="M840" s="216">
        <f t="shared" ca="1" si="528"/>
        <v>0</v>
      </c>
      <c r="N840" s="216"/>
      <c r="O840" s="216"/>
      <c r="P840" s="216"/>
      <c r="Q840" s="456" t="str">
        <f t="shared" ca="1" si="529"/>
        <v/>
      </c>
      <c r="R840" s="450">
        <f t="shared" ca="1" si="530"/>
        <v>1</v>
      </c>
      <c r="S840" s="191">
        <f t="shared" si="531"/>
        <v>70</v>
      </c>
      <c r="T840" s="191">
        <f t="shared" si="532"/>
        <v>4</v>
      </c>
      <c r="U840" s="191">
        <f ca="1">OP!$D$5+$S840-1</f>
        <v>102</v>
      </c>
      <c r="V840" s="191" t="str">
        <f t="shared" si="533"/>
        <v/>
      </c>
      <c r="W840" s="350">
        <f ca="1">IF(Q840&lt;&gt;1,0,VLOOKUP(OP!$C$55,PVFB,$S840+2,0))</f>
        <v>0</v>
      </c>
      <c r="X840" s="473">
        <f t="shared" ca="1" si="546"/>
        <v>0</v>
      </c>
      <c r="Y840" s="348">
        <f t="shared" ca="1" si="547"/>
        <v>0</v>
      </c>
      <c r="Z840" s="348">
        <f t="shared" ca="1" si="548"/>
        <v>8012</v>
      </c>
      <c r="AA840" s="348">
        <f ca="1">IF(Q840&lt;&gt;1,0,VLOOKUP(OP!$C$55,PVFB,$S840+2,0))</f>
        <v>0</v>
      </c>
      <c r="AB840" s="488" t="str">
        <f ca="1">IF(AND(S840&lt;OP!$C$24,$U840&lt;15),0,IF(AND($U840&lt;15,$T840=12),ROUND(VLOOKUP($S840,DOWN16,5,0),3),IF($T840=12,ROUND(($Z840/10000)*$AA840,3)+IF(AND($P$7="購買增額繳清保險",T840=12,U840=110),VLOOKUP(S840,$B$10:$H$121,7,0),0),"")))</f>
        <v/>
      </c>
      <c r="AC840" s="350" t="str">
        <f ca="1">IF(AND(S840&lt;OP!$C$24,$U840&lt;15),0,IF(AND($U840&lt;16,$T840=12),VLOOKUP($S840,DOWN16,4,0),IF($T840=12,ROUND(VLOOKUP(OP!$C$55,_DIE2,$S840+1,0)*(Z840/10000),0)+IF(AND($P$7="購買增額繳清保險",T840=12,U840=110),VLOOKUP(S840,$B$10:$H$121,7,0),0),"")))</f>
        <v/>
      </c>
      <c r="AD840" s="347"/>
      <c r="AE840" s="350" t="str">
        <f t="shared" ca="1" si="523"/>
        <v/>
      </c>
      <c r="AF840" s="351" t="str">
        <f t="shared" ca="1" si="524"/>
        <v/>
      </c>
      <c r="AG840" s="340"/>
      <c r="AH840" s="340"/>
      <c r="AI840" s="340"/>
      <c r="AJ840" s="340"/>
      <c r="AK840" s="340"/>
      <c r="AL840" s="340"/>
      <c r="AM840" s="340"/>
      <c r="AN840" s="340"/>
      <c r="AO840" s="340"/>
      <c r="AP840" s="340"/>
      <c r="AQ840" s="340"/>
      <c r="AR840" s="340"/>
      <c r="AS840" s="340"/>
      <c r="AT840" s="340"/>
      <c r="AU840" s="340"/>
      <c r="AV840" s="340"/>
      <c r="AY840" s="340"/>
      <c r="AZ840" s="465">
        <f t="shared" ca="1" si="534"/>
        <v>7.3698599999999999E-5</v>
      </c>
      <c r="BA840" s="464">
        <f t="shared" ca="1" si="535"/>
        <v>2.1372602999999999E-3</v>
      </c>
      <c r="BB840" s="465">
        <f t="shared" ca="1" si="535"/>
        <v>2.2109589000000002E-3</v>
      </c>
      <c r="BC840" s="466">
        <f t="shared" ca="1" si="536"/>
        <v>68181</v>
      </c>
      <c r="BD840" s="467">
        <f t="shared" ca="1" si="549"/>
        <v>68182</v>
      </c>
      <c r="BE840" s="467">
        <f t="shared" ca="1" si="537"/>
        <v>68210</v>
      </c>
      <c r="BF840" s="468">
        <f ca="1">IF(計算!$BC840&lt;OP!$C$3,0,BD840-BC840)</f>
        <v>1</v>
      </c>
      <c r="BG840" s="468">
        <f ca="1">IF($BE840&gt;DATE(YEAR($BD$9)+OP!$C$57,MONTH($BD$9),DAY($BD$9)),0,$BE840-$BD840+1)</f>
        <v>29</v>
      </c>
      <c r="BH840" s="469">
        <f t="shared" ca="1" si="538"/>
        <v>30</v>
      </c>
      <c r="BI840" t="str">
        <f t="shared" si="554"/>
        <v/>
      </c>
      <c r="BJ840">
        <v>3</v>
      </c>
      <c r="BN840" s="468">
        <f t="shared" si="550"/>
        <v>70</v>
      </c>
      <c r="BO840" s="468">
        <f t="shared" si="551"/>
        <v>3</v>
      </c>
      <c r="BP840" s="467">
        <f t="shared" ca="1" si="539"/>
        <v>68182</v>
      </c>
      <c r="BQ840" s="475">
        <f t="shared" ca="1" si="553"/>
        <v>102</v>
      </c>
      <c r="BR840" s="475" t="str">
        <f t="shared" si="552"/>
        <v/>
      </c>
      <c r="BS840" s="471" t="str">
        <f t="shared" si="540"/>
        <v/>
      </c>
      <c r="BT840" s="472" t="str">
        <f t="shared" si="555"/>
        <v/>
      </c>
      <c r="BU840" s="472">
        <f t="shared" ca="1" si="541"/>
        <v>0</v>
      </c>
      <c r="BV840" s="472">
        <f t="shared" ca="1" si="541"/>
        <v>0</v>
      </c>
      <c r="BW840" s="472"/>
      <c r="BX840" s="473">
        <f t="shared" ca="1" si="542"/>
        <v>1978023.25208812</v>
      </c>
      <c r="BY840" s="473">
        <f t="shared" si="543"/>
        <v>0</v>
      </c>
      <c r="BZ840" s="473">
        <f t="shared" ca="1" si="525"/>
        <v>4373.3281136109999</v>
      </c>
      <c r="CA840" s="476">
        <f t="shared" ca="1" si="544"/>
        <v>0</v>
      </c>
      <c r="CB840" s="494">
        <f ca="1">IF(OR($Q839&lt;&gt;1,OP!$D$5+$BN840-1&lt;16,$BN840-1&lt;1),0,ROUND(ROUND(ROUND(((VLOOKUP($BN840-1,MORE_PV,5,0)/10000)*VLOOKUP($BN840,MORE_PV,$CB$5,0)),3)*VLOOKUP($BN840,more1,5,0),0)/$R839,0))</f>
        <v>0</v>
      </c>
      <c r="CC840" s="473">
        <f t="shared" ca="1" si="545"/>
        <v>0</v>
      </c>
      <c r="CD840" s="477"/>
    </row>
    <row r="841" spans="2:82" ht="16.5" hidden="1">
      <c r="B841" s="80"/>
      <c r="C841" s="80"/>
      <c r="D841" s="80"/>
      <c r="E841" s="80"/>
      <c r="F841" s="80"/>
      <c r="G841" s="80"/>
      <c r="H841" s="80"/>
      <c r="I841" s="80"/>
      <c r="J841" s="192">
        <f t="shared" si="526"/>
        <v>70</v>
      </c>
      <c r="K841" s="192">
        <f t="shared" si="527"/>
        <v>5</v>
      </c>
      <c r="L841" s="192" t="str">
        <f t="shared" ref="L841:L904" si="556">IF($K841=12,$J841,"")</f>
        <v/>
      </c>
      <c r="M841" s="216">
        <f t="shared" ca="1" si="528"/>
        <v>0</v>
      </c>
      <c r="N841" s="216"/>
      <c r="O841" s="216"/>
      <c r="P841" s="216"/>
      <c r="Q841" s="456" t="str">
        <f t="shared" ca="1" si="529"/>
        <v/>
      </c>
      <c r="R841" s="450">
        <f t="shared" ca="1" si="530"/>
        <v>1</v>
      </c>
      <c r="S841" s="191">
        <f t="shared" si="531"/>
        <v>70</v>
      </c>
      <c r="T841" s="191">
        <f t="shared" si="532"/>
        <v>5</v>
      </c>
      <c r="U841" s="191">
        <f ca="1">OP!$D$5+$S841-1</f>
        <v>102</v>
      </c>
      <c r="V841" s="191" t="str">
        <f t="shared" si="533"/>
        <v/>
      </c>
      <c r="W841" s="350">
        <f ca="1">IF(Q841&lt;&gt;1,0,VLOOKUP(OP!$C$55,PVFB,$S841+2,0))</f>
        <v>0</v>
      </c>
      <c r="X841" s="473">
        <f t="shared" ca="1" si="546"/>
        <v>0</v>
      </c>
      <c r="Y841" s="348">
        <f t="shared" ca="1" si="547"/>
        <v>0</v>
      </c>
      <c r="Z841" s="348">
        <f t="shared" ca="1" si="548"/>
        <v>8012</v>
      </c>
      <c r="AA841" s="348">
        <f ca="1">IF(Q841&lt;&gt;1,0,VLOOKUP(OP!$C$55,PVFB,$S841+2,0))</f>
        <v>0</v>
      </c>
      <c r="AB841" s="488" t="str">
        <f ca="1">IF(AND(S841&lt;OP!$C$24,$U841&lt;15),0,IF(AND($U841&lt;15,$T841=12),ROUND(VLOOKUP($S841,DOWN16,5,0),3),IF($T841=12,ROUND(($Z841/10000)*$AA841,3)+IF(AND($P$7="購買增額繳清保險",T841=12,U841=110),VLOOKUP(S841,$B$10:$H$121,7,0),0),"")))</f>
        <v/>
      </c>
      <c r="AC841" s="350" t="str">
        <f ca="1">IF(AND(S841&lt;OP!$C$24,$U841&lt;15),0,IF(AND($U841&lt;16,$T841=12),VLOOKUP($S841,DOWN16,4,0),IF($T841=12,ROUND(VLOOKUP(OP!$C$55,_DIE2,$S841+1,0)*(Z841/10000),0)+IF(AND($P$7="購買增額繳清保險",T841=12,U841=110),VLOOKUP(S841,$B$10:$H$121,7,0),0),"")))</f>
        <v/>
      </c>
      <c r="AD841" s="347"/>
      <c r="AE841" s="350" t="str">
        <f t="shared" ref="AE841:AE904" ca="1" si="557">IF(AND($U$9&lt;16,$T841=12),VLOOKUP($S841,DOWN16,4,0),"")</f>
        <v/>
      </c>
      <c r="AF841" s="351" t="str">
        <f t="shared" ref="AF841:AF904" ca="1" si="558">IF(AND($U$9&lt;16,$T841=12),VLOOKUP($S841,DOWN16,5,0),"")</f>
        <v/>
      </c>
      <c r="AG841" s="340"/>
      <c r="AH841" s="340"/>
      <c r="AI841" s="340"/>
      <c r="AJ841" s="340"/>
      <c r="AK841" s="340"/>
      <c r="AL841" s="340"/>
      <c r="AM841" s="340"/>
      <c r="AN841" s="340"/>
      <c r="AO841" s="340"/>
      <c r="AP841" s="340"/>
      <c r="AQ841" s="340"/>
      <c r="AR841" s="340"/>
      <c r="AS841" s="340"/>
      <c r="AT841" s="340"/>
      <c r="AU841" s="340"/>
      <c r="AV841" s="340"/>
      <c r="AY841" s="340"/>
      <c r="AZ841" s="465">
        <f t="shared" ca="1" si="534"/>
        <v>7.3698599999999999E-5</v>
      </c>
      <c r="BA841" s="464">
        <f t="shared" ca="1" si="535"/>
        <v>2.2109589000000002E-3</v>
      </c>
      <c r="BB841" s="465">
        <f t="shared" ca="1" si="535"/>
        <v>2.2846575E-3</v>
      </c>
      <c r="BC841" s="466">
        <f t="shared" ca="1" si="536"/>
        <v>68211</v>
      </c>
      <c r="BD841" s="467">
        <f t="shared" ca="1" si="549"/>
        <v>68212</v>
      </c>
      <c r="BE841" s="467">
        <f t="shared" ca="1" si="537"/>
        <v>68241</v>
      </c>
      <c r="BF841" s="468">
        <f ca="1">IF(計算!$BC841&lt;OP!$C$3,0,BD841-BC841)</f>
        <v>1</v>
      </c>
      <c r="BG841" s="468">
        <f ca="1">IF($BE841&gt;DATE(YEAR($BD$9)+OP!$C$57,MONTH($BD$9),DAY($BD$9)),0,$BE841-$BD841+1)</f>
        <v>30</v>
      </c>
      <c r="BH841" s="469">
        <f t="shared" ca="1" si="538"/>
        <v>31</v>
      </c>
      <c r="BI841" t="str">
        <f t="shared" si="554"/>
        <v/>
      </c>
      <c r="BJ841">
        <v>4</v>
      </c>
      <c r="BN841" s="468">
        <f t="shared" si="550"/>
        <v>70</v>
      </c>
      <c r="BO841" s="468">
        <f t="shared" si="551"/>
        <v>4</v>
      </c>
      <c r="BP841" s="467">
        <f t="shared" ca="1" si="539"/>
        <v>68212</v>
      </c>
      <c r="BQ841" s="475">
        <f t="shared" ca="1" si="553"/>
        <v>102</v>
      </c>
      <c r="BR841" s="475" t="str">
        <f t="shared" si="552"/>
        <v/>
      </c>
      <c r="BS841" s="471" t="str">
        <f t="shared" si="540"/>
        <v/>
      </c>
      <c r="BT841" s="472" t="str">
        <f t="shared" si="555"/>
        <v/>
      </c>
      <c r="BU841" s="472">
        <f t="shared" ca="1" si="541"/>
        <v>0</v>
      </c>
      <c r="BV841" s="472">
        <f t="shared" ca="1" si="541"/>
        <v>0</v>
      </c>
      <c r="BW841" s="472"/>
      <c r="BX841" s="473">
        <f t="shared" ca="1" si="542"/>
        <v>1982396.5802017299</v>
      </c>
      <c r="BY841" s="473">
        <f t="shared" si="543"/>
        <v>0</v>
      </c>
      <c r="BZ841" s="473">
        <f t="shared" ref="BZ841:BZ904" ca="1" si="559">ROUND(BX841*IF(BO841=12,$BA841,$BB841),$CB$6)</f>
        <v>4529.0972149319996</v>
      </c>
      <c r="CA841" s="476">
        <f t="shared" ca="1" si="544"/>
        <v>0</v>
      </c>
      <c r="CB841" s="494">
        <f ca="1">IF(OR($Q840&lt;&gt;1,OP!$D$5+$BN841-1&lt;16,$BN841-1&lt;1),0,ROUND(ROUND(ROUND(((VLOOKUP($BN841-1,MORE_PV,5,0)/10000)*VLOOKUP($BN841,MORE_PV,$CB$5,0)),3)*VLOOKUP($BN841,more1,5,0),0)/$R840,0))</f>
        <v>0</v>
      </c>
      <c r="CC841" s="473">
        <f t="shared" ca="1" si="545"/>
        <v>0</v>
      </c>
      <c r="CD841" s="477"/>
    </row>
    <row r="842" spans="2:82" ht="16.5" hidden="1">
      <c r="B842" s="80"/>
      <c r="C842" s="80"/>
      <c r="D842" s="80"/>
      <c r="E842" s="80"/>
      <c r="F842" s="80"/>
      <c r="G842" s="80"/>
      <c r="H842" s="80"/>
      <c r="I842" s="80"/>
      <c r="J842" s="192">
        <f t="shared" ref="J842:J905" si="560">IF(K841=12,J841+1,J841)</f>
        <v>70</v>
      </c>
      <c r="K842" s="192">
        <f t="shared" ref="K842:K905" si="561">IF(K841=12,1,K841+1)</f>
        <v>6</v>
      </c>
      <c r="L842" s="192" t="str">
        <f t="shared" si="556"/>
        <v/>
      </c>
      <c r="M842" s="216">
        <f t="shared" ref="M842:M905" ca="1" si="562">IF($Q842=1,VLOOKUP(L842,$BR$9:$BT$1341,3,0),0)</f>
        <v>0</v>
      </c>
      <c r="N842" s="216"/>
      <c r="O842" s="216"/>
      <c r="P842" s="216"/>
      <c r="Q842" s="456" t="str">
        <f t="shared" ref="Q842:Q905" ca="1" si="563">IF(OR($U842&gt;=$I$5,AND($G$5=1,$K842=12),AND($G$5=2,OR($K842=6,$K842=12)),AND($G$5=4,OR($K842=3,$K842=6,$K842=9,$K842=12)),$G$5=12),1,"")</f>
        <v/>
      </c>
      <c r="R842" s="450">
        <f t="shared" ref="R842:R905" ca="1" si="564">IF($U842&lt;$I$5,$G$5,$I$6)</f>
        <v>1</v>
      </c>
      <c r="S842" s="191">
        <f t="shared" ref="S842:S905" si="565">IF(T841=12,S841+1,S841)</f>
        <v>70</v>
      </c>
      <c r="T842" s="191">
        <f t="shared" ref="T842:T905" si="566">IF(T841=12,1,T841+1)</f>
        <v>6</v>
      </c>
      <c r="U842" s="191">
        <f ca="1">OP!$D$5+$S842-1</f>
        <v>102</v>
      </c>
      <c r="V842" s="191" t="str">
        <f t="shared" ref="V842:V905" si="567">IF($T842=12,$S842,"")</f>
        <v/>
      </c>
      <c r="W842" s="350">
        <f ca="1">IF(Q842&lt;&gt;1,0,VLOOKUP(OP!$C$55,PVFB,$S842+2,0))</f>
        <v>0</v>
      </c>
      <c r="X842" s="473">
        <f t="shared" ca="1" si="546"/>
        <v>0</v>
      </c>
      <c r="Y842" s="348">
        <f t="shared" ca="1" si="547"/>
        <v>0</v>
      </c>
      <c r="Z842" s="348">
        <f t="shared" ca="1" si="548"/>
        <v>8012</v>
      </c>
      <c r="AA842" s="348">
        <f ca="1">IF(Q842&lt;&gt;1,0,VLOOKUP(OP!$C$55,PVFB,$S842+2,0))</f>
        <v>0</v>
      </c>
      <c r="AB842" s="488" t="str">
        <f ca="1">IF(AND(S842&lt;OP!$C$24,$U842&lt;15),0,IF(AND($U842&lt;15,$T842=12),ROUND(VLOOKUP($S842,DOWN16,5,0),3),IF($T842=12,ROUND(($Z842/10000)*$AA842,3)+IF(AND($P$7="購買增額繳清保險",T842=12,U842=110),VLOOKUP(S842,$B$10:$H$121,7,0),0),"")))</f>
        <v/>
      </c>
      <c r="AC842" s="350" t="str">
        <f ca="1">IF(AND(S842&lt;OP!$C$24,$U842&lt;15),0,IF(AND($U842&lt;16,$T842=12),VLOOKUP($S842,DOWN16,4,0),IF($T842=12,ROUND(VLOOKUP(OP!$C$55,_DIE2,$S842+1,0)*(Z842/10000),0)+IF(AND($P$7="購買增額繳清保險",T842=12,U842=110),VLOOKUP(S842,$B$10:$H$121,7,0),0),"")))</f>
        <v/>
      </c>
      <c r="AD842" s="347"/>
      <c r="AE842" s="350" t="str">
        <f t="shared" ca="1" si="557"/>
        <v/>
      </c>
      <c r="AF842" s="351" t="str">
        <f t="shared" ca="1" si="558"/>
        <v/>
      </c>
      <c r="AG842" s="340"/>
      <c r="AH842" s="340"/>
      <c r="AI842" s="340"/>
      <c r="AJ842" s="340"/>
      <c r="AK842" s="340"/>
      <c r="AL842" s="340"/>
      <c r="AM842" s="340"/>
      <c r="AN842" s="340"/>
      <c r="AO842" s="340"/>
      <c r="AP842" s="340"/>
      <c r="AQ842" s="340"/>
      <c r="AR842" s="340"/>
      <c r="AS842" s="340"/>
      <c r="AT842" s="340"/>
      <c r="AU842" s="340"/>
      <c r="AV842" s="340"/>
      <c r="AY842" s="340"/>
      <c r="AZ842" s="465">
        <f t="shared" ref="AZ842:AZ905" ca="1" si="568">ROUND(($G$3*BF842/365),10)</f>
        <v>7.3698599999999999E-5</v>
      </c>
      <c r="BA842" s="464">
        <f t="shared" ref="BA842:BB905" ca="1" si="569">ROUND(($G$3*BG842/365),10)</f>
        <v>2.1372602999999999E-3</v>
      </c>
      <c r="BB842" s="465">
        <f t="shared" ca="1" si="569"/>
        <v>2.2109589000000002E-3</v>
      </c>
      <c r="BC842" s="466">
        <f t="shared" ref="BC842:BC905" ca="1" si="570">DATE(YEAR(BD842),MONTH(BD842),1)</f>
        <v>68242</v>
      </c>
      <c r="BD842" s="467">
        <f t="shared" ca="1" si="549"/>
        <v>68243</v>
      </c>
      <c r="BE842" s="467">
        <f t="shared" ref="BE842:BE905" ca="1" si="571">DATE(YEAR(BD842),MONTH(BD842),DAY(DATE(YEAR(BD842),MONTH(BD842)+1,0)))</f>
        <v>68271</v>
      </c>
      <c r="BF842" s="468">
        <f ca="1">IF(計算!$BC842&lt;OP!$C$3,0,BD842-BC842)</f>
        <v>1</v>
      </c>
      <c r="BG842" s="468">
        <f ca="1">IF($BE842&gt;DATE(YEAR($BD$9)+OP!$C$57,MONTH($BD$9),DAY($BD$9)),0,$BE842-$BD842+1)</f>
        <v>29</v>
      </c>
      <c r="BH842" s="469">
        <f t="shared" ref="BH842:BH905" ca="1" si="572">BF842+BG842</f>
        <v>30</v>
      </c>
      <c r="BI842" t="str">
        <f t="shared" si="554"/>
        <v/>
      </c>
      <c r="BJ842">
        <v>5</v>
      </c>
      <c r="BN842" s="468">
        <f t="shared" si="550"/>
        <v>70</v>
      </c>
      <c r="BO842" s="468">
        <f t="shared" si="551"/>
        <v>5</v>
      </c>
      <c r="BP842" s="467">
        <f t="shared" ref="BP842:BP905" ca="1" si="573">BD842</f>
        <v>68243</v>
      </c>
      <c r="BQ842" s="475">
        <f t="shared" ca="1" si="553"/>
        <v>102</v>
      </c>
      <c r="BR842" s="475" t="str">
        <f t="shared" si="552"/>
        <v/>
      </c>
      <c r="BS842" s="471" t="str">
        <f t="shared" ref="BS842:BS905" si="574">IF(BW842&lt;&gt;"",ROUND(BU842,0)+ROUND(BV842,0),"")</f>
        <v/>
      </c>
      <c r="BT842" s="472" t="str">
        <f t="shared" si="555"/>
        <v/>
      </c>
      <c r="BU842" s="472">
        <f t="shared" ref="BU842:BV905" ca="1" si="575">ROUND(CA842,0)</f>
        <v>0</v>
      </c>
      <c r="BV842" s="472">
        <f t="shared" ca="1" si="575"/>
        <v>0</v>
      </c>
      <c r="BW842" s="472"/>
      <c r="BX842" s="473">
        <f t="shared" ref="BX842:BX905" ca="1" si="576">IF(BN842&lt;=$P$4,0,ROUNDDOWN(IF($Q841=1,CA842+CB842-CC842,0)+BX841+BY842+BZ841,VLOOKUP(LEN(ROUNDDOWN(IF($Q841=1,CA842+CB842-CC842,0)+BX841+BY842+BZ841,0)),$BK$9:$BL$24,2,0)))</f>
        <v>1986925.6774166599</v>
      </c>
      <c r="BY842" s="473">
        <f t="shared" ref="BY842:BY905" si="577">IF(BO842=12,ROUND((BX841+BZ841)*$AZ842,$CB$6),0)</f>
        <v>0</v>
      </c>
      <c r="BZ842" s="473">
        <f t="shared" ca="1" si="559"/>
        <v>4393.0110101230002</v>
      </c>
      <c r="CA842" s="476">
        <f t="shared" ref="CA842:CA905" ca="1" si="578">IF($Q841=1,ROUND(VLOOKUP($BN842,more1,3,0)*VLOOKUP($BN842,more1,5,0)/$R841,0),0)</f>
        <v>0</v>
      </c>
      <c r="CB842" s="494">
        <f ca="1">IF(OR($Q841&lt;&gt;1,OP!$D$5+$BN842-1&lt;16,$BN842-1&lt;1),0,ROUND(ROUND(ROUND(((VLOOKUP($BN842-1,MORE_PV,5,0)/10000)*VLOOKUP($BN842,MORE_PV,$CB$5,0)),3)*VLOOKUP($BN842,more1,5,0),0)/$R841,0))</f>
        <v>0</v>
      </c>
      <c r="CC842" s="473">
        <f t="shared" ref="CC842:CC905" ca="1" si="579">IF(AND($BN842=$P$4,$BO842=12),$CA842+$CB842,IF(AND($BN842&gt;$P$4,$Q841=1,$G$6="現金給付",$CA842+$CB842&gt;=$P$3),$CA842+$CB842,0))</f>
        <v>0</v>
      </c>
      <c r="CD842" s="477"/>
    </row>
    <row r="843" spans="2:82" ht="16.5" hidden="1">
      <c r="B843" s="80"/>
      <c r="C843" s="80"/>
      <c r="D843" s="80"/>
      <c r="E843" s="80"/>
      <c r="F843" s="80"/>
      <c r="G843" s="80"/>
      <c r="H843" s="80"/>
      <c r="I843" s="80"/>
      <c r="J843" s="192">
        <f t="shared" si="560"/>
        <v>70</v>
      </c>
      <c r="K843" s="192">
        <f t="shared" si="561"/>
        <v>7</v>
      </c>
      <c r="L843" s="192" t="str">
        <f t="shared" si="556"/>
        <v/>
      </c>
      <c r="M843" s="216">
        <f t="shared" ca="1" si="562"/>
        <v>0</v>
      </c>
      <c r="N843" s="216"/>
      <c r="O843" s="216"/>
      <c r="P843" s="216"/>
      <c r="Q843" s="456" t="str">
        <f t="shared" ca="1" si="563"/>
        <v/>
      </c>
      <c r="R843" s="450">
        <f t="shared" ca="1" si="564"/>
        <v>1</v>
      </c>
      <c r="S843" s="191">
        <f t="shared" si="565"/>
        <v>70</v>
      </c>
      <c r="T843" s="191">
        <f t="shared" si="566"/>
        <v>7</v>
      </c>
      <c r="U843" s="191">
        <f ca="1">OP!$D$5+$S843-1</f>
        <v>102</v>
      </c>
      <c r="V843" s="191" t="str">
        <f t="shared" si="567"/>
        <v/>
      </c>
      <c r="W843" s="350">
        <f ca="1">IF(Q843&lt;&gt;1,0,VLOOKUP(OP!$C$55,PVFB,$S843+2,0))</f>
        <v>0</v>
      </c>
      <c r="X843" s="473">
        <f t="shared" ref="X843:X906" ca="1" si="580">IF(AND($U843=15,$T843=12),$CO844,IF(AND($U843&gt;15,$S843&lt;=$P$4,$T843=12),($BS844)*$R843,IF($Q843=1,($BS844),0)))</f>
        <v>0</v>
      </c>
      <c r="Y843" s="348">
        <f t="shared" ref="Y843:Y906" ca="1" si="581">IF(AND($P$7="購買增額繳清保險",U843&gt;=110),0,IF(AND($U843=15,$W843&lt;&gt;0,$T843=12),ROUND(($X843)/($W843/10000),0),IF(AND($S843&lt;=$P$4,$W843&lt;&gt;0,$T843=12,$U843&gt;15),ROUND(($X843)/($W843/10000),0),0)))</f>
        <v>0</v>
      </c>
      <c r="Z843" s="348">
        <f t="shared" ref="Z843:Z906" ca="1" si="582">Z842+Y843</f>
        <v>8012</v>
      </c>
      <c r="AA843" s="348">
        <f ca="1">IF(Q843&lt;&gt;1,0,VLOOKUP(OP!$C$55,PVFB,$S843+2,0))</f>
        <v>0</v>
      </c>
      <c r="AB843" s="488" t="str">
        <f ca="1">IF(AND(S843&lt;OP!$C$24,$U843&lt;15),0,IF(AND($U843&lt;15,$T843=12),ROUND(VLOOKUP($S843,DOWN16,5,0),3),IF($T843=12,ROUND(($Z843/10000)*$AA843,3)+IF(AND($P$7="購買增額繳清保險",T843=12,U843=110),VLOOKUP(S843,$B$10:$H$121,7,0),0),"")))</f>
        <v/>
      </c>
      <c r="AC843" s="350" t="str">
        <f ca="1">IF(AND(S843&lt;OP!$C$24,$U843&lt;15),0,IF(AND($U843&lt;16,$T843=12),VLOOKUP($S843,DOWN16,4,0),IF($T843=12,ROUND(VLOOKUP(OP!$C$55,_DIE2,$S843+1,0)*(Z843/10000),0)+IF(AND($P$7="購買增額繳清保險",T843=12,U843=110),VLOOKUP(S843,$B$10:$H$121,7,0),0),"")))</f>
        <v/>
      </c>
      <c r="AD843" s="347"/>
      <c r="AE843" s="350" t="str">
        <f t="shared" ca="1" si="557"/>
        <v/>
      </c>
      <c r="AF843" s="351" t="str">
        <f t="shared" ca="1" si="558"/>
        <v/>
      </c>
      <c r="AG843" s="340"/>
      <c r="AH843" s="340"/>
      <c r="AI843" s="340"/>
      <c r="AJ843" s="340"/>
      <c r="AK843" s="340"/>
      <c r="AL843" s="340"/>
      <c r="AM843" s="340"/>
      <c r="AN843" s="340"/>
      <c r="AO843" s="340"/>
      <c r="AP843" s="340"/>
      <c r="AQ843" s="340"/>
      <c r="AR843" s="340"/>
      <c r="AS843" s="340"/>
      <c r="AT843" s="340"/>
      <c r="AU843" s="340"/>
      <c r="AV843" s="340"/>
      <c r="AY843" s="340"/>
      <c r="AZ843" s="465">
        <f t="shared" ca="1" si="568"/>
        <v>7.3698599999999999E-5</v>
      </c>
      <c r="BA843" s="464">
        <f t="shared" ca="1" si="569"/>
        <v>2.2109589000000002E-3</v>
      </c>
      <c r="BB843" s="465">
        <f t="shared" ca="1" si="569"/>
        <v>2.2846575E-3</v>
      </c>
      <c r="BC843" s="466">
        <f t="shared" ca="1" si="570"/>
        <v>68272</v>
      </c>
      <c r="BD843" s="467">
        <f t="shared" ref="BD843:BD906" ca="1" si="583">DATE(YEAR(BD842),MONTH(BD842)+1,MIN(DAY($BD$9),DAY(DATE(YEAR(BD842),MONTH(BD842)+2,0))))</f>
        <v>68273</v>
      </c>
      <c r="BE843" s="467">
        <f t="shared" ca="1" si="571"/>
        <v>68302</v>
      </c>
      <c r="BF843" s="468">
        <f ca="1">IF(計算!$BC843&lt;OP!$C$3,0,BD843-BC843)</f>
        <v>1</v>
      </c>
      <c r="BG843" s="468">
        <f ca="1">IF($BE843&gt;DATE(YEAR($BD$9)+OP!$C$57,MONTH($BD$9),DAY($BD$9)),0,$BE843-$BD843+1)</f>
        <v>30</v>
      </c>
      <c r="BH843" s="469">
        <f t="shared" ca="1" si="572"/>
        <v>31</v>
      </c>
      <c r="BI843" t="str">
        <f t="shared" si="554"/>
        <v/>
      </c>
      <c r="BJ843">
        <v>6</v>
      </c>
      <c r="BN843" s="468">
        <f t="shared" ref="BN843:BN906" si="584">IF(BO842=12,BN842+1,BN842)</f>
        <v>70</v>
      </c>
      <c r="BO843" s="468">
        <f t="shared" ref="BO843:BO906" si="585">IF(BO842=12,1,BO842+1)</f>
        <v>6</v>
      </c>
      <c r="BP843" s="467">
        <f t="shared" ca="1" si="573"/>
        <v>68273</v>
      </c>
      <c r="BQ843" s="475">
        <f t="shared" ca="1" si="553"/>
        <v>102</v>
      </c>
      <c r="BR843" s="475" t="str">
        <f t="shared" ref="BR843:BR906" si="586">IF(BO843=12,BN843,"")</f>
        <v/>
      </c>
      <c r="BS843" s="471" t="str">
        <f t="shared" si="574"/>
        <v/>
      </c>
      <c r="BT843" s="472" t="str">
        <f t="shared" si="555"/>
        <v/>
      </c>
      <c r="BU843" s="472">
        <f t="shared" ca="1" si="575"/>
        <v>0</v>
      </c>
      <c r="BV843" s="472">
        <f t="shared" ca="1" si="575"/>
        <v>0</v>
      </c>
      <c r="BW843" s="472"/>
      <c r="BX843" s="473">
        <f t="shared" ca="1" si="576"/>
        <v>1991318.68842678</v>
      </c>
      <c r="BY843" s="473">
        <f t="shared" si="577"/>
        <v>0</v>
      </c>
      <c r="BZ843" s="473">
        <f t="shared" ca="1" si="559"/>
        <v>4549.4811764039996</v>
      </c>
      <c r="CA843" s="476">
        <f t="shared" ca="1" si="578"/>
        <v>0</v>
      </c>
      <c r="CB843" s="494">
        <f ca="1">IF(OR($Q842&lt;&gt;1,OP!$D$5+$BN843-1&lt;16,$BN843-1&lt;1),0,ROUND(ROUND(ROUND(((VLOOKUP($BN843-1,MORE_PV,5,0)/10000)*VLOOKUP($BN843,MORE_PV,$CB$5,0)),3)*VLOOKUP($BN843,more1,5,0),0)/$R842,0))</f>
        <v>0</v>
      </c>
      <c r="CC843" s="473">
        <f t="shared" ca="1" si="579"/>
        <v>0</v>
      </c>
      <c r="CD843" s="477"/>
    </row>
    <row r="844" spans="2:82" ht="16.5" hidden="1">
      <c r="B844" s="80"/>
      <c r="C844" s="80"/>
      <c r="D844" s="80"/>
      <c r="E844" s="80"/>
      <c r="F844" s="80"/>
      <c r="G844" s="80"/>
      <c r="H844" s="80"/>
      <c r="I844" s="80"/>
      <c r="J844" s="192">
        <f t="shared" si="560"/>
        <v>70</v>
      </c>
      <c r="K844" s="192">
        <f t="shared" si="561"/>
        <v>8</v>
      </c>
      <c r="L844" s="192" t="str">
        <f t="shared" si="556"/>
        <v/>
      </c>
      <c r="M844" s="216">
        <f t="shared" ca="1" si="562"/>
        <v>0</v>
      </c>
      <c r="N844" s="216"/>
      <c r="O844" s="216"/>
      <c r="P844" s="216"/>
      <c r="Q844" s="456" t="str">
        <f t="shared" ca="1" si="563"/>
        <v/>
      </c>
      <c r="R844" s="450">
        <f t="shared" ca="1" si="564"/>
        <v>1</v>
      </c>
      <c r="S844" s="191">
        <f t="shared" si="565"/>
        <v>70</v>
      </c>
      <c r="T844" s="191">
        <f t="shared" si="566"/>
        <v>8</v>
      </c>
      <c r="U844" s="191">
        <f ca="1">OP!$D$5+$S844-1</f>
        <v>102</v>
      </c>
      <c r="V844" s="191" t="str">
        <f t="shared" si="567"/>
        <v/>
      </c>
      <c r="W844" s="350">
        <f ca="1">IF(Q844&lt;&gt;1,0,VLOOKUP(OP!$C$55,PVFB,$S844+2,0))</f>
        <v>0</v>
      </c>
      <c r="X844" s="473">
        <f t="shared" ca="1" si="580"/>
        <v>0</v>
      </c>
      <c r="Y844" s="348">
        <f t="shared" ca="1" si="581"/>
        <v>0</v>
      </c>
      <c r="Z844" s="348">
        <f t="shared" ca="1" si="582"/>
        <v>8012</v>
      </c>
      <c r="AA844" s="348">
        <f ca="1">IF(Q844&lt;&gt;1,0,VLOOKUP(OP!$C$55,PVFB,$S844+2,0))</f>
        <v>0</v>
      </c>
      <c r="AB844" s="488" t="str">
        <f ca="1">IF(AND(S844&lt;OP!$C$24,$U844&lt;15),0,IF(AND($U844&lt;15,$T844=12),ROUND(VLOOKUP($S844,DOWN16,5,0),3),IF($T844=12,ROUND(($Z844/10000)*$AA844,3)+IF(AND($P$7="購買增額繳清保險",T844=12,U844=110),VLOOKUP(S844,$B$10:$H$121,7,0),0),"")))</f>
        <v/>
      </c>
      <c r="AC844" s="350" t="str">
        <f ca="1">IF(AND(S844&lt;OP!$C$24,$U844&lt;15),0,IF(AND($U844&lt;16,$T844=12),VLOOKUP($S844,DOWN16,4,0),IF($T844=12,ROUND(VLOOKUP(OP!$C$55,_DIE2,$S844+1,0)*(Z844/10000),0)+IF(AND($P$7="購買增額繳清保險",T844=12,U844=110),VLOOKUP(S844,$B$10:$H$121,7,0),0),"")))</f>
        <v/>
      </c>
      <c r="AD844" s="347"/>
      <c r="AE844" s="350" t="str">
        <f t="shared" ca="1" si="557"/>
        <v/>
      </c>
      <c r="AF844" s="351" t="str">
        <f t="shared" ca="1" si="558"/>
        <v/>
      </c>
      <c r="AG844" s="340"/>
      <c r="AH844" s="340"/>
      <c r="AI844" s="340"/>
      <c r="AJ844" s="340"/>
      <c r="AK844" s="340"/>
      <c r="AL844" s="340"/>
      <c r="AM844" s="340"/>
      <c r="AN844" s="340"/>
      <c r="AO844" s="340"/>
      <c r="AP844" s="340"/>
      <c r="AQ844" s="340"/>
      <c r="AR844" s="340"/>
      <c r="AS844" s="340"/>
      <c r="AT844" s="340"/>
      <c r="AU844" s="340"/>
      <c r="AV844" s="340"/>
      <c r="AY844" s="340"/>
      <c r="AZ844" s="465">
        <f t="shared" ca="1" si="568"/>
        <v>7.3698599999999999E-5</v>
      </c>
      <c r="BA844" s="464">
        <f t="shared" ca="1" si="569"/>
        <v>2.2109589000000002E-3</v>
      </c>
      <c r="BB844" s="465">
        <f t="shared" ca="1" si="569"/>
        <v>2.2846575E-3</v>
      </c>
      <c r="BC844" s="466">
        <f t="shared" ca="1" si="570"/>
        <v>68303</v>
      </c>
      <c r="BD844" s="467">
        <f t="shared" ca="1" si="583"/>
        <v>68304</v>
      </c>
      <c r="BE844" s="467">
        <f t="shared" ca="1" si="571"/>
        <v>68333</v>
      </c>
      <c r="BF844" s="468">
        <f ca="1">IF(計算!$BC844&lt;OP!$C$3,0,BD844-BC844)</f>
        <v>1</v>
      </c>
      <c r="BG844" s="468">
        <f ca="1">IF($BE844&gt;DATE(YEAR($BD$9)+OP!$C$57,MONTH($BD$9),DAY($BD$9)),0,$BE844-$BD844+1)</f>
        <v>30</v>
      </c>
      <c r="BH844" s="469">
        <f t="shared" ca="1" si="572"/>
        <v>31</v>
      </c>
      <c r="BI844" t="str">
        <f t="shared" si="554"/>
        <v/>
      </c>
      <c r="BJ844">
        <v>7</v>
      </c>
      <c r="BN844" s="468">
        <f t="shared" si="584"/>
        <v>70</v>
      </c>
      <c r="BO844" s="468">
        <f t="shared" si="585"/>
        <v>7</v>
      </c>
      <c r="BP844" s="467">
        <f t="shared" ca="1" si="573"/>
        <v>68304</v>
      </c>
      <c r="BQ844" s="475">
        <f t="shared" ref="BQ844:BQ907" ca="1" si="587">IF(BO843=12,BQ843+1,BQ843)</f>
        <v>102</v>
      </c>
      <c r="BR844" s="475" t="str">
        <f t="shared" si="586"/>
        <v/>
      </c>
      <c r="BS844" s="471" t="str">
        <f t="shared" si="574"/>
        <v/>
      </c>
      <c r="BT844" s="472" t="str">
        <f t="shared" si="555"/>
        <v/>
      </c>
      <c r="BU844" s="472">
        <f t="shared" ca="1" si="575"/>
        <v>0</v>
      </c>
      <c r="BV844" s="472">
        <f t="shared" ca="1" si="575"/>
        <v>0</v>
      </c>
      <c r="BW844" s="472"/>
      <c r="BX844" s="473">
        <f t="shared" ca="1" si="576"/>
        <v>1995868.1696031799</v>
      </c>
      <c r="BY844" s="473">
        <f t="shared" si="577"/>
        <v>0</v>
      </c>
      <c r="BZ844" s="473">
        <f t="shared" ca="1" si="559"/>
        <v>4559.8751826950001</v>
      </c>
      <c r="CA844" s="476">
        <f t="shared" ca="1" si="578"/>
        <v>0</v>
      </c>
      <c r="CB844" s="494">
        <f ca="1">IF(OR($Q843&lt;&gt;1,OP!$D$5+$BN844-1&lt;16,$BN844-1&lt;1),0,ROUND(ROUND(ROUND(((VLOOKUP($BN844-1,MORE_PV,5,0)/10000)*VLOOKUP($BN844,MORE_PV,$CB$5,0)),3)*VLOOKUP($BN844,more1,5,0),0)/$R843,0))</f>
        <v>0</v>
      </c>
      <c r="CC844" s="473">
        <f t="shared" ca="1" si="579"/>
        <v>0</v>
      </c>
      <c r="CD844" s="477"/>
    </row>
    <row r="845" spans="2:82" ht="16.5" hidden="1">
      <c r="B845" s="80"/>
      <c r="C845" s="80"/>
      <c r="D845" s="80"/>
      <c r="E845" s="80"/>
      <c r="F845" s="80"/>
      <c r="G845" s="80"/>
      <c r="H845" s="80"/>
      <c r="I845" s="80"/>
      <c r="J845" s="192">
        <f t="shared" si="560"/>
        <v>70</v>
      </c>
      <c r="K845" s="192">
        <f t="shared" si="561"/>
        <v>9</v>
      </c>
      <c r="L845" s="192" t="str">
        <f t="shared" si="556"/>
        <v/>
      </c>
      <c r="M845" s="216">
        <f t="shared" ca="1" si="562"/>
        <v>0</v>
      </c>
      <c r="N845" s="216"/>
      <c r="O845" s="216"/>
      <c r="P845" s="216"/>
      <c r="Q845" s="456" t="str">
        <f t="shared" ca="1" si="563"/>
        <v/>
      </c>
      <c r="R845" s="450">
        <f t="shared" ca="1" si="564"/>
        <v>1</v>
      </c>
      <c r="S845" s="191">
        <f t="shared" si="565"/>
        <v>70</v>
      </c>
      <c r="T845" s="191">
        <f t="shared" si="566"/>
        <v>9</v>
      </c>
      <c r="U845" s="191">
        <f ca="1">OP!$D$5+$S845-1</f>
        <v>102</v>
      </c>
      <c r="V845" s="191" t="str">
        <f t="shared" si="567"/>
        <v/>
      </c>
      <c r="W845" s="350">
        <f ca="1">IF(Q845&lt;&gt;1,0,VLOOKUP(OP!$C$55,PVFB,$S845+2,0))</f>
        <v>0</v>
      </c>
      <c r="X845" s="473">
        <f t="shared" ca="1" si="580"/>
        <v>0</v>
      </c>
      <c r="Y845" s="348">
        <f t="shared" ca="1" si="581"/>
        <v>0</v>
      </c>
      <c r="Z845" s="348">
        <f t="shared" ca="1" si="582"/>
        <v>8012</v>
      </c>
      <c r="AA845" s="348">
        <f ca="1">IF(Q845&lt;&gt;1,0,VLOOKUP(OP!$C$55,PVFB,$S845+2,0))</f>
        <v>0</v>
      </c>
      <c r="AB845" s="488" t="str">
        <f ca="1">IF(AND(S845&lt;OP!$C$24,$U845&lt;15),0,IF(AND($U845&lt;15,$T845=12),ROUND(VLOOKUP($S845,DOWN16,5,0),3),IF($T845=12,ROUND(($Z845/10000)*$AA845,3)+IF(AND($P$7="購買增額繳清保險",T845=12,U845=110),VLOOKUP(S845,$B$10:$H$121,7,0),0),"")))</f>
        <v/>
      </c>
      <c r="AC845" s="350" t="str">
        <f ca="1">IF(AND(S845&lt;OP!$C$24,$U845&lt;15),0,IF(AND($U845&lt;16,$T845=12),VLOOKUP($S845,DOWN16,4,0),IF($T845=12,ROUND(VLOOKUP(OP!$C$55,_DIE2,$S845+1,0)*(Z845/10000),0)+IF(AND($P$7="購買增額繳清保險",T845=12,U845=110),VLOOKUP(S845,$B$10:$H$121,7,0),0),"")))</f>
        <v/>
      </c>
      <c r="AD845" s="347"/>
      <c r="AE845" s="350" t="str">
        <f t="shared" ca="1" si="557"/>
        <v/>
      </c>
      <c r="AF845" s="351" t="str">
        <f t="shared" ca="1" si="558"/>
        <v/>
      </c>
      <c r="AG845" s="340"/>
      <c r="AH845" s="340"/>
      <c r="AI845" s="340"/>
      <c r="AJ845" s="340"/>
      <c r="AK845" s="340"/>
      <c r="AL845" s="340"/>
      <c r="AM845" s="340"/>
      <c r="AN845" s="340"/>
      <c r="AO845" s="340"/>
      <c r="AP845" s="340"/>
      <c r="AQ845" s="340"/>
      <c r="AR845" s="340"/>
      <c r="AS845" s="340"/>
      <c r="AT845" s="340"/>
      <c r="AU845" s="340"/>
      <c r="AV845" s="340"/>
      <c r="AY845" s="340"/>
      <c r="AZ845" s="465">
        <f t="shared" ca="1" si="568"/>
        <v>7.3698599999999999E-5</v>
      </c>
      <c r="BA845" s="464">
        <f t="shared" ca="1" si="569"/>
        <v>1.9898630000000001E-3</v>
      </c>
      <c r="BB845" s="465">
        <f t="shared" ca="1" si="569"/>
        <v>2.0635616E-3</v>
      </c>
      <c r="BC845" s="466">
        <f t="shared" ca="1" si="570"/>
        <v>68334</v>
      </c>
      <c r="BD845" s="467">
        <f t="shared" ca="1" si="583"/>
        <v>68335</v>
      </c>
      <c r="BE845" s="467">
        <f t="shared" ca="1" si="571"/>
        <v>68361</v>
      </c>
      <c r="BF845" s="468">
        <f ca="1">IF(計算!$BC845&lt;OP!$C$3,0,BD845-BC845)</f>
        <v>1</v>
      </c>
      <c r="BG845" s="468">
        <f ca="1">IF($BE845&gt;DATE(YEAR($BD$9)+OP!$C$57,MONTH($BD$9),DAY($BD$9)),0,$BE845-$BD845+1)</f>
        <v>27</v>
      </c>
      <c r="BH845" s="469">
        <f t="shared" ca="1" si="572"/>
        <v>28</v>
      </c>
      <c r="BI845" t="str">
        <f t="shared" si="554"/>
        <v/>
      </c>
      <c r="BJ845">
        <v>8</v>
      </c>
      <c r="BN845" s="468">
        <f t="shared" si="584"/>
        <v>70</v>
      </c>
      <c r="BO845" s="468">
        <f t="shared" si="585"/>
        <v>8</v>
      </c>
      <c r="BP845" s="467">
        <f t="shared" ca="1" si="573"/>
        <v>68335</v>
      </c>
      <c r="BQ845" s="475">
        <f t="shared" ca="1" si="587"/>
        <v>102</v>
      </c>
      <c r="BR845" s="475" t="str">
        <f t="shared" si="586"/>
        <v/>
      </c>
      <c r="BS845" s="471" t="str">
        <f t="shared" si="574"/>
        <v/>
      </c>
      <c r="BT845" s="472" t="str">
        <f t="shared" si="555"/>
        <v/>
      </c>
      <c r="BU845" s="472">
        <f t="shared" ca="1" si="575"/>
        <v>0</v>
      </c>
      <c r="BV845" s="472">
        <f t="shared" ca="1" si="575"/>
        <v>0</v>
      </c>
      <c r="BW845" s="472"/>
      <c r="BX845" s="473">
        <f t="shared" ca="1" si="576"/>
        <v>2000428.04478587</v>
      </c>
      <c r="BY845" s="473">
        <f t="shared" si="577"/>
        <v>0</v>
      </c>
      <c r="BZ845" s="473">
        <f t="shared" ca="1" si="559"/>
        <v>4128.0064967830003</v>
      </c>
      <c r="CA845" s="476">
        <f t="shared" ca="1" si="578"/>
        <v>0</v>
      </c>
      <c r="CB845" s="494">
        <f ca="1">IF(OR($Q844&lt;&gt;1,OP!$D$5+$BN845-1&lt;16,$BN845-1&lt;1),0,ROUND(ROUND(ROUND(((VLOOKUP($BN845-1,MORE_PV,5,0)/10000)*VLOOKUP($BN845,MORE_PV,$CB$5,0)),3)*VLOOKUP($BN845,more1,5,0),0)/$R844,0))</f>
        <v>0</v>
      </c>
      <c r="CC845" s="473">
        <f t="shared" ca="1" si="579"/>
        <v>0</v>
      </c>
      <c r="CD845" s="477"/>
    </row>
    <row r="846" spans="2:82" ht="16.5" hidden="1">
      <c r="B846" s="80"/>
      <c r="C846" s="80"/>
      <c r="D846" s="80"/>
      <c r="E846" s="80"/>
      <c r="F846" s="80"/>
      <c r="G846" s="80"/>
      <c r="H846" s="80"/>
      <c r="I846" s="80"/>
      <c r="J846" s="192">
        <f t="shared" si="560"/>
        <v>70</v>
      </c>
      <c r="K846" s="192">
        <f t="shared" si="561"/>
        <v>10</v>
      </c>
      <c r="L846" s="192" t="str">
        <f t="shared" si="556"/>
        <v/>
      </c>
      <c r="M846" s="216">
        <f t="shared" ca="1" si="562"/>
        <v>0</v>
      </c>
      <c r="N846" s="216"/>
      <c r="O846" s="216"/>
      <c r="P846" s="216"/>
      <c r="Q846" s="456" t="str">
        <f t="shared" ca="1" si="563"/>
        <v/>
      </c>
      <c r="R846" s="450">
        <f t="shared" ca="1" si="564"/>
        <v>1</v>
      </c>
      <c r="S846" s="191">
        <f t="shared" si="565"/>
        <v>70</v>
      </c>
      <c r="T846" s="191">
        <f t="shared" si="566"/>
        <v>10</v>
      </c>
      <c r="U846" s="191">
        <f ca="1">OP!$D$5+$S846-1</f>
        <v>102</v>
      </c>
      <c r="V846" s="191" t="str">
        <f t="shared" si="567"/>
        <v/>
      </c>
      <c r="W846" s="350">
        <f ca="1">IF(Q846&lt;&gt;1,0,VLOOKUP(OP!$C$55,PVFB,$S846+2,0))</f>
        <v>0</v>
      </c>
      <c r="X846" s="473">
        <f t="shared" ca="1" si="580"/>
        <v>0</v>
      </c>
      <c r="Y846" s="348">
        <f t="shared" ca="1" si="581"/>
        <v>0</v>
      </c>
      <c r="Z846" s="348">
        <f t="shared" ca="1" si="582"/>
        <v>8012</v>
      </c>
      <c r="AA846" s="348">
        <f ca="1">IF(Q846&lt;&gt;1,0,VLOOKUP(OP!$C$55,PVFB,$S846+2,0))</f>
        <v>0</v>
      </c>
      <c r="AB846" s="488" t="str">
        <f ca="1">IF(AND(S846&lt;OP!$C$24,$U846&lt;15),0,IF(AND($U846&lt;15,$T846=12),ROUND(VLOOKUP($S846,DOWN16,5,0),3),IF($T846=12,ROUND(($Z846/10000)*$AA846,3)+IF(AND($P$7="購買增額繳清保險",T846=12,U846=110),VLOOKUP(S846,$B$10:$H$121,7,0),0),"")))</f>
        <v/>
      </c>
      <c r="AC846" s="350" t="str">
        <f ca="1">IF(AND(S846&lt;OP!$C$24,$U846&lt;15),0,IF(AND($U846&lt;16,$T846=12),VLOOKUP($S846,DOWN16,4,0),IF($T846=12,ROUND(VLOOKUP(OP!$C$55,_DIE2,$S846+1,0)*(Z846/10000),0)+IF(AND($P$7="購買增額繳清保險",T846=12,U846=110),VLOOKUP(S846,$B$10:$H$121,7,0),0),"")))</f>
        <v/>
      </c>
      <c r="AD846" s="347"/>
      <c r="AE846" s="350" t="str">
        <f t="shared" ca="1" si="557"/>
        <v/>
      </c>
      <c r="AF846" s="351" t="str">
        <f t="shared" ca="1" si="558"/>
        <v/>
      </c>
      <c r="AG846" s="340"/>
      <c r="AH846" s="340"/>
      <c r="AI846" s="340"/>
      <c r="AJ846" s="340"/>
      <c r="AK846" s="340"/>
      <c r="AL846" s="340"/>
      <c r="AM846" s="340"/>
      <c r="AN846" s="340"/>
      <c r="AO846" s="340"/>
      <c r="AP846" s="340"/>
      <c r="AQ846" s="340"/>
      <c r="AR846" s="340"/>
      <c r="AS846" s="340"/>
      <c r="AT846" s="340"/>
      <c r="AU846" s="340"/>
      <c r="AV846" s="340"/>
      <c r="AY846" s="340"/>
      <c r="AZ846" s="465">
        <f t="shared" ca="1" si="568"/>
        <v>7.3698599999999999E-5</v>
      </c>
      <c r="BA846" s="464">
        <f t="shared" ca="1" si="569"/>
        <v>2.2109589000000002E-3</v>
      </c>
      <c r="BB846" s="465">
        <f t="shared" ca="1" si="569"/>
        <v>2.2846575E-3</v>
      </c>
      <c r="BC846" s="466">
        <f t="shared" ca="1" si="570"/>
        <v>68362</v>
      </c>
      <c r="BD846" s="467">
        <f t="shared" ca="1" si="583"/>
        <v>68363</v>
      </c>
      <c r="BE846" s="467">
        <f t="shared" ca="1" si="571"/>
        <v>68392</v>
      </c>
      <c r="BF846" s="468">
        <f ca="1">IF(計算!$BC846&lt;OP!$C$3,0,BD846-BC846)</f>
        <v>1</v>
      </c>
      <c r="BG846" s="468">
        <f ca="1">IF($BE846&gt;DATE(YEAR($BD$9)+OP!$C$57,MONTH($BD$9),DAY($BD$9)),0,$BE846-$BD846+1)</f>
        <v>30</v>
      </c>
      <c r="BH846" s="469">
        <f t="shared" ca="1" si="572"/>
        <v>31</v>
      </c>
      <c r="BI846" t="str">
        <f t="shared" si="554"/>
        <v/>
      </c>
      <c r="BJ846">
        <v>9</v>
      </c>
      <c r="BN846" s="468">
        <f t="shared" si="584"/>
        <v>70</v>
      </c>
      <c r="BO846" s="468">
        <f t="shared" si="585"/>
        <v>9</v>
      </c>
      <c r="BP846" s="467">
        <f t="shared" ca="1" si="573"/>
        <v>68363</v>
      </c>
      <c r="BQ846" s="475">
        <f t="shared" ca="1" si="587"/>
        <v>102</v>
      </c>
      <c r="BR846" s="475" t="str">
        <f t="shared" si="586"/>
        <v/>
      </c>
      <c r="BS846" s="471" t="str">
        <f t="shared" si="574"/>
        <v/>
      </c>
      <c r="BT846" s="472" t="str">
        <f t="shared" si="555"/>
        <v/>
      </c>
      <c r="BU846" s="472">
        <f t="shared" ca="1" si="575"/>
        <v>0</v>
      </c>
      <c r="BV846" s="472">
        <f t="shared" ca="1" si="575"/>
        <v>0</v>
      </c>
      <c r="BW846" s="472"/>
      <c r="BX846" s="473">
        <f t="shared" ca="1" si="576"/>
        <v>2004556.0512826501</v>
      </c>
      <c r="BY846" s="473">
        <f t="shared" si="577"/>
        <v>0</v>
      </c>
      <c r="BZ846" s="473">
        <f t="shared" ca="1" si="559"/>
        <v>4579.7240167330001</v>
      </c>
      <c r="CA846" s="476">
        <f t="shared" ca="1" si="578"/>
        <v>0</v>
      </c>
      <c r="CB846" s="494">
        <f ca="1">IF(OR($Q845&lt;&gt;1,OP!$D$5+$BN846-1&lt;16,$BN846-1&lt;1),0,ROUND(ROUND(ROUND(((VLOOKUP($BN846-1,MORE_PV,5,0)/10000)*VLOOKUP($BN846,MORE_PV,$CB$5,0)),3)*VLOOKUP($BN846,more1,5,0),0)/$R845,0))</f>
        <v>0</v>
      </c>
      <c r="CC846" s="473">
        <f t="shared" ca="1" si="579"/>
        <v>0</v>
      </c>
      <c r="CD846" s="477"/>
    </row>
    <row r="847" spans="2:82" ht="16.5" hidden="1">
      <c r="B847" s="80"/>
      <c r="C847" s="80"/>
      <c r="D847" s="80"/>
      <c r="E847" s="80"/>
      <c r="F847" s="80"/>
      <c r="G847" s="80"/>
      <c r="H847" s="80"/>
      <c r="I847" s="80"/>
      <c r="J847" s="192">
        <f t="shared" si="560"/>
        <v>70</v>
      </c>
      <c r="K847" s="192">
        <f t="shared" si="561"/>
        <v>11</v>
      </c>
      <c r="L847" s="192" t="str">
        <f t="shared" si="556"/>
        <v/>
      </c>
      <c r="M847" s="216">
        <f t="shared" ca="1" si="562"/>
        <v>0</v>
      </c>
      <c r="N847" s="216"/>
      <c r="O847" s="216"/>
      <c r="P847" s="216"/>
      <c r="Q847" s="456" t="str">
        <f t="shared" ca="1" si="563"/>
        <v/>
      </c>
      <c r="R847" s="450">
        <f t="shared" ca="1" si="564"/>
        <v>1</v>
      </c>
      <c r="S847" s="191">
        <f t="shared" si="565"/>
        <v>70</v>
      </c>
      <c r="T847" s="191">
        <f t="shared" si="566"/>
        <v>11</v>
      </c>
      <c r="U847" s="191">
        <f ca="1">OP!$D$5+$S847-1</f>
        <v>102</v>
      </c>
      <c r="V847" s="191" t="str">
        <f t="shared" si="567"/>
        <v/>
      </c>
      <c r="W847" s="350">
        <f ca="1">IF(Q847&lt;&gt;1,0,VLOOKUP(OP!$C$55,PVFB,$S847+2,0))</f>
        <v>0</v>
      </c>
      <c r="X847" s="473">
        <f t="shared" ca="1" si="580"/>
        <v>0</v>
      </c>
      <c r="Y847" s="348">
        <f t="shared" ca="1" si="581"/>
        <v>0</v>
      </c>
      <c r="Z847" s="348">
        <f t="shared" ca="1" si="582"/>
        <v>8012</v>
      </c>
      <c r="AA847" s="348">
        <f ca="1">IF(Q847&lt;&gt;1,0,VLOOKUP(OP!$C$55,PVFB,$S847+2,0))</f>
        <v>0</v>
      </c>
      <c r="AB847" s="488" t="str">
        <f ca="1">IF(AND(S847&lt;OP!$C$24,$U847&lt;15),0,IF(AND($U847&lt;15,$T847=12),ROUND(VLOOKUP($S847,DOWN16,5,0),3),IF($T847=12,ROUND(($Z847/10000)*$AA847,3)+IF(AND($P$7="購買增額繳清保險",T847=12,U847=110),VLOOKUP(S847,$B$10:$H$121,7,0),0),"")))</f>
        <v/>
      </c>
      <c r="AC847" s="350" t="str">
        <f ca="1">IF(AND(S847&lt;OP!$C$24,$U847&lt;15),0,IF(AND($U847&lt;16,$T847=12),VLOOKUP($S847,DOWN16,4,0),IF($T847=12,ROUND(VLOOKUP(OP!$C$55,_DIE2,$S847+1,0)*(Z847/10000),0)+IF(AND($P$7="購買增額繳清保險",T847=12,U847=110),VLOOKUP(S847,$B$10:$H$121,7,0),0),"")))</f>
        <v/>
      </c>
      <c r="AD847" s="347"/>
      <c r="AE847" s="350" t="str">
        <f t="shared" ca="1" si="557"/>
        <v/>
      </c>
      <c r="AF847" s="351" t="str">
        <f t="shared" ca="1" si="558"/>
        <v/>
      </c>
      <c r="AG847" s="340"/>
      <c r="AH847" s="340"/>
      <c r="AI847" s="340"/>
      <c r="AJ847" s="340"/>
      <c r="AK847" s="340"/>
      <c r="AL847" s="340"/>
      <c r="AM847" s="340"/>
      <c r="AN847" s="340"/>
      <c r="AO847" s="340"/>
      <c r="AP847" s="340"/>
      <c r="AQ847" s="340"/>
      <c r="AR847" s="340"/>
      <c r="AS847" s="340"/>
      <c r="AT847" s="340"/>
      <c r="AU847" s="340"/>
      <c r="AV847" s="340"/>
      <c r="AY847" s="340"/>
      <c r="AZ847" s="465">
        <f t="shared" ca="1" si="568"/>
        <v>7.3698599999999999E-5</v>
      </c>
      <c r="BA847" s="464">
        <f t="shared" ca="1" si="569"/>
        <v>2.1372602999999999E-3</v>
      </c>
      <c r="BB847" s="465">
        <f t="shared" ca="1" si="569"/>
        <v>2.2109589000000002E-3</v>
      </c>
      <c r="BC847" s="466">
        <f t="shared" ca="1" si="570"/>
        <v>68393</v>
      </c>
      <c r="BD847" s="467">
        <f t="shared" ca="1" si="583"/>
        <v>68394</v>
      </c>
      <c r="BE847" s="467">
        <f t="shared" ca="1" si="571"/>
        <v>68422</v>
      </c>
      <c r="BF847" s="468">
        <f ca="1">IF(計算!$BC847&lt;OP!$C$3,0,BD847-BC847)</f>
        <v>1</v>
      </c>
      <c r="BG847" s="468">
        <f ca="1">IF($BE847&gt;DATE(YEAR($BD$9)+OP!$C$57,MONTH($BD$9),DAY($BD$9)),0,$BE847-$BD847+1)</f>
        <v>29</v>
      </c>
      <c r="BH847" s="469">
        <f t="shared" ca="1" si="572"/>
        <v>30</v>
      </c>
      <c r="BI847" t="str">
        <f t="shared" si="554"/>
        <v/>
      </c>
      <c r="BJ847">
        <v>10</v>
      </c>
      <c r="BN847" s="468">
        <f t="shared" si="584"/>
        <v>70</v>
      </c>
      <c r="BO847" s="468">
        <f t="shared" si="585"/>
        <v>10</v>
      </c>
      <c r="BP847" s="467">
        <f t="shared" ca="1" si="573"/>
        <v>68394</v>
      </c>
      <c r="BQ847" s="475">
        <f t="shared" ca="1" si="587"/>
        <v>102</v>
      </c>
      <c r="BR847" s="475" t="str">
        <f t="shared" si="586"/>
        <v/>
      </c>
      <c r="BS847" s="471" t="str">
        <f t="shared" si="574"/>
        <v/>
      </c>
      <c r="BT847" s="472" t="str">
        <f t="shared" si="555"/>
        <v/>
      </c>
      <c r="BU847" s="472">
        <f t="shared" ca="1" si="575"/>
        <v>0</v>
      </c>
      <c r="BV847" s="472">
        <f t="shared" ca="1" si="575"/>
        <v>0</v>
      </c>
      <c r="BW847" s="472"/>
      <c r="BX847" s="473">
        <f t="shared" ca="1" si="576"/>
        <v>2009135.7752993801</v>
      </c>
      <c r="BY847" s="473">
        <f t="shared" si="577"/>
        <v>0</v>
      </c>
      <c r="BZ847" s="473">
        <f t="shared" ca="1" si="559"/>
        <v>4442.1166237070001</v>
      </c>
      <c r="CA847" s="476">
        <f t="shared" ca="1" si="578"/>
        <v>0</v>
      </c>
      <c r="CB847" s="494">
        <f ca="1">IF(OR($Q846&lt;&gt;1,OP!$D$5+$BN847-1&lt;16,$BN847-1&lt;1),0,ROUND(ROUND(ROUND(((VLOOKUP($BN847-1,MORE_PV,5,0)/10000)*VLOOKUP($BN847,MORE_PV,$CB$5,0)),3)*VLOOKUP($BN847,more1,5,0),0)/$R846,0))</f>
        <v>0</v>
      </c>
      <c r="CC847" s="473">
        <f t="shared" ca="1" si="579"/>
        <v>0</v>
      </c>
      <c r="CD847" s="477"/>
    </row>
    <row r="848" spans="2:82" ht="16.5" hidden="1">
      <c r="B848" s="80"/>
      <c r="C848" s="80"/>
      <c r="D848" s="80"/>
      <c r="E848" s="80"/>
      <c r="F848" s="80"/>
      <c r="G848" s="80"/>
      <c r="H848" s="80"/>
      <c r="I848" s="80"/>
      <c r="J848" s="192">
        <f t="shared" si="560"/>
        <v>70</v>
      </c>
      <c r="K848" s="192">
        <f t="shared" si="561"/>
        <v>12</v>
      </c>
      <c r="L848" s="192">
        <f t="shared" si="556"/>
        <v>70</v>
      </c>
      <c r="M848" s="216">
        <f t="shared" ca="1" si="562"/>
        <v>2042175</v>
      </c>
      <c r="N848" s="216"/>
      <c r="O848" s="216"/>
      <c r="P848" s="216"/>
      <c r="Q848" s="456">
        <f t="shared" ca="1" si="563"/>
        <v>1</v>
      </c>
      <c r="R848" s="450">
        <f t="shared" ca="1" si="564"/>
        <v>1</v>
      </c>
      <c r="S848" s="191">
        <f t="shared" si="565"/>
        <v>70</v>
      </c>
      <c r="T848" s="191">
        <f t="shared" si="566"/>
        <v>12</v>
      </c>
      <c r="U848" s="191">
        <f ca="1">OP!$D$5+$S848-1</f>
        <v>102</v>
      </c>
      <c r="V848" s="191">
        <f t="shared" si="567"/>
        <v>70</v>
      </c>
      <c r="W848" s="350">
        <f ca="1">IF(Q848&lt;&gt;1,0,VLOOKUP(OP!$C$55,PVFB,$S848+2,0))</f>
        <v>99319</v>
      </c>
      <c r="X848" s="473">
        <f t="shared" ca="1" si="580"/>
        <v>23849</v>
      </c>
      <c r="Y848" s="348">
        <f t="shared" ca="1" si="581"/>
        <v>0</v>
      </c>
      <c r="Z848" s="348">
        <f t="shared" ca="1" si="582"/>
        <v>8012</v>
      </c>
      <c r="AA848" s="348">
        <f ca="1">IF(Q848&lt;&gt;1,0,VLOOKUP(OP!$C$55,PVFB,$S848+2,0))</f>
        <v>99319</v>
      </c>
      <c r="AB848" s="488">
        <f ca="1">IF(AND(S848&lt;OP!$C$24,$U848&lt;15),0,IF(AND($U848&lt;15,$T848=12),ROUND(VLOOKUP($S848,DOWN16,5,0),3),IF($T848=12,ROUND(($Z848/10000)*$AA848,3)+IF(AND($P$7="購買增額繳清保險",T848=12,U848=110),VLOOKUP(S848,$B$10:$H$121,7,0),0),"")))</f>
        <v>79574.383000000002</v>
      </c>
      <c r="AC848" s="350">
        <f ca="1">IF(AND(S848&lt;OP!$C$24,$U848&lt;15),0,IF(AND($U848&lt;16,$T848=12),VLOOKUP($S848,DOWN16,4,0),IF($T848=12,ROUND(VLOOKUP(OP!$C$55,_DIE2,$S848+1,0)*(Z848/10000),0)+IF(AND($P$7="購買增額繳清保險",T848=12,U848=110),VLOOKUP(S848,$B$10:$H$121,7,0),0),"")))</f>
        <v>79800</v>
      </c>
      <c r="AD848" s="347"/>
      <c r="AE848" s="350" t="str">
        <f t="shared" ca="1" si="557"/>
        <v/>
      </c>
      <c r="AF848" s="351" t="str">
        <f t="shared" ca="1" si="558"/>
        <v/>
      </c>
      <c r="AG848" s="340"/>
      <c r="AH848" s="340"/>
      <c r="AI848" s="340"/>
      <c r="AJ848" s="340"/>
      <c r="AK848" s="340"/>
      <c r="AL848" s="340"/>
      <c r="AM848" s="340"/>
      <c r="AN848" s="340"/>
      <c r="AO848" s="340"/>
      <c r="AP848" s="340"/>
      <c r="AQ848" s="340"/>
      <c r="AR848" s="340"/>
      <c r="AS848" s="340"/>
      <c r="AT848" s="340"/>
      <c r="AU848" s="340"/>
      <c r="AV848" s="340"/>
      <c r="AY848" s="340"/>
      <c r="AZ848" s="465">
        <f t="shared" ca="1" si="568"/>
        <v>7.3698599999999999E-5</v>
      </c>
      <c r="BA848" s="464">
        <f t="shared" ca="1" si="569"/>
        <v>2.2109589000000002E-3</v>
      </c>
      <c r="BB848" s="465">
        <f t="shared" ca="1" si="569"/>
        <v>2.2846575E-3</v>
      </c>
      <c r="BC848" s="466">
        <f t="shared" ca="1" si="570"/>
        <v>68423</v>
      </c>
      <c r="BD848" s="467">
        <f t="shared" ca="1" si="583"/>
        <v>68424</v>
      </c>
      <c r="BE848" s="467">
        <f t="shared" ca="1" si="571"/>
        <v>68453</v>
      </c>
      <c r="BF848" s="468">
        <f ca="1">IF(計算!$BC848&lt;OP!$C$3,0,BD848-BC848)</f>
        <v>1</v>
      </c>
      <c r="BG848" s="468">
        <f ca="1">IF($BE848&gt;DATE(YEAR($BD$9)+OP!$C$57,MONTH($BD$9),DAY($BD$9)),0,$BE848-$BD848+1)</f>
        <v>30</v>
      </c>
      <c r="BH848" s="469">
        <f t="shared" ca="1" si="572"/>
        <v>31</v>
      </c>
      <c r="BI848" t="str">
        <f t="shared" si="554"/>
        <v/>
      </c>
      <c r="BJ848">
        <v>11</v>
      </c>
      <c r="BN848" s="468">
        <f t="shared" si="584"/>
        <v>70</v>
      </c>
      <c r="BO848" s="468">
        <f t="shared" si="585"/>
        <v>11</v>
      </c>
      <c r="BP848" s="467">
        <f t="shared" ca="1" si="573"/>
        <v>68424</v>
      </c>
      <c r="BQ848" s="475">
        <f t="shared" ca="1" si="587"/>
        <v>102</v>
      </c>
      <c r="BR848" s="475" t="str">
        <f t="shared" si="586"/>
        <v/>
      </c>
      <c r="BS848" s="471" t="str">
        <f t="shared" si="574"/>
        <v/>
      </c>
      <c r="BT848" s="472" t="str">
        <f t="shared" si="555"/>
        <v/>
      </c>
      <c r="BU848" s="472">
        <f t="shared" ca="1" si="575"/>
        <v>0</v>
      </c>
      <c r="BV848" s="472">
        <f t="shared" ca="1" si="575"/>
        <v>0</v>
      </c>
      <c r="BW848" s="472"/>
      <c r="BX848" s="473">
        <f t="shared" ca="1" si="576"/>
        <v>2013577.89192309</v>
      </c>
      <c r="BY848" s="473">
        <f t="shared" si="577"/>
        <v>0</v>
      </c>
      <c r="BZ848" s="473">
        <f t="shared" ca="1" si="559"/>
        <v>4600.3358326159996</v>
      </c>
      <c r="CA848" s="476">
        <f t="shared" ca="1" si="578"/>
        <v>0</v>
      </c>
      <c r="CB848" s="494">
        <f ca="1">IF(OR($Q847&lt;&gt;1,OP!$D$5+$BN848-1&lt;16,$BN848-1&lt;1),0,ROUND(ROUND(ROUND(((VLOOKUP($BN848-1,MORE_PV,5,0)/10000)*VLOOKUP($BN848,MORE_PV,$CB$5,0)),3)*VLOOKUP($BN848,more1,5,0),0)/$R847,0))</f>
        <v>0</v>
      </c>
      <c r="CC848" s="473">
        <f t="shared" ca="1" si="579"/>
        <v>0</v>
      </c>
      <c r="CD848" s="477"/>
    </row>
    <row r="849" spans="2:82" ht="16.5" hidden="1">
      <c r="B849" s="80"/>
      <c r="C849" s="80"/>
      <c r="D849" s="80"/>
      <c r="E849" s="80"/>
      <c r="F849" s="80"/>
      <c r="G849" s="80"/>
      <c r="H849" s="80"/>
      <c r="I849" s="80"/>
      <c r="J849" s="192">
        <f t="shared" si="560"/>
        <v>71</v>
      </c>
      <c r="K849" s="192">
        <f t="shared" si="561"/>
        <v>1</v>
      </c>
      <c r="L849" s="192" t="str">
        <f t="shared" si="556"/>
        <v/>
      </c>
      <c r="M849" s="216">
        <f t="shared" ca="1" si="562"/>
        <v>0</v>
      </c>
      <c r="N849" s="216"/>
      <c r="O849" s="216"/>
      <c r="P849" s="216"/>
      <c r="Q849" s="456" t="str">
        <f t="shared" ca="1" si="563"/>
        <v/>
      </c>
      <c r="R849" s="450">
        <f t="shared" ca="1" si="564"/>
        <v>1</v>
      </c>
      <c r="S849" s="191">
        <f t="shared" si="565"/>
        <v>71</v>
      </c>
      <c r="T849" s="191">
        <f t="shared" si="566"/>
        <v>1</v>
      </c>
      <c r="U849" s="191">
        <f ca="1">OP!$D$5+$S849-1</f>
        <v>103</v>
      </c>
      <c r="V849" s="191" t="str">
        <f t="shared" si="567"/>
        <v/>
      </c>
      <c r="W849" s="350">
        <f ca="1">IF(Q849&lt;&gt;1,0,VLOOKUP(OP!$C$55,PVFB,$S849+2,0))</f>
        <v>0</v>
      </c>
      <c r="X849" s="473">
        <f t="shared" ca="1" si="580"/>
        <v>0</v>
      </c>
      <c r="Y849" s="348">
        <f t="shared" ca="1" si="581"/>
        <v>0</v>
      </c>
      <c r="Z849" s="348">
        <f t="shared" ca="1" si="582"/>
        <v>8012</v>
      </c>
      <c r="AA849" s="348">
        <f ca="1">IF(Q849&lt;&gt;1,0,VLOOKUP(OP!$C$55,PVFB,$S849+2,0))</f>
        <v>0</v>
      </c>
      <c r="AB849" s="488" t="str">
        <f ca="1">IF(AND(S849&lt;OP!$C$24,$U849&lt;15),0,IF(AND($U849&lt;15,$T849=12),ROUND(VLOOKUP($S849,DOWN16,5,0),3),IF($T849=12,ROUND(($Z849/10000)*$AA849,3)+IF(AND($P$7="購買增額繳清保險",T849=12,U849=110),VLOOKUP(S849,$B$10:$H$121,7,0),0),"")))</f>
        <v/>
      </c>
      <c r="AC849" s="350" t="str">
        <f ca="1">IF(AND(S849&lt;OP!$C$24,$U849&lt;15),0,IF(AND($U849&lt;16,$T849=12),VLOOKUP($S849,DOWN16,4,0),IF($T849=12,ROUND(VLOOKUP(OP!$C$55,_DIE2,$S849+1,0)*(Z849/10000),0)+IF(AND($P$7="購買增額繳清保險",T849=12,U849=110),VLOOKUP(S849,$B$10:$H$121,7,0),0),"")))</f>
        <v/>
      </c>
      <c r="AD849" s="347"/>
      <c r="AE849" s="350" t="str">
        <f t="shared" ca="1" si="557"/>
        <v/>
      </c>
      <c r="AF849" s="351" t="str">
        <f t="shared" ca="1" si="558"/>
        <v/>
      </c>
      <c r="AG849" s="340"/>
      <c r="AH849" s="340"/>
      <c r="AI849" s="340"/>
      <c r="AJ849" s="340"/>
      <c r="AK849" s="340"/>
      <c r="AL849" s="340"/>
      <c r="AM849" s="340"/>
      <c r="AN849" s="340"/>
      <c r="AO849" s="340"/>
      <c r="AP849" s="340"/>
      <c r="AQ849" s="340"/>
      <c r="AR849" s="340"/>
      <c r="AS849" s="340"/>
      <c r="AT849" s="340"/>
      <c r="AU849" s="340"/>
      <c r="AV849" s="340"/>
      <c r="AY849" s="340"/>
      <c r="AZ849" s="465">
        <f t="shared" ca="1" si="568"/>
        <v>7.3698599999999999E-5</v>
      </c>
      <c r="BA849" s="464">
        <f t="shared" ca="1" si="569"/>
        <v>2.1372602999999999E-3</v>
      </c>
      <c r="BB849" s="465">
        <f t="shared" ca="1" si="569"/>
        <v>2.2109589000000002E-3</v>
      </c>
      <c r="BC849" s="466">
        <f t="shared" ca="1" si="570"/>
        <v>68454</v>
      </c>
      <c r="BD849" s="467">
        <f t="shared" ca="1" si="583"/>
        <v>68455</v>
      </c>
      <c r="BE849" s="467">
        <f t="shared" ca="1" si="571"/>
        <v>68483</v>
      </c>
      <c r="BF849" s="468">
        <f ca="1">IF(計算!$BC849&lt;OP!$C$3,0,BD849-BC849)</f>
        <v>1</v>
      </c>
      <c r="BG849" s="468">
        <f ca="1">IF($BE849&gt;DATE(YEAR($BD$9)+OP!$C$57,MONTH($BD$9),DAY($BD$9)),0,$BE849-$BD849+1)</f>
        <v>29</v>
      </c>
      <c r="BH849" s="469">
        <f t="shared" ca="1" si="572"/>
        <v>30</v>
      </c>
      <c r="BI849">
        <f t="shared" ca="1" si="554"/>
        <v>365</v>
      </c>
      <c r="BJ849">
        <v>12</v>
      </c>
      <c r="BN849" s="468">
        <f t="shared" si="584"/>
        <v>70</v>
      </c>
      <c r="BO849" s="468">
        <f t="shared" si="585"/>
        <v>12</v>
      </c>
      <c r="BP849" s="467">
        <f t="shared" ca="1" si="573"/>
        <v>68455</v>
      </c>
      <c r="BQ849" s="475">
        <f t="shared" ca="1" si="587"/>
        <v>102</v>
      </c>
      <c r="BR849" s="475">
        <f t="shared" si="586"/>
        <v>70</v>
      </c>
      <c r="BS849" s="471">
        <f t="shared" ca="1" si="574"/>
        <v>23849</v>
      </c>
      <c r="BT849" s="472">
        <f t="shared" ca="1" si="555"/>
        <v>2042175</v>
      </c>
      <c r="BU849" s="472">
        <f t="shared" ca="1" si="575"/>
        <v>23300</v>
      </c>
      <c r="BV849" s="472">
        <f t="shared" ca="1" si="575"/>
        <v>549</v>
      </c>
      <c r="BW849" s="472">
        <f ca="1">ROUND(SUM(BY849,BZ837:BZ848),0)</f>
        <v>53510</v>
      </c>
      <c r="BX849" s="473">
        <f t="shared" ca="1" si="576"/>
        <v>2042175.9646656399</v>
      </c>
      <c r="BY849" s="473">
        <f t="shared" ca="1" si="577"/>
        <v>148.73690993599999</v>
      </c>
      <c r="BZ849" s="473">
        <f t="shared" ca="1" si="559"/>
        <v>4364.6616148940002</v>
      </c>
      <c r="CA849" s="476">
        <f t="shared" ca="1" si="578"/>
        <v>23300</v>
      </c>
      <c r="CB849" s="494">
        <f ca="1">IF(OR($Q848&lt;&gt;1,OP!$D$5+$BN849-1&lt;16,$BN849-1&lt;1),0,ROUND(ROUND(ROUND(((VLOOKUP($BN849-1,MORE_PV,5,0)/10000)*VLOOKUP($BN849,MORE_PV,$CB$5,0)),3)*VLOOKUP($BN849,more1,5,0),0)/$R848,0))</f>
        <v>549</v>
      </c>
      <c r="CC849" s="473">
        <f t="shared" ca="1" si="579"/>
        <v>0</v>
      </c>
      <c r="CD849" s="477"/>
    </row>
    <row r="850" spans="2:82" ht="16.5" hidden="1">
      <c r="B850" s="80"/>
      <c r="C850" s="80"/>
      <c r="D850" s="80"/>
      <c r="E850" s="80"/>
      <c r="F850" s="80"/>
      <c r="G850" s="80"/>
      <c r="H850" s="80"/>
      <c r="I850" s="80"/>
      <c r="J850" s="192">
        <f t="shared" si="560"/>
        <v>71</v>
      </c>
      <c r="K850" s="192">
        <f t="shared" si="561"/>
        <v>2</v>
      </c>
      <c r="L850" s="192" t="str">
        <f t="shared" si="556"/>
        <v/>
      </c>
      <c r="M850" s="216">
        <f t="shared" ca="1" si="562"/>
        <v>0</v>
      </c>
      <c r="N850" s="216"/>
      <c r="O850" s="216"/>
      <c r="P850" s="216"/>
      <c r="Q850" s="456" t="str">
        <f t="shared" ca="1" si="563"/>
        <v/>
      </c>
      <c r="R850" s="450">
        <f t="shared" ca="1" si="564"/>
        <v>1</v>
      </c>
      <c r="S850" s="191">
        <f t="shared" si="565"/>
        <v>71</v>
      </c>
      <c r="T850" s="191">
        <f t="shared" si="566"/>
        <v>2</v>
      </c>
      <c r="U850" s="191">
        <f ca="1">OP!$D$5+$S850-1</f>
        <v>103</v>
      </c>
      <c r="V850" s="191" t="str">
        <f t="shared" si="567"/>
        <v/>
      </c>
      <c r="W850" s="350">
        <f ca="1">IF(Q850&lt;&gt;1,0,VLOOKUP(OP!$C$55,PVFB,$S850+2,0))</f>
        <v>0</v>
      </c>
      <c r="X850" s="473">
        <f t="shared" ca="1" si="580"/>
        <v>0</v>
      </c>
      <c r="Y850" s="348">
        <f t="shared" ca="1" si="581"/>
        <v>0</v>
      </c>
      <c r="Z850" s="348">
        <f t="shared" ca="1" si="582"/>
        <v>8012</v>
      </c>
      <c r="AA850" s="348">
        <f ca="1">IF(Q850&lt;&gt;1,0,VLOOKUP(OP!$C$55,PVFB,$S850+2,0))</f>
        <v>0</v>
      </c>
      <c r="AB850" s="488" t="str">
        <f ca="1">IF(AND(S850&lt;OP!$C$24,$U850&lt;15),0,IF(AND($U850&lt;15,$T850=12),ROUND(VLOOKUP($S850,DOWN16,5,0),3),IF($T850=12,ROUND(($Z850/10000)*$AA850,3)+IF(AND($P$7="購買增額繳清保險",T850=12,U850=110),VLOOKUP(S850,$B$10:$H$121,7,0),0),"")))</f>
        <v/>
      </c>
      <c r="AC850" s="350" t="str">
        <f ca="1">IF(AND(S850&lt;OP!$C$24,$U850&lt;15),0,IF(AND($U850&lt;16,$T850=12),VLOOKUP($S850,DOWN16,4,0),IF($T850=12,ROUND(VLOOKUP(OP!$C$55,_DIE2,$S850+1,0)*(Z850/10000),0)+IF(AND($P$7="購買增額繳清保險",T850=12,U850=110),VLOOKUP(S850,$B$10:$H$121,7,0),0),"")))</f>
        <v/>
      </c>
      <c r="AD850" s="347"/>
      <c r="AE850" s="350" t="str">
        <f t="shared" ca="1" si="557"/>
        <v/>
      </c>
      <c r="AF850" s="351" t="str">
        <f t="shared" ca="1" si="558"/>
        <v/>
      </c>
      <c r="AG850" s="340"/>
      <c r="AH850" s="340"/>
      <c r="AI850" s="340"/>
      <c r="AJ850" s="340"/>
      <c r="AK850" s="340"/>
      <c r="AL850" s="340"/>
      <c r="AM850" s="340"/>
      <c r="AN850" s="340"/>
      <c r="AO850" s="340"/>
      <c r="AP850" s="340"/>
      <c r="AQ850" s="340"/>
      <c r="AR850" s="340"/>
      <c r="AS850" s="340"/>
      <c r="AT850" s="340"/>
      <c r="AU850" s="340"/>
      <c r="AV850" s="340"/>
      <c r="AY850" s="340"/>
      <c r="AZ850" s="465">
        <f t="shared" ca="1" si="568"/>
        <v>7.3698599999999999E-5</v>
      </c>
      <c r="BA850" s="464">
        <f t="shared" ca="1" si="569"/>
        <v>2.2109589000000002E-3</v>
      </c>
      <c r="BB850" s="465">
        <f t="shared" ca="1" si="569"/>
        <v>2.2846575E-3</v>
      </c>
      <c r="BC850" s="466">
        <f t="shared" ca="1" si="570"/>
        <v>68484</v>
      </c>
      <c r="BD850" s="467">
        <f t="shared" ca="1" si="583"/>
        <v>68485</v>
      </c>
      <c r="BE850" s="467">
        <f t="shared" ca="1" si="571"/>
        <v>68514</v>
      </c>
      <c r="BF850" s="468">
        <f ca="1">IF(計算!$BC850&lt;OP!$C$3,0,BD850-BC850)</f>
        <v>1</v>
      </c>
      <c r="BG850" s="468">
        <f ca="1">IF($BE850&gt;DATE(YEAR($BD$9)+OP!$C$57,MONTH($BD$9),DAY($BD$9)),0,$BE850-$BD850+1)</f>
        <v>30</v>
      </c>
      <c r="BH850" s="469">
        <f t="shared" ca="1" si="572"/>
        <v>31</v>
      </c>
      <c r="BI850" t="str">
        <f t="shared" si="554"/>
        <v/>
      </c>
      <c r="BJ850">
        <v>1</v>
      </c>
      <c r="BN850" s="468">
        <f t="shared" si="584"/>
        <v>71</v>
      </c>
      <c r="BO850" s="468">
        <f t="shared" si="585"/>
        <v>1</v>
      </c>
      <c r="BP850" s="467">
        <f t="shared" ca="1" si="573"/>
        <v>68485</v>
      </c>
      <c r="BQ850" s="475">
        <f t="shared" ca="1" si="587"/>
        <v>103</v>
      </c>
      <c r="BR850" s="475" t="str">
        <f t="shared" si="586"/>
        <v/>
      </c>
      <c r="BS850" s="471" t="str">
        <f t="shared" si="574"/>
        <v/>
      </c>
      <c r="BT850" s="472" t="str">
        <f t="shared" si="555"/>
        <v/>
      </c>
      <c r="BU850" s="472">
        <f t="shared" ca="1" si="575"/>
        <v>0</v>
      </c>
      <c r="BV850" s="472">
        <f t="shared" ca="1" si="575"/>
        <v>0</v>
      </c>
      <c r="BW850" s="472"/>
      <c r="BX850" s="473">
        <f t="shared" ca="1" si="576"/>
        <v>2046540.6262805299</v>
      </c>
      <c r="BY850" s="473">
        <f t="shared" si="577"/>
        <v>0</v>
      </c>
      <c r="BZ850" s="473">
        <f t="shared" ca="1" si="559"/>
        <v>4675.6443908869996</v>
      </c>
      <c r="CA850" s="476">
        <f t="shared" ca="1" si="578"/>
        <v>0</v>
      </c>
      <c r="CB850" s="494">
        <f ca="1">IF(OR($Q849&lt;&gt;1,OP!$D$5+$BN850-1&lt;16,$BN850-1&lt;1),0,ROUND(ROUND(ROUND(((VLOOKUP($BN850-1,MORE_PV,5,0)/10000)*VLOOKUP($BN850,MORE_PV,$CB$5,0)),3)*VLOOKUP($BN850,more1,5,0),0)/$R849,0))</f>
        <v>0</v>
      </c>
      <c r="CC850" s="473">
        <f t="shared" ca="1" si="579"/>
        <v>0</v>
      </c>
      <c r="CD850" s="477"/>
    </row>
    <row r="851" spans="2:82" ht="16.5" hidden="1">
      <c r="B851" s="80"/>
      <c r="C851" s="80"/>
      <c r="D851" s="80"/>
      <c r="E851" s="80"/>
      <c r="F851" s="80"/>
      <c r="G851" s="80"/>
      <c r="H851" s="80"/>
      <c r="I851" s="80"/>
      <c r="J851" s="192">
        <f t="shared" si="560"/>
        <v>71</v>
      </c>
      <c r="K851" s="192">
        <f t="shared" si="561"/>
        <v>3</v>
      </c>
      <c r="L851" s="192" t="str">
        <f t="shared" si="556"/>
        <v/>
      </c>
      <c r="M851" s="216">
        <f t="shared" ca="1" si="562"/>
        <v>0</v>
      </c>
      <c r="N851" s="216"/>
      <c r="O851" s="216"/>
      <c r="P851" s="216"/>
      <c r="Q851" s="456" t="str">
        <f t="shared" ca="1" si="563"/>
        <v/>
      </c>
      <c r="R851" s="450">
        <f t="shared" ca="1" si="564"/>
        <v>1</v>
      </c>
      <c r="S851" s="191">
        <f t="shared" si="565"/>
        <v>71</v>
      </c>
      <c r="T851" s="191">
        <f t="shared" si="566"/>
        <v>3</v>
      </c>
      <c r="U851" s="191">
        <f ca="1">OP!$D$5+$S851-1</f>
        <v>103</v>
      </c>
      <c r="V851" s="191" t="str">
        <f t="shared" si="567"/>
        <v/>
      </c>
      <c r="W851" s="350">
        <f ca="1">IF(Q851&lt;&gt;1,0,VLOOKUP(OP!$C$55,PVFB,$S851+2,0))</f>
        <v>0</v>
      </c>
      <c r="X851" s="473">
        <f t="shared" ca="1" si="580"/>
        <v>0</v>
      </c>
      <c r="Y851" s="348">
        <f t="shared" ca="1" si="581"/>
        <v>0</v>
      </c>
      <c r="Z851" s="348">
        <f t="shared" ca="1" si="582"/>
        <v>8012</v>
      </c>
      <c r="AA851" s="348">
        <f ca="1">IF(Q851&lt;&gt;1,0,VLOOKUP(OP!$C$55,PVFB,$S851+2,0))</f>
        <v>0</v>
      </c>
      <c r="AB851" s="488" t="str">
        <f ca="1">IF(AND(S851&lt;OP!$C$24,$U851&lt;15),0,IF(AND($U851&lt;15,$T851=12),ROUND(VLOOKUP($S851,DOWN16,5,0),3),IF($T851=12,ROUND(($Z851/10000)*$AA851,3)+IF(AND($P$7="購買增額繳清保險",T851=12,U851=110),VLOOKUP(S851,$B$10:$H$121,7,0),0),"")))</f>
        <v/>
      </c>
      <c r="AC851" s="350" t="str">
        <f ca="1">IF(AND(S851&lt;OP!$C$24,$U851&lt;15),0,IF(AND($U851&lt;16,$T851=12),VLOOKUP($S851,DOWN16,4,0),IF($T851=12,ROUND(VLOOKUP(OP!$C$55,_DIE2,$S851+1,0)*(Z851/10000),0)+IF(AND($P$7="購買增額繳清保險",T851=12,U851=110),VLOOKUP(S851,$B$10:$H$121,7,0),0),"")))</f>
        <v/>
      </c>
      <c r="AD851" s="347"/>
      <c r="AE851" s="350" t="str">
        <f t="shared" ca="1" si="557"/>
        <v/>
      </c>
      <c r="AF851" s="351" t="str">
        <f t="shared" ca="1" si="558"/>
        <v/>
      </c>
      <c r="AG851" s="340"/>
      <c r="AH851" s="340"/>
      <c r="AI851" s="340"/>
      <c r="AJ851" s="340"/>
      <c r="AK851" s="340"/>
      <c r="AL851" s="340"/>
      <c r="AM851" s="340"/>
      <c r="AN851" s="340"/>
      <c r="AO851" s="340"/>
      <c r="AP851" s="340"/>
      <c r="AQ851" s="340"/>
      <c r="AR851" s="340"/>
      <c r="AS851" s="340"/>
      <c r="AT851" s="340"/>
      <c r="AU851" s="340"/>
      <c r="AV851" s="340"/>
      <c r="AY851" s="340"/>
      <c r="AZ851" s="465">
        <f t="shared" ca="1" si="568"/>
        <v>7.3698599999999999E-5</v>
      </c>
      <c r="BA851" s="464">
        <f t="shared" ca="1" si="569"/>
        <v>2.2109589000000002E-3</v>
      </c>
      <c r="BB851" s="465">
        <f t="shared" ca="1" si="569"/>
        <v>2.2846575E-3</v>
      </c>
      <c r="BC851" s="466">
        <f t="shared" ca="1" si="570"/>
        <v>68515</v>
      </c>
      <c r="BD851" s="467">
        <f t="shared" ca="1" si="583"/>
        <v>68516</v>
      </c>
      <c r="BE851" s="467">
        <f t="shared" ca="1" si="571"/>
        <v>68545</v>
      </c>
      <c r="BF851" s="468">
        <f ca="1">IF(計算!$BC851&lt;OP!$C$3,0,BD851-BC851)</f>
        <v>1</v>
      </c>
      <c r="BG851" s="468">
        <f ca="1">IF($BE851&gt;DATE(YEAR($BD$9)+OP!$C$57,MONTH($BD$9),DAY($BD$9)),0,$BE851-$BD851+1)</f>
        <v>30</v>
      </c>
      <c r="BH851" s="469">
        <f t="shared" ca="1" si="572"/>
        <v>31</v>
      </c>
      <c r="BI851" t="str">
        <f t="shared" si="554"/>
        <v/>
      </c>
      <c r="BJ851">
        <v>2</v>
      </c>
      <c r="BN851" s="468">
        <f t="shared" si="584"/>
        <v>71</v>
      </c>
      <c r="BO851" s="468">
        <f t="shared" si="585"/>
        <v>2</v>
      </c>
      <c r="BP851" s="467">
        <f t="shared" ca="1" si="573"/>
        <v>68516</v>
      </c>
      <c r="BQ851" s="475">
        <f t="shared" ca="1" si="587"/>
        <v>103</v>
      </c>
      <c r="BR851" s="475" t="str">
        <f t="shared" si="586"/>
        <v/>
      </c>
      <c r="BS851" s="471" t="str">
        <f t="shared" si="574"/>
        <v/>
      </c>
      <c r="BT851" s="472" t="str">
        <f t="shared" si="555"/>
        <v/>
      </c>
      <c r="BU851" s="472">
        <f t="shared" ca="1" si="575"/>
        <v>0</v>
      </c>
      <c r="BV851" s="472">
        <f t="shared" ca="1" si="575"/>
        <v>0</v>
      </c>
      <c r="BW851" s="472"/>
      <c r="BX851" s="473">
        <f t="shared" ca="1" si="576"/>
        <v>2051216.27067142</v>
      </c>
      <c r="BY851" s="473">
        <f t="shared" si="577"/>
        <v>0</v>
      </c>
      <c r="BZ851" s="473">
        <f t="shared" ca="1" si="559"/>
        <v>4686.3266369109997</v>
      </c>
      <c r="CA851" s="476">
        <f t="shared" ca="1" si="578"/>
        <v>0</v>
      </c>
      <c r="CB851" s="494">
        <f ca="1">IF(OR($Q850&lt;&gt;1,OP!$D$5+$BN851-1&lt;16,$BN851-1&lt;1),0,ROUND(ROUND(ROUND(((VLOOKUP($BN851-1,MORE_PV,5,0)/10000)*VLOOKUP($BN851,MORE_PV,$CB$5,0)),3)*VLOOKUP($BN851,more1,5,0),0)/$R850,0))</f>
        <v>0</v>
      </c>
      <c r="CC851" s="473">
        <f t="shared" ca="1" si="579"/>
        <v>0</v>
      </c>
      <c r="CD851" s="477"/>
    </row>
    <row r="852" spans="2:82" ht="16.5" hidden="1">
      <c r="B852" s="80"/>
      <c r="C852" s="80"/>
      <c r="D852" s="80"/>
      <c r="E852" s="80"/>
      <c r="F852" s="80"/>
      <c r="G852" s="80"/>
      <c r="H852" s="80"/>
      <c r="I852" s="80"/>
      <c r="J852" s="192">
        <f t="shared" si="560"/>
        <v>71</v>
      </c>
      <c r="K852" s="192">
        <f t="shared" si="561"/>
        <v>4</v>
      </c>
      <c r="L852" s="192" t="str">
        <f t="shared" si="556"/>
        <v/>
      </c>
      <c r="M852" s="216">
        <f t="shared" ca="1" si="562"/>
        <v>0</v>
      </c>
      <c r="N852" s="216"/>
      <c r="O852" s="216"/>
      <c r="P852" s="216"/>
      <c r="Q852" s="456" t="str">
        <f t="shared" ca="1" si="563"/>
        <v/>
      </c>
      <c r="R852" s="450">
        <f t="shared" ca="1" si="564"/>
        <v>1</v>
      </c>
      <c r="S852" s="191">
        <f t="shared" si="565"/>
        <v>71</v>
      </c>
      <c r="T852" s="191">
        <f t="shared" si="566"/>
        <v>4</v>
      </c>
      <c r="U852" s="191">
        <f ca="1">OP!$D$5+$S852-1</f>
        <v>103</v>
      </c>
      <c r="V852" s="191" t="str">
        <f t="shared" si="567"/>
        <v/>
      </c>
      <c r="W852" s="350">
        <f ca="1">IF(Q852&lt;&gt;1,0,VLOOKUP(OP!$C$55,PVFB,$S852+2,0))</f>
        <v>0</v>
      </c>
      <c r="X852" s="473">
        <f t="shared" ca="1" si="580"/>
        <v>0</v>
      </c>
      <c r="Y852" s="348">
        <f t="shared" ca="1" si="581"/>
        <v>0</v>
      </c>
      <c r="Z852" s="348">
        <f t="shared" ca="1" si="582"/>
        <v>8012</v>
      </c>
      <c r="AA852" s="348">
        <f ca="1">IF(Q852&lt;&gt;1,0,VLOOKUP(OP!$C$55,PVFB,$S852+2,0))</f>
        <v>0</v>
      </c>
      <c r="AB852" s="488" t="str">
        <f ca="1">IF(AND(S852&lt;OP!$C$24,$U852&lt;15),0,IF(AND($U852&lt;15,$T852=12),ROUND(VLOOKUP($S852,DOWN16,5,0),3),IF($T852=12,ROUND(($Z852/10000)*$AA852,3)+IF(AND($P$7="購買增額繳清保險",T852=12,U852=110),VLOOKUP(S852,$B$10:$H$121,7,0),0),"")))</f>
        <v/>
      </c>
      <c r="AC852" s="350" t="str">
        <f ca="1">IF(AND(S852&lt;OP!$C$24,$U852&lt;15),0,IF(AND($U852&lt;16,$T852=12),VLOOKUP($S852,DOWN16,4,0),IF($T852=12,ROUND(VLOOKUP(OP!$C$55,_DIE2,$S852+1,0)*(Z852/10000),0)+IF(AND($P$7="購買增額繳清保險",T852=12,U852=110),VLOOKUP(S852,$B$10:$H$121,7,0),0),"")))</f>
        <v/>
      </c>
      <c r="AD852" s="347"/>
      <c r="AE852" s="350" t="str">
        <f t="shared" ca="1" si="557"/>
        <v/>
      </c>
      <c r="AF852" s="351" t="str">
        <f t="shared" ca="1" si="558"/>
        <v/>
      </c>
      <c r="AG852" s="340"/>
      <c r="AH852" s="340"/>
      <c r="AI852" s="340"/>
      <c r="AJ852" s="340"/>
      <c r="AK852" s="340"/>
      <c r="AL852" s="340"/>
      <c r="AM852" s="340"/>
      <c r="AN852" s="340"/>
      <c r="AO852" s="340"/>
      <c r="AP852" s="340"/>
      <c r="AQ852" s="340"/>
      <c r="AR852" s="340"/>
      <c r="AS852" s="340"/>
      <c r="AT852" s="340"/>
      <c r="AU852" s="340"/>
      <c r="AV852" s="340"/>
      <c r="AY852" s="340"/>
      <c r="AZ852" s="465">
        <f t="shared" ca="1" si="568"/>
        <v>7.3698599999999999E-5</v>
      </c>
      <c r="BA852" s="464">
        <f t="shared" ca="1" si="569"/>
        <v>2.1372602999999999E-3</v>
      </c>
      <c r="BB852" s="465">
        <f t="shared" ca="1" si="569"/>
        <v>2.2109589000000002E-3</v>
      </c>
      <c r="BC852" s="466">
        <f t="shared" ca="1" si="570"/>
        <v>68546</v>
      </c>
      <c r="BD852" s="467">
        <f t="shared" ca="1" si="583"/>
        <v>68547</v>
      </c>
      <c r="BE852" s="467">
        <f t="shared" ca="1" si="571"/>
        <v>68575</v>
      </c>
      <c r="BF852" s="468">
        <f ca="1">IF(計算!$BC852&lt;OP!$C$3,0,BD852-BC852)</f>
        <v>1</v>
      </c>
      <c r="BG852" s="468">
        <f ca="1">IF($BE852&gt;DATE(YEAR($BD$9)+OP!$C$57,MONTH($BD$9),DAY($BD$9)),0,$BE852-$BD852+1)</f>
        <v>29</v>
      </c>
      <c r="BH852" s="469">
        <f t="shared" ca="1" si="572"/>
        <v>30</v>
      </c>
      <c r="BI852" t="str">
        <f t="shared" si="554"/>
        <v/>
      </c>
      <c r="BJ852">
        <v>3</v>
      </c>
      <c r="BN852" s="468">
        <f t="shared" si="584"/>
        <v>71</v>
      </c>
      <c r="BO852" s="468">
        <f t="shared" si="585"/>
        <v>3</v>
      </c>
      <c r="BP852" s="467">
        <f t="shared" ca="1" si="573"/>
        <v>68547</v>
      </c>
      <c r="BQ852" s="475">
        <f t="shared" ca="1" si="587"/>
        <v>103</v>
      </c>
      <c r="BR852" s="475" t="str">
        <f t="shared" si="586"/>
        <v/>
      </c>
      <c r="BS852" s="471" t="str">
        <f t="shared" si="574"/>
        <v/>
      </c>
      <c r="BT852" s="472" t="str">
        <f t="shared" si="555"/>
        <v/>
      </c>
      <c r="BU852" s="472">
        <f t="shared" ca="1" si="575"/>
        <v>0</v>
      </c>
      <c r="BV852" s="472">
        <f t="shared" ca="1" si="575"/>
        <v>0</v>
      </c>
      <c r="BW852" s="472"/>
      <c r="BX852" s="473">
        <f t="shared" ca="1" si="576"/>
        <v>2055902.59730833</v>
      </c>
      <c r="BY852" s="473">
        <f t="shared" si="577"/>
        <v>0</v>
      </c>
      <c r="BZ852" s="473">
        <f t="shared" ca="1" si="559"/>
        <v>4545.516145052</v>
      </c>
      <c r="CA852" s="476">
        <f t="shared" ca="1" si="578"/>
        <v>0</v>
      </c>
      <c r="CB852" s="494">
        <f ca="1">IF(OR($Q851&lt;&gt;1,OP!$D$5+$BN852-1&lt;16,$BN852-1&lt;1),0,ROUND(ROUND(ROUND(((VLOOKUP($BN852-1,MORE_PV,5,0)/10000)*VLOOKUP($BN852,MORE_PV,$CB$5,0)),3)*VLOOKUP($BN852,more1,5,0),0)/$R851,0))</f>
        <v>0</v>
      </c>
      <c r="CC852" s="473">
        <f t="shared" ca="1" si="579"/>
        <v>0</v>
      </c>
      <c r="CD852" s="477"/>
    </row>
    <row r="853" spans="2:82" ht="16.5" hidden="1">
      <c r="B853" s="80"/>
      <c r="C853" s="80"/>
      <c r="D853" s="80"/>
      <c r="E853" s="80"/>
      <c r="F853" s="80"/>
      <c r="G853" s="80"/>
      <c r="H853" s="80"/>
      <c r="I853" s="80"/>
      <c r="J853" s="192">
        <f t="shared" si="560"/>
        <v>71</v>
      </c>
      <c r="K853" s="192">
        <f t="shared" si="561"/>
        <v>5</v>
      </c>
      <c r="L853" s="192" t="str">
        <f t="shared" si="556"/>
        <v/>
      </c>
      <c r="M853" s="216">
        <f t="shared" ca="1" si="562"/>
        <v>0</v>
      </c>
      <c r="N853" s="216"/>
      <c r="O853" s="216"/>
      <c r="P853" s="216"/>
      <c r="Q853" s="456" t="str">
        <f t="shared" ca="1" si="563"/>
        <v/>
      </c>
      <c r="R853" s="450">
        <f t="shared" ca="1" si="564"/>
        <v>1</v>
      </c>
      <c r="S853" s="191">
        <f t="shared" si="565"/>
        <v>71</v>
      </c>
      <c r="T853" s="191">
        <f t="shared" si="566"/>
        <v>5</v>
      </c>
      <c r="U853" s="191">
        <f ca="1">OP!$D$5+$S853-1</f>
        <v>103</v>
      </c>
      <c r="V853" s="191" t="str">
        <f t="shared" si="567"/>
        <v/>
      </c>
      <c r="W853" s="350">
        <f ca="1">IF(Q853&lt;&gt;1,0,VLOOKUP(OP!$C$55,PVFB,$S853+2,0))</f>
        <v>0</v>
      </c>
      <c r="X853" s="473">
        <f t="shared" ca="1" si="580"/>
        <v>0</v>
      </c>
      <c r="Y853" s="348">
        <f t="shared" ca="1" si="581"/>
        <v>0</v>
      </c>
      <c r="Z853" s="348">
        <f t="shared" ca="1" si="582"/>
        <v>8012</v>
      </c>
      <c r="AA853" s="348">
        <f ca="1">IF(Q853&lt;&gt;1,0,VLOOKUP(OP!$C$55,PVFB,$S853+2,0))</f>
        <v>0</v>
      </c>
      <c r="AB853" s="488" t="str">
        <f ca="1">IF(AND(S853&lt;OP!$C$24,$U853&lt;15),0,IF(AND($U853&lt;15,$T853=12),ROUND(VLOOKUP($S853,DOWN16,5,0),3),IF($T853=12,ROUND(($Z853/10000)*$AA853,3)+IF(AND($P$7="購買增額繳清保險",T853=12,U853=110),VLOOKUP(S853,$B$10:$H$121,7,0),0),"")))</f>
        <v/>
      </c>
      <c r="AC853" s="350" t="str">
        <f ca="1">IF(AND(S853&lt;OP!$C$24,$U853&lt;15),0,IF(AND($U853&lt;16,$T853=12),VLOOKUP($S853,DOWN16,4,0),IF($T853=12,ROUND(VLOOKUP(OP!$C$55,_DIE2,$S853+1,0)*(Z853/10000),0)+IF(AND($P$7="購買增額繳清保險",T853=12,U853=110),VLOOKUP(S853,$B$10:$H$121,7,0),0),"")))</f>
        <v/>
      </c>
      <c r="AD853" s="347"/>
      <c r="AE853" s="350" t="str">
        <f t="shared" ca="1" si="557"/>
        <v/>
      </c>
      <c r="AF853" s="351" t="str">
        <f t="shared" ca="1" si="558"/>
        <v/>
      </c>
      <c r="AG853" s="340"/>
      <c r="AH853" s="340"/>
      <c r="AI853" s="340"/>
      <c r="AJ853" s="340"/>
      <c r="AK853" s="340"/>
      <c r="AL853" s="340"/>
      <c r="AM853" s="340"/>
      <c r="AN853" s="340"/>
      <c r="AO853" s="340"/>
      <c r="AP853" s="340"/>
      <c r="AQ853" s="340"/>
      <c r="AR853" s="340"/>
      <c r="AS853" s="340"/>
      <c r="AT853" s="340"/>
      <c r="AU853" s="340"/>
      <c r="AV853" s="340"/>
      <c r="AY853" s="340"/>
      <c r="AZ853" s="465">
        <f t="shared" ca="1" si="568"/>
        <v>7.3698599999999999E-5</v>
      </c>
      <c r="BA853" s="464">
        <f t="shared" ca="1" si="569"/>
        <v>2.2109589000000002E-3</v>
      </c>
      <c r="BB853" s="465">
        <f t="shared" ca="1" si="569"/>
        <v>2.2846575E-3</v>
      </c>
      <c r="BC853" s="466">
        <f t="shared" ca="1" si="570"/>
        <v>68576</v>
      </c>
      <c r="BD853" s="467">
        <f t="shared" ca="1" si="583"/>
        <v>68577</v>
      </c>
      <c r="BE853" s="467">
        <f t="shared" ca="1" si="571"/>
        <v>68606</v>
      </c>
      <c r="BF853" s="468">
        <f ca="1">IF(計算!$BC853&lt;OP!$C$3,0,BD853-BC853)</f>
        <v>1</v>
      </c>
      <c r="BG853" s="468">
        <f ca="1">IF($BE853&gt;DATE(YEAR($BD$9)+OP!$C$57,MONTH($BD$9),DAY($BD$9)),0,$BE853-$BD853+1)</f>
        <v>30</v>
      </c>
      <c r="BH853" s="469">
        <f t="shared" ca="1" si="572"/>
        <v>31</v>
      </c>
      <c r="BI853" t="str">
        <f t="shared" ref="BI853:BI916" si="588">IF(BJ853=12,BD853-BD841,"")</f>
        <v/>
      </c>
      <c r="BJ853">
        <v>4</v>
      </c>
      <c r="BN853" s="468">
        <f t="shared" si="584"/>
        <v>71</v>
      </c>
      <c r="BO853" s="468">
        <f t="shared" si="585"/>
        <v>4</v>
      </c>
      <c r="BP853" s="467">
        <f t="shared" ca="1" si="573"/>
        <v>68577</v>
      </c>
      <c r="BQ853" s="475">
        <f t="shared" ca="1" si="587"/>
        <v>103</v>
      </c>
      <c r="BR853" s="475" t="str">
        <f t="shared" si="586"/>
        <v/>
      </c>
      <c r="BS853" s="471" t="str">
        <f t="shared" si="574"/>
        <v/>
      </c>
      <c r="BT853" s="472" t="str">
        <f t="shared" si="555"/>
        <v/>
      </c>
      <c r="BU853" s="472">
        <f t="shared" ca="1" si="575"/>
        <v>0</v>
      </c>
      <c r="BV853" s="472">
        <f t="shared" ca="1" si="575"/>
        <v>0</v>
      </c>
      <c r="BW853" s="472"/>
      <c r="BX853" s="473">
        <f t="shared" ca="1" si="576"/>
        <v>2060448.1134533801</v>
      </c>
      <c r="BY853" s="473">
        <f t="shared" si="577"/>
        <v>0</v>
      </c>
      <c r="BZ853" s="473">
        <f t="shared" ca="1" si="559"/>
        <v>4707.4182357620002</v>
      </c>
      <c r="CA853" s="476">
        <f t="shared" ca="1" si="578"/>
        <v>0</v>
      </c>
      <c r="CB853" s="494">
        <f ca="1">IF(OR($Q852&lt;&gt;1,OP!$D$5+$BN853-1&lt;16,$BN853-1&lt;1),0,ROUND(ROUND(ROUND(((VLOOKUP($BN853-1,MORE_PV,5,0)/10000)*VLOOKUP($BN853,MORE_PV,$CB$5,0)),3)*VLOOKUP($BN853,more1,5,0),0)/$R852,0))</f>
        <v>0</v>
      </c>
      <c r="CC853" s="473">
        <f t="shared" ca="1" si="579"/>
        <v>0</v>
      </c>
      <c r="CD853" s="477"/>
    </row>
    <row r="854" spans="2:82" ht="16.5" hidden="1">
      <c r="B854" s="80"/>
      <c r="C854" s="80"/>
      <c r="D854" s="80"/>
      <c r="E854" s="80"/>
      <c r="F854" s="80"/>
      <c r="G854" s="80"/>
      <c r="H854" s="80"/>
      <c r="I854" s="80"/>
      <c r="J854" s="192">
        <f t="shared" si="560"/>
        <v>71</v>
      </c>
      <c r="K854" s="192">
        <f t="shared" si="561"/>
        <v>6</v>
      </c>
      <c r="L854" s="192" t="str">
        <f t="shared" si="556"/>
        <v/>
      </c>
      <c r="M854" s="216">
        <f t="shared" ca="1" si="562"/>
        <v>0</v>
      </c>
      <c r="N854" s="216"/>
      <c r="O854" s="216"/>
      <c r="P854" s="216"/>
      <c r="Q854" s="456" t="str">
        <f t="shared" ca="1" si="563"/>
        <v/>
      </c>
      <c r="R854" s="450">
        <f t="shared" ca="1" si="564"/>
        <v>1</v>
      </c>
      <c r="S854" s="191">
        <f t="shared" si="565"/>
        <v>71</v>
      </c>
      <c r="T854" s="191">
        <f t="shared" si="566"/>
        <v>6</v>
      </c>
      <c r="U854" s="191">
        <f ca="1">OP!$D$5+$S854-1</f>
        <v>103</v>
      </c>
      <c r="V854" s="191" t="str">
        <f t="shared" si="567"/>
        <v/>
      </c>
      <c r="W854" s="350">
        <f ca="1">IF(Q854&lt;&gt;1,0,VLOOKUP(OP!$C$55,PVFB,$S854+2,0))</f>
        <v>0</v>
      </c>
      <c r="X854" s="473">
        <f t="shared" ca="1" si="580"/>
        <v>0</v>
      </c>
      <c r="Y854" s="348">
        <f t="shared" ca="1" si="581"/>
        <v>0</v>
      </c>
      <c r="Z854" s="348">
        <f t="shared" ca="1" si="582"/>
        <v>8012</v>
      </c>
      <c r="AA854" s="348">
        <f ca="1">IF(Q854&lt;&gt;1,0,VLOOKUP(OP!$C$55,PVFB,$S854+2,0))</f>
        <v>0</v>
      </c>
      <c r="AB854" s="488" t="str">
        <f ca="1">IF(AND(S854&lt;OP!$C$24,$U854&lt;15),0,IF(AND($U854&lt;15,$T854=12),ROUND(VLOOKUP($S854,DOWN16,5,0),3),IF($T854=12,ROUND(($Z854/10000)*$AA854,3)+IF(AND($P$7="購買增額繳清保險",T854=12,U854=110),VLOOKUP(S854,$B$10:$H$121,7,0),0),"")))</f>
        <v/>
      </c>
      <c r="AC854" s="350" t="str">
        <f ca="1">IF(AND(S854&lt;OP!$C$24,$U854&lt;15),0,IF(AND($U854&lt;16,$T854=12),VLOOKUP($S854,DOWN16,4,0),IF($T854=12,ROUND(VLOOKUP(OP!$C$55,_DIE2,$S854+1,0)*(Z854/10000),0)+IF(AND($P$7="購買增額繳清保險",T854=12,U854=110),VLOOKUP(S854,$B$10:$H$121,7,0),0),"")))</f>
        <v/>
      </c>
      <c r="AD854" s="347"/>
      <c r="AE854" s="350" t="str">
        <f t="shared" ca="1" si="557"/>
        <v/>
      </c>
      <c r="AF854" s="351" t="str">
        <f t="shared" ca="1" si="558"/>
        <v/>
      </c>
      <c r="AG854" s="340"/>
      <c r="AH854" s="340"/>
      <c r="AI854" s="340"/>
      <c r="AJ854" s="340"/>
      <c r="AK854" s="340"/>
      <c r="AL854" s="340"/>
      <c r="AM854" s="340"/>
      <c r="AN854" s="340"/>
      <c r="AO854" s="340"/>
      <c r="AP854" s="340"/>
      <c r="AQ854" s="340"/>
      <c r="AR854" s="340"/>
      <c r="AS854" s="340"/>
      <c r="AT854" s="340"/>
      <c r="AU854" s="340"/>
      <c r="AV854" s="340"/>
      <c r="AY854" s="340"/>
      <c r="AZ854" s="465">
        <f t="shared" ca="1" si="568"/>
        <v>7.3698599999999999E-5</v>
      </c>
      <c r="BA854" s="464">
        <f t="shared" ca="1" si="569"/>
        <v>2.1372602999999999E-3</v>
      </c>
      <c r="BB854" s="465">
        <f t="shared" ca="1" si="569"/>
        <v>2.2109589000000002E-3</v>
      </c>
      <c r="BC854" s="466">
        <f t="shared" ca="1" si="570"/>
        <v>68607</v>
      </c>
      <c r="BD854" s="467">
        <f t="shared" ca="1" si="583"/>
        <v>68608</v>
      </c>
      <c r="BE854" s="467">
        <f t="shared" ca="1" si="571"/>
        <v>68636</v>
      </c>
      <c r="BF854" s="468">
        <f ca="1">IF(計算!$BC854&lt;OP!$C$3,0,BD854-BC854)</f>
        <v>1</v>
      </c>
      <c r="BG854" s="468">
        <f ca="1">IF($BE854&gt;DATE(YEAR($BD$9)+OP!$C$57,MONTH($BD$9),DAY($BD$9)),0,$BE854-$BD854+1)</f>
        <v>29</v>
      </c>
      <c r="BH854" s="469">
        <f t="shared" ca="1" si="572"/>
        <v>30</v>
      </c>
      <c r="BI854" t="str">
        <f t="shared" si="588"/>
        <v/>
      </c>
      <c r="BJ854">
        <v>5</v>
      </c>
      <c r="BN854" s="468">
        <f t="shared" si="584"/>
        <v>71</v>
      </c>
      <c r="BO854" s="468">
        <f t="shared" si="585"/>
        <v>5</v>
      </c>
      <c r="BP854" s="467">
        <f t="shared" ca="1" si="573"/>
        <v>68608</v>
      </c>
      <c r="BQ854" s="475">
        <f t="shared" ca="1" si="587"/>
        <v>103</v>
      </c>
      <c r="BR854" s="475" t="str">
        <f t="shared" si="586"/>
        <v/>
      </c>
      <c r="BS854" s="471" t="str">
        <f t="shared" si="574"/>
        <v/>
      </c>
      <c r="BT854" s="472" t="str">
        <f t="shared" ref="BT854:BT917" si="589">IF(BW854&lt;&gt;"",IF(BN854&gt;=$P$4+1,ROUND(BU854,0)+ROUND(BV854,0)+ROUND(BW854,0)+BT842,0),"")</f>
        <v/>
      </c>
      <c r="BU854" s="472">
        <f t="shared" ca="1" si="575"/>
        <v>0</v>
      </c>
      <c r="BV854" s="472">
        <f t="shared" ca="1" si="575"/>
        <v>0</v>
      </c>
      <c r="BW854" s="472"/>
      <c r="BX854" s="473">
        <f t="shared" ca="1" si="576"/>
        <v>2065155.53168914</v>
      </c>
      <c r="BY854" s="473">
        <f t="shared" si="577"/>
        <v>0</v>
      </c>
      <c r="BZ854" s="473">
        <f t="shared" ca="1" si="559"/>
        <v>4565.9740026720001</v>
      </c>
      <c r="CA854" s="476">
        <f t="shared" ca="1" si="578"/>
        <v>0</v>
      </c>
      <c r="CB854" s="494">
        <f ca="1">IF(OR($Q853&lt;&gt;1,OP!$D$5+$BN854-1&lt;16,$BN854-1&lt;1),0,ROUND(ROUND(ROUND(((VLOOKUP($BN854-1,MORE_PV,5,0)/10000)*VLOOKUP($BN854,MORE_PV,$CB$5,0)),3)*VLOOKUP($BN854,more1,5,0),0)/$R853,0))</f>
        <v>0</v>
      </c>
      <c r="CC854" s="473">
        <f t="shared" ca="1" si="579"/>
        <v>0</v>
      </c>
      <c r="CD854" s="477"/>
    </row>
    <row r="855" spans="2:82" ht="16.5" hidden="1">
      <c r="B855" s="80"/>
      <c r="C855" s="80"/>
      <c r="D855" s="80"/>
      <c r="E855" s="80"/>
      <c r="F855" s="80"/>
      <c r="G855" s="80"/>
      <c r="H855" s="80"/>
      <c r="I855" s="80"/>
      <c r="J855" s="192">
        <f t="shared" si="560"/>
        <v>71</v>
      </c>
      <c r="K855" s="192">
        <f t="shared" si="561"/>
        <v>7</v>
      </c>
      <c r="L855" s="192" t="str">
        <f t="shared" si="556"/>
        <v/>
      </c>
      <c r="M855" s="216">
        <f t="shared" ca="1" si="562"/>
        <v>0</v>
      </c>
      <c r="N855" s="216"/>
      <c r="O855" s="216"/>
      <c r="P855" s="216"/>
      <c r="Q855" s="456" t="str">
        <f t="shared" ca="1" si="563"/>
        <v/>
      </c>
      <c r="R855" s="450">
        <f t="shared" ca="1" si="564"/>
        <v>1</v>
      </c>
      <c r="S855" s="191">
        <f t="shared" si="565"/>
        <v>71</v>
      </c>
      <c r="T855" s="191">
        <f t="shared" si="566"/>
        <v>7</v>
      </c>
      <c r="U855" s="191">
        <f ca="1">OP!$D$5+$S855-1</f>
        <v>103</v>
      </c>
      <c r="V855" s="191" t="str">
        <f t="shared" si="567"/>
        <v/>
      </c>
      <c r="W855" s="350">
        <f ca="1">IF(Q855&lt;&gt;1,0,VLOOKUP(OP!$C$55,PVFB,$S855+2,0))</f>
        <v>0</v>
      </c>
      <c r="X855" s="473">
        <f t="shared" ca="1" si="580"/>
        <v>0</v>
      </c>
      <c r="Y855" s="348">
        <f t="shared" ca="1" si="581"/>
        <v>0</v>
      </c>
      <c r="Z855" s="348">
        <f t="shared" ca="1" si="582"/>
        <v>8012</v>
      </c>
      <c r="AA855" s="348">
        <f ca="1">IF(Q855&lt;&gt;1,0,VLOOKUP(OP!$C$55,PVFB,$S855+2,0))</f>
        <v>0</v>
      </c>
      <c r="AB855" s="488" t="str">
        <f ca="1">IF(AND(S855&lt;OP!$C$24,$U855&lt;15),0,IF(AND($U855&lt;15,$T855=12),ROUND(VLOOKUP($S855,DOWN16,5,0),3),IF($T855=12,ROUND(($Z855/10000)*$AA855,3)+IF(AND($P$7="購買增額繳清保險",T855=12,U855=110),VLOOKUP(S855,$B$10:$H$121,7,0),0),"")))</f>
        <v/>
      </c>
      <c r="AC855" s="350" t="str">
        <f ca="1">IF(AND(S855&lt;OP!$C$24,$U855&lt;15),0,IF(AND($U855&lt;16,$T855=12),VLOOKUP($S855,DOWN16,4,0),IF($T855=12,ROUND(VLOOKUP(OP!$C$55,_DIE2,$S855+1,0)*(Z855/10000),0)+IF(AND($P$7="購買增額繳清保險",T855=12,U855=110),VLOOKUP(S855,$B$10:$H$121,7,0),0),"")))</f>
        <v/>
      </c>
      <c r="AD855" s="347"/>
      <c r="AE855" s="350" t="str">
        <f t="shared" ca="1" si="557"/>
        <v/>
      </c>
      <c r="AF855" s="351" t="str">
        <f t="shared" ca="1" si="558"/>
        <v/>
      </c>
      <c r="AG855" s="340"/>
      <c r="AH855" s="340"/>
      <c r="AI855" s="340"/>
      <c r="AJ855" s="340"/>
      <c r="AK855" s="340"/>
      <c r="AL855" s="340"/>
      <c r="AM855" s="340"/>
      <c r="AN855" s="340"/>
      <c r="AO855" s="340"/>
      <c r="AP855" s="340"/>
      <c r="AQ855" s="340"/>
      <c r="AR855" s="340"/>
      <c r="AS855" s="340"/>
      <c r="AT855" s="340"/>
      <c r="AU855" s="340"/>
      <c r="AV855" s="340"/>
      <c r="AY855" s="340"/>
      <c r="AZ855" s="465">
        <f t="shared" ca="1" si="568"/>
        <v>7.3698599999999999E-5</v>
      </c>
      <c r="BA855" s="464">
        <f t="shared" ca="1" si="569"/>
        <v>2.2109589000000002E-3</v>
      </c>
      <c r="BB855" s="465">
        <f t="shared" ca="1" si="569"/>
        <v>2.2846575E-3</v>
      </c>
      <c r="BC855" s="466">
        <f t="shared" ca="1" si="570"/>
        <v>68637</v>
      </c>
      <c r="BD855" s="467">
        <f t="shared" ca="1" si="583"/>
        <v>68638</v>
      </c>
      <c r="BE855" s="467">
        <f t="shared" ca="1" si="571"/>
        <v>68667</v>
      </c>
      <c r="BF855" s="468">
        <f ca="1">IF(計算!$BC855&lt;OP!$C$3,0,BD855-BC855)</f>
        <v>1</v>
      </c>
      <c r="BG855" s="468">
        <f ca="1">IF($BE855&gt;DATE(YEAR($BD$9)+OP!$C$57,MONTH($BD$9),DAY($BD$9)),0,$BE855-$BD855+1)</f>
        <v>30</v>
      </c>
      <c r="BH855" s="469">
        <f t="shared" ca="1" si="572"/>
        <v>31</v>
      </c>
      <c r="BI855" t="str">
        <f t="shared" si="588"/>
        <v/>
      </c>
      <c r="BJ855">
        <v>6</v>
      </c>
      <c r="BN855" s="468">
        <f t="shared" si="584"/>
        <v>71</v>
      </c>
      <c r="BO855" s="468">
        <f t="shared" si="585"/>
        <v>6</v>
      </c>
      <c r="BP855" s="467">
        <f t="shared" ca="1" si="573"/>
        <v>68638</v>
      </c>
      <c r="BQ855" s="475">
        <f t="shared" ca="1" si="587"/>
        <v>103</v>
      </c>
      <c r="BR855" s="475" t="str">
        <f t="shared" si="586"/>
        <v/>
      </c>
      <c r="BS855" s="471" t="str">
        <f t="shared" si="574"/>
        <v/>
      </c>
      <c r="BT855" s="472" t="str">
        <f t="shared" si="589"/>
        <v/>
      </c>
      <c r="BU855" s="472">
        <f t="shared" ca="1" si="575"/>
        <v>0</v>
      </c>
      <c r="BV855" s="472">
        <f t="shared" ca="1" si="575"/>
        <v>0</v>
      </c>
      <c r="BW855" s="472"/>
      <c r="BX855" s="473">
        <f t="shared" ca="1" si="576"/>
        <v>2069721.50569181</v>
      </c>
      <c r="BY855" s="473">
        <f t="shared" si="577"/>
        <v>0</v>
      </c>
      <c r="BZ855" s="473">
        <f t="shared" ca="1" si="559"/>
        <v>4728.6047608899999</v>
      </c>
      <c r="CA855" s="476">
        <f t="shared" ca="1" si="578"/>
        <v>0</v>
      </c>
      <c r="CB855" s="494">
        <f ca="1">IF(OR($Q854&lt;&gt;1,OP!$D$5+$BN855-1&lt;16,$BN855-1&lt;1),0,ROUND(ROUND(ROUND(((VLOOKUP($BN855-1,MORE_PV,5,0)/10000)*VLOOKUP($BN855,MORE_PV,$CB$5,0)),3)*VLOOKUP($BN855,more1,5,0),0)/$R854,0))</f>
        <v>0</v>
      </c>
      <c r="CC855" s="473">
        <f t="shared" ca="1" si="579"/>
        <v>0</v>
      </c>
      <c r="CD855" s="477"/>
    </row>
    <row r="856" spans="2:82" ht="16.5" hidden="1">
      <c r="B856" s="80"/>
      <c r="C856" s="80"/>
      <c r="D856" s="80"/>
      <c r="E856" s="80"/>
      <c r="F856" s="80"/>
      <c r="G856" s="80"/>
      <c r="H856" s="80"/>
      <c r="I856" s="80"/>
      <c r="J856" s="192">
        <f t="shared" si="560"/>
        <v>71</v>
      </c>
      <c r="K856" s="192">
        <f t="shared" si="561"/>
        <v>8</v>
      </c>
      <c r="L856" s="192" t="str">
        <f t="shared" si="556"/>
        <v/>
      </c>
      <c r="M856" s="216">
        <f t="shared" ca="1" si="562"/>
        <v>0</v>
      </c>
      <c r="N856" s="216"/>
      <c r="O856" s="216"/>
      <c r="P856" s="216"/>
      <c r="Q856" s="456" t="str">
        <f t="shared" ca="1" si="563"/>
        <v/>
      </c>
      <c r="R856" s="450">
        <f t="shared" ca="1" si="564"/>
        <v>1</v>
      </c>
      <c r="S856" s="191">
        <f t="shared" si="565"/>
        <v>71</v>
      </c>
      <c r="T856" s="191">
        <f t="shared" si="566"/>
        <v>8</v>
      </c>
      <c r="U856" s="191">
        <f ca="1">OP!$D$5+$S856-1</f>
        <v>103</v>
      </c>
      <c r="V856" s="191" t="str">
        <f t="shared" si="567"/>
        <v/>
      </c>
      <c r="W856" s="350">
        <f ca="1">IF(Q856&lt;&gt;1,0,VLOOKUP(OP!$C$55,PVFB,$S856+2,0))</f>
        <v>0</v>
      </c>
      <c r="X856" s="473">
        <f t="shared" ca="1" si="580"/>
        <v>0</v>
      </c>
      <c r="Y856" s="348">
        <f t="shared" ca="1" si="581"/>
        <v>0</v>
      </c>
      <c r="Z856" s="348">
        <f t="shared" ca="1" si="582"/>
        <v>8012</v>
      </c>
      <c r="AA856" s="348">
        <f ca="1">IF(Q856&lt;&gt;1,0,VLOOKUP(OP!$C$55,PVFB,$S856+2,0))</f>
        <v>0</v>
      </c>
      <c r="AB856" s="488" t="str">
        <f ca="1">IF(AND(S856&lt;OP!$C$24,$U856&lt;15),0,IF(AND($U856&lt;15,$T856=12),ROUND(VLOOKUP($S856,DOWN16,5,0),3),IF($T856=12,ROUND(($Z856/10000)*$AA856,3)+IF(AND($P$7="購買增額繳清保險",T856=12,U856=110),VLOOKUP(S856,$B$10:$H$121,7,0),0),"")))</f>
        <v/>
      </c>
      <c r="AC856" s="350" t="str">
        <f ca="1">IF(AND(S856&lt;OP!$C$24,$U856&lt;15),0,IF(AND($U856&lt;16,$T856=12),VLOOKUP($S856,DOWN16,4,0),IF($T856=12,ROUND(VLOOKUP(OP!$C$55,_DIE2,$S856+1,0)*(Z856/10000),0)+IF(AND($P$7="購買增額繳清保險",T856=12,U856=110),VLOOKUP(S856,$B$10:$H$121,7,0),0),"")))</f>
        <v/>
      </c>
      <c r="AD856" s="347"/>
      <c r="AE856" s="350" t="str">
        <f t="shared" ca="1" si="557"/>
        <v/>
      </c>
      <c r="AF856" s="351" t="str">
        <f t="shared" ca="1" si="558"/>
        <v/>
      </c>
      <c r="AG856" s="340"/>
      <c r="AH856" s="340"/>
      <c r="AI856" s="340"/>
      <c r="AJ856" s="340"/>
      <c r="AK856" s="340"/>
      <c r="AL856" s="340"/>
      <c r="AM856" s="340"/>
      <c r="AN856" s="340"/>
      <c r="AO856" s="340"/>
      <c r="AP856" s="340"/>
      <c r="AQ856" s="340"/>
      <c r="AR856" s="340"/>
      <c r="AS856" s="340"/>
      <c r="AT856" s="340"/>
      <c r="AU856" s="340"/>
      <c r="AV856" s="340"/>
      <c r="AY856" s="340"/>
      <c r="AZ856" s="465">
        <f t="shared" ca="1" si="568"/>
        <v>7.3698599999999999E-5</v>
      </c>
      <c r="BA856" s="464">
        <f t="shared" ca="1" si="569"/>
        <v>2.2109589000000002E-3</v>
      </c>
      <c r="BB856" s="465">
        <f t="shared" ca="1" si="569"/>
        <v>2.2846575E-3</v>
      </c>
      <c r="BC856" s="466">
        <f t="shared" ca="1" si="570"/>
        <v>68668</v>
      </c>
      <c r="BD856" s="467">
        <f t="shared" ca="1" si="583"/>
        <v>68669</v>
      </c>
      <c r="BE856" s="467">
        <f t="shared" ca="1" si="571"/>
        <v>68698</v>
      </c>
      <c r="BF856" s="468">
        <f ca="1">IF(計算!$BC856&lt;OP!$C$3,0,BD856-BC856)</f>
        <v>1</v>
      </c>
      <c r="BG856" s="468">
        <f ca="1">IF($BE856&gt;DATE(YEAR($BD$9)+OP!$C$57,MONTH($BD$9),DAY($BD$9)),0,$BE856-$BD856+1)</f>
        <v>30</v>
      </c>
      <c r="BH856" s="469">
        <f t="shared" ca="1" si="572"/>
        <v>31</v>
      </c>
      <c r="BI856" t="str">
        <f t="shared" si="588"/>
        <v/>
      </c>
      <c r="BJ856">
        <v>7</v>
      </c>
      <c r="BN856" s="468">
        <f t="shared" si="584"/>
        <v>71</v>
      </c>
      <c r="BO856" s="468">
        <f t="shared" si="585"/>
        <v>7</v>
      </c>
      <c r="BP856" s="467">
        <f t="shared" ca="1" si="573"/>
        <v>68669</v>
      </c>
      <c r="BQ856" s="475">
        <f t="shared" ca="1" si="587"/>
        <v>103</v>
      </c>
      <c r="BR856" s="475" t="str">
        <f t="shared" si="586"/>
        <v/>
      </c>
      <c r="BS856" s="471" t="str">
        <f t="shared" si="574"/>
        <v/>
      </c>
      <c r="BT856" s="472" t="str">
        <f t="shared" si="589"/>
        <v/>
      </c>
      <c r="BU856" s="472">
        <f t="shared" ca="1" si="575"/>
        <v>0</v>
      </c>
      <c r="BV856" s="472">
        <f t="shared" ca="1" si="575"/>
        <v>0</v>
      </c>
      <c r="BW856" s="472"/>
      <c r="BX856" s="473">
        <f t="shared" ca="1" si="576"/>
        <v>2074450.1104526999</v>
      </c>
      <c r="BY856" s="473">
        <f t="shared" si="577"/>
        <v>0</v>
      </c>
      <c r="BZ856" s="473">
        <f t="shared" ca="1" si="559"/>
        <v>4739.4080032219999</v>
      </c>
      <c r="CA856" s="476">
        <f t="shared" ca="1" si="578"/>
        <v>0</v>
      </c>
      <c r="CB856" s="494">
        <f ca="1">IF(OR($Q855&lt;&gt;1,OP!$D$5+$BN856-1&lt;16,$BN856-1&lt;1),0,ROUND(ROUND(ROUND(((VLOOKUP($BN856-1,MORE_PV,5,0)/10000)*VLOOKUP($BN856,MORE_PV,$CB$5,0)),3)*VLOOKUP($BN856,more1,5,0),0)/$R855,0))</f>
        <v>0</v>
      </c>
      <c r="CC856" s="473">
        <f t="shared" ca="1" si="579"/>
        <v>0</v>
      </c>
      <c r="CD856" s="477"/>
    </row>
    <row r="857" spans="2:82" ht="16.5" hidden="1">
      <c r="B857" s="80"/>
      <c r="C857" s="80"/>
      <c r="D857" s="80"/>
      <c r="E857" s="80"/>
      <c r="F857" s="80"/>
      <c r="G857" s="80"/>
      <c r="H857" s="80"/>
      <c r="I857" s="80"/>
      <c r="J857" s="192">
        <f t="shared" si="560"/>
        <v>71</v>
      </c>
      <c r="K857" s="192">
        <f t="shared" si="561"/>
        <v>9</v>
      </c>
      <c r="L857" s="192" t="str">
        <f t="shared" si="556"/>
        <v/>
      </c>
      <c r="M857" s="216">
        <f t="shared" ca="1" si="562"/>
        <v>0</v>
      </c>
      <c r="N857" s="216"/>
      <c r="O857" s="216"/>
      <c r="P857" s="216"/>
      <c r="Q857" s="456" t="str">
        <f t="shared" ca="1" si="563"/>
        <v/>
      </c>
      <c r="R857" s="450">
        <f t="shared" ca="1" si="564"/>
        <v>1</v>
      </c>
      <c r="S857" s="191">
        <f t="shared" si="565"/>
        <v>71</v>
      </c>
      <c r="T857" s="191">
        <f t="shared" si="566"/>
        <v>9</v>
      </c>
      <c r="U857" s="191">
        <f ca="1">OP!$D$5+$S857-1</f>
        <v>103</v>
      </c>
      <c r="V857" s="191" t="str">
        <f t="shared" si="567"/>
        <v/>
      </c>
      <c r="W857" s="350">
        <f ca="1">IF(Q857&lt;&gt;1,0,VLOOKUP(OP!$C$55,PVFB,$S857+2,0))</f>
        <v>0</v>
      </c>
      <c r="X857" s="473">
        <f t="shared" ca="1" si="580"/>
        <v>0</v>
      </c>
      <c r="Y857" s="348">
        <f t="shared" ca="1" si="581"/>
        <v>0</v>
      </c>
      <c r="Z857" s="348">
        <f t="shared" ca="1" si="582"/>
        <v>8012</v>
      </c>
      <c r="AA857" s="348">
        <f ca="1">IF(Q857&lt;&gt;1,0,VLOOKUP(OP!$C$55,PVFB,$S857+2,0))</f>
        <v>0</v>
      </c>
      <c r="AB857" s="488" t="str">
        <f ca="1">IF(AND(S857&lt;OP!$C$24,$U857&lt;15),0,IF(AND($U857&lt;15,$T857=12),ROUND(VLOOKUP($S857,DOWN16,5,0),3),IF($T857=12,ROUND(($Z857/10000)*$AA857,3)+IF(AND($P$7="購買增額繳清保險",T857=12,U857=110),VLOOKUP(S857,$B$10:$H$121,7,0),0),"")))</f>
        <v/>
      </c>
      <c r="AC857" s="350" t="str">
        <f ca="1">IF(AND(S857&lt;OP!$C$24,$U857&lt;15),0,IF(AND($U857&lt;16,$T857=12),VLOOKUP($S857,DOWN16,4,0),IF($T857=12,ROUND(VLOOKUP(OP!$C$55,_DIE2,$S857+1,0)*(Z857/10000),0)+IF(AND($P$7="購買增額繳清保險",T857=12,U857=110),VLOOKUP(S857,$B$10:$H$121,7,0),0),"")))</f>
        <v/>
      </c>
      <c r="AD857" s="347"/>
      <c r="AE857" s="350" t="str">
        <f t="shared" ca="1" si="557"/>
        <v/>
      </c>
      <c r="AF857" s="351" t="str">
        <f t="shared" ca="1" si="558"/>
        <v/>
      </c>
      <c r="AG857" s="340"/>
      <c r="AH857" s="340"/>
      <c r="AI857" s="340"/>
      <c r="AJ857" s="340"/>
      <c r="AK857" s="340"/>
      <c r="AL857" s="340"/>
      <c r="AM857" s="340"/>
      <c r="AN857" s="340"/>
      <c r="AO857" s="340"/>
      <c r="AP857" s="340"/>
      <c r="AQ857" s="340"/>
      <c r="AR857" s="340"/>
      <c r="AS857" s="340"/>
      <c r="AT857" s="340"/>
      <c r="AU857" s="340"/>
      <c r="AV857" s="340"/>
      <c r="AY857" s="340"/>
      <c r="AZ857" s="465">
        <f t="shared" ca="1" si="568"/>
        <v>7.3698599999999999E-5</v>
      </c>
      <c r="BA857" s="464">
        <f t="shared" ca="1" si="569"/>
        <v>2.0635616E-3</v>
      </c>
      <c r="BB857" s="465">
        <f t="shared" ca="1" si="569"/>
        <v>2.1372602999999999E-3</v>
      </c>
      <c r="BC857" s="466">
        <f t="shared" ca="1" si="570"/>
        <v>68699</v>
      </c>
      <c r="BD857" s="467">
        <f t="shared" ca="1" si="583"/>
        <v>68700</v>
      </c>
      <c r="BE857" s="467">
        <f t="shared" ca="1" si="571"/>
        <v>68727</v>
      </c>
      <c r="BF857" s="468">
        <f ca="1">IF(計算!$BC857&lt;OP!$C$3,0,BD857-BC857)</f>
        <v>1</v>
      </c>
      <c r="BG857" s="468">
        <f ca="1">IF($BE857&gt;DATE(YEAR($BD$9)+OP!$C$57,MONTH($BD$9),DAY($BD$9)),0,$BE857-$BD857+1)</f>
        <v>28</v>
      </c>
      <c r="BH857" s="469">
        <f t="shared" ca="1" si="572"/>
        <v>29</v>
      </c>
      <c r="BI857" t="str">
        <f t="shared" si="588"/>
        <v/>
      </c>
      <c r="BJ857">
        <v>8</v>
      </c>
      <c r="BN857" s="468">
        <f t="shared" si="584"/>
        <v>71</v>
      </c>
      <c r="BO857" s="468">
        <f t="shared" si="585"/>
        <v>8</v>
      </c>
      <c r="BP857" s="467">
        <f t="shared" ca="1" si="573"/>
        <v>68700</v>
      </c>
      <c r="BQ857" s="475">
        <f t="shared" ca="1" si="587"/>
        <v>103</v>
      </c>
      <c r="BR857" s="475" t="str">
        <f t="shared" si="586"/>
        <v/>
      </c>
      <c r="BS857" s="471" t="str">
        <f t="shared" si="574"/>
        <v/>
      </c>
      <c r="BT857" s="472" t="str">
        <f t="shared" si="589"/>
        <v/>
      </c>
      <c r="BU857" s="472">
        <f t="shared" ca="1" si="575"/>
        <v>0</v>
      </c>
      <c r="BV857" s="472">
        <f t="shared" ca="1" si="575"/>
        <v>0</v>
      </c>
      <c r="BW857" s="472"/>
      <c r="BX857" s="473">
        <f t="shared" ca="1" si="576"/>
        <v>2079189.51845592</v>
      </c>
      <c r="BY857" s="473">
        <f t="shared" si="577"/>
        <v>0</v>
      </c>
      <c r="BZ857" s="473">
        <f t="shared" ca="1" si="559"/>
        <v>4443.7692139720002</v>
      </c>
      <c r="CA857" s="476">
        <f t="shared" ca="1" si="578"/>
        <v>0</v>
      </c>
      <c r="CB857" s="494">
        <f ca="1">IF(OR($Q856&lt;&gt;1,OP!$D$5+$BN857-1&lt;16,$BN857-1&lt;1),0,ROUND(ROUND(ROUND(((VLOOKUP($BN857-1,MORE_PV,5,0)/10000)*VLOOKUP($BN857,MORE_PV,$CB$5,0)),3)*VLOOKUP($BN857,more1,5,0),0)/$R856,0))</f>
        <v>0</v>
      </c>
      <c r="CC857" s="473">
        <f t="shared" ca="1" si="579"/>
        <v>0</v>
      </c>
      <c r="CD857" s="477"/>
    </row>
    <row r="858" spans="2:82" ht="16.5" hidden="1">
      <c r="B858" s="80"/>
      <c r="C858" s="80"/>
      <c r="D858" s="80"/>
      <c r="E858" s="80"/>
      <c r="F858" s="80"/>
      <c r="G858" s="80"/>
      <c r="H858" s="80"/>
      <c r="I858" s="80"/>
      <c r="J858" s="192">
        <f t="shared" si="560"/>
        <v>71</v>
      </c>
      <c r="K858" s="192">
        <f t="shared" si="561"/>
        <v>10</v>
      </c>
      <c r="L858" s="192" t="str">
        <f t="shared" si="556"/>
        <v/>
      </c>
      <c r="M858" s="216">
        <f t="shared" ca="1" si="562"/>
        <v>0</v>
      </c>
      <c r="N858" s="216"/>
      <c r="O858" s="216"/>
      <c r="P858" s="216"/>
      <c r="Q858" s="456" t="str">
        <f t="shared" ca="1" si="563"/>
        <v/>
      </c>
      <c r="R858" s="450">
        <f t="shared" ca="1" si="564"/>
        <v>1</v>
      </c>
      <c r="S858" s="191">
        <f t="shared" si="565"/>
        <v>71</v>
      </c>
      <c r="T858" s="191">
        <f t="shared" si="566"/>
        <v>10</v>
      </c>
      <c r="U858" s="191">
        <f ca="1">OP!$D$5+$S858-1</f>
        <v>103</v>
      </c>
      <c r="V858" s="191" t="str">
        <f t="shared" si="567"/>
        <v/>
      </c>
      <c r="W858" s="350">
        <f ca="1">IF(Q858&lt;&gt;1,0,VLOOKUP(OP!$C$55,PVFB,$S858+2,0))</f>
        <v>0</v>
      </c>
      <c r="X858" s="473">
        <f t="shared" ca="1" si="580"/>
        <v>0</v>
      </c>
      <c r="Y858" s="348">
        <f t="shared" ca="1" si="581"/>
        <v>0</v>
      </c>
      <c r="Z858" s="348">
        <f t="shared" ca="1" si="582"/>
        <v>8012</v>
      </c>
      <c r="AA858" s="348">
        <f ca="1">IF(Q858&lt;&gt;1,0,VLOOKUP(OP!$C$55,PVFB,$S858+2,0))</f>
        <v>0</v>
      </c>
      <c r="AB858" s="488" t="str">
        <f ca="1">IF(AND(S858&lt;OP!$C$24,$U858&lt;15),0,IF(AND($U858&lt;15,$T858=12),ROUND(VLOOKUP($S858,DOWN16,5,0),3),IF($T858=12,ROUND(($Z858/10000)*$AA858,3)+IF(AND($P$7="購買增額繳清保險",T858=12,U858=110),VLOOKUP(S858,$B$10:$H$121,7,0),0),"")))</f>
        <v/>
      </c>
      <c r="AC858" s="350" t="str">
        <f ca="1">IF(AND(S858&lt;OP!$C$24,$U858&lt;15),0,IF(AND($U858&lt;16,$T858=12),VLOOKUP($S858,DOWN16,4,0),IF($T858=12,ROUND(VLOOKUP(OP!$C$55,_DIE2,$S858+1,0)*(Z858/10000),0)+IF(AND($P$7="購買增額繳清保險",T858=12,U858=110),VLOOKUP(S858,$B$10:$H$121,7,0),0),"")))</f>
        <v/>
      </c>
      <c r="AD858" s="347"/>
      <c r="AE858" s="350" t="str">
        <f t="shared" ca="1" si="557"/>
        <v/>
      </c>
      <c r="AF858" s="351" t="str">
        <f t="shared" ca="1" si="558"/>
        <v/>
      </c>
      <c r="AG858" s="340"/>
      <c r="AH858" s="340"/>
      <c r="AI858" s="340"/>
      <c r="AJ858" s="340"/>
      <c r="AK858" s="340"/>
      <c r="AL858" s="340"/>
      <c r="AM858" s="340"/>
      <c r="AN858" s="340"/>
      <c r="AO858" s="340"/>
      <c r="AP858" s="340"/>
      <c r="AQ858" s="340"/>
      <c r="AR858" s="340"/>
      <c r="AS858" s="340"/>
      <c r="AT858" s="340"/>
      <c r="AU858" s="340"/>
      <c r="AV858" s="340"/>
      <c r="AY858" s="340"/>
      <c r="AZ858" s="465">
        <f t="shared" ca="1" si="568"/>
        <v>7.3698599999999999E-5</v>
      </c>
      <c r="BA858" s="464">
        <f t="shared" ca="1" si="569"/>
        <v>2.2109589000000002E-3</v>
      </c>
      <c r="BB858" s="465">
        <f t="shared" ca="1" si="569"/>
        <v>2.2846575E-3</v>
      </c>
      <c r="BC858" s="466">
        <f t="shared" ca="1" si="570"/>
        <v>68728</v>
      </c>
      <c r="BD858" s="467">
        <f t="shared" ca="1" si="583"/>
        <v>68729</v>
      </c>
      <c r="BE858" s="467">
        <f t="shared" ca="1" si="571"/>
        <v>68758</v>
      </c>
      <c r="BF858" s="468">
        <f ca="1">IF(計算!$BC858&lt;OP!$C$3,0,BD858-BC858)</f>
        <v>1</v>
      </c>
      <c r="BG858" s="468">
        <f ca="1">IF($BE858&gt;DATE(YEAR($BD$9)+OP!$C$57,MONTH($BD$9),DAY($BD$9)),0,$BE858-$BD858+1)</f>
        <v>30</v>
      </c>
      <c r="BH858" s="469">
        <f t="shared" ca="1" si="572"/>
        <v>31</v>
      </c>
      <c r="BI858" t="str">
        <f t="shared" si="588"/>
        <v/>
      </c>
      <c r="BJ858">
        <v>9</v>
      </c>
      <c r="BN858" s="468">
        <f t="shared" si="584"/>
        <v>71</v>
      </c>
      <c r="BO858" s="468">
        <f t="shared" si="585"/>
        <v>9</v>
      </c>
      <c r="BP858" s="467">
        <f t="shared" ca="1" si="573"/>
        <v>68729</v>
      </c>
      <c r="BQ858" s="475">
        <f t="shared" ca="1" si="587"/>
        <v>103</v>
      </c>
      <c r="BR858" s="475" t="str">
        <f t="shared" si="586"/>
        <v/>
      </c>
      <c r="BS858" s="471" t="str">
        <f t="shared" si="574"/>
        <v/>
      </c>
      <c r="BT858" s="472" t="str">
        <f t="shared" si="589"/>
        <v/>
      </c>
      <c r="BU858" s="472">
        <f t="shared" ca="1" si="575"/>
        <v>0</v>
      </c>
      <c r="BV858" s="472">
        <f t="shared" ca="1" si="575"/>
        <v>0</v>
      </c>
      <c r="BW858" s="472"/>
      <c r="BX858" s="473">
        <f t="shared" ca="1" si="576"/>
        <v>2083633.2876698901</v>
      </c>
      <c r="BY858" s="473">
        <f t="shared" si="577"/>
        <v>0</v>
      </c>
      <c r="BZ858" s="473">
        <f t="shared" ca="1" si="559"/>
        <v>4760.3884179249999</v>
      </c>
      <c r="CA858" s="476">
        <f t="shared" ca="1" si="578"/>
        <v>0</v>
      </c>
      <c r="CB858" s="494">
        <f ca="1">IF(OR($Q857&lt;&gt;1,OP!$D$5+$BN858-1&lt;16,$BN858-1&lt;1),0,ROUND(ROUND(ROUND(((VLOOKUP($BN858-1,MORE_PV,5,0)/10000)*VLOOKUP($BN858,MORE_PV,$CB$5,0)),3)*VLOOKUP($BN858,more1,5,0),0)/$R857,0))</f>
        <v>0</v>
      </c>
      <c r="CC858" s="473">
        <f t="shared" ca="1" si="579"/>
        <v>0</v>
      </c>
      <c r="CD858" s="477"/>
    </row>
    <row r="859" spans="2:82" ht="16.5" hidden="1">
      <c r="B859" s="80"/>
      <c r="C859" s="80"/>
      <c r="D859" s="80"/>
      <c r="E859" s="80"/>
      <c r="F859" s="80"/>
      <c r="G859" s="80"/>
      <c r="H859" s="80"/>
      <c r="I859" s="80"/>
      <c r="J859" s="192">
        <f t="shared" si="560"/>
        <v>71</v>
      </c>
      <c r="K859" s="192">
        <f t="shared" si="561"/>
        <v>11</v>
      </c>
      <c r="L859" s="192" t="str">
        <f t="shared" si="556"/>
        <v/>
      </c>
      <c r="M859" s="216">
        <f t="shared" ca="1" si="562"/>
        <v>0</v>
      </c>
      <c r="N859" s="216"/>
      <c r="O859" s="216"/>
      <c r="P859" s="216"/>
      <c r="Q859" s="456" t="str">
        <f t="shared" ca="1" si="563"/>
        <v/>
      </c>
      <c r="R859" s="450">
        <f t="shared" ca="1" si="564"/>
        <v>1</v>
      </c>
      <c r="S859" s="191">
        <f t="shared" si="565"/>
        <v>71</v>
      </c>
      <c r="T859" s="191">
        <f t="shared" si="566"/>
        <v>11</v>
      </c>
      <c r="U859" s="191">
        <f ca="1">OP!$D$5+$S859-1</f>
        <v>103</v>
      </c>
      <c r="V859" s="191" t="str">
        <f t="shared" si="567"/>
        <v/>
      </c>
      <c r="W859" s="350">
        <f ca="1">IF(Q859&lt;&gt;1,0,VLOOKUP(OP!$C$55,PVFB,$S859+2,0))</f>
        <v>0</v>
      </c>
      <c r="X859" s="473">
        <f t="shared" ca="1" si="580"/>
        <v>0</v>
      </c>
      <c r="Y859" s="348">
        <f t="shared" ca="1" si="581"/>
        <v>0</v>
      </c>
      <c r="Z859" s="348">
        <f t="shared" ca="1" si="582"/>
        <v>8012</v>
      </c>
      <c r="AA859" s="348">
        <f ca="1">IF(Q859&lt;&gt;1,0,VLOOKUP(OP!$C$55,PVFB,$S859+2,0))</f>
        <v>0</v>
      </c>
      <c r="AB859" s="488" t="str">
        <f ca="1">IF(AND(S859&lt;OP!$C$24,$U859&lt;15),0,IF(AND($U859&lt;15,$T859=12),ROUND(VLOOKUP($S859,DOWN16,5,0),3),IF($T859=12,ROUND(($Z859/10000)*$AA859,3)+IF(AND($P$7="購買增額繳清保險",T859=12,U859=110),VLOOKUP(S859,$B$10:$H$121,7,0),0),"")))</f>
        <v/>
      </c>
      <c r="AC859" s="350" t="str">
        <f ca="1">IF(AND(S859&lt;OP!$C$24,$U859&lt;15),0,IF(AND($U859&lt;16,$T859=12),VLOOKUP($S859,DOWN16,4,0),IF($T859=12,ROUND(VLOOKUP(OP!$C$55,_DIE2,$S859+1,0)*(Z859/10000),0)+IF(AND($P$7="購買增額繳清保險",T859=12,U859=110),VLOOKUP(S859,$B$10:$H$121,7,0),0),"")))</f>
        <v/>
      </c>
      <c r="AD859" s="347"/>
      <c r="AE859" s="350" t="str">
        <f t="shared" ca="1" si="557"/>
        <v/>
      </c>
      <c r="AF859" s="351" t="str">
        <f t="shared" ca="1" si="558"/>
        <v/>
      </c>
      <c r="AG859" s="340"/>
      <c r="AH859" s="340"/>
      <c r="AI859" s="340"/>
      <c r="AJ859" s="340"/>
      <c r="AK859" s="340"/>
      <c r="AL859" s="340"/>
      <c r="AM859" s="340"/>
      <c r="AN859" s="340"/>
      <c r="AO859" s="340"/>
      <c r="AP859" s="340"/>
      <c r="AQ859" s="340"/>
      <c r="AR859" s="340"/>
      <c r="AS859" s="340"/>
      <c r="AT859" s="340"/>
      <c r="AU859" s="340"/>
      <c r="AV859" s="340"/>
      <c r="AY859" s="340"/>
      <c r="AZ859" s="465">
        <f t="shared" ca="1" si="568"/>
        <v>7.3698599999999999E-5</v>
      </c>
      <c r="BA859" s="464">
        <f t="shared" ca="1" si="569"/>
        <v>2.1372602999999999E-3</v>
      </c>
      <c r="BB859" s="465">
        <f t="shared" ca="1" si="569"/>
        <v>2.2109589000000002E-3</v>
      </c>
      <c r="BC859" s="466">
        <f t="shared" ca="1" si="570"/>
        <v>68759</v>
      </c>
      <c r="BD859" s="467">
        <f t="shared" ca="1" si="583"/>
        <v>68760</v>
      </c>
      <c r="BE859" s="467">
        <f t="shared" ca="1" si="571"/>
        <v>68788</v>
      </c>
      <c r="BF859" s="468">
        <f ca="1">IF(計算!$BC859&lt;OP!$C$3,0,BD859-BC859)</f>
        <v>1</v>
      </c>
      <c r="BG859" s="468">
        <f ca="1">IF($BE859&gt;DATE(YEAR($BD$9)+OP!$C$57,MONTH($BD$9),DAY($BD$9)),0,$BE859-$BD859+1)</f>
        <v>29</v>
      </c>
      <c r="BH859" s="469">
        <f t="shared" ca="1" si="572"/>
        <v>30</v>
      </c>
      <c r="BI859" t="str">
        <f t="shared" si="588"/>
        <v/>
      </c>
      <c r="BJ859">
        <v>10</v>
      </c>
      <c r="BN859" s="468">
        <f t="shared" si="584"/>
        <v>71</v>
      </c>
      <c r="BO859" s="468">
        <f t="shared" si="585"/>
        <v>10</v>
      </c>
      <c r="BP859" s="467">
        <f t="shared" ca="1" si="573"/>
        <v>68760</v>
      </c>
      <c r="BQ859" s="475">
        <f t="shared" ca="1" si="587"/>
        <v>103</v>
      </c>
      <c r="BR859" s="475" t="str">
        <f t="shared" si="586"/>
        <v/>
      </c>
      <c r="BS859" s="471" t="str">
        <f t="shared" si="574"/>
        <v/>
      </c>
      <c r="BT859" s="472" t="str">
        <f t="shared" si="589"/>
        <v/>
      </c>
      <c r="BU859" s="472">
        <f t="shared" ca="1" si="575"/>
        <v>0</v>
      </c>
      <c r="BV859" s="472">
        <f t="shared" ca="1" si="575"/>
        <v>0</v>
      </c>
      <c r="BW859" s="472"/>
      <c r="BX859" s="473">
        <f t="shared" ca="1" si="576"/>
        <v>2088393.67608782</v>
      </c>
      <c r="BY859" s="473">
        <f t="shared" si="577"/>
        <v>0</v>
      </c>
      <c r="BZ859" s="473">
        <f t="shared" ca="1" si="559"/>
        <v>4617.3525848500003</v>
      </c>
      <c r="CA859" s="476">
        <f t="shared" ca="1" si="578"/>
        <v>0</v>
      </c>
      <c r="CB859" s="494">
        <f ca="1">IF(OR($Q858&lt;&gt;1,OP!$D$5+$BN859-1&lt;16,$BN859-1&lt;1),0,ROUND(ROUND(ROUND(((VLOOKUP($BN859-1,MORE_PV,5,0)/10000)*VLOOKUP($BN859,MORE_PV,$CB$5,0)),3)*VLOOKUP($BN859,more1,5,0),0)/$R858,0))</f>
        <v>0</v>
      </c>
      <c r="CC859" s="473">
        <f t="shared" ca="1" si="579"/>
        <v>0</v>
      </c>
      <c r="CD859" s="477"/>
    </row>
    <row r="860" spans="2:82" ht="16.5" hidden="1">
      <c r="B860" s="80"/>
      <c r="C860" s="80"/>
      <c r="D860" s="80"/>
      <c r="E860" s="80"/>
      <c r="F860" s="80"/>
      <c r="G860" s="80"/>
      <c r="H860" s="80"/>
      <c r="I860" s="80"/>
      <c r="J860" s="192">
        <f t="shared" si="560"/>
        <v>71</v>
      </c>
      <c r="K860" s="192">
        <f t="shared" si="561"/>
        <v>12</v>
      </c>
      <c r="L860" s="192">
        <f t="shared" si="556"/>
        <v>71</v>
      </c>
      <c r="M860" s="216">
        <f t="shared" ca="1" si="562"/>
        <v>2122145</v>
      </c>
      <c r="N860" s="216"/>
      <c r="O860" s="216"/>
      <c r="P860" s="216"/>
      <c r="Q860" s="456">
        <f t="shared" ca="1" si="563"/>
        <v>1</v>
      </c>
      <c r="R860" s="450">
        <f t="shared" ca="1" si="564"/>
        <v>1</v>
      </c>
      <c r="S860" s="191">
        <f t="shared" si="565"/>
        <v>71</v>
      </c>
      <c r="T860" s="191">
        <f t="shared" si="566"/>
        <v>12</v>
      </c>
      <c r="U860" s="191">
        <f ca="1">OP!$D$5+$S860-1</f>
        <v>103</v>
      </c>
      <c r="V860" s="191">
        <f t="shared" si="567"/>
        <v>71</v>
      </c>
      <c r="W860" s="350">
        <f ca="1">IF(Q860&lt;&gt;1,0,VLOOKUP(OP!$C$55,PVFB,$S860+2,0))</f>
        <v>100774</v>
      </c>
      <c r="X860" s="473">
        <f t="shared" ca="1" si="580"/>
        <v>24199</v>
      </c>
      <c r="Y860" s="348">
        <f t="shared" ca="1" si="581"/>
        <v>0</v>
      </c>
      <c r="Z860" s="348">
        <f t="shared" ca="1" si="582"/>
        <v>8012</v>
      </c>
      <c r="AA860" s="348">
        <f ca="1">IF(Q860&lt;&gt;1,0,VLOOKUP(OP!$C$55,PVFB,$S860+2,0))</f>
        <v>100774</v>
      </c>
      <c r="AB860" s="488">
        <f ca="1">IF(AND(S860&lt;OP!$C$24,$U860&lt;15),0,IF(AND($U860&lt;15,$T860=12),ROUND(VLOOKUP($S860,DOWN16,5,0),3),IF($T860=12,ROUND(($Z860/10000)*$AA860,3)+IF(AND($P$7="購買增額繳清保險",T860=12,U860=110),VLOOKUP(S860,$B$10:$H$121,7,0),0),"")))</f>
        <v>80740.129000000001</v>
      </c>
      <c r="AC860" s="350">
        <f ca="1">IF(AND(S860&lt;OP!$C$24,$U860&lt;15),0,IF(AND($U860&lt;16,$T860=12),VLOOKUP($S860,DOWN16,4,0),IF($T860=12,ROUND(VLOOKUP(OP!$C$55,_DIE2,$S860+1,0)*(Z860/10000),0)+IF(AND($P$7="購買增額繳清保險",T860=12,U860=110),VLOOKUP(S860,$B$10:$H$121,7,0),0),"")))</f>
        <v>80921</v>
      </c>
      <c r="AD860" s="347"/>
      <c r="AE860" s="350" t="str">
        <f t="shared" ca="1" si="557"/>
        <v/>
      </c>
      <c r="AF860" s="351" t="str">
        <f t="shared" ca="1" si="558"/>
        <v/>
      </c>
      <c r="AG860" s="340"/>
      <c r="AH860" s="340"/>
      <c r="AI860" s="340"/>
      <c r="AJ860" s="340"/>
      <c r="AK860" s="340"/>
      <c r="AL860" s="340"/>
      <c r="AM860" s="340"/>
      <c r="AN860" s="340"/>
      <c r="AO860" s="340"/>
      <c r="AP860" s="340"/>
      <c r="AQ860" s="340"/>
      <c r="AR860" s="340"/>
      <c r="AS860" s="340"/>
      <c r="AT860" s="340"/>
      <c r="AU860" s="340"/>
      <c r="AV860" s="340"/>
      <c r="AY860" s="340"/>
      <c r="AZ860" s="465">
        <f t="shared" ca="1" si="568"/>
        <v>7.3698599999999999E-5</v>
      </c>
      <c r="BA860" s="464">
        <f t="shared" ca="1" si="569"/>
        <v>2.2109589000000002E-3</v>
      </c>
      <c r="BB860" s="465">
        <f t="shared" ca="1" si="569"/>
        <v>2.2846575E-3</v>
      </c>
      <c r="BC860" s="466">
        <f t="shared" ca="1" si="570"/>
        <v>68789</v>
      </c>
      <c r="BD860" s="467">
        <f t="shared" ca="1" si="583"/>
        <v>68790</v>
      </c>
      <c r="BE860" s="467">
        <f t="shared" ca="1" si="571"/>
        <v>68819</v>
      </c>
      <c r="BF860" s="468">
        <f ca="1">IF(計算!$BC860&lt;OP!$C$3,0,BD860-BC860)</f>
        <v>1</v>
      </c>
      <c r="BG860" s="468">
        <f ca="1">IF($BE860&gt;DATE(YEAR($BD$9)+OP!$C$57,MONTH($BD$9),DAY($BD$9)),0,$BE860-$BD860+1)</f>
        <v>30</v>
      </c>
      <c r="BH860" s="469">
        <f t="shared" ca="1" si="572"/>
        <v>31</v>
      </c>
      <c r="BI860" t="str">
        <f t="shared" si="588"/>
        <v/>
      </c>
      <c r="BJ860">
        <v>11</v>
      </c>
      <c r="BN860" s="468">
        <f t="shared" si="584"/>
        <v>71</v>
      </c>
      <c r="BO860" s="468">
        <f t="shared" si="585"/>
        <v>11</v>
      </c>
      <c r="BP860" s="467">
        <f t="shared" ca="1" si="573"/>
        <v>68790</v>
      </c>
      <c r="BQ860" s="475">
        <f t="shared" ca="1" si="587"/>
        <v>103</v>
      </c>
      <c r="BR860" s="475" t="str">
        <f t="shared" si="586"/>
        <v/>
      </c>
      <c r="BS860" s="471" t="str">
        <f t="shared" si="574"/>
        <v/>
      </c>
      <c r="BT860" s="472" t="str">
        <f t="shared" si="589"/>
        <v/>
      </c>
      <c r="BU860" s="472">
        <f t="shared" ca="1" si="575"/>
        <v>0</v>
      </c>
      <c r="BV860" s="472">
        <f t="shared" ca="1" si="575"/>
        <v>0</v>
      </c>
      <c r="BW860" s="472"/>
      <c r="BX860" s="473">
        <f t="shared" ca="1" si="576"/>
        <v>2093011.02867267</v>
      </c>
      <c r="BY860" s="473">
        <f t="shared" si="577"/>
        <v>0</v>
      </c>
      <c r="BZ860" s="473">
        <f t="shared" ca="1" si="559"/>
        <v>4781.8133442400003</v>
      </c>
      <c r="CA860" s="476">
        <f t="shared" ca="1" si="578"/>
        <v>0</v>
      </c>
      <c r="CB860" s="494">
        <f ca="1">IF(OR($Q859&lt;&gt;1,OP!$D$5+$BN860-1&lt;16,$BN860-1&lt;1),0,ROUND(ROUND(ROUND(((VLOOKUP($BN860-1,MORE_PV,5,0)/10000)*VLOOKUP($BN860,MORE_PV,$CB$5,0)),3)*VLOOKUP($BN860,more1,5,0),0)/$R859,0))</f>
        <v>0</v>
      </c>
      <c r="CC860" s="473">
        <f t="shared" ca="1" si="579"/>
        <v>0</v>
      </c>
      <c r="CD860" s="477"/>
    </row>
    <row r="861" spans="2:82" ht="16.5" hidden="1">
      <c r="B861" s="80"/>
      <c r="C861" s="80"/>
      <c r="D861" s="80"/>
      <c r="E861" s="80"/>
      <c r="F861" s="80"/>
      <c r="G861" s="80"/>
      <c r="H861" s="80"/>
      <c r="I861" s="80"/>
      <c r="J861" s="192">
        <f t="shared" si="560"/>
        <v>72</v>
      </c>
      <c r="K861" s="192">
        <f t="shared" si="561"/>
        <v>1</v>
      </c>
      <c r="L861" s="192" t="str">
        <f t="shared" si="556"/>
        <v/>
      </c>
      <c r="M861" s="216">
        <f t="shared" ca="1" si="562"/>
        <v>0</v>
      </c>
      <c r="N861" s="216"/>
      <c r="O861" s="216"/>
      <c r="P861" s="216"/>
      <c r="Q861" s="456" t="str">
        <f t="shared" ca="1" si="563"/>
        <v/>
      </c>
      <c r="R861" s="450">
        <f t="shared" ca="1" si="564"/>
        <v>1</v>
      </c>
      <c r="S861" s="191">
        <f t="shared" si="565"/>
        <v>72</v>
      </c>
      <c r="T861" s="191">
        <f t="shared" si="566"/>
        <v>1</v>
      </c>
      <c r="U861" s="191">
        <f ca="1">OP!$D$5+$S861-1</f>
        <v>104</v>
      </c>
      <c r="V861" s="191" t="str">
        <f t="shared" si="567"/>
        <v/>
      </c>
      <c r="W861" s="350">
        <f ca="1">IF(Q861&lt;&gt;1,0,VLOOKUP(OP!$C$55,PVFB,$S861+2,0))</f>
        <v>0</v>
      </c>
      <c r="X861" s="473">
        <f t="shared" ca="1" si="580"/>
        <v>0</v>
      </c>
      <c r="Y861" s="348">
        <f t="shared" ca="1" si="581"/>
        <v>0</v>
      </c>
      <c r="Z861" s="348">
        <f t="shared" ca="1" si="582"/>
        <v>8012</v>
      </c>
      <c r="AA861" s="348">
        <f ca="1">IF(Q861&lt;&gt;1,0,VLOOKUP(OP!$C$55,PVFB,$S861+2,0))</f>
        <v>0</v>
      </c>
      <c r="AB861" s="488" t="str">
        <f ca="1">IF(AND(S861&lt;OP!$C$24,$U861&lt;15),0,IF(AND($U861&lt;15,$T861=12),ROUND(VLOOKUP($S861,DOWN16,5,0),3),IF($T861=12,ROUND(($Z861/10000)*$AA861,3)+IF(AND($P$7="購買增額繳清保險",T861=12,U861=110),VLOOKUP(S861,$B$10:$H$121,7,0),0),"")))</f>
        <v/>
      </c>
      <c r="AC861" s="350" t="str">
        <f ca="1">IF(AND(S861&lt;OP!$C$24,$U861&lt;15),0,IF(AND($U861&lt;16,$T861=12),VLOOKUP($S861,DOWN16,4,0),IF($T861=12,ROUND(VLOOKUP(OP!$C$55,_DIE2,$S861+1,0)*(Z861/10000),0)+IF(AND($P$7="購買增額繳清保險",T861=12,U861=110),VLOOKUP(S861,$B$10:$H$121,7,0),0),"")))</f>
        <v/>
      </c>
      <c r="AD861" s="347"/>
      <c r="AE861" s="350" t="str">
        <f t="shared" ca="1" si="557"/>
        <v/>
      </c>
      <c r="AF861" s="351" t="str">
        <f t="shared" ca="1" si="558"/>
        <v/>
      </c>
      <c r="AG861" s="340"/>
      <c r="AH861" s="340"/>
      <c r="AI861" s="340"/>
      <c r="AJ861" s="340"/>
      <c r="AK861" s="340"/>
      <c r="AL861" s="340"/>
      <c r="AM861" s="340"/>
      <c r="AN861" s="340"/>
      <c r="AO861" s="340"/>
      <c r="AP861" s="340"/>
      <c r="AQ861" s="340"/>
      <c r="AR861" s="340"/>
      <c r="AS861" s="340"/>
      <c r="AT861" s="340"/>
      <c r="AU861" s="340"/>
      <c r="AV861" s="340"/>
      <c r="AY861" s="340"/>
      <c r="AZ861" s="465">
        <f t="shared" ca="1" si="568"/>
        <v>7.3698599999999999E-5</v>
      </c>
      <c r="BA861" s="464">
        <f t="shared" ca="1" si="569"/>
        <v>2.1372602999999999E-3</v>
      </c>
      <c r="BB861" s="465">
        <f t="shared" ca="1" si="569"/>
        <v>2.2109589000000002E-3</v>
      </c>
      <c r="BC861" s="466">
        <f t="shared" ca="1" si="570"/>
        <v>68820</v>
      </c>
      <c r="BD861" s="467">
        <f t="shared" ca="1" si="583"/>
        <v>68821</v>
      </c>
      <c r="BE861" s="467">
        <f t="shared" ca="1" si="571"/>
        <v>68849</v>
      </c>
      <c r="BF861" s="468">
        <f ca="1">IF(計算!$BC861&lt;OP!$C$3,0,BD861-BC861)</f>
        <v>1</v>
      </c>
      <c r="BG861" s="468">
        <f ca="1">IF($BE861&gt;DATE(YEAR($BD$9)+OP!$C$57,MONTH($BD$9),DAY($BD$9)),0,$BE861-$BD861+1)</f>
        <v>29</v>
      </c>
      <c r="BH861" s="469">
        <f t="shared" ca="1" si="572"/>
        <v>30</v>
      </c>
      <c r="BI861">
        <f t="shared" ca="1" si="588"/>
        <v>366</v>
      </c>
      <c r="BJ861">
        <v>12</v>
      </c>
      <c r="BN861" s="468">
        <f t="shared" si="584"/>
        <v>71</v>
      </c>
      <c r="BO861" s="468">
        <f t="shared" si="585"/>
        <v>12</v>
      </c>
      <c r="BP861" s="467">
        <f t="shared" ca="1" si="573"/>
        <v>68821</v>
      </c>
      <c r="BQ861" s="475">
        <f t="shared" ca="1" si="587"/>
        <v>103</v>
      </c>
      <c r="BR861" s="475">
        <f t="shared" si="586"/>
        <v>71</v>
      </c>
      <c r="BS861" s="471">
        <f t="shared" ca="1" si="574"/>
        <v>24199</v>
      </c>
      <c r="BT861" s="472">
        <f t="shared" ca="1" si="589"/>
        <v>2122145</v>
      </c>
      <c r="BU861" s="472">
        <f t="shared" ca="1" si="575"/>
        <v>23642</v>
      </c>
      <c r="BV861" s="472">
        <f t="shared" ca="1" si="575"/>
        <v>557</v>
      </c>
      <c r="BW861" s="472">
        <f ca="1">ROUND(SUM(BY861,BZ849:BZ860),0)</f>
        <v>55771</v>
      </c>
      <c r="BX861" s="473">
        <f t="shared" ca="1" si="576"/>
        <v>2122146.4464124599</v>
      </c>
      <c r="BY861" s="473">
        <f t="shared" ca="1" si="577"/>
        <v>154.604395547</v>
      </c>
      <c r="BZ861" s="473">
        <f t="shared" ca="1" si="559"/>
        <v>4535.5793507030003</v>
      </c>
      <c r="CA861" s="476">
        <f t="shared" ca="1" si="578"/>
        <v>23642</v>
      </c>
      <c r="CB861" s="494">
        <f ca="1">IF(OR($Q860&lt;&gt;1,OP!$D$5+$BN861-1&lt;16,$BN861-1&lt;1),0,ROUND(ROUND(ROUND(((VLOOKUP($BN861-1,MORE_PV,5,0)/10000)*VLOOKUP($BN861,MORE_PV,$CB$5,0)),3)*VLOOKUP($BN861,more1,5,0),0)/$R860,0))</f>
        <v>557</v>
      </c>
      <c r="CC861" s="473">
        <f t="shared" ca="1" si="579"/>
        <v>0</v>
      </c>
      <c r="CD861" s="477"/>
    </row>
    <row r="862" spans="2:82" ht="16.5" hidden="1">
      <c r="B862" s="80"/>
      <c r="C862" s="80"/>
      <c r="D862" s="80"/>
      <c r="E862" s="80"/>
      <c r="F862" s="80"/>
      <c r="G862" s="80"/>
      <c r="H862" s="80"/>
      <c r="I862" s="80"/>
      <c r="J862" s="192">
        <f t="shared" si="560"/>
        <v>72</v>
      </c>
      <c r="K862" s="192">
        <f t="shared" si="561"/>
        <v>2</v>
      </c>
      <c r="L862" s="192" t="str">
        <f t="shared" si="556"/>
        <v/>
      </c>
      <c r="M862" s="216">
        <f t="shared" ca="1" si="562"/>
        <v>0</v>
      </c>
      <c r="N862" s="216"/>
      <c r="O862" s="216"/>
      <c r="P862" s="216"/>
      <c r="Q862" s="456" t="str">
        <f t="shared" ca="1" si="563"/>
        <v/>
      </c>
      <c r="R862" s="450">
        <f t="shared" ca="1" si="564"/>
        <v>1</v>
      </c>
      <c r="S862" s="191">
        <f t="shared" si="565"/>
        <v>72</v>
      </c>
      <c r="T862" s="191">
        <f t="shared" si="566"/>
        <v>2</v>
      </c>
      <c r="U862" s="191">
        <f ca="1">OP!$D$5+$S862-1</f>
        <v>104</v>
      </c>
      <c r="V862" s="191" t="str">
        <f t="shared" si="567"/>
        <v/>
      </c>
      <c r="W862" s="350">
        <f ca="1">IF(Q862&lt;&gt;1,0,VLOOKUP(OP!$C$55,PVFB,$S862+2,0))</f>
        <v>0</v>
      </c>
      <c r="X862" s="473">
        <f t="shared" ca="1" si="580"/>
        <v>0</v>
      </c>
      <c r="Y862" s="348">
        <f t="shared" ca="1" si="581"/>
        <v>0</v>
      </c>
      <c r="Z862" s="348">
        <f t="shared" ca="1" si="582"/>
        <v>8012</v>
      </c>
      <c r="AA862" s="348">
        <f ca="1">IF(Q862&lt;&gt;1,0,VLOOKUP(OP!$C$55,PVFB,$S862+2,0))</f>
        <v>0</v>
      </c>
      <c r="AB862" s="488" t="str">
        <f ca="1">IF(AND(S862&lt;OP!$C$24,$U862&lt;15),0,IF(AND($U862&lt;15,$T862=12),ROUND(VLOOKUP($S862,DOWN16,5,0),3),IF($T862=12,ROUND(($Z862/10000)*$AA862,3)+IF(AND($P$7="購買增額繳清保險",T862=12,U862=110),VLOOKUP(S862,$B$10:$H$121,7,0),0),"")))</f>
        <v/>
      </c>
      <c r="AC862" s="350" t="str">
        <f ca="1">IF(AND(S862&lt;OP!$C$24,$U862&lt;15),0,IF(AND($U862&lt;16,$T862=12),VLOOKUP($S862,DOWN16,4,0),IF($T862=12,ROUND(VLOOKUP(OP!$C$55,_DIE2,$S862+1,0)*(Z862/10000),0)+IF(AND($P$7="購買增額繳清保險",T862=12,U862=110),VLOOKUP(S862,$B$10:$H$121,7,0),0),"")))</f>
        <v/>
      </c>
      <c r="AD862" s="347"/>
      <c r="AE862" s="350" t="str">
        <f t="shared" ca="1" si="557"/>
        <v/>
      </c>
      <c r="AF862" s="351" t="str">
        <f t="shared" ca="1" si="558"/>
        <v/>
      </c>
      <c r="AG862" s="340"/>
      <c r="AH862" s="340"/>
      <c r="AI862" s="340"/>
      <c r="AJ862" s="340"/>
      <c r="AK862" s="340"/>
      <c r="AL862" s="340"/>
      <c r="AM862" s="340"/>
      <c r="AN862" s="340"/>
      <c r="AO862" s="340"/>
      <c r="AP862" s="340"/>
      <c r="AQ862" s="340"/>
      <c r="AR862" s="340"/>
      <c r="AS862" s="340"/>
      <c r="AT862" s="340"/>
      <c r="AU862" s="340"/>
      <c r="AV862" s="340"/>
      <c r="AY862" s="340"/>
      <c r="AZ862" s="465">
        <f t="shared" ca="1" si="568"/>
        <v>7.3698599999999999E-5</v>
      </c>
      <c r="BA862" s="464">
        <f t="shared" ca="1" si="569"/>
        <v>2.2109589000000002E-3</v>
      </c>
      <c r="BB862" s="465">
        <f t="shared" ca="1" si="569"/>
        <v>2.2846575E-3</v>
      </c>
      <c r="BC862" s="466">
        <f t="shared" ca="1" si="570"/>
        <v>68850</v>
      </c>
      <c r="BD862" s="467">
        <f t="shared" ca="1" si="583"/>
        <v>68851</v>
      </c>
      <c r="BE862" s="467">
        <f t="shared" ca="1" si="571"/>
        <v>68880</v>
      </c>
      <c r="BF862" s="468">
        <f ca="1">IF(計算!$BC862&lt;OP!$C$3,0,BD862-BC862)</f>
        <v>1</v>
      </c>
      <c r="BG862" s="468">
        <f ca="1">IF($BE862&gt;DATE(YEAR($BD$9)+OP!$C$57,MONTH($BD$9),DAY($BD$9)),0,$BE862-$BD862+1)</f>
        <v>30</v>
      </c>
      <c r="BH862" s="469">
        <f t="shared" ca="1" si="572"/>
        <v>31</v>
      </c>
      <c r="BI862" t="str">
        <f t="shared" si="588"/>
        <v/>
      </c>
      <c r="BJ862">
        <v>1</v>
      </c>
      <c r="BN862" s="468">
        <f t="shared" si="584"/>
        <v>72</v>
      </c>
      <c r="BO862" s="468">
        <f t="shared" si="585"/>
        <v>1</v>
      </c>
      <c r="BP862" s="467">
        <f t="shared" ca="1" si="573"/>
        <v>68851</v>
      </c>
      <c r="BQ862" s="475">
        <f t="shared" ca="1" si="587"/>
        <v>104</v>
      </c>
      <c r="BR862" s="475" t="str">
        <f t="shared" si="586"/>
        <v/>
      </c>
      <c r="BS862" s="471" t="str">
        <f t="shared" si="574"/>
        <v/>
      </c>
      <c r="BT862" s="472" t="str">
        <f t="shared" si="589"/>
        <v/>
      </c>
      <c r="BU862" s="472">
        <f t="shared" ca="1" si="575"/>
        <v>0</v>
      </c>
      <c r="BV862" s="472">
        <f t="shared" ca="1" si="575"/>
        <v>0</v>
      </c>
      <c r="BW862" s="472"/>
      <c r="BX862" s="473">
        <f t="shared" ca="1" si="576"/>
        <v>2126682.0257631601</v>
      </c>
      <c r="BY862" s="473">
        <f t="shared" si="577"/>
        <v>0</v>
      </c>
      <c r="BZ862" s="473">
        <f t="shared" ca="1" si="559"/>
        <v>4858.740040275</v>
      </c>
      <c r="CA862" s="476">
        <f t="shared" ca="1" si="578"/>
        <v>0</v>
      </c>
      <c r="CB862" s="494">
        <f ca="1">IF(OR($Q861&lt;&gt;1,OP!$D$5+$BN862-1&lt;16,$BN862-1&lt;1),0,ROUND(ROUND(ROUND(((VLOOKUP($BN862-1,MORE_PV,5,0)/10000)*VLOOKUP($BN862,MORE_PV,$CB$5,0)),3)*VLOOKUP($BN862,more1,5,0),0)/$R861,0))</f>
        <v>0</v>
      </c>
      <c r="CC862" s="473">
        <f t="shared" ca="1" si="579"/>
        <v>0</v>
      </c>
      <c r="CD862" s="477"/>
    </row>
    <row r="863" spans="2:82" ht="16.5" hidden="1">
      <c r="B863" s="80"/>
      <c r="C863" s="80"/>
      <c r="D863" s="80"/>
      <c r="E863" s="80"/>
      <c r="F863" s="80"/>
      <c r="G863" s="80"/>
      <c r="H863" s="80"/>
      <c r="I863" s="80"/>
      <c r="J863" s="192">
        <f t="shared" si="560"/>
        <v>72</v>
      </c>
      <c r="K863" s="192">
        <f t="shared" si="561"/>
        <v>3</v>
      </c>
      <c r="L863" s="192" t="str">
        <f t="shared" si="556"/>
        <v/>
      </c>
      <c r="M863" s="216">
        <f t="shared" ca="1" si="562"/>
        <v>0</v>
      </c>
      <c r="N863" s="216"/>
      <c r="O863" s="216"/>
      <c r="P863" s="216"/>
      <c r="Q863" s="456" t="str">
        <f t="shared" ca="1" si="563"/>
        <v/>
      </c>
      <c r="R863" s="450">
        <f t="shared" ca="1" si="564"/>
        <v>1</v>
      </c>
      <c r="S863" s="191">
        <f t="shared" si="565"/>
        <v>72</v>
      </c>
      <c r="T863" s="191">
        <f t="shared" si="566"/>
        <v>3</v>
      </c>
      <c r="U863" s="191">
        <f ca="1">OP!$D$5+$S863-1</f>
        <v>104</v>
      </c>
      <c r="V863" s="191" t="str">
        <f t="shared" si="567"/>
        <v/>
      </c>
      <c r="W863" s="350">
        <f ca="1">IF(Q863&lt;&gt;1,0,VLOOKUP(OP!$C$55,PVFB,$S863+2,0))</f>
        <v>0</v>
      </c>
      <c r="X863" s="473">
        <f t="shared" ca="1" si="580"/>
        <v>0</v>
      </c>
      <c r="Y863" s="348">
        <f t="shared" ca="1" si="581"/>
        <v>0</v>
      </c>
      <c r="Z863" s="348">
        <f t="shared" ca="1" si="582"/>
        <v>8012</v>
      </c>
      <c r="AA863" s="348">
        <f ca="1">IF(Q863&lt;&gt;1,0,VLOOKUP(OP!$C$55,PVFB,$S863+2,0))</f>
        <v>0</v>
      </c>
      <c r="AB863" s="488" t="str">
        <f ca="1">IF(AND(S863&lt;OP!$C$24,$U863&lt;15),0,IF(AND($U863&lt;15,$T863=12),ROUND(VLOOKUP($S863,DOWN16,5,0),3),IF($T863=12,ROUND(($Z863/10000)*$AA863,3)+IF(AND($P$7="購買增額繳清保險",T863=12,U863=110),VLOOKUP(S863,$B$10:$H$121,7,0),0),"")))</f>
        <v/>
      </c>
      <c r="AC863" s="350" t="str">
        <f ca="1">IF(AND(S863&lt;OP!$C$24,$U863&lt;15),0,IF(AND($U863&lt;16,$T863=12),VLOOKUP($S863,DOWN16,4,0),IF($T863=12,ROUND(VLOOKUP(OP!$C$55,_DIE2,$S863+1,0)*(Z863/10000),0)+IF(AND($P$7="購買增額繳清保險",T863=12,U863=110),VLOOKUP(S863,$B$10:$H$121,7,0),0),"")))</f>
        <v/>
      </c>
      <c r="AD863" s="347"/>
      <c r="AE863" s="350" t="str">
        <f t="shared" ca="1" si="557"/>
        <v/>
      </c>
      <c r="AF863" s="351" t="str">
        <f t="shared" ca="1" si="558"/>
        <v/>
      </c>
      <c r="AG863" s="340"/>
      <c r="AH863" s="340"/>
      <c r="AI863" s="340"/>
      <c r="AJ863" s="340"/>
      <c r="AK863" s="340"/>
      <c r="AL863" s="340"/>
      <c r="AM863" s="340"/>
      <c r="AN863" s="340"/>
      <c r="AO863" s="340"/>
      <c r="AP863" s="340"/>
      <c r="AQ863" s="340"/>
      <c r="AR863" s="340"/>
      <c r="AS863" s="340"/>
      <c r="AT863" s="340"/>
      <c r="AU863" s="340"/>
      <c r="AV863" s="340"/>
      <c r="AY863" s="340"/>
      <c r="AZ863" s="465">
        <f t="shared" ca="1" si="568"/>
        <v>7.3698599999999999E-5</v>
      </c>
      <c r="BA863" s="464">
        <f t="shared" ca="1" si="569"/>
        <v>2.2109589000000002E-3</v>
      </c>
      <c r="BB863" s="465">
        <f t="shared" ca="1" si="569"/>
        <v>2.2846575E-3</v>
      </c>
      <c r="BC863" s="466">
        <f t="shared" ca="1" si="570"/>
        <v>68881</v>
      </c>
      <c r="BD863" s="467">
        <f t="shared" ca="1" si="583"/>
        <v>68882</v>
      </c>
      <c r="BE863" s="467">
        <f t="shared" ca="1" si="571"/>
        <v>68911</v>
      </c>
      <c r="BF863" s="468">
        <f ca="1">IF(計算!$BC863&lt;OP!$C$3,0,BD863-BC863)</f>
        <v>1</v>
      </c>
      <c r="BG863" s="468">
        <f ca="1">IF($BE863&gt;DATE(YEAR($BD$9)+OP!$C$57,MONTH($BD$9),DAY($BD$9)),0,$BE863-$BD863+1)</f>
        <v>30</v>
      </c>
      <c r="BH863" s="469">
        <f t="shared" ca="1" si="572"/>
        <v>31</v>
      </c>
      <c r="BI863" t="str">
        <f t="shared" si="588"/>
        <v/>
      </c>
      <c r="BJ863">
        <v>2</v>
      </c>
      <c r="BN863" s="468">
        <f t="shared" si="584"/>
        <v>72</v>
      </c>
      <c r="BO863" s="468">
        <f t="shared" si="585"/>
        <v>2</v>
      </c>
      <c r="BP863" s="467">
        <f t="shared" ca="1" si="573"/>
        <v>68882</v>
      </c>
      <c r="BQ863" s="475">
        <f t="shared" ca="1" si="587"/>
        <v>104</v>
      </c>
      <c r="BR863" s="475" t="str">
        <f t="shared" si="586"/>
        <v/>
      </c>
      <c r="BS863" s="471" t="str">
        <f t="shared" si="574"/>
        <v/>
      </c>
      <c r="BT863" s="472" t="str">
        <f t="shared" si="589"/>
        <v/>
      </c>
      <c r="BU863" s="472">
        <f t="shared" ca="1" si="575"/>
        <v>0</v>
      </c>
      <c r="BV863" s="472">
        <f t="shared" ca="1" si="575"/>
        <v>0</v>
      </c>
      <c r="BW863" s="472"/>
      <c r="BX863" s="473">
        <f t="shared" ca="1" si="576"/>
        <v>2131540.7658034302</v>
      </c>
      <c r="BY863" s="473">
        <f t="shared" si="577"/>
        <v>0</v>
      </c>
      <c r="BZ863" s="473">
        <f t="shared" ca="1" si="559"/>
        <v>4869.8405971490001</v>
      </c>
      <c r="CA863" s="476">
        <f t="shared" ca="1" si="578"/>
        <v>0</v>
      </c>
      <c r="CB863" s="494">
        <f ca="1">IF(OR($Q862&lt;&gt;1,OP!$D$5+$BN863-1&lt;16,$BN863-1&lt;1),0,ROUND(ROUND(ROUND(((VLOOKUP($BN863-1,MORE_PV,5,0)/10000)*VLOOKUP($BN863,MORE_PV,$CB$5,0)),3)*VLOOKUP($BN863,more1,5,0),0)/$R862,0))</f>
        <v>0</v>
      </c>
      <c r="CC863" s="473">
        <f t="shared" ca="1" si="579"/>
        <v>0</v>
      </c>
      <c r="CD863" s="477"/>
    </row>
    <row r="864" spans="2:82" ht="16.5" hidden="1">
      <c r="B864" s="80"/>
      <c r="C864" s="80"/>
      <c r="D864" s="80"/>
      <c r="E864" s="80"/>
      <c r="F864" s="80"/>
      <c r="G864" s="80"/>
      <c r="H864" s="80"/>
      <c r="I864" s="80"/>
      <c r="J864" s="192">
        <f t="shared" si="560"/>
        <v>72</v>
      </c>
      <c r="K864" s="192">
        <f t="shared" si="561"/>
        <v>4</v>
      </c>
      <c r="L864" s="192" t="str">
        <f t="shared" si="556"/>
        <v/>
      </c>
      <c r="M864" s="216">
        <f t="shared" ca="1" si="562"/>
        <v>0</v>
      </c>
      <c r="N864" s="216"/>
      <c r="O864" s="216"/>
      <c r="P864" s="216"/>
      <c r="Q864" s="456" t="str">
        <f t="shared" ca="1" si="563"/>
        <v/>
      </c>
      <c r="R864" s="450">
        <f t="shared" ca="1" si="564"/>
        <v>1</v>
      </c>
      <c r="S864" s="191">
        <f t="shared" si="565"/>
        <v>72</v>
      </c>
      <c r="T864" s="191">
        <f t="shared" si="566"/>
        <v>4</v>
      </c>
      <c r="U864" s="191">
        <f ca="1">OP!$D$5+$S864-1</f>
        <v>104</v>
      </c>
      <c r="V864" s="191" t="str">
        <f t="shared" si="567"/>
        <v/>
      </c>
      <c r="W864" s="350">
        <f ca="1">IF(Q864&lt;&gt;1,0,VLOOKUP(OP!$C$55,PVFB,$S864+2,0))</f>
        <v>0</v>
      </c>
      <c r="X864" s="473">
        <f t="shared" ca="1" si="580"/>
        <v>0</v>
      </c>
      <c r="Y864" s="348">
        <f t="shared" ca="1" si="581"/>
        <v>0</v>
      </c>
      <c r="Z864" s="348">
        <f t="shared" ca="1" si="582"/>
        <v>8012</v>
      </c>
      <c r="AA864" s="348">
        <f ca="1">IF(Q864&lt;&gt;1,0,VLOOKUP(OP!$C$55,PVFB,$S864+2,0))</f>
        <v>0</v>
      </c>
      <c r="AB864" s="488" t="str">
        <f ca="1">IF(AND(S864&lt;OP!$C$24,$U864&lt;15),0,IF(AND($U864&lt;15,$T864=12),ROUND(VLOOKUP($S864,DOWN16,5,0),3),IF($T864=12,ROUND(($Z864/10000)*$AA864,3)+IF(AND($P$7="購買增額繳清保險",T864=12,U864=110),VLOOKUP(S864,$B$10:$H$121,7,0),0),"")))</f>
        <v/>
      </c>
      <c r="AC864" s="350" t="str">
        <f ca="1">IF(AND(S864&lt;OP!$C$24,$U864&lt;15),0,IF(AND($U864&lt;16,$T864=12),VLOOKUP($S864,DOWN16,4,0),IF($T864=12,ROUND(VLOOKUP(OP!$C$55,_DIE2,$S864+1,0)*(Z864/10000),0)+IF(AND($P$7="購買增額繳清保險",T864=12,U864=110),VLOOKUP(S864,$B$10:$H$121,7,0),0),"")))</f>
        <v/>
      </c>
      <c r="AD864" s="347"/>
      <c r="AE864" s="350" t="str">
        <f t="shared" ca="1" si="557"/>
        <v/>
      </c>
      <c r="AF864" s="351" t="str">
        <f t="shared" ca="1" si="558"/>
        <v/>
      </c>
      <c r="AG864" s="340"/>
      <c r="AH864" s="340"/>
      <c r="AI864" s="340"/>
      <c r="AJ864" s="340"/>
      <c r="AK864" s="340"/>
      <c r="AL864" s="340"/>
      <c r="AM864" s="340"/>
      <c r="AN864" s="340"/>
      <c r="AO864" s="340"/>
      <c r="AP864" s="340"/>
      <c r="AQ864" s="340"/>
      <c r="AR864" s="340"/>
      <c r="AS864" s="340"/>
      <c r="AT864" s="340"/>
      <c r="AU864" s="340"/>
      <c r="AV864" s="340"/>
      <c r="AY864" s="340"/>
      <c r="AZ864" s="465">
        <f t="shared" ca="1" si="568"/>
        <v>7.3698599999999999E-5</v>
      </c>
      <c r="BA864" s="464">
        <f t="shared" ca="1" si="569"/>
        <v>2.1372602999999999E-3</v>
      </c>
      <c r="BB864" s="465">
        <f t="shared" ca="1" si="569"/>
        <v>2.2109589000000002E-3</v>
      </c>
      <c r="BC864" s="466">
        <f t="shared" ca="1" si="570"/>
        <v>68912</v>
      </c>
      <c r="BD864" s="467">
        <f t="shared" ca="1" si="583"/>
        <v>68913</v>
      </c>
      <c r="BE864" s="467">
        <f t="shared" ca="1" si="571"/>
        <v>68941</v>
      </c>
      <c r="BF864" s="468">
        <f ca="1">IF(計算!$BC864&lt;OP!$C$3,0,BD864-BC864)</f>
        <v>1</v>
      </c>
      <c r="BG864" s="468">
        <f ca="1">IF($BE864&gt;DATE(YEAR($BD$9)+OP!$C$57,MONTH($BD$9),DAY($BD$9)),0,$BE864-$BD864+1)</f>
        <v>29</v>
      </c>
      <c r="BH864" s="469">
        <f t="shared" ca="1" si="572"/>
        <v>30</v>
      </c>
      <c r="BI864" t="str">
        <f t="shared" si="588"/>
        <v/>
      </c>
      <c r="BJ864">
        <v>3</v>
      </c>
      <c r="BN864" s="468">
        <f t="shared" si="584"/>
        <v>72</v>
      </c>
      <c r="BO864" s="468">
        <f t="shared" si="585"/>
        <v>3</v>
      </c>
      <c r="BP864" s="467">
        <f t="shared" ca="1" si="573"/>
        <v>68913</v>
      </c>
      <c r="BQ864" s="475">
        <f t="shared" ca="1" si="587"/>
        <v>104</v>
      </c>
      <c r="BR864" s="475" t="str">
        <f t="shared" si="586"/>
        <v/>
      </c>
      <c r="BS864" s="471" t="str">
        <f t="shared" si="574"/>
        <v/>
      </c>
      <c r="BT864" s="472" t="str">
        <f t="shared" si="589"/>
        <v/>
      </c>
      <c r="BU864" s="472">
        <f t="shared" ca="1" si="575"/>
        <v>0</v>
      </c>
      <c r="BV864" s="472">
        <f t="shared" ca="1" si="575"/>
        <v>0</v>
      </c>
      <c r="BW864" s="472"/>
      <c r="BX864" s="473">
        <f t="shared" ca="1" si="576"/>
        <v>2136410.6064005801</v>
      </c>
      <c r="BY864" s="473">
        <f t="shared" si="577"/>
        <v>0</v>
      </c>
      <c r="BZ864" s="473">
        <f t="shared" ca="1" si="559"/>
        <v>4723.5160442759998</v>
      </c>
      <c r="CA864" s="476">
        <f t="shared" ca="1" si="578"/>
        <v>0</v>
      </c>
      <c r="CB864" s="494">
        <f ca="1">IF(OR($Q863&lt;&gt;1,OP!$D$5+$BN864-1&lt;16,$BN864-1&lt;1),0,ROUND(ROUND(ROUND(((VLOOKUP($BN864-1,MORE_PV,5,0)/10000)*VLOOKUP($BN864,MORE_PV,$CB$5,0)),3)*VLOOKUP($BN864,more1,5,0),0)/$R863,0))</f>
        <v>0</v>
      </c>
      <c r="CC864" s="473">
        <f t="shared" ca="1" si="579"/>
        <v>0</v>
      </c>
      <c r="CD864" s="477"/>
    </row>
    <row r="865" spans="2:82" ht="16.5" hidden="1">
      <c r="B865" s="80"/>
      <c r="C865" s="80"/>
      <c r="D865" s="80"/>
      <c r="E865" s="80"/>
      <c r="F865" s="80"/>
      <c r="G865" s="80"/>
      <c r="H865" s="80"/>
      <c r="I865" s="80"/>
      <c r="J865" s="192">
        <f t="shared" si="560"/>
        <v>72</v>
      </c>
      <c r="K865" s="192">
        <f t="shared" si="561"/>
        <v>5</v>
      </c>
      <c r="L865" s="192" t="str">
        <f t="shared" si="556"/>
        <v/>
      </c>
      <c r="M865" s="216">
        <f t="shared" ca="1" si="562"/>
        <v>0</v>
      </c>
      <c r="N865" s="216"/>
      <c r="O865" s="216"/>
      <c r="P865" s="216"/>
      <c r="Q865" s="456" t="str">
        <f t="shared" ca="1" si="563"/>
        <v/>
      </c>
      <c r="R865" s="450">
        <f t="shared" ca="1" si="564"/>
        <v>1</v>
      </c>
      <c r="S865" s="191">
        <f t="shared" si="565"/>
        <v>72</v>
      </c>
      <c r="T865" s="191">
        <f t="shared" si="566"/>
        <v>5</v>
      </c>
      <c r="U865" s="191">
        <f ca="1">OP!$D$5+$S865-1</f>
        <v>104</v>
      </c>
      <c r="V865" s="191" t="str">
        <f t="shared" si="567"/>
        <v/>
      </c>
      <c r="W865" s="350">
        <f ca="1">IF(Q865&lt;&gt;1,0,VLOOKUP(OP!$C$55,PVFB,$S865+2,0))</f>
        <v>0</v>
      </c>
      <c r="X865" s="473">
        <f t="shared" ca="1" si="580"/>
        <v>0</v>
      </c>
      <c r="Y865" s="348">
        <f t="shared" ca="1" si="581"/>
        <v>0</v>
      </c>
      <c r="Z865" s="348">
        <f t="shared" ca="1" si="582"/>
        <v>8012</v>
      </c>
      <c r="AA865" s="348">
        <f ca="1">IF(Q865&lt;&gt;1,0,VLOOKUP(OP!$C$55,PVFB,$S865+2,0))</f>
        <v>0</v>
      </c>
      <c r="AB865" s="488" t="str">
        <f ca="1">IF(AND(S865&lt;OP!$C$24,$U865&lt;15),0,IF(AND($U865&lt;15,$T865=12),ROUND(VLOOKUP($S865,DOWN16,5,0),3),IF($T865=12,ROUND(($Z865/10000)*$AA865,3)+IF(AND($P$7="購買增額繳清保險",T865=12,U865=110),VLOOKUP(S865,$B$10:$H$121,7,0),0),"")))</f>
        <v/>
      </c>
      <c r="AC865" s="350" t="str">
        <f ca="1">IF(AND(S865&lt;OP!$C$24,$U865&lt;15),0,IF(AND($U865&lt;16,$T865=12),VLOOKUP($S865,DOWN16,4,0),IF($T865=12,ROUND(VLOOKUP(OP!$C$55,_DIE2,$S865+1,0)*(Z865/10000),0)+IF(AND($P$7="購買增額繳清保險",T865=12,U865=110),VLOOKUP(S865,$B$10:$H$121,7,0),0),"")))</f>
        <v/>
      </c>
      <c r="AD865" s="347"/>
      <c r="AE865" s="350" t="str">
        <f t="shared" ca="1" si="557"/>
        <v/>
      </c>
      <c r="AF865" s="351" t="str">
        <f t="shared" ca="1" si="558"/>
        <v/>
      </c>
      <c r="AG865" s="340"/>
      <c r="AH865" s="340"/>
      <c r="AI865" s="340"/>
      <c r="AJ865" s="340"/>
      <c r="AK865" s="340"/>
      <c r="AL865" s="340"/>
      <c r="AM865" s="340"/>
      <c r="AN865" s="340"/>
      <c r="AO865" s="340"/>
      <c r="AP865" s="340"/>
      <c r="AQ865" s="340"/>
      <c r="AR865" s="340"/>
      <c r="AS865" s="340"/>
      <c r="AT865" s="340"/>
      <c r="AU865" s="340"/>
      <c r="AV865" s="340"/>
      <c r="AY865" s="340"/>
      <c r="AZ865" s="465">
        <f t="shared" ca="1" si="568"/>
        <v>7.3698599999999999E-5</v>
      </c>
      <c r="BA865" s="464">
        <f t="shared" ca="1" si="569"/>
        <v>2.2109589000000002E-3</v>
      </c>
      <c r="BB865" s="465">
        <f t="shared" ca="1" si="569"/>
        <v>2.2846575E-3</v>
      </c>
      <c r="BC865" s="466">
        <f t="shared" ca="1" si="570"/>
        <v>68942</v>
      </c>
      <c r="BD865" s="467">
        <f t="shared" ca="1" si="583"/>
        <v>68943</v>
      </c>
      <c r="BE865" s="467">
        <f t="shared" ca="1" si="571"/>
        <v>68972</v>
      </c>
      <c r="BF865" s="468">
        <f ca="1">IF(計算!$BC865&lt;OP!$C$3,0,BD865-BC865)</f>
        <v>1</v>
      </c>
      <c r="BG865" s="468">
        <f ca="1">IF($BE865&gt;DATE(YEAR($BD$9)+OP!$C$57,MONTH($BD$9),DAY($BD$9)),0,$BE865-$BD865+1)</f>
        <v>30</v>
      </c>
      <c r="BH865" s="469">
        <f t="shared" ca="1" si="572"/>
        <v>31</v>
      </c>
      <c r="BI865" t="str">
        <f t="shared" si="588"/>
        <v/>
      </c>
      <c r="BJ865">
        <v>4</v>
      </c>
      <c r="BN865" s="468">
        <f t="shared" si="584"/>
        <v>72</v>
      </c>
      <c r="BO865" s="468">
        <f t="shared" si="585"/>
        <v>4</v>
      </c>
      <c r="BP865" s="467">
        <f t="shared" ca="1" si="573"/>
        <v>68943</v>
      </c>
      <c r="BQ865" s="475">
        <f t="shared" ca="1" si="587"/>
        <v>104</v>
      </c>
      <c r="BR865" s="475" t="str">
        <f t="shared" si="586"/>
        <v/>
      </c>
      <c r="BS865" s="471" t="str">
        <f t="shared" si="574"/>
        <v/>
      </c>
      <c r="BT865" s="472" t="str">
        <f t="shared" si="589"/>
        <v/>
      </c>
      <c r="BU865" s="472">
        <f t="shared" ca="1" si="575"/>
        <v>0</v>
      </c>
      <c r="BV865" s="472">
        <f t="shared" ca="1" si="575"/>
        <v>0</v>
      </c>
      <c r="BW865" s="472"/>
      <c r="BX865" s="473">
        <f t="shared" ca="1" si="576"/>
        <v>2141134.1224448602</v>
      </c>
      <c r="BY865" s="473">
        <f t="shared" si="577"/>
        <v>0</v>
      </c>
      <c r="BZ865" s="473">
        <f t="shared" ca="1" si="559"/>
        <v>4891.7581313500004</v>
      </c>
      <c r="CA865" s="476">
        <f t="shared" ca="1" si="578"/>
        <v>0</v>
      </c>
      <c r="CB865" s="494">
        <f ca="1">IF(OR($Q864&lt;&gt;1,OP!$D$5+$BN865-1&lt;16,$BN865-1&lt;1),0,ROUND(ROUND(ROUND(((VLOOKUP($BN865-1,MORE_PV,5,0)/10000)*VLOOKUP($BN865,MORE_PV,$CB$5,0)),3)*VLOOKUP($BN865,more1,5,0),0)/$R864,0))</f>
        <v>0</v>
      </c>
      <c r="CC865" s="473">
        <f t="shared" ca="1" si="579"/>
        <v>0</v>
      </c>
      <c r="CD865" s="477"/>
    </row>
    <row r="866" spans="2:82" ht="16.5" hidden="1">
      <c r="B866" s="80"/>
      <c r="C866" s="80"/>
      <c r="D866" s="80"/>
      <c r="E866" s="80"/>
      <c r="F866" s="80"/>
      <c r="G866" s="80"/>
      <c r="H866" s="80"/>
      <c r="I866" s="80"/>
      <c r="J866" s="192">
        <f t="shared" si="560"/>
        <v>72</v>
      </c>
      <c r="K866" s="192">
        <f t="shared" si="561"/>
        <v>6</v>
      </c>
      <c r="L866" s="192" t="str">
        <f t="shared" si="556"/>
        <v/>
      </c>
      <c r="M866" s="216">
        <f t="shared" ca="1" si="562"/>
        <v>0</v>
      </c>
      <c r="N866" s="216"/>
      <c r="O866" s="216"/>
      <c r="P866" s="216"/>
      <c r="Q866" s="456" t="str">
        <f t="shared" ca="1" si="563"/>
        <v/>
      </c>
      <c r="R866" s="450">
        <f t="shared" ca="1" si="564"/>
        <v>1</v>
      </c>
      <c r="S866" s="191">
        <f t="shared" si="565"/>
        <v>72</v>
      </c>
      <c r="T866" s="191">
        <f t="shared" si="566"/>
        <v>6</v>
      </c>
      <c r="U866" s="191">
        <f ca="1">OP!$D$5+$S866-1</f>
        <v>104</v>
      </c>
      <c r="V866" s="191" t="str">
        <f t="shared" si="567"/>
        <v/>
      </c>
      <c r="W866" s="350">
        <f ca="1">IF(Q866&lt;&gt;1,0,VLOOKUP(OP!$C$55,PVFB,$S866+2,0))</f>
        <v>0</v>
      </c>
      <c r="X866" s="473">
        <f t="shared" ca="1" si="580"/>
        <v>0</v>
      </c>
      <c r="Y866" s="348">
        <f t="shared" ca="1" si="581"/>
        <v>0</v>
      </c>
      <c r="Z866" s="348">
        <f t="shared" ca="1" si="582"/>
        <v>8012</v>
      </c>
      <c r="AA866" s="348">
        <f ca="1">IF(Q866&lt;&gt;1,0,VLOOKUP(OP!$C$55,PVFB,$S866+2,0))</f>
        <v>0</v>
      </c>
      <c r="AB866" s="488" t="str">
        <f ca="1">IF(AND(S866&lt;OP!$C$24,$U866&lt;15),0,IF(AND($U866&lt;15,$T866=12),ROUND(VLOOKUP($S866,DOWN16,5,0),3),IF($T866=12,ROUND(($Z866/10000)*$AA866,3)+IF(AND($P$7="購買增額繳清保險",T866=12,U866=110),VLOOKUP(S866,$B$10:$H$121,7,0),0),"")))</f>
        <v/>
      </c>
      <c r="AC866" s="350" t="str">
        <f ca="1">IF(AND(S866&lt;OP!$C$24,$U866&lt;15),0,IF(AND($U866&lt;16,$T866=12),VLOOKUP($S866,DOWN16,4,0),IF($T866=12,ROUND(VLOOKUP(OP!$C$55,_DIE2,$S866+1,0)*(Z866/10000),0)+IF(AND($P$7="購買增額繳清保險",T866=12,U866=110),VLOOKUP(S866,$B$10:$H$121,7,0),0),"")))</f>
        <v/>
      </c>
      <c r="AD866" s="347"/>
      <c r="AE866" s="350" t="str">
        <f t="shared" ca="1" si="557"/>
        <v/>
      </c>
      <c r="AF866" s="351" t="str">
        <f t="shared" ca="1" si="558"/>
        <v/>
      </c>
      <c r="AG866" s="340"/>
      <c r="AH866" s="340"/>
      <c r="AI866" s="340"/>
      <c r="AJ866" s="340"/>
      <c r="AK866" s="340"/>
      <c r="AL866" s="340"/>
      <c r="AM866" s="340"/>
      <c r="AN866" s="340"/>
      <c r="AO866" s="340"/>
      <c r="AP866" s="340"/>
      <c r="AQ866" s="340"/>
      <c r="AR866" s="340"/>
      <c r="AS866" s="340"/>
      <c r="AT866" s="340"/>
      <c r="AU866" s="340"/>
      <c r="AV866" s="340"/>
      <c r="AY866" s="340"/>
      <c r="AZ866" s="465">
        <f t="shared" ca="1" si="568"/>
        <v>7.3698599999999999E-5</v>
      </c>
      <c r="BA866" s="464">
        <f t="shared" ca="1" si="569"/>
        <v>2.1372602999999999E-3</v>
      </c>
      <c r="BB866" s="465">
        <f t="shared" ca="1" si="569"/>
        <v>2.2109589000000002E-3</v>
      </c>
      <c r="BC866" s="466">
        <f t="shared" ca="1" si="570"/>
        <v>68973</v>
      </c>
      <c r="BD866" s="467">
        <f t="shared" ca="1" si="583"/>
        <v>68974</v>
      </c>
      <c r="BE866" s="467">
        <f t="shared" ca="1" si="571"/>
        <v>69002</v>
      </c>
      <c r="BF866" s="468">
        <f ca="1">IF(計算!$BC866&lt;OP!$C$3,0,BD866-BC866)</f>
        <v>1</v>
      </c>
      <c r="BG866" s="468">
        <f ca="1">IF($BE866&gt;DATE(YEAR($BD$9)+OP!$C$57,MONTH($BD$9),DAY($BD$9)),0,$BE866-$BD866+1)</f>
        <v>29</v>
      </c>
      <c r="BH866" s="469">
        <f t="shared" ca="1" si="572"/>
        <v>30</v>
      </c>
      <c r="BI866" t="str">
        <f t="shared" si="588"/>
        <v/>
      </c>
      <c r="BJ866">
        <v>5</v>
      </c>
      <c r="BN866" s="468">
        <f t="shared" si="584"/>
        <v>72</v>
      </c>
      <c r="BO866" s="468">
        <f t="shared" si="585"/>
        <v>5</v>
      </c>
      <c r="BP866" s="467">
        <f t="shared" ca="1" si="573"/>
        <v>68974</v>
      </c>
      <c r="BQ866" s="475">
        <f t="shared" ca="1" si="587"/>
        <v>104</v>
      </c>
      <c r="BR866" s="475" t="str">
        <f t="shared" si="586"/>
        <v/>
      </c>
      <c r="BS866" s="471" t="str">
        <f t="shared" si="574"/>
        <v/>
      </c>
      <c r="BT866" s="472" t="str">
        <f t="shared" si="589"/>
        <v/>
      </c>
      <c r="BU866" s="472">
        <f t="shared" ca="1" si="575"/>
        <v>0</v>
      </c>
      <c r="BV866" s="472">
        <f t="shared" ca="1" si="575"/>
        <v>0</v>
      </c>
      <c r="BW866" s="472"/>
      <c r="BX866" s="473">
        <f t="shared" ca="1" si="576"/>
        <v>2146025.8805762101</v>
      </c>
      <c r="BY866" s="473">
        <f t="shared" si="577"/>
        <v>0</v>
      </c>
      <c r="BZ866" s="473">
        <f t="shared" ca="1" si="559"/>
        <v>4744.7750202899997</v>
      </c>
      <c r="CA866" s="476">
        <f t="shared" ca="1" si="578"/>
        <v>0</v>
      </c>
      <c r="CB866" s="494">
        <f ca="1">IF(OR($Q865&lt;&gt;1,OP!$D$5+$BN866-1&lt;16,$BN866-1&lt;1),0,ROUND(ROUND(ROUND(((VLOOKUP($BN866-1,MORE_PV,5,0)/10000)*VLOOKUP($BN866,MORE_PV,$CB$5,0)),3)*VLOOKUP($BN866,more1,5,0),0)/$R865,0))</f>
        <v>0</v>
      </c>
      <c r="CC866" s="473">
        <f t="shared" ca="1" si="579"/>
        <v>0</v>
      </c>
      <c r="CD866" s="477"/>
    </row>
    <row r="867" spans="2:82" ht="16.5" hidden="1">
      <c r="B867" s="80"/>
      <c r="C867" s="80"/>
      <c r="D867" s="80"/>
      <c r="E867" s="80"/>
      <c r="F867" s="80"/>
      <c r="G867" s="80"/>
      <c r="H867" s="80"/>
      <c r="I867" s="80"/>
      <c r="J867" s="192">
        <f t="shared" si="560"/>
        <v>72</v>
      </c>
      <c r="K867" s="192">
        <f t="shared" si="561"/>
        <v>7</v>
      </c>
      <c r="L867" s="192" t="str">
        <f t="shared" si="556"/>
        <v/>
      </c>
      <c r="M867" s="216">
        <f t="shared" ca="1" si="562"/>
        <v>0</v>
      </c>
      <c r="N867" s="216"/>
      <c r="O867" s="216"/>
      <c r="P867" s="216"/>
      <c r="Q867" s="456" t="str">
        <f t="shared" ca="1" si="563"/>
        <v/>
      </c>
      <c r="R867" s="450">
        <f t="shared" ca="1" si="564"/>
        <v>1</v>
      </c>
      <c r="S867" s="191">
        <f t="shared" si="565"/>
        <v>72</v>
      </c>
      <c r="T867" s="191">
        <f t="shared" si="566"/>
        <v>7</v>
      </c>
      <c r="U867" s="191">
        <f ca="1">OP!$D$5+$S867-1</f>
        <v>104</v>
      </c>
      <c r="V867" s="191" t="str">
        <f t="shared" si="567"/>
        <v/>
      </c>
      <c r="W867" s="350">
        <f ca="1">IF(Q867&lt;&gt;1,0,VLOOKUP(OP!$C$55,PVFB,$S867+2,0))</f>
        <v>0</v>
      </c>
      <c r="X867" s="473">
        <f t="shared" ca="1" si="580"/>
        <v>0</v>
      </c>
      <c r="Y867" s="348">
        <f t="shared" ca="1" si="581"/>
        <v>0</v>
      </c>
      <c r="Z867" s="348">
        <f t="shared" ca="1" si="582"/>
        <v>8012</v>
      </c>
      <c r="AA867" s="348">
        <f ca="1">IF(Q867&lt;&gt;1,0,VLOOKUP(OP!$C$55,PVFB,$S867+2,0))</f>
        <v>0</v>
      </c>
      <c r="AB867" s="488" t="str">
        <f ca="1">IF(AND(S867&lt;OP!$C$24,$U867&lt;15),0,IF(AND($U867&lt;15,$T867=12),ROUND(VLOOKUP($S867,DOWN16,5,0),3),IF($T867=12,ROUND(($Z867/10000)*$AA867,3)+IF(AND($P$7="購買增額繳清保險",T867=12,U867=110),VLOOKUP(S867,$B$10:$H$121,7,0),0),"")))</f>
        <v/>
      </c>
      <c r="AC867" s="350" t="str">
        <f ca="1">IF(AND(S867&lt;OP!$C$24,$U867&lt;15),0,IF(AND($U867&lt;16,$T867=12),VLOOKUP($S867,DOWN16,4,0),IF($T867=12,ROUND(VLOOKUP(OP!$C$55,_DIE2,$S867+1,0)*(Z867/10000),0)+IF(AND($P$7="購買增額繳清保險",T867=12,U867=110),VLOOKUP(S867,$B$10:$H$121,7,0),0),"")))</f>
        <v/>
      </c>
      <c r="AD867" s="347"/>
      <c r="AE867" s="350" t="str">
        <f t="shared" ca="1" si="557"/>
        <v/>
      </c>
      <c r="AF867" s="351" t="str">
        <f t="shared" ca="1" si="558"/>
        <v/>
      </c>
      <c r="AG867" s="340"/>
      <c r="AH867" s="340"/>
      <c r="AI867" s="340"/>
      <c r="AJ867" s="340"/>
      <c r="AK867" s="340"/>
      <c r="AL867" s="340"/>
      <c r="AM867" s="340"/>
      <c r="AN867" s="340"/>
      <c r="AO867" s="340"/>
      <c r="AP867" s="340"/>
      <c r="AQ867" s="340"/>
      <c r="AR867" s="340"/>
      <c r="AS867" s="340"/>
      <c r="AT867" s="340"/>
      <c r="AU867" s="340"/>
      <c r="AV867" s="340"/>
      <c r="AY867" s="340"/>
      <c r="AZ867" s="465">
        <f t="shared" ca="1" si="568"/>
        <v>7.3698599999999999E-5</v>
      </c>
      <c r="BA867" s="464">
        <f t="shared" ca="1" si="569"/>
        <v>2.2109589000000002E-3</v>
      </c>
      <c r="BB867" s="465">
        <f t="shared" ca="1" si="569"/>
        <v>2.2846575E-3</v>
      </c>
      <c r="BC867" s="466">
        <f t="shared" ca="1" si="570"/>
        <v>69003</v>
      </c>
      <c r="BD867" s="467">
        <f t="shared" ca="1" si="583"/>
        <v>69004</v>
      </c>
      <c r="BE867" s="467">
        <f t="shared" ca="1" si="571"/>
        <v>69033</v>
      </c>
      <c r="BF867" s="468">
        <f ca="1">IF(計算!$BC867&lt;OP!$C$3,0,BD867-BC867)</f>
        <v>1</v>
      </c>
      <c r="BG867" s="468">
        <f ca="1">IF($BE867&gt;DATE(YEAR($BD$9)+OP!$C$57,MONTH($BD$9),DAY($BD$9)),0,$BE867-$BD867+1)</f>
        <v>30</v>
      </c>
      <c r="BH867" s="469">
        <f t="shared" ca="1" si="572"/>
        <v>31</v>
      </c>
      <c r="BI867" t="str">
        <f t="shared" si="588"/>
        <v/>
      </c>
      <c r="BJ867">
        <v>6</v>
      </c>
      <c r="BN867" s="468">
        <f t="shared" si="584"/>
        <v>72</v>
      </c>
      <c r="BO867" s="468">
        <f t="shared" si="585"/>
        <v>6</v>
      </c>
      <c r="BP867" s="467">
        <f t="shared" ca="1" si="573"/>
        <v>69004</v>
      </c>
      <c r="BQ867" s="475">
        <f t="shared" ca="1" si="587"/>
        <v>104</v>
      </c>
      <c r="BR867" s="475" t="str">
        <f t="shared" si="586"/>
        <v/>
      </c>
      <c r="BS867" s="471" t="str">
        <f t="shared" si="574"/>
        <v/>
      </c>
      <c r="BT867" s="472" t="str">
        <f t="shared" si="589"/>
        <v/>
      </c>
      <c r="BU867" s="472">
        <f t="shared" ca="1" si="575"/>
        <v>0</v>
      </c>
      <c r="BV867" s="472">
        <f t="shared" ca="1" si="575"/>
        <v>0</v>
      </c>
      <c r="BW867" s="472"/>
      <c r="BX867" s="473">
        <f t="shared" ca="1" si="576"/>
        <v>2150770.6555964998</v>
      </c>
      <c r="BY867" s="473">
        <f t="shared" si="577"/>
        <v>0</v>
      </c>
      <c r="BZ867" s="473">
        <f t="shared" ca="1" si="559"/>
        <v>4913.7743090880003</v>
      </c>
      <c r="CA867" s="476">
        <f t="shared" ca="1" si="578"/>
        <v>0</v>
      </c>
      <c r="CB867" s="494">
        <f ca="1">IF(OR($Q866&lt;&gt;1,OP!$D$5+$BN867-1&lt;16,$BN867-1&lt;1),0,ROUND(ROUND(ROUND(((VLOOKUP($BN867-1,MORE_PV,5,0)/10000)*VLOOKUP($BN867,MORE_PV,$CB$5,0)),3)*VLOOKUP($BN867,more1,5,0),0)/$R866,0))</f>
        <v>0</v>
      </c>
      <c r="CC867" s="473">
        <f t="shared" ca="1" si="579"/>
        <v>0</v>
      </c>
      <c r="CD867" s="477"/>
    </row>
    <row r="868" spans="2:82" ht="16.5" hidden="1">
      <c r="B868" s="80"/>
      <c r="C868" s="80"/>
      <c r="D868" s="80"/>
      <c r="E868" s="80"/>
      <c r="F868" s="80"/>
      <c r="G868" s="80"/>
      <c r="H868" s="80"/>
      <c r="I868" s="80"/>
      <c r="J868" s="192">
        <f t="shared" si="560"/>
        <v>72</v>
      </c>
      <c r="K868" s="192">
        <f t="shared" si="561"/>
        <v>8</v>
      </c>
      <c r="L868" s="192" t="str">
        <f t="shared" si="556"/>
        <v/>
      </c>
      <c r="M868" s="216">
        <f t="shared" ca="1" si="562"/>
        <v>0</v>
      </c>
      <c r="N868" s="216"/>
      <c r="O868" s="216"/>
      <c r="P868" s="216"/>
      <c r="Q868" s="456" t="str">
        <f t="shared" ca="1" si="563"/>
        <v/>
      </c>
      <c r="R868" s="450">
        <f t="shared" ca="1" si="564"/>
        <v>1</v>
      </c>
      <c r="S868" s="191">
        <f t="shared" si="565"/>
        <v>72</v>
      </c>
      <c r="T868" s="191">
        <f t="shared" si="566"/>
        <v>8</v>
      </c>
      <c r="U868" s="191">
        <f ca="1">OP!$D$5+$S868-1</f>
        <v>104</v>
      </c>
      <c r="V868" s="191" t="str">
        <f t="shared" si="567"/>
        <v/>
      </c>
      <c r="W868" s="350">
        <f ca="1">IF(Q868&lt;&gt;1,0,VLOOKUP(OP!$C$55,PVFB,$S868+2,0))</f>
        <v>0</v>
      </c>
      <c r="X868" s="473">
        <f t="shared" ca="1" si="580"/>
        <v>0</v>
      </c>
      <c r="Y868" s="348">
        <f t="shared" ca="1" si="581"/>
        <v>0</v>
      </c>
      <c r="Z868" s="348">
        <f t="shared" ca="1" si="582"/>
        <v>8012</v>
      </c>
      <c r="AA868" s="348">
        <f ca="1">IF(Q868&lt;&gt;1,0,VLOOKUP(OP!$C$55,PVFB,$S868+2,0))</f>
        <v>0</v>
      </c>
      <c r="AB868" s="488" t="str">
        <f ca="1">IF(AND(S868&lt;OP!$C$24,$U868&lt;15),0,IF(AND($U868&lt;15,$T868=12),ROUND(VLOOKUP($S868,DOWN16,5,0),3),IF($T868=12,ROUND(($Z868/10000)*$AA868,3)+IF(AND($P$7="購買增額繳清保險",T868=12,U868=110),VLOOKUP(S868,$B$10:$H$121,7,0),0),"")))</f>
        <v/>
      </c>
      <c r="AC868" s="350" t="str">
        <f ca="1">IF(AND(S868&lt;OP!$C$24,$U868&lt;15),0,IF(AND($U868&lt;16,$T868=12),VLOOKUP($S868,DOWN16,4,0),IF($T868=12,ROUND(VLOOKUP(OP!$C$55,_DIE2,$S868+1,0)*(Z868/10000),0)+IF(AND($P$7="購買增額繳清保險",T868=12,U868=110),VLOOKUP(S868,$B$10:$H$121,7,0),0),"")))</f>
        <v/>
      </c>
      <c r="AD868" s="347"/>
      <c r="AE868" s="350" t="str">
        <f t="shared" ca="1" si="557"/>
        <v/>
      </c>
      <c r="AF868" s="351" t="str">
        <f t="shared" ca="1" si="558"/>
        <v/>
      </c>
      <c r="AG868" s="340"/>
      <c r="AH868" s="340"/>
      <c r="AI868" s="340"/>
      <c r="AJ868" s="340"/>
      <c r="AK868" s="340"/>
      <c r="AL868" s="340"/>
      <c r="AM868" s="340"/>
      <c r="AN868" s="340"/>
      <c r="AO868" s="340"/>
      <c r="AP868" s="340"/>
      <c r="AQ868" s="340"/>
      <c r="AR868" s="340"/>
      <c r="AS868" s="340"/>
      <c r="AT868" s="340"/>
      <c r="AU868" s="340"/>
      <c r="AV868" s="340"/>
      <c r="AY868" s="340"/>
      <c r="AZ868" s="465">
        <f t="shared" ca="1" si="568"/>
        <v>7.3698599999999999E-5</v>
      </c>
      <c r="BA868" s="464">
        <f t="shared" ca="1" si="569"/>
        <v>2.2109589000000002E-3</v>
      </c>
      <c r="BB868" s="465">
        <f t="shared" ca="1" si="569"/>
        <v>2.2846575E-3</v>
      </c>
      <c r="BC868" s="466">
        <f t="shared" ca="1" si="570"/>
        <v>69034</v>
      </c>
      <c r="BD868" s="467">
        <f t="shared" ca="1" si="583"/>
        <v>69035</v>
      </c>
      <c r="BE868" s="467">
        <f t="shared" ca="1" si="571"/>
        <v>69064</v>
      </c>
      <c r="BF868" s="468">
        <f ca="1">IF(計算!$BC868&lt;OP!$C$3,0,BD868-BC868)</f>
        <v>1</v>
      </c>
      <c r="BG868" s="468">
        <f ca="1">IF($BE868&gt;DATE(YEAR($BD$9)+OP!$C$57,MONTH($BD$9),DAY($BD$9)),0,$BE868-$BD868+1)</f>
        <v>30</v>
      </c>
      <c r="BH868" s="469">
        <f t="shared" ca="1" si="572"/>
        <v>31</v>
      </c>
      <c r="BI868" t="str">
        <f t="shared" si="588"/>
        <v/>
      </c>
      <c r="BJ868">
        <v>7</v>
      </c>
      <c r="BN868" s="468">
        <f t="shared" si="584"/>
        <v>72</v>
      </c>
      <c r="BO868" s="468">
        <f t="shared" si="585"/>
        <v>7</v>
      </c>
      <c r="BP868" s="467">
        <f t="shared" ca="1" si="573"/>
        <v>69035</v>
      </c>
      <c r="BQ868" s="475">
        <f t="shared" ca="1" si="587"/>
        <v>104</v>
      </c>
      <c r="BR868" s="475" t="str">
        <f t="shared" si="586"/>
        <v/>
      </c>
      <c r="BS868" s="471" t="str">
        <f t="shared" si="574"/>
        <v/>
      </c>
      <c r="BT868" s="472" t="str">
        <f t="shared" si="589"/>
        <v/>
      </c>
      <c r="BU868" s="472">
        <f t="shared" ca="1" si="575"/>
        <v>0</v>
      </c>
      <c r="BV868" s="472">
        <f t="shared" ca="1" si="575"/>
        <v>0</v>
      </c>
      <c r="BW868" s="472"/>
      <c r="BX868" s="473">
        <f t="shared" ca="1" si="576"/>
        <v>2155684.4299055901</v>
      </c>
      <c r="BY868" s="473">
        <f t="shared" si="577"/>
        <v>0</v>
      </c>
      <c r="BZ868" s="473">
        <f t="shared" ca="1" si="559"/>
        <v>4925.000600417</v>
      </c>
      <c r="CA868" s="476">
        <f t="shared" ca="1" si="578"/>
        <v>0</v>
      </c>
      <c r="CB868" s="494">
        <f ca="1">IF(OR($Q867&lt;&gt;1,OP!$D$5+$BN868-1&lt;16,$BN868-1&lt;1),0,ROUND(ROUND(ROUND(((VLOOKUP($BN868-1,MORE_PV,5,0)/10000)*VLOOKUP($BN868,MORE_PV,$CB$5,0)),3)*VLOOKUP($BN868,more1,5,0),0)/$R867,0))</f>
        <v>0</v>
      </c>
      <c r="CC868" s="473">
        <f t="shared" ca="1" si="579"/>
        <v>0</v>
      </c>
      <c r="CD868" s="477"/>
    </row>
    <row r="869" spans="2:82" ht="16.5" hidden="1">
      <c r="B869" s="80"/>
      <c r="C869" s="80"/>
      <c r="D869" s="80"/>
      <c r="E869" s="80"/>
      <c r="F869" s="80"/>
      <c r="G869" s="80"/>
      <c r="H869" s="80"/>
      <c r="I869" s="80"/>
      <c r="J869" s="192">
        <f t="shared" si="560"/>
        <v>72</v>
      </c>
      <c r="K869" s="192">
        <f t="shared" si="561"/>
        <v>9</v>
      </c>
      <c r="L869" s="192" t="str">
        <f t="shared" si="556"/>
        <v/>
      </c>
      <c r="M869" s="216">
        <f t="shared" ca="1" si="562"/>
        <v>0</v>
      </c>
      <c r="N869" s="216"/>
      <c r="O869" s="216"/>
      <c r="P869" s="216"/>
      <c r="Q869" s="456" t="str">
        <f t="shared" ca="1" si="563"/>
        <v/>
      </c>
      <c r="R869" s="450">
        <f t="shared" ca="1" si="564"/>
        <v>1</v>
      </c>
      <c r="S869" s="191">
        <f t="shared" si="565"/>
        <v>72</v>
      </c>
      <c r="T869" s="191">
        <f t="shared" si="566"/>
        <v>9</v>
      </c>
      <c r="U869" s="191">
        <f ca="1">OP!$D$5+$S869-1</f>
        <v>104</v>
      </c>
      <c r="V869" s="191" t="str">
        <f t="shared" si="567"/>
        <v/>
      </c>
      <c r="W869" s="350">
        <f ca="1">IF(Q869&lt;&gt;1,0,VLOOKUP(OP!$C$55,PVFB,$S869+2,0))</f>
        <v>0</v>
      </c>
      <c r="X869" s="473">
        <f t="shared" ca="1" si="580"/>
        <v>0</v>
      </c>
      <c r="Y869" s="348">
        <f t="shared" ca="1" si="581"/>
        <v>0</v>
      </c>
      <c r="Z869" s="348">
        <f t="shared" ca="1" si="582"/>
        <v>8012</v>
      </c>
      <c r="AA869" s="348">
        <f ca="1">IF(Q869&lt;&gt;1,0,VLOOKUP(OP!$C$55,PVFB,$S869+2,0))</f>
        <v>0</v>
      </c>
      <c r="AB869" s="488" t="str">
        <f ca="1">IF(AND(S869&lt;OP!$C$24,$U869&lt;15),0,IF(AND($U869&lt;15,$T869=12),ROUND(VLOOKUP($S869,DOWN16,5,0),3),IF($T869=12,ROUND(($Z869/10000)*$AA869,3)+IF(AND($P$7="購買增額繳清保險",T869=12,U869=110),VLOOKUP(S869,$B$10:$H$121,7,0),0),"")))</f>
        <v/>
      </c>
      <c r="AC869" s="350" t="str">
        <f ca="1">IF(AND(S869&lt;OP!$C$24,$U869&lt;15),0,IF(AND($U869&lt;16,$T869=12),VLOOKUP($S869,DOWN16,4,0),IF($T869=12,ROUND(VLOOKUP(OP!$C$55,_DIE2,$S869+1,0)*(Z869/10000),0)+IF(AND($P$7="購買增額繳清保險",T869=12,U869=110),VLOOKUP(S869,$B$10:$H$121,7,0),0),"")))</f>
        <v/>
      </c>
      <c r="AD869" s="347"/>
      <c r="AE869" s="350" t="str">
        <f t="shared" ca="1" si="557"/>
        <v/>
      </c>
      <c r="AF869" s="351" t="str">
        <f t="shared" ca="1" si="558"/>
        <v/>
      </c>
      <c r="AG869" s="340"/>
      <c r="AH869" s="340"/>
      <c r="AI869" s="340"/>
      <c r="AJ869" s="340"/>
      <c r="AK869" s="340"/>
      <c r="AL869" s="340"/>
      <c r="AM869" s="340"/>
      <c r="AN869" s="340"/>
      <c r="AO869" s="340"/>
      <c r="AP869" s="340"/>
      <c r="AQ869" s="340"/>
      <c r="AR869" s="340"/>
      <c r="AS869" s="340"/>
      <c r="AT869" s="340"/>
      <c r="AU869" s="340"/>
      <c r="AV869" s="340"/>
      <c r="AY869" s="340"/>
      <c r="AZ869" s="465">
        <f t="shared" ca="1" si="568"/>
        <v>7.3698599999999999E-5</v>
      </c>
      <c r="BA869" s="464">
        <f t="shared" ca="1" si="569"/>
        <v>1.9898630000000001E-3</v>
      </c>
      <c r="BB869" s="465">
        <f t="shared" ca="1" si="569"/>
        <v>2.0635616E-3</v>
      </c>
      <c r="BC869" s="466">
        <f t="shared" ca="1" si="570"/>
        <v>69065</v>
      </c>
      <c r="BD869" s="467">
        <f t="shared" ca="1" si="583"/>
        <v>69066</v>
      </c>
      <c r="BE869" s="467">
        <f t="shared" ca="1" si="571"/>
        <v>69092</v>
      </c>
      <c r="BF869" s="468">
        <f ca="1">IF(計算!$BC869&lt;OP!$C$3,0,BD869-BC869)</f>
        <v>1</v>
      </c>
      <c r="BG869" s="468">
        <f ca="1">IF($BE869&gt;DATE(YEAR($BD$9)+OP!$C$57,MONTH($BD$9),DAY($BD$9)),0,$BE869-$BD869+1)</f>
        <v>27</v>
      </c>
      <c r="BH869" s="469">
        <f t="shared" ca="1" si="572"/>
        <v>28</v>
      </c>
      <c r="BI869" t="str">
        <f t="shared" si="588"/>
        <v/>
      </c>
      <c r="BJ869">
        <v>8</v>
      </c>
      <c r="BN869" s="468">
        <f t="shared" si="584"/>
        <v>72</v>
      </c>
      <c r="BO869" s="468">
        <f t="shared" si="585"/>
        <v>8</v>
      </c>
      <c r="BP869" s="467">
        <f t="shared" ca="1" si="573"/>
        <v>69066</v>
      </c>
      <c r="BQ869" s="475">
        <f t="shared" ca="1" si="587"/>
        <v>104</v>
      </c>
      <c r="BR869" s="475" t="str">
        <f t="shared" si="586"/>
        <v/>
      </c>
      <c r="BS869" s="471" t="str">
        <f t="shared" si="574"/>
        <v/>
      </c>
      <c r="BT869" s="472" t="str">
        <f t="shared" si="589"/>
        <v/>
      </c>
      <c r="BU869" s="472">
        <f t="shared" ca="1" si="575"/>
        <v>0</v>
      </c>
      <c r="BV869" s="472">
        <f t="shared" ca="1" si="575"/>
        <v>0</v>
      </c>
      <c r="BW869" s="472"/>
      <c r="BX869" s="473">
        <f t="shared" ca="1" si="576"/>
        <v>2160609.4305060101</v>
      </c>
      <c r="BY869" s="473">
        <f t="shared" si="577"/>
        <v>0</v>
      </c>
      <c r="BZ869" s="473">
        <f t="shared" ca="1" si="559"/>
        <v>4458.5506533899998</v>
      </c>
      <c r="CA869" s="476">
        <f t="shared" ca="1" si="578"/>
        <v>0</v>
      </c>
      <c r="CB869" s="494">
        <f ca="1">IF(OR($Q868&lt;&gt;1,OP!$D$5+$BN869-1&lt;16,$BN869-1&lt;1),0,ROUND(ROUND(ROUND(((VLOOKUP($BN869-1,MORE_PV,5,0)/10000)*VLOOKUP($BN869,MORE_PV,$CB$5,0)),3)*VLOOKUP($BN869,more1,5,0),0)/$R868,0))</f>
        <v>0</v>
      </c>
      <c r="CC869" s="473">
        <f t="shared" ca="1" si="579"/>
        <v>0</v>
      </c>
      <c r="CD869" s="477"/>
    </row>
    <row r="870" spans="2:82" ht="16.5" hidden="1">
      <c r="B870" s="80"/>
      <c r="C870" s="80"/>
      <c r="D870" s="80"/>
      <c r="E870" s="80"/>
      <c r="F870" s="80"/>
      <c r="G870" s="80"/>
      <c r="H870" s="80"/>
      <c r="I870" s="80"/>
      <c r="J870" s="192">
        <f t="shared" si="560"/>
        <v>72</v>
      </c>
      <c r="K870" s="192">
        <f t="shared" si="561"/>
        <v>10</v>
      </c>
      <c r="L870" s="192" t="str">
        <f t="shared" si="556"/>
        <v/>
      </c>
      <c r="M870" s="216">
        <f t="shared" ca="1" si="562"/>
        <v>0</v>
      </c>
      <c r="N870" s="216"/>
      <c r="O870" s="216"/>
      <c r="P870" s="216"/>
      <c r="Q870" s="456" t="str">
        <f t="shared" ca="1" si="563"/>
        <v/>
      </c>
      <c r="R870" s="450">
        <f t="shared" ca="1" si="564"/>
        <v>1</v>
      </c>
      <c r="S870" s="191">
        <f t="shared" si="565"/>
        <v>72</v>
      </c>
      <c r="T870" s="191">
        <f t="shared" si="566"/>
        <v>10</v>
      </c>
      <c r="U870" s="191">
        <f ca="1">OP!$D$5+$S870-1</f>
        <v>104</v>
      </c>
      <c r="V870" s="191" t="str">
        <f t="shared" si="567"/>
        <v/>
      </c>
      <c r="W870" s="350">
        <f ca="1">IF(Q870&lt;&gt;1,0,VLOOKUP(OP!$C$55,PVFB,$S870+2,0))</f>
        <v>0</v>
      </c>
      <c r="X870" s="473">
        <f t="shared" ca="1" si="580"/>
        <v>0</v>
      </c>
      <c r="Y870" s="348">
        <f t="shared" ca="1" si="581"/>
        <v>0</v>
      </c>
      <c r="Z870" s="348">
        <f t="shared" ca="1" si="582"/>
        <v>8012</v>
      </c>
      <c r="AA870" s="348">
        <f ca="1">IF(Q870&lt;&gt;1,0,VLOOKUP(OP!$C$55,PVFB,$S870+2,0))</f>
        <v>0</v>
      </c>
      <c r="AB870" s="488" t="str">
        <f ca="1">IF(AND(S870&lt;OP!$C$24,$U870&lt;15),0,IF(AND($U870&lt;15,$T870=12),ROUND(VLOOKUP($S870,DOWN16,5,0),3),IF($T870=12,ROUND(($Z870/10000)*$AA870,3)+IF(AND($P$7="購買增額繳清保險",T870=12,U870=110),VLOOKUP(S870,$B$10:$H$121,7,0),0),"")))</f>
        <v/>
      </c>
      <c r="AC870" s="350" t="str">
        <f ca="1">IF(AND(S870&lt;OP!$C$24,$U870&lt;15),0,IF(AND($U870&lt;16,$T870=12),VLOOKUP($S870,DOWN16,4,0),IF($T870=12,ROUND(VLOOKUP(OP!$C$55,_DIE2,$S870+1,0)*(Z870/10000),0)+IF(AND($P$7="購買增額繳清保險",T870=12,U870=110),VLOOKUP(S870,$B$10:$H$121,7,0),0),"")))</f>
        <v/>
      </c>
      <c r="AD870" s="347"/>
      <c r="AE870" s="350" t="str">
        <f t="shared" ca="1" si="557"/>
        <v/>
      </c>
      <c r="AF870" s="351" t="str">
        <f t="shared" ca="1" si="558"/>
        <v/>
      </c>
      <c r="AG870" s="340"/>
      <c r="AH870" s="340"/>
      <c r="AI870" s="340"/>
      <c r="AJ870" s="340"/>
      <c r="AK870" s="340"/>
      <c r="AL870" s="340"/>
      <c r="AM870" s="340"/>
      <c r="AN870" s="340"/>
      <c r="AO870" s="340"/>
      <c r="AP870" s="340"/>
      <c r="AQ870" s="340"/>
      <c r="AR870" s="340"/>
      <c r="AS870" s="340"/>
      <c r="AT870" s="340"/>
      <c r="AU870" s="340"/>
      <c r="AV870" s="340"/>
      <c r="AY870" s="340"/>
      <c r="AZ870" s="465">
        <f t="shared" ca="1" si="568"/>
        <v>7.3698599999999999E-5</v>
      </c>
      <c r="BA870" s="464">
        <f t="shared" ca="1" si="569"/>
        <v>2.2109589000000002E-3</v>
      </c>
      <c r="BB870" s="465">
        <f t="shared" ca="1" si="569"/>
        <v>2.2846575E-3</v>
      </c>
      <c r="BC870" s="466">
        <f t="shared" ca="1" si="570"/>
        <v>69093</v>
      </c>
      <c r="BD870" s="467">
        <f t="shared" ca="1" si="583"/>
        <v>69094</v>
      </c>
      <c r="BE870" s="467">
        <f t="shared" ca="1" si="571"/>
        <v>69123</v>
      </c>
      <c r="BF870" s="468">
        <f ca="1">IF(計算!$BC870&lt;OP!$C$3,0,BD870-BC870)</f>
        <v>1</v>
      </c>
      <c r="BG870" s="468">
        <f ca="1">IF($BE870&gt;DATE(YEAR($BD$9)+OP!$C$57,MONTH($BD$9),DAY($BD$9)),0,$BE870-$BD870+1)</f>
        <v>30</v>
      </c>
      <c r="BH870" s="469">
        <f t="shared" ca="1" si="572"/>
        <v>31</v>
      </c>
      <c r="BI870" t="str">
        <f t="shared" si="588"/>
        <v/>
      </c>
      <c r="BJ870">
        <v>9</v>
      </c>
      <c r="BN870" s="468">
        <f t="shared" si="584"/>
        <v>72</v>
      </c>
      <c r="BO870" s="468">
        <f t="shared" si="585"/>
        <v>9</v>
      </c>
      <c r="BP870" s="467">
        <f t="shared" ca="1" si="573"/>
        <v>69094</v>
      </c>
      <c r="BQ870" s="475">
        <f t="shared" ca="1" si="587"/>
        <v>104</v>
      </c>
      <c r="BR870" s="475" t="str">
        <f t="shared" si="586"/>
        <v/>
      </c>
      <c r="BS870" s="471" t="str">
        <f t="shared" si="574"/>
        <v/>
      </c>
      <c r="BT870" s="472" t="str">
        <f t="shared" si="589"/>
        <v/>
      </c>
      <c r="BU870" s="472">
        <f t="shared" ca="1" si="575"/>
        <v>0</v>
      </c>
      <c r="BV870" s="472">
        <f t="shared" ca="1" si="575"/>
        <v>0</v>
      </c>
      <c r="BW870" s="472"/>
      <c r="BX870" s="473">
        <f t="shared" ca="1" si="576"/>
        <v>2165067.9811594002</v>
      </c>
      <c r="BY870" s="473">
        <f t="shared" si="577"/>
        <v>0</v>
      </c>
      <c r="BZ870" s="473">
        <f t="shared" ca="1" si="559"/>
        <v>4946.4388011660003</v>
      </c>
      <c r="CA870" s="476">
        <f t="shared" ca="1" si="578"/>
        <v>0</v>
      </c>
      <c r="CB870" s="494">
        <f ca="1">IF(OR($Q869&lt;&gt;1,OP!$D$5+$BN870-1&lt;16,$BN870-1&lt;1),0,ROUND(ROUND(ROUND(((VLOOKUP($BN870-1,MORE_PV,5,0)/10000)*VLOOKUP($BN870,MORE_PV,$CB$5,0)),3)*VLOOKUP($BN870,more1,5,0),0)/$R869,0))</f>
        <v>0</v>
      </c>
      <c r="CC870" s="473">
        <f t="shared" ca="1" si="579"/>
        <v>0</v>
      </c>
      <c r="CD870" s="477"/>
    </row>
    <row r="871" spans="2:82" ht="16.5" hidden="1">
      <c r="B871" s="80"/>
      <c r="C871" s="80"/>
      <c r="D871" s="80"/>
      <c r="E871" s="80"/>
      <c r="F871" s="80"/>
      <c r="G871" s="80"/>
      <c r="H871" s="80"/>
      <c r="I871" s="80"/>
      <c r="J871" s="192">
        <f t="shared" si="560"/>
        <v>72</v>
      </c>
      <c r="K871" s="192">
        <f t="shared" si="561"/>
        <v>11</v>
      </c>
      <c r="L871" s="192" t="str">
        <f t="shared" si="556"/>
        <v/>
      </c>
      <c r="M871" s="216">
        <f t="shared" ca="1" si="562"/>
        <v>0</v>
      </c>
      <c r="N871" s="216"/>
      <c r="O871" s="216"/>
      <c r="P871" s="216"/>
      <c r="Q871" s="456" t="str">
        <f t="shared" ca="1" si="563"/>
        <v/>
      </c>
      <c r="R871" s="450">
        <f t="shared" ca="1" si="564"/>
        <v>1</v>
      </c>
      <c r="S871" s="191">
        <f t="shared" si="565"/>
        <v>72</v>
      </c>
      <c r="T871" s="191">
        <f t="shared" si="566"/>
        <v>11</v>
      </c>
      <c r="U871" s="191">
        <f ca="1">OP!$D$5+$S871-1</f>
        <v>104</v>
      </c>
      <c r="V871" s="191" t="str">
        <f t="shared" si="567"/>
        <v/>
      </c>
      <c r="W871" s="350">
        <f ca="1">IF(Q871&lt;&gt;1,0,VLOOKUP(OP!$C$55,PVFB,$S871+2,0))</f>
        <v>0</v>
      </c>
      <c r="X871" s="473">
        <f t="shared" ca="1" si="580"/>
        <v>0</v>
      </c>
      <c r="Y871" s="348">
        <f t="shared" ca="1" si="581"/>
        <v>0</v>
      </c>
      <c r="Z871" s="348">
        <f t="shared" ca="1" si="582"/>
        <v>8012</v>
      </c>
      <c r="AA871" s="348">
        <f ca="1">IF(Q871&lt;&gt;1,0,VLOOKUP(OP!$C$55,PVFB,$S871+2,0))</f>
        <v>0</v>
      </c>
      <c r="AB871" s="488" t="str">
        <f ca="1">IF(AND(S871&lt;OP!$C$24,$U871&lt;15),0,IF(AND($U871&lt;15,$T871=12),ROUND(VLOOKUP($S871,DOWN16,5,0),3),IF($T871=12,ROUND(($Z871/10000)*$AA871,3)+IF(AND($P$7="購買增額繳清保險",T871=12,U871=110),VLOOKUP(S871,$B$10:$H$121,7,0),0),"")))</f>
        <v/>
      </c>
      <c r="AC871" s="350" t="str">
        <f ca="1">IF(AND(S871&lt;OP!$C$24,$U871&lt;15),0,IF(AND($U871&lt;16,$T871=12),VLOOKUP($S871,DOWN16,4,0),IF($T871=12,ROUND(VLOOKUP(OP!$C$55,_DIE2,$S871+1,0)*(Z871/10000),0)+IF(AND($P$7="購買增額繳清保險",T871=12,U871=110),VLOOKUP(S871,$B$10:$H$121,7,0),0),"")))</f>
        <v/>
      </c>
      <c r="AD871" s="347"/>
      <c r="AE871" s="350" t="str">
        <f t="shared" ca="1" si="557"/>
        <v/>
      </c>
      <c r="AF871" s="351" t="str">
        <f t="shared" ca="1" si="558"/>
        <v/>
      </c>
      <c r="AG871" s="340"/>
      <c r="AH871" s="340"/>
      <c r="AI871" s="340"/>
      <c r="AJ871" s="340"/>
      <c r="AK871" s="340"/>
      <c r="AL871" s="340"/>
      <c r="AM871" s="340"/>
      <c r="AN871" s="340"/>
      <c r="AO871" s="340"/>
      <c r="AP871" s="340"/>
      <c r="AQ871" s="340"/>
      <c r="AR871" s="340"/>
      <c r="AS871" s="340"/>
      <c r="AT871" s="340"/>
      <c r="AU871" s="340"/>
      <c r="AV871" s="340"/>
      <c r="AY871" s="340"/>
      <c r="AZ871" s="465">
        <f t="shared" ca="1" si="568"/>
        <v>7.3698599999999999E-5</v>
      </c>
      <c r="BA871" s="464">
        <f t="shared" ca="1" si="569"/>
        <v>2.1372602999999999E-3</v>
      </c>
      <c r="BB871" s="465">
        <f t="shared" ca="1" si="569"/>
        <v>2.2109589000000002E-3</v>
      </c>
      <c r="BC871" s="466">
        <f t="shared" ca="1" si="570"/>
        <v>69124</v>
      </c>
      <c r="BD871" s="467">
        <f t="shared" ca="1" si="583"/>
        <v>69125</v>
      </c>
      <c r="BE871" s="467">
        <f t="shared" ca="1" si="571"/>
        <v>69153</v>
      </c>
      <c r="BF871" s="468">
        <f ca="1">IF(計算!$BC871&lt;OP!$C$3,0,BD871-BC871)</f>
        <v>1</v>
      </c>
      <c r="BG871" s="468">
        <f ca="1">IF($BE871&gt;DATE(YEAR($BD$9)+OP!$C$57,MONTH($BD$9),DAY($BD$9)),0,$BE871-$BD871+1)</f>
        <v>29</v>
      </c>
      <c r="BH871" s="469">
        <f t="shared" ca="1" si="572"/>
        <v>30</v>
      </c>
      <c r="BI871" t="str">
        <f t="shared" si="588"/>
        <v/>
      </c>
      <c r="BJ871">
        <v>10</v>
      </c>
      <c r="BN871" s="468">
        <f t="shared" si="584"/>
        <v>72</v>
      </c>
      <c r="BO871" s="468">
        <f t="shared" si="585"/>
        <v>10</v>
      </c>
      <c r="BP871" s="467">
        <f t="shared" ca="1" si="573"/>
        <v>69125</v>
      </c>
      <c r="BQ871" s="475">
        <f t="shared" ca="1" si="587"/>
        <v>104</v>
      </c>
      <c r="BR871" s="475" t="str">
        <f t="shared" si="586"/>
        <v/>
      </c>
      <c r="BS871" s="471" t="str">
        <f t="shared" si="574"/>
        <v/>
      </c>
      <c r="BT871" s="472" t="str">
        <f t="shared" si="589"/>
        <v/>
      </c>
      <c r="BU871" s="472">
        <f t="shared" ca="1" si="575"/>
        <v>0</v>
      </c>
      <c r="BV871" s="472">
        <f t="shared" ca="1" si="575"/>
        <v>0</v>
      </c>
      <c r="BW871" s="472"/>
      <c r="BX871" s="473">
        <f t="shared" ca="1" si="576"/>
        <v>2170014.4199605701</v>
      </c>
      <c r="BY871" s="473">
        <f t="shared" si="577"/>
        <v>0</v>
      </c>
      <c r="BZ871" s="473">
        <f t="shared" ca="1" si="559"/>
        <v>4797.8126949400003</v>
      </c>
      <c r="CA871" s="476">
        <f t="shared" ca="1" si="578"/>
        <v>0</v>
      </c>
      <c r="CB871" s="494">
        <f ca="1">IF(OR($Q870&lt;&gt;1,OP!$D$5+$BN871-1&lt;16,$BN871-1&lt;1),0,ROUND(ROUND(ROUND(((VLOOKUP($BN871-1,MORE_PV,5,0)/10000)*VLOOKUP($BN871,MORE_PV,$CB$5,0)),3)*VLOOKUP($BN871,more1,5,0),0)/$R870,0))</f>
        <v>0</v>
      </c>
      <c r="CC871" s="473">
        <f t="shared" ca="1" si="579"/>
        <v>0</v>
      </c>
      <c r="CD871" s="477"/>
    </row>
    <row r="872" spans="2:82" ht="16.5" hidden="1">
      <c r="B872" s="80"/>
      <c r="C872" s="80"/>
      <c r="D872" s="80"/>
      <c r="E872" s="80"/>
      <c r="F872" s="80"/>
      <c r="G872" s="80"/>
      <c r="H872" s="80"/>
      <c r="I872" s="80"/>
      <c r="J872" s="192">
        <f t="shared" si="560"/>
        <v>72</v>
      </c>
      <c r="K872" s="192">
        <f t="shared" si="561"/>
        <v>12</v>
      </c>
      <c r="L872" s="192">
        <f t="shared" si="556"/>
        <v>72</v>
      </c>
      <c r="M872" s="216">
        <f t="shared" ca="1" si="562"/>
        <v>2204488</v>
      </c>
      <c r="N872" s="216"/>
      <c r="O872" s="216"/>
      <c r="P872" s="216"/>
      <c r="Q872" s="456">
        <f t="shared" ca="1" si="563"/>
        <v>1</v>
      </c>
      <c r="R872" s="450">
        <f t="shared" ca="1" si="564"/>
        <v>1</v>
      </c>
      <c r="S872" s="191">
        <f t="shared" si="565"/>
        <v>72</v>
      </c>
      <c r="T872" s="191">
        <f t="shared" si="566"/>
        <v>12</v>
      </c>
      <c r="U872" s="191">
        <f ca="1">OP!$D$5+$S872-1</f>
        <v>104</v>
      </c>
      <c r="V872" s="191">
        <f t="shared" si="567"/>
        <v>72</v>
      </c>
      <c r="W872" s="350">
        <f ca="1">IF(Q872&lt;&gt;1,0,VLOOKUP(OP!$C$55,PVFB,$S872+2,0))</f>
        <v>102231</v>
      </c>
      <c r="X872" s="473">
        <f t="shared" ca="1" si="580"/>
        <v>24548</v>
      </c>
      <c r="Y872" s="348">
        <f t="shared" ca="1" si="581"/>
        <v>0</v>
      </c>
      <c r="Z872" s="348">
        <f t="shared" ca="1" si="582"/>
        <v>8012</v>
      </c>
      <c r="AA872" s="348">
        <f ca="1">IF(Q872&lt;&gt;1,0,VLOOKUP(OP!$C$55,PVFB,$S872+2,0))</f>
        <v>102231</v>
      </c>
      <c r="AB872" s="488">
        <f ca="1">IF(AND(S872&lt;OP!$C$24,$U872&lt;15),0,IF(AND($U872&lt;15,$T872=12),ROUND(VLOOKUP($S872,DOWN16,5,0),3),IF($T872=12,ROUND(($Z872/10000)*$AA872,3)+IF(AND($P$7="購買增額繳清保險",T872=12,U872=110),VLOOKUP(S872,$B$10:$H$121,7,0),0),"")))</f>
        <v>81907.476999999999</v>
      </c>
      <c r="AC872" s="350">
        <f ca="1">IF(AND(S872&lt;OP!$C$24,$U872&lt;15),0,IF(AND($U872&lt;16,$T872=12),VLOOKUP($S872,DOWN16,4,0),IF($T872=12,ROUND(VLOOKUP(OP!$C$55,_DIE2,$S872+1,0)*(Z872/10000),0)+IF(AND($P$7="購買增額繳清保險",T872=12,U872=110),VLOOKUP(S872,$B$10:$H$121,7,0),0),"")))</f>
        <v>82043</v>
      </c>
      <c r="AD872" s="347"/>
      <c r="AE872" s="350" t="str">
        <f t="shared" ca="1" si="557"/>
        <v/>
      </c>
      <c r="AF872" s="351" t="str">
        <f t="shared" ca="1" si="558"/>
        <v/>
      </c>
      <c r="AG872" s="340"/>
      <c r="AH872" s="340"/>
      <c r="AI872" s="340"/>
      <c r="AJ872" s="340"/>
      <c r="AK872" s="340"/>
      <c r="AL872" s="340"/>
      <c r="AM872" s="340"/>
      <c r="AN872" s="340"/>
      <c r="AO872" s="340"/>
      <c r="AP872" s="340"/>
      <c r="AQ872" s="340"/>
      <c r="AR872" s="340"/>
      <c r="AS872" s="340"/>
      <c r="AT872" s="340"/>
      <c r="AU872" s="340"/>
      <c r="AV872" s="340"/>
      <c r="AY872" s="340"/>
      <c r="AZ872" s="465">
        <f t="shared" ca="1" si="568"/>
        <v>7.3698599999999999E-5</v>
      </c>
      <c r="BA872" s="464">
        <f t="shared" ca="1" si="569"/>
        <v>2.2109589000000002E-3</v>
      </c>
      <c r="BB872" s="465">
        <f t="shared" ca="1" si="569"/>
        <v>2.2846575E-3</v>
      </c>
      <c r="BC872" s="466">
        <f t="shared" ca="1" si="570"/>
        <v>69154</v>
      </c>
      <c r="BD872" s="467">
        <f t="shared" ca="1" si="583"/>
        <v>69155</v>
      </c>
      <c r="BE872" s="467">
        <f t="shared" ca="1" si="571"/>
        <v>69184</v>
      </c>
      <c r="BF872" s="468">
        <f ca="1">IF(計算!$BC872&lt;OP!$C$3,0,BD872-BC872)</f>
        <v>1</v>
      </c>
      <c r="BG872" s="468">
        <f ca="1">IF($BE872&gt;DATE(YEAR($BD$9)+OP!$C$57,MONTH($BD$9),DAY($BD$9)),0,$BE872-$BD872+1)</f>
        <v>30</v>
      </c>
      <c r="BH872" s="469">
        <f t="shared" ca="1" si="572"/>
        <v>31</v>
      </c>
      <c r="BI872" t="str">
        <f t="shared" si="588"/>
        <v/>
      </c>
      <c r="BJ872">
        <v>11</v>
      </c>
      <c r="BN872" s="468">
        <f t="shared" si="584"/>
        <v>72</v>
      </c>
      <c r="BO872" s="468">
        <f t="shared" si="585"/>
        <v>11</v>
      </c>
      <c r="BP872" s="467">
        <f t="shared" ca="1" si="573"/>
        <v>69155</v>
      </c>
      <c r="BQ872" s="475">
        <f t="shared" ca="1" si="587"/>
        <v>104</v>
      </c>
      <c r="BR872" s="475" t="str">
        <f t="shared" si="586"/>
        <v/>
      </c>
      <c r="BS872" s="471" t="str">
        <f t="shared" si="574"/>
        <v/>
      </c>
      <c r="BT872" s="472" t="str">
        <f t="shared" si="589"/>
        <v/>
      </c>
      <c r="BU872" s="472">
        <f t="shared" ca="1" si="575"/>
        <v>0</v>
      </c>
      <c r="BV872" s="472">
        <f t="shared" ca="1" si="575"/>
        <v>0</v>
      </c>
      <c r="BW872" s="472"/>
      <c r="BX872" s="473">
        <f t="shared" ca="1" si="576"/>
        <v>2174812.2326555098</v>
      </c>
      <c r="BY872" s="473">
        <f t="shared" si="577"/>
        <v>0</v>
      </c>
      <c r="BZ872" s="473">
        <f t="shared" ca="1" si="559"/>
        <v>4968.7010784280001</v>
      </c>
      <c r="CA872" s="476">
        <f t="shared" ca="1" si="578"/>
        <v>0</v>
      </c>
      <c r="CB872" s="494">
        <f ca="1">IF(OR($Q871&lt;&gt;1,OP!$D$5+$BN872-1&lt;16,$BN872-1&lt;1),0,ROUND(ROUND(ROUND(((VLOOKUP($BN872-1,MORE_PV,5,0)/10000)*VLOOKUP($BN872,MORE_PV,$CB$5,0)),3)*VLOOKUP($BN872,more1,5,0),0)/$R871,0))</f>
        <v>0</v>
      </c>
      <c r="CC872" s="473">
        <f t="shared" ca="1" si="579"/>
        <v>0</v>
      </c>
      <c r="CD872" s="477"/>
    </row>
    <row r="873" spans="2:82" ht="16.5" hidden="1">
      <c r="B873" s="80"/>
      <c r="C873" s="80"/>
      <c r="D873" s="80"/>
      <c r="E873" s="80"/>
      <c r="F873" s="80"/>
      <c r="G873" s="80"/>
      <c r="H873" s="80"/>
      <c r="I873" s="80"/>
      <c r="J873" s="192">
        <f t="shared" si="560"/>
        <v>73</v>
      </c>
      <c r="K873" s="192">
        <f t="shared" si="561"/>
        <v>1</v>
      </c>
      <c r="L873" s="192" t="str">
        <f t="shared" si="556"/>
        <v/>
      </c>
      <c r="M873" s="216">
        <f t="shared" ca="1" si="562"/>
        <v>0</v>
      </c>
      <c r="N873" s="216"/>
      <c r="O873" s="216"/>
      <c r="P873" s="216"/>
      <c r="Q873" s="456" t="str">
        <f t="shared" ca="1" si="563"/>
        <v/>
      </c>
      <c r="R873" s="450">
        <f t="shared" ca="1" si="564"/>
        <v>1</v>
      </c>
      <c r="S873" s="191">
        <f t="shared" si="565"/>
        <v>73</v>
      </c>
      <c r="T873" s="191">
        <f t="shared" si="566"/>
        <v>1</v>
      </c>
      <c r="U873" s="191">
        <f ca="1">OP!$D$5+$S873-1</f>
        <v>105</v>
      </c>
      <c r="V873" s="191" t="str">
        <f t="shared" si="567"/>
        <v/>
      </c>
      <c r="W873" s="350">
        <f ca="1">IF(Q873&lt;&gt;1,0,VLOOKUP(OP!$C$55,PVFB,$S873+2,0))</f>
        <v>0</v>
      </c>
      <c r="X873" s="473">
        <f t="shared" ca="1" si="580"/>
        <v>0</v>
      </c>
      <c r="Y873" s="348">
        <f t="shared" ca="1" si="581"/>
        <v>0</v>
      </c>
      <c r="Z873" s="348">
        <f t="shared" ca="1" si="582"/>
        <v>8012</v>
      </c>
      <c r="AA873" s="348">
        <f ca="1">IF(Q873&lt;&gt;1,0,VLOOKUP(OP!$C$55,PVFB,$S873+2,0))</f>
        <v>0</v>
      </c>
      <c r="AB873" s="488" t="str">
        <f ca="1">IF(AND(S873&lt;OP!$C$24,$U873&lt;15),0,IF(AND($U873&lt;15,$T873=12),ROUND(VLOOKUP($S873,DOWN16,5,0),3),IF($T873=12,ROUND(($Z873/10000)*$AA873,3)+IF(AND($P$7="購買增額繳清保險",T873=12,U873=110),VLOOKUP(S873,$B$10:$H$121,7,0),0),"")))</f>
        <v/>
      </c>
      <c r="AC873" s="350" t="str">
        <f ca="1">IF(AND(S873&lt;OP!$C$24,$U873&lt;15),0,IF(AND($U873&lt;16,$T873=12),VLOOKUP($S873,DOWN16,4,0),IF($T873=12,ROUND(VLOOKUP(OP!$C$55,_DIE2,$S873+1,0)*(Z873/10000),0)+IF(AND($P$7="購買增額繳清保險",T873=12,U873=110),VLOOKUP(S873,$B$10:$H$121,7,0),0),"")))</f>
        <v/>
      </c>
      <c r="AD873" s="347"/>
      <c r="AE873" s="350" t="str">
        <f t="shared" ca="1" si="557"/>
        <v/>
      </c>
      <c r="AF873" s="351" t="str">
        <f t="shared" ca="1" si="558"/>
        <v/>
      </c>
      <c r="AG873" s="340"/>
      <c r="AH873" s="340"/>
      <c r="AI873" s="340"/>
      <c r="AJ873" s="340"/>
      <c r="AK873" s="340"/>
      <c r="AL873" s="340"/>
      <c r="AM873" s="340"/>
      <c r="AN873" s="340"/>
      <c r="AO873" s="340"/>
      <c r="AP873" s="340"/>
      <c r="AQ873" s="340"/>
      <c r="AR873" s="340"/>
      <c r="AS873" s="340"/>
      <c r="AT873" s="340"/>
      <c r="AU873" s="340"/>
      <c r="AV873" s="340"/>
      <c r="AY873" s="340"/>
      <c r="AZ873" s="465">
        <f t="shared" ca="1" si="568"/>
        <v>7.3698599999999999E-5</v>
      </c>
      <c r="BA873" s="464">
        <f t="shared" ca="1" si="569"/>
        <v>2.1372602999999999E-3</v>
      </c>
      <c r="BB873" s="465">
        <f t="shared" ca="1" si="569"/>
        <v>2.2109589000000002E-3</v>
      </c>
      <c r="BC873" s="466">
        <f t="shared" ca="1" si="570"/>
        <v>69185</v>
      </c>
      <c r="BD873" s="467">
        <f t="shared" ca="1" si="583"/>
        <v>69186</v>
      </c>
      <c r="BE873" s="467">
        <f t="shared" ca="1" si="571"/>
        <v>69214</v>
      </c>
      <c r="BF873" s="468">
        <f ca="1">IF(計算!$BC873&lt;OP!$C$3,0,BD873-BC873)</f>
        <v>1</v>
      </c>
      <c r="BG873" s="468">
        <f ca="1">IF($BE873&gt;DATE(YEAR($BD$9)+OP!$C$57,MONTH($BD$9),DAY($BD$9)),0,$BE873-$BD873+1)</f>
        <v>29</v>
      </c>
      <c r="BH873" s="469">
        <f t="shared" ca="1" si="572"/>
        <v>30</v>
      </c>
      <c r="BI873">
        <f t="shared" ca="1" si="588"/>
        <v>365</v>
      </c>
      <c r="BJ873">
        <v>12</v>
      </c>
      <c r="BN873" s="468">
        <f t="shared" si="584"/>
        <v>72</v>
      </c>
      <c r="BO873" s="468">
        <f t="shared" si="585"/>
        <v>12</v>
      </c>
      <c r="BP873" s="467">
        <f t="shared" ca="1" si="573"/>
        <v>69186</v>
      </c>
      <c r="BQ873" s="475">
        <f t="shared" ca="1" si="587"/>
        <v>104</v>
      </c>
      <c r="BR873" s="475">
        <f t="shared" si="586"/>
        <v>72</v>
      </c>
      <c r="BS873" s="471">
        <f t="shared" ca="1" si="574"/>
        <v>24548</v>
      </c>
      <c r="BT873" s="472">
        <f t="shared" ca="1" si="589"/>
        <v>2204488</v>
      </c>
      <c r="BU873" s="472">
        <f t="shared" ca="1" si="575"/>
        <v>23983</v>
      </c>
      <c r="BV873" s="472">
        <f t="shared" ca="1" si="575"/>
        <v>565</v>
      </c>
      <c r="BW873" s="472">
        <f ca="1">ROUND(SUM(BY873,BZ861:BZ872),0)</f>
        <v>57795</v>
      </c>
      <c r="BX873" s="473">
        <f t="shared" ca="1" si="576"/>
        <v>2204489.5805370598</v>
      </c>
      <c r="BY873" s="473">
        <f t="shared" ca="1" si="577"/>
        <v>160.64680312300001</v>
      </c>
      <c r="BZ873" s="473">
        <f t="shared" ca="1" si="559"/>
        <v>4711.5680622460004</v>
      </c>
      <c r="CA873" s="476">
        <f t="shared" ca="1" si="578"/>
        <v>23983</v>
      </c>
      <c r="CB873" s="494">
        <f ca="1">IF(OR($Q872&lt;&gt;1,OP!$D$5+$BN873-1&lt;16,$BN873-1&lt;1),0,ROUND(ROUND(ROUND(((VLOOKUP($BN873-1,MORE_PV,5,0)/10000)*VLOOKUP($BN873,MORE_PV,$CB$5,0)),3)*VLOOKUP($BN873,more1,5,0),0)/$R872,0))</f>
        <v>565</v>
      </c>
      <c r="CC873" s="473">
        <f t="shared" ca="1" si="579"/>
        <v>0</v>
      </c>
      <c r="CD873" s="477"/>
    </row>
    <row r="874" spans="2:82" ht="16.5" hidden="1">
      <c r="B874" s="80"/>
      <c r="C874" s="80"/>
      <c r="D874" s="80"/>
      <c r="E874" s="80"/>
      <c r="F874" s="80"/>
      <c r="G874" s="80"/>
      <c r="H874" s="80"/>
      <c r="I874" s="80"/>
      <c r="J874" s="192">
        <f t="shared" si="560"/>
        <v>73</v>
      </c>
      <c r="K874" s="192">
        <f t="shared" si="561"/>
        <v>2</v>
      </c>
      <c r="L874" s="192" t="str">
        <f t="shared" si="556"/>
        <v/>
      </c>
      <c r="M874" s="216">
        <f t="shared" ca="1" si="562"/>
        <v>0</v>
      </c>
      <c r="N874" s="216"/>
      <c r="O874" s="216"/>
      <c r="P874" s="216"/>
      <c r="Q874" s="456" t="str">
        <f t="shared" ca="1" si="563"/>
        <v/>
      </c>
      <c r="R874" s="450">
        <f t="shared" ca="1" si="564"/>
        <v>1</v>
      </c>
      <c r="S874" s="191">
        <f t="shared" si="565"/>
        <v>73</v>
      </c>
      <c r="T874" s="191">
        <f t="shared" si="566"/>
        <v>2</v>
      </c>
      <c r="U874" s="191">
        <f ca="1">OP!$D$5+$S874-1</f>
        <v>105</v>
      </c>
      <c r="V874" s="191" t="str">
        <f t="shared" si="567"/>
        <v/>
      </c>
      <c r="W874" s="350">
        <f ca="1">IF(Q874&lt;&gt;1,0,VLOOKUP(OP!$C$55,PVFB,$S874+2,0))</f>
        <v>0</v>
      </c>
      <c r="X874" s="473">
        <f t="shared" ca="1" si="580"/>
        <v>0</v>
      </c>
      <c r="Y874" s="348">
        <f t="shared" ca="1" si="581"/>
        <v>0</v>
      </c>
      <c r="Z874" s="348">
        <f t="shared" ca="1" si="582"/>
        <v>8012</v>
      </c>
      <c r="AA874" s="348">
        <f ca="1">IF(Q874&lt;&gt;1,0,VLOOKUP(OP!$C$55,PVFB,$S874+2,0))</f>
        <v>0</v>
      </c>
      <c r="AB874" s="488" t="str">
        <f ca="1">IF(AND(S874&lt;OP!$C$24,$U874&lt;15),0,IF(AND($U874&lt;15,$T874=12),ROUND(VLOOKUP($S874,DOWN16,5,0),3),IF($T874=12,ROUND(($Z874/10000)*$AA874,3)+IF(AND($P$7="購買增額繳清保險",T874=12,U874=110),VLOOKUP(S874,$B$10:$H$121,7,0),0),"")))</f>
        <v/>
      </c>
      <c r="AC874" s="350" t="str">
        <f ca="1">IF(AND(S874&lt;OP!$C$24,$U874&lt;15),0,IF(AND($U874&lt;16,$T874=12),VLOOKUP($S874,DOWN16,4,0),IF($T874=12,ROUND(VLOOKUP(OP!$C$55,_DIE2,$S874+1,0)*(Z874/10000),0)+IF(AND($P$7="購買增額繳清保險",T874=12,U874=110),VLOOKUP(S874,$B$10:$H$121,7,0),0),"")))</f>
        <v/>
      </c>
      <c r="AD874" s="347"/>
      <c r="AE874" s="350" t="str">
        <f t="shared" ca="1" si="557"/>
        <v/>
      </c>
      <c r="AF874" s="351" t="str">
        <f t="shared" ca="1" si="558"/>
        <v/>
      </c>
      <c r="AG874" s="340"/>
      <c r="AH874" s="340"/>
      <c r="AI874" s="340"/>
      <c r="AJ874" s="340"/>
      <c r="AK874" s="340"/>
      <c r="AL874" s="340"/>
      <c r="AM874" s="340"/>
      <c r="AN874" s="340"/>
      <c r="AO874" s="340"/>
      <c r="AP874" s="340"/>
      <c r="AQ874" s="340"/>
      <c r="AR874" s="340"/>
      <c r="AS874" s="340"/>
      <c r="AT874" s="340"/>
      <c r="AU874" s="340"/>
      <c r="AV874" s="340"/>
      <c r="AY874" s="340"/>
      <c r="AZ874" s="465">
        <f t="shared" ca="1" si="568"/>
        <v>7.3698599999999999E-5</v>
      </c>
      <c r="BA874" s="464">
        <f t="shared" ca="1" si="569"/>
        <v>2.2109589000000002E-3</v>
      </c>
      <c r="BB874" s="465">
        <f t="shared" ca="1" si="569"/>
        <v>2.2846575E-3</v>
      </c>
      <c r="BC874" s="466">
        <f t="shared" ca="1" si="570"/>
        <v>69215</v>
      </c>
      <c r="BD874" s="467">
        <f t="shared" ca="1" si="583"/>
        <v>69216</v>
      </c>
      <c r="BE874" s="467">
        <f t="shared" ca="1" si="571"/>
        <v>69245</v>
      </c>
      <c r="BF874" s="468">
        <f ca="1">IF(計算!$BC874&lt;OP!$C$3,0,BD874-BC874)</f>
        <v>1</v>
      </c>
      <c r="BG874" s="468">
        <f ca="1">IF($BE874&gt;DATE(YEAR($BD$9)+OP!$C$57,MONTH($BD$9),DAY($BD$9)),0,$BE874-$BD874+1)</f>
        <v>30</v>
      </c>
      <c r="BH874" s="469">
        <f t="shared" ca="1" si="572"/>
        <v>31</v>
      </c>
      <c r="BI874" t="str">
        <f t="shared" si="588"/>
        <v/>
      </c>
      <c r="BJ874">
        <v>1</v>
      </c>
      <c r="BN874" s="468">
        <f t="shared" si="584"/>
        <v>73</v>
      </c>
      <c r="BO874" s="468">
        <f t="shared" si="585"/>
        <v>1</v>
      </c>
      <c r="BP874" s="467">
        <f t="shared" ca="1" si="573"/>
        <v>69216</v>
      </c>
      <c r="BQ874" s="475">
        <f t="shared" ca="1" si="587"/>
        <v>105</v>
      </c>
      <c r="BR874" s="475" t="str">
        <f t="shared" si="586"/>
        <v/>
      </c>
      <c r="BS874" s="471" t="str">
        <f t="shared" si="574"/>
        <v/>
      </c>
      <c r="BT874" s="472" t="str">
        <f t="shared" si="589"/>
        <v/>
      </c>
      <c r="BU874" s="472">
        <f t="shared" ca="1" si="575"/>
        <v>0</v>
      </c>
      <c r="BV874" s="472">
        <f t="shared" ca="1" si="575"/>
        <v>0</v>
      </c>
      <c r="BW874" s="472"/>
      <c r="BX874" s="473">
        <f t="shared" ca="1" si="576"/>
        <v>2209201.1485993098</v>
      </c>
      <c r="BY874" s="473">
        <f t="shared" si="577"/>
        <v>0</v>
      </c>
      <c r="BZ874" s="473">
        <f t="shared" ca="1" si="559"/>
        <v>5047.2679731560002</v>
      </c>
      <c r="CA874" s="476">
        <f t="shared" ca="1" si="578"/>
        <v>0</v>
      </c>
      <c r="CB874" s="494">
        <f ca="1">IF(OR($Q873&lt;&gt;1,OP!$D$5+$BN874-1&lt;16,$BN874-1&lt;1),0,ROUND(ROUND(ROUND(((VLOOKUP($BN874-1,MORE_PV,5,0)/10000)*VLOOKUP($BN874,MORE_PV,$CB$5,0)),3)*VLOOKUP($BN874,more1,5,0),0)/$R873,0))</f>
        <v>0</v>
      </c>
      <c r="CC874" s="473">
        <f t="shared" ca="1" si="579"/>
        <v>0</v>
      </c>
      <c r="CD874" s="477"/>
    </row>
    <row r="875" spans="2:82" ht="16.5" hidden="1">
      <c r="B875" s="80"/>
      <c r="C875" s="80"/>
      <c r="D875" s="80"/>
      <c r="E875" s="80"/>
      <c r="F875" s="80"/>
      <c r="G875" s="80"/>
      <c r="H875" s="80"/>
      <c r="I875" s="80"/>
      <c r="J875" s="192">
        <f t="shared" si="560"/>
        <v>73</v>
      </c>
      <c r="K875" s="192">
        <f t="shared" si="561"/>
        <v>3</v>
      </c>
      <c r="L875" s="192" t="str">
        <f t="shared" si="556"/>
        <v/>
      </c>
      <c r="M875" s="216">
        <f t="shared" ca="1" si="562"/>
        <v>0</v>
      </c>
      <c r="N875" s="216"/>
      <c r="O875" s="216"/>
      <c r="P875" s="216"/>
      <c r="Q875" s="456" t="str">
        <f t="shared" ca="1" si="563"/>
        <v/>
      </c>
      <c r="R875" s="450">
        <f t="shared" ca="1" si="564"/>
        <v>1</v>
      </c>
      <c r="S875" s="191">
        <f t="shared" si="565"/>
        <v>73</v>
      </c>
      <c r="T875" s="191">
        <f t="shared" si="566"/>
        <v>3</v>
      </c>
      <c r="U875" s="191">
        <f ca="1">OP!$D$5+$S875-1</f>
        <v>105</v>
      </c>
      <c r="V875" s="191" t="str">
        <f t="shared" si="567"/>
        <v/>
      </c>
      <c r="W875" s="350">
        <f ca="1">IF(Q875&lt;&gt;1,0,VLOOKUP(OP!$C$55,PVFB,$S875+2,0))</f>
        <v>0</v>
      </c>
      <c r="X875" s="473">
        <f t="shared" ca="1" si="580"/>
        <v>0</v>
      </c>
      <c r="Y875" s="348">
        <f t="shared" ca="1" si="581"/>
        <v>0</v>
      </c>
      <c r="Z875" s="348">
        <f t="shared" ca="1" si="582"/>
        <v>8012</v>
      </c>
      <c r="AA875" s="348">
        <f ca="1">IF(Q875&lt;&gt;1,0,VLOOKUP(OP!$C$55,PVFB,$S875+2,0))</f>
        <v>0</v>
      </c>
      <c r="AB875" s="488" t="str">
        <f ca="1">IF(AND(S875&lt;OP!$C$24,$U875&lt;15),0,IF(AND($U875&lt;15,$T875=12),ROUND(VLOOKUP($S875,DOWN16,5,0),3),IF($T875=12,ROUND(($Z875/10000)*$AA875,3)+IF(AND($P$7="購買增額繳清保險",T875=12,U875=110),VLOOKUP(S875,$B$10:$H$121,7,0),0),"")))</f>
        <v/>
      </c>
      <c r="AC875" s="350" t="str">
        <f ca="1">IF(AND(S875&lt;OP!$C$24,$U875&lt;15),0,IF(AND($U875&lt;16,$T875=12),VLOOKUP($S875,DOWN16,4,0),IF($T875=12,ROUND(VLOOKUP(OP!$C$55,_DIE2,$S875+1,0)*(Z875/10000),0)+IF(AND($P$7="購買增額繳清保險",T875=12,U875=110),VLOOKUP(S875,$B$10:$H$121,7,0),0),"")))</f>
        <v/>
      </c>
      <c r="AD875" s="347"/>
      <c r="AE875" s="350" t="str">
        <f t="shared" ca="1" si="557"/>
        <v/>
      </c>
      <c r="AF875" s="351" t="str">
        <f t="shared" ca="1" si="558"/>
        <v/>
      </c>
      <c r="AG875" s="340"/>
      <c r="AH875" s="340"/>
      <c r="AI875" s="340"/>
      <c r="AJ875" s="340"/>
      <c r="AK875" s="340"/>
      <c r="AL875" s="340"/>
      <c r="AM875" s="340"/>
      <c r="AN875" s="340"/>
      <c r="AO875" s="340"/>
      <c r="AP875" s="340"/>
      <c r="AQ875" s="340"/>
      <c r="AR875" s="340"/>
      <c r="AS875" s="340"/>
      <c r="AT875" s="340"/>
      <c r="AU875" s="340"/>
      <c r="AV875" s="340"/>
      <c r="AY875" s="340"/>
      <c r="AZ875" s="465">
        <f t="shared" ca="1" si="568"/>
        <v>7.3698599999999999E-5</v>
      </c>
      <c r="BA875" s="464">
        <f t="shared" ca="1" si="569"/>
        <v>2.2109589000000002E-3</v>
      </c>
      <c r="BB875" s="465">
        <f t="shared" ca="1" si="569"/>
        <v>2.2846575E-3</v>
      </c>
      <c r="BC875" s="466">
        <f t="shared" ca="1" si="570"/>
        <v>69246</v>
      </c>
      <c r="BD875" s="467">
        <f t="shared" ca="1" si="583"/>
        <v>69247</v>
      </c>
      <c r="BE875" s="467">
        <f t="shared" ca="1" si="571"/>
        <v>69276</v>
      </c>
      <c r="BF875" s="468">
        <f ca="1">IF(計算!$BC875&lt;OP!$C$3,0,BD875-BC875)</f>
        <v>1</v>
      </c>
      <c r="BG875" s="468">
        <f ca="1">IF($BE875&gt;DATE(YEAR($BD$9)+OP!$C$57,MONTH($BD$9),DAY($BD$9)),0,$BE875-$BD875+1)</f>
        <v>30</v>
      </c>
      <c r="BH875" s="469">
        <f t="shared" ca="1" si="572"/>
        <v>31</v>
      </c>
      <c r="BI875" t="str">
        <f t="shared" si="588"/>
        <v/>
      </c>
      <c r="BJ875">
        <v>2</v>
      </c>
      <c r="BN875" s="468">
        <f t="shared" si="584"/>
        <v>73</v>
      </c>
      <c r="BO875" s="468">
        <f t="shared" si="585"/>
        <v>2</v>
      </c>
      <c r="BP875" s="467">
        <f t="shared" ca="1" si="573"/>
        <v>69247</v>
      </c>
      <c r="BQ875" s="475">
        <f t="shared" ca="1" si="587"/>
        <v>105</v>
      </c>
      <c r="BR875" s="475" t="str">
        <f t="shared" si="586"/>
        <v/>
      </c>
      <c r="BS875" s="471" t="str">
        <f t="shared" si="574"/>
        <v/>
      </c>
      <c r="BT875" s="472" t="str">
        <f t="shared" si="589"/>
        <v/>
      </c>
      <c r="BU875" s="472">
        <f t="shared" ca="1" si="575"/>
        <v>0</v>
      </c>
      <c r="BV875" s="472">
        <f t="shared" ca="1" si="575"/>
        <v>0</v>
      </c>
      <c r="BW875" s="472"/>
      <c r="BX875" s="473">
        <f t="shared" ca="1" si="576"/>
        <v>2214248.4165724702</v>
      </c>
      <c r="BY875" s="473">
        <f t="shared" si="577"/>
        <v>0</v>
      </c>
      <c r="BZ875" s="473">
        <f t="shared" ca="1" si="559"/>
        <v>5058.7992517849998</v>
      </c>
      <c r="CA875" s="476">
        <f t="shared" ca="1" si="578"/>
        <v>0</v>
      </c>
      <c r="CB875" s="494">
        <f ca="1">IF(OR($Q874&lt;&gt;1,OP!$D$5+$BN875-1&lt;16,$BN875-1&lt;1),0,ROUND(ROUND(ROUND(((VLOOKUP($BN875-1,MORE_PV,5,0)/10000)*VLOOKUP($BN875,MORE_PV,$CB$5,0)),3)*VLOOKUP($BN875,more1,5,0),0)/$R874,0))</f>
        <v>0</v>
      </c>
      <c r="CC875" s="473">
        <f t="shared" ca="1" si="579"/>
        <v>0</v>
      </c>
      <c r="CD875" s="477"/>
    </row>
    <row r="876" spans="2:82" ht="16.5" hidden="1">
      <c r="B876" s="80"/>
      <c r="C876" s="80"/>
      <c r="D876" s="80"/>
      <c r="E876" s="80"/>
      <c r="F876" s="80"/>
      <c r="G876" s="80"/>
      <c r="H876" s="80"/>
      <c r="I876" s="80"/>
      <c r="J876" s="192">
        <f t="shared" si="560"/>
        <v>73</v>
      </c>
      <c r="K876" s="192">
        <f t="shared" si="561"/>
        <v>4</v>
      </c>
      <c r="L876" s="192" t="str">
        <f t="shared" si="556"/>
        <v/>
      </c>
      <c r="M876" s="216">
        <f t="shared" ca="1" si="562"/>
        <v>0</v>
      </c>
      <c r="N876" s="216"/>
      <c r="O876" s="216"/>
      <c r="P876" s="216"/>
      <c r="Q876" s="456" t="str">
        <f t="shared" ca="1" si="563"/>
        <v/>
      </c>
      <c r="R876" s="450">
        <f t="shared" ca="1" si="564"/>
        <v>1</v>
      </c>
      <c r="S876" s="191">
        <f t="shared" si="565"/>
        <v>73</v>
      </c>
      <c r="T876" s="191">
        <f t="shared" si="566"/>
        <v>4</v>
      </c>
      <c r="U876" s="191">
        <f ca="1">OP!$D$5+$S876-1</f>
        <v>105</v>
      </c>
      <c r="V876" s="191" t="str">
        <f t="shared" si="567"/>
        <v/>
      </c>
      <c r="W876" s="350">
        <f ca="1">IF(Q876&lt;&gt;1,0,VLOOKUP(OP!$C$55,PVFB,$S876+2,0))</f>
        <v>0</v>
      </c>
      <c r="X876" s="473">
        <f t="shared" ca="1" si="580"/>
        <v>0</v>
      </c>
      <c r="Y876" s="348">
        <f t="shared" ca="1" si="581"/>
        <v>0</v>
      </c>
      <c r="Z876" s="348">
        <f t="shared" ca="1" si="582"/>
        <v>8012</v>
      </c>
      <c r="AA876" s="348">
        <f ca="1">IF(Q876&lt;&gt;1,0,VLOOKUP(OP!$C$55,PVFB,$S876+2,0))</f>
        <v>0</v>
      </c>
      <c r="AB876" s="488" t="str">
        <f ca="1">IF(AND(S876&lt;OP!$C$24,$U876&lt;15),0,IF(AND($U876&lt;15,$T876=12),ROUND(VLOOKUP($S876,DOWN16,5,0),3),IF($T876=12,ROUND(($Z876/10000)*$AA876,3)+IF(AND($P$7="購買增額繳清保險",T876=12,U876=110),VLOOKUP(S876,$B$10:$H$121,7,0),0),"")))</f>
        <v/>
      </c>
      <c r="AC876" s="350" t="str">
        <f ca="1">IF(AND(S876&lt;OP!$C$24,$U876&lt;15),0,IF(AND($U876&lt;16,$T876=12),VLOOKUP($S876,DOWN16,4,0),IF($T876=12,ROUND(VLOOKUP(OP!$C$55,_DIE2,$S876+1,0)*(Z876/10000),0)+IF(AND($P$7="購買增額繳清保險",T876=12,U876=110),VLOOKUP(S876,$B$10:$H$121,7,0),0),"")))</f>
        <v/>
      </c>
      <c r="AD876" s="347"/>
      <c r="AE876" s="350" t="str">
        <f t="shared" ca="1" si="557"/>
        <v/>
      </c>
      <c r="AF876" s="351" t="str">
        <f t="shared" ca="1" si="558"/>
        <v/>
      </c>
      <c r="AG876" s="340"/>
      <c r="AH876" s="340"/>
      <c r="AI876" s="340"/>
      <c r="AJ876" s="340"/>
      <c r="AK876" s="340"/>
      <c r="AL876" s="340"/>
      <c r="AM876" s="340"/>
      <c r="AN876" s="340"/>
      <c r="AO876" s="340"/>
      <c r="AP876" s="340"/>
      <c r="AQ876" s="340"/>
      <c r="AR876" s="340"/>
      <c r="AS876" s="340"/>
      <c r="AT876" s="340"/>
      <c r="AU876" s="340"/>
      <c r="AV876" s="340"/>
      <c r="AY876" s="340"/>
      <c r="AZ876" s="465">
        <f t="shared" ca="1" si="568"/>
        <v>7.3698599999999999E-5</v>
      </c>
      <c r="BA876" s="464">
        <f t="shared" ca="1" si="569"/>
        <v>2.1372602999999999E-3</v>
      </c>
      <c r="BB876" s="465">
        <f t="shared" ca="1" si="569"/>
        <v>2.2109589000000002E-3</v>
      </c>
      <c r="BC876" s="466">
        <f t="shared" ca="1" si="570"/>
        <v>69277</v>
      </c>
      <c r="BD876" s="467">
        <f t="shared" ca="1" si="583"/>
        <v>69278</v>
      </c>
      <c r="BE876" s="467">
        <f t="shared" ca="1" si="571"/>
        <v>69306</v>
      </c>
      <c r="BF876" s="468">
        <f ca="1">IF(計算!$BC876&lt;OP!$C$3,0,BD876-BC876)</f>
        <v>1</v>
      </c>
      <c r="BG876" s="468">
        <f ca="1">IF($BE876&gt;DATE(YEAR($BD$9)+OP!$C$57,MONTH($BD$9),DAY($BD$9)),0,$BE876-$BD876+1)</f>
        <v>29</v>
      </c>
      <c r="BH876" s="469">
        <f t="shared" ca="1" si="572"/>
        <v>30</v>
      </c>
      <c r="BI876" t="str">
        <f t="shared" si="588"/>
        <v/>
      </c>
      <c r="BJ876">
        <v>3</v>
      </c>
      <c r="BN876" s="468">
        <f t="shared" si="584"/>
        <v>73</v>
      </c>
      <c r="BO876" s="468">
        <f t="shared" si="585"/>
        <v>3</v>
      </c>
      <c r="BP876" s="467">
        <f t="shared" ca="1" si="573"/>
        <v>69278</v>
      </c>
      <c r="BQ876" s="475">
        <f t="shared" ca="1" si="587"/>
        <v>105</v>
      </c>
      <c r="BR876" s="475" t="str">
        <f t="shared" si="586"/>
        <v/>
      </c>
      <c r="BS876" s="471" t="str">
        <f t="shared" si="574"/>
        <v/>
      </c>
      <c r="BT876" s="472" t="str">
        <f t="shared" si="589"/>
        <v/>
      </c>
      <c r="BU876" s="472">
        <f t="shared" ca="1" si="575"/>
        <v>0</v>
      </c>
      <c r="BV876" s="472">
        <f t="shared" ca="1" si="575"/>
        <v>0</v>
      </c>
      <c r="BW876" s="472"/>
      <c r="BX876" s="473">
        <f t="shared" ca="1" si="576"/>
        <v>2219307.2158242599</v>
      </c>
      <c r="BY876" s="473">
        <f t="shared" si="577"/>
        <v>0</v>
      </c>
      <c r="BZ876" s="473">
        <f t="shared" ca="1" si="559"/>
        <v>4906.7970406610002</v>
      </c>
      <c r="CA876" s="476">
        <f t="shared" ca="1" si="578"/>
        <v>0</v>
      </c>
      <c r="CB876" s="494">
        <f ca="1">IF(OR($Q875&lt;&gt;1,OP!$D$5+$BN876-1&lt;16,$BN876-1&lt;1),0,ROUND(ROUND(ROUND(((VLOOKUP($BN876-1,MORE_PV,5,0)/10000)*VLOOKUP($BN876,MORE_PV,$CB$5,0)),3)*VLOOKUP($BN876,more1,5,0),0)/$R875,0))</f>
        <v>0</v>
      </c>
      <c r="CC876" s="473">
        <f t="shared" ca="1" si="579"/>
        <v>0</v>
      </c>
      <c r="CD876" s="477"/>
    </row>
    <row r="877" spans="2:82" ht="16.5" hidden="1">
      <c r="B877" s="80"/>
      <c r="C877" s="80"/>
      <c r="D877" s="80"/>
      <c r="E877" s="80"/>
      <c r="F877" s="80"/>
      <c r="G877" s="80"/>
      <c r="H877" s="80"/>
      <c r="I877" s="80"/>
      <c r="J877" s="192">
        <f t="shared" si="560"/>
        <v>73</v>
      </c>
      <c r="K877" s="192">
        <f t="shared" si="561"/>
        <v>5</v>
      </c>
      <c r="L877" s="192" t="str">
        <f t="shared" si="556"/>
        <v/>
      </c>
      <c r="M877" s="216">
        <f t="shared" ca="1" si="562"/>
        <v>0</v>
      </c>
      <c r="N877" s="216"/>
      <c r="O877" s="216"/>
      <c r="P877" s="216"/>
      <c r="Q877" s="456" t="str">
        <f t="shared" ca="1" si="563"/>
        <v/>
      </c>
      <c r="R877" s="450">
        <f t="shared" ca="1" si="564"/>
        <v>1</v>
      </c>
      <c r="S877" s="191">
        <f t="shared" si="565"/>
        <v>73</v>
      </c>
      <c r="T877" s="191">
        <f t="shared" si="566"/>
        <v>5</v>
      </c>
      <c r="U877" s="191">
        <f ca="1">OP!$D$5+$S877-1</f>
        <v>105</v>
      </c>
      <c r="V877" s="191" t="str">
        <f t="shared" si="567"/>
        <v/>
      </c>
      <c r="W877" s="350">
        <f ca="1">IF(Q877&lt;&gt;1,0,VLOOKUP(OP!$C$55,PVFB,$S877+2,0))</f>
        <v>0</v>
      </c>
      <c r="X877" s="473">
        <f t="shared" ca="1" si="580"/>
        <v>0</v>
      </c>
      <c r="Y877" s="348">
        <f t="shared" ca="1" si="581"/>
        <v>0</v>
      </c>
      <c r="Z877" s="348">
        <f t="shared" ca="1" si="582"/>
        <v>8012</v>
      </c>
      <c r="AA877" s="348">
        <f ca="1">IF(Q877&lt;&gt;1,0,VLOOKUP(OP!$C$55,PVFB,$S877+2,0))</f>
        <v>0</v>
      </c>
      <c r="AB877" s="488" t="str">
        <f ca="1">IF(AND(S877&lt;OP!$C$24,$U877&lt;15),0,IF(AND($U877&lt;15,$T877=12),ROUND(VLOOKUP($S877,DOWN16,5,0),3),IF($T877=12,ROUND(($Z877/10000)*$AA877,3)+IF(AND($P$7="購買增額繳清保險",T877=12,U877=110),VLOOKUP(S877,$B$10:$H$121,7,0),0),"")))</f>
        <v/>
      </c>
      <c r="AC877" s="350" t="str">
        <f ca="1">IF(AND(S877&lt;OP!$C$24,$U877&lt;15),0,IF(AND($U877&lt;16,$T877=12),VLOOKUP($S877,DOWN16,4,0),IF($T877=12,ROUND(VLOOKUP(OP!$C$55,_DIE2,$S877+1,0)*(Z877/10000),0)+IF(AND($P$7="購買增額繳清保險",T877=12,U877=110),VLOOKUP(S877,$B$10:$H$121,7,0),0),"")))</f>
        <v/>
      </c>
      <c r="AD877" s="347"/>
      <c r="AE877" s="350" t="str">
        <f t="shared" ca="1" si="557"/>
        <v/>
      </c>
      <c r="AF877" s="351" t="str">
        <f t="shared" ca="1" si="558"/>
        <v/>
      </c>
      <c r="AG877" s="340"/>
      <c r="AH877" s="340"/>
      <c r="AI877" s="340"/>
      <c r="AJ877" s="340"/>
      <c r="AK877" s="340"/>
      <c r="AL877" s="340"/>
      <c r="AM877" s="340"/>
      <c r="AN877" s="340"/>
      <c r="AO877" s="340"/>
      <c r="AP877" s="340"/>
      <c r="AQ877" s="340"/>
      <c r="AR877" s="340"/>
      <c r="AS877" s="340"/>
      <c r="AT877" s="340"/>
      <c r="AU877" s="340"/>
      <c r="AV877" s="340"/>
      <c r="AY877" s="340"/>
      <c r="AZ877" s="465">
        <f t="shared" ca="1" si="568"/>
        <v>7.3698599999999999E-5</v>
      </c>
      <c r="BA877" s="464">
        <f t="shared" ca="1" si="569"/>
        <v>2.2109589000000002E-3</v>
      </c>
      <c r="BB877" s="465">
        <f t="shared" ca="1" si="569"/>
        <v>2.2846575E-3</v>
      </c>
      <c r="BC877" s="466">
        <f t="shared" ca="1" si="570"/>
        <v>69307</v>
      </c>
      <c r="BD877" s="467">
        <f t="shared" ca="1" si="583"/>
        <v>69308</v>
      </c>
      <c r="BE877" s="467">
        <f t="shared" ca="1" si="571"/>
        <v>69337</v>
      </c>
      <c r="BF877" s="468">
        <f ca="1">IF(計算!$BC877&lt;OP!$C$3,0,BD877-BC877)</f>
        <v>1</v>
      </c>
      <c r="BG877" s="468">
        <f ca="1">IF($BE877&gt;DATE(YEAR($BD$9)+OP!$C$57,MONTH($BD$9),DAY($BD$9)),0,$BE877-$BD877+1)</f>
        <v>30</v>
      </c>
      <c r="BH877" s="469">
        <f t="shared" ca="1" si="572"/>
        <v>31</v>
      </c>
      <c r="BI877" t="str">
        <f t="shared" si="588"/>
        <v/>
      </c>
      <c r="BJ877">
        <v>4</v>
      </c>
      <c r="BN877" s="468">
        <f t="shared" si="584"/>
        <v>73</v>
      </c>
      <c r="BO877" s="468">
        <f t="shared" si="585"/>
        <v>4</v>
      </c>
      <c r="BP877" s="467">
        <f t="shared" ca="1" si="573"/>
        <v>69308</v>
      </c>
      <c r="BQ877" s="475">
        <f t="shared" ca="1" si="587"/>
        <v>105</v>
      </c>
      <c r="BR877" s="475" t="str">
        <f t="shared" si="586"/>
        <v/>
      </c>
      <c r="BS877" s="471" t="str">
        <f t="shared" si="574"/>
        <v/>
      </c>
      <c r="BT877" s="472" t="str">
        <f t="shared" si="589"/>
        <v/>
      </c>
      <c r="BU877" s="472">
        <f t="shared" ca="1" si="575"/>
        <v>0</v>
      </c>
      <c r="BV877" s="472">
        <f t="shared" ca="1" si="575"/>
        <v>0</v>
      </c>
      <c r="BW877" s="472"/>
      <c r="BX877" s="473">
        <f t="shared" ca="1" si="576"/>
        <v>2224214.0128649198</v>
      </c>
      <c r="BY877" s="473">
        <f t="shared" si="577"/>
        <v>0</v>
      </c>
      <c r="BZ877" s="473">
        <f t="shared" ca="1" si="559"/>
        <v>5081.5672260969995</v>
      </c>
      <c r="CA877" s="476">
        <f t="shared" ca="1" si="578"/>
        <v>0</v>
      </c>
      <c r="CB877" s="494">
        <f ca="1">IF(OR($Q876&lt;&gt;1,OP!$D$5+$BN877-1&lt;16,$BN877-1&lt;1),0,ROUND(ROUND(ROUND(((VLOOKUP($BN877-1,MORE_PV,5,0)/10000)*VLOOKUP($BN877,MORE_PV,$CB$5,0)),3)*VLOOKUP($BN877,more1,5,0),0)/$R876,0))</f>
        <v>0</v>
      </c>
      <c r="CC877" s="473">
        <f t="shared" ca="1" si="579"/>
        <v>0</v>
      </c>
      <c r="CD877" s="477"/>
    </row>
    <row r="878" spans="2:82" ht="16.5" hidden="1">
      <c r="B878" s="80"/>
      <c r="C878" s="80"/>
      <c r="D878" s="80"/>
      <c r="E878" s="80"/>
      <c r="F878" s="80"/>
      <c r="G878" s="80"/>
      <c r="H878" s="80"/>
      <c r="I878" s="80"/>
      <c r="J878" s="192">
        <f t="shared" si="560"/>
        <v>73</v>
      </c>
      <c r="K878" s="192">
        <f t="shared" si="561"/>
        <v>6</v>
      </c>
      <c r="L878" s="192" t="str">
        <f t="shared" si="556"/>
        <v/>
      </c>
      <c r="M878" s="216">
        <f t="shared" ca="1" si="562"/>
        <v>0</v>
      </c>
      <c r="N878" s="216"/>
      <c r="O878" s="216"/>
      <c r="P878" s="216"/>
      <c r="Q878" s="456" t="str">
        <f t="shared" ca="1" si="563"/>
        <v/>
      </c>
      <c r="R878" s="450">
        <f t="shared" ca="1" si="564"/>
        <v>1</v>
      </c>
      <c r="S878" s="191">
        <f t="shared" si="565"/>
        <v>73</v>
      </c>
      <c r="T878" s="191">
        <f t="shared" si="566"/>
        <v>6</v>
      </c>
      <c r="U878" s="191">
        <f ca="1">OP!$D$5+$S878-1</f>
        <v>105</v>
      </c>
      <c r="V878" s="191" t="str">
        <f t="shared" si="567"/>
        <v/>
      </c>
      <c r="W878" s="350">
        <f ca="1">IF(Q878&lt;&gt;1,0,VLOOKUP(OP!$C$55,PVFB,$S878+2,0))</f>
        <v>0</v>
      </c>
      <c r="X878" s="473">
        <f t="shared" ca="1" si="580"/>
        <v>0</v>
      </c>
      <c r="Y878" s="348">
        <f t="shared" ca="1" si="581"/>
        <v>0</v>
      </c>
      <c r="Z878" s="348">
        <f t="shared" ca="1" si="582"/>
        <v>8012</v>
      </c>
      <c r="AA878" s="348">
        <f ca="1">IF(Q878&lt;&gt;1,0,VLOOKUP(OP!$C$55,PVFB,$S878+2,0))</f>
        <v>0</v>
      </c>
      <c r="AB878" s="488" t="str">
        <f ca="1">IF(AND(S878&lt;OP!$C$24,$U878&lt;15),0,IF(AND($U878&lt;15,$T878=12),ROUND(VLOOKUP($S878,DOWN16,5,0),3),IF($T878=12,ROUND(($Z878/10000)*$AA878,3)+IF(AND($P$7="購買增額繳清保險",T878=12,U878=110),VLOOKUP(S878,$B$10:$H$121,7,0),0),"")))</f>
        <v/>
      </c>
      <c r="AC878" s="350" t="str">
        <f ca="1">IF(AND(S878&lt;OP!$C$24,$U878&lt;15),0,IF(AND($U878&lt;16,$T878=12),VLOOKUP($S878,DOWN16,4,0),IF($T878=12,ROUND(VLOOKUP(OP!$C$55,_DIE2,$S878+1,0)*(Z878/10000),0)+IF(AND($P$7="購買增額繳清保險",T878=12,U878=110),VLOOKUP(S878,$B$10:$H$121,7,0),0),"")))</f>
        <v/>
      </c>
      <c r="AD878" s="347"/>
      <c r="AE878" s="350" t="str">
        <f t="shared" ca="1" si="557"/>
        <v/>
      </c>
      <c r="AF878" s="351" t="str">
        <f t="shared" ca="1" si="558"/>
        <v/>
      </c>
      <c r="AG878" s="340"/>
      <c r="AH878" s="340"/>
      <c r="AI878" s="340"/>
      <c r="AJ878" s="340"/>
      <c r="AK878" s="340"/>
      <c r="AL878" s="340"/>
      <c r="AM878" s="340"/>
      <c r="AN878" s="340"/>
      <c r="AO878" s="340"/>
      <c r="AP878" s="340"/>
      <c r="AQ878" s="340"/>
      <c r="AR878" s="340"/>
      <c r="AS878" s="340"/>
      <c r="AT878" s="340"/>
      <c r="AU878" s="340"/>
      <c r="AV878" s="340"/>
      <c r="AY878" s="340"/>
      <c r="AZ878" s="465">
        <f t="shared" ca="1" si="568"/>
        <v>7.3698599999999999E-5</v>
      </c>
      <c r="BA878" s="464">
        <f t="shared" ca="1" si="569"/>
        <v>2.1372602999999999E-3</v>
      </c>
      <c r="BB878" s="465">
        <f t="shared" ca="1" si="569"/>
        <v>2.2109589000000002E-3</v>
      </c>
      <c r="BC878" s="466">
        <f t="shared" ca="1" si="570"/>
        <v>69338</v>
      </c>
      <c r="BD878" s="467">
        <f t="shared" ca="1" si="583"/>
        <v>69339</v>
      </c>
      <c r="BE878" s="467">
        <f t="shared" ca="1" si="571"/>
        <v>69367</v>
      </c>
      <c r="BF878" s="468">
        <f ca="1">IF(計算!$BC878&lt;OP!$C$3,0,BD878-BC878)</f>
        <v>1</v>
      </c>
      <c r="BG878" s="468">
        <f ca="1">IF($BE878&gt;DATE(YEAR($BD$9)+OP!$C$57,MONTH($BD$9),DAY($BD$9)),0,$BE878-$BD878+1)</f>
        <v>29</v>
      </c>
      <c r="BH878" s="469">
        <f t="shared" ca="1" si="572"/>
        <v>30</v>
      </c>
      <c r="BI878" t="str">
        <f t="shared" si="588"/>
        <v/>
      </c>
      <c r="BJ878">
        <v>5</v>
      </c>
      <c r="BN878" s="468">
        <f t="shared" si="584"/>
        <v>73</v>
      </c>
      <c r="BO878" s="468">
        <f t="shared" si="585"/>
        <v>5</v>
      </c>
      <c r="BP878" s="467">
        <f t="shared" ca="1" si="573"/>
        <v>69339</v>
      </c>
      <c r="BQ878" s="475">
        <f t="shared" ca="1" si="587"/>
        <v>105</v>
      </c>
      <c r="BR878" s="475" t="str">
        <f t="shared" si="586"/>
        <v/>
      </c>
      <c r="BS878" s="471" t="str">
        <f t="shared" si="574"/>
        <v/>
      </c>
      <c r="BT878" s="472" t="str">
        <f t="shared" si="589"/>
        <v/>
      </c>
      <c r="BU878" s="472">
        <f t="shared" ca="1" si="575"/>
        <v>0</v>
      </c>
      <c r="BV878" s="472">
        <f t="shared" ca="1" si="575"/>
        <v>0</v>
      </c>
      <c r="BW878" s="472"/>
      <c r="BX878" s="473">
        <f t="shared" ca="1" si="576"/>
        <v>2229295.5800910201</v>
      </c>
      <c r="BY878" s="473">
        <f t="shared" si="577"/>
        <v>0</v>
      </c>
      <c r="BZ878" s="473">
        <f t="shared" ca="1" si="559"/>
        <v>4928.8809035329996</v>
      </c>
      <c r="CA878" s="476">
        <f t="shared" ca="1" si="578"/>
        <v>0</v>
      </c>
      <c r="CB878" s="494">
        <f ca="1">IF(OR($Q877&lt;&gt;1,OP!$D$5+$BN878-1&lt;16,$BN878-1&lt;1),0,ROUND(ROUND(ROUND(((VLOOKUP($BN878-1,MORE_PV,5,0)/10000)*VLOOKUP($BN878,MORE_PV,$CB$5,0)),3)*VLOOKUP($BN878,more1,5,0),0)/$R877,0))</f>
        <v>0</v>
      </c>
      <c r="CC878" s="473">
        <f t="shared" ca="1" si="579"/>
        <v>0</v>
      </c>
      <c r="CD878" s="477"/>
    </row>
    <row r="879" spans="2:82" ht="16.5" hidden="1">
      <c r="B879" s="80"/>
      <c r="C879" s="80"/>
      <c r="D879" s="80"/>
      <c r="E879" s="80"/>
      <c r="F879" s="80"/>
      <c r="G879" s="80"/>
      <c r="H879" s="80"/>
      <c r="I879" s="80"/>
      <c r="J879" s="192">
        <f t="shared" si="560"/>
        <v>73</v>
      </c>
      <c r="K879" s="192">
        <f t="shared" si="561"/>
        <v>7</v>
      </c>
      <c r="L879" s="192" t="str">
        <f t="shared" si="556"/>
        <v/>
      </c>
      <c r="M879" s="216">
        <f t="shared" ca="1" si="562"/>
        <v>0</v>
      </c>
      <c r="N879" s="216"/>
      <c r="O879" s="216"/>
      <c r="P879" s="216"/>
      <c r="Q879" s="456" t="str">
        <f t="shared" ca="1" si="563"/>
        <v/>
      </c>
      <c r="R879" s="450">
        <f t="shared" ca="1" si="564"/>
        <v>1</v>
      </c>
      <c r="S879" s="191">
        <f t="shared" si="565"/>
        <v>73</v>
      </c>
      <c r="T879" s="191">
        <f t="shared" si="566"/>
        <v>7</v>
      </c>
      <c r="U879" s="191">
        <f ca="1">OP!$D$5+$S879-1</f>
        <v>105</v>
      </c>
      <c r="V879" s="191" t="str">
        <f t="shared" si="567"/>
        <v/>
      </c>
      <c r="W879" s="350">
        <f ca="1">IF(Q879&lt;&gt;1,0,VLOOKUP(OP!$C$55,PVFB,$S879+2,0))</f>
        <v>0</v>
      </c>
      <c r="X879" s="473">
        <f t="shared" ca="1" si="580"/>
        <v>0</v>
      </c>
      <c r="Y879" s="348">
        <f t="shared" ca="1" si="581"/>
        <v>0</v>
      </c>
      <c r="Z879" s="348">
        <f t="shared" ca="1" si="582"/>
        <v>8012</v>
      </c>
      <c r="AA879" s="348">
        <f ca="1">IF(Q879&lt;&gt;1,0,VLOOKUP(OP!$C$55,PVFB,$S879+2,0))</f>
        <v>0</v>
      </c>
      <c r="AB879" s="488" t="str">
        <f ca="1">IF(AND(S879&lt;OP!$C$24,$U879&lt;15),0,IF(AND($U879&lt;15,$T879=12),ROUND(VLOOKUP($S879,DOWN16,5,0),3),IF($T879=12,ROUND(($Z879/10000)*$AA879,3)+IF(AND($P$7="購買增額繳清保險",T879=12,U879=110),VLOOKUP(S879,$B$10:$H$121,7,0),0),"")))</f>
        <v/>
      </c>
      <c r="AC879" s="350" t="str">
        <f ca="1">IF(AND(S879&lt;OP!$C$24,$U879&lt;15),0,IF(AND($U879&lt;16,$T879=12),VLOOKUP($S879,DOWN16,4,0),IF($T879=12,ROUND(VLOOKUP(OP!$C$55,_DIE2,$S879+1,0)*(Z879/10000),0)+IF(AND($P$7="購買增額繳清保險",T879=12,U879=110),VLOOKUP(S879,$B$10:$H$121,7,0),0),"")))</f>
        <v/>
      </c>
      <c r="AD879" s="347"/>
      <c r="AE879" s="350" t="str">
        <f t="shared" ca="1" si="557"/>
        <v/>
      </c>
      <c r="AF879" s="351" t="str">
        <f t="shared" ca="1" si="558"/>
        <v/>
      </c>
      <c r="AG879" s="340"/>
      <c r="AH879" s="340"/>
      <c r="AI879" s="340"/>
      <c r="AJ879" s="340"/>
      <c r="AK879" s="340"/>
      <c r="AL879" s="340"/>
      <c r="AM879" s="340"/>
      <c r="AN879" s="340"/>
      <c r="AO879" s="340"/>
      <c r="AP879" s="340"/>
      <c r="AQ879" s="340"/>
      <c r="AR879" s="340"/>
      <c r="AS879" s="340"/>
      <c r="AT879" s="340"/>
      <c r="AU879" s="340"/>
      <c r="AV879" s="340"/>
      <c r="AY879" s="340"/>
      <c r="AZ879" s="465">
        <f t="shared" ca="1" si="568"/>
        <v>7.3698599999999999E-5</v>
      </c>
      <c r="BA879" s="464">
        <f t="shared" ca="1" si="569"/>
        <v>2.2109589000000002E-3</v>
      </c>
      <c r="BB879" s="465">
        <f t="shared" ca="1" si="569"/>
        <v>2.2846575E-3</v>
      </c>
      <c r="BC879" s="466">
        <f t="shared" ca="1" si="570"/>
        <v>69368</v>
      </c>
      <c r="BD879" s="467">
        <f t="shared" ca="1" si="583"/>
        <v>69369</v>
      </c>
      <c r="BE879" s="467">
        <f t="shared" ca="1" si="571"/>
        <v>69398</v>
      </c>
      <c r="BF879" s="468">
        <f ca="1">IF(計算!$BC879&lt;OP!$C$3,0,BD879-BC879)</f>
        <v>1</v>
      </c>
      <c r="BG879" s="468">
        <f ca="1">IF($BE879&gt;DATE(YEAR($BD$9)+OP!$C$57,MONTH($BD$9),DAY($BD$9)),0,$BE879-$BD879+1)</f>
        <v>30</v>
      </c>
      <c r="BH879" s="469">
        <f t="shared" ca="1" si="572"/>
        <v>31</v>
      </c>
      <c r="BI879" t="str">
        <f t="shared" si="588"/>
        <v/>
      </c>
      <c r="BJ879">
        <v>6</v>
      </c>
      <c r="BN879" s="468">
        <f t="shared" si="584"/>
        <v>73</v>
      </c>
      <c r="BO879" s="468">
        <f t="shared" si="585"/>
        <v>6</v>
      </c>
      <c r="BP879" s="467">
        <f t="shared" ca="1" si="573"/>
        <v>69369</v>
      </c>
      <c r="BQ879" s="475">
        <f t="shared" ca="1" si="587"/>
        <v>105</v>
      </c>
      <c r="BR879" s="475" t="str">
        <f t="shared" si="586"/>
        <v/>
      </c>
      <c r="BS879" s="471" t="str">
        <f t="shared" si="574"/>
        <v/>
      </c>
      <c r="BT879" s="472" t="str">
        <f t="shared" si="589"/>
        <v/>
      </c>
      <c r="BU879" s="472">
        <f t="shared" ca="1" si="575"/>
        <v>0</v>
      </c>
      <c r="BV879" s="472">
        <f t="shared" ca="1" si="575"/>
        <v>0</v>
      </c>
      <c r="BW879" s="472"/>
      <c r="BX879" s="473">
        <f t="shared" ca="1" si="576"/>
        <v>2234224.46099455</v>
      </c>
      <c r="BY879" s="473">
        <f t="shared" si="577"/>
        <v>0</v>
      </c>
      <c r="BZ879" s="473">
        <f t="shared" ca="1" si="559"/>
        <v>5104.4376714950004</v>
      </c>
      <c r="CA879" s="476">
        <f t="shared" ca="1" si="578"/>
        <v>0</v>
      </c>
      <c r="CB879" s="494">
        <f ca="1">IF(OR($Q878&lt;&gt;1,OP!$D$5+$BN879-1&lt;16,$BN879-1&lt;1),0,ROUND(ROUND(ROUND(((VLOOKUP($BN879-1,MORE_PV,5,0)/10000)*VLOOKUP($BN879,MORE_PV,$CB$5,0)),3)*VLOOKUP($BN879,more1,5,0),0)/$R878,0))</f>
        <v>0</v>
      </c>
      <c r="CC879" s="473">
        <f t="shared" ca="1" si="579"/>
        <v>0</v>
      </c>
      <c r="CD879" s="477"/>
    </row>
    <row r="880" spans="2:82" ht="16.5" hidden="1">
      <c r="B880" s="80"/>
      <c r="C880" s="80"/>
      <c r="D880" s="80"/>
      <c r="E880" s="80"/>
      <c r="F880" s="80"/>
      <c r="G880" s="80"/>
      <c r="H880" s="80"/>
      <c r="I880" s="80"/>
      <c r="J880" s="192">
        <f t="shared" si="560"/>
        <v>73</v>
      </c>
      <c r="K880" s="192">
        <f t="shared" si="561"/>
        <v>8</v>
      </c>
      <c r="L880" s="192" t="str">
        <f t="shared" si="556"/>
        <v/>
      </c>
      <c r="M880" s="216">
        <f t="shared" ca="1" si="562"/>
        <v>0</v>
      </c>
      <c r="N880" s="216"/>
      <c r="O880" s="216"/>
      <c r="P880" s="216"/>
      <c r="Q880" s="456" t="str">
        <f t="shared" ca="1" si="563"/>
        <v/>
      </c>
      <c r="R880" s="450">
        <f t="shared" ca="1" si="564"/>
        <v>1</v>
      </c>
      <c r="S880" s="191">
        <f t="shared" si="565"/>
        <v>73</v>
      </c>
      <c r="T880" s="191">
        <f t="shared" si="566"/>
        <v>8</v>
      </c>
      <c r="U880" s="191">
        <f ca="1">OP!$D$5+$S880-1</f>
        <v>105</v>
      </c>
      <c r="V880" s="191" t="str">
        <f t="shared" si="567"/>
        <v/>
      </c>
      <c r="W880" s="350">
        <f ca="1">IF(Q880&lt;&gt;1,0,VLOOKUP(OP!$C$55,PVFB,$S880+2,0))</f>
        <v>0</v>
      </c>
      <c r="X880" s="473">
        <f t="shared" ca="1" si="580"/>
        <v>0</v>
      </c>
      <c r="Y880" s="348">
        <f t="shared" ca="1" si="581"/>
        <v>0</v>
      </c>
      <c r="Z880" s="348">
        <f t="shared" ca="1" si="582"/>
        <v>8012</v>
      </c>
      <c r="AA880" s="348">
        <f ca="1">IF(Q880&lt;&gt;1,0,VLOOKUP(OP!$C$55,PVFB,$S880+2,0))</f>
        <v>0</v>
      </c>
      <c r="AB880" s="488" t="str">
        <f ca="1">IF(AND(S880&lt;OP!$C$24,$U880&lt;15),0,IF(AND($U880&lt;15,$T880=12),ROUND(VLOOKUP($S880,DOWN16,5,0),3),IF($T880=12,ROUND(($Z880/10000)*$AA880,3)+IF(AND($P$7="購買增額繳清保險",T880=12,U880=110),VLOOKUP(S880,$B$10:$H$121,7,0),0),"")))</f>
        <v/>
      </c>
      <c r="AC880" s="350" t="str">
        <f ca="1">IF(AND(S880&lt;OP!$C$24,$U880&lt;15),0,IF(AND($U880&lt;16,$T880=12),VLOOKUP($S880,DOWN16,4,0),IF($T880=12,ROUND(VLOOKUP(OP!$C$55,_DIE2,$S880+1,0)*(Z880/10000),0)+IF(AND($P$7="購買增額繳清保險",T880=12,U880=110),VLOOKUP(S880,$B$10:$H$121,7,0),0),"")))</f>
        <v/>
      </c>
      <c r="AD880" s="347"/>
      <c r="AE880" s="350" t="str">
        <f t="shared" ca="1" si="557"/>
        <v/>
      </c>
      <c r="AF880" s="351" t="str">
        <f t="shared" ca="1" si="558"/>
        <v/>
      </c>
      <c r="AG880" s="340"/>
      <c r="AH880" s="340"/>
      <c r="AI880" s="340"/>
      <c r="AJ880" s="340"/>
      <c r="AK880" s="340"/>
      <c r="AL880" s="340"/>
      <c r="AM880" s="340"/>
      <c r="AN880" s="340"/>
      <c r="AO880" s="340"/>
      <c r="AP880" s="340"/>
      <c r="AQ880" s="340"/>
      <c r="AR880" s="340"/>
      <c r="AS880" s="340"/>
      <c r="AT880" s="340"/>
      <c r="AU880" s="340"/>
      <c r="AV880" s="340"/>
      <c r="AY880" s="340"/>
      <c r="AZ880" s="465">
        <f t="shared" ca="1" si="568"/>
        <v>7.3698599999999999E-5</v>
      </c>
      <c r="BA880" s="464">
        <f t="shared" ca="1" si="569"/>
        <v>2.2109589000000002E-3</v>
      </c>
      <c r="BB880" s="465">
        <f t="shared" ca="1" si="569"/>
        <v>2.2846575E-3</v>
      </c>
      <c r="BC880" s="466">
        <f t="shared" ca="1" si="570"/>
        <v>69399</v>
      </c>
      <c r="BD880" s="467">
        <f t="shared" ca="1" si="583"/>
        <v>69400</v>
      </c>
      <c r="BE880" s="467">
        <f t="shared" ca="1" si="571"/>
        <v>69429</v>
      </c>
      <c r="BF880" s="468">
        <f ca="1">IF(計算!$BC880&lt;OP!$C$3,0,BD880-BC880)</f>
        <v>1</v>
      </c>
      <c r="BG880" s="468">
        <f ca="1">IF($BE880&gt;DATE(YEAR($BD$9)+OP!$C$57,MONTH($BD$9),DAY($BD$9)),0,$BE880-$BD880+1)</f>
        <v>30</v>
      </c>
      <c r="BH880" s="469">
        <f t="shared" ca="1" si="572"/>
        <v>31</v>
      </c>
      <c r="BI880" t="str">
        <f t="shared" si="588"/>
        <v/>
      </c>
      <c r="BJ880">
        <v>7</v>
      </c>
      <c r="BN880" s="468">
        <f t="shared" si="584"/>
        <v>73</v>
      </c>
      <c r="BO880" s="468">
        <f t="shared" si="585"/>
        <v>7</v>
      </c>
      <c r="BP880" s="467">
        <f t="shared" ca="1" si="573"/>
        <v>69400</v>
      </c>
      <c r="BQ880" s="475">
        <f t="shared" ca="1" si="587"/>
        <v>105</v>
      </c>
      <c r="BR880" s="475" t="str">
        <f t="shared" si="586"/>
        <v/>
      </c>
      <c r="BS880" s="471" t="str">
        <f t="shared" si="574"/>
        <v/>
      </c>
      <c r="BT880" s="472" t="str">
        <f t="shared" si="589"/>
        <v/>
      </c>
      <c r="BU880" s="472">
        <f t="shared" ca="1" si="575"/>
        <v>0</v>
      </c>
      <c r="BV880" s="472">
        <f t="shared" ca="1" si="575"/>
        <v>0</v>
      </c>
      <c r="BW880" s="472"/>
      <c r="BX880" s="473">
        <f t="shared" ca="1" si="576"/>
        <v>2239328.8986660498</v>
      </c>
      <c r="BY880" s="473">
        <f t="shared" si="577"/>
        <v>0</v>
      </c>
      <c r="BZ880" s="473">
        <f t="shared" ca="1" si="559"/>
        <v>5116.0995633040002</v>
      </c>
      <c r="CA880" s="476">
        <f t="shared" ca="1" si="578"/>
        <v>0</v>
      </c>
      <c r="CB880" s="494">
        <f ca="1">IF(OR($Q879&lt;&gt;1,OP!$D$5+$BN880-1&lt;16,$BN880-1&lt;1),0,ROUND(ROUND(ROUND(((VLOOKUP($BN880-1,MORE_PV,5,0)/10000)*VLOOKUP($BN880,MORE_PV,$CB$5,0)),3)*VLOOKUP($BN880,more1,5,0),0)/$R879,0))</f>
        <v>0</v>
      </c>
      <c r="CC880" s="473">
        <f t="shared" ca="1" si="579"/>
        <v>0</v>
      </c>
      <c r="CD880" s="477"/>
    </row>
    <row r="881" spans="2:82" ht="16.5" hidden="1">
      <c r="B881" s="80"/>
      <c r="C881" s="80"/>
      <c r="D881" s="80"/>
      <c r="E881" s="80"/>
      <c r="F881" s="80"/>
      <c r="G881" s="80"/>
      <c r="H881" s="80"/>
      <c r="I881" s="80"/>
      <c r="J881" s="192">
        <f t="shared" si="560"/>
        <v>73</v>
      </c>
      <c r="K881" s="192">
        <f t="shared" si="561"/>
        <v>9</v>
      </c>
      <c r="L881" s="192" t="str">
        <f t="shared" si="556"/>
        <v/>
      </c>
      <c r="M881" s="216">
        <f t="shared" ca="1" si="562"/>
        <v>0</v>
      </c>
      <c r="N881" s="216"/>
      <c r="O881" s="216"/>
      <c r="P881" s="216"/>
      <c r="Q881" s="456" t="str">
        <f t="shared" ca="1" si="563"/>
        <v/>
      </c>
      <c r="R881" s="450">
        <f t="shared" ca="1" si="564"/>
        <v>1</v>
      </c>
      <c r="S881" s="191">
        <f t="shared" si="565"/>
        <v>73</v>
      </c>
      <c r="T881" s="191">
        <f t="shared" si="566"/>
        <v>9</v>
      </c>
      <c r="U881" s="191">
        <f ca="1">OP!$D$5+$S881-1</f>
        <v>105</v>
      </c>
      <c r="V881" s="191" t="str">
        <f t="shared" si="567"/>
        <v/>
      </c>
      <c r="W881" s="350">
        <f ca="1">IF(Q881&lt;&gt;1,0,VLOOKUP(OP!$C$55,PVFB,$S881+2,0))</f>
        <v>0</v>
      </c>
      <c r="X881" s="473">
        <f t="shared" ca="1" si="580"/>
        <v>0</v>
      </c>
      <c r="Y881" s="348">
        <f t="shared" ca="1" si="581"/>
        <v>0</v>
      </c>
      <c r="Z881" s="348">
        <f t="shared" ca="1" si="582"/>
        <v>8012</v>
      </c>
      <c r="AA881" s="348">
        <f ca="1">IF(Q881&lt;&gt;1,0,VLOOKUP(OP!$C$55,PVFB,$S881+2,0))</f>
        <v>0</v>
      </c>
      <c r="AB881" s="488" t="str">
        <f ca="1">IF(AND(S881&lt;OP!$C$24,$U881&lt;15),0,IF(AND($U881&lt;15,$T881=12),ROUND(VLOOKUP($S881,DOWN16,5,0),3),IF($T881=12,ROUND(($Z881/10000)*$AA881,3)+IF(AND($P$7="購買增額繳清保險",T881=12,U881=110),VLOOKUP(S881,$B$10:$H$121,7,0),0),"")))</f>
        <v/>
      </c>
      <c r="AC881" s="350" t="str">
        <f ca="1">IF(AND(S881&lt;OP!$C$24,$U881&lt;15),0,IF(AND($U881&lt;16,$T881=12),VLOOKUP($S881,DOWN16,4,0),IF($T881=12,ROUND(VLOOKUP(OP!$C$55,_DIE2,$S881+1,0)*(Z881/10000),0)+IF(AND($P$7="購買增額繳清保險",T881=12,U881=110),VLOOKUP(S881,$B$10:$H$121,7,0),0),"")))</f>
        <v/>
      </c>
      <c r="AD881" s="347"/>
      <c r="AE881" s="350" t="str">
        <f t="shared" ca="1" si="557"/>
        <v/>
      </c>
      <c r="AF881" s="351" t="str">
        <f t="shared" ca="1" si="558"/>
        <v/>
      </c>
      <c r="AG881" s="340"/>
      <c r="AH881" s="340"/>
      <c r="AI881" s="340"/>
      <c r="AJ881" s="340"/>
      <c r="AK881" s="340"/>
      <c r="AL881" s="340"/>
      <c r="AM881" s="340"/>
      <c r="AN881" s="340"/>
      <c r="AO881" s="340"/>
      <c r="AP881" s="340"/>
      <c r="AQ881" s="340"/>
      <c r="AR881" s="340"/>
      <c r="AS881" s="340"/>
      <c r="AT881" s="340"/>
      <c r="AU881" s="340"/>
      <c r="AV881" s="340"/>
      <c r="AY881" s="340"/>
      <c r="AZ881" s="465">
        <f t="shared" ca="1" si="568"/>
        <v>7.3698599999999999E-5</v>
      </c>
      <c r="BA881" s="464">
        <f t="shared" ca="1" si="569"/>
        <v>1.9898630000000001E-3</v>
      </c>
      <c r="BB881" s="465">
        <f t="shared" ca="1" si="569"/>
        <v>2.0635616E-3</v>
      </c>
      <c r="BC881" s="466">
        <f t="shared" ca="1" si="570"/>
        <v>69430</v>
      </c>
      <c r="BD881" s="467">
        <f t="shared" ca="1" si="583"/>
        <v>69431</v>
      </c>
      <c r="BE881" s="467">
        <f t="shared" ca="1" si="571"/>
        <v>69457</v>
      </c>
      <c r="BF881" s="468">
        <f ca="1">IF(計算!$BC881&lt;OP!$C$3,0,BD881-BC881)</f>
        <v>1</v>
      </c>
      <c r="BG881" s="468">
        <f ca="1">IF($BE881&gt;DATE(YEAR($BD$9)+OP!$C$57,MONTH($BD$9),DAY($BD$9)),0,$BE881-$BD881+1)</f>
        <v>27</v>
      </c>
      <c r="BH881" s="469">
        <f t="shared" ca="1" si="572"/>
        <v>28</v>
      </c>
      <c r="BI881" t="str">
        <f t="shared" si="588"/>
        <v/>
      </c>
      <c r="BJ881">
        <v>8</v>
      </c>
      <c r="BN881" s="468">
        <f t="shared" si="584"/>
        <v>73</v>
      </c>
      <c r="BO881" s="468">
        <f t="shared" si="585"/>
        <v>8</v>
      </c>
      <c r="BP881" s="467">
        <f t="shared" ca="1" si="573"/>
        <v>69431</v>
      </c>
      <c r="BQ881" s="475">
        <f t="shared" ca="1" si="587"/>
        <v>105</v>
      </c>
      <c r="BR881" s="475" t="str">
        <f t="shared" si="586"/>
        <v/>
      </c>
      <c r="BS881" s="471" t="str">
        <f t="shared" si="574"/>
        <v/>
      </c>
      <c r="BT881" s="472" t="str">
        <f t="shared" si="589"/>
        <v/>
      </c>
      <c r="BU881" s="472">
        <f t="shared" ca="1" si="575"/>
        <v>0</v>
      </c>
      <c r="BV881" s="472">
        <f t="shared" ca="1" si="575"/>
        <v>0</v>
      </c>
      <c r="BW881" s="472"/>
      <c r="BX881" s="473">
        <f t="shared" ca="1" si="576"/>
        <v>2244444.99822935</v>
      </c>
      <c r="BY881" s="473">
        <f t="shared" si="577"/>
        <v>0</v>
      </c>
      <c r="BZ881" s="473">
        <f t="shared" ca="1" si="559"/>
        <v>4631.5505116579998</v>
      </c>
      <c r="CA881" s="476">
        <f t="shared" ca="1" si="578"/>
        <v>0</v>
      </c>
      <c r="CB881" s="494">
        <f ca="1">IF(OR($Q880&lt;&gt;1,OP!$D$5+$BN881-1&lt;16,$BN881-1&lt;1),0,ROUND(ROUND(ROUND(((VLOOKUP($BN881-1,MORE_PV,5,0)/10000)*VLOOKUP($BN881,MORE_PV,$CB$5,0)),3)*VLOOKUP($BN881,more1,5,0),0)/$R880,0))</f>
        <v>0</v>
      </c>
      <c r="CC881" s="473">
        <f t="shared" ca="1" si="579"/>
        <v>0</v>
      </c>
      <c r="CD881" s="477"/>
    </row>
    <row r="882" spans="2:82" ht="16.5" hidden="1">
      <c r="B882" s="80"/>
      <c r="C882" s="80"/>
      <c r="D882" s="80"/>
      <c r="E882" s="80"/>
      <c r="F882" s="80"/>
      <c r="G882" s="80"/>
      <c r="H882" s="80"/>
      <c r="I882" s="80"/>
      <c r="J882" s="192">
        <f t="shared" si="560"/>
        <v>73</v>
      </c>
      <c r="K882" s="192">
        <f t="shared" si="561"/>
        <v>10</v>
      </c>
      <c r="L882" s="192" t="str">
        <f t="shared" si="556"/>
        <v/>
      </c>
      <c r="M882" s="216">
        <f t="shared" ca="1" si="562"/>
        <v>0</v>
      </c>
      <c r="N882" s="216"/>
      <c r="O882" s="216"/>
      <c r="P882" s="216"/>
      <c r="Q882" s="456" t="str">
        <f t="shared" ca="1" si="563"/>
        <v/>
      </c>
      <c r="R882" s="450">
        <f t="shared" ca="1" si="564"/>
        <v>1</v>
      </c>
      <c r="S882" s="191">
        <f t="shared" si="565"/>
        <v>73</v>
      </c>
      <c r="T882" s="191">
        <f t="shared" si="566"/>
        <v>10</v>
      </c>
      <c r="U882" s="191">
        <f ca="1">OP!$D$5+$S882-1</f>
        <v>105</v>
      </c>
      <c r="V882" s="191" t="str">
        <f t="shared" si="567"/>
        <v/>
      </c>
      <c r="W882" s="350">
        <f ca="1">IF(Q882&lt;&gt;1,0,VLOOKUP(OP!$C$55,PVFB,$S882+2,0))</f>
        <v>0</v>
      </c>
      <c r="X882" s="473">
        <f t="shared" ca="1" si="580"/>
        <v>0</v>
      </c>
      <c r="Y882" s="348">
        <f t="shared" ca="1" si="581"/>
        <v>0</v>
      </c>
      <c r="Z882" s="348">
        <f t="shared" ca="1" si="582"/>
        <v>8012</v>
      </c>
      <c r="AA882" s="348">
        <f ca="1">IF(Q882&lt;&gt;1,0,VLOOKUP(OP!$C$55,PVFB,$S882+2,0))</f>
        <v>0</v>
      </c>
      <c r="AB882" s="488" t="str">
        <f ca="1">IF(AND(S882&lt;OP!$C$24,$U882&lt;15),0,IF(AND($U882&lt;15,$T882=12),ROUND(VLOOKUP($S882,DOWN16,5,0),3),IF($T882=12,ROUND(($Z882/10000)*$AA882,3)+IF(AND($P$7="購買增額繳清保險",T882=12,U882=110),VLOOKUP(S882,$B$10:$H$121,7,0),0),"")))</f>
        <v/>
      </c>
      <c r="AC882" s="350" t="str">
        <f ca="1">IF(AND(S882&lt;OP!$C$24,$U882&lt;15),0,IF(AND($U882&lt;16,$T882=12),VLOOKUP($S882,DOWN16,4,0),IF($T882=12,ROUND(VLOOKUP(OP!$C$55,_DIE2,$S882+1,0)*(Z882/10000),0)+IF(AND($P$7="購買增額繳清保險",T882=12,U882=110),VLOOKUP(S882,$B$10:$H$121,7,0),0),"")))</f>
        <v/>
      </c>
      <c r="AD882" s="347"/>
      <c r="AE882" s="350" t="str">
        <f t="shared" ca="1" si="557"/>
        <v/>
      </c>
      <c r="AF882" s="351" t="str">
        <f t="shared" ca="1" si="558"/>
        <v/>
      </c>
      <c r="AG882" s="340"/>
      <c r="AH882" s="340"/>
      <c r="AI882" s="340"/>
      <c r="AJ882" s="340"/>
      <c r="AK882" s="340"/>
      <c r="AL882" s="340"/>
      <c r="AM882" s="340"/>
      <c r="AN882" s="340"/>
      <c r="AO882" s="340"/>
      <c r="AP882" s="340"/>
      <c r="AQ882" s="340"/>
      <c r="AR882" s="340"/>
      <c r="AS882" s="340"/>
      <c r="AT882" s="340"/>
      <c r="AU882" s="340"/>
      <c r="AV882" s="340"/>
      <c r="AY882" s="340"/>
      <c r="AZ882" s="465">
        <f t="shared" ca="1" si="568"/>
        <v>7.3698599999999999E-5</v>
      </c>
      <c r="BA882" s="464">
        <f t="shared" ca="1" si="569"/>
        <v>2.2109589000000002E-3</v>
      </c>
      <c r="BB882" s="465">
        <f t="shared" ca="1" si="569"/>
        <v>2.2846575E-3</v>
      </c>
      <c r="BC882" s="466">
        <f t="shared" ca="1" si="570"/>
        <v>69458</v>
      </c>
      <c r="BD882" s="467">
        <f t="shared" ca="1" si="583"/>
        <v>69459</v>
      </c>
      <c r="BE882" s="467">
        <f t="shared" ca="1" si="571"/>
        <v>69488</v>
      </c>
      <c r="BF882" s="468">
        <f ca="1">IF(計算!$BC882&lt;OP!$C$3,0,BD882-BC882)</f>
        <v>1</v>
      </c>
      <c r="BG882" s="468">
        <f ca="1">IF($BE882&gt;DATE(YEAR($BD$9)+OP!$C$57,MONTH($BD$9),DAY($BD$9)),0,$BE882-$BD882+1)</f>
        <v>30</v>
      </c>
      <c r="BH882" s="469">
        <f t="shared" ca="1" si="572"/>
        <v>31</v>
      </c>
      <c r="BI882" t="str">
        <f t="shared" si="588"/>
        <v/>
      </c>
      <c r="BJ882">
        <v>9</v>
      </c>
      <c r="BN882" s="468">
        <f t="shared" si="584"/>
        <v>73</v>
      </c>
      <c r="BO882" s="468">
        <f t="shared" si="585"/>
        <v>9</v>
      </c>
      <c r="BP882" s="467">
        <f t="shared" ca="1" si="573"/>
        <v>69459</v>
      </c>
      <c r="BQ882" s="475">
        <f t="shared" ca="1" si="587"/>
        <v>105</v>
      </c>
      <c r="BR882" s="475" t="str">
        <f t="shared" si="586"/>
        <v/>
      </c>
      <c r="BS882" s="471" t="str">
        <f t="shared" si="574"/>
        <v/>
      </c>
      <c r="BT882" s="472" t="str">
        <f t="shared" si="589"/>
        <v/>
      </c>
      <c r="BU882" s="472">
        <f t="shared" ca="1" si="575"/>
        <v>0</v>
      </c>
      <c r="BV882" s="472">
        <f t="shared" ca="1" si="575"/>
        <v>0</v>
      </c>
      <c r="BW882" s="472"/>
      <c r="BX882" s="473">
        <f t="shared" ca="1" si="576"/>
        <v>2249076.54874101</v>
      </c>
      <c r="BY882" s="473">
        <f t="shared" si="577"/>
        <v>0</v>
      </c>
      <c r="BZ882" s="473">
        <f t="shared" ca="1" si="559"/>
        <v>5138.3696051549996</v>
      </c>
      <c r="CA882" s="476">
        <f t="shared" ca="1" si="578"/>
        <v>0</v>
      </c>
      <c r="CB882" s="494">
        <f ca="1">IF(OR($Q881&lt;&gt;1,OP!$D$5+$BN882-1&lt;16,$BN882-1&lt;1),0,ROUND(ROUND(ROUND(((VLOOKUP($BN882-1,MORE_PV,5,0)/10000)*VLOOKUP($BN882,MORE_PV,$CB$5,0)),3)*VLOOKUP($BN882,more1,5,0),0)/$R881,0))</f>
        <v>0</v>
      </c>
      <c r="CC882" s="473">
        <f t="shared" ca="1" si="579"/>
        <v>0</v>
      </c>
      <c r="CD882" s="477"/>
    </row>
    <row r="883" spans="2:82" ht="16.5" hidden="1">
      <c r="B883" s="80"/>
      <c r="C883" s="80"/>
      <c r="D883" s="80"/>
      <c r="E883" s="80"/>
      <c r="F883" s="80"/>
      <c r="G883" s="80"/>
      <c r="H883" s="80"/>
      <c r="I883" s="80"/>
      <c r="J883" s="192">
        <f t="shared" si="560"/>
        <v>73</v>
      </c>
      <c r="K883" s="192">
        <f t="shared" si="561"/>
        <v>11</v>
      </c>
      <c r="L883" s="192" t="str">
        <f t="shared" si="556"/>
        <v/>
      </c>
      <c r="M883" s="216">
        <f t="shared" ca="1" si="562"/>
        <v>0</v>
      </c>
      <c r="N883" s="216"/>
      <c r="O883" s="216"/>
      <c r="P883" s="216"/>
      <c r="Q883" s="456" t="str">
        <f t="shared" ca="1" si="563"/>
        <v/>
      </c>
      <c r="R883" s="450">
        <f t="shared" ca="1" si="564"/>
        <v>1</v>
      </c>
      <c r="S883" s="191">
        <f t="shared" si="565"/>
        <v>73</v>
      </c>
      <c r="T883" s="191">
        <f t="shared" si="566"/>
        <v>11</v>
      </c>
      <c r="U883" s="191">
        <f ca="1">OP!$D$5+$S883-1</f>
        <v>105</v>
      </c>
      <c r="V883" s="191" t="str">
        <f t="shared" si="567"/>
        <v/>
      </c>
      <c r="W883" s="350">
        <f ca="1">IF(Q883&lt;&gt;1,0,VLOOKUP(OP!$C$55,PVFB,$S883+2,0))</f>
        <v>0</v>
      </c>
      <c r="X883" s="473">
        <f t="shared" ca="1" si="580"/>
        <v>0</v>
      </c>
      <c r="Y883" s="348">
        <f t="shared" ca="1" si="581"/>
        <v>0</v>
      </c>
      <c r="Z883" s="348">
        <f t="shared" ca="1" si="582"/>
        <v>8012</v>
      </c>
      <c r="AA883" s="348">
        <f ca="1">IF(Q883&lt;&gt;1,0,VLOOKUP(OP!$C$55,PVFB,$S883+2,0))</f>
        <v>0</v>
      </c>
      <c r="AB883" s="488" t="str">
        <f ca="1">IF(AND(S883&lt;OP!$C$24,$U883&lt;15),0,IF(AND($U883&lt;15,$T883=12),ROUND(VLOOKUP($S883,DOWN16,5,0),3),IF($T883=12,ROUND(($Z883/10000)*$AA883,3)+IF(AND($P$7="購買增額繳清保險",T883=12,U883=110),VLOOKUP(S883,$B$10:$H$121,7,0),0),"")))</f>
        <v/>
      </c>
      <c r="AC883" s="350" t="str">
        <f ca="1">IF(AND(S883&lt;OP!$C$24,$U883&lt;15),0,IF(AND($U883&lt;16,$T883=12),VLOOKUP($S883,DOWN16,4,0),IF($T883=12,ROUND(VLOOKUP(OP!$C$55,_DIE2,$S883+1,0)*(Z883/10000),0)+IF(AND($P$7="購買增額繳清保險",T883=12,U883=110),VLOOKUP(S883,$B$10:$H$121,7,0),0),"")))</f>
        <v/>
      </c>
      <c r="AD883" s="347"/>
      <c r="AE883" s="350" t="str">
        <f t="shared" ca="1" si="557"/>
        <v/>
      </c>
      <c r="AF883" s="351" t="str">
        <f t="shared" ca="1" si="558"/>
        <v/>
      </c>
      <c r="AG883" s="340"/>
      <c r="AH883" s="340"/>
      <c r="AI883" s="340"/>
      <c r="AJ883" s="340"/>
      <c r="AK883" s="340"/>
      <c r="AL883" s="340"/>
      <c r="AM883" s="340"/>
      <c r="AN883" s="340"/>
      <c r="AO883" s="340"/>
      <c r="AP883" s="340"/>
      <c r="AQ883" s="340"/>
      <c r="AR883" s="340"/>
      <c r="AS883" s="340"/>
      <c r="AT883" s="340"/>
      <c r="AU883" s="340"/>
      <c r="AV883" s="340"/>
      <c r="AY883" s="340"/>
      <c r="AZ883" s="465">
        <f t="shared" ca="1" si="568"/>
        <v>7.3698599999999999E-5</v>
      </c>
      <c r="BA883" s="464">
        <f t="shared" ca="1" si="569"/>
        <v>2.1372602999999999E-3</v>
      </c>
      <c r="BB883" s="465">
        <f t="shared" ca="1" si="569"/>
        <v>2.2109589000000002E-3</v>
      </c>
      <c r="BC883" s="466">
        <f t="shared" ca="1" si="570"/>
        <v>69489</v>
      </c>
      <c r="BD883" s="467">
        <f t="shared" ca="1" si="583"/>
        <v>69490</v>
      </c>
      <c r="BE883" s="467">
        <f t="shared" ca="1" si="571"/>
        <v>69518</v>
      </c>
      <c r="BF883" s="468">
        <f ca="1">IF(計算!$BC883&lt;OP!$C$3,0,BD883-BC883)</f>
        <v>1</v>
      </c>
      <c r="BG883" s="468">
        <f ca="1">IF($BE883&gt;DATE(YEAR($BD$9)+OP!$C$57,MONTH($BD$9),DAY($BD$9)),0,$BE883-$BD883+1)</f>
        <v>29</v>
      </c>
      <c r="BH883" s="469">
        <f t="shared" ca="1" si="572"/>
        <v>30</v>
      </c>
      <c r="BI883" t="str">
        <f t="shared" si="588"/>
        <v/>
      </c>
      <c r="BJ883">
        <v>10</v>
      </c>
      <c r="BN883" s="468">
        <f t="shared" si="584"/>
        <v>73</v>
      </c>
      <c r="BO883" s="468">
        <f t="shared" si="585"/>
        <v>10</v>
      </c>
      <c r="BP883" s="467">
        <f t="shared" ca="1" si="573"/>
        <v>69490</v>
      </c>
      <c r="BQ883" s="475">
        <f t="shared" ca="1" si="587"/>
        <v>105</v>
      </c>
      <c r="BR883" s="475" t="str">
        <f t="shared" si="586"/>
        <v/>
      </c>
      <c r="BS883" s="471" t="str">
        <f t="shared" si="574"/>
        <v/>
      </c>
      <c r="BT883" s="472" t="str">
        <f t="shared" si="589"/>
        <v/>
      </c>
      <c r="BU883" s="472">
        <f t="shared" ca="1" si="575"/>
        <v>0</v>
      </c>
      <c r="BV883" s="472">
        <f t="shared" ca="1" si="575"/>
        <v>0</v>
      </c>
      <c r="BW883" s="472"/>
      <c r="BX883" s="473">
        <f t="shared" ca="1" si="576"/>
        <v>2254214.9183461699</v>
      </c>
      <c r="BY883" s="473">
        <f t="shared" si="577"/>
        <v>0</v>
      </c>
      <c r="BZ883" s="473">
        <f t="shared" ca="1" si="559"/>
        <v>4983.9765362300004</v>
      </c>
      <c r="CA883" s="476">
        <f t="shared" ca="1" si="578"/>
        <v>0</v>
      </c>
      <c r="CB883" s="494">
        <f ca="1">IF(OR($Q882&lt;&gt;1,OP!$D$5+$BN883-1&lt;16,$BN883-1&lt;1),0,ROUND(ROUND(ROUND(((VLOOKUP($BN883-1,MORE_PV,5,0)/10000)*VLOOKUP($BN883,MORE_PV,$CB$5,0)),3)*VLOOKUP($BN883,more1,5,0),0)/$R882,0))</f>
        <v>0</v>
      </c>
      <c r="CC883" s="473">
        <f t="shared" ca="1" si="579"/>
        <v>0</v>
      </c>
      <c r="CD883" s="477"/>
    </row>
    <row r="884" spans="2:82" ht="16.5" hidden="1">
      <c r="B884" s="80"/>
      <c r="C884" s="80"/>
      <c r="D884" s="80"/>
      <c r="E884" s="80"/>
      <c r="F884" s="80"/>
      <c r="G884" s="80"/>
      <c r="H884" s="80"/>
      <c r="I884" s="80"/>
      <c r="J884" s="192">
        <f t="shared" si="560"/>
        <v>73</v>
      </c>
      <c r="K884" s="192">
        <f t="shared" si="561"/>
        <v>12</v>
      </c>
      <c r="L884" s="192">
        <f t="shared" si="556"/>
        <v>73</v>
      </c>
      <c r="M884" s="216">
        <f t="shared" ca="1" si="562"/>
        <v>2289424</v>
      </c>
      <c r="N884" s="216"/>
      <c r="O884" s="216"/>
      <c r="P884" s="216"/>
      <c r="Q884" s="456">
        <f t="shared" ca="1" si="563"/>
        <v>1</v>
      </c>
      <c r="R884" s="450">
        <f t="shared" ca="1" si="564"/>
        <v>1</v>
      </c>
      <c r="S884" s="191">
        <f t="shared" si="565"/>
        <v>73</v>
      </c>
      <c r="T884" s="191">
        <f t="shared" si="566"/>
        <v>12</v>
      </c>
      <c r="U884" s="191">
        <f ca="1">OP!$D$5+$S884-1</f>
        <v>105</v>
      </c>
      <c r="V884" s="191">
        <f t="shared" si="567"/>
        <v>73</v>
      </c>
      <c r="W884" s="350">
        <f ca="1">IF(Q884&lt;&gt;1,0,VLOOKUP(OP!$C$55,PVFB,$S884+2,0))</f>
        <v>103689</v>
      </c>
      <c r="X884" s="473">
        <f t="shared" ca="1" si="580"/>
        <v>24898</v>
      </c>
      <c r="Y884" s="348">
        <f t="shared" ca="1" si="581"/>
        <v>0</v>
      </c>
      <c r="Z884" s="348">
        <f t="shared" ca="1" si="582"/>
        <v>8012</v>
      </c>
      <c r="AA884" s="348">
        <f ca="1">IF(Q884&lt;&gt;1,0,VLOOKUP(OP!$C$55,PVFB,$S884+2,0))</f>
        <v>103689</v>
      </c>
      <c r="AB884" s="488">
        <f ca="1">IF(AND(S884&lt;OP!$C$24,$U884&lt;15),0,IF(AND($U884&lt;15,$T884=12),ROUND(VLOOKUP($S884,DOWN16,5,0),3),IF($T884=12,ROUND(($Z884/10000)*$AA884,3)+IF(AND($P$7="購買增額繳清保險",T884=12,U884=110),VLOOKUP(S884,$B$10:$H$121,7,0),0),"")))</f>
        <v>83075.626999999993</v>
      </c>
      <c r="AC884" s="350">
        <f ca="1">IF(AND(S884&lt;OP!$C$24,$U884&lt;15),0,IF(AND($U884&lt;16,$T884=12),VLOOKUP($S884,DOWN16,4,0),IF($T884=12,ROUND(VLOOKUP(OP!$C$55,_DIE2,$S884+1,0)*(Z884/10000),0)+IF(AND($P$7="購買增額繳清保險",T884=12,U884=110),VLOOKUP(S884,$B$10:$H$121,7,0),0),"")))</f>
        <v>83165</v>
      </c>
      <c r="AD884" s="347"/>
      <c r="AE884" s="350" t="str">
        <f t="shared" ca="1" si="557"/>
        <v/>
      </c>
      <c r="AF884" s="351" t="str">
        <f t="shared" ca="1" si="558"/>
        <v/>
      </c>
      <c r="AG884" s="340"/>
      <c r="AH884" s="340"/>
      <c r="AI884" s="340"/>
      <c r="AJ884" s="340"/>
      <c r="AK884" s="340"/>
      <c r="AL884" s="340"/>
      <c r="AM884" s="340"/>
      <c r="AN884" s="340"/>
      <c r="AO884" s="340"/>
      <c r="AP884" s="340"/>
      <c r="AQ884" s="340"/>
      <c r="AR884" s="340"/>
      <c r="AS884" s="340"/>
      <c r="AT884" s="340"/>
      <c r="AU884" s="340"/>
      <c r="AV884" s="340"/>
      <c r="AY884" s="340"/>
      <c r="AZ884" s="465">
        <f t="shared" ca="1" si="568"/>
        <v>7.3698599999999999E-5</v>
      </c>
      <c r="BA884" s="464">
        <f t="shared" ca="1" si="569"/>
        <v>2.2109589000000002E-3</v>
      </c>
      <c r="BB884" s="465">
        <f t="shared" ca="1" si="569"/>
        <v>2.2846575E-3</v>
      </c>
      <c r="BC884" s="466">
        <f t="shared" ca="1" si="570"/>
        <v>69519</v>
      </c>
      <c r="BD884" s="467">
        <f t="shared" ca="1" si="583"/>
        <v>69520</v>
      </c>
      <c r="BE884" s="467">
        <f t="shared" ca="1" si="571"/>
        <v>69549</v>
      </c>
      <c r="BF884" s="468">
        <f ca="1">IF(計算!$BC884&lt;OP!$C$3,0,BD884-BC884)</f>
        <v>1</v>
      </c>
      <c r="BG884" s="468">
        <f ca="1">IF($BE884&gt;DATE(YEAR($BD$9)+OP!$C$57,MONTH($BD$9),DAY($BD$9)),0,$BE884-$BD884+1)</f>
        <v>30</v>
      </c>
      <c r="BH884" s="469">
        <f t="shared" ca="1" si="572"/>
        <v>31</v>
      </c>
      <c r="BI884" t="str">
        <f t="shared" si="588"/>
        <v/>
      </c>
      <c r="BJ884">
        <v>11</v>
      </c>
      <c r="BN884" s="468">
        <f t="shared" si="584"/>
        <v>73</v>
      </c>
      <c r="BO884" s="468">
        <f t="shared" si="585"/>
        <v>11</v>
      </c>
      <c r="BP884" s="467">
        <f t="shared" ca="1" si="573"/>
        <v>69520</v>
      </c>
      <c r="BQ884" s="475">
        <f t="shared" ca="1" si="587"/>
        <v>105</v>
      </c>
      <c r="BR884" s="475" t="str">
        <f t="shared" si="586"/>
        <v/>
      </c>
      <c r="BS884" s="471" t="str">
        <f t="shared" si="574"/>
        <v/>
      </c>
      <c r="BT884" s="472" t="str">
        <f t="shared" si="589"/>
        <v/>
      </c>
      <c r="BU884" s="472">
        <f t="shared" ca="1" si="575"/>
        <v>0</v>
      </c>
      <c r="BV884" s="472">
        <f t="shared" ca="1" si="575"/>
        <v>0</v>
      </c>
      <c r="BW884" s="472"/>
      <c r="BX884" s="473">
        <f t="shared" ca="1" si="576"/>
        <v>2259198.8948824001</v>
      </c>
      <c r="BY884" s="473">
        <f t="shared" si="577"/>
        <v>0</v>
      </c>
      <c r="BZ884" s="473">
        <f t="shared" ca="1" si="559"/>
        <v>5161.4956991850004</v>
      </c>
      <c r="CA884" s="476">
        <f t="shared" ca="1" si="578"/>
        <v>0</v>
      </c>
      <c r="CB884" s="494">
        <f ca="1">IF(OR($Q883&lt;&gt;1,OP!$D$5+$BN884-1&lt;16,$BN884-1&lt;1),0,ROUND(ROUND(ROUND(((VLOOKUP($BN884-1,MORE_PV,5,0)/10000)*VLOOKUP($BN884,MORE_PV,$CB$5,0)),3)*VLOOKUP($BN884,more1,5,0),0)/$R883,0))</f>
        <v>0</v>
      </c>
      <c r="CC884" s="473">
        <f t="shared" ca="1" si="579"/>
        <v>0</v>
      </c>
      <c r="CD884" s="477"/>
    </row>
    <row r="885" spans="2:82" ht="16.5" hidden="1">
      <c r="B885" s="80"/>
      <c r="C885" s="80"/>
      <c r="D885" s="80"/>
      <c r="E885" s="80"/>
      <c r="F885" s="80"/>
      <c r="G885" s="80"/>
      <c r="H885" s="80"/>
      <c r="I885" s="80"/>
      <c r="J885" s="192">
        <f t="shared" si="560"/>
        <v>74</v>
      </c>
      <c r="K885" s="192">
        <f t="shared" si="561"/>
        <v>1</v>
      </c>
      <c r="L885" s="192" t="str">
        <f t="shared" si="556"/>
        <v/>
      </c>
      <c r="M885" s="216">
        <f t="shared" ca="1" si="562"/>
        <v>0</v>
      </c>
      <c r="N885" s="216"/>
      <c r="O885" s="216"/>
      <c r="P885" s="216"/>
      <c r="Q885" s="456" t="str">
        <f t="shared" ca="1" si="563"/>
        <v/>
      </c>
      <c r="R885" s="450">
        <f t="shared" ca="1" si="564"/>
        <v>1</v>
      </c>
      <c r="S885" s="191">
        <f t="shared" si="565"/>
        <v>74</v>
      </c>
      <c r="T885" s="191">
        <f t="shared" si="566"/>
        <v>1</v>
      </c>
      <c r="U885" s="191">
        <f ca="1">OP!$D$5+$S885-1</f>
        <v>106</v>
      </c>
      <c r="V885" s="191" t="str">
        <f t="shared" si="567"/>
        <v/>
      </c>
      <c r="W885" s="350">
        <f ca="1">IF(Q885&lt;&gt;1,0,VLOOKUP(OP!$C$55,PVFB,$S885+2,0))</f>
        <v>0</v>
      </c>
      <c r="X885" s="473">
        <f t="shared" ca="1" si="580"/>
        <v>0</v>
      </c>
      <c r="Y885" s="348">
        <f t="shared" ca="1" si="581"/>
        <v>0</v>
      </c>
      <c r="Z885" s="348">
        <f t="shared" ca="1" si="582"/>
        <v>8012</v>
      </c>
      <c r="AA885" s="348">
        <f ca="1">IF(Q885&lt;&gt;1,0,VLOOKUP(OP!$C$55,PVFB,$S885+2,0))</f>
        <v>0</v>
      </c>
      <c r="AB885" s="488" t="str">
        <f ca="1">IF(AND(S885&lt;OP!$C$24,$U885&lt;15),0,IF(AND($U885&lt;15,$T885=12),ROUND(VLOOKUP($S885,DOWN16,5,0),3),IF($T885=12,ROUND(($Z885/10000)*$AA885,3)+IF(AND($P$7="購買增額繳清保險",T885=12,U885=110),VLOOKUP(S885,$B$10:$H$121,7,0),0),"")))</f>
        <v/>
      </c>
      <c r="AC885" s="350" t="str">
        <f ca="1">IF(AND(S885&lt;OP!$C$24,$U885&lt;15),0,IF(AND($U885&lt;16,$T885=12),VLOOKUP($S885,DOWN16,4,0),IF($T885=12,ROUND(VLOOKUP(OP!$C$55,_DIE2,$S885+1,0)*(Z885/10000),0)+IF(AND($P$7="購買增額繳清保險",T885=12,U885=110),VLOOKUP(S885,$B$10:$H$121,7,0),0),"")))</f>
        <v/>
      </c>
      <c r="AD885" s="347"/>
      <c r="AE885" s="350" t="str">
        <f t="shared" ca="1" si="557"/>
        <v/>
      </c>
      <c r="AF885" s="351" t="str">
        <f t="shared" ca="1" si="558"/>
        <v/>
      </c>
      <c r="AG885" s="340"/>
      <c r="AH885" s="340"/>
      <c r="AI885" s="340"/>
      <c r="AJ885" s="340"/>
      <c r="AK885" s="340"/>
      <c r="AL885" s="340"/>
      <c r="AM885" s="340"/>
      <c r="AN885" s="340"/>
      <c r="AO885" s="340"/>
      <c r="AP885" s="340"/>
      <c r="AQ885" s="340"/>
      <c r="AR885" s="340"/>
      <c r="AS885" s="340"/>
      <c r="AT885" s="340"/>
      <c r="AU885" s="340"/>
      <c r="AV885" s="340"/>
      <c r="AY885" s="340"/>
      <c r="AZ885" s="465">
        <f t="shared" ca="1" si="568"/>
        <v>7.3698599999999999E-5</v>
      </c>
      <c r="BA885" s="464">
        <f t="shared" ca="1" si="569"/>
        <v>2.1372602999999999E-3</v>
      </c>
      <c r="BB885" s="465">
        <f t="shared" ca="1" si="569"/>
        <v>2.2109589000000002E-3</v>
      </c>
      <c r="BC885" s="466">
        <f t="shared" ca="1" si="570"/>
        <v>69550</v>
      </c>
      <c r="BD885" s="467">
        <f t="shared" ca="1" si="583"/>
        <v>69551</v>
      </c>
      <c r="BE885" s="467">
        <f t="shared" ca="1" si="571"/>
        <v>69579</v>
      </c>
      <c r="BF885" s="468">
        <f ca="1">IF(計算!$BC885&lt;OP!$C$3,0,BD885-BC885)</f>
        <v>1</v>
      </c>
      <c r="BG885" s="468">
        <f ca="1">IF($BE885&gt;DATE(YEAR($BD$9)+OP!$C$57,MONTH($BD$9),DAY($BD$9)),0,$BE885-$BD885+1)</f>
        <v>29</v>
      </c>
      <c r="BH885" s="469">
        <f t="shared" ca="1" si="572"/>
        <v>30</v>
      </c>
      <c r="BI885">
        <f t="shared" ca="1" si="588"/>
        <v>365</v>
      </c>
      <c r="BJ885">
        <v>12</v>
      </c>
      <c r="BN885" s="468">
        <f t="shared" si="584"/>
        <v>73</v>
      </c>
      <c r="BO885" s="468">
        <f t="shared" si="585"/>
        <v>12</v>
      </c>
      <c r="BP885" s="467">
        <f t="shared" ca="1" si="573"/>
        <v>69551</v>
      </c>
      <c r="BQ885" s="475">
        <f t="shared" ca="1" si="587"/>
        <v>105</v>
      </c>
      <c r="BR885" s="475">
        <f t="shared" si="586"/>
        <v>73</v>
      </c>
      <c r="BS885" s="471">
        <f t="shared" ca="1" si="574"/>
        <v>24898</v>
      </c>
      <c r="BT885" s="472">
        <f t="shared" ca="1" si="589"/>
        <v>2289424</v>
      </c>
      <c r="BU885" s="472">
        <f t="shared" ca="1" si="575"/>
        <v>24325</v>
      </c>
      <c r="BV885" s="472">
        <f t="shared" ca="1" si="575"/>
        <v>573</v>
      </c>
      <c r="BW885" s="472">
        <f ca="1">ROUND(SUM(BY885,BZ873:BZ884),0)</f>
        <v>60038</v>
      </c>
      <c r="BX885" s="473">
        <f t="shared" ca="1" si="576"/>
        <v>2289425.2707722699</v>
      </c>
      <c r="BY885" s="473">
        <f t="shared" ca="1" si="577"/>
        <v>166.88019068099999</v>
      </c>
      <c r="BZ885" s="473">
        <f t="shared" ca="1" si="559"/>
        <v>4893.0977410380001</v>
      </c>
      <c r="CA885" s="476">
        <f t="shared" ca="1" si="578"/>
        <v>24325</v>
      </c>
      <c r="CB885" s="494">
        <f ca="1">IF(OR($Q884&lt;&gt;1,OP!$D$5+$BN885-1&lt;16,$BN885-1&lt;1),0,ROUND(ROUND(ROUND(((VLOOKUP($BN885-1,MORE_PV,5,0)/10000)*VLOOKUP($BN885,MORE_PV,$CB$5,0)),3)*VLOOKUP($BN885,more1,5,0),0)/$R884,0))</f>
        <v>573</v>
      </c>
      <c r="CC885" s="473">
        <f t="shared" ca="1" si="579"/>
        <v>0</v>
      </c>
      <c r="CD885" s="477"/>
    </row>
    <row r="886" spans="2:82" ht="16.5" hidden="1">
      <c r="B886" s="80"/>
      <c r="C886" s="80"/>
      <c r="D886" s="80"/>
      <c r="E886" s="80"/>
      <c r="F886" s="80"/>
      <c r="G886" s="80"/>
      <c r="H886" s="80"/>
      <c r="I886" s="80"/>
      <c r="J886" s="192">
        <f t="shared" si="560"/>
        <v>74</v>
      </c>
      <c r="K886" s="192">
        <f t="shared" si="561"/>
        <v>2</v>
      </c>
      <c r="L886" s="192" t="str">
        <f t="shared" si="556"/>
        <v/>
      </c>
      <c r="M886" s="216">
        <f t="shared" ca="1" si="562"/>
        <v>0</v>
      </c>
      <c r="N886" s="216"/>
      <c r="O886" s="216"/>
      <c r="P886" s="216"/>
      <c r="Q886" s="456" t="str">
        <f t="shared" ca="1" si="563"/>
        <v/>
      </c>
      <c r="R886" s="450">
        <f t="shared" ca="1" si="564"/>
        <v>1</v>
      </c>
      <c r="S886" s="191">
        <f t="shared" si="565"/>
        <v>74</v>
      </c>
      <c r="T886" s="191">
        <f t="shared" si="566"/>
        <v>2</v>
      </c>
      <c r="U886" s="191">
        <f ca="1">OP!$D$5+$S886-1</f>
        <v>106</v>
      </c>
      <c r="V886" s="191" t="str">
        <f t="shared" si="567"/>
        <v/>
      </c>
      <c r="W886" s="350">
        <f ca="1">IF(Q886&lt;&gt;1,0,VLOOKUP(OP!$C$55,PVFB,$S886+2,0))</f>
        <v>0</v>
      </c>
      <c r="X886" s="473">
        <f t="shared" ca="1" si="580"/>
        <v>0</v>
      </c>
      <c r="Y886" s="348">
        <f t="shared" ca="1" si="581"/>
        <v>0</v>
      </c>
      <c r="Z886" s="348">
        <f t="shared" ca="1" si="582"/>
        <v>8012</v>
      </c>
      <c r="AA886" s="348">
        <f ca="1">IF(Q886&lt;&gt;1,0,VLOOKUP(OP!$C$55,PVFB,$S886+2,0))</f>
        <v>0</v>
      </c>
      <c r="AB886" s="488" t="str">
        <f ca="1">IF(AND(S886&lt;OP!$C$24,$U886&lt;15),0,IF(AND($U886&lt;15,$T886=12),ROUND(VLOOKUP($S886,DOWN16,5,0),3),IF($T886=12,ROUND(($Z886/10000)*$AA886,3)+IF(AND($P$7="購買增額繳清保險",T886=12,U886=110),VLOOKUP(S886,$B$10:$H$121,7,0),0),"")))</f>
        <v/>
      </c>
      <c r="AC886" s="350" t="str">
        <f ca="1">IF(AND(S886&lt;OP!$C$24,$U886&lt;15),0,IF(AND($U886&lt;16,$T886=12),VLOOKUP($S886,DOWN16,4,0),IF($T886=12,ROUND(VLOOKUP(OP!$C$55,_DIE2,$S886+1,0)*(Z886/10000),0)+IF(AND($P$7="購買增額繳清保險",T886=12,U886=110),VLOOKUP(S886,$B$10:$H$121,7,0),0),"")))</f>
        <v/>
      </c>
      <c r="AD886" s="347"/>
      <c r="AE886" s="350" t="str">
        <f t="shared" ca="1" si="557"/>
        <v/>
      </c>
      <c r="AF886" s="351" t="str">
        <f t="shared" ca="1" si="558"/>
        <v/>
      </c>
      <c r="AG886" s="340"/>
      <c r="AH886" s="340"/>
      <c r="AI886" s="340"/>
      <c r="AJ886" s="340"/>
      <c r="AK886" s="340"/>
      <c r="AL886" s="340"/>
      <c r="AM886" s="340"/>
      <c r="AN886" s="340"/>
      <c r="AO886" s="340"/>
      <c r="AP886" s="340"/>
      <c r="AQ886" s="340"/>
      <c r="AR886" s="340"/>
      <c r="AS886" s="340"/>
      <c r="AT886" s="340"/>
      <c r="AU886" s="340"/>
      <c r="AV886" s="340"/>
      <c r="AY886" s="340"/>
      <c r="AZ886" s="465">
        <f t="shared" ca="1" si="568"/>
        <v>7.3698599999999999E-5</v>
      </c>
      <c r="BA886" s="464">
        <f t="shared" ca="1" si="569"/>
        <v>2.2109589000000002E-3</v>
      </c>
      <c r="BB886" s="465">
        <f t="shared" ca="1" si="569"/>
        <v>2.2846575E-3</v>
      </c>
      <c r="BC886" s="466">
        <f t="shared" ca="1" si="570"/>
        <v>69580</v>
      </c>
      <c r="BD886" s="467">
        <f t="shared" ca="1" si="583"/>
        <v>69581</v>
      </c>
      <c r="BE886" s="467">
        <f t="shared" ca="1" si="571"/>
        <v>69610</v>
      </c>
      <c r="BF886" s="468">
        <f ca="1">IF(計算!$BC886&lt;OP!$C$3,0,BD886-BC886)</f>
        <v>1</v>
      </c>
      <c r="BG886" s="468">
        <f ca="1">IF($BE886&gt;DATE(YEAR($BD$9)+OP!$C$57,MONTH($BD$9),DAY($BD$9)),0,$BE886-$BD886+1)</f>
        <v>30</v>
      </c>
      <c r="BH886" s="469">
        <f t="shared" ca="1" si="572"/>
        <v>31</v>
      </c>
      <c r="BI886" t="str">
        <f t="shared" si="588"/>
        <v/>
      </c>
      <c r="BJ886">
        <v>1</v>
      </c>
      <c r="BN886" s="468">
        <f t="shared" si="584"/>
        <v>74</v>
      </c>
      <c r="BO886" s="468">
        <f t="shared" si="585"/>
        <v>1</v>
      </c>
      <c r="BP886" s="467">
        <f t="shared" ca="1" si="573"/>
        <v>69581</v>
      </c>
      <c r="BQ886" s="475">
        <f t="shared" ca="1" si="587"/>
        <v>106</v>
      </c>
      <c r="BR886" s="475" t="str">
        <f t="shared" si="586"/>
        <v/>
      </c>
      <c r="BS886" s="471" t="str">
        <f t="shared" si="574"/>
        <v/>
      </c>
      <c r="BT886" s="472" t="str">
        <f t="shared" si="589"/>
        <v/>
      </c>
      <c r="BU886" s="472">
        <f t="shared" ca="1" si="575"/>
        <v>0</v>
      </c>
      <c r="BV886" s="472">
        <f t="shared" ca="1" si="575"/>
        <v>0</v>
      </c>
      <c r="BW886" s="472"/>
      <c r="BX886" s="473">
        <f t="shared" ca="1" si="576"/>
        <v>2294318.3685133099</v>
      </c>
      <c r="BY886" s="473">
        <f t="shared" si="577"/>
        <v>0</v>
      </c>
      <c r="BZ886" s="473">
        <f t="shared" ca="1" si="559"/>
        <v>5241.7316680120002</v>
      </c>
      <c r="CA886" s="476">
        <f t="shared" ca="1" si="578"/>
        <v>0</v>
      </c>
      <c r="CB886" s="494">
        <f ca="1">IF(OR($Q885&lt;&gt;1,OP!$D$5+$BN886-1&lt;16,$BN886-1&lt;1),0,ROUND(ROUND(ROUND(((VLOOKUP($BN886-1,MORE_PV,5,0)/10000)*VLOOKUP($BN886,MORE_PV,$CB$5,0)),3)*VLOOKUP($BN886,more1,5,0),0)/$R885,0))</f>
        <v>0</v>
      </c>
      <c r="CC886" s="473">
        <f t="shared" ca="1" si="579"/>
        <v>0</v>
      </c>
      <c r="CD886" s="477"/>
    </row>
    <row r="887" spans="2:82" ht="16.5" hidden="1">
      <c r="B887" s="80"/>
      <c r="C887" s="80"/>
      <c r="D887" s="80"/>
      <c r="E887" s="80"/>
      <c r="F887" s="80"/>
      <c r="G887" s="80"/>
      <c r="H887" s="80"/>
      <c r="I887" s="80"/>
      <c r="J887" s="192">
        <f t="shared" si="560"/>
        <v>74</v>
      </c>
      <c r="K887" s="192">
        <f t="shared" si="561"/>
        <v>3</v>
      </c>
      <c r="L887" s="192" t="str">
        <f t="shared" si="556"/>
        <v/>
      </c>
      <c r="M887" s="216">
        <f t="shared" ca="1" si="562"/>
        <v>0</v>
      </c>
      <c r="N887" s="216"/>
      <c r="O887" s="216"/>
      <c r="P887" s="216"/>
      <c r="Q887" s="456" t="str">
        <f t="shared" ca="1" si="563"/>
        <v/>
      </c>
      <c r="R887" s="450">
        <f t="shared" ca="1" si="564"/>
        <v>1</v>
      </c>
      <c r="S887" s="191">
        <f t="shared" si="565"/>
        <v>74</v>
      </c>
      <c r="T887" s="191">
        <f t="shared" si="566"/>
        <v>3</v>
      </c>
      <c r="U887" s="191">
        <f ca="1">OP!$D$5+$S887-1</f>
        <v>106</v>
      </c>
      <c r="V887" s="191" t="str">
        <f t="shared" si="567"/>
        <v/>
      </c>
      <c r="W887" s="350">
        <f ca="1">IF(Q887&lt;&gt;1,0,VLOOKUP(OP!$C$55,PVFB,$S887+2,0))</f>
        <v>0</v>
      </c>
      <c r="X887" s="473">
        <f t="shared" ca="1" si="580"/>
        <v>0</v>
      </c>
      <c r="Y887" s="348">
        <f t="shared" ca="1" si="581"/>
        <v>0</v>
      </c>
      <c r="Z887" s="348">
        <f t="shared" ca="1" si="582"/>
        <v>8012</v>
      </c>
      <c r="AA887" s="348">
        <f ca="1">IF(Q887&lt;&gt;1,0,VLOOKUP(OP!$C$55,PVFB,$S887+2,0))</f>
        <v>0</v>
      </c>
      <c r="AB887" s="488" t="str">
        <f ca="1">IF(AND(S887&lt;OP!$C$24,$U887&lt;15),0,IF(AND($U887&lt;15,$T887=12),ROUND(VLOOKUP($S887,DOWN16,5,0),3),IF($T887=12,ROUND(($Z887/10000)*$AA887,3)+IF(AND($P$7="購買增額繳清保險",T887=12,U887=110),VLOOKUP(S887,$B$10:$H$121,7,0),0),"")))</f>
        <v/>
      </c>
      <c r="AC887" s="350" t="str">
        <f ca="1">IF(AND(S887&lt;OP!$C$24,$U887&lt;15),0,IF(AND($U887&lt;16,$T887=12),VLOOKUP($S887,DOWN16,4,0),IF($T887=12,ROUND(VLOOKUP(OP!$C$55,_DIE2,$S887+1,0)*(Z887/10000),0)+IF(AND($P$7="購買增額繳清保險",T887=12,U887=110),VLOOKUP(S887,$B$10:$H$121,7,0),0),"")))</f>
        <v/>
      </c>
      <c r="AD887" s="347"/>
      <c r="AE887" s="350" t="str">
        <f t="shared" ca="1" si="557"/>
        <v/>
      </c>
      <c r="AF887" s="351" t="str">
        <f t="shared" ca="1" si="558"/>
        <v/>
      </c>
      <c r="AG887" s="340"/>
      <c r="AH887" s="340"/>
      <c r="AI887" s="340"/>
      <c r="AJ887" s="340"/>
      <c r="AK887" s="340"/>
      <c r="AL887" s="340"/>
      <c r="AM887" s="340"/>
      <c r="AN887" s="340"/>
      <c r="AO887" s="340"/>
      <c r="AP887" s="340"/>
      <c r="AQ887" s="340"/>
      <c r="AR887" s="340"/>
      <c r="AS887" s="340"/>
      <c r="AT887" s="340"/>
      <c r="AU887" s="340"/>
      <c r="AV887" s="340"/>
      <c r="AY887" s="340"/>
      <c r="AZ887" s="465">
        <f t="shared" ca="1" si="568"/>
        <v>7.3698599999999999E-5</v>
      </c>
      <c r="BA887" s="464">
        <f t="shared" ca="1" si="569"/>
        <v>2.2109589000000002E-3</v>
      </c>
      <c r="BB887" s="465">
        <f t="shared" ca="1" si="569"/>
        <v>2.2846575E-3</v>
      </c>
      <c r="BC887" s="466">
        <f t="shared" ca="1" si="570"/>
        <v>69611</v>
      </c>
      <c r="BD887" s="467">
        <f t="shared" ca="1" si="583"/>
        <v>69612</v>
      </c>
      <c r="BE887" s="467">
        <f t="shared" ca="1" si="571"/>
        <v>69641</v>
      </c>
      <c r="BF887" s="468">
        <f ca="1">IF(計算!$BC887&lt;OP!$C$3,0,BD887-BC887)</f>
        <v>1</v>
      </c>
      <c r="BG887" s="468">
        <f ca="1">IF($BE887&gt;DATE(YEAR($BD$9)+OP!$C$57,MONTH($BD$9),DAY($BD$9)),0,$BE887-$BD887+1)</f>
        <v>30</v>
      </c>
      <c r="BH887" s="469">
        <f t="shared" ca="1" si="572"/>
        <v>31</v>
      </c>
      <c r="BI887" t="str">
        <f t="shared" si="588"/>
        <v/>
      </c>
      <c r="BJ887">
        <v>2</v>
      </c>
      <c r="BN887" s="468">
        <f t="shared" si="584"/>
        <v>74</v>
      </c>
      <c r="BO887" s="468">
        <f t="shared" si="585"/>
        <v>2</v>
      </c>
      <c r="BP887" s="467">
        <f t="shared" ca="1" si="573"/>
        <v>69612</v>
      </c>
      <c r="BQ887" s="475">
        <f t="shared" ca="1" si="587"/>
        <v>106</v>
      </c>
      <c r="BR887" s="475" t="str">
        <f t="shared" si="586"/>
        <v/>
      </c>
      <c r="BS887" s="471" t="str">
        <f t="shared" si="574"/>
        <v/>
      </c>
      <c r="BT887" s="472" t="str">
        <f t="shared" si="589"/>
        <v/>
      </c>
      <c r="BU887" s="472">
        <f t="shared" ca="1" si="575"/>
        <v>0</v>
      </c>
      <c r="BV887" s="472">
        <f t="shared" ca="1" si="575"/>
        <v>0</v>
      </c>
      <c r="BW887" s="472"/>
      <c r="BX887" s="473">
        <f t="shared" ca="1" si="576"/>
        <v>2299560.1001813202</v>
      </c>
      <c r="BY887" s="473">
        <f t="shared" si="577"/>
        <v>0</v>
      </c>
      <c r="BZ887" s="473">
        <f t="shared" ca="1" si="559"/>
        <v>5253.7072295799999</v>
      </c>
      <c r="CA887" s="476">
        <f t="shared" ca="1" si="578"/>
        <v>0</v>
      </c>
      <c r="CB887" s="494">
        <f ca="1">IF(OR($Q886&lt;&gt;1,OP!$D$5+$BN887-1&lt;16,$BN887-1&lt;1),0,ROUND(ROUND(ROUND(((VLOOKUP($BN887-1,MORE_PV,5,0)/10000)*VLOOKUP($BN887,MORE_PV,$CB$5,0)),3)*VLOOKUP($BN887,more1,5,0),0)/$R886,0))</f>
        <v>0</v>
      </c>
      <c r="CC887" s="473">
        <f t="shared" ca="1" si="579"/>
        <v>0</v>
      </c>
      <c r="CD887" s="477"/>
    </row>
    <row r="888" spans="2:82" ht="16.5" hidden="1">
      <c r="B888" s="80"/>
      <c r="C888" s="80"/>
      <c r="D888" s="80"/>
      <c r="E888" s="80"/>
      <c r="F888" s="80"/>
      <c r="G888" s="80"/>
      <c r="H888" s="80"/>
      <c r="I888" s="80"/>
      <c r="J888" s="192">
        <f t="shared" si="560"/>
        <v>74</v>
      </c>
      <c r="K888" s="192">
        <f t="shared" si="561"/>
        <v>4</v>
      </c>
      <c r="L888" s="192" t="str">
        <f t="shared" si="556"/>
        <v/>
      </c>
      <c r="M888" s="216">
        <f t="shared" ca="1" si="562"/>
        <v>0</v>
      </c>
      <c r="N888" s="216"/>
      <c r="O888" s="216"/>
      <c r="P888" s="216"/>
      <c r="Q888" s="456" t="str">
        <f t="shared" ca="1" si="563"/>
        <v/>
      </c>
      <c r="R888" s="450">
        <f t="shared" ca="1" si="564"/>
        <v>1</v>
      </c>
      <c r="S888" s="191">
        <f t="shared" si="565"/>
        <v>74</v>
      </c>
      <c r="T888" s="191">
        <f t="shared" si="566"/>
        <v>4</v>
      </c>
      <c r="U888" s="191">
        <f ca="1">OP!$D$5+$S888-1</f>
        <v>106</v>
      </c>
      <c r="V888" s="191" t="str">
        <f t="shared" si="567"/>
        <v/>
      </c>
      <c r="W888" s="350">
        <f ca="1">IF(Q888&lt;&gt;1,0,VLOOKUP(OP!$C$55,PVFB,$S888+2,0))</f>
        <v>0</v>
      </c>
      <c r="X888" s="473">
        <f t="shared" ca="1" si="580"/>
        <v>0</v>
      </c>
      <c r="Y888" s="348">
        <f t="shared" ca="1" si="581"/>
        <v>0</v>
      </c>
      <c r="Z888" s="348">
        <f t="shared" ca="1" si="582"/>
        <v>8012</v>
      </c>
      <c r="AA888" s="348">
        <f ca="1">IF(Q888&lt;&gt;1,0,VLOOKUP(OP!$C$55,PVFB,$S888+2,0))</f>
        <v>0</v>
      </c>
      <c r="AB888" s="488" t="str">
        <f ca="1">IF(AND(S888&lt;OP!$C$24,$U888&lt;15),0,IF(AND($U888&lt;15,$T888=12),ROUND(VLOOKUP($S888,DOWN16,5,0),3),IF($T888=12,ROUND(($Z888/10000)*$AA888,3)+IF(AND($P$7="購買增額繳清保險",T888=12,U888=110),VLOOKUP(S888,$B$10:$H$121,7,0),0),"")))</f>
        <v/>
      </c>
      <c r="AC888" s="350" t="str">
        <f ca="1">IF(AND(S888&lt;OP!$C$24,$U888&lt;15),0,IF(AND($U888&lt;16,$T888=12),VLOOKUP($S888,DOWN16,4,0),IF($T888=12,ROUND(VLOOKUP(OP!$C$55,_DIE2,$S888+1,0)*(Z888/10000),0)+IF(AND($P$7="購買增額繳清保險",T888=12,U888=110),VLOOKUP(S888,$B$10:$H$121,7,0),0),"")))</f>
        <v/>
      </c>
      <c r="AD888" s="347"/>
      <c r="AE888" s="350" t="str">
        <f t="shared" ca="1" si="557"/>
        <v/>
      </c>
      <c r="AF888" s="351" t="str">
        <f t="shared" ca="1" si="558"/>
        <v/>
      </c>
      <c r="AG888" s="340"/>
      <c r="AH888" s="340"/>
      <c r="AI888" s="340"/>
      <c r="AJ888" s="340"/>
      <c r="AK888" s="340"/>
      <c r="AL888" s="340"/>
      <c r="AM888" s="340"/>
      <c r="AN888" s="340"/>
      <c r="AO888" s="340"/>
      <c r="AP888" s="340"/>
      <c r="AQ888" s="340"/>
      <c r="AR888" s="340"/>
      <c r="AS888" s="340"/>
      <c r="AT888" s="340"/>
      <c r="AU888" s="340"/>
      <c r="AV888" s="340"/>
      <c r="AY888" s="340"/>
      <c r="AZ888" s="465">
        <f t="shared" ca="1" si="568"/>
        <v>7.3698599999999999E-5</v>
      </c>
      <c r="BA888" s="464">
        <f t="shared" ca="1" si="569"/>
        <v>2.1372602999999999E-3</v>
      </c>
      <c r="BB888" s="465">
        <f t="shared" ca="1" si="569"/>
        <v>2.2109589000000002E-3</v>
      </c>
      <c r="BC888" s="466">
        <f t="shared" ca="1" si="570"/>
        <v>69642</v>
      </c>
      <c r="BD888" s="467">
        <f t="shared" ca="1" si="583"/>
        <v>69643</v>
      </c>
      <c r="BE888" s="467">
        <f t="shared" ca="1" si="571"/>
        <v>69671</v>
      </c>
      <c r="BF888" s="468">
        <f ca="1">IF(計算!$BC888&lt;OP!$C$3,0,BD888-BC888)</f>
        <v>1</v>
      </c>
      <c r="BG888" s="468">
        <f ca="1">IF($BE888&gt;DATE(YEAR($BD$9)+OP!$C$57,MONTH($BD$9),DAY($BD$9)),0,$BE888-$BD888+1)</f>
        <v>29</v>
      </c>
      <c r="BH888" s="469">
        <f t="shared" ca="1" si="572"/>
        <v>30</v>
      </c>
      <c r="BI888" t="str">
        <f t="shared" si="588"/>
        <v/>
      </c>
      <c r="BJ888">
        <v>3</v>
      </c>
      <c r="BN888" s="468">
        <f t="shared" si="584"/>
        <v>74</v>
      </c>
      <c r="BO888" s="468">
        <f t="shared" si="585"/>
        <v>3</v>
      </c>
      <c r="BP888" s="467">
        <f t="shared" ca="1" si="573"/>
        <v>69643</v>
      </c>
      <c r="BQ888" s="475">
        <f t="shared" ca="1" si="587"/>
        <v>106</v>
      </c>
      <c r="BR888" s="475" t="str">
        <f t="shared" si="586"/>
        <v/>
      </c>
      <c r="BS888" s="471" t="str">
        <f t="shared" si="574"/>
        <v/>
      </c>
      <c r="BT888" s="472" t="str">
        <f t="shared" si="589"/>
        <v/>
      </c>
      <c r="BU888" s="472">
        <f t="shared" ca="1" si="575"/>
        <v>0</v>
      </c>
      <c r="BV888" s="472">
        <f t="shared" ca="1" si="575"/>
        <v>0</v>
      </c>
      <c r="BW888" s="472"/>
      <c r="BX888" s="473">
        <f t="shared" ca="1" si="576"/>
        <v>2304813.8074109</v>
      </c>
      <c r="BY888" s="473">
        <f t="shared" si="577"/>
        <v>0</v>
      </c>
      <c r="BZ888" s="473">
        <f t="shared" ca="1" si="559"/>
        <v>5095.8486003380003</v>
      </c>
      <c r="CA888" s="476">
        <f t="shared" ca="1" si="578"/>
        <v>0</v>
      </c>
      <c r="CB888" s="494">
        <f ca="1">IF(OR($Q887&lt;&gt;1,OP!$D$5+$BN888-1&lt;16,$BN888-1&lt;1),0,ROUND(ROUND(ROUND(((VLOOKUP($BN888-1,MORE_PV,5,0)/10000)*VLOOKUP($BN888,MORE_PV,$CB$5,0)),3)*VLOOKUP($BN888,more1,5,0),0)/$R887,0))</f>
        <v>0</v>
      </c>
      <c r="CC888" s="473">
        <f t="shared" ca="1" si="579"/>
        <v>0</v>
      </c>
      <c r="CD888" s="477"/>
    </row>
    <row r="889" spans="2:82" ht="16.5" hidden="1">
      <c r="B889" s="80"/>
      <c r="C889" s="80"/>
      <c r="D889" s="80"/>
      <c r="E889" s="80"/>
      <c r="F889" s="80"/>
      <c r="G889" s="80"/>
      <c r="H889" s="80"/>
      <c r="I889" s="80"/>
      <c r="J889" s="192">
        <f t="shared" si="560"/>
        <v>74</v>
      </c>
      <c r="K889" s="192">
        <f t="shared" si="561"/>
        <v>5</v>
      </c>
      <c r="L889" s="192" t="str">
        <f t="shared" si="556"/>
        <v/>
      </c>
      <c r="M889" s="216">
        <f t="shared" ca="1" si="562"/>
        <v>0</v>
      </c>
      <c r="N889" s="216"/>
      <c r="O889" s="216"/>
      <c r="P889" s="216"/>
      <c r="Q889" s="456" t="str">
        <f t="shared" ca="1" si="563"/>
        <v/>
      </c>
      <c r="R889" s="450">
        <f t="shared" ca="1" si="564"/>
        <v>1</v>
      </c>
      <c r="S889" s="191">
        <f t="shared" si="565"/>
        <v>74</v>
      </c>
      <c r="T889" s="191">
        <f t="shared" si="566"/>
        <v>5</v>
      </c>
      <c r="U889" s="191">
        <f ca="1">OP!$D$5+$S889-1</f>
        <v>106</v>
      </c>
      <c r="V889" s="191" t="str">
        <f t="shared" si="567"/>
        <v/>
      </c>
      <c r="W889" s="350">
        <f ca="1">IF(Q889&lt;&gt;1,0,VLOOKUP(OP!$C$55,PVFB,$S889+2,0))</f>
        <v>0</v>
      </c>
      <c r="X889" s="473">
        <f t="shared" ca="1" si="580"/>
        <v>0</v>
      </c>
      <c r="Y889" s="348">
        <f t="shared" ca="1" si="581"/>
        <v>0</v>
      </c>
      <c r="Z889" s="348">
        <f t="shared" ca="1" si="582"/>
        <v>8012</v>
      </c>
      <c r="AA889" s="348">
        <f ca="1">IF(Q889&lt;&gt;1,0,VLOOKUP(OP!$C$55,PVFB,$S889+2,0))</f>
        <v>0</v>
      </c>
      <c r="AB889" s="488" t="str">
        <f ca="1">IF(AND(S889&lt;OP!$C$24,$U889&lt;15),0,IF(AND($U889&lt;15,$T889=12),ROUND(VLOOKUP($S889,DOWN16,5,0),3),IF($T889=12,ROUND(($Z889/10000)*$AA889,3)+IF(AND($P$7="購買增額繳清保險",T889=12,U889=110),VLOOKUP(S889,$B$10:$H$121,7,0),0),"")))</f>
        <v/>
      </c>
      <c r="AC889" s="350" t="str">
        <f ca="1">IF(AND(S889&lt;OP!$C$24,$U889&lt;15),0,IF(AND($U889&lt;16,$T889=12),VLOOKUP($S889,DOWN16,4,0),IF($T889=12,ROUND(VLOOKUP(OP!$C$55,_DIE2,$S889+1,0)*(Z889/10000),0)+IF(AND($P$7="購買增額繳清保險",T889=12,U889=110),VLOOKUP(S889,$B$10:$H$121,7,0),0),"")))</f>
        <v/>
      </c>
      <c r="AD889" s="347"/>
      <c r="AE889" s="350" t="str">
        <f t="shared" ca="1" si="557"/>
        <v/>
      </c>
      <c r="AF889" s="351" t="str">
        <f t="shared" ca="1" si="558"/>
        <v/>
      </c>
      <c r="AG889" s="340"/>
      <c r="AH889" s="340"/>
      <c r="AI889" s="340"/>
      <c r="AJ889" s="340"/>
      <c r="AK889" s="340"/>
      <c r="AL889" s="340"/>
      <c r="AM889" s="340"/>
      <c r="AN889" s="340"/>
      <c r="AO889" s="340"/>
      <c r="AP889" s="340"/>
      <c r="AQ889" s="340"/>
      <c r="AR889" s="340"/>
      <c r="AS889" s="340"/>
      <c r="AT889" s="340"/>
      <c r="AU889" s="340"/>
      <c r="AV889" s="340"/>
      <c r="AY889" s="340"/>
      <c r="AZ889" s="465">
        <f t="shared" ca="1" si="568"/>
        <v>7.3698599999999999E-5</v>
      </c>
      <c r="BA889" s="464">
        <f t="shared" ca="1" si="569"/>
        <v>2.2109589000000002E-3</v>
      </c>
      <c r="BB889" s="465">
        <f t="shared" ca="1" si="569"/>
        <v>2.2846575E-3</v>
      </c>
      <c r="BC889" s="466">
        <f t="shared" ca="1" si="570"/>
        <v>69672</v>
      </c>
      <c r="BD889" s="467">
        <f t="shared" ca="1" si="583"/>
        <v>69673</v>
      </c>
      <c r="BE889" s="467">
        <f t="shared" ca="1" si="571"/>
        <v>69702</v>
      </c>
      <c r="BF889" s="468">
        <f ca="1">IF(計算!$BC889&lt;OP!$C$3,0,BD889-BC889)</f>
        <v>1</v>
      </c>
      <c r="BG889" s="468">
        <f ca="1">IF($BE889&gt;DATE(YEAR($BD$9)+OP!$C$57,MONTH($BD$9),DAY($BD$9)),0,$BE889-$BD889+1)</f>
        <v>30</v>
      </c>
      <c r="BH889" s="469">
        <f t="shared" ca="1" si="572"/>
        <v>31</v>
      </c>
      <c r="BI889" t="str">
        <f t="shared" si="588"/>
        <v/>
      </c>
      <c r="BJ889">
        <v>4</v>
      </c>
      <c r="BN889" s="468">
        <f t="shared" si="584"/>
        <v>74</v>
      </c>
      <c r="BO889" s="468">
        <f t="shared" si="585"/>
        <v>4</v>
      </c>
      <c r="BP889" s="467">
        <f t="shared" ca="1" si="573"/>
        <v>69673</v>
      </c>
      <c r="BQ889" s="475">
        <f t="shared" ca="1" si="587"/>
        <v>106</v>
      </c>
      <c r="BR889" s="475" t="str">
        <f t="shared" si="586"/>
        <v/>
      </c>
      <c r="BS889" s="471" t="str">
        <f t="shared" si="574"/>
        <v/>
      </c>
      <c r="BT889" s="472" t="str">
        <f t="shared" si="589"/>
        <v/>
      </c>
      <c r="BU889" s="472">
        <f t="shared" ca="1" si="575"/>
        <v>0</v>
      </c>
      <c r="BV889" s="472">
        <f t="shared" ca="1" si="575"/>
        <v>0</v>
      </c>
      <c r="BW889" s="472"/>
      <c r="BX889" s="473">
        <f t="shared" ca="1" si="576"/>
        <v>2309909.6560112401</v>
      </c>
      <c r="BY889" s="473">
        <f t="shared" si="577"/>
        <v>0</v>
      </c>
      <c r="BZ889" s="473">
        <f t="shared" ca="1" si="559"/>
        <v>5277.3524199289996</v>
      </c>
      <c r="CA889" s="476">
        <f t="shared" ca="1" si="578"/>
        <v>0</v>
      </c>
      <c r="CB889" s="494">
        <f ca="1">IF(OR($Q888&lt;&gt;1,OP!$D$5+$BN889-1&lt;16,$BN889-1&lt;1),0,ROUND(ROUND(ROUND(((VLOOKUP($BN889-1,MORE_PV,5,0)/10000)*VLOOKUP($BN889,MORE_PV,$CB$5,0)),3)*VLOOKUP($BN889,more1,5,0),0)/$R888,0))</f>
        <v>0</v>
      </c>
      <c r="CC889" s="473">
        <f t="shared" ca="1" si="579"/>
        <v>0</v>
      </c>
      <c r="CD889" s="477"/>
    </row>
    <row r="890" spans="2:82" ht="16.5" hidden="1">
      <c r="B890" s="80"/>
      <c r="C890" s="80"/>
      <c r="D890" s="80"/>
      <c r="E890" s="80"/>
      <c r="F890" s="80"/>
      <c r="G890" s="80"/>
      <c r="H890" s="80"/>
      <c r="I890" s="80"/>
      <c r="J890" s="192">
        <f t="shared" si="560"/>
        <v>74</v>
      </c>
      <c r="K890" s="192">
        <f t="shared" si="561"/>
        <v>6</v>
      </c>
      <c r="L890" s="192" t="str">
        <f t="shared" si="556"/>
        <v/>
      </c>
      <c r="M890" s="216">
        <f t="shared" ca="1" si="562"/>
        <v>0</v>
      </c>
      <c r="N890" s="216"/>
      <c r="O890" s="216"/>
      <c r="P890" s="216"/>
      <c r="Q890" s="456" t="str">
        <f t="shared" ca="1" si="563"/>
        <v/>
      </c>
      <c r="R890" s="450">
        <f t="shared" ca="1" si="564"/>
        <v>1</v>
      </c>
      <c r="S890" s="191">
        <f t="shared" si="565"/>
        <v>74</v>
      </c>
      <c r="T890" s="191">
        <f t="shared" si="566"/>
        <v>6</v>
      </c>
      <c r="U890" s="191">
        <f ca="1">OP!$D$5+$S890-1</f>
        <v>106</v>
      </c>
      <c r="V890" s="191" t="str">
        <f t="shared" si="567"/>
        <v/>
      </c>
      <c r="W890" s="350">
        <f ca="1">IF(Q890&lt;&gt;1,0,VLOOKUP(OP!$C$55,PVFB,$S890+2,0))</f>
        <v>0</v>
      </c>
      <c r="X890" s="473">
        <f t="shared" ca="1" si="580"/>
        <v>0</v>
      </c>
      <c r="Y890" s="348">
        <f t="shared" ca="1" si="581"/>
        <v>0</v>
      </c>
      <c r="Z890" s="348">
        <f t="shared" ca="1" si="582"/>
        <v>8012</v>
      </c>
      <c r="AA890" s="348">
        <f ca="1">IF(Q890&lt;&gt;1,0,VLOOKUP(OP!$C$55,PVFB,$S890+2,0))</f>
        <v>0</v>
      </c>
      <c r="AB890" s="488" t="str">
        <f ca="1">IF(AND(S890&lt;OP!$C$24,$U890&lt;15),0,IF(AND($U890&lt;15,$T890=12),ROUND(VLOOKUP($S890,DOWN16,5,0),3),IF($T890=12,ROUND(($Z890/10000)*$AA890,3)+IF(AND($P$7="購買增額繳清保險",T890=12,U890=110),VLOOKUP(S890,$B$10:$H$121,7,0),0),"")))</f>
        <v/>
      </c>
      <c r="AC890" s="350" t="str">
        <f ca="1">IF(AND(S890&lt;OP!$C$24,$U890&lt;15),0,IF(AND($U890&lt;16,$T890=12),VLOOKUP($S890,DOWN16,4,0),IF($T890=12,ROUND(VLOOKUP(OP!$C$55,_DIE2,$S890+1,0)*(Z890/10000),0)+IF(AND($P$7="購買增額繳清保險",T890=12,U890=110),VLOOKUP(S890,$B$10:$H$121,7,0),0),"")))</f>
        <v/>
      </c>
      <c r="AD890" s="347"/>
      <c r="AE890" s="350" t="str">
        <f t="shared" ca="1" si="557"/>
        <v/>
      </c>
      <c r="AF890" s="351" t="str">
        <f t="shared" ca="1" si="558"/>
        <v/>
      </c>
      <c r="AG890" s="340"/>
      <c r="AH890" s="340"/>
      <c r="AI890" s="340"/>
      <c r="AJ890" s="340"/>
      <c r="AK890" s="340"/>
      <c r="AL890" s="340"/>
      <c r="AM890" s="340"/>
      <c r="AN890" s="340"/>
      <c r="AO890" s="340"/>
      <c r="AP890" s="340"/>
      <c r="AQ890" s="340"/>
      <c r="AR890" s="340"/>
      <c r="AS890" s="340"/>
      <c r="AT890" s="340"/>
      <c r="AU890" s="340"/>
      <c r="AV890" s="340"/>
      <c r="AY890" s="340"/>
      <c r="AZ890" s="465">
        <f t="shared" ca="1" si="568"/>
        <v>7.3698599999999999E-5</v>
      </c>
      <c r="BA890" s="464">
        <f t="shared" ca="1" si="569"/>
        <v>2.1372602999999999E-3</v>
      </c>
      <c r="BB890" s="465">
        <f t="shared" ca="1" si="569"/>
        <v>2.2109589000000002E-3</v>
      </c>
      <c r="BC890" s="466">
        <f t="shared" ca="1" si="570"/>
        <v>69703</v>
      </c>
      <c r="BD890" s="467">
        <f t="shared" ca="1" si="583"/>
        <v>69704</v>
      </c>
      <c r="BE890" s="467">
        <f t="shared" ca="1" si="571"/>
        <v>69732</v>
      </c>
      <c r="BF890" s="468">
        <f ca="1">IF(計算!$BC890&lt;OP!$C$3,0,BD890-BC890)</f>
        <v>1</v>
      </c>
      <c r="BG890" s="468">
        <f ca="1">IF($BE890&gt;DATE(YEAR($BD$9)+OP!$C$57,MONTH($BD$9),DAY($BD$9)),0,$BE890-$BD890+1)</f>
        <v>29</v>
      </c>
      <c r="BH890" s="469">
        <f t="shared" ca="1" si="572"/>
        <v>30</v>
      </c>
      <c r="BI890" t="str">
        <f t="shared" si="588"/>
        <v/>
      </c>
      <c r="BJ890">
        <v>5</v>
      </c>
      <c r="BN890" s="468">
        <f t="shared" si="584"/>
        <v>74</v>
      </c>
      <c r="BO890" s="468">
        <f t="shared" si="585"/>
        <v>5</v>
      </c>
      <c r="BP890" s="467">
        <f t="shared" ca="1" si="573"/>
        <v>69704</v>
      </c>
      <c r="BQ890" s="475">
        <f t="shared" ca="1" si="587"/>
        <v>106</v>
      </c>
      <c r="BR890" s="475" t="str">
        <f t="shared" si="586"/>
        <v/>
      </c>
      <c r="BS890" s="471" t="str">
        <f t="shared" si="574"/>
        <v/>
      </c>
      <c r="BT890" s="472" t="str">
        <f t="shared" si="589"/>
        <v/>
      </c>
      <c r="BU890" s="472">
        <f t="shared" ca="1" si="575"/>
        <v>0</v>
      </c>
      <c r="BV890" s="472">
        <f t="shared" ca="1" si="575"/>
        <v>0</v>
      </c>
      <c r="BW890" s="472"/>
      <c r="BX890" s="473">
        <f t="shared" ca="1" si="576"/>
        <v>2315187.0084311701</v>
      </c>
      <c r="BY890" s="473">
        <f t="shared" si="577"/>
        <v>0</v>
      </c>
      <c r="BZ890" s="473">
        <f t="shared" ca="1" si="559"/>
        <v>5118.7833214550001</v>
      </c>
      <c r="CA890" s="476">
        <f t="shared" ca="1" si="578"/>
        <v>0</v>
      </c>
      <c r="CB890" s="494">
        <f ca="1">IF(OR($Q889&lt;&gt;1,OP!$D$5+$BN890-1&lt;16,$BN890-1&lt;1),0,ROUND(ROUND(ROUND(((VLOOKUP($BN890-1,MORE_PV,5,0)/10000)*VLOOKUP($BN890,MORE_PV,$CB$5,0)),3)*VLOOKUP($BN890,more1,5,0),0)/$R889,0))</f>
        <v>0</v>
      </c>
      <c r="CC890" s="473">
        <f t="shared" ca="1" si="579"/>
        <v>0</v>
      </c>
      <c r="CD890" s="477"/>
    </row>
    <row r="891" spans="2:82" ht="16.5" hidden="1">
      <c r="B891" s="80"/>
      <c r="C891" s="80"/>
      <c r="D891" s="80"/>
      <c r="E891" s="80"/>
      <c r="F891" s="80"/>
      <c r="G891" s="80"/>
      <c r="H891" s="80"/>
      <c r="I891" s="80"/>
      <c r="J891" s="192">
        <f t="shared" si="560"/>
        <v>74</v>
      </c>
      <c r="K891" s="192">
        <f t="shared" si="561"/>
        <v>7</v>
      </c>
      <c r="L891" s="192" t="str">
        <f t="shared" si="556"/>
        <v/>
      </c>
      <c r="M891" s="216">
        <f t="shared" ca="1" si="562"/>
        <v>0</v>
      </c>
      <c r="N891" s="216"/>
      <c r="O891" s="216"/>
      <c r="P891" s="216"/>
      <c r="Q891" s="456" t="str">
        <f t="shared" ca="1" si="563"/>
        <v/>
      </c>
      <c r="R891" s="450">
        <f t="shared" ca="1" si="564"/>
        <v>1</v>
      </c>
      <c r="S891" s="191">
        <f t="shared" si="565"/>
        <v>74</v>
      </c>
      <c r="T891" s="191">
        <f t="shared" si="566"/>
        <v>7</v>
      </c>
      <c r="U891" s="191">
        <f ca="1">OP!$D$5+$S891-1</f>
        <v>106</v>
      </c>
      <c r="V891" s="191" t="str">
        <f t="shared" si="567"/>
        <v/>
      </c>
      <c r="W891" s="350">
        <f ca="1">IF(Q891&lt;&gt;1,0,VLOOKUP(OP!$C$55,PVFB,$S891+2,0))</f>
        <v>0</v>
      </c>
      <c r="X891" s="473">
        <f t="shared" ca="1" si="580"/>
        <v>0</v>
      </c>
      <c r="Y891" s="348">
        <f t="shared" ca="1" si="581"/>
        <v>0</v>
      </c>
      <c r="Z891" s="348">
        <f t="shared" ca="1" si="582"/>
        <v>8012</v>
      </c>
      <c r="AA891" s="348">
        <f ca="1">IF(Q891&lt;&gt;1,0,VLOOKUP(OP!$C$55,PVFB,$S891+2,0))</f>
        <v>0</v>
      </c>
      <c r="AB891" s="488" t="str">
        <f ca="1">IF(AND(S891&lt;OP!$C$24,$U891&lt;15),0,IF(AND($U891&lt;15,$T891=12),ROUND(VLOOKUP($S891,DOWN16,5,0),3),IF($T891=12,ROUND(($Z891/10000)*$AA891,3)+IF(AND($P$7="購買增額繳清保險",T891=12,U891=110),VLOOKUP(S891,$B$10:$H$121,7,0),0),"")))</f>
        <v/>
      </c>
      <c r="AC891" s="350" t="str">
        <f ca="1">IF(AND(S891&lt;OP!$C$24,$U891&lt;15),0,IF(AND($U891&lt;16,$T891=12),VLOOKUP($S891,DOWN16,4,0),IF($T891=12,ROUND(VLOOKUP(OP!$C$55,_DIE2,$S891+1,0)*(Z891/10000),0)+IF(AND($P$7="購買增額繳清保險",T891=12,U891=110),VLOOKUP(S891,$B$10:$H$121,7,0),0),"")))</f>
        <v/>
      </c>
      <c r="AD891" s="347"/>
      <c r="AE891" s="350" t="str">
        <f t="shared" ca="1" si="557"/>
        <v/>
      </c>
      <c r="AF891" s="351" t="str">
        <f t="shared" ca="1" si="558"/>
        <v/>
      </c>
      <c r="AG891" s="340"/>
      <c r="AH891" s="340"/>
      <c r="AI891" s="340"/>
      <c r="AJ891" s="340"/>
      <c r="AK891" s="340"/>
      <c r="AL891" s="340"/>
      <c r="AM891" s="340"/>
      <c r="AN891" s="340"/>
      <c r="AO891" s="340"/>
      <c r="AP891" s="340"/>
      <c r="AQ891" s="340"/>
      <c r="AR891" s="340"/>
      <c r="AS891" s="340"/>
      <c r="AT891" s="340"/>
      <c r="AU891" s="340"/>
      <c r="AV891" s="340"/>
      <c r="AY891" s="340"/>
      <c r="AZ891" s="465">
        <f t="shared" ca="1" si="568"/>
        <v>7.3698599999999999E-5</v>
      </c>
      <c r="BA891" s="464">
        <f t="shared" ca="1" si="569"/>
        <v>2.2109589000000002E-3</v>
      </c>
      <c r="BB891" s="465">
        <f t="shared" ca="1" si="569"/>
        <v>2.2846575E-3</v>
      </c>
      <c r="BC891" s="466">
        <f t="shared" ca="1" si="570"/>
        <v>69733</v>
      </c>
      <c r="BD891" s="467">
        <f t="shared" ca="1" si="583"/>
        <v>69734</v>
      </c>
      <c r="BE891" s="467">
        <f t="shared" ca="1" si="571"/>
        <v>69763</v>
      </c>
      <c r="BF891" s="468">
        <f ca="1">IF(計算!$BC891&lt;OP!$C$3,0,BD891-BC891)</f>
        <v>1</v>
      </c>
      <c r="BG891" s="468">
        <f ca="1">IF($BE891&gt;DATE(YEAR($BD$9)+OP!$C$57,MONTH($BD$9),DAY($BD$9)),0,$BE891-$BD891+1)</f>
        <v>30</v>
      </c>
      <c r="BH891" s="469">
        <f t="shared" ca="1" si="572"/>
        <v>31</v>
      </c>
      <c r="BI891" t="str">
        <f t="shared" si="588"/>
        <v/>
      </c>
      <c r="BJ891">
        <v>6</v>
      </c>
      <c r="BN891" s="468">
        <f t="shared" si="584"/>
        <v>74</v>
      </c>
      <c r="BO891" s="468">
        <f t="shared" si="585"/>
        <v>6</v>
      </c>
      <c r="BP891" s="467">
        <f t="shared" ca="1" si="573"/>
        <v>69734</v>
      </c>
      <c r="BQ891" s="475">
        <f t="shared" ca="1" si="587"/>
        <v>106</v>
      </c>
      <c r="BR891" s="475" t="str">
        <f t="shared" si="586"/>
        <v/>
      </c>
      <c r="BS891" s="471" t="str">
        <f t="shared" si="574"/>
        <v/>
      </c>
      <c r="BT891" s="472" t="str">
        <f t="shared" si="589"/>
        <v/>
      </c>
      <c r="BU891" s="472">
        <f t="shared" ca="1" si="575"/>
        <v>0</v>
      </c>
      <c r="BV891" s="472">
        <f t="shared" ca="1" si="575"/>
        <v>0</v>
      </c>
      <c r="BW891" s="472"/>
      <c r="BX891" s="473">
        <f t="shared" ca="1" si="576"/>
        <v>2320305.7917526299</v>
      </c>
      <c r="BY891" s="473">
        <f t="shared" si="577"/>
        <v>0</v>
      </c>
      <c r="BZ891" s="473">
        <f t="shared" ca="1" si="559"/>
        <v>5301.1040294209997</v>
      </c>
      <c r="CA891" s="476">
        <f t="shared" ca="1" si="578"/>
        <v>0</v>
      </c>
      <c r="CB891" s="494">
        <f ca="1">IF(OR($Q890&lt;&gt;1,OP!$D$5+$BN891-1&lt;16,$BN891-1&lt;1),0,ROUND(ROUND(ROUND(((VLOOKUP($BN891-1,MORE_PV,5,0)/10000)*VLOOKUP($BN891,MORE_PV,$CB$5,0)),3)*VLOOKUP($BN891,more1,5,0),0)/$R890,0))</f>
        <v>0</v>
      </c>
      <c r="CC891" s="473">
        <f t="shared" ca="1" si="579"/>
        <v>0</v>
      </c>
      <c r="CD891" s="477"/>
    </row>
    <row r="892" spans="2:82" ht="16.5" hidden="1">
      <c r="B892" s="80"/>
      <c r="C892" s="80"/>
      <c r="D892" s="80"/>
      <c r="E892" s="80"/>
      <c r="F892" s="80"/>
      <c r="G892" s="80"/>
      <c r="H892" s="80"/>
      <c r="I892" s="80"/>
      <c r="J892" s="192">
        <f t="shared" si="560"/>
        <v>74</v>
      </c>
      <c r="K892" s="192">
        <f t="shared" si="561"/>
        <v>8</v>
      </c>
      <c r="L892" s="192" t="str">
        <f t="shared" si="556"/>
        <v/>
      </c>
      <c r="M892" s="216">
        <f t="shared" ca="1" si="562"/>
        <v>0</v>
      </c>
      <c r="N892" s="216"/>
      <c r="O892" s="216"/>
      <c r="P892" s="216"/>
      <c r="Q892" s="456" t="str">
        <f t="shared" ca="1" si="563"/>
        <v/>
      </c>
      <c r="R892" s="450">
        <f t="shared" ca="1" si="564"/>
        <v>1</v>
      </c>
      <c r="S892" s="191">
        <f t="shared" si="565"/>
        <v>74</v>
      </c>
      <c r="T892" s="191">
        <f t="shared" si="566"/>
        <v>8</v>
      </c>
      <c r="U892" s="191">
        <f ca="1">OP!$D$5+$S892-1</f>
        <v>106</v>
      </c>
      <c r="V892" s="191" t="str">
        <f t="shared" si="567"/>
        <v/>
      </c>
      <c r="W892" s="350">
        <f ca="1">IF(Q892&lt;&gt;1,0,VLOOKUP(OP!$C$55,PVFB,$S892+2,0))</f>
        <v>0</v>
      </c>
      <c r="X892" s="473">
        <f t="shared" ca="1" si="580"/>
        <v>0</v>
      </c>
      <c r="Y892" s="348">
        <f t="shared" ca="1" si="581"/>
        <v>0</v>
      </c>
      <c r="Z892" s="348">
        <f t="shared" ca="1" si="582"/>
        <v>8012</v>
      </c>
      <c r="AA892" s="348">
        <f ca="1">IF(Q892&lt;&gt;1,0,VLOOKUP(OP!$C$55,PVFB,$S892+2,0))</f>
        <v>0</v>
      </c>
      <c r="AB892" s="488" t="str">
        <f ca="1">IF(AND(S892&lt;OP!$C$24,$U892&lt;15),0,IF(AND($U892&lt;15,$T892=12),ROUND(VLOOKUP($S892,DOWN16,5,0),3),IF($T892=12,ROUND(($Z892/10000)*$AA892,3)+IF(AND($P$7="購買增額繳清保險",T892=12,U892=110),VLOOKUP(S892,$B$10:$H$121,7,0),0),"")))</f>
        <v/>
      </c>
      <c r="AC892" s="350" t="str">
        <f ca="1">IF(AND(S892&lt;OP!$C$24,$U892&lt;15),0,IF(AND($U892&lt;16,$T892=12),VLOOKUP($S892,DOWN16,4,0),IF($T892=12,ROUND(VLOOKUP(OP!$C$55,_DIE2,$S892+1,0)*(Z892/10000),0)+IF(AND($P$7="購買增額繳清保險",T892=12,U892=110),VLOOKUP(S892,$B$10:$H$121,7,0),0),"")))</f>
        <v/>
      </c>
      <c r="AD892" s="347"/>
      <c r="AE892" s="350" t="str">
        <f t="shared" ca="1" si="557"/>
        <v/>
      </c>
      <c r="AF892" s="351" t="str">
        <f t="shared" ca="1" si="558"/>
        <v/>
      </c>
      <c r="AG892" s="340"/>
      <c r="AH892" s="340"/>
      <c r="AI892" s="340"/>
      <c r="AJ892" s="340"/>
      <c r="AK892" s="340"/>
      <c r="AL892" s="340"/>
      <c r="AM892" s="340"/>
      <c r="AN892" s="340"/>
      <c r="AO892" s="340"/>
      <c r="AP892" s="340"/>
      <c r="AQ892" s="340"/>
      <c r="AR892" s="340"/>
      <c r="AS892" s="340"/>
      <c r="AT892" s="340"/>
      <c r="AU892" s="340"/>
      <c r="AV892" s="340"/>
      <c r="AY892" s="340"/>
      <c r="AZ892" s="465">
        <f t="shared" ca="1" si="568"/>
        <v>7.3698599999999999E-5</v>
      </c>
      <c r="BA892" s="464">
        <f t="shared" ca="1" si="569"/>
        <v>2.2109589000000002E-3</v>
      </c>
      <c r="BB892" s="465">
        <f t="shared" ca="1" si="569"/>
        <v>2.2846575E-3</v>
      </c>
      <c r="BC892" s="466">
        <f t="shared" ca="1" si="570"/>
        <v>69764</v>
      </c>
      <c r="BD892" s="467">
        <f t="shared" ca="1" si="583"/>
        <v>69765</v>
      </c>
      <c r="BE892" s="467">
        <f t="shared" ca="1" si="571"/>
        <v>69794</v>
      </c>
      <c r="BF892" s="468">
        <f ca="1">IF(計算!$BC892&lt;OP!$C$3,0,BD892-BC892)</f>
        <v>1</v>
      </c>
      <c r="BG892" s="468">
        <f ca="1">IF($BE892&gt;DATE(YEAR($BD$9)+OP!$C$57,MONTH($BD$9),DAY($BD$9)),0,$BE892-$BD892+1)</f>
        <v>30</v>
      </c>
      <c r="BH892" s="469">
        <f t="shared" ca="1" si="572"/>
        <v>31</v>
      </c>
      <c r="BI892" t="str">
        <f t="shared" si="588"/>
        <v/>
      </c>
      <c r="BJ892">
        <v>7</v>
      </c>
      <c r="BN892" s="468">
        <f t="shared" si="584"/>
        <v>74</v>
      </c>
      <c r="BO892" s="468">
        <f t="shared" si="585"/>
        <v>7</v>
      </c>
      <c r="BP892" s="467">
        <f t="shared" ca="1" si="573"/>
        <v>69765</v>
      </c>
      <c r="BQ892" s="475">
        <f t="shared" ca="1" si="587"/>
        <v>106</v>
      </c>
      <c r="BR892" s="475" t="str">
        <f t="shared" si="586"/>
        <v/>
      </c>
      <c r="BS892" s="471" t="str">
        <f t="shared" si="574"/>
        <v/>
      </c>
      <c r="BT892" s="472" t="str">
        <f t="shared" si="589"/>
        <v/>
      </c>
      <c r="BU892" s="472">
        <f t="shared" ca="1" si="575"/>
        <v>0</v>
      </c>
      <c r="BV892" s="472">
        <f t="shared" ca="1" si="575"/>
        <v>0</v>
      </c>
      <c r="BW892" s="472"/>
      <c r="BX892" s="473">
        <f t="shared" ca="1" si="576"/>
        <v>2325606.8957820502</v>
      </c>
      <c r="BY892" s="473">
        <f t="shared" si="577"/>
        <v>0</v>
      </c>
      <c r="BZ892" s="473">
        <f t="shared" ca="1" si="559"/>
        <v>5313.2152365000002</v>
      </c>
      <c r="CA892" s="476">
        <f t="shared" ca="1" si="578"/>
        <v>0</v>
      </c>
      <c r="CB892" s="494">
        <f ca="1">IF(OR($Q891&lt;&gt;1,OP!$D$5+$BN892-1&lt;16,$BN892-1&lt;1),0,ROUND(ROUND(ROUND(((VLOOKUP($BN892-1,MORE_PV,5,0)/10000)*VLOOKUP($BN892,MORE_PV,$CB$5,0)),3)*VLOOKUP($BN892,more1,5,0),0)/$R891,0))</f>
        <v>0</v>
      </c>
      <c r="CC892" s="473">
        <f t="shared" ca="1" si="579"/>
        <v>0</v>
      </c>
      <c r="CD892" s="477"/>
    </row>
    <row r="893" spans="2:82" ht="16.5" hidden="1">
      <c r="B893" s="80"/>
      <c r="C893" s="80"/>
      <c r="D893" s="80"/>
      <c r="E893" s="80"/>
      <c r="F893" s="80"/>
      <c r="G893" s="80"/>
      <c r="H893" s="80"/>
      <c r="I893" s="80"/>
      <c r="J893" s="192">
        <f t="shared" si="560"/>
        <v>74</v>
      </c>
      <c r="K893" s="192">
        <f t="shared" si="561"/>
        <v>9</v>
      </c>
      <c r="L893" s="192" t="str">
        <f t="shared" si="556"/>
        <v/>
      </c>
      <c r="M893" s="216">
        <f t="shared" ca="1" si="562"/>
        <v>0</v>
      </c>
      <c r="N893" s="216"/>
      <c r="O893" s="216"/>
      <c r="P893" s="216"/>
      <c r="Q893" s="456" t="str">
        <f t="shared" ca="1" si="563"/>
        <v/>
      </c>
      <c r="R893" s="450">
        <f t="shared" ca="1" si="564"/>
        <v>1</v>
      </c>
      <c r="S893" s="191">
        <f t="shared" si="565"/>
        <v>74</v>
      </c>
      <c r="T893" s="191">
        <f t="shared" si="566"/>
        <v>9</v>
      </c>
      <c r="U893" s="191">
        <f ca="1">OP!$D$5+$S893-1</f>
        <v>106</v>
      </c>
      <c r="V893" s="191" t="str">
        <f t="shared" si="567"/>
        <v/>
      </c>
      <c r="W893" s="350">
        <f ca="1">IF(Q893&lt;&gt;1,0,VLOOKUP(OP!$C$55,PVFB,$S893+2,0))</f>
        <v>0</v>
      </c>
      <c r="X893" s="473">
        <f t="shared" ca="1" si="580"/>
        <v>0</v>
      </c>
      <c r="Y893" s="348">
        <f t="shared" ca="1" si="581"/>
        <v>0</v>
      </c>
      <c r="Z893" s="348">
        <f t="shared" ca="1" si="582"/>
        <v>8012</v>
      </c>
      <c r="AA893" s="348">
        <f ca="1">IF(Q893&lt;&gt;1,0,VLOOKUP(OP!$C$55,PVFB,$S893+2,0))</f>
        <v>0</v>
      </c>
      <c r="AB893" s="488" t="str">
        <f ca="1">IF(AND(S893&lt;OP!$C$24,$U893&lt;15),0,IF(AND($U893&lt;15,$T893=12),ROUND(VLOOKUP($S893,DOWN16,5,0),3),IF($T893=12,ROUND(($Z893/10000)*$AA893,3)+IF(AND($P$7="購買增額繳清保險",T893=12,U893=110),VLOOKUP(S893,$B$10:$H$121,7,0),0),"")))</f>
        <v/>
      </c>
      <c r="AC893" s="350" t="str">
        <f ca="1">IF(AND(S893&lt;OP!$C$24,$U893&lt;15),0,IF(AND($U893&lt;16,$T893=12),VLOOKUP($S893,DOWN16,4,0),IF($T893=12,ROUND(VLOOKUP(OP!$C$55,_DIE2,$S893+1,0)*(Z893/10000),0)+IF(AND($P$7="購買增額繳清保險",T893=12,U893=110),VLOOKUP(S893,$B$10:$H$121,7,0),0),"")))</f>
        <v/>
      </c>
      <c r="AD893" s="347"/>
      <c r="AE893" s="350" t="str">
        <f t="shared" ca="1" si="557"/>
        <v/>
      </c>
      <c r="AF893" s="351" t="str">
        <f t="shared" ca="1" si="558"/>
        <v/>
      </c>
      <c r="AG893" s="340"/>
      <c r="AH893" s="340"/>
      <c r="AI893" s="340"/>
      <c r="AJ893" s="340"/>
      <c r="AK893" s="340"/>
      <c r="AL893" s="340"/>
      <c r="AM893" s="340"/>
      <c r="AN893" s="340"/>
      <c r="AO893" s="340"/>
      <c r="AP893" s="340"/>
      <c r="AQ893" s="340"/>
      <c r="AR893" s="340"/>
      <c r="AS893" s="340"/>
      <c r="AT893" s="340"/>
      <c r="AU893" s="340"/>
      <c r="AV893" s="340"/>
      <c r="AY893" s="340"/>
      <c r="AZ893" s="465">
        <f t="shared" ca="1" si="568"/>
        <v>7.3698599999999999E-5</v>
      </c>
      <c r="BA893" s="464">
        <f t="shared" ca="1" si="569"/>
        <v>1.9898630000000001E-3</v>
      </c>
      <c r="BB893" s="465">
        <f t="shared" ca="1" si="569"/>
        <v>2.0635616E-3</v>
      </c>
      <c r="BC893" s="466">
        <f t="shared" ca="1" si="570"/>
        <v>69795</v>
      </c>
      <c r="BD893" s="467">
        <f t="shared" ca="1" si="583"/>
        <v>69796</v>
      </c>
      <c r="BE893" s="467">
        <f t="shared" ca="1" si="571"/>
        <v>69822</v>
      </c>
      <c r="BF893" s="468">
        <f ca="1">IF(計算!$BC893&lt;OP!$C$3,0,BD893-BC893)</f>
        <v>1</v>
      </c>
      <c r="BG893" s="468">
        <f ca="1">IF($BE893&gt;DATE(YEAR($BD$9)+OP!$C$57,MONTH($BD$9),DAY($BD$9)),0,$BE893-$BD893+1)</f>
        <v>27</v>
      </c>
      <c r="BH893" s="469">
        <f t="shared" ca="1" si="572"/>
        <v>28</v>
      </c>
      <c r="BI893" t="str">
        <f t="shared" si="588"/>
        <v/>
      </c>
      <c r="BJ893">
        <v>8</v>
      </c>
      <c r="BN893" s="468">
        <f t="shared" si="584"/>
        <v>74</v>
      </c>
      <c r="BO893" s="468">
        <f t="shared" si="585"/>
        <v>8</v>
      </c>
      <c r="BP893" s="467">
        <f t="shared" ca="1" si="573"/>
        <v>69796</v>
      </c>
      <c r="BQ893" s="475">
        <f t="shared" ca="1" si="587"/>
        <v>106</v>
      </c>
      <c r="BR893" s="475" t="str">
        <f t="shared" si="586"/>
        <v/>
      </c>
      <c r="BS893" s="471" t="str">
        <f t="shared" si="574"/>
        <v/>
      </c>
      <c r="BT893" s="472" t="str">
        <f t="shared" si="589"/>
        <v/>
      </c>
      <c r="BU893" s="472">
        <f t="shared" ca="1" si="575"/>
        <v>0</v>
      </c>
      <c r="BV893" s="472">
        <f t="shared" ca="1" si="575"/>
        <v>0</v>
      </c>
      <c r="BW893" s="472"/>
      <c r="BX893" s="473">
        <f t="shared" ca="1" si="576"/>
        <v>2330920.1110185501</v>
      </c>
      <c r="BY893" s="473">
        <f t="shared" si="577"/>
        <v>0</v>
      </c>
      <c r="BZ893" s="473">
        <f t="shared" ca="1" si="559"/>
        <v>4809.9972337660001</v>
      </c>
      <c r="CA893" s="476">
        <f t="shared" ca="1" si="578"/>
        <v>0</v>
      </c>
      <c r="CB893" s="494">
        <f ca="1">IF(OR($Q892&lt;&gt;1,OP!$D$5+$BN893-1&lt;16,$BN893-1&lt;1),0,ROUND(ROUND(ROUND(((VLOOKUP($BN893-1,MORE_PV,5,0)/10000)*VLOOKUP($BN893,MORE_PV,$CB$5,0)),3)*VLOOKUP($BN893,more1,5,0),0)/$R892,0))</f>
        <v>0</v>
      </c>
      <c r="CC893" s="473">
        <f t="shared" ca="1" si="579"/>
        <v>0</v>
      </c>
      <c r="CD893" s="477"/>
    </row>
    <row r="894" spans="2:82" ht="16.5" hidden="1">
      <c r="B894" s="80"/>
      <c r="C894" s="80"/>
      <c r="D894" s="80"/>
      <c r="E894" s="80"/>
      <c r="F894" s="80"/>
      <c r="G894" s="80"/>
      <c r="H894" s="80"/>
      <c r="I894" s="80"/>
      <c r="J894" s="192">
        <f t="shared" si="560"/>
        <v>74</v>
      </c>
      <c r="K894" s="192">
        <f t="shared" si="561"/>
        <v>10</v>
      </c>
      <c r="L894" s="192" t="str">
        <f t="shared" si="556"/>
        <v/>
      </c>
      <c r="M894" s="216">
        <f t="shared" ca="1" si="562"/>
        <v>0</v>
      </c>
      <c r="N894" s="216"/>
      <c r="O894" s="216"/>
      <c r="P894" s="216"/>
      <c r="Q894" s="456" t="str">
        <f t="shared" ca="1" si="563"/>
        <v/>
      </c>
      <c r="R894" s="450">
        <f t="shared" ca="1" si="564"/>
        <v>1</v>
      </c>
      <c r="S894" s="191">
        <f t="shared" si="565"/>
        <v>74</v>
      </c>
      <c r="T894" s="191">
        <f t="shared" si="566"/>
        <v>10</v>
      </c>
      <c r="U894" s="191">
        <f ca="1">OP!$D$5+$S894-1</f>
        <v>106</v>
      </c>
      <c r="V894" s="191" t="str">
        <f t="shared" si="567"/>
        <v/>
      </c>
      <c r="W894" s="350">
        <f ca="1">IF(Q894&lt;&gt;1,0,VLOOKUP(OP!$C$55,PVFB,$S894+2,0))</f>
        <v>0</v>
      </c>
      <c r="X894" s="473">
        <f t="shared" ca="1" si="580"/>
        <v>0</v>
      </c>
      <c r="Y894" s="348">
        <f t="shared" ca="1" si="581"/>
        <v>0</v>
      </c>
      <c r="Z894" s="348">
        <f t="shared" ca="1" si="582"/>
        <v>8012</v>
      </c>
      <c r="AA894" s="348">
        <f ca="1">IF(Q894&lt;&gt;1,0,VLOOKUP(OP!$C$55,PVFB,$S894+2,0))</f>
        <v>0</v>
      </c>
      <c r="AB894" s="488" t="str">
        <f ca="1">IF(AND(S894&lt;OP!$C$24,$U894&lt;15),0,IF(AND($U894&lt;15,$T894=12),ROUND(VLOOKUP($S894,DOWN16,5,0),3),IF($T894=12,ROUND(($Z894/10000)*$AA894,3)+IF(AND($P$7="購買增額繳清保險",T894=12,U894=110),VLOOKUP(S894,$B$10:$H$121,7,0),0),"")))</f>
        <v/>
      </c>
      <c r="AC894" s="350" t="str">
        <f ca="1">IF(AND(S894&lt;OP!$C$24,$U894&lt;15),0,IF(AND($U894&lt;16,$T894=12),VLOOKUP($S894,DOWN16,4,0),IF($T894=12,ROUND(VLOOKUP(OP!$C$55,_DIE2,$S894+1,0)*(Z894/10000),0)+IF(AND($P$7="購買增額繳清保險",T894=12,U894=110),VLOOKUP(S894,$B$10:$H$121,7,0),0),"")))</f>
        <v/>
      </c>
      <c r="AD894" s="347"/>
      <c r="AE894" s="350" t="str">
        <f t="shared" ca="1" si="557"/>
        <v/>
      </c>
      <c r="AF894" s="351" t="str">
        <f t="shared" ca="1" si="558"/>
        <v/>
      </c>
      <c r="AG894" s="340"/>
      <c r="AH894" s="340"/>
      <c r="AI894" s="340"/>
      <c r="AJ894" s="340"/>
      <c r="AK894" s="340"/>
      <c r="AL894" s="340"/>
      <c r="AM894" s="340"/>
      <c r="AN894" s="340"/>
      <c r="AO894" s="340"/>
      <c r="AP894" s="340"/>
      <c r="AQ894" s="340"/>
      <c r="AR894" s="340"/>
      <c r="AS894" s="340"/>
      <c r="AT894" s="340"/>
      <c r="AU894" s="340"/>
      <c r="AV894" s="340"/>
      <c r="AY894" s="340"/>
      <c r="AZ894" s="465">
        <f t="shared" ca="1" si="568"/>
        <v>7.3698599999999999E-5</v>
      </c>
      <c r="BA894" s="464">
        <f t="shared" ca="1" si="569"/>
        <v>2.2109589000000002E-3</v>
      </c>
      <c r="BB894" s="465">
        <f t="shared" ca="1" si="569"/>
        <v>2.2846575E-3</v>
      </c>
      <c r="BC894" s="466">
        <f t="shared" ca="1" si="570"/>
        <v>69823</v>
      </c>
      <c r="BD894" s="467">
        <f t="shared" ca="1" si="583"/>
        <v>69824</v>
      </c>
      <c r="BE894" s="467">
        <f t="shared" ca="1" si="571"/>
        <v>69853</v>
      </c>
      <c r="BF894" s="468">
        <f ca="1">IF(計算!$BC894&lt;OP!$C$3,0,BD894-BC894)</f>
        <v>1</v>
      </c>
      <c r="BG894" s="468">
        <f ca="1">IF($BE894&gt;DATE(YEAR($BD$9)+OP!$C$57,MONTH($BD$9),DAY($BD$9)),0,$BE894-$BD894+1)</f>
        <v>30</v>
      </c>
      <c r="BH894" s="469">
        <f t="shared" ca="1" si="572"/>
        <v>31</v>
      </c>
      <c r="BI894" t="str">
        <f t="shared" si="588"/>
        <v/>
      </c>
      <c r="BJ894">
        <v>9</v>
      </c>
      <c r="BN894" s="468">
        <f t="shared" si="584"/>
        <v>74</v>
      </c>
      <c r="BO894" s="468">
        <f t="shared" si="585"/>
        <v>9</v>
      </c>
      <c r="BP894" s="467">
        <f t="shared" ca="1" si="573"/>
        <v>69824</v>
      </c>
      <c r="BQ894" s="475">
        <f t="shared" ca="1" si="587"/>
        <v>106</v>
      </c>
      <c r="BR894" s="475" t="str">
        <f t="shared" si="586"/>
        <v/>
      </c>
      <c r="BS894" s="471" t="str">
        <f t="shared" si="574"/>
        <v/>
      </c>
      <c r="BT894" s="472" t="str">
        <f t="shared" si="589"/>
        <v/>
      </c>
      <c r="BU894" s="472">
        <f t="shared" ca="1" si="575"/>
        <v>0</v>
      </c>
      <c r="BV894" s="472">
        <f t="shared" ca="1" si="575"/>
        <v>0</v>
      </c>
      <c r="BW894" s="472"/>
      <c r="BX894" s="473">
        <f t="shared" ca="1" si="576"/>
        <v>2335730.10825232</v>
      </c>
      <c r="BY894" s="473">
        <f t="shared" si="577"/>
        <v>0</v>
      </c>
      <c r="BZ894" s="473">
        <f t="shared" ca="1" si="559"/>
        <v>5336.3433097939997</v>
      </c>
      <c r="CA894" s="476">
        <f t="shared" ca="1" si="578"/>
        <v>0</v>
      </c>
      <c r="CB894" s="494">
        <f ca="1">IF(OR($Q893&lt;&gt;1,OP!$D$5+$BN894-1&lt;16,$BN894-1&lt;1),0,ROUND(ROUND(ROUND(((VLOOKUP($BN894-1,MORE_PV,5,0)/10000)*VLOOKUP($BN894,MORE_PV,$CB$5,0)),3)*VLOOKUP($BN894,more1,5,0),0)/$R893,0))</f>
        <v>0</v>
      </c>
      <c r="CC894" s="473">
        <f t="shared" ca="1" si="579"/>
        <v>0</v>
      </c>
      <c r="CD894" s="477"/>
    </row>
    <row r="895" spans="2:82" ht="16.5" hidden="1">
      <c r="B895" s="80"/>
      <c r="C895" s="80"/>
      <c r="D895" s="80"/>
      <c r="E895" s="80"/>
      <c r="F895" s="80"/>
      <c r="G895" s="80"/>
      <c r="H895" s="80"/>
      <c r="I895" s="80"/>
      <c r="J895" s="192">
        <f t="shared" si="560"/>
        <v>74</v>
      </c>
      <c r="K895" s="192">
        <f t="shared" si="561"/>
        <v>11</v>
      </c>
      <c r="L895" s="192" t="str">
        <f t="shared" si="556"/>
        <v/>
      </c>
      <c r="M895" s="216">
        <f t="shared" ca="1" si="562"/>
        <v>0</v>
      </c>
      <c r="N895" s="216"/>
      <c r="O895" s="216"/>
      <c r="P895" s="216"/>
      <c r="Q895" s="456" t="str">
        <f t="shared" ca="1" si="563"/>
        <v/>
      </c>
      <c r="R895" s="450">
        <f t="shared" ca="1" si="564"/>
        <v>1</v>
      </c>
      <c r="S895" s="191">
        <f t="shared" si="565"/>
        <v>74</v>
      </c>
      <c r="T895" s="191">
        <f t="shared" si="566"/>
        <v>11</v>
      </c>
      <c r="U895" s="191">
        <f ca="1">OP!$D$5+$S895-1</f>
        <v>106</v>
      </c>
      <c r="V895" s="191" t="str">
        <f t="shared" si="567"/>
        <v/>
      </c>
      <c r="W895" s="350">
        <f ca="1">IF(Q895&lt;&gt;1,0,VLOOKUP(OP!$C$55,PVFB,$S895+2,0))</f>
        <v>0</v>
      </c>
      <c r="X895" s="473">
        <f t="shared" ca="1" si="580"/>
        <v>0</v>
      </c>
      <c r="Y895" s="348">
        <f t="shared" ca="1" si="581"/>
        <v>0</v>
      </c>
      <c r="Z895" s="348">
        <f t="shared" ca="1" si="582"/>
        <v>8012</v>
      </c>
      <c r="AA895" s="348">
        <f ca="1">IF(Q895&lt;&gt;1,0,VLOOKUP(OP!$C$55,PVFB,$S895+2,0))</f>
        <v>0</v>
      </c>
      <c r="AB895" s="488" t="str">
        <f ca="1">IF(AND(S895&lt;OP!$C$24,$U895&lt;15),0,IF(AND($U895&lt;15,$T895=12),ROUND(VLOOKUP($S895,DOWN16,5,0),3),IF($T895=12,ROUND(($Z895/10000)*$AA895,3)+IF(AND($P$7="購買增額繳清保險",T895=12,U895=110),VLOOKUP(S895,$B$10:$H$121,7,0),0),"")))</f>
        <v/>
      </c>
      <c r="AC895" s="350" t="str">
        <f ca="1">IF(AND(S895&lt;OP!$C$24,$U895&lt;15),0,IF(AND($U895&lt;16,$T895=12),VLOOKUP($S895,DOWN16,4,0),IF($T895=12,ROUND(VLOOKUP(OP!$C$55,_DIE2,$S895+1,0)*(Z895/10000),0)+IF(AND($P$7="購買增額繳清保險",T895=12,U895=110),VLOOKUP(S895,$B$10:$H$121,7,0),0),"")))</f>
        <v/>
      </c>
      <c r="AD895" s="347"/>
      <c r="AE895" s="350" t="str">
        <f t="shared" ca="1" si="557"/>
        <v/>
      </c>
      <c r="AF895" s="351" t="str">
        <f t="shared" ca="1" si="558"/>
        <v/>
      </c>
      <c r="AG895" s="340"/>
      <c r="AH895" s="340"/>
      <c r="AI895" s="340"/>
      <c r="AJ895" s="340"/>
      <c r="AK895" s="340"/>
      <c r="AL895" s="340"/>
      <c r="AM895" s="340"/>
      <c r="AN895" s="340"/>
      <c r="AO895" s="340"/>
      <c r="AP895" s="340"/>
      <c r="AQ895" s="340"/>
      <c r="AR895" s="340"/>
      <c r="AS895" s="340"/>
      <c r="AT895" s="340"/>
      <c r="AU895" s="340"/>
      <c r="AV895" s="340"/>
      <c r="AY895" s="340"/>
      <c r="AZ895" s="465">
        <f t="shared" ca="1" si="568"/>
        <v>7.3698599999999999E-5</v>
      </c>
      <c r="BA895" s="464">
        <f t="shared" ca="1" si="569"/>
        <v>2.1372602999999999E-3</v>
      </c>
      <c r="BB895" s="465">
        <f t="shared" ca="1" si="569"/>
        <v>2.2109589000000002E-3</v>
      </c>
      <c r="BC895" s="466">
        <f t="shared" ca="1" si="570"/>
        <v>69854</v>
      </c>
      <c r="BD895" s="467">
        <f t="shared" ca="1" si="583"/>
        <v>69855</v>
      </c>
      <c r="BE895" s="467">
        <f t="shared" ca="1" si="571"/>
        <v>69883</v>
      </c>
      <c r="BF895" s="468">
        <f ca="1">IF(計算!$BC895&lt;OP!$C$3,0,BD895-BC895)</f>
        <v>1</v>
      </c>
      <c r="BG895" s="468">
        <f ca="1">IF($BE895&gt;DATE(YEAR($BD$9)+OP!$C$57,MONTH($BD$9),DAY($BD$9)),0,$BE895-$BD895+1)</f>
        <v>29</v>
      </c>
      <c r="BH895" s="469">
        <f t="shared" ca="1" si="572"/>
        <v>30</v>
      </c>
      <c r="BI895" t="str">
        <f t="shared" si="588"/>
        <v/>
      </c>
      <c r="BJ895">
        <v>10</v>
      </c>
      <c r="BN895" s="468">
        <f t="shared" si="584"/>
        <v>74</v>
      </c>
      <c r="BO895" s="468">
        <f t="shared" si="585"/>
        <v>10</v>
      </c>
      <c r="BP895" s="467">
        <f t="shared" ca="1" si="573"/>
        <v>69855</v>
      </c>
      <c r="BQ895" s="475">
        <f t="shared" ca="1" si="587"/>
        <v>106</v>
      </c>
      <c r="BR895" s="475" t="str">
        <f t="shared" si="586"/>
        <v/>
      </c>
      <c r="BS895" s="471" t="str">
        <f t="shared" si="574"/>
        <v/>
      </c>
      <c r="BT895" s="472" t="str">
        <f t="shared" si="589"/>
        <v/>
      </c>
      <c r="BU895" s="472">
        <f t="shared" ca="1" si="575"/>
        <v>0</v>
      </c>
      <c r="BV895" s="472">
        <f t="shared" ca="1" si="575"/>
        <v>0</v>
      </c>
      <c r="BW895" s="472"/>
      <c r="BX895" s="473">
        <f t="shared" ca="1" si="576"/>
        <v>2341066.4515621099</v>
      </c>
      <c r="BY895" s="473">
        <f t="shared" si="577"/>
        <v>0</v>
      </c>
      <c r="BZ895" s="473">
        <f t="shared" ca="1" si="559"/>
        <v>5176.0017065729999</v>
      </c>
      <c r="CA895" s="476">
        <f t="shared" ca="1" si="578"/>
        <v>0</v>
      </c>
      <c r="CB895" s="494">
        <f ca="1">IF(OR($Q894&lt;&gt;1,OP!$D$5+$BN895-1&lt;16,$BN895-1&lt;1),0,ROUND(ROUND(ROUND(((VLOOKUP($BN895-1,MORE_PV,5,0)/10000)*VLOOKUP($BN895,MORE_PV,$CB$5,0)),3)*VLOOKUP($BN895,more1,5,0),0)/$R894,0))</f>
        <v>0</v>
      </c>
      <c r="CC895" s="473">
        <f t="shared" ca="1" si="579"/>
        <v>0</v>
      </c>
      <c r="CD895" s="477"/>
    </row>
    <row r="896" spans="2:82" ht="16.5" hidden="1">
      <c r="B896" s="80"/>
      <c r="C896" s="80"/>
      <c r="D896" s="80"/>
      <c r="E896" s="80"/>
      <c r="F896" s="80"/>
      <c r="G896" s="80"/>
      <c r="H896" s="80"/>
      <c r="I896" s="80"/>
      <c r="J896" s="192">
        <f t="shared" si="560"/>
        <v>74</v>
      </c>
      <c r="K896" s="192">
        <f t="shared" si="561"/>
        <v>12</v>
      </c>
      <c r="L896" s="192">
        <f t="shared" si="556"/>
        <v>74</v>
      </c>
      <c r="M896" s="216">
        <f t="shared" ca="1" si="562"/>
        <v>2377024</v>
      </c>
      <c r="N896" s="216"/>
      <c r="O896" s="216"/>
      <c r="P896" s="216"/>
      <c r="Q896" s="456">
        <f t="shared" ca="1" si="563"/>
        <v>1</v>
      </c>
      <c r="R896" s="450">
        <f t="shared" ca="1" si="564"/>
        <v>1</v>
      </c>
      <c r="S896" s="191">
        <f t="shared" si="565"/>
        <v>74</v>
      </c>
      <c r="T896" s="191">
        <f t="shared" si="566"/>
        <v>12</v>
      </c>
      <c r="U896" s="191">
        <f ca="1">OP!$D$5+$S896-1</f>
        <v>106</v>
      </c>
      <c r="V896" s="191">
        <f t="shared" si="567"/>
        <v>74</v>
      </c>
      <c r="W896" s="350">
        <f ca="1">IF(Q896&lt;&gt;1,0,VLOOKUP(OP!$C$55,PVFB,$S896+2,0))</f>
        <v>105150</v>
      </c>
      <c r="X896" s="473">
        <f t="shared" ca="1" si="580"/>
        <v>25249</v>
      </c>
      <c r="Y896" s="348">
        <f t="shared" ca="1" si="581"/>
        <v>0</v>
      </c>
      <c r="Z896" s="348">
        <f t="shared" ca="1" si="582"/>
        <v>8012</v>
      </c>
      <c r="AA896" s="348">
        <f ca="1">IF(Q896&lt;&gt;1,0,VLOOKUP(OP!$C$55,PVFB,$S896+2,0))</f>
        <v>105150</v>
      </c>
      <c r="AB896" s="488">
        <f ca="1">IF(AND(S896&lt;OP!$C$24,$U896&lt;15),0,IF(AND($U896&lt;15,$T896=12),ROUND(VLOOKUP($S896,DOWN16,5,0),3),IF($T896=12,ROUND(($Z896/10000)*$AA896,3)+IF(AND($P$7="購買增額繳清保險",T896=12,U896=110),VLOOKUP(S896,$B$10:$H$121,7,0),0),"")))</f>
        <v>84246.18</v>
      </c>
      <c r="AC896" s="350">
        <f ca="1">IF(AND(S896&lt;OP!$C$24,$U896&lt;15),0,IF(AND($U896&lt;16,$T896=12),VLOOKUP($S896,DOWN16,4,0),IF($T896=12,ROUND(VLOOKUP(OP!$C$55,_DIE2,$S896+1,0)*(Z896/10000),0)+IF(AND($P$7="購買增額繳清保險",T896=12,U896=110),VLOOKUP(S896,$B$10:$H$121,7,0),0),"")))</f>
        <v>84286</v>
      </c>
      <c r="AD896" s="347"/>
      <c r="AE896" s="350" t="str">
        <f t="shared" ca="1" si="557"/>
        <v/>
      </c>
      <c r="AF896" s="351" t="str">
        <f t="shared" ca="1" si="558"/>
        <v/>
      </c>
      <c r="AG896" s="340"/>
      <c r="AH896" s="340"/>
      <c r="AI896" s="340"/>
      <c r="AJ896" s="340"/>
      <c r="AK896" s="340"/>
      <c r="AL896" s="340"/>
      <c r="AM896" s="340"/>
      <c r="AN896" s="340"/>
      <c r="AO896" s="340"/>
      <c r="AP896" s="340"/>
      <c r="AQ896" s="340"/>
      <c r="AR896" s="340"/>
      <c r="AS896" s="340"/>
      <c r="AT896" s="340"/>
      <c r="AU896" s="340"/>
      <c r="AV896" s="340"/>
      <c r="AY896" s="340"/>
      <c r="AZ896" s="465">
        <f t="shared" ca="1" si="568"/>
        <v>7.3698599999999999E-5</v>
      </c>
      <c r="BA896" s="464">
        <f t="shared" ca="1" si="569"/>
        <v>2.2109589000000002E-3</v>
      </c>
      <c r="BB896" s="465">
        <f t="shared" ca="1" si="569"/>
        <v>2.2846575E-3</v>
      </c>
      <c r="BC896" s="466">
        <f t="shared" ca="1" si="570"/>
        <v>69884</v>
      </c>
      <c r="BD896" s="467">
        <f t="shared" ca="1" si="583"/>
        <v>69885</v>
      </c>
      <c r="BE896" s="467">
        <f t="shared" ca="1" si="571"/>
        <v>69914</v>
      </c>
      <c r="BF896" s="468">
        <f ca="1">IF(計算!$BC896&lt;OP!$C$3,0,BD896-BC896)</f>
        <v>1</v>
      </c>
      <c r="BG896" s="468">
        <f ca="1">IF($BE896&gt;DATE(YEAR($BD$9)+OP!$C$57,MONTH($BD$9),DAY($BD$9)),0,$BE896-$BD896+1)</f>
        <v>30</v>
      </c>
      <c r="BH896" s="469">
        <f t="shared" ca="1" si="572"/>
        <v>31</v>
      </c>
      <c r="BI896" t="str">
        <f t="shared" si="588"/>
        <v/>
      </c>
      <c r="BJ896">
        <v>11</v>
      </c>
      <c r="BN896" s="468">
        <f t="shared" si="584"/>
        <v>74</v>
      </c>
      <c r="BO896" s="468">
        <f t="shared" si="585"/>
        <v>11</v>
      </c>
      <c r="BP896" s="467">
        <f t="shared" ca="1" si="573"/>
        <v>69885</v>
      </c>
      <c r="BQ896" s="475">
        <f t="shared" ca="1" si="587"/>
        <v>106</v>
      </c>
      <c r="BR896" s="475" t="str">
        <f t="shared" si="586"/>
        <v/>
      </c>
      <c r="BS896" s="471" t="str">
        <f t="shared" si="574"/>
        <v/>
      </c>
      <c r="BT896" s="472" t="str">
        <f t="shared" si="589"/>
        <v/>
      </c>
      <c r="BU896" s="472">
        <f t="shared" ca="1" si="575"/>
        <v>0</v>
      </c>
      <c r="BV896" s="472">
        <f t="shared" ca="1" si="575"/>
        <v>0</v>
      </c>
      <c r="BW896" s="472"/>
      <c r="BX896" s="473">
        <f t="shared" ca="1" si="576"/>
        <v>2346242.4532686798</v>
      </c>
      <c r="BY896" s="473">
        <f t="shared" si="577"/>
        <v>0</v>
      </c>
      <c r="BZ896" s="473">
        <f t="shared" ca="1" si="559"/>
        <v>5360.3604176790004</v>
      </c>
      <c r="CA896" s="476">
        <f t="shared" ca="1" si="578"/>
        <v>0</v>
      </c>
      <c r="CB896" s="494">
        <f ca="1">IF(OR($Q895&lt;&gt;1,OP!$D$5+$BN896-1&lt;16,$BN896-1&lt;1),0,ROUND(ROUND(ROUND(((VLOOKUP($BN896-1,MORE_PV,5,0)/10000)*VLOOKUP($BN896,MORE_PV,$CB$5,0)),3)*VLOOKUP($BN896,more1,5,0),0)/$R895,0))</f>
        <v>0</v>
      </c>
      <c r="CC896" s="473">
        <f t="shared" ca="1" si="579"/>
        <v>0</v>
      </c>
      <c r="CD896" s="477"/>
    </row>
    <row r="897" spans="2:82" ht="16.5" hidden="1">
      <c r="B897" s="80"/>
      <c r="C897" s="80"/>
      <c r="D897" s="80"/>
      <c r="E897" s="80"/>
      <c r="F897" s="80"/>
      <c r="G897" s="80"/>
      <c r="H897" s="80"/>
      <c r="I897" s="80"/>
      <c r="J897" s="192">
        <f t="shared" si="560"/>
        <v>75</v>
      </c>
      <c r="K897" s="192">
        <f t="shared" si="561"/>
        <v>1</v>
      </c>
      <c r="L897" s="192" t="str">
        <f t="shared" si="556"/>
        <v/>
      </c>
      <c r="M897" s="216">
        <f t="shared" ca="1" si="562"/>
        <v>0</v>
      </c>
      <c r="N897" s="216"/>
      <c r="O897" s="216"/>
      <c r="P897" s="216"/>
      <c r="Q897" s="456" t="str">
        <f t="shared" ca="1" si="563"/>
        <v/>
      </c>
      <c r="R897" s="450">
        <f t="shared" ca="1" si="564"/>
        <v>1</v>
      </c>
      <c r="S897" s="191">
        <f t="shared" si="565"/>
        <v>75</v>
      </c>
      <c r="T897" s="191">
        <f t="shared" si="566"/>
        <v>1</v>
      </c>
      <c r="U897" s="191">
        <f ca="1">OP!$D$5+$S897-1</f>
        <v>107</v>
      </c>
      <c r="V897" s="191" t="str">
        <f t="shared" si="567"/>
        <v/>
      </c>
      <c r="W897" s="350">
        <f ca="1">IF(Q897&lt;&gt;1,0,VLOOKUP(OP!$C$55,PVFB,$S897+2,0))</f>
        <v>0</v>
      </c>
      <c r="X897" s="473">
        <f t="shared" ca="1" si="580"/>
        <v>0</v>
      </c>
      <c r="Y897" s="348">
        <f t="shared" ca="1" si="581"/>
        <v>0</v>
      </c>
      <c r="Z897" s="348">
        <f t="shared" ca="1" si="582"/>
        <v>8012</v>
      </c>
      <c r="AA897" s="348">
        <f ca="1">IF(Q897&lt;&gt;1,0,VLOOKUP(OP!$C$55,PVFB,$S897+2,0))</f>
        <v>0</v>
      </c>
      <c r="AB897" s="488" t="str">
        <f ca="1">IF(AND(S897&lt;OP!$C$24,$U897&lt;15),0,IF(AND($U897&lt;15,$T897=12),ROUND(VLOOKUP($S897,DOWN16,5,0),3),IF($T897=12,ROUND(($Z897/10000)*$AA897,3)+IF(AND($P$7="購買增額繳清保險",T897=12,U897=110),VLOOKUP(S897,$B$10:$H$121,7,0),0),"")))</f>
        <v/>
      </c>
      <c r="AC897" s="350" t="str">
        <f ca="1">IF(AND(S897&lt;OP!$C$24,$U897&lt;15),0,IF(AND($U897&lt;16,$T897=12),VLOOKUP($S897,DOWN16,4,0),IF($T897=12,ROUND(VLOOKUP(OP!$C$55,_DIE2,$S897+1,0)*(Z897/10000),0)+IF(AND($P$7="購買增額繳清保險",T897=12,U897=110),VLOOKUP(S897,$B$10:$H$121,7,0),0),"")))</f>
        <v/>
      </c>
      <c r="AD897" s="347"/>
      <c r="AE897" s="350" t="str">
        <f t="shared" ca="1" si="557"/>
        <v/>
      </c>
      <c r="AF897" s="351" t="str">
        <f t="shared" ca="1" si="558"/>
        <v/>
      </c>
      <c r="AG897" s="340"/>
      <c r="AH897" s="340"/>
      <c r="AI897" s="340"/>
      <c r="AJ897" s="340"/>
      <c r="AK897" s="340"/>
      <c r="AL897" s="340"/>
      <c r="AM897" s="340"/>
      <c r="AN897" s="340"/>
      <c r="AO897" s="340"/>
      <c r="AP897" s="340"/>
      <c r="AQ897" s="340"/>
      <c r="AR897" s="340"/>
      <c r="AS897" s="340"/>
      <c r="AT897" s="340"/>
      <c r="AU897" s="340"/>
      <c r="AV897" s="340"/>
      <c r="AY897" s="340"/>
      <c r="AZ897" s="465">
        <f t="shared" ca="1" si="568"/>
        <v>7.3698599999999999E-5</v>
      </c>
      <c r="BA897" s="464">
        <f t="shared" ca="1" si="569"/>
        <v>2.1372602999999999E-3</v>
      </c>
      <c r="BB897" s="465">
        <f t="shared" ca="1" si="569"/>
        <v>2.2109589000000002E-3</v>
      </c>
      <c r="BC897" s="466">
        <f t="shared" ca="1" si="570"/>
        <v>69915</v>
      </c>
      <c r="BD897" s="467">
        <f t="shared" ca="1" si="583"/>
        <v>69916</v>
      </c>
      <c r="BE897" s="467">
        <f t="shared" ca="1" si="571"/>
        <v>69944</v>
      </c>
      <c r="BF897" s="468">
        <f ca="1">IF(計算!$BC897&lt;OP!$C$3,0,BD897-BC897)</f>
        <v>1</v>
      </c>
      <c r="BG897" s="468">
        <f ca="1">IF($BE897&gt;DATE(YEAR($BD$9)+OP!$C$57,MONTH($BD$9),DAY($BD$9)),0,$BE897-$BD897+1)</f>
        <v>29</v>
      </c>
      <c r="BH897" s="469">
        <f t="shared" ca="1" si="572"/>
        <v>30</v>
      </c>
      <c r="BI897">
        <f t="shared" ca="1" si="588"/>
        <v>365</v>
      </c>
      <c r="BJ897">
        <v>12</v>
      </c>
      <c r="BN897" s="468">
        <f t="shared" si="584"/>
        <v>74</v>
      </c>
      <c r="BO897" s="468">
        <f t="shared" si="585"/>
        <v>12</v>
      </c>
      <c r="BP897" s="467">
        <f t="shared" ca="1" si="573"/>
        <v>69916</v>
      </c>
      <c r="BQ897" s="475">
        <f t="shared" ca="1" si="587"/>
        <v>106</v>
      </c>
      <c r="BR897" s="475">
        <f t="shared" si="586"/>
        <v>74</v>
      </c>
      <c r="BS897" s="471">
        <f t="shared" ca="1" si="574"/>
        <v>25249</v>
      </c>
      <c r="BT897" s="472">
        <f t="shared" ca="1" si="589"/>
        <v>2377024</v>
      </c>
      <c r="BU897" s="472">
        <f t="shared" ca="1" si="575"/>
        <v>24668</v>
      </c>
      <c r="BV897" s="472">
        <f t="shared" ca="1" si="575"/>
        <v>581</v>
      </c>
      <c r="BW897" s="472">
        <f ca="1">ROUND(SUM(BY897,BZ885:BZ896),0)</f>
        <v>62351</v>
      </c>
      <c r="BX897" s="473">
        <f t="shared" ca="1" si="576"/>
        <v>2377025.1235214798</v>
      </c>
      <c r="BY897" s="473">
        <f t="shared" ca="1" si="577"/>
        <v>173.30983512500001</v>
      </c>
      <c r="BZ897" s="473">
        <f t="shared" ca="1" si="559"/>
        <v>5080.3214286049997</v>
      </c>
      <c r="CA897" s="476">
        <f t="shared" ca="1" si="578"/>
        <v>24668</v>
      </c>
      <c r="CB897" s="494">
        <f ca="1">IF(OR($Q896&lt;&gt;1,OP!$D$5+$BN897-1&lt;16,$BN897-1&lt;1),0,ROUND(ROUND(ROUND(((VLOOKUP($BN897-1,MORE_PV,5,0)/10000)*VLOOKUP($BN897,MORE_PV,$CB$5,0)),3)*VLOOKUP($BN897,more1,5,0),0)/$R896,0))</f>
        <v>581</v>
      </c>
      <c r="CC897" s="473">
        <f t="shared" ca="1" si="579"/>
        <v>0</v>
      </c>
      <c r="CD897" s="477"/>
    </row>
    <row r="898" spans="2:82" ht="16.5" hidden="1">
      <c r="B898" s="80"/>
      <c r="C898" s="80"/>
      <c r="D898" s="80"/>
      <c r="E898" s="80"/>
      <c r="F898" s="80"/>
      <c r="G898" s="80"/>
      <c r="H898" s="80"/>
      <c r="I898" s="80"/>
      <c r="J898" s="192">
        <f t="shared" si="560"/>
        <v>75</v>
      </c>
      <c r="K898" s="192">
        <f t="shared" si="561"/>
        <v>2</v>
      </c>
      <c r="L898" s="192" t="str">
        <f t="shared" si="556"/>
        <v/>
      </c>
      <c r="M898" s="216">
        <f t="shared" ca="1" si="562"/>
        <v>0</v>
      </c>
      <c r="N898" s="216"/>
      <c r="O898" s="216"/>
      <c r="P898" s="216"/>
      <c r="Q898" s="456" t="str">
        <f t="shared" ca="1" si="563"/>
        <v/>
      </c>
      <c r="R898" s="450">
        <f t="shared" ca="1" si="564"/>
        <v>1</v>
      </c>
      <c r="S898" s="191">
        <f t="shared" si="565"/>
        <v>75</v>
      </c>
      <c r="T898" s="191">
        <f t="shared" si="566"/>
        <v>2</v>
      </c>
      <c r="U898" s="191">
        <f ca="1">OP!$D$5+$S898-1</f>
        <v>107</v>
      </c>
      <c r="V898" s="191" t="str">
        <f t="shared" si="567"/>
        <v/>
      </c>
      <c r="W898" s="350">
        <f ca="1">IF(Q898&lt;&gt;1,0,VLOOKUP(OP!$C$55,PVFB,$S898+2,0))</f>
        <v>0</v>
      </c>
      <c r="X898" s="473">
        <f t="shared" ca="1" si="580"/>
        <v>0</v>
      </c>
      <c r="Y898" s="348">
        <f t="shared" ca="1" si="581"/>
        <v>0</v>
      </c>
      <c r="Z898" s="348">
        <f t="shared" ca="1" si="582"/>
        <v>8012</v>
      </c>
      <c r="AA898" s="348">
        <f ca="1">IF(Q898&lt;&gt;1,0,VLOOKUP(OP!$C$55,PVFB,$S898+2,0))</f>
        <v>0</v>
      </c>
      <c r="AB898" s="488" t="str">
        <f ca="1">IF(AND(S898&lt;OP!$C$24,$U898&lt;15),0,IF(AND($U898&lt;15,$T898=12),ROUND(VLOOKUP($S898,DOWN16,5,0),3),IF($T898=12,ROUND(($Z898/10000)*$AA898,3)+IF(AND($P$7="購買增額繳清保險",T898=12,U898=110),VLOOKUP(S898,$B$10:$H$121,7,0),0),"")))</f>
        <v/>
      </c>
      <c r="AC898" s="350" t="str">
        <f ca="1">IF(AND(S898&lt;OP!$C$24,$U898&lt;15),0,IF(AND($U898&lt;16,$T898=12),VLOOKUP($S898,DOWN16,4,0),IF($T898=12,ROUND(VLOOKUP(OP!$C$55,_DIE2,$S898+1,0)*(Z898/10000),0)+IF(AND($P$7="購買增額繳清保險",T898=12,U898=110),VLOOKUP(S898,$B$10:$H$121,7,0),0),"")))</f>
        <v/>
      </c>
      <c r="AD898" s="347"/>
      <c r="AE898" s="350" t="str">
        <f t="shared" ca="1" si="557"/>
        <v/>
      </c>
      <c r="AF898" s="351" t="str">
        <f t="shared" ca="1" si="558"/>
        <v/>
      </c>
      <c r="AG898" s="340"/>
      <c r="AH898" s="340"/>
      <c r="AI898" s="340"/>
      <c r="AJ898" s="340"/>
      <c r="AK898" s="340"/>
      <c r="AL898" s="340"/>
      <c r="AM898" s="340"/>
      <c r="AN898" s="340"/>
      <c r="AO898" s="340"/>
      <c r="AP898" s="340"/>
      <c r="AQ898" s="340"/>
      <c r="AR898" s="340"/>
      <c r="AS898" s="340"/>
      <c r="AT898" s="340"/>
      <c r="AU898" s="340"/>
      <c r="AV898" s="340"/>
      <c r="AY898" s="340"/>
      <c r="AZ898" s="465">
        <f t="shared" ca="1" si="568"/>
        <v>7.3698599999999999E-5</v>
      </c>
      <c r="BA898" s="464">
        <f t="shared" ca="1" si="569"/>
        <v>2.2109589000000002E-3</v>
      </c>
      <c r="BB898" s="465">
        <f t="shared" ca="1" si="569"/>
        <v>2.2846575E-3</v>
      </c>
      <c r="BC898" s="466">
        <f t="shared" ca="1" si="570"/>
        <v>69945</v>
      </c>
      <c r="BD898" s="467">
        <f t="shared" ca="1" si="583"/>
        <v>69946</v>
      </c>
      <c r="BE898" s="467">
        <f t="shared" ca="1" si="571"/>
        <v>69975</v>
      </c>
      <c r="BF898" s="468">
        <f ca="1">IF(計算!$BC898&lt;OP!$C$3,0,BD898-BC898)</f>
        <v>1</v>
      </c>
      <c r="BG898" s="468">
        <f ca="1">IF($BE898&gt;DATE(YEAR($BD$9)+OP!$C$57,MONTH($BD$9),DAY($BD$9)),0,$BE898-$BD898+1)</f>
        <v>30</v>
      </c>
      <c r="BH898" s="469">
        <f t="shared" ca="1" si="572"/>
        <v>31</v>
      </c>
      <c r="BI898" t="str">
        <f t="shared" si="588"/>
        <v/>
      </c>
      <c r="BJ898">
        <v>1</v>
      </c>
      <c r="BN898" s="468">
        <f t="shared" si="584"/>
        <v>75</v>
      </c>
      <c r="BO898" s="468">
        <f t="shared" si="585"/>
        <v>1</v>
      </c>
      <c r="BP898" s="467">
        <f t="shared" ca="1" si="573"/>
        <v>69946</v>
      </c>
      <c r="BQ898" s="475">
        <f t="shared" ca="1" si="587"/>
        <v>107</v>
      </c>
      <c r="BR898" s="475" t="str">
        <f t="shared" si="586"/>
        <v/>
      </c>
      <c r="BS898" s="471" t="str">
        <f t="shared" si="574"/>
        <v/>
      </c>
      <c r="BT898" s="472" t="str">
        <f t="shared" si="589"/>
        <v/>
      </c>
      <c r="BU898" s="472">
        <f t="shared" ca="1" si="575"/>
        <v>0</v>
      </c>
      <c r="BV898" s="472">
        <f t="shared" ca="1" si="575"/>
        <v>0</v>
      </c>
      <c r="BW898" s="472"/>
      <c r="BX898" s="473">
        <f t="shared" ca="1" si="576"/>
        <v>2382105.44495008</v>
      </c>
      <c r="BY898" s="473">
        <f t="shared" si="577"/>
        <v>0</v>
      </c>
      <c r="BZ898" s="473">
        <f t="shared" ca="1" si="559"/>
        <v>5442.2950705960002</v>
      </c>
      <c r="CA898" s="476">
        <f t="shared" ca="1" si="578"/>
        <v>0</v>
      </c>
      <c r="CB898" s="494">
        <f ca="1">IF(OR($Q897&lt;&gt;1,OP!$D$5+$BN898-1&lt;16,$BN898-1&lt;1),0,ROUND(ROUND(ROUND(((VLOOKUP($BN898-1,MORE_PV,5,0)/10000)*VLOOKUP($BN898,MORE_PV,$CB$5,0)),3)*VLOOKUP($BN898,more1,5,0),0)/$R897,0))</f>
        <v>0</v>
      </c>
      <c r="CC898" s="473">
        <f t="shared" ca="1" si="579"/>
        <v>0</v>
      </c>
      <c r="CD898" s="477"/>
    </row>
    <row r="899" spans="2:82" ht="16.5" hidden="1">
      <c r="B899" s="80"/>
      <c r="C899" s="80"/>
      <c r="D899" s="80"/>
      <c r="E899" s="80"/>
      <c r="F899" s="80"/>
      <c r="G899" s="80"/>
      <c r="H899" s="80"/>
      <c r="I899" s="80"/>
      <c r="J899" s="192">
        <f t="shared" si="560"/>
        <v>75</v>
      </c>
      <c r="K899" s="192">
        <f t="shared" si="561"/>
        <v>3</v>
      </c>
      <c r="L899" s="192" t="str">
        <f t="shared" si="556"/>
        <v/>
      </c>
      <c r="M899" s="216">
        <f t="shared" ca="1" si="562"/>
        <v>0</v>
      </c>
      <c r="N899" s="216"/>
      <c r="O899" s="216"/>
      <c r="P899" s="216"/>
      <c r="Q899" s="456" t="str">
        <f t="shared" ca="1" si="563"/>
        <v/>
      </c>
      <c r="R899" s="450">
        <f t="shared" ca="1" si="564"/>
        <v>1</v>
      </c>
      <c r="S899" s="191">
        <f t="shared" si="565"/>
        <v>75</v>
      </c>
      <c r="T899" s="191">
        <f t="shared" si="566"/>
        <v>3</v>
      </c>
      <c r="U899" s="191">
        <f ca="1">OP!$D$5+$S899-1</f>
        <v>107</v>
      </c>
      <c r="V899" s="191" t="str">
        <f t="shared" si="567"/>
        <v/>
      </c>
      <c r="W899" s="350">
        <f ca="1">IF(Q899&lt;&gt;1,0,VLOOKUP(OP!$C$55,PVFB,$S899+2,0))</f>
        <v>0</v>
      </c>
      <c r="X899" s="473">
        <f t="shared" ca="1" si="580"/>
        <v>0</v>
      </c>
      <c r="Y899" s="348">
        <f t="shared" ca="1" si="581"/>
        <v>0</v>
      </c>
      <c r="Z899" s="348">
        <f t="shared" ca="1" si="582"/>
        <v>8012</v>
      </c>
      <c r="AA899" s="348">
        <f ca="1">IF(Q899&lt;&gt;1,0,VLOOKUP(OP!$C$55,PVFB,$S899+2,0))</f>
        <v>0</v>
      </c>
      <c r="AB899" s="488" t="str">
        <f ca="1">IF(AND(S899&lt;OP!$C$24,$U899&lt;15),0,IF(AND($U899&lt;15,$T899=12),ROUND(VLOOKUP($S899,DOWN16,5,0),3),IF($T899=12,ROUND(($Z899/10000)*$AA899,3)+IF(AND($P$7="購買增額繳清保險",T899=12,U899=110),VLOOKUP(S899,$B$10:$H$121,7,0),0),"")))</f>
        <v/>
      </c>
      <c r="AC899" s="350" t="str">
        <f ca="1">IF(AND(S899&lt;OP!$C$24,$U899&lt;15),0,IF(AND($U899&lt;16,$T899=12),VLOOKUP($S899,DOWN16,4,0),IF($T899=12,ROUND(VLOOKUP(OP!$C$55,_DIE2,$S899+1,0)*(Z899/10000),0)+IF(AND($P$7="購買增額繳清保險",T899=12,U899=110),VLOOKUP(S899,$B$10:$H$121,7,0),0),"")))</f>
        <v/>
      </c>
      <c r="AD899" s="347"/>
      <c r="AE899" s="350" t="str">
        <f t="shared" ca="1" si="557"/>
        <v/>
      </c>
      <c r="AF899" s="351" t="str">
        <f t="shared" ca="1" si="558"/>
        <v/>
      </c>
      <c r="AG899" s="340"/>
      <c r="AH899" s="340"/>
      <c r="AI899" s="340"/>
      <c r="AJ899" s="340"/>
      <c r="AK899" s="340"/>
      <c r="AL899" s="340"/>
      <c r="AM899" s="340"/>
      <c r="AN899" s="340"/>
      <c r="AO899" s="340"/>
      <c r="AP899" s="340"/>
      <c r="AQ899" s="340"/>
      <c r="AR899" s="340"/>
      <c r="AS899" s="340"/>
      <c r="AT899" s="340"/>
      <c r="AU899" s="340"/>
      <c r="AV899" s="340"/>
      <c r="AY899" s="340"/>
      <c r="AZ899" s="465">
        <f t="shared" ca="1" si="568"/>
        <v>7.3698599999999999E-5</v>
      </c>
      <c r="BA899" s="464">
        <f t="shared" ca="1" si="569"/>
        <v>2.2109589000000002E-3</v>
      </c>
      <c r="BB899" s="465">
        <f t="shared" ca="1" si="569"/>
        <v>2.2846575E-3</v>
      </c>
      <c r="BC899" s="466">
        <f t="shared" ca="1" si="570"/>
        <v>69976</v>
      </c>
      <c r="BD899" s="467">
        <f t="shared" ca="1" si="583"/>
        <v>69977</v>
      </c>
      <c r="BE899" s="467">
        <f t="shared" ca="1" si="571"/>
        <v>70006</v>
      </c>
      <c r="BF899" s="468">
        <f ca="1">IF(計算!$BC899&lt;OP!$C$3,0,BD899-BC899)</f>
        <v>1</v>
      </c>
      <c r="BG899" s="468">
        <f ca="1">IF($BE899&gt;DATE(YEAR($BD$9)+OP!$C$57,MONTH($BD$9),DAY($BD$9)),0,$BE899-$BD899+1)</f>
        <v>30</v>
      </c>
      <c r="BH899" s="469">
        <f t="shared" ca="1" si="572"/>
        <v>31</v>
      </c>
      <c r="BI899" t="str">
        <f t="shared" si="588"/>
        <v/>
      </c>
      <c r="BJ899">
        <v>2</v>
      </c>
      <c r="BN899" s="468">
        <f t="shared" si="584"/>
        <v>75</v>
      </c>
      <c r="BO899" s="468">
        <f t="shared" si="585"/>
        <v>2</v>
      </c>
      <c r="BP899" s="467">
        <f t="shared" ca="1" si="573"/>
        <v>69977</v>
      </c>
      <c r="BQ899" s="475">
        <f t="shared" ca="1" si="587"/>
        <v>107</v>
      </c>
      <c r="BR899" s="475" t="str">
        <f t="shared" si="586"/>
        <v/>
      </c>
      <c r="BS899" s="471" t="str">
        <f t="shared" si="574"/>
        <v/>
      </c>
      <c r="BT899" s="472" t="str">
        <f t="shared" si="589"/>
        <v/>
      </c>
      <c r="BU899" s="472">
        <f t="shared" ca="1" si="575"/>
        <v>0</v>
      </c>
      <c r="BV899" s="472">
        <f t="shared" ca="1" si="575"/>
        <v>0</v>
      </c>
      <c r="BW899" s="472"/>
      <c r="BX899" s="473">
        <f t="shared" ca="1" si="576"/>
        <v>2387547.7400206798</v>
      </c>
      <c r="BY899" s="473">
        <f t="shared" si="577"/>
        <v>0</v>
      </c>
      <c r="BZ899" s="473">
        <f t="shared" ca="1" si="559"/>
        <v>5454.7288508459997</v>
      </c>
      <c r="CA899" s="476">
        <f t="shared" ca="1" si="578"/>
        <v>0</v>
      </c>
      <c r="CB899" s="494">
        <f ca="1">IF(OR($Q898&lt;&gt;1,OP!$D$5+$BN899-1&lt;16,$BN899-1&lt;1),0,ROUND(ROUND(ROUND(((VLOOKUP($BN899-1,MORE_PV,5,0)/10000)*VLOOKUP($BN899,MORE_PV,$CB$5,0)),3)*VLOOKUP($BN899,more1,5,0),0)/$R898,0))</f>
        <v>0</v>
      </c>
      <c r="CC899" s="473">
        <f t="shared" ca="1" si="579"/>
        <v>0</v>
      </c>
      <c r="CD899" s="477"/>
    </row>
    <row r="900" spans="2:82" ht="16.5" hidden="1">
      <c r="B900" s="80"/>
      <c r="C900" s="80"/>
      <c r="D900" s="80"/>
      <c r="E900" s="80"/>
      <c r="F900" s="80"/>
      <c r="G900" s="80"/>
      <c r="H900" s="80"/>
      <c r="I900" s="80"/>
      <c r="J900" s="192">
        <f t="shared" si="560"/>
        <v>75</v>
      </c>
      <c r="K900" s="192">
        <f t="shared" si="561"/>
        <v>4</v>
      </c>
      <c r="L900" s="192" t="str">
        <f t="shared" si="556"/>
        <v/>
      </c>
      <c r="M900" s="216">
        <f t="shared" ca="1" si="562"/>
        <v>0</v>
      </c>
      <c r="N900" s="216"/>
      <c r="O900" s="216"/>
      <c r="P900" s="216"/>
      <c r="Q900" s="456" t="str">
        <f t="shared" ca="1" si="563"/>
        <v/>
      </c>
      <c r="R900" s="450">
        <f t="shared" ca="1" si="564"/>
        <v>1</v>
      </c>
      <c r="S900" s="191">
        <f t="shared" si="565"/>
        <v>75</v>
      </c>
      <c r="T900" s="191">
        <f t="shared" si="566"/>
        <v>4</v>
      </c>
      <c r="U900" s="191">
        <f ca="1">OP!$D$5+$S900-1</f>
        <v>107</v>
      </c>
      <c r="V900" s="191" t="str">
        <f t="shared" si="567"/>
        <v/>
      </c>
      <c r="W900" s="350">
        <f ca="1">IF(Q900&lt;&gt;1,0,VLOOKUP(OP!$C$55,PVFB,$S900+2,0))</f>
        <v>0</v>
      </c>
      <c r="X900" s="473">
        <f t="shared" ca="1" si="580"/>
        <v>0</v>
      </c>
      <c r="Y900" s="348">
        <f t="shared" ca="1" si="581"/>
        <v>0</v>
      </c>
      <c r="Z900" s="348">
        <f t="shared" ca="1" si="582"/>
        <v>8012</v>
      </c>
      <c r="AA900" s="348">
        <f ca="1">IF(Q900&lt;&gt;1,0,VLOOKUP(OP!$C$55,PVFB,$S900+2,0))</f>
        <v>0</v>
      </c>
      <c r="AB900" s="488" t="str">
        <f ca="1">IF(AND(S900&lt;OP!$C$24,$U900&lt;15),0,IF(AND($U900&lt;15,$T900=12),ROUND(VLOOKUP($S900,DOWN16,5,0),3),IF($T900=12,ROUND(($Z900/10000)*$AA900,3)+IF(AND($P$7="購買增額繳清保險",T900=12,U900=110),VLOOKUP(S900,$B$10:$H$121,7,0),0),"")))</f>
        <v/>
      </c>
      <c r="AC900" s="350" t="str">
        <f ca="1">IF(AND(S900&lt;OP!$C$24,$U900&lt;15),0,IF(AND($U900&lt;16,$T900=12),VLOOKUP($S900,DOWN16,4,0),IF($T900=12,ROUND(VLOOKUP(OP!$C$55,_DIE2,$S900+1,0)*(Z900/10000),0)+IF(AND($P$7="購買增額繳清保險",T900=12,U900=110),VLOOKUP(S900,$B$10:$H$121,7,0),0),"")))</f>
        <v/>
      </c>
      <c r="AD900" s="347"/>
      <c r="AE900" s="350" t="str">
        <f t="shared" ca="1" si="557"/>
        <v/>
      </c>
      <c r="AF900" s="351" t="str">
        <f t="shared" ca="1" si="558"/>
        <v/>
      </c>
      <c r="AG900" s="340"/>
      <c r="AH900" s="340"/>
      <c r="AI900" s="340"/>
      <c r="AJ900" s="340"/>
      <c r="AK900" s="340"/>
      <c r="AL900" s="340"/>
      <c r="AM900" s="340"/>
      <c r="AN900" s="340"/>
      <c r="AO900" s="340"/>
      <c r="AP900" s="340"/>
      <c r="AQ900" s="340"/>
      <c r="AR900" s="340"/>
      <c r="AS900" s="340"/>
      <c r="AT900" s="340"/>
      <c r="AU900" s="340"/>
      <c r="AV900" s="340"/>
      <c r="AY900" s="340"/>
      <c r="AZ900" s="465">
        <f t="shared" ca="1" si="568"/>
        <v>7.3698599999999999E-5</v>
      </c>
      <c r="BA900" s="464">
        <f t="shared" ca="1" si="569"/>
        <v>2.1372602999999999E-3</v>
      </c>
      <c r="BB900" s="465">
        <f t="shared" ca="1" si="569"/>
        <v>2.2109589000000002E-3</v>
      </c>
      <c r="BC900" s="466">
        <f t="shared" ca="1" si="570"/>
        <v>70007</v>
      </c>
      <c r="BD900" s="467">
        <f t="shared" ca="1" si="583"/>
        <v>70008</v>
      </c>
      <c r="BE900" s="467">
        <f t="shared" ca="1" si="571"/>
        <v>70036</v>
      </c>
      <c r="BF900" s="468">
        <f ca="1">IF(計算!$BC900&lt;OP!$C$3,0,BD900-BC900)</f>
        <v>1</v>
      </c>
      <c r="BG900" s="468">
        <f ca="1">IF($BE900&gt;DATE(YEAR($BD$9)+OP!$C$57,MONTH($BD$9),DAY($BD$9)),0,$BE900-$BD900+1)</f>
        <v>29</v>
      </c>
      <c r="BH900" s="469">
        <f t="shared" ca="1" si="572"/>
        <v>30</v>
      </c>
      <c r="BI900" t="str">
        <f t="shared" si="588"/>
        <v/>
      </c>
      <c r="BJ900">
        <v>3</v>
      </c>
      <c r="BN900" s="468">
        <f t="shared" si="584"/>
        <v>75</v>
      </c>
      <c r="BO900" s="468">
        <f t="shared" si="585"/>
        <v>3</v>
      </c>
      <c r="BP900" s="467">
        <f t="shared" ca="1" si="573"/>
        <v>70008</v>
      </c>
      <c r="BQ900" s="475">
        <f t="shared" ca="1" si="587"/>
        <v>107</v>
      </c>
      <c r="BR900" s="475" t="str">
        <f t="shared" si="586"/>
        <v/>
      </c>
      <c r="BS900" s="471" t="str">
        <f t="shared" si="574"/>
        <v/>
      </c>
      <c r="BT900" s="472" t="str">
        <f t="shared" si="589"/>
        <v/>
      </c>
      <c r="BU900" s="472">
        <f t="shared" ca="1" si="575"/>
        <v>0</v>
      </c>
      <c r="BV900" s="472">
        <f t="shared" ca="1" si="575"/>
        <v>0</v>
      </c>
      <c r="BW900" s="472"/>
      <c r="BX900" s="473">
        <f t="shared" ca="1" si="576"/>
        <v>2393002.4688715301</v>
      </c>
      <c r="BY900" s="473">
        <f t="shared" si="577"/>
        <v>0</v>
      </c>
      <c r="BZ900" s="473">
        <f t="shared" ca="1" si="559"/>
        <v>5290.8301062729997</v>
      </c>
      <c r="CA900" s="476">
        <f t="shared" ca="1" si="578"/>
        <v>0</v>
      </c>
      <c r="CB900" s="494">
        <f ca="1">IF(OR($Q899&lt;&gt;1,OP!$D$5+$BN900-1&lt;16,$BN900-1&lt;1),0,ROUND(ROUND(ROUND(((VLOOKUP($BN900-1,MORE_PV,5,0)/10000)*VLOOKUP($BN900,MORE_PV,$CB$5,0)),3)*VLOOKUP($BN900,more1,5,0),0)/$R899,0))</f>
        <v>0</v>
      </c>
      <c r="CC900" s="473">
        <f t="shared" ca="1" si="579"/>
        <v>0</v>
      </c>
      <c r="CD900" s="477"/>
    </row>
    <row r="901" spans="2:82" ht="16.5" hidden="1">
      <c r="B901" s="80"/>
      <c r="C901" s="80"/>
      <c r="D901" s="80"/>
      <c r="E901" s="80"/>
      <c r="F901" s="80"/>
      <c r="G901" s="80"/>
      <c r="H901" s="80"/>
      <c r="I901" s="80"/>
      <c r="J901" s="192">
        <f t="shared" si="560"/>
        <v>75</v>
      </c>
      <c r="K901" s="192">
        <f t="shared" si="561"/>
        <v>5</v>
      </c>
      <c r="L901" s="192" t="str">
        <f t="shared" si="556"/>
        <v/>
      </c>
      <c r="M901" s="216">
        <f t="shared" ca="1" si="562"/>
        <v>0</v>
      </c>
      <c r="N901" s="216"/>
      <c r="O901" s="216"/>
      <c r="P901" s="216"/>
      <c r="Q901" s="456" t="str">
        <f t="shared" ca="1" si="563"/>
        <v/>
      </c>
      <c r="R901" s="450">
        <f t="shared" ca="1" si="564"/>
        <v>1</v>
      </c>
      <c r="S901" s="191">
        <f t="shared" si="565"/>
        <v>75</v>
      </c>
      <c r="T901" s="191">
        <f t="shared" si="566"/>
        <v>5</v>
      </c>
      <c r="U901" s="191">
        <f ca="1">OP!$D$5+$S901-1</f>
        <v>107</v>
      </c>
      <c r="V901" s="191" t="str">
        <f t="shared" si="567"/>
        <v/>
      </c>
      <c r="W901" s="350">
        <f ca="1">IF(Q901&lt;&gt;1,0,VLOOKUP(OP!$C$55,PVFB,$S901+2,0))</f>
        <v>0</v>
      </c>
      <c r="X901" s="473">
        <f t="shared" ca="1" si="580"/>
        <v>0</v>
      </c>
      <c r="Y901" s="348">
        <f t="shared" ca="1" si="581"/>
        <v>0</v>
      </c>
      <c r="Z901" s="348">
        <f t="shared" ca="1" si="582"/>
        <v>8012</v>
      </c>
      <c r="AA901" s="348">
        <f ca="1">IF(Q901&lt;&gt;1,0,VLOOKUP(OP!$C$55,PVFB,$S901+2,0))</f>
        <v>0</v>
      </c>
      <c r="AB901" s="488" t="str">
        <f ca="1">IF(AND(S901&lt;OP!$C$24,$U901&lt;15),0,IF(AND($U901&lt;15,$T901=12),ROUND(VLOOKUP($S901,DOWN16,5,0),3),IF($T901=12,ROUND(($Z901/10000)*$AA901,3)+IF(AND($P$7="購買增額繳清保險",T901=12,U901=110),VLOOKUP(S901,$B$10:$H$121,7,0),0),"")))</f>
        <v/>
      </c>
      <c r="AC901" s="350" t="str">
        <f ca="1">IF(AND(S901&lt;OP!$C$24,$U901&lt;15),0,IF(AND($U901&lt;16,$T901=12),VLOOKUP($S901,DOWN16,4,0),IF($T901=12,ROUND(VLOOKUP(OP!$C$55,_DIE2,$S901+1,0)*(Z901/10000),0)+IF(AND($P$7="購買增額繳清保險",T901=12,U901=110),VLOOKUP(S901,$B$10:$H$121,7,0),0),"")))</f>
        <v/>
      </c>
      <c r="AD901" s="347"/>
      <c r="AE901" s="350" t="str">
        <f t="shared" ca="1" si="557"/>
        <v/>
      </c>
      <c r="AF901" s="351" t="str">
        <f t="shared" ca="1" si="558"/>
        <v/>
      </c>
      <c r="AG901" s="340"/>
      <c r="AH901" s="340"/>
      <c r="AI901" s="340"/>
      <c r="AJ901" s="340"/>
      <c r="AK901" s="340"/>
      <c r="AL901" s="340"/>
      <c r="AM901" s="340"/>
      <c r="AN901" s="340"/>
      <c r="AO901" s="340"/>
      <c r="AP901" s="340"/>
      <c r="AQ901" s="340"/>
      <c r="AR901" s="340"/>
      <c r="AS901" s="340"/>
      <c r="AT901" s="340"/>
      <c r="AU901" s="340"/>
      <c r="AV901" s="340"/>
      <c r="AY901" s="340"/>
      <c r="AZ901" s="465">
        <f t="shared" ca="1" si="568"/>
        <v>7.3698599999999999E-5</v>
      </c>
      <c r="BA901" s="464">
        <f t="shared" ca="1" si="569"/>
        <v>2.2109589000000002E-3</v>
      </c>
      <c r="BB901" s="465">
        <f t="shared" ca="1" si="569"/>
        <v>2.2846575E-3</v>
      </c>
      <c r="BC901" s="466">
        <f t="shared" ca="1" si="570"/>
        <v>70037</v>
      </c>
      <c r="BD901" s="467">
        <f t="shared" ca="1" si="583"/>
        <v>70038</v>
      </c>
      <c r="BE901" s="467">
        <f t="shared" ca="1" si="571"/>
        <v>70067</v>
      </c>
      <c r="BF901" s="468">
        <f ca="1">IF(計算!$BC901&lt;OP!$C$3,0,BD901-BC901)</f>
        <v>1</v>
      </c>
      <c r="BG901" s="468">
        <f ca="1">IF($BE901&gt;DATE(YEAR($BD$9)+OP!$C$57,MONTH($BD$9),DAY($BD$9)),0,$BE901-$BD901+1)</f>
        <v>30</v>
      </c>
      <c r="BH901" s="469">
        <f t="shared" ca="1" si="572"/>
        <v>31</v>
      </c>
      <c r="BI901" t="str">
        <f t="shared" si="588"/>
        <v/>
      </c>
      <c r="BJ901">
        <v>4</v>
      </c>
      <c r="BN901" s="468">
        <f t="shared" si="584"/>
        <v>75</v>
      </c>
      <c r="BO901" s="468">
        <f t="shared" si="585"/>
        <v>4</v>
      </c>
      <c r="BP901" s="467">
        <f t="shared" ca="1" si="573"/>
        <v>70038</v>
      </c>
      <c r="BQ901" s="475">
        <f t="shared" ca="1" si="587"/>
        <v>107</v>
      </c>
      <c r="BR901" s="475" t="str">
        <f t="shared" si="586"/>
        <v/>
      </c>
      <c r="BS901" s="471" t="str">
        <f t="shared" si="574"/>
        <v/>
      </c>
      <c r="BT901" s="472" t="str">
        <f t="shared" si="589"/>
        <v/>
      </c>
      <c r="BU901" s="472">
        <f t="shared" ca="1" si="575"/>
        <v>0</v>
      </c>
      <c r="BV901" s="472">
        <f t="shared" ca="1" si="575"/>
        <v>0</v>
      </c>
      <c r="BW901" s="472"/>
      <c r="BX901" s="473">
        <f t="shared" ca="1" si="576"/>
        <v>2398293.2989778002</v>
      </c>
      <c r="BY901" s="473">
        <f t="shared" si="577"/>
        <v>0</v>
      </c>
      <c r="BZ901" s="473">
        <f t="shared" ca="1" si="559"/>
        <v>5479.2787727089999</v>
      </c>
      <c r="CA901" s="476">
        <f t="shared" ca="1" si="578"/>
        <v>0</v>
      </c>
      <c r="CB901" s="494">
        <f ca="1">IF(OR($Q900&lt;&gt;1,OP!$D$5+$BN901-1&lt;16,$BN901-1&lt;1),0,ROUND(ROUND(ROUND(((VLOOKUP($BN901-1,MORE_PV,5,0)/10000)*VLOOKUP($BN901,MORE_PV,$CB$5,0)),3)*VLOOKUP($BN901,more1,5,0),0)/$R900,0))</f>
        <v>0</v>
      </c>
      <c r="CC901" s="473">
        <f t="shared" ca="1" si="579"/>
        <v>0</v>
      </c>
      <c r="CD901" s="477"/>
    </row>
    <row r="902" spans="2:82" ht="16.5" hidden="1">
      <c r="B902" s="80"/>
      <c r="C902" s="80"/>
      <c r="D902" s="80"/>
      <c r="E902" s="80"/>
      <c r="F902" s="80"/>
      <c r="G902" s="80"/>
      <c r="H902" s="80"/>
      <c r="I902" s="80"/>
      <c r="J902" s="192">
        <f t="shared" si="560"/>
        <v>75</v>
      </c>
      <c r="K902" s="192">
        <f t="shared" si="561"/>
        <v>6</v>
      </c>
      <c r="L902" s="192" t="str">
        <f t="shared" si="556"/>
        <v/>
      </c>
      <c r="M902" s="216">
        <f t="shared" ca="1" si="562"/>
        <v>0</v>
      </c>
      <c r="N902" s="216"/>
      <c r="O902" s="216"/>
      <c r="P902" s="216"/>
      <c r="Q902" s="456" t="str">
        <f t="shared" ca="1" si="563"/>
        <v/>
      </c>
      <c r="R902" s="450">
        <f t="shared" ca="1" si="564"/>
        <v>1</v>
      </c>
      <c r="S902" s="191">
        <f t="shared" si="565"/>
        <v>75</v>
      </c>
      <c r="T902" s="191">
        <f t="shared" si="566"/>
        <v>6</v>
      </c>
      <c r="U902" s="191">
        <f ca="1">OP!$D$5+$S902-1</f>
        <v>107</v>
      </c>
      <c r="V902" s="191" t="str">
        <f t="shared" si="567"/>
        <v/>
      </c>
      <c r="W902" s="350">
        <f ca="1">IF(Q902&lt;&gt;1,0,VLOOKUP(OP!$C$55,PVFB,$S902+2,0))</f>
        <v>0</v>
      </c>
      <c r="X902" s="473">
        <f t="shared" ca="1" si="580"/>
        <v>0</v>
      </c>
      <c r="Y902" s="348">
        <f t="shared" ca="1" si="581"/>
        <v>0</v>
      </c>
      <c r="Z902" s="348">
        <f t="shared" ca="1" si="582"/>
        <v>8012</v>
      </c>
      <c r="AA902" s="348">
        <f ca="1">IF(Q902&lt;&gt;1,0,VLOOKUP(OP!$C$55,PVFB,$S902+2,0))</f>
        <v>0</v>
      </c>
      <c r="AB902" s="488" t="str">
        <f ca="1">IF(AND(S902&lt;OP!$C$24,$U902&lt;15),0,IF(AND($U902&lt;15,$T902=12),ROUND(VLOOKUP($S902,DOWN16,5,0),3),IF($T902=12,ROUND(($Z902/10000)*$AA902,3)+IF(AND($P$7="購買增額繳清保險",T902=12,U902=110),VLOOKUP(S902,$B$10:$H$121,7,0),0),"")))</f>
        <v/>
      </c>
      <c r="AC902" s="350" t="str">
        <f ca="1">IF(AND(S902&lt;OP!$C$24,$U902&lt;15),0,IF(AND($U902&lt;16,$T902=12),VLOOKUP($S902,DOWN16,4,0),IF($T902=12,ROUND(VLOOKUP(OP!$C$55,_DIE2,$S902+1,0)*(Z902/10000),0)+IF(AND($P$7="購買增額繳清保險",T902=12,U902=110),VLOOKUP(S902,$B$10:$H$121,7,0),0),"")))</f>
        <v/>
      </c>
      <c r="AD902" s="347"/>
      <c r="AE902" s="350" t="str">
        <f t="shared" ca="1" si="557"/>
        <v/>
      </c>
      <c r="AF902" s="351" t="str">
        <f t="shared" ca="1" si="558"/>
        <v/>
      </c>
      <c r="AG902" s="340"/>
      <c r="AH902" s="340"/>
      <c r="AI902" s="340"/>
      <c r="AJ902" s="340"/>
      <c r="AK902" s="340"/>
      <c r="AL902" s="340"/>
      <c r="AM902" s="340"/>
      <c r="AN902" s="340"/>
      <c r="AO902" s="340"/>
      <c r="AP902" s="340"/>
      <c r="AQ902" s="340"/>
      <c r="AR902" s="340"/>
      <c r="AS902" s="340"/>
      <c r="AT902" s="340"/>
      <c r="AU902" s="340"/>
      <c r="AV902" s="340"/>
      <c r="AY902" s="340"/>
      <c r="AZ902" s="465">
        <f t="shared" ca="1" si="568"/>
        <v>7.3698599999999999E-5</v>
      </c>
      <c r="BA902" s="464">
        <f t="shared" ca="1" si="569"/>
        <v>2.1372602999999999E-3</v>
      </c>
      <c r="BB902" s="465">
        <f t="shared" ca="1" si="569"/>
        <v>2.2109589000000002E-3</v>
      </c>
      <c r="BC902" s="466">
        <f t="shared" ca="1" si="570"/>
        <v>70068</v>
      </c>
      <c r="BD902" s="467">
        <f t="shared" ca="1" si="583"/>
        <v>70069</v>
      </c>
      <c r="BE902" s="467">
        <f t="shared" ca="1" si="571"/>
        <v>70097</v>
      </c>
      <c r="BF902" s="468">
        <f ca="1">IF(計算!$BC902&lt;OP!$C$3,0,BD902-BC902)</f>
        <v>1</v>
      </c>
      <c r="BG902" s="468">
        <f ca="1">IF($BE902&gt;DATE(YEAR($BD$9)+OP!$C$57,MONTH($BD$9),DAY($BD$9)),0,$BE902-$BD902+1)</f>
        <v>29</v>
      </c>
      <c r="BH902" s="469">
        <f t="shared" ca="1" si="572"/>
        <v>30</v>
      </c>
      <c r="BI902" t="str">
        <f t="shared" si="588"/>
        <v/>
      </c>
      <c r="BJ902">
        <v>5</v>
      </c>
      <c r="BN902" s="468">
        <f t="shared" si="584"/>
        <v>75</v>
      </c>
      <c r="BO902" s="468">
        <f t="shared" si="585"/>
        <v>5</v>
      </c>
      <c r="BP902" s="467">
        <f t="shared" ca="1" si="573"/>
        <v>70069</v>
      </c>
      <c r="BQ902" s="475">
        <f t="shared" ca="1" si="587"/>
        <v>107</v>
      </c>
      <c r="BR902" s="475" t="str">
        <f t="shared" si="586"/>
        <v/>
      </c>
      <c r="BS902" s="471" t="str">
        <f t="shared" si="574"/>
        <v/>
      </c>
      <c r="BT902" s="472" t="str">
        <f t="shared" si="589"/>
        <v/>
      </c>
      <c r="BU902" s="472">
        <f t="shared" ca="1" si="575"/>
        <v>0</v>
      </c>
      <c r="BV902" s="472">
        <f t="shared" ca="1" si="575"/>
        <v>0</v>
      </c>
      <c r="BW902" s="472"/>
      <c r="BX902" s="473">
        <f t="shared" ca="1" si="576"/>
        <v>2403772.5777505101</v>
      </c>
      <c r="BY902" s="473">
        <f t="shared" si="577"/>
        <v>0</v>
      </c>
      <c r="BZ902" s="473">
        <f t="shared" ca="1" si="559"/>
        <v>5314.6423743530004</v>
      </c>
      <c r="CA902" s="476">
        <f t="shared" ca="1" si="578"/>
        <v>0</v>
      </c>
      <c r="CB902" s="494">
        <f ca="1">IF(OR($Q901&lt;&gt;1,OP!$D$5+$BN902-1&lt;16,$BN902-1&lt;1),0,ROUND(ROUND(ROUND(((VLOOKUP($BN902-1,MORE_PV,5,0)/10000)*VLOOKUP($BN902,MORE_PV,$CB$5,0)),3)*VLOOKUP($BN902,more1,5,0),0)/$R901,0))</f>
        <v>0</v>
      </c>
      <c r="CC902" s="473">
        <f t="shared" ca="1" si="579"/>
        <v>0</v>
      </c>
      <c r="CD902" s="477"/>
    </row>
    <row r="903" spans="2:82" ht="16.5" hidden="1">
      <c r="B903" s="80"/>
      <c r="C903" s="80"/>
      <c r="D903" s="80"/>
      <c r="E903" s="80"/>
      <c r="F903" s="80"/>
      <c r="G903" s="80"/>
      <c r="H903" s="80"/>
      <c r="I903" s="80"/>
      <c r="J903" s="192">
        <f t="shared" si="560"/>
        <v>75</v>
      </c>
      <c r="K903" s="192">
        <f t="shared" si="561"/>
        <v>7</v>
      </c>
      <c r="L903" s="192" t="str">
        <f t="shared" si="556"/>
        <v/>
      </c>
      <c r="M903" s="216">
        <f t="shared" ca="1" si="562"/>
        <v>0</v>
      </c>
      <c r="N903" s="216"/>
      <c r="O903" s="216"/>
      <c r="P903" s="216"/>
      <c r="Q903" s="456" t="str">
        <f t="shared" ca="1" si="563"/>
        <v/>
      </c>
      <c r="R903" s="450">
        <f t="shared" ca="1" si="564"/>
        <v>1</v>
      </c>
      <c r="S903" s="191">
        <f t="shared" si="565"/>
        <v>75</v>
      </c>
      <c r="T903" s="191">
        <f t="shared" si="566"/>
        <v>7</v>
      </c>
      <c r="U903" s="191">
        <f ca="1">OP!$D$5+$S903-1</f>
        <v>107</v>
      </c>
      <c r="V903" s="191" t="str">
        <f t="shared" si="567"/>
        <v/>
      </c>
      <c r="W903" s="350">
        <f ca="1">IF(Q903&lt;&gt;1,0,VLOOKUP(OP!$C$55,PVFB,$S903+2,0))</f>
        <v>0</v>
      </c>
      <c r="X903" s="473">
        <f t="shared" ca="1" si="580"/>
        <v>0</v>
      </c>
      <c r="Y903" s="348">
        <f t="shared" ca="1" si="581"/>
        <v>0</v>
      </c>
      <c r="Z903" s="348">
        <f t="shared" ca="1" si="582"/>
        <v>8012</v>
      </c>
      <c r="AA903" s="348">
        <f ca="1">IF(Q903&lt;&gt;1,0,VLOOKUP(OP!$C$55,PVFB,$S903+2,0))</f>
        <v>0</v>
      </c>
      <c r="AB903" s="488" t="str">
        <f ca="1">IF(AND(S903&lt;OP!$C$24,$U903&lt;15),0,IF(AND($U903&lt;15,$T903=12),ROUND(VLOOKUP($S903,DOWN16,5,0),3),IF($T903=12,ROUND(($Z903/10000)*$AA903,3)+IF(AND($P$7="購買增額繳清保險",T903=12,U903=110),VLOOKUP(S903,$B$10:$H$121,7,0),0),"")))</f>
        <v/>
      </c>
      <c r="AC903" s="350" t="str">
        <f ca="1">IF(AND(S903&lt;OP!$C$24,$U903&lt;15),0,IF(AND($U903&lt;16,$T903=12),VLOOKUP($S903,DOWN16,4,0),IF($T903=12,ROUND(VLOOKUP(OP!$C$55,_DIE2,$S903+1,0)*(Z903/10000),0)+IF(AND($P$7="購買增額繳清保險",T903=12,U903=110),VLOOKUP(S903,$B$10:$H$121,7,0),0),"")))</f>
        <v/>
      </c>
      <c r="AD903" s="347"/>
      <c r="AE903" s="350" t="str">
        <f t="shared" ca="1" si="557"/>
        <v/>
      </c>
      <c r="AF903" s="351" t="str">
        <f t="shared" ca="1" si="558"/>
        <v/>
      </c>
      <c r="AG903" s="340"/>
      <c r="AH903" s="340"/>
      <c r="AI903" s="340"/>
      <c r="AJ903" s="340"/>
      <c r="AK903" s="340"/>
      <c r="AL903" s="340"/>
      <c r="AM903" s="340"/>
      <c r="AN903" s="340"/>
      <c r="AO903" s="340"/>
      <c r="AP903" s="340"/>
      <c r="AQ903" s="340"/>
      <c r="AR903" s="340"/>
      <c r="AS903" s="340"/>
      <c r="AT903" s="340"/>
      <c r="AU903" s="340"/>
      <c r="AV903" s="340"/>
      <c r="AY903" s="340"/>
      <c r="AZ903" s="465">
        <f t="shared" ca="1" si="568"/>
        <v>7.3698599999999999E-5</v>
      </c>
      <c r="BA903" s="464">
        <f t="shared" ca="1" si="569"/>
        <v>2.2109589000000002E-3</v>
      </c>
      <c r="BB903" s="465">
        <f t="shared" ca="1" si="569"/>
        <v>2.2846575E-3</v>
      </c>
      <c r="BC903" s="466">
        <f t="shared" ca="1" si="570"/>
        <v>70098</v>
      </c>
      <c r="BD903" s="467">
        <f t="shared" ca="1" si="583"/>
        <v>70099</v>
      </c>
      <c r="BE903" s="467">
        <f t="shared" ca="1" si="571"/>
        <v>70128</v>
      </c>
      <c r="BF903" s="468">
        <f ca="1">IF(計算!$BC903&lt;OP!$C$3,0,BD903-BC903)</f>
        <v>1</v>
      </c>
      <c r="BG903" s="468">
        <f ca="1">IF($BE903&gt;DATE(YEAR($BD$9)+OP!$C$57,MONTH($BD$9),DAY($BD$9)),0,$BE903-$BD903+1)</f>
        <v>30</v>
      </c>
      <c r="BH903" s="469">
        <f t="shared" ca="1" si="572"/>
        <v>31</v>
      </c>
      <c r="BI903" t="str">
        <f t="shared" si="588"/>
        <v/>
      </c>
      <c r="BJ903">
        <v>6</v>
      </c>
      <c r="BN903" s="468">
        <f t="shared" si="584"/>
        <v>75</v>
      </c>
      <c r="BO903" s="468">
        <f t="shared" si="585"/>
        <v>6</v>
      </c>
      <c r="BP903" s="467">
        <f t="shared" ca="1" si="573"/>
        <v>70099</v>
      </c>
      <c r="BQ903" s="475">
        <f t="shared" ca="1" si="587"/>
        <v>107</v>
      </c>
      <c r="BR903" s="475" t="str">
        <f t="shared" si="586"/>
        <v/>
      </c>
      <c r="BS903" s="471" t="str">
        <f t="shared" si="574"/>
        <v/>
      </c>
      <c r="BT903" s="472" t="str">
        <f t="shared" si="589"/>
        <v/>
      </c>
      <c r="BU903" s="472">
        <f t="shared" ca="1" si="575"/>
        <v>0</v>
      </c>
      <c r="BV903" s="472">
        <f t="shared" ca="1" si="575"/>
        <v>0</v>
      </c>
      <c r="BW903" s="472"/>
      <c r="BX903" s="473">
        <f t="shared" ca="1" si="576"/>
        <v>2409087.2201248598</v>
      </c>
      <c r="BY903" s="473">
        <f t="shared" si="577"/>
        <v>0</v>
      </c>
      <c r="BZ903" s="473">
        <f t="shared" ca="1" si="559"/>
        <v>5503.9391856120001</v>
      </c>
      <c r="CA903" s="476">
        <f t="shared" ca="1" si="578"/>
        <v>0</v>
      </c>
      <c r="CB903" s="494">
        <f ca="1">IF(OR($Q902&lt;&gt;1,OP!$D$5+$BN903-1&lt;16,$BN903-1&lt;1),0,ROUND(ROUND(ROUND(((VLOOKUP($BN903-1,MORE_PV,5,0)/10000)*VLOOKUP($BN903,MORE_PV,$CB$5,0)),3)*VLOOKUP($BN903,more1,5,0),0)/$R902,0))</f>
        <v>0</v>
      </c>
      <c r="CC903" s="473">
        <f t="shared" ca="1" si="579"/>
        <v>0</v>
      </c>
      <c r="CD903" s="477"/>
    </row>
    <row r="904" spans="2:82" ht="16.5" hidden="1">
      <c r="B904" s="80"/>
      <c r="C904" s="80"/>
      <c r="D904" s="80"/>
      <c r="E904" s="80"/>
      <c r="F904" s="80"/>
      <c r="G904" s="80"/>
      <c r="H904" s="80"/>
      <c r="I904" s="80"/>
      <c r="J904" s="192">
        <f t="shared" si="560"/>
        <v>75</v>
      </c>
      <c r="K904" s="192">
        <f t="shared" si="561"/>
        <v>8</v>
      </c>
      <c r="L904" s="192" t="str">
        <f t="shared" si="556"/>
        <v/>
      </c>
      <c r="M904" s="216">
        <f t="shared" ca="1" si="562"/>
        <v>0</v>
      </c>
      <c r="N904" s="216"/>
      <c r="O904" s="216"/>
      <c r="P904" s="216"/>
      <c r="Q904" s="456" t="str">
        <f t="shared" ca="1" si="563"/>
        <v/>
      </c>
      <c r="R904" s="450">
        <f t="shared" ca="1" si="564"/>
        <v>1</v>
      </c>
      <c r="S904" s="191">
        <f t="shared" si="565"/>
        <v>75</v>
      </c>
      <c r="T904" s="191">
        <f t="shared" si="566"/>
        <v>8</v>
      </c>
      <c r="U904" s="191">
        <f ca="1">OP!$D$5+$S904-1</f>
        <v>107</v>
      </c>
      <c r="V904" s="191" t="str">
        <f t="shared" si="567"/>
        <v/>
      </c>
      <c r="W904" s="350">
        <f ca="1">IF(Q904&lt;&gt;1,0,VLOOKUP(OP!$C$55,PVFB,$S904+2,0))</f>
        <v>0</v>
      </c>
      <c r="X904" s="473">
        <f t="shared" ca="1" si="580"/>
        <v>0</v>
      </c>
      <c r="Y904" s="348">
        <f t="shared" ca="1" si="581"/>
        <v>0</v>
      </c>
      <c r="Z904" s="348">
        <f t="shared" ca="1" si="582"/>
        <v>8012</v>
      </c>
      <c r="AA904" s="348">
        <f ca="1">IF(Q904&lt;&gt;1,0,VLOOKUP(OP!$C$55,PVFB,$S904+2,0))</f>
        <v>0</v>
      </c>
      <c r="AB904" s="488" t="str">
        <f ca="1">IF(AND(S904&lt;OP!$C$24,$U904&lt;15),0,IF(AND($U904&lt;15,$T904=12),ROUND(VLOOKUP($S904,DOWN16,5,0),3),IF($T904=12,ROUND(($Z904/10000)*$AA904,3)+IF(AND($P$7="購買增額繳清保險",T904=12,U904=110),VLOOKUP(S904,$B$10:$H$121,7,0),0),"")))</f>
        <v/>
      </c>
      <c r="AC904" s="350" t="str">
        <f ca="1">IF(AND(S904&lt;OP!$C$24,$U904&lt;15),0,IF(AND($U904&lt;16,$T904=12),VLOOKUP($S904,DOWN16,4,0),IF($T904=12,ROUND(VLOOKUP(OP!$C$55,_DIE2,$S904+1,0)*(Z904/10000),0)+IF(AND($P$7="購買增額繳清保險",T904=12,U904=110),VLOOKUP(S904,$B$10:$H$121,7,0),0),"")))</f>
        <v/>
      </c>
      <c r="AD904" s="347"/>
      <c r="AE904" s="350" t="str">
        <f t="shared" ca="1" si="557"/>
        <v/>
      </c>
      <c r="AF904" s="351" t="str">
        <f t="shared" ca="1" si="558"/>
        <v/>
      </c>
      <c r="AG904" s="340"/>
      <c r="AH904" s="340"/>
      <c r="AI904" s="340"/>
      <c r="AJ904" s="340"/>
      <c r="AK904" s="340"/>
      <c r="AL904" s="340"/>
      <c r="AM904" s="340"/>
      <c r="AN904" s="340"/>
      <c r="AO904" s="340"/>
      <c r="AP904" s="340"/>
      <c r="AQ904" s="340"/>
      <c r="AR904" s="340"/>
      <c r="AS904" s="340"/>
      <c r="AT904" s="340"/>
      <c r="AU904" s="340"/>
      <c r="AV904" s="340"/>
      <c r="AY904" s="340"/>
      <c r="AZ904" s="465">
        <f t="shared" ca="1" si="568"/>
        <v>7.3698599999999999E-5</v>
      </c>
      <c r="BA904" s="464">
        <f t="shared" ca="1" si="569"/>
        <v>2.2109589000000002E-3</v>
      </c>
      <c r="BB904" s="465">
        <f t="shared" ca="1" si="569"/>
        <v>2.2846575E-3</v>
      </c>
      <c r="BC904" s="466">
        <f t="shared" ca="1" si="570"/>
        <v>70129</v>
      </c>
      <c r="BD904" s="467">
        <f t="shared" ca="1" si="583"/>
        <v>70130</v>
      </c>
      <c r="BE904" s="467">
        <f t="shared" ca="1" si="571"/>
        <v>70159</v>
      </c>
      <c r="BF904" s="468">
        <f ca="1">IF(計算!$BC904&lt;OP!$C$3,0,BD904-BC904)</f>
        <v>1</v>
      </c>
      <c r="BG904" s="468">
        <f ca="1">IF($BE904&gt;DATE(YEAR($BD$9)+OP!$C$57,MONTH($BD$9),DAY($BD$9)),0,$BE904-$BD904+1)</f>
        <v>30</v>
      </c>
      <c r="BH904" s="469">
        <f t="shared" ca="1" si="572"/>
        <v>31</v>
      </c>
      <c r="BI904" t="str">
        <f t="shared" si="588"/>
        <v/>
      </c>
      <c r="BJ904">
        <v>7</v>
      </c>
      <c r="BN904" s="468">
        <f t="shared" si="584"/>
        <v>75</v>
      </c>
      <c r="BO904" s="468">
        <f t="shared" si="585"/>
        <v>7</v>
      </c>
      <c r="BP904" s="467">
        <f t="shared" ca="1" si="573"/>
        <v>70130</v>
      </c>
      <c r="BQ904" s="475">
        <f t="shared" ca="1" si="587"/>
        <v>107</v>
      </c>
      <c r="BR904" s="475" t="str">
        <f t="shared" si="586"/>
        <v/>
      </c>
      <c r="BS904" s="471" t="str">
        <f t="shared" si="574"/>
        <v/>
      </c>
      <c r="BT904" s="472" t="str">
        <f t="shared" si="589"/>
        <v/>
      </c>
      <c r="BU904" s="472">
        <f t="shared" ca="1" si="575"/>
        <v>0</v>
      </c>
      <c r="BV904" s="472">
        <f t="shared" ca="1" si="575"/>
        <v>0</v>
      </c>
      <c r="BW904" s="472"/>
      <c r="BX904" s="473">
        <f t="shared" ca="1" si="576"/>
        <v>2414591.1593104699</v>
      </c>
      <c r="BY904" s="473">
        <f t="shared" si="577"/>
        <v>0</v>
      </c>
      <c r="BZ904" s="473">
        <f t="shared" ca="1" si="559"/>
        <v>5516.5138015519997</v>
      </c>
      <c r="CA904" s="476">
        <f t="shared" ca="1" si="578"/>
        <v>0</v>
      </c>
      <c r="CB904" s="494">
        <f ca="1">IF(OR($Q903&lt;&gt;1,OP!$D$5+$BN904-1&lt;16,$BN904-1&lt;1),0,ROUND(ROUND(ROUND(((VLOOKUP($BN904-1,MORE_PV,5,0)/10000)*VLOOKUP($BN904,MORE_PV,$CB$5,0)),3)*VLOOKUP($BN904,more1,5,0),0)/$R903,0))</f>
        <v>0</v>
      </c>
      <c r="CC904" s="473">
        <f t="shared" ca="1" si="579"/>
        <v>0</v>
      </c>
      <c r="CD904" s="477"/>
    </row>
    <row r="905" spans="2:82" ht="16.5" hidden="1">
      <c r="B905" s="80"/>
      <c r="C905" s="80"/>
      <c r="D905" s="80"/>
      <c r="E905" s="80"/>
      <c r="F905" s="80"/>
      <c r="G905" s="80"/>
      <c r="H905" s="80"/>
      <c r="I905" s="80"/>
      <c r="J905" s="192">
        <f t="shared" si="560"/>
        <v>75</v>
      </c>
      <c r="K905" s="192">
        <f t="shared" si="561"/>
        <v>9</v>
      </c>
      <c r="L905" s="192" t="str">
        <f t="shared" ref="L905:L968" si="590">IF($K905=12,$J905,"")</f>
        <v/>
      </c>
      <c r="M905" s="216">
        <f t="shared" ca="1" si="562"/>
        <v>0</v>
      </c>
      <c r="N905" s="216"/>
      <c r="O905" s="216"/>
      <c r="P905" s="216"/>
      <c r="Q905" s="456" t="str">
        <f t="shared" ca="1" si="563"/>
        <v/>
      </c>
      <c r="R905" s="450">
        <f t="shared" ca="1" si="564"/>
        <v>1</v>
      </c>
      <c r="S905" s="191">
        <f t="shared" si="565"/>
        <v>75</v>
      </c>
      <c r="T905" s="191">
        <f t="shared" si="566"/>
        <v>9</v>
      </c>
      <c r="U905" s="191">
        <f ca="1">OP!$D$5+$S905-1</f>
        <v>107</v>
      </c>
      <c r="V905" s="191" t="str">
        <f t="shared" si="567"/>
        <v/>
      </c>
      <c r="W905" s="350">
        <f ca="1">IF(Q905&lt;&gt;1,0,VLOOKUP(OP!$C$55,PVFB,$S905+2,0))</f>
        <v>0</v>
      </c>
      <c r="X905" s="473">
        <f t="shared" ca="1" si="580"/>
        <v>0</v>
      </c>
      <c r="Y905" s="348">
        <f t="shared" ca="1" si="581"/>
        <v>0</v>
      </c>
      <c r="Z905" s="348">
        <f t="shared" ca="1" si="582"/>
        <v>8012</v>
      </c>
      <c r="AA905" s="348">
        <f ca="1">IF(Q905&lt;&gt;1,0,VLOOKUP(OP!$C$55,PVFB,$S905+2,0))</f>
        <v>0</v>
      </c>
      <c r="AB905" s="488" t="str">
        <f ca="1">IF(AND(S905&lt;OP!$C$24,$U905&lt;15),0,IF(AND($U905&lt;15,$T905=12),ROUND(VLOOKUP($S905,DOWN16,5,0),3),IF($T905=12,ROUND(($Z905/10000)*$AA905,3)+IF(AND($P$7="購買增額繳清保險",T905=12,U905=110),VLOOKUP(S905,$B$10:$H$121,7,0),0),"")))</f>
        <v/>
      </c>
      <c r="AC905" s="350" t="str">
        <f ca="1">IF(AND(S905&lt;OP!$C$24,$U905&lt;15),0,IF(AND($U905&lt;16,$T905=12),VLOOKUP($S905,DOWN16,4,0),IF($T905=12,ROUND(VLOOKUP(OP!$C$55,_DIE2,$S905+1,0)*(Z905/10000),0)+IF(AND($P$7="購買增額繳清保險",T905=12,U905=110),VLOOKUP(S905,$B$10:$H$121,7,0),0),"")))</f>
        <v/>
      </c>
      <c r="AD905" s="347"/>
      <c r="AE905" s="350" t="str">
        <f t="shared" ref="AE905:AE968" ca="1" si="591">IF(AND($U$9&lt;16,$T905=12),VLOOKUP($S905,DOWN16,4,0),"")</f>
        <v/>
      </c>
      <c r="AF905" s="351" t="str">
        <f t="shared" ref="AF905:AF968" ca="1" si="592">IF(AND($U$9&lt;16,$T905=12),VLOOKUP($S905,DOWN16,5,0),"")</f>
        <v/>
      </c>
      <c r="AG905" s="340"/>
      <c r="AH905" s="340"/>
      <c r="AI905" s="340"/>
      <c r="AJ905" s="340"/>
      <c r="AK905" s="340"/>
      <c r="AL905" s="340"/>
      <c r="AM905" s="340"/>
      <c r="AN905" s="340"/>
      <c r="AO905" s="340"/>
      <c r="AP905" s="340"/>
      <c r="AQ905" s="340"/>
      <c r="AR905" s="340"/>
      <c r="AS905" s="340"/>
      <c r="AT905" s="340"/>
      <c r="AU905" s="340"/>
      <c r="AV905" s="340"/>
      <c r="AY905" s="340"/>
      <c r="AZ905" s="465">
        <f t="shared" ca="1" si="568"/>
        <v>7.3698599999999999E-5</v>
      </c>
      <c r="BA905" s="464">
        <f t="shared" ca="1" si="569"/>
        <v>2.0635616E-3</v>
      </c>
      <c r="BB905" s="465">
        <f t="shared" ca="1" si="569"/>
        <v>2.1372602999999999E-3</v>
      </c>
      <c r="BC905" s="466">
        <f t="shared" ca="1" si="570"/>
        <v>70160</v>
      </c>
      <c r="BD905" s="467">
        <f t="shared" ca="1" si="583"/>
        <v>70161</v>
      </c>
      <c r="BE905" s="467">
        <f t="shared" ca="1" si="571"/>
        <v>70188</v>
      </c>
      <c r="BF905" s="468">
        <f ca="1">IF(計算!$BC905&lt;OP!$C$3,0,BD905-BC905)</f>
        <v>1</v>
      </c>
      <c r="BG905" s="468">
        <f ca="1">IF($BE905&gt;DATE(YEAR($BD$9)+OP!$C$57,MONTH($BD$9),DAY($BD$9)),0,$BE905-$BD905+1)</f>
        <v>28</v>
      </c>
      <c r="BH905" s="469">
        <f t="shared" ca="1" si="572"/>
        <v>29</v>
      </c>
      <c r="BI905" t="str">
        <f t="shared" si="588"/>
        <v/>
      </c>
      <c r="BJ905">
        <v>8</v>
      </c>
      <c r="BN905" s="468">
        <f t="shared" si="584"/>
        <v>75</v>
      </c>
      <c r="BO905" s="468">
        <f t="shared" si="585"/>
        <v>8</v>
      </c>
      <c r="BP905" s="467">
        <f t="shared" ca="1" si="573"/>
        <v>70161</v>
      </c>
      <c r="BQ905" s="475">
        <f t="shared" ca="1" si="587"/>
        <v>107</v>
      </c>
      <c r="BR905" s="475" t="str">
        <f t="shared" si="586"/>
        <v/>
      </c>
      <c r="BS905" s="471" t="str">
        <f t="shared" si="574"/>
        <v/>
      </c>
      <c r="BT905" s="472" t="str">
        <f t="shared" si="589"/>
        <v/>
      </c>
      <c r="BU905" s="472">
        <f t="shared" ca="1" si="575"/>
        <v>0</v>
      </c>
      <c r="BV905" s="472">
        <f t="shared" ca="1" si="575"/>
        <v>0</v>
      </c>
      <c r="BW905" s="472"/>
      <c r="BX905" s="473">
        <f t="shared" ca="1" si="576"/>
        <v>2420107.6731120199</v>
      </c>
      <c r="BY905" s="473">
        <f t="shared" si="577"/>
        <v>0</v>
      </c>
      <c r="BZ905" s="473">
        <f t="shared" ref="BZ905:BZ968" ca="1" si="593">ROUND(BX905*IF(BO905=12,$BA905,$BB905),$CB$6)</f>
        <v>5172.4000514680001</v>
      </c>
      <c r="CA905" s="476">
        <f t="shared" ca="1" si="578"/>
        <v>0</v>
      </c>
      <c r="CB905" s="494">
        <f ca="1">IF(OR($Q904&lt;&gt;1,OP!$D$5+$BN905-1&lt;16,$BN905-1&lt;1),0,ROUND(ROUND(ROUND(((VLOOKUP($BN905-1,MORE_PV,5,0)/10000)*VLOOKUP($BN905,MORE_PV,$CB$5,0)),3)*VLOOKUP($BN905,more1,5,0),0)/$R904,0))</f>
        <v>0</v>
      </c>
      <c r="CC905" s="473">
        <f t="shared" ca="1" si="579"/>
        <v>0</v>
      </c>
      <c r="CD905" s="477"/>
    </row>
    <row r="906" spans="2:82" ht="16.5" hidden="1">
      <c r="B906" s="80"/>
      <c r="C906" s="80"/>
      <c r="D906" s="80"/>
      <c r="E906" s="80"/>
      <c r="F906" s="80"/>
      <c r="G906" s="80"/>
      <c r="H906" s="80"/>
      <c r="I906" s="80"/>
      <c r="J906" s="192">
        <f t="shared" ref="J906:J969" si="594">IF(K905=12,J905+1,J905)</f>
        <v>75</v>
      </c>
      <c r="K906" s="192">
        <f t="shared" ref="K906:K969" si="595">IF(K905=12,1,K905+1)</f>
        <v>10</v>
      </c>
      <c r="L906" s="192" t="str">
        <f t="shared" si="590"/>
        <v/>
      </c>
      <c r="M906" s="216">
        <f t="shared" ref="M906:M969" ca="1" si="596">IF($Q906=1,VLOOKUP(L906,$BR$9:$BT$1341,3,0),0)</f>
        <v>0</v>
      </c>
      <c r="N906" s="216"/>
      <c r="O906" s="216"/>
      <c r="P906" s="216"/>
      <c r="Q906" s="456" t="str">
        <f t="shared" ref="Q906:Q969" ca="1" si="597">IF(OR($U906&gt;=$I$5,AND($G$5=1,$K906=12),AND($G$5=2,OR($K906=6,$K906=12)),AND($G$5=4,OR($K906=3,$K906=6,$K906=9,$K906=12)),$G$5=12),1,"")</f>
        <v/>
      </c>
      <c r="R906" s="450">
        <f t="shared" ref="R906:R969" ca="1" si="598">IF($U906&lt;$I$5,$G$5,$I$6)</f>
        <v>1</v>
      </c>
      <c r="S906" s="191">
        <f t="shared" ref="S906:S969" si="599">IF(T905=12,S905+1,S905)</f>
        <v>75</v>
      </c>
      <c r="T906" s="191">
        <f t="shared" ref="T906:T969" si="600">IF(T905=12,1,T905+1)</f>
        <v>10</v>
      </c>
      <c r="U906" s="191">
        <f ca="1">OP!$D$5+$S906-1</f>
        <v>107</v>
      </c>
      <c r="V906" s="191" t="str">
        <f t="shared" ref="V906:V969" si="601">IF($T906=12,$S906,"")</f>
        <v/>
      </c>
      <c r="W906" s="350">
        <f ca="1">IF(Q906&lt;&gt;1,0,VLOOKUP(OP!$C$55,PVFB,$S906+2,0))</f>
        <v>0</v>
      </c>
      <c r="X906" s="473">
        <f t="shared" ca="1" si="580"/>
        <v>0</v>
      </c>
      <c r="Y906" s="348">
        <f t="shared" ca="1" si="581"/>
        <v>0</v>
      </c>
      <c r="Z906" s="348">
        <f t="shared" ca="1" si="582"/>
        <v>8012</v>
      </c>
      <c r="AA906" s="348">
        <f ca="1">IF(Q906&lt;&gt;1,0,VLOOKUP(OP!$C$55,PVFB,$S906+2,0))</f>
        <v>0</v>
      </c>
      <c r="AB906" s="488" t="str">
        <f ca="1">IF(AND(S906&lt;OP!$C$24,$U906&lt;15),0,IF(AND($U906&lt;15,$T906=12),ROUND(VLOOKUP($S906,DOWN16,5,0),3),IF($T906=12,ROUND(($Z906/10000)*$AA906,3)+IF(AND($P$7="購買增額繳清保險",T906=12,U906=110),VLOOKUP(S906,$B$10:$H$121,7,0),0),"")))</f>
        <v/>
      </c>
      <c r="AC906" s="350" t="str">
        <f ca="1">IF(AND(S906&lt;OP!$C$24,$U906&lt;15),0,IF(AND($U906&lt;16,$T906=12),VLOOKUP($S906,DOWN16,4,0),IF($T906=12,ROUND(VLOOKUP(OP!$C$55,_DIE2,$S906+1,0)*(Z906/10000),0)+IF(AND($P$7="購買增額繳清保險",T906=12,U906=110),VLOOKUP(S906,$B$10:$H$121,7,0),0),"")))</f>
        <v/>
      </c>
      <c r="AD906" s="347"/>
      <c r="AE906" s="350" t="str">
        <f t="shared" ca="1" si="591"/>
        <v/>
      </c>
      <c r="AF906" s="351" t="str">
        <f t="shared" ca="1" si="592"/>
        <v/>
      </c>
      <c r="AG906" s="340"/>
      <c r="AH906" s="340"/>
      <c r="AI906" s="340"/>
      <c r="AJ906" s="340"/>
      <c r="AK906" s="340"/>
      <c r="AL906" s="340"/>
      <c r="AM906" s="340"/>
      <c r="AN906" s="340"/>
      <c r="AO906" s="340"/>
      <c r="AP906" s="340"/>
      <c r="AQ906" s="340"/>
      <c r="AR906" s="340"/>
      <c r="AS906" s="340"/>
      <c r="AT906" s="340"/>
      <c r="AU906" s="340"/>
      <c r="AV906" s="340"/>
      <c r="AY906" s="340"/>
      <c r="AZ906" s="465">
        <f t="shared" ref="AZ906:AZ969" ca="1" si="602">ROUND(($G$3*BF906/365),10)</f>
        <v>7.3698599999999999E-5</v>
      </c>
      <c r="BA906" s="464">
        <f t="shared" ref="BA906:BB969" ca="1" si="603">ROUND(($G$3*BG906/365),10)</f>
        <v>2.2109589000000002E-3</v>
      </c>
      <c r="BB906" s="465">
        <f t="shared" ca="1" si="603"/>
        <v>2.2846575E-3</v>
      </c>
      <c r="BC906" s="466">
        <f t="shared" ref="BC906:BC969" ca="1" si="604">DATE(YEAR(BD906),MONTH(BD906),1)</f>
        <v>70189</v>
      </c>
      <c r="BD906" s="467">
        <f t="shared" ca="1" si="583"/>
        <v>70190</v>
      </c>
      <c r="BE906" s="467">
        <f t="shared" ref="BE906:BE969" ca="1" si="605">DATE(YEAR(BD906),MONTH(BD906),DAY(DATE(YEAR(BD906),MONTH(BD906)+1,0)))</f>
        <v>70219</v>
      </c>
      <c r="BF906" s="468">
        <f ca="1">IF(計算!$BC906&lt;OP!$C$3,0,BD906-BC906)</f>
        <v>1</v>
      </c>
      <c r="BG906" s="468">
        <f ca="1">IF($BE906&gt;DATE(YEAR($BD$9)+OP!$C$57,MONTH($BD$9),DAY($BD$9)),0,$BE906-$BD906+1)</f>
        <v>30</v>
      </c>
      <c r="BH906" s="469">
        <f t="shared" ref="BH906:BH969" ca="1" si="606">BF906+BG906</f>
        <v>31</v>
      </c>
      <c r="BI906" t="str">
        <f t="shared" si="588"/>
        <v/>
      </c>
      <c r="BJ906">
        <v>9</v>
      </c>
      <c r="BN906" s="468">
        <f t="shared" si="584"/>
        <v>75</v>
      </c>
      <c r="BO906" s="468">
        <f t="shared" si="585"/>
        <v>9</v>
      </c>
      <c r="BP906" s="467">
        <f t="shared" ref="BP906:BP969" ca="1" si="607">BD906</f>
        <v>70190</v>
      </c>
      <c r="BQ906" s="475">
        <f t="shared" ca="1" si="587"/>
        <v>107</v>
      </c>
      <c r="BR906" s="475" t="str">
        <f t="shared" si="586"/>
        <v/>
      </c>
      <c r="BS906" s="471" t="str">
        <f t="shared" ref="BS906:BS969" si="608">IF(BW906&lt;&gt;"",ROUND(BU906,0)+ROUND(BV906,0),"")</f>
        <v/>
      </c>
      <c r="BT906" s="472" t="str">
        <f t="shared" si="589"/>
        <v/>
      </c>
      <c r="BU906" s="472">
        <f t="shared" ref="BU906:BV969" ca="1" si="609">ROUND(CA906,0)</f>
        <v>0</v>
      </c>
      <c r="BV906" s="472">
        <f t="shared" ca="1" si="609"/>
        <v>0</v>
      </c>
      <c r="BW906" s="472"/>
      <c r="BX906" s="473">
        <f t="shared" ref="BX906:BX969" ca="1" si="610">IF(BN906&lt;=$P$4,0,ROUNDDOWN(IF($Q905=1,CA906+CB906-CC906,0)+BX905+BY906+BZ905,VLOOKUP(LEN(ROUNDDOWN(IF($Q905=1,CA906+CB906-CC906,0)+BX905+BY906+BZ905,0)),$BK$9:$BL$24,2,0)))</f>
        <v>2425280.0731634898</v>
      </c>
      <c r="BY906" s="473">
        <f t="shared" ref="BY906:BY969" si="611">IF(BO906=12,ROUND((BX905+BZ905)*$AZ906,$CB$6),0)</f>
        <v>0</v>
      </c>
      <c r="BZ906" s="473">
        <f t="shared" ca="1" si="593"/>
        <v>5540.9343087540001</v>
      </c>
      <c r="CA906" s="476">
        <f t="shared" ref="CA906:CA969" ca="1" si="612">IF($Q905=1,ROUND(VLOOKUP($BN906,more1,3,0)*VLOOKUP($BN906,more1,5,0)/$R905,0),0)</f>
        <v>0</v>
      </c>
      <c r="CB906" s="494">
        <f ca="1">IF(OR($Q905&lt;&gt;1,OP!$D$5+$BN906-1&lt;16,$BN906-1&lt;1),0,ROUND(ROUND(ROUND(((VLOOKUP($BN906-1,MORE_PV,5,0)/10000)*VLOOKUP($BN906,MORE_PV,$CB$5,0)),3)*VLOOKUP($BN906,more1,5,0),0)/$R905,0))</f>
        <v>0</v>
      </c>
      <c r="CC906" s="473">
        <f t="shared" ref="CC906:CC969" ca="1" si="613">IF(AND($BN906=$P$4,$BO906=12),$CA906+$CB906,IF(AND($BN906&gt;$P$4,$Q905=1,$G$6="現金給付",$CA906+$CB906&gt;=$P$3),$CA906+$CB906,0))</f>
        <v>0</v>
      </c>
      <c r="CD906" s="477"/>
    </row>
    <row r="907" spans="2:82" ht="16.5" hidden="1">
      <c r="B907" s="80"/>
      <c r="C907" s="80"/>
      <c r="D907" s="80"/>
      <c r="E907" s="80"/>
      <c r="F907" s="80"/>
      <c r="G907" s="80"/>
      <c r="H907" s="80"/>
      <c r="I907" s="80"/>
      <c r="J907" s="192">
        <f t="shared" si="594"/>
        <v>75</v>
      </c>
      <c r="K907" s="192">
        <f t="shared" si="595"/>
        <v>11</v>
      </c>
      <c r="L907" s="192" t="str">
        <f t="shared" si="590"/>
        <v/>
      </c>
      <c r="M907" s="216">
        <f t="shared" ca="1" si="596"/>
        <v>0</v>
      </c>
      <c r="N907" s="216"/>
      <c r="O907" s="216"/>
      <c r="P907" s="216"/>
      <c r="Q907" s="456" t="str">
        <f t="shared" ca="1" si="597"/>
        <v/>
      </c>
      <c r="R907" s="450">
        <f t="shared" ca="1" si="598"/>
        <v>1</v>
      </c>
      <c r="S907" s="191">
        <f t="shared" si="599"/>
        <v>75</v>
      </c>
      <c r="T907" s="191">
        <f t="shared" si="600"/>
        <v>11</v>
      </c>
      <c r="U907" s="191">
        <f ca="1">OP!$D$5+$S907-1</f>
        <v>107</v>
      </c>
      <c r="V907" s="191" t="str">
        <f t="shared" si="601"/>
        <v/>
      </c>
      <c r="W907" s="350">
        <f ca="1">IF(Q907&lt;&gt;1,0,VLOOKUP(OP!$C$55,PVFB,$S907+2,0))</f>
        <v>0</v>
      </c>
      <c r="X907" s="473">
        <f t="shared" ref="X907:X970" ca="1" si="614">IF(AND($U907=15,$T907=12),$CO908,IF(AND($U907&gt;15,$S907&lt;=$P$4,$T907=12),($BS908)*$R907,IF($Q907=1,($BS908),0)))</f>
        <v>0</v>
      </c>
      <c r="Y907" s="348">
        <f t="shared" ref="Y907:Y970" ca="1" si="615">IF(AND($P$7="購買增額繳清保險",U907&gt;=110),0,IF(AND($U907=15,$W907&lt;&gt;0,$T907=12),ROUND(($X907)/($W907/10000),0),IF(AND($S907&lt;=$P$4,$W907&lt;&gt;0,$T907=12,$U907&gt;15),ROUND(($X907)/($W907/10000),0),0)))</f>
        <v>0</v>
      </c>
      <c r="Z907" s="348">
        <f t="shared" ref="Z907:Z970" ca="1" si="616">Z906+Y907</f>
        <v>8012</v>
      </c>
      <c r="AA907" s="348">
        <f ca="1">IF(Q907&lt;&gt;1,0,VLOOKUP(OP!$C$55,PVFB,$S907+2,0))</f>
        <v>0</v>
      </c>
      <c r="AB907" s="488" t="str">
        <f ca="1">IF(AND(S907&lt;OP!$C$24,$U907&lt;15),0,IF(AND($U907&lt;15,$T907=12),ROUND(VLOOKUP($S907,DOWN16,5,0),3),IF($T907=12,ROUND(($Z907/10000)*$AA907,3)+IF(AND($P$7="購買增額繳清保險",T907=12,U907=110),VLOOKUP(S907,$B$10:$H$121,7,0),0),"")))</f>
        <v/>
      </c>
      <c r="AC907" s="350" t="str">
        <f ca="1">IF(AND(S907&lt;OP!$C$24,$U907&lt;15),0,IF(AND($U907&lt;16,$T907=12),VLOOKUP($S907,DOWN16,4,0),IF($T907=12,ROUND(VLOOKUP(OP!$C$55,_DIE2,$S907+1,0)*(Z907/10000),0)+IF(AND($P$7="購買增額繳清保險",T907=12,U907=110),VLOOKUP(S907,$B$10:$H$121,7,0),0),"")))</f>
        <v/>
      </c>
      <c r="AD907" s="347"/>
      <c r="AE907" s="350" t="str">
        <f t="shared" ca="1" si="591"/>
        <v/>
      </c>
      <c r="AF907" s="351" t="str">
        <f t="shared" ca="1" si="592"/>
        <v/>
      </c>
      <c r="AG907" s="340"/>
      <c r="AH907" s="340"/>
      <c r="AI907" s="340"/>
      <c r="AJ907" s="340"/>
      <c r="AK907" s="340"/>
      <c r="AL907" s="340"/>
      <c r="AM907" s="340"/>
      <c r="AN907" s="340"/>
      <c r="AO907" s="340"/>
      <c r="AP907" s="340"/>
      <c r="AQ907" s="340"/>
      <c r="AR907" s="340"/>
      <c r="AS907" s="340"/>
      <c r="AT907" s="340"/>
      <c r="AU907" s="340"/>
      <c r="AV907" s="340"/>
      <c r="AY907" s="340"/>
      <c r="AZ907" s="465">
        <f t="shared" ca="1" si="602"/>
        <v>7.3698599999999999E-5</v>
      </c>
      <c r="BA907" s="464">
        <f t="shared" ca="1" si="603"/>
        <v>2.1372602999999999E-3</v>
      </c>
      <c r="BB907" s="465">
        <f t="shared" ca="1" si="603"/>
        <v>2.2109589000000002E-3</v>
      </c>
      <c r="BC907" s="466">
        <f t="shared" ca="1" si="604"/>
        <v>70220</v>
      </c>
      <c r="BD907" s="467">
        <f t="shared" ref="BD907:BD970" ca="1" si="617">DATE(YEAR(BD906),MONTH(BD906)+1,MIN(DAY($BD$9),DAY(DATE(YEAR(BD906),MONTH(BD906)+2,0))))</f>
        <v>70221</v>
      </c>
      <c r="BE907" s="467">
        <f t="shared" ca="1" si="605"/>
        <v>70249</v>
      </c>
      <c r="BF907" s="468">
        <f ca="1">IF(計算!$BC907&lt;OP!$C$3,0,BD907-BC907)</f>
        <v>1</v>
      </c>
      <c r="BG907" s="468">
        <f ca="1">IF($BE907&gt;DATE(YEAR($BD$9)+OP!$C$57,MONTH($BD$9),DAY($BD$9)),0,$BE907-$BD907+1)</f>
        <v>29</v>
      </c>
      <c r="BH907" s="469">
        <f t="shared" ca="1" si="606"/>
        <v>30</v>
      </c>
      <c r="BI907" t="str">
        <f t="shared" si="588"/>
        <v/>
      </c>
      <c r="BJ907">
        <v>10</v>
      </c>
      <c r="BN907" s="468">
        <f t="shared" ref="BN907:BN970" si="618">IF(BO906=12,BN906+1,BN906)</f>
        <v>75</v>
      </c>
      <c r="BO907" s="468">
        <f t="shared" ref="BO907:BO970" si="619">IF(BO906=12,1,BO906+1)</f>
        <v>10</v>
      </c>
      <c r="BP907" s="467">
        <f t="shared" ca="1" si="607"/>
        <v>70221</v>
      </c>
      <c r="BQ907" s="475">
        <f t="shared" ca="1" si="587"/>
        <v>107</v>
      </c>
      <c r="BR907" s="475" t="str">
        <f t="shared" ref="BR907:BR970" si="620">IF(BO907=12,BN907,"")</f>
        <v/>
      </c>
      <c r="BS907" s="471" t="str">
        <f t="shared" si="608"/>
        <v/>
      </c>
      <c r="BT907" s="472" t="str">
        <f t="shared" si="589"/>
        <v/>
      </c>
      <c r="BU907" s="472">
        <f t="shared" ca="1" si="609"/>
        <v>0</v>
      </c>
      <c r="BV907" s="472">
        <f t="shared" ca="1" si="609"/>
        <v>0</v>
      </c>
      <c r="BW907" s="472"/>
      <c r="BX907" s="473">
        <f t="shared" ca="1" si="610"/>
        <v>2430821.0074722399</v>
      </c>
      <c r="BY907" s="473">
        <f t="shared" si="611"/>
        <v>0</v>
      </c>
      <c r="BZ907" s="473">
        <f t="shared" ca="1" si="593"/>
        <v>5374.4453407780002</v>
      </c>
      <c r="CA907" s="476">
        <f t="shared" ca="1" si="612"/>
        <v>0</v>
      </c>
      <c r="CB907" s="494">
        <f ca="1">IF(OR($Q906&lt;&gt;1,OP!$D$5+$BN907-1&lt;16,$BN907-1&lt;1),0,ROUND(ROUND(ROUND(((VLOOKUP($BN907-1,MORE_PV,5,0)/10000)*VLOOKUP($BN907,MORE_PV,$CB$5,0)),3)*VLOOKUP($BN907,more1,5,0),0)/$R906,0))</f>
        <v>0</v>
      </c>
      <c r="CC907" s="473">
        <f t="shared" ca="1" si="613"/>
        <v>0</v>
      </c>
      <c r="CD907" s="477"/>
    </row>
    <row r="908" spans="2:82" ht="16.5" hidden="1">
      <c r="B908" s="80"/>
      <c r="C908" s="80"/>
      <c r="D908" s="80"/>
      <c r="E908" s="80"/>
      <c r="F908" s="80"/>
      <c r="G908" s="80"/>
      <c r="H908" s="80"/>
      <c r="I908" s="80"/>
      <c r="J908" s="192">
        <f t="shared" si="594"/>
        <v>75</v>
      </c>
      <c r="K908" s="192">
        <f t="shared" si="595"/>
        <v>12</v>
      </c>
      <c r="L908" s="192">
        <f t="shared" si="590"/>
        <v>75</v>
      </c>
      <c r="M908" s="216">
        <f t="shared" ca="1" si="596"/>
        <v>2467542</v>
      </c>
      <c r="N908" s="216"/>
      <c r="O908" s="216"/>
      <c r="P908" s="216"/>
      <c r="Q908" s="456">
        <f t="shared" ca="1" si="597"/>
        <v>1</v>
      </c>
      <c r="R908" s="450">
        <f t="shared" ca="1" si="598"/>
        <v>1</v>
      </c>
      <c r="S908" s="191">
        <f t="shared" si="599"/>
        <v>75</v>
      </c>
      <c r="T908" s="191">
        <f t="shared" si="600"/>
        <v>12</v>
      </c>
      <c r="U908" s="191">
        <f ca="1">OP!$D$5+$S908-1</f>
        <v>107</v>
      </c>
      <c r="V908" s="191">
        <f t="shared" si="601"/>
        <v>75</v>
      </c>
      <c r="W908" s="350">
        <f ca="1">IF(Q908&lt;&gt;1,0,VLOOKUP(OP!$C$55,PVFB,$S908+2,0))</f>
        <v>106619</v>
      </c>
      <c r="X908" s="473">
        <f t="shared" ca="1" si="614"/>
        <v>25602</v>
      </c>
      <c r="Y908" s="348">
        <f t="shared" ca="1" si="615"/>
        <v>0</v>
      </c>
      <c r="Z908" s="348">
        <f t="shared" ca="1" si="616"/>
        <v>8012</v>
      </c>
      <c r="AA908" s="348">
        <f ca="1">IF(Q908&lt;&gt;1,0,VLOOKUP(OP!$C$55,PVFB,$S908+2,0))</f>
        <v>106619</v>
      </c>
      <c r="AB908" s="488">
        <f ca="1">IF(AND(S908&lt;OP!$C$24,$U908&lt;15),0,IF(AND($U908&lt;15,$T908=12),ROUND(VLOOKUP($S908,DOWN16,5,0),3),IF($T908=12,ROUND(($Z908/10000)*$AA908,3)+IF(AND($P$7="購買增額繳清保險",T908=12,U908=110),VLOOKUP(S908,$B$10:$H$121,7,0),0),"")))</f>
        <v>85423.142999999996</v>
      </c>
      <c r="AC908" s="350">
        <f ca="1">IF(AND(S908&lt;OP!$C$24,$U908&lt;15),0,IF(AND($U908&lt;16,$T908=12),VLOOKUP($S908,DOWN16,4,0),IF($T908=12,ROUND(VLOOKUP(OP!$C$55,_DIE2,$S908+1,0)*(Z908/10000),0)+IF(AND($P$7="購買增額繳清保險",T908=12,U908=110),VLOOKUP(S908,$B$10:$H$121,7,0),0),"")))</f>
        <v>85423</v>
      </c>
      <c r="AD908" s="347"/>
      <c r="AE908" s="350" t="str">
        <f t="shared" ca="1" si="591"/>
        <v/>
      </c>
      <c r="AF908" s="351" t="str">
        <f t="shared" ca="1" si="592"/>
        <v/>
      </c>
      <c r="AG908" s="340"/>
      <c r="AH908" s="340"/>
      <c r="AI908" s="340"/>
      <c r="AJ908" s="340"/>
      <c r="AK908" s="340"/>
      <c r="AL908" s="340"/>
      <c r="AM908" s="340"/>
      <c r="AN908" s="340"/>
      <c r="AO908" s="340"/>
      <c r="AP908" s="340"/>
      <c r="AQ908" s="340"/>
      <c r="AR908" s="340"/>
      <c r="AS908" s="340"/>
      <c r="AT908" s="340"/>
      <c r="AU908" s="340"/>
      <c r="AV908" s="340"/>
      <c r="AY908" s="340"/>
      <c r="AZ908" s="465">
        <f t="shared" ca="1" si="602"/>
        <v>7.3698599999999999E-5</v>
      </c>
      <c r="BA908" s="464">
        <f t="shared" ca="1" si="603"/>
        <v>2.2109589000000002E-3</v>
      </c>
      <c r="BB908" s="465">
        <f t="shared" ca="1" si="603"/>
        <v>2.2846575E-3</v>
      </c>
      <c r="BC908" s="466">
        <f t="shared" ca="1" si="604"/>
        <v>70250</v>
      </c>
      <c r="BD908" s="467">
        <f t="shared" ca="1" si="617"/>
        <v>70251</v>
      </c>
      <c r="BE908" s="467">
        <f t="shared" ca="1" si="605"/>
        <v>70280</v>
      </c>
      <c r="BF908" s="468">
        <f ca="1">IF(計算!$BC908&lt;OP!$C$3,0,BD908-BC908)</f>
        <v>1</v>
      </c>
      <c r="BG908" s="468">
        <f ca="1">IF($BE908&gt;DATE(YEAR($BD$9)+OP!$C$57,MONTH($BD$9),DAY($BD$9)),0,$BE908-$BD908+1)</f>
        <v>30</v>
      </c>
      <c r="BH908" s="469">
        <f t="shared" ca="1" si="606"/>
        <v>31</v>
      </c>
      <c r="BI908" t="str">
        <f t="shared" si="588"/>
        <v/>
      </c>
      <c r="BJ908">
        <v>11</v>
      </c>
      <c r="BN908" s="468">
        <f t="shared" si="618"/>
        <v>75</v>
      </c>
      <c r="BO908" s="468">
        <f t="shared" si="619"/>
        <v>11</v>
      </c>
      <c r="BP908" s="467">
        <f t="shared" ca="1" si="607"/>
        <v>70251</v>
      </c>
      <c r="BQ908" s="475">
        <f t="shared" ref="BQ908:BQ971" ca="1" si="621">IF(BO907=12,BQ907+1,BQ907)</f>
        <v>107</v>
      </c>
      <c r="BR908" s="475" t="str">
        <f t="shared" si="620"/>
        <v/>
      </c>
      <c r="BS908" s="471" t="str">
        <f t="shared" si="608"/>
        <v/>
      </c>
      <c r="BT908" s="472" t="str">
        <f t="shared" si="589"/>
        <v/>
      </c>
      <c r="BU908" s="472">
        <f t="shared" ca="1" si="609"/>
        <v>0</v>
      </c>
      <c r="BV908" s="472">
        <f t="shared" ca="1" si="609"/>
        <v>0</v>
      </c>
      <c r="BW908" s="472"/>
      <c r="BX908" s="473">
        <f t="shared" ca="1" si="610"/>
        <v>2436195.45281302</v>
      </c>
      <c r="BY908" s="473">
        <f t="shared" si="611"/>
        <v>0</v>
      </c>
      <c r="BZ908" s="473">
        <f t="shared" ca="1" si="593"/>
        <v>5565.8722127350002</v>
      </c>
      <c r="CA908" s="476">
        <f t="shared" ca="1" si="612"/>
        <v>0</v>
      </c>
      <c r="CB908" s="494">
        <f ca="1">IF(OR($Q907&lt;&gt;1,OP!$D$5+$BN908-1&lt;16,$BN908-1&lt;1),0,ROUND(ROUND(ROUND(((VLOOKUP($BN908-1,MORE_PV,5,0)/10000)*VLOOKUP($BN908,MORE_PV,$CB$5,0)),3)*VLOOKUP($BN908,more1,5,0),0)/$R907,0))</f>
        <v>0</v>
      </c>
      <c r="CC908" s="473">
        <f t="shared" ca="1" si="613"/>
        <v>0</v>
      </c>
      <c r="CD908" s="477"/>
    </row>
    <row r="909" spans="2:82" ht="16.5" hidden="1">
      <c r="B909" s="80"/>
      <c r="C909" s="80"/>
      <c r="D909" s="80"/>
      <c r="E909" s="80"/>
      <c r="F909" s="80"/>
      <c r="G909" s="80"/>
      <c r="H909" s="80"/>
      <c r="I909" s="80"/>
      <c r="J909" s="192">
        <f t="shared" si="594"/>
        <v>76</v>
      </c>
      <c r="K909" s="192">
        <f t="shared" si="595"/>
        <v>1</v>
      </c>
      <c r="L909" s="192" t="str">
        <f t="shared" si="590"/>
        <v/>
      </c>
      <c r="M909" s="216">
        <f t="shared" ca="1" si="596"/>
        <v>0</v>
      </c>
      <c r="N909" s="216"/>
      <c r="O909" s="216"/>
      <c r="P909" s="216"/>
      <c r="Q909" s="456" t="str">
        <f t="shared" ca="1" si="597"/>
        <v/>
      </c>
      <c r="R909" s="450">
        <f t="shared" ca="1" si="598"/>
        <v>1</v>
      </c>
      <c r="S909" s="191">
        <f t="shared" si="599"/>
        <v>76</v>
      </c>
      <c r="T909" s="191">
        <f t="shared" si="600"/>
        <v>1</v>
      </c>
      <c r="U909" s="191">
        <f ca="1">OP!$D$5+$S909-1</f>
        <v>108</v>
      </c>
      <c r="V909" s="191" t="str">
        <f t="shared" si="601"/>
        <v/>
      </c>
      <c r="W909" s="350">
        <f ca="1">IF(Q909&lt;&gt;1,0,VLOOKUP(OP!$C$55,PVFB,$S909+2,0))</f>
        <v>0</v>
      </c>
      <c r="X909" s="473">
        <f t="shared" ca="1" si="614"/>
        <v>0</v>
      </c>
      <c r="Y909" s="348">
        <f t="shared" ca="1" si="615"/>
        <v>0</v>
      </c>
      <c r="Z909" s="348">
        <f t="shared" ca="1" si="616"/>
        <v>8012</v>
      </c>
      <c r="AA909" s="348">
        <f ca="1">IF(Q909&lt;&gt;1,0,VLOOKUP(OP!$C$55,PVFB,$S909+2,0))</f>
        <v>0</v>
      </c>
      <c r="AB909" s="488" t="str">
        <f ca="1">IF(AND(S909&lt;OP!$C$24,$U909&lt;15),0,IF(AND($U909&lt;15,$T909=12),ROUND(VLOOKUP($S909,DOWN16,5,0),3),IF($T909=12,ROUND(($Z909/10000)*$AA909,3)+IF(AND($P$7="購買增額繳清保險",T909=12,U909=110),VLOOKUP(S909,$B$10:$H$121,7,0),0),"")))</f>
        <v/>
      </c>
      <c r="AC909" s="350" t="str">
        <f ca="1">IF(AND(S909&lt;OP!$C$24,$U909&lt;15),0,IF(AND($U909&lt;16,$T909=12),VLOOKUP($S909,DOWN16,4,0),IF($T909=12,ROUND(VLOOKUP(OP!$C$55,_DIE2,$S909+1,0)*(Z909/10000),0)+IF(AND($P$7="購買增額繳清保險",T909=12,U909=110),VLOOKUP(S909,$B$10:$H$121,7,0),0),"")))</f>
        <v/>
      </c>
      <c r="AD909" s="347"/>
      <c r="AE909" s="350" t="str">
        <f t="shared" ca="1" si="591"/>
        <v/>
      </c>
      <c r="AF909" s="351" t="str">
        <f t="shared" ca="1" si="592"/>
        <v/>
      </c>
      <c r="AG909" s="340"/>
      <c r="AH909" s="340"/>
      <c r="AI909" s="340"/>
      <c r="AJ909" s="340"/>
      <c r="AK909" s="340"/>
      <c r="AL909" s="340"/>
      <c r="AM909" s="340"/>
      <c r="AN909" s="340"/>
      <c r="AO909" s="340"/>
      <c r="AP909" s="340"/>
      <c r="AQ909" s="340"/>
      <c r="AR909" s="340"/>
      <c r="AS909" s="340"/>
      <c r="AT909" s="340"/>
      <c r="AU909" s="340"/>
      <c r="AV909" s="340"/>
      <c r="AY909" s="340"/>
      <c r="AZ909" s="465">
        <f t="shared" ca="1" si="602"/>
        <v>7.3698599999999999E-5</v>
      </c>
      <c r="BA909" s="464">
        <f t="shared" ca="1" si="603"/>
        <v>2.1372602999999999E-3</v>
      </c>
      <c r="BB909" s="465">
        <f t="shared" ca="1" si="603"/>
        <v>2.2109589000000002E-3</v>
      </c>
      <c r="BC909" s="466">
        <f t="shared" ca="1" si="604"/>
        <v>70281</v>
      </c>
      <c r="BD909" s="467">
        <f t="shared" ca="1" si="617"/>
        <v>70282</v>
      </c>
      <c r="BE909" s="467">
        <f t="shared" ca="1" si="605"/>
        <v>70310</v>
      </c>
      <c r="BF909" s="468">
        <f ca="1">IF(計算!$BC909&lt;OP!$C$3,0,BD909-BC909)</f>
        <v>1</v>
      </c>
      <c r="BG909" s="468">
        <f ca="1">IF($BE909&gt;DATE(YEAR($BD$9)+OP!$C$57,MONTH($BD$9),DAY($BD$9)),0,$BE909-$BD909+1)</f>
        <v>29</v>
      </c>
      <c r="BH909" s="469">
        <f t="shared" ca="1" si="606"/>
        <v>30</v>
      </c>
      <c r="BI909">
        <f t="shared" ca="1" si="588"/>
        <v>366</v>
      </c>
      <c r="BJ909">
        <v>12</v>
      </c>
      <c r="BN909" s="468">
        <f t="shared" si="618"/>
        <v>75</v>
      </c>
      <c r="BO909" s="468">
        <f t="shared" si="619"/>
        <v>12</v>
      </c>
      <c r="BP909" s="467">
        <f t="shared" ca="1" si="607"/>
        <v>70282</v>
      </c>
      <c r="BQ909" s="475">
        <f t="shared" ca="1" si="621"/>
        <v>107</v>
      </c>
      <c r="BR909" s="475">
        <f t="shared" si="620"/>
        <v>75</v>
      </c>
      <c r="BS909" s="471">
        <f t="shared" ca="1" si="608"/>
        <v>25602</v>
      </c>
      <c r="BT909" s="472">
        <f t="shared" ca="1" si="589"/>
        <v>2467542</v>
      </c>
      <c r="BU909" s="472">
        <f t="shared" ca="1" si="609"/>
        <v>25013</v>
      </c>
      <c r="BV909" s="472">
        <f t="shared" ca="1" si="609"/>
        <v>589</v>
      </c>
      <c r="BW909" s="472">
        <f ca="1">ROUND(SUM(BY909,BZ897:BZ908),0)</f>
        <v>64916</v>
      </c>
      <c r="BX909" s="473">
        <f t="shared" ca="1" si="610"/>
        <v>2467543.2794169402</v>
      </c>
      <c r="BY909" s="473">
        <f t="shared" ca="1" si="611"/>
        <v>179.95439118900001</v>
      </c>
      <c r="BZ909" s="473">
        <f t="shared" ca="1" si="593"/>
        <v>5273.7822896300004</v>
      </c>
      <c r="CA909" s="476">
        <f t="shared" ca="1" si="612"/>
        <v>25013</v>
      </c>
      <c r="CB909" s="494">
        <f ca="1">IF(OR($Q908&lt;&gt;1,OP!$D$5+$BN909-1&lt;16,$BN909-1&lt;1),0,ROUND(ROUND(ROUND(((VLOOKUP($BN909-1,MORE_PV,5,0)/10000)*VLOOKUP($BN909,MORE_PV,$CB$5,0)),3)*VLOOKUP($BN909,more1,5,0),0)/$R908,0))</f>
        <v>589</v>
      </c>
      <c r="CC909" s="473">
        <f t="shared" ca="1" si="613"/>
        <v>0</v>
      </c>
      <c r="CD909" s="477"/>
    </row>
    <row r="910" spans="2:82" ht="16.5" hidden="1">
      <c r="B910" s="80"/>
      <c r="C910" s="80"/>
      <c r="D910" s="80"/>
      <c r="E910" s="80"/>
      <c r="F910" s="80"/>
      <c r="G910" s="80"/>
      <c r="H910" s="80"/>
      <c r="I910" s="80"/>
      <c r="J910" s="192">
        <f t="shared" si="594"/>
        <v>76</v>
      </c>
      <c r="K910" s="192">
        <f t="shared" si="595"/>
        <v>2</v>
      </c>
      <c r="L910" s="192" t="str">
        <f t="shared" si="590"/>
        <v/>
      </c>
      <c r="M910" s="216">
        <f t="shared" ca="1" si="596"/>
        <v>0</v>
      </c>
      <c r="N910" s="216"/>
      <c r="O910" s="216"/>
      <c r="P910" s="216"/>
      <c r="Q910" s="456" t="str">
        <f t="shared" ca="1" si="597"/>
        <v/>
      </c>
      <c r="R910" s="450">
        <f t="shared" ca="1" si="598"/>
        <v>1</v>
      </c>
      <c r="S910" s="191">
        <f t="shared" si="599"/>
        <v>76</v>
      </c>
      <c r="T910" s="191">
        <f t="shared" si="600"/>
        <v>2</v>
      </c>
      <c r="U910" s="191">
        <f ca="1">OP!$D$5+$S910-1</f>
        <v>108</v>
      </c>
      <c r="V910" s="191" t="str">
        <f t="shared" si="601"/>
        <v/>
      </c>
      <c r="W910" s="350">
        <f ca="1">IF(Q910&lt;&gt;1,0,VLOOKUP(OP!$C$55,PVFB,$S910+2,0))</f>
        <v>0</v>
      </c>
      <c r="X910" s="473">
        <f t="shared" ca="1" si="614"/>
        <v>0</v>
      </c>
      <c r="Y910" s="348">
        <f t="shared" ca="1" si="615"/>
        <v>0</v>
      </c>
      <c r="Z910" s="348">
        <f t="shared" ca="1" si="616"/>
        <v>8012</v>
      </c>
      <c r="AA910" s="348">
        <f ca="1">IF(Q910&lt;&gt;1,0,VLOOKUP(OP!$C$55,PVFB,$S910+2,0))</f>
        <v>0</v>
      </c>
      <c r="AB910" s="488" t="str">
        <f ca="1">IF(AND(S910&lt;OP!$C$24,$U910&lt;15),0,IF(AND($U910&lt;15,$T910=12),ROUND(VLOOKUP($S910,DOWN16,5,0),3),IF($T910=12,ROUND(($Z910/10000)*$AA910,3)+IF(AND($P$7="購買增額繳清保險",T910=12,U910=110),VLOOKUP(S910,$B$10:$H$121,7,0),0),"")))</f>
        <v/>
      </c>
      <c r="AC910" s="350" t="str">
        <f ca="1">IF(AND(S910&lt;OP!$C$24,$U910&lt;15),0,IF(AND($U910&lt;16,$T910=12),VLOOKUP($S910,DOWN16,4,0),IF($T910=12,ROUND(VLOOKUP(OP!$C$55,_DIE2,$S910+1,0)*(Z910/10000),0)+IF(AND($P$7="購買增額繳清保險",T910=12,U910=110),VLOOKUP(S910,$B$10:$H$121,7,0),0),"")))</f>
        <v/>
      </c>
      <c r="AD910" s="347"/>
      <c r="AE910" s="350" t="str">
        <f t="shared" ca="1" si="591"/>
        <v/>
      </c>
      <c r="AF910" s="351" t="str">
        <f t="shared" ca="1" si="592"/>
        <v/>
      </c>
      <c r="AG910" s="340"/>
      <c r="AH910" s="340"/>
      <c r="AI910" s="340"/>
      <c r="AJ910" s="340"/>
      <c r="AK910" s="340"/>
      <c r="AL910" s="340"/>
      <c r="AM910" s="340"/>
      <c r="AN910" s="340"/>
      <c r="AO910" s="340"/>
      <c r="AP910" s="340"/>
      <c r="AQ910" s="340"/>
      <c r="AR910" s="340"/>
      <c r="AS910" s="340"/>
      <c r="AT910" s="340"/>
      <c r="AU910" s="340"/>
      <c r="AV910" s="340"/>
      <c r="AY910" s="340"/>
      <c r="AZ910" s="465">
        <f t="shared" ca="1" si="602"/>
        <v>7.3698599999999999E-5</v>
      </c>
      <c r="BA910" s="464">
        <f t="shared" ca="1" si="603"/>
        <v>2.2109589000000002E-3</v>
      </c>
      <c r="BB910" s="465">
        <f t="shared" ca="1" si="603"/>
        <v>2.2846575E-3</v>
      </c>
      <c r="BC910" s="466">
        <f t="shared" ca="1" si="604"/>
        <v>70311</v>
      </c>
      <c r="BD910" s="467">
        <f t="shared" ca="1" si="617"/>
        <v>70312</v>
      </c>
      <c r="BE910" s="467">
        <f t="shared" ca="1" si="605"/>
        <v>70341</v>
      </c>
      <c r="BF910" s="468">
        <f ca="1">IF(計算!$BC910&lt;OP!$C$3,0,BD910-BC910)</f>
        <v>1</v>
      </c>
      <c r="BG910" s="468">
        <f ca="1">IF($BE910&gt;DATE(YEAR($BD$9)+OP!$C$57,MONTH($BD$9),DAY($BD$9)),0,$BE910-$BD910+1)</f>
        <v>30</v>
      </c>
      <c r="BH910" s="469">
        <f t="shared" ca="1" si="606"/>
        <v>31</v>
      </c>
      <c r="BI910" t="str">
        <f t="shared" si="588"/>
        <v/>
      </c>
      <c r="BJ910">
        <v>1</v>
      </c>
      <c r="BN910" s="468">
        <f t="shared" si="618"/>
        <v>76</v>
      </c>
      <c r="BO910" s="468">
        <f t="shared" si="619"/>
        <v>1</v>
      </c>
      <c r="BP910" s="467">
        <f t="shared" ca="1" si="607"/>
        <v>70312</v>
      </c>
      <c r="BQ910" s="475">
        <f t="shared" ca="1" si="621"/>
        <v>108</v>
      </c>
      <c r="BR910" s="475" t="str">
        <f t="shared" si="620"/>
        <v/>
      </c>
      <c r="BS910" s="471" t="str">
        <f t="shared" si="608"/>
        <v/>
      </c>
      <c r="BT910" s="472" t="str">
        <f t="shared" si="589"/>
        <v/>
      </c>
      <c r="BU910" s="472">
        <f t="shared" ca="1" si="609"/>
        <v>0</v>
      </c>
      <c r="BV910" s="472">
        <f t="shared" ca="1" si="609"/>
        <v>0</v>
      </c>
      <c r="BW910" s="472"/>
      <c r="BX910" s="473">
        <f t="shared" ca="1" si="610"/>
        <v>2472817.06170657</v>
      </c>
      <c r="BY910" s="473">
        <f t="shared" si="611"/>
        <v>0</v>
      </c>
      <c r="BZ910" s="473">
        <f t="shared" ca="1" si="593"/>
        <v>5649.5400461560002</v>
      </c>
      <c r="CA910" s="476">
        <f t="shared" ca="1" si="612"/>
        <v>0</v>
      </c>
      <c r="CB910" s="494">
        <f ca="1">IF(OR($Q909&lt;&gt;1,OP!$D$5+$BN910-1&lt;16,$BN910-1&lt;1),0,ROUND(ROUND(ROUND(((VLOOKUP($BN910-1,MORE_PV,5,0)/10000)*VLOOKUP($BN910,MORE_PV,$CB$5,0)),3)*VLOOKUP($BN910,more1,5,0),0)/$R909,0))</f>
        <v>0</v>
      </c>
      <c r="CC910" s="473">
        <f t="shared" ca="1" si="613"/>
        <v>0</v>
      </c>
      <c r="CD910" s="477"/>
    </row>
    <row r="911" spans="2:82" ht="16.5" hidden="1">
      <c r="B911" s="80"/>
      <c r="C911" s="80"/>
      <c r="D911" s="80"/>
      <c r="E911" s="80"/>
      <c r="F911" s="80"/>
      <c r="G911" s="80"/>
      <c r="H911" s="80"/>
      <c r="I911" s="80"/>
      <c r="J911" s="192">
        <f t="shared" si="594"/>
        <v>76</v>
      </c>
      <c r="K911" s="192">
        <f t="shared" si="595"/>
        <v>3</v>
      </c>
      <c r="L911" s="192" t="str">
        <f t="shared" si="590"/>
        <v/>
      </c>
      <c r="M911" s="216">
        <f t="shared" ca="1" si="596"/>
        <v>0</v>
      </c>
      <c r="N911" s="216"/>
      <c r="O911" s="216"/>
      <c r="P911" s="216"/>
      <c r="Q911" s="456" t="str">
        <f t="shared" ca="1" si="597"/>
        <v/>
      </c>
      <c r="R911" s="450">
        <f t="shared" ca="1" si="598"/>
        <v>1</v>
      </c>
      <c r="S911" s="191">
        <f t="shared" si="599"/>
        <v>76</v>
      </c>
      <c r="T911" s="191">
        <f t="shared" si="600"/>
        <v>3</v>
      </c>
      <c r="U911" s="191">
        <f ca="1">OP!$D$5+$S911-1</f>
        <v>108</v>
      </c>
      <c r="V911" s="191" t="str">
        <f t="shared" si="601"/>
        <v/>
      </c>
      <c r="W911" s="350">
        <f ca="1">IF(Q911&lt;&gt;1,0,VLOOKUP(OP!$C$55,PVFB,$S911+2,0))</f>
        <v>0</v>
      </c>
      <c r="X911" s="473">
        <f t="shared" ca="1" si="614"/>
        <v>0</v>
      </c>
      <c r="Y911" s="348">
        <f t="shared" ca="1" si="615"/>
        <v>0</v>
      </c>
      <c r="Z911" s="348">
        <f t="shared" ca="1" si="616"/>
        <v>8012</v>
      </c>
      <c r="AA911" s="348">
        <f ca="1">IF(Q911&lt;&gt;1,0,VLOOKUP(OP!$C$55,PVFB,$S911+2,0))</f>
        <v>0</v>
      </c>
      <c r="AB911" s="488" t="str">
        <f ca="1">IF(AND(S911&lt;OP!$C$24,$U911&lt;15),0,IF(AND($U911&lt;15,$T911=12),ROUND(VLOOKUP($S911,DOWN16,5,0),3),IF($T911=12,ROUND(($Z911/10000)*$AA911,3)+IF(AND($P$7="購買增額繳清保險",T911=12,U911=110),VLOOKUP(S911,$B$10:$H$121,7,0),0),"")))</f>
        <v/>
      </c>
      <c r="AC911" s="350" t="str">
        <f ca="1">IF(AND(S911&lt;OP!$C$24,$U911&lt;15),0,IF(AND($U911&lt;16,$T911=12),VLOOKUP($S911,DOWN16,4,0),IF($T911=12,ROUND(VLOOKUP(OP!$C$55,_DIE2,$S911+1,0)*(Z911/10000),0)+IF(AND($P$7="購買增額繳清保險",T911=12,U911=110),VLOOKUP(S911,$B$10:$H$121,7,0),0),"")))</f>
        <v/>
      </c>
      <c r="AD911" s="347"/>
      <c r="AE911" s="350" t="str">
        <f t="shared" ca="1" si="591"/>
        <v/>
      </c>
      <c r="AF911" s="351" t="str">
        <f t="shared" ca="1" si="592"/>
        <v/>
      </c>
      <c r="AG911" s="340"/>
      <c r="AH911" s="340"/>
      <c r="AI911" s="340"/>
      <c r="AJ911" s="340"/>
      <c r="AK911" s="340"/>
      <c r="AL911" s="340"/>
      <c r="AM911" s="340"/>
      <c r="AN911" s="340"/>
      <c r="AO911" s="340"/>
      <c r="AP911" s="340"/>
      <c r="AQ911" s="340"/>
      <c r="AR911" s="340"/>
      <c r="AS911" s="340"/>
      <c r="AT911" s="340"/>
      <c r="AU911" s="340"/>
      <c r="AV911" s="340"/>
      <c r="AY911" s="340"/>
      <c r="AZ911" s="465">
        <f t="shared" ca="1" si="602"/>
        <v>7.3698599999999999E-5</v>
      </c>
      <c r="BA911" s="464">
        <f t="shared" ca="1" si="603"/>
        <v>2.2109589000000002E-3</v>
      </c>
      <c r="BB911" s="465">
        <f t="shared" ca="1" si="603"/>
        <v>2.2846575E-3</v>
      </c>
      <c r="BC911" s="466">
        <f t="shared" ca="1" si="604"/>
        <v>70342</v>
      </c>
      <c r="BD911" s="467">
        <f t="shared" ca="1" si="617"/>
        <v>70343</v>
      </c>
      <c r="BE911" s="467">
        <f t="shared" ca="1" si="605"/>
        <v>70372</v>
      </c>
      <c r="BF911" s="468">
        <f ca="1">IF(計算!$BC911&lt;OP!$C$3,0,BD911-BC911)</f>
        <v>1</v>
      </c>
      <c r="BG911" s="468">
        <f ca="1">IF($BE911&gt;DATE(YEAR($BD$9)+OP!$C$57,MONTH($BD$9),DAY($BD$9)),0,$BE911-$BD911+1)</f>
        <v>30</v>
      </c>
      <c r="BH911" s="469">
        <f t="shared" ca="1" si="606"/>
        <v>31</v>
      </c>
      <c r="BI911" t="str">
        <f t="shared" si="588"/>
        <v/>
      </c>
      <c r="BJ911">
        <v>2</v>
      </c>
      <c r="BN911" s="468">
        <f t="shared" si="618"/>
        <v>76</v>
      </c>
      <c r="BO911" s="468">
        <f t="shared" si="619"/>
        <v>2</v>
      </c>
      <c r="BP911" s="467">
        <f t="shared" ca="1" si="607"/>
        <v>70343</v>
      </c>
      <c r="BQ911" s="475">
        <f t="shared" ca="1" si="621"/>
        <v>108</v>
      </c>
      <c r="BR911" s="475" t="str">
        <f t="shared" si="620"/>
        <v/>
      </c>
      <c r="BS911" s="471" t="str">
        <f t="shared" si="608"/>
        <v/>
      </c>
      <c r="BT911" s="472" t="str">
        <f t="shared" si="589"/>
        <v/>
      </c>
      <c r="BU911" s="472">
        <f t="shared" ca="1" si="609"/>
        <v>0</v>
      </c>
      <c r="BV911" s="472">
        <f t="shared" ca="1" si="609"/>
        <v>0</v>
      </c>
      <c r="BW911" s="472"/>
      <c r="BX911" s="473">
        <f t="shared" ca="1" si="610"/>
        <v>2478466.6017527301</v>
      </c>
      <c r="BY911" s="473">
        <f t="shared" si="611"/>
        <v>0</v>
      </c>
      <c r="BZ911" s="473">
        <f t="shared" ca="1" si="593"/>
        <v>5662.4473101940002</v>
      </c>
      <c r="CA911" s="476">
        <f t="shared" ca="1" si="612"/>
        <v>0</v>
      </c>
      <c r="CB911" s="494">
        <f ca="1">IF(OR($Q910&lt;&gt;1,OP!$D$5+$BN911-1&lt;16,$BN911-1&lt;1),0,ROUND(ROUND(ROUND(((VLOOKUP($BN911-1,MORE_PV,5,0)/10000)*VLOOKUP($BN911,MORE_PV,$CB$5,0)),3)*VLOOKUP($BN911,more1,5,0),0)/$R910,0))</f>
        <v>0</v>
      </c>
      <c r="CC911" s="473">
        <f t="shared" ca="1" si="613"/>
        <v>0</v>
      </c>
      <c r="CD911" s="477"/>
    </row>
    <row r="912" spans="2:82" ht="16.5" hidden="1">
      <c r="B912" s="80"/>
      <c r="C912" s="80"/>
      <c r="D912" s="80"/>
      <c r="E912" s="80"/>
      <c r="F912" s="80"/>
      <c r="G912" s="80"/>
      <c r="H912" s="80"/>
      <c r="I912" s="80"/>
      <c r="J912" s="192">
        <f t="shared" si="594"/>
        <v>76</v>
      </c>
      <c r="K912" s="192">
        <f t="shared" si="595"/>
        <v>4</v>
      </c>
      <c r="L912" s="192" t="str">
        <f t="shared" si="590"/>
        <v/>
      </c>
      <c r="M912" s="216">
        <f t="shared" ca="1" si="596"/>
        <v>0</v>
      </c>
      <c r="N912" s="216"/>
      <c r="O912" s="216"/>
      <c r="P912" s="216"/>
      <c r="Q912" s="456" t="str">
        <f t="shared" ca="1" si="597"/>
        <v/>
      </c>
      <c r="R912" s="450">
        <f t="shared" ca="1" si="598"/>
        <v>1</v>
      </c>
      <c r="S912" s="191">
        <f t="shared" si="599"/>
        <v>76</v>
      </c>
      <c r="T912" s="191">
        <f t="shared" si="600"/>
        <v>4</v>
      </c>
      <c r="U912" s="191">
        <f ca="1">OP!$D$5+$S912-1</f>
        <v>108</v>
      </c>
      <c r="V912" s="191" t="str">
        <f t="shared" si="601"/>
        <v/>
      </c>
      <c r="W912" s="350">
        <f ca="1">IF(Q912&lt;&gt;1,0,VLOOKUP(OP!$C$55,PVFB,$S912+2,0))</f>
        <v>0</v>
      </c>
      <c r="X912" s="473">
        <f t="shared" ca="1" si="614"/>
        <v>0</v>
      </c>
      <c r="Y912" s="348">
        <f t="shared" ca="1" si="615"/>
        <v>0</v>
      </c>
      <c r="Z912" s="348">
        <f t="shared" ca="1" si="616"/>
        <v>8012</v>
      </c>
      <c r="AA912" s="348">
        <f ca="1">IF(Q912&lt;&gt;1,0,VLOOKUP(OP!$C$55,PVFB,$S912+2,0))</f>
        <v>0</v>
      </c>
      <c r="AB912" s="488" t="str">
        <f ca="1">IF(AND(S912&lt;OP!$C$24,$U912&lt;15),0,IF(AND($U912&lt;15,$T912=12),ROUND(VLOOKUP($S912,DOWN16,5,0),3),IF($T912=12,ROUND(($Z912/10000)*$AA912,3)+IF(AND($P$7="購買增額繳清保險",T912=12,U912=110),VLOOKUP(S912,$B$10:$H$121,7,0),0),"")))</f>
        <v/>
      </c>
      <c r="AC912" s="350" t="str">
        <f ca="1">IF(AND(S912&lt;OP!$C$24,$U912&lt;15),0,IF(AND($U912&lt;16,$T912=12),VLOOKUP($S912,DOWN16,4,0),IF($T912=12,ROUND(VLOOKUP(OP!$C$55,_DIE2,$S912+1,0)*(Z912/10000),0)+IF(AND($P$7="購買增額繳清保險",T912=12,U912=110),VLOOKUP(S912,$B$10:$H$121,7,0),0),"")))</f>
        <v/>
      </c>
      <c r="AD912" s="347"/>
      <c r="AE912" s="350" t="str">
        <f t="shared" ca="1" si="591"/>
        <v/>
      </c>
      <c r="AF912" s="351" t="str">
        <f t="shared" ca="1" si="592"/>
        <v/>
      </c>
      <c r="AG912" s="340"/>
      <c r="AH912" s="340"/>
      <c r="AI912" s="340"/>
      <c r="AJ912" s="340"/>
      <c r="AK912" s="340"/>
      <c r="AL912" s="340"/>
      <c r="AM912" s="340"/>
      <c r="AN912" s="340"/>
      <c r="AO912" s="340"/>
      <c r="AP912" s="340"/>
      <c r="AQ912" s="340"/>
      <c r="AR912" s="340"/>
      <c r="AS912" s="340"/>
      <c r="AT912" s="340"/>
      <c r="AU912" s="340"/>
      <c r="AV912" s="340"/>
      <c r="AY912" s="340"/>
      <c r="AZ912" s="465">
        <f t="shared" ca="1" si="602"/>
        <v>7.3698599999999999E-5</v>
      </c>
      <c r="BA912" s="464">
        <f t="shared" ca="1" si="603"/>
        <v>2.1372602999999999E-3</v>
      </c>
      <c r="BB912" s="465">
        <f t="shared" ca="1" si="603"/>
        <v>2.2109589000000002E-3</v>
      </c>
      <c r="BC912" s="466">
        <f t="shared" ca="1" si="604"/>
        <v>70373</v>
      </c>
      <c r="BD912" s="467">
        <f t="shared" ca="1" si="617"/>
        <v>70374</v>
      </c>
      <c r="BE912" s="467">
        <f t="shared" ca="1" si="605"/>
        <v>70402</v>
      </c>
      <c r="BF912" s="468">
        <f ca="1">IF(計算!$BC912&lt;OP!$C$3,0,BD912-BC912)</f>
        <v>1</v>
      </c>
      <c r="BG912" s="468">
        <f ca="1">IF($BE912&gt;DATE(YEAR($BD$9)+OP!$C$57,MONTH($BD$9),DAY($BD$9)),0,$BE912-$BD912+1)</f>
        <v>29</v>
      </c>
      <c r="BH912" s="469">
        <f t="shared" ca="1" si="606"/>
        <v>30</v>
      </c>
      <c r="BI912" t="str">
        <f t="shared" si="588"/>
        <v/>
      </c>
      <c r="BJ912">
        <v>3</v>
      </c>
      <c r="BN912" s="468">
        <f t="shared" si="618"/>
        <v>76</v>
      </c>
      <c r="BO912" s="468">
        <f t="shared" si="619"/>
        <v>3</v>
      </c>
      <c r="BP912" s="467">
        <f t="shared" ca="1" si="607"/>
        <v>70374</v>
      </c>
      <c r="BQ912" s="475">
        <f t="shared" ca="1" si="621"/>
        <v>108</v>
      </c>
      <c r="BR912" s="475" t="str">
        <f t="shared" si="620"/>
        <v/>
      </c>
      <c r="BS912" s="471" t="str">
        <f t="shared" si="608"/>
        <v/>
      </c>
      <c r="BT912" s="472" t="str">
        <f t="shared" si="589"/>
        <v/>
      </c>
      <c r="BU912" s="472">
        <f t="shared" ca="1" si="609"/>
        <v>0</v>
      </c>
      <c r="BV912" s="472">
        <f t="shared" ca="1" si="609"/>
        <v>0</v>
      </c>
      <c r="BW912" s="472"/>
      <c r="BX912" s="473">
        <f t="shared" ca="1" si="610"/>
        <v>2484129.0490629198</v>
      </c>
      <c r="BY912" s="473">
        <f t="shared" si="611"/>
        <v>0</v>
      </c>
      <c r="BZ912" s="473">
        <f t="shared" ca="1" si="593"/>
        <v>5492.307229774</v>
      </c>
      <c r="CA912" s="476">
        <f t="shared" ca="1" si="612"/>
        <v>0</v>
      </c>
      <c r="CB912" s="494">
        <f ca="1">IF(OR($Q911&lt;&gt;1,OP!$D$5+$BN912-1&lt;16,$BN912-1&lt;1),0,ROUND(ROUND(ROUND(((VLOOKUP($BN912-1,MORE_PV,5,0)/10000)*VLOOKUP($BN912,MORE_PV,$CB$5,0)),3)*VLOOKUP($BN912,more1,5,0),0)/$R911,0))</f>
        <v>0</v>
      </c>
      <c r="CC912" s="473">
        <f t="shared" ca="1" si="613"/>
        <v>0</v>
      </c>
      <c r="CD912" s="477"/>
    </row>
    <row r="913" spans="2:82" ht="16.5" hidden="1">
      <c r="B913" s="80"/>
      <c r="C913" s="80"/>
      <c r="D913" s="80"/>
      <c r="E913" s="80"/>
      <c r="F913" s="80"/>
      <c r="G913" s="80"/>
      <c r="H913" s="80"/>
      <c r="I913" s="80"/>
      <c r="J913" s="192">
        <f t="shared" si="594"/>
        <v>76</v>
      </c>
      <c r="K913" s="192">
        <f t="shared" si="595"/>
        <v>5</v>
      </c>
      <c r="L913" s="192" t="str">
        <f t="shared" si="590"/>
        <v/>
      </c>
      <c r="M913" s="216">
        <f t="shared" ca="1" si="596"/>
        <v>0</v>
      </c>
      <c r="N913" s="216"/>
      <c r="O913" s="216"/>
      <c r="P913" s="216"/>
      <c r="Q913" s="456" t="str">
        <f t="shared" ca="1" si="597"/>
        <v/>
      </c>
      <c r="R913" s="450">
        <f t="shared" ca="1" si="598"/>
        <v>1</v>
      </c>
      <c r="S913" s="191">
        <f t="shared" si="599"/>
        <v>76</v>
      </c>
      <c r="T913" s="191">
        <f t="shared" si="600"/>
        <v>5</v>
      </c>
      <c r="U913" s="191">
        <f ca="1">OP!$D$5+$S913-1</f>
        <v>108</v>
      </c>
      <c r="V913" s="191" t="str">
        <f t="shared" si="601"/>
        <v/>
      </c>
      <c r="W913" s="350">
        <f ca="1">IF(Q913&lt;&gt;1,0,VLOOKUP(OP!$C$55,PVFB,$S913+2,0))</f>
        <v>0</v>
      </c>
      <c r="X913" s="473">
        <f t="shared" ca="1" si="614"/>
        <v>0</v>
      </c>
      <c r="Y913" s="348">
        <f t="shared" ca="1" si="615"/>
        <v>0</v>
      </c>
      <c r="Z913" s="348">
        <f t="shared" ca="1" si="616"/>
        <v>8012</v>
      </c>
      <c r="AA913" s="348">
        <f ca="1">IF(Q913&lt;&gt;1,0,VLOOKUP(OP!$C$55,PVFB,$S913+2,0))</f>
        <v>0</v>
      </c>
      <c r="AB913" s="488" t="str">
        <f ca="1">IF(AND(S913&lt;OP!$C$24,$U913&lt;15),0,IF(AND($U913&lt;15,$T913=12),ROUND(VLOOKUP($S913,DOWN16,5,0),3),IF($T913=12,ROUND(($Z913/10000)*$AA913,3)+IF(AND($P$7="購買增額繳清保險",T913=12,U913=110),VLOOKUP(S913,$B$10:$H$121,7,0),0),"")))</f>
        <v/>
      </c>
      <c r="AC913" s="350" t="str">
        <f ca="1">IF(AND(S913&lt;OP!$C$24,$U913&lt;15),0,IF(AND($U913&lt;16,$T913=12),VLOOKUP($S913,DOWN16,4,0),IF($T913=12,ROUND(VLOOKUP(OP!$C$55,_DIE2,$S913+1,0)*(Z913/10000),0)+IF(AND($P$7="購買增額繳清保險",T913=12,U913=110),VLOOKUP(S913,$B$10:$H$121,7,0),0),"")))</f>
        <v/>
      </c>
      <c r="AD913" s="347"/>
      <c r="AE913" s="350" t="str">
        <f t="shared" ca="1" si="591"/>
        <v/>
      </c>
      <c r="AF913" s="351" t="str">
        <f t="shared" ca="1" si="592"/>
        <v/>
      </c>
      <c r="AG913" s="340"/>
      <c r="AH913" s="340"/>
      <c r="AI913" s="340"/>
      <c r="AJ913" s="340"/>
      <c r="AK913" s="340"/>
      <c r="AL913" s="340"/>
      <c r="AM913" s="340"/>
      <c r="AN913" s="340"/>
      <c r="AO913" s="340"/>
      <c r="AP913" s="340"/>
      <c r="AQ913" s="340"/>
      <c r="AR913" s="340"/>
      <c r="AS913" s="340"/>
      <c r="AT913" s="340"/>
      <c r="AU913" s="340"/>
      <c r="AV913" s="340"/>
      <c r="AY913" s="340"/>
      <c r="AZ913" s="465">
        <f t="shared" ca="1" si="602"/>
        <v>7.3698599999999999E-5</v>
      </c>
      <c r="BA913" s="464">
        <f t="shared" ca="1" si="603"/>
        <v>2.2109589000000002E-3</v>
      </c>
      <c r="BB913" s="465">
        <f t="shared" ca="1" si="603"/>
        <v>2.2846575E-3</v>
      </c>
      <c r="BC913" s="466">
        <f t="shared" ca="1" si="604"/>
        <v>70403</v>
      </c>
      <c r="BD913" s="467">
        <f t="shared" ca="1" si="617"/>
        <v>70404</v>
      </c>
      <c r="BE913" s="467">
        <f t="shared" ca="1" si="605"/>
        <v>70433</v>
      </c>
      <c r="BF913" s="468">
        <f ca="1">IF(計算!$BC913&lt;OP!$C$3,0,BD913-BC913)</f>
        <v>1</v>
      </c>
      <c r="BG913" s="468">
        <f ca="1">IF($BE913&gt;DATE(YEAR($BD$9)+OP!$C$57,MONTH($BD$9),DAY($BD$9)),0,$BE913-$BD913+1)</f>
        <v>30</v>
      </c>
      <c r="BH913" s="469">
        <f t="shared" ca="1" si="606"/>
        <v>31</v>
      </c>
      <c r="BI913" t="str">
        <f t="shared" si="588"/>
        <v/>
      </c>
      <c r="BJ913">
        <v>4</v>
      </c>
      <c r="BN913" s="468">
        <f t="shared" si="618"/>
        <v>76</v>
      </c>
      <c r="BO913" s="468">
        <f t="shared" si="619"/>
        <v>4</v>
      </c>
      <c r="BP913" s="467">
        <f t="shared" ca="1" si="607"/>
        <v>70404</v>
      </c>
      <c r="BQ913" s="475">
        <f t="shared" ca="1" si="621"/>
        <v>108</v>
      </c>
      <c r="BR913" s="475" t="str">
        <f t="shared" si="620"/>
        <v/>
      </c>
      <c r="BS913" s="471" t="str">
        <f t="shared" si="608"/>
        <v/>
      </c>
      <c r="BT913" s="472" t="str">
        <f t="shared" si="589"/>
        <v/>
      </c>
      <c r="BU913" s="472">
        <f t="shared" ca="1" si="609"/>
        <v>0</v>
      </c>
      <c r="BV913" s="472">
        <f t="shared" ca="1" si="609"/>
        <v>0</v>
      </c>
      <c r="BW913" s="472"/>
      <c r="BX913" s="473">
        <f t="shared" ca="1" si="610"/>
        <v>2489621.3562926902</v>
      </c>
      <c r="BY913" s="473">
        <f t="shared" si="611"/>
        <v>0</v>
      </c>
      <c r="BZ913" s="473">
        <f t="shared" ca="1" si="593"/>
        <v>5687.9321038139997</v>
      </c>
      <c r="CA913" s="476">
        <f t="shared" ca="1" si="612"/>
        <v>0</v>
      </c>
      <c r="CB913" s="494">
        <f ca="1">IF(OR($Q912&lt;&gt;1,OP!$D$5+$BN913-1&lt;16,$BN913-1&lt;1),0,ROUND(ROUND(ROUND(((VLOOKUP($BN913-1,MORE_PV,5,0)/10000)*VLOOKUP($BN913,MORE_PV,$CB$5,0)),3)*VLOOKUP($BN913,more1,5,0),0)/$R912,0))</f>
        <v>0</v>
      </c>
      <c r="CC913" s="473">
        <f t="shared" ca="1" si="613"/>
        <v>0</v>
      </c>
      <c r="CD913" s="477"/>
    </row>
    <row r="914" spans="2:82" ht="16.5" hidden="1">
      <c r="B914" s="80"/>
      <c r="C914" s="80"/>
      <c r="D914" s="80"/>
      <c r="E914" s="80"/>
      <c r="F914" s="80"/>
      <c r="G914" s="80"/>
      <c r="H914" s="80"/>
      <c r="I914" s="80"/>
      <c r="J914" s="192">
        <f t="shared" si="594"/>
        <v>76</v>
      </c>
      <c r="K914" s="192">
        <f t="shared" si="595"/>
        <v>6</v>
      </c>
      <c r="L914" s="192" t="str">
        <f t="shared" si="590"/>
        <v/>
      </c>
      <c r="M914" s="216">
        <f t="shared" ca="1" si="596"/>
        <v>0</v>
      </c>
      <c r="N914" s="216"/>
      <c r="O914" s="216"/>
      <c r="P914" s="216"/>
      <c r="Q914" s="456" t="str">
        <f t="shared" ca="1" si="597"/>
        <v/>
      </c>
      <c r="R914" s="450">
        <f t="shared" ca="1" si="598"/>
        <v>1</v>
      </c>
      <c r="S914" s="191">
        <f t="shared" si="599"/>
        <v>76</v>
      </c>
      <c r="T914" s="191">
        <f t="shared" si="600"/>
        <v>6</v>
      </c>
      <c r="U914" s="191">
        <f ca="1">OP!$D$5+$S914-1</f>
        <v>108</v>
      </c>
      <c r="V914" s="191" t="str">
        <f t="shared" si="601"/>
        <v/>
      </c>
      <c r="W914" s="350">
        <f ca="1">IF(Q914&lt;&gt;1,0,VLOOKUP(OP!$C$55,PVFB,$S914+2,0))</f>
        <v>0</v>
      </c>
      <c r="X914" s="473">
        <f t="shared" ca="1" si="614"/>
        <v>0</v>
      </c>
      <c r="Y914" s="348">
        <f t="shared" ca="1" si="615"/>
        <v>0</v>
      </c>
      <c r="Z914" s="348">
        <f t="shared" ca="1" si="616"/>
        <v>8012</v>
      </c>
      <c r="AA914" s="348">
        <f ca="1">IF(Q914&lt;&gt;1,0,VLOOKUP(OP!$C$55,PVFB,$S914+2,0))</f>
        <v>0</v>
      </c>
      <c r="AB914" s="488" t="str">
        <f ca="1">IF(AND(S914&lt;OP!$C$24,$U914&lt;15),0,IF(AND($U914&lt;15,$T914=12),ROUND(VLOOKUP($S914,DOWN16,5,0),3),IF($T914=12,ROUND(($Z914/10000)*$AA914,3)+IF(AND($P$7="購買增額繳清保險",T914=12,U914=110),VLOOKUP(S914,$B$10:$H$121,7,0),0),"")))</f>
        <v/>
      </c>
      <c r="AC914" s="350" t="str">
        <f ca="1">IF(AND(S914&lt;OP!$C$24,$U914&lt;15),0,IF(AND($U914&lt;16,$T914=12),VLOOKUP($S914,DOWN16,4,0),IF($T914=12,ROUND(VLOOKUP(OP!$C$55,_DIE2,$S914+1,0)*(Z914/10000),0)+IF(AND($P$7="購買增額繳清保險",T914=12,U914=110),VLOOKUP(S914,$B$10:$H$121,7,0),0),"")))</f>
        <v/>
      </c>
      <c r="AD914" s="347"/>
      <c r="AE914" s="350" t="str">
        <f t="shared" ca="1" si="591"/>
        <v/>
      </c>
      <c r="AF914" s="351" t="str">
        <f t="shared" ca="1" si="592"/>
        <v/>
      </c>
      <c r="AG914" s="340"/>
      <c r="AH914" s="340"/>
      <c r="AI914" s="340"/>
      <c r="AJ914" s="340"/>
      <c r="AK914" s="340"/>
      <c r="AL914" s="340"/>
      <c r="AM914" s="340"/>
      <c r="AN914" s="340"/>
      <c r="AO914" s="340"/>
      <c r="AP914" s="340"/>
      <c r="AQ914" s="340"/>
      <c r="AR914" s="340"/>
      <c r="AS914" s="340"/>
      <c r="AT914" s="340"/>
      <c r="AU914" s="340"/>
      <c r="AV914" s="340"/>
      <c r="AY914" s="340"/>
      <c r="AZ914" s="465">
        <f t="shared" ca="1" si="602"/>
        <v>7.3698599999999999E-5</v>
      </c>
      <c r="BA914" s="464">
        <f t="shared" ca="1" si="603"/>
        <v>2.1372602999999999E-3</v>
      </c>
      <c r="BB914" s="465">
        <f t="shared" ca="1" si="603"/>
        <v>2.2109589000000002E-3</v>
      </c>
      <c r="BC914" s="466">
        <f t="shared" ca="1" si="604"/>
        <v>70434</v>
      </c>
      <c r="BD914" s="467">
        <f t="shared" ca="1" si="617"/>
        <v>70435</v>
      </c>
      <c r="BE914" s="467">
        <f t="shared" ca="1" si="605"/>
        <v>70463</v>
      </c>
      <c r="BF914" s="468">
        <f ca="1">IF(計算!$BC914&lt;OP!$C$3,0,BD914-BC914)</f>
        <v>1</v>
      </c>
      <c r="BG914" s="468">
        <f ca="1">IF($BE914&gt;DATE(YEAR($BD$9)+OP!$C$57,MONTH($BD$9),DAY($BD$9)),0,$BE914-$BD914+1)</f>
        <v>29</v>
      </c>
      <c r="BH914" s="469">
        <f t="shared" ca="1" si="606"/>
        <v>30</v>
      </c>
      <c r="BI914" t="str">
        <f t="shared" si="588"/>
        <v/>
      </c>
      <c r="BJ914">
        <v>5</v>
      </c>
      <c r="BN914" s="468">
        <f t="shared" si="618"/>
        <v>76</v>
      </c>
      <c r="BO914" s="468">
        <f t="shared" si="619"/>
        <v>5</v>
      </c>
      <c r="BP914" s="467">
        <f t="shared" ca="1" si="607"/>
        <v>70435</v>
      </c>
      <c r="BQ914" s="475">
        <f t="shared" ca="1" si="621"/>
        <v>108</v>
      </c>
      <c r="BR914" s="475" t="str">
        <f t="shared" si="620"/>
        <v/>
      </c>
      <c r="BS914" s="471" t="str">
        <f t="shared" si="608"/>
        <v/>
      </c>
      <c r="BT914" s="472" t="str">
        <f t="shared" si="589"/>
        <v/>
      </c>
      <c r="BU914" s="472">
        <f t="shared" ca="1" si="609"/>
        <v>0</v>
      </c>
      <c r="BV914" s="472">
        <f t="shared" ca="1" si="609"/>
        <v>0</v>
      </c>
      <c r="BW914" s="472"/>
      <c r="BX914" s="473">
        <f t="shared" ca="1" si="610"/>
        <v>2495309.2883965001</v>
      </c>
      <c r="BY914" s="473">
        <f t="shared" si="611"/>
        <v>0</v>
      </c>
      <c r="BZ914" s="473">
        <f t="shared" ca="1" si="593"/>
        <v>5517.0262794330001</v>
      </c>
      <c r="CA914" s="476">
        <f t="shared" ca="1" si="612"/>
        <v>0</v>
      </c>
      <c r="CB914" s="494">
        <f ca="1">IF(OR($Q913&lt;&gt;1,OP!$D$5+$BN914-1&lt;16,$BN914-1&lt;1),0,ROUND(ROUND(ROUND(((VLOOKUP($BN914-1,MORE_PV,5,0)/10000)*VLOOKUP($BN914,MORE_PV,$CB$5,0)),3)*VLOOKUP($BN914,more1,5,0),0)/$R913,0))</f>
        <v>0</v>
      </c>
      <c r="CC914" s="473">
        <f t="shared" ca="1" si="613"/>
        <v>0</v>
      </c>
      <c r="CD914" s="477"/>
    </row>
    <row r="915" spans="2:82" ht="16.5" hidden="1">
      <c r="B915" s="80"/>
      <c r="C915" s="80"/>
      <c r="D915" s="80"/>
      <c r="E915" s="80"/>
      <c r="F915" s="80"/>
      <c r="G915" s="80"/>
      <c r="H915" s="80"/>
      <c r="I915" s="80"/>
      <c r="J915" s="192">
        <f t="shared" si="594"/>
        <v>76</v>
      </c>
      <c r="K915" s="192">
        <f t="shared" si="595"/>
        <v>7</v>
      </c>
      <c r="L915" s="192" t="str">
        <f t="shared" si="590"/>
        <v/>
      </c>
      <c r="M915" s="216">
        <f t="shared" ca="1" si="596"/>
        <v>0</v>
      </c>
      <c r="N915" s="216"/>
      <c r="O915" s="216"/>
      <c r="P915" s="216"/>
      <c r="Q915" s="456" t="str">
        <f t="shared" ca="1" si="597"/>
        <v/>
      </c>
      <c r="R915" s="450">
        <f t="shared" ca="1" si="598"/>
        <v>1</v>
      </c>
      <c r="S915" s="191">
        <f t="shared" si="599"/>
        <v>76</v>
      </c>
      <c r="T915" s="191">
        <f t="shared" si="600"/>
        <v>7</v>
      </c>
      <c r="U915" s="191">
        <f ca="1">OP!$D$5+$S915-1</f>
        <v>108</v>
      </c>
      <c r="V915" s="191" t="str">
        <f t="shared" si="601"/>
        <v/>
      </c>
      <c r="W915" s="350">
        <f ca="1">IF(Q915&lt;&gt;1,0,VLOOKUP(OP!$C$55,PVFB,$S915+2,0))</f>
        <v>0</v>
      </c>
      <c r="X915" s="473">
        <f t="shared" ca="1" si="614"/>
        <v>0</v>
      </c>
      <c r="Y915" s="348">
        <f t="shared" ca="1" si="615"/>
        <v>0</v>
      </c>
      <c r="Z915" s="348">
        <f t="shared" ca="1" si="616"/>
        <v>8012</v>
      </c>
      <c r="AA915" s="348">
        <f ca="1">IF(Q915&lt;&gt;1,0,VLOOKUP(OP!$C$55,PVFB,$S915+2,0))</f>
        <v>0</v>
      </c>
      <c r="AB915" s="488" t="str">
        <f ca="1">IF(AND(S915&lt;OP!$C$24,$U915&lt;15),0,IF(AND($U915&lt;15,$T915=12),ROUND(VLOOKUP($S915,DOWN16,5,0),3),IF($T915=12,ROUND(($Z915/10000)*$AA915,3)+IF(AND($P$7="購買增額繳清保險",T915=12,U915=110),VLOOKUP(S915,$B$10:$H$121,7,0),0),"")))</f>
        <v/>
      </c>
      <c r="AC915" s="350" t="str">
        <f ca="1">IF(AND(S915&lt;OP!$C$24,$U915&lt;15),0,IF(AND($U915&lt;16,$T915=12),VLOOKUP($S915,DOWN16,4,0),IF($T915=12,ROUND(VLOOKUP(OP!$C$55,_DIE2,$S915+1,0)*(Z915/10000),0)+IF(AND($P$7="購買增額繳清保險",T915=12,U915=110),VLOOKUP(S915,$B$10:$H$121,7,0),0),"")))</f>
        <v/>
      </c>
      <c r="AD915" s="347"/>
      <c r="AE915" s="350" t="str">
        <f t="shared" ca="1" si="591"/>
        <v/>
      </c>
      <c r="AF915" s="351" t="str">
        <f t="shared" ca="1" si="592"/>
        <v/>
      </c>
      <c r="AG915" s="340"/>
      <c r="AH915" s="340"/>
      <c r="AI915" s="340"/>
      <c r="AJ915" s="340"/>
      <c r="AK915" s="340"/>
      <c r="AL915" s="340"/>
      <c r="AM915" s="340"/>
      <c r="AN915" s="340"/>
      <c r="AO915" s="340"/>
      <c r="AP915" s="340"/>
      <c r="AQ915" s="340"/>
      <c r="AR915" s="340"/>
      <c r="AS915" s="340"/>
      <c r="AT915" s="340"/>
      <c r="AU915" s="340"/>
      <c r="AV915" s="340"/>
      <c r="AY915" s="340"/>
      <c r="AZ915" s="465">
        <f t="shared" ca="1" si="602"/>
        <v>7.3698599999999999E-5</v>
      </c>
      <c r="BA915" s="464">
        <f t="shared" ca="1" si="603"/>
        <v>2.2109589000000002E-3</v>
      </c>
      <c r="BB915" s="465">
        <f t="shared" ca="1" si="603"/>
        <v>2.2846575E-3</v>
      </c>
      <c r="BC915" s="466">
        <f t="shared" ca="1" si="604"/>
        <v>70464</v>
      </c>
      <c r="BD915" s="467">
        <f t="shared" ca="1" si="617"/>
        <v>70465</v>
      </c>
      <c r="BE915" s="467">
        <f t="shared" ca="1" si="605"/>
        <v>70494</v>
      </c>
      <c r="BF915" s="468">
        <f ca="1">IF(計算!$BC915&lt;OP!$C$3,0,BD915-BC915)</f>
        <v>1</v>
      </c>
      <c r="BG915" s="468">
        <f ca="1">IF($BE915&gt;DATE(YEAR($BD$9)+OP!$C$57,MONTH($BD$9),DAY($BD$9)),0,$BE915-$BD915+1)</f>
        <v>30</v>
      </c>
      <c r="BH915" s="469">
        <f t="shared" ca="1" si="606"/>
        <v>31</v>
      </c>
      <c r="BI915" t="str">
        <f t="shared" si="588"/>
        <v/>
      </c>
      <c r="BJ915">
        <v>6</v>
      </c>
      <c r="BN915" s="468">
        <f t="shared" si="618"/>
        <v>76</v>
      </c>
      <c r="BO915" s="468">
        <f t="shared" si="619"/>
        <v>6</v>
      </c>
      <c r="BP915" s="467">
        <f t="shared" ca="1" si="607"/>
        <v>70465</v>
      </c>
      <c r="BQ915" s="475">
        <f t="shared" ca="1" si="621"/>
        <v>108</v>
      </c>
      <c r="BR915" s="475" t="str">
        <f t="shared" si="620"/>
        <v/>
      </c>
      <c r="BS915" s="471" t="str">
        <f t="shared" si="608"/>
        <v/>
      </c>
      <c r="BT915" s="472" t="str">
        <f t="shared" si="589"/>
        <v/>
      </c>
      <c r="BU915" s="472">
        <f t="shared" ca="1" si="609"/>
        <v>0</v>
      </c>
      <c r="BV915" s="472">
        <f t="shared" ca="1" si="609"/>
        <v>0</v>
      </c>
      <c r="BW915" s="472"/>
      <c r="BX915" s="473">
        <f t="shared" ca="1" si="610"/>
        <v>2500826.31467593</v>
      </c>
      <c r="BY915" s="473">
        <f t="shared" si="611"/>
        <v>0</v>
      </c>
      <c r="BZ915" s="473">
        <f t="shared" ca="1" si="593"/>
        <v>5713.5315960219996</v>
      </c>
      <c r="CA915" s="476">
        <f t="shared" ca="1" si="612"/>
        <v>0</v>
      </c>
      <c r="CB915" s="494">
        <f ca="1">IF(OR($Q914&lt;&gt;1,OP!$D$5+$BN915-1&lt;16,$BN915-1&lt;1),0,ROUND(ROUND(ROUND(((VLOOKUP($BN915-1,MORE_PV,5,0)/10000)*VLOOKUP($BN915,MORE_PV,$CB$5,0)),3)*VLOOKUP($BN915,more1,5,0),0)/$R914,0))</f>
        <v>0</v>
      </c>
      <c r="CC915" s="473">
        <f t="shared" ca="1" si="613"/>
        <v>0</v>
      </c>
      <c r="CD915" s="477"/>
    </row>
    <row r="916" spans="2:82" ht="16.5" hidden="1">
      <c r="B916" s="80"/>
      <c r="C916" s="80"/>
      <c r="D916" s="80"/>
      <c r="E916" s="80"/>
      <c r="F916" s="80"/>
      <c r="G916" s="80"/>
      <c r="H916" s="80"/>
      <c r="I916" s="80"/>
      <c r="J916" s="192">
        <f t="shared" si="594"/>
        <v>76</v>
      </c>
      <c r="K916" s="192">
        <f t="shared" si="595"/>
        <v>8</v>
      </c>
      <c r="L916" s="192" t="str">
        <f t="shared" si="590"/>
        <v/>
      </c>
      <c r="M916" s="216">
        <f t="shared" ca="1" si="596"/>
        <v>0</v>
      </c>
      <c r="N916" s="216"/>
      <c r="O916" s="216"/>
      <c r="P916" s="216"/>
      <c r="Q916" s="456" t="str">
        <f t="shared" ca="1" si="597"/>
        <v/>
      </c>
      <c r="R916" s="450">
        <f t="shared" ca="1" si="598"/>
        <v>1</v>
      </c>
      <c r="S916" s="191">
        <f t="shared" si="599"/>
        <v>76</v>
      </c>
      <c r="T916" s="191">
        <f t="shared" si="600"/>
        <v>8</v>
      </c>
      <c r="U916" s="191">
        <f ca="1">OP!$D$5+$S916-1</f>
        <v>108</v>
      </c>
      <c r="V916" s="191" t="str">
        <f t="shared" si="601"/>
        <v/>
      </c>
      <c r="W916" s="350">
        <f ca="1">IF(Q916&lt;&gt;1,0,VLOOKUP(OP!$C$55,PVFB,$S916+2,0))</f>
        <v>0</v>
      </c>
      <c r="X916" s="473">
        <f t="shared" ca="1" si="614"/>
        <v>0</v>
      </c>
      <c r="Y916" s="348">
        <f t="shared" ca="1" si="615"/>
        <v>0</v>
      </c>
      <c r="Z916" s="348">
        <f t="shared" ca="1" si="616"/>
        <v>8012</v>
      </c>
      <c r="AA916" s="348">
        <f ca="1">IF(Q916&lt;&gt;1,0,VLOOKUP(OP!$C$55,PVFB,$S916+2,0))</f>
        <v>0</v>
      </c>
      <c r="AB916" s="488" t="str">
        <f ca="1">IF(AND(S916&lt;OP!$C$24,$U916&lt;15),0,IF(AND($U916&lt;15,$T916=12),ROUND(VLOOKUP($S916,DOWN16,5,0),3),IF($T916=12,ROUND(($Z916/10000)*$AA916,3)+IF(AND($P$7="購買增額繳清保險",T916=12,U916=110),VLOOKUP(S916,$B$10:$H$121,7,0),0),"")))</f>
        <v/>
      </c>
      <c r="AC916" s="350" t="str">
        <f ca="1">IF(AND(S916&lt;OP!$C$24,$U916&lt;15),0,IF(AND($U916&lt;16,$T916=12),VLOOKUP($S916,DOWN16,4,0),IF($T916=12,ROUND(VLOOKUP(OP!$C$55,_DIE2,$S916+1,0)*(Z916/10000),0)+IF(AND($P$7="購買增額繳清保險",T916=12,U916=110),VLOOKUP(S916,$B$10:$H$121,7,0),0),"")))</f>
        <v/>
      </c>
      <c r="AD916" s="347"/>
      <c r="AE916" s="350" t="str">
        <f t="shared" ca="1" si="591"/>
        <v/>
      </c>
      <c r="AF916" s="351" t="str">
        <f t="shared" ca="1" si="592"/>
        <v/>
      </c>
      <c r="AG916" s="340"/>
      <c r="AH916" s="340"/>
      <c r="AI916" s="340"/>
      <c r="AJ916" s="340"/>
      <c r="AK916" s="340"/>
      <c r="AL916" s="340"/>
      <c r="AM916" s="340"/>
      <c r="AN916" s="340"/>
      <c r="AO916" s="340"/>
      <c r="AP916" s="340"/>
      <c r="AQ916" s="340"/>
      <c r="AR916" s="340"/>
      <c r="AS916" s="340"/>
      <c r="AT916" s="340"/>
      <c r="AU916" s="340"/>
      <c r="AV916" s="340"/>
      <c r="AY916" s="340"/>
      <c r="AZ916" s="465">
        <f t="shared" ca="1" si="602"/>
        <v>7.3698599999999999E-5</v>
      </c>
      <c r="BA916" s="464">
        <f t="shared" ca="1" si="603"/>
        <v>2.2109589000000002E-3</v>
      </c>
      <c r="BB916" s="465">
        <f t="shared" ca="1" si="603"/>
        <v>2.2846575E-3</v>
      </c>
      <c r="BC916" s="466">
        <f t="shared" ca="1" si="604"/>
        <v>70495</v>
      </c>
      <c r="BD916" s="467">
        <f t="shared" ca="1" si="617"/>
        <v>70496</v>
      </c>
      <c r="BE916" s="467">
        <f t="shared" ca="1" si="605"/>
        <v>70525</v>
      </c>
      <c r="BF916" s="468">
        <f ca="1">IF(計算!$BC916&lt;OP!$C$3,0,BD916-BC916)</f>
        <v>1</v>
      </c>
      <c r="BG916" s="468">
        <f ca="1">IF($BE916&gt;DATE(YEAR($BD$9)+OP!$C$57,MONTH($BD$9),DAY($BD$9)),0,$BE916-$BD916+1)</f>
        <v>30</v>
      </c>
      <c r="BH916" s="469">
        <f t="shared" ca="1" si="606"/>
        <v>31</v>
      </c>
      <c r="BI916" t="str">
        <f t="shared" si="588"/>
        <v/>
      </c>
      <c r="BJ916">
        <v>7</v>
      </c>
      <c r="BN916" s="468">
        <f t="shared" si="618"/>
        <v>76</v>
      </c>
      <c r="BO916" s="468">
        <f t="shared" si="619"/>
        <v>7</v>
      </c>
      <c r="BP916" s="467">
        <f t="shared" ca="1" si="607"/>
        <v>70496</v>
      </c>
      <c r="BQ916" s="475">
        <f t="shared" ca="1" si="621"/>
        <v>108</v>
      </c>
      <c r="BR916" s="475" t="str">
        <f t="shared" si="620"/>
        <v/>
      </c>
      <c r="BS916" s="471" t="str">
        <f t="shared" si="608"/>
        <v/>
      </c>
      <c r="BT916" s="472" t="str">
        <f t="shared" si="589"/>
        <v/>
      </c>
      <c r="BU916" s="472">
        <f t="shared" ca="1" si="609"/>
        <v>0</v>
      </c>
      <c r="BV916" s="472">
        <f t="shared" ca="1" si="609"/>
        <v>0</v>
      </c>
      <c r="BW916" s="472"/>
      <c r="BX916" s="473">
        <f t="shared" ca="1" si="610"/>
        <v>2506539.8462719498</v>
      </c>
      <c r="BY916" s="473">
        <f t="shared" si="611"/>
        <v>0</v>
      </c>
      <c r="BZ916" s="473">
        <f t="shared" ca="1" si="593"/>
        <v>5726.5850588339999</v>
      </c>
      <c r="CA916" s="476">
        <f t="shared" ca="1" si="612"/>
        <v>0</v>
      </c>
      <c r="CB916" s="494">
        <f ca="1">IF(OR($Q915&lt;&gt;1,OP!$D$5+$BN916-1&lt;16,$BN916-1&lt;1),0,ROUND(ROUND(ROUND(((VLOOKUP($BN916-1,MORE_PV,5,0)/10000)*VLOOKUP($BN916,MORE_PV,$CB$5,0)),3)*VLOOKUP($BN916,more1,5,0),0)/$R915,0))</f>
        <v>0</v>
      </c>
      <c r="CC916" s="473">
        <f t="shared" ca="1" si="613"/>
        <v>0</v>
      </c>
      <c r="CD916" s="477"/>
    </row>
    <row r="917" spans="2:82" ht="16.5" hidden="1">
      <c r="B917" s="80"/>
      <c r="C917" s="80"/>
      <c r="D917" s="80"/>
      <c r="E917" s="80"/>
      <c r="F917" s="80"/>
      <c r="G917" s="80"/>
      <c r="H917" s="80"/>
      <c r="I917" s="80"/>
      <c r="J917" s="192">
        <f t="shared" si="594"/>
        <v>76</v>
      </c>
      <c r="K917" s="192">
        <f t="shared" si="595"/>
        <v>9</v>
      </c>
      <c r="L917" s="192" t="str">
        <f t="shared" si="590"/>
        <v/>
      </c>
      <c r="M917" s="216">
        <f t="shared" ca="1" si="596"/>
        <v>0</v>
      </c>
      <c r="N917" s="216"/>
      <c r="O917" s="216"/>
      <c r="P917" s="216"/>
      <c r="Q917" s="456" t="str">
        <f t="shared" ca="1" si="597"/>
        <v/>
      </c>
      <c r="R917" s="450">
        <f t="shared" ca="1" si="598"/>
        <v>1</v>
      </c>
      <c r="S917" s="191">
        <f t="shared" si="599"/>
        <v>76</v>
      </c>
      <c r="T917" s="191">
        <f t="shared" si="600"/>
        <v>9</v>
      </c>
      <c r="U917" s="191">
        <f ca="1">OP!$D$5+$S917-1</f>
        <v>108</v>
      </c>
      <c r="V917" s="191" t="str">
        <f t="shared" si="601"/>
        <v/>
      </c>
      <c r="W917" s="350">
        <f ca="1">IF(Q917&lt;&gt;1,0,VLOOKUP(OP!$C$55,PVFB,$S917+2,0))</f>
        <v>0</v>
      </c>
      <c r="X917" s="473">
        <f t="shared" ca="1" si="614"/>
        <v>0</v>
      </c>
      <c r="Y917" s="348">
        <f t="shared" ca="1" si="615"/>
        <v>0</v>
      </c>
      <c r="Z917" s="348">
        <f t="shared" ca="1" si="616"/>
        <v>8012</v>
      </c>
      <c r="AA917" s="348">
        <f ca="1">IF(Q917&lt;&gt;1,0,VLOOKUP(OP!$C$55,PVFB,$S917+2,0))</f>
        <v>0</v>
      </c>
      <c r="AB917" s="488" t="str">
        <f ca="1">IF(AND(S917&lt;OP!$C$24,$U917&lt;15),0,IF(AND($U917&lt;15,$T917=12),ROUND(VLOOKUP($S917,DOWN16,5,0),3),IF($T917=12,ROUND(($Z917/10000)*$AA917,3)+IF(AND($P$7="購買增額繳清保險",T917=12,U917=110),VLOOKUP(S917,$B$10:$H$121,7,0),0),"")))</f>
        <v/>
      </c>
      <c r="AC917" s="350" t="str">
        <f ca="1">IF(AND(S917&lt;OP!$C$24,$U917&lt;15),0,IF(AND($U917&lt;16,$T917=12),VLOOKUP($S917,DOWN16,4,0),IF($T917=12,ROUND(VLOOKUP(OP!$C$55,_DIE2,$S917+1,0)*(Z917/10000),0)+IF(AND($P$7="購買增額繳清保險",T917=12,U917=110),VLOOKUP(S917,$B$10:$H$121,7,0),0),"")))</f>
        <v/>
      </c>
      <c r="AD917" s="347"/>
      <c r="AE917" s="350" t="str">
        <f t="shared" ca="1" si="591"/>
        <v/>
      </c>
      <c r="AF917" s="351" t="str">
        <f t="shared" ca="1" si="592"/>
        <v/>
      </c>
      <c r="AG917" s="340"/>
      <c r="AH917" s="340"/>
      <c r="AI917" s="340"/>
      <c r="AJ917" s="340"/>
      <c r="AK917" s="340"/>
      <c r="AL917" s="340"/>
      <c r="AM917" s="340"/>
      <c r="AN917" s="340"/>
      <c r="AO917" s="340"/>
      <c r="AP917" s="340"/>
      <c r="AQ917" s="340"/>
      <c r="AR917" s="340"/>
      <c r="AS917" s="340"/>
      <c r="AT917" s="340"/>
      <c r="AU917" s="340"/>
      <c r="AV917" s="340"/>
      <c r="AY917" s="340"/>
      <c r="AZ917" s="465">
        <f t="shared" ca="1" si="602"/>
        <v>7.3698599999999999E-5</v>
      </c>
      <c r="BA917" s="464">
        <f t="shared" ca="1" si="603"/>
        <v>1.9898630000000001E-3</v>
      </c>
      <c r="BB917" s="465">
        <f t="shared" ca="1" si="603"/>
        <v>2.0635616E-3</v>
      </c>
      <c r="BC917" s="466">
        <f t="shared" ca="1" si="604"/>
        <v>70526</v>
      </c>
      <c r="BD917" s="467">
        <f t="shared" ca="1" si="617"/>
        <v>70527</v>
      </c>
      <c r="BE917" s="467">
        <f t="shared" ca="1" si="605"/>
        <v>70553</v>
      </c>
      <c r="BF917" s="468">
        <f ca="1">IF(計算!$BC917&lt;OP!$C$3,0,BD917-BC917)</f>
        <v>1</v>
      </c>
      <c r="BG917" s="468">
        <f ca="1">IF($BE917&gt;DATE(YEAR($BD$9)+OP!$C$57,MONTH($BD$9),DAY($BD$9)),0,$BE917-$BD917+1)</f>
        <v>27</v>
      </c>
      <c r="BH917" s="469">
        <f t="shared" ca="1" si="606"/>
        <v>28</v>
      </c>
      <c r="BI917" t="str">
        <f t="shared" ref="BI917:BI980" si="622">IF(BJ917=12,BD917-BD905,"")</f>
        <v/>
      </c>
      <c r="BJ917">
        <v>8</v>
      </c>
      <c r="BN917" s="468">
        <f t="shared" si="618"/>
        <v>76</v>
      </c>
      <c r="BO917" s="468">
        <f t="shared" si="619"/>
        <v>8</v>
      </c>
      <c r="BP917" s="467">
        <f t="shared" ca="1" si="607"/>
        <v>70527</v>
      </c>
      <c r="BQ917" s="475">
        <f t="shared" ca="1" si="621"/>
        <v>108</v>
      </c>
      <c r="BR917" s="475" t="str">
        <f t="shared" si="620"/>
        <v/>
      </c>
      <c r="BS917" s="471" t="str">
        <f t="shared" si="608"/>
        <v/>
      </c>
      <c r="BT917" s="472" t="str">
        <f t="shared" si="589"/>
        <v/>
      </c>
      <c r="BU917" s="472">
        <f t="shared" ca="1" si="609"/>
        <v>0</v>
      </c>
      <c r="BV917" s="472">
        <f t="shared" ca="1" si="609"/>
        <v>0</v>
      </c>
      <c r="BW917" s="472"/>
      <c r="BX917" s="473">
        <f t="shared" ca="1" si="610"/>
        <v>2512266.43133078</v>
      </c>
      <c r="BY917" s="473">
        <f t="shared" si="611"/>
        <v>0</v>
      </c>
      <c r="BZ917" s="473">
        <f t="shared" ca="1" si="593"/>
        <v>5184.2165366629997</v>
      </c>
      <c r="CA917" s="476">
        <f t="shared" ca="1" si="612"/>
        <v>0</v>
      </c>
      <c r="CB917" s="494">
        <f ca="1">IF(OR($Q916&lt;&gt;1,OP!$D$5+$BN917-1&lt;16,$BN917-1&lt;1),0,ROUND(ROUND(ROUND(((VLOOKUP($BN917-1,MORE_PV,5,0)/10000)*VLOOKUP($BN917,MORE_PV,$CB$5,0)),3)*VLOOKUP($BN917,more1,5,0),0)/$R916,0))</f>
        <v>0</v>
      </c>
      <c r="CC917" s="473">
        <f t="shared" ca="1" si="613"/>
        <v>0</v>
      </c>
      <c r="CD917" s="477"/>
    </row>
    <row r="918" spans="2:82" ht="16.5" hidden="1">
      <c r="B918" s="80"/>
      <c r="C918" s="80"/>
      <c r="D918" s="80"/>
      <c r="E918" s="80"/>
      <c r="F918" s="80"/>
      <c r="G918" s="80"/>
      <c r="H918" s="80"/>
      <c r="I918" s="80"/>
      <c r="J918" s="192">
        <f t="shared" si="594"/>
        <v>76</v>
      </c>
      <c r="K918" s="192">
        <f t="shared" si="595"/>
        <v>10</v>
      </c>
      <c r="L918" s="192" t="str">
        <f t="shared" si="590"/>
        <v/>
      </c>
      <c r="M918" s="216">
        <f t="shared" ca="1" si="596"/>
        <v>0</v>
      </c>
      <c r="N918" s="216"/>
      <c r="O918" s="216"/>
      <c r="P918" s="216"/>
      <c r="Q918" s="456" t="str">
        <f t="shared" ca="1" si="597"/>
        <v/>
      </c>
      <c r="R918" s="450">
        <f t="shared" ca="1" si="598"/>
        <v>1</v>
      </c>
      <c r="S918" s="191">
        <f t="shared" si="599"/>
        <v>76</v>
      </c>
      <c r="T918" s="191">
        <f t="shared" si="600"/>
        <v>10</v>
      </c>
      <c r="U918" s="191">
        <f ca="1">OP!$D$5+$S918-1</f>
        <v>108</v>
      </c>
      <c r="V918" s="191" t="str">
        <f t="shared" si="601"/>
        <v/>
      </c>
      <c r="W918" s="350">
        <f ca="1">IF(Q918&lt;&gt;1,0,VLOOKUP(OP!$C$55,PVFB,$S918+2,0))</f>
        <v>0</v>
      </c>
      <c r="X918" s="473">
        <f t="shared" ca="1" si="614"/>
        <v>0</v>
      </c>
      <c r="Y918" s="348">
        <f t="shared" ca="1" si="615"/>
        <v>0</v>
      </c>
      <c r="Z918" s="348">
        <f t="shared" ca="1" si="616"/>
        <v>8012</v>
      </c>
      <c r="AA918" s="348">
        <f ca="1">IF(Q918&lt;&gt;1,0,VLOOKUP(OP!$C$55,PVFB,$S918+2,0))</f>
        <v>0</v>
      </c>
      <c r="AB918" s="488" t="str">
        <f ca="1">IF(AND(S918&lt;OP!$C$24,$U918&lt;15),0,IF(AND($U918&lt;15,$T918=12),ROUND(VLOOKUP($S918,DOWN16,5,0),3),IF($T918=12,ROUND(($Z918/10000)*$AA918,3)+IF(AND($P$7="購買增額繳清保險",T918=12,U918=110),VLOOKUP(S918,$B$10:$H$121,7,0),0),"")))</f>
        <v/>
      </c>
      <c r="AC918" s="350" t="str">
        <f ca="1">IF(AND(S918&lt;OP!$C$24,$U918&lt;15),0,IF(AND($U918&lt;16,$T918=12),VLOOKUP($S918,DOWN16,4,0),IF($T918=12,ROUND(VLOOKUP(OP!$C$55,_DIE2,$S918+1,0)*(Z918/10000),0)+IF(AND($P$7="購買增額繳清保險",T918=12,U918=110),VLOOKUP(S918,$B$10:$H$121,7,0),0),"")))</f>
        <v/>
      </c>
      <c r="AD918" s="347"/>
      <c r="AE918" s="350" t="str">
        <f t="shared" ca="1" si="591"/>
        <v/>
      </c>
      <c r="AF918" s="351" t="str">
        <f t="shared" ca="1" si="592"/>
        <v/>
      </c>
      <c r="AG918" s="340"/>
      <c r="AH918" s="340"/>
      <c r="AI918" s="340"/>
      <c r="AJ918" s="340"/>
      <c r="AK918" s="340"/>
      <c r="AL918" s="340"/>
      <c r="AM918" s="340"/>
      <c r="AN918" s="340"/>
      <c r="AO918" s="340"/>
      <c r="AP918" s="340"/>
      <c r="AQ918" s="340"/>
      <c r="AR918" s="340"/>
      <c r="AS918" s="340"/>
      <c r="AT918" s="340"/>
      <c r="AU918" s="340"/>
      <c r="AV918" s="340"/>
      <c r="AY918" s="340"/>
      <c r="AZ918" s="465">
        <f t="shared" ca="1" si="602"/>
        <v>7.3698599999999999E-5</v>
      </c>
      <c r="BA918" s="464">
        <f t="shared" ca="1" si="603"/>
        <v>2.2109589000000002E-3</v>
      </c>
      <c r="BB918" s="465">
        <f t="shared" ca="1" si="603"/>
        <v>2.2846575E-3</v>
      </c>
      <c r="BC918" s="466">
        <f t="shared" ca="1" si="604"/>
        <v>70554</v>
      </c>
      <c r="BD918" s="467">
        <f t="shared" ca="1" si="617"/>
        <v>70555</v>
      </c>
      <c r="BE918" s="467">
        <f t="shared" ca="1" si="605"/>
        <v>70584</v>
      </c>
      <c r="BF918" s="468">
        <f ca="1">IF(計算!$BC918&lt;OP!$C$3,0,BD918-BC918)</f>
        <v>1</v>
      </c>
      <c r="BG918" s="468">
        <f ca="1">IF($BE918&gt;DATE(YEAR($BD$9)+OP!$C$57,MONTH($BD$9),DAY($BD$9)),0,$BE918-$BD918+1)</f>
        <v>30</v>
      </c>
      <c r="BH918" s="469">
        <f t="shared" ca="1" si="606"/>
        <v>31</v>
      </c>
      <c r="BI918" t="str">
        <f t="shared" si="622"/>
        <v/>
      </c>
      <c r="BJ918">
        <v>9</v>
      </c>
      <c r="BN918" s="468">
        <f t="shared" si="618"/>
        <v>76</v>
      </c>
      <c r="BO918" s="468">
        <f t="shared" si="619"/>
        <v>9</v>
      </c>
      <c r="BP918" s="467">
        <f t="shared" ca="1" si="607"/>
        <v>70555</v>
      </c>
      <c r="BQ918" s="475">
        <f t="shared" ca="1" si="621"/>
        <v>108</v>
      </c>
      <c r="BR918" s="475" t="str">
        <f t="shared" si="620"/>
        <v/>
      </c>
      <c r="BS918" s="471" t="str">
        <f t="shared" si="608"/>
        <v/>
      </c>
      <c r="BT918" s="472" t="str">
        <f t="shared" ref="BT918:BT981" si="623">IF(BW918&lt;&gt;"",IF(BN918&gt;=$P$4+1,ROUND(BU918,0)+ROUND(BV918,0)+ROUND(BW918,0)+BT906,0),"")</f>
        <v/>
      </c>
      <c r="BU918" s="472">
        <f t="shared" ca="1" si="609"/>
        <v>0</v>
      </c>
      <c r="BV918" s="472">
        <f t="shared" ca="1" si="609"/>
        <v>0</v>
      </c>
      <c r="BW918" s="472"/>
      <c r="BX918" s="473">
        <f t="shared" ca="1" si="610"/>
        <v>2517450.6478674398</v>
      </c>
      <c r="BY918" s="473">
        <f t="shared" si="611"/>
        <v>0</v>
      </c>
      <c r="BZ918" s="473">
        <f t="shared" ca="1" si="593"/>
        <v>5751.5125035299998</v>
      </c>
      <c r="CA918" s="476">
        <f t="shared" ca="1" si="612"/>
        <v>0</v>
      </c>
      <c r="CB918" s="494">
        <f ca="1">IF(OR($Q917&lt;&gt;1,OP!$D$5+$BN918-1&lt;16,$BN918-1&lt;1),0,ROUND(ROUND(ROUND(((VLOOKUP($BN918-1,MORE_PV,5,0)/10000)*VLOOKUP($BN918,MORE_PV,$CB$5,0)),3)*VLOOKUP($BN918,more1,5,0),0)/$R917,0))</f>
        <v>0</v>
      </c>
      <c r="CC918" s="473">
        <f t="shared" ca="1" si="613"/>
        <v>0</v>
      </c>
      <c r="CD918" s="477"/>
    </row>
    <row r="919" spans="2:82" ht="16.5" hidden="1">
      <c r="B919" s="80"/>
      <c r="C919" s="80"/>
      <c r="D919" s="80"/>
      <c r="E919" s="80"/>
      <c r="F919" s="80"/>
      <c r="G919" s="80"/>
      <c r="H919" s="80"/>
      <c r="I919" s="80"/>
      <c r="J919" s="192">
        <f t="shared" si="594"/>
        <v>76</v>
      </c>
      <c r="K919" s="192">
        <f t="shared" si="595"/>
        <v>11</v>
      </c>
      <c r="L919" s="192" t="str">
        <f t="shared" si="590"/>
        <v/>
      </c>
      <c r="M919" s="216">
        <f t="shared" ca="1" si="596"/>
        <v>0</v>
      </c>
      <c r="N919" s="216"/>
      <c r="O919" s="216"/>
      <c r="P919" s="216"/>
      <c r="Q919" s="456" t="str">
        <f t="shared" ca="1" si="597"/>
        <v/>
      </c>
      <c r="R919" s="450">
        <f t="shared" ca="1" si="598"/>
        <v>1</v>
      </c>
      <c r="S919" s="191">
        <f t="shared" si="599"/>
        <v>76</v>
      </c>
      <c r="T919" s="191">
        <f t="shared" si="600"/>
        <v>11</v>
      </c>
      <c r="U919" s="191">
        <f ca="1">OP!$D$5+$S919-1</f>
        <v>108</v>
      </c>
      <c r="V919" s="191" t="str">
        <f t="shared" si="601"/>
        <v/>
      </c>
      <c r="W919" s="350">
        <f ca="1">IF(Q919&lt;&gt;1,0,VLOOKUP(OP!$C$55,PVFB,$S919+2,0))</f>
        <v>0</v>
      </c>
      <c r="X919" s="473">
        <f t="shared" ca="1" si="614"/>
        <v>0</v>
      </c>
      <c r="Y919" s="348">
        <f t="shared" ca="1" si="615"/>
        <v>0</v>
      </c>
      <c r="Z919" s="348">
        <f t="shared" ca="1" si="616"/>
        <v>8012</v>
      </c>
      <c r="AA919" s="348">
        <f ca="1">IF(Q919&lt;&gt;1,0,VLOOKUP(OP!$C$55,PVFB,$S919+2,0))</f>
        <v>0</v>
      </c>
      <c r="AB919" s="488" t="str">
        <f ca="1">IF(AND(S919&lt;OP!$C$24,$U919&lt;15),0,IF(AND($U919&lt;15,$T919=12),ROUND(VLOOKUP($S919,DOWN16,5,0),3),IF($T919=12,ROUND(($Z919/10000)*$AA919,3)+IF(AND($P$7="購買增額繳清保險",T919=12,U919=110),VLOOKUP(S919,$B$10:$H$121,7,0),0),"")))</f>
        <v/>
      </c>
      <c r="AC919" s="350" t="str">
        <f ca="1">IF(AND(S919&lt;OP!$C$24,$U919&lt;15),0,IF(AND($U919&lt;16,$T919=12),VLOOKUP($S919,DOWN16,4,0),IF($T919=12,ROUND(VLOOKUP(OP!$C$55,_DIE2,$S919+1,0)*(Z919/10000),0)+IF(AND($P$7="購買增額繳清保險",T919=12,U919=110),VLOOKUP(S919,$B$10:$H$121,7,0),0),"")))</f>
        <v/>
      </c>
      <c r="AD919" s="347"/>
      <c r="AE919" s="350" t="str">
        <f t="shared" ca="1" si="591"/>
        <v/>
      </c>
      <c r="AF919" s="351" t="str">
        <f t="shared" ca="1" si="592"/>
        <v/>
      </c>
      <c r="AG919" s="340"/>
      <c r="AH919" s="340"/>
      <c r="AI919" s="340"/>
      <c r="AJ919" s="340"/>
      <c r="AK919" s="340"/>
      <c r="AL919" s="340"/>
      <c r="AM919" s="340"/>
      <c r="AN919" s="340"/>
      <c r="AO919" s="340"/>
      <c r="AP919" s="340"/>
      <c r="AQ919" s="340"/>
      <c r="AR919" s="340"/>
      <c r="AS919" s="340"/>
      <c r="AT919" s="340"/>
      <c r="AU919" s="340"/>
      <c r="AV919" s="340"/>
      <c r="AY919" s="340"/>
      <c r="AZ919" s="465">
        <f t="shared" ca="1" si="602"/>
        <v>7.3698599999999999E-5</v>
      </c>
      <c r="BA919" s="464">
        <f t="shared" ca="1" si="603"/>
        <v>2.1372602999999999E-3</v>
      </c>
      <c r="BB919" s="465">
        <f t="shared" ca="1" si="603"/>
        <v>2.2109589000000002E-3</v>
      </c>
      <c r="BC919" s="466">
        <f t="shared" ca="1" si="604"/>
        <v>70585</v>
      </c>
      <c r="BD919" s="467">
        <f t="shared" ca="1" si="617"/>
        <v>70586</v>
      </c>
      <c r="BE919" s="467">
        <f t="shared" ca="1" si="605"/>
        <v>70614</v>
      </c>
      <c r="BF919" s="468">
        <f ca="1">IF(計算!$BC919&lt;OP!$C$3,0,BD919-BC919)</f>
        <v>1</v>
      </c>
      <c r="BG919" s="468">
        <f ca="1">IF($BE919&gt;DATE(YEAR($BD$9)+OP!$C$57,MONTH($BD$9),DAY($BD$9)),0,$BE919-$BD919+1)</f>
        <v>29</v>
      </c>
      <c r="BH919" s="469">
        <f t="shared" ca="1" si="606"/>
        <v>30</v>
      </c>
      <c r="BI919" t="str">
        <f t="shared" si="622"/>
        <v/>
      </c>
      <c r="BJ919">
        <v>10</v>
      </c>
      <c r="BN919" s="468">
        <f t="shared" si="618"/>
        <v>76</v>
      </c>
      <c r="BO919" s="468">
        <f t="shared" si="619"/>
        <v>10</v>
      </c>
      <c r="BP919" s="467">
        <f t="shared" ca="1" si="607"/>
        <v>70586</v>
      </c>
      <c r="BQ919" s="475">
        <f t="shared" ca="1" si="621"/>
        <v>108</v>
      </c>
      <c r="BR919" s="475" t="str">
        <f t="shared" si="620"/>
        <v/>
      </c>
      <c r="BS919" s="471" t="str">
        <f t="shared" si="608"/>
        <v/>
      </c>
      <c r="BT919" s="472" t="str">
        <f t="shared" si="623"/>
        <v/>
      </c>
      <c r="BU919" s="472">
        <f t="shared" ca="1" si="609"/>
        <v>0</v>
      </c>
      <c r="BV919" s="472">
        <f t="shared" ca="1" si="609"/>
        <v>0</v>
      </c>
      <c r="BW919" s="472"/>
      <c r="BX919" s="473">
        <f t="shared" ca="1" si="610"/>
        <v>2523202.1603709701</v>
      </c>
      <c r="BY919" s="473">
        <f t="shared" si="611"/>
        <v>0</v>
      </c>
      <c r="BZ919" s="473">
        <f t="shared" ca="1" si="593"/>
        <v>5578.6962729710003</v>
      </c>
      <c r="CA919" s="476">
        <f t="shared" ca="1" si="612"/>
        <v>0</v>
      </c>
      <c r="CB919" s="494">
        <f ca="1">IF(OR($Q918&lt;&gt;1,OP!$D$5+$BN919-1&lt;16,$BN919-1&lt;1),0,ROUND(ROUND(ROUND(((VLOOKUP($BN919-1,MORE_PV,5,0)/10000)*VLOOKUP($BN919,MORE_PV,$CB$5,0)),3)*VLOOKUP($BN919,more1,5,0),0)/$R918,0))</f>
        <v>0</v>
      </c>
      <c r="CC919" s="473">
        <f t="shared" ca="1" si="613"/>
        <v>0</v>
      </c>
      <c r="CD919" s="477"/>
    </row>
    <row r="920" spans="2:82" ht="16.5" hidden="1">
      <c r="B920" s="80"/>
      <c r="C920" s="80"/>
      <c r="D920" s="80"/>
      <c r="E920" s="80"/>
      <c r="F920" s="80"/>
      <c r="G920" s="80"/>
      <c r="H920" s="80"/>
      <c r="I920" s="80"/>
      <c r="J920" s="192">
        <f t="shared" si="594"/>
        <v>76</v>
      </c>
      <c r="K920" s="192">
        <f t="shared" si="595"/>
        <v>12</v>
      </c>
      <c r="L920" s="192">
        <f t="shared" si="590"/>
        <v>76</v>
      </c>
      <c r="M920" s="216">
        <f t="shared" ca="1" si="596"/>
        <v>2560705</v>
      </c>
      <c r="N920" s="216"/>
      <c r="O920" s="216"/>
      <c r="P920" s="216"/>
      <c r="Q920" s="456">
        <f t="shared" ca="1" si="597"/>
        <v>1</v>
      </c>
      <c r="R920" s="450">
        <f t="shared" ca="1" si="598"/>
        <v>1</v>
      </c>
      <c r="S920" s="191">
        <f t="shared" si="599"/>
        <v>76</v>
      </c>
      <c r="T920" s="191">
        <f t="shared" si="600"/>
        <v>12</v>
      </c>
      <c r="U920" s="191">
        <f ca="1">OP!$D$5+$S920-1</f>
        <v>108</v>
      </c>
      <c r="V920" s="191">
        <f t="shared" si="601"/>
        <v>76</v>
      </c>
      <c r="W920" s="350">
        <f ca="1">IF(Q920&lt;&gt;1,0,VLOOKUP(OP!$C$55,PVFB,$S920+2,0))</f>
        <v>108111</v>
      </c>
      <c r="X920" s="473">
        <f t="shared" ca="1" si="614"/>
        <v>25961</v>
      </c>
      <c r="Y920" s="348">
        <f t="shared" ca="1" si="615"/>
        <v>0</v>
      </c>
      <c r="Z920" s="348">
        <f t="shared" ca="1" si="616"/>
        <v>8012</v>
      </c>
      <c r="AA920" s="348">
        <f ca="1">IF(Q920&lt;&gt;1,0,VLOOKUP(OP!$C$55,PVFB,$S920+2,0))</f>
        <v>108111</v>
      </c>
      <c r="AB920" s="488">
        <f ca="1">IF(AND(S920&lt;OP!$C$24,$U920&lt;15),0,IF(AND($U920&lt;15,$T920=12),ROUND(VLOOKUP($S920,DOWN16,5,0),3),IF($T920=12,ROUND(($Z920/10000)*$AA920,3)+IF(AND($P$7="購買增額繳清保險",T920=12,U920=110),VLOOKUP(S920,$B$10:$H$121,7,0),0),"")))</f>
        <v>86618.532999999996</v>
      </c>
      <c r="AC920" s="350">
        <f ca="1">IF(AND(S920&lt;OP!$C$24,$U920&lt;15),0,IF(AND($U920&lt;16,$T920=12),VLOOKUP($S920,DOWN16,4,0),IF($T920=12,ROUND(VLOOKUP(OP!$C$55,_DIE2,$S920+1,0)*(Z920/10000),0)+IF(AND($P$7="購買增額繳清保險",T920=12,U920=110),VLOOKUP(S920,$B$10:$H$121,7,0),0),"")))</f>
        <v>86619</v>
      </c>
      <c r="AD920" s="347"/>
      <c r="AE920" s="350" t="str">
        <f t="shared" ca="1" si="591"/>
        <v/>
      </c>
      <c r="AF920" s="351" t="str">
        <f t="shared" ca="1" si="592"/>
        <v/>
      </c>
      <c r="AG920" s="340"/>
      <c r="AH920" s="340"/>
      <c r="AI920" s="340"/>
      <c r="AJ920" s="340"/>
      <c r="AK920" s="340"/>
      <c r="AL920" s="340"/>
      <c r="AM920" s="340"/>
      <c r="AN920" s="340"/>
      <c r="AO920" s="340"/>
      <c r="AP920" s="340"/>
      <c r="AQ920" s="340"/>
      <c r="AR920" s="340"/>
      <c r="AS920" s="340"/>
      <c r="AT920" s="340"/>
      <c r="AU920" s="340"/>
      <c r="AV920" s="340"/>
      <c r="AY920" s="340"/>
      <c r="AZ920" s="465">
        <f t="shared" ca="1" si="602"/>
        <v>7.3698599999999999E-5</v>
      </c>
      <c r="BA920" s="464">
        <f t="shared" ca="1" si="603"/>
        <v>2.2109589000000002E-3</v>
      </c>
      <c r="BB920" s="465">
        <f t="shared" ca="1" si="603"/>
        <v>2.2846575E-3</v>
      </c>
      <c r="BC920" s="466">
        <f t="shared" ca="1" si="604"/>
        <v>70615</v>
      </c>
      <c r="BD920" s="467">
        <f t="shared" ca="1" si="617"/>
        <v>70616</v>
      </c>
      <c r="BE920" s="467">
        <f t="shared" ca="1" si="605"/>
        <v>70645</v>
      </c>
      <c r="BF920" s="468">
        <f ca="1">IF(計算!$BC920&lt;OP!$C$3,0,BD920-BC920)</f>
        <v>1</v>
      </c>
      <c r="BG920" s="468">
        <f ca="1">IF($BE920&gt;DATE(YEAR($BD$9)+OP!$C$57,MONTH($BD$9),DAY($BD$9)),0,$BE920-$BD920+1)</f>
        <v>30</v>
      </c>
      <c r="BH920" s="469">
        <f t="shared" ca="1" si="606"/>
        <v>31</v>
      </c>
      <c r="BI920" t="str">
        <f t="shared" si="622"/>
        <v/>
      </c>
      <c r="BJ920">
        <v>11</v>
      </c>
      <c r="BN920" s="468">
        <f t="shared" si="618"/>
        <v>76</v>
      </c>
      <c r="BO920" s="468">
        <f t="shared" si="619"/>
        <v>11</v>
      </c>
      <c r="BP920" s="467">
        <f t="shared" ca="1" si="607"/>
        <v>70616</v>
      </c>
      <c r="BQ920" s="475">
        <f t="shared" ca="1" si="621"/>
        <v>108</v>
      </c>
      <c r="BR920" s="475" t="str">
        <f t="shared" si="620"/>
        <v/>
      </c>
      <c r="BS920" s="471" t="str">
        <f t="shared" si="608"/>
        <v/>
      </c>
      <c r="BT920" s="472" t="str">
        <f t="shared" si="623"/>
        <v/>
      </c>
      <c r="BU920" s="472">
        <f t="shared" ca="1" si="609"/>
        <v>0</v>
      </c>
      <c r="BV920" s="472">
        <f t="shared" ca="1" si="609"/>
        <v>0</v>
      </c>
      <c r="BW920" s="472"/>
      <c r="BX920" s="473">
        <f t="shared" ca="1" si="610"/>
        <v>2528780.8566439399</v>
      </c>
      <c r="BY920" s="473">
        <f t="shared" si="611"/>
        <v>0</v>
      </c>
      <c r="BZ920" s="473">
        <f t="shared" ca="1" si="593"/>
        <v>5777.3981499880001</v>
      </c>
      <c r="CA920" s="476">
        <f t="shared" ca="1" si="612"/>
        <v>0</v>
      </c>
      <c r="CB920" s="494">
        <f ca="1">IF(OR($Q919&lt;&gt;1,OP!$D$5+$BN920-1&lt;16,$BN920-1&lt;1),0,ROUND(ROUND(ROUND(((VLOOKUP($BN920-1,MORE_PV,5,0)/10000)*VLOOKUP($BN920,MORE_PV,$CB$5,0)),3)*VLOOKUP($BN920,more1,5,0),0)/$R919,0))</f>
        <v>0</v>
      </c>
      <c r="CC920" s="473">
        <f t="shared" ca="1" si="613"/>
        <v>0</v>
      </c>
      <c r="CD920" s="477"/>
    </row>
    <row r="921" spans="2:82" ht="16.5" hidden="1">
      <c r="B921" s="80"/>
      <c r="C921" s="80"/>
      <c r="D921" s="80"/>
      <c r="E921" s="80"/>
      <c r="F921" s="80"/>
      <c r="G921" s="80"/>
      <c r="H921" s="80"/>
      <c r="I921" s="80"/>
      <c r="J921" s="192">
        <f t="shared" si="594"/>
        <v>77</v>
      </c>
      <c r="K921" s="192">
        <f t="shared" si="595"/>
        <v>1</v>
      </c>
      <c r="L921" s="192" t="str">
        <f t="shared" si="590"/>
        <v/>
      </c>
      <c r="M921" s="216">
        <f t="shared" ca="1" si="596"/>
        <v>0</v>
      </c>
      <c r="N921" s="216"/>
      <c r="O921" s="216"/>
      <c r="P921" s="216"/>
      <c r="Q921" s="456" t="str">
        <f t="shared" ca="1" si="597"/>
        <v/>
      </c>
      <c r="R921" s="450">
        <f t="shared" ca="1" si="598"/>
        <v>1</v>
      </c>
      <c r="S921" s="191">
        <f t="shared" si="599"/>
        <v>77</v>
      </c>
      <c r="T921" s="191">
        <f t="shared" si="600"/>
        <v>1</v>
      </c>
      <c r="U921" s="191">
        <f ca="1">OP!$D$5+$S921-1</f>
        <v>109</v>
      </c>
      <c r="V921" s="191" t="str">
        <f t="shared" si="601"/>
        <v/>
      </c>
      <c r="W921" s="350">
        <f ca="1">IF(Q921&lt;&gt;1,0,VLOOKUP(OP!$C$55,PVFB,$S921+2,0))</f>
        <v>0</v>
      </c>
      <c r="X921" s="473">
        <f t="shared" ca="1" si="614"/>
        <v>0</v>
      </c>
      <c r="Y921" s="348">
        <f t="shared" ca="1" si="615"/>
        <v>0</v>
      </c>
      <c r="Z921" s="348">
        <f t="shared" ca="1" si="616"/>
        <v>8012</v>
      </c>
      <c r="AA921" s="348">
        <f ca="1">IF(Q921&lt;&gt;1,0,VLOOKUP(OP!$C$55,PVFB,$S921+2,0))</f>
        <v>0</v>
      </c>
      <c r="AB921" s="488" t="str">
        <f ca="1">IF(AND(S921&lt;OP!$C$24,$U921&lt;15),0,IF(AND($U921&lt;15,$T921=12),ROUND(VLOOKUP($S921,DOWN16,5,0),3),IF($T921=12,ROUND(($Z921/10000)*$AA921,3)+IF(AND($P$7="購買增額繳清保險",T921=12,U921=110),VLOOKUP(S921,$B$10:$H$121,7,0),0),"")))</f>
        <v/>
      </c>
      <c r="AC921" s="350" t="str">
        <f ca="1">IF(AND(S921&lt;OP!$C$24,$U921&lt;15),0,IF(AND($U921&lt;16,$T921=12),VLOOKUP($S921,DOWN16,4,0),IF($T921=12,ROUND(VLOOKUP(OP!$C$55,_DIE2,$S921+1,0)*(Z921/10000),0)+IF(AND($P$7="購買增額繳清保險",T921=12,U921=110),VLOOKUP(S921,$B$10:$H$121,7,0),0),"")))</f>
        <v/>
      </c>
      <c r="AD921" s="347"/>
      <c r="AE921" s="350" t="str">
        <f t="shared" ca="1" si="591"/>
        <v/>
      </c>
      <c r="AF921" s="351" t="str">
        <f t="shared" ca="1" si="592"/>
        <v/>
      </c>
      <c r="AG921" s="340"/>
      <c r="AH921" s="340"/>
      <c r="AI921" s="340"/>
      <c r="AJ921" s="340"/>
      <c r="AK921" s="340"/>
      <c r="AL921" s="340"/>
      <c r="AM921" s="340"/>
      <c r="AN921" s="340"/>
      <c r="AO921" s="340"/>
      <c r="AP921" s="340"/>
      <c r="AQ921" s="340"/>
      <c r="AR921" s="340"/>
      <c r="AS921" s="340"/>
      <c r="AT921" s="340"/>
      <c r="AU921" s="340"/>
      <c r="AV921" s="340"/>
      <c r="AY921" s="340"/>
      <c r="AZ921" s="465">
        <f t="shared" ca="1" si="602"/>
        <v>7.3698599999999999E-5</v>
      </c>
      <c r="BA921" s="464">
        <f t="shared" ca="1" si="603"/>
        <v>2.1372602999999999E-3</v>
      </c>
      <c r="BB921" s="465">
        <f t="shared" ca="1" si="603"/>
        <v>2.2109589000000002E-3</v>
      </c>
      <c r="BC921" s="466">
        <f t="shared" ca="1" si="604"/>
        <v>70646</v>
      </c>
      <c r="BD921" s="467">
        <f t="shared" ca="1" si="617"/>
        <v>70647</v>
      </c>
      <c r="BE921" s="467">
        <f t="shared" ca="1" si="605"/>
        <v>70675</v>
      </c>
      <c r="BF921" s="468">
        <f ca="1">IF(計算!$BC921&lt;OP!$C$3,0,BD921-BC921)</f>
        <v>1</v>
      </c>
      <c r="BG921" s="468">
        <f ca="1">IF($BE921&gt;DATE(YEAR($BD$9)+OP!$C$57,MONTH($BD$9),DAY($BD$9)),0,$BE921-$BD921+1)</f>
        <v>29</v>
      </c>
      <c r="BH921" s="469">
        <f t="shared" ca="1" si="606"/>
        <v>30</v>
      </c>
      <c r="BI921">
        <f t="shared" ca="1" si="622"/>
        <v>365</v>
      </c>
      <c r="BJ921">
        <v>12</v>
      </c>
      <c r="BN921" s="468">
        <f t="shared" si="618"/>
        <v>76</v>
      </c>
      <c r="BO921" s="468">
        <f t="shared" si="619"/>
        <v>12</v>
      </c>
      <c r="BP921" s="467">
        <f t="shared" ca="1" si="607"/>
        <v>70647</v>
      </c>
      <c r="BQ921" s="475">
        <f t="shared" ca="1" si="621"/>
        <v>108</v>
      </c>
      <c r="BR921" s="475">
        <f t="shared" si="620"/>
        <v>76</v>
      </c>
      <c r="BS921" s="471">
        <f t="shared" ca="1" si="608"/>
        <v>25961</v>
      </c>
      <c r="BT921" s="472">
        <f t="shared" ca="1" si="623"/>
        <v>2560705</v>
      </c>
      <c r="BU921" s="472">
        <f t="shared" ca="1" si="609"/>
        <v>25363</v>
      </c>
      <c r="BV921" s="472">
        <f t="shared" ca="1" si="609"/>
        <v>598</v>
      </c>
      <c r="BW921" s="472">
        <f ca="1">ROUND(SUM(BY921,BZ909:BZ920),0)</f>
        <v>67202</v>
      </c>
      <c r="BX921" s="473">
        <f t="shared" ca="1" si="610"/>
        <v>2560706.0481889201</v>
      </c>
      <c r="BY921" s="473">
        <f t="shared" ca="1" si="611"/>
        <v>186.79339499700001</v>
      </c>
      <c r="BZ921" s="473">
        <f t="shared" ca="1" si="593"/>
        <v>5472.8953767639996</v>
      </c>
      <c r="CA921" s="476">
        <f t="shared" ca="1" si="612"/>
        <v>25363</v>
      </c>
      <c r="CB921" s="494">
        <f ca="1">IF(OR($Q920&lt;&gt;1,OP!$D$5+$BN921-1&lt;16,$BN921-1&lt;1),0,ROUND(ROUND(ROUND(((VLOOKUP($BN921-1,MORE_PV,5,0)/10000)*VLOOKUP($BN921,MORE_PV,$CB$5,0)),3)*VLOOKUP($BN921,more1,5,0),0)/$R920,0))</f>
        <v>598</v>
      </c>
      <c r="CC921" s="473">
        <f t="shared" ca="1" si="613"/>
        <v>0</v>
      </c>
      <c r="CD921" s="477"/>
    </row>
    <row r="922" spans="2:82" ht="16.5" hidden="1">
      <c r="B922" s="80"/>
      <c r="C922" s="80"/>
      <c r="D922" s="80"/>
      <c r="E922" s="80"/>
      <c r="F922" s="80"/>
      <c r="G922" s="80"/>
      <c r="H922" s="80"/>
      <c r="I922" s="80"/>
      <c r="J922" s="192">
        <f t="shared" si="594"/>
        <v>77</v>
      </c>
      <c r="K922" s="192">
        <f t="shared" si="595"/>
        <v>2</v>
      </c>
      <c r="L922" s="192" t="str">
        <f t="shared" si="590"/>
        <v/>
      </c>
      <c r="M922" s="216">
        <f t="shared" ca="1" si="596"/>
        <v>0</v>
      </c>
      <c r="N922" s="216"/>
      <c r="O922" s="216"/>
      <c r="P922" s="216"/>
      <c r="Q922" s="456" t="str">
        <f t="shared" ca="1" si="597"/>
        <v/>
      </c>
      <c r="R922" s="450">
        <f t="shared" ca="1" si="598"/>
        <v>1</v>
      </c>
      <c r="S922" s="191">
        <f t="shared" si="599"/>
        <v>77</v>
      </c>
      <c r="T922" s="191">
        <f t="shared" si="600"/>
        <v>2</v>
      </c>
      <c r="U922" s="191">
        <f ca="1">OP!$D$5+$S922-1</f>
        <v>109</v>
      </c>
      <c r="V922" s="191" t="str">
        <f t="shared" si="601"/>
        <v/>
      </c>
      <c r="W922" s="350">
        <f ca="1">IF(Q922&lt;&gt;1,0,VLOOKUP(OP!$C$55,PVFB,$S922+2,0))</f>
        <v>0</v>
      </c>
      <c r="X922" s="473">
        <f t="shared" ca="1" si="614"/>
        <v>0</v>
      </c>
      <c r="Y922" s="348">
        <f t="shared" ca="1" si="615"/>
        <v>0</v>
      </c>
      <c r="Z922" s="348">
        <f t="shared" ca="1" si="616"/>
        <v>8012</v>
      </c>
      <c r="AA922" s="348">
        <f ca="1">IF(Q922&lt;&gt;1,0,VLOOKUP(OP!$C$55,PVFB,$S922+2,0))</f>
        <v>0</v>
      </c>
      <c r="AB922" s="488" t="str">
        <f ca="1">IF(AND(S922&lt;OP!$C$24,$U922&lt;15),0,IF(AND($U922&lt;15,$T922=12),ROUND(VLOOKUP($S922,DOWN16,5,0),3),IF($T922=12,ROUND(($Z922/10000)*$AA922,3)+IF(AND($P$7="購買增額繳清保險",T922=12,U922=110),VLOOKUP(S922,$B$10:$H$121,7,0),0),"")))</f>
        <v/>
      </c>
      <c r="AC922" s="350" t="str">
        <f ca="1">IF(AND(S922&lt;OP!$C$24,$U922&lt;15),0,IF(AND($U922&lt;16,$T922=12),VLOOKUP($S922,DOWN16,4,0),IF($T922=12,ROUND(VLOOKUP(OP!$C$55,_DIE2,$S922+1,0)*(Z922/10000),0)+IF(AND($P$7="購買增額繳清保險",T922=12,U922=110),VLOOKUP(S922,$B$10:$H$121,7,0),0),"")))</f>
        <v/>
      </c>
      <c r="AD922" s="347"/>
      <c r="AE922" s="350" t="str">
        <f t="shared" ca="1" si="591"/>
        <v/>
      </c>
      <c r="AF922" s="351" t="str">
        <f t="shared" ca="1" si="592"/>
        <v/>
      </c>
      <c r="AG922" s="340"/>
      <c r="AH922" s="340"/>
      <c r="AI922" s="340"/>
      <c r="AJ922" s="340"/>
      <c r="AK922" s="340"/>
      <c r="AL922" s="340"/>
      <c r="AM922" s="340"/>
      <c r="AN922" s="340"/>
      <c r="AO922" s="340"/>
      <c r="AP922" s="340"/>
      <c r="AQ922" s="340"/>
      <c r="AR922" s="340"/>
      <c r="AS922" s="340"/>
      <c r="AT922" s="340"/>
      <c r="AU922" s="340"/>
      <c r="AV922" s="340"/>
      <c r="AY922" s="340"/>
      <c r="AZ922" s="465">
        <f t="shared" ca="1" si="602"/>
        <v>7.3698599999999999E-5</v>
      </c>
      <c r="BA922" s="464">
        <f t="shared" ca="1" si="603"/>
        <v>2.2109589000000002E-3</v>
      </c>
      <c r="BB922" s="465">
        <f t="shared" ca="1" si="603"/>
        <v>2.2846575E-3</v>
      </c>
      <c r="BC922" s="466">
        <f t="shared" ca="1" si="604"/>
        <v>70676</v>
      </c>
      <c r="BD922" s="467">
        <f t="shared" ca="1" si="617"/>
        <v>70677</v>
      </c>
      <c r="BE922" s="467">
        <f t="shared" ca="1" si="605"/>
        <v>70706</v>
      </c>
      <c r="BF922" s="468">
        <f ca="1">IF(計算!$BC922&lt;OP!$C$3,0,BD922-BC922)</f>
        <v>1</v>
      </c>
      <c r="BG922" s="468">
        <f ca="1">IF($BE922&gt;DATE(YEAR($BD$9)+OP!$C$57,MONTH($BD$9),DAY($BD$9)),0,$BE922-$BD922+1)</f>
        <v>30</v>
      </c>
      <c r="BH922" s="469">
        <f t="shared" ca="1" si="606"/>
        <v>31</v>
      </c>
      <c r="BI922" t="str">
        <f t="shared" si="622"/>
        <v/>
      </c>
      <c r="BJ922">
        <v>1</v>
      </c>
      <c r="BN922" s="468">
        <f t="shared" si="618"/>
        <v>77</v>
      </c>
      <c r="BO922" s="468">
        <f t="shared" si="619"/>
        <v>1</v>
      </c>
      <c r="BP922" s="467">
        <f t="shared" ca="1" si="607"/>
        <v>70677</v>
      </c>
      <c r="BQ922" s="475">
        <f t="shared" ca="1" si="621"/>
        <v>109</v>
      </c>
      <c r="BR922" s="475" t="str">
        <f t="shared" si="620"/>
        <v/>
      </c>
      <c r="BS922" s="471" t="str">
        <f t="shared" si="608"/>
        <v/>
      </c>
      <c r="BT922" s="472" t="str">
        <f t="shared" si="623"/>
        <v/>
      </c>
      <c r="BU922" s="472">
        <f t="shared" ca="1" si="609"/>
        <v>0</v>
      </c>
      <c r="BV922" s="472">
        <f t="shared" ca="1" si="609"/>
        <v>0</v>
      </c>
      <c r="BW922" s="472"/>
      <c r="BX922" s="473">
        <f t="shared" ca="1" si="610"/>
        <v>2566178.9435656802</v>
      </c>
      <c r="BY922" s="473">
        <f t="shared" si="611"/>
        <v>0</v>
      </c>
      <c r="BZ922" s="473">
        <f t="shared" ca="1" si="593"/>
        <v>5862.8399697590003</v>
      </c>
      <c r="CA922" s="476">
        <f t="shared" ca="1" si="612"/>
        <v>0</v>
      </c>
      <c r="CB922" s="494">
        <f ca="1">IF(OR($Q921&lt;&gt;1,OP!$D$5+$BN922-1&lt;16,$BN922-1&lt;1),0,ROUND(ROUND(ROUND(((VLOOKUP($BN922-1,MORE_PV,5,0)/10000)*VLOOKUP($BN922,MORE_PV,$CB$5,0)),3)*VLOOKUP($BN922,more1,5,0),0)/$R921,0))</f>
        <v>0</v>
      </c>
      <c r="CC922" s="473">
        <f t="shared" ca="1" si="613"/>
        <v>0</v>
      </c>
      <c r="CD922" s="477"/>
    </row>
    <row r="923" spans="2:82" ht="16.5" hidden="1">
      <c r="B923" s="80"/>
      <c r="C923" s="80"/>
      <c r="D923" s="80"/>
      <c r="E923" s="80"/>
      <c r="F923" s="80"/>
      <c r="G923" s="80"/>
      <c r="H923" s="80"/>
      <c r="I923" s="80"/>
      <c r="J923" s="192">
        <f t="shared" si="594"/>
        <v>77</v>
      </c>
      <c r="K923" s="192">
        <f t="shared" si="595"/>
        <v>3</v>
      </c>
      <c r="L923" s="192" t="str">
        <f t="shared" si="590"/>
        <v/>
      </c>
      <c r="M923" s="216">
        <f t="shared" ca="1" si="596"/>
        <v>0</v>
      </c>
      <c r="N923" s="216"/>
      <c r="O923" s="216"/>
      <c r="P923" s="216"/>
      <c r="Q923" s="456" t="str">
        <f t="shared" ca="1" si="597"/>
        <v/>
      </c>
      <c r="R923" s="450">
        <f t="shared" ca="1" si="598"/>
        <v>1</v>
      </c>
      <c r="S923" s="191">
        <f t="shared" si="599"/>
        <v>77</v>
      </c>
      <c r="T923" s="191">
        <f t="shared" si="600"/>
        <v>3</v>
      </c>
      <c r="U923" s="191">
        <f ca="1">OP!$D$5+$S923-1</f>
        <v>109</v>
      </c>
      <c r="V923" s="191" t="str">
        <f t="shared" si="601"/>
        <v/>
      </c>
      <c r="W923" s="350">
        <f ca="1">IF(Q923&lt;&gt;1,0,VLOOKUP(OP!$C$55,PVFB,$S923+2,0))</f>
        <v>0</v>
      </c>
      <c r="X923" s="473">
        <f t="shared" ca="1" si="614"/>
        <v>0</v>
      </c>
      <c r="Y923" s="348">
        <f t="shared" ca="1" si="615"/>
        <v>0</v>
      </c>
      <c r="Z923" s="348">
        <f t="shared" ca="1" si="616"/>
        <v>8012</v>
      </c>
      <c r="AA923" s="348">
        <f ca="1">IF(Q923&lt;&gt;1,0,VLOOKUP(OP!$C$55,PVFB,$S923+2,0))</f>
        <v>0</v>
      </c>
      <c r="AB923" s="488" t="str">
        <f ca="1">IF(AND(S923&lt;OP!$C$24,$U923&lt;15),0,IF(AND($U923&lt;15,$T923=12),ROUND(VLOOKUP($S923,DOWN16,5,0),3),IF($T923=12,ROUND(($Z923/10000)*$AA923,3)+IF(AND($P$7="購買增額繳清保險",T923=12,U923=110),VLOOKUP(S923,$B$10:$H$121,7,0),0),"")))</f>
        <v/>
      </c>
      <c r="AC923" s="350" t="str">
        <f ca="1">IF(AND(S923&lt;OP!$C$24,$U923&lt;15),0,IF(AND($U923&lt;16,$T923=12),VLOOKUP($S923,DOWN16,4,0),IF($T923=12,ROUND(VLOOKUP(OP!$C$55,_DIE2,$S923+1,0)*(Z923/10000),0)+IF(AND($P$7="購買增額繳清保險",T923=12,U923=110),VLOOKUP(S923,$B$10:$H$121,7,0),0),"")))</f>
        <v/>
      </c>
      <c r="AD923" s="347"/>
      <c r="AE923" s="350" t="str">
        <f t="shared" ca="1" si="591"/>
        <v/>
      </c>
      <c r="AF923" s="351" t="str">
        <f t="shared" ca="1" si="592"/>
        <v/>
      </c>
      <c r="AG923" s="340"/>
      <c r="AH923" s="340"/>
      <c r="AI923" s="340"/>
      <c r="AJ923" s="340"/>
      <c r="AK923" s="340"/>
      <c r="AL923" s="340"/>
      <c r="AM923" s="340"/>
      <c r="AN923" s="340"/>
      <c r="AO923" s="340"/>
      <c r="AP923" s="340"/>
      <c r="AQ923" s="340"/>
      <c r="AR923" s="340"/>
      <c r="AS923" s="340"/>
      <c r="AT923" s="340"/>
      <c r="AU923" s="340"/>
      <c r="AV923" s="340"/>
      <c r="AY923" s="340"/>
      <c r="AZ923" s="465">
        <f t="shared" ca="1" si="602"/>
        <v>7.3698599999999999E-5</v>
      </c>
      <c r="BA923" s="464">
        <f t="shared" ca="1" si="603"/>
        <v>2.2109589000000002E-3</v>
      </c>
      <c r="BB923" s="465">
        <f t="shared" ca="1" si="603"/>
        <v>2.2846575E-3</v>
      </c>
      <c r="BC923" s="466">
        <f t="shared" ca="1" si="604"/>
        <v>70707</v>
      </c>
      <c r="BD923" s="467">
        <f t="shared" ca="1" si="617"/>
        <v>70708</v>
      </c>
      <c r="BE923" s="467">
        <f t="shared" ca="1" si="605"/>
        <v>70737</v>
      </c>
      <c r="BF923" s="468">
        <f ca="1">IF(計算!$BC923&lt;OP!$C$3,0,BD923-BC923)</f>
        <v>1</v>
      </c>
      <c r="BG923" s="468">
        <f ca="1">IF($BE923&gt;DATE(YEAR($BD$9)+OP!$C$57,MONTH($BD$9),DAY($BD$9)),0,$BE923-$BD923+1)</f>
        <v>30</v>
      </c>
      <c r="BH923" s="469">
        <f t="shared" ca="1" si="606"/>
        <v>31</v>
      </c>
      <c r="BI923" t="str">
        <f t="shared" si="622"/>
        <v/>
      </c>
      <c r="BJ923">
        <v>2</v>
      </c>
      <c r="BN923" s="468">
        <f t="shared" si="618"/>
        <v>77</v>
      </c>
      <c r="BO923" s="468">
        <f t="shared" si="619"/>
        <v>2</v>
      </c>
      <c r="BP923" s="467">
        <f t="shared" ca="1" si="607"/>
        <v>70708</v>
      </c>
      <c r="BQ923" s="475">
        <f t="shared" ca="1" si="621"/>
        <v>109</v>
      </c>
      <c r="BR923" s="475" t="str">
        <f t="shared" si="620"/>
        <v/>
      </c>
      <c r="BS923" s="471" t="str">
        <f t="shared" si="608"/>
        <v/>
      </c>
      <c r="BT923" s="472" t="str">
        <f t="shared" si="623"/>
        <v/>
      </c>
      <c r="BU923" s="472">
        <f t="shared" ca="1" si="609"/>
        <v>0</v>
      </c>
      <c r="BV923" s="472">
        <f t="shared" ca="1" si="609"/>
        <v>0</v>
      </c>
      <c r="BW923" s="472"/>
      <c r="BX923" s="473">
        <f t="shared" ca="1" si="610"/>
        <v>2572041.78353544</v>
      </c>
      <c r="BY923" s="473">
        <f t="shared" si="611"/>
        <v>0</v>
      </c>
      <c r="BZ923" s="473">
        <f t="shared" ca="1" si="593"/>
        <v>5876.2345510679997</v>
      </c>
      <c r="CA923" s="476">
        <f t="shared" ca="1" si="612"/>
        <v>0</v>
      </c>
      <c r="CB923" s="494">
        <f ca="1">IF(OR($Q922&lt;&gt;1,OP!$D$5+$BN923-1&lt;16,$BN923-1&lt;1),0,ROUND(ROUND(ROUND(((VLOOKUP($BN923-1,MORE_PV,5,0)/10000)*VLOOKUP($BN923,MORE_PV,$CB$5,0)),3)*VLOOKUP($BN923,more1,5,0),0)/$R922,0))</f>
        <v>0</v>
      </c>
      <c r="CC923" s="473">
        <f t="shared" ca="1" si="613"/>
        <v>0</v>
      </c>
      <c r="CD923" s="477"/>
    </row>
    <row r="924" spans="2:82" ht="16.5" hidden="1">
      <c r="B924" s="80"/>
      <c r="C924" s="80"/>
      <c r="D924" s="80"/>
      <c r="E924" s="80"/>
      <c r="F924" s="80"/>
      <c r="G924" s="80"/>
      <c r="H924" s="80"/>
      <c r="I924" s="80"/>
      <c r="J924" s="192">
        <f t="shared" si="594"/>
        <v>77</v>
      </c>
      <c r="K924" s="192">
        <f t="shared" si="595"/>
        <v>4</v>
      </c>
      <c r="L924" s="192" t="str">
        <f t="shared" si="590"/>
        <v/>
      </c>
      <c r="M924" s="216">
        <f t="shared" ca="1" si="596"/>
        <v>0</v>
      </c>
      <c r="N924" s="216"/>
      <c r="O924" s="216"/>
      <c r="P924" s="216"/>
      <c r="Q924" s="456" t="str">
        <f t="shared" ca="1" si="597"/>
        <v/>
      </c>
      <c r="R924" s="450">
        <f t="shared" ca="1" si="598"/>
        <v>1</v>
      </c>
      <c r="S924" s="191">
        <f t="shared" si="599"/>
        <v>77</v>
      </c>
      <c r="T924" s="191">
        <f t="shared" si="600"/>
        <v>4</v>
      </c>
      <c r="U924" s="191">
        <f ca="1">OP!$D$5+$S924-1</f>
        <v>109</v>
      </c>
      <c r="V924" s="191" t="str">
        <f t="shared" si="601"/>
        <v/>
      </c>
      <c r="W924" s="350">
        <f ca="1">IF(Q924&lt;&gt;1,0,VLOOKUP(OP!$C$55,PVFB,$S924+2,0))</f>
        <v>0</v>
      </c>
      <c r="X924" s="473">
        <f t="shared" ca="1" si="614"/>
        <v>0</v>
      </c>
      <c r="Y924" s="348">
        <f t="shared" ca="1" si="615"/>
        <v>0</v>
      </c>
      <c r="Z924" s="348">
        <f t="shared" ca="1" si="616"/>
        <v>8012</v>
      </c>
      <c r="AA924" s="348">
        <f ca="1">IF(Q924&lt;&gt;1,0,VLOOKUP(OP!$C$55,PVFB,$S924+2,0))</f>
        <v>0</v>
      </c>
      <c r="AB924" s="488" t="str">
        <f ca="1">IF(AND(S924&lt;OP!$C$24,$U924&lt;15),0,IF(AND($U924&lt;15,$T924=12),ROUND(VLOOKUP($S924,DOWN16,5,0),3),IF($T924=12,ROUND(($Z924/10000)*$AA924,3)+IF(AND($P$7="購買增額繳清保險",T924=12,U924=110),VLOOKUP(S924,$B$10:$H$121,7,0),0),"")))</f>
        <v/>
      </c>
      <c r="AC924" s="350" t="str">
        <f ca="1">IF(AND(S924&lt;OP!$C$24,$U924&lt;15),0,IF(AND($U924&lt;16,$T924=12),VLOOKUP($S924,DOWN16,4,0),IF($T924=12,ROUND(VLOOKUP(OP!$C$55,_DIE2,$S924+1,0)*(Z924/10000),0)+IF(AND($P$7="購買增額繳清保險",T924=12,U924=110),VLOOKUP(S924,$B$10:$H$121,7,0),0),"")))</f>
        <v/>
      </c>
      <c r="AD924" s="347"/>
      <c r="AE924" s="350" t="str">
        <f t="shared" ca="1" si="591"/>
        <v/>
      </c>
      <c r="AF924" s="351" t="str">
        <f t="shared" ca="1" si="592"/>
        <v/>
      </c>
      <c r="AG924" s="340"/>
      <c r="AH924" s="340"/>
      <c r="AI924" s="340"/>
      <c r="AJ924" s="340"/>
      <c r="AK924" s="340"/>
      <c r="AL924" s="340"/>
      <c r="AM924" s="340"/>
      <c r="AN924" s="340"/>
      <c r="AO924" s="340"/>
      <c r="AP924" s="340"/>
      <c r="AQ924" s="340"/>
      <c r="AR924" s="340"/>
      <c r="AS924" s="340"/>
      <c r="AT924" s="340"/>
      <c r="AU924" s="340"/>
      <c r="AV924" s="340"/>
      <c r="AY924" s="340"/>
      <c r="AZ924" s="465">
        <f t="shared" ca="1" si="602"/>
        <v>7.3698599999999999E-5</v>
      </c>
      <c r="BA924" s="464">
        <f t="shared" ca="1" si="603"/>
        <v>2.1372602999999999E-3</v>
      </c>
      <c r="BB924" s="465">
        <f t="shared" ca="1" si="603"/>
        <v>2.2109589000000002E-3</v>
      </c>
      <c r="BC924" s="466">
        <f t="shared" ca="1" si="604"/>
        <v>70738</v>
      </c>
      <c r="BD924" s="467">
        <f t="shared" ca="1" si="617"/>
        <v>70739</v>
      </c>
      <c r="BE924" s="467">
        <f t="shared" ca="1" si="605"/>
        <v>70767</v>
      </c>
      <c r="BF924" s="468">
        <f ca="1">IF(計算!$BC924&lt;OP!$C$3,0,BD924-BC924)</f>
        <v>1</v>
      </c>
      <c r="BG924" s="468">
        <f ca="1">IF($BE924&gt;DATE(YEAR($BD$9)+OP!$C$57,MONTH($BD$9),DAY($BD$9)),0,$BE924-$BD924+1)</f>
        <v>29</v>
      </c>
      <c r="BH924" s="469">
        <f t="shared" ca="1" si="606"/>
        <v>30</v>
      </c>
      <c r="BI924" t="str">
        <f t="shared" si="622"/>
        <v/>
      </c>
      <c r="BJ924">
        <v>3</v>
      </c>
      <c r="BN924" s="468">
        <f t="shared" si="618"/>
        <v>77</v>
      </c>
      <c r="BO924" s="468">
        <f t="shared" si="619"/>
        <v>3</v>
      </c>
      <c r="BP924" s="467">
        <f t="shared" ca="1" si="607"/>
        <v>70739</v>
      </c>
      <c r="BQ924" s="475">
        <f t="shared" ca="1" si="621"/>
        <v>109</v>
      </c>
      <c r="BR924" s="475" t="str">
        <f t="shared" si="620"/>
        <v/>
      </c>
      <c r="BS924" s="471" t="str">
        <f t="shared" si="608"/>
        <v/>
      </c>
      <c r="BT924" s="472" t="str">
        <f t="shared" si="623"/>
        <v/>
      </c>
      <c r="BU924" s="472">
        <f t="shared" ca="1" si="609"/>
        <v>0</v>
      </c>
      <c r="BV924" s="472">
        <f t="shared" ca="1" si="609"/>
        <v>0</v>
      </c>
      <c r="BW924" s="472"/>
      <c r="BX924" s="473">
        <f t="shared" ca="1" si="610"/>
        <v>2577918.0180865098</v>
      </c>
      <c r="BY924" s="473">
        <f t="shared" si="611"/>
        <v>0</v>
      </c>
      <c r="BZ924" s="473">
        <f t="shared" ca="1" si="593"/>
        <v>5699.6707855590003</v>
      </c>
      <c r="CA924" s="476">
        <f t="shared" ca="1" si="612"/>
        <v>0</v>
      </c>
      <c r="CB924" s="494">
        <f ca="1">IF(OR($Q923&lt;&gt;1,OP!$D$5+$BN924-1&lt;16,$BN924-1&lt;1),0,ROUND(ROUND(ROUND(((VLOOKUP($BN924-1,MORE_PV,5,0)/10000)*VLOOKUP($BN924,MORE_PV,$CB$5,0)),3)*VLOOKUP($BN924,more1,5,0),0)/$R923,0))</f>
        <v>0</v>
      </c>
      <c r="CC924" s="473">
        <f t="shared" ca="1" si="613"/>
        <v>0</v>
      </c>
      <c r="CD924" s="477"/>
    </row>
    <row r="925" spans="2:82" ht="16.5" hidden="1">
      <c r="B925" s="80"/>
      <c r="C925" s="80"/>
      <c r="D925" s="80"/>
      <c r="E925" s="80"/>
      <c r="F925" s="80"/>
      <c r="G925" s="80"/>
      <c r="H925" s="80"/>
      <c r="I925" s="80"/>
      <c r="J925" s="192">
        <f t="shared" si="594"/>
        <v>77</v>
      </c>
      <c r="K925" s="192">
        <f t="shared" si="595"/>
        <v>5</v>
      </c>
      <c r="L925" s="192" t="str">
        <f t="shared" si="590"/>
        <v/>
      </c>
      <c r="M925" s="216">
        <f t="shared" ca="1" si="596"/>
        <v>0</v>
      </c>
      <c r="N925" s="216"/>
      <c r="O925" s="216"/>
      <c r="P925" s="216"/>
      <c r="Q925" s="456" t="str">
        <f t="shared" ca="1" si="597"/>
        <v/>
      </c>
      <c r="R925" s="450">
        <f t="shared" ca="1" si="598"/>
        <v>1</v>
      </c>
      <c r="S925" s="191">
        <f t="shared" si="599"/>
        <v>77</v>
      </c>
      <c r="T925" s="191">
        <f t="shared" si="600"/>
        <v>5</v>
      </c>
      <c r="U925" s="191">
        <f ca="1">OP!$D$5+$S925-1</f>
        <v>109</v>
      </c>
      <c r="V925" s="191" t="str">
        <f t="shared" si="601"/>
        <v/>
      </c>
      <c r="W925" s="350">
        <f ca="1">IF(Q925&lt;&gt;1,0,VLOOKUP(OP!$C$55,PVFB,$S925+2,0))</f>
        <v>0</v>
      </c>
      <c r="X925" s="473">
        <f t="shared" ca="1" si="614"/>
        <v>0</v>
      </c>
      <c r="Y925" s="348">
        <f t="shared" ca="1" si="615"/>
        <v>0</v>
      </c>
      <c r="Z925" s="348">
        <f t="shared" ca="1" si="616"/>
        <v>8012</v>
      </c>
      <c r="AA925" s="348">
        <f ca="1">IF(Q925&lt;&gt;1,0,VLOOKUP(OP!$C$55,PVFB,$S925+2,0))</f>
        <v>0</v>
      </c>
      <c r="AB925" s="488" t="str">
        <f ca="1">IF(AND(S925&lt;OP!$C$24,$U925&lt;15),0,IF(AND($U925&lt;15,$T925=12),ROUND(VLOOKUP($S925,DOWN16,5,0),3),IF($T925=12,ROUND(($Z925/10000)*$AA925,3)+IF(AND($P$7="購買增額繳清保險",T925=12,U925=110),VLOOKUP(S925,$B$10:$H$121,7,0),0),"")))</f>
        <v/>
      </c>
      <c r="AC925" s="350" t="str">
        <f ca="1">IF(AND(S925&lt;OP!$C$24,$U925&lt;15),0,IF(AND($U925&lt;16,$T925=12),VLOOKUP($S925,DOWN16,4,0),IF($T925=12,ROUND(VLOOKUP(OP!$C$55,_DIE2,$S925+1,0)*(Z925/10000),0)+IF(AND($P$7="購買增額繳清保險",T925=12,U925=110),VLOOKUP(S925,$B$10:$H$121,7,0),0),"")))</f>
        <v/>
      </c>
      <c r="AD925" s="347"/>
      <c r="AE925" s="350" t="str">
        <f t="shared" ca="1" si="591"/>
        <v/>
      </c>
      <c r="AF925" s="351" t="str">
        <f t="shared" ca="1" si="592"/>
        <v/>
      </c>
      <c r="AG925" s="340"/>
      <c r="AH925" s="340"/>
      <c r="AI925" s="340"/>
      <c r="AJ925" s="340"/>
      <c r="AK925" s="340"/>
      <c r="AL925" s="340"/>
      <c r="AM925" s="340"/>
      <c r="AN925" s="340"/>
      <c r="AO925" s="340"/>
      <c r="AP925" s="340"/>
      <c r="AQ925" s="340"/>
      <c r="AR925" s="340"/>
      <c r="AS925" s="340"/>
      <c r="AT925" s="340"/>
      <c r="AU925" s="340"/>
      <c r="AV925" s="340"/>
      <c r="AY925" s="340"/>
      <c r="AZ925" s="465">
        <f t="shared" ca="1" si="602"/>
        <v>7.3698599999999999E-5</v>
      </c>
      <c r="BA925" s="464">
        <f t="shared" ca="1" si="603"/>
        <v>2.2109589000000002E-3</v>
      </c>
      <c r="BB925" s="465">
        <f t="shared" ca="1" si="603"/>
        <v>2.2846575E-3</v>
      </c>
      <c r="BC925" s="466">
        <f t="shared" ca="1" si="604"/>
        <v>70768</v>
      </c>
      <c r="BD925" s="467">
        <f t="shared" ca="1" si="617"/>
        <v>70769</v>
      </c>
      <c r="BE925" s="467">
        <f t="shared" ca="1" si="605"/>
        <v>70798</v>
      </c>
      <c r="BF925" s="468">
        <f ca="1">IF(計算!$BC925&lt;OP!$C$3,0,BD925-BC925)</f>
        <v>1</v>
      </c>
      <c r="BG925" s="468">
        <f ca="1">IF($BE925&gt;DATE(YEAR($BD$9)+OP!$C$57,MONTH($BD$9),DAY($BD$9)),0,$BE925-$BD925+1)</f>
        <v>30</v>
      </c>
      <c r="BH925" s="469">
        <f t="shared" ca="1" si="606"/>
        <v>31</v>
      </c>
      <c r="BI925" t="str">
        <f t="shared" si="622"/>
        <v/>
      </c>
      <c r="BJ925">
        <v>4</v>
      </c>
      <c r="BN925" s="468">
        <f t="shared" si="618"/>
        <v>77</v>
      </c>
      <c r="BO925" s="468">
        <f t="shared" si="619"/>
        <v>4</v>
      </c>
      <c r="BP925" s="467">
        <f t="shared" ca="1" si="607"/>
        <v>70769</v>
      </c>
      <c r="BQ925" s="475">
        <f t="shared" ca="1" si="621"/>
        <v>109</v>
      </c>
      <c r="BR925" s="475" t="str">
        <f t="shared" si="620"/>
        <v/>
      </c>
      <c r="BS925" s="471" t="str">
        <f t="shared" si="608"/>
        <v/>
      </c>
      <c r="BT925" s="472" t="str">
        <f t="shared" si="623"/>
        <v/>
      </c>
      <c r="BU925" s="472">
        <f t="shared" ca="1" si="609"/>
        <v>0</v>
      </c>
      <c r="BV925" s="472">
        <f t="shared" ca="1" si="609"/>
        <v>0</v>
      </c>
      <c r="BW925" s="472"/>
      <c r="BX925" s="473">
        <f t="shared" ca="1" si="610"/>
        <v>2583617.6888720701</v>
      </c>
      <c r="BY925" s="473">
        <f t="shared" si="611"/>
        <v>0</v>
      </c>
      <c r="BZ925" s="473">
        <f t="shared" ca="1" si="593"/>
        <v>5902.6815300139997</v>
      </c>
      <c r="CA925" s="476">
        <f t="shared" ca="1" si="612"/>
        <v>0</v>
      </c>
      <c r="CB925" s="494">
        <f ca="1">IF(OR($Q924&lt;&gt;1,OP!$D$5+$BN925-1&lt;16,$BN925-1&lt;1),0,ROUND(ROUND(ROUND(((VLOOKUP($BN925-1,MORE_PV,5,0)/10000)*VLOOKUP($BN925,MORE_PV,$CB$5,0)),3)*VLOOKUP($BN925,more1,5,0),0)/$R924,0))</f>
        <v>0</v>
      </c>
      <c r="CC925" s="473">
        <f t="shared" ca="1" si="613"/>
        <v>0</v>
      </c>
      <c r="CD925" s="477"/>
    </row>
    <row r="926" spans="2:82" ht="16.5" hidden="1">
      <c r="B926" s="80"/>
      <c r="C926" s="80"/>
      <c r="D926" s="80"/>
      <c r="E926" s="80"/>
      <c r="F926" s="80"/>
      <c r="G926" s="80"/>
      <c r="H926" s="80"/>
      <c r="I926" s="80"/>
      <c r="J926" s="192">
        <f t="shared" si="594"/>
        <v>77</v>
      </c>
      <c r="K926" s="192">
        <f t="shared" si="595"/>
        <v>6</v>
      </c>
      <c r="L926" s="192" t="str">
        <f t="shared" si="590"/>
        <v/>
      </c>
      <c r="M926" s="216">
        <f t="shared" ca="1" si="596"/>
        <v>0</v>
      </c>
      <c r="N926" s="216"/>
      <c r="O926" s="216"/>
      <c r="P926" s="216"/>
      <c r="Q926" s="456" t="str">
        <f t="shared" ca="1" si="597"/>
        <v/>
      </c>
      <c r="R926" s="450">
        <f t="shared" ca="1" si="598"/>
        <v>1</v>
      </c>
      <c r="S926" s="191">
        <f t="shared" si="599"/>
        <v>77</v>
      </c>
      <c r="T926" s="191">
        <f t="shared" si="600"/>
        <v>6</v>
      </c>
      <c r="U926" s="191">
        <f ca="1">OP!$D$5+$S926-1</f>
        <v>109</v>
      </c>
      <c r="V926" s="191" t="str">
        <f t="shared" si="601"/>
        <v/>
      </c>
      <c r="W926" s="350">
        <f ca="1">IF(Q926&lt;&gt;1,0,VLOOKUP(OP!$C$55,PVFB,$S926+2,0))</f>
        <v>0</v>
      </c>
      <c r="X926" s="473">
        <f t="shared" ca="1" si="614"/>
        <v>0</v>
      </c>
      <c r="Y926" s="348">
        <f t="shared" ca="1" si="615"/>
        <v>0</v>
      </c>
      <c r="Z926" s="348">
        <f t="shared" ca="1" si="616"/>
        <v>8012</v>
      </c>
      <c r="AA926" s="348">
        <f ca="1">IF(Q926&lt;&gt;1,0,VLOOKUP(OP!$C$55,PVFB,$S926+2,0))</f>
        <v>0</v>
      </c>
      <c r="AB926" s="488" t="str">
        <f ca="1">IF(AND(S926&lt;OP!$C$24,$U926&lt;15),0,IF(AND($U926&lt;15,$T926=12),ROUND(VLOOKUP($S926,DOWN16,5,0),3),IF($T926=12,ROUND(($Z926/10000)*$AA926,3)+IF(AND($P$7="購買增額繳清保險",T926=12,U926=110),VLOOKUP(S926,$B$10:$H$121,7,0),0),"")))</f>
        <v/>
      </c>
      <c r="AC926" s="350" t="str">
        <f ca="1">IF(AND(S926&lt;OP!$C$24,$U926&lt;15),0,IF(AND($U926&lt;16,$T926=12),VLOOKUP($S926,DOWN16,4,0),IF($T926=12,ROUND(VLOOKUP(OP!$C$55,_DIE2,$S926+1,0)*(Z926/10000),0)+IF(AND($P$7="購買增額繳清保險",T926=12,U926=110),VLOOKUP(S926,$B$10:$H$121,7,0),0),"")))</f>
        <v/>
      </c>
      <c r="AD926" s="347"/>
      <c r="AE926" s="350" t="str">
        <f t="shared" ca="1" si="591"/>
        <v/>
      </c>
      <c r="AF926" s="351" t="str">
        <f t="shared" ca="1" si="592"/>
        <v/>
      </c>
      <c r="AG926" s="340"/>
      <c r="AH926" s="340"/>
      <c r="AI926" s="340"/>
      <c r="AJ926" s="340"/>
      <c r="AK926" s="340"/>
      <c r="AL926" s="340"/>
      <c r="AM926" s="340"/>
      <c r="AN926" s="340"/>
      <c r="AO926" s="340"/>
      <c r="AP926" s="340"/>
      <c r="AQ926" s="340"/>
      <c r="AR926" s="340"/>
      <c r="AS926" s="340"/>
      <c r="AT926" s="340"/>
      <c r="AU926" s="340"/>
      <c r="AV926" s="340"/>
      <c r="AY926" s="340"/>
      <c r="AZ926" s="465">
        <f t="shared" ca="1" si="602"/>
        <v>7.3698599999999999E-5</v>
      </c>
      <c r="BA926" s="464">
        <f t="shared" ca="1" si="603"/>
        <v>2.1372602999999999E-3</v>
      </c>
      <c r="BB926" s="465">
        <f t="shared" ca="1" si="603"/>
        <v>2.2109589000000002E-3</v>
      </c>
      <c r="BC926" s="466">
        <f t="shared" ca="1" si="604"/>
        <v>70799</v>
      </c>
      <c r="BD926" s="467">
        <f t="shared" ca="1" si="617"/>
        <v>70800</v>
      </c>
      <c r="BE926" s="467">
        <f t="shared" ca="1" si="605"/>
        <v>70828</v>
      </c>
      <c r="BF926" s="468">
        <f ca="1">IF(計算!$BC926&lt;OP!$C$3,0,BD926-BC926)</f>
        <v>1</v>
      </c>
      <c r="BG926" s="468">
        <f ca="1">IF($BE926&gt;DATE(YEAR($BD$9)+OP!$C$57,MONTH($BD$9),DAY($BD$9)),0,$BE926-$BD926+1)</f>
        <v>29</v>
      </c>
      <c r="BH926" s="469">
        <f t="shared" ca="1" si="606"/>
        <v>30</v>
      </c>
      <c r="BI926" t="str">
        <f t="shared" si="622"/>
        <v/>
      </c>
      <c r="BJ926">
        <v>5</v>
      </c>
      <c r="BN926" s="468">
        <f t="shared" si="618"/>
        <v>77</v>
      </c>
      <c r="BO926" s="468">
        <f t="shared" si="619"/>
        <v>5</v>
      </c>
      <c r="BP926" s="467">
        <f t="shared" ca="1" si="607"/>
        <v>70800</v>
      </c>
      <c r="BQ926" s="475">
        <f t="shared" ca="1" si="621"/>
        <v>109</v>
      </c>
      <c r="BR926" s="475" t="str">
        <f t="shared" si="620"/>
        <v/>
      </c>
      <c r="BS926" s="471" t="str">
        <f t="shared" si="608"/>
        <v/>
      </c>
      <c r="BT926" s="472" t="str">
        <f t="shared" si="623"/>
        <v/>
      </c>
      <c r="BU926" s="472">
        <f t="shared" ca="1" si="609"/>
        <v>0</v>
      </c>
      <c r="BV926" s="472">
        <f t="shared" ca="1" si="609"/>
        <v>0</v>
      </c>
      <c r="BW926" s="472"/>
      <c r="BX926" s="473">
        <f t="shared" ca="1" si="610"/>
        <v>2589520.37040208</v>
      </c>
      <c r="BY926" s="473">
        <f t="shared" si="611"/>
        <v>0</v>
      </c>
      <c r="BZ926" s="473">
        <f t="shared" ca="1" si="593"/>
        <v>5725.3231096720001</v>
      </c>
      <c r="CA926" s="476">
        <f t="shared" ca="1" si="612"/>
        <v>0</v>
      </c>
      <c r="CB926" s="494">
        <f ca="1">IF(OR($Q925&lt;&gt;1,OP!$D$5+$BN926-1&lt;16,$BN926-1&lt;1),0,ROUND(ROUND(ROUND(((VLOOKUP($BN926-1,MORE_PV,5,0)/10000)*VLOOKUP($BN926,MORE_PV,$CB$5,0)),3)*VLOOKUP($BN926,more1,5,0),0)/$R925,0))</f>
        <v>0</v>
      </c>
      <c r="CC926" s="473">
        <f t="shared" ca="1" si="613"/>
        <v>0</v>
      </c>
      <c r="CD926" s="477"/>
    </row>
    <row r="927" spans="2:82" ht="16.5" hidden="1">
      <c r="B927" s="80"/>
      <c r="C927" s="80"/>
      <c r="D927" s="80"/>
      <c r="E927" s="80"/>
      <c r="F927" s="80"/>
      <c r="G927" s="80"/>
      <c r="H927" s="80"/>
      <c r="I927" s="80"/>
      <c r="J927" s="192">
        <f t="shared" si="594"/>
        <v>77</v>
      </c>
      <c r="K927" s="192">
        <f t="shared" si="595"/>
        <v>7</v>
      </c>
      <c r="L927" s="192" t="str">
        <f t="shared" si="590"/>
        <v/>
      </c>
      <c r="M927" s="216">
        <f t="shared" ca="1" si="596"/>
        <v>0</v>
      </c>
      <c r="N927" s="216"/>
      <c r="O927" s="216"/>
      <c r="P927" s="216"/>
      <c r="Q927" s="456" t="str">
        <f t="shared" ca="1" si="597"/>
        <v/>
      </c>
      <c r="R927" s="450">
        <f t="shared" ca="1" si="598"/>
        <v>1</v>
      </c>
      <c r="S927" s="191">
        <f t="shared" si="599"/>
        <v>77</v>
      </c>
      <c r="T927" s="191">
        <f t="shared" si="600"/>
        <v>7</v>
      </c>
      <c r="U927" s="191">
        <f ca="1">OP!$D$5+$S927-1</f>
        <v>109</v>
      </c>
      <c r="V927" s="191" t="str">
        <f t="shared" si="601"/>
        <v/>
      </c>
      <c r="W927" s="350">
        <f ca="1">IF(Q927&lt;&gt;1,0,VLOOKUP(OP!$C$55,PVFB,$S927+2,0))</f>
        <v>0</v>
      </c>
      <c r="X927" s="473">
        <f t="shared" ca="1" si="614"/>
        <v>0</v>
      </c>
      <c r="Y927" s="348">
        <f t="shared" ca="1" si="615"/>
        <v>0</v>
      </c>
      <c r="Z927" s="348">
        <f t="shared" ca="1" si="616"/>
        <v>8012</v>
      </c>
      <c r="AA927" s="348">
        <f ca="1">IF(Q927&lt;&gt;1,0,VLOOKUP(OP!$C$55,PVFB,$S927+2,0))</f>
        <v>0</v>
      </c>
      <c r="AB927" s="488" t="str">
        <f ca="1">IF(AND(S927&lt;OP!$C$24,$U927&lt;15),0,IF(AND($U927&lt;15,$T927=12),ROUND(VLOOKUP($S927,DOWN16,5,0),3),IF($T927=12,ROUND(($Z927/10000)*$AA927,3)+IF(AND($P$7="購買增額繳清保險",T927=12,U927=110),VLOOKUP(S927,$B$10:$H$121,7,0),0),"")))</f>
        <v/>
      </c>
      <c r="AC927" s="350" t="str">
        <f ca="1">IF(AND(S927&lt;OP!$C$24,$U927&lt;15),0,IF(AND($U927&lt;16,$T927=12),VLOOKUP($S927,DOWN16,4,0),IF($T927=12,ROUND(VLOOKUP(OP!$C$55,_DIE2,$S927+1,0)*(Z927/10000),0)+IF(AND($P$7="購買增額繳清保險",T927=12,U927=110),VLOOKUP(S927,$B$10:$H$121,7,0),0),"")))</f>
        <v/>
      </c>
      <c r="AD927" s="347"/>
      <c r="AE927" s="350" t="str">
        <f t="shared" ca="1" si="591"/>
        <v/>
      </c>
      <c r="AF927" s="351" t="str">
        <f t="shared" ca="1" si="592"/>
        <v/>
      </c>
      <c r="AG927" s="340"/>
      <c r="AH927" s="340"/>
      <c r="AI927" s="340"/>
      <c r="AJ927" s="340"/>
      <c r="AK927" s="340"/>
      <c r="AL927" s="340"/>
      <c r="AM927" s="340"/>
      <c r="AN927" s="340"/>
      <c r="AO927" s="340"/>
      <c r="AP927" s="340"/>
      <c r="AQ927" s="340"/>
      <c r="AR927" s="340"/>
      <c r="AS927" s="340"/>
      <c r="AT927" s="340"/>
      <c r="AU927" s="340"/>
      <c r="AV927" s="340"/>
      <c r="AY927" s="340"/>
      <c r="AZ927" s="465">
        <f t="shared" ca="1" si="602"/>
        <v>7.3698599999999999E-5</v>
      </c>
      <c r="BA927" s="464">
        <f t="shared" ca="1" si="603"/>
        <v>2.2109589000000002E-3</v>
      </c>
      <c r="BB927" s="465">
        <f t="shared" ca="1" si="603"/>
        <v>2.2846575E-3</v>
      </c>
      <c r="BC927" s="466">
        <f t="shared" ca="1" si="604"/>
        <v>70829</v>
      </c>
      <c r="BD927" s="467">
        <f t="shared" ca="1" si="617"/>
        <v>70830</v>
      </c>
      <c r="BE927" s="467">
        <f t="shared" ca="1" si="605"/>
        <v>70859</v>
      </c>
      <c r="BF927" s="468">
        <f ca="1">IF(計算!$BC927&lt;OP!$C$3,0,BD927-BC927)</f>
        <v>1</v>
      </c>
      <c r="BG927" s="468">
        <f ca="1">IF($BE927&gt;DATE(YEAR($BD$9)+OP!$C$57,MONTH($BD$9),DAY($BD$9)),0,$BE927-$BD927+1)</f>
        <v>30</v>
      </c>
      <c r="BH927" s="469">
        <f t="shared" ca="1" si="606"/>
        <v>31</v>
      </c>
      <c r="BI927" t="str">
        <f t="shared" si="622"/>
        <v/>
      </c>
      <c r="BJ927">
        <v>6</v>
      </c>
      <c r="BN927" s="468">
        <f t="shared" si="618"/>
        <v>77</v>
      </c>
      <c r="BO927" s="468">
        <f t="shared" si="619"/>
        <v>6</v>
      </c>
      <c r="BP927" s="467">
        <f t="shared" ca="1" si="607"/>
        <v>70830</v>
      </c>
      <c r="BQ927" s="475">
        <f t="shared" ca="1" si="621"/>
        <v>109</v>
      </c>
      <c r="BR927" s="475" t="str">
        <f t="shared" si="620"/>
        <v/>
      </c>
      <c r="BS927" s="471" t="str">
        <f t="shared" si="608"/>
        <v/>
      </c>
      <c r="BT927" s="472" t="str">
        <f t="shared" si="623"/>
        <v/>
      </c>
      <c r="BU927" s="472">
        <f t="shared" ca="1" si="609"/>
        <v>0</v>
      </c>
      <c r="BV927" s="472">
        <f t="shared" ca="1" si="609"/>
        <v>0</v>
      </c>
      <c r="BW927" s="472"/>
      <c r="BX927" s="473">
        <f t="shared" ca="1" si="610"/>
        <v>2595245.6935117501</v>
      </c>
      <c r="BY927" s="473">
        <f t="shared" si="611"/>
        <v>0</v>
      </c>
      <c r="BZ927" s="473">
        <f t="shared" ca="1" si="593"/>
        <v>5929.2475380240003</v>
      </c>
      <c r="CA927" s="476">
        <f t="shared" ca="1" si="612"/>
        <v>0</v>
      </c>
      <c r="CB927" s="494">
        <f ca="1">IF(OR($Q926&lt;&gt;1,OP!$D$5+$BN927-1&lt;16,$BN927-1&lt;1),0,ROUND(ROUND(ROUND(((VLOOKUP($BN927-1,MORE_PV,5,0)/10000)*VLOOKUP($BN927,MORE_PV,$CB$5,0)),3)*VLOOKUP($BN927,more1,5,0),0)/$R926,0))</f>
        <v>0</v>
      </c>
      <c r="CC927" s="473">
        <f t="shared" ca="1" si="613"/>
        <v>0</v>
      </c>
      <c r="CD927" s="477"/>
    </row>
    <row r="928" spans="2:82" ht="16.5" hidden="1">
      <c r="B928" s="80"/>
      <c r="C928" s="80"/>
      <c r="D928" s="80"/>
      <c r="E928" s="80"/>
      <c r="F928" s="80"/>
      <c r="G928" s="80"/>
      <c r="H928" s="80"/>
      <c r="I928" s="80"/>
      <c r="J928" s="192">
        <f t="shared" si="594"/>
        <v>77</v>
      </c>
      <c r="K928" s="192">
        <f t="shared" si="595"/>
        <v>8</v>
      </c>
      <c r="L928" s="192" t="str">
        <f t="shared" si="590"/>
        <v/>
      </c>
      <c r="M928" s="216">
        <f t="shared" ca="1" si="596"/>
        <v>0</v>
      </c>
      <c r="N928" s="216"/>
      <c r="O928" s="216"/>
      <c r="P928" s="216"/>
      <c r="Q928" s="456" t="str">
        <f t="shared" ca="1" si="597"/>
        <v/>
      </c>
      <c r="R928" s="450">
        <f t="shared" ca="1" si="598"/>
        <v>1</v>
      </c>
      <c r="S928" s="191">
        <f t="shared" si="599"/>
        <v>77</v>
      </c>
      <c r="T928" s="191">
        <f t="shared" si="600"/>
        <v>8</v>
      </c>
      <c r="U928" s="191">
        <f ca="1">OP!$D$5+$S928-1</f>
        <v>109</v>
      </c>
      <c r="V928" s="191" t="str">
        <f t="shared" si="601"/>
        <v/>
      </c>
      <c r="W928" s="350">
        <f ca="1">IF(Q928&lt;&gt;1,0,VLOOKUP(OP!$C$55,PVFB,$S928+2,0))</f>
        <v>0</v>
      </c>
      <c r="X928" s="473">
        <f t="shared" ca="1" si="614"/>
        <v>0</v>
      </c>
      <c r="Y928" s="348">
        <f t="shared" ca="1" si="615"/>
        <v>0</v>
      </c>
      <c r="Z928" s="348">
        <f t="shared" ca="1" si="616"/>
        <v>8012</v>
      </c>
      <c r="AA928" s="348">
        <f ca="1">IF(Q928&lt;&gt;1,0,VLOOKUP(OP!$C$55,PVFB,$S928+2,0))</f>
        <v>0</v>
      </c>
      <c r="AB928" s="488" t="str">
        <f ca="1">IF(AND(S928&lt;OP!$C$24,$U928&lt;15),0,IF(AND($U928&lt;15,$T928=12),ROUND(VLOOKUP($S928,DOWN16,5,0),3),IF($T928=12,ROUND(($Z928/10000)*$AA928,3)+IF(AND($P$7="購買增額繳清保險",T928=12,U928=110),VLOOKUP(S928,$B$10:$H$121,7,0),0),"")))</f>
        <v/>
      </c>
      <c r="AC928" s="350" t="str">
        <f ca="1">IF(AND(S928&lt;OP!$C$24,$U928&lt;15),0,IF(AND($U928&lt;16,$T928=12),VLOOKUP($S928,DOWN16,4,0),IF($T928=12,ROUND(VLOOKUP(OP!$C$55,_DIE2,$S928+1,0)*(Z928/10000),0)+IF(AND($P$7="購買增額繳清保險",T928=12,U928=110),VLOOKUP(S928,$B$10:$H$121,7,0),0),"")))</f>
        <v/>
      </c>
      <c r="AD928" s="347"/>
      <c r="AE928" s="350" t="str">
        <f t="shared" ca="1" si="591"/>
        <v/>
      </c>
      <c r="AF928" s="351" t="str">
        <f t="shared" ca="1" si="592"/>
        <v/>
      </c>
      <c r="AG928" s="340"/>
      <c r="AH928" s="340"/>
      <c r="AI928" s="340"/>
      <c r="AJ928" s="340"/>
      <c r="AK928" s="340"/>
      <c r="AL928" s="340"/>
      <c r="AM928" s="340"/>
      <c r="AN928" s="340"/>
      <c r="AO928" s="340"/>
      <c r="AP928" s="340"/>
      <c r="AQ928" s="340"/>
      <c r="AR928" s="340"/>
      <c r="AS928" s="340"/>
      <c r="AT928" s="340"/>
      <c r="AU928" s="340"/>
      <c r="AV928" s="340"/>
      <c r="AY928" s="340"/>
      <c r="AZ928" s="465">
        <f t="shared" ca="1" si="602"/>
        <v>7.3698599999999999E-5</v>
      </c>
      <c r="BA928" s="464">
        <f t="shared" ca="1" si="603"/>
        <v>2.2109589000000002E-3</v>
      </c>
      <c r="BB928" s="465">
        <f t="shared" ca="1" si="603"/>
        <v>2.2846575E-3</v>
      </c>
      <c r="BC928" s="466">
        <f t="shared" ca="1" si="604"/>
        <v>70860</v>
      </c>
      <c r="BD928" s="467">
        <f t="shared" ca="1" si="617"/>
        <v>70861</v>
      </c>
      <c r="BE928" s="467">
        <f t="shared" ca="1" si="605"/>
        <v>70890</v>
      </c>
      <c r="BF928" s="468">
        <f ca="1">IF(計算!$BC928&lt;OP!$C$3,0,BD928-BC928)</f>
        <v>1</v>
      </c>
      <c r="BG928" s="468">
        <f ca="1">IF($BE928&gt;DATE(YEAR($BD$9)+OP!$C$57,MONTH($BD$9),DAY($BD$9)),0,$BE928-$BD928+1)</f>
        <v>30</v>
      </c>
      <c r="BH928" s="469">
        <f t="shared" ca="1" si="606"/>
        <v>31</v>
      </c>
      <c r="BI928" t="str">
        <f t="shared" si="622"/>
        <v/>
      </c>
      <c r="BJ928">
        <v>7</v>
      </c>
      <c r="BN928" s="468">
        <f t="shared" si="618"/>
        <v>77</v>
      </c>
      <c r="BO928" s="468">
        <f t="shared" si="619"/>
        <v>7</v>
      </c>
      <c r="BP928" s="467">
        <f t="shared" ca="1" si="607"/>
        <v>70861</v>
      </c>
      <c r="BQ928" s="475">
        <f t="shared" ca="1" si="621"/>
        <v>109</v>
      </c>
      <c r="BR928" s="475" t="str">
        <f t="shared" si="620"/>
        <v/>
      </c>
      <c r="BS928" s="471" t="str">
        <f t="shared" si="608"/>
        <v/>
      </c>
      <c r="BT928" s="472" t="str">
        <f t="shared" si="623"/>
        <v/>
      </c>
      <c r="BU928" s="472">
        <f t="shared" ca="1" si="609"/>
        <v>0</v>
      </c>
      <c r="BV928" s="472">
        <f t="shared" ca="1" si="609"/>
        <v>0</v>
      </c>
      <c r="BW928" s="472"/>
      <c r="BX928" s="473">
        <f t="shared" ca="1" si="610"/>
        <v>2601174.94104977</v>
      </c>
      <c r="BY928" s="473">
        <f t="shared" si="611"/>
        <v>0</v>
      </c>
      <c r="BZ928" s="473">
        <f t="shared" ca="1" si="593"/>
        <v>5942.7938378810004</v>
      </c>
      <c r="CA928" s="476">
        <f t="shared" ca="1" si="612"/>
        <v>0</v>
      </c>
      <c r="CB928" s="494">
        <f ca="1">IF(OR($Q927&lt;&gt;1,OP!$D$5+$BN928-1&lt;16,$BN928-1&lt;1),0,ROUND(ROUND(ROUND(((VLOOKUP($BN928-1,MORE_PV,5,0)/10000)*VLOOKUP($BN928,MORE_PV,$CB$5,0)),3)*VLOOKUP($BN928,more1,5,0),0)/$R927,0))</f>
        <v>0</v>
      </c>
      <c r="CC928" s="473">
        <f t="shared" ca="1" si="613"/>
        <v>0</v>
      </c>
      <c r="CD928" s="477"/>
    </row>
    <row r="929" spans="2:82" ht="16.5" hidden="1">
      <c r="B929" s="80"/>
      <c r="C929" s="80"/>
      <c r="D929" s="80"/>
      <c r="E929" s="80"/>
      <c r="F929" s="80"/>
      <c r="G929" s="80"/>
      <c r="H929" s="80"/>
      <c r="I929" s="80"/>
      <c r="J929" s="192">
        <f t="shared" si="594"/>
        <v>77</v>
      </c>
      <c r="K929" s="192">
        <f t="shared" si="595"/>
        <v>9</v>
      </c>
      <c r="L929" s="192" t="str">
        <f t="shared" si="590"/>
        <v/>
      </c>
      <c r="M929" s="216">
        <f t="shared" ca="1" si="596"/>
        <v>0</v>
      </c>
      <c r="N929" s="216"/>
      <c r="O929" s="216"/>
      <c r="P929" s="216"/>
      <c r="Q929" s="456" t="str">
        <f t="shared" ca="1" si="597"/>
        <v/>
      </c>
      <c r="R929" s="450">
        <f t="shared" ca="1" si="598"/>
        <v>1</v>
      </c>
      <c r="S929" s="191">
        <f t="shared" si="599"/>
        <v>77</v>
      </c>
      <c r="T929" s="191">
        <f t="shared" si="600"/>
        <v>9</v>
      </c>
      <c r="U929" s="191">
        <f ca="1">OP!$D$5+$S929-1</f>
        <v>109</v>
      </c>
      <c r="V929" s="191" t="str">
        <f t="shared" si="601"/>
        <v/>
      </c>
      <c r="W929" s="350">
        <f ca="1">IF(Q929&lt;&gt;1,0,VLOOKUP(OP!$C$55,PVFB,$S929+2,0))</f>
        <v>0</v>
      </c>
      <c r="X929" s="473">
        <f t="shared" ca="1" si="614"/>
        <v>0</v>
      </c>
      <c r="Y929" s="348">
        <f t="shared" ca="1" si="615"/>
        <v>0</v>
      </c>
      <c r="Z929" s="348">
        <f t="shared" ca="1" si="616"/>
        <v>8012</v>
      </c>
      <c r="AA929" s="348">
        <f ca="1">IF(Q929&lt;&gt;1,0,VLOOKUP(OP!$C$55,PVFB,$S929+2,0))</f>
        <v>0</v>
      </c>
      <c r="AB929" s="488" t="str">
        <f ca="1">IF(AND(S929&lt;OP!$C$24,$U929&lt;15),0,IF(AND($U929&lt;15,$T929=12),ROUND(VLOOKUP($S929,DOWN16,5,0),3),IF($T929=12,ROUND(($Z929/10000)*$AA929,3)+IF(AND($P$7="購買增額繳清保險",T929=12,U929=110),VLOOKUP(S929,$B$10:$H$121,7,0),0),"")))</f>
        <v/>
      </c>
      <c r="AC929" s="350" t="str">
        <f ca="1">IF(AND(S929&lt;OP!$C$24,$U929&lt;15),0,IF(AND($U929&lt;16,$T929=12),VLOOKUP($S929,DOWN16,4,0),IF($T929=12,ROUND(VLOOKUP(OP!$C$55,_DIE2,$S929+1,0)*(Z929/10000),0)+IF(AND($P$7="購買增額繳清保險",T929=12,U929=110),VLOOKUP(S929,$B$10:$H$121,7,0),0),"")))</f>
        <v/>
      </c>
      <c r="AD929" s="347"/>
      <c r="AE929" s="350" t="str">
        <f t="shared" ca="1" si="591"/>
        <v/>
      </c>
      <c r="AF929" s="351" t="str">
        <f t="shared" ca="1" si="592"/>
        <v/>
      </c>
      <c r="AG929" s="340"/>
      <c r="AH929" s="340"/>
      <c r="AI929" s="340"/>
      <c r="AJ929" s="340"/>
      <c r="AK929" s="340"/>
      <c r="AL929" s="340"/>
      <c r="AM929" s="340"/>
      <c r="AN929" s="340"/>
      <c r="AO929" s="340"/>
      <c r="AP929" s="340"/>
      <c r="AQ929" s="340"/>
      <c r="AR929" s="340"/>
      <c r="AS929" s="340"/>
      <c r="AT929" s="340"/>
      <c r="AU929" s="340"/>
      <c r="AV929" s="340"/>
      <c r="AY929" s="340"/>
      <c r="AZ929" s="465">
        <f t="shared" ca="1" si="602"/>
        <v>7.3698599999999999E-5</v>
      </c>
      <c r="BA929" s="464">
        <f t="shared" ca="1" si="603"/>
        <v>1.9898630000000001E-3</v>
      </c>
      <c r="BB929" s="465">
        <f t="shared" ca="1" si="603"/>
        <v>2.0635616E-3</v>
      </c>
      <c r="BC929" s="466">
        <f t="shared" ca="1" si="604"/>
        <v>70891</v>
      </c>
      <c r="BD929" s="467">
        <f t="shared" ca="1" si="617"/>
        <v>70892</v>
      </c>
      <c r="BE929" s="467">
        <f t="shared" ca="1" si="605"/>
        <v>70918</v>
      </c>
      <c r="BF929" s="468">
        <f ca="1">IF(計算!$BC929&lt;OP!$C$3,0,BD929-BC929)</f>
        <v>1</v>
      </c>
      <c r="BG929" s="468">
        <f ca="1">IF($BE929&gt;DATE(YEAR($BD$9)+OP!$C$57,MONTH($BD$9),DAY($BD$9)),0,$BE929-$BD929+1)</f>
        <v>27</v>
      </c>
      <c r="BH929" s="469">
        <f t="shared" ca="1" si="606"/>
        <v>28</v>
      </c>
      <c r="BI929" t="str">
        <f t="shared" si="622"/>
        <v/>
      </c>
      <c r="BJ929">
        <v>8</v>
      </c>
      <c r="BN929" s="468">
        <f t="shared" si="618"/>
        <v>77</v>
      </c>
      <c r="BO929" s="468">
        <f t="shared" si="619"/>
        <v>8</v>
      </c>
      <c r="BP929" s="467">
        <f t="shared" ca="1" si="607"/>
        <v>70892</v>
      </c>
      <c r="BQ929" s="475">
        <f t="shared" ca="1" si="621"/>
        <v>109</v>
      </c>
      <c r="BR929" s="475" t="str">
        <f t="shared" si="620"/>
        <v/>
      </c>
      <c r="BS929" s="471" t="str">
        <f t="shared" si="608"/>
        <v/>
      </c>
      <c r="BT929" s="472" t="str">
        <f t="shared" si="623"/>
        <v/>
      </c>
      <c r="BU929" s="472">
        <f t="shared" ca="1" si="609"/>
        <v>0</v>
      </c>
      <c r="BV929" s="472">
        <f t="shared" ca="1" si="609"/>
        <v>0</v>
      </c>
      <c r="BW929" s="472"/>
      <c r="BX929" s="473">
        <f t="shared" ca="1" si="610"/>
        <v>2607117.7348876498</v>
      </c>
      <c r="BY929" s="473">
        <f t="shared" si="611"/>
        <v>0</v>
      </c>
      <c r="BZ929" s="473">
        <f t="shared" ca="1" si="593"/>
        <v>5379.9480443929997</v>
      </c>
      <c r="CA929" s="476">
        <f t="shared" ca="1" si="612"/>
        <v>0</v>
      </c>
      <c r="CB929" s="494">
        <f ca="1">IF(OR($Q928&lt;&gt;1,OP!$D$5+$BN929-1&lt;16,$BN929-1&lt;1),0,ROUND(ROUND(ROUND(((VLOOKUP($BN929-1,MORE_PV,5,0)/10000)*VLOOKUP($BN929,MORE_PV,$CB$5,0)),3)*VLOOKUP($BN929,more1,5,0),0)/$R928,0))</f>
        <v>0</v>
      </c>
      <c r="CC929" s="473">
        <f t="shared" ca="1" si="613"/>
        <v>0</v>
      </c>
      <c r="CD929" s="477"/>
    </row>
    <row r="930" spans="2:82" ht="16.5" hidden="1">
      <c r="B930" s="80"/>
      <c r="C930" s="80"/>
      <c r="D930" s="80"/>
      <c r="E930" s="80"/>
      <c r="F930" s="80"/>
      <c r="G930" s="80"/>
      <c r="H930" s="80"/>
      <c r="I930" s="80"/>
      <c r="J930" s="192">
        <f t="shared" si="594"/>
        <v>77</v>
      </c>
      <c r="K930" s="192">
        <f t="shared" si="595"/>
        <v>10</v>
      </c>
      <c r="L930" s="192" t="str">
        <f t="shared" si="590"/>
        <v/>
      </c>
      <c r="M930" s="216">
        <f t="shared" ca="1" si="596"/>
        <v>0</v>
      </c>
      <c r="N930" s="216"/>
      <c r="O930" s="216"/>
      <c r="P930" s="216"/>
      <c r="Q930" s="456" t="str">
        <f t="shared" ca="1" si="597"/>
        <v/>
      </c>
      <c r="R930" s="450">
        <f t="shared" ca="1" si="598"/>
        <v>1</v>
      </c>
      <c r="S930" s="191">
        <f t="shared" si="599"/>
        <v>77</v>
      </c>
      <c r="T930" s="191">
        <f t="shared" si="600"/>
        <v>10</v>
      </c>
      <c r="U930" s="191">
        <f ca="1">OP!$D$5+$S930-1</f>
        <v>109</v>
      </c>
      <c r="V930" s="191" t="str">
        <f t="shared" si="601"/>
        <v/>
      </c>
      <c r="W930" s="350">
        <f ca="1">IF(Q930&lt;&gt;1,0,VLOOKUP(OP!$C$55,PVFB,$S930+2,0))</f>
        <v>0</v>
      </c>
      <c r="X930" s="473">
        <f t="shared" ca="1" si="614"/>
        <v>0</v>
      </c>
      <c r="Y930" s="348">
        <f t="shared" ca="1" si="615"/>
        <v>0</v>
      </c>
      <c r="Z930" s="348">
        <f t="shared" ca="1" si="616"/>
        <v>8012</v>
      </c>
      <c r="AA930" s="348">
        <f ca="1">IF(Q930&lt;&gt;1,0,VLOOKUP(OP!$C$55,PVFB,$S930+2,0))</f>
        <v>0</v>
      </c>
      <c r="AB930" s="488" t="str">
        <f ca="1">IF(AND(S930&lt;OP!$C$24,$U930&lt;15),0,IF(AND($U930&lt;15,$T930=12),ROUND(VLOOKUP($S930,DOWN16,5,0),3),IF($T930=12,ROUND(($Z930/10000)*$AA930,3)+IF(AND($P$7="購買增額繳清保險",T930=12,U930=110),VLOOKUP(S930,$B$10:$H$121,7,0),0),"")))</f>
        <v/>
      </c>
      <c r="AC930" s="350" t="str">
        <f ca="1">IF(AND(S930&lt;OP!$C$24,$U930&lt;15),0,IF(AND($U930&lt;16,$T930=12),VLOOKUP($S930,DOWN16,4,0),IF($T930=12,ROUND(VLOOKUP(OP!$C$55,_DIE2,$S930+1,0)*(Z930/10000),0)+IF(AND($P$7="購買增額繳清保險",T930=12,U930=110),VLOOKUP(S930,$B$10:$H$121,7,0),0),"")))</f>
        <v/>
      </c>
      <c r="AD930" s="347"/>
      <c r="AE930" s="350" t="str">
        <f t="shared" ca="1" si="591"/>
        <v/>
      </c>
      <c r="AF930" s="351" t="str">
        <f t="shared" ca="1" si="592"/>
        <v/>
      </c>
      <c r="AG930" s="340"/>
      <c r="AH930" s="340"/>
      <c r="AI930" s="340"/>
      <c r="AJ930" s="340"/>
      <c r="AK930" s="340"/>
      <c r="AL930" s="340"/>
      <c r="AM930" s="340"/>
      <c r="AN930" s="340"/>
      <c r="AO930" s="340"/>
      <c r="AP930" s="340"/>
      <c r="AQ930" s="340"/>
      <c r="AR930" s="340"/>
      <c r="AS930" s="340"/>
      <c r="AT930" s="340"/>
      <c r="AU930" s="340"/>
      <c r="AV930" s="340"/>
      <c r="AY930" s="340"/>
      <c r="AZ930" s="465">
        <f t="shared" ca="1" si="602"/>
        <v>7.3698599999999999E-5</v>
      </c>
      <c r="BA930" s="464">
        <f t="shared" ca="1" si="603"/>
        <v>2.2109589000000002E-3</v>
      </c>
      <c r="BB930" s="465">
        <f t="shared" ca="1" si="603"/>
        <v>2.2846575E-3</v>
      </c>
      <c r="BC930" s="466">
        <f t="shared" ca="1" si="604"/>
        <v>70919</v>
      </c>
      <c r="BD930" s="467">
        <f t="shared" ca="1" si="617"/>
        <v>70920</v>
      </c>
      <c r="BE930" s="467">
        <f t="shared" ca="1" si="605"/>
        <v>70949</v>
      </c>
      <c r="BF930" s="468">
        <f ca="1">IF(計算!$BC930&lt;OP!$C$3,0,BD930-BC930)</f>
        <v>1</v>
      </c>
      <c r="BG930" s="468">
        <f ca="1">IF($BE930&gt;DATE(YEAR($BD$9)+OP!$C$57,MONTH($BD$9),DAY($BD$9)),0,$BE930-$BD930+1)</f>
        <v>30</v>
      </c>
      <c r="BH930" s="469">
        <f t="shared" ca="1" si="606"/>
        <v>31</v>
      </c>
      <c r="BI930" t="str">
        <f t="shared" si="622"/>
        <v/>
      </c>
      <c r="BJ930">
        <v>9</v>
      </c>
      <c r="BN930" s="468">
        <f t="shared" si="618"/>
        <v>77</v>
      </c>
      <c r="BO930" s="468">
        <f t="shared" si="619"/>
        <v>9</v>
      </c>
      <c r="BP930" s="467">
        <f t="shared" ca="1" si="607"/>
        <v>70920</v>
      </c>
      <c r="BQ930" s="475">
        <f t="shared" ca="1" si="621"/>
        <v>109</v>
      </c>
      <c r="BR930" s="475" t="str">
        <f t="shared" si="620"/>
        <v/>
      </c>
      <c r="BS930" s="471" t="str">
        <f t="shared" si="608"/>
        <v/>
      </c>
      <c r="BT930" s="472" t="str">
        <f t="shared" si="623"/>
        <v/>
      </c>
      <c r="BU930" s="472">
        <f t="shared" ca="1" si="609"/>
        <v>0</v>
      </c>
      <c r="BV930" s="472">
        <f t="shared" ca="1" si="609"/>
        <v>0</v>
      </c>
      <c r="BW930" s="472"/>
      <c r="BX930" s="473">
        <f t="shared" ca="1" si="610"/>
        <v>2612497.6829320402</v>
      </c>
      <c r="BY930" s="473">
        <f t="shared" si="611"/>
        <v>0</v>
      </c>
      <c r="BZ930" s="473">
        <f t="shared" ca="1" si="593"/>
        <v>5968.6624250430004</v>
      </c>
      <c r="CA930" s="476">
        <f t="shared" ca="1" si="612"/>
        <v>0</v>
      </c>
      <c r="CB930" s="494">
        <f ca="1">IF(OR($Q929&lt;&gt;1,OP!$D$5+$BN930-1&lt;16,$BN930-1&lt;1),0,ROUND(ROUND(ROUND(((VLOOKUP($BN930-1,MORE_PV,5,0)/10000)*VLOOKUP($BN930,MORE_PV,$CB$5,0)),3)*VLOOKUP($BN930,more1,5,0),0)/$R929,0))</f>
        <v>0</v>
      </c>
      <c r="CC930" s="473">
        <f t="shared" ca="1" si="613"/>
        <v>0</v>
      </c>
      <c r="CD930" s="477"/>
    </row>
    <row r="931" spans="2:82" ht="16.5" hidden="1">
      <c r="B931" s="80"/>
      <c r="C931" s="80"/>
      <c r="D931" s="80"/>
      <c r="E931" s="80"/>
      <c r="F931" s="80"/>
      <c r="G931" s="80"/>
      <c r="H931" s="80"/>
      <c r="I931" s="80"/>
      <c r="J931" s="192">
        <f t="shared" si="594"/>
        <v>77</v>
      </c>
      <c r="K931" s="192">
        <f t="shared" si="595"/>
        <v>11</v>
      </c>
      <c r="L931" s="192" t="str">
        <f t="shared" si="590"/>
        <v/>
      </c>
      <c r="M931" s="216">
        <f t="shared" ca="1" si="596"/>
        <v>0</v>
      </c>
      <c r="N931" s="216"/>
      <c r="O931" s="216"/>
      <c r="P931" s="216"/>
      <c r="Q931" s="456" t="str">
        <f t="shared" ca="1" si="597"/>
        <v/>
      </c>
      <c r="R931" s="450">
        <f t="shared" ca="1" si="598"/>
        <v>1</v>
      </c>
      <c r="S931" s="191">
        <f t="shared" si="599"/>
        <v>77</v>
      </c>
      <c r="T931" s="191">
        <f t="shared" si="600"/>
        <v>11</v>
      </c>
      <c r="U931" s="191">
        <f ca="1">OP!$D$5+$S931-1</f>
        <v>109</v>
      </c>
      <c r="V931" s="191" t="str">
        <f t="shared" si="601"/>
        <v/>
      </c>
      <c r="W931" s="350">
        <f ca="1">IF(Q931&lt;&gt;1,0,VLOOKUP(OP!$C$55,PVFB,$S931+2,0))</f>
        <v>0</v>
      </c>
      <c r="X931" s="473">
        <f t="shared" ca="1" si="614"/>
        <v>0</v>
      </c>
      <c r="Y931" s="348">
        <f t="shared" ca="1" si="615"/>
        <v>0</v>
      </c>
      <c r="Z931" s="348">
        <f t="shared" ca="1" si="616"/>
        <v>8012</v>
      </c>
      <c r="AA931" s="348">
        <f ca="1">IF(Q931&lt;&gt;1,0,VLOOKUP(OP!$C$55,PVFB,$S931+2,0))</f>
        <v>0</v>
      </c>
      <c r="AB931" s="488" t="str">
        <f ca="1">IF(AND(S931&lt;OP!$C$24,$U931&lt;15),0,IF(AND($U931&lt;15,$T931=12),ROUND(VLOOKUP($S931,DOWN16,5,0),3),IF($T931=12,ROUND(($Z931/10000)*$AA931,3)+IF(AND($P$7="購買增額繳清保險",T931=12,U931=110),VLOOKUP(S931,$B$10:$H$121,7,0),0),"")))</f>
        <v/>
      </c>
      <c r="AC931" s="350" t="str">
        <f ca="1">IF(AND(S931&lt;OP!$C$24,$U931&lt;15),0,IF(AND($U931&lt;16,$T931=12),VLOOKUP($S931,DOWN16,4,0),IF($T931=12,ROUND(VLOOKUP(OP!$C$55,_DIE2,$S931+1,0)*(Z931/10000),0)+IF(AND($P$7="購買增額繳清保險",T931=12,U931=110),VLOOKUP(S931,$B$10:$H$121,7,0),0),"")))</f>
        <v/>
      </c>
      <c r="AD931" s="347"/>
      <c r="AE931" s="350" t="str">
        <f t="shared" ca="1" si="591"/>
        <v/>
      </c>
      <c r="AF931" s="351" t="str">
        <f t="shared" ca="1" si="592"/>
        <v/>
      </c>
      <c r="AG931" s="340"/>
      <c r="AH931" s="340"/>
      <c r="AI931" s="340"/>
      <c r="AJ931" s="340"/>
      <c r="AK931" s="340"/>
      <c r="AL931" s="340"/>
      <c r="AM931" s="340"/>
      <c r="AN931" s="340"/>
      <c r="AO931" s="340"/>
      <c r="AP931" s="340"/>
      <c r="AQ931" s="340"/>
      <c r="AR931" s="340"/>
      <c r="AS931" s="340"/>
      <c r="AT931" s="340"/>
      <c r="AU931" s="340"/>
      <c r="AV931" s="340"/>
      <c r="AY931" s="340"/>
      <c r="AZ931" s="465">
        <f t="shared" ca="1" si="602"/>
        <v>7.3698599999999999E-5</v>
      </c>
      <c r="BA931" s="464">
        <f t="shared" ca="1" si="603"/>
        <v>2.1372602999999999E-3</v>
      </c>
      <c r="BB931" s="465">
        <f t="shared" ca="1" si="603"/>
        <v>2.2109589000000002E-3</v>
      </c>
      <c r="BC931" s="466">
        <f t="shared" ca="1" si="604"/>
        <v>70950</v>
      </c>
      <c r="BD931" s="467">
        <f t="shared" ca="1" si="617"/>
        <v>70951</v>
      </c>
      <c r="BE931" s="467">
        <f t="shared" ca="1" si="605"/>
        <v>70979</v>
      </c>
      <c r="BF931" s="468">
        <f ca="1">IF(計算!$BC931&lt;OP!$C$3,0,BD931-BC931)</f>
        <v>1</v>
      </c>
      <c r="BG931" s="468">
        <f ca="1">IF($BE931&gt;DATE(YEAR($BD$9)+OP!$C$57,MONTH($BD$9),DAY($BD$9)),0,$BE931-$BD931+1)</f>
        <v>29</v>
      </c>
      <c r="BH931" s="469">
        <f t="shared" ca="1" si="606"/>
        <v>30</v>
      </c>
      <c r="BI931" t="str">
        <f t="shared" si="622"/>
        <v/>
      </c>
      <c r="BJ931">
        <v>10</v>
      </c>
      <c r="BN931" s="468">
        <f t="shared" si="618"/>
        <v>77</v>
      </c>
      <c r="BO931" s="468">
        <f t="shared" si="619"/>
        <v>10</v>
      </c>
      <c r="BP931" s="467">
        <f t="shared" ca="1" si="607"/>
        <v>70951</v>
      </c>
      <c r="BQ931" s="475">
        <f t="shared" ca="1" si="621"/>
        <v>109</v>
      </c>
      <c r="BR931" s="475" t="str">
        <f t="shared" si="620"/>
        <v/>
      </c>
      <c r="BS931" s="471" t="str">
        <f t="shared" si="608"/>
        <v/>
      </c>
      <c r="BT931" s="472" t="str">
        <f t="shared" si="623"/>
        <v/>
      </c>
      <c r="BU931" s="472">
        <f t="shared" ca="1" si="609"/>
        <v>0</v>
      </c>
      <c r="BV931" s="472">
        <f t="shared" ca="1" si="609"/>
        <v>0</v>
      </c>
      <c r="BW931" s="472"/>
      <c r="BX931" s="473">
        <f t="shared" ca="1" si="610"/>
        <v>2618466.34535708</v>
      </c>
      <c r="BY931" s="473">
        <f t="shared" si="611"/>
        <v>0</v>
      </c>
      <c r="BZ931" s="473">
        <f t="shared" ca="1" si="593"/>
        <v>5789.3214706179997</v>
      </c>
      <c r="CA931" s="476">
        <f t="shared" ca="1" si="612"/>
        <v>0</v>
      </c>
      <c r="CB931" s="494">
        <f ca="1">IF(OR($Q930&lt;&gt;1,OP!$D$5+$BN931-1&lt;16,$BN931-1&lt;1),0,ROUND(ROUND(ROUND(((VLOOKUP($BN931-1,MORE_PV,5,0)/10000)*VLOOKUP($BN931,MORE_PV,$CB$5,0)),3)*VLOOKUP($BN931,more1,5,0),0)/$R930,0))</f>
        <v>0</v>
      </c>
      <c r="CC931" s="473">
        <f t="shared" ca="1" si="613"/>
        <v>0</v>
      </c>
      <c r="CD931" s="477"/>
    </row>
    <row r="932" spans="2:82" ht="16.5" hidden="1">
      <c r="B932" s="80"/>
      <c r="C932" s="80"/>
      <c r="D932" s="80"/>
      <c r="E932" s="80"/>
      <c r="F932" s="80"/>
      <c r="G932" s="80"/>
      <c r="H932" s="80"/>
      <c r="I932" s="80"/>
      <c r="J932" s="192">
        <f t="shared" si="594"/>
        <v>77</v>
      </c>
      <c r="K932" s="192">
        <f t="shared" si="595"/>
        <v>12</v>
      </c>
      <c r="L932" s="192">
        <f t="shared" si="590"/>
        <v>77</v>
      </c>
      <c r="M932" s="216">
        <f t="shared" ca="1" si="596"/>
        <v>2656787</v>
      </c>
      <c r="N932" s="216"/>
      <c r="O932" s="216"/>
      <c r="P932" s="216"/>
      <c r="Q932" s="456">
        <f t="shared" ca="1" si="597"/>
        <v>1</v>
      </c>
      <c r="R932" s="450">
        <f t="shared" ca="1" si="598"/>
        <v>1</v>
      </c>
      <c r="S932" s="191">
        <f t="shared" si="599"/>
        <v>77</v>
      </c>
      <c r="T932" s="191">
        <f t="shared" si="600"/>
        <v>12</v>
      </c>
      <c r="U932" s="191">
        <f ca="1">OP!$D$5+$S932-1</f>
        <v>109</v>
      </c>
      <c r="V932" s="191">
        <f t="shared" si="601"/>
        <v>77</v>
      </c>
      <c r="W932" s="350">
        <f ca="1">IF(Q932&lt;&gt;1,0,VLOOKUP(OP!$C$55,PVFB,$S932+2,0))</f>
        <v>109708</v>
      </c>
      <c r="X932" s="473">
        <f t="shared" ca="1" si="614"/>
        <v>26343</v>
      </c>
      <c r="Y932" s="348">
        <f t="shared" ca="1" si="615"/>
        <v>0</v>
      </c>
      <c r="Z932" s="348">
        <f t="shared" ca="1" si="616"/>
        <v>8012</v>
      </c>
      <c r="AA932" s="348">
        <f ca="1">IF(Q932&lt;&gt;1,0,VLOOKUP(OP!$C$55,PVFB,$S932+2,0))</f>
        <v>109708</v>
      </c>
      <c r="AB932" s="488">
        <f ca="1">IF(AND(S932&lt;OP!$C$24,$U932&lt;15),0,IF(AND($U932&lt;15,$T932=12),ROUND(VLOOKUP($S932,DOWN16,5,0),3),IF($T932=12,ROUND(($Z932/10000)*$AA932,3)+IF(AND($P$7="購買增額繳清保險",T932=12,U932=110),VLOOKUP(S932,$B$10:$H$121,7,0),0),"")))</f>
        <v>87898.05</v>
      </c>
      <c r="AC932" s="350">
        <f ca="1">IF(AND(S932&lt;OP!$C$24,$U932&lt;15),0,IF(AND($U932&lt;16,$T932=12),VLOOKUP($S932,DOWN16,4,0),IF($T932=12,ROUND(VLOOKUP(OP!$C$55,_DIE2,$S932+1,0)*(Z932/10000),0)+IF(AND($P$7="購買增額繳清保險",T932=12,U932=110),VLOOKUP(S932,$B$10:$H$121,7,0),0),"")))</f>
        <v>87898</v>
      </c>
      <c r="AD932" s="347"/>
      <c r="AE932" s="350" t="str">
        <f t="shared" ca="1" si="591"/>
        <v/>
      </c>
      <c r="AF932" s="351" t="str">
        <f t="shared" ca="1" si="592"/>
        <v/>
      </c>
      <c r="AG932" s="340"/>
      <c r="AH932" s="340"/>
      <c r="AI932" s="340"/>
      <c r="AJ932" s="340"/>
      <c r="AK932" s="340"/>
      <c r="AL932" s="340"/>
      <c r="AM932" s="340"/>
      <c r="AN932" s="340"/>
      <c r="AO932" s="340"/>
      <c r="AP932" s="340"/>
      <c r="AQ932" s="340"/>
      <c r="AR932" s="340"/>
      <c r="AS932" s="340"/>
      <c r="AT932" s="340"/>
      <c r="AU932" s="340"/>
      <c r="AV932" s="340"/>
      <c r="AY932" s="340"/>
      <c r="AZ932" s="465">
        <f t="shared" ca="1" si="602"/>
        <v>7.3698599999999999E-5</v>
      </c>
      <c r="BA932" s="464">
        <f t="shared" ca="1" si="603"/>
        <v>2.2109589000000002E-3</v>
      </c>
      <c r="BB932" s="465">
        <f t="shared" ca="1" si="603"/>
        <v>2.2846575E-3</v>
      </c>
      <c r="BC932" s="466">
        <f t="shared" ca="1" si="604"/>
        <v>70980</v>
      </c>
      <c r="BD932" s="467">
        <f t="shared" ca="1" si="617"/>
        <v>70981</v>
      </c>
      <c r="BE932" s="467">
        <f t="shared" ca="1" si="605"/>
        <v>71010</v>
      </c>
      <c r="BF932" s="468">
        <f ca="1">IF(計算!$BC932&lt;OP!$C$3,0,BD932-BC932)</f>
        <v>1</v>
      </c>
      <c r="BG932" s="468">
        <f ca="1">IF($BE932&gt;DATE(YEAR($BD$9)+OP!$C$57,MONTH($BD$9),DAY($BD$9)),0,$BE932-$BD932+1)</f>
        <v>30</v>
      </c>
      <c r="BH932" s="469">
        <f t="shared" ca="1" si="606"/>
        <v>31</v>
      </c>
      <c r="BI932" t="str">
        <f t="shared" si="622"/>
        <v/>
      </c>
      <c r="BJ932">
        <v>11</v>
      </c>
      <c r="BN932" s="468">
        <f t="shared" si="618"/>
        <v>77</v>
      </c>
      <c r="BO932" s="468">
        <f t="shared" si="619"/>
        <v>11</v>
      </c>
      <c r="BP932" s="467">
        <f t="shared" ca="1" si="607"/>
        <v>70981</v>
      </c>
      <c r="BQ932" s="475">
        <f t="shared" ca="1" si="621"/>
        <v>109</v>
      </c>
      <c r="BR932" s="475" t="str">
        <f t="shared" si="620"/>
        <v/>
      </c>
      <c r="BS932" s="471" t="str">
        <f t="shared" si="608"/>
        <v/>
      </c>
      <c r="BT932" s="472" t="str">
        <f t="shared" si="623"/>
        <v/>
      </c>
      <c r="BU932" s="472">
        <f t="shared" ca="1" si="609"/>
        <v>0</v>
      </c>
      <c r="BV932" s="472">
        <f t="shared" ca="1" si="609"/>
        <v>0</v>
      </c>
      <c r="BW932" s="472"/>
      <c r="BX932" s="473">
        <f t="shared" ca="1" si="610"/>
        <v>2624255.6668277001</v>
      </c>
      <c r="BY932" s="473">
        <f t="shared" si="611"/>
        <v>0</v>
      </c>
      <c r="BZ932" s="473">
        <f t="shared" ca="1" si="593"/>
        <v>5995.5253911350001</v>
      </c>
      <c r="CA932" s="476">
        <f t="shared" ca="1" si="612"/>
        <v>0</v>
      </c>
      <c r="CB932" s="494">
        <f ca="1">IF(OR($Q931&lt;&gt;1,OP!$D$5+$BN932-1&lt;16,$BN932-1&lt;1),0,ROUND(ROUND(ROUND(((VLOOKUP($BN932-1,MORE_PV,5,0)/10000)*VLOOKUP($BN932,MORE_PV,$CB$5,0)),3)*VLOOKUP($BN932,more1,5,0),0)/$R931,0))</f>
        <v>0</v>
      </c>
      <c r="CC932" s="473">
        <f t="shared" ca="1" si="613"/>
        <v>0</v>
      </c>
      <c r="CD932" s="477"/>
    </row>
    <row r="933" spans="2:82" ht="16.5" hidden="1">
      <c r="B933" s="80"/>
      <c r="C933" s="80"/>
      <c r="D933" s="80"/>
      <c r="E933" s="80"/>
      <c r="F933" s="80"/>
      <c r="G933" s="80"/>
      <c r="H933" s="80"/>
      <c r="I933" s="80"/>
      <c r="J933" s="192">
        <f t="shared" si="594"/>
        <v>78</v>
      </c>
      <c r="K933" s="192">
        <f t="shared" si="595"/>
        <v>1</v>
      </c>
      <c r="L933" s="192" t="str">
        <f t="shared" si="590"/>
        <v/>
      </c>
      <c r="M933" s="216">
        <f t="shared" ca="1" si="596"/>
        <v>0</v>
      </c>
      <c r="N933" s="216"/>
      <c r="O933" s="216"/>
      <c r="P933" s="216"/>
      <c r="Q933" s="456" t="str">
        <f t="shared" ca="1" si="597"/>
        <v/>
      </c>
      <c r="R933" s="450">
        <f t="shared" ca="1" si="598"/>
        <v>1</v>
      </c>
      <c r="S933" s="191">
        <f t="shared" si="599"/>
        <v>78</v>
      </c>
      <c r="T933" s="191">
        <f t="shared" si="600"/>
        <v>1</v>
      </c>
      <c r="U933" s="191">
        <f ca="1">OP!$D$5+$S933-1</f>
        <v>110</v>
      </c>
      <c r="V933" s="191" t="str">
        <f t="shared" si="601"/>
        <v/>
      </c>
      <c r="W933" s="350">
        <f ca="1">IF(Q933&lt;&gt;1,0,VLOOKUP(OP!$C$55,PVFB,$S933+2,0))</f>
        <v>0</v>
      </c>
      <c r="X933" s="473">
        <f t="shared" ca="1" si="614"/>
        <v>0</v>
      </c>
      <c r="Y933" s="348">
        <f t="shared" ca="1" si="615"/>
        <v>0</v>
      </c>
      <c r="Z933" s="348">
        <f t="shared" ca="1" si="616"/>
        <v>8012</v>
      </c>
      <c r="AA933" s="348">
        <f ca="1">IF(Q933&lt;&gt;1,0,VLOOKUP(OP!$C$55,PVFB,$S933+2,0))</f>
        <v>0</v>
      </c>
      <c r="AB933" s="488" t="str">
        <f ca="1">IF(AND(S933&lt;OP!$C$24,$U933&lt;15),0,IF(AND($U933&lt;15,$T933=12),ROUND(VLOOKUP($S933,DOWN16,5,0),3),IF($T933=12,ROUND(($Z933/10000)*$AA933,3)+IF(AND($P$7="購買增額繳清保險",T933=12,U933=110),VLOOKUP(S933,$B$10:$H$121,7,0),0),"")))</f>
        <v/>
      </c>
      <c r="AC933" s="350" t="str">
        <f ca="1">IF(AND(S933&lt;OP!$C$24,$U933&lt;15),0,IF(AND($U933&lt;16,$T933=12),VLOOKUP($S933,DOWN16,4,0),IF($T933=12,ROUND(VLOOKUP(OP!$C$55,_DIE2,$S933+1,0)*(Z933/10000),0)+IF(AND($P$7="購買增額繳清保險",T933=12,U933=110),VLOOKUP(S933,$B$10:$H$121,7,0),0),"")))</f>
        <v/>
      </c>
      <c r="AD933" s="347"/>
      <c r="AE933" s="350" t="str">
        <f t="shared" ca="1" si="591"/>
        <v/>
      </c>
      <c r="AF933" s="351" t="str">
        <f t="shared" ca="1" si="592"/>
        <v/>
      </c>
      <c r="AG933" s="340"/>
      <c r="AH933" s="340"/>
      <c r="AI933" s="340"/>
      <c r="AJ933" s="340"/>
      <c r="AK933" s="340"/>
      <c r="AL933" s="340"/>
      <c r="AM933" s="340"/>
      <c r="AN933" s="340"/>
      <c r="AO933" s="340"/>
      <c r="AP933" s="340"/>
      <c r="AQ933" s="340"/>
      <c r="AR933" s="340"/>
      <c r="AS933" s="340"/>
      <c r="AT933" s="340"/>
      <c r="AU933" s="340"/>
      <c r="AV933" s="340"/>
      <c r="AY933" s="340"/>
      <c r="AZ933" s="465">
        <f t="shared" ca="1" si="602"/>
        <v>7.3698599999999999E-5</v>
      </c>
      <c r="BA933" s="464">
        <f t="shared" ca="1" si="603"/>
        <v>2.1372602999999999E-3</v>
      </c>
      <c r="BB933" s="465">
        <f t="shared" ca="1" si="603"/>
        <v>2.2109589000000002E-3</v>
      </c>
      <c r="BC933" s="466">
        <f t="shared" ca="1" si="604"/>
        <v>71011</v>
      </c>
      <c r="BD933" s="467">
        <f t="shared" ca="1" si="617"/>
        <v>71012</v>
      </c>
      <c r="BE933" s="467">
        <f t="shared" ca="1" si="605"/>
        <v>71040</v>
      </c>
      <c r="BF933" s="468">
        <f ca="1">IF(計算!$BC933&lt;OP!$C$3,0,BD933-BC933)</f>
        <v>1</v>
      </c>
      <c r="BG933" s="468">
        <f ca="1">IF($BE933&gt;DATE(YEAR($BD$9)+OP!$C$57,MONTH($BD$9),DAY($BD$9)),0,$BE933-$BD933+1)</f>
        <v>29</v>
      </c>
      <c r="BH933" s="469">
        <f t="shared" ca="1" si="606"/>
        <v>30</v>
      </c>
      <c r="BI933">
        <f t="shared" ca="1" si="622"/>
        <v>365</v>
      </c>
      <c r="BJ933">
        <v>12</v>
      </c>
      <c r="BN933" s="468">
        <f t="shared" si="618"/>
        <v>77</v>
      </c>
      <c r="BO933" s="468">
        <f t="shared" si="619"/>
        <v>12</v>
      </c>
      <c r="BP933" s="467">
        <f t="shared" ca="1" si="607"/>
        <v>71012</v>
      </c>
      <c r="BQ933" s="475">
        <f t="shared" ca="1" si="621"/>
        <v>109</v>
      </c>
      <c r="BR933" s="475">
        <f t="shared" si="620"/>
        <v>77</v>
      </c>
      <c r="BS933" s="471">
        <f t="shared" ca="1" si="608"/>
        <v>26343</v>
      </c>
      <c r="BT933" s="472">
        <f t="shared" ca="1" si="623"/>
        <v>2656787</v>
      </c>
      <c r="BU933" s="472">
        <f t="shared" ca="1" si="609"/>
        <v>25737</v>
      </c>
      <c r="BV933" s="472">
        <f t="shared" ca="1" si="609"/>
        <v>606</v>
      </c>
      <c r="BW933" s="472">
        <f ca="1">ROUND(SUM(BY933,BZ921:BZ932),0)</f>
        <v>69739</v>
      </c>
      <c r="BX933" s="473">
        <f t="shared" ca="1" si="610"/>
        <v>2656788.03804935</v>
      </c>
      <c r="BY933" s="473">
        <f t="shared" ca="1" si="611"/>
        <v>193.84583051499999</v>
      </c>
      <c r="BZ933" s="473">
        <f t="shared" ca="1" si="593"/>
        <v>5678.2475992379996</v>
      </c>
      <c r="CA933" s="476">
        <f t="shared" ca="1" si="612"/>
        <v>25737</v>
      </c>
      <c r="CB933" s="494">
        <f ca="1">IF(OR($Q932&lt;&gt;1,OP!$D$5+$BN933-1&lt;16,$BN933-1&lt;1),0,ROUND(ROUND(ROUND(((VLOOKUP($BN933-1,MORE_PV,5,0)/10000)*VLOOKUP($BN933,MORE_PV,$CB$5,0)),3)*VLOOKUP($BN933,more1,5,0),0)/$R932,0))</f>
        <v>606</v>
      </c>
      <c r="CC933" s="473">
        <f t="shared" ca="1" si="613"/>
        <v>0</v>
      </c>
      <c r="CD933" s="477"/>
    </row>
    <row r="934" spans="2:82" ht="16.5" hidden="1">
      <c r="B934" s="80"/>
      <c r="C934" s="80"/>
      <c r="D934" s="80"/>
      <c r="E934" s="80"/>
      <c r="F934" s="80"/>
      <c r="G934" s="80"/>
      <c r="H934" s="80"/>
      <c r="I934" s="80"/>
      <c r="J934" s="192">
        <f t="shared" si="594"/>
        <v>78</v>
      </c>
      <c r="K934" s="192">
        <f t="shared" si="595"/>
        <v>2</v>
      </c>
      <c r="L934" s="192" t="str">
        <f t="shared" si="590"/>
        <v/>
      </c>
      <c r="M934" s="216">
        <f t="shared" ca="1" si="596"/>
        <v>0</v>
      </c>
      <c r="N934" s="216"/>
      <c r="O934" s="216"/>
      <c r="P934" s="216"/>
      <c r="Q934" s="456" t="str">
        <f t="shared" ca="1" si="597"/>
        <v/>
      </c>
      <c r="R934" s="450">
        <f t="shared" ca="1" si="598"/>
        <v>1</v>
      </c>
      <c r="S934" s="191">
        <f t="shared" si="599"/>
        <v>78</v>
      </c>
      <c r="T934" s="191">
        <f t="shared" si="600"/>
        <v>2</v>
      </c>
      <c r="U934" s="191">
        <f ca="1">OP!$D$5+$S934-1</f>
        <v>110</v>
      </c>
      <c r="V934" s="191" t="str">
        <f t="shared" si="601"/>
        <v/>
      </c>
      <c r="W934" s="350">
        <f ca="1">IF(Q934&lt;&gt;1,0,VLOOKUP(OP!$C$55,PVFB,$S934+2,0))</f>
        <v>0</v>
      </c>
      <c r="X934" s="473">
        <f t="shared" ca="1" si="614"/>
        <v>0</v>
      </c>
      <c r="Y934" s="348">
        <f t="shared" ca="1" si="615"/>
        <v>0</v>
      </c>
      <c r="Z934" s="348">
        <f t="shared" ca="1" si="616"/>
        <v>8012</v>
      </c>
      <c r="AA934" s="348">
        <f ca="1">IF(Q934&lt;&gt;1,0,VLOOKUP(OP!$C$55,PVFB,$S934+2,0))</f>
        <v>0</v>
      </c>
      <c r="AB934" s="488" t="str">
        <f ca="1">IF(AND(S934&lt;OP!$C$24,$U934&lt;15),0,IF(AND($U934&lt;15,$T934=12),ROUND(VLOOKUP($S934,DOWN16,5,0),3),IF($T934=12,ROUND(($Z934/10000)*$AA934,3)+IF(AND($P$7="購買增額繳清保險",T934=12,U934=110),VLOOKUP(S934,$B$10:$H$121,7,0),0),"")))</f>
        <v/>
      </c>
      <c r="AC934" s="350" t="str">
        <f ca="1">IF(AND(S934&lt;OP!$C$24,$U934&lt;15),0,IF(AND($U934&lt;16,$T934=12),VLOOKUP($S934,DOWN16,4,0),IF($T934=12,ROUND(VLOOKUP(OP!$C$55,_DIE2,$S934+1,0)*(Z934/10000),0)+IF(AND($P$7="購買增額繳清保險",T934=12,U934=110),VLOOKUP(S934,$B$10:$H$121,7,0),0),"")))</f>
        <v/>
      </c>
      <c r="AD934" s="347"/>
      <c r="AE934" s="350" t="str">
        <f t="shared" ca="1" si="591"/>
        <v/>
      </c>
      <c r="AF934" s="351" t="str">
        <f t="shared" ca="1" si="592"/>
        <v/>
      </c>
      <c r="AG934" s="340"/>
      <c r="AH934" s="340"/>
      <c r="AI934" s="340"/>
      <c r="AJ934" s="340"/>
      <c r="AK934" s="340"/>
      <c r="AL934" s="340"/>
      <c r="AM934" s="340"/>
      <c r="AN934" s="340"/>
      <c r="AO934" s="340"/>
      <c r="AP934" s="340"/>
      <c r="AQ934" s="340"/>
      <c r="AR934" s="340"/>
      <c r="AS934" s="340"/>
      <c r="AT934" s="340"/>
      <c r="AU934" s="340"/>
      <c r="AV934" s="340"/>
      <c r="AY934" s="340"/>
      <c r="AZ934" s="465">
        <f t="shared" ca="1" si="602"/>
        <v>7.3698599999999999E-5</v>
      </c>
      <c r="BA934" s="464">
        <f t="shared" ca="1" si="603"/>
        <v>2.2109589000000002E-3</v>
      </c>
      <c r="BB934" s="465">
        <f t="shared" ca="1" si="603"/>
        <v>2.2846575E-3</v>
      </c>
      <c r="BC934" s="466">
        <f t="shared" ca="1" si="604"/>
        <v>71041</v>
      </c>
      <c r="BD934" s="467">
        <f t="shared" ca="1" si="617"/>
        <v>71042</v>
      </c>
      <c r="BE934" s="467">
        <f t="shared" ca="1" si="605"/>
        <v>71071</v>
      </c>
      <c r="BF934" s="468">
        <f ca="1">IF(計算!$BC934&lt;OP!$C$3,0,BD934-BC934)</f>
        <v>1</v>
      </c>
      <c r="BG934" s="468">
        <f ca="1">IF($BE934&gt;DATE(YEAR($BD$9)+OP!$C$57,MONTH($BD$9),DAY($BD$9)),0,$BE934-$BD934+1)</f>
        <v>30</v>
      </c>
      <c r="BH934" s="469">
        <f t="shared" ca="1" si="606"/>
        <v>31</v>
      </c>
      <c r="BI934" t="str">
        <f t="shared" si="622"/>
        <v/>
      </c>
      <c r="BJ934">
        <v>1</v>
      </c>
      <c r="BN934" s="468">
        <f t="shared" si="618"/>
        <v>78</v>
      </c>
      <c r="BO934" s="468">
        <f t="shared" si="619"/>
        <v>1</v>
      </c>
      <c r="BP934" s="467">
        <f t="shared" ca="1" si="607"/>
        <v>71042</v>
      </c>
      <c r="BQ934" s="475">
        <f t="shared" ca="1" si="621"/>
        <v>110</v>
      </c>
      <c r="BR934" s="475" t="str">
        <f t="shared" si="620"/>
        <v/>
      </c>
      <c r="BS934" s="471" t="str">
        <f t="shared" si="608"/>
        <v/>
      </c>
      <c r="BT934" s="472" t="str">
        <f t="shared" si="623"/>
        <v/>
      </c>
      <c r="BU934" s="472">
        <f t="shared" ca="1" si="609"/>
        <v>0</v>
      </c>
      <c r="BV934" s="472">
        <f t="shared" ca="1" si="609"/>
        <v>0</v>
      </c>
      <c r="BW934" s="472"/>
      <c r="BX934" s="473">
        <f t="shared" ca="1" si="610"/>
        <v>2662466.28564859</v>
      </c>
      <c r="BY934" s="473">
        <f t="shared" si="611"/>
        <v>0</v>
      </c>
      <c r="BZ934" s="473">
        <f t="shared" ca="1" si="593"/>
        <v>6082.8235680039998</v>
      </c>
      <c r="CA934" s="476">
        <f t="shared" ca="1" si="612"/>
        <v>0</v>
      </c>
      <c r="CB934" s="494">
        <f ca="1">IF(OR($Q933&lt;&gt;1,OP!$D$5+$BN934-1&lt;16,$BN934-1&lt;1),0,ROUND(ROUND(ROUND(((VLOOKUP($BN934-1,MORE_PV,5,0)/10000)*VLOOKUP($BN934,MORE_PV,$CB$5,0)),3)*VLOOKUP($BN934,more1,5,0),0)/$R933,0))</f>
        <v>0</v>
      </c>
      <c r="CC934" s="473">
        <f t="shared" ca="1" si="613"/>
        <v>0</v>
      </c>
      <c r="CD934" s="477"/>
    </row>
    <row r="935" spans="2:82" ht="16.5" hidden="1">
      <c r="B935" s="80"/>
      <c r="C935" s="80"/>
      <c r="D935" s="80"/>
      <c r="E935" s="80"/>
      <c r="F935" s="80"/>
      <c r="G935" s="80"/>
      <c r="H935" s="80"/>
      <c r="I935" s="80"/>
      <c r="J935" s="192">
        <f t="shared" si="594"/>
        <v>78</v>
      </c>
      <c r="K935" s="192">
        <f t="shared" si="595"/>
        <v>3</v>
      </c>
      <c r="L935" s="192" t="str">
        <f t="shared" si="590"/>
        <v/>
      </c>
      <c r="M935" s="216">
        <f t="shared" ca="1" si="596"/>
        <v>0</v>
      </c>
      <c r="N935" s="216"/>
      <c r="O935" s="216"/>
      <c r="P935" s="216"/>
      <c r="Q935" s="456" t="str">
        <f t="shared" ca="1" si="597"/>
        <v/>
      </c>
      <c r="R935" s="450">
        <f t="shared" ca="1" si="598"/>
        <v>1</v>
      </c>
      <c r="S935" s="191">
        <f t="shared" si="599"/>
        <v>78</v>
      </c>
      <c r="T935" s="191">
        <f t="shared" si="600"/>
        <v>3</v>
      </c>
      <c r="U935" s="191">
        <f ca="1">OP!$D$5+$S935-1</f>
        <v>110</v>
      </c>
      <c r="V935" s="191" t="str">
        <f t="shared" si="601"/>
        <v/>
      </c>
      <c r="W935" s="350">
        <f ca="1">IF(Q935&lt;&gt;1,0,VLOOKUP(OP!$C$55,PVFB,$S935+2,0))</f>
        <v>0</v>
      </c>
      <c r="X935" s="473">
        <f t="shared" ca="1" si="614"/>
        <v>0</v>
      </c>
      <c r="Y935" s="348">
        <f t="shared" ca="1" si="615"/>
        <v>0</v>
      </c>
      <c r="Z935" s="348">
        <f t="shared" ca="1" si="616"/>
        <v>8012</v>
      </c>
      <c r="AA935" s="348">
        <f ca="1">IF(Q935&lt;&gt;1,0,VLOOKUP(OP!$C$55,PVFB,$S935+2,0))</f>
        <v>0</v>
      </c>
      <c r="AB935" s="488" t="str">
        <f ca="1">IF(AND(S935&lt;OP!$C$24,$U935&lt;15),0,IF(AND($U935&lt;15,$T935=12),ROUND(VLOOKUP($S935,DOWN16,5,0),3),IF($T935=12,ROUND(($Z935/10000)*$AA935,3)+IF(AND($P$7="購買增額繳清保險",T935=12,U935=110),VLOOKUP(S935,$B$10:$H$121,7,0),0),"")))</f>
        <v/>
      </c>
      <c r="AC935" s="350" t="str">
        <f ca="1">IF(AND(S935&lt;OP!$C$24,$U935&lt;15),0,IF(AND($U935&lt;16,$T935=12),VLOOKUP($S935,DOWN16,4,0),IF($T935=12,ROUND(VLOOKUP(OP!$C$55,_DIE2,$S935+1,0)*(Z935/10000),0)+IF(AND($P$7="購買增額繳清保險",T935=12,U935=110),VLOOKUP(S935,$B$10:$H$121,7,0),0),"")))</f>
        <v/>
      </c>
      <c r="AD935" s="347"/>
      <c r="AE935" s="350" t="str">
        <f t="shared" ca="1" si="591"/>
        <v/>
      </c>
      <c r="AF935" s="351" t="str">
        <f t="shared" ca="1" si="592"/>
        <v/>
      </c>
      <c r="AG935" s="340"/>
      <c r="AH935" s="340"/>
      <c r="AI935" s="340"/>
      <c r="AJ935" s="340"/>
      <c r="AK935" s="340"/>
      <c r="AL935" s="340"/>
      <c r="AM935" s="340"/>
      <c r="AN935" s="340"/>
      <c r="AO935" s="340"/>
      <c r="AP935" s="340"/>
      <c r="AQ935" s="340"/>
      <c r="AR935" s="340"/>
      <c r="AS935" s="340"/>
      <c r="AT935" s="340"/>
      <c r="AU935" s="340"/>
      <c r="AV935" s="340"/>
      <c r="AY935" s="340"/>
      <c r="AZ935" s="465">
        <f t="shared" ca="1" si="602"/>
        <v>7.3698599999999999E-5</v>
      </c>
      <c r="BA935" s="464">
        <f t="shared" ca="1" si="603"/>
        <v>2.2109589000000002E-3</v>
      </c>
      <c r="BB935" s="465">
        <f t="shared" ca="1" si="603"/>
        <v>2.2846575E-3</v>
      </c>
      <c r="BC935" s="466">
        <f t="shared" ca="1" si="604"/>
        <v>71072</v>
      </c>
      <c r="BD935" s="467">
        <f t="shared" ca="1" si="617"/>
        <v>71073</v>
      </c>
      <c r="BE935" s="467">
        <f t="shared" ca="1" si="605"/>
        <v>71102</v>
      </c>
      <c r="BF935" s="468">
        <f ca="1">IF(計算!$BC935&lt;OP!$C$3,0,BD935-BC935)</f>
        <v>1</v>
      </c>
      <c r="BG935" s="468">
        <f ca="1">IF($BE935&gt;DATE(YEAR($BD$9)+OP!$C$57,MONTH($BD$9),DAY($BD$9)),0,$BE935-$BD935+1)</f>
        <v>30</v>
      </c>
      <c r="BH935" s="469">
        <f t="shared" ca="1" si="606"/>
        <v>31</v>
      </c>
      <c r="BI935" t="str">
        <f t="shared" si="622"/>
        <v/>
      </c>
      <c r="BJ935">
        <v>2</v>
      </c>
      <c r="BN935" s="468">
        <f t="shared" si="618"/>
        <v>78</v>
      </c>
      <c r="BO935" s="468">
        <f t="shared" si="619"/>
        <v>2</v>
      </c>
      <c r="BP935" s="467">
        <f t="shared" ca="1" si="607"/>
        <v>71073</v>
      </c>
      <c r="BQ935" s="475">
        <f t="shared" ca="1" si="621"/>
        <v>110</v>
      </c>
      <c r="BR935" s="475" t="str">
        <f t="shared" si="620"/>
        <v/>
      </c>
      <c r="BS935" s="471" t="str">
        <f t="shared" si="608"/>
        <v/>
      </c>
      <c r="BT935" s="472" t="str">
        <f t="shared" si="623"/>
        <v/>
      </c>
      <c r="BU935" s="472">
        <f t="shared" ca="1" si="609"/>
        <v>0</v>
      </c>
      <c r="BV935" s="472">
        <f t="shared" ca="1" si="609"/>
        <v>0</v>
      </c>
      <c r="BW935" s="472"/>
      <c r="BX935" s="473">
        <f t="shared" ca="1" si="610"/>
        <v>2668549.1092165899</v>
      </c>
      <c r="BY935" s="473">
        <f t="shared" si="611"/>
        <v>0</v>
      </c>
      <c r="BZ935" s="473">
        <f t="shared" ca="1" si="593"/>
        <v>6096.7207364899996</v>
      </c>
      <c r="CA935" s="476">
        <f t="shared" ca="1" si="612"/>
        <v>0</v>
      </c>
      <c r="CB935" s="494">
        <f ca="1">IF(OR($Q934&lt;&gt;1,OP!$D$5+$BN935-1&lt;16,$BN935-1&lt;1),0,ROUND(ROUND(ROUND(((VLOOKUP($BN935-1,MORE_PV,5,0)/10000)*VLOOKUP($BN935,MORE_PV,$CB$5,0)),3)*VLOOKUP($BN935,more1,5,0),0)/$R934,0))</f>
        <v>0</v>
      </c>
      <c r="CC935" s="473">
        <f t="shared" ca="1" si="613"/>
        <v>0</v>
      </c>
      <c r="CD935" s="477"/>
    </row>
    <row r="936" spans="2:82" ht="16.5" hidden="1">
      <c r="B936" s="80"/>
      <c r="C936" s="80"/>
      <c r="D936" s="80"/>
      <c r="E936" s="80"/>
      <c r="F936" s="80"/>
      <c r="G936" s="80"/>
      <c r="H936" s="80"/>
      <c r="I936" s="80"/>
      <c r="J936" s="192">
        <f t="shared" si="594"/>
        <v>78</v>
      </c>
      <c r="K936" s="192">
        <f t="shared" si="595"/>
        <v>4</v>
      </c>
      <c r="L936" s="192" t="str">
        <f t="shared" si="590"/>
        <v/>
      </c>
      <c r="M936" s="216">
        <f t="shared" ca="1" si="596"/>
        <v>0</v>
      </c>
      <c r="N936" s="216"/>
      <c r="O936" s="216"/>
      <c r="P936" s="216"/>
      <c r="Q936" s="456" t="str">
        <f t="shared" ca="1" si="597"/>
        <v/>
      </c>
      <c r="R936" s="450">
        <f t="shared" ca="1" si="598"/>
        <v>1</v>
      </c>
      <c r="S936" s="191">
        <f t="shared" si="599"/>
        <v>78</v>
      </c>
      <c r="T936" s="191">
        <f t="shared" si="600"/>
        <v>4</v>
      </c>
      <c r="U936" s="191">
        <f ca="1">OP!$D$5+$S936-1</f>
        <v>110</v>
      </c>
      <c r="V936" s="191" t="str">
        <f t="shared" si="601"/>
        <v/>
      </c>
      <c r="W936" s="350">
        <f ca="1">IF(Q936&lt;&gt;1,0,VLOOKUP(OP!$C$55,PVFB,$S936+2,0))</f>
        <v>0</v>
      </c>
      <c r="X936" s="473">
        <f t="shared" ca="1" si="614"/>
        <v>0</v>
      </c>
      <c r="Y936" s="348">
        <f t="shared" ca="1" si="615"/>
        <v>0</v>
      </c>
      <c r="Z936" s="348">
        <f t="shared" ca="1" si="616"/>
        <v>8012</v>
      </c>
      <c r="AA936" s="348">
        <f ca="1">IF(Q936&lt;&gt;1,0,VLOOKUP(OP!$C$55,PVFB,$S936+2,0))</f>
        <v>0</v>
      </c>
      <c r="AB936" s="488" t="str">
        <f ca="1">IF(AND(S936&lt;OP!$C$24,$U936&lt;15),0,IF(AND($U936&lt;15,$T936=12),ROUND(VLOOKUP($S936,DOWN16,5,0),3),IF($T936=12,ROUND(($Z936/10000)*$AA936,3)+IF(AND($P$7="購買增額繳清保險",T936=12,U936=110),VLOOKUP(S936,$B$10:$H$121,7,0),0),"")))</f>
        <v/>
      </c>
      <c r="AC936" s="350" t="str">
        <f ca="1">IF(AND(S936&lt;OP!$C$24,$U936&lt;15),0,IF(AND($U936&lt;16,$T936=12),VLOOKUP($S936,DOWN16,4,0),IF($T936=12,ROUND(VLOOKUP(OP!$C$55,_DIE2,$S936+1,0)*(Z936/10000),0)+IF(AND($P$7="購買增額繳清保險",T936=12,U936=110),VLOOKUP(S936,$B$10:$H$121,7,0),0),"")))</f>
        <v/>
      </c>
      <c r="AD936" s="347"/>
      <c r="AE936" s="350" t="str">
        <f t="shared" ca="1" si="591"/>
        <v/>
      </c>
      <c r="AF936" s="351" t="str">
        <f t="shared" ca="1" si="592"/>
        <v/>
      </c>
      <c r="AG936" s="340"/>
      <c r="AH936" s="340"/>
      <c r="AI936" s="340"/>
      <c r="AJ936" s="340"/>
      <c r="AK936" s="340"/>
      <c r="AL936" s="340"/>
      <c r="AM936" s="340"/>
      <c r="AN936" s="340"/>
      <c r="AO936" s="340"/>
      <c r="AP936" s="340"/>
      <c r="AQ936" s="340"/>
      <c r="AR936" s="340"/>
      <c r="AS936" s="340"/>
      <c r="AT936" s="340"/>
      <c r="AU936" s="340"/>
      <c r="AV936" s="340"/>
      <c r="AY936" s="340"/>
      <c r="AZ936" s="465">
        <f t="shared" ca="1" si="602"/>
        <v>7.3698599999999999E-5</v>
      </c>
      <c r="BA936" s="464">
        <f t="shared" ca="1" si="603"/>
        <v>2.1372602999999999E-3</v>
      </c>
      <c r="BB936" s="465">
        <f t="shared" ca="1" si="603"/>
        <v>2.2109589000000002E-3</v>
      </c>
      <c r="BC936" s="466">
        <f t="shared" ca="1" si="604"/>
        <v>71103</v>
      </c>
      <c r="BD936" s="467">
        <f t="shared" ca="1" si="617"/>
        <v>71104</v>
      </c>
      <c r="BE936" s="467">
        <f t="shared" ca="1" si="605"/>
        <v>71132</v>
      </c>
      <c r="BF936" s="468">
        <f ca="1">IF(計算!$BC936&lt;OP!$C$3,0,BD936-BC936)</f>
        <v>1</v>
      </c>
      <c r="BG936" s="468">
        <f ca="1">IF($BE936&gt;DATE(YEAR($BD$9)+OP!$C$57,MONTH($BD$9),DAY($BD$9)),0,$BE936-$BD936+1)</f>
        <v>29</v>
      </c>
      <c r="BH936" s="469">
        <f t="shared" ca="1" si="606"/>
        <v>30</v>
      </c>
      <c r="BI936" t="str">
        <f t="shared" si="622"/>
        <v/>
      </c>
      <c r="BJ936">
        <v>3</v>
      </c>
      <c r="BN936" s="468">
        <f t="shared" si="618"/>
        <v>78</v>
      </c>
      <c r="BO936" s="468">
        <f t="shared" si="619"/>
        <v>3</v>
      </c>
      <c r="BP936" s="467">
        <f t="shared" ca="1" si="607"/>
        <v>71104</v>
      </c>
      <c r="BQ936" s="475">
        <f t="shared" ca="1" si="621"/>
        <v>110</v>
      </c>
      <c r="BR936" s="475" t="str">
        <f t="shared" si="620"/>
        <v/>
      </c>
      <c r="BS936" s="471" t="str">
        <f t="shared" si="608"/>
        <v/>
      </c>
      <c r="BT936" s="472" t="str">
        <f t="shared" si="623"/>
        <v/>
      </c>
      <c r="BU936" s="472">
        <f t="shared" ca="1" si="609"/>
        <v>0</v>
      </c>
      <c r="BV936" s="472">
        <f t="shared" ca="1" si="609"/>
        <v>0</v>
      </c>
      <c r="BW936" s="472"/>
      <c r="BX936" s="473">
        <f t="shared" ca="1" si="610"/>
        <v>2674645.82995308</v>
      </c>
      <c r="BY936" s="473">
        <f t="shared" si="611"/>
        <v>0</v>
      </c>
      <c r="BZ936" s="473">
        <f t="shared" ca="1" si="593"/>
        <v>5913.5320020830004</v>
      </c>
      <c r="CA936" s="476">
        <f t="shared" ca="1" si="612"/>
        <v>0</v>
      </c>
      <c r="CB936" s="494">
        <f ca="1">IF(OR($Q935&lt;&gt;1,OP!$D$5+$BN936-1&lt;16,$BN936-1&lt;1),0,ROUND(ROUND(ROUND(((VLOOKUP($BN936-1,MORE_PV,5,0)/10000)*VLOOKUP($BN936,MORE_PV,$CB$5,0)),3)*VLOOKUP($BN936,more1,5,0),0)/$R935,0))</f>
        <v>0</v>
      </c>
      <c r="CC936" s="473">
        <f t="shared" ca="1" si="613"/>
        <v>0</v>
      </c>
      <c r="CD936" s="477"/>
    </row>
    <row r="937" spans="2:82" ht="16.5" hidden="1">
      <c r="B937" s="80"/>
      <c r="C937" s="80"/>
      <c r="D937" s="80"/>
      <c r="E937" s="80"/>
      <c r="F937" s="80"/>
      <c r="G937" s="80"/>
      <c r="H937" s="80"/>
      <c r="I937" s="80"/>
      <c r="J937" s="192">
        <f t="shared" si="594"/>
        <v>78</v>
      </c>
      <c r="K937" s="192">
        <f t="shared" si="595"/>
        <v>5</v>
      </c>
      <c r="L937" s="192" t="str">
        <f t="shared" si="590"/>
        <v/>
      </c>
      <c r="M937" s="216">
        <f t="shared" ca="1" si="596"/>
        <v>0</v>
      </c>
      <c r="N937" s="216"/>
      <c r="O937" s="216"/>
      <c r="P937" s="216"/>
      <c r="Q937" s="456" t="str">
        <f t="shared" ca="1" si="597"/>
        <v/>
      </c>
      <c r="R937" s="450">
        <f t="shared" ca="1" si="598"/>
        <v>1</v>
      </c>
      <c r="S937" s="191">
        <f t="shared" si="599"/>
        <v>78</v>
      </c>
      <c r="T937" s="191">
        <f t="shared" si="600"/>
        <v>5</v>
      </c>
      <c r="U937" s="191">
        <f ca="1">OP!$D$5+$S937-1</f>
        <v>110</v>
      </c>
      <c r="V937" s="191" t="str">
        <f t="shared" si="601"/>
        <v/>
      </c>
      <c r="W937" s="350">
        <f ca="1">IF(Q937&lt;&gt;1,0,VLOOKUP(OP!$C$55,PVFB,$S937+2,0))</f>
        <v>0</v>
      </c>
      <c r="X937" s="473">
        <f t="shared" ca="1" si="614"/>
        <v>0</v>
      </c>
      <c r="Y937" s="348">
        <f t="shared" ca="1" si="615"/>
        <v>0</v>
      </c>
      <c r="Z937" s="348">
        <f t="shared" ca="1" si="616"/>
        <v>8012</v>
      </c>
      <c r="AA937" s="348">
        <f ca="1">IF(Q937&lt;&gt;1,0,VLOOKUP(OP!$C$55,PVFB,$S937+2,0))</f>
        <v>0</v>
      </c>
      <c r="AB937" s="488" t="str">
        <f ca="1">IF(AND(S937&lt;OP!$C$24,$U937&lt;15),0,IF(AND($U937&lt;15,$T937=12),ROUND(VLOOKUP($S937,DOWN16,5,0),3),IF($T937=12,ROUND(($Z937/10000)*$AA937,3)+IF(AND($P$7="購買增額繳清保險",T937=12,U937=110),VLOOKUP(S937,$B$10:$H$121,7,0),0),"")))</f>
        <v/>
      </c>
      <c r="AC937" s="350" t="str">
        <f ca="1">IF(AND(S937&lt;OP!$C$24,$U937&lt;15),0,IF(AND($U937&lt;16,$T937=12),VLOOKUP($S937,DOWN16,4,0),IF($T937=12,ROUND(VLOOKUP(OP!$C$55,_DIE2,$S937+1,0)*(Z937/10000),0)+IF(AND($P$7="購買增額繳清保險",T937=12,U937=110),VLOOKUP(S937,$B$10:$H$121,7,0),0),"")))</f>
        <v/>
      </c>
      <c r="AD937" s="347"/>
      <c r="AE937" s="350" t="str">
        <f t="shared" ca="1" si="591"/>
        <v/>
      </c>
      <c r="AF937" s="351" t="str">
        <f t="shared" ca="1" si="592"/>
        <v/>
      </c>
      <c r="AG937" s="340"/>
      <c r="AH937" s="340"/>
      <c r="AI937" s="340"/>
      <c r="AJ937" s="340"/>
      <c r="AK937" s="340"/>
      <c r="AL937" s="340"/>
      <c r="AM937" s="340"/>
      <c r="AN937" s="340"/>
      <c r="AO937" s="340"/>
      <c r="AP937" s="340"/>
      <c r="AQ937" s="340"/>
      <c r="AR937" s="340"/>
      <c r="AS937" s="340"/>
      <c r="AT937" s="340"/>
      <c r="AU937" s="340"/>
      <c r="AV937" s="340"/>
      <c r="AY937" s="340"/>
      <c r="AZ937" s="465">
        <f t="shared" ca="1" si="602"/>
        <v>7.3698599999999999E-5</v>
      </c>
      <c r="BA937" s="464">
        <f t="shared" ca="1" si="603"/>
        <v>2.2109589000000002E-3</v>
      </c>
      <c r="BB937" s="465">
        <f t="shared" ca="1" si="603"/>
        <v>2.2846575E-3</v>
      </c>
      <c r="BC937" s="466">
        <f t="shared" ca="1" si="604"/>
        <v>71133</v>
      </c>
      <c r="BD937" s="467">
        <f t="shared" ca="1" si="617"/>
        <v>71134</v>
      </c>
      <c r="BE937" s="467">
        <f t="shared" ca="1" si="605"/>
        <v>71163</v>
      </c>
      <c r="BF937" s="468">
        <f ca="1">IF(計算!$BC937&lt;OP!$C$3,0,BD937-BC937)</f>
        <v>1</v>
      </c>
      <c r="BG937" s="468">
        <f ca="1">IF($BE937&gt;DATE(YEAR($BD$9)+OP!$C$57,MONTH($BD$9),DAY($BD$9)),0,$BE937-$BD937+1)</f>
        <v>30</v>
      </c>
      <c r="BH937" s="469">
        <f t="shared" ca="1" si="606"/>
        <v>31</v>
      </c>
      <c r="BI937" t="str">
        <f t="shared" si="622"/>
        <v/>
      </c>
      <c r="BJ937">
        <v>4</v>
      </c>
      <c r="BN937" s="468">
        <f t="shared" si="618"/>
        <v>78</v>
      </c>
      <c r="BO937" s="468">
        <f t="shared" si="619"/>
        <v>4</v>
      </c>
      <c r="BP937" s="467">
        <f t="shared" ca="1" si="607"/>
        <v>71134</v>
      </c>
      <c r="BQ937" s="475">
        <f t="shared" ca="1" si="621"/>
        <v>110</v>
      </c>
      <c r="BR937" s="475" t="str">
        <f t="shared" si="620"/>
        <v/>
      </c>
      <c r="BS937" s="471" t="str">
        <f t="shared" si="608"/>
        <v/>
      </c>
      <c r="BT937" s="472" t="str">
        <f t="shared" si="623"/>
        <v/>
      </c>
      <c r="BU937" s="472">
        <f t="shared" ca="1" si="609"/>
        <v>0</v>
      </c>
      <c r="BV937" s="472">
        <f t="shared" ca="1" si="609"/>
        <v>0</v>
      </c>
      <c r="BW937" s="472"/>
      <c r="BX937" s="473">
        <f t="shared" ca="1" si="610"/>
        <v>2680559.3619551598</v>
      </c>
      <c r="BY937" s="473">
        <f t="shared" si="611"/>
        <v>0</v>
      </c>
      <c r="BZ937" s="473">
        <f t="shared" ca="1" si="593"/>
        <v>6124.1600504859998</v>
      </c>
      <c r="CA937" s="476">
        <f t="shared" ca="1" si="612"/>
        <v>0</v>
      </c>
      <c r="CB937" s="494">
        <f ca="1">IF(OR($Q936&lt;&gt;1,OP!$D$5+$BN937-1&lt;16,$BN937-1&lt;1),0,ROUND(ROUND(ROUND(((VLOOKUP($BN937-1,MORE_PV,5,0)/10000)*VLOOKUP($BN937,MORE_PV,$CB$5,0)),3)*VLOOKUP($BN937,more1,5,0),0)/$R936,0))</f>
        <v>0</v>
      </c>
      <c r="CC937" s="473">
        <f t="shared" ca="1" si="613"/>
        <v>0</v>
      </c>
      <c r="CD937" s="477"/>
    </row>
    <row r="938" spans="2:82" ht="16.5" hidden="1">
      <c r="B938" s="80"/>
      <c r="C938" s="80"/>
      <c r="D938" s="80"/>
      <c r="E938" s="80"/>
      <c r="F938" s="80"/>
      <c r="G938" s="80"/>
      <c r="H938" s="80"/>
      <c r="I938" s="80"/>
      <c r="J938" s="192">
        <f t="shared" si="594"/>
        <v>78</v>
      </c>
      <c r="K938" s="192">
        <f t="shared" si="595"/>
        <v>6</v>
      </c>
      <c r="L938" s="192" t="str">
        <f t="shared" si="590"/>
        <v/>
      </c>
      <c r="M938" s="216">
        <f t="shared" ca="1" si="596"/>
        <v>0</v>
      </c>
      <c r="N938" s="216"/>
      <c r="O938" s="216"/>
      <c r="P938" s="216"/>
      <c r="Q938" s="456" t="str">
        <f t="shared" ca="1" si="597"/>
        <v/>
      </c>
      <c r="R938" s="450">
        <f t="shared" ca="1" si="598"/>
        <v>1</v>
      </c>
      <c r="S938" s="191">
        <f t="shared" si="599"/>
        <v>78</v>
      </c>
      <c r="T938" s="191">
        <f t="shared" si="600"/>
        <v>6</v>
      </c>
      <c r="U938" s="191">
        <f ca="1">OP!$D$5+$S938-1</f>
        <v>110</v>
      </c>
      <c r="V938" s="191" t="str">
        <f t="shared" si="601"/>
        <v/>
      </c>
      <c r="W938" s="350">
        <f ca="1">IF(Q938&lt;&gt;1,0,VLOOKUP(OP!$C$55,PVFB,$S938+2,0))</f>
        <v>0</v>
      </c>
      <c r="X938" s="473">
        <f t="shared" ca="1" si="614"/>
        <v>0</v>
      </c>
      <c r="Y938" s="348">
        <f t="shared" ca="1" si="615"/>
        <v>0</v>
      </c>
      <c r="Z938" s="348">
        <f t="shared" ca="1" si="616"/>
        <v>8012</v>
      </c>
      <c r="AA938" s="348">
        <f ca="1">IF(Q938&lt;&gt;1,0,VLOOKUP(OP!$C$55,PVFB,$S938+2,0))</f>
        <v>0</v>
      </c>
      <c r="AB938" s="488" t="str">
        <f ca="1">IF(AND(S938&lt;OP!$C$24,$U938&lt;15),0,IF(AND($U938&lt;15,$T938=12),ROUND(VLOOKUP($S938,DOWN16,5,0),3),IF($T938=12,ROUND(($Z938/10000)*$AA938,3)+IF(AND($P$7="購買增額繳清保險",T938=12,U938=110),VLOOKUP(S938,$B$10:$H$121,7,0),0),"")))</f>
        <v/>
      </c>
      <c r="AC938" s="350" t="str">
        <f ca="1">IF(AND(S938&lt;OP!$C$24,$U938&lt;15),0,IF(AND($U938&lt;16,$T938=12),VLOOKUP($S938,DOWN16,4,0),IF($T938=12,ROUND(VLOOKUP(OP!$C$55,_DIE2,$S938+1,0)*(Z938/10000),0)+IF(AND($P$7="購買增額繳清保險",T938=12,U938=110),VLOOKUP(S938,$B$10:$H$121,7,0),0),"")))</f>
        <v/>
      </c>
      <c r="AD938" s="347"/>
      <c r="AE938" s="350" t="str">
        <f t="shared" ca="1" si="591"/>
        <v/>
      </c>
      <c r="AF938" s="351" t="str">
        <f t="shared" ca="1" si="592"/>
        <v/>
      </c>
      <c r="AG938" s="340"/>
      <c r="AH938" s="340"/>
      <c r="AI938" s="340"/>
      <c r="AJ938" s="340"/>
      <c r="AK938" s="340"/>
      <c r="AL938" s="340"/>
      <c r="AM938" s="340"/>
      <c r="AN938" s="340"/>
      <c r="AO938" s="340"/>
      <c r="AP938" s="340"/>
      <c r="AQ938" s="340"/>
      <c r="AR938" s="340"/>
      <c r="AS938" s="340"/>
      <c r="AT938" s="340"/>
      <c r="AU938" s="340"/>
      <c r="AV938" s="340"/>
      <c r="AY938" s="340"/>
      <c r="AZ938" s="465">
        <f t="shared" ca="1" si="602"/>
        <v>7.3698599999999999E-5</v>
      </c>
      <c r="BA938" s="464">
        <f t="shared" ca="1" si="603"/>
        <v>2.1372602999999999E-3</v>
      </c>
      <c r="BB938" s="465">
        <f t="shared" ca="1" si="603"/>
        <v>2.2109589000000002E-3</v>
      </c>
      <c r="BC938" s="466">
        <f t="shared" ca="1" si="604"/>
        <v>71164</v>
      </c>
      <c r="BD938" s="467">
        <f t="shared" ca="1" si="617"/>
        <v>71165</v>
      </c>
      <c r="BE938" s="467">
        <f t="shared" ca="1" si="605"/>
        <v>71193</v>
      </c>
      <c r="BF938" s="468">
        <f ca="1">IF(計算!$BC938&lt;OP!$C$3,0,BD938-BC938)</f>
        <v>1</v>
      </c>
      <c r="BG938" s="468">
        <f ca="1">IF($BE938&gt;DATE(YEAR($BD$9)+OP!$C$57,MONTH($BD$9),DAY($BD$9)),0,$BE938-$BD938+1)</f>
        <v>29</v>
      </c>
      <c r="BH938" s="469">
        <f t="shared" ca="1" si="606"/>
        <v>30</v>
      </c>
      <c r="BI938" t="str">
        <f t="shared" si="622"/>
        <v/>
      </c>
      <c r="BJ938">
        <v>5</v>
      </c>
      <c r="BN938" s="468">
        <f t="shared" si="618"/>
        <v>78</v>
      </c>
      <c r="BO938" s="468">
        <f t="shared" si="619"/>
        <v>5</v>
      </c>
      <c r="BP938" s="467">
        <f t="shared" ca="1" si="607"/>
        <v>71165</v>
      </c>
      <c r="BQ938" s="475">
        <f t="shared" ca="1" si="621"/>
        <v>110</v>
      </c>
      <c r="BR938" s="475" t="str">
        <f t="shared" si="620"/>
        <v/>
      </c>
      <c r="BS938" s="471" t="str">
        <f t="shared" si="608"/>
        <v/>
      </c>
      <c r="BT938" s="472" t="str">
        <f t="shared" si="623"/>
        <v/>
      </c>
      <c r="BU938" s="472">
        <f t="shared" ca="1" si="609"/>
        <v>0</v>
      </c>
      <c r="BV938" s="472">
        <f t="shared" ca="1" si="609"/>
        <v>0</v>
      </c>
      <c r="BW938" s="472"/>
      <c r="BX938" s="473">
        <f t="shared" ca="1" si="610"/>
        <v>2686683.5220056502</v>
      </c>
      <c r="BY938" s="473">
        <f t="shared" si="611"/>
        <v>0</v>
      </c>
      <c r="BZ938" s="473">
        <f t="shared" ca="1" si="593"/>
        <v>5940.1468444620004</v>
      </c>
      <c r="CA938" s="476">
        <f t="shared" ca="1" si="612"/>
        <v>0</v>
      </c>
      <c r="CB938" s="494">
        <f ca="1">IF(OR($Q937&lt;&gt;1,OP!$D$5+$BN938-1&lt;16,$BN938-1&lt;1),0,ROUND(ROUND(ROUND(((VLOOKUP($BN938-1,MORE_PV,5,0)/10000)*VLOOKUP($BN938,MORE_PV,$CB$5,0)),3)*VLOOKUP($BN938,more1,5,0),0)/$R937,0))</f>
        <v>0</v>
      </c>
      <c r="CC938" s="473">
        <f t="shared" ca="1" si="613"/>
        <v>0</v>
      </c>
      <c r="CD938" s="477"/>
    </row>
    <row r="939" spans="2:82" ht="16.5" hidden="1">
      <c r="B939" s="80"/>
      <c r="C939" s="80"/>
      <c r="D939" s="80"/>
      <c r="E939" s="80"/>
      <c r="F939" s="80"/>
      <c r="G939" s="80"/>
      <c r="H939" s="80"/>
      <c r="I939" s="80"/>
      <c r="J939" s="192">
        <f t="shared" si="594"/>
        <v>78</v>
      </c>
      <c r="K939" s="192">
        <f t="shared" si="595"/>
        <v>7</v>
      </c>
      <c r="L939" s="192" t="str">
        <f t="shared" si="590"/>
        <v/>
      </c>
      <c r="M939" s="216">
        <f t="shared" ca="1" si="596"/>
        <v>0</v>
      </c>
      <c r="N939" s="216"/>
      <c r="O939" s="216"/>
      <c r="P939" s="216"/>
      <c r="Q939" s="456" t="str">
        <f t="shared" ca="1" si="597"/>
        <v/>
      </c>
      <c r="R939" s="450">
        <f t="shared" ca="1" si="598"/>
        <v>1</v>
      </c>
      <c r="S939" s="191">
        <f t="shared" si="599"/>
        <v>78</v>
      </c>
      <c r="T939" s="191">
        <f t="shared" si="600"/>
        <v>7</v>
      </c>
      <c r="U939" s="191">
        <f ca="1">OP!$D$5+$S939-1</f>
        <v>110</v>
      </c>
      <c r="V939" s="191" t="str">
        <f t="shared" si="601"/>
        <v/>
      </c>
      <c r="W939" s="350">
        <f ca="1">IF(Q939&lt;&gt;1,0,VLOOKUP(OP!$C$55,PVFB,$S939+2,0))</f>
        <v>0</v>
      </c>
      <c r="X939" s="473">
        <f t="shared" ca="1" si="614"/>
        <v>0</v>
      </c>
      <c r="Y939" s="348">
        <f t="shared" ca="1" si="615"/>
        <v>0</v>
      </c>
      <c r="Z939" s="348">
        <f t="shared" ca="1" si="616"/>
        <v>8012</v>
      </c>
      <c r="AA939" s="348">
        <f ca="1">IF(Q939&lt;&gt;1,0,VLOOKUP(OP!$C$55,PVFB,$S939+2,0))</f>
        <v>0</v>
      </c>
      <c r="AB939" s="488" t="str">
        <f ca="1">IF(AND(S939&lt;OP!$C$24,$U939&lt;15),0,IF(AND($U939&lt;15,$T939=12),ROUND(VLOOKUP($S939,DOWN16,5,0),3),IF($T939=12,ROUND(($Z939/10000)*$AA939,3)+IF(AND($P$7="購買增額繳清保險",T939=12,U939=110),VLOOKUP(S939,$B$10:$H$121,7,0),0),"")))</f>
        <v/>
      </c>
      <c r="AC939" s="350" t="str">
        <f ca="1">IF(AND(S939&lt;OP!$C$24,$U939&lt;15),0,IF(AND($U939&lt;16,$T939=12),VLOOKUP($S939,DOWN16,4,0),IF($T939=12,ROUND(VLOOKUP(OP!$C$55,_DIE2,$S939+1,0)*(Z939/10000),0)+IF(AND($P$7="購買增額繳清保險",T939=12,U939=110),VLOOKUP(S939,$B$10:$H$121,7,0),0),"")))</f>
        <v/>
      </c>
      <c r="AD939" s="347"/>
      <c r="AE939" s="350" t="str">
        <f t="shared" ca="1" si="591"/>
        <v/>
      </c>
      <c r="AF939" s="351" t="str">
        <f t="shared" ca="1" si="592"/>
        <v/>
      </c>
      <c r="AG939" s="340"/>
      <c r="AH939" s="340"/>
      <c r="AI939" s="340"/>
      <c r="AJ939" s="340"/>
      <c r="AK939" s="340"/>
      <c r="AL939" s="340"/>
      <c r="AM939" s="340"/>
      <c r="AN939" s="340"/>
      <c r="AO939" s="340"/>
      <c r="AP939" s="340"/>
      <c r="AQ939" s="340"/>
      <c r="AR939" s="340"/>
      <c r="AS939" s="340"/>
      <c r="AT939" s="340"/>
      <c r="AU939" s="340"/>
      <c r="AV939" s="340"/>
      <c r="AY939" s="340"/>
      <c r="AZ939" s="465">
        <f t="shared" ca="1" si="602"/>
        <v>7.3698599999999999E-5</v>
      </c>
      <c r="BA939" s="464">
        <f t="shared" ca="1" si="603"/>
        <v>2.2109589000000002E-3</v>
      </c>
      <c r="BB939" s="465">
        <f t="shared" ca="1" si="603"/>
        <v>2.2846575E-3</v>
      </c>
      <c r="BC939" s="466">
        <f t="shared" ca="1" si="604"/>
        <v>71194</v>
      </c>
      <c r="BD939" s="467">
        <f t="shared" ca="1" si="617"/>
        <v>71195</v>
      </c>
      <c r="BE939" s="467">
        <f t="shared" ca="1" si="605"/>
        <v>71224</v>
      </c>
      <c r="BF939" s="468">
        <f ca="1">IF(計算!$BC939&lt;OP!$C$3,0,BD939-BC939)</f>
        <v>1</v>
      </c>
      <c r="BG939" s="468">
        <f ca="1">IF($BE939&gt;DATE(YEAR($BD$9)+OP!$C$57,MONTH($BD$9),DAY($BD$9)),0,$BE939-$BD939+1)</f>
        <v>30</v>
      </c>
      <c r="BH939" s="469">
        <f t="shared" ca="1" si="606"/>
        <v>31</v>
      </c>
      <c r="BI939" t="str">
        <f t="shared" si="622"/>
        <v/>
      </c>
      <c r="BJ939">
        <v>6</v>
      </c>
      <c r="BN939" s="468">
        <f t="shared" si="618"/>
        <v>78</v>
      </c>
      <c r="BO939" s="468">
        <f t="shared" si="619"/>
        <v>6</v>
      </c>
      <c r="BP939" s="467">
        <f t="shared" ca="1" si="607"/>
        <v>71195</v>
      </c>
      <c r="BQ939" s="475">
        <f t="shared" ca="1" si="621"/>
        <v>110</v>
      </c>
      <c r="BR939" s="475" t="str">
        <f t="shared" si="620"/>
        <v/>
      </c>
      <c r="BS939" s="471" t="str">
        <f t="shared" si="608"/>
        <v/>
      </c>
      <c r="BT939" s="472" t="str">
        <f t="shared" si="623"/>
        <v/>
      </c>
      <c r="BU939" s="472">
        <f t="shared" ca="1" si="609"/>
        <v>0</v>
      </c>
      <c r="BV939" s="472">
        <f t="shared" ca="1" si="609"/>
        <v>0</v>
      </c>
      <c r="BW939" s="472"/>
      <c r="BX939" s="473">
        <f t="shared" ca="1" si="610"/>
        <v>2692623.6688501099</v>
      </c>
      <c r="BY939" s="473">
        <f t="shared" si="611"/>
        <v>0</v>
      </c>
      <c r="BZ939" s="473">
        <f t="shared" ca="1" si="593"/>
        <v>6151.7228597160001</v>
      </c>
      <c r="CA939" s="476">
        <f t="shared" ca="1" si="612"/>
        <v>0</v>
      </c>
      <c r="CB939" s="494">
        <f ca="1">IF(OR($Q938&lt;&gt;1,OP!$D$5+$BN939-1&lt;16,$BN939-1&lt;1),0,ROUND(ROUND(ROUND(((VLOOKUP($BN939-1,MORE_PV,5,0)/10000)*VLOOKUP($BN939,MORE_PV,$CB$5,0)),3)*VLOOKUP($BN939,more1,5,0),0)/$R938,0))</f>
        <v>0</v>
      </c>
      <c r="CC939" s="473">
        <f t="shared" ca="1" si="613"/>
        <v>0</v>
      </c>
      <c r="CD939" s="477"/>
    </row>
    <row r="940" spans="2:82" ht="16.5" hidden="1">
      <c r="B940" s="80"/>
      <c r="C940" s="80"/>
      <c r="D940" s="80"/>
      <c r="E940" s="80"/>
      <c r="F940" s="80"/>
      <c r="G940" s="80"/>
      <c r="H940" s="80"/>
      <c r="I940" s="80"/>
      <c r="J940" s="192">
        <f t="shared" si="594"/>
        <v>78</v>
      </c>
      <c r="K940" s="192">
        <f t="shared" si="595"/>
        <v>8</v>
      </c>
      <c r="L940" s="192" t="str">
        <f t="shared" si="590"/>
        <v/>
      </c>
      <c r="M940" s="216">
        <f t="shared" ca="1" si="596"/>
        <v>0</v>
      </c>
      <c r="N940" s="216"/>
      <c r="O940" s="216"/>
      <c r="P940" s="216"/>
      <c r="Q940" s="456" t="str">
        <f t="shared" ca="1" si="597"/>
        <v/>
      </c>
      <c r="R940" s="450">
        <f t="shared" ca="1" si="598"/>
        <v>1</v>
      </c>
      <c r="S940" s="191">
        <f t="shared" si="599"/>
        <v>78</v>
      </c>
      <c r="T940" s="191">
        <f t="shared" si="600"/>
        <v>8</v>
      </c>
      <c r="U940" s="191">
        <f ca="1">OP!$D$5+$S940-1</f>
        <v>110</v>
      </c>
      <c r="V940" s="191" t="str">
        <f t="shared" si="601"/>
        <v/>
      </c>
      <c r="W940" s="350">
        <f ca="1">IF(Q940&lt;&gt;1,0,VLOOKUP(OP!$C$55,PVFB,$S940+2,0))</f>
        <v>0</v>
      </c>
      <c r="X940" s="473">
        <f t="shared" ca="1" si="614"/>
        <v>0</v>
      </c>
      <c r="Y940" s="348">
        <f t="shared" ca="1" si="615"/>
        <v>0</v>
      </c>
      <c r="Z940" s="348">
        <f t="shared" ca="1" si="616"/>
        <v>8012</v>
      </c>
      <c r="AA940" s="348">
        <f ca="1">IF(Q940&lt;&gt;1,0,VLOOKUP(OP!$C$55,PVFB,$S940+2,0))</f>
        <v>0</v>
      </c>
      <c r="AB940" s="488" t="str">
        <f ca="1">IF(AND(S940&lt;OP!$C$24,$U940&lt;15),0,IF(AND($U940&lt;15,$T940=12),ROUND(VLOOKUP($S940,DOWN16,5,0),3),IF($T940=12,ROUND(($Z940/10000)*$AA940,3)+IF(AND($P$7="購買增額繳清保險",T940=12,U940=110),VLOOKUP(S940,$B$10:$H$121,7,0),0),"")))</f>
        <v/>
      </c>
      <c r="AC940" s="350" t="str">
        <f ca="1">IF(AND(S940&lt;OP!$C$24,$U940&lt;15),0,IF(AND($U940&lt;16,$T940=12),VLOOKUP($S940,DOWN16,4,0),IF($T940=12,ROUND(VLOOKUP(OP!$C$55,_DIE2,$S940+1,0)*(Z940/10000),0)+IF(AND($P$7="購買增額繳清保險",T940=12,U940=110),VLOOKUP(S940,$B$10:$H$121,7,0),0),"")))</f>
        <v/>
      </c>
      <c r="AD940" s="347"/>
      <c r="AE940" s="350" t="str">
        <f t="shared" ca="1" si="591"/>
        <v/>
      </c>
      <c r="AF940" s="351" t="str">
        <f t="shared" ca="1" si="592"/>
        <v/>
      </c>
      <c r="AG940" s="340"/>
      <c r="AH940" s="340"/>
      <c r="AI940" s="340"/>
      <c r="AJ940" s="340"/>
      <c r="AK940" s="340"/>
      <c r="AL940" s="340"/>
      <c r="AM940" s="340"/>
      <c r="AN940" s="340"/>
      <c r="AO940" s="340"/>
      <c r="AP940" s="340"/>
      <c r="AQ940" s="340"/>
      <c r="AR940" s="340"/>
      <c r="AS940" s="340"/>
      <c r="AT940" s="340"/>
      <c r="AU940" s="340"/>
      <c r="AV940" s="340"/>
      <c r="AY940" s="340"/>
      <c r="AZ940" s="465">
        <f t="shared" ca="1" si="602"/>
        <v>7.3698599999999999E-5</v>
      </c>
      <c r="BA940" s="464">
        <f t="shared" ca="1" si="603"/>
        <v>2.2109589000000002E-3</v>
      </c>
      <c r="BB940" s="465">
        <f t="shared" ca="1" si="603"/>
        <v>2.2846575E-3</v>
      </c>
      <c r="BC940" s="466">
        <f t="shared" ca="1" si="604"/>
        <v>71225</v>
      </c>
      <c r="BD940" s="467">
        <f t="shared" ca="1" si="617"/>
        <v>71226</v>
      </c>
      <c r="BE940" s="467">
        <f t="shared" ca="1" si="605"/>
        <v>71255</v>
      </c>
      <c r="BF940" s="468">
        <f ca="1">IF(計算!$BC940&lt;OP!$C$3,0,BD940-BC940)</f>
        <v>1</v>
      </c>
      <c r="BG940" s="468">
        <f ca="1">IF($BE940&gt;DATE(YEAR($BD$9)+OP!$C$57,MONTH($BD$9),DAY($BD$9)),0,$BE940-$BD940+1)</f>
        <v>30</v>
      </c>
      <c r="BH940" s="469">
        <f t="shared" ca="1" si="606"/>
        <v>31</v>
      </c>
      <c r="BI940" t="str">
        <f t="shared" si="622"/>
        <v/>
      </c>
      <c r="BJ940">
        <v>7</v>
      </c>
      <c r="BN940" s="468">
        <f t="shared" si="618"/>
        <v>78</v>
      </c>
      <c r="BO940" s="468">
        <f t="shared" si="619"/>
        <v>7</v>
      </c>
      <c r="BP940" s="467">
        <f t="shared" ca="1" si="607"/>
        <v>71226</v>
      </c>
      <c r="BQ940" s="475">
        <f t="shared" ca="1" si="621"/>
        <v>110</v>
      </c>
      <c r="BR940" s="475" t="str">
        <f t="shared" si="620"/>
        <v/>
      </c>
      <c r="BS940" s="471" t="str">
        <f t="shared" si="608"/>
        <v/>
      </c>
      <c r="BT940" s="472" t="str">
        <f t="shared" si="623"/>
        <v/>
      </c>
      <c r="BU940" s="472">
        <f t="shared" ca="1" si="609"/>
        <v>0</v>
      </c>
      <c r="BV940" s="472">
        <f t="shared" ca="1" si="609"/>
        <v>0</v>
      </c>
      <c r="BW940" s="472"/>
      <c r="BX940" s="473">
        <f t="shared" ca="1" si="610"/>
        <v>2698775.3917098301</v>
      </c>
      <c r="BY940" s="473">
        <f t="shared" si="611"/>
        <v>0</v>
      </c>
      <c r="BZ940" s="473">
        <f t="shared" ca="1" si="593"/>
        <v>6165.7774394850003</v>
      </c>
      <c r="CA940" s="476">
        <f t="shared" ca="1" si="612"/>
        <v>0</v>
      </c>
      <c r="CB940" s="494">
        <f ca="1">IF(OR($Q939&lt;&gt;1,OP!$D$5+$BN940-1&lt;16,$BN940-1&lt;1),0,ROUND(ROUND(ROUND(((VLOOKUP($BN940-1,MORE_PV,5,0)/10000)*VLOOKUP($BN940,MORE_PV,$CB$5,0)),3)*VLOOKUP($BN940,more1,5,0),0)/$R939,0))</f>
        <v>0</v>
      </c>
      <c r="CC940" s="473">
        <f t="shared" ca="1" si="613"/>
        <v>0</v>
      </c>
      <c r="CD940" s="477"/>
    </row>
    <row r="941" spans="2:82" ht="16.5" hidden="1">
      <c r="B941" s="80"/>
      <c r="C941" s="80"/>
      <c r="D941" s="80"/>
      <c r="E941" s="80"/>
      <c r="F941" s="80"/>
      <c r="G941" s="80"/>
      <c r="H941" s="80"/>
      <c r="I941" s="80"/>
      <c r="J941" s="192">
        <f t="shared" si="594"/>
        <v>78</v>
      </c>
      <c r="K941" s="192">
        <f t="shared" si="595"/>
        <v>9</v>
      </c>
      <c r="L941" s="192" t="str">
        <f t="shared" si="590"/>
        <v/>
      </c>
      <c r="M941" s="216">
        <f t="shared" ca="1" si="596"/>
        <v>0</v>
      </c>
      <c r="N941" s="216"/>
      <c r="O941" s="216"/>
      <c r="P941" s="216"/>
      <c r="Q941" s="456" t="str">
        <f t="shared" ca="1" si="597"/>
        <v/>
      </c>
      <c r="R941" s="450">
        <f t="shared" ca="1" si="598"/>
        <v>1</v>
      </c>
      <c r="S941" s="191">
        <f t="shared" si="599"/>
        <v>78</v>
      </c>
      <c r="T941" s="191">
        <f t="shared" si="600"/>
        <v>9</v>
      </c>
      <c r="U941" s="191">
        <f ca="1">OP!$D$5+$S941-1</f>
        <v>110</v>
      </c>
      <c r="V941" s="191" t="str">
        <f t="shared" si="601"/>
        <v/>
      </c>
      <c r="W941" s="350">
        <f ca="1">IF(Q941&lt;&gt;1,0,VLOOKUP(OP!$C$55,PVFB,$S941+2,0))</f>
        <v>0</v>
      </c>
      <c r="X941" s="473">
        <f t="shared" ca="1" si="614"/>
        <v>0</v>
      </c>
      <c r="Y941" s="348">
        <f t="shared" ca="1" si="615"/>
        <v>0</v>
      </c>
      <c r="Z941" s="348">
        <f t="shared" ca="1" si="616"/>
        <v>8012</v>
      </c>
      <c r="AA941" s="348">
        <f ca="1">IF(Q941&lt;&gt;1,0,VLOOKUP(OP!$C$55,PVFB,$S941+2,0))</f>
        <v>0</v>
      </c>
      <c r="AB941" s="488" t="str">
        <f ca="1">IF(AND(S941&lt;OP!$C$24,$U941&lt;15),0,IF(AND($U941&lt;15,$T941=12),ROUND(VLOOKUP($S941,DOWN16,5,0),3),IF($T941=12,ROUND(($Z941/10000)*$AA941,3)+IF(AND($P$7="購買增額繳清保險",T941=12,U941=110),VLOOKUP(S941,$B$10:$H$121,7,0),0),"")))</f>
        <v/>
      </c>
      <c r="AC941" s="350" t="str">
        <f ca="1">IF(AND(S941&lt;OP!$C$24,$U941&lt;15),0,IF(AND($U941&lt;16,$T941=12),VLOOKUP($S941,DOWN16,4,0),IF($T941=12,ROUND(VLOOKUP(OP!$C$55,_DIE2,$S941+1,0)*(Z941/10000),0)+IF(AND($P$7="購買增額繳清保險",T941=12,U941=110),VLOOKUP(S941,$B$10:$H$121,7,0),0),"")))</f>
        <v/>
      </c>
      <c r="AD941" s="347"/>
      <c r="AE941" s="350" t="str">
        <f t="shared" ca="1" si="591"/>
        <v/>
      </c>
      <c r="AF941" s="351" t="str">
        <f t="shared" ca="1" si="592"/>
        <v/>
      </c>
      <c r="AG941" s="340"/>
      <c r="AH941" s="340"/>
      <c r="AI941" s="340"/>
      <c r="AJ941" s="340"/>
      <c r="AK941" s="340"/>
      <c r="AL941" s="340"/>
      <c r="AM941" s="340"/>
      <c r="AN941" s="340"/>
      <c r="AO941" s="340"/>
      <c r="AP941" s="340"/>
      <c r="AQ941" s="340"/>
      <c r="AR941" s="340"/>
      <c r="AS941" s="340"/>
      <c r="AT941" s="340"/>
      <c r="AU941" s="340"/>
      <c r="AV941" s="340"/>
      <c r="AY941" s="340"/>
      <c r="AZ941" s="465">
        <f t="shared" ca="1" si="602"/>
        <v>7.3698599999999999E-5</v>
      </c>
      <c r="BA941" s="464">
        <f t="shared" ca="1" si="603"/>
        <v>1.9898630000000001E-3</v>
      </c>
      <c r="BB941" s="465">
        <f t="shared" ca="1" si="603"/>
        <v>2.0635616E-3</v>
      </c>
      <c r="BC941" s="466">
        <f t="shared" ca="1" si="604"/>
        <v>71256</v>
      </c>
      <c r="BD941" s="467">
        <f t="shared" ca="1" si="617"/>
        <v>71257</v>
      </c>
      <c r="BE941" s="467">
        <f t="shared" ca="1" si="605"/>
        <v>71283</v>
      </c>
      <c r="BF941" s="468">
        <f ca="1">IF(計算!$BC941&lt;OP!$C$3,0,BD941-BC941)</f>
        <v>1</v>
      </c>
      <c r="BG941" s="468">
        <f ca="1">IF($BE941&gt;DATE(YEAR($BD$9)+OP!$C$57,MONTH($BD$9),DAY($BD$9)),0,$BE941-$BD941+1)</f>
        <v>27</v>
      </c>
      <c r="BH941" s="469">
        <f t="shared" ca="1" si="606"/>
        <v>28</v>
      </c>
      <c r="BI941" t="str">
        <f t="shared" si="622"/>
        <v/>
      </c>
      <c r="BJ941">
        <v>8</v>
      </c>
      <c r="BN941" s="468">
        <f t="shared" si="618"/>
        <v>78</v>
      </c>
      <c r="BO941" s="468">
        <f t="shared" si="619"/>
        <v>8</v>
      </c>
      <c r="BP941" s="467">
        <f t="shared" ca="1" si="607"/>
        <v>71257</v>
      </c>
      <c r="BQ941" s="475">
        <f t="shared" ca="1" si="621"/>
        <v>110</v>
      </c>
      <c r="BR941" s="475" t="str">
        <f t="shared" si="620"/>
        <v/>
      </c>
      <c r="BS941" s="471" t="str">
        <f t="shared" si="608"/>
        <v/>
      </c>
      <c r="BT941" s="472" t="str">
        <f t="shared" si="623"/>
        <v/>
      </c>
      <c r="BU941" s="472">
        <f t="shared" ca="1" si="609"/>
        <v>0</v>
      </c>
      <c r="BV941" s="472">
        <f t="shared" ca="1" si="609"/>
        <v>0</v>
      </c>
      <c r="BW941" s="472"/>
      <c r="BX941" s="473">
        <f t="shared" ca="1" si="610"/>
        <v>2704941.1691493099</v>
      </c>
      <c r="BY941" s="473">
        <f t="shared" si="611"/>
        <v>0</v>
      </c>
      <c r="BZ941" s="473">
        <f t="shared" ca="1" si="593"/>
        <v>5581.8127269160004</v>
      </c>
      <c r="CA941" s="476">
        <f t="shared" ca="1" si="612"/>
        <v>0</v>
      </c>
      <c r="CB941" s="494">
        <f ca="1">IF(OR($Q940&lt;&gt;1,OP!$D$5+$BN941-1&lt;16,$BN941-1&lt;1),0,ROUND(ROUND(ROUND(((VLOOKUP($BN941-1,MORE_PV,5,0)/10000)*VLOOKUP($BN941,MORE_PV,$CB$5,0)),3)*VLOOKUP($BN941,more1,5,0),0)/$R940,0))</f>
        <v>0</v>
      </c>
      <c r="CC941" s="473">
        <f t="shared" ca="1" si="613"/>
        <v>0</v>
      </c>
      <c r="CD941" s="477"/>
    </row>
    <row r="942" spans="2:82" ht="16.5" hidden="1">
      <c r="B942" s="80"/>
      <c r="C942" s="80"/>
      <c r="D942" s="80"/>
      <c r="E942" s="80"/>
      <c r="F942" s="80"/>
      <c r="G942" s="80"/>
      <c r="H942" s="80"/>
      <c r="I942" s="80"/>
      <c r="J942" s="192">
        <f t="shared" si="594"/>
        <v>78</v>
      </c>
      <c r="K942" s="192">
        <f t="shared" si="595"/>
        <v>10</v>
      </c>
      <c r="L942" s="192" t="str">
        <f t="shared" si="590"/>
        <v/>
      </c>
      <c r="M942" s="216">
        <f t="shared" ca="1" si="596"/>
        <v>0</v>
      </c>
      <c r="N942" s="216"/>
      <c r="O942" s="216"/>
      <c r="P942" s="216"/>
      <c r="Q942" s="456" t="str">
        <f t="shared" ca="1" si="597"/>
        <v/>
      </c>
      <c r="R942" s="450">
        <f t="shared" ca="1" si="598"/>
        <v>1</v>
      </c>
      <c r="S942" s="191">
        <f t="shared" si="599"/>
        <v>78</v>
      </c>
      <c r="T942" s="191">
        <f t="shared" si="600"/>
        <v>10</v>
      </c>
      <c r="U942" s="191">
        <f ca="1">OP!$D$5+$S942-1</f>
        <v>110</v>
      </c>
      <c r="V942" s="191" t="str">
        <f t="shared" si="601"/>
        <v/>
      </c>
      <c r="W942" s="350">
        <f ca="1">IF(Q942&lt;&gt;1,0,VLOOKUP(OP!$C$55,PVFB,$S942+2,0))</f>
        <v>0</v>
      </c>
      <c r="X942" s="473">
        <f t="shared" ca="1" si="614"/>
        <v>0</v>
      </c>
      <c r="Y942" s="348">
        <f t="shared" ca="1" si="615"/>
        <v>0</v>
      </c>
      <c r="Z942" s="348">
        <f t="shared" ca="1" si="616"/>
        <v>8012</v>
      </c>
      <c r="AA942" s="348">
        <f ca="1">IF(Q942&lt;&gt;1,0,VLOOKUP(OP!$C$55,PVFB,$S942+2,0))</f>
        <v>0</v>
      </c>
      <c r="AB942" s="488" t="str">
        <f ca="1">IF(AND(S942&lt;OP!$C$24,$U942&lt;15),0,IF(AND($U942&lt;15,$T942=12),ROUND(VLOOKUP($S942,DOWN16,5,0),3),IF($T942=12,ROUND(($Z942/10000)*$AA942,3)+IF(AND($P$7="購買增額繳清保險",T942=12,U942=110),VLOOKUP(S942,$B$10:$H$121,7,0),0),"")))</f>
        <v/>
      </c>
      <c r="AC942" s="350" t="str">
        <f ca="1">IF(AND(S942&lt;OP!$C$24,$U942&lt;15),0,IF(AND($U942&lt;16,$T942=12),VLOOKUP($S942,DOWN16,4,0),IF($T942=12,ROUND(VLOOKUP(OP!$C$55,_DIE2,$S942+1,0)*(Z942/10000),0)+IF(AND($P$7="購買增額繳清保險",T942=12,U942=110),VLOOKUP(S942,$B$10:$H$121,7,0),0),"")))</f>
        <v/>
      </c>
      <c r="AD942" s="347"/>
      <c r="AE942" s="350" t="str">
        <f t="shared" ca="1" si="591"/>
        <v/>
      </c>
      <c r="AF942" s="351" t="str">
        <f t="shared" ca="1" si="592"/>
        <v/>
      </c>
      <c r="AG942" s="340"/>
      <c r="AH942" s="340"/>
      <c r="AI942" s="340"/>
      <c r="AJ942" s="340"/>
      <c r="AK942" s="340"/>
      <c r="AL942" s="340"/>
      <c r="AM942" s="340"/>
      <c r="AN942" s="340"/>
      <c r="AO942" s="340"/>
      <c r="AP942" s="340"/>
      <c r="AQ942" s="340"/>
      <c r="AR942" s="340"/>
      <c r="AS942" s="340"/>
      <c r="AT942" s="340"/>
      <c r="AU942" s="340"/>
      <c r="AV942" s="340"/>
      <c r="AY942" s="340"/>
      <c r="AZ942" s="465">
        <f t="shared" ca="1" si="602"/>
        <v>7.3698599999999999E-5</v>
      </c>
      <c r="BA942" s="464">
        <f t="shared" ca="1" si="603"/>
        <v>2.2109589000000002E-3</v>
      </c>
      <c r="BB942" s="465">
        <f t="shared" ca="1" si="603"/>
        <v>2.2846575E-3</v>
      </c>
      <c r="BC942" s="466">
        <f t="shared" ca="1" si="604"/>
        <v>71284</v>
      </c>
      <c r="BD942" s="467">
        <f t="shared" ca="1" si="617"/>
        <v>71285</v>
      </c>
      <c r="BE942" s="467">
        <f t="shared" ca="1" si="605"/>
        <v>71314</v>
      </c>
      <c r="BF942" s="468">
        <f ca="1">IF(計算!$BC942&lt;OP!$C$3,0,BD942-BC942)</f>
        <v>1</v>
      </c>
      <c r="BG942" s="468">
        <f ca="1">IF($BE942&gt;DATE(YEAR($BD$9)+OP!$C$57,MONTH($BD$9),DAY($BD$9)),0,$BE942-$BD942+1)</f>
        <v>30</v>
      </c>
      <c r="BH942" s="469">
        <f t="shared" ca="1" si="606"/>
        <v>31</v>
      </c>
      <c r="BI942" t="str">
        <f t="shared" si="622"/>
        <v/>
      </c>
      <c r="BJ942">
        <v>9</v>
      </c>
      <c r="BN942" s="468">
        <f t="shared" si="618"/>
        <v>78</v>
      </c>
      <c r="BO942" s="468">
        <f t="shared" si="619"/>
        <v>9</v>
      </c>
      <c r="BP942" s="467">
        <f t="shared" ca="1" si="607"/>
        <v>71285</v>
      </c>
      <c r="BQ942" s="475">
        <f t="shared" ca="1" si="621"/>
        <v>110</v>
      </c>
      <c r="BR942" s="475" t="str">
        <f t="shared" si="620"/>
        <v/>
      </c>
      <c r="BS942" s="471" t="str">
        <f t="shared" si="608"/>
        <v/>
      </c>
      <c r="BT942" s="472" t="str">
        <f t="shared" si="623"/>
        <v/>
      </c>
      <c r="BU942" s="472">
        <f t="shared" ca="1" si="609"/>
        <v>0</v>
      </c>
      <c r="BV942" s="472">
        <f t="shared" ca="1" si="609"/>
        <v>0</v>
      </c>
      <c r="BW942" s="472"/>
      <c r="BX942" s="473">
        <f t="shared" ca="1" si="610"/>
        <v>2710522.9818762299</v>
      </c>
      <c r="BY942" s="473">
        <f t="shared" si="611"/>
        <v>0</v>
      </c>
      <c r="BZ942" s="473">
        <f t="shared" ca="1" si="593"/>
        <v>6192.6166594659999</v>
      </c>
      <c r="CA942" s="476">
        <f t="shared" ca="1" si="612"/>
        <v>0</v>
      </c>
      <c r="CB942" s="494">
        <f ca="1">IF(OR($Q941&lt;&gt;1,OP!$D$5+$BN942-1&lt;16,$BN942-1&lt;1),0,ROUND(ROUND(ROUND(((VLOOKUP($BN942-1,MORE_PV,5,0)/10000)*VLOOKUP($BN942,MORE_PV,$CB$5,0)),3)*VLOOKUP($BN942,more1,5,0),0)/$R941,0))</f>
        <v>0</v>
      </c>
      <c r="CC942" s="473">
        <f t="shared" ca="1" si="613"/>
        <v>0</v>
      </c>
      <c r="CD942" s="477"/>
    </row>
    <row r="943" spans="2:82" ht="16.5" hidden="1">
      <c r="B943" s="80"/>
      <c r="C943" s="80"/>
      <c r="D943" s="80"/>
      <c r="E943" s="80"/>
      <c r="F943" s="80"/>
      <c r="G943" s="80"/>
      <c r="H943" s="80"/>
      <c r="I943" s="80"/>
      <c r="J943" s="192">
        <f t="shared" si="594"/>
        <v>78</v>
      </c>
      <c r="K943" s="192">
        <f t="shared" si="595"/>
        <v>11</v>
      </c>
      <c r="L943" s="192" t="str">
        <f t="shared" si="590"/>
        <v/>
      </c>
      <c r="M943" s="216">
        <f t="shared" ca="1" si="596"/>
        <v>0</v>
      </c>
      <c r="N943" s="216"/>
      <c r="O943" s="216"/>
      <c r="P943" s="216"/>
      <c r="Q943" s="456" t="str">
        <f t="shared" ca="1" si="597"/>
        <v/>
      </c>
      <c r="R943" s="450">
        <f t="shared" ca="1" si="598"/>
        <v>1</v>
      </c>
      <c r="S943" s="191">
        <f t="shared" si="599"/>
        <v>78</v>
      </c>
      <c r="T943" s="191">
        <f t="shared" si="600"/>
        <v>11</v>
      </c>
      <c r="U943" s="191">
        <f ca="1">OP!$D$5+$S943-1</f>
        <v>110</v>
      </c>
      <c r="V943" s="191" t="str">
        <f t="shared" si="601"/>
        <v/>
      </c>
      <c r="W943" s="350">
        <f ca="1">IF(Q943&lt;&gt;1,0,VLOOKUP(OP!$C$55,PVFB,$S943+2,0))</f>
        <v>0</v>
      </c>
      <c r="X943" s="473">
        <f t="shared" ca="1" si="614"/>
        <v>0</v>
      </c>
      <c r="Y943" s="348">
        <f t="shared" ca="1" si="615"/>
        <v>0</v>
      </c>
      <c r="Z943" s="348">
        <f t="shared" ca="1" si="616"/>
        <v>8012</v>
      </c>
      <c r="AA943" s="348">
        <f ca="1">IF(Q943&lt;&gt;1,0,VLOOKUP(OP!$C$55,PVFB,$S943+2,0))</f>
        <v>0</v>
      </c>
      <c r="AB943" s="488" t="str">
        <f ca="1">IF(AND(S943&lt;OP!$C$24,$U943&lt;15),0,IF(AND($U943&lt;15,$T943=12),ROUND(VLOOKUP($S943,DOWN16,5,0),3),IF($T943=12,ROUND(($Z943/10000)*$AA943,3)+IF(AND($P$7="購買增額繳清保險",T943=12,U943=110),VLOOKUP(S943,$B$10:$H$121,7,0),0),"")))</f>
        <v/>
      </c>
      <c r="AC943" s="350" t="str">
        <f ca="1">IF(AND(S943&lt;OP!$C$24,$U943&lt;15),0,IF(AND($U943&lt;16,$T943=12),VLOOKUP($S943,DOWN16,4,0),IF($T943=12,ROUND(VLOOKUP(OP!$C$55,_DIE2,$S943+1,0)*(Z943/10000),0)+IF(AND($P$7="購買增額繳清保險",T943=12,U943=110),VLOOKUP(S943,$B$10:$H$121,7,0),0),"")))</f>
        <v/>
      </c>
      <c r="AD943" s="347"/>
      <c r="AE943" s="350" t="str">
        <f t="shared" ca="1" si="591"/>
        <v/>
      </c>
      <c r="AF943" s="351" t="str">
        <f t="shared" ca="1" si="592"/>
        <v/>
      </c>
      <c r="AG943" s="340"/>
      <c r="AH943" s="340"/>
      <c r="AI943" s="340"/>
      <c r="AJ943" s="340"/>
      <c r="AK943" s="340"/>
      <c r="AL943" s="340"/>
      <c r="AM943" s="340"/>
      <c r="AN943" s="340"/>
      <c r="AO943" s="340"/>
      <c r="AP943" s="340"/>
      <c r="AQ943" s="340"/>
      <c r="AR943" s="340"/>
      <c r="AS943" s="340"/>
      <c r="AT943" s="340"/>
      <c r="AU943" s="340"/>
      <c r="AV943" s="340"/>
      <c r="AY943" s="340"/>
      <c r="AZ943" s="465">
        <f t="shared" ca="1" si="602"/>
        <v>7.3698599999999999E-5</v>
      </c>
      <c r="BA943" s="464">
        <f t="shared" ca="1" si="603"/>
        <v>2.1372602999999999E-3</v>
      </c>
      <c r="BB943" s="465">
        <f t="shared" ca="1" si="603"/>
        <v>2.2109589000000002E-3</v>
      </c>
      <c r="BC943" s="466">
        <f t="shared" ca="1" si="604"/>
        <v>71315</v>
      </c>
      <c r="BD943" s="467">
        <f t="shared" ca="1" si="617"/>
        <v>71316</v>
      </c>
      <c r="BE943" s="467">
        <f t="shared" ca="1" si="605"/>
        <v>71344</v>
      </c>
      <c r="BF943" s="468">
        <f ca="1">IF(計算!$BC943&lt;OP!$C$3,0,BD943-BC943)</f>
        <v>1</v>
      </c>
      <c r="BG943" s="468">
        <f ca="1">IF($BE943&gt;DATE(YEAR($BD$9)+OP!$C$57,MONTH($BD$9),DAY($BD$9)),0,$BE943-$BD943+1)</f>
        <v>29</v>
      </c>
      <c r="BH943" s="469">
        <f t="shared" ca="1" si="606"/>
        <v>30</v>
      </c>
      <c r="BI943" t="str">
        <f t="shared" si="622"/>
        <v/>
      </c>
      <c r="BJ943">
        <v>10</v>
      </c>
      <c r="BN943" s="468">
        <f t="shared" si="618"/>
        <v>78</v>
      </c>
      <c r="BO943" s="468">
        <f t="shared" si="619"/>
        <v>10</v>
      </c>
      <c r="BP943" s="467">
        <f t="shared" ca="1" si="607"/>
        <v>71316</v>
      </c>
      <c r="BQ943" s="475">
        <f t="shared" ca="1" si="621"/>
        <v>110</v>
      </c>
      <c r="BR943" s="475" t="str">
        <f t="shared" si="620"/>
        <v/>
      </c>
      <c r="BS943" s="471" t="str">
        <f t="shared" si="608"/>
        <v/>
      </c>
      <c r="BT943" s="472" t="str">
        <f t="shared" si="623"/>
        <v/>
      </c>
      <c r="BU943" s="472">
        <f t="shared" ca="1" si="609"/>
        <v>0</v>
      </c>
      <c r="BV943" s="472">
        <f t="shared" ca="1" si="609"/>
        <v>0</v>
      </c>
      <c r="BW943" s="472"/>
      <c r="BX943" s="473">
        <f t="shared" ca="1" si="610"/>
        <v>2716715.5985356998</v>
      </c>
      <c r="BY943" s="473">
        <f t="shared" si="611"/>
        <v>0</v>
      </c>
      <c r="BZ943" s="473">
        <f t="shared" ca="1" si="593"/>
        <v>6006.5465313510003</v>
      </c>
      <c r="CA943" s="476">
        <f t="shared" ca="1" si="612"/>
        <v>0</v>
      </c>
      <c r="CB943" s="494">
        <f ca="1">IF(OR($Q942&lt;&gt;1,OP!$D$5+$BN943-1&lt;16,$BN943-1&lt;1),0,ROUND(ROUND(ROUND(((VLOOKUP($BN943-1,MORE_PV,5,0)/10000)*VLOOKUP($BN943,MORE_PV,$CB$5,0)),3)*VLOOKUP($BN943,more1,5,0),0)/$R942,0))</f>
        <v>0</v>
      </c>
      <c r="CC943" s="473">
        <f t="shared" ca="1" si="613"/>
        <v>0</v>
      </c>
      <c r="CD943" s="477"/>
    </row>
    <row r="944" spans="2:82" ht="16.5" hidden="1">
      <c r="B944" s="80"/>
      <c r="C944" s="80"/>
      <c r="D944" s="80"/>
      <c r="E944" s="80"/>
      <c r="F944" s="80"/>
      <c r="G944" s="80"/>
      <c r="H944" s="80"/>
      <c r="I944" s="80"/>
      <c r="J944" s="192">
        <f t="shared" si="594"/>
        <v>78</v>
      </c>
      <c r="K944" s="192">
        <f t="shared" si="595"/>
        <v>12</v>
      </c>
      <c r="L944" s="192">
        <f t="shared" si="590"/>
        <v>78</v>
      </c>
      <c r="M944" s="216">
        <f t="shared" ca="1" si="596"/>
        <v>2755750</v>
      </c>
      <c r="N944" s="216"/>
      <c r="O944" s="216"/>
      <c r="P944" s="216"/>
      <c r="Q944" s="456">
        <f t="shared" ca="1" si="597"/>
        <v>1</v>
      </c>
      <c r="R944" s="450">
        <f t="shared" ca="1" si="598"/>
        <v>1</v>
      </c>
      <c r="S944" s="191">
        <f t="shared" si="599"/>
        <v>78</v>
      </c>
      <c r="T944" s="191">
        <f t="shared" si="600"/>
        <v>12</v>
      </c>
      <c r="U944" s="191">
        <f ca="1">OP!$D$5+$S944-1</f>
        <v>110</v>
      </c>
      <c r="V944" s="191">
        <f t="shared" si="601"/>
        <v>78</v>
      </c>
      <c r="W944" s="350">
        <f ca="1">IF(Q944&lt;&gt;1,0,VLOOKUP(OP!$C$55,PVFB,$S944+2,0))</f>
        <v>110800</v>
      </c>
      <c r="X944" s="473">
        <f t="shared" ca="1" si="614"/>
        <v>26607</v>
      </c>
      <c r="Y944" s="348">
        <f t="shared" ca="1" si="615"/>
        <v>0</v>
      </c>
      <c r="Z944" s="348">
        <f t="shared" ca="1" si="616"/>
        <v>8012</v>
      </c>
      <c r="AA944" s="348">
        <f ca="1">IF(Q944&lt;&gt;1,0,VLOOKUP(OP!$C$55,PVFB,$S944+2,0))</f>
        <v>110800</v>
      </c>
      <c r="AB944" s="488">
        <f ca="1">IF(AND(S944&lt;OP!$C$24,$U944&lt;15),0,IF(AND($U944&lt;15,$T944=12),ROUND(VLOOKUP($S944,DOWN16,5,0),3),IF($T944=12,ROUND(($Z944/10000)*$AA944,3)+IF(AND($P$7="購買增額繳清保險",T944=12,U944=110),VLOOKUP(S944,$B$10:$H$121,7,0),0),"")))</f>
        <v>88772.96</v>
      </c>
      <c r="AC944" s="350">
        <f ca="1">IF(AND(S944&lt;OP!$C$24,$U944&lt;15),0,IF(AND($U944&lt;16,$T944=12),VLOOKUP($S944,DOWN16,4,0),IF($T944=12,ROUND(VLOOKUP(OP!$C$55,_DIE2,$S944+1,0)*(Z944/10000),0)+IF(AND($P$7="購買增額繳清保險",T944=12,U944=110),VLOOKUP(S944,$B$10:$H$121,7,0),0),"")))</f>
        <v>88773</v>
      </c>
      <c r="AD944" s="347"/>
      <c r="AE944" s="350" t="str">
        <f t="shared" ca="1" si="591"/>
        <v/>
      </c>
      <c r="AF944" s="351" t="str">
        <f t="shared" ca="1" si="592"/>
        <v/>
      </c>
      <c r="AG944" s="340"/>
      <c r="AH944" s="340"/>
      <c r="AI944" s="340"/>
      <c r="AJ944" s="340"/>
      <c r="AK944" s="340"/>
      <c r="AL944" s="340"/>
      <c r="AM944" s="340"/>
      <c r="AN944" s="340"/>
      <c r="AO944" s="340"/>
      <c r="AP944" s="340"/>
      <c r="AQ944" s="340"/>
      <c r="AR944" s="340"/>
      <c r="AS944" s="340"/>
      <c r="AT944" s="340"/>
      <c r="AU944" s="340"/>
      <c r="AV944" s="340"/>
      <c r="AY944" s="340"/>
      <c r="AZ944" s="465">
        <f t="shared" ca="1" si="602"/>
        <v>7.3698599999999999E-5</v>
      </c>
      <c r="BA944" s="464">
        <f t="shared" ca="1" si="603"/>
        <v>2.2109589000000002E-3</v>
      </c>
      <c r="BB944" s="465">
        <f t="shared" ca="1" si="603"/>
        <v>2.2846575E-3</v>
      </c>
      <c r="BC944" s="466">
        <f t="shared" ca="1" si="604"/>
        <v>71345</v>
      </c>
      <c r="BD944" s="467">
        <f t="shared" ca="1" si="617"/>
        <v>71346</v>
      </c>
      <c r="BE944" s="467">
        <f t="shared" ca="1" si="605"/>
        <v>71375</v>
      </c>
      <c r="BF944" s="468">
        <f ca="1">IF(計算!$BC944&lt;OP!$C$3,0,BD944-BC944)</f>
        <v>1</v>
      </c>
      <c r="BG944" s="468">
        <f ca="1">IF($BE944&gt;DATE(YEAR($BD$9)+OP!$C$57,MONTH($BD$9),DAY($BD$9)),0,$BE944-$BD944+1)</f>
        <v>30</v>
      </c>
      <c r="BH944" s="469">
        <f t="shared" ca="1" si="606"/>
        <v>31</v>
      </c>
      <c r="BI944" t="str">
        <f t="shared" si="622"/>
        <v/>
      </c>
      <c r="BJ944">
        <v>11</v>
      </c>
      <c r="BN944" s="468">
        <f t="shared" si="618"/>
        <v>78</v>
      </c>
      <c r="BO944" s="468">
        <f t="shared" si="619"/>
        <v>11</v>
      </c>
      <c r="BP944" s="467">
        <f t="shared" ca="1" si="607"/>
        <v>71346</v>
      </c>
      <c r="BQ944" s="475">
        <f t="shared" ca="1" si="621"/>
        <v>110</v>
      </c>
      <c r="BR944" s="475" t="str">
        <f t="shared" si="620"/>
        <v/>
      </c>
      <c r="BS944" s="471" t="str">
        <f t="shared" si="608"/>
        <v/>
      </c>
      <c r="BT944" s="472" t="str">
        <f t="shared" si="623"/>
        <v/>
      </c>
      <c r="BU944" s="472">
        <f t="shared" ca="1" si="609"/>
        <v>0</v>
      </c>
      <c r="BV944" s="472">
        <f t="shared" ca="1" si="609"/>
        <v>0</v>
      </c>
      <c r="BW944" s="472"/>
      <c r="BX944" s="473">
        <f t="shared" ca="1" si="610"/>
        <v>2722722.1450670501</v>
      </c>
      <c r="BY944" s="473">
        <f t="shared" si="611"/>
        <v>0</v>
      </c>
      <c r="BZ944" s="473">
        <f t="shared" ca="1" si="593"/>
        <v>6220.4875691440002</v>
      </c>
      <c r="CA944" s="476">
        <f t="shared" ca="1" si="612"/>
        <v>0</v>
      </c>
      <c r="CB944" s="494">
        <f ca="1">IF(OR($Q943&lt;&gt;1,OP!$D$5+$BN944-1&lt;16,$BN944-1&lt;1),0,ROUND(ROUND(ROUND(((VLOOKUP($BN944-1,MORE_PV,5,0)/10000)*VLOOKUP($BN944,MORE_PV,$CB$5,0)),3)*VLOOKUP($BN944,more1,5,0),0)/$R943,0))</f>
        <v>0</v>
      </c>
      <c r="CC944" s="473">
        <f t="shared" ca="1" si="613"/>
        <v>0</v>
      </c>
      <c r="CD944" s="477"/>
    </row>
    <row r="945" spans="2:82" ht="16.5" hidden="1">
      <c r="B945" s="80"/>
      <c r="C945" s="80"/>
      <c r="D945" s="80"/>
      <c r="E945" s="80"/>
      <c r="F945" s="80"/>
      <c r="G945" s="80"/>
      <c r="H945" s="80"/>
      <c r="I945" s="80"/>
      <c r="J945" s="192">
        <f t="shared" si="594"/>
        <v>79</v>
      </c>
      <c r="K945" s="192">
        <f t="shared" si="595"/>
        <v>1</v>
      </c>
      <c r="L945" s="192" t="str">
        <f t="shared" si="590"/>
        <v/>
      </c>
      <c r="M945" s="216">
        <f t="shared" ca="1" si="596"/>
        <v>0</v>
      </c>
      <c r="N945" s="216"/>
      <c r="O945" s="216"/>
      <c r="P945" s="216"/>
      <c r="Q945" s="456" t="str">
        <f t="shared" ca="1" si="597"/>
        <v/>
      </c>
      <c r="R945" s="450">
        <f t="shared" ca="1" si="598"/>
        <v>1</v>
      </c>
      <c r="S945" s="191">
        <f t="shared" si="599"/>
        <v>79</v>
      </c>
      <c r="T945" s="191">
        <f t="shared" si="600"/>
        <v>1</v>
      </c>
      <c r="U945" s="191">
        <f ca="1">OP!$D$5+$S945-1</f>
        <v>111</v>
      </c>
      <c r="V945" s="191" t="str">
        <f t="shared" si="601"/>
        <v/>
      </c>
      <c r="W945" s="350">
        <f ca="1">IF(Q945&lt;&gt;1,0,VLOOKUP(OP!$C$55,PVFB,$S945+2,0))</f>
        <v>0</v>
      </c>
      <c r="X945" s="473">
        <f t="shared" ca="1" si="614"/>
        <v>0</v>
      </c>
      <c r="Y945" s="348">
        <f t="shared" ca="1" si="615"/>
        <v>0</v>
      </c>
      <c r="Z945" s="348">
        <f t="shared" ca="1" si="616"/>
        <v>8012</v>
      </c>
      <c r="AA945" s="348">
        <f ca="1">IF(Q945&lt;&gt;1,0,VLOOKUP(OP!$C$55,PVFB,$S945+2,0))</f>
        <v>0</v>
      </c>
      <c r="AB945" s="488" t="str">
        <f ca="1">IF(AND(S945&lt;OP!$C$24,$U945&lt;15),0,IF(AND($U945&lt;15,$T945=12),ROUND(VLOOKUP($S945,DOWN16,5,0),3),IF($T945=12,ROUND(($Z945/10000)*$AA945,3)+IF(AND($P$7="購買增額繳清保險",T945=12,U945=110),VLOOKUP(S945,$B$10:$H$121,7,0),0),"")))</f>
        <v/>
      </c>
      <c r="AC945" s="350" t="str">
        <f ca="1">IF(AND(S945&lt;OP!$C$24,$U945&lt;15),0,IF(AND($U945&lt;16,$T945=12),VLOOKUP($S945,DOWN16,4,0),IF($T945=12,ROUND(VLOOKUP(OP!$C$55,_DIE2,$S945+1,0)*(Z945/10000),0)+IF(AND($P$7="購買增額繳清保險",T945=12,U945=110),VLOOKUP(S945,$B$10:$H$121,7,0),0),"")))</f>
        <v/>
      </c>
      <c r="AD945" s="347"/>
      <c r="AE945" s="350" t="str">
        <f t="shared" ca="1" si="591"/>
        <v/>
      </c>
      <c r="AF945" s="351" t="str">
        <f t="shared" ca="1" si="592"/>
        <v/>
      </c>
      <c r="AG945" s="340"/>
      <c r="AH945" s="340"/>
      <c r="AI945" s="340"/>
      <c r="AJ945" s="340"/>
      <c r="AK945" s="340"/>
      <c r="AL945" s="340"/>
      <c r="AM945" s="340"/>
      <c r="AN945" s="340"/>
      <c r="AO945" s="340"/>
      <c r="AP945" s="340"/>
      <c r="AQ945" s="340"/>
      <c r="AR945" s="340"/>
      <c r="AS945" s="340"/>
      <c r="AT945" s="340"/>
      <c r="AU945" s="340"/>
      <c r="AV945" s="340"/>
      <c r="AY945" s="340"/>
      <c r="AZ945" s="465">
        <f t="shared" ca="1" si="602"/>
        <v>7.3698599999999999E-5</v>
      </c>
      <c r="BA945" s="464">
        <f t="shared" ca="1" si="603"/>
        <v>0</v>
      </c>
      <c r="BB945" s="465">
        <f t="shared" ca="1" si="603"/>
        <v>7.3698599999999999E-5</v>
      </c>
      <c r="BC945" s="466">
        <f t="shared" ca="1" si="604"/>
        <v>71376</v>
      </c>
      <c r="BD945" s="467">
        <f t="shared" ca="1" si="617"/>
        <v>71377</v>
      </c>
      <c r="BE945" s="467">
        <f t="shared" ca="1" si="605"/>
        <v>71405</v>
      </c>
      <c r="BF945" s="468">
        <f ca="1">IF(計算!$BC945&lt;OP!$C$3,0,BD945-BC945)</f>
        <v>1</v>
      </c>
      <c r="BG945" s="468">
        <f ca="1">IF($BE945&gt;DATE(YEAR($BD$9)+OP!$C$57,MONTH($BD$9),DAY($BD$9)),0,$BE945-$BD945+1)</f>
        <v>0</v>
      </c>
      <c r="BH945" s="469">
        <f t="shared" ca="1" si="606"/>
        <v>1</v>
      </c>
      <c r="BI945">
        <f t="shared" ca="1" si="622"/>
        <v>365</v>
      </c>
      <c r="BJ945">
        <v>12</v>
      </c>
      <c r="BN945" s="468">
        <f t="shared" si="618"/>
        <v>78</v>
      </c>
      <c r="BO945" s="468">
        <f t="shared" si="619"/>
        <v>12</v>
      </c>
      <c r="BP945" s="467">
        <f t="shared" ca="1" si="607"/>
        <v>71377</v>
      </c>
      <c r="BQ945" s="475">
        <f t="shared" ca="1" si="621"/>
        <v>110</v>
      </c>
      <c r="BR945" s="475">
        <f t="shared" si="620"/>
        <v>78</v>
      </c>
      <c r="BS945" s="471">
        <f t="shared" ca="1" si="608"/>
        <v>26607</v>
      </c>
      <c r="BT945" s="472">
        <f t="shared" ca="1" si="623"/>
        <v>2755750</v>
      </c>
      <c r="BU945" s="472">
        <f t="shared" ca="1" si="609"/>
        <v>25994</v>
      </c>
      <c r="BV945" s="472">
        <f t="shared" ca="1" si="609"/>
        <v>613</v>
      </c>
      <c r="BW945" s="472">
        <f ca="1">ROUND(SUM(BY945,BZ933:BZ944),0)</f>
        <v>72356</v>
      </c>
      <c r="BX945" s="473">
        <f t="shared" ca="1" si="610"/>
        <v>2755750.7518877001</v>
      </c>
      <c r="BY945" s="473">
        <f t="shared" ca="1" si="611"/>
        <v>201.11925150600001</v>
      </c>
      <c r="BZ945" s="473">
        <f t="shared" ca="1" si="593"/>
        <v>0</v>
      </c>
      <c r="CA945" s="476">
        <f t="shared" ca="1" si="612"/>
        <v>25994</v>
      </c>
      <c r="CB945" s="494">
        <f ca="1">IF(OR($Q944&lt;&gt;1,OP!$D$5+$BN945-1&lt;16,$BN945-1&lt;1),0,ROUND(ROUND(ROUND(((VLOOKUP($BN945-1,MORE_PV,5,0)/10000)*VLOOKUP($BN945,MORE_PV,$CB$5,0)),3)*VLOOKUP($BN945,more1,5,0),0)/$R944,0))</f>
        <v>613</v>
      </c>
      <c r="CC945" s="473">
        <f t="shared" ca="1" si="613"/>
        <v>0</v>
      </c>
      <c r="CD945" s="477"/>
    </row>
    <row r="946" spans="2:82" ht="16.5" hidden="1">
      <c r="B946" s="80"/>
      <c r="C946" s="80"/>
      <c r="D946" s="80"/>
      <c r="E946" s="80"/>
      <c r="F946" s="80"/>
      <c r="G946" s="80"/>
      <c r="H946" s="80"/>
      <c r="I946" s="80"/>
      <c r="J946" s="192">
        <f t="shared" si="594"/>
        <v>79</v>
      </c>
      <c r="K946" s="192">
        <f t="shared" si="595"/>
        <v>2</v>
      </c>
      <c r="L946" s="192" t="str">
        <f t="shared" si="590"/>
        <v/>
      </c>
      <c r="M946" s="216">
        <f t="shared" ca="1" si="596"/>
        <v>0</v>
      </c>
      <c r="N946" s="216"/>
      <c r="O946" s="216"/>
      <c r="P946" s="216"/>
      <c r="Q946" s="456" t="str">
        <f t="shared" ca="1" si="597"/>
        <v/>
      </c>
      <c r="R946" s="450">
        <f t="shared" ca="1" si="598"/>
        <v>1</v>
      </c>
      <c r="S946" s="191">
        <f t="shared" si="599"/>
        <v>79</v>
      </c>
      <c r="T946" s="191">
        <f t="shared" si="600"/>
        <v>2</v>
      </c>
      <c r="U946" s="191">
        <f ca="1">OP!$D$5+$S946-1</f>
        <v>111</v>
      </c>
      <c r="V946" s="191" t="str">
        <f t="shared" si="601"/>
        <v/>
      </c>
      <c r="W946" s="350">
        <f ca="1">IF(Q946&lt;&gt;1,0,VLOOKUP(OP!$C$55,PVFB,$S946+2,0))</f>
        <v>0</v>
      </c>
      <c r="X946" s="473">
        <f t="shared" ca="1" si="614"/>
        <v>0</v>
      </c>
      <c r="Y946" s="348">
        <f t="shared" ca="1" si="615"/>
        <v>0</v>
      </c>
      <c r="Z946" s="348">
        <f t="shared" ca="1" si="616"/>
        <v>8012</v>
      </c>
      <c r="AA946" s="348">
        <f ca="1">IF(Q946&lt;&gt;1,0,VLOOKUP(OP!$C$55,PVFB,$S946+2,0))</f>
        <v>0</v>
      </c>
      <c r="AB946" s="488" t="str">
        <f ca="1">IF(AND(S946&lt;OP!$C$24,$U946&lt;15),0,IF(AND($U946&lt;15,$T946=12),ROUND(VLOOKUP($S946,DOWN16,5,0),3),IF($T946=12,ROUND(($Z946/10000)*$AA946,3)+IF(AND($P$7="購買增額繳清保險",T946=12,U946=110),VLOOKUP(S946,$B$10:$H$121,7,0),0),"")))</f>
        <v/>
      </c>
      <c r="AC946" s="350" t="str">
        <f ca="1">IF(AND(S946&lt;OP!$C$24,$U946&lt;15),0,IF(AND($U946&lt;16,$T946=12),VLOOKUP($S946,DOWN16,4,0),IF($T946=12,ROUND(VLOOKUP(OP!$C$55,_DIE2,$S946+1,0)*(Z946/10000),0)+IF(AND($P$7="購買增額繳清保險",T946=12,U946=110),VLOOKUP(S946,$B$10:$H$121,7,0),0),"")))</f>
        <v/>
      </c>
      <c r="AD946" s="347"/>
      <c r="AE946" s="350" t="str">
        <f t="shared" ca="1" si="591"/>
        <v/>
      </c>
      <c r="AF946" s="351" t="str">
        <f t="shared" ca="1" si="592"/>
        <v/>
      </c>
      <c r="AG946" s="340"/>
      <c r="AH946" s="340"/>
      <c r="AI946" s="340"/>
      <c r="AJ946" s="340"/>
      <c r="AK946" s="340"/>
      <c r="AL946" s="340"/>
      <c r="AM946" s="340"/>
      <c r="AN946" s="340"/>
      <c r="AO946" s="340"/>
      <c r="AP946" s="340"/>
      <c r="AQ946" s="340"/>
      <c r="AR946" s="340"/>
      <c r="AS946" s="340"/>
      <c r="AT946" s="340"/>
      <c r="AU946" s="340"/>
      <c r="AV946" s="340"/>
      <c r="AY946" s="340"/>
      <c r="AZ946" s="465">
        <f t="shared" ca="1" si="602"/>
        <v>7.3698599999999999E-5</v>
      </c>
      <c r="BA946" s="464">
        <f t="shared" ca="1" si="603"/>
        <v>0</v>
      </c>
      <c r="BB946" s="465">
        <f t="shared" ca="1" si="603"/>
        <v>7.3698599999999999E-5</v>
      </c>
      <c r="BC946" s="466">
        <f t="shared" ca="1" si="604"/>
        <v>71406</v>
      </c>
      <c r="BD946" s="467">
        <f t="shared" ca="1" si="617"/>
        <v>71407</v>
      </c>
      <c r="BE946" s="467">
        <f t="shared" ca="1" si="605"/>
        <v>71436</v>
      </c>
      <c r="BF946" s="468">
        <f ca="1">IF(計算!$BC946&lt;OP!$C$3,0,BD946-BC946)</f>
        <v>1</v>
      </c>
      <c r="BG946" s="468">
        <f ca="1">IF($BE946&gt;DATE(YEAR($BD$9)+OP!$C$57,MONTH($BD$9),DAY($BD$9)),0,$BE946-$BD946+1)</f>
        <v>0</v>
      </c>
      <c r="BH946" s="469">
        <f t="shared" ca="1" si="606"/>
        <v>1</v>
      </c>
      <c r="BI946" t="str">
        <f t="shared" si="622"/>
        <v/>
      </c>
      <c r="BJ946">
        <v>1</v>
      </c>
      <c r="BN946" s="468">
        <f t="shared" si="618"/>
        <v>79</v>
      </c>
      <c r="BO946" s="468">
        <f t="shared" si="619"/>
        <v>1</v>
      </c>
      <c r="BP946" s="467">
        <f t="shared" ca="1" si="607"/>
        <v>71407</v>
      </c>
      <c r="BQ946" s="475">
        <f t="shared" ca="1" si="621"/>
        <v>111</v>
      </c>
      <c r="BR946" s="475" t="str">
        <f t="shared" si="620"/>
        <v/>
      </c>
      <c r="BS946" s="471" t="str">
        <f t="shared" si="608"/>
        <v/>
      </c>
      <c r="BT946" s="472" t="str">
        <f t="shared" si="623"/>
        <v/>
      </c>
      <c r="BU946" s="472">
        <f t="shared" ca="1" si="609"/>
        <v>0</v>
      </c>
      <c r="BV946" s="472">
        <f t="shared" ca="1" si="609"/>
        <v>0</v>
      </c>
      <c r="BW946" s="472"/>
      <c r="BX946" s="473">
        <f t="shared" ca="1" si="610"/>
        <v>2755750.7518877001</v>
      </c>
      <c r="BY946" s="473">
        <f t="shared" si="611"/>
        <v>0</v>
      </c>
      <c r="BZ946" s="473">
        <f t="shared" ca="1" si="593"/>
        <v>203.09497236300001</v>
      </c>
      <c r="CA946" s="476">
        <f t="shared" ca="1" si="612"/>
        <v>0</v>
      </c>
      <c r="CB946" s="494">
        <f ca="1">IF(OR($Q945&lt;&gt;1,OP!$D$5+$BN946-1&lt;16,$BN946-1&lt;1),0,ROUND(ROUND(ROUND(((VLOOKUP($BN946-1,MORE_PV,5,0)/10000)*VLOOKUP($BN946,MORE_PV,$CB$5,0)),3)*VLOOKUP($BN946,more1,5,0),0)/$R945,0))</f>
        <v>0</v>
      </c>
      <c r="CC946" s="473">
        <f t="shared" ca="1" si="613"/>
        <v>0</v>
      </c>
      <c r="CD946" s="477"/>
    </row>
    <row r="947" spans="2:82" ht="16.5" hidden="1">
      <c r="B947" s="80"/>
      <c r="C947" s="80"/>
      <c r="D947" s="80"/>
      <c r="E947" s="80"/>
      <c r="F947" s="80"/>
      <c r="G947" s="80"/>
      <c r="H947" s="80"/>
      <c r="I947" s="80"/>
      <c r="J947" s="192">
        <f t="shared" si="594"/>
        <v>79</v>
      </c>
      <c r="K947" s="192">
        <f t="shared" si="595"/>
        <v>3</v>
      </c>
      <c r="L947" s="192" t="str">
        <f t="shared" si="590"/>
        <v/>
      </c>
      <c r="M947" s="216">
        <f t="shared" ca="1" si="596"/>
        <v>0</v>
      </c>
      <c r="N947" s="216"/>
      <c r="O947" s="216"/>
      <c r="P947" s="216"/>
      <c r="Q947" s="456" t="str">
        <f t="shared" ca="1" si="597"/>
        <v/>
      </c>
      <c r="R947" s="450">
        <f t="shared" ca="1" si="598"/>
        <v>1</v>
      </c>
      <c r="S947" s="191">
        <f t="shared" si="599"/>
        <v>79</v>
      </c>
      <c r="T947" s="191">
        <f t="shared" si="600"/>
        <v>3</v>
      </c>
      <c r="U947" s="191">
        <f ca="1">OP!$D$5+$S947-1</f>
        <v>111</v>
      </c>
      <c r="V947" s="191" t="str">
        <f t="shared" si="601"/>
        <v/>
      </c>
      <c r="W947" s="350">
        <f ca="1">IF(Q947&lt;&gt;1,0,VLOOKUP(OP!$C$55,PVFB,$S947+2,0))</f>
        <v>0</v>
      </c>
      <c r="X947" s="473">
        <f t="shared" ca="1" si="614"/>
        <v>0</v>
      </c>
      <c r="Y947" s="348">
        <f t="shared" ca="1" si="615"/>
        <v>0</v>
      </c>
      <c r="Z947" s="348">
        <f t="shared" ca="1" si="616"/>
        <v>8012</v>
      </c>
      <c r="AA947" s="348">
        <f ca="1">IF(Q947&lt;&gt;1,0,VLOOKUP(OP!$C$55,PVFB,$S947+2,0))</f>
        <v>0</v>
      </c>
      <c r="AB947" s="488" t="str">
        <f ca="1">IF(AND(S947&lt;OP!$C$24,$U947&lt;15),0,IF(AND($U947&lt;15,$T947=12),ROUND(VLOOKUP($S947,DOWN16,5,0),3),IF($T947=12,ROUND(($Z947/10000)*$AA947,3)+IF(AND($P$7="購買增額繳清保險",T947=12,U947=110),VLOOKUP(S947,$B$10:$H$121,7,0),0),"")))</f>
        <v/>
      </c>
      <c r="AC947" s="350" t="str">
        <f ca="1">IF(AND(S947&lt;OP!$C$24,$U947&lt;15),0,IF(AND($U947&lt;16,$T947=12),VLOOKUP($S947,DOWN16,4,0),IF($T947=12,ROUND(VLOOKUP(OP!$C$55,_DIE2,$S947+1,0)*(Z947/10000),0)+IF(AND($P$7="購買增額繳清保險",T947=12,U947=110),VLOOKUP(S947,$B$10:$H$121,7,0),0),"")))</f>
        <v/>
      </c>
      <c r="AD947" s="347"/>
      <c r="AE947" s="350" t="str">
        <f t="shared" ca="1" si="591"/>
        <v/>
      </c>
      <c r="AF947" s="351" t="str">
        <f t="shared" ca="1" si="592"/>
        <v/>
      </c>
      <c r="AG947" s="340"/>
      <c r="AH947" s="340"/>
      <c r="AI947" s="340"/>
      <c r="AJ947" s="340"/>
      <c r="AK947" s="340"/>
      <c r="AL947" s="340"/>
      <c r="AM947" s="340"/>
      <c r="AN947" s="340"/>
      <c r="AO947" s="340"/>
      <c r="AP947" s="340"/>
      <c r="AQ947" s="340"/>
      <c r="AR947" s="340"/>
      <c r="AS947" s="340"/>
      <c r="AT947" s="340"/>
      <c r="AU947" s="340"/>
      <c r="AV947" s="340"/>
      <c r="AY947" s="340"/>
      <c r="AZ947" s="465">
        <f t="shared" ca="1" si="602"/>
        <v>7.3698599999999999E-5</v>
      </c>
      <c r="BA947" s="464">
        <f t="shared" ca="1" si="603"/>
        <v>0</v>
      </c>
      <c r="BB947" s="465">
        <f t="shared" ca="1" si="603"/>
        <v>7.3698599999999999E-5</v>
      </c>
      <c r="BC947" s="466">
        <f t="shared" ca="1" si="604"/>
        <v>71437</v>
      </c>
      <c r="BD947" s="467">
        <f t="shared" ca="1" si="617"/>
        <v>71438</v>
      </c>
      <c r="BE947" s="467">
        <f t="shared" ca="1" si="605"/>
        <v>71467</v>
      </c>
      <c r="BF947" s="468">
        <f ca="1">IF(計算!$BC947&lt;OP!$C$3,0,BD947-BC947)</f>
        <v>1</v>
      </c>
      <c r="BG947" s="468">
        <f ca="1">IF($BE947&gt;DATE(YEAR($BD$9)+OP!$C$57,MONTH($BD$9),DAY($BD$9)),0,$BE947-$BD947+1)</f>
        <v>0</v>
      </c>
      <c r="BH947" s="469">
        <f t="shared" ca="1" si="606"/>
        <v>1</v>
      </c>
      <c r="BI947" t="str">
        <f t="shared" si="622"/>
        <v/>
      </c>
      <c r="BJ947">
        <v>2</v>
      </c>
      <c r="BN947" s="468">
        <f t="shared" si="618"/>
        <v>79</v>
      </c>
      <c r="BO947" s="468">
        <f t="shared" si="619"/>
        <v>2</v>
      </c>
      <c r="BP947" s="467">
        <f t="shared" ca="1" si="607"/>
        <v>71438</v>
      </c>
      <c r="BQ947" s="475">
        <f t="shared" ca="1" si="621"/>
        <v>111</v>
      </c>
      <c r="BR947" s="475" t="str">
        <f t="shared" si="620"/>
        <v/>
      </c>
      <c r="BS947" s="471" t="str">
        <f t="shared" si="608"/>
        <v/>
      </c>
      <c r="BT947" s="472" t="str">
        <f t="shared" si="623"/>
        <v/>
      </c>
      <c r="BU947" s="472">
        <f t="shared" ca="1" si="609"/>
        <v>0</v>
      </c>
      <c r="BV947" s="472">
        <f t="shared" ca="1" si="609"/>
        <v>0</v>
      </c>
      <c r="BW947" s="472"/>
      <c r="BX947" s="473">
        <f t="shared" ca="1" si="610"/>
        <v>2755953.84686006</v>
      </c>
      <c r="BY947" s="473">
        <f t="shared" si="611"/>
        <v>0</v>
      </c>
      <c r="BZ947" s="473">
        <f t="shared" ca="1" si="593"/>
        <v>203.10994017799999</v>
      </c>
      <c r="CA947" s="476">
        <f t="shared" ca="1" si="612"/>
        <v>0</v>
      </c>
      <c r="CB947" s="494">
        <f ca="1">IF(OR($Q946&lt;&gt;1,OP!$D$5+$BN947-1&lt;16,$BN947-1&lt;1),0,ROUND(ROUND(ROUND(((VLOOKUP($BN947-1,MORE_PV,5,0)/10000)*VLOOKUP($BN947,MORE_PV,$CB$5,0)),3)*VLOOKUP($BN947,more1,5,0),0)/$R946,0))</f>
        <v>0</v>
      </c>
      <c r="CC947" s="473">
        <f t="shared" ca="1" si="613"/>
        <v>0</v>
      </c>
      <c r="CD947" s="477"/>
    </row>
    <row r="948" spans="2:82" ht="16.5" hidden="1">
      <c r="B948" s="80"/>
      <c r="C948" s="80"/>
      <c r="D948" s="80"/>
      <c r="E948" s="80"/>
      <c r="F948" s="80"/>
      <c r="G948" s="80"/>
      <c r="H948" s="80"/>
      <c r="I948" s="80"/>
      <c r="J948" s="192">
        <f t="shared" si="594"/>
        <v>79</v>
      </c>
      <c r="K948" s="192">
        <f t="shared" si="595"/>
        <v>4</v>
      </c>
      <c r="L948" s="192" t="str">
        <f t="shared" si="590"/>
        <v/>
      </c>
      <c r="M948" s="216">
        <f t="shared" ca="1" si="596"/>
        <v>0</v>
      </c>
      <c r="N948" s="216"/>
      <c r="O948" s="216"/>
      <c r="P948" s="216"/>
      <c r="Q948" s="456" t="str">
        <f t="shared" ca="1" si="597"/>
        <v/>
      </c>
      <c r="R948" s="450">
        <f t="shared" ca="1" si="598"/>
        <v>1</v>
      </c>
      <c r="S948" s="191">
        <f t="shared" si="599"/>
        <v>79</v>
      </c>
      <c r="T948" s="191">
        <f t="shared" si="600"/>
        <v>4</v>
      </c>
      <c r="U948" s="191">
        <f ca="1">OP!$D$5+$S948-1</f>
        <v>111</v>
      </c>
      <c r="V948" s="191" t="str">
        <f t="shared" si="601"/>
        <v/>
      </c>
      <c r="W948" s="350">
        <f ca="1">IF(Q948&lt;&gt;1,0,VLOOKUP(OP!$C$55,PVFB,$S948+2,0))</f>
        <v>0</v>
      </c>
      <c r="X948" s="473">
        <f t="shared" ca="1" si="614"/>
        <v>0</v>
      </c>
      <c r="Y948" s="348">
        <f t="shared" ca="1" si="615"/>
        <v>0</v>
      </c>
      <c r="Z948" s="348">
        <f t="shared" ca="1" si="616"/>
        <v>8012</v>
      </c>
      <c r="AA948" s="348">
        <f ca="1">IF(Q948&lt;&gt;1,0,VLOOKUP(OP!$C$55,PVFB,$S948+2,0))</f>
        <v>0</v>
      </c>
      <c r="AB948" s="488" t="str">
        <f ca="1">IF(AND(S948&lt;OP!$C$24,$U948&lt;15),0,IF(AND($U948&lt;15,$T948=12),ROUND(VLOOKUP($S948,DOWN16,5,0),3),IF($T948=12,ROUND(($Z948/10000)*$AA948,3)+IF(AND($P$7="購買增額繳清保險",T948=12,U948=110),VLOOKUP(S948,$B$10:$H$121,7,0),0),"")))</f>
        <v/>
      </c>
      <c r="AC948" s="350" t="str">
        <f ca="1">IF(AND(S948&lt;OP!$C$24,$U948&lt;15),0,IF(AND($U948&lt;16,$T948=12),VLOOKUP($S948,DOWN16,4,0),IF($T948=12,ROUND(VLOOKUP(OP!$C$55,_DIE2,$S948+1,0)*(Z948/10000),0)+IF(AND($P$7="購買增額繳清保險",T948=12,U948=110),VLOOKUP(S948,$B$10:$H$121,7,0),0),"")))</f>
        <v/>
      </c>
      <c r="AD948" s="347"/>
      <c r="AE948" s="350" t="str">
        <f t="shared" ca="1" si="591"/>
        <v/>
      </c>
      <c r="AF948" s="351" t="str">
        <f t="shared" ca="1" si="592"/>
        <v/>
      </c>
      <c r="AG948" s="340"/>
      <c r="AH948" s="340"/>
      <c r="AI948" s="340"/>
      <c r="AJ948" s="340"/>
      <c r="AK948" s="340"/>
      <c r="AL948" s="340"/>
      <c r="AM948" s="340"/>
      <c r="AN948" s="340"/>
      <c r="AO948" s="340"/>
      <c r="AP948" s="340"/>
      <c r="AQ948" s="340"/>
      <c r="AR948" s="340"/>
      <c r="AS948" s="340"/>
      <c r="AT948" s="340"/>
      <c r="AU948" s="340"/>
      <c r="AV948" s="340"/>
      <c r="AY948" s="340"/>
      <c r="AZ948" s="465">
        <f t="shared" ca="1" si="602"/>
        <v>7.3698599999999999E-5</v>
      </c>
      <c r="BA948" s="464">
        <f t="shared" ca="1" si="603"/>
        <v>0</v>
      </c>
      <c r="BB948" s="465">
        <f t="shared" ca="1" si="603"/>
        <v>7.3698599999999999E-5</v>
      </c>
      <c r="BC948" s="466">
        <f t="shared" ca="1" si="604"/>
        <v>71468</v>
      </c>
      <c r="BD948" s="467">
        <f t="shared" ca="1" si="617"/>
        <v>71469</v>
      </c>
      <c r="BE948" s="467">
        <f t="shared" ca="1" si="605"/>
        <v>71497</v>
      </c>
      <c r="BF948" s="468">
        <f ca="1">IF(計算!$BC948&lt;OP!$C$3,0,BD948-BC948)</f>
        <v>1</v>
      </c>
      <c r="BG948" s="468">
        <f ca="1">IF($BE948&gt;DATE(YEAR($BD$9)+OP!$C$57,MONTH($BD$9),DAY($BD$9)),0,$BE948-$BD948+1)</f>
        <v>0</v>
      </c>
      <c r="BH948" s="469">
        <f t="shared" ca="1" si="606"/>
        <v>1</v>
      </c>
      <c r="BI948" t="str">
        <f t="shared" si="622"/>
        <v/>
      </c>
      <c r="BJ948">
        <v>3</v>
      </c>
      <c r="BN948" s="468">
        <f t="shared" si="618"/>
        <v>79</v>
      </c>
      <c r="BO948" s="468">
        <f t="shared" si="619"/>
        <v>3</v>
      </c>
      <c r="BP948" s="467">
        <f t="shared" ca="1" si="607"/>
        <v>71469</v>
      </c>
      <c r="BQ948" s="475">
        <f t="shared" ca="1" si="621"/>
        <v>111</v>
      </c>
      <c r="BR948" s="475" t="str">
        <f t="shared" si="620"/>
        <v/>
      </c>
      <c r="BS948" s="471" t="str">
        <f t="shared" si="608"/>
        <v/>
      </c>
      <c r="BT948" s="472" t="str">
        <f t="shared" si="623"/>
        <v/>
      </c>
      <c r="BU948" s="472">
        <f t="shared" ca="1" si="609"/>
        <v>0</v>
      </c>
      <c r="BV948" s="472">
        <f t="shared" ca="1" si="609"/>
        <v>0</v>
      </c>
      <c r="BW948" s="472"/>
      <c r="BX948" s="473">
        <f t="shared" ca="1" si="610"/>
        <v>2756156.9568002401</v>
      </c>
      <c r="BY948" s="473">
        <f t="shared" si="611"/>
        <v>0</v>
      </c>
      <c r="BZ948" s="473">
        <f t="shared" ca="1" si="593"/>
        <v>203.12490909600001</v>
      </c>
      <c r="CA948" s="476">
        <f t="shared" ca="1" si="612"/>
        <v>0</v>
      </c>
      <c r="CB948" s="494">
        <f ca="1">IF(OR($Q947&lt;&gt;1,OP!$D$5+$BN948-1&lt;16,$BN948-1&lt;1),0,ROUND(ROUND(ROUND(((VLOOKUP($BN948-1,MORE_PV,5,0)/10000)*VLOOKUP($BN948,MORE_PV,$CB$5,0)),3)*VLOOKUP($BN948,more1,5,0),0)/$R947,0))</f>
        <v>0</v>
      </c>
      <c r="CC948" s="473">
        <f t="shared" ca="1" si="613"/>
        <v>0</v>
      </c>
      <c r="CD948" s="477"/>
    </row>
    <row r="949" spans="2:82" ht="16.5" hidden="1">
      <c r="B949" s="80"/>
      <c r="C949" s="80"/>
      <c r="D949" s="80"/>
      <c r="E949" s="80"/>
      <c r="F949" s="80"/>
      <c r="G949" s="80"/>
      <c r="H949" s="80"/>
      <c r="I949" s="80"/>
      <c r="J949" s="192">
        <f t="shared" si="594"/>
        <v>79</v>
      </c>
      <c r="K949" s="192">
        <f t="shared" si="595"/>
        <v>5</v>
      </c>
      <c r="L949" s="192" t="str">
        <f t="shared" si="590"/>
        <v/>
      </c>
      <c r="M949" s="216">
        <f t="shared" ca="1" si="596"/>
        <v>0</v>
      </c>
      <c r="N949" s="216"/>
      <c r="O949" s="216"/>
      <c r="P949" s="216"/>
      <c r="Q949" s="456" t="str">
        <f t="shared" ca="1" si="597"/>
        <v/>
      </c>
      <c r="R949" s="450">
        <f t="shared" ca="1" si="598"/>
        <v>1</v>
      </c>
      <c r="S949" s="191">
        <f t="shared" si="599"/>
        <v>79</v>
      </c>
      <c r="T949" s="191">
        <f t="shared" si="600"/>
        <v>5</v>
      </c>
      <c r="U949" s="191">
        <f ca="1">OP!$D$5+$S949-1</f>
        <v>111</v>
      </c>
      <c r="V949" s="191" t="str">
        <f t="shared" si="601"/>
        <v/>
      </c>
      <c r="W949" s="350">
        <f ca="1">IF(Q949&lt;&gt;1,0,VLOOKUP(OP!$C$55,PVFB,$S949+2,0))</f>
        <v>0</v>
      </c>
      <c r="X949" s="473">
        <f t="shared" ca="1" si="614"/>
        <v>0</v>
      </c>
      <c r="Y949" s="348">
        <f t="shared" ca="1" si="615"/>
        <v>0</v>
      </c>
      <c r="Z949" s="348">
        <f t="shared" ca="1" si="616"/>
        <v>8012</v>
      </c>
      <c r="AA949" s="348">
        <f ca="1">IF(Q949&lt;&gt;1,0,VLOOKUP(OP!$C$55,PVFB,$S949+2,0))</f>
        <v>0</v>
      </c>
      <c r="AB949" s="488" t="str">
        <f ca="1">IF(AND(S949&lt;OP!$C$24,$U949&lt;15),0,IF(AND($U949&lt;15,$T949=12),ROUND(VLOOKUP($S949,DOWN16,5,0),3),IF($T949=12,ROUND(($Z949/10000)*$AA949,3)+IF(AND($P$7="購買增額繳清保險",T949=12,U949=110),VLOOKUP(S949,$B$10:$H$121,7,0),0),"")))</f>
        <v/>
      </c>
      <c r="AC949" s="350" t="str">
        <f ca="1">IF(AND(S949&lt;OP!$C$24,$U949&lt;15),0,IF(AND($U949&lt;16,$T949=12),VLOOKUP($S949,DOWN16,4,0),IF($T949=12,ROUND(VLOOKUP(OP!$C$55,_DIE2,$S949+1,0)*(Z949/10000),0)+IF(AND($P$7="購買增額繳清保險",T949=12,U949=110),VLOOKUP(S949,$B$10:$H$121,7,0),0),"")))</f>
        <v/>
      </c>
      <c r="AD949" s="347"/>
      <c r="AE949" s="350" t="str">
        <f t="shared" ca="1" si="591"/>
        <v/>
      </c>
      <c r="AF949" s="351" t="str">
        <f t="shared" ca="1" si="592"/>
        <v/>
      </c>
      <c r="AG949" s="340"/>
      <c r="AH949" s="340"/>
      <c r="AI949" s="340"/>
      <c r="AJ949" s="340"/>
      <c r="AK949" s="340"/>
      <c r="AL949" s="340"/>
      <c r="AM949" s="340"/>
      <c r="AN949" s="340"/>
      <c r="AO949" s="340"/>
      <c r="AP949" s="340"/>
      <c r="AQ949" s="340"/>
      <c r="AR949" s="340"/>
      <c r="AS949" s="340"/>
      <c r="AT949" s="340"/>
      <c r="AU949" s="340"/>
      <c r="AV949" s="340"/>
      <c r="AY949" s="340"/>
      <c r="AZ949" s="465">
        <f t="shared" ca="1" si="602"/>
        <v>7.3698599999999999E-5</v>
      </c>
      <c r="BA949" s="464">
        <f t="shared" ca="1" si="603"/>
        <v>0</v>
      </c>
      <c r="BB949" s="465">
        <f t="shared" ca="1" si="603"/>
        <v>7.3698599999999999E-5</v>
      </c>
      <c r="BC949" s="466">
        <f t="shared" ca="1" si="604"/>
        <v>71498</v>
      </c>
      <c r="BD949" s="467">
        <f t="shared" ca="1" si="617"/>
        <v>71499</v>
      </c>
      <c r="BE949" s="467">
        <f t="shared" ca="1" si="605"/>
        <v>71528</v>
      </c>
      <c r="BF949" s="468">
        <f ca="1">IF(計算!$BC949&lt;OP!$C$3,0,BD949-BC949)</f>
        <v>1</v>
      </c>
      <c r="BG949" s="468">
        <f ca="1">IF($BE949&gt;DATE(YEAR($BD$9)+OP!$C$57,MONTH($BD$9),DAY($BD$9)),0,$BE949-$BD949+1)</f>
        <v>0</v>
      </c>
      <c r="BH949" s="469">
        <f t="shared" ca="1" si="606"/>
        <v>1</v>
      </c>
      <c r="BI949" t="str">
        <f t="shared" si="622"/>
        <v/>
      </c>
      <c r="BJ949">
        <v>4</v>
      </c>
      <c r="BN949" s="468">
        <f t="shared" si="618"/>
        <v>79</v>
      </c>
      <c r="BO949" s="468">
        <f t="shared" si="619"/>
        <v>4</v>
      </c>
      <c r="BP949" s="467">
        <f t="shared" ca="1" si="607"/>
        <v>71499</v>
      </c>
      <c r="BQ949" s="475">
        <f t="shared" ca="1" si="621"/>
        <v>111</v>
      </c>
      <c r="BR949" s="475" t="str">
        <f t="shared" si="620"/>
        <v/>
      </c>
      <c r="BS949" s="471" t="str">
        <f t="shared" si="608"/>
        <v/>
      </c>
      <c r="BT949" s="472" t="str">
        <f t="shared" si="623"/>
        <v/>
      </c>
      <c r="BU949" s="472">
        <f t="shared" ca="1" si="609"/>
        <v>0</v>
      </c>
      <c r="BV949" s="472">
        <f t="shared" ca="1" si="609"/>
        <v>0</v>
      </c>
      <c r="BW949" s="472"/>
      <c r="BX949" s="473">
        <f t="shared" ca="1" si="610"/>
        <v>2756360.0817093402</v>
      </c>
      <c r="BY949" s="473">
        <f t="shared" si="611"/>
        <v>0</v>
      </c>
      <c r="BZ949" s="473">
        <f t="shared" ca="1" si="593"/>
        <v>203.13987911800001</v>
      </c>
      <c r="CA949" s="476">
        <f t="shared" ca="1" si="612"/>
        <v>0</v>
      </c>
      <c r="CB949" s="494">
        <f ca="1">IF(OR($Q948&lt;&gt;1,OP!$D$5+$BN949-1&lt;16,$BN949-1&lt;1),0,ROUND(ROUND(ROUND(((VLOOKUP($BN949-1,MORE_PV,5,0)/10000)*VLOOKUP($BN949,MORE_PV,$CB$5,0)),3)*VLOOKUP($BN949,more1,5,0),0)/$R948,0))</f>
        <v>0</v>
      </c>
      <c r="CC949" s="473">
        <f t="shared" ca="1" si="613"/>
        <v>0</v>
      </c>
      <c r="CD949" s="477"/>
    </row>
    <row r="950" spans="2:82" ht="16.5" hidden="1">
      <c r="B950" s="80"/>
      <c r="C950" s="80"/>
      <c r="D950" s="80"/>
      <c r="E950" s="80"/>
      <c r="F950" s="80"/>
      <c r="G950" s="80"/>
      <c r="H950" s="80"/>
      <c r="I950" s="80"/>
      <c r="J950" s="192">
        <f t="shared" si="594"/>
        <v>79</v>
      </c>
      <c r="K950" s="192">
        <f t="shared" si="595"/>
        <v>6</v>
      </c>
      <c r="L950" s="192" t="str">
        <f t="shared" si="590"/>
        <v/>
      </c>
      <c r="M950" s="216">
        <f t="shared" ca="1" si="596"/>
        <v>0</v>
      </c>
      <c r="N950" s="216"/>
      <c r="O950" s="216"/>
      <c r="P950" s="216"/>
      <c r="Q950" s="456" t="str">
        <f t="shared" ca="1" si="597"/>
        <v/>
      </c>
      <c r="R950" s="450">
        <f t="shared" ca="1" si="598"/>
        <v>1</v>
      </c>
      <c r="S950" s="191">
        <f t="shared" si="599"/>
        <v>79</v>
      </c>
      <c r="T950" s="191">
        <f t="shared" si="600"/>
        <v>6</v>
      </c>
      <c r="U950" s="191">
        <f ca="1">OP!$D$5+$S950-1</f>
        <v>111</v>
      </c>
      <c r="V950" s="191" t="str">
        <f t="shared" si="601"/>
        <v/>
      </c>
      <c r="W950" s="350">
        <f ca="1">IF(Q950&lt;&gt;1,0,VLOOKUP(OP!$C$55,PVFB,$S950+2,0))</f>
        <v>0</v>
      </c>
      <c r="X950" s="473">
        <f t="shared" ca="1" si="614"/>
        <v>0</v>
      </c>
      <c r="Y950" s="348">
        <f t="shared" ca="1" si="615"/>
        <v>0</v>
      </c>
      <c r="Z950" s="348">
        <f t="shared" ca="1" si="616"/>
        <v>8012</v>
      </c>
      <c r="AA950" s="348">
        <f ca="1">IF(Q950&lt;&gt;1,0,VLOOKUP(OP!$C$55,PVFB,$S950+2,0))</f>
        <v>0</v>
      </c>
      <c r="AB950" s="488" t="str">
        <f ca="1">IF(AND(S950&lt;OP!$C$24,$U950&lt;15),0,IF(AND($U950&lt;15,$T950=12),ROUND(VLOOKUP($S950,DOWN16,5,0),3),IF($T950=12,ROUND(($Z950/10000)*$AA950,3)+IF(AND($P$7="購買增額繳清保險",T950=12,U950=110),VLOOKUP(S950,$B$10:$H$121,7,0),0),"")))</f>
        <v/>
      </c>
      <c r="AC950" s="350" t="str">
        <f ca="1">IF(AND(S950&lt;OP!$C$24,$U950&lt;15),0,IF(AND($U950&lt;16,$T950=12),VLOOKUP($S950,DOWN16,4,0),IF($T950=12,ROUND(VLOOKUP(OP!$C$55,_DIE2,$S950+1,0)*(Z950/10000),0)+IF(AND($P$7="購買增額繳清保險",T950=12,U950=110),VLOOKUP(S950,$B$10:$H$121,7,0),0),"")))</f>
        <v/>
      </c>
      <c r="AD950" s="347"/>
      <c r="AE950" s="350" t="str">
        <f t="shared" ca="1" si="591"/>
        <v/>
      </c>
      <c r="AF950" s="351" t="str">
        <f t="shared" ca="1" si="592"/>
        <v/>
      </c>
      <c r="AG950" s="340"/>
      <c r="AH950" s="340"/>
      <c r="AI950" s="340"/>
      <c r="AJ950" s="340"/>
      <c r="AK950" s="340"/>
      <c r="AL950" s="340"/>
      <c r="AM950" s="340"/>
      <c r="AN950" s="340"/>
      <c r="AO950" s="340"/>
      <c r="AP950" s="340"/>
      <c r="AQ950" s="340"/>
      <c r="AR950" s="340"/>
      <c r="AS950" s="340"/>
      <c r="AT950" s="340"/>
      <c r="AU950" s="340"/>
      <c r="AV950" s="340"/>
      <c r="AY950" s="340"/>
      <c r="AZ950" s="465">
        <f t="shared" ca="1" si="602"/>
        <v>7.3698599999999999E-5</v>
      </c>
      <c r="BA950" s="464">
        <f t="shared" ca="1" si="603"/>
        <v>0</v>
      </c>
      <c r="BB950" s="465">
        <f t="shared" ca="1" si="603"/>
        <v>7.3698599999999999E-5</v>
      </c>
      <c r="BC950" s="466">
        <f t="shared" ca="1" si="604"/>
        <v>71529</v>
      </c>
      <c r="BD950" s="467">
        <f t="shared" ca="1" si="617"/>
        <v>71530</v>
      </c>
      <c r="BE950" s="467">
        <f t="shared" ca="1" si="605"/>
        <v>71558</v>
      </c>
      <c r="BF950" s="468">
        <f ca="1">IF(計算!$BC950&lt;OP!$C$3,0,BD950-BC950)</f>
        <v>1</v>
      </c>
      <c r="BG950" s="468">
        <f ca="1">IF($BE950&gt;DATE(YEAR($BD$9)+OP!$C$57,MONTH($BD$9),DAY($BD$9)),0,$BE950-$BD950+1)</f>
        <v>0</v>
      </c>
      <c r="BH950" s="469">
        <f t="shared" ca="1" si="606"/>
        <v>1</v>
      </c>
      <c r="BI950" t="str">
        <f t="shared" si="622"/>
        <v/>
      </c>
      <c r="BJ950">
        <v>5</v>
      </c>
      <c r="BN950" s="468">
        <f t="shared" si="618"/>
        <v>79</v>
      </c>
      <c r="BO950" s="468">
        <f t="shared" si="619"/>
        <v>5</v>
      </c>
      <c r="BP950" s="467">
        <f t="shared" ca="1" si="607"/>
        <v>71530</v>
      </c>
      <c r="BQ950" s="475">
        <f t="shared" ca="1" si="621"/>
        <v>111</v>
      </c>
      <c r="BR950" s="475" t="str">
        <f t="shared" si="620"/>
        <v/>
      </c>
      <c r="BS950" s="471" t="str">
        <f t="shared" si="608"/>
        <v/>
      </c>
      <c r="BT950" s="472" t="str">
        <f t="shared" si="623"/>
        <v/>
      </c>
      <c r="BU950" s="472">
        <f t="shared" ca="1" si="609"/>
        <v>0</v>
      </c>
      <c r="BV950" s="472">
        <f t="shared" ca="1" si="609"/>
        <v>0</v>
      </c>
      <c r="BW950" s="472"/>
      <c r="BX950" s="473">
        <f t="shared" ca="1" si="610"/>
        <v>2756563.2215884598</v>
      </c>
      <c r="BY950" s="473">
        <f t="shared" si="611"/>
        <v>0</v>
      </c>
      <c r="BZ950" s="473">
        <f t="shared" ca="1" si="593"/>
        <v>203.154850243</v>
      </c>
      <c r="CA950" s="476">
        <f t="shared" ca="1" si="612"/>
        <v>0</v>
      </c>
      <c r="CB950" s="494">
        <f ca="1">IF(OR($Q949&lt;&gt;1,OP!$D$5+$BN950-1&lt;16,$BN950-1&lt;1),0,ROUND(ROUND(ROUND(((VLOOKUP($BN950-1,MORE_PV,5,0)/10000)*VLOOKUP($BN950,MORE_PV,$CB$5,0)),3)*VLOOKUP($BN950,more1,5,0),0)/$R949,0))</f>
        <v>0</v>
      </c>
      <c r="CC950" s="473">
        <f t="shared" ca="1" si="613"/>
        <v>0</v>
      </c>
      <c r="CD950" s="477"/>
    </row>
    <row r="951" spans="2:82" ht="16.5" hidden="1">
      <c r="B951" s="80"/>
      <c r="C951" s="80"/>
      <c r="D951" s="80"/>
      <c r="E951" s="80"/>
      <c r="F951" s="80"/>
      <c r="G951" s="80"/>
      <c r="H951" s="80"/>
      <c r="I951" s="80"/>
      <c r="J951" s="192">
        <f t="shared" si="594"/>
        <v>79</v>
      </c>
      <c r="K951" s="192">
        <f t="shared" si="595"/>
        <v>7</v>
      </c>
      <c r="L951" s="192" t="str">
        <f t="shared" si="590"/>
        <v/>
      </c>
      <c r="M951" s="216">
        <f t="shared" ca="1" si="596"/>
        <v>0</v>
      </c>
      <c r="N951" s="216"/>
      <c r="O951" s="216"/>
      <c r="P951" s="216"/>
      <c r="Q951" s="456" t="str">
        <f t="shared" ca="1" si="597"/>
        <v/>
      </c>
      <c r="R951" s="450">
        <f t="shared" ca="1" si="598"/>
        <v>1</v>
      </c>
      <c r="S951" s="191">
        <f t="shared" si="599"/>
        <v>79</v>
      </c>
      <c r="T951" s="191">
        <f t="shared" si="600"/>
        <v>7</v>
      </c>
      <c r="U951" s="191">
        <f ca="1">OP!$D$5+$S951-1</f>
        <v>111</v>
      </c>
      <c r="V951" s="191" t="str">
        <f t="shared" si="601"/>
        <v/>
      </c>
      <c r="W951" s="350">
        <f ca="1">IF(Q951&lt;&gt;1,0,VLOOKUP(OP!$C$55,PVFB,$S951+2,0))</f>
        <v>0</v>
      </c>
      <c r="X951" s="473">
        <f t="shared" ca="1" si="614"/>
        <v>0</v>
      </c>
      <c r="Y951" s="348">
        <f t="shared" ca="1" si="615"/>
        <v>0</v>
      </c>
      <c r="Z951" s="348">
        <f t="shared" ca="1" si="616"/>
        <v>8012</v>
      </c>
      <c r="AA951" s="348">
        <f ca="1">IF(Q951&lt;&gt;1,0,VLOOKUP(OP!$C$55,PVFB,$S951+2,0))</f>
        <v>0</v>
      </c>
      <c r="AB951" s="488" t="str">
        <f ca="1">IF(AND(S951&lt;OP!$C$24,$U951&lt;15),0,IF(AND($U951&lt;15,$T951=12),ROUND(VLOOKUP($S951,DOWN16,5,0),3),IF($T951=12,ROUND(($Z951/10000)*$AA951,3)+IF(AND($P$7="購買增額繳清保險",T951=12,U951=110),VLOOKUP(S951,$B$10:$H$121,7,0),0),"")))</f>
        <v/>
      </c>
      <c r="AC951" s="350" t="str">
        <f ca="1">IF(AND(S951&lt;OP!$C$24,$U951&lt;15),0,IF(AND($U951&lt;16,$T951=12),VLOOKUP($S951,DOWN16,4,0),IF($T951=12,ROUND(VLOOKUP(OP!$C$55,_DIE2,$S951+1,0)*(Z951/10000),0)+IF(AND($P$7="購買增額繳清保險",T951=12,U951=110),VLOOKUP(S951,$B$10:$H$121,7,0),0),"")))</f>
        <v/>
      </c>
      <c r="AD951" s="347"/>
      <c r="AE951" s="350" t="str">
        <f t="shared" ca="1" si="591"/>
        <v/>
      </c>
      <c r="AF951" s="351" t="str">
        <f t="shared" ca="1" si="592"/>
        <v/>
      </c>
      <c r="AG951" s="340"/>
      <c r="AH951" s="340"/>
      <c r="AI951" s="340"/>
      <c r="AJ951" s="340"/>
      <c r="AK951" s="340"/>
      <c r="AL951" s="340"/>
      <c r="AM951" s="340"/>
      <c r="AN951" s="340"/>
      <c r="AO951" s="340"/>
      <c r="AP951" s="340"/>
      <c r="AQ951" s="340"/>
      <c r="AR951" s="340"/>
      <c r="AS951" s="340"/>
      <c r="AT951" s="340"/>
      <c r="AU951" s="340"/>
      <c r="AV951" s="340"/>
      <c r="AY951" s="340"/>
      <c r="AZ951" s="465">
        <f t="shared" ca="1" si="602"/>
        <v>7.3698599999999999E-5</v>
      </c>
      <c r="BA951" s="464">
        <f t="shared" ca="1" si="603"/>
        <v>0</v>
      </c>
      <c r="BB951" s="465">
        <f t="shared" ca="1" si="603"/>
        <v>7.3698599999999999E-5</v>
      </c>
      <c r="BC951" s="466">
        <f t="shared" ca="1" si="604"/>
        <v>71559</v>
      </c>
      <c r="BD951" s="467">
        <f t="shared" ca="1" si="617"/>
        <v>71560</v>
      </c>
      <c r="BE951" s="467">
        <f t="shared" ca="1" si="605"/>
        <v>71589</v>
      </c>
      <c r="BF951" s="468">
        <f ca="1">IF(計算!$BC951&lt;OP!$C$3,0,BD951-BC951)</f>
        <v>1</v>
      </c>
      <c r="BG951" s="468">
        <f ca="1">IF($BE951&gt;DATE(YEAR($BD$9)+OP!$C$57,MONTH($BD$9),DAY($BD$9)),0,$BE951-$BD951+1)</f>
        <v>0</v>
      </c>
      <c r="BH951" s="469">
        <f t="shared" ca="1" si="606"/>
        <v>1</v>
      </c>
      <c r="BI951" t="str">
        <f t="shared" si="622"/>
        <v/>
      </c>
      <c r="BJ951">
        <v>6</v>
      </c>
      <c r="BN951" s="468">
        <f t="shared" si="618"/>
        <v>79</v>
      </c>
      <c r="BO951" s="468">
        <f t="shared" si="619"/>
        <v>6</v>
      </c>
      <c r="BP951" s="467">
        <f t="shared" ca="1" si="607"/>
        <v>71560</v>
      </c>
      <c r="BQ951" s="475">
        <f t="shared" ca="1" si="621"/>
        <v>111</v>
      </c>
      <c r="BR951" s="475" t="str">
        <f t="shared" si="620"/>
        <v/>
      </c>
      <c r="BS951" s="471" t="str">
        <f t="shared" si="608"/>
        <v/>
      </c>
      <c r="BT951" s="472" t="str">
        <f t="shared" si="623"/>
        <v/>
      </c>
      <c r="BU951" s="472">
        <f t="shared" ca="1" si="609"/>
        <v>0</v>
      </c>
      <c r="BV951" s="472">
        <f t="shared" ca="1" si="609"/>
        <v>0</v>
      </c>
      <c r="BW951" s="472"/>
      <c r="BX951" s="473">
        <f t="shared" ca="1" si="610"/>
        <v>2756766.3764387001</v>
      </c>
      <c r="BY951" s="473">
        <f t="shared" si="611"/>
        <v>0</v>
      </c>
      <c r="BZ951" s="473">
        <f t="shared" ca="1" si="593"/>
        <v>203.169822471</v>
      </c>
      <c r="CA951" s="476">
        <f t="shared" ca="1" si="612"/>
        <v>0</v>
      </c>
      <c r="CB951" s="494">
        <f ca="1">IF(OR($Q950&lt;&gt;1,OP!$D$5+$BN951-1&lt;16,$BN951-1&lt;1),0,ROUND(ROUND(ROUND(((VLOOKUP($BN951-1,MORE_PV,5,0)/10000)*VLOOKUP($BN951,MORE_PV,$CB$5,0)),3)*VLOOKUP($BN951,more1,5,0),0)/$R950,0))</f>
        <v>0</v>
      </c>
      <c r="CC951" s="473">
        <f t="shared" ca="1" si="613"/>
        <v>0</v>
      </c>
      <c r="CD951" s="477"/>
    </row>
    <row r="952" spans="2:82" ht="16.5" hidden="1">
      <c r="B952" s="80"/>
      <c r="C952" s="80"/>
      <c r="D952" s="80"/>
      <c r="E952" s="80"/>
      <c r="F952" s="80"/>
      <c r="G952" s="80"/>
      <c r="H952" s="80"/>
      <c r="I952" s="80"/>
      <c r="J952" s="192">
        <f t="shared" si="594"/>
        <v>79</v>
      </c>
      <c r="K952" s="192">
        <f t="shared" si="595"/>
        <v>8</v>
      </c>
      <c r="L952" s="192" t="str">
        <f t="shared" si="590"/>
        <v/>
      </c>
      <c r="M952" s="216">
        <f t="shared" ca="1" si="596"/>
        <v>0</v>
      </c>
      <c r="N952" s="216"/>
      <c r="O952" s="216"/>
      <c r="P952" s="216"/>
      <c r="Q952" s="456" t="str">
        <f t="shared" ca="1" si="597"/>
        <v/>
      </c>
      <c r="R952" s="450">
        <f t="shared" ca="1" si="598"/>
        <v>1</v>
      </c>
      <c r="S952" s="191">
        <f t="shared" si="599"/>
        <v>79</v>
      </c>
      <c r="T952" s="191">
        <f t="shared" si="600"/>
        <v>8</v>
      </c>
      <c r="U952" s="191">
        <f ca="1">OP!$D$5+$S952-1</f>
        <v>111</v>
      </c>
      <c r="V952" s="191" t="str">
        <f t="shared" si="601"/>
        <v/>
      </c>
      <c r="W952" s="350">
        <f ca="1">IF(Q952&lt;&gt;1,0,VLOOKUP(OP!$C$55,PVFB,$S952+2,0))</f>
        <v>0</v>
      </c>
      <c r="X952" s="473">
        <f t="shared" ca="1" si="614"/>
        <v>0</v>
      </c>
      <c r="Y952" s="348">
        <f t="shared" ca="1" si="615"/>
        <v>0</v>
      </c>
      <c r="Z952" s="348">
        <f t="shared" ca="1" si="616"/>
        <v>8012</v>
      </c>
      <c r="AA952" s="348">
        <f ca="1">IF(Q952&lt;&gt;1,0,VLOOKUP(OP!$C$55,PVFB,$S952+2,0))</f>
        <v>0</v>
      </c>
      <c r="AB952" s="488" t="str">
        <f ca="1">IF(AND(S952&lt;OP!$C$24,$U952&lt;15),0,IF(AND($U952&lt;15,$T952=12),ROUND(VLOOKUP($S952,DOWN16,5,0),3),IF($T952=12,ROUND(($Z952/10000)*$AA952,3)+IF(AND($P$7="購買增額繳清保險",T952=12,U952=110),VLOOKUP(S952,$B$10:$H$121,7,0),0),"")))</f>
        <v/>
      </c>
      <c r="AC952" s="350" t="str">
        <f ca="1">IF(AND(S952&lt;OP!$C$24,$U952&lt;15),0,IF(AND($U952&lt;16,$T952=12),VLOOKUP($S952,DOWN16,4,0),IF($T952=12,ROUND(VLOOKUP(OP!$C$55,_DIE2,$S952+1,0)*(Z952/10000),0)+IF(AND($P$7="購買增額繳清保險",T952=12,U952=110),VLOOKUP(S952,$B$10:$H$121,7,0),0),"")))</f>
        <v/>
      </c>
      <c r="AD952" s="347"/>
      <c r="AE952" s="350" t="str">
        <f t="shared" ca="1" si="591"/>
        <v/>
      </c>
      <c r="AF952" s="351" t="str">
        <f t="shared" ca="1" si="592"/>
        <v/>
      </c>
      <c r="AG952" s="340"/>
      <c r="AH952" s="340"/>
      <c r="AI952" s="340"/>
      <c r="AJ952" s="340"/>
      <c r="AK952" s="340"/>
      <c r="AL952" s="340"/>
      <c r="AM952" s="340"/>
      <c r="AN952" s="340"/>
      <c r="AO952" s="340"/>
      <c r="AP952" s="340"/>
      <c r="AQ952" s="340"/>
      <c r="AR952" s="340"/>
      <c r="AS952" s="340"/>
      <c r="AT952" s="340"/>
      <c r="AU952" s="340"/>
      <c r="AV952" s="340"/>
      <c r="AY952" s="340"/>
      <c r="AZ952" s="465">
        <f t="shared" ca="1" si="602"/>
        <v>7.3698599999999999E-5</v>
      </c>
      <c r="BA952" s="464">
        <f t="shared" ca="1" si="603"/>
        <v>0</v>
      </c>
      <c r="BB952" s="465">
        <f t="shared" ca="1" si="603"/>
        <v>7.3698599999999999E-5</v>
      </c>
      <c r="BC952" s="466">
        <f t="shared" ca="1" si="604"/>
        <v>71590</v>
      </c>
      <c r="BD952" s="467">
        <f t="shared" ca="1" si="617"/>
        <v>71591</v>
      </c>
      <c r="BE952" s="467">
        <f t="shared" ca="1" si="605"/>
        <v>71620</v>
      </c>
      <c r="BF952" s="468">
        <f ca="1">IF(計算!$BC952&lt;OP!$C$3,0,BD952-BC952)</f>
        <v>1</v>
      </c>
      <c r="BG952" s="468">
        <f ca="1">IF($BE952&gt;DATE(YEAR($BD$9)+OP!$C$57,MONTH($BD$9),DAY($BD$9)),0,$BE952-$BD952+1)</f>
        <v>0</v>
      </c>
      <c r="BH952" s="469">
        <f t="shared" ca="1" si="606"/>
        <v>1</v>
      </c>
      <c r="BI952" t="str">
        <f t="shared" si="622"/>
        <v/>
      </c>
      <c r="BJ952">
        <v>7</v>
      </c>
      <c r="BN952" s="468">
        <f t="shared" si="618"/>
        <v>79</v>
      </c>
      <c r="BO952" s="468">
        <f t="shared" si="619"/>
        <v>7</v>
      </c>
      <c r="BP952" s="467">
        <f t="shared" ca="1" si="607"/>
        <v>71591</v>
      </c>
      <c r="BQ952" s="475">
        <f t="shared" ca="1" si="621"/>
        <v>111</v>
      </c>
      <c r="BR952" s="475" t="str">
        <f t="shared" si="620"/>
        <v/>
      </c>
      <c r="BS952" s="471" t="str">
        <f t="shared" si="608"/>
        <v/>
      </c>
      <c r="BT952" s="472" t="str">
        <f t="shared" si="623"/>
        <v/>
      </c>
      <c r="BU952" s="472">
        <f t="shared" ca="1" si="609"/>
        <v>0</v>
      </c>
      <c r="BV952" s="472">
        <f t="shared" ca="1" si="609"/>
        <v>0</v>
      </c>
      <c r="BW952" s="472"/>
      <c r="BX952" s="473">
        <f t="shared" ca="1" si="610"/>
        <v>2756969.5462611699</v>
      </c>
      <c r="BY952" s="473">
        <f t="shared" si="611"/>
        <v>0</v>
      </c>
      <c r="BZ952" s="473">
        <f t="shared" ca="1" si="593"/>
        <v>203.184795802</v>
      </c>
      <c r="CA952" s="476">
        <f t="shared" ca="1" si="612"/>
        <v>0</v>
      </c>
      <c r="CB952" s="494">
        <f ca="1">IF(OR($Q951&lt;&gt;1,OP!$D$5+$BN952-1&lt;16,$BN952-1&lt;1),0,ROUND(ROUND(ROUND(((VLOOKUP($BN952-1,MORE_PV,5,0)/10000)*VLOOKUP($BN952,MORE_PV,$CB$5,0)),3)*VLOOKUP($BN952,more1,5,0),0)/$R951,0))</f>
        <v>0</v>
      </c>
      <c r="CC952" s="473">
        <f t="shared" ca="1" si="613"/>
        <v>0</v>
      </c>
      <c r="CD952" s="477"/>
    </row>
    <row r="953" spans="2:82" ht="16.5" hidden="1">
      <c r="B953" s="80"/>
      <c r="C953" s="80"/>
      <c r="D953" s="80"/>
      <c r="E953" s="80"/>
      <c r="F953" s="80"/>
      <c r="G953" s="80"/>
      <c r="H953" s="80"/>
      <c r="I953" s="80"/>
      <c r="J953" s="192">
        <f t="shared" si="594"/>
        <v>79</v>
      </c>
      <c r="K953" s="192">
        <f t="shared" si="595"/>
        <v>9</v>
      </c>
      <c r="L953" s="192" t="str">
        <f t="shared" si="590"/>
        <v/>
      </c>
      <c r="M953" s="216">
        <f t="shared" ca="1" si="596"/>
        <v>0</v>
      </c>
      <c r="N953" s="216"/>
      <c r="O953" s="216"/>
      <c r="P953" s="216"/>
      <c r="Q953" s="456" t="str">
        <f t="shared" ca="1" si="597"/>
        <v/>
      </c>
      <c r="R953" s="450">
        <f t="shared" ca="1" si="598"/>
        <v>1</v>
      </c>
      <c r="S953" s="191">
        <f t="shared" si="599"/>
        <v>79</v>
      </c>
      <c r="T953" s="191">
        <f t="shared" si="600"/>
        <v>9</v>
      </c>
      <c r="U953" s="191">
        <f ca="1">OP!$D$5+$S953-1</f>
        <v>111</v>
      </c>
      <c r="V953" s="191" t="str">
        <f t="shared" si="601"/>
        <v/>
      </c>
      <c r="W953" s="350">
        <f ca="1">IF(Q953&lt;&gt;1,0,VLOOKUP(OP!$C$55,PVFB,$S953+2,0))</f>
        <v>0</v>
      </c>
      <c r="X953" s="473">
        <f t="shared" ca="1" si="614"/>
        <v>0</v>
      </c>
      <c r="Y953" s="348">
        <f t="shared" ca="1" si="615"/>
        <v>0</v>
      </c>
      <c r="Z953" s="348">
        <f t="shared" ca="1" si="616"/>
        <v>8012</v>
      </c>
      <c r="AA953" s="348">
        <f ca="1">IF(Q953&lt;&gt;1,0,VLOOKUP(OP!$C$55,PVFB,$S953+2,0))</f>
        <v>0</v>
      </c>
      <c r="AB953" s="488" t="str">
        <f ca="1">IF(AND(S953&lt;OP!$C$24,$U953&lt;15),0,IF(AND($U953&lt;15,$T953=12),ROUND(VLOOKUP($S953,DOWN16,5,0),3),IF($T953=12,ROUND(($Z953/10000)*$AA953,3)+IF(AND($P$7="購買增額繳清保險",T953=12,U953=110),VLOOKUP(S953,$B$10:$H$121,7,0),0),"")))</f>
        <v/>
      </c>
      <c r="AC953" s="350" t="str">
        <f ca="1">IF(AND(S953&lt;OP!$C$24,$U953&lt;15),0,IF(AND($U953&lt;16,$T953=12),VLOOKUP($S953,DOWN16,4,0),IF($T953=12,ROUND(VLOOKUP(OP!$C$55,_DIE2,$S953+1,0)*(Z953/10000),0)+IF(AND($P$7="購買增額繳清保險",T953=12,U953=110),VLOOKUP(S953,$B$10:$H$121,7,0),0),"")))</f>
        <v/>
      </c>
      <c r="AD953" s="347"/>
      <c r="AE953" s="350" t="str">
        <f t="shared" ca="1" si="591"/>
        <v/>
      </c>
      <c r="AF953" s="351" t="str">
        <f t="shared" ca="1" si="592"/>
        <v/>
      </c>
      <c r="AG953" s="340"/>
      <c r="AH953" s="340"/>
      <c r="AI953" s="340"/>
      <c r="AJ953" s="340"/>
      <c r="AK953" s="340"/>
      <c r="AL953" s="340"/>
      <c r="AM953" s="340"/>
      <c r="AN953" s="340"/>
      <c r="AO953" s="340"/>
      <c r="AP953" s="340"/>
      <c r="AQ953" s="340"/>
      <c r="AR953" s="340"/>
      <c r="AS953" s="340"/>
      <c r="AT953" s="340"/>
      <c r="AU953" s="340"/>
      <c r="AV953" s="340"/>
      <c r="AY953" s="340"/>
      <c r="AZ953" s="465">
        <f t="shared" ca="1" si="602"/>
        <v>7.3698599999999999E-5</v>
      </c>
      <c r="BA953" s="464">
        <f t="shared" ca="1" si="603"/>
        <v>0</v>
      </c>
      <c r="BB953" s="465">
        <f t="shared" ca="1" si="603"/>
        <v>7.3698599999999999E-5</v>
      </c>
      <c r="BC953" s="466">
        <f t="shared" ca="1" si="604"/>
        <v>71621</v>
      </c>
      <c r="BD953" s="467">
        <f t="shared" ca="1" si="617"/>
        <v>71622</v>
      </c>
      <c r="BE953" s="467">
        <f t="shared" ca="1" si="605"/>
        <v>71649</v>
      </c>
      <c r="BF953" s="468">
        <f ca="1">IF(計算!$BC953&lt;OP!$C$3,0,BD953-BC953)</f>
        <v>1</v>
      </c>
      <c r="BG953" s="468">
        <f ca="1">IF($BE953&gt;DATE(YEAR($BD$9)+OP!$C$57,MONTH($BD$9),DAY($BD$9)),0,$BE953-$BD953+1)</f>
        <v>0</v>
      </c>
      <c r="BH953" s="469">
        <f t="shared" ca="1" si="606"/>
        <v>1</v>
      </c>
      <c r="BI953" t="str">
        <f t="shared" si="622"/>
        <v/>
      </c>
      <c r="BJ953">
        <v>8</v>
      </c>
      <c r="BN953" s="468">
        <f t="shared" si="618"/>
        <v>79</v>
      </c>
      <c r="BO953" s="468">
        <f t="shared" si="619"/>
        <v>8</v>
      </c>
      <c r="BP953" s="467">
        <f t="shared" ca="1" si="607"/>
        <v>71622</v>
      </c>
      <c r="BQ953" s="475">
        <f t="shared" ca="1" si="621"/>
        <v>111</v>
      </c>
      <c r="BR953" s="475" t="str">
        <f t="shared" si="620"/>
        <v/>
      </c>
      <c r="BS953" s="471" t="str">
        <f t="shared" si="608"/>
        <v/>
      </c>
      <c r="BT953" s="472" t="str">
        <f t="shared" si="623"/>
        <v/>
      </c>
      <c r="BU953" s="472">
        <f t="shared" ca="1" si="609"/>
        <v>0</v>
      </c>
      <c r="BV953" s="472">
        <f t="shared" ca="1" si="609"/>
        <v>0</v>
      </c>
      <c r="BW953" s="472"/>
      <c r="BX953" s="473">
        <f t="shared" ca="1" si="610"/>
        <v>2757172.7310569701</v>
      </c>
      <c r="BY953" s="473">
        <f t="shared" si="611"/>
        <v>0</v>
      </c>
      <c r="BZ953" s="473">
        <f t="shared" ca="1" si="593"/>
        <v>203.199770237</v>
      </c>
      <c r="CA953" s="476">
        <f t="shared" ca="1" si="612"/>
        <v>0</v>
      </c>
      <c r="CB953" s="494">
        <f ca="1">IF(OR($Q952&lt;&gt;1,OP!$D$5+$BN953-1&lt;16,$BN953-1&lt;1),0,ROUND(ROUND(ROUND(((VLOOKUP($BN953-1,MORE_PV,5,0)/10000)*VLOOKUP($BN953,MORE_PV,$CB$5,0)),3)*VLOOKUP($BN953,more1,5,0),0)/$R952,0))</f>
        <v>0</v>
      </c>
      <c r="CC953" s="473">
        <f t="shared" ca="1" si="613"/>
        <v>0</v>
      </c>
      <c r="CD953" s="477"/>
    </row>
    <row r="954" spans="2:82" ht="16.5" hidden="1">
      <c r="B954" s="80"/>
      <c r="C954" s="80"/>
      <c r="D954" s="80"/>
      <c r="E954" s="80"/>
      <c r="F954" s="80"/>
      <c r="G954" s="80"/>
      <c r="H954" s="80"/>
      <c r="I954" s="80"/>
      <c r="J954" s="192">
        <f t="shared" si="594"/>
        <v>79</v>
      </c>
      <c r="K954" s="192">
        <f t="shared" si="595"/>
        <v>10</v>
      </c>
      <c r="L954" s="192" t="str">
        <f t="shared" si="590"/>
        <v/>
      </c>
      <c r="M954" s="216">
        <f t="shared" ca="1" si="596"/>
        <v>0</v>
      </c>
      <c r="N954" s="216"/>
      <c r="O954" s="216"/>
      <c r="P954" s="216"/>
      <c r="Q954" s="456" t="str">
        <f t="shared" ca="1" si="597"/>
        <v/>
      </c>
      <c r="R954" s="450">
        <f t="shared" ca="1" si="598"/>
        <v>1</v>
      </c>
      <c r="S954" s="191">
        <f t="shared" si="599"/>
        <v>79</v>
      </c>
      <c r="T954" s="191">
        <f t="shared" si="600"/>
        <v>10</v>
      </c>
      <c r="U954" s="191">
        <f ca="1">OP!$D$5+$S954-1</f>
        <v>111</v>
      </c>
      <c r="V954" s="191" t="str">
        <f t="shared" si="601"/>
        <v/>
      </c>
      <c r="W954" s="350">
        <f ca="1">IF(Q954&lt;&gt;1,0,VLOOKUP(OP!$C$55,PVFB,$S954+2,0))</f>
        <v>0</v>
      </c>
      <c r="X954" s="473">
        <f t="shared" ca="1" si="614"/>
        <v>0</v>
      </c>
      <c r="Y954" s="348">
        <f t="shared" ca="1" si="615"/>
        <v>0</v>
      </c>
      <c r="Z954" s="348">
        <f t="shared" ca="1" si="616"/>
        <v>8012</v>
      </c>
      <c r="AA954" s="348">
        <f ca="1">IF(Q954&lt;&gt;1,0,VLOOKUP(OP!$C$55,PVFB,$S954+2,0))</f>
        <v>0</v>
      </c>
      <c r="AB954" s="488" t="str">
        <f ca="1">IF(AND(S954&lt;OP!$C$24,$U954&lt;15),0,IF(AND($U954&lt;15,$T954=12),ROUND(VLOOKUP($S954,DOWN16,5,0),3),IF($T954=12,ROUND(($Z954/10000)*$AA954,3)+IF(AND($P$7="購買增額繳清保險",T954=12,U954=110),VLOOKUP(S954,$B$10:$H$121,7,0),0),"")))</f>
        <v/>
      </c>
      <c r="AC954" s="350" t="str">
        <f ca="1">IF(AND(S954&lt;OP!$C$24,$U954&lt;15),0,IF(AND($U954&lt;16,$T954=12),VLOOKUP($S954,DOWN16,4,0),IF($T954=12,ROUND(VLOOKUP(OP!$C$55,_DIE2,$S954+1,0)*(Z954/10000),0)+IF(AND($P$7="購買增額繳清保險",T954=12,U954=110),VLOOKUP(S954,$B$10:$H$121,7,0),0),"")))</f>
        <v/>
      </c>
      <c r="AD954" s="347"/>
      <c r="AE954" s="350" t="str">
        <f t="shared" ca="1" si="591"/>
        <v/>
      </c>
      <c r="AF954" s="351" t="str">
        <f t="shared" ca="1" si="592"/>
        <v/>
      </c>
      <c r="AG954" s="340"/>
      <c r="AH954" s="340"/>
      <c r="AI954" s="340"/>
      <c r="AJ954" s="340"/>
      <c r="AK954" s="340"/>
      <c r="AL954" s="340"/>
      <c r="AM954" s="340"/>
      <c r="AN954" s="340"/>
      <c r="AO954" s="340"/>
      <c r="AP954" s="340"/>
      <c r="AQ954" s="340"/>
      <c r="AR954" s="340"/>
      <c r="AS954" s="340"/>
      <c r="AT954" s="340"/>
      <c r="AU954" s="340"/>
      <c r="AV954" s="340"/>
      <c r="AY954" s="340"/>
      <c r="AZ954" s="465">
        <f t="shared" ca="1" si="602"/>
        <v>7.3698599999999999E-5</v>
      </c>
      <c r="BA954" s="464">
        <f t="shared" ca="1" si="603"/>
        <v>0</v>
      </c>
      <c r="BB954" s="465">
        <f t="shared" ca="1" si="603"/>
        <v>7.3698599999999999E-5</v>
      </c>
      <c r="BC954" s="466">
        <f t="shared" ca="1" si="604"/>
        <v>71650</v>
      </c>
      <c r="BD954" s="467">
        <f t="shared" ca="1" si="617"/>
        <v>71651</v>
      </c>
      <c r="BE954" s="467">
        <f t="shared" ca="1" si="605"/>
        <v>71680</v>
      </c>
      <c r="BF954" s="468">
        <f ca="1">IF(計算!$BC954&lt;OP!$C$3,0,BD954-BC954)</f>
        <v>1</v>
      </c>
      <c r="BG954" s="468">
        <f ca="1">IF($BE954&gt;DATE(YEAR($BD$9)+OP!$C$57,MONTH($BD$9),DAY($BD$9)),0,$BE954-$BD954+1)</f>
        <v>0</v>
      </c>
      <c r="BH954" s="469">
        <f t="shared" ca="1" si="606"/>
        <v>1</v>
      </c>
      <c r="BI954" t="str">
        <f t="shared" si="622"/>
        <v/>
      </c>
      <c r="BJ954">
        <v>9</v>
      </c>
      <c r="BN954" s="468">
        <f t="shared" si="618"/>
        <v>79</v>
      </c>
      <c r="BO954" s="468">
        <f t="shared" si="619"/>
        <v>9</v>
      </c>
      <c r="BP954" s="467">
        <f t="shared" ca="1" si="607"/>
        <v>71651</v>
      </c>
      <c r="BQ954" s="475">
        <f t="shared" ca="1" si="621"/>
        <v>111</v>
      </c>
      <c r="BR954" s="475" t="str">
        <f t="shared" si="620"/>
        <v/>
      </c>
      <c r="BS954" s="471" t="str">
        <f t="shared" si="608"/>
        <v/>
      </c>
      <c r="BT954" s="472" t="str">
        <f t="shared" si="623"/>
        <v/>
      </c>
      <c r="BU954" s="472">
        <f t="shared" ca="1" si="609"/>
        <v>0</v>
      </c>
      <c r="BV954" s="472">
        <f t="shared" ca="1" si="609"/>
        <v>0</v>
      </c>
      <c r="BW954" s="472"/>
      <c r="BX954" s="473">
        <f t="shared" ca="1" si="610"/>
        <v>2757375.9308272102</v>
      </c>
      <c r="BY954" s="473">
        <f t="shared" si="611"/>
        <v>0</v>
      </c>
      <c r="BZ954" s="473">
        <f t="shared" ca="1" si="593"/>
        <v>203.214745776</v>
      </c>
      <c r="CA954" s="476">
        <f t="shared" ca="1" si="612"/>
        <v>0</v>
      </c>
      <c r="CB954" s="494">
        <f ca="1">IF(OR($Q953&lt;&gt;1,OP!$D$5+$BN954-1&lt;16,$BN954-1&lt;1),0,ROUND(ROUND(ROUND(((VLOOKUP($BN954-1,MORE_PV,5,0)/10000)*VLOOKUP($BN954,MORE_PV,$CB$5,0)),3)*VLOOKUP($BN954,more1,5,0),0)/$R953,0))</f>
        <v>0</v>
      </c>
      <c r="CC954" s="473">
        <f t="shared" ca="1" si="613"/>
        <v>0</v>
      </c>
      <c r="CD954" s="477"/>
    </row>
    <row r="955" spans="2:82" ht="16.5" hidden="1">
      <c r="B955" s="80"/>
      <c r="C955" s="80"/>
      <c r="D955" s="80"/>
      <c r="E955" s="80"/>
      <c r="F955" s="80"/>
      <c r="G955" s="80"/>
      <c r="H955" s="80"/>
      <c r="I955" s="80"/>
      <c r="J955" s="192">
        <f t="shared" si="594"/>
        <v>79</v>
      </c>
      <c r="K955" s="192">
        <f t="shared" si="595"/>
        <v>11</v>
      </c>
      <c r="L955" s="192" t="str">
        <f t="shared" si="590"/>
        <v/>
      </c>
      <c r="M955" s="216">
        <f t="shared" ca="1" si="596"/>
        <v>0</v>
      </c>
      <c r="N955" s="216"/>
      <c r="O955" s="216"/>
      <c r="P955" s="216"/>
      <c r="Q955" s="456" t="str">
        <f t="shared" ca="1" si="597"/>
        <v/>
      </c>
      <c r="R955" s="450">
        <f t="shared" ca="1" si="598"/>
        <v>1</v>
      </c>
      <c r="S955" s="191">
        <f t="shared" si="599"/>
        <v>79</v>
      </c>
      <c r="T955" s="191">
        <f t="shared" si="600"/>
        <v>11</v>
      </c>
      <c r="U955" s="191">
        <f ca="1">OP!$D$5+$S955-1</f>
        <v>111</v>
      </c>
      <c r="V955" s="191" t="str">
        <f t="shared" si="601"/>
        <v/>
      </c>
      <c r="W955" s="350">
        <f ca="1">IF(Q955&lt;&gt;1,0,VLOOKUP(OP!$C$55,PVFB,$S955+2,0))</f>
        <v>0</v>
      </c>
      <c r="X955" s="473">
        <f t="shared" ca="1" si="614"/>
        <v>0</v>
      </c>
      <c r="Y955" s="348">
        <f t="shared" ca="1" si="615"/>
        <v>0</v>
      </c>
      <c r="Z955" s="348">
        <f t="shared" ca="1" si="616"/>
        <v>8012</v>
      </c>
      <c r="AA955" s="348">
        <f ca="1">IF(Q955&lt;&gt;1,0,VLOOKUP(OP!$C$55,PVFB,$S955+2,0))</f>
        <v>0</v>
      </c>
      <c r="AB955" s="488" t="str">
        <f ca="1">IF(AND(S955&lt;OP!$C$24,$U955&lt;15),0,IF(AND($U955&lt;15,$T955=12),ROUND(VLOOKUP($S955,DOWN16,5,0),3),IF($T955=12,ROUND(($Z955/10000)*$AA955,3)+IF(AND($P$7="購買增額繳清保險",T955=12,U955=110),VLOOKUP(S955,$B$10:$H$121,7,0),0),"")))</f>
        <v/>
      </c>
      <c r="AC955" s="350" t="str">
        <f ca="1">IF(AND(S955&lt;OP!$C$24,$U955&lt;15),0,IF(AND($U955&lt;16,$T955=12),VLOOKUP($S955,DOWN16,4,0),IF($T955=12,ROUND(VLOOKUP(OP!$C$55,_DIE2,$S955+1,0)*(Z955/10000),0)+IF(AND($P$7="購買增額繳清保險",T955=12,U955=110),VLOOKUP(S955,$B$10:$H$121,7,0),0),"")))</f>
        <v/>
      </c>
      <c r="AD955" s="347"/>
      <c r="AE955" s="350" t="str">
        <f t="shared" ca="1" si="591"/>
        <v/>
      </c>
      <c r="AF955" s="351" t="str">
        <f t="shared" ca="1" si="592"/>
        <v/>
      </c>
      <c r="AG955" s="340"/>
      <c r="AH955" s="340"/>
      <c r="AI955" s="340"/>
      <c r="AJ955" s="340"/>
      <c r="AK955" s="340"/>
      <c r="AL955" s="340"/>
      <c r="AM955" s="340"/>
      <c r="AN955" s="340"/>
      <c r="AO955" s="340"/>
      <c r="AP955" s="340"/>
      <c r="AQ955" s="340"/>
      <c r="AR955" s="340"/>
      <c r="AS955" s="340"/>
      <c r="AT955" s="340"/>
      <c r="AU955" s="340"/>
      <c r="AV955" s="340"/>
      <c r="AY955" s="340"/>
      <c r="AZ955" s="465">
        <f t="shared" ca="1" si="602"/>
        <v>7.3698599999999999E-5</v>
      </c>
      <c r="BA955" s="464">
        <f t="shared" ca="1" si="603"/>
        <v>0</v>
      </c>
      <c r="BB955" s="465">
        <f t="shared" ca="1" si="603"/>
        <v>7.3698599999999999E-5</v>
      </c>
      <c r="BC955" s="466">
        <f t="shared" ca="1" si="604"/>
        <v>71681</v>
      </c>
      <c r="BD955" s="467">
        <f t="shared" ca="1" si="617"/>
        <v>71682</v>
      </c>
      <c r="BE955" s="467">
        <f t="shared" ca="1" si="605"/>
        <v>71710</v>
      </c>
      <c r="BF955" s="468">
        <f ca="1">IF(計算!$BC955&lt;OP!$C$3,0,BD955-BC955)</f>
        <v>1</v>
      </c>
      <c r="BG955" s="468">
        <f ca="1">IF($BE955&gt;DATE(YEAR($BD$9)+OP!$C$57,MONTH($BD$9),DAY($BD$9)),0,$BE955-$BD955+1)</f>
        <v>0</v>
      </c>
      <c r="BH955" s="469">
        <f t="shared" ca="1" si="606"/>
        <v>1</v>
      </c>
      <c r="BI955" t="str">
        <f t="shared" si="622"/>
        <v/>
      </c>
      <c r="BJ955">
        <v>10</v>
      </c>
      <c r="BN955" s="468">
        <f t="shared" si="618"/>
        <v>79</v>
      </c>
      <c r="BO955" s="468">
        <f t="shared" si="619"/>
        <v>10</v>
      </c>
      <c r="BP955" s="467">
        <f t="shared" ca="1" si="607"/>
        <v>71682</v>
      </c>
      <c r="BQ955" s="475">
        <f t="shared" ca="1" si="621"/>
        <v>111</v>
      </c>
      <c r="BR955" s="475" t="str">
        <f t="shared" si="620"/>
        <v/>
      </c>
      <c r="BS955" s="471" t="str">
        <f t="shared" si="608"/>
        <v/>
      </c>
      <c r="BT955" s="472" t="str">
        <f t="shared" si="623"/>
        <v/>
      </c>
      <c r="BU955" s="472">
        <f t="shared" ca="1" si="609"/>
        <v>0</v>
      </c>
      <c r="BV955" s="472">
        <f t="shared" ca="1" si="609"/>
        <v>0</v>
      </c>
      <c r="BW955" s="472"/>
      <c r="BX955" s="473">
        <f t="shared" ca="1" si="610"/>
        <v>2757579.1455729902</v>
      </c>
      <c r="BY955" s="473">
        <f t="shared" si="611"/>
        <v>0</v>
      </c>
      <c r="BZ955" s="473">
        <f t="shared" ca="1" si="593"/>
        <v>203.22972241799999</v>
      </c>
      <c r="CA955" s="476">
        <f t="shared" ca="1" si="612"/>
        <v>0</v>
      </c>
      <c r="CB955" s="494">
        <f ca="1">IF(OR($Q954&lt;&gt;1,OP!$D$5+$BN955-1&lt;16,$BN955-1&lt;1),0,ROUND(ROUND(ROUND(((VLOOKUP($BN955-1,MORE_PV,5,0)/10000)*VLOOKUP($BN955,MORE_PV,$CB$5,0)),3)*VLOOKUP($BN955,more1,5,0),0)/$R954,0))</f>
        <v>0</v>
      </c>
      <c r="CC955" s="473">
        <f t="shared" ca="1" si="613"/>
        <v>0</v>
      </c>
      <c r="CD955" s="477"/>
    </row>
    <row r="956" spans="2:82" ht="16.5" hidden="1">
      <c r="B956" s="80"/>
      <c r="C956" s="80"/>
      <c r="D956" s="80"/>
      <c r="E956" s="80"/>
      <c r="F956" s="80"/>
      <c r="G956" s="80"/>
      <c r="H956" s="80"/>
      <c r="I956" s="80"/>
      <c r="J956" s="192">
        <f t="shared" si="594"/>
        <v>79</v>
      </c>
      <c r="K956" s="192">
        <f t="shared" si="595"/>
        <v>12</v>
      </c>
      <c r="L956" s="192">
        <f t="shared" si="590"/>
        <v>79</v>
      </c>
      <c r="M956" s="216">
        <f t="shared" ca="1" si="596"/>
        <v>2758188</v>
      </c>
      <c r="N956" s="216"/>
      <c r="O956" s="216"/>
      <c r="P956" s="216"/>
      <c r="Q956" s="456">
        <f t="shared" ca="1" si="597"/>
        <v>1</v>
      </c>
      <c r="R956" s="450">
        <f t="shared" ca="1" si="598"/>
        <v>1</v>
      </c>
      <c r="S956" s="191">
        <f t="shared" si="599"/>
        <v>79</v>
      </c>
      <c r="T956" s="191">
        <f t="shared" si="600"/>
        <v>12</v>
      </c>
      <c r="U956" s="191">
        <f ca="1">OP!$D$5+$S956-1</f>
        <v>111</v>
      </c>
      <c r="V956" s="191">
        <f t="shared" si="601"/>
        <v>79</v>
      </c>
      <c r="W956" s="350">
        <f ca="1">IF(Q956&lt;&gt;1,0,VLOOKUP(OP!$C$55,PVFB,$S956+2,0))</f>
        <v>0</v>
      </c>
      <c r="X956" s="473">
        <f t="shared" ca="1" si="614"/>
        <v>0</v>
      </c>
      <c r="Y956" s="348">
        <f t="shared" ca="1" si="615"/>
        <v>0</v>
      </c>
      <c r="Z956" s="348">
        <f t="shared" ca="1" si="616"/>
        <v>8012</v>
      </c>
      <c r="AA956" s="348">
        <f ca="1">IF(Q956&lt;&gt;1,0,VLOOKUP(OP!$C$55,PVFB,$S956+2,0))</f>
        <v>0</v>
      </c>
      <c r="AB956" s="488">
        <f ca="1">IF(AND(S956&lt;OP!$C$24,$U956&lt;15),0,IF(AND($U956&lt;15,$T956=12),ROUND(VLOOKUP($S956,DOWN16,5,0),3),IF($T956=12,ROUND(($Z956/10000)*$AA956,3)+IF(AND($P$7="購買增額繳清保險",T956=12,U956=110),VLOOKUP(S956,$B$10:$H$121,7,0),0),"")))</f>
        <v>0</v>
      </c>
      <c r="AC956" s="350">
        <f ca="1">IF(AND(S956&lt;OP!$C$24,$U956&lt;15),0,IF(AND($U956&lt;16,$T956=12),VLOOKUP($S956,DOWN16,4,0),IF($T956=12,ROUND(VLOOKUP(OP!$C$55,_DIE2,$S956+1,0)*(Z956/10000),0)+IF(AND($P$7="購買增額繳清保險",T956=12,U956=110),VLOOKUP(S956,$B$10:$H$121,7,0),0),"")))</f>
        <v>0</v>
      </c>
      <c r="AD956" s="347"/>
      <c r="AE956" s="350" t="str">
        <f t="shared" ca="1" si="591"/>
        <v/>
      </c>
      <c r="AF956" s="351" t="str">
        <f t="shared" ca="1" si="592"/>
        <v/>
      </c>
      <c r="AG956" s="340"/>
      <c r="AH956" s="340"/>
      <c r="AI956" s="340"/>
      <c r="AJ956" s="340"/>
      <c r="AK956" s="340"/>
      <c r="AL956" s="340"/>
      <c r="AM956" s="340"/>
      <c r="AN956" s="340"/>
      <c r="AO956" s="340"/>
      <c r="AP956" s="340"/>
      <c r="AQ956" s="340"/>
      <c r="AR956" s="340"/>
      <c r="AS956" s="340"/>
      <c r="AT956" s="340"/>
      <c r="AU956" s="340"/>
      <c r="AV956" s="340"/>
      <c r="AY956" s="340"/>
      <c r="AZ956" s="465">
        <f t="shared" ca="1" si="602"/>
        <v>7.3698599999999999E-5</v>
      </c>
      <c r="BA956" s="464">
        <f t="shared" ca="1" si="603"/>
        <v>0</v>
      </c>
      <c r="BB956" s="465">
        <f t="shared" ca="1" si="603"/>
        <v>7.3698599999999999E-5</v>
      </c>
      <c r="BC956" s="466">
        <f t="shared" ca="1" si="604"/>
        <v>71711</v>
      </c>
      <c r="BD956" s="467">
        <f t="shared" ca="1" si="617"/>
        <v>71712</v>
      </c>
      <c r="BE956" s="467">
        <f t="shared" ca="1" si="605"/>
        <v>71741</v>
      </c>
      <c r="BF956" s="468">
        <f ca="1">IF(計算!$BC956&lt;OP!$C$3,0,BD956-BC956)</f>
        <v>1</v>
      </c>
      <c r="BG956" s="468">
        <f ca="1">IF($BE956&gt;DATE(YEAR($BD$9)+OP!$C$57,MONTH($BD$9),DAY($BD$9)),0,$BE956-$BD956+1)</f>
        <v>0</v>
      </c>
      <c r="BH956" s="469">
        <f t="shared" ca="1" si="606"/>
        <v>1</v>
      </c>
      <c r="BI956" t="str">
        <f t="shared" si="622"/>
        <v/>
      </c>
      <c r="BJ956">
        <v>11</v>
      </c>
      <c r="BN956" s="468">
        <f t="shared" si="618"/>
        <v>79</v>
      </c>
      <c r="BO956" s="468">
        <f t="shared" si="619"/>
        <v>11</v>
      </c>
      <c r="BP956" s="467">
        <f t="shared" ca="1" si="607"/>
        <v>71712</v>
      </c>
      <c r="BQ956" s="475">
        <f t="shared" ca="1" si="621"/>
        <v>111</v>
      </c>
      <c r="BR956" s="475" t="str">
        <f t="shared" si="620"/>
        <v/>
      </c>
      <c r="BS956" s="471" t="str">
        <f t="shared" si="608"/>
        <v/>
      </c>
      <c r="BT956" s="472" t="str">
        <f t="shared" si="623"/>
        <v/>
      </c>
      <c r="BU956" s="472">
        <f t="shared" ca="1" si="609"/>
        <v>0</v>
      </c>
      <c r="BV956" s="472">
        <f t="shared" ca="1" si="609"/>
        <v>0</v>
      </c>
      <c r="BW956" s="472"/>
      <c r="BX956" s="473">
        <f t="shared" ca="1" si="610"/>
        <v>2757782.3752954099</v>
      </c>
      <c r="BY956" s="473">
        <f t="shared" si="611"/>
        <v>0</v>
      </c>
      <c r="BZ956" s="473">
        <f t="shared" ca="1" si="593"/>
        <v>203.24470016399999</v>
      </c>
      <c r="CA956" s="476">
        <f t="shared" ca="1" si="612"/>
        <v>0</v>
      </c>
      <c r="CB956" s="494">
        <f ca="1">IF(OR($Q955&lt;&gt;1,OP!$D$5+$BN956-1&lt;16,$BN956-1&lt;1),0,ROUND(ROUND(ROUND(((VLOOKUP($BN956-1,MORE_PV,5,0)/10000)*VLOOKUP($BN956,MORE_PV,$CB$5,0)),3)*VLOOKUP($BN956,more1,5,0),0)/$R955,0))</f>
        <v>0</v>
      </c>
      <c r="CC956" s="473">
        <f t="shared" ca="1" si="613"/>
        <v>0</v>
      </c>
      <c r="CD956" s="477"/>
    </row>
    <row r="957" spans="2:82" ht="16.5" hidden="1">
      <c r="B957" s="80"/>
      <c r="C957" s="80"/>
      <c r="D957" s="80"/>
      <c r="E957" s="80"/>
      <c r="F957" s="80"/>
      <c r="G957" s="80"/>
      <c r="H957" s="80"/>
      <c r="I957" s="80"/>
      <c r="J957" s="192">
        <f t="shared" si="594"/>
        <v>80</v>
      </c>
      <c r="K957" s="192">
        <f t="shared" si="595"/>
        <v>1</v>
      </c>
      <c r="L957" s="192" t="str">
        <f t="shared" si="590"/>
        <v/>
      </c>
      <c r="M957" s="216" t="str">
        <f t="shared" ca="1" si="596"/>
        <v/>
      </c>
      <c r="N957" s="216"/>
      <c r="O957" s="216"/>
      <c r="P957" s="216"/>
      <c r="Q957" s="456">
        <f t="shared" ca="1" si="597"/>
        <v>1</v>
      </c>
      <c r="R957" s="450">
        <f t="shared" ca="1" si="598"/>
        <v>12</v>
      </c>
      <c r="S957" s="191">
        <f t="shared" si="599"/>
        <v>80</v>
      </c>
      <c r="T957" s="191">
        <f t="shared" si="600"/>
        <v>1</v>
      </c>
      <c r="U957" s="191">
        <f ca="1">OP!$D$5+$S957-1</f>
        <v>112</v>
      </c>
      <c r="V957" s="191" t="str">
        <f t="shared" si="601"/>
        <v/>
      </c>
      <c r="W957" s="350">
        <f ca="1">IF(Q957&lt;&gt;1,0,VLOOKUP(OP!$C$55,PVFB,$S957+2,0))</f>
        <v>0</v>
      </c>
      <c r="X957" s="473" t="str">
        <f t="shared" ca="1" si="614"/>
        <v/>
      </c>
      <c r="Y957" s="348">
        <f t="shared" ca="1" si="615"/>
        <v>0</v>
      </c>
      <c r="Z957" s="348">
        <f t="shared" ca="1" si="616"/>
        <v>8012</v>
      </c>
      <c r="AA957" s="348">
        <f ca="1">IF(Q957&lt;&gt;1,0,VLOOKUP(OP!$C$55,PVFB,$S957+2,0))</f>
        <v>0</v>
      </c>
      <c r="AB957" s="488" t="str">
        <f ca="1">IF(AND(S957&lt;OP!$C$24,$U957&lt;15),0,IF(AND($U957&lt;15,$T957=12),ROUND(VLOOKUP($S957,DOWN16,5,0),3),IF($T957=12,ROUND(($Z957/10000)*$AA957,3)+IF(AND($P$7="購買增額繳清保險",T957=12,U957=110),VLOOKUP(S957,$B$10:$H$121,7,0),0),"")))</f>
        <v/>
      </c>
      <c r="AC957" s="350" t="str">
        <f ca="1">IF(AND(S957&lt;OP!$C$24,$U957&lt;15),0,IF(AND($U957&lt;16,$T957=12),VLOOKUP($S957,DOWN16,4,0),IF($T957=12,ROUND(VLOOKUP(OP!$C$55,_DIE2,$S957+1,0)*(Z957/10000),0)+IF(AND($P$7="購買增額繳清保險",T957=12,U957=110),VLOOKUP(S957,$B$10:$H$121,7,0),0),"")))</f>
        <v/>
      </c>
      <c r="AD957" s="347"/>
      <c r="AE957" s="350" t="str">
        <f t="shared" ca="1" si="591"/>
        <v/>
      </c>
      <c r="AF957" s="351" t="str">
        <f t="shared" ca="1" si="592"/>
        <v/>
      </c>
      <c r="AG957" s="340"/>
      <c r="AH957" s="340"/>
      <c r="AI957" s="340"/>
      <c r="AJ957" s="340"/>
      <c r="AK957" s="340"/>
      <c r="AL957" s="340"/>
      <c r="AM957" s="340"/>
      <c r="AN957" s="340"/>
      <c r="AO957" s="340"/>
      <c r="AP957" s="340"/>
      <c r="AQ957" s="340"/>
      <c r="AR957" s="340"/>
      <c r="AS957" s="340"/>
      <c r="AT957" s="340"/>
      <c r="AU957" s="340"/>
      <c r="AV957" s="340"/>
      <c r="AY957" s="340"/>
      <c r="AZ957" s="465">
        <f t="shared" ca="1" si="602"/>
        <v>7.3698599999999999E-5</v>
      </c>
      <c r="BA957" s="464">
        <f t="shared" ca="1" si="603"/>
        <v>0</v>
      </c>
      <c r="BB957" s="465">
        <f t="shared" ca="1" si="603"/>
        <v>7.3698599999999999E-5</v>
      </c>
      <c r="BC957" s="466">
        <f t="shared" ca="1" si="604"/>
        <v>71742</v>
      </c>
      <c r="BD957" s="467">
        <f t="shared" ca="1" si="617"/>
        <v>71743</v>
      </c>
      <c r="BE957" s="467">
        <f t="shared" ca="1" si="605"/>
        <v>71771</v>
      </c>
      <c r="BF957" s="468">
        <f ca="1">IF(計算!$BC957&lt;OP!$C$3,0,BD957-BC957)</f>
        <v>1</v>
      </c>
      <c r="BG957" s="468">
        <f ca="1">IF($BE957&gt;DATE(YEAR($BD$9)+OP!$C$57,MONTH($BD$9),DAY($BD$9)),0,$BE957-$BD957+1)</f>
        <v>0</v>
      </c>
      <c r="BH957" s="469">
        <f t="shared" ca="1" si="606"/>
        <v>1</v>
      </c>
      <c r="BI957">
        <f t="shared" ca="1" si="622"/>
        <v>366</v>
      </c>
      <c r="BJ957">
        <v>12</v>
      </c>
      <c r="BN957" s="468">
        <f t="shared" si="618"/>
        <v>79</v>
      </c>
      <c r="BO957" s="468">
        <f t="shared" si="619"/>
        <v>12</v>
      </c>
      <c r="BP957" s="467">
        <f t="shared" ca="1" si="607"/>
        <v>71743</v>
      </c>
      <c r="BQ957" s="475">
        <f t="shared" ca="1" si="621"/>
        <v>111</v>
      </c>
      <c r="BR957" s="475">
        <f t="shared" si="620"/>
        <v>79</v>
      </c>
      <c r="BS957" s="471">
        <f t="shared" ca="1" si="608"/>
        <v>0</v>
      </c>
      <c r="BT957" s="472">
        <f t="shared" ca="1" si="623"/>
        <v>2758188</v>
      </c>
      <c r="BU957" s="472">
        <f t="shared" ca="1" si="609"/>
        <v>0</v>
      </c>
      <c r="BV957" s="472">
        <f t="shared" ca="1" si="609"/>
        <v>0</v>
      </c>
      <c r="BW957" s="472">
        <f ca="1">ROUND(SUM(BY957,BZ945:BZ956),0)</f>
        <v>2438</v>
      </c>
      <c r="BX957" s="473">
        <f t="shared" ca="1" si="610"/>
        <v>2758188.8796745902</v>
      </c>
      <c r="BY957" s="473">
        <f t="shared" ca="1" si="611"/>
        <v>203.259679014</v>
      </c>
      <c r="BZ957" s="473">
        <f t="shared" ca="1" si="593"/>
        <v>0</v>
      </c>
      <c r="CA957" s="476">
        <f t="shared" ca="1" si="612"/>
        <v>0</v>
      </c>
      <c r="CB957" s="494">
        <f ca="1">IF(OR($Q956&lt;&gt;1,OP!$D$5+$BN957-1&lt;16,$BN957-1&lt;1),0,ROUND(ROUND(ROUND(((VLOOKUP($BN957-1,MORE_PV,5,0)/10000)*VLOOKUP($BN957,MORE_PV,$CB$5,0)),3)*VLOOKUP($BN957,more1,5,0),0)/$R956,0))</f>
        <v>0</v>
      </c>
      <c r="CC957" s="473">
        <f t="shared" ca="1" si="613"/>
        <v>0</v>
      </c>
      <c r="CD957" s="477"/>
    </row>
    <row r="958" spans="2:82" ht="16.5" hidden="1">
      <c r="B958" s="80"/>
      <c r="C958" s="80"/>
      <c r="D958" s="80"/>
      <c r="E958" s="80"/>
      <c r="F958" s="80"/>
      <c r="G958" s="80"/>
      <c r="H958" s="80"/>
      <c r="I958" s="80"/>
      <c r="J958" s="192">
        <f t="shared" si="594"/>
        <v>80</v>
      </c>
      <c r="K958" s="192">
        <f t="shared" si="595"/>
        <v>2</v>
      </c>
      <c r="L958" s="192" t="str">
        <f t="shared" si="590"/>
        <v/>
      </c>
      <c r="M958" s="216" t="str">
        <f t="shared" ca="1" si="596"/>
        <v/>
      </c>
      <c r="N958" s="216"/>
      <c r="O958" s="216"/>
      <c r="P958" s="216"/>
      <c r="Q958" s="456">
        <f t="shared" ca="1" si="597"/>
        <v>1</v>
      </c>
      <c r="R958" s="450">
        <f t="shared" ca="1" si="598"/>
        <v>12</v>
      </c>
      <c r="S958" s="191">
        <f t="shared" si="599"/>
        <v>80</v>
      </c>
      <c r="T958" s="191">
        <f t="shared" si="600"/>
        <v>2</v>
      </c>
      <c r="U958" s="191">
        <f ca="1">OP!$D$5+$S958-1</f>
        <v>112</v>
      </c>
      <c r="V958" s="191" t="str">
        <f t="shared" si="601"/>
        <v/>
      </c>
      <c r="W958" s="350">
        <f ca="1">IF(Q958&lt;&gt;1,0,VLOOKUP(OP!$C$55,PVFB,$S958+2,0))</f>
        <v>0</v>
      </c>
      <c r="X958" s="473" t="str">
        <f t="shared" ca="1" si="614"/>
        <v/>
      </c>
      <c r="Y958" s="348">
        <f t="shared" ca="1" si="615"/>
        <v>0</v>
      </c>
      <c r="Z958" s="348">
        <f t="shared" ca="1" si="616"/>
        <v>8012</v>
      </c>
      <c r="AA958" s="348">
        <f ca="1">IF(Q958&lt;&gt;1,0,VLOOKUP(OP!$C$55,PVFB,$S958+2,0))</f>
        <v>0</v>
      </c>
      <c r="AB958" s="488" t="str">
        <f ca="1">IF(AND(S958&lt;OP!$C$24,$U958&lt;15),0,IF(AND($U958&lt;15,$T958=12),ROUND(VLOOKUP($S958,DOWN16,5,0),3),IF($T958=12,ROUND(($Z958/10000)*$AA958,3)+IF(AND($P$7="購買增額繳清保險",T958=12,U958=110),VLOOKUP(S958,$B$10:$H$121,7,0),0),"")))</f>
        <v/>
      </c>
      <c r="AC958" s="350" t="str">
        <f ca="1">IF(AND(S958&lt;OP!$C$24,$U958&lt;15),0,IF(AND($U958&lt;16,$T958=12),VLOOKUP($S958,DOWN16,4,0),IF($T958=12,ROUND(VLOOKUP(OP!$C$55,_DIE2,$S958+1,0)*(Z958/10000),0)+IF(AND($P$7="購買增額繳清保險",T958=12,U958=110),VLOOKUP(S958,$B$10:$H$121,7,0),0),"")))</f>
        <v/>
      </c>
      <c r="AD958" s="347"/>
      <c r="AE958" s="350" t="str">
        <f t="shared" ca="1" si="591"/>
        <v/>
      </c>
      <c r="AF958" s="351" t="str">
        <f t="shared" ca="1" si="592"/>
        <v/>
      </c>
      <c r="AG958" s="340"/>
      <c r="AH958" s="340"/>
      <c r="AI958" s="340"/>
      <c r="AJ958" s="340"/>
      <c r="AK958" s="340"/>
      <c r="AL958" s="340"/>
      <c r="AM958" s="340"/>
      <c r="AN958" s="340"/>
      <c r="AO958" s="340"/>
      <c r="AP958" s="340"/>
      <c r="AQ958" s="340"/>
      <c r="AR958" s="340"/>
      <c r="AS958" s="340"/>
      <c r="AT958" s="340"/>
      <c r="AU958" s="340"/>
      <c r="AV958" s="340"/>
      <c r="AY958" s="340"/>
      <c r="AZ958" s="465">
        <f t="shared" ca="1" si="602"/>
        <v>7.3698599999999999E-5</v>
      </c>
      <c r="BA958" s="464">
        <f t="shared" ca="1" si="603"/>
        <v>0</v>
      </c>
      <c r="BB958" s="465">
        <f t="shared" ca="1" si="603"/>
        <v>7.3698599999999999E-5</v>
      </c>
      <c r="BC958" s="466">
        <f t="shared" ca="1" si="604"/>
        <v>71772</v>
      </c>
      <c r="BD958" s="467">
        <f t="shared" ca="1" si="617"/>
        <v>71773</v>
      </c>
      <c r="BE958" s="467">
        <f t="shared" ca="1" si="605"/>
        <v>71802</v>
      </c>
      <c r="BF958" s="468">
        <f ca="1">IF(計算!$BC958&lt;OP!$C$3,0,BD958-BC958)</f>
        <v>1</v>
      </c>
      <c r="BG958" s="468">
        <f ca="1">IF($BE958&gt;DATE(YEAR($BD$9)+OP!$C$57,MONTH($BD$9),DAY($BD$9)),0,$BE958-$BD958+1)</f>
        <v>0</v>
      </c>
      <c r="BH958" s="469">
        <f t="shared" ca="1" si="606"/>
        <v>1</v>
      </c>
      <c r="BI958" t="str">
        <f t="shared" si="622"/>
        <v/>
      </c>
      <c r="BJ958">
        <v>1</v>
      </c>
      <c r="BN958" s="468">
        <f t="shared" si="618"/>
        <v>80</v>
      </c>
      <c r="BO958" s="468">
        <f t="shared" si="619"/>
        <v>1</v>
      </c>
      <c r="BP958" s="467">
        <f t="shared" ca="1" si="607"/>
        <v>71773</v>
      </c>
      <c r="BQ958" s="475">
        <f t="shared" ca="1" si="621"/>
        <v>112</v>
      </c>
      <c r="BR958" s="475" t="str">
        <f t="shared" si="620"/>
        <v/>
      </c>
      <c r="BS958" s="471" t="str">
        <f t="shared" si="608"/>
        <v/>
      </c>
      <c r="BT958" s="472" t="str">
        <f t="shared" si="623"/>
        <v/>
      </c>
      <c r="BU958" s="472">
        <f t="shared" ca="1" si="609"/>
        <v>0</v>
      </c>
      <c r="BV958" s="472">
        <f t="shared" ca="1" si="609"/>
        <v>0</v>
      </c>
      <c r="BW958" s="472"/>
      <c r="BX958" s="473">
        <f t="shared" ca="1" si="610"/>
        <v>2758188.8796745902</v>
      </c>
      <c r="BY958" s="473">
        <f t="shared" si="611"/>
        <v>0</v>
      </c>
      <c r="BZ958" s="473">
        <f t="shared" ca="1" si="593"/>
        <v>203.27465896800001</v>
      </c>
      <c r="CA958" s="476">
        <f t="shared" ca="1" si="612"/>
        <v>0</v>
      </c>
      <c r="CB958" s="494">
        <f ca="1">IF(OR($Q957&lt;&gt;1,OP!$D$5+$BN958-1&lt;16,$BN958-1&lt;1),0,ROUND(ROUND(ROUND(((VLOOKUP($BN958-1,MORE_PV,5,0)/10000)*VLOOKUP($BN958,MORE_PV,$CB$5,0)),3)*VLOOKUP($BN958,more1,5,0),0)/$R957,0))</f>
        <v>0</v>
      </c>
      <c r="CC958" s="473">
        <f t="shared" ca="1" si="613"/>
        <v>0</v>
      </c>
      <c r="CD958" s="477"/>
    </row>
    <row r="959" spans="2:82" ht="16.5" hidden="1">
      <c r="B959" s="80"/>
      <c r="C959" s="80"/>
      <c r="D959" s="80"/>
      <c r="E959" s="80"/>
      <c r="F959" s="80"/>
      <c r="G959" s="80"/>
      <c r="H959" s="80"/>
      <c r="I959" s="80"/>
      <c r="J959" s="192">
        <f t="shared" si="594"/>
        <v>80</v>
      </c>
      <c r="K959" s="192">
        <f t="shared" si="595"/>
        <v>3</v>
      </c>
      <c r="L959" s="192" t="str">
        <f t="shared" si="590"/>
        <v/>
      </c>
      <c r="M959" s="216" t="str">
        <f t="shared" ca="1" si="596"/>
        <v/>
      </c>
      <c r="N959" s="216"/>
      <c r="O959" s="216"/>
      <c r="P959" s="216"/>
      <c r="Q959" s="456">
        <f t="shared" ca="1" si="597"/>
        <v>1</v>
      </c>
      <c r="R959" s="450">
        <f t="shared" ca="1" si="598"/>
        <v>12</v>
      </c>
      <c r="S959" s="191">
        <f t="shared" si="599"/>
        <v>80</v>
      </c>
      <c r="T959" s="191">
        <f t="shared" si="600"/>
        <v>3</v>
      </c>
      <c r="U959" s="191">
        <f ca="1">OP!$D$5+$S959-1</f>
        <v>112</v>
      </c>
      <c r="V959" s="191" t="str">
        <f t="shared" si="601"/>
        <v/>
      </c>
      <c r="W959" s="350">
        <f ca="1">IF(Q959&lt;&gt;1,0,VLOOKUP(OP!$C$55,PVFB,$S959+2,0))</f>
        <v>0</v>
      </c>
      <c r="X959" s="473" t="str">
        <f t="shared" ca="1" si="614"/>
        <v/>
      </c>
      <c r="Y959" s="348">
        <f t="shared" ca="1" si="615"/>
        <v>0</v>
      </c>
      <c r="Z959" s="348">
        <f t="shared" ca="1" si="616"/>
        <v>8012</v>
      </c>
      <c r="AA959" s="348">
        <f ca="1">IF(Q959&lt;&gt;1,0,VLOOKUP(OP!$C$55,PVFB,$S959+2,0))</f>
        <v>0</v>
      </c>
      <c r="AB959" s="488" t="str">
        <f ca="1">IF(AND(S959&lt;OP!$C$24,$U959&lt;15),0,IF(AND($U959&lt;15,$T959=12),ROUND(VLOOKUP($S959,DOWN16,5,0),3),IF($T959=12,ROUND(($Z959/10000)*$AA959,3)+IF(AND($P$7="購買增額繳清保險",T959=12,U959=110),VLOOKUP(S959,$B$10:$H$121,7,0),0),"")))</f>
        <v/>
      </c>
      <c r="AC959" s="350" t="str">
        <f ca="1">IF(AND(S959&lt;OP!$C$24,$U959&lt;15),0,IF(AND($U959&lt;16,$T959=12),VLOOKUP($S959,DOWN16,4,0),IF($T959=12,ROUND(VLOOKUP(OP!$C$55,_DIE2,$S959+1,0)*(Z959/10000),0)+IF(AND($P$7="購買增額繳清保險",T959=12,U959=110),VLOOKUP(S959,$B$10:$H$121,7,0),0),"")))</f>
        <v/>
      </c>
      <c r="AD959" s="347"/>
      <c r="AE959" s="350" t="str">
        <f t="shared" ca="1" si="591"/>
        <v/>
      </c>
      <c r="AF959" s="351" t="str">
        <f t="shared" ca="1" si="592"/>
        <v/>
      </c>
      <c r="AG959" s="340"/>
      <c r="AH959" s="340"/>
      <c r="AI959" s="340"/>
      <c r="AJ959" s="340"/>
      <c r="AK959" s="340"/>
      <c r="AL959" s="340"/>
      <c r="AM959" s="340"/>
      <c r="AN959" s="340"/>
      <c r="AO959" s="340"/>
      <c r="AP959" s="340"/>
      <c r="AQ959" s="340"/>
      <c r="AR959" s="340"/>
      <c r="AS959" s="340"/>
      <c r="AT959" s="340"/>
      <c r="AU959" s="340"/>
      <c r="AV959" s="340"/>
      <c r="AY959" s="340"/>
      <c r="AZ959" s="465">
        <f t="shared" ca="1" si="602"/>
        <v>7.3698599999999999E-5</v>
      </c>
      <c r="BA959" s="464">
        <f t="shared" ca="1" si="603"/>
        <v>0</v>
      </c>
      <c r="BB959" s="465">
        <f t="shared" ca="1" si="603"/>
        <v>7.3698599999999999E-5</v>
      </c>
      <c r="BC959" s="466">
        <f t="shared" ca="1" si="604"/>
        <v>71803</v>
      </c>
      <c r="BD959" s="467">
        <f t="shared" ca="1" si="617"/>
        <v>71804</v>
      </c>
      <c r="BE959" s="467">
        <f t="shared" ca="1" si="605"/>
        <v>71833</v>
      </c>
      <c r="BF959" s="468">
        <f ca="1">IF(計算!$BC959&lt;OP!$C$3,0,BD959-BC959)</f>
        <v>1</v>
      </c>
      <c r="BG959" s="468">
        <f ca="1">IF($BE959&gt;DATE(YEAR($BD$9)+OP!$C$57,MONTH($BD$9),DAY($BD$9)),0,$BE959-$BD959+1)</f>
        <v>0</v>
      </c>
      <c r="BH959" s="469">
        <f t="shared" ca="1" si="606"/>
        <v>1</v>
      </c>
      <c r="BI959" t="str">
        <f t="shared" si="622"/>
        <v/>
      </c>
      <c r="BJ959">
        <v>2</v>
      </c>
      <c r="BN959" s="468">
        <f t="shared" si="618"/>
        <v>80</v>
      </c>
      <c r="BO959" s="468">
        <f t="shared" si="619"/>
        <v>2</v>
      </c>
      <c r="BP959" s="467">
        <f t="shared" ca="1" si="607"/>
        <v>71804</v>
      </c>
      <c r="BQ959" s="475">
        <f t="shared" ca="1" si="621"/>
        <v>112</v>
      </c>
      <c r="BR959" s="475" t="str">
        <f t="shared" si="620"/>
        <v/>
      </c>
      <c r="BS959" s="471" t="str">
        <f t="shared" si="608"/>
        <v/>
      </c>
      <c r="BT959" s="472" t="str">
        <f t="shared" si="623"/>
        <v/>
      </c>
      <c r="BU959" s="472">
        <f t="shared" ca="1" si="609"/>
        <v>0</v>
      </c>
      <c r="BV959" s="472">
        <f t="shared" ca="1" si="609"/>
        <v>0</v>
      </c>
      <c r="BW959" s="472"/>
      <c r="BX959" s="473">
        <f t="shared" ca="1" si="610"/>
        <v>2758392.1543335598</v>
      </c>
      <c r="BY959" s="473">
        <f t="shared" si="611"/>
        <v>0</v>
      </c>
      <c r="BZ959" s="473">
        <f t="shared" ca="1" si="593"/>
        <v>203.28964002500001</v>
      </c>
      <c r="CA959" s="476">
        <f t="shared" ca="1" si="612"/>
        <v>0</v>
      </c>
      <c r="CB959" s="494">
        <f ca="1">IF(OR($Q958&lt;&gt;1,OP!$D$5+$BN959-1&lt;16,$BN959-1&lt;1),0,ROUND(ROUND(ROUND(((VLOOKUP($BN959-1,MORE_PV,5,0)/10000)*VLOOKUP($BN959,MORE_PV,$CB$5,0)),3)*VLOOKUP($BN959,more1,5,0),0)/$R958,0))</f>
        <v>0</v>
      </c>
      <c r="CC959" s="473">
        <f t="shared" ca="1" si="613"/>
        <v>0</v>
      </c>
      <c r="CD959" s="477"/>
    </row>
    <row r="960" spans="2:82" ht="16.5" hidden="1">
      <c r="B960" s="80"/>
      <c r="C960" s="80"/>
      <c r="D960" s="80"/>
      <c r="E960" s="80"/>
      <c r="F960" s="80"/>
      <c r="G960" s="80"/>
      <c r="H960" s="80"/>
      <c r="I960" s="80"/>
      <c r="J960" s="192">
        <f t="shared" si="594"/>
        <v>80</v>
      </c>
      <c r="K960" s="192">
        <f t="shared" si="595"/>
        <v>4</v>
      </c>
      <c r="L960" s="192" t="str">
        <f t="shared" si="590"/>
        <v/>
      </c>
      <c r="M960" s="216" t="str">
        <f t="shared" ca="1" si="596"/>
        <v/>
      </c>
      <c r="N960" s="216"/>
      <c r="O960" s="216"/>
      <c r="P960" s="216"/>
      <c r="Q960" s="456">
        <f t="shared" ca="1" si="597"/>
        <v>1</v>
      </c>
      <c r="R960" s="450">
        <f t="shared" ca="1" si="598"/>
        <v>12</v>
      </c>
      <c r="S960" s="191">
        <f t="shared" si="599"/>
        <v>80</v>
      </c>
      <c r="T960" s="191">
        <f t="shared" si="600"/>
        <v>4</v>
      </c>
      <c r="U960" s="191">
        <f ca="1">OP!$D$5+$S960-1</f>
        <v>112</v>
      </c>
      <c r="V960" s="191" t="str">
        <f t="shared" si="601"/>
        <v/>
      </c>
      <c r="W960" s="350">
        <f ca="1">IF(Q960&lt;&gt;1,0,VLOOKUP(OP!$C$55,PVFB,$S960+2,0))</f>
        <v>0</v>
      </c>
      <c r="X960" s="473" t="str">
        <f t="shared" ca="1" si="614"/>
        <v/>
      </c>
      <c r="Y960" s="348">
        <f t="shared" ca="1" si="615"/>
        <v>0</v>
      </c>
      <c r="Z960" s="348">
        <f t="shared" ca="1" si="616"/>
        <v>8012</v>
      </c>
      <c r="AA960" s="348">
        <f ca="1">IF(Q960&lt;&gt;1,0,VLOOKUP(OP!$C$55,PVFB,$S960+2,0))</f>
        <v>0</v>
      </c>
      <c r="AB960" s="488" t="str">
        <f ca="1">IF(AND(S960&lt;OP!$C$24,$U960&lt;15),0,IF(AND($U960&lt;15,$T960=12),ROUND(VLOOKUP($S960,DOWN16,5,0),3),IF($T960=12,ROUND(($Z960/10000)*$AA960,3)+IF(AND($P$7="購買增額繳清保險",T960=12,U960=110),VLOOKUP(S960,$B$10:$H$121,7,0),0),"")))</f>
        <v/>
      </c>
      <c r="AC960" s="350" t="str">
        <f ca="1">IF(AND(S960&lt;OP!$C$24,$U960&lt;15),0,IF(AND($U960&lt;16,$T960=12),VLOOKUP($S960,DOWN16,4,0),IF($T960=12,ROUND(VLOOKUP(OP!$C$55,_DIE2,$S960+1,0)*(Z960/10000),0)+IF(AND($P$7="購買增額繳清保險",T960=12,U960=110),VLOOKUP(S960,$B$10:$H$121,7,0),0),"")))</f>
        <v/>
      </c>
      <c r="AD960" s="347"/>
      <c r="AE960" s="350" t="str">
        <f t="shared" ca="1" si="591"/>
        <v/>
      </c>
      <c r="AF960" s="351" t="str">
        <f t="shared" ca="1" si="592"/>
        <v/>
      </c>
      <c r="AG960" s="340"/>
      <c r="AH960" s="340"/>
      <c r="AI960" s="340"/>
      <c r="AJ960" s="340"/>
      <c r="AK960" s="340"/>
      <c r="AL960" s="340"/>
      <c r="AM960" s="340"/>
      <c r="AN960" s="340"/>
      <c r="AO960" s="340"/>
      <c r="AP960" s="340"/>
      <c r="AQ960" s="340"/>
      <c r="AR960" s="340"/>
      <c r="AS960" s="340"/>
      <c r="AT960" s="340"/>
      <c r="AU960" s="340"/>
      <c r="AV960" s="340"/>
      <c r="AY960" s="340"/>
      <c r="AZ960" s="465">
        <f t="shared" ca="1" si="602"/>
        <v>7.3698599999999999E-5</v>
      </c>
      <c r="BA960" s="464">
        <f t="shared" ca="1" si="603"/>
        <v>0</v>
      </c>
      <c r="BB960" s="465">
        <f t="shared" ca="1" si="603"/>
        <v>7.3698599999999999E-5</v>
      </c>
      <c r="BC960" s="466">
        <f t="shared" ca="1" si="604"/>
        <v>71834</v>
      </c>
      <c r="BD960" s="467">
        <f t="shared" ca="1" si="617"/>
        <v>71835</v>
      </c>
      <c r="BE960" s="467">
        <f t="shared" ca="1" si="605"/>
        <v>71863</v>
      </c>
      <c r="BF960" s="468">
        <f ca="1">IF(計算!$BC960&lt;OP!$C$3,0,BD960-BC960)</f>
        <v>1</v>
      </c>
      <c r="BG960" s="468">
        <f ca="1">IF($BE960&gt;DATE(YEAR($BD$9)+OP!$C$57,MONTH($BD$9),DAY($BD$9)),0,$BE960-$BD960+1)</f>
        <v>0</v>
      </c>
      <c r="BH960" s="469">
        <f t="shared" ca="1" si="606"/>
        <v>1</v>
      </c>
      <c r="BI960" t="str">
        <f t="shared" si="622"/>
        <v/>
      </c>
      <c r="BJ960">
        <v>3</v>
      </c>
      <c r="BN960" s="468">
        <f t="shared" si="618"/>
        <v>80</v>
      </c>
      <c r="BO960" s="468">
        <f t="shared" si="619"/>
        <v>3</v>
      </c>
      <c r="BP960" s="467">
        <f t="shared" ca="1" si="607"/>
        <v>71835</v>
      </c>
      <c r="BQ960" s="475">
        <f t="shared" ca="1" si="621"/>
        <v>112</v>
      </c>
      <c r="BR960" s="475" t="str">
        <f t="shared" si="620"/>
        <v/>
      </c>
      <c r="BS960" s="471" t="str">
        <f t="shared" si="608"/>
        <v/>
      </c>
      <c r="BT960" s="472" t="str">
        <f t="shared" si="623"/>
        <v/>
      </c>
      <c r="BU960" s="472">
        <f t="shared" ca="1" si="609"/>
        <v>0</v>
      </c>
      <c r="BV960" s="472">
        <f t="shared" ca="1" si="609"/>
        <v>0</v>
      </c>
      <c r="BW960" s="472"/>
      <c r="BX960" s="473">
        <f t="shared" ca="1" si="610"/>
        <v>2758595.4439735799</v>
      </c>
      <c r="BY960" s="473">
        <f t="shared" si="611"/>
        <v>0</v>
      </c>
      <c r="BZ960" s="473">
        <f t="shared" ca="1" si="593"/>
        <v>203.30462218700001</v>
      </c>
      <c r="CA960" s="476">
        <f t="shared" ca="1" si="612"/>
        <v>0</v>
      </c>
      <c r="CB960" s="494">
        <f ca="1">IF(OR($Q959&lt;&gt;1,OP!$D$5+$BN960-1&lt;16,$BN960-1&lt;1),0,ROUND(ROUND(ROUND(((VLOOKUP($BN960-1,MORE_PV,5,0)/10000)*VLOOKUP($BN960,MORE_PV,$CB$5,0)),3)*VLOOKUP($BN960,more1,5,0),0)/$R959,0))</f>
        <v>0</v>
      </c>
      <c r="CC960" s="473">
        <f t="shared" ca="1" si="613"/>
        <v>0</v>
      </c>
      <c r="CD960" s="477"/>
    </row>
    <row r="961" spans="2:82" ht="16.5" hidden="1">
      <c r="B961" s="80"/>
      <c r="C961" s="80"/>
      <c r="D961" s="80"/>
      <c r="E961" s="80"/>
      <c r="F961" s="80"/>
      <c r="G961" s="80"/>
      <c r="H961" s="80"/>
      <c r="I961" s="80"/>
      <c r="J961" s="192">
        <f t="shared" si="594"/>
        <v>80</v>
      </c>
      <c r="K961" s="192">
        <f t="shared" si="595"/>
        <v>5</v>
      </c>
      <c r="L961" s="192" t="str">
        <f t="shared" si="590"/>
        <v/>
      </c>
      <c r="M961" s="216" t="str">
        <f t="shared" ca="1" si="596"/>
        <v/>
      </c>
      <c r="N961" s="216"/>
      <c r="O961" s="216"/>
      <c r="P961" s="216"/>
      <c r="Q961" s="456">
        <f t="shared" ca="1" si="597"/>
        <v>1</v>
      </c>
      <c r="R961" s="450">
        <f t="shared" ca="1" si="598"/>
        <v>12</v>
      </c>
      <c r="S961" s="191">
        <f t="shared" si="599"/>
        <v>80</v>
      </c>
      <c r="T961" s="191">
        <f t="shared" si="600"/>
        <v>5</v>
      </c>
      <c r="U961" s="191">
        <f ca="1">OP!$D$5+$S961-1</f>
        <v>112</v>
      </c>
      <c r="V961" s="191" t="str">
        <f t="shared" si="601"/>
        <v/>
      </c>
      <c r="W961" s="350">
        <f ca="1">IF(Q961&lt;&gt;1,0,VLOOKUP(OP!$C$55,PVFB,$S961+2,0))</f>
        <v>0</v>
      </c>
      <c r="X961" s="473" t="str">
        <f t="shared" ca="1" si="614"/>
        <v/>
      </c>
      <c r="Y961" s="348">
        <f t="shared" ca="1" si="615"/>
        <v>0</v>
      </c>
      <c r="Z961" s="348">
        <f t="shared" ca="1" si="616"/>
        <v>8012</v>
      </c>
      <c r="AA961" s="348">
        <f ca="1">IF(Q961&lt;&gt;1,0,VLOOKUP(OP!$C$55,PVFB,$S961+2,0))</f>
        <v>0</v>
      </c>
      <c r="AB961" s="488" t="str">
        <f ca="1">IF(AND(S961&lt;OP!$C$24,$U961&lt;15),0,IF(AND($U961&lt;15,$T961=12),ROUND(VLOOKUP($S961,DOWN16,5,0),3),IF($T961=12,ROUND(($Z961/10000)*$AA961,3)+IF(AND($P$7="購買增額繳清保險",T961=12,U961=110),VLOOKUP(S961,$B$10:$H$121,7,0),0),"")))</f>
        <v/>
      </c>
      <c r="AC961" s="350" t="str">
        <f ca="1">IF(AND(S961&lt;OP!$C$24,$U961&lt;15),0,IF(AND($U961&lt;16,$T961=12),VLOOKUP($S961,DOWN16,4,0),IF($T961=12,ROUND(VLOOKUP(OP!$C$55,_DIE2,$S961+1,0)*(Z961/10000),0)+IF(AND($P$7="購買增額繳清保險",T961=12,U961=110),VLOOKUP(S961,$B$10:$H$121,7,0),0),"")))</f>
        <v/>
      </c>
      <c r="AD961" s="347"/>
      <c r="AE961" s="350" t="str">
        <f t="shared" ca="1" si="591"/>
        <v/>
      </c>
      <c r="AF961" s="351" t="str">
        <f t="shared" ca="1" si="592"/>
        <v/>
      </c>
      <c r="AG961" s="340"/>
      <c r="AH961" s="340"/>
      <c r="AI961" s="340"/>
      <c r="AJ961" s="340"/>
      <c r="AK961" s="340"/>
      <c r="AL961" s="340"/>
      <c r="AM961" s="340"/>
      <c r="AN961" s="340"/>
      <c r="AO961" s="340"/>
      <c r="AP961" s="340"/>
      <c r="AQ961" s="340"/>
      <c r="AR961" s="340"/>
      <c r="AS961" s="340"/>
      <c r="AT961" s="340"/>
      <c r="AU961" s="340"/>
      <c r="AV961" s="340"/>
      <c r="AY961" s="340"/>
      <c r="AZ961" s="465">
        <f t="shared" ca="1" si="602"/>
        <v>7.3698599999999999E-5</v>
      </c>
      <c r="BA961" s="464">
        <f t="shared" ca="1" si="603"/>
        <v>0</v>
      </c>
      <c r="BB961" s="465">
        <f t="shared" ca="1" si="603"/>
        <v>7.3698599999999999E-5</v>
      </c>
      <c r="BC961" s="466">
        <f t="shared" ca="1" si="604"/>
        <v>71864</v>
      </c>
      <c r="BD961" s="467">
        <f t="shared" ca="1" si="617"/>
        <v>71865</v>
      </c>
      <c r="BE961" s="467">
        <f t="shared" ca="1" si="605"/>
        <v>71894</v>
      </c>
      <c r="BF961" s="468">
        <f ca="1">IF(計算!$BC961&lt;OP!$C$3,0,BD961-BC961)</f>
        <v>1</v>
      </c>
      <c r="BG961" s="468">
        <f ca="1">IF($BE961&gt;DATE(YEAR($BD$9)+OP!$C$57,MONTH($BD$9),DAY($BD$9)),0,$BE961-$BD961+1)</f>
        <v>0</v>
      </c>
      <c r="BH961" s="469">
        <f t="shared" ca="1" si="606"/>
        <v>1</v>
      </c>
      <c r="BI961" t="str">
        <f t="shared" si="622"/>
        <v/>
      </c>
      <c r="BJ961">
        <v>4</v>
      </c>
      <c r="BN961" s="468">
        <f t="shared" si="618"/>
        <v>80</v>
      </c>
      <c r="BO961" s="468">
        <f t="shared" si="619"/>
        <v>4</v>
      </c>
      <c r="BP961" s="467">
        <f t="shared" ca="1" si="607"/>
        <v>71865</v>
      </c>
      <c r="BQ961" s="475">
        <f t="shared" ca="1" si="621"/>
        <v>112</v>
      </c>
      <c r="BR961" s="475" t="str">
        <f t="shared" si="620"/>
        <v/>
      </c>
      <c r="BS961" s="471" t="str">
        <f t="shared" si="608"/>
        <v/>
      </c>
      <c r="BT961" s="472" t="str">
        <f t="shared" si="623"/>
        <v/>
      </c>
      <c r="BU961" s="472">
        <f t="shared" ca="1" si="609"/>
        <v>0</v>
      </c>
      <c r="BV961" s="472">
        <f t="shared" ca="1" si="609"/>
        <v>0</v>
      </c>
      <c r="BW961" s="472"/>
      <c r="BX961" s="473">
        <f t="shared" ca="1" si="610"/>
        <v>2758798.74859577</v>
      </c>
      <c r="BY961" s="473">
        <f t="shared" si="611"/>
        <v>0</v>
      </c>
      <c r="BZ961" s="473">
        <f t="shared" ca="1" si="593"/>
        <v>203.31960545300001</v>
      </c>
      <c r="CA961" s="476">
        <f t="shared" ca="1" si="612"/>
        <v>0</v>
      </c>
      <c r="CB961" s="494">
        <f ca="1">IF(OR($Q960&lt;&gt;1,OP!$D$5+$BN961-1&lt;16,$BN961-1&lt;1),0,ROUND(ROUND(ROUND(((VLOOKUP($BN961-1,MORE_PV,5,0)/10000)*VLOOKUP($BN961,MORE_PV,$CB$5,0)),3)*VLOOKUP($BN961,more1,5,0),0)/$R960,0))</f>
        <v>0</v>
      </c>
      <c r="CC961" s="473">
        <f t="shared" ca="1" si="613"/>
        <v>0</v>
      </c>
      <c r="CD961" s="477"/>
    </row>
    <row r="962" spans="2:82" ht="16.5" hidden="1">
      <c r="B962" s="80"/>
      <c r="C962" s="80"/>
      <c r="D962" s="80"/>
      <c r="E962" s="80"/>
      <c r="F962" s="80"/>
      <c r="G962" s="80"/>
      <c r="H962" s="80"/>
      <c r="I962" s="80"/>
      <c r="J962" s="192">
        <f t="shared" si="594"/>
        <v>80</v>
      </c>
      <c r="K962" s="192">
        <f t="shared" si="595"/>
        <v>6</v>
      </c>
      <c r="L962" s="192" t="str">
        <f t="shared" si="590"/>
        <v/>
      </c>
      <c r="M962" s="216" t="str">
        <f t="shared" ca="1" si="596"/>
        <v/>
      </c>
      <c r="N962" s="216"/>
      <c r="O962" s="216"/>
      <c r="P962" s="216"/>
      <c r="Q962" s="456">
        <f t="shared" ca="1" si="597"/>
        <v>1</v>
      </c>
      <c r="R962" s="450">
        <f t="shared" ca="1" si="598"/>
        <v>12</v>
      </c>
      <c r="S962" s="191">
        <f t="shared" si="599"/>
        <v>80</v>
      </c>
      <c r="T962" s="191">
        <f t="shared" si="600"/>
        <v>6</v>
      </c>
      <c r="U962" s="191">
        <f ca="1">OP!$D$5+$S962-1</f>
        <v>112</v>
      </c>
      <c r="V962" s="191" t="str">
        <f t="shared" si="601"/>
        <v/>
      </c>
      <c r="W962" s="350">
        <f ca="1">IF(Q962&lt;&gt;1,0,VLOOKUP(OP!$C$55,PVFB,$S962+2,0))</f>
        <v>0</v>
      </c>
      <c r="X962" s="473" t="str">
        <f t="shared" ca="1" si="614"/>
        <v/>
      </c>
      <c r="Y962" s="348">
        <f t="shared" ca="1" si="615"/>
        <v>0</v>
      </c>
      <c r="Z962" s="348">
        <f t="shared" ca="1" si="616"/>
        <v>8012</v>
      </c>
      <c r="AA962" s="348">
        <f ca="1">IF(Q962&lt;&gt;1,0,VLOOKUP(OP!$C$55,PVFB,$S962+2,0))</f>
        <v>0</v>
      </c>
      <c r="AB962" s="488" t="str">
        <f ca="1">IF(AND(S962&lt;OP!$C$24,$U962&lt;15),0,IF(AND($U962&lt;15,$T962=12),ROUND(VLOOKUP($S962,DOWN16,5,0),3),IF($T962=12,ROUND(($Z962/10000)*$AA962,3)+IF(AND($P$7="購買增額繳清保險",T962=12,U962=110),VLOOKUP(S962,$B$10:$H$121,7,0),0),"")))</f>
        <v/>
      </c>
      <c r="AC962" s="350" t="str">
        <f ca="1">IF(AND(S962&lt;OP!$C$24,$U962&lt;15),0,IF(AND($U962&lt;16,$T962=12),VLOOKUP($S962,DOWN16,4,0),IF($T962=12,ROUND(VLOOKUP(OP!$C$55,_DIE2,$S962+1,0)*(Z962/10000),0)+IF(AND($P$7="購買增額繳清保險",T962=12,U962=110),VLOOKUP(S962,$B$10:$H$121,7,0),0),"")))</f>
        <v/>
      </c>
      <c r="AD962" s="347"/>
      <c r="AE962" s="350" t="str">
        <f t="shared" ca="1" si="591"/>
        <v/>
      </c>
      <c r="AF962" s="351" t="str">
        <f t="shared" ca="1" si="592"/>
        <v/>
      </c>
      <c r="AG962" s="340"/>
      <c r="AH962" s="340"/>
      <c r="AI962" s="340"/>
      <c r="AJ962" s="340"/>
      <c r="AK962" s="340"/>
      <c r="AL962" s="340"/>
      <c r="AM962" s="340"/>
      <c r="AN962" s="340"/>
      <c r="AO962" s="340"/>
      <c r="AP962" s="340"/>
      <c r="AQ962" s="340"/>
      <c r="AR962" s="340"/>
      <c r="AS962" s="340"/>
      <c r="AT962" s="340"/>
      <c r="AU962" s="340"/>
      <c r="AV962" s="340"/>
      <c r="AY962" s="340"/>
      <c r="AZ962" s="465">
        <f t="shared" ca="1" si="602"/>
        <v>7.3698599999999999E-5</v>
      </c>
      <c r="BA962" s="464">
        <f t="shared" ca="1" si="603"/>
        <v>0</v>
      </c>
      <c r="BB962" s="465">
        <f t="shared" ca="1" si="603"/>
        <v>7.3698599999999999E-5</v>
      </c>
      <c r="BC962" s="466">
        <f t="shared" ca="1" si="604"/>
        <v>71895</v>
      </c>
      <c r="BD962" s="467">
        <f t="shared" ca="1" si="617"/>
        <v>71896</v>
      </c>
      <c r="BE962" s="467">
        <f t="shared" ca="1" si="605"/>
        <v>71924</v>
      </c>
      <c r="BF962" s="468">
        <f ca="1">IF(計算!$BC962&lt;OP!$C$3,0,BD962-BC962)</f>
        <v>1</v>
      </c>
      <c r="BG962" s="468">
        <f ca="1">IF($BE962&gt;DATE(YEAR($BD$9)+OP!$C$57,MONTH($BD$9),DAY($BD$9)),0,$BE962-$BD962+1)</f>
        <v>0</v>
      </c>
      <c r="BH962" s="469">
        <f t="shared" ca="1" si="606"/>
        <v>1</v>
      </c>
      <c r="BI962" t="str">
        <f t="shared" si="622"/>
        <v/>
      </c>
      <c r="BJ962">
        <v>5</v>
      </c>
      <c r="BN962" s="468">
        <f t="shared" si="618"/>
        <v>80</v>
      </c>
      <c r="BO962" s="468">
        <f t="shared" si="619"/>
        <v>5</v>
      </c>
      <c r="BP962" s="467">
        <f t="shared" ca="1" si="607"/>
        <v>71896</v>
      </c>
      <c r="BQ962" s="475">
        <f t="shared" ca="1" si="621"/>
        <v>112</v>
      </c>
      <c r="BR962" s="475" t="str">
        <f t="shared" si="620"/>
        <v/>
      </c>
      <c r="BS962" s="471" t="str">
        <f t="shared" si="608"/>
        <v/>
      </c>
      <c r="BT962" s="472" t="str">
        <f t="shared" si="623"/>
        <v/>
      </c>
      <c r="BU962" s="472">
        <f t="shared" ca="1" si="609"/>
        <v>0</v>
      </c>
      <c r="BV962" s="472">
        <f t="shared" ca="1" si="609"/>
        <v>0</v>
      </c>
      <c r="BW962" s="472"/>
      <c r="BX962" s="473">
        <f t="shared" ca="1" si="610"/>
        <v>2759002.0682012201</v>
      </c>
      <c r="BY962" s="473">
        <f t="shared" si="611"/>
        <v>0</v>
      </c>
      <c r="BZ962" s="473">
        <f t="shared" ca="1" si="593"/>
        <v>203.33458982400001</v>
      </c>
      <c r="CA962" s="476">
        <f t="shared" ca="1" si="612"/>
        <v>0</v>
      </c>
      <c r="CB962" s="494">
        <f ca="1">IF(OR($Q961&lt;&gt;1,OP!$D$5+$BN962-1&lt;16,$BN962-1&lt;1),0,ROUND(ROUND(ROUND(((VLOOKUP($BN962-1,MORE_PV,5,0)/10000)*VLOOKUP($BN962,MORE_PV,$CB$5,0)),3)*VLOOKUP($BN962,more1,5,0),0)/$R961,0))</f>
        <v>0</v>
      </c>
      <c r="CC962" s="473">
        <f t="shared" ca="1" si="613"/>
        <v>0</v>
      </c>
      <c r="CD962" s="477"/>
    </row>
    <row r="963" spans="2:82" ht="16.5" hidden="1">
      <c r="B963" s="80"/>
      <c r="C963" s="80"/>
      <c r="D963" s="80"/>
      <c r="E963" s="80"/>
      <c r="F963" s="80"/>
      <c r="G963" s="80"/>
      <c r="H963" s="80"/>
      <c r="I963" s="80"/>
      <c r="J963" s="192">
        <f t="shared" si="594"/>
        <v>80</v>
      </c>
      <c r="K963" s="192">
        <f t="shared" si="595"/>
        <v>7</v>
      </c>
      <c r="L963" s="192" t="str">
        <f t="shared" si="590"/>
        <v/>
      </c>
      <c r="M963" s="216" t="str">
        <f t="shared" ca="1" si="596"/>
        <v/>
      </c>
      <c r="N963" s="216"/>
      <c r="O963" s="216"/>
      <c r="P963" s="216"/>
      <c r="Q963" s="456">
        <f t="shared" ca="1" si="597"/>
        <v>1</v>
      </c>
      <c r="R963" s="450">
        <f t="shared" ca="1" si="598"/>
        <v>12</v>
      </c>
      <c r="S963" s="191">
        <f t="shared" si="599"/>
        <v>80</v>
      </c>
      <c r="T963" s="191">
        <f t="shared" si="600"/>
        <v>7</v>
      </c>
      <c r="U963" s="191">
        <f ca="1">OP!$D$5+$S963-1</f>
        <v>112</v>
      </c>
      <c r="V963" s="191" t="str">
        <f t="shared" si="601"/>
        <v/>
      </c>
      <c r="W963" s="350">
        <f ca="1">IF(Q963&lt;&gt;1,0,VLOOKUP(OP!$C$55,PVFB,$S963+2,0))</f>
        <v>0</v>
      </c>
      <c r="X963" s="473" t="str">
        <f t="shared" ca="1" si="614"/>
        <v/>
      </c>
      <c r="Y963" s="348">
        <f t="shared" ca="1" si="615"/>
        <v>0</v>
      </c>
      <c r="Z963" s="348">
        <f t="shared" ca="1" si="616"/>
        <v>8012</v>
      </c>
      <c r="AA963" s="348">
        <f ca="1">IF(Q963&lt;&gt;1,0,VLOOKUP(OP!$C$55,PVFB,$S963+2,0))</f>
        <v>0</v>
      </c>
      <c r="AB963" s="488" t="str">
        <f ca="1">IF(AND(S963&lt;OP!$C$24,$U963&lt;15),0,IF(AND($U963&lt;15,$T963=12),ROUND(VLOOKUP($S963,DOWN16,5,0),3),IF($T963=12,ROUND(($Z963/10000)*$AA963,3)+IF(AND($P$7="購買增額繳清保險",T963=12,U963=110),VLOOKUP(S963,$B$10:$H$121,7,0),0),"")))</f>
        <v/>
      </c>
      <c r="AC963" s="350" t="str">
        <f ca="1">IF(AND(S963&lt;OP!$C$24,$U963&lt;15),0,IF(AND($U963&lt;16,$T963=12),VLOOKUP($S963,DOWN16,4,0),IF($T963=12,ROUND(VLOOKUP(OP!$C$55,_DIE2,$S963+1,0)*(Z963/10000),0)+IF(AND($P$7="購買增額繳清保險",T963=12,U963=110),VLOOKUP(S963,$B$10:$H$121,7,0),0),"")))</f>
        <v/>
      </c>
      <c r="AD963" s="347"/>
      <c r="AE963" s="350" t="str">
        <f t="shared" ca="1" si="591"/>
        <v/>
      </c>
      <c r="AF963" s="351" t="str">
        <f t="shared" ca="1" si="592"/>
        <v/>
      </c>
      <c r="AG963" s="340"/>
      <c r="AH963" s="340"/>
      <c r="AI963" s="340"/>
      <c r="AJ963" s="340"/>
      <c r="AK963" s="340"/>
      <c r="AL963" s="340"/>
      <c r="AM963" s="340"/>
      <c r="AN963" s="340"/>
      <c r="AO963" s="340"/>
      <c r="AP963" s="340"/>
      <c r="AQ963" s="340"/>
      <c r="AR963" s="340"/>
      <c r="AS963" s="340"/>
      <c r="AT963" s="340"/>
      <c r="AU963" s="340"/>
      <c r="AV963" s="340"/>
      <c r="AY963" s="340"/>
      <c r="AZ963" s="465">
        <f t="shared" ca="1" si="602"/>
        <v>7.3698599999999999E-5</v>
      </c>
      <c r="BA963" s="464">
        <f t="shared" ca="1" si="603"/>
        <v>0</v>
      </c>
      <c r="BB963" s="465">
        <f t="shared" ca="1" si="603"/>
        <v>7.3698599999999999E-5</v>
      </c>
      <c r="BC963" s="466">
        <f t="shared" ca="1" si="604"/>
        <v>71925</v>
      </c>
      <c r="BD963" s="467">
        <f t="shared" ca="1" si="617"/>
        <v>71926</v>
      </c>
      <c r="BE963" s="467">
        <f t="shared" ca="1" si="605"/>
        <v>71955</v>
      </c>
      <c r="BF963" s="468">
        <f ca="1">IF(計算!$BC963&lt;OP!$C$3,0,BD963-BC963)</f>
        <v>1</v>
      </c>
      <c r="BG963" s="468">
        <f ca="1">IF($BE963&gt;DATE(YEAR($BD$9)+OP!$C$57,MONTH($BD$9),DAY($BD$9)),0,$BE963-$BD963+1)</f>
        <v>0</v>
      </c>
      <c r="BH963" s="469">
        <f t="shared" ca="1" si="606"/>
        <v>1</v>
      </c>
      <c r="BI963" t="str">
        <f t="shared" si="622"/>
        <v/>
      </c>
      <c r="BJ963">
        <v>6</v>
      </c>
      <c r="BN963" s="468">
        <f t="shared" si="618"/>
        <v>80</v>
      </c>
      <c r="BO963" s="468">
        <f t="shared" si="619"/>
        <v>6</v>
      </c>
      <c r="BP963" s="467">
        <f t="shared" ca="1" si="607"/>
        <v>71926</v>
      </c>
      <c r="BQ963" s="475">
        <f t="shared" ca="1" si="621"/>
        <v>112</v>
      </c>
      <c r="BR963" s="475" t="str">
        <f t="shared" si="620"/>
        <v/>
      </c>
      <c r="BS963" s="471" t="str">
        <f t="shared" si="608"/>
        <v/>
      </c>
      <c r="BT963" s="472" t="str">
        <f t="shared" si="623"/>
        <v/>
      </c>
      <c r="BU963" s="472">
        <f t="shared" ca="1" si="609"/>
        <v>0</v>
      </c>
      <c r="BV963" s="472">
        <f t="shared" ca="1" si="609"/>
        <v>0</v>
      </c>
      <c r="BW963" s="472"/>
      <c r="BX963" s="473">
        <f t="shared" ca="1" si="610"/>
        <v>2759205.40279104</v>
      </c>
      <c r="BY963" s="473">
        <f t="shared" si="611"/>
        <v>0</v>
      </c>
      <c r="BZ963" s="473">
        <f t="shared" ca="1" si="593"/>
        <v>203.34957529799999</v>
      </c>
      <c r="CA963" s="476">
        <f t="shared" ca="1" si="612"/>
        <v>0</v>
      </c>
      <c r="CB963" s="494">
        <f ca="1">IF(OR($Q962&lt;&gt;1,OP!$D$5+$BN963-1&lt;16,$BN963-1&lt;1),0,ROUND(ROUND(ROUND(((VLOOKUP($BN963-1,MORE_PV,5,0)/10000)*VLOOKUP($BN963,MORE_PV,$CB$5,0)),3)*VLOOKUP($BN963,more1,5,0),0)/$R962,0))</f>
        <v>0</v>
      </c>
      <c r="CC963" s="473">
        <f t="shared" ca="1" si="613"/>
        <v>0</v>
      </c>
      <c r="CD963" s="477"/>
    </row>
    <row r="964" spans="2:82" ht="16.5" hidden="1">
      <c r="B964" s="80"/>
      <c r="C964" s="80"/>
      <c r="D964" s="80"/>
      <c r="E964" s="80"/>
      <c r="F964" s="80"/>
      <c r="G964" s="80"/>
      <c r="H964" s="80"/>
      <c r="I964" s="80"/>
      <c r="J964" s="192">
        <f t="shared" si="594"/>
        <v>80</v>
      </c>
      <c r="K964" s="192">
        <f t="shared" si="595"/>
        <v>8</v>
      </c>
      <c r="L964" s="192" t="str">
        <f t="shared" si="590"/>
        <v/>
      </c>
      <c r="M964" s="216" t="str">
        <f t="shared" ca="1" si="596"/>
        <v/>
      </c>
      <c r="N964" s="216"/>
      <c r="O964" s="216"/>
      <c r="P964" s="216"/>
      <c r="Q964" s="456">
        <f t="shared" ca="1" si="597"/>
        <v>1</v>
      </c>
      <c r="R964" s="450">
        <f t="shared" ca="1" si="598"/>
        <v>12</v>
      </c>
      <c r="S964" s="191">
        <f t="shared" si="599"/>
        <v>80</v>
      </c>
      <c r="T964" s="191">
        <f t="shared" si="600"/>
        <v>8</v>
      </c>
      <c r="U964" s="191">
        <f ca="1">OP!$D$5+$S964-1</f>
        <v>112</v>
      </c>
      <c r="V964" s="191" t="str">
        <f t="shared" si="601"/>
        <v/>
      </c>
      <c r="W964" s="350">
        <f ca="1">IF(Q964&lt;&gt;1,0,VLOOKUP(OP!$C$55,PVFB,$S964+2,0))</f>
        <v>0</v>
      </c>
      <c r="X964" s="473" t="str">
        <f t="shared" ca="1" si="614"/>
        <v/>
      </c>
      <c r="Y964" s="348">
        <f t="shared" ca="1" si="615"/>
        <v>0</v>
      </c>
      <c r="Z964" s="348">
        <f t="shared" ca="1" si="616"/>
        <v>8012</v>
      </c>
      <c r="AA964" s="348">
        <f ca="1">IF(Q964&lt;&gt;1,0,VLOOKUP(OP!$C$55,PVFB,$S964+2,0))</f>
        <v>0</v>
      </c>
      <c r="AB964" s="488" t="str">
        <f ca="1">IF(AND(S964&lt;OP!$C$24,$U964&lt;15),0,IF(AND($U964&lt;15,$T964=12),ROUND(VLOOKUP($S964,DOWN16,5,0),3),IF($T964=12,ROUND(($Z964/10000)*$AA964,3)+IF(AND($P$7="購買增額繳清保險",T964=12,U964=110),VLOOKUP(S964,$B$10:$H$121,7,0),0),"")))</f>
        <v/>
      </c>
      <c r="AC964" s="350" t="str">
        <f ca="1">IF(AND(S964&lt;OP!$C$24,$U964&lt;15),0,IF(AND($U964&lt;16,$T964=12),VLOOKUP($S964,DOWN16,4,0),IF($T964=12,ROUND(VLOOKUP(OP!$C$55,_DIE2,$S964+1,0)*(Z964/10000),0)+IF(AND($P$7="購買增額繳清保險",T964=12,U964=110),VLOOKUP(S964,$B$10:$H$121,7,0),0),"")))</f>
        <v/>
      </c>
      <c r="AD964" s="347"/>
      <c r="AE964" s="350" t="str">
        <f t="shared" ca="1" si="591"/>
        <v/>
      </c>
      <c r="AF964" s="351" t="str">
        <f t="shared" ca="1" si="592"/>
        <v/>
      </c>
      <c r="AG964" s="340"/>
      <c r="AH964" s="340"/>
      <c r="AI964" s="340"/>
      <c r="AJ964" s="340"/>
      <c r="AK964" s="340"/>
      <c r="AL964" s="340"/>
      <c r="AM964" s="340"/>
      <c r="AN964" s="340"/>
      <c r="AO964" s="340"/>
      <c r="AP964" s="340"/>
      <c r="AQ964" s="340"/>
      <c r="AR964" s="340"/>
      <c r="AS964" s="340"/>
      <c r="AT964" s="340"/>
      <c r="AU964" s="340"/>
      <c r="AV964" s="340"/>
      <c r="AY964" s="340"/>
      <c r="AZ964" s="465">
        <f t="shared" ca="1" si="602"/>
        <v>7.3698599999999999E-5</v>
      </c>
      <c r="BA964" s="464">
        <f t="shared" ca="1" si="603"/>
        <v>0</v>
      </c>
      <c r="BB964" s="465">
        <f t="shared" ca="1" si="603"/>
        <v>7.3698599999999999E-5</v>
      </c>
      <c r="BC964" s="466">
        <f t="shared" ca="1" si="604"/>
        <v>71956</v>
      </c>
      <c r="BD964" s="467">
        <f t="shared" ca="1" si="617"/>
        <v>71957</v>
      </c>
      <c r="BE964" s="467">
        <f t="shared" ca="1" si="605"/>
        <v>71986</v>
      </c>
      <c r="BF964" s="468">
        <f ca="1">IF(計算!$BC964&lt;OP!$C$3,0,BD964-BC964)</f>
        <v>1</v>
      </c>
      <c r="BG964" s="468">
        <f ca="1">IF($BE964&gt;DATE(YEAR($BD$9)+OP!$C$57,MONTH($BD$9),DAY($BD$9)),0,$BE964-$BD964+1)</f>
        <v>0</v>
      </c>
      <c r="BH964" s="469">
        <f t="shared" ca="1" si="606"/>
        <v>1</v>
      </c>
      <c r="BI964" t="str">
        <f t="shared" si="622"/>
        <v/>
      </c>
      <c r="BJ964">
        <v>7</v>
      </c>
      <c r="BN964" s="468">
        <f t="shared" si="618"/>
        <v>80</v>
      </c>
      <c r="BO964" s="468">
        <f t="shared" si="619"/>
        <v>7</v>
      </c>
      <c r="BP964" s="467">
        <f t="shared" ca="1" si="607"/>
        <v>71957</v>
      </c>
      <c r="BQ964" s="475">
        <f t="shared" ca="1" si="621"/>
        <v>112</v>
      </c>
      <c r="BR964" s="475" t="str">
        <f t="shared" si="620"/>
        <v/>
      </c>
      <c r="BS964" s="471" t="str">
        <f t="shared" si="608"/>
        <v/>
      </c>
      <c r="BT964" s="472" t="str">
        <f t="shared" si="623"/>
        <v/>
      </c>
      <c r="BU964" s="472">
        <f t="shared" ca="1" si="609"/>
        <v>0</v>
      </c>
      <c r="BV964" s="472">
        <f t="shared" ca="1" si="609"/>
        <v>0</v>
      </c>
      <c r="BW964" s="472"/>
      <c r="BX964" s="473">
        <f t="shared" ca="1" si="610"/>
        <v>2759408.7523663398</v>
      </c>
      <c r="BY964" s="473">
        <f t="shared" si="611"/>
        <v>0</v>
      </c>
      <c r="BZ964" s="473">
        <f t="shared" ca="1" si="593"/>
        <v>203.364561877</v>
      </c>
      <c r="CA964" s="476">
        <f t="shared" ca="1" si="612"/>
        <v>0</v>
      </c>
      <c r="CB964" s="494">
        <f ca="1">IF(OR($Q963&lt;&gt;1,OP!$D$5+$BN964-1&lt;16,$BN964-1&lt;1),0,ROUND(ROUND(ROUND(((VLOOKUP($BN964-1,MORE_PV,5,0)/10000)*VLOOKUP($BN964,MORE_PV,$CB$5,0)),3)*VLOOKUP($BN964,more1,5,0),0)/$R963,0))</f>
        <v>0</v>
      </c>
      <c r="CC964" s="473">
        <f t="shared" ca="1" si="613"/>
        <v>0</v>
      </c>
      <c r="CD964" s="477"/>
    </row>
    <row r="965" spans="2:82" ht="16.5" hidden="1">
      <c r="B965" s="80"/>
      <c r="C965" s="80"/>
      <c r="D965" s="80"/>
      <c r="E965" s="80"/>
      <c r="F965" s="80"/>
      <c r="G965" s="80"/>
      <c r="H965" s="80"/>
      <c r="I965" s="80"/>
      <c r="J965" s="192">
        <f t="shared" si="594"/>
        <v>80</v>
      </c>
      <c r="K965" s="192">
        <f t="shared" si="595"/>
        <v>9</v>
      </c>
      <c r="L965" s="192" t="str">
        <f t="shared" si="590"/>
        <v/>
      </c>
      <c r="M965" s="216" t="str">
        <f t="shared" ca="1" si="596"/>
        <v/>
      </c>
      <c r="N965" s="216"/>
      <c r="O965" s="216"/>
      <c r="P965" s="216"/>
      <c r="Q965" s="456">
        <f t="shared" ca="1" si="597"/>
        <v>1</v>
      </c>
      <c r="R965" s="450">
        <f t="shared" ca="1" si="598"/>
        <v>12</v>
      </c>
      <c r="S965" s="191">
        <f t="shared" si="599"/>
        <v>80</v>
      </c>
      <c r="T965" s="191">
        <f t="shared" si="600"/>
        <v>9</v>
      </c>
      <c r="U965" s="191">
        <f ca="1">OP!$D$5+$S965-1</f>
        <v>112</v>
      </c>
      <c r="V965" s="191" t="str">
        <f t="shared" si="601"/>
        <v/>
      </c>
      <c r="W965" s="350">
        <f ca="1">IF(Q965&lt;&gt;1,0,VLOOKUP(OP!$C$55,PVFB,$S965+2,0))</f>
        <v>0</v>
      </c>
      <c r="X965" s="473" t="str">
        <f t="shared" ca="1" si="614"/>
        <v/>
      </c>
      <c r="Y965" s="348">
        <f t="shared" ca="1" si="615"/>
        <v>0</v>
      </c>
      <c r="Z965" s="348">
        <f t="shared" ca="1" si="616"/>
        <v>8012</v>
      </c>
      <c r="AA965" s="348">
        <f ca="1">IF(Q965&lt;&gt;1,0,VLOOKUP(OP!$C$55,PVFB,$S965+2,0))</f>
        <v>0</v>
      </c>
      <c r="AB965" s="488" t="str">
        <f ca="1">IF(AND(S965&lt;OP!$C$24,$U965&lt;15),0,IF(AND($U965&lt;15,$T965=12),ROUND(VLOOKUP($S965,DOWN16,5,0),3),IF($T965=12,ROUND(($Z965/10000)*$AA965,3)+IF(AND($P$7="購買增額繳清保險",T965=12,U965=110),VLOOKUP(S965,$B$10:$H$121,7,0),0),"")))</f>
        <v/>
      </c>
      <c r="AC965" s="350" t="str">
        <f ca="1">IF(AND(S965&lt;OP!$C$24,$U965&lt;15),0,IF(AND($U965&lt;16,$T965=12),VLOOKUP($S965,DOWN16,4,0),IF($T965=12,ROUND(VLOOKUP(OP!$C$55,_DIE2,$S965+1,0)*(Z965/10000),0)+IF(AND($P$7="購買增額繳清保險",T965=12,U965=110),VLOOKUP(S965,$B$10:$H$121,7,0),0),"")))</f>
        <v/>
      </c>
      <c r="AD965" s="347"/>
      <c r="AE965" s="350" t="str">
        <f t="shared" ca="1" si="591"/>
        <v/>
      </c>
      <c r="AF965" s="351" t="str">
        <f t="shared" ca="1" si="592"/>
        <v/>
      </c>
      <c r="AG965" s="340"/>
      <c r="AH965" s="340"/>
      <c r="AI965" s="340"/>
      <c r="AJ965" s="340"/>
      <c r="AK965" s="340"/>
      <c r="AL965" s="340"/>
      <c r="AM965" s="340"/>
      <c r="AN965" s="340"/>
      <c r="AO965" s="340"/>
      <c r="AP965" s="340"/>
      <c r="AQ965" s="340"/>
      <c r="AR965" s="340"/>
      <c r="AS965" s="340"/>
      <c r="AT965" s="340"/>
      <c r="AU965" s="340"/>
      <c r="AV965" s="340"/>
      <c r="AY965" s="340"/>
      <c r="AZ965" s="465">
        <f t="shared" ca="1" si="602"/>
        <v>7.3698599999999999E-5</v>
      </c>
      <c r="BA965" s="464">
        <f t="shared" ca="1" si="603"/>
        <v>0</v>
      </c>
      <c r="BB965" s="465">
        <f t="shared" ca="1" si="603"/>
        <v>7.3698599999999999E-5</v>
      </c>
      <c r="BC965" s="466">
        <f t="shared" ca="1" si="604"/>
        <v>71987</v>
      </c>
      <c r="BD965" s="467">
        <f t="shared" ca="1" si="617"/>
        <v>71988</v>
      </c>
      <c r="BE965" s="467">
        <f t="shared" ca="1" si="605"/>
        <v>72014</v>
      </c>
      <c r="BF965" s="468">
        <f ca="1">IF(計算!$BC965&lt;OP!$C$3,0,BD965-BC965)</f>
        <v>1</v>
      </c>
      <c r="BG965" s="468">
        <f ca="1">IF($BE965&gt;DATE(YEAR($BD$9)+OP!$C$57,MONTH($BD$9),DAY($BD$9)),0,$BE965-$BD965+1)</f>
        <v>0</v>
      </c>
      <c r="BH965" s="469">
        <f t="shared" ca="1" si="606"/>
        <v>1</v>
      </c>
      <c r="BI965" t="str">
        <f t="shared" si="622"/>
        <v/>
      </c>
      <c r="BJ965">
        <v>8</v>
      </c>
      <c r="BN965" s="468">
        <f t="shared" si="618"/>
        <v>80</v>
      </c>
      <c r="BO965" s="468">
        <f t="shared" si="619"/>
        <v>8</v>
      </c>
      <c r="BP965" s="467">
        <f t="shared" ca="1" si="607"/>
        <v>71988</v>
      </c>
      <c r="BQ965" s="475">
        <f t="shared" ca="1" si="621"/>
        <v>112</v>
      </c>
      <c r="BR965" s="475" t="str">
        <f t="shared" si="620"/>
        <v/>
      </c>
      <c r="BS965" s="471" t="str">
        <f t="shared" si="608"/>
        <v/>
      </c>
      <c r="BT965" s="472" t="str">
        <f t="shared" si="623"/>
        <v/>
      </c>
      <c r="BU965" s="472">
        <f t="shared" ca="1" si="609"/>
        <v>0</v>
      </c>
      <c r="BV965" s="472">
        <f t="shared" ca="1" si="609"/>
        <v>0</v>
      </c>
      <c r="BW965" s="472"/>
      <c r="BX965" s="473">
        <f t="shared" ca="1" si="610"/>
        <v>2759612.1169282198</v>
      </c>
      <c r="BY965" s="473">
        <f t="shared" si="611"/>
        <v>0</v>
      </c>
      <c r="BZ965" s="473">
        <f t="shared" ca="1" si="593"/>
        <v>203.379549561</v>
      </c>
      <c r="CA965" s="476">
        <f t="shared" ca="1" si="612"/>
        <v>0</v>
      </c>
      <c r="CB965" s="494">
        <f ca="1">IF(OR($Q964&lt;&gt;1,OP!$D$5+$BN965-1&lt;16,$BN965-1&lt;1),0,ROUND(ROUND(ROUND(((VLOOKUP($BN965-1,MORE_PV,5,0)/10000)*VLOOKUP($BN965,MORE_PV,$CB$5,0)),3)*VLOOKUP($BN965,more1,5,0),0)/$R964,0))</f>
        <v>0</v>
      </c>
      <c r="CC965" s="473">
        <f t="shared" ca="1" si="613"/>
        <v>0</v>
      </c>
      <c r="CD965" s="477"/>
    </row>
    <row r="966" spans="2:82" ht="16.5" hidden="1">
      <c r="B966" s="80"/>
      <c r="C966" s="80"/>
      <c r="D966" s="80"/>
      <c r="E966" s="80"/>
      <c r="F966" s="80"/>
      <c r="G966" s="80"/>
      <c r="H966" s="80"/>
      <c r="I966" s="80"/>
      <c r="J966" s="192">
        <f t="shared" si="594"/>
        <v>80</v>
      </c>
      <c r="K966" s="192">
        <f t="shared" si="595"/>
        <v>10</v>
      </c>
      <c r="L966" s="192" t="str">
        <f t="shared" si="590"/>
        <v/>
      </c>
      <c r="M966" s="216" t="str">
        <f t="shared" ca="1" si="596"/>
        <v/>
      </c>
      <c r="N966" s="216"/>
      <c r="O966" s="216"/>
      <c r="P966" s="216"/>
      <c r="Q966" s="456">
        <f t="shared" ca="1" si="597"/>
        <v>1</v>
      </c>
      <c r="R966" s="450">
        <f t="shared" ca="1" si="598"/>
        <v>12</v>
      </c>
      <c r="S966" s="191">
        <f t="shared" si="599"/>
        <v>80</v>
      </c>
      <c r="T966" s="191">
        <f t="shared" si="600"/>
        <v>10</v>
      </c>
      <c r="U966" s="191">
        <f ca="1">OP!$D$5+$S966-1</f>
        <v>112</v>
      </c>
      <c r="V966" s="191" t="str">
        <f t="shared" si="601"/>
        <v/>
      </c>
      <c r="W966" s="350">
        <f ca="1">IF(Q966&lt;&gt;1,0,VLOOKUP(OP!$C$55,PVFB,$S966+2,0))</f>
        <v>0</v>
      </c>
      <c r="X966" s="473" t="str">
        <f t="shared" ca="1" si="614"/>
        <v/>
      </c>
      <c r="Y966" s="348">
        <f t="shared" ca="1" si="615"/>
        <v>0</v>
      </c>
      <c r="Z966" s="348">
        <f t="shared" ca="1" si="616"/>
        <v>8012</v>
      </c>
      <c r="AA966" s="348">
        <f ca="1">IF(Q966&lt;&gt;1,0,VLOOKUP(OP!$C$55,PVFB,$S966+2,0))</f>
        <v>0</v>
      </c>
      <c r="AB966" s="488" t="str">
        <f ca="1">IF(AND(S966&lt;OP!$C$24,$U966&lt;15),0,IF(AND($U966&lt;15,$T966=12),ROUND(VLOOKUP($S966,DOWN16,5,0),3),IF($T966=12,ROUND(($Z966/10000)*$AA966,3)+IF(AND($P$7="購買增額繳清保險",T966=12,U966=110),VLOOKUP(S966,$B$10:$H$121,7,0),0),"")))</f>
        <v/>
      </c>
      <c r="AC966" s="350" t="str">
        <f ca="1">IF(AND(S966&lt;OP!$C$24,$U966&lt;15),0,IF(AND($U966&lt;16,$T966=12),VLOOKUP($S966,DOWN16,4,0),IF($T966=12,ROUND(VLOOKUP(OP!$C$55,_DIE2,$S966+1,0)*(Z966/10000),0)+IF(AND($P$7="購買增額繳清保險",T966=12,U966=110),VLOOKUP(S966,$B$10:$H$121,7,0),0),"")))</f>
        <v/>
      </c>
      <c r="AD966" s="347"/>
      <c r="AE966" s="350" t="str">
        <f t="shared" ca="1" si="591"/>
        <v/>
      </c>
      <c r="AF966" s="351" t="str">
        <f t="shared" ca="1" si="592"/>
        <v/>
      </c>
      <c r="AG966" s="340"/>
      <c r="AH966" s="340"/>
      <c r="AI966" s="340"/>
      <c r="AJ966" s="340"/>
      <c r="AK966" s="340"/>
      <c r="AL966" s="340"/>
      <c r="AM966" s="340"/>
      <c r="AN966" s="340"/>
      <c r="AO966" s="340"/>
      <c r="AP966" s="340"/>
      <c r="AQ966" s="340"/>
      <c r="AR966" s="340"/>
      <c r="AS966" s="340"/>
      <c r="AT966" s="340"/>
      <c r="AU966" s="340"/>
      <c r="AV966" s="340"/>
      <c r="AY966" s="340"/>
      <c r="AZ966" s="465">
        <f t="shared" ca="1" si="602"/>
        <v>7.3698599999999999E-5</v>
      </c>
      <c r="BA966" s="464">
        <f t="shared" ca="1" si="603"/>
        <v>0</v>
      </c>
      <c r="BB966" s="465">
        <f t="shared" ca="1" si="603"/>
        <v>7.3698599999999999E-5</v>
      </c>
      <c r="BC966" s="466">
        <f t="shared" ca="1" si="604"/>
        <v>72015</v>
      </c>
      <c r="BD966" s="467">
        <f t="shared" ca="1" si="617"/>
        <v>72016</v>
      </c>
      <c r="BE966" s="467">
        <f t="shared" ca="1" si="605"/>
        <v>72045</v>
      </c>
      <c r="BF966" s="468">
        <f ca="1">IF(計算!$BC966&lt;OP!$C$3,0,BD966-BC966)</f>
        <v>1</v>
      </c>
      <c r="BG966" s="468">
        <f ca="1">IF($BE966&gt;DATE(YEAR($BD$9)+OP!$C$57,MONTH($BD$9),DAY($BD$9)),0,$BE966-$BD966+1)</f>
        <v>0</v>
      </c>
      <c r="BH966" s="469">
        <f t="shared" ca="1" si="606"/>
        <v>1</v>
      </c>
      <c r="BI966" t="str">
        <f t="shared" si="622"/>
        <v/>
      </c>
      <c r="BJ966">
        <v>9</v>
      </c>
      <c r="BN966" s="468">
        <f t="shared" si="618"/>
        <v>80</v>
      </c>
      <c r="BO966" s="468">
        <f t="shared" si="619"/>
        <v>9</v>
      </c>
      <c r="BP966" s="467">
        <f t="shared" ca="1" si="607"/>
        <v>72016</v>
      </c>
      <c r="BQ966" s="475">
        <f t="shared" ca="1" si="621"/>
        <v>112</v>
      </c>
      <c r="BR966" s="475" t="str">
        <f t="shared" si="620"/>
        <v/>
      </c>
      <c r="BS966" s="471" t="str">
        <f t="shared" si="608"/>
        <v/>
      </c>
      <c r="BT966" s="472" t="str">
        <f t="shared" si="623"/>
        <v/>
      </c>
      <c r="BU966" s="472">
        <f t="shared" ca="1" si="609"/>
        <v>0</v>
      </c>
      <c r="BV966" s="472">
        <f t="shared" ca="1" si="609"/>
        <v>0</v>
      </c>
      <c r="BW966" s="472"/>
      <c r="BX966" s="473">
        <f t="shared" ca="1" si="610"/>
        <v>2759815.4964777799</v>
      </c>
      <c r="BY966" s="473">
        <f t="shared" si="611"/>
        <v>0</v>
      </c>
      <c r="BZ966" s="473">
        <f t="shared" ca="1" si="593"/>
        <v>203.39453834899999</v>
      </c>
      <c r="CA966" s="476">
        <f t="shared" ca="1" si="612"/>
        <v>0</v>
      </c>
      <c r="CB966" s="494">
        <f ca="1">IF(OR($Q965&lt;&gt;1,OP!$D$5+$BN966-1&lt;16,$BN966-1&lt;1),0,ROUND(ROUND(ROUND(((VLOOKUP($BN966-1,MORE_PV,5,0)/10000)*VLOOKUP($BN966,MORE_PV,$CB$5,0)),3)*VLOOKUP($BN966,more1,5,0),0)/$R965,0))</f>
        <v>0</v>
      </c>
      <c r="CC966" s="473">
        <f t="shared" ca="1" si="613"/>
        <v>0</v>
      </c>
      <c r="CD966" s="477"/>
    </row>
    <row r="967" spans="2:82" ht="16.5" hidden="1">
      <c r="B967" s="80"/>
      <c r="C967" s="80"/>
      <c r="D967" s="80"/>
      <c r="E967" s="80"/>
      <c r="F967" s="80"/>
      <c r="G967" s="80"/>
      <c r="H967" s="80"/>
      <c r="I967" s="80"/>
      <c r="J967" s="192">
        <f t="shared" si="594"/>
        <v>80</v>
      </c>
      <c r="K967" s="192">
        <f t="shared" si="595"/>
        <v>11</v>
      </c>
      <c r="L967" s="192" t="str">
        <f t="shared" si="590"/>
        <v/>
      </c>
      <c r="M967" s="216" t="str">
        <f t="shared" ca="1" si="596"/>
        <v/>
      </c>
      <c r="N967" s="216"/>
      <c r="O967" s="216"/>
      <c r="P967" s="216"/>
      <c r="Q967" s="456">
        <f t="shared" ca="1" si="597"/>
        <v>1</v>
      </c>
      <c r="R967" s="450">
        <f t="shared" ca="1" si="598"/>
        <v>12</v>
      </c>
      <c r="S967" s="191">
        <f t="shared" si="599"/>
        <v>80</v>
      </c>
      <c r="T967" s="191">
        <f t="shared" si="600"/>
        <v>11</v>
      </c>
      <c r="U967" s="191">
        <f ca="1">OP!$D$5+$S967-1</f>
        <v>112</v>
      </c>
      <c r="V967" s="191" t="str">
        <f t="shared" si="601"/>
        <v/>
      </c>
      <c r="W967" s="350">
        <f ca="1">IF(Q967&lt;&gt;1,0,VLOOKUP(OP!$C$55,PVFB,$S967+2,0))</f>
        <v>0</v>
      </c>
      <c r="X967" s="473" t="str">
        <f t="shared" ca="1" si="614"/>
        <v/>
      </c>
      <c r="Y967" s="348">
        <f t="shared" ca="1" si="615"/>
        <v>0</v>
      </c>
      <c r="Z967" s="348">
        <f t="shared" ca="1" si="616"/>
        <v>8012</v>
      </c>
      <c r="AA967" s="348">
        <f ca="1">IF(Q967&lt;&gt;1,0,VLOOKUP(OP!$C$55,PVFB,$S967+2,0))</f>
        <v>0</v>
      </c>
      <c r="AB967" s="488" t="str">
        <f ca="1">IF(AND(S967&lt;OP!$C$24,$U967&lt;15),0,IF(AND($U967&lt;15,$T967=12),ROUND(VLOOKUP($S967,DOWN16,5,0),3),IF($T967=12,ROUND(($Z967/10000)*$AA967,3)+IF(AND($P$7="購買增額繳清保險",T967=12,U967=110),VLOOKUP(S967,$B$10:$H$121,7,0),0),"")))</f>
        <v/>
      </c>
      <c r="AC967" s="350" t="str">
        <f ca="1">IF(AND(S967&lt;OP!$C$24,$U967&lt;15),0,IF(AND($U967&lt;16,$T967=12),VLOOKUP($S967,DOWN16,4,0),IF($T967=12,ROUND(VLOOKUP(OP!$C$55,_DIE2,$S967+1,0)*(Z967/10000),0)+IF(AND($P$7="購買增額繳清保險",T967=12,U967=110),VLOOKUP(S967,$B$10:$H$121,7,0),0),"")))</f>
        <v/>
      </c>
      <c r="AD967" s="347"/>
      <c r="AE967" s="350" t="str">
        <f t="shared" ca="1" si="591"/>
        <v/>
      </c>
      <c r="AF967" s="351" t="str">
        <f t="shared" ca="1" si="592"/>
        <v/>
      </c>
      <c r="AG967" s="340"/>
      <c r="AH967" s="340"/>
      <c r="AI967" s="340"/>
      <c r="AJ967" s="340"/>
      <c r="AK967" s="340"/>
      <c r="AL967" s="340"/>
      <c r="AM967" s="340"/>
      <c r="AN967" s="340"/>
      <c r="AO967" s="340"/>
      <c r="AP967" s="340"/>
      <c r="AQ967" s="340"/>
      <c r="AR967" s="340"/>
      <c r="AS967" s="340"/>
      <c r="AT967" s="340"/>
      <c r="AU967" s="340"/>
      <c r="AV967" s="340"/>
      <c r="AY967" s="340"/>
      <c r="AZ967" s="465">
        <f t="shared" ca="1" si="602"/>
        <v>7.3698599999999999E-5</v>
      </c>
      <c r="BA967" s="464">
        <f t="shared" ca="1" si="603"/>
        <v>0</v>
      </c>
      <c r="BB967" s="465">
        <f t="shared" ca="1" si="603"/>
        <v>7.3698599999999999E-5</v>
      </c>
      <c r="BC967" s="466">
        <f t="shared" ca="1" si="604"/>
        <v>72046</v>
      </c>
      <c r="BD967" s="467">
        <f t="shared" ca="1" si="617"/>
        <v>72047</v>
      </c>
      <c r="BE967" s="467">
        <f t="shared" ca="1" si="605"/>
        <v>72075</v>
      </c>
      <c r="BF967" s="468">
        <f ca="1">IF(計算!$BC967&lt;OP!$C$3,0,BD967-BC967)</f>
        <v>1</v>
      </c>
      <c r="BG967" s="468">
        <f ca="1">IF($BE967&gt;DATE(YEAR($BD$9)+OP!$C$57,MONTH($BD$9),DAY($BD$9)),0,$BE967-$BD967+1)</f>
        <v>0</v>
      </c>
      <c r="BH967" s="469">
        <f t="shared" ca="1" si="606"/>
        <v>1</v>
      </c>
      <c r="BI967" t="str">
        <f t="shared" si="622"/>
        <v/>
      </c>
      <c r="BJ967">
        <v>10</v>
      </c>
      <c r="BN967" s="468">
        <f t="shared" si="618"/>
        <v>80</v>
      </c>
      <c r="BO967" s="468">
        <f t="shared" si="619"/>
        <v>10</v>
      </c>
      <c r="BP967" s="467">
        <f t="shared" ca="1" si="607"/>
        <v>72047</v>
      </c>
      <c r="BQ967" s="475">
        <f t="shared" ca="1" si="621"/>
        <v>112</v>
      </c>
      <c r="BR967" s="475" t="str">
        <f t="shared" si="620"/>
        <v/>
      </c>
      <c r="BS967" s="471" t="str">
        <f t="shared" si="608"/>
        <v/>
      </c>
      <c r="BT967" s="472" t="str">
        <f t="shared" si="623"/>
        <v/>
      </c>
      <c r="BU967" s="472">
        <f t="shared" ca="1" si="609"/>
        <v>0</v>
      </c>
      <c r="BV967" s="472">
        <f t="shared" ca="1" si="609"/>
        <v>0</v>
      </c>
      <c r="BW967" s="472"/>
      <c r="BX967" s="473">
        <f t="shared" ca="1" si="610"/>
        <v>2760018.8910161299</v>
      </c>
      <c r="BY967" s="473">
        <f t="shared" si="611"/>
        <v>0</v>
      </c>
      <c r="BZ967" s="473">
        <f t="shared" ca="1" si="593"/>
        <v>203.409528241</v>
      </c>
      <c r="CA967" s="476">
        <f t="shared" ca="1" si="612"/>
        <v>0</v>
      </c>
      <c r="CB967" s="494">
        <f ca="1">IF(OR($Q966&lt;&gt;1,OP!$D$5+$BN967-1&lt;16,$BN967-1&lt;1),0,ROUND(ROUND(ROUND(((VLOOKUP($BN967-1,MORE_PV,5,0)/10000)*VLOOKUP($BN967,MORE_PV,$CB$5,0)),3)*VLOOKUP($BN967,more1,5,0),0)/$R966,0))</f>
        <v>0</v>
      </c>
      <c r="CC967" s="473">
        <f t="shared" ca="1" si="613"/>
        <v>0</v>
      </c>
      <c r="CD967" s="477"/>
    </row>
    <row r="968" spans="2:82" ht="16.5" hidden="1">
      <c r="B968" s="80"/>
      <c r="C968" s="80"/>
      <c r="D968" s="80"/>
      <c r="E968" s="80"/>
      <c r="F968" s="80"/>
      <c r="G968" s="80"/>
      <c r="H968" s="80"/>
      <c r="I968" s="80"/>
      <c r="J968" s="192">
        <f t="shared" si="594"/>
        <v>80</v>
      </c>
      <c r="K968" s="192">
        <f t="shared" si="595"/>
        <v>12</v>
      </c>
      <c r="L968" s="192">
        <f t="shared" si="590"/>
        <v>80</v>
      </c>
      <c r="M968" s="216">
        <f t="shared" ca="1" si="596"/>
        <v>2760628</v>
      </c>
      <c r="N968" s="216"/>
      <c r="O968" s="216"/>
      <c r="P968" s="216"/>
      <c r="Q968" s="456">
        <f t="shared" ca="1" si="597"/>
        <v>1</v>
      </c>
      <c r="R968" s="450">
        <f t="shared" ca="1" si="598"/>
        <v>12</v>
      </c>
      <c r="S968" s="191">
        <f t="shared" si="599"/>
        <v>80</v>
      </c>
      <c r="T968" s="191">
        <f t="shared" si="600"/>
        <v>12</v>
      </c>
      <c r="U968" s="191">
        <f ca="1">OP!$D$5+$S968-1</f>
        <v>112</v>
      </c>
      <c r="V968" s="191">
        <f t="shared" si="601"/>
        <v>80</v>
      </c>
      <c r="W968" s="350">
        <f ca="1">IF(Q968&lt;&gt;1,0,VLOOKUP(OP!$C$55,PVFB,$S968+2,0))</f>
        <v>0</v>
      </c>
      <c r="X968" s="473">
        <f t="shared" ca="1" si="614"/>
        <v>0</v>
      </c>
      <c r="Y968" s="348">
        <f t="shared" ca="1" si="615"/>
        <v>0</v>
      </c>
      <c r="Z968" s="348">
        <f t="shared" ca="1" si="616"/>
        <v>8012</v>
      </c>
      <c r="AA968" s="348">
        <f ca="1">IF(Q968&lt;&gt;1,0,VLOOKUP(OP!$C$55,PVFB,$S968+2,0))</f>
        <v>0</v>
      </c>
      <c r="AB968" s="488">
        <f ca="1">IF(AND(S968&lt;OP!$C$24,$U968&lt;15),0,IF(AND($U968&lt;15,$T968=12),ROUND(VLOOKUP($S968,DOWN16,5,0),3),IF($T968=12,ROUND(($Z968/10000)*$AA968,3)+IF(AND($P$7="購買增額繳清保險",T968=12,U968=110),VLOOKUP(S968,$B$10:$H$121,7,0),0),"")))</f>
        <v>0</v>
      </c>
      <c r="AC968" s="350">
        <f ca="1">IF(AND(S968&lt;OP!$C$24,$U968&lt;15),0,IF(AND($U968&lt;16,$T968=12),VLOOKUP($S968,DOWN16,4,0),IF($T968=12,ROUND(VLOOKUP(OP!$C$55,_DIE2,$S968+1,0)*(Z968/10000),0)+IF(AND($P$7="購買增額繳清保險",T968=12,U968=110),VLOOKUP(S968,$B$10:$H$121,7,0),0),"")))</f>
        <v>0</v>
      </c>
      <c r="AD968" s="347"/>
      <c r="AE968" s="350" t="str">
        <f t="shared" ca="1" si="591"/>
        <v/>
      </c>
      <c r="AF968" s="351" t="str">
        <f t="shared" ca="1" si="592"/>
        <v/>
      </c>
      <c r="AG968" s="340"/>
      <c r="AH968" s="340"/>
      <c r="AI968" s="340"/>
      <c r="AJ968" s="340"/>
      <c r="AK968" s="340"/>
      <c r="AL968" s="340"/>
      <c r="AM968" s="340"/>
      <c r="AN968" s="340"/>
      <c r="AO968" s="340"/>
      <c r="AP968" s="340"/>
      <c r="AQ968" s="340"/>
      <c r="AR968" s="340"/>
      <c r="AS968" s="340"/>
      <c r="AT968" s="340"/>
      <c r="AU968" s="340"/>
      <c r="AV968" s="340"/>
      <c r="AY968" s="340"/>
      <c r="AZ968" s="465">
        <f t="shared" ca="1" si="602"/>
        <v>7.3698599999999999E-5</v>
      </c>
      <c r="BA968" s="464">
        <f t="shared" ca="1" si="603"/>
        <v>0</v>
      </c>
      <c r="BB968" s="465">
        <f t="shared" ca="1" si="603"/>
        <v>7.3698599999999999E-5</v>
      </c>
      <c r="BC968" s="466">
        <f t="shared" ca="1" si="604"/>
        <v>72076</v>
      </c>
      <c r="BD968" s="467">
        <f t="shared" ca="1" si="617"/>
        <v>72077</v>
      </c>
      <c r="BE968" s="467">
        <f t="shared" ca="1" si="605"/>
        <v>72106</v>
      </c>
      <c r="BF968" s="468">
        <f ca="1">IF(計算!$BC968&lt;OP!$C$3,0,BD968-BC968)</f>
        <v>1</v>
      </c>
      <c r="BG968" s="468">
        <f ca="1">IF($BE968&gt;DATE(YEAR($BD$9)+OP!$C$57,MONTH($BD$9),DAY($BD$9)),0,$BE968-$BD968+1)</f>
        <v>0</v>
      </c>
      <c r="BH968" s="469">
        <f t="shared" ca="1" si="606"/>
        <v>1</v>
      </c>
      <c r="BI968" t="str">
        <f t="shared" si="622"/>
        <v/>
      </c>
      <c r="BJ968">
        <v>11</v>
      </c>
      <c r="BN968" s="468">
        <f t="shared" si="618"/>
        <v>80</v>
      </c>
      <c r="BO968" s="468">
        <f t="shared" si="619"/>
        <v>11</v>
      </c>
      <c r="BP968" s="467">
        <f t="shared" ca="1" si="607"/>
        <v>72077</v>
      </c>
      <c r="BQ968" s="475">
        <f t="shared" ca="1" si="621"/>
        <v>112</v>
      </c>
      <c r="BR968" s="475" t="str">
        <f t="shared" si="620"/>
        <v/>
      </c>
      <c r="BS968" s="471" t="str">
        <f t="shared" si="608"/>
        <v/>
      </c>
      <c r="BT968" s="472" t="str">
        <f t="shared" si="623"/>
        <v/>
      </c>
      <c r="BU968" s="472">
        <f t="shared" ca="1" si="609"/>
        <v>0</v>
      </c>
      <c r="BV968" s="472">
        <f t="shared" ca="1" si="609"/>
        <v>0</v>
      </c>
      <c r="BW968" s="472"/>
      <c r="BX968" s="473">
        <f t="shared" ca="1" si="610"/>
        <v>2760222.30054437</v>
      </c>
      <c r="BY968" s="473">
        <f t="shared" si="611"/>
        <v>0</v>
      </c>
      <c r="BZ968" s="473">
        <f t="shared" ca="1" si="593"/>
        <v>203.42451923900001</v>
      </c>
      <c r="CA968" s="476">
        <f t="shared" ca="1" si="612"/>
        <v>0</v>
      </c>
      <c r="CB968" s="494">
        <f ca="1">IF(OR($Q967&lt;&gt;1,OP!$D$5+$BN968-1&lt;16,$BN968-1&lt;1),0,ROUND(ROUND(ROUND(((VLOOKUP($BN968-1,MORE_PV,5,0)/10000)*VLOOKUP($BN968,MORE_PV,$CB$5,0)),3)*VLOOKUP($BN968,more1,5,0),0)/$R967,0))</f>
        <v>0</v>
      </c>
      <c r="CC968" s="473">
        <f t="shared" ca="1" si="613"/>
        <v>0</v>
      </c>
      <c r="CD968" s="477"/>
    </row>
    <row r="969" spans="2:82" ht="16.5" hidden="1">
      <c r="B969" s="80"/>
      <c r="C969" s="80"/>
      <c r="D969" s="80"/>
      <c r="E969" s="80"/>
      <c r="F969" s="80"/>
      <c r="G969" s="80"/>
      <c r="H969" s="80"/>
      <c r="I969" s="80"/>
      <c r="J969" s="192">
        <f t="shared" si="594"/>
        <v>81</v>
      </c>
      <c r="K969" s="192">
        <f t="shared" si="595"/>
        <v>1</v>
      </c>
      <c r="L969" s="192" t="str">
        <f t="shared" ref="L969:L1032" si="624">IF($K969=12,$J969,"")</f>
        <v/>
      </c>
      <c r="M969" s="216" t="str">
        <f t="shared" ca="1" si="596"/>
        <v/>
      </c>
      <c r="N969" s="216"/>
      <c r="O969" s="216"/>
      <c r="P969" s="216"/>
      <c r="Q969" s="456">
        <f t="shared" ca="1" si="597"/>
        <v>1</v>
      </c>
      <c r="R969" s="450">
        <f t="shared" ca="1" si="598"/>
        <v>12</v>
      </c>
      <c r="S969" s="191">
        <f t="shared" si="599"/>
        <v>81</v>
      </c>
      <c r="T969" s="191">
        <f t="shared" si="600"/>
        <v>1</v>
      </c>
      <c r="U969" s="191">
        <f ca="1">OP!$D$5+$S969-1</f>
        <v>113</v>
      </c>
      <c r="V969" s="191" t="str">
        <f t="shared" si="601"/>
        <v/>
      </c>
      <c r="W969" s="350">
        <f ca="1">IF(Q969&lt;&gt;1,0,VLOOKUP(OP!$C$55,PVFB,$S969+2,0))</f>
        <v>0</v>
      </c>
      <c r="X969" s="473" t="str">
        <f t="shared" ca="1" si="614"/>
        <v/>
      </c>
      <c r="Y969" s="348">
        <f t="shared" ca="1" si="615"/>
        <v>0</v>
      </c>
      <c r="Z969" s="348">
        <f t="shared" ca="1" si="616"/>
        <v>8012</v>
      </c>
      <c r="AA969" s="348">
        <f ca="1">IF(Q969&lt;&gt;1,0,VLOOKUP(OP!$C$55,PVFB,$S969+2,0))</f>
        <v>0</v>
      </c>
      <c r="AB969" s="488" t="str">
        <f ca="1">IF(AND(S969&lt;OP!$C$24,$U969&lt;15),0,IF(AND($U969&lt;15,$T969=12),ROUND(VLOOKUP($S969,DOWN16,5,0),3),IF($T969=12,ROUND(($Z969/10000)*$AA969,3)+IF(AND($P$7="購買增額繳清保險",T969=12,U969=110),VLOOKUP(S969,$B$10:$H$121,7,0),0),"")))</f>
        <v/>
      </c>
      <c r="AC969" s="350" t="str">
        <f ca="1">IF(AND(S969&lt;OP!$C$24,$U969&lt;15),0,IF(AND($U969&lt;16,$T969=12),VLOOKUP($S969,DOWN16,4,0),IF($T969=12,ROUND(VLOOKUP(OP!$C$55,_DIE2,$S969+1,0)*(Z969/10000),0)+IF(AND($P$7="購買增額繳清保險",T969=12,U969=110),VLOOKUP(S969,$B$10:$H$121,7,0),0),"")))</f>
        <v/>
      </c>
      <c r="AD969" s="347"/>
      <c r="AE969" s="350" t="str">
        <f t="shared" ref="AE969:AE1032" ca="1" si="625">IF(AND($U$9&lt;16,$T969=12),VLOOKUP($S969,DOWN16,4,0),"")</f>
        <v/>
      </c>
      <c r="AF969" s="351" t="str">
        <f t="shared" ref="AF969:AF1032" ca="1" si="626">IF(AND($U$9&lt;16,$T969=12),VLOOKUP($S969,DOWN16,5,0),"")</f>
        <v/>
      </c>
      <c r="AG969" s="340"/>
      <c r="AH969" s="340"/>
      <c r="AI969" s="340"/>
      <c r="AJ969" s="340"/>
      <c r="AK969" s="340"/>
      <c r="AL969" s="340"/>
      <c r="AM969" s="340"/>
      <c r="AN969" s="340"/>
      <c r="AO969" s="340"/>
      <c r="AP969" s="340"/>
      <c r="AQ969" s="340"/>
      <c r="AR969" s="340"/>
      <c r="AS969" s="340"/>
      <c r="AT969" s="340"/>
      <c r="AU969" s="340"/>
      <c r="AV969" s="340"/>
      <c r="AY969" s="340"/>
      <c r="AZ969" s="465">
        <f t="shared" ca="1" si="602"/>
        <v>7.3698599999999999E-5</v>
      </c>
      <c r="BA969" s="464">
        <f t="shared" ca="1" si="603"/>
        <v>0</v>
      </c>
      <c r="BB969" s="465">
        <f t="shared" ca="1" si="603"/>
        <v>7.3698599999999999E-5</v>
      </c>
      <c r="BC969" s="466">
        <f t="shared" ca="1" si="604"/>
        <v>72107</v>
      </c>
      <c r="BD969" s="467">
        <f t="shared" ca="1" si="617"/>
        <v>72108</v>
      </c>
      <c r="BE969" s="467">
        <f t="shared" ca="1" si="605"/>
        <v>72136</v>
      </c>
      <c r="BF969" s="468">
        <f ca="1">IF(計算!$BC969&lt;OP!$C$3,0,BD969-BC969)</f>
        <v>1</v>
      </c>
      <c r="BG969" s="468">
        <f ca="1">IF($BE969&gt;DATE(YEAR($BD$9)+OP!$C$57,MONTH($BD$9),DAY($BD$9)),0,$BE969-$BD969+1)</f>
        <v>0</v>
      </c>
      <c r="BH969" s="469">
        <f t="shared" ca="1" si="606"/>
        <v>1</v>
      </c>
      <c r="BI969">
        <f t="shared" ca="1" si="622"/>
        <v>365</v>
      </c>
      <c r="BJ969">
        <v>12</v>
      </c>
      <c r="BN969" s="468">
        <f t="shared" si="618"/>
        <v>80</v>
      </c>
      <c r="BO969" s="468">
        <f t="shared" si="619"/>
        <v>12</v>
      </c>
      <c r="BP969" s="467">
        <f t="shared" ca="1" si="607"/>
        <v>72108</v>
      </c>
      <c r="BQ969" s="475">
        <f t="shared" ca="1" si="621"/>
        <v>112</v>
      </c>
      <c r="BR969" s="475">
        <f t="shared" si="620"/>
        <v>80</v>
      </c>
      <c r="BS969" s="471">
        <f t="shared" ca="1" si="608"/>
        <v>0</v>
      </c>
      <c r="BT969" s="472">
        <f t="shared" ca="1" si="623"/>
        <v>2760628</v>
      </c>
      <c r="BU969" s="472">
        <f t="shared" ca="1" si="609"/>
        <v>0</v>
      </c>
      <c r="BV969" s="472">
        <f t="shared" ca="1" si="609"/>
        <v>0</v>
      </c>
      <c r="BW969" s="472">
        <f ca="1">ROUND(SUM(BY969,BZ957:BZ968),0)</f>
        <v>2440</v>
      </c>
      <c r="BX969" s="473">
        <f t="shared" ca="1" si="610"/>
        <v>2760629.16457495</v>
      </c>
      <c r="BY969" s="473">
        <f t="shared" ca="1" si="611"/>
        <v>203.43951134100001</v>
      </c>
      <c r="BZ969" s="473">
        <f t="shared" ref="BZ969:BZ1032" ca="1" si="627">ROUND(BX969*IF(BO969=12,$BA969,$BB969),$CB$6)</f>
        <v>0</v>
      </c>
      <c r="CA969" s="476">
        <f t="shared" ca="1" si="612"/>
        <v>0</v>
      </c>
      <c r="CB969" s="494">
        <f ca="1">IF(OR($Q968&lt;&gt;1,OP!$D$5+$BN969-1&lt;16,$BN969-1&lt;1),0,ROUND(ROUND(ROUND(((VLOOKUP($BN969-1,MORE_PV,5,0)/10000)*VLOOKUP($BN969,MORE_PV,$CB$5,0)),3)*VLOOKUP($BN969,more1,5,0),0)/$R968,0))</f>
        <v>0</v>
      </c>
      <c r="CC969" s="473">
        <f t="shared" ca="1" si="613"/>
        <v>0</v>
      </c>
      <c r="CD969" s="477"/>
    </row>
    <row r="970" spans="2:82" ht="16.5" hidden="1">
      <c r="B970" s="80"/>
      <c r="C970" s="80"/>
      <c r="D970" s="80"/>
      <c r="E970" s="80"/>
      <c r="F970" s="80"/>
      <c r="G970" s="80"/>
      <c r="H970" s="80"/>
      <c r="I970" s="80"/>
      <c r="J970" s="192">
        <f t="shared" ref="J970:J1033" si="628">IF(K969=12,J969+1,J969)</f>
        <v>81</v>
      </c>
      <c r="K970" s="192">
        <f t="shared" ref="K970:K1033" si="629">IF(K969=12,1,K969+1)</f>
        <v>2</v>
      </c>
      <c r="L970" s="192" t="str">
        <f t="shared" si="624"/>
        <v/>
      </c>
      <c r="M970" s="216" t="str">
        <f t="shared" ref="M970:M1033" ca="1" si="630">IF($Q970=1,VLOOKUP(L970,$BR$9:$BT$1341,3,0),0)</f>
        <v/>
      </c>
      <c r="N970" s="216"/>
      <c r="O970" s="216"/>
      <c r="P970" s="216"/>
      <c r="Q970" s="456">
        <f t="shared" ref="Q970:Q1033" ca="1" si="631">IF(OR($U970&gt;=$I$5,AND($G$5=1,$K970=12),AND($G$5=2,OR($K970=6,$K970=12)),AND($G$5=4,OR($K970=3,$K970=6,$K970=9,$K970=12)),$G$5=12),1,"")</f>
        <v>1</v>
      </c>
      <c r="R970" s="450">
        <f t="shared" ref="R970:R1033" ca="1" si="632">IF($U970&lt;$I$5,$G$5,$I$6)</f>
        <v>12</v>
      </c>
      <c r="S970" s="191">
        <f t="shared" ref="S970:S1033" si="633">IF(T969=12,S969+1,S969)</f>
        <v>81</v>
      </c>
      <c r="T970" s="191">
        <f t="shared" ref="T970:T1033" si="634">IF(T969=12,1,T969+1)</f>
        <v>2</v>
      </c>
      <c r="U970" s="191">
        <f ca="1">OP!$D$5+$S970-1</f>
        <v>113</v>
      </c>
      <c r="V970" s="191" t="str">
        <f t="shared" ref="V970:V1033" si="635">IF($T970=12,$S970,"")</f>
        <v/>
      </c>
      <c r="W970" s="350">
        <f ca="1">IF(Q970&lt;&gt;1,0,VLOOKUP(OP!$C$55,PVFB,$S970+2,0))</f>
        <v>0</v>
      </c>
      <c r="X970" s="473" t="str">
        <f t="shared" ca="1" si="614"/>
        <v/>
      </c>
      <c r="Y970" s="348">
        <f t="shared" ca="1" si="615"/>
        <v>0</v>
      </c>
      <c r="Z970" s="348">
        <f t="shared" ca="1" si="616"/>
        <v>8012</v>
      </c>
      <c r="AA970" s="348">
        <f ca="1">IF(Q970&lt;&gt;1,0,VLOOKUP(OP!$C$55,PVFB,$S970+2,0))</f>
        <v>0</v>
      </c>
      <c r="AB970" s="488" t="str">
        <f ca="1">IF(AND(S970&lt;OP!$C$24,$U970&lt;15),0,IF(AND($U970&lt;15,$T970=12),ROUND(VLOOKUP($S970,DOWN16,5,0),3),IF($T970=12,ROUND(($Z970/10000)*$AA970,3)+IF(AND($P$7="購買增額繳清保險",T970=12,U970=110),VLOOKUP(S970,$B$10:$H$121,7,0),0),"")))</f>
        <v/>
      </c>
      <c r="AC970" s="350" t="str">
        <f ca="1">IF(AND(S970&lt;OP!$C$24,$U970&lt;15),0,IF(AND($U970&lt;16,$T970=12),VLOOKUP($S970,DOWN16,4,0),IF($T970=12,ROUND(VLOOKUP(OP!$C$55,_DIE2,$S970+1,0)*(Z970/10000),0)+IF(AND($P$7="購買增額繳清保險",T970=12,U970=110),VLOOKUP(S970,$B$10:$H$121,7,0),0),"")))</f>
        <v/>
      </c>
      <c r="AD970" s="347"/>
      <c r="AE970" s="350" t="str">
        <f t="shared" ca="1" si="625"/>
        <v/>
      </c>
      <c r="AF970" s="351" t="str">
        <f t="shared" ca="1" si="626"/>
        <v/>
      </c>
      <c r="AG970" s="340"/>
      <c r="AH970" s="340"/>
      <c r="AI970" s="340"/>
      <c r="AJ970" s="340"/>
      <c r="AK970" s="340"/>
      <c r="AL970" s="340"/>
      <c r="AM970" s="340"/>
      <c r="AN970" s="340"/>
      <c r="AO970" s="340"/>
      <c r="AP970" s="340"/>
      <c r="AQ970" s="340"/>
      <c r="AR970" s="340"/>
      <c r="AS970" s="340"/>
      <c r="AT970" s="340"/>
      <c r="AU970" s="340"/>
      <c r="AV970" s="340"/>
      <c r="AY970" s="340"/>
      <c r="AZ970" s="465">
        <f t="shared" ref="AZ970:AZ1033" ca="1" si="636">ROUND(($G$3*BF970/365),10)</f>
        <v>7.3698599999999999E-5</v>
      </c>
      <c r="BA970" s="464">
        <f t="shared" ref="BA970:BB1033" ca="1" si="637">ROUND(($G$3*BG970/365),10)</f>
        <v>0</v>
      </c>
      <c r="BB970" s="465">
        <f t="shared" ca="1" si="637"/>
        <v>7.3698599999999999E-5</v>
      </c>
      <c r="BC970" s="466">
        <f t="shared" ref="BC970:BC1033" ca="1" si="638">DATE(YEAR(BD970),MONTH(BD970),1)</f>
        <v>72137</v>
      </c>
      <c r="BD970" s="467">
        <f t="shared" ca="1" si="617"/>
        <v>72138</v>
      </c>
      <c r="BE970" s="467">
        <f t="shared" ref="BE970:BE1033" ca="1" si="639">DATE(YEAR(BD970),MONTH(BD970),DAY(DATE(YEAR(BD970),MONTH(BD970)+1,0)))</f>
        <v>72167</v>
      </c>
      <c r="BF970" s="468">
        <f ca="1">IF(計算!$BC970&lt;OP!$C$3,0,BD970-BC970)</f>
        <v>1</v>
      </c>
      <c r="BG970" s="468">
        <f ca="1">IF($BE970&gt;DATE(YEAR($BD$9)+OP!$C$57,MONTH($BD$9),DAY($BD$9)),0,$BE970-$BD970+1)</f>
        <v>0</v>
      </c>
      <c r="BH970" s="469">
        <f t="shared" ref="BH970:BH1033" ca="1" si="640">BF970+BG970</f>
        <v>1</v>
      </c>
      <c r="BI970" t="str">
        <f t="shared" si="622"/>
        <v/>
      </c>
      <c r="BJ970">
        <v>1</v>
      </c>
      <c r="BN970" s="468">
        <f t="shared" si="618"/>
        <v>81</v>
      </c>
      <c r="BO970" s="468">
        <f t="shared" si="619"/>
        <v>1</v>
      </c>
      <c r="BP970" s="467">
        <f t="shared" ref="BP970:BP1033" ca="1" si="641">BD970</f>
        <v>72138</v>
      </c>
      <c r="BQ970" s="475">
        <f t="shared" ca="1" si="621"/>
        <v>113</v>
      </c>
      <c r="BR970" s="475" t="str">
        <f t="shared" si="620"/>
        <v/>
      </c>
      <c r="BS970" s="471" t="str">
        <f t="shared" ref="BS970:BS1033" si="642">IF(BW970&lt;&gt;"",ROUND(BU970,0)+ROUND(BV970,0),"")</f>
        <v/>
      </c>
      <c r="BT970" s="472" t="str">
        <f t="shared" si="623"/>
        <v/>
      </c>
      <c r="BU970" s="472">
        <f t="shared" ref="BU970:BV1033" ca="1" si="643">ROUND(CA970,0)</f>
        <v>0</v>
      </c>
      <c r="BV970" s="472">
        <f t="shared" ca="1" si="643"/>
        <v>0</v>
      </c>
      <c r="BW970" s="472"/>
      <c r="BX970" s="473">
        <f t="shared" ref="BX970:BX1033" ca="1" si="644">IF(BN970&lt;=$P$4,0,ROUNDDOWN(IF($Q969=1,CA970+CB970-CC970,0)+BX969+BY970+BZ969,VLOOKUP(LEN(ROUNDDOWN(IF($Q969=1,CA970+CB970-CC970,0)+BX969+BY970+BZ969,0)),$BK$9:$BL$24,2,0)))</f>
        <v>2760629.16457495</v>
      </c>
      <c r="BY970" s="473">
        <f t="shared" ref="BY970:BY1033" si="645">IF(BO970=12,ROUND((BX969+BZ969)*$AZ970,$CB$6),0)</f>
        <v>0</v>
      </c>
      <c r="BZ970" s="473">
        <f t="shared" ca="1" si="627"/>
        <v>203.45450454799999</v>
      </c>
      <c r="CA970" s="476">
        <f t="shared" ref="CA970:CA1033" ca="1" si="646">IF($Q969=1,ROUND(VLOOKUP($BN970,more1,3,0)*VLOOKUP($BN970,more1,5,0)/$R969,0),0)</f>
        <v>0</v>
      </c>
      <c r="CB970" s="494">
        <f ca="1">IF(OR($Q969&lt;&gt;1,OP!$D$5+$BN970-1&lt;16,$BN970-1&lt;1),0,ROUND(ROUND(ROUND(((VLOOKUP($BN970-1,MORE_PV,5,0)/10000)*VLOOKUP($BN970,MORE_PV,$CB$5,0)),3)*VLOOKUP($BN970,more1,5,0),0)/$R969,0))</f>
        <v>0</v>
      </c>
      <c r="CC970" s="473">
        <f t="shared" ref="CC970:CC1033" ca="1" si="647">IF(AND($BN970=$P$4,$BO970=12),$CA970+$CB970,IF(AND($BN970&gt;$P$4,$Q969=1,$G$6="現金給付",$CA970+$CB970&gt;=$P$3),$CA970+$CB970,0))</f>
        <v>0</v>
      </c>
      <c r="CD970" s="477"/>
    </row>
    <row r="971" spans="2:82" ht="16.5" hidden="1">
      <c r="B971" s="80"/>
      <c r="C971" s="80"/>
      <c r="D971" s="80"/>
      <c r="E971" s="80"/>
      <c r="F971" s="80"/>
      <c r="G971" s="80"/>
      <c r="H971" s="80"/>
      <c r="I971" s="80"/>
      <c r="J971" s="192">
        <f t="shared" si="628"/>
        <v>81</v>
      </c>
      <c r="K971" s="192">
        <f t="shared" si="629"/>
        <v>3</v>
      </c>
      <c r="L971" s="192" t="str">
        <f t="shared" si="624"/>
        <v/>
      </c>
      <c r="M971" s="216" t="str">
        <f t="shared" ca="1" si="630"/>
        <v/>
      </c>
      <c r="N971" s="216"/>
      <c r="O971" s="216"/>
      <c r="P971" s="216"/>
      <c r="Q971" s="456">
        <f t="shared" ca="1" si="631"/>
        <v>1</v>
      </c>
      <c r="R971" s="450">
        <f t="shared" ca="1" si="632"/>
        <v>12</v>
      </c>
      <c r="S971" s="191">
        <f t="shared" si="633"/>
        <v>81</v>
      </c>
      <c r="T971" s="191">
        <f t="shared" si="634"/>
        <v>3</v>
      </c>
      <c r="U971" s="191">
        <f ca="1">OP!$D$5+$S971-1</f>
        <v>113</v>
      </c>
      <c r="V971" s="191" t="str">
        <f t="shared" si="635"/>
        <v/>
      </c>
      <c r="W971" s="350">
        <f ca="1">IF(Q971&lt;&gt;1,0,VLOOKUP(OP!$C$55,PVFB,$S971+2,0))</f>
        <v>0</v>
      </c>
      <c r="X971" s="473" t="str">
        <f t="shared" ref="X971:X1034" ca="1" si="648">IF(AND($U971=15,$T971=12),$CO972,IF(AND($U971&gt;15,$S971&lt;=$P$4,$T971=12),($BS972)*$R971,IF($Q971=1,($BS972),0)))</f>
        <v/>
      </c>
      <c r="Y971" s="348">
        <f t="shared" ref="Y971:Y1034" ca="1" si="649">IF(AND($P$7="購買增額繳清保險",U971&gt;=110),0,IF(AND($U971=15,$W971&lt;&gt;0,$T971=12),ROUND(($X971)/($W971/10000),0),IF(AND($S971&lt;=$P$4,$W971&lt;&gt;0,$T971=12,$U971&gt;15),ROUND(($X971)/($W971/10000),0),0)))</f>
        <v>0</v>
      </c>
      <c r="Z971" s="348">
        <f t="shared" ref="Z971:Z1034" ca="1" si="650">Z970+Y971</f>
        <v>8012</v>
      </c>
      <c r="AA971" s="348">
        <f ca="1">IF(Q971&lt;&gt;1,0,VLOOKUP(OP!$C$55,PVFB,$S971+2,0))</f>
        <v>0</v>
      </c>
      <c r="AB971" s="488" t="str">
        <f ca="1">IF(AND(S971&lt;OP!$C$24,$U971&lt;15),0,IF(AND($U971&lt;15,$T971=12),ROUND(VLOOKUP($S971,DOWN16,5,0),3),IF($T971=12,ROUND(($Z971/10000)*$AA971,3)+IF(AND($P$7="購買增額繳清保險",T971=12,U971=110),VLOOKUP(S971,$B$10:$H$121,7,0),0),"")))</f>
        <v/>
      </c>
      <c r="AC971" s="350" t="str">
        <f ca="1">IF(AND(S971&lt;OP!$C$24,$U971&lt;15),0,IF(AND($U971&lt;16,$T971=12),VLOOKUP($S971,DOWN16,4,0),IF($T971=12,ROUND(VLOOKUP(OP!$C$55,_DIE2,$S971+1,0)*(Z971/10000),0)+IF(AND($P$7="購買增額繳清保險",T971=12,U971=110),VLOOKUP(S971,$B$10:$H$121,7,0),0),"")))</f>
        <v/>
      </c>
      <c r="AD971" s="347"/>
      <c r="AE971" s="350" t="str">
        <f t="shared" ca="1" si="625"/>
        <v/>
      </c>
      <c r="AF971" s="351" t="str">
        <f t="shared" ca="1" si="626"/>
        <v/>
      </c>
      <c r="AG971" s="340"/>
      <c r="AH971" s="340"/>
      <c r="AI971" s="340"/>
      <c r="AJ971" s="340"/>
      <c r="AK971" s="340"/>
      <c r="AL971" s="340"/>
      <c r="AM971" s="340"/>
      <c r="AN971" s="340"/>
      <c r="AO971" s="340"/>
      <c r="AP971" s="340"/>
      <c r="AQ971" s="340"/>
      <c r="AR971" s="340"/>
      <c r="AS971" s="340"/>
      <c r="AT971" s="340"/>
      <c r="AU971" s="340"/>
      <c r="AV971" s="340"/>
      <c r="AY971" s="340"/>
      <c r="AZ971" s="465">
        <f t="shared" ca="1" si="636"/>
        <v>7.3698599999999999E-5</v>
      </c>
      <c r="BA971" s="464">
        <f t="shared" ca="1" si="637"/>
        <v>0</v>
      </c>
      <c r="BB971" s="465">
        <f t="shared" ca="1" si="637"/>
        <v>7.3698599999999999E-5</v>
      </c>
      <c r="BC971" s="466">
        <f t="shared" ca="1" si="638"/>
        <v>72168</v>
      </c>
      <c r="BD971" s="467">
        <f t="shared" ref="BD971:BD1034" ca="1" si="651">DATE(YEAR(BD970),MONTH(BD970)+1,MIN(DAY($BD$9),DAY(DATE(YEAR(BD970),MONTH(BD970)+2,0))))</f>
        <v>72169</v>
      </c>
      <c r="BE971" s="467">
        <f t="shared" ca="1" si="639"/>
        <v>72198</v>
      </c>
      <c r="BF971" s="468">
        <f ca="1">IF(計算!$BC971&lt;OP!$C$3,0,BD971-BC971)</f>
        <v>1</v>
      </c>
      <c r="BG971" s="468">
        <f ca="1">IF($BE971&gt;DATE(YEAR($BD$9)+OP!$C$57,MONTH($BD$9),DAY($BD$9)),0,$BE971-$BD971+1)</f>
        <v>0</v>
      </c>
      <c r="BH971" s="469">
        <f t="shared" ca="1" si="640"/>
        <v>1</v>
      </c>
      <c r="BI971" t="str">
        <f t="shared" si="622"/>
        <v/>
      </c>
      <c r="BJ971">
        <v>2</v>
      </c>
      <c r="BN971" s="468">
        <f t="shared" ref="BN971:BN1034" si="652">IF(BO970=12,BN970+1,BN970)</f>
        <v>81</v>
      </c>
      <c r="BO971" s="468">
        <f t="shared" ref="BO971:BO1034" si="653">IF(BO970=12,1,BO970+1)</f>
        <v>2</v>
      </c>
      <c r="BP971" s="467">
        <f t="shared" ca="1" si="641"/>
        <v>72169</v>
      </c>
      <c r="BQ971" s="475">
        <f t="shared" ca="1" si="621"/>
        <v>113</v>
      </c>
      <c r="BR971" s="475" t="str">
        <f t="shared" ref="BR971:BR1034" si="654">IF(BO971=12,BN971,"")</f>
        <v/>
      </c>
      <c r="BS971" s="471" t="str">
        <f t="shared" si="642"/>
        <v/>
      </c>
      <c r="BT971" s="472" t="str">
        <f t="shared" si="623"/>
        <v/>
      </c>
      <c r="BU971" s="472">
        <f t="shared" ca="1" si="643"/>
        <v>0</v>
      </c>
      <c r="BV971" s="472">
        <f t="shared" ca="1" si="643"/>
        <v>0</v>
      </c>
      <c r="BW971" s="472"/>
      <c r="BX971" s="473">
        <f t="shared" ca="1" si="644"/>
        <v>2760832.6190795</v>
      </c>
      <c r="BY971" s="473">
        <f t="shared" si="645"/>
        <v>0</v>
      </c>
      <c r="BZ971" s="473">
        <f t="shared" ca="1" si="627"/>
        <v>203.46949885999999</v>
      </c>
      <c r="CA971" s="476">
        <f t="shared" ca="1" si="646"/>
        <v>0</v>
      </c>
      <c r="CB971" s="494">
        <f ca="1">IF(OR($Q970&lt;&gt;1,OP!$D$5+$BN971-1&lt;16,$BN971-1&lt;1),0,ROUND(ROUND(ROUND(((VLOOKUP($BN971-1,MORE_PV,5,0)/10000)*VLOOKUP($BN971,MORE_PV,$CB$5,0)),3)*VLOOKUP($BN971,more1,5,0),0)/$R970,0))</f>
        <v>0</v>
      </c>
      <c r="CC971" s="473">
        <f t="shared" ca="1" si="647"/>
        <v>0</v>
      </c>
      <c r="CD971" s="477"/>
    </row>
    <row r="972" spans="2:82" ht="16.5" hidden="1">
      <c r="B972" s="80"/>
      <c r="C972" s="80"/>
      <c r="D972" s="80"/>
      <c r="E972" s="80"/>
      <c r="F972" s="80"/>
      <c r="G972" s="80"/>
      <c r="H972" s="80"/>
      <c r="I972" s="80"/>
      <c r="J972" s="192">
        <f t="shared" si="628"/>
        <v>81</v>
      </c>
      <c r="K972" s="192">
        <f t="shared" si="629"/>
        <v>4</v>
      </c>
      <c r="L972" s="192" t="str">
        <f t="shared" si="624"/>
        <v/>
      </c>
      <c r="M972" s="216" t="str">
        <f t="shared" ca="1" si="630"/>
        <v/>
      </c>
      <c r="N972" s="216"/>
      <c r="O972" s="216"/>
      <c r="P972" s="216"/>
      <c r="Q972" s="456">
        <f t="shared" ca="1" si="631"/>
        <v>1</v>
      </c>
      <c r="R972" s="450">
        <f t="shared" ca="1" si="632"/>
        <v>12</v>
      </c>
      <c r="S972" s="191">
        <f t="shared" si="633"/>
        <v>81</v>
      </c>
      <c r="T972" s="191">
        <f t="shared" si="634"/>
        <v>4</v>
      </c>
      <c r="U972" s="191">
        <f ca="1">OP!$D$5+$S972-1</f>
        <v>113</v>
      </c>
      <c r="V972" s="191" t="str">
        <f t="shared" si="635"/>
        <v/>
      </c>
      <c r="W972" s="350">
        <f ca="1">IF(Q972&lt;&gt;1,0,VLOOKUP(OP!$C$55,PVFB,$S972+2,0))</f>
        <v>0</v>
      </c>
      <c r="X972" s="473" t="str">
        <f t="shared" ca="1" si="648"/>
        <v/>
      </c>
      <c r="Y972" s="348">
        <f t="shared" ca="1" si="649"/>
        <v>0</v>
      </c>
      <c r="Z972" s="348">
        <f t="shared" ca="1" si="650"/>
        <v>8012</v>
      </c>
      <c r="AA972" s="348">
        <f ca="1">IF(Q972&lt;&gt;1,0,VLOOKUP(OP!$C$55,PVFB,$S972+2,0))</f>
        <v>0</v>
      </c>
      <c r="AB972" s="488" t="str">
        <f ca="1">IF(AND(S972&lt;OP!$C$24,$U972&lt;15),0,IF(AND($U972&lt;15,$T972=12),ROUND(VLOOKUP($S972,DOWN16,5,0),3),IF($T972=12,ROUND(($Z972/10000)*$AA972,3)+IF(AND($P$7="購買增額繳清保險",T972=12,U972=110),VLOOKUP(S972,$B$10:$H$121,7,0),0),"")))</f>
        <v/>
      </c>
      <c r="AC972" s="350" t="str">
        <f ca="1">IF(AND(S972&lt;OP!$C$24,$U972&lt;15),0,IF(AND($U972&lt;16,$T972=12),VLOOKUP($S972,DOWN16,4,0),IF($T972=12,ROUND(VLOOKUP(OP!$C$55,_DIE2,$S972+1,0)*(Z972/10000),0)+IF(AND($P$7="購買增額繳清保險",T972=12,U972=110),VLOOKUP(S972,$B$10:$H$121,7,0),0),"")))</f>
        <v/>
      </c>
      <c r="AD972" s="347"/>
      <c r="AE972" s="350" t="str">
        <f t="shared" ca="1" si="625"/>
        <v/>
      </c>
      <c r="AF972" s="351" t="str">
        <f t="shared" ca="1" si="626"/>
        <v/>
      </c>
      <c r="AG972" s="340"/>
      <c r="AH972" s="340"/>
      <c r="AI972" s="340"/>
      <c r="AJ972" s="340"/>
      <c r="AK972" s="340"/>
      <c r="AL972" s="340"/>
      <c r="AM972" s="340"/>
      <c r="AN972" s="340"/>
      <c r="AO972" s="340"/>
      <c r="AP972" s="340"/>
      <c r="AQ972" s="340"/>
      <c r="AR972" s="340"/>
      <c r="AS972" s="340"/>
      <c r="AT972" s="340"/>
      <c r="AU972" s="340"/>
      <c r="AV972" s="340"/>
      <c r="AY972" s="340"/>
      <c r="AZ972" s="465">
        <f t="shared" ca="1" si="636"/>
        <v>7.3698599999999999E-5</v>
      </c>
      <c r="BA972" s="464">
        <f t="shared" ca="1" si="637"/>
        <v>0</v>
      </c>
      <c r="BB972" s="465">
        <f t="shared" ca="1" si="637"/>
        <v>7.3698599999999999E-5</v>
      </c>
      <c r="BC972" s="466">
        <f t="shared" ca="1" si="638"/>
        <v>72199</v>
      </c>
      <c r="BD972" s="467">
        <f t="shared" ca="1" si="651"/>
        <v>72200</v>
      </c>
      <c r="BE972" s="467">
        <f t="shared" ca="1" si="639"/>
        <v>72228</v>
      </c>
      <c r="BF972" s="468">
        <f ca="1">IF(計算!$BC972&lt;OP!$C$3,0,BD972-BC972)</f>
        <v>1</v>
      </c>
      <c r="BG972" s="468">
        <f ca="1">IF($BE972&gt;DATE(YEAR($BD$9)+OP!$C$57,MONTH($BD$9),DAY($BD$9)),0,$BE972-$BD972+1)</f>
        <v>0</v>
      </c>
      <c r="BH972" s="469">
        <f t="shared" ca="1" si="640"/>
        <v>1</v>
      </c>
      <c r="BI972" t="str">
        <f t="shared" si="622"/>
        <v/>
      </c>
      <c r="BJ972">
        <v>3</v>
      </c>
      <c r="BN972" s="468">
        <f t="shared" si="652"/>
        <v>81</v>
      </c>
      <c r="BO972" s="468">
        <f t="shared" si="653"/>
        <v>3</v>
      </c>
      <c r="BP972" s="467">
        <f t="shared" ca="1" si="641"/>
        <v>72200</v>
      </c>
      <c r="BQ972" s="475">
        <f t="shared" ref="BQ972:BQ1035" ca="1" si="655">IF(BO971=12,BQ971+1,BQ971)</f>
        <v>113</v>
      </c>
      <c r="BR972" s="475" t="str">
        <f t="shared" si="654"/>
        <v/>
      </c>
      <c r="BS972" s="471" t="str">
        <f t="shared" si="642"/>
        <v/>
      </c>
      <c r="BT972" s="472" t="str">
        <f t="shared" si="623"/>
        <v/>
      </c>
      <c r="BU972" s="472">
        <f t="shared" ca="1" si="643"/>
        <v>0</v>
      </c>
      <c r="BV972" s="472">
        <f t="shared" ca="1" si="643"/>
        <v>0</v>
      </c>
      <c r="BW972" s="472"/>
      <c r="BX972" s="473">
        <f t="shared" ca="1" si="644"/>
        <v>2761036.0885783602</v>
      </c>
      <c r="BY972" s="473">
        <f t="shared" si="645"/>
        <v>0</v>
      </c>
      <c r="BZ972" s="473">
        <f t="shared" ca="1" si="627"/>
        <v>203.484494278</v>
      </c>
      <c r="CA972" s="476">
        <f t="shared" ca="1" si="646"/>
        <v>0</v>
      </c>
      <c r="CB972" s="494">
        <f ca="1">IF(OR($Q971&lt;&gt;1,OP!$D$5+$BN972-1&lt;16,$BN972-1&lt;1),0,ROUND(ROUND(ROUND(((VLOOKUP($BN972-1,MORE_PV,5,0)/10000)*VLOOKUP($BN972,MORE_PV,$CB$5,0)),3)*VLOOKUP($BN972,more1,5,0),0)/$R971,0))</f>
        <v>0</v>
      </c>
      <c r="CC972" s="473">
        <f t="shared" ca="1" si="647"/>
        <v>0</v>
      </c>
      <c r="CD972" s="477"/>
    </row>
    <row r="973" spans="2:82" ht="16.5" hidden="1">
      <c r="B973" s="80"/>
      <c r="C973" s="80"/>
      <c r="D973" s="80"/>
      <c r="E973" s="80"/>
      <c r="F973" s="80"/>
      <c r="G973" s="80"/>
      <c r="H973" s="80"/>
      <c r="I973" s="80"/>
      <c r="J973" s="192">
        <f t="shared" si="628"/>
        <v>81</v>
      </c>
      <c r="K973" s="192">
        <f t="shared" si="629"/>
        <v>5</v>
      </c>
      <c r="L973" s="192" t="str">
        <f t="shared" si="624"/>
        <v/>
      </c>
      <c r="M973" s="216" t="str">
        <f t="shared" ca="1" si="630"/>
        <v/>
      </c>
      <c r="N973" s="216"/>
      <c r="O973" s="216"/>
      <c r="P973" s="216"/>
      <c r="Q973" s="456">
        <f t="shared" ca="1" si="631"/>
        <v>1</v>
      </c>
      <c r="R973" s="450">
        <f t="shared" ca="1" si="632"/>
        <v>12</v>
      </c>
      <c r="S973" s="191">
        <f t="shared" si="633"/>
        <v>81</v>
      </c>
      <c r="T973" s="191">
        <f t="shared" si="634"/>
        <v>5</v>
      </c>
      <c r="U973" s="191">
        <f ca="1">OP!$D$5+$S973-1</f>
        <v>113</v>
      </c>
      <c r="V973" s="191" t="str">
        <f t="shared" si="635"/>
        <v/>
      </c>
      <c r="W973" s="350">
        <f ca="1">IF(Q973&lt;&gt;1,0,VLOOKUP(OP!$C$55,PVFB,$S973+2,0))</f>
        <v>0</v>
      </c>
      <c r="X973" s="473" t="str">
        <f t="shared" ca="1" si="648"/>
        <v/>
      </c>
      <c r="Y973" s="348">
        <f t="shared" ca="1" si="649"/>
        <v>0</v>
      </c>
      <c r="Z973" s="348">
        <f t="shared" ca="1" si="650"/>
        <v>8012</v>
      </c>
      <c r="AA973" s="348">
        <f ca="1">IF(Q973&lt;&gt;1,0,VLOOKUP(OP!$C$55,PVFB,$S973+2,0))</f>
        <v>0</v>
      </c>
      <c r="AB973" s="488" t="str">
        <f ca="1">IF(AND(S973&lt;OP!$C$24,$U973&lt;15),0,IF(AND($U973&lt;15,$T973=12),ROUND(VLOOKUP($S973,DOWN16,5,0),3),IF($T973=12,ROUND(($Z973/10000)*$AA973,3)+IF(AND($P$7="購買增額繳清保險",T973=12,U973=110),VLOOKUP(S973,$B$10:$H$121,7,0),0),"")))</f>
        <v/>
      </c>
      <c r="AC973" s="350" t="str">
        <f ca="1">IF(AND(S973&lt;OP!$C$24,$U973&lt;15),0,IF(AND($U973&lt;16,$T973=12),VLOOKUP($S973,DOWN16,4,0),IF($T973=12,ROUND(VLOOKUP(OP!$C$55,_DIE2,$S973+1,0)*(Z973/10000),0)+IF(AND($P$7="購買增額繳清保險",T973=12,U973=110),VLOOKUP(S973,$B$10:$H$121,7,0),0),"")))</f>
        <v/>
      </c>
      <c r="AD973" s="347"/>
      <c r="AE973" s="350" t="str">
        <f t="shared" ca="1" si="625"/>
        <v/>
      </c>
      <c r="AF973" s="351" t="str">
        <f t="shared" ca="1" si="626"/>
        <v/>
      </c>
      <c r="AG973" s="340"/>
      <c r="AH973" s="340"/>
      <c r="AI973" s="340"/>
      <c r="AJ973" s="340"/>
      <c r="AK973" s="340"/>
      <c r="AL973" s="340"/>
      <c r="AM973" s="340"/>
      <c r="AN973" s="340"/>
      <c r="AO973" s="340"/>
      <c r="AP973" s="340"/>
      <c r="AQ973" s="340"/>
      <c r="AR973" s="340"/>
      <c r="AS973" s="340"/>
      <c r="AT973" s="340"/>
      <c r="AU973" s="340"/>
      <c r="AV973" s="340"/>
      <c r="AY973" s="340"/>
      <c r="AZ973" s="465">
        <f t="shared" ca="1" si="636"/>
        <v>7.3698599999999999E-5</v>
      </c>
      <c r="BA973" s="464">
        <f t="shared" ca="1" si="637"/>
        <v>0</v>
      </c>
      <c r="BB973" s="465">
        <f t="shared" ca="1" si="637"/>
        <v>7.3698599999999999E-5</v>
      </c>
      <c r="BC973" s="466">
        <f t="shared" ca="1" si="638"/>
        <v>72229</v>
      </c>
      <c r="BD973" s="467">
        <f t="shared" ca="1" si="651"/>
        <v>72230</v>
      </c>
      <c r="BE973" s="467">
        <f t="shared" ca="1" si="639"/>
        <v>72259</v>
      </c>
      <c r="BF973" s="468">
        <f ca="1">IF(計算!$BC973&lt;OP!$C$3,0,BD973-BC973)</f>
        <v>1</v>
      </c>
      <c r="BG973" s="468">
        <f ca="1">IF($BE973&gt;DATE(YEAR($BD$9)+OP!$C$57,MONTH($BD$9),DAY($BD$9)),0,$BE973-$BD973+1)</f>
        <v>0</v>
      </c>
      <c r="BH973" s="469">
        <f t="shared" ca="1" si="640"/>
        <v>1</v>
      </c>
      <c r="BI973" t="str">
        <f t="shared" si="622"/>
        <v/>
      </c>
      <c r="BJ973">
        <v>4</v>
      </c>
      <c r="BN973" s="468">
        <f t="shared" si="652"/>
        <v>81</v>
      </c>
      <c r="BO973" s="468">
        <f t="shared" si="653"/>
        <v>4</v>
      </c>
      <c r="BP973" s="467">
        <f t="shared" ca="1" si="641"/>
        <v>72230</v>
      </c>
      <c r="BQ973" s="475">
        <f t="shared" ca="1" si="655"/>
        <v>113</v>
      </c>
      <c r="BR973" s="475" t="str">
        <f t="shared" si="654"/>
        <v/>
      </c>
      <c r="BS973" s="471" t="str">
        <f t="shared" si="642"/>
        <v/>
      </c>
      <c r="BT973" s="472" t="str">
        <f t="shared" si="623"/>
        <v/>
      </c>
      <c r="BU973" s="472">
        <f t="shared" ca="1" si="643"/>
        <v>0</v>
      </c>
      <c r="BV973" s="472">
        <f t="shared" ca="1" si="643"/>
        <v>0</v>
      </c>
      <c r="BW973" s="472"/>
      <c r="BX973" s="473">
        <f t="shared" ca="1" si="644"/>
        <v>2761239.5730726402</v>
      </c>
      <c r="BY973" s="473">
        <f t="shared" si="645"/>
        <v>0</v>
      </c>
      <c r="BZ973" s="473">
        <f t="shared" ca="1" si="627"/>
        <v>203.49949079999999</v>
      </c>
      <c r="CA973" s="476">
        <f t="shared" ca="1" si="646"/>
        <v>0</v>
      </c>
      <c r="CB973" s="494">
        <f ca="1">IF(OR($Q972&lt;&gt;1,OP!$D$5+$BN973-1&lt;16,$BN973-1&lt;1),0,ROUND(ROUND(ROUND(((VLOOKUP($BN973-1,MORE_PV,5,0)/10000)*VLOOKUP($BN973,MORE_PV,$CB$5,0)),3)*VLOOKUP($BN973,more1,5,0),0)/$R972,0))</f>
        <v>0</v>
      </c>
      <c r="CC973" s="473">
        <f t="shared" ca="1" si="647"/>
        <v>0</v>
      </c>
      <c r="CD973" s="477"/>
    </row>
    <row r="974" spans="2:82" ht="16.5" hidden="1">
      <c r="B974" s="80"/>
      <c r="C974" s="80"/>
      <c r="D974" s="80"/>
      <c r="E974" s="80"/>
      <c r="F974" s="80"/>
      <c r="G974" s="80"/>
      <c r="H974" s="80"/>
      <c r="I974" s="80"/>
      <c r="J974" s="192">
        <f t="shared" si="628"/>
        <v>81</v>
      </c>
      <c r="K974" s="192">
        <f t="shared" si="629"/>
        <v>6</v>
      </c>
      <c r="L974" s="192" t="str">
        <f t="shared" si="624"/>
        <v/>
      </c>
      <c r="M974" s="216" t="str">
        <f t="shared" ca="1" si="630"/>
        <v/>
      </c>
      <c r="N974" s="216"/>
      <c r="O974" s="216"/>
      <c r="P974" s="216"/>
      <c r="Q974" s="456">
        <f t="shared" ca="1" si="631"/>
        <v>1</v>
      </c>
      <c r="R974" s="450">
        <f t="shared" ca="1" si="632"/>
        <v>12</v>
      </c>
      <c r="S974" s="191">
        <f t="shared" si="633"/>
        <v>81</v>
      </c>
      <c r="T974" s="191">
        <f t="shared" si="634"/>
        <v>6</v>
      </c>
      <c r="U974" s="191">
        <f ca="1">OP!$D$5+$S974-1</f>
        <v>113</v>
      </c>
      <c r="V974" s="191" t="str">
        <f t="shared" si="635"/>
        <v/>
      </c>
      <c r="W974" s="350">
        <f ca="1">IF(Q974&lt;&gt;1,0,VLOOKUP(OP!$C$55,PVFB,$S974+2,0))</f>
        <v>0</v>
      </c>
      <c r="X974" s="473" t="str">
        <f t="shared" ca="1" si="648"/>
        <v/>
      </c>
      <c r="Y974" s="348">
        <f t="shared" ca="1" si="649"/>
        <v>0</v>
      </c>
      <c r="Z974" s="348">
        <f t="shared" ca="1" si="650"/>
        <v>8012</v>
      </c>
      <c r="AA974" s="348">
        <f ca="1">IF(Q974&lt;&gt;1,0,VLOOKUP(OP!$C$55,PVFB,$S974+2,0))</f>
        <v>0</v>
      </c>
      <c r="AB974" s="488" t="str">
        <f ca="1">IF(AND(S974&lt;OP!$C$24,$U974&lt;15),0,IF(AND($U974&lt;15,$T974=12),ROUND(VLOOKUP($S974,DOWN16,5,0),3),IF($T974=12,ROUND(($Z974/10000)*$AA974,3)+IF(AND($P$7="購買增額繳清保險",T974=12,U974=110),VLOOKUP(S974,$B$10:$H$121,7,0),0),"")))</f>
        <v/>
      </c>
      <c r="AC974" s="350" t="str">
        <f ca="1">IF(AND(S974&lt;OP!$C$24,$U974&lt;15),0,IF(AND($U974&lt;16,$T974=12),VLOOKUP($S974,DOWN16,4,0),IF($T974=12,ROUND(VLOOKUP(OP!$C$55,_DIE2,$S974+1,0)*(Z974/10000),0)+IF(AND($P$7="購買增額繳清保險",T974=12,U974=110),VLOOKUP(S974,$B$10:$H$121,7,0),0),"")))</f>
        <v/>
      </c>
      <c r="AD974" s="347"/>
      <c r="AE974" s="350" t="str">
        <f t="shared" ca="1" si="625"/>
        <v/>
      </c>
      <c r="AF974" s="351" t="str">
        <f t="shared" ca="1" si="626"/>
        <v/>
      </c>
      <c r="AG974" s="340"/>
      <c r="AH974" s="340"/>
      <c r="AI974" s="340"/>
      <c r="AJ974" s="340"/>
      <c r="AK974" s="340"/>
      <c r="AL974" s="340"/>
      <c r="AM974" s="340"/>
      <c r="AN974" s="340"/>
      <c r="AO974" s="340"/>
      <c r="AP974" s="340"/>
      <c r="AQ974" s="340"/>
      <c r="AR974" s="340"/>
      <c r="AS974" s="340"/>
      <c r="AT974" s="340"/>
      <c r="AU974" s="340"/>
      <c r="AV974" s="340"/>
      <c r="AY974" s="340"/>
      <c r="AZ974" s="465">
        <f t="shared" ca="1" si="636"/>
        <v>7.3698599999999999E-5</v>
      </c>
      <c r="BA974" s="464">
        <f t="shared" ca="1" si="637"/>
        <v>0</v>
      </c>
      <c r="BB974" s="465">
        <f t="shared" ca="1" si="637"/>
        <v>7.3698599999999999E-5</v>
      </c>
      <c r="BC974" s="466">
        <f t="shared" ca="1" si="638"/>
        <v>72260</v>
      </c>
      <c r="BD974" s="467">
        <f t="shared" ca="1" si="651"/>
        <v>72261</v>
      </c>
      <c r="BE974" s="467">
        <f t="shared" ca="1" si="639"/>
        <v>72289</v>
      </c>
      <c r="BF974" s="468">
        <f ca="1">IF(計算!$BC974&lt;OP!$C$3,0,BD974-BC974)</f>
        <v>1</v>
      </c>
      <c r="BG974" s="468">
        <f ca="1">IF($BE974&gt;DATE(YEAR($BD$9)+OP!$C$57,MONTH($BD$9),DAY($BD$9)),0,$BE974-$BD974+1)</f>
        <v>0</v>
      </c>
      <c r="BH974" s="469">
        <f t="shared" ca="1" si="640"/>
        <v>1</v>
      </c>
      <c r="BI974" t="str">
        <f t="shared" si="622"/>
        <v/>
      </c>
      <c r="BJ974">
        <v>5</v>
      </c>
      <c r="BN974" s="468">
        <f t="shared" si="652"/>
        <v>81</v>
      </c>
      <c r="BO974" s="468">
        <f t="shared" si="653"/>
        <v>5</v>
      </c>
      <c r="BP974" s="467">
        <f t="shared" ca="1" si="641"/>
        <v>72261</v>
      </c>
      <c r="BQ974" s="475">
        <f t="shared" ca="1" si="655"/>
        <v>113</v>
      </c>
      <c r="BR974" s="475" t="str">
        <f t="shared" si="654"/>
        <v/>
      </c>
      <c r="BS974" s="471" t="str">
        <f t="shared" si="642"/>
        <v/>
      </c>
      <c r="BT974" s="472" t="str">
        <f t="shared" si="623"/>
        <v/>
      </c>
      <c r="BU974" s="472">
        <f t="shared" ca="1" si="643"/>
        <v>0</v>
      </c>
      <c r="BV974" s="472">
        <f t="shared" ca="1" si="643"/>
        <v>0</v>
      </c>
      <c r="BW974" s="472"/>
      <c r="BX974" s="473">
        <f t="shared" ca="1" si="644"/>
        <v>2761443.0725634401</v>
      </c>
      <c r="BY974" s="473">
        <f t="shared" si="645"/>
        <v>0</v>
      </c>
      <c r="BZ974" s="473">
        <f t="shared" ca="1" si="627"/>
        <v>203.51448842799999</v>
      </c>
      <c r="CA974" s="476">
        <f t="shared" ca="1" si="646"/>
        <v>0</v>
      </c>
      <c r="CB974" s="494">
        <f ca="1">IF(OR($Q973&lt;&gt;1,OP!$D$5+$BN974-1&lt;16,$BN974-1&lt;1),0,ROUND(ROUND(ROUND(((VLOOKUP($BN974-1,MORE_PV,5,0)/10000)*VLOOKUP($BN974,MORE_PV,$CB$5,0)),3)*VLOOKUP($BN974,more1,5,0),0)/$R973,0))</f>
        <v>0</v>
      </c>
      <c r="CC974" s="473">
        <f t="shared" ca="1" si="647"/>
        <v>0</v>
      </c>
      <c r="CD974" s="477"/>
    </row>
    <row r="975" spans="2:82" ht="16.5" hidden="1">
      <c r="B975" s="80"/>
      <c r="C975" s="80"/>
      <c r="D975" s="80"/>
      <c r="E975" s="80"/>
      <c r="F975" s="80"/>
      <c r="G975" s="80"/>
      <c r="H975" s="80"/>
      <c r="I975" s="80"/>
      <c r="J975" s="192">
        <f t="shared" si="628"/>
        <v>81</v>
      </c>
      <c r="K975" s="192">
        <f t="shared" si="629"/>
        <v>7</v>
      </c>
      <c r="L975" s="192" t="str">
        <f t="shared" si="624"/>
        <v/>
      </c>
      <c r="M975" s="216" t="str">
        <f t="shared" ca="1" si="630"/>
        <v/>
      </c>
      <c r="N975" s="216"/>
      <c r="O975" s="216"/>
      <c r="P975" s="216"/>
      <c r="Q975" s="456">
        <f t="shared" ca="1" si="631"/>
        <v>1</v>
      </c>
      <c r="R975" s="450">
        <f t="shared" ca="1" si="632"/>
        <v>12</v>
      </c>
      <c r="S975" s="191">
        <f t="shared" si="633"/>
        <v>81</v>
      </c>
      <c r="T975" s="191">
        <f t="shared" si="634"/>
        <v>7</v>
      </c>
      <c r="U975" s="191">
        <f ca="1">OP!$D$5+$S975-1</f>
        <v>113</v>
      </c>
      <c r="V975" s="191" t="str">
        <f t="shared" si="635"/>
        <v/>
      </c>
      <c r="W975" s="350">
        <f ca="1">IF(Q975&lt;&gt;1,0,VLOOKUP(OP!$C$55,PVFB,$S975+2,0))</f>
        <v>0</v>
      </c>
      <c r="X975" s="473" t="str">
        <f t="shared" ca="1" si="648"/>
        <v/>
      </c>
      <c r="Y975" s="348">
        <f t="shared" ca="1" si="649"/>
        <v>0</v>
      </c>
      <c r="Z975" s="348">
        <f t="shared" ca="1" si="650"/>
        <v>8012</v>
      </c>
      <c r="AA975" s="348">
        <f ca="1">IF(Q975&lt;&gt;1,0,VLOOKUP(OP!$C$55,PVFB,$S975+2,0))</f>
        <v>0</v>
      </c>
      <c r="AB975" s="488" t="str">
        <f ca="1">IF(AND(S975&lt;OP!$C$24,$U975&lt;15),0,IF(AND($U975&lt;15,$T975=12),ROUND(VLOOKUP($S975,DOWN16,5,0),3),IF($T975=12,ROUND(($Z975/10000)*$AA975,3)+IF(AND($P$7="購買增額繳清保險",T975=12,U975=110),VLOOKUP(S975,$B$10:$H$121,7,0),0),"")))</f>
        <v/>
      </c>
      <c r="AC975" s="350" t="str">
        <f ca="1">IF(AND(S975&lt;OP!$C$24,$U975&lt;15),0,IF(AND($U975&lt;16,$T975=12),VLOOKUP($S975,DOWN16,4,0),IF($T975=12,ROUND(VLOOKUP(OP!$C$55,_DIE2,$S975+1,0)*(Z975/10000),0)+IF(AND($P$7="購買增額繳清保險",T975=12,U975=110),VLOOKUP(S975,$B$10:$H$121,7,0),0),"")))</f>
        <v/>
      </c>
      <c r="AD975" s="347"/>
      <c r="AE975" s="350" t="str">
        <f t="shared" ca="1" si="625"/>
        <v/>
      </c>
      <c r="AF975" s="351" t="str">
        <f t="shared" ca="1" si="626"/>
        <v/>
      </c>
      <c r="AG975" s="340"/>
      <c r="AH975" s="340"/>
      <c r="AI975" s="340"/>
      <c r="AJ975" s="340"/>
      <c r="AK975" s="340"/>
      <c r="AL975" s="340"/>
      <c r="AM975" s="340"/>
      <c r="AN975" s="340"/>
      <c r="AO975" s="340"/>
      <c r="AP975" s="340"/>
      <c r="AQ975" s="340"/>
      <c r="AR975" s="340"/>
      <c r="AS975" s="340"/>
      <c r="AT975" s="340"/>
      <c r="AU975" s="340"/>
      <c r="AV975" s="340"/>
      <c r="AY975" s="340"/>
      <c r="AZ975" s="465">
        <f t="shared" ca="1" si="636"/>
        <v>7.3698599999999999E-5</v>
      </c>
      <c r="BA975" s="464">
        <f t="shared" ca="1" si="637"/>
        <v>0</v>
      </c>
      <c r="BB975" s="465">
        <f t="shared" ca="1" si="637"/>
        <v>7.3698599999999999E-5</v>
      </c>
      <c r="BC975" s="466">
        <f t="shared" ca="1" si="638"/>
        <v>72290</v>
      </c>
      <c r="BD975" s="467">
        <f t="shared" ca="1" si="651"/>
        <v>72291</v>
      </c>
      <c r="BE975" s="467">
        <f t="shared" ca="1" si="639"/>
        <v>72320</v>
      </c>
      <c r="BF975" s="468">
        <f ca="1">IF(計算!$BC975&lt;OP!$C$3,0,BD975-BC975)</f>
        <v>1</v>
      </c>
      <c r="BG975" s="468">
        <f ca="1">IF($BE975&gt;DATE(YEAR($BD$9)+OP!$C$57,MONTH($BD$9),DAY($BD$9)),0,$BE975-$BD975+1)</f>
        <v>0</v>
      </c>
      <c r="BH975" s="469">
        <f t="shared" ca="1" si="640"/>
        <v>1</v>
      </c>
      <c r="BI975" t="str">
        <f t="shared" si="622"/>
        <v/>
      </c>
      <c r="BJ975">
        <v>6</v>
      </c>
      <c r="BN975" s="468">
        <f t="shared" si="652"/>
        <v>81</v>
      </c>
      <c r="BO975" s="468">
        <f t="shared" si="653"/>
        <v>6</v>
      </c>
      <c r="BP975" s="467">
        <f t="shared" ca="1" si="641"/>
        <v>72291</v>
      </c>
      <c r="BQ975" s="475">
        <f t="shared" ca="1" si="655"/>
        <v>113</v>
      </c>
      <c r="BR975" s="475" t="str">
        <f t="shared" si="654"/>
        <v/>
      </c>
      <c r="BS975" s="471" t="str">
        <f t="shared" si="642"/>
        <v/>
      </c>
      <c r="BT975" s="472" t="str">
        <f t="shared" si="623"/>
        <v/>
      </c>
      <c r="BU975" s="472">
        <f t="shared" ca="1" si="643"/>
        <v>0</v>
      </c>
      <c r="BV975" s="472">
        <f t="shared" ca="1" si="643"/>
        <v>0</v>
      </c>
      <c r="BW975" s="472"/>
      <c r="BX975" s="473">
        <f t="shared" ca="1" si="644"/>
        <v>2761646.5870518698</v>
      </c>
      <c r="BY975" s="473">
        <f t="shared" si="645"/>
        <v>0</v>
      </c>
      <c r="BZ975" s="473">
        <f t="shared" ca="1" si="627"/>
        <v>203.52948716099999</v>
      </c>
      <c r="CA975" s="476">
        <f t="shared" ca="1" si="646"/>
        <v>0</v>
      </c>
      <c r="CB975" s="494">
        <f ca="1">IF(OR($Q974&lt;&gt;1,OP!$D$5+$BN975-1&lt;16,$BN975-1&lt;1),0,ROUND(ROUND(ROUND(((VLOOKUP($BN975-1,MORE_PV,5,0)/10000)*VLOOKUP($BN975,MORE_PV,$CB$5,0)),3)*VLOOKUP($BN975,more1,5,0),0)/$R974,0))</f>
        <v>0</v>
      </c>
      <c r="CC975" s="473">
        <f t="shared" ca="1" si="647"/>
        <v>0</v>
      </c>
      <c r="CD975" s="477"/>
    </row>
    <row r="976" spans="2:82" ht="16.5" hidden="1">
      <c r="B976" s="80"/>
      <c r="C976" s="80"/>
      <c r="D976" s="80"/>
      <c r="E976" s="80"/>
      <c r="F976" s="80"/>
      <c r="G976" s="80"/>
      <c r="H976" s="80"/>
      <c r="I976" s="80"/>
      <c r="J976" s="192">
        <f t="shared" si="628"/>
        <v>81</v>
      </c>
      <c r="K976" s="192">
        <f t="shared" si="629"/>
        <v>8</v>
      </c>
      <c r="L976" s="192" t="str">
        <f t="shared" si="624"/>
        <v/>
      </c>
      <c r="M976" s="216" t="str">
        <f t="shared" ca="1" si="630"/>
        <v/>
      </c>
      <c r="N976" s="216"/>
      <c r="O976" s="216"/>
      <c r="P976" s="216"/>
      <c r="Q976" s="456">
        <f t="shared" ca="1" si="631"/>
        <v>1</v>
      </c>
      <c r="R976" s="450">
        <f t="shared" ca="1" si="632"/>
        <v>12</v>
      </c>
      <c r="S976" s="191">
        <f t="shared" si="633"/>
        <v>81</v>
      </c>
      <c r="T976" s="191">
        <f t="shared" si="634"/>
        <v>8</v>
      </c>
      <c r="U976" s="191">
        <f ca="1">OP!$D$5+$S976-1</f>
        <v>113</v>
      </c>
      <c r="V976" s="191" t="str">
        <f t="shared" si="635"/>
        <v/>
      </c>
      <c r="W976" s="350">
        <f ca="1">IF(Q976&lt;&gt;1,0,VLOOKUP(OP!$C$55,PVFB,$S976+2,0))</f>
        <v>0</v>
      </c>
      <c r="X976" s="473" t="str">
        <f t="shared" ca="1" si="648"/>
        <v/>
      </c>
      <c r="Y976" s="348">
        <f t="shared" ca="1" si="649"/>
        <v>0</v>
      </c>
      <c r="Z976" s="348">
        <f t="shared" ca="1" si="650"/>
        <v>8012</v>
      </c>
      <c r="AA976" s="348">
        <f ca="1">IF(Q976&lt;&gt;1,0,VLOOKUP(OP!$C$55,PVFB,$S976+2,0))</f>
        <v>0</v>
      </c>
      <c r="AB976" s="488" t="str">
        <f ca="1">IF(AND(S976&lt;OP!$C$24,$U976&lt;15),0,IF(AND($U976&lt;15,$T976=12),ROUND(VLOOKUP($S976,DOWN16,5,0),3),IF($T976=12,ROUND(($Z976/10000)*$AA976,3)+IF(AND($P$7="購買增額繳清保險",T976=12,U976=110),VLOOKUP(S976,$B$10:$H$121,7,0),0),"")))</f>
        <v/>
      </c>
      <c r="AC976" s="350" t="str">
        <f ca="1">IF(AND(S976&lt;OP!$C$24,$U976&lt;15),0,IF(AND($U976&lt;16,$T976=12),VLOOKUP($S976,DOWN16,4,0),IF($T976=12,ROUND(VLOOKUP(OP!$C$55,_DIE2,$S976+1,0)*(Z976/10000),0)+IF(AND($P$7="購買增額繳清保險",T976=12,U976=110),VLOOKUP(S976,$B$10:$H$121,7,0),0),"")))</f>
        <v/>
      </c>
      <c r="AD976" s="347"/>
      <c r="AE976" s="350" t="str">
        <f t="shared" ca="1" si="625"/>
        <v/>
      </c>
      <c r="AF976" s="351" t="str">
        <f t="shared" ca="1" si="626"/>
        <v/>
      </c>
      <c r="AG976" s="340"/>
      <c r="AH976" s="340"/>
      <c r="AI976" s="340"/>
      <c r="AJ976" s="340"/>
      <c r="AK976" s="340"/>
      <c r="AL976" s="340"/>
      <c r="AM976" s="340"/>
      <c r="AN976" s="340"/>
      <c r="AO976" s="340"/>
      <c r="AP976" s="340"/>
      <c r="AQ976" s="340"/>
      <c r="AR976" s="340"/>
      <c r="AS976" s="340"/>
      <c r="AT976" s="340"/>
      <c r="AU976" s="340"/>
      <c r="AV976" s="340"/>
      <c r="AY976" s="340"/>
      <c r="AZ976" s="465">
        <f t="shared" ca="1" si="636"/>
        <v>7.3698599999999999E-5</v>
      </c>
      <c r="BA976" s="464">
        <f t="shared" ca="1" si="637"/>
        <v>0</v>
      </c>
      <c r="BB976" s="465">
        <f t="shared" ca="1" si="637"/>
        <v>7.3698599999999999E-5</v>
      </c>
      <c r="BC976" s="466">
        <f t="shared" ca="1" si="638"/>
        <v>72321</v>
      </c>
      <c r="BD976" s="467">
        <f t="shared" ca="1" si="651"/>
        <v>72322</v>
      </c>
      <c r="BE976" s="467">
        <f t="shared" ca="1" si="639"/>
        <v>72351</v>
      </c>
      <c r="BF976" s="468">
        <f ca="1">IF(計算!$BC976&lt;OP!$C$3,0,BD976-BC976)</f>
        <v>1</v>
      </c>
      <c r="BG976" s="468">
        <f ca="1">IF($BE976&gt;DATE(YEAR($BD$9)+OP!$C$57,MONTH($BD$9),DAY($BD$9)),0,$BE976-$BD976+1)</f>
        <v>0</v>
      </c>
      <c r="BH976" s="469">
        <f t="shared" ca="1" si="640"/>
        <v>1</v>
      </c>
      <c r="BI976" t="str">
        <f t="shared" si="622"/>
        <v/>
      </c>
      <c r="BJ976">
        <v>7</v>
      </c>
      <c r="BN976" s="468">
        <f t="shared" si="652"/>
        <v>81</v>
      </c>
      <c r="BO976" s="468">
        <f t="shared" si="653"/>
        <v>7</v>
      </c>
      <c r="BP976" s="467">
        <f t="shared" ca="1" si="641"/>
        <v>72322</v>
      </c>
      <c r="BQ976" s="475">
        <f t="shared" ca="1" si="655"/>
        <v>113</v>
      </c>
      <c r="BR976" s="475" t="str">
        <f t="shared" si="654"/>
        <v/>
      </c>
      <c r="BS976" s="471" t="str">
        <f t="shared" si="642"/>
        <v/>
      </c>
      <c r="BT976" s="472" t="str">
        <f t="shared" si="623"/>
        <v/>
      </c>
      <c r="BU976" s="472">
        <f t="shared" ca="1" si="643"/>
        <v>0</v>
      </c>
      <c r="BV976" s="472">
        <f t="shared" ca="1" si="643"/>
        <v>0</v>
      </c>
      <c r="BW976" s="472"/>
      <c r="BX976" s="473">
        <f t="shared" ca="1" si="644"/>
        <v>2761850.1165390299</v>
      </c>
      <c r="BY976" s="473">
        <f t="shared" si="645"/>
        <v>0</v>
      </c>
      <c r="BZ976" s="473">
        <f t="shared" ca="1" si="627"/>
        <v>203.54448699899999</v>
      </c>
      <c r="CA976" s="476">
        <f t="shared" ca="1" si="646"/>
        <v>0</v>
      </c>
      <c r="CB976" s="494">
        <f ca="1">IF(OR($Q975&lt;&gt;1,OP!$D$5+$BN976-1&lt;16,$BN976-1&lt;1),0,ROUND(ROUND(ROUND(((VLOOKUP($BN976-1,MORE_PV,5,0)/10000)*VLOOKUP($BN976,MORE_PV,$CB$5,0)),3)*VLOOKUP($BN976,more1,5,0),0)/$R975,0))</f>
        <v>0</v>
      </c>
      <c r="CC976" s="473">
        <f t="shared" ca="1" si="647"/>
        <v>0</v>
      </c>
      <c r="CD976" s="477"/>
    </row>
    <row r="977" spans="2:82" ht="16.5" hidden="1">
      <c r="B977" s="80"/>
      <c r="C977" s="80"/>
      <c r="D977" s="80"/>
      <c r="E977" s="80"/>
      <c r="F977" s="80"/>
      <c r="G977" s="80"/>
      <c r="H977" s="80"/>
      <c r="I977" s="80"/>
      <c r="J977" s="192">
        <f t="shared" si="628"/>
        <v>81</v>
      </c>
      <c r="K977" s="192">
        <f t="shared" si="629"/>
        <v>9</v>
      </c>
      <c r="L977" s="192" t="str">
        <f t="shared" si="624"/>
        <v/>
      </c>
      <c r="M977" s="216" t="str">
        <f t="shared" ca="1" si="630"/>
        <v/>
      </c>
      <c r="N977" s="216"/>
      <c r="O977" s="216"/>
      <c r="P977" s="216"/>
      <c r="Q977" s="456">
        <f t="shared" ca="1" si="631"/>
        <v>1</v>
      </c>
      <c r="R977" s="450">
        <f t="shared" ca="1" si="632"/>
        <v>12</v>
      </c>
      <c r="S977" s="191">
        <f t="shared" si="633"/>
        <v>81</v>
      </c>
      <c r="T977" s="191">
        <f t="shared" si="634"/>
        <v>9</v>
      </c>
      <c r="U977" s="191">
        <f ca="1">OP!$D$5+$S977-1</f>
        <v>113</v>
      </c>
      <c r="V977" s="191" t="str">
        <f t="shared" si="635"/>
        <v/>
      </c>
      <c r="W977" s="350">
        <f ca="1">IF(Q977&lt;&gt;1,0,VLOOKUP(OP!$C$55,PVFB,$S977+2,0))</f>
        <v>0</v>
      </c>
      <c r="X977" s="473" t="str">
        <f t="shared" ca="1" si="648"/>
        <v/>
      </c>
      <c r="Y977" s="348">
        <f t="shared" ca="1" si="649"/>
        <v>0</v>
      </c>
      <c r="Z977" s="348">
        <f t="shared" ca="1" si="650"/>
        <v>8012</v>
      </c>
      <c r="AA977" s="348">
        <f ca="1">IF(Q977&lt;&gt;1,0,VLOOKUP(OP!$C$55,PVFB,$S977+2,0))</f>
        <v>0</v>
      </c>
      <c r="AB977" s="488" t="str">
        <f ca="1">IF(AND(S977&lt;OP!$C$24,$U977&lt;15),0,IF(AND($U977&lt;15,$T977=12),ROUND(VLOOKUP($S977,DOWN16,5,0),3),IF($T977=12,ROUND(($Z977/10000)*$AA977,3)+IF(AND($P$7="購買增額繳清保險",T977=12,U977=110),VLOOKUP(S977,$B$10:$H$121,7,0),0),"")))</f>
        <v/>
      </c>
      <c r="AC977" s="350" t="str">
        <f ca="1">IF(AND(S977&lt;OP!$C$24,$U977&lt;15),0,IF(AND($U977&lt;16,$T977=12),VLOOKUP($S977,DOWN16,4,0),IF($T977=12,ROUND(VLOOKUP(OP!$C$55,_DIE2,$S977+1,0)*(Z977/10000),0)+IF(AND($P$7="購買增額繳清保險",T977=12,U977=110),VLOOKUP(S977,$B$10:$H$121,7,0),0),"")))</f>
        <v/>
      </c>
      <c r="AD977" s="347"/>
      <c r="AE977" s="350" t="str">
        <f t="shared" ca="1" si="625"/>
        <v/>
      </c>
      <c r="AF977" s="351" t="str">
        <f t="shared" ca="1" si="626"/>
        <v/>
      </c>
      <c r="AG977" s="340"/>
      <c r="AH977" s="340"/>
      <c r="AI977" s="340"/>
      <c r="AJ977" s="340"/>
      <c r="AK977" s="340"/>
      <c r="AL977" s="340"/>
      <c r="AM977" s="340"/>
      <c r="AN977" s="340"/>
      <c r="AO977" s="340"/>
      <c r="AP977" s="340"/>
      <c r="AQ977" s="340"/>
      <c r="AR977" s="340"/>
      <c r="AS977" s="340"/>
      <c r="AT977" s="340"/>
      <c r="AU977" s="340"/>
      <c r="AV977" s="340"/>
      <c r="AY977" s="340"/>
      <c r="AZ977" s="465">
        <f t="shared" ca="1" si="636"/>
        <v>7.3698599999999999E-5</v>
      </c>
      <c r="BA977" s="464">
        <f t="shared" ca="1" si="637"/>
        <v>0</v>
      </c>
      <c r="BB977" s="465">
        <f t="shared" ca="1" si="637"/>
        <v>7.3698599999999999E-5</v>
      </c>
      <c r="BC977" s="466">
        <f t="shared" ca="1" si="638"/>
        <v>72352</v>
      </c>
      <c r="BD977" s="467">
        <f t="shared" ca="1" si="651"/>
        <v>72353</v>
      </c>
      <c r="BE977" s="467">
        <f t="shared" ca="1" si="639"/>
        <v>72379</v>
      </c>
      <c r="BF977" s="468">
        <f ca="1">IF(計算!$BC977&lt;OP!$C$3,0,BD977-BC977)</f>
        <v>1</v>
      </c>
      <c r="BG977" s="468">
        <f ca="1">IF($BE977&gt;DATE(YEAR($BD$9)+OP!$C$57,MONTH($BD$9),DAY($BD$9)),0,$BE977-$BD977+1)</f>
        <v>0</v>
      </c>
      <c r="BH977" s="469">
        <f t="shared" ca="1" si="640"/>
        <v>1</v>
      </c>
      <c r="BI977" t="str">
        <f t="shared" si="622"/>
        <v/>
      </c>
      <c r="BJ977">
        <v>8</v>
      </c>
      <c r="BN977" s="468">
        <f t="shared" si="652"/>
        <v>81</v>
      </c>
      <c r="BO977" s="468">
        <f t="shared" si="653"/>
        <v>8</v>
      </c>
      <c r="BP977" s="467">
        <f t="shared" ca="1" si="641"/>
        <v>72353</v>
      </c>
      <c r="BQ977" s="475">
        <f t="shared" ca="1" si="655"/>
        <v>113</v>
      </c>
      <c r="BR977" s="475" t="str">
        <f t="shared" si="654"/>
        <v/>
      </c>
      <c r="BS977" s="471" t="str">
        <f t="shared" si="642"/>
        <v/>
      </c>
      <c r="BT977" s="472" t="str">
        <f t="shared" si="623"/>
        <v/>
      </c>
      <c r="BU977" s="472">
        <f t="shared" ca="1" si="643"/>
        <v>0</v>
      </c>
      <c r="BV977" s="472">
        <f t="shared" ca="1" si="643"/>
        <v>0</v>
      </c>
      <c r="BW977" s="472"/>
      <c r="BX977" s="473">
        <f t="shared" ca="1" si="644"/>
        <v>2762053.6610260298</v>
      </c>
      <c r="BY977" s="473">
        <f t="shared" si="645"/>
        <v>0</v>
      </c>
      <c r="BZ977" s="473">
        <f t="shared" ca="1" si="627"/>
        <v>203.559487942</v>
      </c>
      <c r="CA977" s="476">
        <f t="shared" ca="1" si="646"/>
        <v>0</v>
      </c>
      <c r="CB977" s="494">
        <f ca="1">IF(OR($Q976&lt;&gt;1,OP!$D$5+$BN977-1&lt;16,$BN977-1&lt;1),0,ROUND(ROUND(ROUND(((VLOOKUP($BN977-1,MORE_PV,5,0)/10000)*VLOOKUP($BN977,MORE_PV,$CB$5,0)),3)*VLOOKUP($BN977,more1,5,0),0)/$R976,0))</f>
        <v>0</v>
      </c>
      <c r="CC977" s="473">
        <f t="shared" ca="1" si="647"/>
        <v>0</v>
      </c>
      <c r="CD977" s="477"/>
    </row>
    <row r="978" spans="2:82" ht="16.5" hidden="1">
      <c r="B978" s="80"/>
      <c r="C978" s="80"/>
      <c r="D978" s="80"/>
      <c r="E978" s="80"/>
      <c r="F978" s="80"/>
      <c r="G978" s="80"/>
      <c r="H978" s="80"/>
      <c r="I978" s="80"/>
      <c r="J978" s="192">
        <f t="shared" si="628"/>
        <v>81</v>
      </c>
      <c r="K978" s="192">
        <f t="shared" si="629"/>
        <v>10</v>
      </c>
      <c r="L978" s="192" t="str">
        <f t="shared" si="624"/>
        <v/>
      </c>
      <c r="M978" s="216" t="str">
        <f t="shared" ca="1" si="630"/>
        <v/>
      </c>
      <c r="N978" s="216"/>
      <c r="O978" s="216"/>
      <c r="P978" s="216"/>
      <c r="Q978" s="456">
        <f t="shared" ca="1" si="631"/>
        <v>1</v>
      </c>
      <c r="R978" s="450">
        <f t="shared" ca="1" si="632"/>
        <v>12</v>
      </c>
      <c r="S978" s="191">
        <f t="shared" si="633"/>
        <v>81</v>
      </c>
      <c r="T978" s="191">
        <f t="shared" si="634"/>
        <v>10</v>
      </c>
      <c r="U978" s="191">
        <f ca="1">OP!$D$5+$S978-1</f>
        <v>113</v>
      </c>
      <c r="V978" s="191" t="str">
        <f t="shared" si="635"/>
        <v/>
      </c>
      <c r="W978" s="350">
        <f ca="1">IF(Q978&lt;&gt;1,0,VLOOKUP(OP!$C$55,PVFB,$S978+2,0))</f>
        <v>0</v>
      </c>
      <c r="X978" s="473" t="str">
        <f t="shared" ca="1" si="648"/>
        <v/>
      </c>
      <c r="Y978" s="348">
        <f t="shared" ca="1" si="649"/>
        <v>0</v>
      </c>
      <c r="Z978" s="348">
        <f t="shared" ca="1" si="650"/>
        <v>8012</v>
      </c>
      <c r="AA978" s="348">
        <f ca="1">IF(Q978&lt;&gt;1,0,VLOOKUP(OP!$C$55,PVFB,$S978+2,0))</f>
        <v>0</v>
      </c>
      <c r="AB978" s="488" t="str">
        <f ca="1">IF(AND(S978&lt;OP!$C$24,$U978&lt;15),0,IF(AND($U978&lt;15,$T978=12),ROUND(VLOOKUP($S978,DOWN16,5,0),3),IF($T978=12,ROUND(($Z978/10000)*$AA978,3)+IF(AND($P$7="購買增額繳清保險",T978=12,U978=110),VLOOKUP(S978,$B$10:$H$121,7,0),0),"")))</f>
        <v/>
      </c>
      <c r="AC978" s="350" t="str">
        <f ca="1">IF(AND(S978&lt;OP!$C$24,$U978&lt;15),0,IF(AND($U978&lt;16,$T978=12),VLOOKUP($S978,DOWN16,4,0),IF($T978=12,ROUND(VLOOKUP(OP!$C$55,_DIE2,$S978+1,0)*(Z978/10000),0)+IF(AND($P$7="購買增額繳清保險",T978=12,U978=110),VLOOKUP(S978,$B$10:$H$121,7,0),0),"")))</f>
        <v/>
      </c>
      <c r="AD978" s="347"/>
      <c r="AE978" s="350" t="str">
        <f t="shared" ca="1" si="625"/>
        <v/>
      </c>
      <c r="AF978" s="351" t="str">
        <f t="shared" ca="1" si="626"/>
        <v/>
      </c>
      <c r="AG978" s="340"/>
      <c r="AH978" s="340"/>
      <c r="AI978" s="340"/>
      <c r="AJ978" s="340"/>
      <c r="AK978" s="340"/>
      <c r="AL978" s="340"/>
      <c r="AM978" s="340"/>
      <c r="AN978" s="340"/>
      <c r="AO978" s="340"/>
      <c r="AP978" s="340"/>
      <c r="AQ978" s="340"/>
      <c r="AR978" s="340"/>
      <c r="AS978" s="340"/>
      <c r="AT978" s="340"/>
      <c r="AU978" s="340"/>
      <c r="AV978" s="340"/>
      <c r="AY978" s="340"/>
      <c r="AZ978" s="465">
        <f t="shared" ca="1" si="636"/>
        <v>7.3698599999999999E-5</v>
      </c>
      <c r="BA978" s="464">
        <f t="shared" ca="1" si="637"/>
        <v>0</v>
      </c>
      <c r="BB978" s="465">
        <f t="shared" ca="1" si="637"/>
        <v>7.3698599999999999E-5</v>
      </c>
      <c r="BC978" s="466">
        <f t="shared" ca="1" si="638"/>
        <v>72380</v>
      </c>
      <c r="BD978" s="467">
        <f t="shared" ca="1" si="651"/>
        <v>72381</v>
      </c>
      <c r="BE978" s="467">
        <f t="shared" ca="1" si="639"/>
        <v>72410</v>
      </c>
      <c r="BF978" s="468">
        <f ca="1">IF(計算!$BC978&lt;OP!$C$3,0,BD978-BC978)</f>
        <v>1</v>
      </c>
      <c r="BG978" s="468">
        <f ca="1">IF($BE978&gt;DATE(YEAR($BD$9)+OP!$C$57,MONTH($BD$9),DAY($BD$9)),0,$BE978-$BD978+1)</f>
        <v>0</v>
      </c>
      <c r="BH978" s="469">
        <f t="shared" ca="1" si="640"/>
        <v>1</v>
      </c>
      <c r="BI978" t="str">
        <f t="shared" si="622"/>
        <v/>
      </c>
      <c r="BJ978">
        <v>9</v>
      </c>
      <c r="BN978" s="468">
        <f t="shared" si="652"/>
        <v>81</v>
      </c>
      <c r="BO978" s="468">
        <f t="shared" si="653"/>
        <v>9</v>
      </c>
      <c r="BP978" s="467">
        <f t="shared" ca="1" si="641"/>
        <v>72381</v>
      </c>
      <c r="BQ978" s="475">
        <f t="shared" ca="1" si="655"/>
        <v>113</v>
      </c>
      <c r="BR978" s="475" t="str">
        <f t="shared" si="654"/>
        <v/>
      </c>
      <c r="BS978" s="471" t="str">
        <f t="shared" si="642"/>
        <v/>
      </c>
      <c r="BT978" s="472" t="str">
        <f t="shared" si="623"/>
        <v/>
      </c>
      <c r="BU978" s="472">
        <f t="shared" ca="1" si="643"/>
        <v>0</v>
      </c>
      <c r="BV978" s="472">
        <f t="shared" ca="1" si="643"/>
        <v>0</v>
      </c>
      <c r="BW978" s="472"/>
      <c r="BX978" s="473">
        <f t="shared" ca="1" si="644"/>
        <v>2762257.2205139701</v>
      </c>
      <c r="BY978" s="473">
        <f t="shared" si="645"/>
        <v>0</v>
      </c>
      <c r="BZ978" s="473">
        <f t="shared" ca="1" si="627"/>
        <v>203.574489992</v>
      </c>
      <c r="CA978" s="476">
        <f t="shared" ca="1" si="646"/>
        <v>0</v>
      </c>
      <c r="CB978" s="494">
        <f ca="1">IF(OR($Q977&lt;&gt;1,OP!$D$5+$BN978-1&lt;16,$BN978-1&lt;1),0,ROUND(ROUND(ROUND(((VLOOKUP($BN978-1,MORE_PV,5,0)/10000)*VLOOKUP($BN978,MORE_PV,$CB$5,0)),3)*VLOOKUP($BN978,more1,5,0),0)/$R977,0))</f>
        <v>0</v>
      </c>
      <c r="CC978" s="473">
        <f t="shared" ca="1" si="647"/>
        <v>0</v>
      </c>
      <c r="CD978" s="477"/>
    </row>
    <row r="979" spans="2:82" ht="16.5" hidden="1">
      <c r="B979" s="80"/>
      <c r="C979" s="80"/>
      <c r="D979" s="80"/>
      <c r="E979" s="80"/>
      <c r="F979" s="80"/>
      <c r="G979" s="80"/>
      <c r="H979" s="80"/>
      <c r="I979" s="80"/>
      <c r="J979" s="192">
        <f t="shared" si="628"/>
        <v>81</v>
      </c>
      <c r="K979" s="192">
        <f t="shared" si="629"/>
        <v>11</v>
      </c>
      <c r="L979" s="192" t="str">
        <f t="shared" si="624"/>
        <v/>
      </c>
      <c r="M979" s="216" t="str">
        <f t="shared" ca="1" si="630"/>
        <v/>
      </c>
      <c r="N979" s="216"/>
      <c r="O979" s="216"/>
      <c r="P979" s="216"/>
      <c r="Q979" s="456">
        <f t="shared" ca="1" si="631"/>
        <v>1</v>
      </c>
      <c r="R979" s="450">
        <f t="shared" ca="1" si="632"/>
        <v>12</v>
      </c>
      <c r="S979" s="191">
        <f t="shared" si="633"/>
        <v>81</v>
      </c>
      <c r="T979" s="191">
        <f t="shared" si="634"/>
        <v>11</v>
      </c>
      <c r="U979" s="191">
        <f ca="1">OP!$D$5+$S979-1</f>
        <v>113</v>
      </c>
      <c r="V979" s="191" t="str">
        <f t="shared" si="635"/>
        <v/>
      </c>
      <c r="W979" s="350">
        <f ca="1">IF(Q979&lt;&gt;1,0,VLOOKUP(OP!$C$55,PVFB,$S979+2,0))</f>
        <v>0</v>
      </c>
      <c r="X979" s="473" t="str">
        <f t="shared" ca="1" si="648"/>
        <v/>
      </c>
      <c r="Y979" s="348">
        <f t="shared" ca="1" si="649"/>
        <v>0</v>
      </c>
      <c r="Z979" s="348">
        <f t="shared" ca="1" si="650"/>
        <v>8012</v>
      </c>
      <c r="AA979" s="348">
        <f ca="1">IF(Q979&lt;&gt;1,0,VLOOKUP(OP!$C$55,PVFB,$S979+2,0))</f>
        <v>0</v>
      </c>
      <c r="AB979" s="488" t="str">
        <f ca="1">IF(AND(S979&lt;OP!$C$24,$U979&lt;15),0,IF(AND($U979&lt;15,$T979=12),ROUND(VLOOKUP($S979,DOWN16,5,0),3),IF($T979=12,ROUND(($Z979/10000)*$AA979,3)+IF(AND($P$7="購買增額繳清保險",T979=12,U979=110),VLOOKUP(S979,$B$10:$H$121,7,0),0),"")))</f>
        <v/>
      </c>
      <c r="AC979" s="350" t="str">
        <f ca="1">IF(AND(S979&lt;OP!$C$24,$U979&lt;15),0,IF(AND($U979&lt;16,$T979=12),VLOOKUP($S979,DOWN16,4,0),IF($T979=12,ROUND(VLOOKUP(OP!$C$55,_DIE2,$S979+1,0)*(Z979/10000),0)+IF(AND($P$7="購買增額繳清保險",T979=12,U979=110),VLOOKUP(S979,$B$10:$H$121,7,0),0),"")))</f>
        <v/>
      </c>
      <c r="AD979" s="347"/>
      <c r="AE979" s="350" t="str">
        <f t="shared" ca="1" si="625"/>
        <v/>
      </c>
      <c r="AF979" s="351" t="str">
        <f t="shared" ca="1" si="626"/>
        <v/>
      </c>
      <c r="AG979" s="340"/>
      <c r="AH979" s="340"/>
      <c r="AI979" s="340"/>
      <c r="AJ979" s="340"/>
      <c r="AK979" s="340"/>
      <c r="AL979" s="340"/>
      <c r="AM979" s="340"/>
      <c r="AN979" s="340"/>
      <c r="AO979" s="340"/>
      <c r="AP979" s="340"/>
      <c r="AQ979" s="340"/>
      <c r="AR979" s="340"/>
      <c r="AS979" s="340"/>
      <c r="AT979" s="340"/>
      <c r="AU979" s="340"/>
      <c r="AV979" s="340"/>
      <c r="AY979" s="340"/>
      <c r="AZ979" s="465">
        <f t="shared" ca="1" si="636"/>
        <v>7.3698599999999999E-5</v>
      </c>
      <c r="BA979" s="464">
        <f t="shared" ca="1" si="637"/>
        <v>0</v>
      </c>
      <c r="BB979" s="465">
        <f t="shared" ca="1" si="637"/>
        <v>7.3698599999999999E-5</v>
      </c>
      <c r="BC979" s="466">
        <f t="shared" ca="1" si="638"/>
        <v>72411</v>
      </c>
      <c r="BD979" s="467">
        <f t="shared" ca="1" si="651"/>
        <v>72412</v>
      </c>
      <c r="BE979" s="467">
        <f t="shared" ca="1" si="639"/>
        <v>72440</v>
      </c>
      <c r="BF979" s="468">
        <f ca="1">IF(計算!$BC979&lt;OP!$C$3,0,BD979-BC979)</f>
        <v>1</v>
      </c>
      <c r="BG979" s="468">
        <f ca="1">IF($BE979&gt;DATE(YEAR($BD$9)+OP!$C$57,MONTH($BD$9),DAY($BD$9)),0,$BE979-$BD979+1)</f>
        <v>0</v>
      </c>
      <c r="BH979" s="469">
        <f t="shared" ca="1" si="640"/>
        <v>1</v>
      </c>
      <c r="BI979" t="str">
        <f t="shared" si="622"/>
        <v/>
      </c>
      <c r="BJ979">
        <v>10</v>
      </c>
      <c r="BN979" s="468">
        <f t="shared" si="652"/>
        <v>81</v>
      </c>
      <c r="BO979" s="468">
        <f t="shared" si="653"/>
        <v>10</v>
      </c>
      <c r="BP979" s="467">
        <f t="shared" ca="1" si="641"/>
        <v>72412</v>
      </c>
      <c r="BQ979" s="475">
        <f t="shared" ca="1" si="655"/>
        <v>113</v>
      </c>
      <c r="BR979" s="475" t="str">
        <f t="shared" si="654"/>
        <v/>
      </c>
      <c r="BS979" s="471" t="str">
        <f t="shared" si="642"/>
        <v/>
      </c>
      <c r="BT979" s="472" t="str">
        <f t="shared" si="623"/>
        <v/>
      </c>
      <c r="BU979" s="472">
        <f t="shared" ca="1" si="643"/>
        <v>0</v>
      </c>
      <c r="BV979" s="472">
        <f t="shared" ca="1" si="643"/>
        <v>0</v>
      </c>
      <c r="BW979" s="472"/>
      <c r="BX979" s="473">
        <f t="shared" ca="1" si="644"/>
        <v>2762460.7950039599</v>
      </c>
      <c r="BY979" s="473">
        <f t="shared" si="645"/>
        <v>0</v>
      </c>
      <c r="BZ979" s="473">
        <f t="shared" ca="1" si="627"/>
        <v>203.58949314700001</v>
      </c>
      <c r="CA979" s="476">
        <f t="shared" ca="1" si="646"/>
        <v>0</v>
      </c>
      <c r="CB979" s="494">
        <f ca="1">IF(OR($Q978&lt;&gt;1,OP!$D$5+$BN979-1&lt;16,$BN979-1&lt;1),0,ROUND(ROUND(ROUND(((VLOOKUP($BN979-1,MORE_PV,5,0)/10000)*VLOOKUP($BN979,MORE_PV,$CB$5,0)),3)*VLOOKUP($BN979,more1,5,0),0)/$R978,0))</f>
        <v>0</v>
      </c>
      <c r="CC979" s="473">
        <f t="shared" ca="1" si="647"/>
        <v>0</v>
      </c>
      <c r="CD979" s="477"/>
    </row>
    <row r="980" spans="2:82" ht="16.5" hidden="1">
      <c r="B980" s="80"/>
      <c r="C980" s="80"/>
      <c r="D980" s="80"/>
      <c r="E980" s="80"/>
      <c r="F980" s="80"/>
      <c r="G980" s="80"/>
      <c r="H980" s="80"/>
      <c r="I980" s="80"/>
      <c r="J980" s="192">
        <f t="shared" si="628"/>
        <v>81</v>
      </c>
      <c r="K980" s="192">
        <f t="shared" si="629"/>
        <v>12</v>
      </c>
      <c r="L980" s="192">
        <f t="shared" si="624"/>
        <v>81</v>
      </c>
      <c r="M980" s="216">
        <f t="shared" ca="1" si="630"/>
        <v>2763070</v>
      </c>
      <c r="N980" s="216"/>
      <c r="O980" s="216"/>
      <c r="P980" s="216"/>
      <c r="Q980" s="456">
        <f t="shared" ca="1" si="631"/>
        <v>1</v>
      </c>
      <c r="R980" s="450">
        <f t="shared" ca="1" si="632"/>
        <v>12</v>
      </c>
      <c r="S980" s="191">
        <f t="shared" si="633"/>
        <v>81</v>
      </c>
      <c r="T980" s="191">
        <f t="shared" si="634"/>
        <v>12</v>
      </c>
      <c r="U980" s="191">
        <f ca="1">OP!$D$5+$S980-1</f>
        <v>113</v>
      </c>
      <c r="V980" s="191">
        <f t="shared" si="635"/>
        <v>81</v>
      </c>
      <c r="W980" s="350">
        <f ca="1">IF(Q980&lt;&gt;1,0,VLOOKUP(OP!$C$55,PVFB,$S980+2,0))</f>
        <v>0</v>
      </c>
      <c r="X980" s="473">
        <f t="shared" ca="1" si="648"/>
        <v>0</v>
      </c>
      <c r="Y980" s="348">
        <f t="shared" ca="1" si="649"/>
        <v>0</v>
      </c>
      <c r="Z980" s="348">
        <f t="shared" ca="1" si="650"/>
        <v>8012</v>
      </c>
      <c r="AA980" s="348">
        <f ca="1">IF(Q980&lt;&gt;1,0,VLOOKUP(OP!$C$55,PVFB,$S980+2,0))</f>
        <v>0</v>
      </c>
      <c r="AB980" s="488">
        <f ca="1">IF(AND(S980&lt;OP!$C$24,$U980&lt;15),0,IF(AND($U980&lt;15,$T980=12),ROUND(VLOOKUP($S980,DOWN16,5,0),3),IF($T980=12,ROUND(($Z980/10000)*$AA980,3)+IF(AND($P$7="購買增額繳清保險",T980=12,U980=110),VLOOKUP(S980,$B$10:$H$121,7,0),0),"")))</f>
        <v>0</v>
      </c>
      <c r="AC980" s="350">
        <f ca="1">IF(AND(S980&lt;OP!$C$24,$U980&lt;15),0,IF(AND($U980&lt;16,$T980=12),VLOOKUP($S980,DOWN16,4,0),IF($T980=12,ROUND(VLOOKUP(OP!$C$55,_DIE2,$S980+1,0)*(Z980/10000),0)+IF(AND($P$7="購買增額繳清保險",T980=12,U980=110),VLOOKUP(S980,$B$10:$H$121,7,0),0),"")))</f>
        <v>0</v>
      </c>
      <c r="AD980" s="347"/>
      <c r="AE980" s="350" t="str">
        <f t="shared" ca="1" si="625"/>
        <v/>
      </c>
      <c r="AF980" s="351" t="str">
        <f t="shared" ca="1" si="626"/>
        <v/>
      </c>
      <c r="AG980" s="340"/>
      <c r="AH980" s="340"/>
      <c r="AI980" s="340"/>
      <c r="AJ980" s="340"/>
      <c r="AK980" s="340"/>
      <c r="AL980" s="340"/>
      <c r="AM980" s="340"/>
      <c r="AN980" s="340"/>
      <c r="AO980" s="340"/>
      <c r="AP980" s="340"/>
      <c r="AQ980" s="340"/>
      <c r="AR980" s="340"/>
      <c r="AS980" s="340"/>
      <c r="AT980" s="340"/>
      <c r="AU980" s="340"/>
      <c r="AV980" s="340"/>
      <c r="AY980" s="340"/>
      <c r="AZ980" s="465">
        <f t="shared" ca="1" si="636"/>
        <v>7.3698599999999999E-5</v>
      </c>
      <c r="BA980" s="464">
        <f t="shared" ca="1" si="637"/>
        <v>0</v>
      </c>
      <c r="BB980" s="465">
        <f t="shared" ca="1" si="637"/>
        <v>7.3698599999999999E-5</v>
      </c>
      <c r="BC980" s="466">
        <f t="shared" ca="1" si="638"/>
        <v>72441</v>
      </c>
      <c r="BD980" s="467">
        <f t="shared" ca="1" si="651"/>
        <v>72442</v>
      </c>
      <c r="BE980" s="467">
        <f t="shared" ca="1" si="639"/>
        <v>72471</v>
      </c>
      <c r="BF980" s="468">
        <f ca="1">IF(計算!$BC980&lt;OP!$C$3,0,BD980-BC980)</f>
        <v>1</v>
      </c>
      <c r="BG980" s="468">
        <f ca="1">IF($BE980&gt;DATE(YEAR($BD$9)+OP!$C$57,MONTH($BD$9),DAY($BD$9)),0,$BE980-$BD980+1)</f>
        <v>0</v>
      </c>
      <c r="BH980" s="469">
        <f t="shared" ca="1" si="640"/>
        <v>1</v>
      </c>
      <c r="BI980" t="str">
        <f t="shared" si="622"/>
        <v/>
      </c>
      <c r="BJ980">
        <v>11</v>
      </c>
      <c r="BN980" s="468">
        <f t="shared" si="652"/>
        <v>81</v>
      </c>
      <c r="BO980" s="468">
        <f t="shared" si="653"/>
        <v>11</v>
      </c>
      <c r="BP980" s="467">
        <f t="shared" ca="1" si="641"/>
        <v>72442</v>
      </c>
      <c r="BQ980" s="475">
        <f t="shared" ca="1" si="655"/>
        <v>113</v>
      </c>
      <c r="BR980" s="475" t="str">
        <f t="shared" si="654"/>
        <v/>
      </c>
      <c r="BS980" s="471" t="str">
        <f t="shared" si="642"/>
        <v/>
      </c>
      <c r="BT980" s="472" t="str">
        <f t="shared" si="623"/>
        <v/>
      </c>
      <c r="BU980" s="472">
        <f t="shared" ca="1" si="643"/>
        <v>0</v>
      </c>
      <c r="BV980" s="472">
        <f t="shared" ca="1" si="643"/>
        <v>0</v>
      </c>
      <c r="BW980" s="472"/>
      <c r="BX980" s="473">
        <f t="shared" ca="1" si="644"/>
        <v>2762664.3844971098</v>
      </c>
      <c r="BY980" s="473">
        <f t="shared" si="645"/>
        <v>0</v>
      </c>
      <c r="BZ980" s="473">
        <f t="shared" ca="1" si="627"/>
        <v>203.604497407</v>
      </c>
      <c r="CA980" s="476">
        <f t="shared" ca="1" si="646"/>
        <v>0</v>
      </c>
      <c r="CB980" s="494">
        <f ca="1">IF(OR($Q979&lt;&gt;1,OP!$D$5+$BN980-1&lt;16,$BN980-1&lt;1),0,ROUND(ROUND(ROUND(((VLOOKUP($BN980-1,MORE_PV,5,0)/10000)*VLOOKUP($BN980,MORE_PV,$CB$5,0)),3)*VLOOKUP($BN980,more1,5,0),0)/$R979,0))</f>
        <v>0</v>
      </c>
      <c r="CC980" s="473">
        <f t="shared" ca="1" si="647"/>
        <v>0</v>
      </c>
      <c r="CD980" s="477"/>
    </row>
    <row r="981" spans="2:82" ht="16.5" hidden="1">
      <c r="B981" s="80"/>
      <c r="C981" s="80"/>
      <c r="D981" s="80"/>
      <c r="E981" s="80"/>
      <c r="F981" s="80"/>
      <c r="G981" s="80"/>
      <c r="H981" s="80"/>
      <c r="I981" s="80"/>
      <c r="J981" s="192">
        <f t="shared" si="628"/>
        <v>82</v>
      </c>
      <c r="K981" s="192">
        <f t="shared" si="629"/>
        <v>1</v>
      </c>
      <c r="L981" s="192" t="str">
        <f t="shared" si="624"/>
        <v/>
      </c>
      <c r="M981" s="216" t="str">
        <f t="shared" ca="1" si="630"/>
        <v/>
      </c>
      <c r="N981" s="216"/>
      <c r="O981" s="216"/>
      <c r="P981" s="216"/>
      <c r="Q981" s="456">
        <f t="shared" ca="1" si="631"/>
        <v>1</v>
      </c>
      <c r="R981" s="450">
        <f t="shared" ca="1" si="632"/>
        <v>12</v>
      </c>
      <c r="S981" s="191">
        <f t="shared" si="633"/>
        <v>82</v>
      </c>
      <c r="T981" s="191">
        <f t="shared" si="634"/>
        <v>1</v>
      </c>
      <c r="U981" s="191">
        <f ca="1">OP!$D$5+$S981-1</f>
        <v>114</v>
      </c>
      <c r="V981" s="191" t="str">
        <f t="shared" si="635"/>
        <v/>
      </c>
      <c r="W981" s="350">
        <f ca="1">IF(Q981&lt;&gt;1,0,VLOOKUP(OP!$C$55,PVFB,$S981+2,0))</f>
        <v>0</v>
      </c>
      <c r="X981" s="473" t="str">
        <f t="shared" ca="1" si="648"/>
        <v/>
      </c>
      <c r="Y981" s="348">
        <f t="shared" ca="1" si="649"/>
        <v>0</v>
      </c>
      <c r="Z981" s="348">
        <f t="shared" ca="1" si="650"/>
        <v>8012</v>
      </c>
      <c r="AA981" s="348">
        <f ca="1">IF(Q981&lt;&gt;1,0,VLOOKUP(OP!$C$55,PVFB,$S981+2,0))</f>
        <v>0</v>
      </c>
      <c r="AB981" s="488" t="str">
        <f ca="1">IF(AND(S981&lt;OP!$C$24,$U981&lt;15),0,IF(AND($U981&lt;15,$T981=12),ROUND(VLOOKUP($S981,DOWN16,5,0),3),IF($T981=12,ROUND(($Z981/10000)*$AA981,3)+IF(AND($P$7="購買增額繳清保險",T981=12,U981=110),VLOOKUP(S981,$B$10:$H$121,7,0),0),"")))</f>
        <v/>
      </c>
      <c r="AC981" s="350" t="str">
        <f ca="1">IF(AND(S981&lt;OP!$C$24,$U981&lt;15),0,IF(AND($U981&lt;16,$T981=12),VLOOKUP($S981,DOWN16,4,0),IF($T981=12,ROUND(VLOOKUP(OP!$C$55,_DIE2,$S981+1,0)*(Z981/10000),0)+IF(AND($P$7="購買增額繳清保險",T981=12,U981=110),VLOOKUP(S981,$B$10:$H$121,7,0),0),"")))</f>
        <v/>
      </c>
      <c r="AD981" s="347"/>
      <c r="AE981" s="350" t="str">
        <f t="shared" ca="1" si="625"/>
        <v/>
      </c>
      <c r="AF981" s="351" t="str">
        <f t="shared" ca="1" si="626"/>
        <v/>
      </c>
      <c r="AG981" s="340"/>
      <c r="AH981" s="340"/>
      <c r="AI981" s="340"/>
      <c r="AJ981" s="340"/>
      <c r="AK981" s="340"/>
      <c r="AL981" s="340"/>
      <c r="AM981" s="340"/>
      <c r="AN981" s="340"/>
      <c r="AO981" s="340"/>
      <c r="AP981" s="340"/>
      <c r="AQ981" s="340"/>
      <c r="AR981" s="340"/>
      <c r="AS981" s="340"/>
      <c r="AT981" s="340"/>
      <c r="AU981" s="340"/>
      <c r="AV981" s="340"/>
      <c r="AY981" s="340"/>
      <c r="AZ981" s="465">
        <f t="shared" ca="1" si="636"/>
        <v>7.3698599999999999E-5</v>
      </c>
      <c r="BA981" s="464">
        <f t="shared" ca="1" si="637"/>
        <v>0</v>
      </c>
      <c r="BB981" s="465">
        <f t="shared" ca="1" si="637"/>
        <v>7.3698599999999999E-5</v>
      </c>
      <c r="BC981" s="466">
        <f t="shared" ca="1" si="638"/>
        <v>72472</v>
      </c>
      <c r="BD981" s="467">
        <f t="shared" ca="1" si="651"/>
        <v>72473</v>
      </c>
      <c r="BE981" s="467">
        <f t="shared" ca="1" si="639"/>
        <v>72501</v>
      </c>
      <c r="BF981" s="468">
        <f ca="1">IF(計算!$BC981&lt;OP!$C$3,0,BD981-BC981)</f>
        <v>1</v>
      </c>
      <c r="BG981" s="468">
        <f ca="1">IF($BE981&gt;DATE(YEAR($BD$9)+OP!$C$57,MONTH($BD$9),DAY($BD$9)),0,$BE981-$BD981+1)</f>
        <v>0</v>
      </c>
      <c r="BH981" s="469">
        <f t="shared" ca="1" si="640"/>
        <v>1</v>
      </c>
      <c r="BI981">
        <f t="shared" ref="BI981:BI1044" ca="1" si="656">IF(BJ981=12,BD981-BD969,"")</f>
        <v>365</v>
      </c>
      <c r="BJ981">
        <v>12</v>
      </c>
      <c r="BN981" s="468">
        <f t="shared" si="652"/>
        <v>81</v>
      </c>
      <c r="BO981" s="468">
        <f t="shared" si="653"/>
        <v>12</v>
      </c>
      <c r="BP981" s="467">
        <f t="shared" ca="1" si="641"/>
        <v>72473</v>
      </c>
      <c r="BQ981" s="475">
        <f t="shared" ca="1" si="655"/>
        <v>113</v>
      </c>
      <c r="BR981" s="475">
        <f t="shared" si="654"/>
        <v>81</v>
      </c>
      <c r="BS981" s="471">
        <f t="shared" ca="1" si="642"/>
        <v>0</v>
      </c>
      <c r="BT981" s="472">
        <f t="shared" ca="1" si="623"/>
        <v>2763070</v>
      </c>
      <c r="BU981" s="472">
        <f t="shared" ca="1" si="643"/>
        <v>0</v>
      </c>
      <c r="BV981" s="472">
        <f t="shared" ca="1" si="643"/>
        <v>0</v>
      </c>
      <c r="BW981" s="472">
        <f ca="1">ROUND(SUM(BY981,BZ969:BZ980),0)</f>
        <v>2442</v>
      </c>
      <c r="BX981" s="473">
        <f t="shared" ca="1" si="644"/>
        <v>2763071.6084972899</v>
      </c>
      <c r="BY981" s="473">
        <f t="shared" ca="1" si="645"/>
        <v>203.61950277400001</v>
      </c>
      <c r="BZ981" s="473">
        <f t="shared" ca="1" si="627"/>
        <v>0</v>
      </c>
      <c r="CA981" s="476">
        <f t="shared" ca="1" si="646"/>
        <v>0</v>
      </c>
      <c r="CB981" s="494">
        <f ca="1">IF(OR($Q980&lt;&gt;1,OP!$D$5+$BN981-1&lt;16,$BN981-1&lt;1),0,ROUND(ROUND(ROUND(((VLOOKUP($BN981-1,MORE_PV,5,0)/10000)*VLOOKUP($BN981,MORE_PV,$CB$5,0)),3)*VLOOKUP($BN981,more1,5,0),0)/$R980,0))</f>
        <v>0</v>
      </c>
      <c r="CC981" s="473">
        <f t="shared" ca="1" si="647"/>
        <v>0</v>
      </c>
      <c r="CD981" s="477"/>
    </row>
    <row r="982" spans="2:82" ht="16.5" hidden="1">
      <c r="B982" s="80"/>
      <c r="C982" s="80"/>
      <c r="D982" s="80"/>
      <c r="E982" s="80"/>
      <c r="F982" s="80"/>
      <c r="G982" s="80"/>
      <c r="H982" s="80"/>
      <c r="I982" s="80"/>
      <c r="J982" s="192">
        <f t="shared" si="628"/>
        <v>82</v>
      </c>
      <c r="K982" s="192">
        <f t="shared" si="629"/>
        <v>2</v>
      </c>
      <c r="L982" s="192" t="str">
        <f t="shared" si="624"/>
        <v/>
      </c>
      <c r="M982" s="216" t="str">
        <f t="shared" ca="1" si="630"/>
        <v/>
      </c>
      <c r="N982" s="216"/>
      <c r="O982" s="216"/>
      <c r="P982" s="216"/>
      <c r="Q982" s="456">
        <f t="shared" ca="1" si="631"/>
        <v>1</v>
      </c>
      <c r="R982" s="450">
        <f t="shared" ca="1" si="632"/>
        <v>12</v>
      </c>
      <c r="S982" s="191">
        <f t="shared" si="633"/>
        <v>82</v>
      </c>
      <c r="T982" s="191">
        <f t="shared" si="634"/>
        <v>2</v>
      </c>
      <c r="U982" s="191">
        <f ca="1">OP!$D$5+$S982-1</f>
        <v>114</v>
      </c>
      <c r="V982" s="191" t="str">
        <f t="shared" si="635"/>
        <v/>
      </c>
      <c r="W982" s="350">
        <f ca="1">IF(Q982&lt;&gt;1,0,VLOOKUP(OP!$C$55,PVFB,$S982+2,0))</f>
        <v>0</v>
      </c>
      <c r="X982" s="473" t="str">
        <f t="shared" ca="1" si="648"/>
        <v/>
      </c>
      <c r="Y982" s="348">
        <f t="shared" ca="1" si="649"/>
        <v>0</v>
      </c>
      <c r="Z982" s="348">
        <f t="shared" ca="1" si="650"/>
        <v>8012</v>
      </c>
      <c r="AA982" s="348">
        <f ca="1">IF(Q982&lt;&gt;1,0,VLOOKUP(OP!$C$55,PVFB,$S982+2,0))</f>
        <v>0</v>
      </c>
      <c r="AB982" s="488" t="str">
        <f ca="1">IF(AND(S982&lt;OP!$C$24,$U982&lt;15),0,IF(AND($U982&lt;15,$T982=12),ROUND(VLOOKUP($S982,DOWN16,5,0),3),IF($T982=12,ROUND(($Z982/10000)*$AA982,3)+IF(AND($P$7="購買增額繳清保險",T982=12,U982=110),VLOOKUP(S982,$B$10:$H$121,7,0),0),"")))</f>
        <v/>
      </c>
      <c r="AC982" s="350" t="str">
        <f ca="1">IF(AND(S982&lt;OP!$C$24,$U982&lt;15),0,IF(AND($U982&lt;16,$T982=12),VLOOKUP($S982,DOWN16,4,0),IF($T982=12,ROUND(VLOOKUP(OP!$C$55,_DIE2,$S982+1,0)*(Z982/10000),0)+IF(AND($P$7="購買增額繳清保險",T982=12,U982=110),VLOOKUP(S982,$B$10:$H$121,7,0),0),"")))</f>
        <v/>
      </c>
      <c r="AD982" s="347"/>
      <c r="AE982" s="350" t="str">
        <f t="shared" ca="1" si="625"/>
        <v/>
      </c>
      <c r="AF982" s="351" t="str">
        <f t="shared" ca="1" si="626"/>
        <v/>
      </c>
      <c r="AG982" s="340"/>
      <c r="AH982" s="340"/>
      <c r="AI982" s="340"/>
      <c r="AJ982" s="340"/>
      <c r="AK982" s="340"/>
      <c r="AL982" s="340"/>
      <c r="AM982" s="340"/>
      <c r="AN982" s="340"/>
      <c r="AO982" s="340"/>
      <c r="AP982" s="340"/>
      <c r="AQ982" s="340"/>
      <c r="AR982" s="340"/>
      <c r="AS982" s="340"/>
      <c r="AT982" s="340"/>
      <c r="AU982" s="340"/>
      <c r="AV982" s="340"/>
      <c r="AY982" s="340"/>
      <c r="AZ982" s="465">
        <f t="shared" ca="1" si="636"/>
        <v>7.3698599999999999E-5</v>
      </c>
      <c r="BA982" s="464">
        <f t="shared" ca="1" si="637"/>
        <v>0</v>
      </c>
      <c r="BB982" s="465">
        <f t="shared" ca="1" si="637"/>
        <v>7.3698599999999999E-5</v>
      </c>
      <c r="BC982" s="466">
        <f t="shared" ca="1" si="638"/>
        <v>72502</v>
      </c>
      <c r="BD982" s="467">
        <f t="shared" ca="1" si="651"/>
        <v>72503</v>
      </c>
      <c r="BE982" s="467">
        <f t="shared" ca="1" si="639"/>
        <v>72532</v>
      </c>
      <c r="BF982" s="468">
        <f ca="1">IF(計算!$BC982&lt;OP!$C$3,0,BD982-BC982)</f>
        <v>1</v>
      </c>
      <c r="BG982" s="468">
        <f ca="1">IF($BE982&gt;DATE(YEAR($BD$9)+OP!$C$57,MONTH($BD$9),DAY($BD$9)),0,$BE982-$BD982+1)</f>
        <v>0</v>
      </c>
      <c r="BH982" s="469">
        <f t="shared" ca="1" si="640"/>
        <v>1</v>
      </c>
      <c r="BI982" t="str">
        <f t="shared" si="656"/>
        <v/>
      </c>
      <c r="BJ982">
        <v>1</v>
      </c>
      <c r="BN982" s="468">
        <f t="shared" si="652"/>
        <v>82</v>
      </c>
      <c r="BO982" s="468">
        <f t="shared" si="653"/>
        <v>1</v>
      </c>
      <c r="BP982" s="467">
        <f t="shared" ca="1" si="641"/>
        <v>72503</v>
      </c>
      <c r="BQ982" s="475">
        <f t="shared" ca="1" si="655"/>
        <v>114</v>
      </c>
      <c r="BR982" s="475" t="str">
        <f t="shared" si="654"/>
        <v/>
      </c>
      <c r="BS982" s="471" t="str">
        <f t="shared" si="642"/>
        <v/>
      </c>
      <c r="BT982" s="472" t="str">
        <f t="shared" ref="BT982:BT1045" si="657">IF(BW982&lt;&gt;"",IF(BN982&gt;=$P$4+1,ROUND(BU982,0)+ROUND(BV982,0)+ROUND(BW982,0)+BT970,0),"")</f>
        <v/>
      </c>
      <c r="BU982" s="472">
        <f t="shared" ca="1" si="643"/>
        <v>0</v>
      </c>
      <c r="BV982" s="472">
        <f t="shared" ca="1" si="643"/>
        <v>0</v>
      </c>
      <c r="BW982" s="472"/>
      <c r="BX982" s="473">
        <f t="shared" ca="1" si="644"/>
        <v>2763071.6084972899</v>
      </c>
      <c r="BY982" s="473">
        <f t="shared" si="645"/>
        <v>0</v>
      </c>
      <c r="BZ982" s="473">
        <f t="shared" ca="1" si="627"/>
        <v>203.63450924599999</v>
      </c>
      <c r="CA982" s="476">
        <f t="shared" ca="1" si="646"/>
        <v>0</v>
      </c>
      <c r="CB982" s="494">
        <f ca="1">IF(OR($Q981&lt;&gt;1,OP!$D$5+$BN982-1&lt;16,$BN982-1&lt;1),0,ROUND(ROUND(ROUND(((VLOOKUP($BN982-1,MORE_PV,5,0)/10000)*VLOOKUP($BN982,MORE_PV,$CB$5,0)),3)*VLOOKUP($BN982,more1,5,0),0)/$R981,0))</f>
        <v>0</v>
      </c>
      <c r="CC982" s="473">
        <f t="shared" ca="1" si="647"/>
        <v>0</v>
      </c>
      <c r="CD982" s="477"/>
    </row>
    <row r="983" spans="2:82" ht="16.5" hidden="1">
      <c r="B983" s="80"/>
      <c r="C983" s="80"/>
      <c r="D983" s="80"/>
      <c r="E983" s="80"/>
      <c r="F983" s="80"/>
      <c r="G983" s="80"/>
      <c r="H983" s="80"/>
      <c r="I983" s="80"/>
      <c r="J983" s="192">
        <f t="shared" si="628"/>
        <v>82</v>
      </c>
      <c r="K983" s="192">
        <f t="shared" si="629"/>
        <v>3</v>
      </c>
      <c r="L983" s="192" t="str">
        <f t="shared" si="624"/>
        <v/>
      </c>
      <c r="M983" s="216" t="str">
        <f t="shared" ca="1" si="630"/>
        <v/>
      </c>
      <c r="N983" s="216"/>
      <c r="O983" s="216"/>
      <c r="P983" s="216"/>
      <c r="Q983" s="456">
        <f t="shared" ca="1" si="631"/>
        <v>1</v>
      </c>
      <c r="R983" s="450">
        <f t="shared" ca="1" si="632"/>
        <v>12</v>
      </c>
      <c r="S983" s="191">
        <f t="shared" si="633"/>
        <v>82</v>
      </c>
      <c r="T983" s="191">
        <f t="shared" si="634"/>
        <v>3</v>
      </c>
      <c r="U983" s="191">
        <f ca="1">OP!$D$5+$S983-1</f>
        <v>114</v>
      </c>
      <c r="V983" s="191" t="str">
        <f t="shared" si="635"/>
        <v/>
      </c>
      <c r="W983" s="350">
        <f ca="1">IF(Q983&lt;&gt;1,0,VLOOKUP(OP!$C$55,PVFB,$S983+2,0))</f>
        <v>0</v>
      </c>
      <c r="X983" s="473" t="str">
        <f t="shared" ca="1" si="648"/>
        <v/>
      </c>
      <c r="Y983" s="348">
        <f t="shared" ca="1" si="649"/>
        <v>0</v>
      </c>
      <c r="Z983" s="348">
        <f t="shared" ca="1" si="650"/>
        <v>8012</v>
      </c>
      <c r="AA983" s="348">
        <f ca="1">IF(Q983&lt;&gt;1,0,VLOOKUP(OP!$C$55,PVFB,$S983+2,0))</f>
        <v>0</v>
      </c>
      <c r="AB983" s="488" t="str">
        <f ca="1">IF(AND(S983&lt;OP!$C$24,$U983&lt;15),0,IF(AND($U983&lt;15,$T983=12),ROUND(VLOOKUP($S983,DOWN16,5,0),3),IF($T983=12,ROUND(($Z983/10000)*$AA983,3)+IF(AND($P$7="購買增額繳清保險",T983=12,U983=110),VLOOKUP(S983,$B$10:$H$121,7,0),0),"")))</f>
        <v/>
      </c>
      <c r="AC983" s="350" t="str">
        <f ca="1">IF(AND(S983&lt;OP!$C$24,$U983&lt;15),0,IF(AND($U983&lt;16,$T983=12),VLOOKUP($S983,DOWN16,4,0),IF($T983=12,ROUND(VLOOKUP(OP!$C$55,_DIE2,$S983+1,0)*(Z983/10000),0)+IF(AND($P$7="購買增額繳清保險",T983=12,U983=110),VLOOKUP(S983,$B$10:$H$121,7,0),0),"")))</f>
        <v/>
      </c>
      <c r="AD983" s="347"/>
      <c r="AE983" s="350" t="str">
        <f t="shared" ca="1" si="625"/>
        <v/>
      </c>
      <c r="AF983" s="351" t="str">
        <f t="shared" ca="1" si="626"/>
        <v/>
      </c>
      <c r="AG983" s="340"/>
      <c r="AH983" s="340"/>
      <c r="AI983" s="340"/>
      <c r="AJ983" s="340"/>
      <c r="AK983" s="340"/>
      <c r="AL983" s="340"/>
      <c r="AM983" s="340"/>
      <c r="AN983" s="340"/>
      <c r="AO983" s="340"/>
      <c r="AP983" s="340"/>
      <c r="AQ983" s="340"/>
      <c r="AR983" s="340"/>
      <c r="AS983" s="340"/>
      <c r="AT983" s="340"/>
      <c r="AU983" s="340"/>
      <c r="AV983" s="340"/>
      <c r="AY983" s="340"/>
      <c r="AZ983" s="465">
        <f t="shared" ca="1" si="636"/>
        <v>7.3698599999999999E-5</v>
      </c>
      <c r="BA983" s="464">
        <f t="shared" ca="1" si="637"/>
        <v>0</v>
      </c>
      <c r="BB983" s="465">
        <f t="shared" ca="1" si="637"/>
        <v>7.3698599999999999E-5</v>
      </c>
      <c r="BC983" s="466">
        <f t="shared" ca="1" si="638"/>
        <v>72533</v>
      </c>
      <c r="BD983" s="467">
        <f t="shared" ca="1" si="651"/>
        <v>72534</v>
      </c>
      <c r="BE983" s="467">
        <f t="shared" ca="1" si="639"/>
        <v>72563</v>
      </c>
      <c r="BF983" s="468">
        <f ca="1">IF(計算!$BC983&lt;OP!$C$3,0,BD983-BC983)</f>
        <v>1</v>
      </c>
      <c r="BG983" s="468">
        <f ca="1">IF($BE983&gt;DATE(YEAR($BD$9)+OP!$C$57,MONTH($BD$9),DAY($BD$9)),0,$BE983-$BD983+1)</f>
        <v>0</v>
      </c>
      <c r="BH983" s="469">
        <f t="shared" ca="1" si="640"/>
        <v>1</v>
      </c>
      <c r="BI983" t="str">
        <f t="shared" si="656"/>
        <v/>
      </c>
      <c r="BJ983">
        <v>2</v>
      </c>
      <c r="BN983" s="468">
        <f t="shared" si="652"/>
        <v>82</v>
      </c>
      <c r="BO983" s="468">
        <f t="shared" si="653"/>
        <v>2</v>
      </c>
      <c r="BP983" s="467">
        <f t="shared" ca="1" si="641"/>
        <v>72534</v>
      </c>
      <c r="BQ983" s="475">
        <f t="shared" ca="1" si="655"/>
        <v>114</v>
      </c>
      <c r="BR983" s="475" t="str">
        <f t="shared" si="654"/>
        <v/>
      </c>
      <c r="BS983" s="471" t="str">
        <f t="shared" si="642"/>
        <v/>
      </c>
      <c r="BT983" s="472" t="str">
        <f t="shared" si="657"/>
        <v/>
      </c>
      <c r="BU983" s="472">
        <f t="shared" ca="1" si="643"/>
        <v>0</v>
      </c>
      <c r="BV983" s="472">
        <f t="shared" ca="1" si="643"/>
        <v>0</v>
      </c>
      <c r="BW983" s="472"/>
      <c r="BX983" s="473">
        <f t="shared" ca="1" si="644"/>
        <v>2763275.24300654</v>
      </c>
      <c r="BY983" s="473">
        <f t="shared" si="645"/>
        <v>0</v>
      </c>
      <c r="BZ983" s="473">
        <f t="shared" ca="1" si="627"/>
        <v>203.64951682399999</v>
      </c>
      <c r="CA983" s="476">
        <f t="shared" ca="1" si="646"/>
        <v>0</v>
      </c>
      <c r="CB983" s="494">
        <f ca="1">IF(OR($Q982&lt;&gt;1,OP!$D$5+$BN983-1&lt;16,$BN983-1&lt;1),0,ROUND(ROUND(ROUND(((VLOOKUP($BN983-1,MORE_PV,5,0)/10000)*VLOOKUP($BN983,MORE_PV,$CB$5,0)),3)*VLOOKUP($BN983,more1,5,0),0)/$R982,0))</f>
        <v>0</v>
      </c>
      <c r="CC983" s="473">
        <f t="shared" ca="1" si="647"/>
        <v>0</v>
      </c>
      <c r="CD983" s="477"/>
    </row>
    <row r="984" spans="2:82" ht="16.5" hidden="1">
      <c r="B984" s="80"/>
      <c r="C984" s="80"/>
      <c r="D984" s="80"/>
      <c r="E984" s="80"/>
      <c r="F984" s="80"/>
      <c r="G984" s="80"/>
      <c r="H984" s="80"/>
      <c r="I984" s="80"/>
      <c r="J984" s="192">
        <f t="shared" si="628"/>
        <v>82</v>
      </c>
      <c r="K984" s="192">
        <f t="shared" si="629"/>
        <v>4</v>
      </c>
      <c r="L984" s="192" t="str">
        <f t="shared" si="624"/>
        <v/>
      </c>
      <c r="M984" s="216" t="str">
        <f t="shared" ca="1" si="630"/>
        <v/>
      </c>
      <c r="N984" s="216"/>
      <c r="O984" s="216"/>
      <c r="P984" s="216"/>
      <c r="Q984" s="456">
        <f t="shared" ca="1" si="631"/>
        <v>1</v>
      </c>
      <c r="R984" s="450">
        <f t="shared" ca="1" si="632"/>
        <v>12</v>
      </c>
      <c r="S984" s="191">
        <f t="shared" si="633"/>
        <v>82</v>
      </c>
      <c r="T984" s="191">
        <f t="shared" si="634"/>
        <v>4</v>
      </c>
      <c r="U984" s="191">
        <f ca="1">OP!$D$5+$S984-1</f>
        <v>114</v>
      </c>
      <c r="V984" s="191" t="str">
        <f t="shared" si="635"/>
        <v/>
      </c>
      <c r="W984" s="350">
        <f ca="1">IF(Q984&lt;&gt;1,0,VLOOKUP(OP!$C$55,PVFB,$S984+2,0))</f>
        <v>0</v>
      </c>
      <c r="X984" s="473" t="str">
        <f t="shared" ca="1" si="648"/>
        <v/>
      </c>
      <c r="Y984" s="348">
        <f t="shared" ca="1" si="649"/>
        <v>0</v>
      </c>
      <c r="Z984" s="348">
        <f t="shared" ca="1" si="650"/>
        <v>8012</v>
      </c>
      <c r="AA984" s="348">
        <f ca="1">IF(Q984&lt;&gt;1,0,VLOOKUP(OP!$C$55,PVFB,$S984+2,0))</f>
        <v>0</v>
      </c>
      <c r="AB984" s="488" t="str">
        <f ca="1">IF(AND(S984&lt;OP!$C$24,$U984&lt;15),0,IF(AND($U984&lt;15,$T984=12),ROUND(VLOOKUP($S984,DOWN16,5,0),3),IF($T984=12,ROUND(($Z984/10000)*$AA984,3)+IF(AND($P$7="購買增額繳清保險",T984=12,U984=110),VLOOKUP(S984,$B$10:$H$121,7,0),0),"")))</f>
        <v/>
      </c>
      <c r="AC984" s="350" t="str">
        <f ca="1">IF(AND(S984&lt;OP!$C$24,$U984&lt;15),0,IF(AND($U984&lt;16,$T984=12),VLOOKUP($S984,DOWN16,4,0),IF($T984=12,ROUND(VLOOKUP(OP!$C$55,_DIE2,$S984+1,0)*(Z984/10000),0)+IF(AND($P$7="購買增額繳清保險",T984=12,U984=110),VLOOKUP(S984,$B$10:$H$121,7,0),0),"")))</f>
        <v/>
      </c>
      <c r="AD984" s="347"/>
      <c r="AE984" s="350" t="str">
        <f t="shared" ca="1" si="625"/>
        <v/>
      </c>
      <c r="AF984" s="351" t="str">
        <f t="shared" ca="1" si="626"/>
        <v/>
      </c>
      <c r="AG984" s="340"/>
      <c r="AH984" s="340"/>
      <c r="AI984" s="340"/>
      <c r="AJ984" s="340"/>
      <c r="AK984" s="340"/>
      <c r="AL984" s="340"/>
      <c r="AM984" s="340"/>
      <c r="AN984" s="340"/>
      <c r="AO984" s="340"/>
      <c r="AP984" s="340"/>
      <c r="AQ984" s="340"/>
      <c r="AR984" s="340"/>
      <c r="AS984" s="340"/>
      <c r="AT984" s="340"/>
      <c r="AU984" s="340"/>
      <c r="AV984" s="340"/>
      <c r="AY984" s="340"/>
      <c r="AZ984" s="465">
        <f t="shared" ca="1" si="636"/>
        <v>7.3698599999999999E-5</v>
      </c>
      <c r="BA984" s="464">
        <f t="shared" ca="1" si="637"/>
        <v>0</v>
      </c>
      <c r="BB984" s="465">
        <f t="shared" ca="1" si="637"/>
        <v>7.3698599999999999E-5</v>
      </c>
      <c r="BC984" s="466">
        <f t="shared" ca="1" si="638"/>
        <v>72564</v>
      </c>
      <c r="BD984" s="467">
        <f t="shared" ca="1" si="651"/>
        <v>72565</v>
      </c>
      <c r="BE984" s="467">
        <f t="shared" ca="1" si="639"/>
        <v>72593</v>
      </c>
      <c r="BF984" s="468">
        <f ca="1">IF(計算!$BC984&lt;OP!$C$3,0,BD984-BC984)</f>
        <v>1</v>
      </c>
      <c r="BG984" s="468">
        <f ca="1">IF($BE984&gt;DATE(YEAR($BD$9)+OP!$C$57,MONTH($BD$9),DAY($BD$9)),0,$BE984-$BD984+1)</f>
        <v>0</v>
      </c>
      <c r="BH984" s="469">
        <f t="shared" ca="1" si="640"/>
        <v>1</v>
      </c>
      <c r="BI984" t="str">
        <f t="shared" si="656"/>
        <v/>
      </c>
      <c r="BJ984">
        <v>3</v>
      </c>
      <c r="BN984" s="468">
        <f t="shared" si="652"/>
        <v>82</v>
      </c>
      <c r="BO984" s="468">
        <f t="shared" si="653"/>
        <v>3</v>
      </c>
      <c r="BP984" s="467">
        <f t="shared" ca="1" si="641"/>
        <v>72565</v>
      </c>
      <c r="BQ984" s="475">
        <f t="shared" ca="1" si="655"/>
        <v>114</v>
      </c>
      <c r="BR984" s="475" t="str">
        <f t="shared" si="654"/>
        <v/>
      </c>
      <c r="BS984" s="471" t="str">
        <f t="shared" si="642"/>
        <v/>
      </c>
      <c r="BT984" s="472" t="str">
        <f t="shared" si="657"/>
        <v/>
      </c>
      <c r="BU984" s="472">
        <f t="shared" ca="1" si="643"/>
        <v>0</v>
      </c>
      <c r="BV984" s="472">
        <f t="shared" ca="1" si="643"/>
        <v>0</v>
      </c>
      <c r="BW984" s="472"/>
      <c r="BX984" s="473">
        <f t="shared" ca="1" si="644"/>
        <v>2763478.89252336</v>
      </c>
      <c r="BY984" s="473">
        <f t="shared" si="645"/>
        <v>0</v>
      </c>
      <c r="BZ984" s="473">
        <f t="shared" ca="1" si="627"/>
        <v>203.66452550899999</v>
      </c>
      <c r="CA984" s="476">
        <f t="shared" ca="1" si="646"/>
        <v>0</v>
      </c>
      <c r="CB984" s="494">
        <f ca="1">IF(OR($Q983&lt;&gt;1,OP!$D$5+$BN984-1&lt;16,$BN984-1&lt;1),0,ROUND(ROUND(ROUND(((VLOOKUP($BN984-1,MORE_PV,5,0)/10000)*VLOOKUP($BN984,MORE_PV,$CB$5,0)),3)*VLOOKUP($BN984,more1,5,0),0)/$R983,0))</f>
        <v>0</v>
      </c>
      <c r="CC984" s="473">
        <f t="shared" ca="1" si="647"/>
        <v>0</v>
      </c>
      <c r="CD984" s="477"/>
    </row>
    <row r="985" spans="2:82" ht="16.5" hidden="1">
      <c r="B985" s="80"/>
      <c r="C985" s="80"/>
      <c r="D985" s="80"/>
      <c r="E985" s="80"/>
      <c r="F985" s="80"/>
      <c r="G985" s="80"/>
      <c r="H985" s="80"/>
      <c r="I985" s="80"/>
      <c r="J985" s="192">
        <f t="shared" si="628"/>
        <v>82</v>
      </c>
      <c r="K985" s="192">
        <f t="shared" si="629"/>
        <v>5</v>
      </c>
      <c r="L985" s="192" t="str">
        <f t="shared" si="624"/>
        <v/>
      </c>
      <c r="M985" s="216" t="str">
        <f t="shared" ca="1" si="630"/>
        <v/>
      </c>
      <c r="N985" s="216"/>
      <c r="O985" s="216"/>
      <c r="P985" s="216"/>
      <c r="Q985" s="456">
        <f t="shared" ca="1" si="631"/>
        <v>1</v>
      </c>
      <c r="R985" s="450">
        <f t="shared" ca="1" si="632"/>
        <v>12</v>
      </c>
      <c r="S985" s="191">
        <f t="shared" si="633"/>
        <v>82</v>
      </c>
      <c r="T985" s="191">
        <f t="shared" si="634"/>
        <v>5</v>
      </c>
      <c r="U985" s="191">
        <f ca="1">OP!$D$5+$S985-1</f>
        <v>114</v>
      </c>
      <c r="V985" s="191" t="str">
        <f t="shared" si="635"/>
        <v/>
      </c>
      <c r="W985" s="350">
        <f ca="1">IF(Q985&lt;&gt;1,0,VLOOKUP(OP!$C$55,PVFB,$S985+2,0))</f>
        <v>0</v>
      </c>
      <c r="X985" s="473" t="str">
        <f t="shared" ca="1" si="648"/>
        <v/>
      </c>
      <c r="Y985" s="348">
        <f t="shared" ca="1" si="649"/>
        <v>0</v>
      </c>
      <c r="Z985" s="348">
        <f t="shared" ca="1" si="650"/>
        <v>8012</v>
      </c>
      <c r="AA985" s="348">
        <f ca="1">IF(Q985&lt;&gt;1,0,VLOOKUP(OP!$C$55,PVFB,$S985+2,0))</f>
        <v>0</v>
      </c>
      <c r="AB985" s="488" t="str">
        <f ca="1">IF(AND(S985&lt;OP!$C$24,$U985&lt;15),0,IF(AND($U985&lt;15,$T985=12),ROUND(VLOOKUP($S985,DOWN16,5,0),3),IF($T985=12,ROUND(($Z985/10000)*$AA985,3)+IF(AND($P$7="購買增額繳清保險",T985=12,U985=110),VLOOKUP(S985,$B$10:$H$121,7,0),0),"")))</f>
        <v/>
      </c>
      <c r="AC985" s="350" t="str">
        <f ca="1">IF(AND(S985&lt;OP!$C$24,$U985&lt;15),0,IF(AND($U985&lt;16,$T985=12),VLOOKUP($S985,DOWN16,4,0),IF($T985=12,ROUND(VLOOKUP(OP!$C$55,_DIE2,$S985+1,0)*(Z985/10000),0)+IF(AND($P$7="購買增額繳清保險",T985=12,U985=110),VLOOKUP(S985,$B$10:$H$121,7,0),0),"")))</f>
        <v/>
      </c>
      <c r="AD985" s="347"/>
      <c r="AE985" s="350" t="str">
        <f t="shared" ca="1" si="625"/>
        <v/>
      </c>
      <c r="AF985" s="351" t="str">
        <f t="shared" ca="1" si="626"/>
        <v/>
      </c>
      <c r="AG985" s="340"/>
      <c r="AH985" s="340"/>
      <c r="AI985" s="340"/>
      <c r="AJ985" s="340"/>
      <c r="AK985" s="340"/>
      <c r="AL985" s="340"/>
      <c r="AM985" s="340"/>
      <c r="AN985" s="340"/>
      <c r="AO985" s="340"/>
      <c r="AP985" s="340"/>
      <c r="AQ985" s="340"/>
      <c r="AR985" s="340"/>
      <c r="AS985" s="340"/>
      <c r="AT985" s="340"/>
      <c r="AU985" s="340"/>
      <c r="AV985" s="340"/>
      <c r="AY985" s="340"/>
      <c r="AZ985" s="465">
        <f t="shared" ca="1" si="636"/>
        <v>7.3698599999999999E-5</v>
      </c>
      <c r="BA985" s="464">
        <f t="shared" ca="1" si="637"/>
        <v>0</v>
      </c>
      <c r="BB985" s="465">
        <f t="shared" ca="1" si="637"/>
        <v>7.3698599999999999E-5</v>
      </c>
      <c r="BC985" s="466">
        <f t="shared" ca="1" si="638"/>
        <v>72594</v>
      </c>
      <c r="BD985" s="467">
        <f t="shared" ca="1" si="651"/>
        <v>72595</v>
      </c>
      <c r="BE985" s="467">
        <f t="shared" ca="1" si="639"/>
        <v>72624</v>
      </c>
      <c r="BF985" s="468">
        <f ca="1">IF(計算!$BC985&lt;OP!$C$3,0,BD985-BC985)</f>
        <v>1</v>
      </c>
      <c r="BG985" s="468">
        <f ca="1">IF($BE985&gt;DATE(YEAR($BD$9)+OP!$C$57,MONTH($BD$9),DAY($BD$9)),0,$BE985-$BD985+1)</f>
        <v>0</v>
      </c>
      <c r="BH985" s="469">
        <f t="shared" ca="1" si="640"/>
        <v>1</v>
      </c>
      <c r="BI985" t="str">
        <f t="shared" si="656"/>
        <v/>
      </c>
      <c r="BJ985">
        <v>4</v>
      </c>
      <c r="BN985" s="468">
        <f t="shared" si="652"/>
        <v>82</v>
      </c>
      <c r="BO985" s="468">
        <f t="shared" si="653"/>
        <v>4</v>
      </c>
      <c r="BP985" s="467">
        <f t="shared" ca="1" si="641"/>
        <v>72595</v>
      </c>
      <c r="BQ985" s="475">
        <f t="shared" ca="1" si="655"/>
        <v>114</v>
      </c>
      <c r="BR985" s="475" t="str">
        <f t="shared" si="654"/>
        <v/>
      </c>
      <c r="BS985" s="471" t="str">
        <f t="shared" si="642"/>
        <v/>
      </c>
      <c r="BT985" s="472" t="str">
        <f t="shared" si="657"/>
        <v/>
      </c>
      <c r="BU985" s="472">
        <f t="shared" ca="1" si="643"/>
        <v>0</v>
      </c>
      <c r="BV985" s="472">
        <f t="shared" ca="1" si="643"/>
        <v>0</v>
      </c>
      <c r="BW985" s="472"/>
      <c r="BX985" s="473">
        <f t="shared" ca="1" si="644"/>
        <v>2763682.5570488698</v>
      </c>
      <c r="BY985" s="473">
        <f t="shared" si="645"/>
        <v>0</v>
      </c>
      <c r="BZ985" s="473">
        <f t="shared" ca="1" si="627"/>
        <v>203.67953529900001</v>
      </c>
      <c r="CA985" s="476">
        <f t="shared" ca="1" si="646"/>
        <v>0</v>
      </c>
      <c r="CB985" s="494">
        <f ca="1">IF(OR($Q984&lt;&gt;1,OP!$D$5+$BN985-1&lt;16,$BN985-1&lt;1),0,ROUND(ROUND(ROUND(((VLOOKUP($BN985-1,MORE_PV,5,0)/10000)*VLOOKUP($BN985,MORE_PV,$CB$5,0)),3)*VLOOKUP($BN985,more1,5,0),0)/$R984,0))</f>
        <v>0</v>
      </c>
      <c r="CC985" s="473">
        <f t="shared" ca="1" si="647"/>
        <v>0</v>
      </c>
      <c r="CD985" s="477"/>
    </row>
    <row r="986" spans="2:82" ht="16.5" hidden="1">
      <c r="B986" s="80"/>
      <c r="C986" s="80"/>
      <c r="D986" s="80"/>
      <c r="E986" s="80"/>
      <c r="F986" s="80"/>
      <c r="G986" s="80"/>
      <c r="H986" s="80"/>
      <c r="I986" s="80"/>
      <c r="J986" s="192">
        <f t="shared" si="628"/>
        <v>82</v>
      </c>
      <c r="K986" s="192">
        <f t="shared" si="629"/>
        <v>6</v>
      </c>
      <c r="L986" s="192" t="str">
        <f t="shared" si="624"/>
        <v/>
      </c>
      <c r="M986" s="216" t="str">
        <f t="shared" ca="1" si="630"/>
        <v/>
      </c>
      <c r="N986" s="216"/>
      <c r="O986" s="216"/>
      <c r="P986" s="216"/>
      <c r="Q986" s="456">
        <f t="shared" ca="1" si="631"/>
        <v>1</v>
      </c>
      <c r="R986" s="450">
        <f t="shared" ca="1" si="632"/>
        <v>12</v>
      </c>
      <c r="S986" s="191">
        <f t="shared" si="633"/>
        <v>82</v>
      </c>
      <c r="T986" s="191">
        <f t="shared" si="634"/>
        <v>6</v>
      </c>
      <c r="U986" s="191">
        <f ca="1">OP!$D$5+$S986-1</f>
        <v>114</v>
      </c>
      <c r="V986" s="191" t="str">
        <f t="shared" si="635"/>
        <v/>
      </c>
      <c r="W986" s="350">
        <f ca="1">IF(Q986&lt;&gt;1,0,VLOOKUP(OP!$C$55,PVFB,$S986+2,0))</f>
        <v>0</v>
      </c>
      <c r="X986" s="473" t="str">
        <f t="shared" ca="1" si="648"/>
        <v/>
      </c>
      <c r="Y986" s="348">
        <f t="shared" ca="1" si="649"/>
        <v>0</v>
      </c>
      <c r="Z986" s="348">
        <f t="shared" ca="1" si="650"/>
        <v>8012</v>
      </c>
      <c r="AA986" s="348">
        <f ca="1">IF(Q986&lt;&gt;1,0,VLOOKUP(OP!$C$55,PVFB,$S986+2,0))</f>
        <v>0</v>
      </c>
      <c r="AB986" s="488" t="str">
        <f ca="1">IF(AND(S986&lt;OP!$C$24,$U986&lt;15),0,IF(AND($U986&lt;15,$T986=12),ROUND(VLOOKUP($S986,DOWN16,5,0),3),IF($T986=12,ROUND(($Z986/10000)*$AA986,3)+IF(AND($P$7="購買增額繳清保險",T986=12,U986=110),VLOOKUP(S986,$B$10:$H$121,7,0),0),"")))</f>
        <v/>
      </c>
      <c r="AC986" s="350" t="str">
        <f ca="1">IF(AND(S986&lt;OP!$C$24,$U986&lt;15),0,IF(AND($U986&lt;16,$T986=12),VLOOKUP($S986,DOWN16,4,0),IF($T986=12,ROUND(VLOOKUP(OP!$C$55,_DIE2,$S986+1,0)*(Z986/10000),0)+IF(AND($P$7="購買增額繳清保險",T986=12,U986=110),VLOOKUP(S986,$B$10:$H$121,7,0),0),"")))</f>
        <v/>
      </c>
      <c r="AD986" s="347"/>
      <c r="AE986" s="350" t="str">
        <f t="shared" ca="1" si="625"/>
        <v/>
      </c>
      <c r="AF986" s="351" t="str">
        <f t="shared" ca="1" si="626"/>
        <v/>
      </c>
      <c r="AG986" s="340"/>
      <c r="AH986" s="340"/>
      <c r="AI986" s="340"/>
      <c r="AJ986" s="340"/>
      <c r="AK986" s="340"/>
      <c r="AL986" s="340"/>
      <c r="AM986" s="340"/>
      <c r="AN986" s="340"/>
      <c r="AO986" s="340"/>
      <c r="AP986" s="340"/>
      <c r="AQ986" s="340"/>
      <c r="AR986" s="340"/>
      <c r="AS986" s="340"/>
      <c r="AT986" s="340"/>
      <c r="AU986" s="340"/>
      <c r="AV986" s="340"/>
      <c r="AY986" s="340"/>
      <c r="AZ986" s="465">
        <f t="shared" ca="1" si="636"/>
        <v>7.3698599999999999E-5</v>
      </c>
      <c r="BA986" s="464">
        <f t="shared" ca="1" si="637"/>
        <v>0</v>
      </c>
      <c r="BB986" s="465">
        <f t="shared" ca="1" si="637"/>
        <v>7.3698599999999999E-5</v>
      </c>
      <c r="BC986" s="466">
        <f t="shared" ca="1" si="638"/>
        <v>72625</v>
      </c>
      <c r="BD986" s="467">
        <f t="shared" ca="1" si="651"/>
        <v>72626</v>
      </c>
      <c r="BE986" s="467">
        <f t="shared" ca="1" si="639"/>
        <v>72654</v>
      </c>
      <c r="BF986" s="468">
        <f ca="1">IF(計算!$BC986&lt;OP!$C$3,0,BD986-BC986)</f>
        <v>1</v>
      </c>
      <c r="BG986" s="468">
        <f ca="1">IF($BE986&gt;DATE(YEAR($BD$9)+OP!$C$57,MONTH($BD$9),DAY($BD$9)),0,$BE986-$BD986+1)</f>
        <v>0</v>
      </c>
      <c r="BH986" s="469">
        <f t="shared" ca="1" si="640"/>
        <v>1</v>
      </c>
      <c r="BI986" t="str">
        <f t="shared" si="656"/>
        <v/>
      </c>
      <c r="BJ986">
        <v>5</v>
      </c>
      <c r="BN986" s="468">
        <f t="shared" si="652"/>
        <v>82</v>
      </c>
      <c r="BO986" s="468">
        <f t="shared" si="653"/>
        <v>5</v>
      </c>
      <c r="BP986" s="467">
        <f t="shared" ca="1" si="641"/>
        <v>72626</v>
      </c>
      <c r="BQ986" s="475">
        <f t="shared" ca="1" si="655"/>
        <v>114</v>
      </c>
      <c r="BR986" s="475" t="str">
        <f t="shared" si="654"/>
        <v/>
      </c>
      <c r="BS986" s="471" t="str">
        <f t="shared" si="642"/>
        <v/>
      </c>
      <c r="BT986" s="472" t="str">
        <f t="shared" si="657"/>
        <v/>
      </c>
      <c r="BU986" s="472">
        <f t="shared" ca="1" si="643"/>
        <v>0</v>
      </c>
      <c r="BV986" s="472">
        <f t="shared" ca="1" si="643"/>
        <v>0</v>
      </c>
      <c r="BW986" s="472"/>
      <c r="BX986" s="473">
        <f t="shared" ca="1" si="644"/>
        <v>2763886.2365841698</v>
      </c>
      <c r="BY986" s="473">
        <f t="shared" si="645"/>
        <v>0</v>
      </c>
      <c r="BZ986" s="473">
        <f t="shared" ca="1" si="627"/>
        <v>203.694546196</v>
      </c>
      <c r="CA986" s="476">
        <f t="shared" ca="1" si="646"/>
        <v>0</v>
      </c>
      <c r="CB986" s="494">
        <f ca="1">IF(OR($Q985&lt;&gt;1,OP!$D$5+$BN986-1&lt;16,$BN986-1&lt;1),0,ROUND(ROUND(ROUND(((VLOOKUP($BN986-1,MORE_PV,5,0)/10000)*VLOOKUP($BN986,MORE_PV,$CB$5,0)),3)*VLOOKUP($BN986,more1,5,0),0)/$R985,0))</f>
        <v>0</v>
      </c>
      <c r="CC986" s="473">
        <f t="shared" ca="1" si="647"/>
        <v>0</v>
      </c>
      <c r="CD986" s="477"/>
    </row>
    <row r="987" spans="2:82" ht="16.5" hidden="1">
      <c r="B987" s="80"/>
      <c r="C987" s="80"/>
      <c r="D987" s="80"/>
      <c r="E987" s="80"/>
      <c r="F987" s="80"/>
      <c r="G987" s="80"/>
      <c r="H987" s="80"/>
      <c r="I987" s="80"/>
      <c r="J987" s="192">
        <f t="shared" si="628"/>
        <v>82</v>
      </c>
      <c r="K987" s="192">
        <f t="shared" si="629"/>
        <v>7</v>
      </c>
      <c r="L987" s="192" t="str">
        <f t="shared" si="624"/>
        <v/>
      </c>
      <c r="M987" s="216" t="str">
        <f t="shared" ca="1" si="630"/>
        <v/>
      </c>
      <c r="N987" s="216"/>
      <c r="O987" s="216"/>
      <c r="P987" s="216"/>
      <c r="Q987" s="456">
        <f t="shared" ca="1" si="631"/>
        <v>1</v>
      </c>
      <c r="R987" s="450">
        <f t="shared" ca="1" si="632"/>
        <v>12</v>
      </c>
      <c r="S987" s="191">
        <f t="shared" si="633"/>
        <v>82</v>
      </c>
      <c r="T987" s="191">
        <f t="shared" si="634"/>
        <v>7</v>
      </c>
      <c r="U987" s="191">
        <f ca="1">OP!$D$5+$S987-1</f>
        <v>114</v>
      </c>
      <c r="V987" s="191" t="str">
        <f t="shared" si="635"/>
        <v/>
      </c>
      <c r="W987" s="350">
        <f ca="1">IF(Q987&lt;&gt;1,0,VLOOKUP(OP!$C$55,PVFB,$S987+2,0))</f>
        <v>0</v>
      </c>
      <c r="X987" s="473" t="str">
        <f t="shared" ca="1" si="648"/>
        <v/>
      </c>
      <c r="Y987" s="348">
        <f t="shared" ca="1" si="649"/>
        <v>0</v>
      </c>
      <c r="Z987" s="348">
        <f t="shared" ca="1" si="650"/>
        <v>8012</v>
      </c>
      <c r="AA987" s="348">
        <f ca="1">IF(Q987&lt;&gt;1,0,VLOOKUP(OP!$C$55,PVFB,$S987+2,0))</f>
        <v>0</v>
      </c>
      <c r="AB987" s="488" t="str">
        <f ca="1">IF(AND(S987&lt;OP!$C$24,$U987&lt;15),0,IF(AND($U987&lt;15,$T987=12),ROUND(VLOOKUP($S987,DOWN16,5,0),3),IF($T987=12,ROUND(($Z987/10000)*$AA987,3)+IF(AND($P$7="購買增額繳清保險",T987=12,U987=110),VLOOKUP(S987,$B$10:$H$121,7,0),0),"")))</f>
        <v/>
      </c>
      <c r="AC987" s="350" t="str">
        <f ca="1">IF(AND(S987&lt;OP!$C$24,$U987&lt;15),0,IF(AND($U987&lt;16,$T987=12),VLOOKUP($S987,DOWN16,4,0),IF($T987=12,ROUND(VLOOKUP(OP!$C$55,_DIE2,$S987+1,0)*(Z987/10000),0)+IF(AND($P$7="購買增額繳清保險",T987=12,U987=110),VLOOKUP(S987,$B$10:$H$121,7,0),0),"")))</f>
        <v/>
      </c>
      <c r="AD987" s="347"/>
      <c r="AE987" s="350" t="str">
        <f t="shared" ca="1" si="625"/>
        <v/>
      </c>
      <c r="AF987" s="351" t="str">
        <f t="shared" ca="1" si="626"/>
        <v/>
      </c>
      <c r="AG987" s="340"/>
      <c r="AH987" s="340"/>
      <c r="AI987" s="340"/>
      <c r="AJ987" s="340"/>
      <c r="AK987" s="340"/>
      <c r="AL987" s="340"/>
      <c r="AM987" s="340"/>
      <c r="AN987" s="340"/>
      <c r="AO987" s="340"/>
      <c r="AP987" s="340"/>
      <c r="AQ987" s="340"/>
      <c r="AR987" s="340"/>
      <c r="AS987" s="340"/>
      <c r="AT987" s="340"/>
      <c r="AU987" s="340"/>
      <c r="AV987" s="340"/>
      <c r="AY987" s="340"/>
      <c r="AZ987" s="465">
        <f t="shared" ca="1" si="636"/>
        <v>7.3698599999999999E-5</v>
      </c>
      <c r="BA987" s="464">
        <f t="shared" ca="1" si="637"/>
        <v>0</v>
      </c>
      <c r="BB987" s="465">
        <f t="shared" ca="1" si="637"/>
        <v>7.3698599999999999E-5</v>
      </c>
      <c r="BC987" s="466">
        <f t="shared" ca="1" si="638"/>
        <v>72655</v>
      </c>
      <c r="BD987" s="467">
        <f t="shared" ca="1" si="651"/>
        <v>72656</v>
      </c>
      <c r="BE987" s="467">
        <f t="shared" ca="1" si="639"/>
        <v>72685</v>
      </c>
      <c r="BF987" s="468">
        <f ca="1">IF(計算!$BC987&lt;OP!$C$3,0,BD987-BC987)</f>
        <v>1</v>
      </c>
      <c r="BG987" s="468">
        <f ca="1">IF($BE987&gt;DATE(YEAR($BD$9)+OP!$C$57,MONTH($BD$9),DAY($BD$9)),0,$BE987-$BD987+1)</f>
        <v>0</v>
      </c>
      <c r="BH987" s="469">
        <f t="shared" ca="1" si="640"/>
        <v>1</v>
      </c>
      <c r="BI987" t="str">
        <f t="shared" si="656"/>
        <v/>
      </c>
      <c r="BJ987">
        <v>6</v>
      </c>
      <c r="BN987" s="468">
        <f t="shared" si="652"/>
        <v>82</v>
      </c>
      <c r="BO987" s="468">
        <f t="shared" si="653"/>
        <v>6</v>
      </c>
      <c r="BP987" s="467">
        <f t="shared" ca="1" si="641"/>
        <v>72656</v>
      </c>
      <c r="BQ987" s="475">
        <f t="shared" ca="1" si="655"/>
        <v>114</v>
      </c>
      <c r="BR987" s="475" t="str">
        <f t="shared" si="654"/>
        <v/>
      </c>
      <c r="BS987" s="471" t="str">
        <f t="shared" si="642"/>
        <v/>
      </c>
      <c r="BT987" s="472" t="str">
        <f t="shared" si="657"/>
        <v/>
      </c>
      <c r="BU987" s="472">
        <f t="shared" ca="1" si="643"/>
        <v>0</v>
      </c>
      <c r="BV987" s="472">
        <f t="shared" ca="1" si="643"/>
        <v>0</v>
      </c>
      <c r="BW987" s="472"/>
      <c r="BX987" s="473">
        <f t="shared" ca="1" si="644"/>
        <v>2764089.9311303701</v>
      </c>
      <c r="BY987" s="473">
        <f t="shared" si="645"/>
        <v>0</v>
      </c>
      <c r="BZ987" s="473">
        <f t="shared" ca="1" si="627"/>
        <v>203.709558198</v>
      </c>
      <c r="CA987" s="476">
        <f t="shared" ca="1" si="646"/>
        <v>0</v>
      </c>
      <c r="CB987" s="494">
        <f ca="1">IF(OR($Q986&lt;&gt;1,OP!$D$5+$BN987-1&lt;16,$BN987-1&lt;1),0,ROUND(ROUND(ROUND(((VLOOKUP($BN987-1,MORE_PV,5,0)/10000)*VLOOKUP($BN987,MORE_PV,$CB$5,0)),3)*VLOOKUP($BN987,more1,5,0),0)/$R986,0))</f>
        <v>0</v>
      </c>
      <c r="CC987" s="473">
        <f t="shared" ca="1" si="647"/>
        <v>0</v>
      </c>
      <c r="CD987" s="477"/>
    </row>
    <row r="988" spans="2:82" ht="16.5" hidden="1">
      <c r="B988" s="80"/>
      <c r="C988" s="80"/>
      <c r="D988" s="80"/>
      <c r="E988" s="80"/>
      <c r="F988" s="80"/>
      <c r="G988" s="80"/>
      <c r="H988" s="80"/>
      <c r="I988" s="80"/>
      <c r="J988" s="192">
        <f t="shared" si="628"/>
        <v>82</v>
      </c>
      <c r="K988" s="192">
        <f t="shared" si="629"/>
        <v>8</v>
      </c>
      <c r="L988" s="192" t="str">
        <f t="shared" si="624"/>
        <v/>
      </c>
      <c r="M988" s="216" t="str">
        <f t="shared" ca="1" si="630"/>
        <v/>
      </c>
      <c r="N988" s="216"/>
      <c r="O988" s="216"/>
      <c r="P988" s="216"/>
      <c r="Q988" s="456">
        <f t="shared" ca="1" si="631"/>
        <v>1</v>
      </c>
      <c r="R988" s="450">
        <f t="shared" ca="1" si="632"/>
        <v>12</v>
      </c>
      <c r="S988" s="191">
        <f t="shared" si="633"/>
        <v>82</v>
      </c>
      <c r="T988" s="191">
        <f t="shared" si="634"/>
        <v>8</v>
      </c>
      <c r="U988" s="191">
        <f ca="1">OP!$D$5+$S988-1</f>
        <v>114</v>
      </c>
      <c r="V988" s="191" t="str">
        <f t="shared" si="635"/>
        <v/>
      </c>
      <c r="W988" s="350">
        <f ca="1">IF(Q988&lt;&gt;1,0,VLOOKUP(OP!$C$55,PVFB,$S988+2,0))</f>
        <v>0</v>
      </c>
      <c r="X988" s="473" t="str">
        <f t="shared" ca="1" si="648"/>
        <v/>
      </c>
      <c r="Y988" s="348">
        <f t="shared" ca="1" si="649"/>
        <v>0</v>
      </c>
      <c r="Z988" s="348">
        <f t="shared" ca="1" si="650"/>
        <v>8012</v>
      </c>
      <c r="AA988" s="348">
        <f ca="1">IF(Q988&lt;&gt;1,0,VLOOKUP(OP!$C$55,PVFB,$S988+2,0))</f>
        <v>0</v>
      </c>
      <c r="AB988" s="488" t="str">
        <f ca="1">IF(AND(S988&lt;OP!$C$24,$U988&lt;15),0,IF(AND($U988&lt;15,$T988=12),ROUND(VLOOKUP($S988,DOWN16,5,0),3),IF($T988=12,ROUND(($Z988/10000)*$AA988,3)+IF(AND($P$7="購買增額繳清保險",T988=12,U988=110),VLOOKUP(S988,$B$10:$H$121,7,0),0),"")))</f>
        <v/>
      </c>
      <c r="AC988" s="350" t="str">
        <f ca="1">IF(AND(S988&lt;OP!$C$24,$U988&lt;15),0,IF(AND($U988&lt;16,$T988=12),VLOOKUP($S988,DOWN16,4,0),IF($T988=12,ROUND(VLOOKUP(OP!$C$55,_DIE2,$S988+1,0)*(Z988/10000),0)+IF(AND($P$7="購買增額繳清保險",T988=12,U988=110),VLOOKUP(S988,$B$10:$H$121,7,0),0),"")))</f>
        <v/>
      </c>
      <c r="AD988" s="347"/>
      <c r="AE988" s="350" t="str">
        <f t="shared" ca="1" si="625"/>
        <v/>
      </c>
      <c r="AF988" s="351" t="str">
        <f t="shared" ca="1" si="626"/>
        <v/>
      </c>
      <c r="AG988" s="340"/>
      <c r="AH988" s="340"/>
      <c r="AI988" s="340"/>
      <c r="AJ988" s="340"/>
      <c r="AK988" s="340"/>
      <c r="AL988" s="340"/>
      <c r="AM988" s="340"/>
      <c r="AN988" s="340"/>
      <c r="AO988" s="340"/>
      <c r="AP988" s="340"/>
      <c r="AQ988" s="340"/>
      <c r="AR988" s="340"/>
      <c r="AS988" s="340"/>
      <c r="AT988" s="340"/>
      <c r="AU988" s="340"/>
      <c r="AV988" s="340"/>
      <c r="AY988" s="340"/>
      <c r="AZ988" s="465">
        <f t="shared" ca="1" si="636"/>
        <v>7.3698599999999999E-5</v>
      </c>
      <c r="BA988" s="464">
        <f t="shared" ca="1" si="637"/>
        <v>0</v>
      </c>
      <c r="BB988" s="465">
        <f t="shared" ca="1" si="637"/>
        <v>7.3698599999999999E-5</v>
      </c>
      <c r="BC988" s="466">
        <f t="shared" ca="1" si="638"/>
        <v>72686</v>
      </c>
      <c r="BD988" s="467">
        <f t="shared" ca="1" si="651"/>
        <v>72687</v>
      </c>
      <c r="BE988" s="467">
        <f t="shared" ca="1" si="639"/>
        <v>72716</v>
      </c>
      <c r="BF988" s="468">
        <f ca="1">IF(計算!$BC988&lt;OP!$C$3,0,BD988-BC988)</f>
        <v>1</v>
      </c>
      <c r="BG988" s="468">
        <f ca="1">IF($BE988&gt;DATE(YEAR($BD$9)+OP!$C$57,MONTH($BD$9),DAY($BD$9)),0,$BE988-$BD988+1)</f>
        <v>0</v>
      </c>
      <c r="BH988" s="469">
        <f t="shared" ca="1" si="640"/>
        <v>1</v>
      </c>
      <c r="BI988" t="str">
        <f t="shared" si="656"/>
        <v/>
      </c>
      <c r="BJ988">
        <v>7</v>
      </c>
      <c r="BN988" s="468">
        <f t="shared" si="652"/>
        <v>82</v>
      </c>
      <c r="BO988" s="468">
        <f t="shared" si="653"/>
        <v>7</v>
      </c>
      <c r="BP988" s="467">
        <f t="shared" ca="1" si="641"/>
        <v>72687</v>
      </c>
      <c r="BQ988" s="475">
        <f t="shared" ca="1" si="655"/>
        <v>114</v>
      </c>
      <c r="BR988" s="475" t="str">
        <f t="shared" si="654"/>
        <v/>
      </c>
      <c r="BS988" s="471" t="str">
        <f t="shared" si="642"/>
        <v/>
      </c>
      <c r="BT988" s="472" t="str">
        <f t="shared" si="657"/>
        <v/>
      </c>
      <c r="BU988" s="472">
        <f t="shared" ca="1" si="643"/>
        <v>0</v>
      </c>
      <c r="BV988" s="472">
        <f t="shared" ca="1" si="643"/>
        <v>0</v>
      </c>
      <c r="BW988" s="472"/>
      <c r="BX988" s="473">
        <f t="shared" ca="1" si="644"/>
        <v>2764293.6406885702</v>
      </c>
      <c r="BY988" s="473">
        <f t="shared" si="645"/>
        <v>0</v>
      </c>
      <c r="BZ988" s="473">
        <f t="shared" ca="1" si="627"/>
        <v>203.72457130800001</v>
      </c>
      <c r="CA988" s="476">
        <f t="shared" ca="1" si="646"/>
        <v>0</v>
      </c>
      <c r="CB988" s="494">
        <f ca="1">IF(OR($Q987&lt;&gt;1,OP!$D$5+$BN988-1&lt;16,$BN988-1&lt;1),0,ROUND(ROUND(ROUND(((VLOOKUP($BN988-1,MORE_PV,5,0)/10000)*VLOOKUP($BN988,MORE_PV,$CB$5,0)),3)*VLOOKUP($BN988,more1,5,0),0)/$R987,0))</f>
        <v>0</v>
      </c>
      <c r="CC988" s="473">
        <f t="shared" ca="1" si="647"/>
        <v>0</v>
      </c>
      <c r="CD988" s="477"/>
    </row>
    <row r="989" spans="2:82" ht="16.5" hidden="1">
      <c r="B989" s="80"/>
      <c r="C989" s="80"/>
      <c r="D989" s="80"/>
      <c r="E989" s="80"/>
      <c r="F989" s="80"/>
      <c r="G989" s="80"/>
      <c r="H989" s="80"/>
      <c r="I989" s="80"/>
      <c r="J989" s="192">
        <f t="shared" si="628"/>
        <v>82</v>
      </c>
      <c r="K989" s="192">
        <f t="shared" si="629"/>
        <v>9</v>
      </c>
      <c r="L989" s="192" t="str">
        <f t="shared" si="624"/>
        <v/>
      </c>
      <c r="M989" s="216" t="str">
        <f t="shared" ca="1" si="630"/>
        <v/>
      </c>
      <c r="N989" s="216"/>
      <c r="O989" s="216"/>
      <c r="P989" s="216"/>
      <c r="Q989" s="456">
        <f t="shared" ca="1" si="631"/>
        <v>1</v>
      </c>
      <c r="R989" s="450">
        <f t="shared" ca="1" si="632"/>
        <v>12</v>
      </c>
      <c r="S989" s="191">
        <f t="shared" si="633"/>
        <v>82</v>
      </c>
      <c r="T989" s="191">
        <f t="shared" si="634"/>
        <v>9</v>
      </c>
      <c r="U989" s="191">
        <f ca="1">OP!$D$5+$S989-1</f>
        <v>114</v>
      </c>
      <c r="V989" s="191" t="str">
        <f t="shared" si="635"/>
        <v/>
      </c>
      <c r="W989" s="350">
        <f ca="1">IF(Q989&lt;&gt;1,0,VLOOKUP(OP!$C$55,PVFB,$S989+2,0))</f>
        <v>0</v>
      </c>
      <c r="X989" s="473" t="str">
        <f t="shared" ca="1" si="648"/>
        <v/>
      </c>
      <c r="Y989" s="348">
        <f t="shared" ca="1" si="649"/>
        <v>0</v>
      </c>
      <c r="Z989" s="348">
        <f t="shared" ca="1" si="650"/>
        <v>8012</v>
      </c>
      <c r="AA989" s="348">
        <f ca="1">IF(Q989&lt;&gt;1,0,VLOOKUP(OP!$C$55,PVFB,$S989+2,0))</f>
        <v>0</v>
      </c>
      <c r="AB989" s="488" t="str">
        <f ca="1">IF(AND(S989&lt;OP!$C$24,$U989&lt;15),0,IF(AND($U989&lt;15,$T989=12),ROUND(VLOOKUP($S989,DOWN16,5,0),3),IF($T989=12,ROUND(($Z989/10000)*$AA989,3)+IF(AND($P$7="購買增額繳清保險",T989=12,U989=110),VLOOKUP(S989,$B$10:$H$121,7,0),0),"")))</f>
        <v/>
      </c>
      <c r="AC989" s="350" t="str">
        <f ca="1">IF(AND(S989&lt;OP!$C$24,$U989&lt;15),0,IF(AND($U989&lt;16,$T989=12),VLOOKUP($S989,DOWN16,4,0),IF($T989=12,ROUND(VLOOKUP(OP!$C$55,_DIE2,$S989+1,0)*(Z989/10000),0)+IF(AND($P$7="購買增額繳清保險",T989=12,U989=110),VLOOKUP(S989,$B$10:$H$121,7,0),0),"")))</f>
        <v/>
      </c>
      <c r="AD989" s="347"/>
      <c r="AE989" s="350" t="str">
        <f t="shared" ca="1" si="625"/>
        <v/>
      </c>
      <c r="AF989" s="351" t="str">
        <f t="shared" ca="1" si="626"/>
        <v/>
      </c>
      <c r="AG989" s="340"/>
      <c r="AH989" s="340"/>
      <c r="AI989" s="340"/>
      <c r="AJ989" s="340"/>
      <c r="AK989" s="340"/>
      <c r="AL989" s="340"/>
      <c r="AM989" s="340"/>
      <c r="AN989" s="340"/>
      <c r="AO989" s="340"/>
      <c r="AP989" s="340"/>
      <c r="AQ989" s="340"/>
      <c r="AR989" s="340"/>
      <c r="AS989" s="340"/>
      <c r="AT989" s="340"/>
      <c r="AU989" s="340"/>
      <c r="AV989" s="340"/>
      <c r="AY989" s="340"/>
      <c r="AZ989" s="465">
        <f t="shared" ca="1" si="636"/>
        <v>7.3698599999999999E-5</v>
      </c>
      <c r="BA989" s="464">
        <f t="shared" ca="1" si="637"/>
        <v>0</v>
      </c>
      <c r="BB989" s="465">
        <f t="shared" ca="1" si="637"/>
        <v>7.3698599999999999E-5</v>
      </c>
      <c r="BC989" s="466">
        <f t="shared" ca="1" si="638"/>
        <v>72717</v>
      </c>
      <c r="BD989" s="467">
        <f t="shared" ca="1" si="651"/>
        <v>72718</v>
      </c>
      <c r="BE989" s="467">
        <f t="shared" ca="1" si="639"/>
        <v>72744</v>
      </c>
      <c r="BF989" s="468">
        <f ca="1">IF(計算!$BC989&lt;OP!$C$3,0,BD989-BC989)</f>
        <v>1</v>
      </c>
      <c r="BG989" s="468">
        <f ca="1">IF($BE989&gt;DATE(YEAR($BD$9)+OP!$C$57,MONTH($BD$9),DAY($BD$9)),0,$BE989-$BD989+1)</f>
        <v>0</v>
      </c>
      <c r="BH989" s="469">
        <f t="shared" ca="1" si="640"/>
        <v>1</v>
      </c>
      <c r="BI989" t="str">
        <f t="shared" si="656"/>
        <v/>
      </c>
      <c r="BJ989">
        <v>8</v>
      </c>
      <c r="BN989" s="468">
        <f t="shared" si="652"/>
        <v>82</v>
      </c>
      <c r="BO989" s="468">
        <f t="shared" si="653"/>
        <v>8</v>
      </c>
      <c r="BP989" s="467">
        <f t="shared" ca="1" si="641"/>
        <v>72718</v>
      </c>
      <c r="BQ989" s="475">
        <f t="shared" ca="1" si="655"/>
        <v>114</v>
      </c>
      <c r="BR989" s="475" t="str">
        <f t="shared" si="654"/>
        <v/>
      </c>
      <c r="BS989" s="471" t="str">
        <f t="shared" si="642"/>
        <v/>
      </c>
      <c r="BT989" s="472" t="str">
        <f t="shared" si="657"/>
        <v/>
      </c>
      <c r="BU989" s="472">
        <f t="shared" ca="1" si="643"/>
        <v>0</v>
      </c>
      <c r="BV989" s="472">
        <f t="shared" ca="1" si="643"/>
        <v>0</v>
      </c>
      <c r="BW989" s="472"/>
      <c r="BX989" s="473">
        <f t="shared" ca="1" si="644"/>
        <v>2764497.3652598802</v>
      </c>
      <c r="BY989" s="473">
        <f t="shared" si="645"/>
        <v>0</v>
      </c>
      <c r="BZ989" s="473">
        <f t="shared" ca="1" si="627"/>
        <v>203.73958552299999</v>
      </c>
      <c r="CA989" s="476">
        <f t="shared" ca="1" si="646"/>
        <v>0</v>
      </c>
      <c r="CB989" s="494">
        <f ca="1">IF(OR($Q988&lt;&gt;1,OP!$D$5+$BN989-1&lt;16,$BN989-1&lt;1),0,ROUND(ROUND(ROUND(((VLOOKUP($BN989-1,MORE_PV,5,0)/10000)*VLOOKUP($BN989,MORE_PV,$CB$5,0)),3)*VLOOKUP($BN989,more1,5,0),0)/$R988,0))</f>
        <v>0</v>
      </c>
      <c r="CC989" s="473">
        <f t="shared" ca="1" si="647"/>
        <v>0</v>
      </c>
      <c r="CD989" s="477"/>
    </row>
    <row r="990" spans="2:82" ht="16.5" hidden="1">
      <c r="B990" s="80"/>
      <c r="C990" s="80"/>
      <c r="D990" s="80"/>
      <c r="E990" s="80"/>
      <c r="F990" s="80"/>
      <c r="G990" s="80"/>
      <c r="H990" s="80"/>
      <c r="I990" s="80"/>
      <c r="J990" s="192">
        <f t="shared" si="628"/>
        <v>82</v>
      </c>
      <c r="K990" s="192">
        <f t="shared" si="629"/>
        <v>10</v>
      </c>
      <c r="L990" s="192" t="str">
        <f t="shared" si="624"/>
        <v/>
      </c>
      <c r="M990" s="216" t="str">
        <f t="shared" ca="1" si="630"/>
        <v/>
      </c>
      <c r="N990" s="216"/>
      <c r="O990" s="216"/>
      <c r="P990" s="216"/>
      <c r="Q990" s="456">
        <f t="shared" ca="1" si="631"/>
        <v>1</v>
      </c>
      <c r="R990" s="450">
        <f t="shared" ca="1" si="632"/>
        <v>12</v>
      </c>
      <c r="S990" s="191">
        <f t="shared" si="633"/>
        <v>82</v>
      </c>
      <c r="T990" s="191">
        <f t="shared" si="634"/>
        <v>10</v>
      </c>
      <c r="U990" s="191">
        <f ca="1">OP!$D$5+$S990-1</f>
        <v>114</v>
      </c>
      <c r="V990" s="191" t="str">
        <f t="shared" si="635"/>
        <v/>
      </c>
      <c r="W990" s="350">
        <f ca="1">IF(Q990&lt;&gt;1,0,VLOOKUP(OP!$C$55,PVFB,$S990+2,0))</f>
        <v>0</v>
      </c>
      <c r="X990" s="473" t="str">
        <f t="shared" ca="1" si="648"/>
        <v/>
      </c>
      <c r="Y990" s="348">
        <f t="shared" ca="1" si="649"/>
        <v>0</v>
      </c>
      <c r="Z990" s="348">
        <f t="shared" ca="1" si="650"/>
        <v>8012</v>
      </c>
      <c r="AA990" s="348">
        <f ca="1">IF(Q990&lt;&gt;1,0,VLOOKUP(OP!$C$55,PVFB,$S990+2,0))</f>
        <v>0</v>
      </c>
      <c r="AB990" s="488" t="str">
        <f ca="1">IF(AND(S990&lt;OP!$C$24,$U990&lt;15),0,IF(AND($U990&lt;15,$T990=12),ROUND(VLOOKUP($S990,DOWN16,5,0),3),IF($T990=12,ROUND(($Z990/10000)*$AA990,3)+IF(AND($P$7="購買增額繳清保險",T990=12,U990=110),VLOOKUP(S990,$B$10:$H$121,7,0),0),"")))</f>
        <v/>
      </c>
      <c r="AC990" s="350" t="str">
        <f ca="1">IF(AND(S990&lt;OP!$C$24,$U990&lt;15),0,IF(AND($U990&lt;16,$T990=12),VLOOKUP($S990,DOWN16,4,0),IF($T990=12,ROUND(VLOOKUP(OP!$C$55,_DIE2,$S990+1,0)*(Z990/10000),0)+IF(AND($P$7="購買增額繳清保險",T990=12,U990=110),VLOOKUP(S990,$B$10:$H$121,7,0),0),"")))</f>
        <v/>
      </c>
      <c r="AD990" s="347"/>
      <c r="AE990" s="350" t="str">
        <f t="shared" ca="1" si="625"/>
        <v/>
      </c>
      <c r="AF990" s="351" t="str">
        <f t="shared" ca="1" si="626"/>
        <v/>
      </c>
      <c r="AG990" s="340"/>
      <c r="AH990" s="340"/>
      <c r="AI990" s="340"/>
      <c r="AJ990" s="340"/>
      <c r="AK990" s="340"/>
      <c r="AL990" s="340"/>
      <c r="AM990" s="340"/>
      <c r="AN990" s="340"/>
      <c r="AO990" s="340"/>
      <c r="AP990" s="340"/>
      <c r="AQ990" s="340"/>
      <c r="AR990" s="340"/>
      <c r="AS990" s="340"/>
      <c r="AT990" s="340"/>
      <c r="AU990" s="340"/>
      <c r="AV990" s="340"/>
      <c r="AY990" s="340"/>
      <c r="AZ990" s="465">
        <f t="shared" ca="1" si="636"/>
        <v>7.3698599999999999E-5</v>
      </c>
      <c r="BA990" s="464">
        <f t="shared" ca="1" si="637"/>
        <v>0</v>
      </c>
      <c r="BB990" s="465">
        <f t="shared" ca="1" si="637"/>
        <v>7.3698599999999999E-5</v>
      </c>
      <c r="BC990" s="466">
        <f t="shared" ca="1" si="638"/>
        <v>72745</v>
      </c>
      <c r="BD990" s="467">
        <f t="shared" ca="1" si="651"/>
        <v>72746</v>
      </c>
      <c r="BE990" s="467">
        <f t="shared" ca="1" si="639"/>
        <v>72775</v>
      </c>
      <c r="BF990" s="468">
        <f ca="1">IF(計算!$BC990&lt;OP!$C$3,0,BD990-BC990)</f>
        <v>1</v>
      </c>
      <c r="BG990" s="468">
        <f ca="1">IF($BE990&gt;DATE(YEAR($BD$9)+OP!$C$57,MONTH($BD$9),DAY($BD$9)),0,$BE990-$BD990+1)</f>
        <v>0</v>
      </c>
      <c r="BH990" s="469">
        <f t="shared" ca="1" si="640"/>
        <v>1</v>
      </c>
      <c r="BI990" t="str">
        <f t="shared" si="656"/>
        <v/>
      </c>
      <c r="BJ990">
        <v>9</v>
      </c>
      <c r="BN990" s="468">
        <f t="shared" si="652"/>
        <v>82</v>
      </c>
      <c r="BO990" s="468">
        <f t="shared" si="653"/>
        <v>9</v>
      </c>
      <c r="BP990" s="467">
        <f t="shared" ca="1" si="641"/>
        <v>72746</v>
      </c>
      <c r="BQ990" s="475">
        <f t="shared" ca="1" si="655"/>
        <v>114</v>
      </c>
      <c r="BR990" s="475" t="str">
        <f t="shared" si="654"/>
        <v/>
      </c>
      <c r="BS990" s="471" t="str">
        <f t="shared" si="642"/>
        <v/>
      </c>
      <c r="BT990" s="472" t="str">
        <f t="shared" si="657"/>
        <v/>
      </c>
      <c r="BU990" s="472">
        <f t="shared" ca="1" si="643"/>
        <v>0</v>
      </c>
      <c r="BV990" s="472">
        <f t="shared" ca="1" si="643"/>
        <v>0</v>
      </c>
      <c r="BW990" s="472"/>
      <c r="BX990" s="473">
        <f t="shared" ca="1" si="644"/>
        <v>2764701.1048454</v>
      </c>
      <c r="BY990" s="473">
        <f t="shared" si="645"/>
        <v>0</v>
      </c>
      <c r="BZ990" s="473">
        <f t="shared" ca="1" si="627"/>
        <v>203.75460084599999</v>
      </c>
      <c r="CA990" s="476">
        <f t="shared" ca="1" si="646"/>
        <v>0</v>
      </c>
      <c r="CB990" s="494">
        <f ca="1">IF(OR($Q989&lt;&gt;1,OP!$D$5+$BN990-1&lt;16,$BN990-1&lt;1),0,ROUND(ROUND(ROUND(((VLOOKUP($BN990-1,MORE_PV,5,0)/10000)*VLOOKUP($BN990,MORE_PV,$CB$5,0)),3)*VLOOKUP($BN990,more1,5,0),0)/$R989,0))</f>
        <v>0</v>
      </c>
      <c r="CC990" s="473">
        <f t="shared" ca="1" si="647"/>
        <v>0</v>
      </c>
      <c r="CD990" s="477"/>
    </row>
    <row r="991" spans="2:82" ht="16.5" hidden="1">
      <c r="B991" s="80"/>
      <c r="C991" s="80"/>
      <c r="D991" s="80"/>
      <c r="E991" s="80"/>
      <c r="F991" s="80"/>
      <c r="G991" s="80"/>
      <c r="H991" s="80"/>
      <c r="I991" s="80"/>
      <c r="J991" s="192">
        <f t="shared" si="628"/>
        <v>82</v>
      </c>
      <c r="K991" s="192">
        <f t="shared" si="629"/>
        <v>11</v>
      </c>
      <c r="L991" s="192" t="str">
        <f t="shared" si="624"/>
        <v/>
      </c>
      <c r="M991" s="216" t="str">
        <f t="shared" ca="1" si="630"/>
        <v/>
      </c>
      <c r="N991" s="216"/>
      <c r="O991" s="216"/>
      <c r="P991" s="216"/>
      <c r="Q991" s="456">
        <f t="shared" ca="1" si="631"/>
        <v>1</v>
      </c>
      <c r="R991" s="450">
        <f t="shared" ca="1" si="632"/>
        <v>12</v>
      </c>
      <c r="S991" s="191">
        <f t="shared" si="633"/>
        <v>82</v>
      </c>
      <c r="T991" s="191">
        <f t="shared" si="634"/>
        <v>11</v>
      </c>
      <c r="U991" s="191">
        <f ca="1">OP!$D$5+$S991-1</f>
        <v>114</v>
      </c>
      <c r="V991" s="191" t="str">
        <f t="shared" si="635"/>
        <v/>
      </c>
      <c r="W991" s="350">
        <f ca="1">IF(Q991&lt;&gt;1,0,VLOOKUP(OP!$C$55,PVFB,$S991+2,0))</f>
        <v>0</v>
      </c>
      <c r="X991" s="473" t="str">
        <f t="shared" ca="1" si="648"/>
        <v/>
      </c>
      <c r="Y991" s="348">
        <f t="shared" ca="1" si="649"/>
        <v>0</v>
      </c>
      <c r="Z991" s="348">
        <f t="shared" ca="1" si="650"/>
        <v>8012</v>
      </c>
      <c r="AA991" s="348">
        <f ca="1">IF(Q991&lt;&gt;1,0,VLOOKUP(OP!$C$55,PVFB,$S991+2,0))</f>
        <v>0</v>
      </c>
      <c r="AB991" s="488" t="str">
        <f ca="1">IF(AND(S991&lt;OP!$C$24,$U991&lt;15),0,IF(AND($U991&lt;15,$T991=12),ROUND(VLOOKUP($S991,DOWN16,5,0),3),IF($T991=12,ROUND(($Z991/10000)*$AA991,3)+IF(AND($P$7="購買增額繳清保險",T991=12,U991=110),VLOOKUP(S991,$B$10:$H$121,7,0),0),"")))</f>
        <v/>
      </c>
      <c r="AC991" s="350" t="str">
        <f ca="1">IF(AND(S991&lt;OP!$C$24,$U991&lt;15),0,IF(AND($U991&lt;16,$T991=12),VLOOKUP($S991,DOWN16,4,0),IF($T991=12,ROUND(VLOOKUP(OP!$C$55,_DIE2,$S991+1,0)*(Z991/10000),0)+IF(AND($P$7="購買增額繳清保險",T991=12,U991=110),VLOOKUP(S991,$B$10:$H$121,7,0),0),"")))</f>
        <v/>
      </c>
      <c r="AD991" s="347"/>
      <c r="AE991" s="350" t="str">
        <f t="shared" ca="1" si="625"/>
        <v/>
      </c>
      <c r="AF991" s="351" t="str">
        <f t="shared" ca="1" si="626"/>
        <v/>
      </c>
      <c r="AG991" s="340"/>
      <c r="AH991" s="340"/>
      <c r="AI991" s="340"/>
      <c r="AJ991" s="340"/>
      <c r="AK991" s="340"/>
      <c r="AL991" s="340"/>
      <c r="AM991" s="340"/>
      <c r="AN991" s="340"/>
      <c r="AO991" s="340"/>
      <c r="AP991" s="340"/>
      <c r="AQ991" s="340"/>
      <c r="AR991" s="340"/>
      <c r="AS991" s="340"/>
      <c r="AT991" s="340"/>
      <c r="AU991" s="340"/>
      <c r="AV991" s="340"/>
      <c r="AY991" s="340"/>
      <c r="AZ991" s="465">
        <f t="shared" ca="1" si="636"/>
        <v>7.3698599999999999E-5</v>
      </c>
      <c r="BA991" s="464">
        <f t="shared" ca="1" si="637"/>
        <v>0</v>
      </c>
      <c r="BB991" s="465">
        <f t="shared" ca="1" si="637"/>
        <v>7.3698599999999999E-5</v>
      </c>
      <c r="BC991" s="466">
        <f t="shared" ca="1" si="638"/>
        <v>72776</v>
      </c>
      <c r="BD991" s="467">
        <f t="shared" ca="1" si="651"/>
        <v>72777</v>
      </c>
      <c r="BE991" s="467">
        <f t="shared" ca="1" si="639"/>
        <v>72805</v>
      </c>
      <c r="BF991" s="468">
        <f ca="1">IF(計算!$BC991&lt;OP!$C$3,0,BD991-BC991)</f>
        <v>1</v>
      </c>
      <c r="BG991" s="468">
        <f ca="1">IF($BE991&gt;DATE(YEAR($BD$9)+OP!$C$57,MONTH($BD$9),DAY($BD$9)),0,$BE991-$BD991+1)</f>
        <v>0</v>
      </c>
      <c r="BH991" s="469">
        <f t="shared" ca="1" si="640"/>
        <v>1</v>
      </c>
      <c r="BI991" t="str">
        <f t="shared" si="656"/>
        <v/>
      </c>
      <c r="BJ991">
        <v>10</v>
      </c>
      <c r="BN991" s="468">
        <f t="shared" si="652"/>
        <v>82</v>
      </c>
      <c r="BO991" s="468">
        <f t="shared" si="653"/>
        <v>10</v>
      </c>
      <c r="BP991" s="467">
        <f t="shared" ca="1" si="641"/>
        <v>72777</v>
      </c>
      <c r="BQ991" s="475">
        <f t="shared" ca="1" si="655"/>
        <v>114</v>
      </c>
      <c r="BR991" s="475" t="str">
        <f t="shared" si="654"/>
        <v/>
      </c>
      <c r="BS991" s="471" t="str">
        <f t="shared" si="642"/>
        <v/>
      </c>
      <c r="BT991" s="472" t="str">
        <f t="shared" si="657"/>
        <v/>
      </c>
      <c r="BU991" s="472">
        <f t="shared" ca="1" si="643"/>
        <v>0</v>
      </c>
      <c r="BV991" s="472">
        <f t="shared" ca="1" si="643"/>
        <v>0</v>
      </c>
      <c r="BW991" s="472"/>
      <c r="BX991" s="473">
        <f t="shared" ca="1" si="644"/>
        <v>2764904.8594462499</v>
      </c>
      <c r="BY991" s="473">
        <f t="shared" si="645"/>
        <v>0</v>
      </c>
      <c r="BZ991" s="473">
        <f t="shared" ca="1" si="627"/>
        <v>203.76961727400001</v>
      </c>
      <c r="CA991" s="476">
        <f t="shared" ca="1" si="646"/>
        <v>0</v>
      </c>
      <c r="CB991" s="494">
        <f ca="1">IF(OR($Q990&lt;&gt;1,OP!$D$5+$BN991-1&lt;16,$BN991-1&lt;1),0,ROUND(ROUND(ROUND(((VLOOKUP($BN991-1,MORE_PV,5,0)/10000)*VLOOKUP($BN991,MORE_PV,$CB$5,0)),3)*VLOOKUP($BN991,more1,5,0),0)/$R990,0))</f>
        <v>0</v>
      </c>
      <c r="CC991" s="473">
        <f t="shared" ca="1" si="647"/>
        <v>0</v>
      </c>
      <c r="CD991" s="477"/>
    </row>
    <row r="992" spans="2:82" ht="16.5" hidden="1">
      <c r="B992" s="80"/>
      <c r="C992" s="80"/>
      <c r="D992" s="80"/>
      <c r="E992" s="80"/>
      <c r="F992" s="80"/>
      <c r="G992" s="80"/>
      <c r="H992" s="80"/>
      <c r="I992" s="80"/>
      <c r="J992" s="192">
        <f t="shared" si="628"/>
        <v>82</v>
      </c>
      <c r="K992" s="192">
        <f t="shared" si="629"/>
        <v>12</v>
      </c>
      <c r="L992" s="192">
        <f t="shared" si="624"/>
        <v>82</v>
      </c>
      <c r="M992" s="216">
        <f t="shared" ca="1" si="630"/>
        <v>2765515</v>
      </c>
      <c r="N992" s="216"/>
      <c r="O992" s="216"/>
      <c r="P992" s="216"/>
      <c r="Q992" s="456">
        <f t="shared" ca="1" si="631"/>
        <v>1</v>
      </c>
      <c r="R992" s="450">
        <f t="shared" ca="1" si="632"/>
        <v>12</v>
      </c>
      <c r="S992" s="191">
        <f t="shared" si="633"/>
        <v>82</v>
      </c>
      <c r="T992" s="191">
        <f t="shared" si="634"/>
        <v>12</v>
      </c>
      <c r="U992" s="191">
        <f ca="1">OP!$D$5+$S992-1</f>
        <v>114</v>
      </c>
      <c r="V992" s="191">
        <f t="shared" si="635"/>
        <v>82</v>
      </c>
      <c r="W992" s="350">
        <f ca="1">IF(Q992&lt;&gt;1,0,VLOOKUP(OP!$C$55,PVFB,$S992+2,0))</f>
        <v>0</v>
      </c>
      <c r="X992" s="473">
        <f t="shared" ca="1" si="648"/>
        <v>0</v>
      </c>
      <c r="Y992" s="348">
        <f t="shared" ca="1" si="649"/>
        <v>0</v>
      </c>
      <c r="Z992" s="348">
        <f t="shared" ca="1" si="650"/>
        <v>8012</v>
      </c>
      <c r="AA992" s="348">
        <f ca="1">IF(Q992&lt;&gt;1,0,VLOOKUP(OP!$C$55,PVFB,$S992+2,0))</f>
        <v>0</v>
      </c>
      <c r="AB992" s="488">
        <f ca="1">IF(AND(S992&lt;OP!$C$24,$U992&lt;15),0,IF(AND($U992&lt;15,$T992=12),ROUND(VLOOKUP($S992,DOWN16,5,0),3),IF($T992=12,ROUND(($Z992/10000)*$AA992,3)+IF(AND($P$7="購買增額繳清保險",T992=12,U992=110),VLOOKUP(S992,$B$10:$H$121,7,0),0),"")))</f>
        <v>0</v>
      </c>
      <c r="AC992" s="350">
        <f ca="1">IF(AND(S992&lt;OP!$C$24,$U992&lt;15),0,IF(AND($U992&lt;16,$T992=12),VLOOKUP($S992,DOWN16,4,0),IF($T992=12,ROUND(VLOOKUP(OP!$C$55,_DIE2,$S992+1,0)*(Z992/10000),0)+IF(AND($P$7="購買增額繳清保險",T992=12,U992=110),VLOOKUP(S992,$B$10:$H$121,7,0),0),"")))</f>
        <v>0</v>
      </c>
      <c r="AD992" s="347"/>
      <c r="AE992" s="350" t="str">
        <f t="shared" ca="1" si="625"/>
        <v/>
      </c>
      <c r="AF992" s="351" t="str">
        <f t="shared" ca="1" si="626"/>
        <v/>
      </c>
      <c r="AG992" s="340"/>
      <c r="AH992" s="340"/>
      <c r="AI992" s="340"/>
      <c r="AJ992" s="340"/>
      <c r="AK992" s="340"/>
      <c r="AL992" s="340"/>
      <c r="AM992" s="340"/>
      <c r="AN992" s="340"/>
      <c r="AO992" s="340"/>
      <c r="AP992" s="340"/>
      <c r="AQ992" s="340"/>
      <c r="AR992" s="340"/>
      <c r="AS992" s="340"/>
      <c r="AT992" s="340"/>
      <c r="AU992" s="340"/>
      <c r="AV992" s="340"/>
      <c r="AY992" s="340"/>
      <c r="AZ992" s="465">
        <f t="shared" ca="1" si="636"/>
        <v>7.3698599999999999E-5</v>
      </c>
      <c r="BA992" s="464">
        <f t="shared" ca="1" si="637"/>
        <v>0</v>
      </c>
      <c r="BB992" s="465">
        <f t="shared" ca="1" si="637"/>
        <v>7.3698599999999999E-5</v>
      </c>
      <c r="BC992" s="466">
        <f t="shared" ca="1" si="638"/>
        <v>72806</v>
      </c>
      <c r="BD992" s="467">
        <f t="shared" ca="1" si="651"/>
        <v>72807</v>
      </c>
      <c r="BE992" s="467">
        <f t="shared" ca="1" si="639"/>
        <v>72836</v>
      </c>
      <c r="BF992" s="468">
        <f ca="1">IF(計算!$BC992&lt;OP!$C$3,0,BD992-BC992)</f>
        <v>1</v>
      </c>
      <c r="BG992" s="468">
        <f ca="1">IF($BE992&gt;DATE(YEAR($BD$9)+OP!$C$57,MONTH($BD$9),DAY($BD$9)),0,$BE992-$BD992+1)</f>
        <v>0</v>
      </c>
      <c r="BH992" s="469">
        <f t="shared" ca="1" si="640"/>
        <v>1</v>
      </c>
      <c r="BI992" t="str">
        <f t="shared" si="656"/>
        <v/>
      </c>
      <c r="BJ992">
        <v>11</v>
      </c>
      <c r="BN992" s="468">
        <f t="shared" si="652"/>
        <v>82</v>
      </c>
      <c r="BO992" s="468">
        <f t="shared" si="653"/>
        <v>11</v>
      </c>
      <c r="BP992" s="467">
        <f t="shared" ca="1" si="641"/>
        <v>72807</v>
      </c>
      <c r="BQ992" s="475">
        <f t="shared" ca="1" si="655"/>
        <v>114</v>
      </c>
      <c r="BR992" s="475" t="str">
        <f t="shared" si="654"/>
        <v/>
      </c>
      <c r="BS992" s="471" t="str">
        <f t="shared" si="642"/>
        <v/>
      </c>
      <c r="BT992" s="472" t="str">
        <f t="shared" si="657"/>
        <v/>
      </c>
      <c r="BU992" s="472">
        <f t="shared" ca="1" si="643"/>
        <v>0</v>
      </c>
      <c r="BV992" s="472">
        <f t="shared" ca="1" si="643"/>
        <v>0</v>
      </c>
      <c r="BW992" s="472"/>
      <c r="BX992" s="473">
        <f t="shared" ca="1" si="644"/>
        <v>2765108.6290635201</v>
      </c>
      <c r="BY992" s="473">
        <f t="shared" si="645"/>
        <v>0</v>
      </c>
      <c r="BZ992" s="473">
        <f t="shared" ca="1" si="627"/>
        <v>203.78463481</v>
      </c>
      <c r="CA992" s="476">
        <f t="shared" ca="1" si="646"/>
        <v>0</v>
      </c>
      <c r="CB992" s="494">
        <f ca="1">IF(OR($Q991&lt;&gt;1,OP!$D$5+$BN992-1&lt;16,$BN992-1&lt;1),0,ROUND(ROUND(ROUND(((VLOOKUP($BN992-1,MORE_PV,5,0)/10000)*VLOOKUP($BN992,MORE_PV,$CB$5,0)),3)*VLOOKUP($BN992,more1,5,0),0)/$R991,0))</f>
        <v>0</v>
      </c>
      <c r="CC992" s="473">
        <f t="shared" ca="1" si="647"/>
        <v>0</v>
      </c>
      <c r="CD992" s="477"/>
    </row>
    <row r="993" spans="2:82" ht="16.5" hidden="1">
      <c r="B993" s="80"/>
      <c r="C993" s="80"/>
      <c r="D993" s="80"/>
      <c r="E993" s="80"/>
      <c r="F993" s="80"/>
      <c r="G993" s="80"/>
      <c r="H993" s="80"/>
      <c r="I993" s="80"/>
      <c r="J993" s="192">
        <f t="shared" si="628"/>
        <v>83</v>
      </c>
      <c r="K993" s="192">
        <f t="shared" si="629"/>
        <v>1</v>
      </c>
      <c r="L993" s="192" t="str">
        <f t="shared" si="624"/>
        <v/>
      </c>
      <c r="M993" s="216" t="str">
        <f t="shared" ca="1" si="630"/>
        <v/>
      </c>
      <c r="N993" s="216"/>
      <c r="O993" s="216"/>
      <c r="P993" s="216"/>
      <c r="Q993" s="456">
        <f t="shared" ca="1" si="631"/>
        <v>1</v>
      </c>
      <c r="R993" s="450">
        <f t="shared" ca="1" si="632"/>
        <v>12</v>
      </c>
      <c r="S993" s="191">
        <f t="shared" si="633"/>
        <v>83</v>
      </c>
      <c r="T993" s="191">
        <f t="shared" si="634"/>
        <v>1</v>
      </c>
      <c r="U993" s="191">
        <f ca="1">OP!$D$5+$S993-1</f>
        <v>115</v>
      </c>
      <c r="V993" s="191" t="str">
        <f t="shared" si="635"/>
        <v/>
      </c>
      <c r="W993" s="350">
        <f ca="1">IF(Q993&lt;&gt;1,0,VLOOKUP(OP!$C$55,PVFB,$S993+2,0))</f>
        <v>0</v>
      </c>
      <c r="X993" s="473" t="str">
        <f t="shared" ca="1" si="648"/>
        <v/>
      </c>
      <c r="Y993" s="348">
        <f t="shared" ca="1" si="649"/>
        <v>0</v>
      </c>
      <c r="Z993" s="348">
        <f t="shared" ca="1" si="650"/>
        <v>8012</v>
      </c>
      <c r="AA993" s="348">
        <f ca="1">IF(Q993&lt;&gt;1,0,VLOOKUP(OP!$C$55,PVFB,$S993+2,0))</f>
        <v>0</v>
      </c>
      <c r="AB993" s="488" t="str">
        <f ca="1">IF(AND(S993&lt;OP!$C$24,$U993&lt;15),0,IF(AND($U993&lt;15,$T993=12),ROUND(VLOOKUP($S993,DOWN16,5,0),3),IF($T993=12,ROUND(($Z993/10000)*$AA993,3)+IF(AND($P$7="購買增額繳清保險",T993=12,U993=110),VLOOKUP(S993,$B$10:$H$121,7,0),0),"")))</f>
        <v/>
      </c>
      <c r="AC993" s="350" t="str">
        <f ca="1">IF(AND(S993&lt;OP!$C$24,$U993&lt;15),0,IF(AND($U993&lt;16,$T993=12),VLOOKUP($S993,DOWN16,4,0),IF($T993=12,ROUND(VLOOKUP(OP!$C$55,_DIE2,$S993+1,0)*(Z993/10000),0)+IF(AND($P$7="購買增額繳清保險",T993=12,U993=110),VLOOKUP(S993,$B$10:$H$121,7,0),0),"")))</f>
        <v/>
      </c>
      <c r="AD993" s="347"/>
      <c r="AE993" s="350" t="str">
        <f t="shared" ca="1" si="625"/>
        <v/>
      </c>
      <c r="AF993" s="351" t="str">
        <f t="shared" ca="1" si="626"/>
        <v/>
      </c>
      <c r="AG993" s="340"/>
      <c r="AH993" s="340"/>
      <c r="AI993" s="340"/>
      <c r="AJ993" s="340"/>
      <c r="AK993" s="340"/>
      <c r="AL993" s="340"/>
      <c r="AM993" s="340"/>
      <c r="AN993" s="340"/>
      <c r="AO993" s="340"/>
      <c r="AP993" s="340"/>
      <c r="AQ993" s="340"/>
      <c r="AR993" s="340"/>
      <c r="AS993" s="340"/>
      <c r="AT993" s="340"/>
      <c r="AU993" s="340"/>
      <c r="AV993" s="340"/>
      <c r="AY993" s="340"/>
      <c r="AZ993" s="465">
        <f t="shared" ca="1" si="636"/>
        <v>7.3698599999999999E-5</v>
      </c>
      <c r="BA993" s="464">
        <f t="shared" ca="1" si="637"/>
        <v>0</v>
      </c>
      <c r="BB993" s="465">
        <f t="shared" ca="1" si="637"/>
        <v>7.3698599999999999E-5</v>
      </c>
      <c r="BC993" s="466">
        <f t="shared" ca="1" si="638"/>
        <v>72837</v>
      </c>
      <c r="BD993" s="467">
        <f t="shared" ca="1" si="651"/>
        <v>72838</v>
      </c>
      <c r="BE993" s="467">
        <f t="shared" ca="1" si="639"/>
        <v>72866</v>
      </c>
      <c r="BF993" s="468">
        <f ca="1">IF(計算!$BC993&lt;OP!$C$3,0,BD993-BC993)</f>
        <v>1</v>
      </c>
      <c r="BG993" s="468">
        <f ca="1">IF($BE993&gt;DATE(YEAR($BD$9)+OP!$C$57,MONTH($BD$9),DAY($BD$9)),0,$BE993-$BD993+1)</f>
        <v>0</v>
      </c>
      <c r="BH993" s="469">
        <f t="shared" ca="1" si="640"/>
        <v>1</v>
      </c>
      <c r="BI993">
        <f t="shared" ca="1" si="656"/>
        <v>365</v>
      </c>
      <c r="BJ993">
        <v>12</v>
      </c>
      <c r="BN993" s="468">
        <f t="shared" si="652"/>
        <v>82</v>
      </c>
      <c r="BO993" s="468">
        <f t="shared" si="653"/>
        <v>12</v>
      </c>
      <c r="BP993" s="467">
        <f t="shared" ca="1" si="641"/>
        <v>72838</v>
      </c>
      <c r="BQ993" s="475">
        <f t="shared" ca="1" si="655"/>
        <v>114</v>
      </c>
      <c r="BR993" s="475">
        <f t="shared" si="654"/>
        <v>82</v>
      </c>
      <c r="BS993" s="471">
        <f t="shared" ca="1" si="642"/>
        <v>0</v>
      </c>
      <c r="BT993" s="472">
        <f t="shared" ca="1" si="657"/>
        <v>2765515</v>
      </c>
      <c r="BU993" s="472">
        <f t="shared" ca="1" si="643"/>
        <v>0</v>
      </c>
      <c r="BV993" s="472">
        <f t="shared" ca="1" si="643"/>
        <v>0</v>
      </c>
      <c r="BW993" s="472">
        <f ca="1">ROUND(SUM(BY993,BZ981:BZ992),0)</f>
        <v>2445</v>
      </c>
      <c r="BX993" s="473">
        <f t="shared" ca="1" si="644"/>
        <v>2765516.2133517801</v>
      </c>
      <c r="BY993" s="473">
        <f t="shared" ca="1" si="645"/>
        <v>203.799653452</v>
      </c>
      <c r="BZ993" s="473">
        <f t="shared" ca="1" si="627"/>
        <v>0</v>
      </c>
      <c r="CA993" s="476">
        <f t="shared" ca="1" si="646"/>
        <v>0</v>
      </c>
      <c r="CB993" s="494">
        <f ca="1">IF(OR($Q992&lt;&gt;1,OP!$D$5+$BN993-1&lt;16,$BN993-1&lt;1),0,ROUND(ROUND(ROUND(((VLOOKUP($BN993-1,MORE_PV,5,0)/10000)*VLOOKUP($BN993,MORE_PV,$CB$5,0)),3)*VLOOKUP($BN993,more1,5,0),0)/$R992,0))</f>
        <v>0</v>
      </c>
      <c r="CC993" s="473">
        <f t="shared" ca="1" si="647"/>
        <v>0</v>
      </c>
      <c r="CD993" s="477"/>
    </row>
    <row r="994" spans="2:82" ht="16.5" hidden="1">
      <c r="B994" s="80"/>
      <c r="C994" s="80"/>
      <c r="D994" s="80"/>
      <c r="E994" s="80"/>
      <c r="F994" s="80"/>
      <c r="G994" s="80"/>
      <c r="H994" s="80"/>
      <c r="I994" s="80"/>
      <c r="J994" s="192">
        <f t="shared" si="628"/>
        <v>83</v>
      </c>
      <c r="K994" s="192">
        <f t="shared" si="629"/>
        <v>2</v>
      </c>
      <c r="L994" s="192" t="str">
        <f t="shared" si="624"/>
        <v/>
      </c>
      <c r="M994" s="216" t="str">
        <f t="shared" ca="1" si="630"/>
        <v/>
      </c>
      <c r="N994" s="216"/>
      <c r="O994" s="216"/>
      <c r="P994" s="216"/>
      <c r="Q994" s="456">
        <f t="shared" ca="1" si="631"/>
        <v>1</v>
      </c>
      <c r="R994" s="450">
        <f t="shared" ca="1" si="632"/>
        <v>12</v>
      </c>
      <c r="S994" s="191">
        <f t="shared" si="633"/>
        <v>83</v>
      </c>
      <c r="T994" s="191">
        <f t="shared" si="634"/>
        <v>2</v>
      </c>
      <c r="U994" s="191">
        <f ca="1">OP!$D$5+$S994-1</f>
        <v>115</v>
      </c>
      <c r="V994" s="191" t="str">
        <f t="shared" si="635"/>
        <v/>
      </c>
      <c r="W994" s="350">
        <f ca="1">IF(Q994&lt;&gt;1,0,VLOOKUP(OP!$C$55,PVFB,$S994+2,0))</f>
        <v>0</v>
      </c>
      <c r="X994" s="473" t="str">
        <f t="shared" ca="1" si="648"/>
        <v/>
      </c>
      <c r="Y994" s="348">
        <f t="shared" ca="1" si="649"/>
        <v>0</v>
      </c>
      <c r="Z994" s="348">
        <f t="shared" ca="1" si="650"/>
        <v>8012</v>
      </c>
      <c r="AA994" s="348">
        <f ca="1">IF(Q994&lt;&gt;1,0,VLOOKUP(OP!$C$55,PVFB,$S994+2,0))</f>
        <v>0</v>
      </c>
      <c r="AB994" s="488" t="str">
        <f ca="1">IF(AND(S994&lt;OP!$C$24,$U994&lt;15),0,IF(AND($U994&lt;15,$T994=12),ROUND(VLOOKUP($S994,DOWN16,5,0),3),IF($T994=12,ROUND(($Z994/10000)*$AA994,3)+IF(AND($P$7="購買增額繳清保險",T994=12,U994=110),VLOOKUP(S994,$B$10:$H$121,7,0),0),"")))</f>
        <v/>
      </c>
      <c r="AC994" s="350" t="str">
        <f ca="1">IF(AND(S994&lt;OP!$C$24,$U994&lt;15),0,IF(AND($U994&lt;16,$T994=12),VLOOKUP($S994,DOWN16,4,0),IF($T994=12,ROUND(VLOOKUP(OP!$C$55,_DIE2,$S994+1,0)*(Z994/10000),0)+IF(AND($P$7="購買增額繳清保險",T994=12,U994=110),VLOOKUP(S994,$B$10:$H$121,7,0),0),"")))</f>
        <v/>
      </c>
      <c r="AD994" s="347"/>
      <c r="AE994" s="350" t="str">
        <f t="shared" ca="1" si="625"/>
        <v/>
      </c>
      <c r="AF994" s="351" t="str">
        <f t="shared" ca="1" si="626"/>
        <v/>
      </c>
      <c r="AG994" s="340"/>
      <c r="AH994" s="340"/>
      <c r="AI994" s="340"/>
      <c r="AJ994" s="340"/>
      <c r="AK994" s="340"/>
      <c r="AL994" s="340"/>
      <c r="AM994" s="340"/>
      <c r="AN994" s="340"/>
      <c r="AO994" s="340"/>
      <c r="AP994" s="340"/>
      <c r="AQ994" s="340"/>
      <c r="AR994" s="340"/>
      <c r="AS994" s="340"/>
      <c r="AT994" s="340"/>
      <c r="AU994" s="340"/>
      <c r="AV994" s="340"/>
      <c r="AY994" s="340"/>
      <c r="AZ994" s="465">
        <f t="shared" ca="1" si="636"/>
        <v>7.3698599999999999E-5</v>
      </c>
      <c r="BA994" s="464">
        <f t="shared" ca="1" si="637"/>
        <v>0</v>
      </c>
      <c r="BB994" s="465">
        <f t="shared" ca="1" si="637"/>
        <v>7.3698599999999999E-5</v>
      </c>
      <c r="BC994" s="466">
        <f t="shared" ca="1" si="638"/>
        <v>72867</v>
      </c>
      <c r="BD994" s="467">
        <f t="shared" ca="1" si="651"/>
        <v>72868</v>
      </c>
      <c r="BE994" s="467">
        <f t="shared" ca="1" si="639"/>
        <v>72897</v>
      </c>
      <c r="BF994" s="468">
        <f ca="1">IF(計算!$BC994&lt;OP!$C$3,0,BD994-BC994)</f>
        <v>1</v>
      </c>
      <c r="BG994" s="468">
        <f ca="1">IF($BE994&gt;DATE(YEAR($BD$9)+OP!$C$57,MONTH($BD$9),DAY($BD$9)),0,$BE994-$BD994+1)</f>
        <v>0</v>
      </c>
      <c r="BH994" s="469">
        <f t="shared" ca="1" si="640"/>
        <v>1</v>
      </c>
      <c r="BI994" t="str">
        <f t="shared" si="656"/>
        <v/>
      </c>
      <c r="BJ994">
        <v>1</v>
      </c>
      <c r="BN994" s="468">
        <f t="shared" si="652"/>
        <v>83</v>
      </c>
      <c r="BO994" s="468">
        <f t="shared" si="653"/>
        <v>1</v>
      </c>
      <c r="BP994" s="467">
        <f t="shared" ca="1" si="641"/>
        <v>72868</v>
      </c>
      <c r="BQ994" s="475">
        <f t="shared" ca="1" si="655"/>
        <v>115</v>
      </c>
      <c r="BR994" s="475" t="str">
        <f t="shared" si="654"/>
        <v/>
      </c>
      <c r="BS994" s="471" t="str">
        <f t="shared" si="642"/>
        <v/>
      </c>
      <c r="BT994" s="472" t="str">
        <f t="shared" si="657"/>
        <v/>
      </c>
      <c r="BU994" s="472">
        <f t="shared" ca="1" si="643"/>
        <v>0</v>
      </c>
      <c r="BV994" s="472">
        <f t="shared" ca="1" si="643"/>
        <v>0</v>
      </c>
      <c r="BW994" s="472"/>
      <c r="BX994" s="473">
        <f t="shared" ca="1" si="644"/>
        <v>2765516.2133517801</v>
      </c>
      <c r="BY994" s="473">
        <f t="shared" si="645"/>
        <v>0</v>
      </c>
      <c r="BZ994" s="473">
        <f t="shared" ca="1" si="627"/>
        <v>203.81467320100001</v>
      </c>
      <c r="CA994" s="476">
        <f t="shared" ca="1" si="646"/>
        <v>0</v>
      </c>
      <c r="CB994" s="494">
        <f ca="1">IF(OR($Q993&lt;&gt;1,OP!$D$5+$BN994-1&lt;16,$BN994-1&lt;1),0,ROUND(ROUND(ROUND(((VLOOKUP($BN994-1,MORE_PV,5,0)/10000)*VLOOKUP($BN994,MORE_PV,$CB$5,0)),3)*VLOOKUP($BN994,more1,5,0),0)/$R993,0))</f>
        <v>0</v>
      </c>
      <c r="CC994" s="473">
        <f t="shared" ca="1" si="647"/>
        <v>0</v>
      </c>
      <c r="CD994" s="477"/>
    </row>
    <row r="995" spans="2:82" ht="16.5" hidden="1">
      <c r="B995" s="80"/>
      <c r="C995" s="80"/>
      <c r="D995" s="80"/>
      <c r="E995" s="80"/>
      <c r="F995" s="80"/>
      <c r="G995" s="80"/>
      <c r="H995" s="80"/>
      <c r="I995" s="80"/>
      <c r="J995" s="192">
        <f t="shared" si="628"/>
        <v>83</v>
      </c>
      <c r="K995" s="192">
        <f t="shared" si="629"/>
        <v>3</v>
      </c>
      <c r="L995" s="192" t="str">
        <f t="shared" si="624"/>
        <v/>
      </c>
      <c r="M995" s="216" t="str">
        <f t="shared" ca="1" si="630"/>
        <v/>
      </c>
      <c r="N995" s="216"/>
      <c r="O995" s="216"/>
      <c r="P995" s="216"/>
      <c r="Q995" s="456">
        <f t="shared" ca="1" si="631"/>
        <v>1</v>
      </c>
      <c r="R995" s="450">
        <f t="shared" ca="1" si="632"/>
        <v>12</v>
      </c>
      <c r="S995" s="191">
        <f t="shared" si="633"/>
        <v>83</v>
      </c>
      <c r="T995" s="191">
        <f t="shared" si="634"/>
        <v>3</v>
      </c>
      <c r="U995" s="191">
        <f ca="1">OP!$D$5+$S995-1</f>
        <v>115</v>
      </c>
      <c r="V995" s="191" t="str">
        <f t="shared" si="635"/>
        <v/>
      </c>
      <c r="W995" s="350">
        <f ca="1">IF(Q995&lt;&gt;1,0,VLOOKUP(OP!$C$55,PVFB,$S995+2,0))</f>
        <v>0</v>
      </c>
      <c r="X995" s="473" t="str">
        <f t="shared" ca="1" si="648"/>
        <v/>
      </c>
      <c r="Y995" s="348">
        <f t="shared" ca="1" si="649"/>
        <v>0</v>
      </c>
      <c r="Z995" s="348">
        <f t="shared" ca="1" si="650"/>
        <v>8012</v>
      </c>
      <c r="AA995" s="348">
        <f ca="1">IF(Q995&lt;&gt;1,0,VLOOKUP(OP!$C$55,PVFB,$S995+2,0))</f>
        <v>0</v>
      </c>
      <c r="AB995" s="488" t="str">
        <f ca="1">IF(AND(S995&lt;OP!$C$24,$U995&lt;15),0,IF(AND($U995&lt;15,$T995=12),ROUND(VLOOKUP($S995,DOWN16,5,0),3),IF($T995=12,ROUND(($Z995/10000)*$AA995,3)+IF(AND($P$7="購買增額繳清保險",T995=12,U995=110),VLOOKUP(S995,$B$10:$H$121,7,0),0),"")))</f>
        <v/>
      </c>
      <c r="AC995" s="350" t="str">
        <f ca="1">IF(AND(S995&lt;OP!$C$24,$U995&lt;15),0,IF(AND($U995&lt;16,$T995=12),VLOOKUP($S995,DOWN16,4,0),IF($T995=12,ROUND(VLOOKUP(OP!$C$55,_DIE2,$S995+1,0)*(Z995/10000),0)+IF(AND($P$7="購買增額繳清保險",T995=12,U995=110),VLOOKUP(S995,$B$10:$H$121,7,0),0),"")))</f>
        <v/>
      </c>
      <c r="AD995" s="347"/>
      <c r="AE995" s="350" t="str">
        <f t="shared" ca="1" si="625"/>
        <v/>
      </c>
      <c r="AF995" s="351" t="str">
        <f t="shared" ca="1" si="626"/>
        <v/>
      </c>
      <c r="AG995" s="340"/>
      <c r="AH995" s="340"/>
      <c r="AI995" s="340"/>
      <c r="AJ995" s="340"/>
      <c r="AK995" s="340"/>
      <c r="AL995" s="340"/>
      <c r="AM995" s="340"/>
      <c r="AN995" s="340"/>
      <c r="AO995" s="340"/>
      <c r="AP995" s="340"/>
      <c r="AQ995" s="340"/>
      <c r="AR995" s="340"/>
      <c r="AS995" s="340"/>
      <c r="AT995" s="340"/>
      <c r="AU995" s="340"/>
      <c r="AV995" s="340"/>
      <c r="AY995" s="340"/>
      <c r="AZ995" s="465">
        <f t="shared" ca="1" si="636"/>
        <v>7.3698599999999999E-5</v>
      </c>
      <c r="BA995" s="464">
        <f t="shared" ca="1" si="637"/>
        <v>0</v>
      </c>
      <c r="BB995" s="465">
        <f t="shared" ca="1" si="637"/>
        <v>7.3698599999999999E-5</v>
      </c>
      <c r="BC995" s="466">
        <f t="shared" ca="1" si="638"/>
        <v>72898</v>
      </c>
      <c r="BD995" s="467">
        <f t="shared" ca="1" si="651"/>
        <v>72899</v>
      </c>
      <c r="BE995" s="467">
        <f t="shared" ca="1" si="639"/>
        <v>72928</v>
      </c>
      <c r="BF995" s="468">
        <f ca="1">IF(計算!$BC995&lt;OP!$C$3,0,BD995-BC995)</f>
        <v>1</v>
      </c>
      <c r="BG995" s="468">
        <f ca="1">IF($BE995&gt;DATE(YEAR($BD$9)+OP!$C$57,MONTH($BD$9),DAY($BD$9)),0,$BE995-$BD995+1)</f>
        <v>0</v>
      </c>
      <c r="BH995" s="469">
        <f t="shared" ca="1" si="640"/>
        <v>1</v>
      </c>
      <c r="BI995" t="str">
        <f t="shared" si="656"/>
        <v/>
      </c>
      <c r="BJ995">
        <v>2</v>
      </c>
      <c r="BN995" s="468">
        <f t="shared" si="652"/>
        <v>83</v>
      </c>
      <c r="BO995" s="468">
        <f t="shared" si="653"/>
        <v>2</v>
      </c>
      <c r="BP995" s="467">
        <f t="shared" ca="1" si="641"/>
        <v>72899</v>
      </c>
      <c r="BQ995" s="475">
        <f t="shared" ca="1" si="655"/>
        <v>115</v>
      </c>
      <c r="BR995" s="475" t="str">
        <f t="shared" si="654"/>
        <v/>
      </c>
      <c r="BS995" s="471" t="str">
        <f t="shared" si="642"/>
        <v/>
      </c>
      <c r="BT995" s="472" t="str">
        <f t="shared" si="657"/>
        <v/>
      </c>
      <c r="BU995" s="472">
        <f t="shared" ca="1" si="643"/>
        <v>0</v>
      </c>
      <c r="BV995" s="472">
        <f t="shared" ca="1" si="643"/>
        <v>0</v>
      </c>
      <c r="BW995" s="472"/>
      <c r="BX995" s="473">
        <f t="shared" ca="1" si="644"/>
        <v>2765720.0280249799</v>
      </c>
      <c r="BY995" s="473">
        <f t="shared" si="645"/>
        <v>0</v>
      </c>
      <c r="BZ995" s="473">
        <f t="shared" ca="1" si="627"/>
        <v>203.82969405700001</v>
      </c>
      <c r="CA995" s="476">
        <f t="shared" ca="1" si="646"/>
        <v>0</v>
      </c>
      <c r="CB995" s="494">
        <f ca="1">IF(OR($Q994&lt;&gt;1,OP!$D$5+$BN995-1&lt;16,$BN995-1&lt;1),0,ROUND(ROUND(ROUND(((VLOOKUP($BN995-1,MORE_PV,5,0)/10000)*VLOOKUP($BN995,MORE_PV,$CB$5,0)),3)*VLOOKUP($BN995,more1,5,0),0)/$R994,0))</f>
        <v>0</v>
      </c>
      <c r="CC995" s="473">
        <f t="shared" ca="1" si="647"/>
        <v>0</v>
      </c>
      <c r="CD995" s="477"/>
    </row>
    <row r="996" spans="2:82" ht="16.5" hidden="1">
      <c r="B996" s="80"/>
      <c r="C996" s="80"/>
      <c r="D996" s="80"/>
      <c r="E996" s="80"/>
      <c r="F996" s="80"/>
      <c r="G996" s="80"/>
      <c r="H996" s="80"/>
      <c r="I996" s="80"/>
      <c r="J996" s="192">
        <f t="shared" si="628"/>
        <v>83</v>
      </c>
      <c r="K996" s="192">
        <f t="shared" si="629"/>
        <v>4</v>
      </c>
      <c r="L996" s="192" t="str">
        <f t="shared" si="624"/>
        <v/>
      </c>
      <c r="M996" s="216" t="str">
        <f t="shared" ca="1" si="630"/>
        <v/>
      </c>
      <c r="N996" s="216"/>
      <c r="O996" s="216"/>
      <c r="P996" s="216"/>
      <c r="Q996" s="456">
        <f t="shared" ca="1" si="631"/>
        <v>1</v>
      </c>
      <c r="R996" s="450">
        <f t="shared" ca="1" si="632"/>
        <v>12</v>
      </c>
      <c r="S996" s="191">
        <f t="shared" si="633"/>
        <v>83</v>
      </c>
      <c r="T996" s="191">
        <f t="shared" si="634"/>
        <v>4</v>
      </c>
      <c r="U996" s="191">
        <f ca="1">OP!$D$5+$S996-1</f>
        <v>115</v>
      </c>
      <c r="V996" s="191" t="str">
        <f t="shared" si="635"/>
        <v/>
      </c>
      <c r="W996" s="350">
        <f ca="1">IF(Q996&lt;&gt;1,0,VLOOKUP(OP!$C$55,PVFB,$S996+2,0))</f>
        <v>0</v>
      </c>
      <c r="X996" s="473" t="str">
        <f t="shared" ca="1" si="648"/>
        <v/>
      </c>
      <c r="Y996" s="348">
        <f t="shared" ca="1" si="649"/>
        <v>0</v>
      </c>
      <c r="Z996" s="348">
        <f t="shared" ca="1" si="650"/>
        <v>8012</v>
      </c>
      <c r="AA996" s="348">
        <f ca="1">IF(Q996&lt;&gt;1,0,VLOOKUP(OP!$C$55,PVFB,$S996+2,0))</f>
        <v>0</v>
      </c>
      <c r="AB996" s="488" t="str">
        <f ca="1">IF(AND(S996&lt;OP!$C$24,$U996&lt;15),0,IF(AND($U996&lt;15,$T996=12),ROUND(VLOOKUP($S996,DOWN16,5,0),3),IF($T996=12,ROUND(($Z996/10000)*$AA996,3)+IF(AND($P$7="購買增額繳清保險",T996=12,U996=110),VLOOKUP(S996,$B$10:$H$121,7,0),0),"")))</f>
        <v/>
      </c>
      <c r="AC996" s="350" t="str">
        <f ca="1">IF(AND(S996&lt;OP!$C$24,$U996&lt;15),0,IF(AND($U996&lt;16,$T996=12),VLOOKUP($S996,DOWN16,4,0),IF($T996=12,ROUND(VLOOKUP(OP!$C$55,_DIE2,$S996+1,0)*(Z996/10000),0)+IF(AND($P$7="購買增額繳清保險",T996=12,U996=110),VLOOKUP(S996,$B$10:$H$121,7,0),0),"")))</f>
        <v/>
      </c>
      <c r="AD996" s="347"/>
      <c r="AE996" s="350" t="str">
        <f t="shared" ca="1" si="625"/>
        <v/>
      </c>
      <c r="AF996" s="351" t="str">
        <f t="shared" ca="1" si="626"/>
        <v/>
      </c>
      <c r="AG996" s="340"/>
      <c r="AH996" s="340"/>
      <c r="AI996" s="340"/>
      <c r="AJ996" s="340"/>
      <c r="AK996" s="340"/>
      <c r="AL996" s="340"/>
      <c r="AM996" s="340"/>
      <c r="AN996" s="340"/>
      <c r="AO996" s="340"/>
      <c r="AP996" s="340"/>
      <c r="AQ996" s="340"/>
      <c r="AR996" s="340"/>
      <c r="AS996" s="340"/>
      <c r="AT996" s="340"/>
      <c r="AU996" s="340"/>
      <c r="AV996" s="340"/>
      <c r="AY996" s="340"/>
      <c r="AZ996" s="465">
        <f t="shared" ca="1" si="636"/>
        <v>7.3698599999999999E-5</v>
      </c>
      <c r="BA996" s="464">
        <f t="shared" ca="1" si="637"/>
        <v>0</v>
      </c>
      <c r="BB996" s="465">
        <f t="shared" ca="1" si="637"/>
        <v>7.3698599999999999E-5</v>
      </c>
      <c r="BC996" s="466">
        <f t="shared" ca="1" si="638"/>
        <v>72929</v>
      </c>
      <c r="BD996" s="467">
        <f t="shared" ca="1" si="651"/>
        <v>72930</v>
      </c>
      <c r="BE996" s="467">
        <f t="shared" ca="1" si="639"/>
        <v>72958</v>
      </c>
      <c r="BF996" s="468">
        <f ca="1">IF(計算!$BC996&lt;OP!$C$3,0,BD996-BC996)</f>
        <v>1</v>
      </c>
      <c r="BG996" s="468">
        <f ca="1">IF($BE996&gt;DATE(YEAR($BD$9)+OP!$C$57,MONTH($BD$9),DAY($BD$9)),0,$BE996-$BD996+1)</f>
        <v>0</v>
      </c>
      <c r="BH996" s="469">
        <f t="shared" ca="1" si="640"/>
        <v>1</v>
      </c>
      <c r="BI996" t="str">
        <f t="shared" si="656"/>
        <v/>
      </c>
      <c r="BJ996">
        <v>3</v>
      </c>
      <c r="BN996" s="468">
        <f t="shared" si="652"/>
        <v>83</v>
      </c>
      <c r="BO996" s="468">
        <f t="shared" si="653"/>
        <v>3</v>
      </c>
      <c r="BP996" s="467">
        <f t="shared" ca="1" si="641"/>
        <v>72930</v>
      </c>
      <c r="BQ996" s="475">
        <f t="shared" ca="1" si="655"/>
        <v>115</v>
      </c>
      <c r="BR996" s="475" t="str">
        <f t="shared" si="654"/>
        <v/>
      </c>
      <c r="BS996" s="471" t="str">
        <f t="shared" si="642"/>
        <v/>
      </c>
      <c r="BT996" s="472" t="str">
        <f t="shared" si="657"/>
        <v/>
      </c>
      <c r="BU996" s="472">
        <f t="shared" ca="1" si="643"/>
        <v>0</v>
      </c>
      <c r="BV996" s="472">
        <f t="shared" ca="1" si="643"/>
        <v>0</v>
      </c>
      <c r="BW996" s="472"/>
      <c r="BX996" s="473">
        <f t="shared" ca="1" si="644"/>
        <v>2765923.85771904</v>
      </c>
      <c r="BY996" s="473">
        <f t="shared" si="645"/>
        <v>0</v>
      </c>
      <c r="BZ996" s="473">
        <f t="shared" ca="1" si="627"/>
        <v>203.84471601999999</v>
      </c>
      <c r="CA996" s="476">
        <f t="shared" ca="1" si="646"/>
        <v>0</v>
      </c>
      <c r="CB996" s="494">
        <f ca="1">IF(OR($Q995&lt;&gt;1,OP!$D$5+$BN996-1&lt;16,$BN996-1&lt;1),0,ROUND(ROUND(ROUND(((VLOOKUP($BN996-1,MORE_PV,5,0)/10000)*VLOOKUP($BN996,MORE_PV,$CB$5,0)),3)*VLOOKUP($BN996,more1,5,0),0)/$R995,0))</f>
        <v>0</v>
      </c>
      <c r="CC996" s="473">
        <f t="shared" ca="1" si="647"/>
        <v>0</v>
      </c>
      <c r="CD996" s="477"/>
    </row>
    <row r="997" spans="2:82" ht="16.5" hidden="1">
      <c r="B997" s="80"/>
      <c r="C997" s="80"/>
      <c r="D997" s="80"/>
      <c r="E997" s="80"/>
      <c r="F997" s="80"/>
      <c r="G997" s="80"/>
      <c r="H997" s="80"/>
      <c r="I997" s="80"/>
      <c r="J997" s="192">
        <f t="shared" si="628"/>
        <v>83</v>
      </c>
      <c r="K997" s="192">
        <f t="shared" si="629"/>
        <v>5</v>
      </c>
      <c r="L997" s="192" t="str">
        <f t="shared" si="624"/>
        <v/>
      </c>
      <c r="M997" s="216" t="str">
        <f t="shared" ca="1" si="630"/>
        <v/>
      </c>
      <c r="N997" s="216"/>
      <c r="O997" s="216"/>
      <c r="P997" s="216"/>
      <c r="Q997" s="456">
        <f t="shared" ca="1" si="631"/>
        <v>1</v>
      </c>
      <c r="R997" s="450">
        <f t="shared" ca="1" si="632"/>
        <v>12</v>
      </c>
      <c r="S997" s="191">
        <f t="shared" si="633"/>
        <v>83</v>
      </c>
      <c r="T997" s="191">
        <f t="shared" si="634"/>
        <v>5</v>
      </c>
      <c r="U997" s="191">
        <f ca="1">OP!$D$5+$S997-1</f>
        <v>115</v>
      </c>
      <c r="V997" s="191" t="str">
        <f t="shared" si="635"/>
        <v/>
      </c>
      <c r="W997" s="350">
        <f ca="1">IF(Q997&lt;&gt;1,0,VLOOKUP(OP!$C$55,PVFB,$S997+2,0))</f>
        <v>0</v>
      </c>
      <c r="X997" s="473" t="str">
        <f t="shared" ca="1" si="648"/>
        <v/>
      </c>
      <c r="Y997" s="348">
        <f t="shared" ca="1" si="649"/>
        <v>0</v>
      </c>
      <c r="Z997" s="348">
        <f t="shared" ca="1" si="650"/>
        <v>8012</v>
      </c>
      <c r="AA997" s="348">
        <f ca="1">IF(Q997&lt;&gt;1,0,VLOOKUP(OP!$C$55,PVFB,$S997+2,0))</f>
        <v>0</v>
      </c>
      <c r="AB997" s="488" t="str">
        <f ca="1">IF(AND(S997&lt;OP!$C$24,$U997&lt;15),0,IF(AND($U997&lt;15,$T997=12),ROUND(VLOOKUP($S997,DOWN16,5,0),3),IF($T997=12,ROUND(($Z997/10000)*$AA997,3)+IF(AND($P$7="購買增額繳清保險",T997=12,U997=110),VLOOKUP(S997,$B$10:$H$121,7,0),0),"")))</f>
        <v/>
      </c>
      <c r="AC997" s="350" t="str">
        <f ca="1">IF(AND(S997&lt;OP!$C$24,$U997&lt;15),0,IF(AND($U997&lt;16,$T997=12),VLOOKUP($S997,DOWN16,4,0),IF($T997=12,ROUND(VLOOKUP(OP!$C$55,_DIE2,$S997+1,0)*(Z997/10000),0)+IF(AND($P$7="購買增額繳清保險",T997=12,U997=110),VLOOKUP(S997,$B$10:$H$121,7,0),0),"")))</f>
        <v/>
      </c>
      <c r="AD997" s="347"/>
      <c r="AE997" s="350" t="str">
        <f t="shared" ca="1" si="625"/>
        <v/>
      </c>
      <c r="AF997" s="351" t="str">
        <f t="shared" ca="1" si="626"/>
        <v/>
      </c>
      <c r="AG997" s="340"/>
      <c r="AH997" s="340"/>
      <c r="AI997" s="340"/>
      <c r="AJ997" s="340"/>
      <c r="AK997" s="340"/>
      <c r="AL997" s="340"/>
      <c r="AM997" s="340"/>
      <c r="AN997" s="340"/>
      <c r="AO997" s="340"/>
      <c r="AP997" s="340"/>
      <c r="AQ997" s="340"/>
      <c r="AR997" s="340"/>
      <c r="AS997" s="340"/>
      <c r="AT997" s="340"/>
      <c r="AU997" s="340"/>
      <c r="AV997" s="340"/>
      <c r="AY997" s="340"/>
      <c r="AZ997" s="465">
        <f t="shared" ca="1" si="636"/>
        <v>7.3698599999999999E-5</v>
      </c>
      <c r="BA997" s="464">
        <f t="shared" ca="1" si="637"/>
        <v>0</v>
      </c>
      <c r="BB997" s="465">
        <f t="shared" ca="1" si="637"/>
        <v>7.3698599999999999E-5</v>
      </c>
      <c r="BC997" s="466">
        <f t="shared" ca="1" si="638"/>
        <v>72959</v>
      </c>
      <c r="BD997" s="467">
        <f t="shared" ca="1" si="651"/>
        <v>72960</v>
      </c>
      <c r="BE997" s="467">
        <f t="shared" ca="1" si="639"/>
        <v>72989</v>
      </c>
      <c r="BF997" s="468">
        <f ca="1">IF(計算!$BC997&lt;OP!$C$3,0,BD997-BC997)</f>
        <v>1</v>
      </c>
      <c r="BG997" s="468">
        <f ca="1">IF($BE997&gt;DATE(YEAR($BD$9)+OP!$C$57,MONTH($BD$9),DAY($BD$9)),0,$BE997-$BD997+1)</f>
        <v>0</v>
      </c>
      <c r="BH997" s="469">
        <f t="shared" ca="1" si="640"/>
        <v>1</v>
      </c>
      <c r="BI997" t="str">
        <f t="shared" si="656"/>
        <v/>
      </c>
      <c r="BJ997">
        <v>4</v>
      </c>
      <c r="BN997" s="468">
        <f t="shared" si="652"/>
        <v>83</v>
      </c>
      <c r="BO997" s="468">
        <f t="shared" si="653"/>
        <v>4</v>
      </c>
      <c r="BP997" s="467">
        <f t="shared" ca="1" si="641"/>
        <v>72960</v>
      </c>
      <c r="BQ997" s="475">
        <f t="shared" ca="1" si="655"/>
        <v>115</v>
      </c>
      <c r="BR997" s="475" t="str">
        <f t="shared" si="654"/>
        <v/>
      </c>
      <c r="BS997" s="471" t="str">
        <f t="shared" si="642"/>
        <v/>
      </c>
      <c r="BT997" s="472" t="str">
        <f t="shared" si="657"/>
        <v/>
      </c>
      <c r="BU997" s="472">
        <f t="shared" ca="1" si="643"/>
        <v>0</v>
      </c>
      <c r="BV997" s="472">
        <f t="shared" ca="1" si="643"/>
        <v>0</v>
      </c>
      <c r="BW997" s="472"/>
      <c r="BX997" s="473">
        <f t="shared" ca="1" si="644"/>
        <v>2766127.7024350599</v>
      </c>
      <c r="BY997" s="473">
        <f t="shared" si="645"/>
        <v>0</v>
      </c>
      <c r="BZ997" s="473">
        <f t="shared" ca="1" si="627"/>
        <v>203.85973909099999</v>
      </c>
      <c r="CA997" s="476">
        <f t="shared" ca="1" si="646"/>
        <v>0</v>
      </c>
      <c r="CB997" s="494">
        <f ca="1">IF(OR($Q996&lt;&gt;1,OP!$D$5+$BN997-1&lt;16,$BN997-1&lt;1),0,ROUND(ROUND(ROUND(((VLOOKUP($BN997-1,MORE_PV,5,0)/10000)*VLOOKUP($BN997,MORE_PV,$CB$5,0)),3)*VLOOKUP($BN997,more1,5,0),0)/$R996,0))</f>
        <v>0</v>
      </c>
      <c r="CC997" s="473">
        <f t="shared" ca="1" si="647"/>
        <v>0</v>
      </c>
      <c r="CD997" s="477"/>
    </row>
    <row r="998" spans="2:82" ht="16.5" hidden="1">
      <c r="B998" s="80"/>
      <c r="C998" s="80"/>
      <c r="D998" s="80"/>
      <c r="E998" s="80"/>
      <c r="F998" s="80"/>
      <c r="G998" s="80"/>
      <c r="H998" s="80"/>
      <c r="I998" s="80"/>
      <c r="J998" s="192">
        <f t="shared" si="628"/>
        <v>83</v>
      </c>
      <c r="K998" s="192">
        <f t="shared" si="629"/>
        <v>6</v>
      </c>
      <c r="L998" s="192" t="str">
        <f t="shared" si="624"/>
        <v/>
      </c>
      <c r="M998" s="216" t="str">
        <f t="shared" ca="1" si="630"/>
        <v/>
      </c>
      <c r="N998" s="216"/>
      <c r="O998" s="216"/>
      <c r="P998" s="216"/>
      <c r="Q998" s="456">
        <f t="shared" ca="1" si="631"/>
        <v>1</v>
      </c>
      <c r="R998" s="450">
        <f t="shared" ca="1" si="632"/>
        <v>12</v>
      </c>
      <c r="S998" s="191">
        <f t="shared" si="633"/>
        <v>83</v>
      </c>
      <c r="T998" s="191">
        <f t="shared" si="634"/>
        <v>6</v>
      </c>
      <c r="U998" s="191">
        <f ca="1">OP!$D$5+$S998-1</f>
        <v>115</v>
      </c>
      <c r="V998" s="191" t="str">
        <f t="shared" si="635"/>
        <v/>
      </c>
      <c r="W998" s="350">
        <f ca="1">IF(Q998&lt;&gt;1,0,VLOOKUP(OP!$C$55,PVFB,$S998+2,0))</f>
        <v>0</v>
      </c>
      <c r="X998" s="473" t="str">
        <f t="shared" ca="1" si="648"/>
        <v/>
      </c>
      <c r="Y998" s="348">
        <f t="shared" ca="1" si="649"/>
        <v>0</v>
      </c>
      <c r="Z998" s="348">
        <f t="shared" ca="1" si="650"/>
        <v>8012</v>
      </c>
      <c r="AA998" s="348">
        <f ca="1">IF(Q998&lt;&gt;1,0,VLOOKUP(OP!$C$55,PVFB,$S998+2,0))</f>
        <v>0</v>
      </c>
      <c r="AB998" s="488" t="str">
        <f ca="1">IF(AND(S998&lt;OP!$C$24,$U998&lt;15),0,IF(AND($U998&lt;15,$T998=12),ROUND(VLOOKUP($S998,DOWN16,5,0),3),IF($T998=12,ROUND(($Z998/10000)*$AA998,3)+IF(AND($P$7="購買增額繳清保險",T998=12,U998=110),VLOOKUP(S998,$B$10:$H$121,7,0),0),"")))</f>
        <v/>
      </c>
      <c r="AC998" s="350" t="str">
        <f ca="1">IF(AND(S998&lt;OP!$C$24,$U998&lt;15),0,IF(AND($U998&lt;16,$T998=12),VLOOKUP($S998,DOWN16,4,0),IF($T998=12,ROUND(VLOOKUP(OP!$C$55,_DIE2,$S998+1,0)*(Z998/10000),0)+IF(AND($P$7="購買增額繳清保險",T998=12,U998=110),VLOOKUP(S998,$B$10:$H$121,7,0),0),"")))</f>
        <v/>
      </c>
      <c r="AD998" s="347"/>
      <c r="AE998" s="350" t="str">
        <f t="shared" ca="1" si="625"/>
        <v/>
      </c>
      <c r="AF998" s="351" t="str">
        <f t="shared" ca="1" si="626"/>
        <v/>
      </c>
      <c r="AG998" s="340"/>
      <c r="AH998" s="340"/>
      <c r="AI998" s="340"/>
      <c r="AJ998" s="340"/>
      <c r="AK998" s="340"/>
      <c r="AL998" s="340"/>
      <c r="AM998" s="340"/>
      <c r="AN998" s="340"/>
      <c r="AO998" s="340"/>
      <c r="AP998" s="340"/>
      <c r="AQ998" s="340"/>
      <c r="AR998" s="340"/>
      <c r="AS998" s="340"/>
      <c r="AT998" s="340"/>
      <c r="AU998" s="340"/>
      <c r="AV998" s="340"/>
      <c r="AY998" s="340"/>
      <c r="AZ998" s="465">
        <f t="shared" ca="1" si="636"/>
        <v>7.3698599999999999E-5</v>
      </c>
      <c r="BA998" s="464">
        <f t="shared" ca="1" si="637"/>
        <v>0</v>
      </c>
      <c r="BB998" s="465">
        <f t="shared" ca="1" si="637"/>
        <v>7.3698599999999999E-5</v>
      </c>
      <c r="BC998" s="466">
        <f t="shared" ca="1" si="638"/>
        <v>72990</v>
      </c>
      <c r="BD998" s="467">
        <f t="shared" ca="1" si="651"/>
        <v>72991</v>
      </c>
      <c r="BE998" s="467">
        <f t="shared" ca="1" si="639"/>
        <v>73019</v>
      </c>
      <c r="BF998" s="468">
        <f ca="1">IF(計算!$BC998&lt;OP!$C$3,0,BD998-BC998)</f>
        <v>1</v>
      </c>
      <c r="BG998" s="468">
        <f ca="1">IF($BE998&gt;DATE(YEAR($BD$9)+OP!$C$57,MONTH($BD$9),DAY($BD$9)),0,$BE998-$BD998+1)</f>
        <v>0</v>
      </c>
      <c r="BH998" s="469">
        <f t="shared" ca="1" si="640"/>
        <v>1</v>
      </c>
      <c r="BI998" t="str">
        <f t="shared" si="656"/>
        <v/>
      </c>
      <c r="BJ998">
        <v>5</v>
      </c>
      <c r="BN998" s="468">
        <f t="shared" si="652"/>
        <v>83</v>
      </c>
      <c r="BO998" s="468">
        <f t="shared" si="653"/>
        <v>5</v>
      </c>
      <c r="BP998" s="467">
        <f t="shared" ca="1" si="641"/>
        <v>72991</v>
      </c>
      <c r="BQ998" s="475">
        <f t="shared" ca="1" si="655"/>
        <v>115</v>
      </c>
      <c r="BR998" s="475" t="str">
        <f t="shared" si="654"/>
        <v/>
      </c>
      <c r="BS998" s="471" t="str">
        <f t="shared" si="642"/>
        <v/>
      </c>
      <c r="BT998" s="472" t="str">
        <f t="shared" si="657"/>
        <v/>
      </c>
      <c r="BU998" s="472">
        <f t="shared" ca="1" si="643"/>
        <v>0</v>
      </c>
      <c r="BV998" s="472">
        <f t="shared" ca="1" si="643"/>
        <v>0</v>
      </c>
      <c r="BW998" s="472"/>
      <c r="BX998" s="473">
        <f t="shared" ca="1" si="644"/>
        <v>2766331.5621741498</v>
      </c>
      <c r="BY998" s="473">
        <f t="shared" si="645"/>
        <v>0</v>
      </c>
      <c r="BZ998" s="473">
        <f t="shared" ca="1" si="627"/>
        <v>203.87476326800001</v>
      </c>
      <c r="CA998" s="476">
        <f t="shared" ca="1" si="646"/>
        <v>0</v>
      </c>
      <c r="CB998" s="494">
        <f ca="1">IF(OR($Q997&lt;&gt;1,OP!$D$5+$BN998-1&lt;16,$BN998-1&lt;1),0,ROUND(ROUND(ROUND(((VLOOKUP($BN998-1,MORE_PV,5,0)/10000)*VLOOKUP($BN998,MORE_PV,$CB$5,0)),3)*VLOOKUP($BN998,more1,5,0),0)/$R997,0))</f>
        <v>0</v>
      </c>
      <c r="CC998" s="473">
        <f t="shared" ca="1" si="647"/>
        <v>0</v>
      </c>
      <c r="CD998" s="477"/>
    </row>
    <row r="999" spans="2:82" ht="16.5" hidden="1">
      <c r="B999" s="80"/>
      <c r="C999" s="80"/>
      <c r="D999" s="80"/>
      <c r="E999" s="80"/>
      <c r="F999" s="80"/>
      <c r="G999" s="80"/>
      <c r="H999" s="80"/>
      <c r="I999" s="80"/>
      <c r="J999" s="192">
        <f t="shared" si="628"/>
        <v>83</v>
      </c>
      <c r="K999" s="192">
        <f t="shared" si="629"/>
        <v>7</v>
      </c>
      <c r="L999" s="192" t="str">
        <f t="shared" si="624"/>
        <v/>
      </c>
      <c r="M999" s="216" t="str">
        <f t="shared" ca="1" si="630"/>
        <v/>
      </c>
      <c r="N999" s="216"/>
      <c r="O999" s="216"/>
      <c r="P999" s="216"/>
      <c r="Q999" s="456">
        <f t="shared" ca="1" si="631"/>
        <v>1</v>
      </c>
      <c r="R999" s="450">
        <f t="shared" ca="1" si="632"/>
        <v>12</v>
      </c>
      <c r="S999" s="191">
        <f t="shared" si="633"/>
        <v>83</v>
      </c>
      <c r="T999" s="191">
        <f t="shared" si="634"/>
        <v>7</v>
      </c>
      <c r="U999" s="191">
        <f ca="1">OP!$D$5+$S999-1</f>
        <v>115</v>
      </c>
      <c r="V999" s="191" t="str">
        <f t="shared" si="635"/>
        <v/>
      </c>
      <c r="W999" s="350">
        <f ca="1">IF(Q999&lt;&gt;1,0,VLOOKUP(OP!$C$55,PVFB,$S999+2,0))</f>
        <v>0</v>
      </c>
      <c r="X999" s="473" t="str">
        <f t="shared" ca="1" si="648"/>
        <v/>
      </c>
      <c r="Y999" s="348">
        <f t="shared" ca="1" si="649"/>
        <v>0</v>
      </c>
      <c r="Z999" s="348">
        <f t="shared" ca="1" si="650"/>
        <v>8012</v>
      </c>
      <c r="AA999" s="348">
        <f ca="1">IF(Q999&lt;&gt;1,0,VLOOKUP(OP!$C$55,PVFB,$S999+2,0))</f>
        <v>0</v>
      </c>
      <c r="AB999" s="488" t="str">
        <f ca="1">IF(AND(S999&lt;OP!$C$24,$U999&lt;15),0,IF(AND($U999&lt;15,$T999=12),ROUND(VLOOKUP($S999,DOWN16,5,0),3),IF($T999=12,ROUND(($Z999/10000)*$AA999,3)+IF(AND($P$7="購買增額繳清保險",T999=12,U999=110),VLOOKUP(S999,$B$10:$H$121,7,0),0),"")))</f>
        <v/>
      </c>
      <c r="AC999" s="350" t="str">
        <f ca="1">IF(AND(S999&lt;OP!$C$24,$U999&lt;15),0,IF(AND($U999&lt;16,$T999=12),VLOOKUP($S999,DOWN16,4,0),IF($T999=12,ROUND(VLOOKUP(OP!$C$55,_DIE2,$S999+1,0)*(Z999/10000),0)+IF(AND($P$7="購買增額繳清保險",T999=12,U999=110),VLOOKUP(S999,$B$10:$H$121,7,0),0),"")))</f>
        <v/>
      </c>
      <c r="AD999" s="347"/>
      <c r="AE999" s="350" t="str">
        <f t="shared" ca="1" si="625"/>
        <v/>
      </c>
      <c r="AF999" s="351" t="str">
        <f t="shared" ca="1" si="626"/>
        <v/>
      </c>
      <c r="AG999" s="340"/>
      <c r="AH999" s="340"/>
      <c r="AI999" s="340"/>
      <c r="AJ999" s="340"/>
      <c r="AK999" s="340"/>
      <c r="AL999" s="340"/>
      <c r="AM999" s="340"/>
      <c r="AN999" s="340"/>
      <c r="AO999" s="340"/>
      <c r="AP999" s="340"/>
      <c r="AQ999" s="340"/>
      <c r="AR999" s="340"/>
      <c r="AS999" s="340"/>
      <c r="AT999" s="340"/>
      <c r="AU999" s="340"/>
      <c r="AV999" s="340"/>
      <c r="AY999" s="340"/>
      <c r="AZ999" s="465">
        <f t="shared" ca="1" si="636"/>
        <v>7.3698599999999999E-5</v>
      </c>
      <c r="BA999" s="464">
        <f t="shared" ca="1" si="637"/>
        <v>0</v>
      </c>
      <c r="BB999" s="465">
        <f t="shared" ca="1" si="637"/>
        <v>7.3698599999999999E-5</v>
      </c>
      <c r="BC999" s="466">
        <f t="shared" ca="1" si="638"/>
        <v>73020</v>
      </c>
      <c r="BD999" s="467">
        <f t="shared" ca="1" si="651"/>
        <v>73021</v>
      </c>
      <c r="BE999" s="467">
        <f t="shared" ca="1" si="639"/>
        <v>73050</v>
      </c>
      <c r="BF999" s="468">
        <f ca="1">IF(計算!$BC999&lt;OP!$C$3,0,BD999-BC999)</f>
        <v>1</v>
      </c>
      <c r="BG999" s="468">
        <f ca="1">IF($BE999&gt;DATE(YEAR($BD$9)+OP!$C$57,MONTH($BD$9),DAY($BD$9)),0,$BE999-$BD999+1)</f>
        <v>0</v>
      </c>
      <c r="BH999" s="469">
        <f t="shared" ca="1" si="640"/>
        <v>1</v>
      </c>
      <c r="BI999" t="str">
        <f t="shared" si="656"/>
        <v/>
      </c>
      <c r="BJ999">
        <v>6</v>
      </c>
      <c r="BN999" s="468">
        <f t="shared" si="652"/>
        <v>83</v>
      </c>
      <c r="BO999" s="468">
        <f t="shared" si="653"/>
        <v>6</v>
      </c>
      <c r="BP999" s="467">
        <f t="shared" ca="1" si="641"/>
        <v>73021</v>
      </c>
      <c r="BQ999" s="475">
        <f t="shared" ca="1" si="655"/>
        <v>115</v>
      </c>
      <c r="BR999" s="475" t="str">
        <f t="shared" si="654"/>
        <v/>
      </c>
      <c r="BS999" s="471" t="str">
        <f t="shared" si="642"/>
        <v/>
      </c>
      <c r="BT999" s="472" t="str">
        <f t="shared" si="657"/>
        <v/>
      </c>
      <c r="BU999" s="472">
        <f t="shared" ca="1" si="643"/>
        <v>0</v>
      </c>
      <c r="BV999" s="472">
        <f t="shared" ca="1" si="643"/>
        <v>0</v>
      </c>
      <c r="BW999" s="472"/>
      <c r="BX999" s="473">
        <f t="shared" ca="1" si="644"/>
        <v>2766535.4369374202</v>
      </c>
      <c r="BY999" s="473">
        <f t="shared" si="645"/>
        <v>0</v>
      </c>
      <c r="BZ999" s="473">
        <f t="shared" ca="1" si="627"/>
        <v>203.88978855299999</v>
      </c>
      <c r="CA999" s="476">
        <f t="shared" ca="1" si="646"/>
        <v>0</v>
      </c>
      <c r="CB999" s="494">
        <f ca="1">IF(OR($Q998&lt;&gt;1,OP!$D$5+$BN999-1&lt;16,$BN999-1&lt;1),0,ROUND(ROUND(ROUND(((VLOOKUP($BN999-1,MORE_PV,5,0)/10000)*VLOOKUP($BN999,MORE_PV,$CB$5,0)),3)*VLOOKUP($BN999,more1,5,0),0)/$R998,0))</f>
        <v>0</v>
      </c>
      <c r="CC999" s="473">
        <f t="shared" ca="1" si="647"/>
        <v>0</v>
      </c>
      <c r="CD999" s="477"/>
    </row>
    <row r="1000" spans="2:82" ht="16.5" hidden="1">
      <c r="B1000" s="80"/>
      <c r="C1000" s="80"/>
      <c r="D1000" s="80"/>
      <c r="E1000" s="80"/>
      <c r="F1000" s="80"/>
      <c r="G1000" s="80"/>
      <c r="H1000" s="80"/>
      <c r="I1000" s="80"/>
      <c r="J1000" s="192">
        <f t="shared" si="628"/>
        <v>83</v>
      </c>
      <c r="K1000" s="192">
        <f t="shared" si="629"/>
        <v>8</v>
      </c>
      <c r="L1000" s="192" t="str">
        <f t="shared" si="624"/>
        <v/>
      </c>
      <c r="M1000" s="216" t="str">
        <f t="shared" ca="1" si="630"/>
        <v/>
      </c>
      <c r="N1000" s="216"/>
      <c r="O1000" s="216"/>
      <c r="P1000" s="216"/>
      <c r="Q1000" s="456">
        <f t="shared" ca="1" si="631"/>
        <v>1</v>
      </c>
      <c r="R1000" s="450">
        <f t="shared" ca="1" si="632"/>
        <v>12</v>
      </c>
      <c r="S1000" s="191">
        <f t="shared" si="633"/>
        <v>83</v>
      </c>
      <c r="T1000" s="191">
        <f t="shared" si="634"/>
        <v>8</v>
      </c>
      <c r="U1000" s="191">
        <f ca="1">OP!$D$5+$S1000-1</f>
        <v>115</v>
      </c>
      <c r="V1000" s="191" t="str">
        <f t="shared" si="635"/>
        <v/>
      </c>
      <c r="W1000" s="350">
        <f ca="1">IF(Q1000&lt;&gt;1,0,VLOOKUP(OP!$C$55,PVFB,$S1000+2,0))</f>
        <v>0</v>
      </c>
      <c r="X1000" s="473" t="str">
        <f t="shared" ca="1" si="648"/>
        <v/>
      </c>
      <c r="Y1000" s="348">
        <f t="shared" ca="1" si="649"/>
        <v>0</v>
      </c>
      <c r="Z1000" s="348">
        <f t="shared" ca="1" si="650"/>
        <v>8012</v>
      </c>
      <c r="AA1000" s="348">
        <f ca="1">IF(Q1000&lt;&gt;1,0,VLOOKUP(OP!$C$55,PVFB,$S1000+2,0))</f>
        <v>0</v>
      </c>
      <c r="AB1000" s="488" t="str">
        <f ca="1">IF(AND(S1000&lt;OP!$C$24,$U1000&lt;15),0,IF(AND($U1000&lt;15,$T1000=12),ROUND(VLOOKUP($S1000,DOWN16,5,0),3),IF($T1000=12,ROUND(($Z1000/10000)*$AA1000,3)+IF(AND($P$7="購買增額繳清保險",T1000=12,U1000=110),VLOOKUP(S1000,$B$10:$H$121,7,0),0),"")))</f>
        <v/>
      </c>
      <c r="AC1000" s="350" t="str">
        <f ca="1">IF(AND(S1000&lt;OP!$C$24,$U1000&lt;15),0,IF(AND($U1000&lt;16,$T1000=12),VLOOKUP($S1000,DOWN16,4,0),IF($T1000=12,ROUND(VLOOKUP(OP!$C$55,_DIE2,$S1000+1,0)*(Z1000/10000),0)+IF(AND($P$7="購買增額繳清保險",T1000=12,U1000=110),VLOOKUP(S1000,$B$10:$H$121,7,0),0),"")))</f>
        <v/>
      </c>
      <c r="AD1000" s="347"/>
      <c r="AE1000" s="350" t="str">
        <f t="shared" ca="1" si="625"/>
        <v/>
      </c>
      <c r="AF1000" s="351" t="str">
        <f t="shared" ca="1" si="626"/>
        <v/>
      </c>
      <c r="AG1000" s="340"/>
      <c r="AH1000" s="340"/>
      <c r="AI1000" s="340"/>
      <c r="AJ1000" s="340"/>
      <c r="AK1000" s="340"/>
      <c r="AL1000" s="340"/>
      <c r="AM1000" s="340"/>
      <c r="AN1000" s="340"/>
      <c r="AO1000" s="340"/>
      <c r="AP1000" s="340"/>
      <c r="AQ1000" s="340"/>
      <c r="AR1000" s="340"/>
      <c r="AS1000" s="340"/>
      <c r="AT1000" s="340"/>
      <c r="AU1000" s="340"/>
      <c r="AV1000" s="340"/>
      <c r="AY1000" s="340"/>
      <c r="AZ1000" s="465">
        <f t="shared" ca="1" si="636"/>
        <v>7.3698599999999999E-5</v>
      </c>
      <c r="BA1000" s="464">
        <f t="shared" ca="1" si="637"/>
        <v>0</v>
      </c>
      <c r="BB1000" s="465">
        <f t="shared" ca="1" si="637"/>
        <v>7.3698599999999999E-5</v>
      </c>
      <c r="BC1000" s="466">
        <f t="shared" ca="1" si="638"/>
        <v>73051</v>
      </c>
      <c r="BD1000" s="467">
        <f t="shared" ca="1" si="651"/>
        <v>73052</v>
      </c>
      <c r="BE1000" s="467">
        <f t="shared" ca="1" si="639"/>
        <v>73081</v>
      </c>
      <c r="BF1000" s="468">
        <f ca="1">IF(計算!$BC1000&lt;OP!$C$3,0,BD1000-BC1000)</f>
        <v>1</v>
      </c>
      <c r="BG1000" s="468">
        <f ca="1">IF($BE1000&gt;DATE(YEAR($BD$9)+OP!$C$57,MONTH($BD$9),DAY($BD$9)),0,$BE1000-$BD1000+1)</f>
        <v>0</v>
      </c>
      <c r="BH1000" s="469">
        <f t="shared" ca="1" si="640"/>
        <v>1</v>
      </c>
      <c r="BI1000" t="str">
        <f t="shared" si="656"/>
        <v/>
      </c>
      <c r="BJ1000">
        <v>7</v>
      </c>
      <c r="BN1000" s="468">
        <f t="shared" si="652"/>
        <v>83</v>
      </c>
      <c r="BO1000" s="468">
        <f t="shared" si="653"/>
        <v>7</v>
      </c>
      <c r="BP1000" s="467">
        <f t="shared" ca="1" si="641"/>
        <v>73052</v>
      </c>
      <c r="BQ1000" s="475">
        <f t="shared" ca="1" si="655"/>
        <v>115</v>
      </c>
      <c r="BR1000" s="475" t="str">
        <f t="shared" si="654"/>
        <v/>
      </c>
      <c r="BS1000" s="471" t="str">
        <f t="shared" si="642"/>
        <v/>
      </c>
      <c r="BT1000" s="472" t="str">
        <f t="shared" si="657"/>
        <v/>
      </c>
      <c r="BU1000" s="472">
        <f t="shared" ca="1" si="643"/>
        <v>0</v>
      </c>
      <c r="BV1000" s="472">
        <f t="shared" ca="1" si="643"/>
        <v>0</v>
      </c>
      <c r="BW1000" s="472"/>
      <c r="BX1000" s="473">
        <f t="shared" ca="1" si="644"/>
        <v>2766739.32672597</v>
      </c>
      <c r="BY1000" s="473">
        <f t="shared" si="645"/>
        <v>0</v>
      </c>
      <c r="BZ1000" s="473">
        <f t="shared" ca="1" si="627"/>
        <v>203.904814945</v>
      </c>
      <c r="CA1000" s="476">
        <f t="shared" ca="1" si="646"/>
        <v>0</v>
      </c>
      <c r="CB1000" s="494">
        <f ca="1">IF(OR($Q999&lt;&gt;1,OP!$D$5+$BN1000-1&lt;16,$BN1000-1&lt;1),0,ROUND(ROUND(ROUND(((VLOOKUP($BN1000-1,MORE_PV,5,0)/10000)*VLOOKUP($BN1000,MORE_PV,$CB$5,0)),3)*VLOOKUP($BN1000,more1,5,0),0)/$R999,0))</f>
        <v>0</v>
      </c>
      <c r="CC1000" s="473">
        <f t="shared" ca="1" si="647"/>
        <v>0</v>
      </c>
      <c r="CD1000" s="477"/>
    </row>
    <row r="1001" spans="2:82" ht="16.5" hidden="1">
      <c r="B1001" s="80"/>
      <c r="C1001" s="80"/>
      <c r="D1001" s="80"/>
      <c r="E1001" s="80"/>
      <c r="F1001" s="80"/>
      <c r="G1001" s="80"/>
      <c r="H1001" s="80"/>
      <c r="I1001" s="80"/>
      <c r="J1001" s="192">
        <f t="shared" si="628"/>
        <v>83</v>
      </c>
      <c r="K1001" s="192">
        <f t="shared" si="629"/>
        <v>9</v>
      </c>
      <c r="L1001" s="192" t="str">
        <f t="shared" si="624"/>
        <v/>
      </c>
      <c r="M1001" s="216" t="str">
        <f t="shared" ca="1" si="630"/>
        <v/>
      </c>
      <c r="N1001" s="216"/>
      <c r="O1001" s="216"/>
      <c r="P1001" s="216"/>
      <c r="Q1001" s="456">
        <f t="shared" ca="1" si="631"/>
        <v>1</v>
      </c>
      <c r="R1001" s="450">
        <f t="shared" ca="1" si="632"/>
        <v>12</v>
      </c>
      <c r="S1001" s="191">
        <f t="shared" si="633"/>
        <v>83</v>
      </c>
      <c r="T1001" s="191">
        <f t="shared" si="634"/>
        <v>9</v>
      </c>
      <c r="U1001" s="191">
        <f ca="1">OP!$D$5+$S1001-1</f>
        <v>115</v>
      </c>
      <c r="V1001" s="191" t="str">
        <f t="shared" si="635"/>
        <v/>
      </c>
      <c r="W1001" s="350">
        <f ca="1">IF(Q1001&lt;&gt;1,0,VLOOKUP(OP!$C$55,PVFB,$S1001+2,0))</f>
        <v>0</v>
      </c>
      <c r="X1001" s="473" t="str">
        <f t="shared" ca="1" si="648"/>
        <v/>
      </c>
      <c r="Y1001" s="348">
        <f t="shared" ca="1" si="649"/>
        <v>0</v>
      </c>
      <c r="Z1001" s="348">
        <f t="shared" ca="1" si="650"/>
        <v>8012</v>
      </c>
      <c r="AA1001" s="348">
        <f ca="1">IF(Q1001&lt;&gt;1,0,VLOOKUP(OP!$C$55,PVFB,$S1001+2,0))</f>
        <v>0</v>
      </c>
      <c r="AB1001" s="488" t="str">
        <f ca="1">IF(AND(S1001&lt;OP!$C$24,$U1001&lt;15),0,IF(AND($U1001&lt;15,$T1001=12),ROUND(VLOOKUP($S1001,DOWN16,5,0),3),IF($T1001=12,ROUND(($Z1001/10000)*$AA1001,3)+IF(AND($P$7="購買增額繳清保險",T1001=12,U1001=110),VLOOKUP(S1001,$B$10:$H$121,7,0),0),"")))</f>
        <v/>
      </c>
      <c r="AC1001" s="350" t="str">
        <f ca="1">IF(AND(S1001&lt;OP!$C$24,$U1001&lt;15),0,IF(AND($U1001&lt;16,$T1001=12),VLOOKUP($S1001,DOWN16,4,0),IF($T1001=12,ROUND(VLOOKUP(OP!$C$55,_DIE2,$S1001+1,0)*(Z1001/10000),0)+IF(AND($P$7="購買增額繳清保險",T1001=12,U1001=110),VLOOKUP(S1001,$B$10:$H$121,7,0),0),"")))</f>
        <v/>
      </c>
      <c r="AD1001" s="347"/>
      <c r="AE1001" s="350" t="str">
        <f t="shared" ca="1" si="625"/>
        <v/>
      </c>
      <c r="AF1001" s="351" t="str">
        <f t="shared" ca="1" si="626"/>
        <v/>
      </c>
      <c r="AG1001" s="340"/>
      <c r="AH1001" s="340"/>
      <c r="AI1001" s="340"/>
      <c r="AJ1001" s="340"/>
      <c r="AK1001" s="340"/>
      <c r="AL1001" s="340"/>
      <c r="AM1001" s="340"/>
      <c r="AN1001" s="340"/>
      <c r="AO1001" s="340"/>
      <c r="AP1001" s="340"/>
      <c r="AQ1001" s="340"/>
      <c r="AR1001" s="340"/>
      <c r="AS1001" s="340"/>
      <c r="AT1001" s="340"/>
      <c r="AU1001" s="340"/>
      <c r="AV1001" s="340"/>
      <c r="AY1001" s="340"/>
      <c r="AZ1001" s="465">
        <f t="shared" ca="1" si="636"/>
        <v>7.3698599999999999E-5</v>
      </c>
      <c r="BA1001" s="464">
        <f t="shared" ca="1" si="637"/>
        <v>0</v>
      </c>
      <c r="BB1001" s="465">
        <f t="shared" ca="1" si="637"/>
        <v>7.3698599999999999E-5</v>
      </c>
      <c r="BC1001" s="466">
        <f t="shared" ca="1" si="638"/>
        <v>73082</v>
      </c>
      <c r="BD1001" s="467">
        <f t="shared" ca="1" si="651"/>
        <v>73083</v>
      </c>
      <c r="BE1001" s="467">
        <f t="shared" ca="1" si="639"/>
        <v>73109</v>
      </c>
      <c r="BF1001" s="468">
        <f ca="1">IF(計算!$BC1001&lt;OP!$C$3,0,BD1001-BC1001)</f>
        <v>1</v>
      </c>
      <c r="BG1001" s="468">
        <f ca="1">IF($BE1001&gt;DATE(YEAR($BD$9)+OP!$C$57,MONTH($BD$9),DAY($BD$9)),0,$BE1001-$BD1001+1)</f>
        <v>0</v>
      </c>
      <c r="BH1001" s="469">
        <f t="shared" ca="1" si="640"/>
        <v>1</v>
      </c>
      <c r="BI1001" t="str">
        <f t="shared" si="656"/>
        <v/>
      </c>
      <c r="BJ1001">
        <v>8</v>
      </c>
      <c r="BN1001" s="468">
        <f t="shared" si="652"/>
        <v>83</v>
      </c>
      <c r="BO1001" s="468">
        <f t="shared" si="653"/>
        <v>8</v>
      </c>
      <c r="BP1001" s="467">
        <f t="shared" ca="1" si="641"/>
        <v>73083</v>
      </c>
      <c r="BQ1001" s="475">
        <f t="shared" ca="1" si="655"/>
        <v>115</v>
      </c>
      <c r="BR1001" s="475" t="str">
        <f t="shared" si="654"/>
        <v/>
      </c>
      <c r="BS1001" s="471" t="str">
        <f t="shared" si="642"/>
        <v/>
      </c>
      <c r="BT1001" s="472" t="str">
        <f t="shared" si="657"/>
        <v/>
      </c>
      <c r="BU1001" s="472">
        <f t="shared" ca="1" si="643"/>
        <v>0</v>
      </c>
      <c r="BV1001" s="472">
        <f t="shared" ca="1" si="643"/>
        <v>0</v>
      </c>
      <c r="BW1001" s="472"/>
      <c r="BX1001" s="473">
        <f t="shared" ca="1" si="644"/>
        <v>2766943.2315409202</v>
      </c>
      <c r="BY1001" s="473">
        <f t="shared" si="645"/>
        <v>0</v>
      </c>
      <c r="BZ1001" s="473">
        <f t="shared" ca="1" si="627"/>
        <v>203.91984244400001</v>
      </c>
      <c r="CA1001" s="476">
        <f t="shared" ca="1" si="646"/>
        <v>0</v>
      </c>
      <c r="CB1001" s="494">
        <f ca="1">IF(OR($Q1000&lt;&gt;1,OP!$D$5+$BN1001-1&lt;16,$BN1001-1&lt;1),0,ROUND(ROUND(ROUND(((VLOOKUP($BN1001-1,MORE_PV,5,0)/10000)*VLOOKUP($BN1001,MORE_PV,$CB$5,0)),3)*VLOOKUP($BN1001,more1,5,0),0)/$R1000,0))</f>
        <v>0</v>
      </c>
      <c r="CC1001" s="473">
        <f t="shared" ca="1" si="647"/>
        <v>0</v>
      </c>
      <c r="CD1001" s="477"/>
    </row>
    <row r="1002" spans="2:82" ht="16.5" hidden="1">
      <c r="B1002" s="80"/>
      <c r="C1002" s="80"/>
      <c r="D1002" s="80"/>
      <c r="E1002" s="80"/>
      <c r="F1002" s="80"/>
      <c r="G1002" s="80"/>
      <c r="H1002" s="80"/>
      <c r="I1002" s="80"/>
      <c r="J1002" s="192">
        <f t="shared" si="628"/>
        <v>83</v>
      </c>
      <c r="K1002" s="192">
        <f t="shared" si="629"/>
        <v>10</v>
      </c>
      <c r="L1002" s="192" t="str">
        <f t="shared" si="624"/>
        <v/>
      </c>
      <c r="M1002" s="216" t="str">
        <f t="shared" ca="1" si="630"/>
        <v/>
      </c>
      <c r="N1002" s="216"/>
      <c r="O1002" s="216"/>
      <c r="P1002" s="216"/>
      <c r="Q1002" s="456">
        <f t="shared" ca="1" si="631"/>
        <v>1</v>
      </c>
      <c r="R1002" s="450">
        <f t="shared" ca="1" si="632"/>
        <v>12</v>
      </c>
      <c r="S1002" s="191">
        <f t="shared" si="633"/>
        <v>83</v>
      </c>
      <c r="T1002" s="191">
        <f t="shared" si="634"/>
        <v>10</v>
      </c>
      <c r="U1002" s="191">
        <f ca="1">OP!$D$5+$S1002-1</f>
        <v>115</v>
      </c>
      <c r="V1002" s="191" t="str">
        <f t="shared" si="635"/>
        <v/>
      </c>
      <c r="W1002" s="350">
        <f ca="1">IF(Q1002&lt;&gt;1,0,VLOOKUP(OP!$C$55,PVFB,$S1002+2,0))</f>
        <v>0</v>
      </c>
      <c r="X1002" s="473" t="str">
        <f t="shared" ca="1" si="648"/>
        <v/>
      </c>
      <c r="Y1002" s="348">
        <f t="shared" ca="1" si="649"/>
        <v>0</v>
      </c>
      <c r="Z1002" s="348">
        <f t="shared" ca="1" si="650"/>
        <v>8012</v>
      </c>
      <c r="AA1002" s="348">
        <f ca="1">IF(Q1002&lt;&gt;1,0,VLOOKUP(OP!$C$55,PVFB,$S1002+2,0))</f>
        <v>0</v>
      </c>
      <c r="AB1002" s="488" t="str">
        <f ca="1">IF(AND(S1002&lt;OP!$C$24,$U1002&lt;15),0,IF(AND($U1002&lt;15,$T1002=12),ROUND(VLOOKUP($S1002,DOWN16,5,0),3),IF($T1002=12,ROUND(($Z1002/10000)*$AA1002,3)+IF(AND($P$7="購買增額繳清保險",T1002=12,U1002=110),VLOOKUP(S1002,$B$10:$H$121,7,0),0),"")))</f>
        <v/>
      </c>
      <c r="AC1002" s="350" t="str">
        <f ca="1">IF(AND(S1002&lt;OP!$C$24,$U1002&lt;15),0,IF(AND($U1002&lt;16,$T1002=12),VLOOKUP($S1002,DOWN16,4,0),IF($T1002=12,ROUND(VLOOKUP(OP!$C$55,_DIE2,$S1002+1,0)*(Z1002/10000),0)+IF(AND($P$7="購買增額繳清保險",T1002=12,U1002=110),VLOOKUP(S1002,$B$10:$H$121,7,0),0),"")))</f>
        <v/>
      </c>
      <c r="AD1002" s="347"/>
      <c r="AE1002" s="350" t="str">
        <f t="shared" ca="1" si="625"/>
        <v/>
      </c>
      <c r="AF1002" s="351" t="str">
        <f t="shared" ca="1" si="626"/>
        <v/>
      </c>
      <c r="AG1002" s="340"/>
      <c r="AH1002" s="340"/>
      <c r="AI1002" s="340"/>
      <c r="AJ1002" s="340"/>
      <c r="AK1002" s="340"/>
      <c r="AL1002" s="340"/>
      <c r="AM1002" s="340"/>
      <c r="AN1002" s="340"/>
      <c r="AO1002" s="340"/>
      <c r="AP1002" s="340"/>
      <c r="AQ1002" s="340"/>
      <c r="AR1002" s="340"/>
      <c r="AS1002" s="340"/>
      <c r="AT1002" s="340"/>
      <c r="AU1002" s="340"/>
      <c r="AV1002" s="340"/>
      <c r="AY1002" s="340"/>
      <c r="AZ1002" s="465">
        <f t="shared" ca="1" si="636"/>
        <v>7.3698599999999999E-5</v>
      </c>
      <c r="BA1002" s="464">
        <f t="shared" ca="1" si="637"/>
        <v>0</v>
      </c>
      <c r="BB1002" s="465">
        <f t="shared" ca="1" si="637"/>
        <v>7.3698599999999999E-5</v>
      </c>
      <c r="BC1002" s="466">
        <f t="shared" ca="1" si="638"/>
        <v>73110</v>
      </c>
      <c r="BD1002" s="467">
        <f t="shared" ca="1" si="651"/>
        <v>73111</v>
      </c>
      <c r="BE1002" s="467">
        <f t="shared" ca="1" si="639"/>
        <v>73140</v>
      </c>
      <c r="BF1002" s="468">
        <f ca="1">IF(計算!$BC1002&lt;OP!$C$3,0,BD1002-BC1002)</f>
        <v>1</v>
      </c>
      <c r="BG1002" s="468">
        <f ca="1">IF($BE1002&gt;DATE(YEAR($BD$9)+OP!$C$57,MONTH($BD$9),DAY($BD$9)),0,$BE1002-$BD1002+1)</f>
        <v>0</v>
      </c>
      <c r="BH1002" s="469">
        <f t="shared" ca="1" si="640"/>
        <v>1</v>
      </c>
      <c r="BI1002" t="str">
        <f t="shared" si="656"/>
        <v/>
      </c>
      <c r="BJ1002">
        <v>9</v>
      </c>
      <c r="BN1002" s="468">
        <f t="shared" si="652"/>
        <v>83</v>
      </c>
      <c r="BO1002" s="468">
        <f t="shared" si="653"/>
        <v>9</v>
      </c>
      <c r="BP1002" s="467">
        <f t="shared" ca="1" si="641"/>
        <v>73111</v>
      </c>
      <c r="BQ1002" s="475">
        <f t="shared" ca="1" si="655"/>
        <v>115</v>
      </c>
      <c r="BR1002" s="475" t="str">
        <f t="shared" si="654"/>
        <v/>
      </c>
      <c r="BS1002" s="471" t="str">
        <f t="shared" si="642"/>
        <v/>
      </c>
      <c r="BT1002" s="472" t="str">
        <f t="shared" si="657"/>
        <v/>
      </c>
      <c r="BU1002" s="472">
        <f t="shared" ca="1" si="643"/>
        <v>0</v>
      </c>
      <c r="BV1002" s="472">
        <f t="shared" ca="1" si="643"/>
        <v>0</v>
      </c>
      <c r="BW1002" s="472"/>
      <c r="BX1002" s="473">
        <f t="shared" ca="1" si="644"/>
        <v>2767147.1513833599</v>
      </c>
      <c r="BY1002" s="473">
        <f t="shared" si="645"/>
        <v>0</v>
      </c>
      <c r="BZ1002" s="473">
        <f t="shared" ca="1" si="627"/>
        <v>203.93487105099999</v>
      </c>
      <c r="CA1002" s="476">
        <f t="shared" ca="1" si="646"/>
        <v>0</v>
      </c>
      <c r="CB1002" s="494">
        <f ca="1">IF(OR($Q1001&lt;&gt;1,OP!$D$5+$BN1002-1&lt;16,$BN1002-1&lt;1),0,ROUND(ROUND(ROUND(((VLOOKUP($BN1002-1,MORE_PV,5,0)/10000)*VLOOKUP($BN1002,MORE_PV,$CB$5,0)),3)*VLOOKUP($BN1002,more1,5,0),0)/$R1001,0))</f>
        <v>0</v>
      </c>
      <c r="CC1002" s="473">
        <f t="shared" ca="1" si="647"/>
        <v>0</v>
      </c>
      <c r="CD1002" s="477"/>
    </row>
    <row r="1003" spans="2:82" ht="16.5" hidden="1">
      <c r="B1003" s="80"/>
      <c r="C1003" s="80"/>
      <c r="D1003" s="80"/>
      <c r="E1003" s="80"/>
      <c r="F1003" s="80"/>
      <c r="G1003" s="80"/>
      <c r="H1003" s="80"/>
      <c r="I1003" s="80"/>
      <c r="J1003" s="192">
        <f t="shared" si="628"/>
        <v>83</v>
      </c>
      <c r="K1003" s="192">
        <f t="shared" si="629"/>
        <v>11</v>
      </c>
      <c r="L1003" s="192" t="str">
        <f t="shared" si="624"/>
        <v/>
      </c>
      <c r="M1003" s="216" t="str">
        <f t="shared" ca="1" si="630"/>
        <v/>
      </c>
      <c r="N1003" s="216"/>
      <c r="O1003" s="216"/>
      <c r="P1003" s="216"/>
      <c r="Q1003" s="456">
        <f t="shared" ca="1" si="631"/>
        <v>1</v>
      </c>
      <c r="R1003" s="450">
        <f t="shared" ca="1" si="632"/>
        <v>12</v>
      </c>
      <c r="S1003" s="191">
        <f t="shared" si="633"/>
        <v>83</v>
      </c>
      <c r="T1003" s="191">
        <f t="shared" si="634"/>
        <v>11</v>
      </c>
      <c r="U1003" s="191">
        <f ca="1">OP!$D$5+$S1003-1</f>
        <v>115</v>
      </c>
      <c r="V1003" s="191" t="str">
        <f t="shared" si="635"/>
        <v/>
      </c>
      <c r="W1003" s="350">
        <f ca="1">IF(Q1003&lt;&gt;1,0,VLOOKUP(OP!$C$55,PVFB,$S1003+2,0))</f>
        <v>0</v>
      </c>
      <c r="X1003" s="473" t="str">
        <f t="shared" ca="1" si="648"/>
        <v/>
      </c>
      <c r="Y1003" s="348">
        <f t="shared" ca="1" si="649"/>
        <v>0</v>
      </c>
      <c r="Z1003" s="348">
        <f t="shared" ca="1" si="650"/>
        <v>8012</v>
      </c>
      <c r="AA1003" s="348">
        <f ca="1">IF(Q1003&lt;&gt;1,0,VLOOKUP(OP!$C$55,PVFB,$S1003+2,0))</f>
        <v>0</v>
      </c>
      <c r="AB1003" s="488" t="str">
        <f ca="1">IF(AND(S1003&lt;OP!$C$24,$U1003&lt;15),0,IF(AND($U1003&lt;15,$T1003=12),ROUND(VLOOKUP($S1003,DOWN16,5,0),3),IF($T1003=12,ROUND(($Z1003/10000)*$AA1003,3)+IF(AND($P$7="購買增額繳清保險",T1003=12,U1003=110),VLOOKUP(S1003,$B$10:$H$121,7,0),0),"")))</f>
        <v/>
      </c>
      <c r="AC1003" s="350" t="str">
        <f ca="1">IF(AND(S1003&lt;OP!$C$24,$U1003&lt;15),0,IF(AND($U1003&lt;16,$T1003=12),VLOOKUP($S1003,DOWN16,4,0),IF($T1003=12,ROUND(VLOOKUP(OP!$C$55,_DIE2,$S1003+1,0)*(Z1003/10000),0)+IF(AND($P$7="購買增額繳清保險",T1003=12,U1003=110),VLOOKUP(S1003,$B$10:$H$121,7,0),0),"")))</f>
        <v/>
      </c>
      <c r="AD1003" s="347"/>
      <c r="AE1003" s="350" t="str">
        <f t="shared" ca="1" si="625"/>
        <v/>
      </c>
      <c r="AF1003" s="351" t="str">
        <f t="shared" ca="1" si="626"/>
        <v/>
      </c>
      <c r="AG1003" s="340"/>
      <c r="AH1003" s="340"/>
      <c r="AI1003" s="340"/>
      <c r="AJ1003" s="340"/>
      <c r="AK1003" s="340"/>
      <c r="AL1003" s="340"/>
      <c r="AM1003" s="340"/>
      <c r="AN1003" s="340"/>
      <c r="AO1003" s="340"/>
      <c r="AP1003" s="340"/>
      <c r="AQ1003" s="340"/>
      <c r="AR1003" s="340"/>
      <c r="AS1003" s="340"/>
      <c r="AT1003" s="340"/>
      <c r="AU1003" s="340"/>
      <c r="AV1003" s="340"/>
      <c r="AY1003" s="340"/>
      <c r="AZ1003" s="465">
        <f t="shared" ca="1" si="636"/>
        <v>7.3698599999999999E-5</v>
      </c>
      <c r="BA1003" s="464">
        <f t="shared" ca="1" si="637"/>
        <v>0</v>
      </c>
      <c r="BB1003" s="465">
        <f t="shared" ca="1" si="637"/>
        <v>7.3698599999999999E-5</v>
      </c>
      <c r="BC1003" s="466">
        <f t="shared" ca="1" si="638"/>
        <v>73141</v>
      </c>
      <c r="BD1003" s="467">
        <f t="shared" ca="1" si="651"/>
        <v>73142</v>
      </c>
      <c r="BE1003" s="467">
        <f t="shared" ca="1" si="639"/>
        <v>73170</v>
      </c>
      <c r="BF1003" s="468">
        <f ca="1">IF(計算!$BC1003&lt;OP!$C$3,0,BD1003-BC1003)</f>
        <v>1</v>
      </c>
      <c r="BG1003" s="468">
        <f ca="1">IF($BE1003&gt;DATE(YEAR($BD$9)+OP!$C$57,MONTH($BD$9),DAY($BD$9)),0,$BE1003-$BD1003+1)</f>
        <v>0</v>
      </c>
      <c r="BH1003" s="469">
        <f t="shared" ca="1" si="640"/>
        <v>1</v>
      </c>
      <c r="BI1003" t="str">
        <f t="shared" si="656"/>
        <v/>
      </c>
      <c r="BJ1003">
        <v>10</v>
      </c>
      <c r="BN1003" s="468">
        <f t="shared" si="652"/>
        <v>83</v>
      </c>
      <c r="BO1003" s="468">
        <f t="shared" si="653"/>
        <v>10</v>
      </c>
      <c r="BP1003" s="467">
        <f t="shared" ca="1" si="641"/>
        <v>73142</v>
      </c>
      <c r="BQ1003" s="475">
        <f t="shared" ca="1" si="655"/>
        <v>115</v>
      </c>
      <c r="BR1003" s="475" t="str">
        <f t="shared" si="654"/>
        <v/>
      </c>
      <c r="BS1003" s="471" t="str">
        <f t="shared" si="642"/>
        <v/>
      </c>
      <c r="BT1003" s="472" t="str">
        <f t="shared" si="657"/>
        <v/>
      </c>
      <c r="BU1003" s="472">
        <f t="shared" ca="1" si="643"/>
        <v>0</v>
      </c>
      <c r="BV1003" s="472">
        <f t="shared" ca="1" si="643"/>
        <v>0</v>
      </c>
      <c r="BW1003" s="472"/>
      <c r="BX1003" s="473">
        <f t="shared" ca="1" si="644"/>
        <v>2767351.08625441</v>
      </c>
      <c r="BY1003" s="473">
        <f t="shared" si="645"/>
        <v>0</v>
      </c>
      <c r="BZ1003" s="473">
        <f t="shared" ca="1" si="627"/>
        <v>203.949900765</v>
      </c>
      <c r="CA1003" s="476">
        <f t="shared" ca="1" si="646"/>
        <v>0</v>
      </c>
      <c r="CB1003" s="494">
        <f ca="1">IF(OR($Q1002&lt;&gt;1,OP!$D$5+$BN1003-1&lt;16,$BN1003-1&lt;1),0,ROUND(ROUND(ROUND(((VLOOKUP($BN1003-1,MORE_PV,5,0)/10000)*VLOOKUP($BN1003,MORE_PV,$CB$5,0)),3)*VLOOKUP($BN1003,more1,5,0),0)/$R1002,0))</f>
        <v>0</v>
      </c>
      <c r="CC1003" s="473">
        <f t="shared" ca="1" si="647"/>
        <v>0</v>
      </c>
      <c r="CD1003" s="477"/>
    </row>
    <row r="1004" spans="2:82" ht="16.5" hidden="1">
      <c r="B1004" s="80"/>
      <c r="C1004" s="80"/>
      <c r="D1004" s="80"/>
      <c r="E1004" s="80"/>
      <c r="F1004" s="80"/>
      <c r="G1004" s="80"/>
      <c r="H1004" s="80"/>
      <c r="I1004" s="80"/>
      <c r="J1004" s="192">
        <f t="shared" si="628"/>
        <v>83</v>
      </c>
      <c r="K1004" s="192">
        <f t="shared" si="629"/>
        <v>12</v>
      </c>
      <c r="L1004" s="192">
        <f t="shared" si="624"/>
        <v>83</v>
      </c>
      <c r="M1004" s="216">
        <f t="shared" ca="1" si="630"/>
        <v>2767962</v>
      </c>
      <c r="N1004" s="216"/>
      <c r="O1004" s="216"/>
      <c r="P1004" s="216"/>
      <c r="Q1004" s="456">
        <f t="shared" ca="1" si="631"/>
        <v>1</v>
      </c>
      <c r="R1004" s="450">
        <f t="shared" ca="1" si="632"/>
        <v>12</v>
      </c>
      <c r="S1004" s="191">
        <f t="shared" si="633"/>
        <v>83</v>
      </c>
      <c r="T1004" s="191">
        <f t="shared" si="634"/>
        <v>12</v>
      </c>
      <c r="U1004" s="191">
        <f ca="1">OP!$D$5+$S1004-1</f>
        <v>115</v>
      </c>
      <c r="V1004" s="191">
        <f t="shared" si="635"/>
        <v>83</v>
      </c>
      <c r="W1004" s="350">
        <f ca="1">IF(Q1004&lt;&gt;1,0,VLOOKUP(OP!$C$55,PVFB,$S1004+2,0))</f>
        <v>0</v>
      </c>
      <c r="X1004" s="473">
        <f t="shared" ca="1" si="648"/>
        <v>0</v>
      </c>
      <c r="Y1004" s="348">
        <f t="shared" ca="1" si="649"/>
        <v>0</v>
      </c>
      <c r="Z1004" s="348">
        <f t="shared" ca="1" si="650"/>
        <v>8012</v>
      </c>
      <c r="AA1004" s="348">
        <f ca="1">IF(Q1004&lt;&gt;1,0,VLOOKUP(OP!$C$55,PVFB,$S1004+2,0))</f>
        <v>0</v>
      </c>
      <c r="AB1004" s="488">
        <f ca="1">IF(AND(S1004&lt;OP!$C$24,$U1004&lt;15),0,IF(AND($U1004&lt;15,$T1004=12),ROUND(VLOOKUP($S1004,DOWN16,5,0),3),IF($T1004=12,ROUND(($Z1004/10000)*$AA1004,3)+IF(AND($P$7="購買增額繳清保險",T1004=12,U1004=110),VLOOKUP(S1004,$B$10:$H$121,7,0),0),"")))</f>
        <v>0</v>
      </c>
      <c r="AC1004" s="350">
        <f ca="1">IF(AND(S1004&lt;OP!$C$24,$U1004&lt;15),0,IF(AND($U1004&lt;16,$T1004=12),VLOOKUP($S1004,DOWN16,4,0),IF($T1004=12,ROUND(VLOOKUP(OP!$C$55,_DIE2,$S1004+1,0)*(Z1004/10000),0)+IF(AND($P$7="購買增額繳清保險",T1004=12,U1004=110),VLOOKUP(S1004,$B$10:$H$121,7,0),0),"")))</f>
        <v>0</v>
      </c>
      <c r="AD1004" s="347"/>
      <c r="AE1004" s="350" t="str">
        <f t="shared" ca="1" si="625"/>
        <v/>
      </c>
      <c r="AF1004" s="351" t="str">
        <f t="shared" ca="1" si="626"/>
        <v/>
      </c>
      <c r="AG1004" s="340"/>
      <c r="AH1004" s="340"/>
      <c r="AI1004" s="340"/>
      <c r="AJ1004" s="340"/>
      <c r="AK1004" s="340"/>
      <c r="AL1004" s="340"/>
      <c r="AM1004" s="340"/>
      <c r="AN1004" s="340"/>
      <c r="AO1004" s="340"/>
      <c r="AP1004" s="340"/>
      <c r="AQ1004" s="340"/>
      <c r="AR1004" s="340"/>
      <c r="AS1004" s="340"/>
      <c r="AT1004" s="340"/>
      <c r="AU1004" s="340"/>
      <c r="AV1004" s="340"/>
      <c r="AY1004" s="340"/>
      <c r="AZ1004" s="465">
        <f t="shared" ca="1" si="636"/>
        <v>7.3698599999999999E-5</v>
      </c>
      <c r="BA1004" s="464">
        <f t="shared" ca="1" si="637"/>
        <v>0</v>
      </c>
      <c r="BB1004" s="465">
        <f t="shared" ca="1" si="637"/>
        <v>7.3698599999999999E-5</v>
      </c>
      <c r="BC1004" s="466">
        <f t="shared" ca="1" si="638"/>
        <v>73171</v>
      </c>
      <c r="BD1004" s="467">
        <f t="shared" ca="1" si="651"/>
        <v>73172</v>
      </c>
      <c r="BE1004" s="467">
        <f t="shared" ca="1" si="639"/>
        <v>73201</v>
      </c>
      <c r="BF1004" s="468">
        <f ca="1">IF(計算!$BC1004&lt;OP!$C$3,0,BD1004-BC1004)</f>
        <v>1</v>
      </c>
      <c r="BG1004" s="468">
        <f ca="1">IF($BE1004&gt;DATE(YEAR($BD$9)+OP!$C$57,MONTH($BD$9),DAY($BD$9)),0,$BE1004-$BD1004+1)</f>
        <v>0</v>
      </c>
      <c r="BH1004" s="469">
        <f t="shared" ca="1" si="640"/>
        <v>1</v>
      </c>
      <c r="BI1004" t="str">
        <f t="shared" si="656"/>
        <v/>
      </c>
      <c r="BJ1004">
        <v>11</v>
      </c>
      <c r="BN1004" s="468">
        <f t="shared" si="652"/>
        <v>83</v>
      </c>
      <c r="BO1004" s="468">
        <f t="shared" si="653"/>
        <v>11</v>
      </c>
      <c r="BP1004" s="467">
        <f t="shared" ca="1" si="641"/>
        <v>73172</v>
      </c>
      <c r="BQ1004" s="475">
        <f t="shared" ca="1" si="655"/>
        <v>115</v>
      </c>
      <c r="BR1004" s="475" t="str">
        <f t="shared" si="654"/>
        <v/>
      </c>
      <c r="BS1004" s="471" t="str">
        <f t="shared" si="642"/>
        <v/>
      </c>
      <c r="BT1004" s="472" t="str">
        <f t="shared" si="657"/>
        <v/>
      </c>
      <c r="BU1004" s="472">
        <f t="shared" ca="1" si="643"/>
        <v>0</v>
      </c>
      <c r="BV1004" s="472">
        <f t="shared" ca="1" si="643"/>
        <v>0</v>
      </c>
      <c r="BW1004" s="472"/>
      <c r="BX1004" s="473">
        <f t="shared" ca="1" si="644"/>
        <v>2767555.0361551698</v>
      </c>
      <c r="BY1004" s="473">
        <f t="shared" si="645"/>
        <v>0</v>
      </c>
      <c r="BZ1004" s="473">
        <f t="shared" ca="1" si="627"/>
        <v>203.96493158800001</v>
      </c>
      <c r="CA1004" s="476">
        <f t="shared" ca="1" si="646"/>
        <v>0</v>
      </c>
      <c r="CB1004" s="494">
        <f ca="1">IF(OR($Q1003&lt;&gt;1,OP!$D$5+$BN1004-1&lt;16,$BN1004-1&lt;1),0,ROUND(ROUND(ROUND(((VLOOKUP($BN1004-1,MORE_PV,5,0)/10000)*VLOOKUP($BN1004,MORE_PV,$CB$5,0)),3)*VLOOKUP($BN1004,more1,5,0),0)/$R1003,0))</f>
        <v>0</v>
      </c>
      <c r="CC1004" s="473">
        <f t="shared" ca="1" si="647"/>
        <v>0</v>
      </c>
      <c r="CD1004" s="477"/>
    </row>
    <row r="1005" spans="2:82" ht="16.5" hidden="1">
      <c r="B1005" s="80"/>
      <c r="C1005" s="80"/>
      <c r="D1005" s="80"/>
      <c r="E1005" s="80"/>
      <c r="F1005" s="80"/>
      <c r="G1005" s="80"/>
      <c r="H1005" s="80"/>
      <c r="I1005" s="80"/>
      <c r="J1005" s="192">
        <f t="shared" si="628"/>
        <v>84</v>
      </c>
      <c r="K1005" s="192">
        <f t="shared" si="629"/>
        <v>1</v>
      </c>
      <c r="L1005" s="192" t="str">
        <f t="shared" si="624"/>
        <v/>
      </c>
      <c r="M1005" s="216" t="str">
        <f t="shared" ca="1" si="630"/>
        <v/>
      </c>
      <c r="N1005" s="216"/>
      <c r="O1005" s="216"/>
      <c r="P1005" s="216"/>
      <c r="Q1005" s="456">
        <f t="shared" ca="1" si="631"/>
        <v>1</v>
      </c>
      <c r="R1005" s="450">
        <f t="shared" ca="1" si="632"/>
        <v>12</v>
      </c>
      <c r="S1005" s="191">
        <f t="shared" si="633"/>
        <v>84</v>
      </c>
      <c r="T1005" s="191">
        <f t="shared" si="634"/>
        <v>1</v>
      </c>
      <c r="U1005" s="191">
        <f ca="1">OP!$D$5+$S1005-1</f>
        <v>116</v>
      </c>
      <c r="V1005" s="191" t="str">
        <f t="shared" si="635"/>
        <v/>
      </c>
      <c r="W1005" s="350">
        <f ca="1">IF(Q1005&lt;&gt;1,0,VLOOKUP(OP!$C$55,PVFB,$S1005+2,0))</f>
        <v>0</v>
      </c>
      <c r="X1005" s="473" t="str">
        <f t="shared" ca="1" si="648"/>
        <v/>
      </c>
      <c r="Y1005" s="348">
        <f t="shared" ca="1" si="649"/>
        <v>0</v>
      </c>
      <c r="Z1005" s="348">
        <f t="shared" ca="1" si="650"/>
        <v>8012</v>
      </c>
      <c r="AA1005" s="348">
        <f ca="1">IF(Q1005&lt;&gt;1,0,VLOOKUP(OP!$C$55,PVFB,$S1005+2,0))</f>
        <v>0</v>
      </c>
      <c r="AB1005" s="488" t="str">
        <f ca="1">IF(AND(S1005&lt;OP!$C$24,$U1005&lt;15),0,IF(AND($U1005&lt;15,$T1005=12),ROUND(VLOOKUP($S1005,DOWN16,5,0),3),IF($T1005=12,ROUND(($Z1005/10000)*$AA1005,3)+IF(AND($P$7="購買增額繳清保險",T1005=12,U1005=110),VLOOKUP(S1005,$B$10:$H$121,7,0),0),"")))</f>
        <v/>
      </c>
      <c r="AC1005" s="350" t="str">
        <f ca="1">IF(AND(S1005&lt;OP!$C$24,$U1005&lt;15),0,IF(AND($U1005&lt;16,$T1005=12),VLOOKUP($S1005,DOWN16,4,0),IF($T1005=12,ROUND(VLOOKUP(OP!$C$55,_DIE2,$S1005+1,0)*(Z1005/10000),0)+IF(AND($P$7="購買增額繳清保險",T1005=12,U1005=110),VLOOKUP(S1005,$B$10:$H$121,7,0),0),"")))</f>
        <v/>
      </c>
      <c r="AD1005" s="347"/>
      <c r="AE1005" s="350" t="str">
        <f t="shared" ca="1" si="625"/>
        <v/>
      </c>
      <c r="AF1005" s="351" t="str">
        <f t="shared" ca="1" si="626"/>
        <v/>
      </c>
      <c r="AG1005" s="340"/>
      <c r="AH1005" s="340"/>
      <c r="AI1005" s="340"/>
      <c r="AJ1005" s="340"/>
      <c r="AK1005" s="340"/>
      <c r="AL1005" s="340"/>
      <c r="AM1005" s="340"/>
      <c r="AN1005" s="340"/>
      <c r="AO1005" s="340"/>
      <c r="AP1005" s="340"/>
      <c r="AQ1005" s="340"/>
      <c r="AR1005" s="340"/>
      <c r="AS1005" s="340"/>
      <c r="AT1005" s="340"/>
      <c r="AU1005" s="340"/>
      <c r="AV1005" s="340"/>
      <c r="AY1005" s="340"/>
      <c r="AZ1005" s="465">
        <f t="shared" ca="1" si="636"/>
        <v>7.3698599999999999E-5</v>
      </c>
      <c r="BA1005" s="464">
        <f t="shared" ca="1" si="637"/>
        <v>0</v>
      </c>
      <c r="BB1005" s="465">
        <f t="shared" ca="1" si="637"/>
        <v>7.3698599999999999E-5</v>
      </c>
      <c r="BC1005" s="466">
        <f t="shared" ca="1" si="638"/>
        <v>73202</v>
      </c>
      <c r="BD1005" s="467">
        <f t="shared" ca="1" si="651"/>
        <v>73203</v>
      </c>
      <c r="BE1005" s="467">
        <f t="shared" ca="1" si="639"/>
        <v>73231</v>
      </c>
      <c r="BF1005" s="468">
        <f ca="1">IF(計算!$BC1005&lt;OP!$C$3,0,BD1005-BC1005)</f>
        <v>1</v>
      </c>
      <c r="BG1005" s="468">
        <f ca="1">IF($BE1005&gt;DATE(YEAR($BD$9)+OP!$C$57,MONTH($BD$9),DAY($BD$9)),0,$BE1005-$BD1005+1)</f>
        <v>0</v>
      </c>
      <c r="BH1005" s="469">
        <f t="shared" ca="1" si="640"/>
        <v>1</v>
      </c>
      <c r="BI1005">
        <f t="shared" ca="1" si="656"/>
        <v>365</v>
      </c>
      <c r="BJ1005">
        <v>12</v>
      </c>
      <c r="BN1005" s="468">
        <f t="shared" si="652"/>
        <v>83</v>
      </c>
      <c r="BO1005" s="468">
        <f t="shared" si="653"/>
        <v>12</v>
      </c>
      <c r="BP1005" s="467">
        <f t="shared" ca="1" si="641"/>
        <v>73203</v>
      </c>
      <c r="BQ1005" s="475">
        <f t="shared" ca="1" si="655"/>
        <v>115</v>
      </c>
      <c r="BR1005" s="475">
        <f t="shared" si="654"/>
        <v>83</v>
      </c>
      <c r="BS1005" s="471">
        <f t="shared" ca="1" si="642"/>
        <v>0</v>
      </c>
      <c r="BT1005" s="472">
        <f t="shared" ca="1" si="657"/>
        <v>2767962</v>
      </c>
      <c r="BU1005" s="472">
        <f t="shared" ca="1" si="643"/>
        <v>0</v>
      </c>
      <c r="BV1005" s="472">
        <f t="shared" ca="1" si="643"/>
        <v>0</v>
      </c>
      <c r="BW1005" s="472">
        <f ca="1">ROUND(SUM(BY1005,BZ993:BZ1004),0)</f>
        <v>2447</v>
      </c>
      <c r="BX1005" s="473">
        <f t="shared" ca="1" si="644"/>
        <v>2767962.9810502701</v>
      </c>
      <c r="BY1005" s="473">
        <f t="shared" ca="1" si="645"/>
        <v>203.97996351699999</v>
      </c>
      <c r="BZ1005" s="473">
        <f t="shared" ca="1" si="627"/>
        <v>0</v>
      </c>
      <c r="CA1005" s="476">
        <f t="shared" ca="1" si="646"/>
        <v>0</v>
      </c>
      <c r="CB1005" s="494">
        <f ca="1">IF(OR($Q1004&lt;&gt;1,OP!$D$5+$BN1005-1&lt;16,$BN1005-1&lt;1),0,ROUND(ROUND(ROUND(((VLOOKUP($BN1005-1,MORE_PV,5,0)/10000)*VLOOKUP($BN1005,MORE_PV,$CB$5,0)),3)*VLOOKUP($BN1005,more1,5,0),0)/$R1004,0))</f>
        <v>0</v>
      </c>
      <c r="CC1005" s="473">
        <f t="shared" ca="1" si="647"/>
        <v>0</v>
      </c>
      <c r="CD1005" s="477"/>
    </row>
    <row r="1006" spans="2:82" ht="16.5" hidden="1">
      <c r="B1006" s="80"/>
      <c r="C1006" s="80"/>
      <c r="D1006" s="80"/>
      <c r="E1006" s="80"/>
      <c r="F1006" s="80"/>
      <c r="G1006" s="80"/>
      <c r="H1006" s="80"/>
      <c r="I1006" s="80"/>
      <c r="J1006" s="192">
        <f t="shared" si="628"/>
        <v>84</v>
      </c>
      <c r="K1006" s="192">
        <f t="shared" si="629"/>
        <v>2</v>
      </c>
      <c r="L1006" s="192" t="str">
        <f t="shared" si="624"/>
        <v/>
      </c>
      <c r="M1006" s="216" t="str">
        <f t="shared" ca="1" si="630"/>
        <v/>
      </c>
      <c r="N1006" s="216"/>
      <c r="O1006" s="216"/>
      <c r="P1006" s="216"/>
      <c r="Q1006" s="456">
        <f t="shared" ca="1" si="631"/>
        <v>1</v>
      </c>
      <c r="R1006" s="450">
        <f t="shared" ca="1" si="632"/>
        <v>12</v>
      </c>
      <c r="S1006" s="191">
        <f t="shared" si="633"/>
        <v>84</v>
      </c>
      <c r="T1006" s="191">
        <f t="shared" si="634"/>
        <v>2</v>
      </c>
      <c r="U1006" s="191">
        <f ca="1">OP!$D$5+$S1006-1</f>
        <v>116</v>
      </c>
      <c r="V1006" s="191" t="str">
        <f t="shared" si="635"/>
        <v/>
      </c>
      <c r="W1006" s="350">
        <f ca="1">IF(Q1006&lt;&gt;1,0,VLOOKUP(OP!$C$55,PVFB,$S1006+2,0))</f>
        <v>0</v>
      </c>
      <c r="X1006" s="473" t="str">
        <f t="shared" ca="1" si="648"/>
        <v/>
      </c>
      <c r="Y1006" s="348">
        <f t="shared" ca="1" si="649"/>
        <v>0</v>
      </c>
      <c r="Z1006" s="348">
        <f t="shared" ca="1" si="650"/>
        <v>8012</v>
      </c>
      <c r="AA1006" s="348">
        <f ca="1">IF(Q1006&lt;&gt;1,0,VLOOKUP(OP!$C$55,PVFB,$S1006+2,0))</f>
        <v>0</v>
      </c>
      <c r="AB1006" s="488" t="str">
        <f ca="1">IF(AND(S1006&lt;OP!$C$24,$U1006&lt;15),0,IF(AND($U1006&lt;15,$T1006=12),ROUND(VLOOKUP($S1006,DOWN16,5,0),3),IF($T1006=12,ROUND(($Z1006/10000)*$AA1006,3)+IF(AND($P$7="購買增額繳清保險",T1006=12,U1006=110),VLOOKUP(S1006,$B$10:$H$121,7,0),0),"")))</f>
        <v/>
      </c>
      <c r="AC1006" s="350" t="str">
        <f ca="1">IF(AND(S1006&lt;OP!$C$24,$U1006&lt;15),0,IF(AND($U1006&lt;16,$T1006=12),VLOOKUP($S1006,DOWN16,4,0),IF($T1006=12,ROUND(VLOOKUP(OP!$C$55,_DIE2,$S1006+1,0)*(Z1006/10000),0)+IF(AND($P$7="購買增額繳清保險",T1006=12,U1006=110),VLOOKUP(S1006,$B$10:$H$121,7,0),0),"")))</f>
        <v/>
      </c>
      <c r="AD1006" s="347"/>
      <c r="AE1006" s="350" t="str">
        <f t="shared" ca="1" si="625"/>
        <v/>
      </c>
      <c r="AF1006" s="351" t="str">
        <f t="shared" ca="1" si="626"/>
        <v/>
      </c>
      <c r="AG1006" s="340"/>
      <c r="AH1006" s="340"/>
      <c r="AI1006" s="340"/>
      <c r="AJ1006" s="340"/>
      <c r="AK1006" s="340"/>
      <c r="AL1006" s="340"/>
      <c r="AM1006" s="340"/>
      <c r="AN1006" s="340"/>
      <c r="AO1006" s="340"/>
      <c r="AP1006" s="340"/>
      <c r="AQ1006" s="340"/>
      <c r="AR1006" s="340"/>
      <c r="AS1006" s="340"/>
      <c r="AT1006" s="340"/>
      <c r="AU1006" s="340"/>
      <c r="AV1006" s="340"/>
      <c r="AY1006" s="340"/>
      <c r="AZ1006" s="465">
        <f t="shared" ca="1" si="636"/>
        <v>7.3698599999999999E-5</v>
      </c>
      <c r="BA1006" s="464">
        <f t="shared" ca="1" si="637"/>
        <v>0</v>
      </c>
      <c r="BB1006" s="465">
        <f t="shared" ca="1" si="637"/>
        <v>7.3698599999999999E-5</v>
      </c>
      <c r="BC1006" s="466">
        <f t="shared" ca="1" si="638"/>
        <v>73232</v>
      </c>
      <c r="BD1006" s="467">
        <f t="shared" ca="1" si="651"/>
        <v>73233</v>
      </c>
      <c r="BE1006" s="467">
        <f t="shared" ca="1" si="639"/>
        <v>73262</v>
      </c>
      <c r="BF1006" s="468">
        <f ca="1">IF(計算!$BC1006&lt;OP!$C$3,0,BD1006-BC1006)</f>
        <v>1</v>
      </c>
      <c r="BG1006" s="468">
        <f ca="1">IF($BE1006&gt;DATE(YEAR($BD$9)+OP!$C$57,MONTH($BD$9),DAY($BD$9)),0,$BE1006-$BD1006+1)</f>
        <v>0</v>
      </c>
      <c r="BH1006" s="469">
        <f t="shared" ca="1" si="640"/>
        <v>1</v>
      </c>
      <c r="BI1006" t="str">
        <f t="shared" si="656"/>
        <v/>
      </c>
      <c r="BJ1006">
        <v>1</v>
      </c>
      <c r="BN1006" s="468">
        <f t="shared" si="652"/>
        <v>84</v>
      </c>
      <c r="BO1006" s="468">
        <f t="shared" si="653"/>
        <v>1</v>
      </c>
      <c r="BP1006" s="467">
        <f t="shared" ca="1" si="641"/>
        <v>73233</v>
      </c>
      <c r="BQ1006" s="475">
        <f t="shared" ca="1" si="655"/>
        <v>116</v>
      </c>
      <c r="BR1006" s="475" t="str">
        <f t="shared" si="654"/>
        <v/>
      </c>
      <c r="BS1006" s="471" t="str">
        <f t="shared" si="642"/>
        <v/>
      </c>
      <c r="BT1006" s="472" t="str">
        <f t="shared" si="657"/>
        <v/>
      </c>
      <c r="BU1006" s="472">
        <f t="shared" ca="1" si="643"/>
        <v>0</v>
      </c>
      <c r="BV1006" s="472">
        <f t="shared" ca="1" si="643"/>
        <v>0</v>
      </c>
      <c r="BW1006" s="472"/>
      <c r="BX1006" s="473">
        <f t="shared" ca="1" si="644"/>
        <v>2767962.9810502701</v>
      </c>
      <c r="BY1006" s="473">
        <f t="shared" si="645"/>
        <v>0</v>
      </c>
      <c r="BZ1006" s="473">
        <f t="shared" ca="1" si="627"/>
        <v>203.994996555</v>
      </c>
      <c r="CA1006" s="476">
        <f t="shared" ca="1" si="646"/>
        <v>0</v>
      </c>
      <c r="CB1006" s="494">
        <f ca="1">IF(OR($Q1005&lt;&gt;1,OP!$D$5+$BN1006-1&lt;16,$BN1006-1&lt;1),0,ROUND(ROUND(ROUND(((VLOOKUP($BN1006-1,MORE_PV,5,0)/10000)*VLOOKUP($BN1006,MORE_PV,$CB$5,0)),3)*VLOOKUP($BN1006,more1,5,0),0)/$R1005,0))</f>
        <v>0</v>
      </c>
      <c r="CC1006" s="473">
        <f t="shared" ca="1" si="647"/>
        <v>0</v>
      </c>
      <c r="CD1006" s="477"/>
    </row>
    <row r="1007" spans="2:82" ht="16.5" hidden="1">
      <c r="B1007" s="80"/>
      <c r="C1007" s="80"/>
      <c r="D1007" s="80"/>
      <c r="E1007" s="80"/>
      <c r="F1007" s="80"/>
      <c r="G1007" s="80"/>
      <c r="H1007" s="80"/>
      <c r="I1007" s="80"/>
      <c r="J1007" s="192">
        <f t="shared" si="628"/>
        <v>84</v>
      </c>
      <c r="K1007" s="192">
        <f t="shared" si="629"/>
        <v>3</v>
      </c>
      <c r="L1007" s="192" t="str">
        <f t="shared" si="624"/>
        <v/>
      </c>
      <c r="M1007" s="216" t="str">
        <f t="shared" ca="1" si="630"/>
        <v/>
      </c>
      <c r="N1007" s="216"/>
      <c r="O1007" s="216"/>
      <c r="P1007" s="216"/>
      <c r="Q1007" s="456">
        <f t="shared" ca="1" si="631"/>
        <v>1</v>
      </c>
      <c r="R1007" s="450">
        <f t="shared" ca="1" si="632"/>
        <v>12</v>
      </c>
      <c r="S1007" s="191">
        <f t="shared" si="633"/>
        <v>84</v>
      </c>
      <c r="T1007" s="191">
        <f t="shared" si="634"/>
        <v>3</v>
      </c>
      <c r="U1007" s="191">
        <f ca="1">OP!$D$5+$S1007-1</f>
        <v>116</v>
      </c>
      <c r="V1007" s="191" t="str">
        <f t="shared" si="635"/>
        <v/>
      </c>
      <c r="W1007" s="350">
        <f ca="1">IF(Q1007&lt;&gt;1,0,VLOOKUP(OP!$C$55,PVFB,$S1007+2,0))</f>
        <v>0</v>
      </c>
      <c r="X1007" s="473" t="str">
        <f t="shared" ca="1" si="648"/>
        <v/>
      </c>
      <c r="Y1007" s="348">
        <f t="shared" ca="1" si="649"/>
        <v>0</v>
      </c>
      <c r="Z1007" s="348">
        <f t="shared" ca="1" si="650"/>
        <v>8012</v>
      </c>
      <c r="AA1007" s="348">
        <f ca="1">IF(Q1007&lt;&gt;1,0,VLOOKUP(OP!$C$55,PVFB,$S1007+2,0))</f>
        <v>0</v>
      </c>
      <c r="AB1007" s="488" t="str">
        <f ca="1">IF(AND(S1007&lt;OP!$C$24,$U1007&lt;15),0,IF(AND($U1007&lt;15,$T1007=12),ROUND(VLOOKUP($S1007,DOWN16,5,0),3),IF($T1007=12,ROUND(($Z1007/10000)*$AA1007,3)+IF(AND($P$7="購買增額繳清保險",T1007=12,U1007=110),VLOOKUP(S1007,$B$10:$H$121,7,0),0),"")))</f>
        <v/>
      </c>
      <c r="AC1007" s="350" t="str">
        <f ca="1">IF(AND(S1007&lt;OP!$C$24,$U1007&lt;15),0,IF(AND($U1007&lt;16,$T1007=12),VLOOKUP($S1007,DOWN16,4,0),IF($T1007=12,ROUND(VLOOKUP(OP!$C$55,_DIE2,$S1007+1,0)*(Z1007/10000),0)+IF(AND($P$7="購買增額繳清保險",T1007=12,U1007=110),VLOOKUP(S1007,$B$10:$H$121,7,0),0),"")))</f>
        <v/>
      </c>
      <c r="AD1007" s="347"/>
      <c r="AE1007" s="350" t="str">
        <f t="shared" ca="1" si="625"/>
        <v/>
      </c>
      <c r="AF1007" s="351" t="str">
        <f t="shared" ca="1" si="626"/>
        <v/>
      </c>
      <c r="AG1007" s="340"/>
      <c r="AH1007" s="340"/>
      <c r="AI1007" s="340"/>
      <c r="AJ1007" s="340"/>
      <c r="AK1007" s="340"/>
      <c r="AL1007" s="340"/>
      <c r="AM1007" s="340"/>
      <c r="AN1007" s="340"/>
      <c r="AO1007" s="340"/>
      <c r="AP1007" s="340"/>
      <c r="AQ1007" s="340"/>
      <c r="AR1007" s="340"/>
      <c r="AS1007" s="340"/>
      <c r="AT1007" s="340"/>
      <c r="AU1007" s="340"/>
      <c r="AV1007" s="340"/>
      <c r="AY1007" s="340"/>
      <c r="AZ1007" s="465">
        <f t="shared" ca="1" si="636"/>
        <v>7.3698599999999999E-5</v>
      </c>
      <c r="BA1007" s="464">
        <f t="shared" ca="1" si="637"/>
        <v>0</v>
      </c>
      <c r="BB1007" s="465">
        <f t="shared" ca="1" si="637"/>
        <v>7.3698599999999999E-5</v>
      </c>
      <c r="BC1007" s="466">
        <f t="shared" ca="1" si="638"/>
        <v>73263</v>
      </c>
      <c r="BD1007" s="467">
        <f t="shared" ca="1" si="651"/>
        <v>73264</v>
      </c>
      <c r="BE1007" s="467">
        <f t="shared" ca="1" si="639"/>
        <v>73293</v>
      </c>
      <c r="BF1007" s="468">
        <f ca="1">IF(計算!$BC1007&lt;OP!$C$3,0,BD1007-BC1007)</f>
        <v>1</v>
      </c>
      <c r="BG1007" s="468">
        <f ca="1">IF($BE1007&gt;DATE(YEAR($BD$9)+OP!$C$57,MONTH($BD$9),DAY($BD$9)),0,$BE1007-$BD1007+1)</f>
        <v>0</v>
      </c>
      <c r="BH1007" s="469">
        <f t="shared" ca="1" si="640"/>
        <v>1</v>
      </c>
      <c r="BI1007" t="str">
        <f t="shared" si="656"/>
        <v/>
      </c>
      <c r="BJ1007">
        <v>2</v>
      </c>
      <c r="BN1007" s="468">
        <f t="shared" si="652"/>
        <v>84</v>
      </c>
      <c r="BO1007" s="468">
        <f t="shared" si="653"/>
        <v>2</v>
      </c>
      <c r="BP1007" s="467">
        <f t="shared" ca="1" si="641"/>
        <v>73264</v>
      </c>
      <c r="BQ1007" s="475">
        <f t="shared" ca="1" si="655"/>
        <v>116</v>
      </c>
      <c r="BR1007" s="475" t="str">
        <f t="shared" si="654"/>
        <v/>
      </c>
      <c r="BS1007" s="471" t="str">
        <f t="shared" si="642"/>
        <v/>
      </c>
      <c r="BT1007" s="472" t="str">
        <f t="shared" si="657"/>
        <v/>
      </c>
      <c r="BU1007" s="472">
        <f t="shared" ca="1" si="643"/>
        <v>0</v>
      </c>
      <c r="BV1007" s="472">
        <f t="shared" ca="1" si="643"/>
        <v>0</v>
      </c>
      <c r="BW1007" s="472"/>
      <c r="BX1007" s="473">
        <f t="shared" ca="1" si="644"/>
        <v>2768166.97604683</v>
      </c>
      <c r="BY1007" s="473">
        <f t="shared" si="645"/>
        <v>0</v>
      </c>
      <c r="BZ1007" s="473">
        <f t="shared" ca="1" si="627"/>
        <v>204.01003070100001</v>
      </c>
      <c r="CA1007" s="476">
        <f t="shared" ca="1" si="646"/>
        <v>0</v>
      </c>
      <c r="CB1007" s="494">
        <f ca="1">IF(OR($Q1006&lt;&gt;1,OP!$D$5+$BN1007-1&lt;16,$BN1007-1&lt;1),0,ROUND(ROUND(ROUND(((VLOOKUP($BN1007-1,MORE_PV,5,0)/10000)*VLOOKUP($BN1007,MORE_PV,$CB$5,0)),3)*VLOOKUP($BN1007,more1,5,0),0)/$R1006,0))</f>
        <v>0</v>
      </c>
      <c r="CC1007" s="473">
        <f t="shared" ca="1" si="647"/>
        <v>0</v>
      </c>
      <c r="CD1007" s="477"/>
    </row>
    <row r="1008" spans="2:82" ht="16.5" hidden="1">
      <c r="B1008" s="80"/>
      <c r="C1008" s="80"/>
      <c r="D1008" s="80"/>
      <c r="E1008" s="80"/>
      <c r="F1008" s="80"/>
      <c r="G1008" s="80"/>
      <c r="H1008" s="80"/>
      <c r="I1008" s="80"/>
      <c r="J1008" s="192">
        <f t="shared" si="628"/>
        <v>84</v>
      </c>
      <c r="K1008" s="192">
        <f t="shared" si="629"/>
        <v>4</v>
      </c>
      <c r="L1008" s="192" t="str">
        <f t="shared" si="624"/>
        <v/>
      </c>
      <c r="M1008" s="216" t="str">
        <f t="shared" ca="1" si="630"/>
        <v/>
      </c>
      <c r="N1008" s="216"/>
      <c r="O1008" s="216"/>
      <c r="P1008" s="216"/>
      <c r="Q1008" s="456">
        <f t="shared" ca="1" si="631"/>
        <v>1</v>
      </c>
      <c r="R1008" s="450">
        <f t="shared" ca="1" si="632"/>
        <v>12</v>
      </c>
      <c r="S1008" s="191">
        <f t="shared" si="633"/>
        <v>84</v>
      </c>
      <c r="T1008" s="191">
        <f t="shared" si="634"/>
        <v>4</v>
      </c>
      <c r="U1008" s="191">
        <f ca="1">OP!$D$5+$S1008-1</f>
        <v>116</v>
      </c>
      <c r="V1008" s="191" t="str">
        <f t="shared" si="635"/>
        <v/>
      </c>
      <c r="W1008" s="350">
        <f ca="1">IF(Q1008&lt;&gt;1,0,VLOOKUP(OP!$C$55,PVFB,$S1008+2,0))</f>
        <v>0</v>
      </c>
      <c r="X1008" s="473" t="str">
        <f t="shared" ca="1" si="648"/>
        <v/>
      </c>
      <c r="Y1008" s="348">
        <f t="shared" ca="1" si="649"/>
        <v>0</v>
      </c>
      <c r="Z1008" s="348">
        <f t="shared" ca="1" si="650"/>
        <v>8012</v>
      </c>
      <c r="AA1008" s="348">
        <f ca="1">IF(Q1008&lt;&gt;1,0,VLOOKUP(OP!$C$55,PVFB,$S1008+2,0))</f>
        <v>0</v>
      </c>
      <c r="AB1008" s="488" t="str">
        <f ca="1">IF(AND(S1008&lt;OP!$C$24,$U1008&lt;15),0,IF(AND($U1008&lt;15,$T1008=12),ROUND(VLOOKUP($S1008,DOWN16,5,0),3),IF($T1008=12,ROUND(($Z1008/10000)*$AA1008,3)+IF(AND($P$7="購買增額繳清保險",T1008=12,U1008=110),VLOOKUP(S1008,$B$10:$H$121,7,0),0),"")))</f>
        <v/>
      </c>
      <c r="AC1008" s="350" t="str">
        <f ca="1">IF(AND(S1008&lt;OP!$C$24,$U1008&lt;15),0,IF(AND($U1008&lt;16,$T1008=12),VLOOKUP($S1008,DOWN16,4,0),IF($T1008=12,ROUND(VLOOKUP(OP!$C$55,_DIE2,$S1008+1,0)*(Z1008/10000),0)+IF(AND($P$7="購買增額繳清保險",T1008=12,U1008=110),VLOOKUP(S1008,$B$10:$H$121,7,0),0),"")))</f>
        <v/>
      </c>
      <c r="AD1008" s="347"/>
      <c r="AE1008" s="350" t="str">
        <f t="shared" ca="1" si="625"/>
        <v/>
      </c>
      <c r="AF1008" s="351" t="str">
        <f t="shared" ca="1" si="626"/>
        <v/>
      </c>
      <c r="AG1008" s="340"/>
      <c r="AH1008" s="340"/>
      <c r="AI1008" s="340"/>
      <c r="AJ1008" s="340"/>
      <c r="AK1008" s="340"/>
      <c r="AL1008" s="340"/>
      <c r="AM1008" s="340"/>
      <c r="AN1008" s="340"/>
      <c r="AO1008" s="340"/>
      <c r="AP1008" s="340"/>
      <c r="AQ1008" s="340"/>
      <c r="AR1008" s="340"/>
      <c r="AS1008" s="340"/>
      <c r="AT1008" s="340"/>
      <c r="AU1008" s="340"/>
      <c r="AV1008" s="340"/>
      <c r="AY1008" s="340"/>
      <c r="AZ1008" s="465">
        <f t="shared" ca="1" si="636"/>
        <v>7.3698599999999999E-5</v>
      </c>
      <c r="BA1008" s="464">
        <f t="shared" ca="1" si="637"/>
        <v>0</v>
      </c>
      <c r="BB1008" s="465">
        <f t="shared" ca="1" si="637"/>
        <v>7.3698599999999999E-5</v>
      </c>
      <c r="BC1008" s="466">
        <f t="shared" ca="1" si="638"/>
        <v>73294</v>
      </c>
      <c r="BD1008" s="467">
        <f t="shared" ca="1" si="651"/>
        <v>73295</v>
      </c>
      <c r="BE1008" s="467">
        <f t="shared" ca="1" si="639"/>
        <v>73323</v>
      </c>
      <c r="BF1008" s="468">
        <f ca="1">IF(計算!$BC1008&lt;OP!$C$3,0,BD1008-BC1008)</f>
        <v>1</v>
      </c>
      <c r="BG1008" s="468">
        <f ca="1">IF($BE1008&gt;DATE(YEAR($BD$9)+OP!$C$57,MONTH($BD$9),DAY($BD$9)),0,$BE1008-$BD1008+1)</f>
        <v>0</v>
      </c>
      <c r="BH1008" s="469">
        <f t="shared" ca="1" si="640"/>
        <v>1</v>
      </c>
      <c r="BI1008" t="str">
        <f t="shared" si="656"/>
        <v/>
      </c>
      <c r="BJ1008">
        <v>3</v>
      </c>
      <c r="BN1008" s="468">
        <f t="shared" si="652"/>
        <v>84</v>
      </c>
      <c r="BO1008" s="468">
        <f t="shared" si="653"/>
        <v>3</v>
      </c>
      <c r="BP1008" s="467">
        <f t="shared" ca="1" si="641"/>
        <v>73295</v>
      </c>
      <c r="BQ1008" s="475">
        <f t="shared" ca="1" si="655"/>
        <v>116</v>
      </c>
      <c r="BR1008" s="475" t="str">
        <f t="shared" si="654"/>
        <v/>
      </c>
      <c r="BS1008" s="471" t="str">
        <f t="shared" si="642"/>
        <v/>
      </c>
      <c r="BT1008" s="472" t="str">
        <f t="shared" si="657"/>
        <v/>
      </c>
      <c r="BU1008" s="472">
        <f t="shared" ca="1" si="643"/>
        <v>0</v>
      </c>
      <c r="BV1008" s="472">
        <f t="shared" ca="1" si="643"/>
        <v>0</v>
      </c>
      <c r="BW1008" s="472"/>
      <c r="BX1008" s="473">
        <f t="shared" ca="1" si="644"/>
        <v>2768370.9860775298</v>
      </c>
      <c r="BY1008" s="473">
        <f t="shared" si="645"/>
        <v>0</v>
      </c>
      <c r="BZ1008" s="473">
        <f t="shared" ca="1" si="627"/>
        <v>204.025065955</v>
      </c>
      <c r="CA1008" s="476">
        <f t="shared" ca="1" si="646"/>
        <v>0</v>
      </c>
      <c r="CB1008" s="494">
        <f ca="1">IF(OR($Q1007&lt;&gt;1,OP!$D$5+$BN1008-1&lt;16,$BN1008-1&lt;1),0,ROUND(ROUND(ROUND(((VLOOKUP($BN1008-1,MORE_PV,5,0)/10000)*VLOOKUP($BN1008,MORE_PV,$CB$5,0)),3)*VLOOKUP($BN1008,more1,5,0),0)/$R1007,0))</f>
        <v>0</v>
      </c>
      <c r="CC1008" s="473">
        <f t="shared" ca="1" si="647"/>
        <v>0</v>
      </c>
      <c r="CD1008" s="477"/>
    </row>
    <row r="1009" spans="2:82" ht="16.5" hidden="1">
      <c r="B1009" s="80"/>
      <c r="C1009" s="80"/>
      <c r="D1009" s="80"/>
      <c r="E1009" s="80"/>
      <c r="F1009" s="80"/>
      <c r="G1009" s="80"/>
      <c r="H1009" s="80"/>
      <c r="I1009" s="80"/>
      <c r="J1009" s="192">
        <f t="shared" si="628"/>
        <v>84</v>
      </c>
      <c r="K1009" s="192">
        <f t="shared" si="629"/>
        <v>5</v>
      </c>
      <c r="L1009" s="192" t="str">
        <f t="shared" si="624"/>
        <v/>
      </c>
      <c r="M1009" s="216" t="str">
        <f t="shared" ca="1" si="630"/>
        <v/>
      </c>
      <c r="N1009" s="216"/>
      <c r="O1009" s="216"/>
      <c r="P1009" s="216"/>
      <c r="Q1009" s="456">
        <f t="shared" ca="1" si="631"/>
        <v>1</v>
      </c>
      <c r="R1009" s="450">
        <f t="shared" ca="1" si="632"/>
        <v>12</v>
      </c>
      <c r="S1009" s="191">
        <f t="shared" si="633"/>
        <v>84</v>
      </c>
      <c r="T1009" s="191">
        <f t="shared" si="634"/>
        <v>5</v>
      </c>
      <c r="U1009" s="191">
        <f ca="1">OP!$D$5+$S1009-1</f>
        <v>116</v>
      </c>
      <c r="V1009" s="191" t="str">
        <f t="shared" si="635"/>
        <v/>
      </c>
      <c r="W1009" s="350">
        <f ca="1">IF(Q1009&lt;&gt;1,0,VLOOKUP(OP!$C$55,PVFB,$S1009+2,0))</f>
        <v>0</v>
      </c>
      <c r="X1009" s="473" t="str">
        <f t="shared" ca="1" si="648"/>
        <v/>
      </c>
      <c r="Y1009" s="348">
        <f t="shared" ca="1" si="649"/>
        <v>0</v>
      </c>
      <c r="Z1009" s="348">
        <f t="shared" ca="1" si="650"/>
        <v>8012</v>
      </c>
      <c r="AA1009" s="348">
        <f ca="1">IF(Q1009&lt;&gt;1,0,VLOOKUP(OP!$C$55,PVFB,$S1009+2,0))</f>
        <v>0</v>
      </c>
      <c r="AB1009" s="488" t="str">
        <f ca="1">IF(AND(S1009&lt;OP!$C$24,$U1009&lt;15),0,IF(AND($U1009&lt;15,$T1009=12),ROUND(VLOOKUP($S1009,DOWN16,5,0),3),IF($T1009=12,ROUND(($Z1009/10000)*$AA1009,3)+IF(AND($P$7="購買增額繳清保險",T1009=12,U1009=110),VLOOKUP(S1009,$B$10:$H$121,7,0),0),"")))</f>
        <v/>
      </c>
      <c r="AC1009" s="350" t="str">
        <f ca="1">IF(AND(S1009&lt;OP!$C$24,$U1009&lt;15),0,IF(AND($U1009&lt;16,$T1009=12),VLOOKUP($S1009,DOWN16,4,0),IF($T1009=12,ROUND(VLOOKUP(OP!$C$55,_DIE2,$S1009+1,0)*(Z1009/10000),0)+IF(AND($P$7="購買增額繳清保險",T1009=12,U1009=110),VLOOKUP(S1009,$B$10:$H$121,7,0),0),"")))</f>
        <v/>
      </c>
      <c r="AD1009" s="347"/>
      <c r="AE1009" s="350" t="str">
        <f t="shared" ca="1" si="625"/>
        <v/>
      </c>
      <c r="AF1009" s="351" t="str">
        <f t="shared" ca="1" si="626"/>
        <v/>
      </c>
      <c r="AG1009" s="340"/>
      <c r="AH1009" s="340"/>
      <c r="AI1009" s="340"/>
      <c r="AJ1009" s="340"/>
      <c r="AK1009" s="340"/>
      <c r="AL1009" s="340"/>
      <c r="AM1009" s="340"/>
      <c r="AN1009" s="340"/>
      <c r="AO1009" s="340"/>
      <c r="AP1009" s="340"/>
      <c r="AQ1009" s="340"/>
      <c r="AR1009" s="340"/>
      <c r="AS1009" s="340"/>
      <c r="AT1009" s="340"/>
      <c r="AU1009" s="340"/>
      <c r="AV1009" s="340"/>
      <c r="AY1009" s="340"/>
      <c r="AZ1009" s="465">
        <f t="shared" ca="1" si="636"/>
        <v>7.3698599999999999E-5</v>
      </c>
      <c r="BA1009" s="464">
        <f t="shared" ca="1" si="637"/>
        <v>0</v>
      </c>
      <c r="BB1009" s="465">
        <f t="shared" ca="1" si="637"/>
        <v>7.3698599999999999E-5</v>
      </c>
      <c r="BC1009" s="466">
        <f t="shared" ca="1" si="638"/>
        <v>73324</v>
      </c>
      <c r="BD1009" s="467">
        <f t="shared" ca="1" si="651"/>
        <v>73325</v>
      </c>
      <c r="BE1009" s="467">
        <f t="shared" ca="1" si="639"/>
        <v>73354</v>
      </c>
      <c r="BF1009" s="468">
        <f ca="1">IF(計算!$BC1009&lt;OP!$C$3,0,BD1009-BC1009)</f>
        <v>1</v>
      </c>
      <c r="BG1009" s="468">
        <f ca="1">IF($BE1009&gt;DATE(YEAR($BD$9)+OP!$C$57,MONTH($BD$9),DAY($BD$9)),0,$BE1009-$BD1009+1)</f>
        <v>0</v>
      </c>
      <c r="BH1009" s="469">
        <f t="shared" ca="1" si="640"/>
        <v>1</v>
      </c>
      <c r="BI1009" t="str">
        <f t="shared" si="656"/>
        <v/>
      </c>
      <c r="BJ1009">
        <v>4</v>
      </c>
      <c r="BN1009" s="468">
        <f t="shared" si="652"/>
        <v>84</v>
      </c>
      <c r="BO1009" s="468">
        <f t="shared" si="653"/>
        <v>4</v>
      </c>
      <c r="BP1009" s="467">
        <f t="shared" ca="1" si="641"/>
        <v>73325</v>
      </c>
      <c r="BQ1009" s="475">
        <f t="shared" ca="1" si="655"/>
        <v>116</v>
      </c>
      <c r="BR1009" s="475" t="str">
        <f t="shared" si="654"/>
        <v/>
      </c>
      <c r="BS1009" s="471" t="str">
        <f t="shared" si="642"/>
        <v/>
      </c>
      <c r="BT1009" s="472" t="str">
        <f t="shared" si="657"/>
        <v/>
      </c>
      <c r="BU1009" s="472">
        <f t="shared" ca="1" si="643"/>
        <v>0</v>
      </c>
      <c r="BV1009" s="472">
        <f t="shared" ca="1" si="643"/>
        <v>0</v>
      </c>
      <c r="BW1009" s="472"/>
      <c r="BX1009" s="473">
        <f t="shared" ca="1" si="644"/>
        <v>2768575.01114348</v>
      </c>
      <c r="BY1009" s="473">
        <f t="shared" si="645"/>
        <v>0</v>
      </c>
      <c r="BZ1009" s="473">
        <f t="shared" ca="1" si="627"/>
        <v>204.040102316</v>
      </c>
      <c r="CA1009" s="476">
        <f t="shared" ca="1" si="646"/>
        <v>0</v>
      </c>
      <c r="CB1009" s="494">
        <f ca="1">IF(OR($Q1008&lt;&gt;1,OP!$D$5+$BN1009-1&lt;16,$BN1009-1&lt;1),0,ROUND(ROUND(ROUND(((VLOOKUP($BN1009-1,MORE_PV,5,0)/10000)*VLOOKUP($BN1009,MORE_PV,$CB$5,0)),3)*VLOOKUP($BN1009,more1,5,0),0)/$R1008,0))</f>
        <v>0</v>
      </c>
      <c r="CC1009" s="473">
        <f t="shared" ca="1" si="647"/>
        <v>0</v>
      </c>
      <c r="CD1009" s="477"/>
    </row>
    <row r="1010" spans="2:82" ht="16.5" hidden="1">
      <c r="B1010" s="80"/>
      <c r="C1010" s="80"/>
      <c r="D1010" s="80"/>
      <c r="E1010" s="80"/>
      <c r="F1010" s="80"/>
      <c r="G1010" s="80"/>
      <c r="H1010" s="80"/>
      <c r="I1010" s="80"/>
      <c r="J1010" s="192">
        <f t="shared" si="628"/>
        <v>84</v>
      </c>
      <c r="K1010" s="192">
        <f t="shared" si="629"/>
        <v>6</v>
      </c>
      <c r="L1010" s="192" t="str">
        <f t="shared" si="624"/>
        <v/>
      </c>
      <c r="M1010" s="216" t="str">
        <f t="shared" ca="1" si="630"/>
        <v/>
      </c>
      <c r="N1010" s="216"/>
      <c r="O1010" s="216"/>
      <c r="P1010" s="216"/>
      <c r="Q1010" s="456">
        <f t="shared" ca="1" si="631"/>
        <v>1</v>
      </c>
      <c r="R1010" s="450">
        <f t="shared" ca="1" si="632"/>
        <v>12</v>
      </c>
      <c r="S1010" s="191">
        <f t="shared" si="633"/>
        <v>84</v>
      </c>
      <c r="T1010" s="191">
        <f t="shared" si="634"/>
        <v>6</v>
      </c>
      <c r="U1010" s="191">
        <f ca="1">OP!$D$5+$S1010-1</f>
        <v>116</v>
      </c>
      <c r="V1010" s="191" t="str">
        <f t="shared" si="635"/>
        <v/>
      </c>
      <c r="W1010" s="350">
        <f ca="1">IF(Q1010&lt;&gt;1,0,VLOOKUP(OP!$C$55,PVFB,$S1010+2,0))</f>
        <v>0</v>
      </c>
      <c r="X1010" s="473" t="str">
        <f t="shared" ca="1" si="648"/>
        <v/>
      </c>
      <c r="Y1010" s="348">
        <f t="shared" ca="1" si="649"/>
        <v>0</v>
      </c>
      <c r="Z1010" s="348">
        <f t="shared" ca="1" si="650"/>
        <v>8012</v>
      </c>
      <c r="AA1010" s="348">
        <f ca="1">IF(Q1010&lt;&gt;1,0,VLOOKUP(OP!$C$55,PVFB,$S1010+2,0))</f>
        <v>0</v>
      </c>
      <c r="AB1010" s="488" t="str">
        <f ca="1">IF(AND(S1010&lt;OP!$C$24,$U1010&lt;15),0,IF(AND($U1010&lt;15,$T1010=12),ROUND(VLOOKUP($S1010,DOWN16,5,0),3),IF($T1010=12,ROUND(($Z1010/10000)*$AA1010,3)+IF(AND($P$7="購買增額繳清保險",T1010=12,U1010=110),VLOOKUP(S1010,$B$10:$H$121,7,0),0),"")))</f>
        <v/>
      </c>
      <c r="AC1010" s="350" t="str">
        <f ca="1">IF(AND(S1010&lt;OP!$C$24,$U1010&lt;15),0,IF(AND($U1010&lt;16,$T1010=12),VLOOKUP($S1010,DOWN16,4,0),IF($T1010=12,ROUND(VLOOKUP(OP!$C$55,_DIE2,$S1010+1,0)*(Z1010/10000),0)+IF(AND($P$7="購買增額繳清保險",T1010=12,U1010=110),VLOOKUP(S1010,$B$10:$H$121,7,0),0),"")))</f>
        <v/>
      </c>
      <c r="AD1010" s="347"/>
      <c r="AE1010" s="350" t="str">
        <f t="shared" ca="1" si="625"/>
        <v/>
      </c>
      <c r="AF1010" s="351" t="str">
        <f t="shared" ca="1" si="626"/>
        <v/>
      </c>
      <c r="AG1010" s="340"/>
      <c r="AH1010" s="340"/>
      <c r="AI1010" s="340"/>
      <c r="AJ1010" s="340"/>
      <c r="AK1010" s="340"/>
      <c r="AL1010" s="340"/>
      <c r="AM1010" s="340"/>
      <c r="AN1010" s="340"/>
      <c r="AO1010" s="340"/>
      <c r="AP1010" s="340"/>
      <c r="AQ1010" s="340"/>
      <c r="AR1010" s="340"/>
      <c r="AS1010" s="340"/>
      <c r="AT1010" s="340"/>
      <c r="AU1010" s="340"/>
      <c r="AV1010" s="340"/>
      <c r="AY1010" s="340"/>
      <c r="AZ1010" s="465">
        <f t="shared" ca="1" si="636"/>
        <v>7.3698599999999999E-5</v>
      </c>
      <c r="BA1010" s="464">
        <f t="shared" ca="1" si="637"/>
        <v>0</v>
      </c>
      <c r="BB1010" s="465">
        <f t="shared" ca="1" si="637"/>
        <v>7.3698599999999999E-5</v>
      </c>
      <c r="BC1010" s="466">
        <f t="shared" ca="1" si="638"/>
        <v>73355</v>
      </c>
      <c r="BD1010" s="467">
        <f t="shared" ca="1" si="651"/>
        <v>73356</v>
      </c>
      <c r="BE1010" s="467">
        <f t="shared" ca="1" si="639"/>
        <v>73384</v>
      </c>
      <c r="BF1010" s="468">
        <f ca="1">IF(計算!$BC1010&lt;OP!$C$3,0,BD1010-BC1010)</f>
        <v>1</v>
      </c>
      <c r="BG1010" s="468">
        <f ca="1">IF($BE1010&gt;DATE(YEAR($BD$9)+OP!$C$57,MONTH($BD$9),DAY($BD$9)),0,$BE1010-$BD1010+1)</f>
        <v>0</v>
      </c>
      <c r="BH1010" s="469">
        <f t="shared" ca="1" si="640"/>
        <v>1</v>
      </c>
      <c r="BI1010" t="str">
        <f t="shared" si="656"/>
        <v/>
      </c>
      <c r="BJ1010">
        <v>5</v>
      </c>
      <c r="BN1010" s="468">
        <f t="shared" si="652"/>
        <v>84</v>
      </c>
      <c r="BO1010" s="468">
        <f t="shared" si="653"/>
        <v>5</v>
      </c>
      <c r="BP1010" s="467">
        <f t="shared" ca="1" si="641"/>
        <v>73356</v>
      </c>
      <c r="BQ1010" s="475">
        <f t="shared" ca="1" si="655"/>
        <v>116</v>
      </c>
      <c r="BR1010" s="475" t="str">
        <f t="shared" si="654"/>
        <v/>
      </c>
      <c r="BS1010" s="471" t="str">
        <f t="shared" si="642"/>
        <v/>
      </c>
      <c r="BT1010" s="472" t="str">
        <f t="shared" si="657"/>
        <v/>
      </c>
      <c r="BU1010" s="472">
        <f t="shared" ca="1" si="643"/>
        <v>0</v>
      </c>
      <c r="BV1010" s="472">
        <f t="shared" ca="1" si="643"/>
        <v>0</v>
      </c>
      <c r="BW1010" s="472"/>
      <c r="BX1010" s="473">
        <f t="shared" ca="1" si="644"/>
        <v>2768779.0512458002</v>
      </c>
      <c r="BY1010" s="473">
        <f t="shared" si="645"/>
        <v>0</v>
      </c>
      <c r="BZ1010" s="473">
        <f t="shared" ca="1" si="627"/>
        <v>204.05513978600001</v>
      </c>
      <c r="CA1010" s="476">
        <f t="shared" ca="1" si="646"/>
        <v>0</v>
      </c>
      <c r="CB1010" s="494">
        <f ca="1">IF(OR($Q1009&lt;&gt;1,OP!$D$5+$BN1010-1&lt;16,$BN1010-1&lt;1),0,ROUND(ROUND(ROUND(((VLOOKUP($BN1010-1,MORE_PV,5,0)/10000)*VLOOKUP($BN1010,MORE_PV,$CB$5,0)),3)*VLOOKUP($BN1010,more1,5,0),0)/$R1009,0))</f>
        <v>0</v>
      </c>
      <c r="CC1010" s="473">
        <f t="shared" ca="1" si="647"/>
        <v>0</v>
      </c>
      <c r="CD1010" s="477"/>
    </row>
    <row r="1011" spans="2:82" ht="16.5" hidden="1">
      <c r="B1011" s="80"/>
      <c r="C1011" s="80"/>
      <c r="D1011" s="80"/>
      <c r="E1011" s="80"/>
      <c r="F1011" s="80"/>
      <c r="G1011" s="80"/>
      <c r="H1011" s="80"/>
      <c r="I1011" s="80"/>
      <c r="J1011" s="192">
        <f t="shared" si="628"/>
        <v>84</v>
      </c>
      <c r="K1011" s="192">
        <f t="shared" si="629"/>
        <v>7</v>
      </c>
      <c r="L1011" s="192" t="str">
        <f t="shared" si="624"/>
        <v/>
      </c>
      <c r="M1011" s="216" t="str">
        <f t="shared" ca="1" si="630"/>
        <v/>
      </c>
      <c r="N1011" s="216"/>
      <c r="O1011" s="216"/>
      <c r="P1011" s="216"/>
      <c r="Q1011" s="456">
        <f t="shared" ca="1" si="631"/>
        <v>1</v>
      </c>
      <c r="R1011" s="450">
        <f t="shared" ca="1" si="632"/>
        <v>12</v>
      </c>
      <c r="S1011" s="191">
        <f t="shared" si="633"/>
        <v>84</v>
      </c>
      <c r="T1011" s="191">
        <f t="shared" si="634"/>
        <v>7</v>
      </c>
      <c r="U1011" s="191">
        <f ca="1">OP!$D$5+$S1011-1</f>
        <v>116</v>
      </c>
      <c r="V1011" s="191" t="str">
        <f t="shared" si="635"/>
        <v/>
      </c>
      <c r="W1011" s="350">
        <f ca="1">IF(Q1011&lt;&gt;1,0,VLOOKUP(OP!$C$55,PVFB,$S1011+2,0))</f>
        <v>0</v>
      </c>
      <c r="X1011" s="473" t="str">
        <f t="shared" ca="1" si="648"/>
        <v/>
      </c>
      <c r="Y1011" s="348">
        <f t="shared" ca="1" si="649"/>
        <v>0</v>
      </c>
      <c r="Z1011" s="348">
        <f t="shared" ca="1" si="650"/>
        <v>8012</v>
      </c>
      <c r="AA1011" s="348">
        <f ca="1">IF(Q1011&lt;&gt;1,0,VLOOKUP(OP!$C$55,PVFB,$S1011+2,0))</f>
        <v>0</v>
      </c>
      <c r="AB1011" s="488" t="str">
        <f ca="1">IF(AND(S1011&lt;OP!$C$24,$U1011&lt;15),0,IF(AND($U1011&lt;15,$T1011=12),ROUND(VLOOKUP($S1011,DOWN16,5,0),3),IF($T1011=12,ROUND(($Z1011/10000)*$AA1011,3)+IF(AND($P$7="購買增額繳清保險",T1011=12,U1011=110),VLOOKUP(S1011,$B$10:$H$121,7,0),0),"")))</f>
        <v/>
      </c>
      <c r="AC1011" s="350" t="str">
        <f ca="1">IF(AND(S1011&lt;OP!$C$24,$U1011&lt;15),0,IF(AND($U1011&lt;16,$T1011=12),VLOOKUP($S1011,DOWN16,4,0),IF($T1011=12,ROUND(VLOOKUP(OP!$C$55,_DIE2,$S1011+1,0)*(Z1011/10000),0)+IF(AND($P$7="購買增額繳清保險",T1011=12,U1011=110),VLOOKUP(S1011,$B$10:$H$121,7,0),0),"")))</f>
        <v/>
      </c>
      <c r="AD1011" s="347"/>
      <c r="AE1011" s="350" t="str">
        <f t="shared" ca="1" si="625"/>
        <v/>
      </c>
      <c r="AF1011" s="351" t="str">
        <f t="shared" ca="1" si="626"/>
        <v/>
      </c>
      <c r="AG1011" s="340"/>
      <c r="AH1011" s="340"/>
      <c r="AI1011" s="340"/>
      <c r="AJ1011" s="340"/>
      <c r="AK1011" s="340"/>
      <c r="AL1011" s="340"/>
      <c r="AM1011" s="340"/>
      <c r="AN1011" s="340"/>
      <c r="AO1011" s="340"/>
      <c r="AP1011" s="340"/>
      <c r="AQ1011" s="340"/>
      <c r="AR1011" s="340"/>
      <c r="AS1011" s="340"/>
      <c r="AT1011" s="340"/>
      <c r="AU1011" s="340"/>
      <c r="AV1011" s="340"/>
      <c r="AY1011" s="340"/>
      <c r="AZ1011" s="465">
        <f t="shared" ca="1" si="636"/>
        <v>7.3698599999999999E-5</v>
      </c>
      <c r="BA1011" s="464">
        <f t="shared" ca="1" si="637"/>
        <v>0</v>
      </c>
      <c r="BB1011" s="465">
        <f t="shared" ca="1" si="637"/>
        <v>7.3698599999999999E-5</v>
      </c>
      <c r="BC1011" s="466">
        <f t="shared" ca="1" si="638"/>
        <v>73385</v>
      </c>
      <c r="BD1011" s="467">
        <f t="shared" ca="1" si="651"/>
        <v>73386</v>
      </c>
      <c r="BE1011" s="467">
        <f t="shared" ca="1" si="639"/>
        <v>73415</v>
      </c>
      <c r="BF1011" s="468">
        <f ca="1">IF(計算!$BC1011&lt;OP!$C$3,0,BD1011-BC1011)</f>
        <v>1</v>
      </c>
      <c r="BG1011" s="468">
        <f ca="1">IF($BE1011&gt;DATE(YEAR($BD$9)+OP!$C$57,MONTH($BD$9),DAY($BD$9)),0,$BE1011-$BD1011+1)</f>
        <v>0</v>
      </c>
      <c r="BH1011" s="469">
        <f t="shared" ca="1" si="640"/>
        <v>1</v>
      </c>
      <c r="BI1011" t="str">
        <f t="shared" si="656"/>
        <v/>
      </c>
      <c r="BJ1011">
        <v>6</v>
      </c>
      <c r="BN1011" s="468">
        <f t="shared" si="652"/>
        <v>84</v>
      </c>
      <c r="BO1011" s="468">
        <f t="shared" si="653"/>
        <v>6</v>
      </c>
      <c r="BP1011" s="467">
        <f t="shared" ca="1" si="641"/>
        <v>73386</v>
      </c>
      <c r="BQ1011" s="475">
        <f t="shared" ca="1" si="655"/>
        <v>116</v>
      </c>
      <c r="BR1011" s="475" t="str">
        <f t="shared" si="654"/>
        <v/>
      </c>
      <c r="BS1011" s="471" t="str">
        <f t="shared" si="642"/>
        <v/>
      </c>
      <c r="BT1011" s="472" t="str">
        <f t="shared" si="657"/>
        <v/>
      </c>
      <c r="BU1011" s="472">
        <f t="shared" ca="1" si="643"/>
        <v>0</v>
      </c>
      <c r="BV1011" s="472">
        <f t="shared" ca="1" si="643"/>
        <v>0</v>
      </c>
      <c r="BW1011" s="472"/>
      <c r="BX1011" s="473">
        <f t="shared" ca="1" si="644"/>
        <v>2768983.10638559</v>
      </c>
      <c r="BY1011" s="473">
        <f t="shared" si="645"/>
        <v>0</v>
      </c>
      <c r="BZ1011" s="473">
        <f t="shared" ca="1" si="627"/>
        <v>204.07017836399999</v>
      </c>
      <c r="CA1011" s="476">
        <f t="shared" ca="1" si="646"/>
        <v>0</v>
      </c>
      <c r="CB1011" s="494">
        <f ca="1">IF(OR($Q1010&lt;&gt;1,OP!$D$5+$BN1011-1&lt;16,$BN1011-1&lt;1),0,ROUND(ROUND(ROUND(((VLOOKUP($BN1011-1,MORE_PV,5,0)/10000)*VLOOKUP($BN1011,MORE_PV,$CB$5,0)),3)*VLOOKUP($BN1011,more1,5,0),0)/$R1010,0))</f>
        <v>0</v>
      </c>
      <c r="CC1011" s="473">
        <f t="shared" ca="1" si="647"/>
        <v>0</v>
      </c>
      <c r="CD1011" s="477"/>
    </row>
    <row r="1012" spans="2:82" ht="16.5" hidden="1">
      <c r="B1012" s="80"/>
      <c r="C1012" s="80"/>
      <c r="D1012" s="80"/>
      <c r="E1012" s="80"/>
      <c r="F1012" s="80"/>
      <c r="G1012" s="80"/>
      <c r="H1012" s="80"/>
      <c r="I1012" s="80"/>
      <c r="J1012" s="192">
        <f t="shared" si="628"/>
        <v>84</v>
      </c>
      <c r="K1012" s="192">
        <f t="shared" si="629"/>
        <v>8</v>
      </c>
      <c r="L1012" s="192" t="str">
        <f t="shared" si="624"/>
        <v/>
      </c>
      <c r="M1012" s="216" t="str">
        <f t="shared" ca="1" si="630"/>
        <v/>
      </c>
      <c r="N1012" s="216"/>
      <c r="O1012" s="216"/>
      <c r="P1012" s="216"/>
      <c r="Q1012" s="456">
        <f t="shared" ca="1" si="631"/>
        <v>1</v>
      </c>
      <c r="R1012" s="450">
        <f t="shared" ca="1" si="632"/>
        <v>12</v>
      </c>
      <c r="S1012" s="191">
        <f t="shared" si="633"/>
        <v>84</v>
      </c>
      <c r="T1012" s="191">
        <f t="shared" si="634"/>
        <v>8</v>
      </c>
      <c r="U1012" s="191">
        <f ca="1">OP!$D$5+$S1012-1</f>
        <v>116</v>
      </c>
      <c r="V1012" s="191" t="str">
        <f t="shared" si="635"/>
        <v/>
      </c>
      <c r="W1012" s="350">
        <f ca="1">IF(Q1012&lt;&gt;1,0,VLOOKUP(OP!$C$55,PVFB,$S1012+2,0))</f>
        <v>0</v>
      </c>
      <c r="X1012" s="473" t="str">
        <f t="shared" ca="1" si="648"/>
        <v/>
      </c>
      <c r="Y1012" s="348">
        <f t="shared" ca="1" si="649"/>
        <v>0</v>
      </c>
      <c r="Z1012" s="348">
        <f t="shared" ca="1" si="650"/>
        <v>8012</v>
      </c>
      <c r="AA1012" s="348">
        <f ca="1">IF(Q1012&lt;&gt;1,0,VLOOKUP(OP!$C$55,PVFB,$S1012+2,0))</f>
        <v>0</v>
      </c>
      <c r="AB1012" s="488" t="str">
        <f ca="1">IF(AND(S1012&lt;OP!$C$24,$U1012&lt;15),0,IF(AND($U1012&lt;15,$T1012=12),ROUND(VLOOKUP($S1012,DOWN16,5,0),3),IF($T1012=12,ROUND(($Z1012/10000)*$AA1012,3)+IF(AND($P$7="購買增額繳清保險",T1012=12,U1012=110),VLOOKUP(S1012,$B$10:$H$121,7,0),0),"")))</f>
        <v/>
      </c>
      <c r="AC1012" s="350" t="str">
        <f ca="1">IF(AND(S1012&lt;OP!$C$24,$U1012&lt;15),0,IF(AND($U1012&lt;16,$T1012=12),VLOOKUP($S1012,DOWN16,4,0),IF($T1012=12,ROUND(VLOOKUP(OP!$C$55,_DIE2,$S1012+1,0)*(Z1012/10000),0)+IF(AND($P$7="購買增額繳清保險",T1012=12,U1012=110),VLOOKUP(S1012,$B$10:$H$121,7,0),0),"")))</f>
        <v/>
      </c>
      <c r="AD1012" s="347"/>
      <c r="AE1012" s="350" t="str">
        <f t="shared" ca="1" si="625"/>
        <v/>
      </c>
      <c r="AF1012" s="351" t="str">
        <f t="shared" ca="1" si="626"/>
        <v/>
      </c>
      <c r="AG1012" s="340"/>
      <c r="AH1012" s="340"/>
      <c r="AI1012" s="340"/>
      <c r="AJ1012" s="340"/>
      <c r="AK1012" s="340"/>
      <c r="AL1012" s="340"/>
      <c r="AM1012" s="340"/>
      <c r="AN1012" s="340"/>
      <c r="AO1012" s="340"/>
      <c r="AP1012" s="340"/>
      <c r="AQ1012" s="340"/>
      <c r="AR1012" s="340"/>
      <c r="AS1012" s="340"/>
      <c r="AT1012" s="340"/>
      <c r="AU1012" s="340"/>
      <c r="AV1012" s="340"/>
      <c r="AY1012" s="340"/>
      <c r="AZ1012" s="465">
        <f t="shared" ca="1" si="636"/>
        <v>7.3698599999999999E-5</v>
      </c>
      <c r="BA1012" s="464">
        <f t="shared" ca="1" si="637"/>
        <v>0</v>
      </c>
      <c r="BB1012" s="465">
        <f t="shared" ca="1" si="637"/>
        <v>7.3698599999999999E-5</v>
      </c>
      <c r="BC1012" s="466">
        <f t="shared" ca="1" si="638"/>
        <v>73416</v>
      </c>
      <c r="BD1012" s="467">
        <f t="shared" ca="1" si="651"/>
        <v>73417</v>
      </c>
      <c r="BE1012" s="467">
        <f t="shared" ca="1" si="639"/>
        <v>73446</v>
      </c>
      <c r="BF1012" s="468">
        <f ca="1">IF(計算!$BC1012&lt;OP!$C$3,0,BD1012-BC1012)</f>
        <v>1</v>
      </c>
      <c r="BG1012" s="468">
        <f ca="1">IF($BE1012&gt;DATE(YEAR($BD$9)+OP!$C$57,MONTH($BD$9),DAY($BD$9)),0,$BE1012-$BD1012+1)</f>
        <v>0</v>
      </c>
      <c r="BH1012" s="469">
        <f t="shared" ca="1" si="640"/>
        <v>1</v>
      </c>
      <c r="BI1012" t="str">
        <f t="shared" si="656"/>
        <v/>
      </c>
      <c r="BJ1012">
        <v>7</v>
      </c>
      <c r="BN1012" s="468">
        <f t="shared" si="652"/>
        <v>84</v>
      </c>
      <c r="BO1012" s="468">
        <f t="shared" si="653"/>
        <v>7</v>
      </c>
      <c r="BP1012" s="467">
        <f t="shared" ca="1" si="641"/>
        <v>73417</v>
      </c>
      <c r="BQ1012" s="475">
        <f t="shared" ca="1" si="655"/>
        <v>116</v>
      </c>
      <c r="BR1012" s="475" t="str">
        <f t="shared" si="654"/>
        <v/>
      </c>
      <c r="BS1012" s="471" t="str">
        <f t="shared" si="642"/>
        <v/>
      </c>
      <c r="BT1012" s="472" t="str">
        <f t="shared" si="657"/>
        <v/>
      </c>
      <c r="BU1012" s="472">
        <f t="shared" ca="1" si="643"/>
        <v>0</v>
      </c>
      <c r="BV1012" s="472">
        <f t="shared" ca="1" si="643"/>
        <v>0</v>
      </c>
      <c r="BW1012" s="472"/>
      <c r="BX1012" s="473">
        <f t="shared" ca="1" si="644"/>
        <v>2769187.1765639498</v>
      </c>
      <c r="BY1012" s="473">
        <f t="shared" si="645"/>
        <v>0</v>
      </c>
      <c r="BZ1012" s="473">
        <f t="shared" ca="1" si="627"/>
        <v>204.085218051</v>
      </c>
      <c r="CA1012" s="476">
        <f t="shared" ca="1" si="646"/>
        <v>0</v>
      </c>
      <c r="CB1012" s="494">
        <f ca="1">IF(OR($Q1011&lt;&gt;1,OP!$D$5+$BN1012-1&lt;16,$BN1012-1&lt;1),0,ROUND(ROUND(ROUND(((VLOOKUP($BN1012-1,MORE_PV,5,0)/10000)*VLOOKUP($BN1012,MORE_PV,$CB$5,0)),3)*VLOOKUP($BN1012,more1,5,0),0)/$R1011,0))</f>
        <v>0</v>
      </c>
      <c r="CC1012" s="473">
        <f t="shared" ca="1" si="647"/>
        <v>0</v>
      </c>
      <c r="CD1012" s="477"/>
    </row>
    <row r="1013" spans="2:82" ht="16.5" hidden="1">
      <c r="B1013" s="80"/>
      <c r="C1013" s="80"/>
      <c r="D1013" s="80"/>
      <c r="E1013" s="80"/>
      <c r="F1013" s="80"/>
      <c r="G1013" s="80"/>
      <c r="H1013" s="80"/>
      <c r="I1013" s="80"/>
      <c r="J1013" s="192">
        <f t="shared" si="628"/>
        <v>84</v>
      </c>
      <c r="K1013" s="192">
        <f t="shared" si="629"/>
        <v>9</v>
      </c>
      <c r="L1013" s="192" t="str">
        <f t="shared" si="624"/>
        <v/>
      </c>
      <c r="M1013" s="216" t="str">
        <f t="shared" ca="1" si="630"/>
        <v/>
      </c>
      <c r="N1013" s="216"/>
      <c r="O1013" s="216"/>
      <c r="P1013" s="216"/>
      <c r="Q1013" s="456">
        <f t="shared" ca="1" si="631"/>
        <v>1</v>
      </c>
      <c r="R1013" s="450">
        <f t="shared" ca="1" si="632"/>
        <v>12</v>
      </c>
      <c r="S1013" s="191">
        <f t="shared" si="633"/>
        <v>84</v>
      </c>
      <c r="T1013" s="191">
        <f t="shared" si="634"/>
        <v>9</v>
      </c>
      <c r="U1013" s="191">
        <f ca="1">OP!$D$5+$S1013-1</f>
        <v>116</v>
      </c>
      <c r="V1013" s="191" t="str">
        <f t="shared" si="635"/>
        <v/>
      </c>
      <c r="W1013" s="350">
        <f ca="1">IF(Q1013&lt;&gt;1,0,VLOOKUP(OP!$C$55,PVFB,$S1013+2,0))</f>
        <v>0</v>
      </c>
      <c r="X1013" s="473" t="str">
        <f t="shared" ca="1" si="648"/>
        <v/>
      </c>
      <c r="Y1013" s="348">
        <f t="shared" ca="1" si="649"/>
        <v>0</v>
      </c>
      <c r="Z1013" s="348">
        <f t="shared" ca="1" si="650"/>
        <v>8012</v>
      </c>
      <c r="AA1013" s="348">
        <f ca="1">IF(Q1013&lt;&gt;1,0,VLOOKUP(OP!$C$55,PVFB,$S1013+2,0))</f>
        <v>0</v>
      </c>
      <c r="AB1013" s="488" t="str">
        <f ca="1">IF(AND(S1013&lt;OP!$C$24,$U1013&lt;15),0,IF(AND($U1013&lt;15,$T1013=12),ROUND(VLOOKUP($S1013,DOWN16,5,0),3),IF($T1013=12,ROUND(($Z1013/10000)*$AA1013,3)+IF(AND($P$7="購買增額繳清保險",T1013=12,U1013=110),VLOOKUP(S1013,$B$10:$H$121,7,0),0),"")))</f>
        <v/>
      </c>
      <c r="AC1013" s="350" t="str">
        <f ca="1">IF(AND(S1013&lt;OP!$C$24,$U1013&lt;15),0,IF(AND($U1013&lt;16,$T1013=12),VLOOKUP($S1013,DOWN16,4,0),IF($T1013=12,ROUND(VLOOKUP(OP!$C$55,_DIE2,$S1013+1,0)*(Z1013/10000),0)+IF(AND($P$7="購買增額繳清保險",T1013=12,U1013=110),VLOOKUP(S1013,$B$10:$H$121,7,0),0),"")))</f>
        <v/>
      </c>
      <c r="AD1013" s="347"/>
      <c r="AE1013" s="350" t="str">
        <f t="shared" ca="1" si="625"/>
        <v/>
      </c>
      <c r="AF1013" s="351" t="str">
        <f t="shared" ca="1" si="626"/>
        <v/>
      </c>
      <c r="AG1013" s="340"/>
      <c r="AH1013" s="340"/>
      <c r="AI1013" s="340"/>
      <c r="AJ1013" s="340"/>
      <c r="AK1013" s="340"/>
      <c r="AL1013" s="340"/>
      <c r="AM1013" s="340"/>
      <c r="AN1013" s="340"/>
      <c r="AO1013" s="340"/>
      <c r="AP1013" s="340"/>
      <c r="AQ1013" s="340"/>
      <c r="AR1013" s="340"/>
      <c r="AS1013" s="340"/>
      <c r="AT1013" s="340"/>
      <c r="AU1013" s="340"/>
      <c r="AV1013" s="340"/>
      <c r="AY1013" s="340"/>
      <c r="AZ1013" s="465">
        <f t="shared" ca="1" si="636"/>
        <v>7.3698599999999999E-5</v>
      </c>
      <c r="BA1013" s="464">
        <f t="shared" ca="1" si="637"/>
        <v>0</v>
      </c>
      <c r="BB1013" s="465">
        <f t="shared" ca="1" si="637"/>
        <v>7.3698599999999999E-5</v>
      </c>
      <c r="BC1013" s="466">
        <f t="shared" ca="1" si="638"/>
        <v>73447</v>
      </c>
      <c r="BD1013" s="467">
        <f t="shared" ca="1" si="651"/>
        <v>73448</v>
      </c>
      <c r="BE1013" s="467">
        <f t="shared" ca="1" si="639"/>
        <v>73474</v>
      </c>
      <c r="BF1013" s="468">
        <f ca="1">IF(計算!$BC1013&lt;OP!$C$3,0,BD1013-BC1013)</f>
        <v>1</v>
      </c>
      <c r="BG1013" s="468">
        <f ca="1">IF($BE1013&gt;DATE(YEAR($BD$9)+OP!$C$57,MONTH($BD$9),DAY($BD$9)),0,$BE1013-$BD1013+1)</f>
        <v>0</v>
      </c>
      <c r="BH1013" s="469">
        <f t="shared" ca="1" si="640"/>
        <v>1</v>
      </c>
      <c r="BI1013" t="str">
        <f t="shared" si="656"/>
        <v/>
      </c>
      <c r="BJ1013">
        <v>8</v>
      </c>
      <c r="BN1013" s="468">
        <f t="shared" si="652"/>
        <v>84</v>
      </c>
      <c r="BO1013" s="468">
        <f t="shared" si="653"/>
        <v>8</v>
      </c>
      <c r="BP1013" s="467">
        <f t="shared" ca="1" si="641"/>
        <v>73448</v>
      </c>
      <c r="BQ1013" s="475">
        <f t="shared" ca="1" si="655"/>
        <v>116</v>
      </c>
      <c r="BR1013" s="475" t="str">
        <f t="shared" si="654"/>
        <v/>
      </c>
      <c r="BS1013" s="471" t="str">
        <f t="shared" si="642"/>
        <v/>
      </c>
      <c r="BT1013" s="472" t="str">
        <f t="shared" si="657"/>
        <v/>
      </c>
      <c r="BU1013" s="472">
        <f t="shared" ca="1" si="643"/>
        <v>0</v>
      </c>
      <c r="BV1013" s="472">
        <f t="shared" ca="1" si="643"/>
        <v>0</v>
      </c>
      <c r="BW1013" s="472"/>
      <c r="BX1013" s="473">
        <f t="shared" ca="1" si="644"/>
        <v>2769391.2617819998</v>
      </c>
      <c r="BY1013" s="473">
        <f t="shared" si="645"/>
        <v>0</v>
      </c>
      <c r="BZ1013" s="473">
        <f t="shared" ca="1" si="627"/>
        <v>204.100258846</v>
      </c>
      <c r="CA1013" s="476">
        <f t="shared" ca="1" si="646"/>
        <v>0</v>
      </c>
      <c r="CB1013" s="494">
        <f ca="1">IF(OR($Q1012&lt;&gt;1,OP!$D$5+$BN1013-1&lt;16,$BN1013-1&lt;1),0,ROUND(ROUND(ROUND(((VLOOKUP($BN1013-1,MORE_PV,5,0)/10000)*VLOOKUP($BN1013,MORE_PV,$CB$5,0)),3)*VLOOKUP($BN1013,more1,5,0),0)/$R1012,0))</f>
        <v>0</v>
      </c>
      <c r="CC1013" s="473">
        <f t="shared" ca="1" si="647"/>
        <v>0</v>
      </c>
      <c r="CD1013" s="477"/>
    </row>
    <row r="1014" spans="2:82" ht="16.5" hidden="1">
      <c r="B1014" s="80"/>
      <c r="C1014" s="80"/>
      <c r="D1014" s="80"/>
      <c r="E1014" s="80"/>
      <c r="F1014" s="80"/>
      <c r="G1014" s="80"/>
      <c r="H1014" s="80"/>
      <c r="I1014" s="80"/>
      <c r="J1014" s="192">
        <f t="shared" si="628"/>
        <v>84</v>
      </c>
      <c r="K1014" s="192">
        <f t="shared" si="629"/>
        <v>10</v>
      </c>
      <c r="L1014" s="192" t="str">
        <f t="shared" si="624"/>
        <v/>
      </c>
      <c r="M1014" s="216" t="str">
        <f t="shared" ca="1" si="630"/>
        <v/>
      </c>
      <c r="N1014" s="216"/>
      <c r="O1014" s="216"/>
      <c r="P1014" s="216"/>
      <c r="Q1014" s="456">
        <f t="shared" ca="1" si="631"/>
        <v>1</v>
      </c>
      <c r="R1014" s="450">
        <f t="shared" ca="1" si="632"/>
        <v>12</v>
      </c>
      <c r="S1014" s="191">
        <f t="shared" si="633"/>
        <v>84</v>
      </c>
      <c r="T1014" s="191">
        <f t="shared" si="634"/>
        <v>10</v>
      </c>
      <c r="U1014" s="191">
        <f ca="1">OP!$D$5+$S1014-1</f>
        <v>116</v>
      </c>
      <c r="V1014" s="191" t="str">
        <f t="shared" si="635"/>
        <v/>
      </c>
      <c r="W1014" s="350">
        <f ca="1">IF(Q1014&lt;&gt;1,0,VLOOKUP(OP!$C$55,PVFB,$S1014+2,0))</f>
        <v>0</v>
      </c>
      <c r="X1014" s="473" t="str">
        <f t="shared" ca="1" si="648"/>
        <v/>
      </c>
      <c r="Y1014" s="348">
        <f t="shared" ca="1" si="649"/>
        <v>0</v>
      </c>
      <c r="Z1014" s="348">
        <f t="shared" ca="1" si="650"/>
        <v>8012</v>
      </c>
      <c r="AA1014" s="348">
        <f ca="1">IF(Q1014&lt;&gt;1,0,VLOOKUP(OP!$C$55,PVFB,$S1014+2,0))</f>
        <v>0</v>
      </c>
      <c r="AB1014" s="488" t="str">
        <f ca="1">IF(AND(S1014&lt;OP!$C$24,$U1014&lt;15),0,IF(AND($U1014&lt;15,$T1014=12),ROUND(VLOOKUP($S1014,DOWN16,5,0),3),IF($T1014=12,ROUND(($Z1014/10000)*$AA1014,3)+IF(AND($P$7="購買增額繳清保險",T1014=12,U1014=110),VLOOKUP(S1014,$B$10:$H$121,7,0),0),"")))</f>
        <v/>
      </c>
      <c r="AC1014" s="350" t="str">
        <f ca="1">IF(AND(S1014&lt;OP!$C$24,$U1014&lt;15),0,IF(AND($U1014&lt;16,$T1014=12),VLOOKUP($S1014,DOWN16,4,0),IF($T1014=12,ROUND(VLOOKUP(OP!$C$55,_DIE2,$S1014+1,0)*(Z1014/10000),0)+IF(AND($P$7="購買增額繳清保險",T1014=12,U1014=110),VLOOKUP(S1014,$B$10:$H$121,7,0),0),"")))</f>
        <v/>
      </c>
      <c r="AD1014" s="347"/>
      <c r="AE1014" s="350" t="str">
        <f t="shared" ca="1" si="625"/>
        <v/>
      </c>
      <c r="AF1014" s="351" t="str">
        <f t="shared" ca="1" si="626"/>
        <v/>
      </c>
      <c r="AG1014" s="340"/>
      <c r="AH1014" s="340"/>
      <c r="AI1014" s="340"/>
      <c r="AJ1014" s="340"/>
      <c r="AK1014" s="340"/>
      <c r="AL1014" s="340"/>
      <c r="AM1014" s="340"/>
      <c r="AN1014" s="340"/>
      <c r="AO1014" s="340"/>
      <c r="AP1014" s="340"/>
      <c r="AQ1014" s="340"/>
      <c r="AR1014" s="340"/>
      <c r="AS1014" s="340"/>
      <c r="AT1014" s="340"/>
      <c r="AU1014" s="340"/>
      <c r="AV1014" s="340"/>
      <c r="AY1014" s="340"/>
      <c r="AZ1014" s="465">
        <f t="shared" ca="1" si="636"/>
        <v>7.3698599999999999E-5</v>
      </c>
      <c r="BA1014" s="464">
        <f t="shared" ca="1" si="637"/>
        <v>0</v>
      </c>
      <c r="BB1014" s="465">
        <f t="shared" ca="1" si="637"/>
        <v>7.3698599999999999E-5</v>
      </c>
      <c r="BC1014" s="466">
        <f t="shared" ca="1" si="638"/>
        <v>73475</v>
      </c>
      <c r="BD1014" s="467">
        <f t="shared" ca="1" si="651"/>
        <v>73476</v>
      </c>
      <c r="BE1014" s="467">
        <f t="shared" ca="1" si="639"/>
        <v>73505</v>
      </c>
      <c r="BF1014" s="468">
        <f ca="1">IF(計算!$BC1014&lt;OP!$C$3,0,BD1014-BC1014)</f>
        <v>1</v>
      </c>
      <c r="BG1014" s="468">
        <f ca="1">IF($BE1014&gt;DATE(YEAR($BD$9)+OP!$C$57,MONTH($BD$9),DAY($BD$9)),0,$BE1014-$BD1014+1)</f>
        <v>0</v>
      </c>
      <c r="BH1014" s="469">
        <f t="shared" ca="1" si="640"/>
        <v>1</v>
      </c>
      <c r="BI1014" t="str">
        <f t="shared" si="656"/>
        <v/>
      </c>
      <c r="BJ1014">
        <v>9</v>
      </c>
      <c r="BN1014" s="468">
        <f t="shared" si="652"/>
        <v>84</v>
      </c>
      <c r="BO1014" s="468">
        <f t="shared" si="653"/>
        <v>9</v>
      </c>
      <c r="BP1014" s="467">
        <f t="shared" ca="1" si="641"/>
        <v>73476</v>
      </c>
      <c r="BQ1014" s="475">
        <f t="shared" ca="1" si="655"/>
        <v>116</v>
      </c>
      <c r="BR1014" s="475" t="str">
        <f t="shared" si="654"/>
        <v/>
      </c>
      <c r="BS1014" s="471" t="str">
        <f t="shared" si="642"/>
        <v/>
      </c>
      <c r="BT1014" s="472" t="str">
        <f t="shared" si="657"/>
        <v/>
      </c>
      <c r="BU1014" s="472">
        <f t="shared" ca="1" si="643"/>
        <v>0</v>
      </c>
      <c r="BV1014" s="472">
        <f t="shared" ca="1" si="643"/>
        <v>0</v>
      </c>
      <c r="BW1014" s="472"/>
      <c r="BX1014" s="473">
        <f t="shared" ca="1" si="644"/>
        <v>2769595.3620408499</v>
      </c>
      <c r="BY1014" s="473">
        <f t="shared" si="645"/>
        <v>0</v>
      </c>
      <c r="BZ1014" s="473">
        <f t="shared" ca="1" si="627"/>
        <v>204.115300749</v>
      </c>
      <c r="CA1014" s="476">
        <f t="shared" ca="1" si="646"/>
        <v>0</v>
      </c>
      <c r="CB1014" s="494">
        <f ca="1">IF(OR($Q1013&lt;&gt;1,OP!$D$5+$BN1014-1&lt;16,$BN1014-1&lt;1),0,ROUND(ROUND(ROUND(((VLOOKUP($BN1014-1,MORE_PV,5,0)/10000)*VLOOKUP($BN1014,MORE_PV,$CB$5,0)),3)*VLOOKUP($BN1014,more1,5,0),0)/$R1013,0))</f>
        <v>0</v>
      </c>
      <c r="CC1014" s="473">
        <f t="shared" ca="1" si="647"/>
        <v>0</v>
      </c>
      <c r="CD1014" s="477"/>
    </row>
    <row r="1015" spans="2:82" ht="16.5" hidden="1">
      <c r="B1015" s="80"/>
      <c r="C1015" s="80"/>
      <c r="D1015" s="80"/>
      <c r="E1015" s="80"/>
      <c r="F1015" s="80"/>
      <c r="G1015" s="80"/>
      <c r="H1015" s="80"/>
      <c r="I1015" s="80"/>
      <c r="J1015" s="192">
        <f t="shared" si="628"/>
        <v>84</v>
      </c>
      <c r="K1015" s="192">
        <f t="shared" si="629"/>
        <v>11</v>
      </c>
      <c r="L1015" s="192" t="str">
        <f t="shared" si="624"/>
        <v/>
      </c>
      <c r="M1015" s="216" t="str">
        <f t="shared" ca="1" si="630"/>
        <v/>
      </c>
      <c r="N1015" s="216"/>
      <c r="O1015" s="216"/>
      <c r="P1015" s="216"/>
      <c r="Q1015" s="456">
        <f t="shared" ca="1" si="631"/>
        <v>1</v>
      </c>
      <c r="R1015" s="450">
        <f t="shared" ca="1" si="632"/>
        <v>12</v>
      </c>
      <c r="S1015" s="191">
        <f t="shared" si="633"/>
        <v>84</v>
      </c>
      <c r="T1015" s="191">
        <f t="shared" si="634"/>
        <v>11</v>
      </c>
      <c r="U1015" s="191">
        <f ca="1">OP!$D$5+$S1015-1</f>
        <v>116</v>
      </c>
      <c r="V1015" s="191" t="str">
        <f t="shared" si="635"/>
        <v/>
      </c>
      <c r="W1015" s="350">
        <f ca="1">IF(Q1015&lt;&gt;1,0,VLOOKUP(OP!$C$55,PVFB,$S1015+2,0))</f>
        <v>0</v>
      </c>
      <c r="X1015" s="473" t="str">
        <f t="shared" ca="1" si="648"/>
        <v/>
      </c>
      <c r="Y1015" s="348">
        <f t="shared" ca="1" si="649"/>
        <v>0</v>
      </c>
      <c r="Z1015" s="348">
        <f t="shared" ca="1" si="650"/>
        <v>8012</v>
      </c>
      <c r="AA1015" s="348">
        <f ca="1">IF(Q1015&lt;&gt;1,0,VLOOKUP(OP!$C$55,PVFB,$S1015+2,0))</f>
        <v>0</v>
      </c>
      <c r="AB1015" s="488" t="str">
        <f ca="1">IF(AND(S1015&lt;OP!$C$24,$U1015&lt;15),0,IF(AND($U1015&lt;15,$T1015=12),ROUND(VLOOKUP($S1015,DOWN16,5,0),3),IF($T1015=12,ROUND(($Z1015/10000)*$AA1015,3)+IF(AND($P$7="購買增額繳清保險",T1015=12,U1015=110),VLOOKUP(S1015,$B$10:$H$121,7,0),0),"")))</f>
        <v/>
      </c>
      <c r="AC1015" s="350" t="str">
        <f ca="1">IF(AND(S1015&lt;OP!$C$24,$U1015&lt;15),0,IF(AND($U1015&lt;16,$T1015=12),VLOOKUP($S1015,DOWN16,4,0),IF($T1015=12,ROUND(VLOOKUP(OP!$C$55,_DIE2,$S1015+1,0)*(Z1015/10000),0)+IF(AND($P$7="購買增額繳清保險",T1015=12,U1015=110),VLOOKUP(S1015,$B$10:$H$121,7,0),0),"")))</f>
        <v/>
      </c>
      <c r="AD1015" s="347"/>
      <c r="AE1015" s="350" t="str">
        <f t="shared" ca="1" si="625"/>
        <v/>
      </c>
      <c r="AF1015" s="351" t="str">
        <f t="shared" ca="1" si="626"/>
        <v/>
      </c>
      <c r="AG1015" s="340"/>
      <c r="AH1015" s="340"/>
      <c r="AI1015" s="340"/>
      <c r="AJ1015" s="340"/>
      <c r="AK1015" s="340"/>
      <c r="AL1015" s="340"/>
      <c r="AM1015" s="340"/>
      <c r="AN1015" s="340"/>
      <c r="AO1015" s="340"/>
      <c r="AP1015" s="340"/>
      <c r="AQ1015" s="340"/>
      <c r="AR1015" s="340"/>
      <c r="AS1015" s="340"/>
      <c r="AT1015" s="340"/>
      <c r="AU1015" s="340"/>
      <c r="AV1015" s="340"/>
      <c r="AY1015" s="340"/>
      <c r="AZ1015" s="465">
        <f t="shared" ca="1" si="636"/>
        <v>7.3698599999999999E-5</v>
      </c>
      <c r="BA1015" s="464">
        <f t="shared" ca="1" si="637"/>
        <v>0</v>
      </c>
      <c r="BB1015" s="465">
        <f t="shared" ca="1" si="637"/>
        <v>7.3698599999999999E-5</v>
      </c>
      <c r="BC1015" s="466">
        <f t="shared" ca="1" si="638"/>
        <v>73506</v>
      </c>
      <c r="BD1015" s="467">
        <f t="shared" ca="1" si="651"/>
        <v>73507</v>
      </c>
      <c r="BE1015" s="467">
        <f t="shared" ca="1" si="639"/>
        <v>73535</v>
      </c>
      <c r="BF1015" s="468">
        <f ca="1">IF(計算!$BC1015&lt;OP!$C$3,0,BD1015-BC1015)</f>
        <v>1</v>
      </c>
      <c r="BG1015" s="468">
        <f ca="1">IF($BE1015&gt;DATE(YEAR($BD$9)+OP!$C$57,MONTH($BD$9),DAY($BD$9)),0,$BE1015-$BD1015+1)</f>
        <v>0</v>
      </c>
      <c r="BH1015" s="469">
        <f t="shared" ca="1" si="640"/>
        <v>1</v>
      </c>
      <c r="BI1015" t="str">
        <f t="shared" si="656"/>
        <v/>
      </c>
      <c r="BJ1015">
        <v>10</v>
      </c>
      <c r="BN1015" s="468">
        <f t="shared" si="652"/>
        <v>84</v>
      </c>
      <c r="BO1015" s="468">
        <f t="shared" si="653"/>
        <v>10</v>
      </c>
      <c r="BP1015" s="467">
        <f t="shared" ca="1" si="641"/>
        <v>73507</v>
      </c>
      <c r="BQ1015" s="475">
        <f t="shared" ca="1" si="655"/>
        <v>116</v>
      </c>
      <c r="BR1015" s="475" t="str">
        <f t="shared" si="654"/>
        <v/>
      </c>
      <c r="BS1015" s="471" t="str">
        <f t="shared" si="642"/>
        <v/>
      </c>
      <c r="BT1015" s="472" t="str">
        <f t="shared" si="657"/>
        <v/>
      </c>
      <c r="BU1015" s="472">
        <f t="shared" ca="1" si="643"/>
        <v>0</v>
      </c>
      <c r="BV1015" s="472">
        <f t="shared" ca="1" si="643"/>
        <v>0</v>
      </c>
      <c r="BW1015" s="472"/>
      <c r="BX1015" s="473">
        <f t="shared" ca="1" si="644"/>
        <v>2769799.4773416002</v>
      </c>
      <c r="BY1015" s="473">
        <f t="shared" si="645"/>
        <v>0</v>
      </c>
      <c r="BZ1015" s="473">
        <f t="shared" ca="1" si="627"/>
        <v>204.13034376100001</v>
      </c>
      <c r="CA1015" s="476">
        <f t="shared" ca="1" si="646"/>
        <v>0</v>
      </c>
      <c r="CB1015" s="494">
        <f ca="1">IF(OR($Q1014&lt;&gt;1,OP!$D$5+$BN1015-1&lt;16,$BN1015-1&lt;1),0,ROUND(ROUND(ROUND(((VLOOKUP($BN1015-1,MORE_PV,5,0)/10000)*VLOOKUP($BN1015,MORE_PV,$CB$5,0)),3)*VLOOKUP($BN1015,more1,5,0),0)/$R1014,0))</f>
        <v>0</v>
      </c>
      <c r="CC1015" s="473">
        <f t="shared" ca="1" si="647"/>
        <v>0</v>
      </c>
      <c r="CD1015" s="477"/>
    </row>
    <row r="1016" spans="2:82" ht="16.5" hidden="1">
      <c r="B1016" s="80"/>
      <c r="C1016" s="80"/>
      <c r="D1016" s="80"/>
      <c r="E1016" s="80"/>
      <c r="F1016" s="80"/>
      <c r="G1016" s="80"/>
      <c r="H1016" s="80"/>
      <c r="I1016" s="80"/>
      <c r="J1016" s="192">
        <f t="shared" si="628"/>
        <v>84</v>
      </c>
      <c r="K1016" s="192">
        <f t="shared" si="629"/>
        <v>12</v>
      </c>
      <c r="L1016" s="192">
        <f t="shared" si="624"/>
        <v>84</v>
      </c>
      <c r="M1016" s="216">
        <f t="shared" ca="1" si="630"/>
        <v>2770411</v>
      </c>
      <c r="N1016" s="216"/>
      <c r="O1016" s="216"/>
      <c r="P1016" s="216"/>
      <c r="Q1016" s="456">
        <f t="shared" ca="1" si="631"/>
        <v>1</v>
      </c>
      <c r="R1016" s="450">
        <f t="shared" ca="1" si="632"/>
        <v>12</v>
      </c>
      <c r="S1016" s="191">
        <f t="shared" si="633"/>
        <v>84</v>
      </c>
      <c r="T1016" s="191">
        <f t="shared" si="634"/>
        <v>12</v>
      </c>
      <c r="U1016" s="191">
        <f ca="1">OP!$D$5+$S1016-1</f>
        <v>116</v>
      </c>
      <c r="V1016" s="191">
        <f t="shared" si="635"/>
        <v>84</v>
      </c>
      <c r="W1016" s="350">
        <f ca="1">IF(Q1016&lt;&gt;1,0,VLOOKUP(OP!$C$55,PVFB,$S1016+2,0))</f>
        <v>0</v>
      </c>
      <c r="X1016" s="473">
        <f t="shared" ca="1" si="648"/>
        <v>0</v>
      </c>
      <c r="Y1016" s="348">
        <f t="shared" ca="1" si="649"/>
        <v>0</v>
      </c>
      <c r="Z1016" s="348">
        <f t="shared" ca="1" si="650"/>
        <v>8012</v>
      </c>
      <c r="AA1016" s="348">
        <f ca="1">IF(Q1016&lt;&gt;1,0,VLOOKUP(OP!$C$55,PVFB,$S1016+2,0))</f>
        <v>0</v>
      </c>
      <c r="AB1016" s="488">
        <f ca="1">IF(AND(S1016&lt;OP!$C$24,$U1016&lt;15),0,IF(AND($U1016&lt;15,$T1016=12),ROUND(VLOOKUP($S1016,DOWN16,5,0),3),IF($T1016=12,ROUND(($Z1016/10000)*$AA1016,3)+IF(AND($P$7="購買增額繳清保險",T1016=12,U1016=110),VLOOKUP(S1016,$B$10:$H$121,7,0),0),"")))</f>
        <v>0</v>
      </c>
      <c r="AC1016" s="350">
        <f ca="1">IF(AND(S1016&lt;OP!$C$24,$U1016&lt;15),0,IF(AND($U1016&lt;16,$T1016=12),VLOOKUP($S1016,DOWN16,4,0),IF($T1016=12,ROUND(VLOOKUP(OP!$C$55,_DIE2,$S1016+1,0)*(Z1016/10000),0)+IF(AND($P$7="購買增額繳清保險",T1016=12,U1016=110),VLOOKUP(S1016,$B$10:$H$121,7,0),0),"")))</f>
        <v>0</v>
      </c>
      <c r="AD1016" s="347"/>
      <c r="AE1016" s="350" t="str">
        <f t="shared" ca="1" si="625"/>
        <v/>
      </c>
      <c r="AF1016" s="351" t="str">
        <f t="shared" ca="1" si="626"/>
        <v/>
      </c>
      <c r="AG1016" s="340"/>
      <c r="AH1016" s="340"/>
      <c r="AI1016" s="340"/>
      <c r="AJ1016" s="340"/>
      <c r="AK1016" s="340"/>
      <c r="AL1016" s="340"/>
      <c r="AM1016" s="340"/>
      <c r="AN1016" s="340"/>
      <c r="AO1016" s="340"/>
      <c r="AP1016" s="340"/>
      <c r="AQ1016" s="340"/>
      <c r="AR1016" s="340"/>
      <c r="AS1016" s="340"/>
      <c r="AT1016" s="340"/>
      <c r="AU1016" s="340"/>
      <c r="AV1016" s="340"/>
      <c r="AY1016" s="340"/>
      <c r="AZ1016" s="465">
        <f t="shared" ca="1" si="636"/>
        <v>7.3698599999999999E-5</v>
      </c>
      <c r="BA1016" s="464">
        <f t="shared" ca="1" si="637"/>
        <v>0</v>
      </c>
      <c r="BB1016" s="465">
        <f t="shared" ca="1" si="637"/>
        <v>7.3698599999999999E-5</v>
      </c>
      <c r="BC1016" s="466">
        <f t="shared" ca="1" si="638"/>
        <v>73536</v>
      </c>
      <c r="BD1016" s="467">
        <f t="shared" ca="1" si="651"/>
        <v>73537</v>
      </c>
      <c r="BE1016" s="467">
        <f t="shared" ca="1" si="639"/>
        <v>73566</v>
      </c>
      <c r="BF1016" s="468">
        <f ca="1">IF(計算!$BC1016&lt;OP!$C$3,0,BD1016-BC1016)</f>
        <v>1</v>
      </c>
      <c r="BG1016" s="468">
        <f ca="1">IF($BE1016&gt;DATE(YEAR($BD$9)+OP!$C$57,MONTH($BD$9),DAY($BD$9)),0,$BE1016-$BD1016+1)</f>
        <v>0</v>
      </c>
      <c r="BH1016" s="469">
        <f t="shared" ca="1" si="640"/>
        <v>1</v>
      </c>
      <c r="BI1016" t="str">
        <f t="shared" si="656"/>
        <v/>
      </c>
      <c r="BJ1016">
        <v>11</v>
      </c>
      <c r="BN1016" s="468">
        <f t="shared" si="652"/>
        <v>84</v>
      </c>
      <c r="BO1016" s="468">
        <f t="shared" si="653"/>
        <v>11</v>
      </c>
      <c r="BP1016" s="467">
        <f t="shared" ca="1" si="641"/>
        <v>73537</v>
      </c>
      <c r="BQ1016" s="475">
        <f t="shared" ca="1" si="655"/>
        <v>116</v>
      </c>
      <c r="BR1016" s="475" t="str">
        <f t="shared" si="654"/>
        <v/>
      </c>
      <c r="BS1016" s="471" t="str">
        <f t="shared" si="642"/>
        <v/>
      </c>
      <c r="BT1016" s="472" t="str">
        <f t="shared" si="657"/>
        <v/>
      </c>
      <c r="BU1016" s="472">
        <f t="shared" ca="1" si="643"/>
        <v>0</v>
      </c>
      <c r="BV1016" s="472">
        <f t="shared" ca="1" si="643"/>
        <v>0</v>
      </c>
      <c r="BW1016" s="472"/>
      <c r="BX1016" s="473">
        <f t="shared" ca="1" si="644"/>
        <v>2770003.6076853601</v>
      </c>
      <c r="BY1016" s="473">
        <f t="shared" si="645"/>
        <v>0</v>
      </c>
      <c r="BZ1016" s="473">
        <f t="shared" ca="1" si="627"/>
        <v>204.145387881</v>
      </c>
      <c r="CA1016" s="476">
        <f t="shared" ca="1" si="646"/>
        <v>0</v>
      </c>
      <c r="CB1016" s="494">
        <f ca="1">IF(OR($Q1015&lt;&gt;1,OP!$D$5+$BN1016-1&lt;16,$BN1016-1&lt;1),0,ROUND(ROUND(ROUND(((VLOOKUP($BN1016-1,MORE_PV,5,0)/10000)*VLOOKUP($BN1016,MORE_PV,$CB$5,0)),3)*VLOOKUP($BN1016,more1,5,0),0)/$R1015,0))</f>
        <v>0</v>
      </c>
      <c r="CC1016" s="473">
        <f t="shared" ca="1" si="647"/>
        <v>0</v>
      </c>
      <c r="CD1016" s="477"/>
    </row>
    <row r="1017" spans="2:82" ht="16.5" hidden="1">
      <c r="B1017" s="80"/>
      <c r="C1017" s="80"/>
      <c r="D1017" s="80"/>
      <c r="E1017" s="80"/>
      <c r="F1017" s="80"/>
      <c r="G1017" s="80"/>
      <c r="H1017" s="80"/>
      <c r="I1017" s="80"/>
      <c r="J1017" s="192">
        <f t="shared" si="628"/>
        <v>85</v>
      </c>
      <c r="K1017" s="192">
        <f t="shared" si="629"/>
        <v>1</v>
      </c>
      <c r="L1017" s="192" t="str">
        <f t="shared" si="624"/>
        <v/>
      </c>
      <c r="M1017" s="216" t="str">
        <f t="shared" ca="1" si="630"/>
        <v/>
      </c>
      <c r="N1017" s="216"/>
      <c r="O1017" s="216"/>
      <c r="P1017" s="216"/>
      <c r="Q1017" s="456">
        <f t="shared" ca="1" si="631"/>
        <v>1</v>
      </c>
      <c r="R1017" s="450">
        <f t="shared" ca="1" si="632"/>
        <v>12</v>
      </c>
      <c r="S1017" s="191">
        <f t="shared" si="633"/>
        <v>85</v>
      </c>
      <c r="T1017" s="191">
        <f t="shared" si="634"/>
        <v>1</v>
      </c>
      <c r="U1017" s="191">
        <f ca="1">OP!$D$5+$S1017-1</f>
        <v>117</v>
      </c>
      <c r="V1017" s="191" t="str">
        <f t="shared" si="635"/>
        <v/>
      </c>
      <c r="W1017" s="350">
        <f ca="1">IF(Q1017&lt;&gt;1,0,VLOOKUP(OP!$C$55,PVFB,$S1017+2,0))</f>
        <v>0</v>
      </c>
      <c r="X1017" s="473" t="str">
        <f t="shared" ca="1" si="648"/>
        <v/>
      </c>
      <c r="Y1017" s="348">
        <f t="shared" ca="1" si="649"/>
        <v>0</v>
      </c>
      <c r="Z1017" s="348">
        <f t="shared" ca="1" si="650"/>
        <v>8012</v>
      </c>
      <c r="AA1017" s="348">
        <f ca="1">IF(Q1017&lt;&gt;1,0,VLOOKUP(OP!$C$55,PVFB,$S1017+2,0))</f>
        <v>0</v>
      </c>
      <c r="AB1017" s="488" t="str">
        <f ca="1">IF(AND(S1017&lt;OP!$C$24,$U1017&lt;15),0,IF(AND($U1017&lt;15,$T1017=12),ROUND(VLOOKUP($S1017,DOWN16,5,0),3),IF($T1017=12,ROUND(($Z1017/10000)*$AA1017,3)+IF(AND($P$7="購買增額繳清保險",T1017=12,U1017=110),VLOOKUP(S1017,$B$10:$H$121,7,0),0),"")))</f>
        <v/>
      </c>
      <c r="AC1017" s="350" t="str">
        <f ca="1">IF(AND(S1017&lt;OP!$C$24,$U1017&lt;15),0,IF(AND($U1017&lt;16,$T1017=12),VLOOKUP($S1017,DOWN16,4,0),IF($T1017=12,ROUND(VLOOKUP(OP!$C$55,_DIE2,$S1017+1,0)*(Z1017/10000),0)+IF(AND($P$7="購買增額繳清保險",T1017=12,U1017=110),VLOOKUP(S1017,$B$10:$H$121,7,0),0),"")))</f>
        <v/>
      </c>
      <c r="AD1017" s="347"/>
      <c r="AE1017" s="350" t="str">
        <f t="shared" ca="1" si="625"/>
        <v/>
      </c>
      <c r="AF1017" s="351" t="str">
        <f t="shared" ca="1" si="626"/>
        <v/>
      </c>
      <c r="AG1017" s="340"/>
      <c r="AH1017" s="340"/>
      <c r="AI1017" s="340"/>
      <c r="AJ1017" s="340"/>
      <c r="AK1017" s="340"/>
      <c r="AL1017" s="340"/>
      <c r="AM1017" s="340"/>
      <c r="AN1017" s="340"/>
      <c r="AO1017" s="340"/>
      <c r="AP1017" s="340"/>
      <c r="AQ1017" s="340"/>
      <c r="AR1017" s="340"/>
      <c r="AS1017" s="340"/>
      <c r="AT1017" s="340"/>
      <c r="AU1017" s="340"/>
      <c r="AV1017" s="340"/>
      <c r="AY1017" s="340"/>
      <c r="AZ1017" s="465">
        <f t="shared" ca="1" si="636"/>
        <v>7.3698599999999999E-5</v>
      </c>
      <c r="BA1017" s="464">
        <f t="shared" ca="1" si="637"/>
        <v>0</v>
      </c>
      <c r="BB1017" s="465">
        <f t="shared" ca="1" si="637"/>
        <v>7.3698599999999999E-5</v>
      </c>
      <c r="BC1017" s="466">
        <f t="shared" ca="1" si="638"/>
        <v>73567</v>
      </c>
      <c r="BD1017" s="467">
        <f t="shared" ca="1" si="651"/>
        <v>73568</v>
      </c>
      <c r="BE1017" s="467">
        <f t="shared" ca="1" si="639"/>
        <v>73596</v>
      </c>
      <c r="BF1017" s="468">
        <f ca="1">IF(計算!$BC1017&lt;OP!$C$3,0,BD1017-BC1017)</f>
        <v>1</v>
      </c>
      <c r="BG1017" s="468">
        <f ca="1">IF($BE1017&gt;DATE(YEAR($BD$9)+OP!$C$57,MONTH($BD$9),DAY($BD$9)),0,$BE1017-$BD1017+1)</f>
        <v>0</v>
      </c>
      <c r="BH1017" s="469">
        <f t="shared" ca="1" si="640"/>
        <v>1</v>
      </c>
      <c r="BI1017">
        <f t="shared" ca="1" si="656"/>
        <v>365</v>
      </c>
      <c r="BJ1017">
        <v>12</v>
      </c>
      <c r="BN1017" s="468">
        <f t="shared" si="652"/>
        <v>84</v>
      </c>
      <c r="BO1017" s="468">
        <f t="shared" si="653"/>
        <v>12</v>
      </c>
      <c r="BP1017" s="467">
        <f t="shared" ca="1" si="641"/>
        <v>73568</v>
      </c>
      <c r="BQ1017" s="475">
        <f t="shared" ca="1" si="655"/>
        <v>116</v>
      </c>
      <c r="BR1017" s="475">
        <f t="shared" si="654"/>
        <v>84</v>
      </c>
      <c r="BS1017" s="471">
        <f t="shared" ca="1" si="642"/>
        <v>0</v>
      </c>
      <c r="BT1017" s="472">
        <f t="shared" ca="1" si="657"/>
        <v>2770411</v>
      </c>
      <c r="BU1017" s="472">
        <f t="shared" ca="1" si="643"/>
        <v>0</v>
      </c>
      <c r="BV1017" s="472">
        <f t="shared" ca="1" si="643"/>
        <v>0</v>
      </c>
      <c r="BW1017" s="472">
        <f ca="1">ROUND(SUM(BY1017,BZ1005:BZ1016),0)</f>
        <v>2449</v>
      </c>
      <c r="BX1017" s="473">
        <f t="shared" ca="1" si="644"/>
        <v>2770411.91350635</v>
      </c>
      <c r="BY1017" s="473">
        <f t="shared" ca="1" si="645"/>
        <v>204.160433111</v>
      </c>
      <c r="BZ1017" s="473">
        <f t="shared" ca="1" si="627"/>
        <v>0</v>
      </c>
      <c r="CA1017" s="476">
        <f t="shared" ca="1" si="646"/>
        <v>0</v>
      </c>
      <c r="CB1017" s="494">
        <f ca="1">IF(OR($Q1016&lt;&gt;1,OP!$D$5+$BN1017-1&lt;16,$BN1017-1&lt;1),0,ROUND(ROUND(ROUND(((VLOOKUP($BN1017-1,MORE_PV,5,0)/10000)*VLOOKUP($BN1017,MORE_PV,$CB$5,0)),3)*VLOOKUP($BN1017,more1,5,0),0)/$R1016,0))</f>
        <v>0</v>
      </c>
      <c r="CC1017" s="473">
        <f t="shared" ca="1" si="647"/>
        <v>0</v>
      </c>
      <c r="CD1017" s="477"/>
    </row>
    <row r="1018" spans="2:82" ht="16.5" hidden="1">
      <c r="B1018" s="80"/>
      <c r="C1018" s="80"/>
      <c r="D1018" s="80"/>
      <c r="E1018" s="80"/>
      <c r="F1018" s="80"/>
      <c r="G1018" s="80"/>
      <c r="H1018" s="80"/>
      <c r="I1018" s="80"/>
      <c r="J1018" s="192">
        <f t="shared" si="628"/>
        <v>85</v>
      </c>
      <c r="K1018" s="192">
        <f t="shared" si="629"/>
        <v>2</v>
      </c>
      <c r="L1018" s="192" t="str">
        <f t="shared" si="624"/>
        <v/>
      </c>
      <c r="M1018" s="216" t="str">
        <f t="shared" ca="1" si="630"/>
        <v/>
      </c>
      <c r="N1018" s="216"/>
      <c r="O1018" s="216"/>
      <c r="P1018" s="216"/>
      <c r="Q1018" s="456">
        <f t="shared" ca="1" si="631"/>
        <v>1</v>
      </c>
      <c r="R1018" s="450">
        <f t="shared" ca="1" si="632"/>
        <v>12</v>
      </c>
      <c r="S1018" s="191">
        <f t="shared" si="633"/>
        <v>85</v>
      </c>
      <c r="T1018" s="191">
        <f t="shared" si="634"/>
        <v>2</v>
      </c>
      <c r="U1018" s="191">
        <f ca="1">OP!$D$5+$S1018-1</f>
        <v>117</v>
      </c>
      <c r="V1018" s="191" t="str">
        <f t="shared" si="635"/>
        <v/>
      </c>
      <c r="W1018" s="350">
        <f ca="1">IF(Q1018&lt;&gt;1,0,VLOOKUP(OP!$C$55,PVFB,$S1018+2,0))</f>
        <v>0</v>
      </c>
      <c r="X1018" s="473" t="str">
        <f t="shared" ca="1" si="648"/>
        <v/>
      </c>
      <c r="Y1018" s="348">
        <f t="shared" ca="1" si="649"/>
        <v>0</v>
      </c>
      <c r="Z1018" s="348">
        <f t="shared" ca="1" si="650"/>
        <v>8012</v>
      </c>
      <c r="AA1018" s="348">
        <f ca="1">IF(Q1018&lt;&gt;1,0,VLOOKUP(OP!$C$55,PVFB,$S1018+2,0))</f>
        <v>0</v>
      </c>
      <c r="AB1018" s="488" t="str">
        <f ca="1">IF(AND(S1018&lt;OP!$C$24,$U1018&lt;15),0,IF(AND($U1018&lt;15,$T1018=12),ROUND(VLOOKUP($S1018,DOWN16,5,0),3),IF($T1018=12,ROUND(($Z1018/10000)*$AA1018,3)+IF(AND($P$7="購買增額繳清保險",T1018=12,U1018=110),VLOOKUP(S1018,$B$10:$H$121,7,0),0),"")))</f>
        <v/>
      </c>
      <c r="AC1018" s="350" t="str">
        <f ca="1">IF(AND(S1018&lt;OP!$C$24,$U1018&lt;15),0,IF(AND($U1018&lt;16,$T1018=12),VLOOKUP($S1018,DOWN16,4,0),IF($T1018=12,ROUND(VLOOKUP(OP!$C$55,_DIE2,$S1018+1,0)*(Z1018/10000),0)+IF(AND($P$7="購買增額繳清保險",T1018=12,U1018=110),VLOOKUP(S1018,$B$10:$H$121,7,0),0),"")))</f>
        <v/>
      </c>
      <c r="AD1018" s="347"/>
      <c r="AE1018" s="350" t="str">
        <f t="shared" ca="1" si="625"/>
        <v/>
      </c>
      <c r="AF1018" s="351" t="str">
        <f t="shared" ca="1" si="626"/>
        <v/>
      </c>
      <c r="AG1018" s="340"/>
      <c r="AH1018" s="340"/>
      <c r="AI1018" s="340"/>
      <c r="AJ1018" s="340"/>
      <c r="AK1018" s="340"/>
      <c r="AL1018" s="340"/>
      <c r="AM1018" s="340"/>
      <c r="AN1018" s="340"/>
      <c r="AO1018" s="340"/>
      <c r="AP1018" s="340"/>
      <c r="AQ1018" s="340"/>
      <c r="AR1018" s="340"/>
      <c r="AS1018" s="340"/>
      <c r="AT1018" s="340"/>
      <c r="AU1018" s="340"/>
      <c r="AV1018" s="340"/>
      <c r="AY1018" s="340"/>
      <c r="AZ1018" s="465">
        <f t="shared" ca="1" si="636"/>
        <v>7.3698599999999999E-5</v>
      </c>
      <c r="BA1018" s="464">
        <f t="shared" ca="1" si="637"/>
        <v>0</v>
      </c>
      <c r="BB1018" s="465">
        <f t="shared" ca="1" si="637"/>
        <v>7.3698599999999999E-5</v>
      </c>
      <c r="BC1018" s="466">
        <f t="shared" ca="1" si="638"/>
        <v>73597</v>
      </c>
      <c r="BD1018" s="467">
        <f t="shared" ca="1" si="651"/>
        <v>73598</v>
      </c>
      <c r="BE1018" s="467">
        <f t="shared" ca="1" si="639"/>
        <v>73627</v>
      </c>
      <c r="BF1018" s="468">
        <f ca="1">IF(計算!$BC1018&lt;OP!$C$3,0,BD1018-BC1018)</f>
        <v>1</v>
      </c>
      <c r="BG1018" s="468">
        <f ca="1">IF($BE1018&gt;DATE(YEAR($BD$9)+OP!$C$57,MONTH($BD$9),DAY($BD$9)),0,$BE1018-$BD1018+1)</f>
        <v>0</v>
      </c>
      <c r="BH1018" s="469">
        <f t="shared" ca="1" si="640"/>
        <v>1</v>
      </c>
      <c r="BI1018" t="str">
        <f t="shared" si="656"/>
        <v/>
      </c>
      <c r="BJ1018">
        <v>1</v>
      </c>
      <c r="BN1018" s="468">
        <f t="shared" si="652"/>
        <v>85</v>
      </c>
      <c r="BO1018" s="468">
        <f t="shared" si="653"/>
        <v>1</v>
      </c>
      <c r="BP1018" s="467">
        <f t="shared" ca="1" si="641"/>
        <v>73598</v>
      </c>
      <c r="BQ1018" s="475">
        <f t="shared" ca="1" si="655"/>
        <v>117</v>
      </c>
      <c r="BR1018" s="475" t="str">
        <f t="shared" si="654"/>
        <v/>
      </c>
      <c r="BS1018" s="471" t="str">
        <f t="shared" si="642"/>
        <v/>
      </c>
      <c r="BT1018" s="472" t="str">
        <f t="shared" si="657"/>
        <v/>
      </c>
      <c r="BU1018" s="472">
        <f t="shared" ca="1" si="643"/>
        <v>0</v>
      </c>
      <c r="BV1018" s="472">
        <f t="shared" ca="1" si="643"/>
        <v>0</v>
      </c>
      <c r="BW1018" s="472"/>
      <c r="BX1018" s="473">
        <f t="shared" ca="1" si="644"/>
        <v>2770411.91350635</v>
      </c>
      <c r="BY1018" s="473">
        <f t="shared" si="645"/>
        <v>0</v>
      </c>
      <c r="BZ1018" s="473">
        <f t="shared" ca="1" si="627"/>
        <v>204.17547944899999</v>
      </c>
      <c r="CA1018" s="476">
        <f t="shared" ca="1" si="646"/>
        <v>0</v>
      </c>
      <c r="CB1018" s="494">
        <f ca="1">IF(OR($Q1017&lt;&gt;1,OP!$D$5+$BN1018-1&lt;16,$BN1018-1&lt;1),0,ROUND(ROUND(ROUND(((VLOOKUP($BN1018-1,MORE_PV,5,0)/10000)*VLOOKUP($BN1018,MORE_PV,$CB$5,0)),3)*VLOOKUP($BN1018,more1,5,0),0)/$R1017,0))</f>
        <v>0</v>
      </c>
      <c r="CC1018" s="473">
        <f t="shared" ca="1" si="647"/>
        <v>0</v>
      </c>
      <c r="CD1018" s="477"/>
    </row>
    <row r="1019" spans="2:82" ht="16.5" hidden="1">
      <c r="B1019" s="80"/>
      <c r="C1019" s="80"/>
      <c r="D1019" s="80"/>
      <c r="E1019" s="80"/>
      <c r="F1019" s="80"/>
      <c r="G1019" s="80"/>
      <c r="H1019" s="80"/>
      <c r="I1019" s="80"/>
      <c r="J1019" s="192">
        <f t="shared" si="628"/>
        <v>85</v>
      </c>
      <c r="K1019" s="192">
        <f t="shared" si="629"/>
        <v>3</v>
      </c>
      <c r="L1019" s="192" t="str">
        <f t="shared" si="624"/>
        <v/>
      </c>
      <c r="M1019" s="216" t="str">
        <f t="shared" ca="1" si="630"/>
        <v/>
      </c>
      <c r="N1019" s="216"/>
      <c r="O1019" s="216"/>
      <c r="P1019" s="216"/>
      <c r="Q1019" s="456">
        <f t="shared" ca="1" si="631"/>
        <v>1</v>
      </c>
      <c r="R1019" s="450">
        <f t="shared" ca="1" si="632"/>
        <v>12</v>
      </c>
      <c r="S1019" s="191">
        <f t="shared" si="633"/>
        <v>85</v>
      </c>
      <c r="T1019" s="191">
        <f t="shared" si="634"/>
        <v>3</v>
      </c>
      <c r="U1019" s="191">
        <f ca="1">OP!$D$5+$S1019-1</f>
        <v>117</v>
      </c>
      <c r="V1019" s="191" t="str">
        <f t="shared" si="635"/>
        <v/>
      </c>
      <c r="W1019" s="350">
        <f ca="1">IF(Q1019&lt;&gt;1,0,VLOOKUP(OP!$C$55,PVFB,$S1019+2,0))</f>
        <v>0</v>
      </c>
      <c r="X1019" s="473" t="str">
        <f t="shared" ca="1" si="648"/>
        <v/>
      </c>
      <c r="Y1019" s="348">
        <f t="shared" ca="1" si="649"/>
        <v>0</v>
      </c>
      <c r="Z1019" s="348">
        <f t="shared" ca="1" si="650"/>
        <v>8012</v>
      </c>
      <c r="AA1019" s="348">
        <f ca="1">IF(Q1019&lt;&gt;1,0,VLOOKUP(OP!$C$55,PVFB,$S1019+2,0))</f>
        <v>0</v>
      </c>
      <c r="AB1019" s="488" t="str">
        <f ca="1">IF(AND(S1019&lt;OP!$C$24,$U1019&lt;15),0,IF(AND($U1019&lt;15,$T1019=12),ROUND(VLOOKUP($S1019,DOWN16,5,0),3),IF($T1019=12,ROUND(($Z1019/10000)*$AA1019,3)+IF(AND($P$7="購買增額繳清保險",T1019=12,U1019=110),VLOOKUP(S1019,$B$10:$H$121,7,0),0),"")))</f>
        <v/>
      </c>
      <c r="AC1019" s="350" t="str">
        <f ca="1">IF(AND(S1019&lt;OP!$C$24,$U1019&lt;15),0,IF(AND($U1019&lt;16,$T1019=12),VLOOKUP($S1019,DOWN16,4,0),IF($T1019=12,ROUND(VLOOKUP(OP!$C$55,_DIE2,$S1019+1,0)*(Z1019/10000),0)+IF(AND($P$7="購買增額繳清保險",T1019=12,U1019=110),VLOOKUP(S1019,$B$10:$H$121,7,0),0),"")))</f>
        <v/>
      </c>
      <c r="AD1019" s="347"/>
      <c r="AE1019" s="350" t="str">
        <f t="shared" ca="1" si="625"/>
        <v/>
      </c>
      <c r="AF1019" s="351" t="str">
        <f t="shared" ca="1" si="626"/>
        <v/>
      </c>
      <c r="AG1019" s="340"/>
      <c r="AH1019" s="340"/>
      <c r="AI1019" s="340"/>
      <c r="AJ1019" s="340"/>
      <c r="AK1019" s="340"/>
      <c r="AL1019" s="340"/>
      <c r="AM1019" s="340"/>
      <c r="AN1019" s="340"/>
      <c r="AO1019" s="340"/>
      <c r="AP1019" s="340"/>
      <c r="AQ1019" s="340"/>
      <c r="AR1019" s="340"/>
      <c r="AS1019" s="340"/>
      <c r="AT1019" s="340"/>
      <c r="AU1019" s="340"/>
      <c r="AV1019" s="340"/>
      <c r="AY1019" s="340"/>
      <c r="AZ1019" s="465">
        <f t="shared" ca="1" si="636"/>
        <v>7.3698599999999999E-5</v>
      </c>
      <c r="BA1019" s="464">
        <f t="shared" ca="1" si="637"/>
        <v>0</v>
      </c>
      <c r="BB1019" s="465">
        <f t="shared" ca="1" si="637"/>
        <v>7.3698599999999999E-5</v>
      </c>
      <c r="BC1019" s="466">
        <f t="shared" ca="1" si="638"/>
        <v>73628</v>
      </c>
      <c r="BD1019" s="467">
        <f t="shared" ca="1" si="651"/>
        <v>73629</v>
      </c>
      <c r="BE1019" s="467">
        <f t="shared" ca="1" si="639"/>
        <v>73658</v>
      </c>
      <c r="BF1019" s="468">
        <f ca="1">IF(計算!$BC1019&lt;OP!$C$3,0,BD1019-BC1019)</f>
        <v>1</v>
      </c>
      <c r="BG1019" s="468">
        <f ca="1">IF($BE1019&gt;DATE(YEAR($BD$9)+OP!$C$57,MONTH($BD$9),DAY($BD$9)),0,$BE1019-$BD1019+1)</f>
        <v>0</v>
      </c>
      <c r="BH1019" s="469">
        <f t="shared" ca="1" si="640"/>
        <v>1</v>
      </c>
      <c r="BI1019" t="str">
        <f t="shared" si="656"/>
        <v/>
      </c>
      <c r="BJ1019">
        <v>2</v>
      </c>
      <c r="BN1019" s="468">
        <f t="shared" si="652"/>
        <v>85</v>
      </c>
      <c r="BO1019" s="468">
        <f t="shared" si="653"/>
        <v>2</v>
      </c>
      <c r="BP1019" s="467">
        <f t="shared" ca="1" si="641"/>
        <v>73629</v>
      </c>
      <c r="BQ1019" s="475">
        <f t="shared" ca="1" si="655"/>
        <v>117</v>
      </c>
      <c r="BR1019" s="475" t="str">
        <f t="shared" si="654"/>
        <v/>
      </c>
      <c r="BS1019" s="471" t="str">
        <f t="shared" si="642"/>
        <v/>
      </c>
      <c r="BT1019" s="472" t="str">
        <f t="shared" si="657"/>
        <v/>
      </c>
      <c r="BU1019" s="472">
        <f t="shared" ca="1" si="643"/>
        <v>0</v>
      </c>
      <c r="BV1019" s="472">
        <f t="shared" ca="1" si="643"/>
        <v>0</v>
      </c>
      <c r="BW1019" s="472"/>
      <c r="BX1019" s="473">
        <f t="shared" ca="1" si="644"/>
        <v>2770616.0889857998</v>
      </c>
      <c r="BY1019" s="473">
        <f t="shared" si="645"/>
        <v>0</v>
      </c>
      <c r="BZ1019" s="473">
        <f t="shared" ca="1" si="627"/>
        <v>204.19052689599999</v>
      </c>
      <c r="CA1019" s="476">
        <f t="shared" ca="1" si="646"/>
        <v>0</v>
      </c>
      <c r="CB1019" s="494">
        <f ca="1">IF(OR($Q1018&lt;&gt;1,OP!$D$5+$BN1019-1&lt;16,$BN1019-1&lt;1),0,ROUND(ROUND(ROUND(((VLOOKUP($BN1019-1,MORE_PV,5,0)/10000)*VLOOKUP($BN1019,MORE_PV,$CB$5,0)),3)*VLOOKUP($BN1019,more1,5,0),0)/$R1018,0))</f>
        <v>0</v>
      </c>
      <c r="CC1019" s="473">
        <f t="shared" ca="1" si="647"/>
        <v>0</v>
      </c>
      <c r="CD1019" s="477"/>
    </row>
    <row r="1020" spans="2:82" ht="16.5" hidden="1">
      <c r="B1020" s="80"/>
      <c r="C1020" s="80"/>
      <c r="D1020" s="80"/>
      <c r="E1020" s="80"/>
      <c r="F1020" s="80"/>
      <c r="G1020" s="80"/>
      <c r="H1020" s="80"/>
      <c r="I1020" s="80"/>
      <c r="J1020" s="192">
        <f t="shared" si="628"/>
        <v>85</v>
      </c>
      <c r="K1020" s="192">
        <f t="shared" si="629"/>
        <v>4</v>
      </c>
      <c r="L1020" s="192" t="str">
        <f t="shared" si="624"/>
        <v/>
      </c>
      <c r="M1020" s="216" t="str">
        <f t="shared" ca="1" si="630"/>
        <v/>
      </c>
      <c r="N1020" s="216"/>
      <c r="O1020" s="216"/>
      <c r="P1020" s="216"/>
      <c r="Q1020" s="456">
        <f t="shared" ca="1" si="631"/>
        <v>1</v>
      </c>
      <c r="R1020" s="450">
        <f t="shared" ca="1" si="632"/>
        <v>12</v>
      </c>
      <c r="S1020" s="191">
        <f t="shared" si="633"/>
        <v>85</v>
      </c>
      <c r="T1020" s="191">
        <f t="shared" si="634"/>
        <v>4</v>
      </c>
      <c r="U1020" s="191">
        <f ca="1">OP!$D$5+$S1020-1</f>
        <v>117</v>
      </c>
      <c r="V1020" s="191" t="str">
        <f t="shared" si="635"/>
        <v/>
      </c>
      <c r="W1020" s="350">
        <f ca="1">IF(Q1020&lt;&gt;1,0,VLOOKUP(OP!$C$55,PVFB,$S1020+2,0))</f>
        <v>0</v>
      </c>
      <c r="X1020" s="473" t="str">
        <f t="shared" ca="1" si="648"/>
        <v/>
      </c>
      <c r="Y1020" s="348">
        <f t="shared" ca="1" si="649"/>
        <v>0</v>
      </c>
      <c r="Z1020" s="348">
        <f t="shared" ca="1" si="650"/>
        <v>8012</v>
      </c>
      <c r="AA1020" s="348">
        <f ca="1">IF(Q1020&lt;&gt;1,0,VLOOKUP(OP!$C$55,PVFB,$S1020+2,0))</f>
        <v>0</v>
      </c>
      <c r="AB1020" s="488" t="str">
        <f ca="1">IF(AND(S1020&lt;OP!$C$24,$U1020&lt;15),0,IF(AND($U1020&lt;15,$T1020=12),ROUND(VLOOKUP($S1020,DOWN16,5,0),3),IF($T1020=12,ROUND(($Z1020/10000)*$AA1020,3)+IF(AND($P$7="購買增額繳清保險",T1020=12,U1020=110),VLOOKUP(S1020,$B$10:$H$121,7,0),0),"")))</f>
        <v/>
      </c>
      <c r="AC1020" s="350" t="str">
        <f ca="1">IF(AND(S1020&lt;OP!$C$24,$U1020&lt;15),0,IF(AND($U1020&lt;16,$T1020=12),VLOOKUP($S1020,DOWN16,4,0),IF($T1020=12,ROUND(VLOOKUP(OP!$C$55,_DIE2,$S1020+1,0)*(Z1020/10000),0)+IF(AND($P$7="購買增額繳清保險",T1020=12,U1020=110),VLOOKUP(S1020,$B$10:$H$121,7,0),0),"")))</f>
        <v/>
      </c>
      <c r="AD1020" s="347"/>
      <c r="AE1020" s="350" t="str">
        <f t="shared" ca="1" si="625"/>
        <v/>
      </c>
      <c r="AF1020" s="351" t="str">
        <f t="shared" ca="1" si="626"/>
        <v/>
      </c>
      <c r="AG1020" s="340"/>
      <c r="AH1020" s="340"/>
      <c r="AI1020" s="340"/>
      <c r="AJ1020" s="340"/>
      <c r="AK1020" s="340"/>
      <c r="AL1020" s="340"/>
      <c r="AM1020" s="340"/>
      <c r="AN1020" s="340"/>
      <c r="AO1020" s="340"/>
      <c r="AP1020" s="340"/>
      <c r="AQ1020" s="340"/>
      <c r="AR1020" s="340"/>
      <c r="AS1020" s="340"/>
      <c r="AT1020" s="340"/>
      <c r="AU1020" s="340"/>
      <c r="AV1020" s="340"/>
      <c r="AY1020" s="340"/>
      <c r="AZ1020" s="465">
        <f t="shared" ca="1" si="636"/>
        <v>7.3698599999999999E-5</v>
      </c>
      <c r="BA1020" s="464">
        <f t="shared" ca="1" si="637"/>
        <v>0</v>
      </c>
      <c r="BB1020" s="465">
        <f t="shared" ca="1" si="637"/>
        <v>7.3698599999999999E-5</v>
      </c>
      <c r="BC1020" s="466">
        <f t="shared" ca="1" si="638"/>
        <v>73659</v>
      </c>
      <c r="BD1020" s="467">
        <f t="shared" ca="1" si="651"/>
        <v>73660</v>
      </c>
      <c r="BE1020" s="467">
        <f t="shared" ca="1" si="639"/>
        <v>73688</v>
      </c>
      <c r="BF1020" s="468">
        <f ca="1">IF(計算!$BC1020&lt;OP!$C$3,0,BD1020-BC1020)</f>
        <v>1</v>
      </c>
      <c r="BG1020" s="468">
        <f ca="1">IF($BE1020&gt;DATE(YEAR($BD$9)+OP!$C$57,MONTH($BD$9),DAY($BD$9)),0,$BE1020-$BD1020+1)</f>
        <v>0</v>
      </c>
      <c r="BH1020" s="469">
        <f t="shared" ca="1" si="640"/>
        <v>1</v>
      </c>
      <c r="BI1020" t="str">
        <f t="shared" si="656"/>
        <v/>
      </c>
      <c r="BJ1020">
        <v>3</v>
      </c>
      <c r="BN1020" s="468">
        <f t="shared" si="652"/>
        <v>85</v>
      </c>
      <c r="BO1020" s="468">
        <f t="shared" si="653"/>
        <v>3</v>
      </c>
      <c r="BP1020" s="467">
        <f t="shared" ca="1" si="641"/>
        <v>73660</v>
      </c>
      <c r="BQ1020" s="475">
        <f t="shared" ca="1" si="655"/>
        <v>117</v>
      </c>
      <c r="BR1020" s="475" t="str">
        <f t="shared" si="654"/>
        <v/>
      </c>
      <c r="BS1020" s="471" t="str">
        <f t="shared" si="642"/>
        <v/>
      </c>
      <c r="BT1020" s="472" t="str">
        <f t="shared" si="657"/>
        <v/>
      </c>
      <c r="BU1020" s="472">
        <f t="shared" ca="1" si="643"/>
        <v>0</v>
      </c>
      <c r="BV1020" s="472">
        <f t="shared" ca="1" si="643"/>
        <v>0</v>
      </c>
      <c r="BW1020" s="472"/>
      <c r="BX1020" s="473">
        <f t="shared" ca="1" si="644"/>
        <v>2770820.2795127002</v>
      </c>
      <c r="BY1020" s="473">
        <f t="shared" si="645"/>
        <v>0</v>
      </c>
      <c r="BZ1020" s="473">
        <f t="shared" ca="1" si="627"/>
        <v>204.20557545200001</v>
      </c>
      <c r="CA1020" s="476">
        <f t="shared" ca="1" si="646"/>
        <v>0</v>
      </c>
      <c r="CB1020" s="494">
        <f ca="1">IF(OR($Q1019&lt;&gt;1,OP!$D$5+$BN1020-1&lt;16,$BN1020-1&lt;1),0,ROUND(ROUND(ROUND(((VLOOKUP($BN1020-1,MORE_PV,5,0)/10000)*VLOOKUP($BN1020,MORE_PV,$CB$5,0)),3)*VLOOKUP($BN1020,more1,5,0),0)/$R1019,0))</f>
        <v>0</v>
      </c>
      <c r="CC1020" s="473">
        <f t="shared" ca="1" si="647"/>
        <v>0</v>
      </c>
      <c r="CD1020" s="477"/>
    </row>
    <row r="1021" spans="2:82" ht="16.5" hidden="1">
      <c r="B1021" s="80"/>
      <c r="C1021" s="80"/>
      <c r="D1021" s="80"/>
      <c r="E1021" s="80"/>
      <c r="F1021" s="80"/>
      <c r="G1021" s="80"/>
      <c r="H1021" s="80"/>
      <c r="I1021" s="80"/>
      <c r="J1021" s="192">
        <f t="shared" si="628"/>
        <v>85</v>
      </c>
      <c r="K1021" s="192">
        <f t="shared" si="629"/>
        <v>5</v>
      </c>
      <c r="L1021" s="192" t="str">
        <f t="shared" si="624"/>
        <v/>
      </c>
      <c r="M1021" s="216" t="str">
        <f t="shared" ca="1" si="630"/>
        <v/>
      </c>
      <c r="N1021" s="216"/>
      <c r="O1021" s="216"/>
      <c r="P1021" s="216"/>
      <c r="Q1021" s="456">
        <f t="shared" ca="1" si="631"/>
        <v>1</v>
      </c>
      <c r="R1021" s="450">
        <f t="shared" ca="1" si="632"/>
        <v>12</v>
      </c>
      <c r="S1021" s="191">
        <f t="shared" si="633"/>
        <v>85</v>
      </c>
      <c r="T1021" s="191">
        <f t="shared" si="634"/>
        <v>5</v>
      </c>
      <c r="U1021" s="191">
        <f ca="1">OP!$D$5+$S1021-1</f>
        <v>117</v>
      </c>
      <c r="V1021" s="191" t="str">
        <f t="shared" si="635"/>
        <v/>
      </c>
      <c r="W1021" s="350">
        <f ca="1">IF(Q1021&lt;&gt;1,0,VLOOKUP(OP!$C$55,PVFB,$S1021+2,0))</f>
        <v>0</v>
      </c>
      <c r="X1021" s="473" t="str">
        <f t="shared" ca="1" si="648"/>
        <v/>
      </c>
      <c r="Y1021" s="348">
        <f t="shared" ca="1" si="649"/>
        <v>0</v>
      </c>
      <c r="Z1021" s="348">
        <f t="shared" ca="1" si="650"/>
        <v>8012</v>
      </c>
      <c r="AA1021" s="348">
        <f ca="1">IF(Q1021&lt;&gt;1,0,VLOOKUP(OP!$C$55,PVFB,$S1021+2,0))</f>
        <v>0</v>
      </c>
      <c r="AB1021" s="488" t="str">
        <f ca="1">IF(AND(S1021&lt;OP!$C$24,$U1021&lt;15),0,IF(AND($U1021&lt;15,$T1021=12),ROUND(VLOOKUP($S1021,DOWN16,5,0),3),IF($T1021=12,ROUND(($Z1021/10000)*$AA1021,3)+IF(AND($P$7="購買增額繳清保險",T1021=12,U1021=110),VLOOKUP(S1021,$B$10:$H$121,7,0),0),"")))</f>
        <v/>
      </c>
      <c r="AC1021" s="350" t="str">
        <f ca="1">IF(AND(S1021&lt;OP!$C$24,$U1021&lt;15),0,IF(AND($U1021&lt;16,$T1021=12),VLOOKUP($S1021,DOWN16,4,0),IF($T1021=12,ROUND(VLOOKUP(OP!$C$55,_DIE2,$S1021+1,0)*(Z1021/10000),0)+IF(AND($P$7="購買增額繳清保險",T1021=12,U1021=110),VLOOKUP(S1021,$B$10:$H$121,7,0),0),"")))</f>
        <v/>
      </c>
      <c r="AD1021" s="347"/>
      <c r="AE1021" s="350" t="str">
        <f t="shared" ca="1" si="625"/>
        <v/>
      </c>
      <c r="AF1021" s="351" t="str">
        <f t="shared" ca="1" si="626"/>
        <v/>
      </c>
      <c r="AG1021" s="340"/>
      <c r="AH1021" s="340"/>
      <c r="AI1021" s="340"/>
      <c r="AJ1021" s="340"/>
      <c r="AK1021" s="340"/>
      <c r="AL1021" s="340"/>
      <c r="AM1021" s="340"/>
      <c r="AN1021" s="340"/>
      <c r="AO1021" s="340"/>
      <c r="AP1021" s="340"/>
      <c r="AQ1021" s="340"/>
      <c r="AR1021" s="340"/>
      <c r="AS1021" s="340"/>
      <c r="AT1021" s="340"/>
      <c r="AU1021" s="340"/>
      <c r="AV1021" s="340"/>
      <c r="AY1021" s="340"/>
      <c r="AZ1021" s="465">
        <f t="shared" ca="1" si="636"/>
        <v>7.3698599999999999E-5</v>
      </c>
      <c r="BA1021" s="464">
        <f t="shared" ca="1" si="637"/>
        <v>0</v>
      </c>
      <c r="BB1021" s="465">
        <f t="shared" ca="1" si="637"/>
        <v>7.3698599999999999E-5</v>
      </c>
      <c r="BC1021" s="466">
        <f t="shared" ca="1" si="638"/>
        <v>73689</v>
      </c>
      <c r="BD1021" s="467">
        <f t="shared" ca="1" si="651"/>
        <v>73690</v>
      </c>
      <c r="BE1021" s="467">
        <f t="shared" ca="1" si="639"/>
        <v>73719</v>
      </c>
      <c r="BF1021" s="468">
        <f ca="1">IF(計算!$BC1021&lt;OP!$C$3,0,BD1021-BC1021)</f>
        <v>1</v>
      </c>
      <c r="BG1021" s="468">
        <f ca="1">IF($BE1021&gt;DATE(YEAR($BD$9)+OP!$C$57,MONTH($BD$9),DAY($BD$9)),0,$BE1021-$BD1021+1)</f>
        <v>0</v>
      </c>
      <c r="BH1021" s="469">
        <f t="shared" ca="1" si="640"/>
        <v>1</v>
      </c>
      <c r="BI1021" t="str">
        <f t="shared" si="656"/>
        <v/>
      </c>
      <c r="BJ1021">
        <v>4</v>
      </c>
      <c r="BN1021" s="468">
        <f t="shared" si="652"/>
        <v>85</v>
      </c>
      <c r="BO1021" s="468">
        <f t="shared" si="653"/>
        <v>4</v>
      </c>
      <c r="BP1021" s="467">
        <f t="shared" ca="1" si="641"/>
        <v>73690</v>
      </c>
      <c r="BQ1021" s="475">
        <f t="shared" ca="1" si="655"/>
        <v>117</v>
      </c>
      <c r="BR1021" s="475" t="str">
        <f t="shared" si="654"/>
        <v/>
      </c>
      <c r="BS1021" s="471" t="str">
        <f t="shared" si="642"/>
        <v/>
      </c>
      <c r="BT1021" s="472" t="str">
        <f t="shared" si="657"/>
        <v/>
      </c>
      <c r="BU1021" s="472">
        <f t="shared" ca="1" si="643"/>
        <v>0</v>
      </c>
      <c r="BV1021" s="472">
        <f t="shared" ca="1" si="643"/>
        <v>0</v>
      </c>
      <c r="BW1021" s="472"/>
      <c r="BX1021" s="473">
        <f t="shared" ca="1" si="644"/>
        <v>2771024.48508815</v>
      </c>
      <c r="BY1021" s="473">
        <f t="shared" si="645"/>
        <v>0</v>
      </c>
      <c r="BZ1021" s="473">
        <f t="shared" ca="1" si="627"/>
        <v>204.220625117</v>
      </c>
      <c r="CA1021" s="476">
        <f t="shared" ca="1" si="646"/>
        <v>0</v>
      </c>
      <c r="CB1021" s="494">
        <f ca="1">IF(OR($Q1020&lt;&gt;1,OP!$D$5+$BN1021-1&lt;16,$BN1021-1&lt;1),0,ROUND(ROUND(ROUND(((VLOOKUP($BN1021-1,MORE_PV,5,0)/10000)*VLOOKUP($BN1021,MORE_PV,$CB$5,0)),3)*VLOOKUP($BN1021,more1,5,0),0)/$R1020,0))</f>
        <v>0</v>
      </c>
      <c r="CC1021" s="473">
        <f t="shared" ca="1" si="647"/>
        <v>0</v>
      </c>
      <c r="CD1021" s="477"/>
    </row>
    <row r="1022" spans="2:82" ht="16.5" hidden="1">
      <c r="B1022" s="80"/>
      <c r="C1022" s="80"/>
      <c r="D1022" s="80"/>
      <c r="E1022" s="80"/>
      <c r="F1022" s="80"/>
      <c r="G1022" s="80"/>
      <c r="H1022" s="80"/>
      <c r="I1022" s="80"/>
      <c r="J1022" s="192">
        <f t="shared" si="628"/>
        <v>85</v>
      </c>
      <c r="K1022" s="192">
        <f t="shared" si="629"/>
        <v>6</v>
      </c>
      <c r="L1022" s="192" t="str">
        <f t="shared" si="624"/>
        <v/>
      </c>
      <c r="M1022" s="216" t="str">
        <f t="shared" ca="1" si="630"/>
        <v/>
      </c>
      <c r="N1022" s="216"/>
      <c r="O1022" s="216"/>
      <c r="P1022" s="216"/>
      <c r="Q1022" s="456">
        <f t="shared" ca="1" si="631"/>
        <v>1</v>
      </c>
      <c r="R1022" s="450">
        <f t="shared" ca="1" si="632"/>
        <v>12</v>
      </c>
      <c r="S1022" s="191">
        <f t="shared" si="633"/>
        <v>85</v>
      </c>
      <c r="T1022" s="191">
        <f t="shared" si="634"/>
        <v>6</v>
      </c>
      <c r="U1022" s="191">
        <f ca="1">OP!$D$5+$S1022-1</f>
        <v>117</v>
      </c>
      <c r="V1022" s="191" t="str">
        <f t="shared" si="635"/>
        <v/>
      </c>
      <c r="W1022" s="350">
        <f ca="1">IF(Q1022&lt;&gt;1,0,VLOOKUP(OP!$C$55,PVFB,$S1022+2,0))</f>
        <v>0</v>
      </c>
      <c r="X1022" s="473" t="str">
        <f t="shared" ca="1" si="648"/>
        <v/>
      </c>
      <c r="Y1022" s="348">
        <f t="shared" ca="1" si="649"/>
        <v>0</v>
      </c>
      <c r="Z1022" s="348">
        <f t="shared" ca="1" si="650"/>
        <v>8012</v>
      </c>
      <c r="AA1022" s="348">
        <f ca="1">IF(Q1022&lt;&gt;1,0,VLOOKUP(OP!$C$55,PVFB,$S1022+2,0))</f>
        <v>0</v>
      </c>
      <c r="AB1022" s="488" t="str">
        <f ca="1">IF(AND(S1022&lt;OP!$C$24,$U1022&lt;15),0,IF(AND($U1022&lt;15,$T1022=12),ROUND(VLOOKUP($S1022,DOWN16,5,0),3),IF($T1022=12,ROUND(($Z1022/10000)*$AA1022,3)+IF(AND($P$7="購買增額繳清保險",T1022=12,U1022=110),VLOOKUP(S1022,$B$10:$H$121,7,0),0),"")))</f>
        <v/>
      </c>
      <c r="AC1022" s="350" t="str">
        <f ca="1">IF(AND(S1022&lt;OP!$C$24,$U1022&lt;15),0,IF(AND($U1022&lt;16,$T1022=12),VLOOKUP($S1022,DOWN16,4,0),IF($T1022=12,ROUND(VLOOKUP(OP!$C$55,_DIE2,$S1022+1,0)*(Z1022/10000),0)+IF(AND($P$7="購買增額繳清保險",T1022=12,U1022=110),VLOOKUP(S1022,$B$10:$H$121,7,0),0),"")))</f>
        <v/>
      </c>
      <c r="AD1022" s="347"/>
      <c r="AE1022" s="350" t="str">
        <f t="shared" ca="1" si="625"/>
        <v/>
      </c>
      <c r="AF1022" s="351" t="str">
        <f t="shared" ca="1" si="626"/>
        <v/>
      </c>
      <c r="AG1022" s="340"/>
      <c r="AH1022" s="340"/>
      <c r="AI1022" s="340"/>
      <c r="AJ1022" s="340"/>
      <c r="AK1022" s="340"/>
      <c r="AL1022" s="340"/>
      <c r="AM1022" s="340"/>
      <c r="AN1022" s="340"/>
      <c r="AO1022" s="340"/>
      <c r="AP1022" s="340"/>
      <c r="AQ1022" s="340"/>
      <c r="AR1022" s="340"/>
      <c r="AS1022" s="340"/>
      <c r="AT1022" s="340"/>
      <c r="AU1022" s="340"/>
      <c r="AV1022" s="340"/>
      <c r="AY1022" s="340"/>
      <c r="AZ1022" s="465">
        <f t="shared" ca="1" si="636"/>
        <v>7.3698599999999999E-5</v>
      </c>
      <c r="BA1022" s="464">
        <f t="shared" ca="1" si="637"/>
        <v>0</v>
      </c>
      <c r="BB1022" s="465">
        <f t="shared" ca="1" si="637"/>
        <v>7.3698599999999999E-5</v>
      </c>
      <c r="BC1022" s="466">
        <f t="shared" ca="1" si="638"/>
        <v>73720</v>
      </c>
      <c r="BD1022" s="467">
        <f t="shared" ca="1" si="651"/>
        <v>73721</v>
      </c>
      <c r="BE1022" s="467">
        <f t="shared" ca="1" si="639"/>
        <v>73749</v>
      </c>
      <c r="BF1022" s="468">
        <f ca="1">IF(計算!$BC1022&lt;OP!$C$3,0,BD1022-BC1022)</f>
        <v>1</v>
      </c>
      <c r="BG1022" s="468">
        <f ca="1">IF($BE1022&gt;DATE(YEAR($BD$9)+OP!$C$57,MONTH($BD$9),DAY($BD$9)),0,$BE1022-$BD1022+1)</f>
        <v>0</v>
      </c>
      <c r="BH1022" s="469">
        <f t="shared" ca="1" si="640"/>
        <v>1</v>
      </c>
      <c r="BI1022" t="str">
        <f t="shared" si="656"/>
        <v/>
      </c>
      <c r="BJ1022">
        <v>5</v>
      </c>
      <c r="BN1022" s="468">
        <f t="shared" si="652"/>
        <v>85</v>
      </c>
      <c r="BO1022" s="468">
        <f t="shared" si="653"/>
        <v>5</v>
      </c>
      <c r="BP1022" s="467">
        <f t="shared" ca="1" si="641"/>
        <v>73721</v>
      </c>
      <c r="BQ1022" s="475">
        <f t="shared" ca="1" si="655"/>
        <v>117</v>
      </c>
      <c r="BR1022" s="475" t="str">
        <f t="shared" si="654"/>
        <v/>
      </c>
      <c r="BS1022" s="471" t="str">
        <f t="shared" si="642"/>
        <v/>
      </c>
      <c r="BT1022" s="472" t="str">
        <f t="shared" si="657"/>
        <v/>
      </c>
      <c r="BU1022" s="472">
        <f t="shared" ca="1" si="643"/>
        <v>0</v>
      </c>
      <c r="BV1022" s="472">
        <f t="shared" ca="1" si="643"/>
        <v>0</v>
      </c>
      <c r="BW1022" s="472"/>
      <c r="BX1022" s="473">
        <f t="shared" ca="1" si="644"/>
        <v>2771228.7057132702</v>
      </c>
      <c r="BY1022" s="473">
        <f t="shared" si="645"/>
        <v>0</v>
      </c>
      <c r="BZ1022" s="473">
        <f t="shared" ca="1" si="627"/>
        <v>204.235675891</v>
      </c>
      <c r="CA1022" s="476">
        <f t="shared" ca="1" si="646"/>
        <v>0</v>
      </c>
      <c r="CB1022" s="494">
        <f ca="1">IF(OR($Q1021&lt;&gt;1,OP!$D$5+$BN1022-1&lt;16,$BN1022-1&lt;1),0,ROUND(ROUND(ROUND(((VLOOKUP($BN1022-1,MORE_PV,5,0)/10000)*VLOOKUP($BN1022,MORE_PV,$CB$5,0)),3)*VLOOKUP($BN1022,more1,5,0),0)/$R1021,0))</f>
        <v>0</v>
      </c>
      <c r="CC1022" s="473">
        <f t="shared" ca="1" si="647"/>
        <v>0</v>
      </c>
      <c r="CD1022" s="477"/>
    </row>
    <row r="1023" spans="2:82" ht="16.5" hidden="1">
      <c r="B1023" s="80"/>
      <c r="C1023" s="80"/>
      <c r="D1023" s="80"/>
      <c r="E1023" s="80"/>
      <c r="F1023" s="80"/>
      <c r="G1023" s="80"/>
      <c r="H1023" s="80"/>
      <c r="I1023" s="80"/>
      <c r="J1023" s="192">
        <f t="shared" si="628"/>
        <v>85</v>
      </c>
      <c r="K1023" s="192">
        <f t="shared" si="629"/>
        <v>7</v>
      </c>
      <c r="L1023" s="192" t="str">
        <f t="shared" si="624"/>
        <v/>
      </c>
      <c r="M1023" s="216" t="str">
        <f t="shared" ca="1" si="630"/>
        <v/>
      </c>
      <c r="N1023" s="216"/>
      <c r="O1023" s="216"/>
      <c r="P1023" s="216"/>
      <c r="Q1023" s="456">
        <f t="shared" ca="1" si="631"/>
        <v>1</v>
      </c>
      <c r="R1023" s="450">
        <f t="shared" ca="1" si="632"/>
        <v>12</v>
      </c>
      <c r="S1023" s="191">
        <f t="shared" si="633"/>
        <v>85</v>
      </c>
      <c r="T1023" s="191">
        <f t="shared" si="634"/>
        <v>7</v>
      </c>
      <c r="U1023" s="191">
        <f ca="1">OP!$D$5+$S1023-1</f>
        <v>117</v>
      </c>
      <c r="V1023" s="191" t="str">
        <f t="shared" si="635"/>
        <v/>
      </c>
      <c r="W1023" s="350">
        <f ca="1">IF(Q1023&lt;&gt;1,0,VLOOKUP(OP!$C$55,PVFB,$S1023+2,0))</f>
        <v>0</v>
      </c>
      <c r="X1023" s="473" t="str">
        <f t="shared" ca="1" si="648"/>
        <v/>
      </c>
      <c r="Y1023" s="348">
        <f t="shared" ca="1" si="649"/>
        <v>0</v>
      </c>
      <c r="Z1023" s="348">
        <f t="shared" ca="1" si="650"/>
        <v>8012</v>
      </c>
      <c r="AA1023" s="348">
        <f ca="1">IF(Q1023&lt;&gt;1,0,VLOOKUP(OP!$C$55,PVFB,$S1023+2,0))</f>
        <v>0</v>
      </c>
      <c r="AB1023" s="488" t="str">
        <f ca="1">IF(AND(S1023&lt;OP!$C$24,$U1023&lt;15),0,IF(AND($U1023&lt;15,$T1023=12),ROUND(VLOOKUP($S1023,DOWN16,5,0),3),IF($T1023=12,ROUND(($Z1023/10000)*$AA1023,3)+IF(AND($P$7="購買增額繳清保險",T1023=12,U1023=110),VLOOKUP(S1023,$B$10:$H$121,7,0),0),"")))</f>
        <v/>
      </c>
      <c r="AC1023" s="350" t="str">
        <f ca="1">IF(AND(S1023&lt;OP!$C$24,$U1023&lt;15),0,IF(AND($U1023&lt;16,$T1023=12),VLOOKUP($S1023,DOWN16,4,0),IF($T1023=12,ROUND(VLOOKUP(OP!$C$55,_DIE2,$S1023+1,0)*(Z1023/10000),0)+IF(AND($P$7="購買增額繳清保險",T1023=12,U1023=110),VLOOKUP(S1023,$B$10:$H$121,7,0),0),"")))</f>
        <v/>
      </c>
      <c r="AD1023" s="347"/>
      <c r="AE1023" s="350" t="str">
        <f t="shared" ca="1" si="625"/>
        <v/>
      </c>
      <c r="AF1023" s="351" t="str">
        <f t="shared" ca="1" si="626"/>
        <v/>
      </c>
      <c r="AG1023" s="340"/>
      <c r="AH1023" s="340"/>
      <c r="AI1023" s="340"/>
      <c r="AJ1023" s="340"/>
      <c r="AK1023" s="340"/>
      <c r="AL1023" s="340"/>
      <c r="AM1023" s="340"/>
      <c r="AN1023" s="340"/>
      <c r="AO1023" s="340"/>
      <c r="AP1023" s="340"/>
      <c r="AQ1023" s="340"/>
      <c r="AR1023" s="340"/>
      <c r="AS1023" s="340"/>
      <c r="AT1023" s="340"/>
      <c r="AU1023" s="340"/>
      <c r="AV1023" s="340"/>
      <c r="AY1023" s="340"/>
      <c r="AZ1023" s="465">
        <f t="shared" ca="1" si="636"/>
        <v>7.3698599999999999E-5</v>
      </c>
      <c r="BA1023" s="464">
        <f t="shared" ca="1" si="637"/>
        <v>0</v>
      </c>
      <c r="BB1023" s="465">
        <f t="shared" ca="1" si="637"/>
        <v>7.3698599999999999E-5</v>
      </c>
      <c r="BC1023" s="466">
        <f t="shared" ca="1" si="638"/>
        <v>73750</v>
      </c>
      <c r="BD1023" s="467">
        <f t="shared" ca="1" si="651"/>
        <v>73751</v>
      </c>
      <c r="BE1023" s="467">
        <f t="shared" ca="1" si="639"/>
        <v>73780</v>
      </c>
      <c r="BF1023" s="468">
        <f ca="1">IF(計算!$BC1023&lt;OP!$C$3,0,BD1023-BC1023)</f>
        <v>1</v>
      </c>
      <c r="BG1023" s="468">
        <f ca="1">IF($BE1023&gt;DATE(YEAR($BD$9)+OP!$C$57,MONTH($BD$9),DAY($BD$9)),0,$BE1023-$BD1023+1)</f>
        <v>0</v>
      </c>
      <c r="BH1023" s="469">
        <f t="shared" ca="1" si="640"/>
        <v>1</v>
      </c>
      <c r="BI1023" t="str">
        <f t="shared" si="656"/>
        <v/>
      </c>
      <c r="BJ1023">
        <v>6</v>
      </c>
      <c r="BN1023" s="468">
        <f t="shared" si="652"/>
        <v>85</v>
      </c>
      <c r="BO1023" s="468">
        <f t="shared" si="653"/>
        <v>6</v>
      </c>
      <c r="BP1023" s="467">
        <f t="shared" ca="1" si="641"/>
        <v>73751</v>
      </c>
      <c r="BQ1023" s="475">
        <f t="shared" ca="1" si="655"/>
        <v>117</v>
      </c>
      <c r="BR1023" s="475" t="str">
        <f t="shared" si="654"/>
        <v/>
      </c>
      <c r="BS1023" s="471" t="str">
        <f t="shared" si="642"/>
        <v/>
      </c>
      <c r="BT1023" s="472" t="str">
        <f t="shared" si="657"/>
        <v/>
      </c>
      <c r="BU1023" s="472">
        <f t="shared" ca="1" si="643"/>
        <v>0</v>
      </c>
      <c r="BV1023" s="472">
        <f t="shared" ca="1" si="643"/>
        <v>0</v>
      </c>
      <c r="BW1023" s="472"/>
      <c r="BX1023" s="473">
        <f t="shared" ca="1" si="644"/>
        <v>2771432.9413891602</v>
      </c>
      <c r="BY1023" s="473">
        <f t="shared" si="645"/>
        <v>0</v>
      </c>
      <c r="BZ1023" s="473">
        <f t="shared" ca="1" si="627"/>
        <v>204.25072777400001</v>
      </c>
      <c r="CA1023" s="476">
        <f t="shared" ca="1" si="646"/>
        <v>0</v>
      </c>
      <c r="CB1023" s="494">
        <f ca="1">IF(OR($Q1022&lt;&gt;1,OP!$D$5+$BN1023-1&lt;16,$BN1023-1&lt;1),0,ROUND(ROUND(ROUND(((VLOOKUP($BN1023-1,MORE_PV,5,0)/10000)*VLOOKUP($BN1023,MORE_PV,$CB$5,0)),3)*VLOOKUP($BN1023,more1,5,0),0)/$R1022,0))</f>
        <v>0</v>
      </c>
      <c r="CC1023" s="473">
        <f t="shared" ca="1" si="647"/>
        <v>0</v>
      </c>
      <c r="CD1023" s="477"/>
    </row>
    <row r="1024" spans="2:82" ht="16.5" hidden="1">
      <c r="B1024" s="80"/>
      <c r="C1024" s="80"/>
      <c r="D1024" s="80"/>
      <c r="E1024" s="80"/>
      <c r="F1024" s="80"/>
      <c r="G1024" s="80"/>
      <c r="H1024" s="80"/>
      <c r="I1024" s="80"/>
      <c r="J1024" s="192">
        <f t="shared" si="628"/>
        <v>85</v>
      </c>
      <c r="K1024" s="192">
        <f t="shared" si="629"/>
        <v>8</v>
      </c>
      <c r="L1024" s="192" t="str">
        <f t="shared" si="624"/>
        <v/>
      </c>
      <c r="M1024" s="216" t="str">
        <f t="shared" ca="1" si="630"/>
        <v/>
      </c>
      <c r="N1024" s="216"/>
      <c r="O1024" s="216"/>
      <c r="P1024" s="216"/>
      <c r="Q1024" s="456">
        <f t="shared" ca="1" si="631"/>
        <v>1</v>
      </c>
      <c r="R1024" s="450">
        <f t="shared" ca="1" si="632"/>
        <v>12</v>
      </c>
      <c r="S1024" s="191">
        <f t="shared" si="633"/>
        <v>85</v>
      </c>
      <c r="T1024" s="191">
        <f t="shared" si="634"/>
        <v>8</v>
      </c>
      <c r="U1024" s="191">
        <f ca="1">OP!$D$5+$S1024-1</f>
        <v>117</v>
      </c>
      <c r="V1024" s="191" t="str">
        <f t="shared" si="635"/>
        <v/>
      </c>
      <c r="W1024" s="350">
        <f ca="1">IF(Q1024&lt;&gt;1,0,VLOOKUP(OP!$C$55,PVFB,$S1024+2,0))</f>
        <v>0</v>
      </c>
      <c r="X1024" s="473" t="str">
        <f t="shared" ca="1" si="648"/>
        <v/>
      </c>
      <c r="Y1024" s="348">
        <f t="shared" ca="1" si="649"/>
        <v>0</v>
      </c>
      <c r="Z1024" s="348">
        <f t="shared" ca="1" si="650"/>
        <v>8012</v>
      </c>
      <c r="AA1024" s="348">
        <f ca="1">IF(Q1024&lt;&gt;1,0,VLOOKUP(OP!$C$55,PVFB,$S1024+2,0))</f>
        <v>0</v>
      </c>
      <c r="AB1024" s="488" t="str">
        <f ca="1">IF(AND(S1024&lt;OP!$C$24,$U1024&lt;15),0,IF(AND($U1024&lt;15,$T1024=12),ROUND(VLOOKUP($S1024,DOWN16,5,0),3),IF($T1024=12,ROUND(($Z1024/10000)*$AA1024,3)+IF(AND($P$7="購買增額繳清保險",T1024=12,U1024=110),VLOOKUP(S1024,$B$10:$H$121,7,0),0),"")))</f>
        <v/>
      </c>
      <c r="AC1024" s="350" t="str">
        <f ca="1">IF(AND(S1024&lt;OP!$C$24,$U1024&lt;15),0,IF(AND($U1024&lt;16,$T1024=12),VLOOKUP($S1024,DOWN16,4,0),IF($T1024=12,ROUND(VLOOKUP(OP!$C$55,_DIE2,$S1024+1,0)*(Z1024/10000),0)+IF(AND($P$7="購買增額繳清保險",T1024=12,U1024=110),VLOOKUP(S1024,$B$10:$H$121,7,0),0),"")))</f>
        <v/>
      </c>
      <c r="AD1024" s="347"/>
      <c r="AE1024" s="350" t="str">
        <f t="shared" ca="1" si="625"/>
        <v/>
      </c>
      <c r="AF1024" s="351" t="str">
        <f t="shared" ca="1" si="626"/>
        <v/>
      </c>
      <c r="AG1024" s="340"/>
      <c r="AH1024" s="340"/>
      <c r="AI1024" s="340"/>
      <c r="AJ1024" s="340"/>
      <c r="AK1024" s="340"/>
      <c r="AL1024" s="340"/>
      <c r="AM1024" s="340"/>
      <c r="AN1024" s="340"/>
      <c r="AO1024" s="340"/>
      <c r="AP1024" s="340"/>
      <c r="AQ1024" s="340"/>
      <c r="AR1024" s="340"/>
      <c r="AS1024" s="340"/>
      <c r="AT1024" s="340"/>
      <c r="AU1024" s="340"/>
      <c r="AV1024" s="340"/>
      <c r="AY1024" s="340"/>
      <c r="AZ1024" s="465">
        <f t="shared" ca="1" si="636"/>
        <v>7.3698599999999999E-5</v>
      </c>
      <c r="BA1024" s="464">
        <f t="shared" ca="1" si="637"/>
        <v>0</v>
      </c>
      <c r="BB1024" s="465">
        <f t="shared" ca="1" si="637"/>
        <v>7.3698599999999999E-5</v>
      </c>
      <c r="BC1024" s="466">
        <f t="shared" ca="1" si="638"/>
        <v>73781</v>
      </c>
      <c r="BD1024" s="467">
        <f t="shared" ca="1" si="651"/>
        <v>73782</v>
      </c>
      <c r="BE1024" s="467">
        <f t="shared" ca="1" si="639"/>
        <v>73811</v>
      </c>
      <c r="BF1024" s="468">
        <f ca="1">IF(計算!$BC1024&lt;OP!$C$3,0,BD1024-BC1024)</f>
        <v>1</v>
      </c>
      <c r="BG1024" s="468">
        <f ca="1">IF($BE1024&gt;DATE(YEAR($BD$9)+OP!$C$57,MONTH($BD$9),DAY($BD$9)),0,$BE1024-$BD1024+1)</f>
        <v>0</v>
      </c>
      <c r="BH1024" s="469">
        <f t="shared" ca="1" si="640"/>
        <v>1</v>
      </c>
      <c r="BI1024" t="str">
        <f t="shared" si="656"/>
        <v/>
      </c>
      <c r="BJ1024">
        <v>7</v>
      </c>
      <c r="BN1024" s="468">
        <f t="shared" si="652"/>
        <v>85</v>
      </c>
      <c r="BO1024" s="468">
        <f t="shared" si="653"/>
        <v>7</v>
      </c>
      <c r="BP1024" s="467">
        <f t="shared" ca="1" si="641"/>
        <v>73782</v>
      </c>
      <c r="BQ1024" s="475">
        <f t="shared" ca="1" si="655"/>
        <v>117</v>
      </c>
      <c r="BR1024" s="475" t="str">
        <f t="shared" si="654"/>
        <v/>
      </c>
      <c r="BS1024" s="471" t="str">
        <f t="shared" si="642"/>
        <v/>
      </c>
      <c r="BT1024" s="472" t="str">
        <f t="shared" si="657"/>
        <v/>
      </c>
      <c r="BU1024" s="472">
        <f t="shared" ca="1" si="643"/>
        <v>0</v>
      </c>
      <c r="BV1024" s="472">
        <f t="shared" ca="1" si="643"/>
        <v>0</v>
      </c>
      <c r="BW1024" s="472"/>
      <c r="BX1024" s="473">
        <f t="shared" ca="1" si="644"/>
        <v>2771637.1921169301</v>
      </c>
      <c r="BY1024" s="473">
        <f t="shared" si="645"/>
        <v>0</v>
      </c>
      <c r="BZ1024" s="473">
        <f t="shared" ca="1" si="627"/>
        <v>204.265780767</v>
      </c>
      <c r="CA1024" s="476">
        <f t="shared" ca="1" si="646"/>
        <v>0</v>
      </c>
      <c r="CB1024" s="494">
        <f ca="1">IF(OR($Q1023&lt;&gt;1,OP!$D$5+$BN1024-1&lt;16,$BN1024-1&lt;1),0,ROUND(ROUND(ROUND(((VLOOKUP($BN1024-1,MORE_PV,5,0)/10000)*VLOOKUP($BN1024,MORE_PV,$CB$5,0)),3)*VLOOKUP($BN1024,more1,5,0),0)/$R1023,0))</f>
        <v>0</v>
      </c>
      <c r="CC1024" s="473">
        <f t="shared" ca="1" si="647"/>
        <v>0</v>
      </c>
      <c r="CD1024" s="477"/>
    </row>
    <row r="1025" spans="2:82" ht="16.5" hidden="1">
      <c r="B1025" s="80"/>
      <c r="C1025" s="80"/>
      <c r="D1025" s="80"/>
      <c r="E1025" s="80"/>
      <c r="F1025" s="80"/>
      <c r="G1025" s="80"/>
      <c r="H1025" s="80"/>
      <c r="I1025" s="80"/>
      <c r="J1025" s="192">
        <f t="shared" si="628"/>
        <v>85</v>
      </c>
      <c r="K1025" s="192">
        <f t="shared" si="629"/>
        <v>9</v>
      </c>
      <c r="L1025" s="192" t="str">
        <f t="shared" si="624"/>
        <v/>
      </c>
      <c r="M1025" s="216" t="str">
        <f t="shared" ca="1" si="630"/>
        <v/>
      </c>
      <c r="N1025" s="216"/>
      <c r="O1025" s="216"/>
      <c r="P1025" s="216"/>
      <c r="Q1025" s="456">
        <f t="shared" ca="1" si="631"/>
        <v>1</v>
      </c>
      <c r="R1025" s="450">
        <f t="shared" ca="1" si="632"/>
        <v>12</v>
      </c>
      <c r="S1025" s="191">
        <f t="shared" si="633"/>
        <v>85</v>
      </c>
      <c r="T1025" s="191">
        <f t="shared" si="634"/>
        <v>9</v>
      </c>
      <c r="U1025" s="191">
        <f ca="1">OP!$D$5+$S1025-1</f>
        <v>117</v>
      </c>
      <c r="V1025" s="191" t="str">
        <f t="shared" si="635"/>
        <v/>
      </c>
      <c r="W1025" s="350">
        <f ca="1">IF(Q1025&lt;&gt;1,0,VLOOKUP(OP!$C$55,PVFB,$S1025+2,0))</f>
        <v>0</v>
      </c>
      <c r="X1025" s="473" t="str">
        <f t="shared" ca="1" si="648"/>
        <v/>
      </c>
      <c r="Y1025" s="348">
        <f t="shared" ca="1" si="649"/>
        <v>0</v>
      </c>
      <c r="Z1025" s="348">
        <f t="shared" ca="1" si="650"/>
        <v>8012</v>
      </c>
      <c r="AA1025" s="348">
        <f ca="1">IF(Q1025&lt;&gt;1,0,VLOOKUP(OP!$C$55,PVFB,$S1025+2,0))</f>
        <v>0</v>
      </c>
      <c r="AB1025" s="488" t="str">
        <f ca="1">IF(AND(S1025&lt;OP!$C$24,$U1025&lt;15),0,IF(AND($U1025&lt;15,$T1025=12),ROUND(VLOOKUP($S1025,DOWN16,5,0),3),IF($T1025=12,ROUND(($Z1025/10000)*$AA1025,3)+IF(AND($P$7="購買增額繳清保險",T1025=12,U1025=110),VLOOKUP(S1025,$B$10:$H$121,7,0),0),"")))</f>
        <v/>
      </c>
      <c r="AC1025" s="350" t="str">
        <f ca="1">IF(AND(S1025&lt;OP!$C$24,$U1025&lt;15),0,IF(AND($U1025&lt;16,$T1025=12),VLOOKUP($S1025,DOWN16,4,0),IF($T1025=12,ROUND(VLOOKUP(OP!$C$55,_DIE2,$S1025+1,0)*(Z1025/10000),0)+IF(AND($P$7="購買增額繳清保險",T1025=12,U1025=110),VLOOKUP(S1025,$B$10:$H$121,7,0),0),"")))</f>
        <v/>
      </c>
      <c r="AD1025" s="347"/>
      <c r="AE1025" s="350" t="str">
        <f t="shared" ca="1" si="625"/>
        <v/>
      </c>
      <c r="AF1025" s="351" t="str">
        <f t="shared" ca="1" si="626"/>
        <v/>
      </c>
      <c r="AG1025" s="340"/>
      <c r="AH1025" s="340"/>
      <c r="AI1025" s="340"/>
      <c r="AJ1025" s="340"/>
      <c r="AK1025" s="340"/>
      <c r="AL1025" s="340"/>
      <c r="AM1025" s="340"/>
      <c r="AN1025" s="340"/>
      <c r="AO1025" s="340"/>
      <c r="AP1025" s="340"/>
      <c r="AQ1025" s="340"/>
      <c r="AR1025" s="340"/>
      <c r="AS1025" s="340"/>
      <c r="AT1025" s="340"/>
      <c r="AU1025" s="340"/>
      <c r="AV1025" s="340"/>
      <c r="AY1025" s="340"/>
      <c r="AZ1025" s="465">
        <f t="shared" ca="1" si="636"/>
        <v>7.3698599999999999E-5</v>
      </c>
      <c r="BA1025" s="464">
        <f t="shared" ca="1" si="637"/>
        <v>0</v>
      </c>
      <c r="BB1025" s="465">
        <f t="shared" ca="1" si="637"/>
        <v>7.3698599999999999E-5</v>
      </c>
      <c r="BC1025" s="466">
        <f t="shared" ca="1" si="638"/>
        <v>73812</v>
      </c>
      <c r="BD1025" s="467">
        <f t="shared" ca="1" si="651"/>
        <v>73813</v>
      </c>
      <c r="BE1025" s="467">
        <f t="shared" ca="1" si="639"/>
        <v>73839</v>
      </c>
      <c r="BF1025" s="468">
        <f ca="1">IF(計算!$BC1025&lt;OP!$C$3,0,BD1025-BC1025)</f>
        <v>1</v>
      </c>
      <c r="BG1025" s="468">
        <f ca="1">IF($BE1025&gt;DATE(YEAR($BD$9)+OP!$C$57,MONTH($BD$9),DAY($BD$9)),0,$BE1025-$BD1025+1)</f>
        <v>0</v>
      </c>
      <c r="BH1025" s="469">
        <f t="shared" ca="1" si="640"/>
        <v>1</v>
      </c>
      <c r="BI1025" t="str">
        <f t="shared" si="656"/>
        <v/>
      </c>
      <c r="BJ1025">
        <v>8</v>
      </c>
      <c r="BN1025" s="468">
        <f t="shared" si="652"/>
        <v>85</v>
      </c>
      <c r="BO1025" s="468">
        <f t="shared" si="653"/>
        <v>8</v>
      </c>
      <c r="BP1025" s="467">
        <f t="shared" ca="1" si="641"/>
        <v>73813</v>
      </c>
      <c r="BQ1025" s="475">
        <f t="shared" ca="1" si="655"/>
        <v>117</v>
      </c>
      <c r="BR1025" s="475" t="str">
        <f t="shared" si="654"/>
        <v/>
      </c>
      <c r="BS1025" s="471" t="str">
        <f t="shared" si="642"/>
        <v/>
      </c>
      <c r="BT1025" s="472" t="str">
        <f t="shared" si="657"/>
        <v/>
      </c>
      <c r="BU1025" s="472">
        <f t="shared" ca="1" si="643"/>
        <v>0</v>
      </c>
      <c r="BV1025" s="472">
        <f t="shared" ca="1" si="643"/>
        <v>0</v>
      </c>
      <c r="BW1025" s="472"/>
      <c r="BX1025" s="473">
        <f t="shared" ca="1" si="644"/>
        <v>2771841.4578976999</v>
      </c>
      <c r="BY1025" s="473">
        <f t="shared" si="645"/>
        <v>0</v>
      </c>
      <c r="BZ1025" s="473">
        <f t="shared" ca="1" si="627"/>
        <v>204.28083486899999</v>
      </c>
      <c r="CA1025" s="476">
        <f t="shared" ca="1" si="646"/>
        <v>0</v>
      </c>
      <c r="CB1025" s="494">
        <f ca="1">IF(OR($Q1024&lt;&gt;1,OP!$D$5+$BN1025-1&lt;16,$BN1025-1&lt;1),0,ROUND(ROUND(ROUND(((VLOOKUP($BN1025-1,MORE_PV,5,0)/10000)*VLOOKUP($BN1025,MORE_PV,$CB$5,0)),3)*VLOOKUP($BN1025,more1,5,0),0)/$R1024,0))</f>
        <v>0</v>
      </c>
      <c r="CC1025" s="473">
        <f t="shared" ca="1" si="647"/>
        <v>0</v>
      </c>
      <c r="CD1025" s="477"/>
    </row>
    <row r="1026" spans="2:82" ht="16.5" hidden="1">
      <c r="B1026" s="80"/>
      <c r="C1026" s="80"/>
      <c r="D1026" s="80"/>
      <c r="E1026" s="80"/>
      <c r="F1026" s="80"/>
      <c r="G1026" s="80"/>
      <c r="H1026" s="80"/>
      <c r="I1026" s="80"/>
      <c r="J1026" s="192">
        <f t="shared" si="628"/>
        <v>85</v>
      </c>
      <c r="K1026" s="192">
        <f t="shared" si="629"/>
        <v>10</v>
      </c>
      <c r="L1026" s="192" t="str">
        <f t="shared" si="624"/>
        <v/>
      </c>
      <c r="M1026" s="216" t="str">
        <f t="shared" ca="1" si="630"/>
        <v/>
      </c>
      <c r="N1026" s="216"/>
      <c r="O1026" s="216"/>
      <c r="P1026" s="216"/>
      <c r="Q1026" s="456">
        <f t="shared" ca="1" si="631"/>
        <v>1</v>
      </c>
      <c r="R1026" s="450">
        <f t="shared" ca="1" si="632"/>
        <v>12</v>
      </c>
      <c r="S1026" s="191">
        <f t="shared" si="633"/>
        <v>85</v>
      </c>
      <c r="T1026" s="191">
        <f t="shared" si="634"/>
        <v>10</v>
      </c>
      <c r="U1026" s="191">
        <f ca="1">OP!$D$5+$S1026-1</f>
        <v>117</v>
      </c>
      <c r="V1026" s="191" t="str">
        <f t="shared" si="635"/>
        <v/>
      </c>
      <c r="W1026" s="350">
        <f ca="1">IF(Q1026&lt;&gt;1,0,VLOOKUP(OP!$C$55,PVFB,$S1026+2,0))</f>
        <v>0</v>
      </c>
      <c r="X1026" s="473" t="str">
        <f t="shared" ca="1" si="648"/>
        <v/>
      </c>
      <c r="Y1026" s="348">
        <f t="shared" ca="1" si="649"/>
        <v>0</v>
      </c>
      <c r="Z1026" s="348">
        <f t="shared" ca="1" si="650"/>
        <v>8012</v>
      </c>
      <c r="AA1026" s="348">
        <f ca="1">IF(Q1026&lt;&gt;1,0,VLOOKUP(OP!$C$55,PVFB,$S1026+2,0))</f>
        <v>0</v>
      </c>
      <c r="AB1026" s="488" t="str">
        <f ca="1">IF(AND(S1026&lt;OP!$C$24,$U1026&lt;15),0,IF(AND($U1026&lt;15,$T1026=12),ROUND(VLOOKUP($S1026,DOWN16,5,0),3),IF($T1026=12,ROUND(($Z1026/10000)*$AA1026,3)+IF(AND($P$7="購買增額繳清保險",T1026=12,U1026=110),VLOOKUP(S1026,$B$10:$H$121,7,0),0),"")))</f>
        <v/>
      </c>
      <c r="AC1026" s="350" t="str">
        <f ca="1">IF(AND(S1026&lt;OP!$C$24,$U1026&lt;15),0,IF(AND($U1026&lt;16,$T1026=12),VLOOKUP($S1026,DOWN16,4,0),IF($T1026=12,ROUND(VLOOKUP(OP!$C$55,_DIE2,$S1026+1,0)*(Z1026/10000),0)+IF(AND($P$7="購買增額繳清保險",T1026=12,U1026=110),VLOOKUP(S1026,$B$10:$H$121,7,0),0),"")))</f>
        <v/>
      </c>
      <c r="AD1026" s="347"/>
      <c r="AE1026" s="350" t="str">
        <f t="shared" ca="1" si="625"/>
        <v/>
      </c>
      <c r="AF1026" s="351" t="str">
        <f t="shared" ca="1" si="626"/>
        <v/>
      </c>
      <c r="AG1026" s="340"/>
      <c r="AH1026" s="340"/>
      <c r="AI1026" s="340"/>
      <c r="AJ1026" s="340"/>
      <c r="AK1026" s="340"/>
      <c r="AL1026" s="340"/>
      <c r="AM1026" s="340"/>
      <c r="AN1026" s="340"/>
      <c r="AO1026" s="340"/>
      <c r="AP1026" s="340"/>
      <c r="AQ1026" s="340"/>
      <c r="AR1026" s="340"/>
      <c r="AS1026" s="340"/>
      <c r="AT1026" s="340"/>
      <c r="AU1026" s="340"/>
      <c r="AV1026" s="340"/>
      <c r="AY1026" s="340"/>
      <c r="AZ1026" s="465">
        <f t="shared" ca="1" si="636"/>
        <v>7.3698599999999999E-5</v>
      </c>
      <c r="BA1026" s="464">
        <f t="shared" ca="1" si="637"/>
        <v>0</v>
      </c>
      <c r="BB1026" s="465">
        <f t="shared" ca="1" si="637"/>
        <v>7.3698599999999999E-5</v>
      </c>
      <c r="BC1026" s="466">
        <f t="shared" ca="1" si="638"/>
        <v>73840</v>
      </c>
      <c r="BD1026" s="467">
        <f t="shared" ca="1" si="651"/>
        <v>73841</v>
      </c>
      <c r="BE1026" s="467">
        <f t="shared" ca="1" si="639"/>
        <v>73870</v>
      </c>
      <c r="BF1026" s="468">
        <f ca="1">IF(計算!$BC1026&lt;OP!$C$3,0,BD1026-BC1026)</f>
        <v>1</v>
      </c>
      <c r="BG1026" s="468">
        <f ca="1">IF($BE1026&gt;DATE(YEAR($BD$9)+OP!$C$57,MONTH($BD$9),DAY($BD$9)),0,$BE1026-$BD1026+1)</f>
        <v>0</v>
      </c>
      <c r="BH1026" s="469">
        <f t="shared" ca="1" si="640"/>
        <v>1</v>
      </c>
      <c r="BI1026" t="str">
        <f t="shared" si="656"/>
        <v/>
      </c>
      <c r="BJ1026">
        <v>9</v>
      </c>
      <c r="BN1026" s="468">
        <f t="shared" si="652"/>
        <v>85</v>
      </c>
      <c r="BO1026" s="468">
        <f t="shared" si="653"/>
        <v>9</v>
      </c>
      <c r="BP1026" s="467">
        <f t="shared" ca="1" si="641"/>
        <v>73841</v>
      </c>
      <c r="BQ1026" s="475">
        <f t="shared" ca="1" si="655"/>
        <v>117</v>
      </c>
      <c r="BR1026" s="475" t="str">
        <f t="shared" si="654"/>
        <v/>
      </c>
      <c r="BS1026" s="471" t="str">
        <f t="shared" si="642"/>
        <v/>
      </c>
      <c r="BT1026" s="472" t="str">
        <f t="shared" si="657"/>
        <v/>
      </c>
      <c r="BU1026" s="472">
        <f t="shared" ca="1" si="643"/>
        <v>0</v>
      </c>
      <c r="BV1026" s="472">
        <f t="shared" ca="1" si="643"/>
        <v>0</v>
      </c>
      <c r="BW1026" s="472"/>
      <c r="BX1026" s="473">
        <f t="shared" ca="1" si="644"/>
        <v>2772045.7387325699</v>
      </c>
      <c r="BY1026" s="473">
        <f t="shared" si="645"/>
        <v>0</v>
      </c>
      <c r="BZ1026" s="473">
        <f t="shared" ca="1" si="627"/>
        <v>204.29589008100001</v>
      </c>
      <c r="CA1026" s="476">
        <f t="shared" ca="1" si="646"/>
        <v>0</v>
      </c>
      <c r="CB1026" s="494">
        <f ca="1">IF(OR($Q1025&lt;&gt;1,OP!$D$5+$BN1026-1&lt;16,$BN1026-1&lt;1),0,ROUND(ROUND(ROUND(((VLOOKUP($BN1026-1,MORE_PV,5,0)/10000)*VLOOKUP($BN1026,MORE_PV,$CB$5,0)),3)*VLOOKUP($BN1026,more1,5,0),0)/$R1025,0))</f>
        <v>0</v>
      </c>
      <c r="CC1026" s="473">
        <f t="shared" ca="1" si="647"/>
        <v>0</v>
      </c>
      <c r="CD1026" s="477"/>
    </row>
    <row r="1027" spans="2:82" ht="16.5" hidden="1">
      <c r="B1027" s="80"/>
      <c r="C1027" s="80"/>
      <c r="D1027" s="80"/>
      <c r="E1027" s="80"/>
      <c r="F1027" s="80"/>
      <c r="G1027" s="80"/>
      <c r="H1027" s="80"/>
      <c r="I1027" s="80"/>
      <c r="J1027" s="192">
        <f t="shared" si="628"/>
        <v>85</v>
      </c>
      <c r="K1027" s="192">
        <f t="shared" si="629"/>
        <v>11</v>
      </c>
      <c r="L1027" s="192" t="str">
        <f t="shared" si="624"/>
        <v/>
      </c>
      <c r="M1027" s="216" t="str">
        <f t="shared" ca="1" si="630"/>
        <v/>
      </c>
      <c r="N1027" s="216"/>
      <c r="O1027" s="216"/>
      <c r="P1027" s="216"/>
      <c r="Q1027" s="456">
        <f t="shared" ca="1" si="631"/>
        <v>1</v>
      </c>
      <c r="R1027" s="450">
        <f t="shared" ca="1" si="632"/>
        <v>12</v>
      </c>
      <c r="S1027" s="191">
        <f t="shared" si="633"/>
        <v>85</v>
      </c>
      <c r="T1027" s="191">
        <f t="shared" si="634"/>
        <v>11</v>
      </c>
      <c r="U1027" s="191">
        <f ca="1">OP!$D$5+$S1027-1</f>
        <v>117</v>
      </c>
      <c r="V1027" s="191" t="str">
        <f t="shared" si="635"/>
        <v/>
      </c>
      <c r="W1027" s="350">
        <f ca="1">IF(Q1027&lt;&gt;1,0,VLOOKUP(OP!$C$55,PVFB,$S1027+2,0))</f>
        <v>0</v>
      </c>
      <c r="X1027" s="473" t="str">
        <f t="shared" ca="1" si="648"/>
        <v/>
      </c>
      <c r="Y1027" s="348">
        <f t="shared" ca="1" si="649"/>
        <v>0</v>
      </c>
      <c r="Z1027" s="348">
        <f t="shared" ca="1" si="650"/>
        <v>8012</v>
      </c>
      <c r="AA1027" s="348">
        <f ca="1">IF(Q1027&lt;&gt;1,0,VLOOKUP(OP!$C$55,PVFB,$S1027+2,0))</f>
        <v>0</v>
      </c>
      <c r="AB1027" s="488" t="str">
        <f ca="1">IF(AND(S1027&lt;OP!$C$24,$U1027&lt;15),0,IF(AND($U1027&lt;15,$T1027=12),ROUND(VLOOKUP($S1027,DOWN16,5,0),3),IF($T1027=12,ROUND(($Z1027/10000)*$AA1027,3)+IF(AND($P$7="購買增額繳清保險",T1027=12,U1027=110),VLOOKUP(S1027,$B$10:$H$121,7,0),0),"")))</f>
        <v/>
      </c>
      <c r="AC1027" s="350" t="str">
        <f ca="1">IF(AND(S1027&lt;OP!$C$24,$U1027&lt;15),0,IF(AND($U1027&lt;16,$T1027=12),VLOOKUP($S1027,DOWN16,4,0),IF($T1027=12,ROUND(VLOOKUP(OP!$C$55,_DIE2,$S1027+1,0)*(Z1027/10000),0)+IF(AND($P$7="購買增額繳清保險",T1027=12,U1027=110),VLOOKUP(S1027,$B$10:$H$121,7,0),0),"")))</f>
        <v/>
      </c>
      <c r="AD1027" s="347"/>
      <c r="AE1027" s="350" t="str">
        <f t="shared" ca="1" si="625"/>
        <v/>
      </c>
      <c r="AF1027" s="351" t="str">
        <f t="shared" ca="1" si="626"/>
        <v/>
      </c>
      <c r="AG1027" s="340"/>
      <c r="AH1027" s="340"/>
      <c r="AI1027" s="340"/>
      <c r="AJ1027" s="340"/>
      <c r="AK1027" s="340"/>
      <c r="AL1027" s="340"/>
      <c r="AM1027" s="340"/>
      <c r="AN1027" s="340"/>
      <c r="AO1027" s="340"/>
      <c r="AP1027" s="340"/>
      <c r="AQ1027" s="340"/>
      <c r="AR1027" s="340"/>
      <c r="AS1027" s="340"/>
      <c r="AT1027" s="340"/>
      <c r="AU1027" s="340"/>
      <c r="AV1027" s="340"/>
      <c r="AY1027" s="340"/>
      <c r="AZ1027" s="465">
        <f t="shared" ca="1" si="636"/>
        <v>7.3698599999999999E-5</v>
      </c>
      <c r="BA1027" s="464">
        <f t="shared" ca="1" si="637"/>
        <v>0</v>
      </c>
      <c r="BB1027" s="465">
        <f t="shared" ca="1" si="637"/>
        <v>7.3698599999999999E-5</v>
      </c>
      <c r="BC1027" s="466">
        <f t="shared" ca="1" si="638"/>
        <v>73871</v>
      </c>
      <c r="BD1027" s="467">
        <f t="shared" ca="1" si="651"/>
        <v>73872</v>
      </c>
      <c r="BE1027" s="467">
        <f t="shared" ca="1" si="639"/>
        <v>73900</v>
      </c>
      <c r="BF1027" s="468">
        <f ca="1">IF(計算!$BC1027&lt;OP!$C$3,0,BD1027-BC1027)</f>
        <v>1</v>
      </c>
      <c r="BG1027" s="468">
        <f ca="1">IF($BE1027&gt;DATE(YEAR($BD$9)+OP!$C$57,MONTH($BD$9),DAY($BD$9)),0,$BE1027-$BD1027+1)</f>
        <v>0</v>
      </c>
      <c r="BH1027" s="469">
        <f t="shared" ca="1" si="640"/>
        <v>1</v>
      </c>
      <c r="BI1027" t="str">
        <f t="shared" si="656"/>
        <v/>
      </c>
      <c r="BJ1027">
        <v>10</v>
      </c>
      <c r="BN1027" s="468">
        <f t="shared" si="652"/>
        <v>85</v>
      </c>
      <c r="BO1027" s="468">
        <f t="shared" si="653"/>
        <v>10</v>
      </c>
      <c r="BP1027" s="467">
        <f t="shared" ca="1" si="641"/>
        <v>73872</v>
      </c>
      <c r="BQ1027" s="475">
        <f t="shared" ca="1" si="655"/>
        <v>117</v>
      </c>
      <c r="BR1027" s="475" t="str">
        <f t="shared" si="654"/>
        <v/>
      </c>
      <c r="BS1027" s="471" t="str">
        <f t="shared" si="642"/>
        <v/>
      </c>
      <c r="BT1027" s="472" t="str">
        <f t="shared" si="657"/>
        <v/>
      </c>
      <c r="BU1027" s="472">
        <f t="shared" ca="1" si="643"/>
        <v>0</v>
      </c>
      <c r="BV1027" s="472">
        <f t="shared" ca="1" si="643"/>
        <v>0</v>
      </c>
      <c r="BW1027" s="472"/>
      <c r="BX1027" s="473">
        <f t="shared" ca="1" si="644"/>
        <v>2772250.0346226501</v>
      </c>
      <c r="BY1027" s="473">
        <f t="shared" si="645"/>
        <v>0</v>
      </c>
      <c r="BZ1027" s="473">
        <f t="shared" ca="1" si="627"/>
        <v>204.31094640200001</v>
      </c>
      <c r="CA1027" s="476">
        <f t="shared" ca="1" si="646"/>
        <v>0</v>
      </c>
      <c r="CB1027" s="494">
        <f ca="1">IF(OR($Q1026&lt;&gt;1,OP!$D$5+$BN1027-1&lt;16,$BN1027-1&lt;1),0,ROUND(ROUND(ROUND(((VLOOKUP($BN1027-1,MORE_PV,5,0)/10000)*VLOOKUP($BN1027,MORE_PV,$CB$5,0)),3)*VLOOKUP($BN1027,more1,5,0),0)/$R1026,0))</f>
        <v>0</v>
      </c>
      <c r="CC1027" s="473">
        <f t="shared" ca="1" si="647"/>
        <v>0</v>
      </c>
      <c r="CD1027" s="477"/>
    </row>
    <row r="1028" spans="2:82" ht="16.5" hidden="1">
      <c r="B1028" s="80"/>
      <c r="C1028" s="80"/>
      <c r="D1028" s="80"/>
      <c r="E1028" s="80"/>
      <c r="F1028" s="80"/>
      <c r="G1028" s="80"/>
      <c r="H1028" s="80"/>
      <c r="I1028" s="80"/>
      <c r="J1028" s="192">
        <f t="shared" si="628"/>
        <v>85</v>
      </c>
      <c r="K1028" s="192">
        <f t="shared" si="629"/>
        <v>12</v>
      </c>
      <c r="L1028" s="192">
        <f t="shared" si="624"/>
        <v>85</v>
      </c>
      <c r="M1028" s="216">
        <f t="shared" ca="1" si="630"/>
        <v>2772862</v>
      </c>
      <c r="N1028" s="216"/>
      <c r="O1028" s="216"/>
      <c r="P1028" s="216"/>
      <c r="Q1028" s="456">
        <f t="shared" ca="1" si="631"/>
        <v>1</v>
      </c>
      <c r="R1028" s="450">
        <f t="shared" ca="1" si="632"/>
        <v>12</v>
      </c>
      <c r="S1028" s="191">
        <f t="shared" si="633"/>
        <v>85</v>
      </c>
      <c r="T1028" s="191">
        <f t="shared" si="634"/>
        <v>12</v>
      </c>
      <c r="U1028" s="191">
        <f ca="1">OP!$D$5+$S1028-1</f>
        <v>117</v>
      </c>
      <c r="V1028" s="191">
        <f t="shared" si="635"/>
        <v>85</v>
      </c>
      <c r="W1028" s="350">
        <f ca="1">IF(Q1028&lt;&gt;1,0,VLOOKUP(OP!$C$55,PVFB,$S1028+2,0))</f>
        <v>0</v>
      </c>
      <c r="X1028" s="473">
        <f t="shared" ca="1" si="648"/>
        <v>0</v>
      </c>
      <c r="Y1028" s="348">
        <f t="shared" ca="1" si="649"/>
        <v>0</v>
      </c>
      <c r="Z1028" s="348">
        <f t="shared" ca="1" si="650"/>
        <v>8012</v>
      </c>
      <c r="AA1028" s="348">
        <f ca="1">IF(Q1028&lt;&gt;1,0,VLOOKUP(OP!$C$55,PVFB,$S1028+2,0))</f>
        <v>0</v>
      </c>
      <c r="AB1028" s="488">
        <f ca="1">IF(AND(S1028&lt;OP!$C$24,$U1028&lt;15),0,IF(AND($U1028&lt;15,$T1028=12),ROUND(VLOOKUP($S1028,DOWN16,5,0),3),IF($T1028=12,ROUND(($Z1028/10000)*$AA1028,3)+IF(AND($P$7="購買增額繳清保險",T1028=12,U1028=110),VLOOKUP(S1028,$B$10:$H$121,7,0),0),"")))</f>
        <v>0</v>
      </c>
      <c r="AC1028" s="350">
        <f ca="1">IF(AND(S1028&lt;OP!$C$24,$U1028&lt;15),0,IF(AND($U1028&lt;16,$T1028=12),VLOOKUP($S1028,DOWN16,4,0),IF($T1028=12,ROUND(VLOOKUP(OP!$C$55,_DIE2,$S1028+1,0)*(Z1028/10000),0)+IF(AND($P$7="購買增額繳清保險",T1028=12,U1028=110),VLOOKUP(S1028,$B$10:$H$121,7,0),0),"")))</f>
        <v>0</v>
      </c>
      <c r="AD1028" s="347"/>
      <c r="AE1028" s="350" t="str">
        <f t="shared" ca="1" si="625"/>
        <v/>
      </c>
      <c r="AF1028" s="351" t="str">
        <f t="shared" ca="1" si="626"/>
        <v/>
      </c>
      <c r="AG1028" s="340"/>
      <c r="AH1028" s="340"/>
      <c r="AI1028" s="340"/>
      <c r="AJ1028" s="340"/>
      <c r="AK1028" s="340"/>
      <c r="AL1028" s="340"/>
      <c r="AM1028" s="340"/>
      <c r="AN1028" s="340"/>
      <c r="AO1028" s="340"/>
      <c r="AP1028" s="340"/>
      <c r="AQ1028" s="340"/>
      <c r="AR1028" s="340"/>
      <c r="AS1028" s="340"/>
      <c r="AT1028" s="340"/>
      <c r="AU1028" s="340"/>
      <c r="AV1028" s="340"/>
      <c r="AY1028" s="340"/>
      <c r="AZ1028" s="465">
        <f t="shared" ca="1" si="636"/>
        <v>7.3698599999999999E-5</v>
      </c>
      <c r="BA1028" s="464">
        <f t="shared" ca="1" si="637"/>
        <v>0</v>
      </c>
      <c r="BB1028" s="465">
        <f t="shared" ca="1" si="637"/>
        <v>7.3698599999999999E-5</v>
      </c>
      <c r="BC1028" s="466">
        <f t="shared" ca="1" si="638"/>
        <v>73901</v>
      </c>
      <c r="BD1028" s="467">
        <f t="shared" ca="1" si="651"/>
        <v>73902</v>
      </c>
      <c r="BE1028" s="467">
        <f t="shared" ca="1" si="639"/>
        <v>73931</v>
      </c>
      <c r="BF1028" s="468">
        <f ca="1">IF(計算!$BC1028&lt;OP!$C$3,0,BD1028-BC1028)</f>
        <v>1</v>
      </c>
      <c r="BG1028" s="468">
        <f ca="1">IF($BE1028&gt;DATE(YEAR($BD$9)+OP!$C$57,MONTH($BD$9),DAY($BD$9)),0,$BE1028-$BD1028+1)</f>
        <v>0</v>
      </c>
      <c r="BH1028" s="469">
        <f t="shared" ca="1" si="640"/>
        <v>1</v>
      </c>
      <c r="BI1028" t="str">
        <f t="shared" si="656"/>
        <v/>
      </c>
      <c r="BJ1028">
        <v>11</v>
      </c>
      <c r="BN1028" s="468">
        <f t="shared" si="652"/>
        <v>85</v>
      </c>
      <c r="BO1028" s="468">
        <f t="shared" si="653"/>
        <v>11</v>
      </c>
      <c r="BP1028" s="467">
        <f t="shared" ca="1" si="641"/>
        <v>73902</v>
      </c>
      <c r="BQ1028" s="475">
        <f t="shared" ca="1" si="655"/>
        <v>117</v>
      </c>
      <c r="BR1028" s="475" t="str">
        <f t="shared" si="654"/>
        <v/>
      </c>
      <c r="BS1028" s="471" t="str">
        <f t="shared" si="642"/>
        <v/>
      </c>
      <c r="BT1028" s="472" t="str">
        <f t="shared" si="657"/>
        <v/>
      </c>
      <c r="BU1028" s="472">
        <f t="shared" ca="1" si="643"/>
        <v>0</v>
      </c>
      <c r="BV1028" s="472">
        <f t="shared" ca="1" si="643"/>
        <v>0</v>
      </c>
      <c r="BW1028" s="472"/>
      <c r="BX1028" s="473">
        <f t="shared" ca="1" si="644"/>
        <v>2772454.3455690499</v>
      </c>
      <c r="BY1028" s="473">
        <f t="shared" si="645"/>
        <v>0</v>
      </c>
      <c r="BZ1028" s="473">
        <f t="shared" ca="1" si="627"/>
        <v>204.326003832</v>
      </c>
      <c r="CA1028" s="476">
        <f t="shared" ca="1" si="646"/>
        <v>0</v>
      </c>
      <c r="CB1028" s="494">
        <f ca="1">IF(OR($Q1027&lt;&gt;1,OP!$D$5+$BN1028-1&lt;16,$BN1028-1&lt;1),0,ROUND(ROUND(ROUND(((VLOOKUP($BN1028-1,MORE_PV,5,0)/10000)*VLOOKUP($BN1028,MORE_PV,$CB$5,0)),3)*VLOOKUP($BN1028,more1,5,0),0)/$R1027,0))</f>
        <v>0</v>
      </c>
      <c r="CC1028" s="473">
        <f t="shared" ca="1" si="647"/>
        <v>0</v>
      </c>
      <c r="CD1028" s="477"/>
    </row>
    <row r="1029" spans="2:82" ht="16.5" hidden="1">
      <c r="B1029" s="80"/>
      <c r="C1029" s="80"/>
      <c r="D1029" s="80"/>
      <c r="E1029" s="80"/>
      <c r="F1029" s="80"/>
      <c r="G1029" s="80"/>
      <c r="H1029" s="80"/>
      <c r="I1029" s="80"/>
      <c r="J1029" s="192">
        <f t="shared" si="628"/>
        <v>86</v>
      </c>
      <c r="K1029" s="192">
        <f t="shared" si="629"/>
        <v>1</v>
      </c>
      <c r="L1029" s="192" t="str">
        <f t="shared" si="624"/>
        <v/>
      </c>
      <c r="M1029" s="216" t="str">
        <f t="shared" ca="1" si="630"/>
        <v/>
      </c>
      <c r="N1029" s="216"/>
      <c r="O1029" s="216"/>
      <c r="P1029" s="216"/>
      <c r="Q1029" s="456">
        <f t="shared" ca="1" si="631"/>
        <v>1</v>
      </c>
      <c r="R1029" s="450">
        <f t="shared" ca="1" si="632"/>
        <v>12</v>
      </c>
      <c r="S1029" s="191">
        <f t="shared" si="633"/>
        <v>86</v>
      </c>
      <c r="T1029" s="191">
        <f t="shared" si="634"/>
        <v>1</v>
      </c>
      <c r="U1029" s="191">
        <f ca="1">OP!$D$5+$S1029-1</f>
        <v>118</v>
      </c>
      <c r="V1029" s="191" t="str">
        <f t="shared" si="635"/>
        <v/>
      </c>
      <c r="W1029" s="350">
        <f ca="1">IF(Q1029&lt;&gt;1,0,VLOOKUP(OP!$C$55,PVFB,$S1029+2,0))</f>
        <v>0</v>
      </c>
      <c r="X1029" s="473" t="str">
        <f t="shared" ca="1" si="648"/>
        <v/>
      </c>
      <c r="Y1029" s="348">
        <f t="shared" ca="1" si="649"/>
        <v>0</v>
      </c>
      <c r="Z1029" s="348">
        <f t="shared" ca="1" si="650"/>
        <v>8012</v>
      </c>
      <c r="AA1029" s="348">
        <f ca="1">IF(Q1029&lt;&gt;1,0,VLOOKUP(OP!$C$55,PVFB,$S1029+2,0))</f>
        <v>0</v>
      </c>
      <c r="AB1029" s="488" t="str">
        <f ca="1">IF(AND(S1029&lt;OP!$C$24,$U1029&lt;15),0,IF(AND($U1029&lt;15,$T1029=12),ROUND(VLOOKUP($S1029,DOWN16,5,0),3),IF($T1029=12,ROUND(($Z1029/10000)*$AA1029,3)+IF(AND($P$7="購買增額繳清保險",T1029=12,U1029=110),VLOOKUP(S1029,$B$10:$H$121,7,0),0),"")))</f>
        <v/>
      </c>
      <c r="AC1029" s="350" t="str">
        <f ca="1">IF(AND(S1029&lt;OP!$C$24,$U1029&lt;15),0,IF(AND($U1029&lt;16,$T1029=12),VLOOKUP($S1029,DOWN16,4,0),IF($T1029=12,ROUND(VLOOKUP(OP!$C$55,_DIE2,$S1029+1,0)*(Z1029/10000),0)+IF(AND($P$7="購買增額繳清保險",T1029=12,U1029=110),VLOOKUP(S1029,$B$10:$H$121,7,0),0),"")))</f>
        <v/>
      </c>
      <c r="AD1029" s="347"/>
      <c r="AE1029" s="350" t="str">
        <f t="shared" ca="1" si="625"/>
        <v/>
      </c>
      <c r="AF1029" s="351" t="str">
        <f t="shared" ca="1" si="626"/>
        <v/>
      </c>
      <c r="AG1029" s="340"/>
      <c r="AH1029" s="340"/>
      <c r="AI1029" s="340"/>
      <c r="AJ1029" s="340"/>
      <c r="AK1029" s="340"/>
      <c r="AL1029" s="340"/>
      <c r="AM1029" s="340"/>
      <c r="AN1029" s="340"/>
      <c r="AO1029" s="340"/>
      <c r="AP1029" s="340"/>
      <c r="AQ1029" s="340"/>
      <c r="AR1029" s="340"/>
      <c r="AS1029" s="340"/>
      <c r="AT1029" s="340"/>
      <c r="AU1029" s="340"/>
      <c r="AV1029" s="340"/>
      <c r="AY1029" s="340"/>
      <c r="AZ1029" s="465">
        <f t="shared" ca="1" si="636"/>
        <v>7.3698599999999999E-5</v>
      </c>
      <c r="BA1029" s="464">
        <f t="shared" ca="1" si="637"/>
        <v>0</v>
      </c>
      <c r="BB1029" s="465">
        <f t="shared" ca="1" si="637"/>
        <v>7.3698599999999999E-5</v>
      </c>
      <c r="BC1029" s="466">
        <f t="shared" ca="1" si="638"/>
        <v>73932</v>
      </c>
      <c r="BD1029" s="467">
        <f t="shared" ca="1" si="651"/>
        <v>73933</v>
      </c>
      <c r="BE1029" s="467">
        <f t="shared" ca="1" si="639"/>
        <v>73961</v>
      </c>
      <c r="BF1029" s="468">
        <f ca="1">IF(計算!$BC1029&lt;OP!$C$3,0,BD1029-BC1029)</f>
        <v>1</v>
      </c>
      <c r="BG1029" s="468">
        <f ca="1">IF($BE1029&gt;DATE(YEAR($BD$9)+OP!$C$57,MONTH($BD$9),DAY($BD$9)),0,$BE1029-$BD1029+1)</f>
        <v>0</v>
      </c>
      <c r="BH1029" s="469">
        <f t="shared" ca="1" si="640"/>
        <v>1</v>
      </c>
      <c r="BI1029">
        <f t="shared" ca="1" si="656"/>
        <v>365</v>
      </c>
      <c r="BJ1029">
        <v>12</v>
      </c>
      <c r="BN1029" s="468">
        <f t="shared" si="652"/>
        <v>85</v>
      </c>
      <c r="BO1029" s="468">
        <f t="shared" si="653"/>
        <v>12</v>
      </c>
      <c r="BP1029" s="467">
        <f t="shared" ca="1" si="641"/>
        <v>73933</v>
      </c>
      <c r="BQ1029" s="475">
        <f t="shared" ca="1" si="655"/>
        <v>117</v>
      </c>
      <c r="BR1029" s="475">
        <f t="shared" si="654"/>
        <v>85</v>
      </c>
      <c r="BS1029" s="471">
        <f t="shared" ca="1" si="642"/>
        <v>0</v>
      </c>
      <c r="BT1029" s="472">
        <f t="shared" ca="1" si="657"/>
        <v>2772862</v>
      </c>
      <c r="BU1029" s="472">
        <f t="shared" ca="1" si="643"/>
        <v>0</v>
      </c>
      <c r="BV1029" s="472">
        <f t="shared" ca="1" si="643"/>
        <v>0</v>
      </c>
      <c r="BW1029" s="472">
        <f ca="1">ROUND(SUM(BY1029,BZ1017:BZ1028),0)</f>
        <v>2451</v>
      </c>
      <c r="BX1029" s="473">
        <f t="shared" ca="1" si="644"/>
        <v>2772863.0126352501</v>
      </c>
      <c r="BY1029" s="473">
        <f t="shared" ca="1" si="645"/>
        <v>204.341062373</v>
      </c>
      <c r="BZ1029" s="473">
        <f t="shared" ca="1" si="627"/>
        <v>0</v>
      </c>
      <c r="CA1029" s="476">
        <f t="shared" ca="1" si="646"/>
        <v>0</v>
      </c>
      <c r="CB1029" s="494">
        <f ca="1">IF(OR($Q1028&lt;&gt;1,OP!$D$5+$BN1029-1&lt;16,$BN1029-1&lt;1),0,ROUND(ROUND(ROUND(((VLOOKUP($BN1029-1,MORE_PV,5,0)/10000)*VLOOKUP($BN1029,MORE_PV,$CB$5,0)),3)*VLOOKUP($BN1029,more1,5,0),0)/$R1028,0))</f>
        <v>0</v>
      </c>
      <c r="CC1029" s="473">
        <f t="shared" ca="1" si="647"/>
        <v>0</v>
      </c>
      <c r="CD1029" s="477"/>
    </row>
    <row r="1030" spans="2:82" ht="16.5" hidden="1">
      <c r="B1030" s="80"/>
      <c r="C1030" s="80"/>
      <c r="D1030" s="80"/>
      <c r="E1030" s="80"/>
      <c r="F1030" s="80"/>
      <c r="G1030" s="80"/>
      <c r="H1030" s="80"/>
      <c r="I1030" s="80"/>
      <c r="J1030" s="192">
        <f t="shared" si="628"/>
        <v>86</v>
      </c>
      <c r="K1030" s="192">
        <f t="shared" si="629"/>
        <v>2</v>
      </c>
      <c r="L1030" s="192" t="str">
        <f t="shared" si="624"/>
        <v/>
      </c>
      <c r="M1030" s="216" t="str">
        <f t="shared" ca="1" si="630"/>
        <v/>
      </c>
      <c r="N1030" s="216"/>
      <c r="O1030" s="216"/>
      <c r="P1030" s="216"/>
      <c r="Q1030" s="456">
        <f t="shared" ca="1" si="631"/>
        <v>1</v>
      </c>
      <c r="R1030" s="450">
        <f t="shared" ca="1" si="632"/>
        <v>12</v>
      </c>
      <c r="S1030" s="191">
        <f t="shared" si="633"/>
        <v>86</v>
      </c>
      <c r="T1030" s="191">
        <f t="shared" si="634"/>
        <v>2</v>
      </c>
      <c r="U1030" s="191">
        <f ca="1">OP!$D$5+$S1030-1</f>
        <v>118</v>
      </c>
      <c r="V1030" s="191" t="str">
        <f t="shared" si="635"/>
        <v/>
      </c>
      <c r="W1030" s="350">
        <f ca="1">IF(Q1030&lt;&gt;1,0,VLOOKUP(OP!$C$55,PVFB,$S1030+2,0))</f>
        <v>0</v>
      </c>
      <c r="X1030" s="473" t="str">
        <f t="shared" ca="1" si="648"/>
        <v/>
      </c>
      <c r="Y1030" s="348">
        <f t="shared" ca="1" si="649"/>
        <v>0</v>
      </c>
      <c r="Z1030" s="348">
        <f t="shared" ca="1" si="650"/>
        <v>8012</v>
      </c>
      <c r="AA1030" s="348">
        <f ca="1">IF(Q1030&lt;&gt;1,0,VLOOKUP(OP!$C$55,PVFB,$S1030+2,0))</f>
        <v>0</v>
      </c>
      <c r="AB1030" s="488" t="str">
        <f ca="1">IF(AND(S1030&lt;OP!$C$24,$U1030&lt;15),0,IF(AND($U1030&lt;15,$T1030=12),ROUND(VLOOKUP($S1030,DOWN16,5,0),3),IF($T1030=12,ROUND(($Z1030/10000)*$AA1030,3)+IF(AND($P$7="購買增額繳清保險",T1030=12,U1030=110),VLOOKUP(S1030,$B$10:$H$121,7,0),0),"")))</f>
        <v/>
      </c>
      <c r="AC1030" s="350" t="str">
        <f ca="1">IF(AND(S1030&lt;OP!$C$24,$U1030&lt;15),0,IF(AND($U1030&lt;16,$T1030=12),VLOOKUP($S1030,DOWN16,4,0),IF($T1030=12,ROUND(VLOOKUP(OP!$C$55,_DIE2,$S1030+1,0)*(Z1030/10000),0)+IF(AND($P$7="購買增額繳清保險",T1030=12,U1030=110),VLOOKUP(S1030,$B$10:$H$121,7,0),0),"")))</f>
        <v/>
      </c>
      <c r="AD1030" s="347"/>
      <c r="AE1030" s="350" t="str">
        <f t="shared" ca="1" si="625"/>
        <v/>
      </c>
      <c r="AF1030" s="351" t="str">
        <f t="shared" ca="1" si="626"/>
        <v/>
      </c>
      <c r="AG1030" s="340"/>
      <c r="AH1030" s="340"/>
      <c r="AI1030" s="340"/>
      <c r="AJ1030" s="340"/>
      <c r="AK1030" s="340"/>
      <c r="AL1030" s="340"/>
      <c r="AM1030" s="340"/>
      <c r="AN1030" s="340"/>
      <c r="AO1030" s="340"/>
      <c r="AP1030" s="340"/>
      <c r="AQ1030" s="340"/>
      <c r="AR1030" s="340"/>
      <c r="AS1030" s="340"/>
      <c r="AT1030" s="340"/>
      <c r="AU1030" s="340"/>
      <c r="AV1030" s="340"/>
      <c r="AY1030" s="340"/>
      <c r="AZ1030" s="465">
        <f t="shared" ca="1" si="636"/>
        <v>7.3698599999999999E-5</v>
      </c>
      <c r="BA1030" s="464">
        <f t="shared" ca="1" si="637"/>
        <v>0</v>
      </c>
      <c r="BB1030" s="465">
        <f t="shared" ca="1" si="637"/>
        <v>7.3698599999999999E-5</v>
      </c>
      <c r="BC1030" s="466">
        <f t="shared" ca="1" si="638"/>
        <v>73962</v>
      </c>
      <c r="BD1030" s="467">
        <f t="shared" ca="1" si="651"/>
        <v>73963</v>
      </c>
      <c r="BE1030" s="467">
        <f t="shared" ca="1" si="639"/>
        <v>73992</v>
      </c>
      <c r="BF1030" s="468">
        <f ca="1">IF(計算!$BC1030&lt;OP!$C$3,0,BD1030-BC1030)</f>
        <v>1</v>
      </c>
      <c r="BG1030" s="468">
        <f ca="1">IF($BE1030&gt;DATE(YEAR($BD$9)+OP!$C$57,MONTH($BD$9),DAY($BD$9)),0,$BE1030-$BD1030+1)</f>
        <v>0</v>
      </c>
      <c r="BH1030" s="469">
        <f t="shared" ca="1" si="640"/>
        <v>1</v>
      </c>
      <c r="BI1030" t="str">
        <f t="shared" si="656"/>
        <v/>
      </c>
      <c r="BJ1030">
        <v>1</v>
      </c>
      <c r="BN1030" s="468">
        <f t="shared" si="652"/>
        <v>86</v>
      </c>
      <c r="BO1030" s="468">
        <f t="shared" si="653"/>
        <v>1</v>
      </c>
      <c r="BP1030" s="467">
        <f t="shared" ca="1" si="641"/>
        <v>73963</v>
      </c>
      <c r="BQ1030" s="475">
        <f t="shared" ca="1" si="655"/>
        <v>118</v>
      </c>
      <c r="BR1030" s="475" t="str">
        <f t="shared" si="654"/>
        <v/>
      </c>
      <c r="BS1030" s="471" t="str">
        <f t="shared" si="642"/>
        <v/>
      </c>
      <c r="BT1030" s="472" t="str">
        <f t="shared" si="657"/>
        <v/>
      </c>
      <c r="BU1030" s="472">
        <f t="shared" ca="1" si="643"/>
        <v>0</v>
      </c>
      <c r="BV1030" s="472">
        <f t="shared" ca="1" si="643"/>
        <v>0</v>
      </c>
      <c r="BW1030" s="472"/>
      <c r="BX1030" s="473">
        <f t="shared" ca="1" si="644"/>
        <v>2772863.0126352501</v>
      </c>
      <c r="BY1030" s="473">
        <f t="shared" si="645"/>
        <v>0</v>
      </c>
      <c r="BZ1030" s="473">
        <f t="shared" ca="1" si="627"/>
        <v>204.35612202300001</v>
      </c>
      <c r="CA1030" s="476">
        <f t="shared" ca="1" si="646"/>
        <v>0</v>
      </c>
      <c r="CB1030" s="494">
        <f ca="1">IF(OR($Q1029&lt;&gt;1,OP!$D$5+$BN1030-1&lt;16,$BN1030-1&lt;1),0,ROUND(ROUND(ROUND(((VLOOKUP($BN1030-1,MORE_PV,5,0)/10000)*VLOOKUP($BN1030,MORE_PV,$CB$5,0)),3)*VLOOKUP($BN1030,more1,5,0),0)/$R1029,0))</f>
        <v>0</v>
      </c>
      <c r="CC1030" s="473">
        <f t="shared" ca="1" si="647"/>
        <v>0</v>
      </c>
      <c r="CD1030" s="477"/>
    </row>
    <row r="1031" spans="2:82" ht="16.5" hidden="1">
      <c r="B1031" s="80"/>
      <c r="C1031" s="80"/>
      <c r="D1031" s="80"/>
      <c r="E1031" s="80"/>
      <c r="F1031" s="80"/>
      <c r="G1031" s="80"/>
      <c r="H1031" s="80"/>
      <c r="I1031" s="80"/>
      <c r="J1031" s="192">
        <f t="shared" si="628"/>
        <v>86</v>
      </c>
      <c r="K1031" s="192">
        <f t="shared" si="629"/>
        <v>3</v>
      </c>
      <c r="L1031" s="192" t="str">
        <f t="shared" si="624"/>
        <v/>
      </c>
      <c r="M1031" s="216" t="str">
        <f t="shared" ca="1" si="630"/>
        <v/>
      </c>
      <c r="N1031" s="216"/>
      <c r="O1031" s="216"/>
      <c r="P1031" s="216"/>
      <c r="Q1031" s="456">
        <f t="shared" ca="1" si="631"/>
        <v>1</v>
      </c>
      <c r="R1031" s="450">
        <f t="shared" ca="1" si="632"/>
        <v>12</v>
      </c>
      <c r="S1031" s="191">
        <f t="shared" si="633"/>
        <v>86</v>
      </c>
      <c r="T1031" s="191">
        <f t="shared" si="634"/>
        <v>3</v>
      </c>
      <c r="U1031" s="191">
        <f ca="1">OP!$D$5+$S1031-1</f>
        <v>118</v>
      </c>
      <c r="V1031" s="191" t="str">
        <f t="shared" si="635"/>
        <v/>
      </c>
      <c r="W1031" s="350">
        <f ca="1">IF(Q1031&lt;&gt;1,0,VLOOKUP(OP!$C$55,PVFB,$S1031+2,0))</f>
        <v>0</v>
      </c>
      <c r="X1031" s="473" t="str">
        <f t="shared" ca="1" si="648"/>
        <v/>
      </c>
      <c r="Y1031" s="348">
        <f t="shared" ca="1" si="649"/>
        <v>0</v>
      </c>
      <c r="Z1031" s="348">
        <f t="shared" ca="1" si="650"/>
        <v>8012</v>
      </c>
      <c r="AA1031" s="348">
        <f ca="1">IF(Q1031&lt;&gt;1,0,VLOOKUP(OP!$C$55,PVFB,$S1031+2,0))</f>
        <v>0</v>
      </c>
      <c r="AB1031" s="488" t="str">
        <f ca="1">IF(AND(S1031&lt;OP!$C$24,$U1031&lt;15),0,IF(AND($U1031&lt;15,$T1031=12),ROUND(VLOOKUP($S1031,DOWN16,5,0),3),IF($T1031=12,ROUND(($Z1031/10000)*$AA1031,3)+IF(AND($P$7="購買增額繳清保險",T1031=12,U1031=110),VLOOKUP(S1031,$B$10:$H$121,7,0),0),"")))</f>
        <v/>
      </c>
      <c r="AC1031" s="350" t="str">
        <f ca="1">IF(AND(S1031&lt;OP!$C$24,$U1031&lt;15),0,IF(AND($U1031&lt;16,$T1031=12),VLOOKUP($S1031,DOWN16,4,0),IF($T1031=12,ROUND(VLOOKUP(OP!$C$55,_DIE2,$S1031+1,0)*(Z1031/10000),0)+IF(AND($P$7="購買增額繳清保險",T1031=12,U1031=110),VLOOKUP(S1031,$B$10:$H$121,7,0),0),"")))</f>
        <v/>
      </c>
      <c r="AD1031" s="347"/>
      <c r="AE1031" s="350" t="str">
        <f t="shared" ca="1" si="625"/>
        <v/>
      </c>
      <c r="AF1031" s="351" t="str">
        <f t="shared" ca="1" si="626"/>
        <v/>
      </c>
      <c r="AG1031" s="340"/>
      <c r="AH1031" s="340"/>
      <c r="AI1031" s="340"/>
      <c r="AJ1031" s="340"/>
      <c r="AK1031" s="340"/>
      <c r="AL1031" s="340"/>
      <c r="AM1031" s="340"/>
      <c r="AN1031" s="340"/>
      <c r="AO1031" s="340"/>
      <c r="AP1031" s="340"/>
      <c r="AQ1031" s="340"/>
      <c r="AR1031" s="340"/>
      <c r="AS1031" s="340"/>
      <c r="AT1031" s="340"/>
      <c r="AU1031" s="340"/>
      <c r="AV1031" s="340"/>
      <c r="AY1031" s="340"/>
      <c r="AZ1031" s="465">
        <f t="shared" ca="1" si="636"/>
        <v>7.3698599999999999E-5</v>
      </c>
      <c r="BA1031" s="464">
        <f t="shared" ca="1" si="637"/>
        <v>0</v>
      </c>
      <c r="BB1031" s="465">
        <f t="shared" ca="1" si="637"/>
        <v>7.3698599999999999E-5</v>
      </c>
      <c r="BC1031" s="466">
        <f t="shared" ca="1" si="638"/>
        <v>73993</v>
      </c>
      <c r="BD1031" s="467">
        <f t="shared" ca="1" si="651"/>
        <v>73994</v>
      </c>
      <c r="BE1031" s="467">
        <f t="shared" ca="1" si="639"/>
        <v>74023</v>
      </c>
      <c r="BF1031" s="468">
        <f ca="1">IF(計算!$BC1031&lt;OP!$C$3,0,BD1031-BC1031)</f>
        <v>1</v>
      </c>
      <c r="BG1031" s="468">
        <f ca="1">IF($BE1031&gt;DATE(YEAR($BD$9)+OP!$C$57,MONTH($BD$9),DAY($BD$9)),0,$BE1031-$BD1031+1)</f>
        <v>0</v>
      </c>
      <c r="BH1031" s="469">
        <f t="shared" ca="1" si="640"/>
        <v>1</v>
      </c>
      <c r="BI1031" t="str">
        <f t="shared" si="656"/>
        <v/>
      </c>
      <c r="BJ1031">
        <v>2</v>
      </c>
      <c r="BN1031" s="468">
        <f t="shared" si="652"/>
        <v>86</v>
      </c>
      <c r="BO1031" s="468">
        <f t="shared" si="653"/>
        <v>2</v>
      </c>
      <c r="BP1031" s="467">
        <f t="shared" ca="1" si="641"/>
        <v>73994</v>
      </c>
      <c r="BQ1031" s="475">
        <f t="shared" ca="1" si="655"/>
        <v>118</v>
      </c>
      <c r="BR1031" s="475" t="str">
        <f t="shared" si="654"/>
        <v/>
      </c>
      <c r="BS1031" s="471" t="str">
        <f t="shared" si="642"/>
        <v/>
      </c>
      <c r="BT1031" s="472" t="str">
        <f t="shared" si="657"/>
        <v/>
      </c>
      <c r="BU1031" s="472">
        <f t="shared" ca="1" si="643"/>
        <v>0</v>
      </c>
      <c r="BV1031" s="472">
        <f t="shared" ca="1" si="643"/>
        <v>0</v>
      </c>
      <c r="BW1031" s="472"/>
      <c r="BX1031" s="473">
        <f t="shared" ca="1" si="644"/>
        <v>2773067.3687572698</v>
      </c>
      <c r="BY1031" s="473">
        <f t="shared" si="645"/>
        <v>0</v>
      </c>
      <c r="BZ1031" s="473">
        <f t="shared" ca="1" si="627"/>
        <v>204.37118278299999</v>
      </c>
      <c r="CA1031" s="476">
        <f t="shared" ca="1" si="646"/>
        <v>0</v>
      </c>
      <c r="CB1031" s="494">
        <f ca="1">IF(OR($Q1030&lt;&gt;1,OP!$D$5+$BN1031-1&lt;16,$BN1031-1&lt;1),0,ROUND(ROUND(ROUND(((VLOOKUP($BN1031-1,MORE_PV,5,0)/10000)*VLOOKUP($BN1031,MORE_PV,$CB$5,0)),3)*VLOOKUP($BN1031,more1,5,0),0)/$R1030,0))</f>
        <v>0</v>
      </c>
      <c r="CC1031" s="473">
        <f t="shared" ca="1" si="647"/>
        <v>0</v>
      </c>
      <c r="CD1031" s="477"/>
    </row>
    <row r="1032" spans="2:82" ht="16.5" hidden="1">
      <c r="B1032" s="80"/>
      <c r="C1032" s="80"/>
      <c r="D1032" s="80"/>
      <c r="E1032" s="80"/>
      <c r="F1032" s="80"/>
      <c r="G1032" s="80"/>
      <c r="H1032" s="80"/>
      <c r="I1032" s="80"/>
      <c r="J1032" s="192">
        <f t="shared" si="628"/>
        <v>86</v>
      </c>
      <c r="K1032" s="192">
        <f t="shared" si="629"/>
        <v>4</v>
      </c>
      <c r="L1032" s="192" t="str">
        <f t="shared" si="624"/>
        <v/>
      </c>
      <c r="M1032" s="216" t="str">
        <f t="shared" ca="1" si="630"/>
        <v/>
      </c>
      <c r="N1032" s="216"/>
      <c r="O1032" s="216"/>
      <c r="P1032" s="216"/>
      <c r="Q1032" s="456">
        <f t="shared" ca="1" si="631"/>
        <v>1</v>
      </c>
      <c r="R1032" s="450">
        <f t="shared" ca="1" si="632"/>
        <v>12</v>
      </c>
      <c r="S1032" s="191">
        <f t="shared" si="633"/>
        <v>86</v>
      </c>
      <c r="T1032" s="191">
        <f t="shared" si="634"/>
        <v>4</v>
      </c>
      <c r="U1032" s="191">
        <f ca="1">OP!$D$5+$S1032-1</f>
        <v>118</v>
      </c>
      <c r="V1032" s="191" t="str">
        <f t="shared" si="635"/>
        <v/>
      </c>
      <c r="W1032" s="350">
        <f ca="1">IF(Q1032&lt;&gt;1,0,VLOOKUP(OP!$C$55,PVFB,$S1032+2,0))</f>
        <v>0</v>
      </c>
      <c r="X1032" s="473" t="str">
        <f t="shared" ca="1" si="648"/>
        <v/>
      </c>
      <c r="Y1032" s="348">
        <f t="shared" ca="1" si="649"/>
        <v>0</v>
      </c>
      <c r="Z1032" s="348">
        <f t="shared" ca="1" si="650"/>
        <v>8012</v>
      </c>
      <c r="AA1032" s="348">
        <f ca="1">IF(Q1032&lt;&gt;1,0,VLOOKUP(OP!$C$55,PVFB,$S1032+2,0))</f>
        <v>0</v>
      </c>
      <c r="AB1032" s="488" t="str">
        <f ca="1">IF(AND(S1032&lt;OP!$C$24,$U1032&lt;15),0,IF(AND($U1032&lt;15,$T1032=12),ROUND(VLOOKUP($S1032,DOWN16,5,0),3),IF($T1032=12,ROUND(($Z1032/10000)*$AA1032,3)+IF(AND($P$7="購買增額繳清保險",T1032=12,U1032=110),VLOOKUP(S1032,$B$10:$H$121,7,0),0),"")))</f>
        <v/>
      </c>
      <c r="AC1032" s="350" t="str">
        <f ca="1">IF(AND(S1032&lt;OP!$C$24,$U1032&lt;15),0,IF(AND($U1032&lt;16,$T1032=12),VLOOKUP($S1032,DOWN16,4,0),IF($T1032=12,ROUND(VLOOKUP(OP!$C$55,_DIE2,$S1032+1,0)*(Z1032/10000),0)+IF(AND($P$7="購買增額繳清保險",T1032=12,U1032=110),VLOOKUP(S1032,$B$10:$H$121,7,0),0),"")))</f>
        <v/>
      </c>
      <c r="AD1032" s="347"/>
      <c r="AE1032" s="350" t="str">
        <f t="shared" ca="1" si="625"/>
        <v/>
      </c>
      <c r="AF1032" s="351" t="str">
        <f t="shared" ca="1" si="626"/>
        <v/>
      </c>
      <c r="AG1032" s="340"/>
      <c r="AH1032" s="340"/>
      <c r="AI1032" s="340"/>
      <c r="AJ1032" s="340"/>
      <c r="AK1032" s="340"/>
      <c r="AL1032" s="340"/>
      <c r="AM1032" s="340"/>
      <c r="AN1032" s="340"/>
      <c r="AO1032" s="340"/>
      <c r="AP1032" s="340"/>
      <c r="AQ1032" s="340"/>
      <c r="AR1032" s="340"/>
      <c r="AS1032" s="340"/>
      <c r="AT1032" s="340"/>
      <c r="AU1032" s="340"/>
      <c r="AV1032" s="340"/>
      <c r="AY1032" s="340"/>
      <c r="AZ1032" s="465">
        <f t="shared" ca="1" si="636"/>
        <v>7.3698599999999999E-5</v>
      </c>
      <c r="BA1032" s="464">
        <f t="shared" ca="1" si="637"/>
        <v>0</v>
      </c>
      <c r="BB1032" s="465">
        <f t="shared" ca="1" si="637"/>
        <v>7.3698599999999999E-5</v>
      </c>
      <c r="BC1032" s="466">
        <f t="shared" ca="1" si="638"/>
        <v>74024</v>
      </c>
      <c r="BD1032" s="467">
        <f t="shared" ca="1" si="651"/>
        <v>74025</v>
      </c>
      <c r="BE1032" s="467">
        <f t="shared" ca="1" si="639"/>
        <v>74053</v>
      </c>
      <c r="BF1032" s="468">
        <f ca="1">IF(計算!$BC1032&lt;OP!$C$3,0,BD1032-BC1032)</f>
        <v>1</v>
      </c>
      <c r="BG1032" s="468">
        <f ca="1">IF($BE1032&gt;DATE(YEAR($BD$9)+OP!$C$57,MONTH($BD$9),DAY($BD$9)),0,$BE1032-$BD1032+1)</f>
        <v>0</v>
      </c>
      <c r="BH1032" s="469">
        <f t="shared" ca="1" si="640"/>
        <v>1</v>
      </c>
      <c r="BI1032" t="str">
        <f t="shared" si="656"/>
        <v/>
      </c>
      <c r="BJ1032">
        <v>3</v>
      </c>
      <c r="BN1032" s="468">
        <f t="shared" si="652"/>
        <v>86</v>
      </c>
      <c r="BO1032" s="468">
        <f t="shared" si="653"/>
        <v>3</v>
      </c>
      <c r="BP1032" s="467">
        <f t="shared" ca="1" si="641"/>
        <v>74025</v>
      </c>
      <c r="BQ1032" s="475">
        <f t="shared" ca="1" si="655"/>
        <v>118</v>
      </c>
      <c r="BR1032" s="475" t="str">
        <f t="shared" si="654"/>
        <v/>
      </c>
      <c r="BS1032" s="471" t="str">
        <f t="shared" si="642"/>
        <v/>
      </c>
      <c r="BT1032" s="472" t="str">
        <f t="shared" si="657"/>
        <v/>
      </c>
      <c r="BU1032" s="472">
        <f t="shared" ca="1" si="643"/>
        <v>0</v>
      </c>
      <c r="BV1032" s="472">
        <f t="shared" ca="1" si="643"/>
        <v>0</v>
      </c>
      <c r="BW1032" s="472"/>
      <c r="BX1032" s="473">
        <f t="shared" ca="1" si="644"/>
        <v>2773271.7399400501</v>
      </c>
      <c r="BY1032" s="473">
        <f t="shared" si="645"/>
        <v>0</v>
      </c>
      <c r="BZ1032" s="473">
        <f t="shared" ca="1" si="627"/>
        <v>204.38624465300001</v>
      </c>
      <c r="CA1032" s="476">
        <f t="shared" ca="1" si="646"/>
        <v>0</v>
      </c>
      <c r="CB1032" s="494">
        <f ca="1">IF(OR($Q1031&lt;&gt;1,OP!$D$5+$BN1032-1&lt;16,$BN1032-1&lt;1),0,ROUND(ROUND(ROUND(((VLOOKUP($BN1032-1,MORE_PV,5,0)/10000)*VLOOKUP($BN1032,MORE_PV,$CB$5,0)),3)*VLOOKUP($BN1032,more1,5,0),0)/$R1031,0))</f>
        <v>0</v>
      </c>
      <c r="CC1032" s="473">
        <f t="shared" ca="1" si="647"/>
        <v>0</v>
      </c>
      <c r="CD1032" s="477"/>
    </row>
    <row r="1033" spans="2:82" ht="16.5" hidden="1">
      <c r="B1033" s="80"/>
      <c r="C1033" s="80"/>
      <c r="D1033" s="80"/>
      <c r="E1033" s="80"/>
      <c r="F1033" s="80"/>
      <c r="G1033" s="80"/>
      <c r="H1033" s="80"/>
      <c r="I1033" s="80"/>
      <c r="J1033" s="192">
        <f t="shared" si="628"/>
        <v>86</v>
      </c>
      <c r="K1033" s="192">
        <f t="shared" si="629"/>
        <v>5</v>
      </c>
      <c r="L1033" s="192" t="str">
        <f t="shared" ref="L1033:L1096" si="658">IF($K1033=12,$J1033,"")</f>
        <v/>
      </c>
      <c r="M1033" s="216" t="str">
        <f t="shared" ca="1" si="630"/>
        <v/>
      </c>
      <c r="N1033" s="216"/>
      <c r="O1033" s="216"/>
      <c r="P1033" s="216"/>
      <c r="Q1033" s="456">
        <f t="shared" ca="1" si="631"/>
        <v>1</v>
      </c>
      <c r="R1033" s="450">
        <f t="shared" ca="1" si="632"/>
        <v>12</v>
      </c>
      <c r="S1033" s="191">
        <f t="shared" si="633"/>
        <v>86</v>
      </c>
      <c r="T1033" s="191">
        <f t="shared" si="634"/>
        <v>5</v>
      </c>
      <c r="U1033" s="191">
        <f ca="1">OP!$D$5+$S1033-1</f>
        <v>118</v>
      </c>
      <c r="V1033" s="191" t="str">
        <f t="shared" si="635"/>
        <v/>
      </c>
      <c r="W1033" s="350">
        <f ca="1">IF(Q1033&lt;&gt;1,0,VLOOKUP(OP!$C$55,PVFB,$S1033+2,0))</f>
        <v>0</v>
      </c>
      <c r="X1033" s="473" t="str">
        <f t="shared" ca="1" si="648"/>
        <v/>
      </c>
      <c r="Y1033" s="348">
        <f t="shared" ca="1" si="649"/>
        <v>0</v>
      </c>
      <c r="Z1033" s="348">
        <f t="shared" ca="1" si="650"/>
        <v>8012</v>
      </c>
      <c r="AA1033" s="348">
        <f ca="1">IF(Q1033&lt;&gt;1,0,VLOOKUP(OP!$C$55,PVFB,$S1033+2,0))</f>
        <v>0</v>
      </c>
      <c r="AB1033" s="488" t="str">
        <f ca="1">IF(AND(S1033&lt;OP!$C$24,$U1033&lt;15),0,IF(AND($U1033&lt;15,$T1033=12),ROUND(VLOOKUP($S1033,DOWN16,5,0),3),IF($T1033=12,ROUND(($Z1033/10000)*$AA1033,3)+IF(AND($P$7="購買增額繳清保險",T1033=12,U1033=110),VLOOKUP(S1033,$B$10:$H$121,7,0),0),"")))</f>
        <v/>
      </c>
      <c r="AC1033" s="350" t="str">
        <f ca="1">IF(AND(S1033&lt;OP!$C$24,$U1033&lt;15),0,IF(AND($U1033&lt;16,$T1033=12),VLOOKUP($S1033,DOWN16,4,0),IF($T1033=12,ROUND(VLOOKUP(OP!$C$55,_DIE2,$S1033+1,0)*(Z1033/10000),0)+IF(AND($P$7="購買增額繳清保險",T1033=12,U1033=110),VLOOKUP(S1033,$B$10:$H$121,7,0),0),"")))</f>
        <v/>
      </c>
      <c r="AD1033" s="347"/>
      <c r="AE1033" s="350" t="str">
        <f t="shared" ref="AE1033:AE1096" ca="1" si="659">IF(AND($U$9&lt;16,$T1033=12),VLOOKUP($S1033,DOWN16,4,0),"")</f>
        <v/>
      </c>
      <c r="AF1033" s="351" t="str">
        <f t="shared" ref="AF1033:AF1096" ca="1" si="660">IF(AND($U$9&lt;16,$T1033=12),VLOOKUP($S1033,DOWN16,5,0),"")</f>
        <v/>
      </c>
      <c r="AG1033" s="340"/>
      <c r="AH1033" s="340"/>
      <c r="AI1033" s="340"/>
      <c r="AJ1033" s="340"/>
      <c r="AK1033" s="340"/>
      <c r="AL1033" s="340"/>
      <c r="AM1033" s="340"/>
      <c r="AN1033" s="340"/>
      <c r="AO1033" s="340"/>
      <c r="AP1033" s="340"/>
      <c r="AQ1033" s="340"/>
      <c r="AR1033" s="340"/>
      <c r="AS1033" s="340"/>
      <c r="AT1033" s="340"/>
      <c r="AU1033" s="340"/>
      <c r="AV1033" s="340"/>
      <c r="AY1033" s="340"/>
      <c r="AZ1033" s="465">
        <f t="shared" ca="1" si="636"/>
        <v>7.3698599999999999E-5</v>
      </c>
      <c r="BA1033" s="464">
        <f t="shared" ca="1" si="637"/>
        <v>0</v>
      </c>
      <c r="BB1033" s="465">
        <f t="shared" ca="1" si="637"/>
        <v>7.3698599999999999E-5</v>
      </c>
      <c r="BC1033" s="466">
        <f t="shared" ca="1" si="638"/>
        <v>74054</v>
      </c>
      <c r="BD1033" s="467">
        <f t="shared" ca="1" si="651"/>
        <v>74055</v>
      </c>
      <c r="BE1033" s="467">
        <f t="shared" ca="1" si="639"/>
        <v>74084</v>
      </c>
      <c r="BF1033" s="468">
        <f ca="1">IF(計算!$BC1033&lt;OP!$C$3,0,BD1033-BC1033)</f>
        <v>1</v>
      </c>
      <c r="BG1033" s="468">
        <f ca="1">IF($BE1033&gt;DATE(YEAR($BD$9)+OP!$C$57,MONTH($BD$9),DAY($BD$9)),0,$BE1033-$BD1033+1)</f>
        <v>0</v>
      </c>
      <c r="BH1033" s="469">
        <f t="shared" ca="1" si="640"/>
        <v>1</v>
      </c>
      <c r="BI1033" t="str">
        <f t="shared" si="656"/>
        <v/>
      </c>
      <c r="BJ1033">
        <v>4</v>
      </c>
      <c r="BN1033" s="468">
        <f t="shared" si="652"/>
        <v>86</v>
      </c>
      <c r="BO1033" s="468">
        <f t="shared" si="653"/>
        <v>4</v>
      </c>
      <c r="BP1033" s="467">
        <f t="shared" ca="1" si="641"/>
        <v>74055</v>
      </c>
      <c r="BQ1033" s="475">
        <f t="shared" ca="1" si="655"/>
        <v>118</v>
      </c>
      <c r="BR1033" s="475" t="str">
        <f t="shared" si="654"/>
        <v/>
      </c>
      <c r="BS1033" s="471" t="str">
        <f t="shared" si="642"/>
        <v/>
      </c>
      <c r="BT1033" s="472" t="str">
        <f t="shared" si="657"/>
        <v/>
      </c>
      <c r="BU1033" s="472">
        <f t="shared" ca="1" si="643"/>
        <v>0</v>
      </c>
      <c r="BV1033" s="472">
        <f t="shared" ca="1" si="643"/>
        <v>0</v>
      </c>
      <c r="BW1033" s="472"/>
      <c r="BX1033" s="473">
        <f t="shared" ca="1" si="644"/>
        <v>2773476.1261847001</v>
      </c>
      <c r="BY1033" s="473">
        <f t="shared" si="645"/>
        <v>0</v>
      </c>
      <c r="BZ1033" s="473">
        <f t="shared" ref="BZ1033:BZ1096" ca="1" si="661">ROUND(BX1033*IF(BO1033=12,$BA1033,$BB1033),$CB$6)</f>
        <v>204.40130763299999</v>
      </c>
      <c r="CA1033" s="476">
        <f t="shared" ca="1" si="646"/>
        <v>0</v>
      </c>
      <c r="CB1033" s="494">
        <f ca="1">IF(OR($Q1032&lt;&gt;1,OP!$D$5+$BN1033-1&lt;16,$BN1033-1&lt;1),0,ROUND(ROUND(ROUND(((VLOOKUP($BN1033-1,MORE_PV,5,0)/10000)*VLOOKUP($BN1033,MORE_PV,$CB$5,0)),3)*VLOOKUP($BN1033,more1,5,0),0)/$R1032,0))</f>
        <v>0</v>
      </c>
      <c r="CC1033" s="473">
        <f t="shared" ca="1" si="647"/>
        <v>0</v>
      </c>
      <c r="CD1033" s="477"/>
    </row>
    <row r="1034" spans="2:82" ht="16.5" hidden="1">
      <c r="B1034" s="80"/>
      <c r="C1034" s="80"/>
      <c r="D1034" s="80"/>
      <c r="E1034" s="80"/>
      <c r="F1034" s="80"/>
      <c r="G1034" s="80"/>
      <c r="H1034" s="80"/>
      <c r="I1034" s="80"/>
      <c r="J1034" s="192">
        <f t="shared" ref="J1034:J1097" si="662">IF(K1033=12,J1033+1,J1033)</f>
        <v>86</v>
      </c>
      <c r="K1034" s="192">
        <f t="shared" ref="K1034:K1097" si="663">IF(K1033=12,1,K1033+1)</f>
        <v>6</v>
      </c>
      <c r="L1034" s="192" t="str">
        <f t="shared" si="658"/>
        <v/>
      </c>
      <c r="M1034" s="216" t="str">
        <f t="shared" ref="M1034:M1097" ca="1" si="664">IF($Q1034=1,VLOOKUP(L1034,$BR$9:$BT$1341,3,0),0)</f>
        <v/>
      </c>
      <c r="N1034" s="216"/>
      <c r="O1034" s="216"/>
      <c r="P1034" s="216"/>
      <c r="Q1034" s="456">
        <f t="shared" ref="Q1034:Q1097" ca="1" si="665">IF(OR($U1034&gt;=$I$5,AND($G$5=1,$K1034=12),AND($G$5=2,OR($K1034=6,$K1034=12)),AND($G$5=4,OR($K1034=3,$K1034=6,$K1034=9,$K1034=12)),$G$5=12),1,"")</f>
        <v>1</v>
      </c>
      <c r="R1034" s="450">
        <f t="shared" ref="R1034:R1097" ca="1" si="666">IF($U1034&lt;$I$5,$G$5,$I$6)</f>
        <v>12</v>
      </c>
      <c r="S1034" s="191">
        <f t="shared" ref="S1034:S1097" si="667">IF(T1033=12,S1033+1,S1033)</f>
        <v>86</v>
      </c>
      <c r="T1034" s="191">
        <f t="shared" ref="T1034:T1097" si="668">IF(T1033=12,1,T1033+1)</f>
        <v>6</v>
      </c>
      <c r="U1034" s="191">
        <f ca="1">OP!$D$5+$S1034-1</f>
        <v>118</v>
      </c>
      <c r="V1034" s="191" t="str">
        <f t="shared" ref="V1034:V1097" si="669">IF($T1034=12,$S1034,"")</f>
        <v/>
      </c>
      <c r="W1034" s="350">
        <f ca="1">IF(Q1034&lt;&gt;1,0,VLOOKUP(OP!$C$55,PVFB,$S1034+2,0))</f>
        <v>0</v>
      </c>
      <c r="X1034" s="473" t="str">
        <f t="shared" ca="1" si="648"/>
        <v/>
      </c>
      <c r="Y1034" s="348">
        <f t="shared" ca="1" si="649"/>
        <v>0</v>
      </c>
      <c r="Z1034" s="348">
        <f t="shared" ca="1" si="650"/>
        <v>8012</v>
      </c>
      <c r="AA1034" s="348">
        <f ca="1">IF(Q1034&lt;&gt;1,0,VLOOKUP(OP!$C$55,PVFB,$S1034+2,0))</f>
        <v>0</v>
      </c>
      <c r="AB1034" s="488" t="str">
        <f ca="1">IF(AND(S1034&lt;OP!$C$24,$U1034&lt;15),0,IF(AND($U1034&lt;15,$T1034=12),ROUND(VLOOKUP($S1034,DOWN16,5,0),3),IF($T1034=12,ROUND(($Z1034/10000)*$AA1034,3)+IF(AND($P$7="購買增額繳清保險",T1034=12,U1034=110),VLOOKUP(S1034,$B$10:$H$121,7,0),0),"")))</f>
        <v/>
      </c>
      <c r="AC1034" s="350" t="str">
        <f ca="1">IF(AND(S1034&lt;OP!$C$24,$U1034&lt;15),0,IF(AND($U1034&lt;16,$T1034=12),VLOOKUP($S1034,DOWN16,4,0),IF($T1034=12,ROUND(VLOOKUP(OP!$C$55,_DIE2,$S1034+1,0)*(Z1034/10000),0)+IF(AND($P$7="購買增額繳清保險",T1034=12,U1034=110),VLOOKUP(S1034,$B$10:$H$121,7,0),0),"")))</f>
        <v/>
      </c>
      <c r="AD1034" s="347"/>
      <c r="AE1034" s="350" t="str">
        <f t="shared" ca="1" si="659"/>
        <v/>
      </c>
      <c r="AF1034" s="351" t="str">
        <f t="shared" ca="1" si="660"/>
        <v/>
      </c>
      <c r="AG1034" s="340"/>
      <c r="AH1034" s="340"/>
      <c r="AI1034" s="340"/>
      <c r="AJ1034" s="340"/>
      <c r="AK1034" s="340"/>
      <c r="AL1034" s="340"/>
      <c r="AM1034" s="340"/>
      <c r="AN1034" s="340"/>
      <c r="AO1034" s="340"/>
      <c r="AP1034" s="340"/>
      <c r="AQ1034" s="340"/>
      <c r="AR1034" s="340"/>
      <c r="AS1034" s="340"/>
      <c r="AT1034" s="340"/>
      <c r="AU1034" s="340"/>
      <c r="AV1034" s="340"/>
      <c r="AY1034" s="340"/>
      <c r="AZ1034" s="465">
        <f t="shared" ref="AZ1034:AZ1097" ca="1" si="670">ROUND(($G$3*BF1034/365),10)</f>
        <v>7.3698599999999999E-5</v>
      </c>
      <c r="BA1034" s="464">
        <f t="shared" ref="BA1034:BB1097" ca="1" si="671">ROUND(($G$3*BG1034/365),10)</f>
        <v>0</v>
      </c>
      <c r="BB1034" s="465">
        <f t="shared" ca="1" si="671"/>
        <v>7.3698599999999999E-5</v>
      </c>
      <c r="BC1034" s="466">
        <f t="shared" ref="BC1034:BC1097" ca="1" si="672">DATE(YEAR(BD1034),MONTH(BD1034),1)</f>
        <v>74085</v>
      </c>
      <c r="BD1034" s="467">
        <f t="shared" ca="1" si="651"/>
        <v>74086</v>
      </c>
      <c r="BE1034" s="467">
        <f t="shared" ref="BE1034:BE1097" ca="1" si="673">DATE(YEAR(BD1034),MONTH(BD1034),DAY(DATE(YEAR(BD1034),MONTH(BD1034)+1,0)))</f>
        <v>74114</v>
      </c>
      <c r="BF1034" s="468">
        <f ca="1">IF(計算!$BC1034&lt;OP!$C$3,0,BD1034-BC1034)</f>
        <v>1</v>
      </c>
      <c r="BG1034" s="468">
        <f ca="1">IF($BE1034&gt;DATE(YEAR($BD$9)+OP!$C$57,MONTH($BD$9),DAY($BD$9)),0,$BE1034-$BD1034+1)</f>
        <v>0</v>
      </c>
      <c r="BH1034" s="469">
        <f t="shared" ref="BH1034:BH1097" ca="1" si="674">BF1034+BG1034</f>
        <v>1</v>
      </c>
      <c r="BI1034" t="str">
        <f t="shared" si="656"/>
        <v/>
      </c>
      <c r="BJ1034">
        <v>5</v>
      </c>
      <c r="BN1034" s="468">
        <f t="shared" si="652"/>
        <v>86</v>
      </c>
      <c r="BO1034" s="468">
        <f t="shared" si="653"/>
        <v>5</v>
      </c>
      <c r="BP1034" s="467">
        <f t="shared" ref="BP1034:BP1097" ca="1" si="675">BD1034</f>
        <v>74086</v>
      </c>
      <c r="BQ1034" s="475">
        <f t="shared" ca="1" si="655"/>
        <v>118</v>
      </c>
      <c r="BR1034" s="475" t="str">
        <f t="shared" si="654"/>
        <v/>
      </c>
      <c r="BS1034" s="471" t="str">
        <f t="shared" ref="BS1034:BS1097" si="676">IF(BW1034&lt;&gt;"",ROUND(BU1034,0)+ROUND(BV1034,0),"")</f>
        <v/>
      </c>
      <c r="BT1034" s="472" t="str">
        <f t="shared" si="657"/>
        <v/>
      </c>
      <c r="BU1034" s="472">
        <f t="shared" ref="BU1034:BV1097" ca="1" si="677">ROUND(CA1034,0)</f>
        <v>0</v>
      </c>
      <c r="BV1034" s="472">
        <f t="shared" ca="1" si="677"/>
        <v>0</v>
      </c>
      <c r="BW1034" s="472"/>
      <c r="BX1034" s="473">
        <f t="shared" ref="BX1034:BX1097" ca="1" si="678">IF(BN1034&lt;=$P$4,0,ROUNDDOWN(IF($Q1033=1,CA1034+CB1034-CC1034,0)+BX1033+BY1034+BZ1033,VLOOKUP(LEN(ROUNDDOWN(IF($Q1033=1,CA1034+CB1034-CC1034,0)+BX1033+BY1034+BZ1033,0)),$BK$9:$BL$24,2,0)))</f>
        <v>2773680.5274923299</v>
      </c>
      <c r="BY1034" s="473">
        <f t="shared" ref="BY1034:BY1097" si="679">IF(BO1034=12,ROUND((BX1033+BZ1033)*$AZ1034,$CB$6),0)</f>
        <v>0</v>
      </c>
      <c r="BZ1034" s="473">
        <f t="shared" ca="1" si="661"/>
        <v>204.416371723</v>
      </c>
      <c r="CA1034" s="476">
        <f t="shared" ref="CA1034:CA1097" ca="1" si="680">IF($Q1033=1,ROUND(VLOOKUP($BN1034,more1,3,0)*VLOOKUP($BN1034,more1,5,0)/$R1033,0),0)</f>
        <v>0</v>
      </c>
      <c r="CB1034" s="494">
        <f ca="1">IF(OR($Q1033&lt;&gt;1,OP!$D$5+$BN1034-1&lt;16,$BN1034-1&lt;1),0,ROUND(ROUND(ROUND(((VLOOKUP($BN1034-1,MORE_PV,5,0)/10000)*VLOOKUP($BN1034,MORE_PV,$CB$5,0)),3)*VLOOKUP($BN1034,more1,5,0),0)/$R1033,0))</f>
        <v>0</v>
      </c>
      <c r="CC1034" s="473">
        <f t="shared" ref="CC1034:CC1097" ca="1" si="681">IF(AND($BN1034=$P$4,$BO1034=12),$CA1034+$CB1034,IF(AND($BN1034&gt;$P$4,$Q1033=1,$G$6="現金給付",$CA1034+$CB1034&gt;=$P$3),$CA1034+$CB1034,0))</f>
        <v>0</v>
      </c>
      <c r="CD1034" s="477"/>
    </row>
    <row r="1035" spans="2:82" ht="16.5" hidden="1">
      <c r="B1035" s="80"/>
      <c r="C1035" s="80"/>
      <c r="D1035" s="80"/>
      <c r="E1035" s="80"/>
      <c r="F1035" s="80"/>
      <c r="G1035" s="80"/>
      <c r="H1035" s="80"/>
      <c r="I1035" s="80"/>
      <c r="J1035" s="192">
        <f t="shared" si="662"/>
        <v>86</v>
      </c>
      <c r="K1035" s="192">
        <f t="shared" si="663"/>
        <v>7</v>
      </c>
      <c r="L1035" s="192" t="str">
        <f t="shared" si="658"/>
        <v/>
      </c>
      <c r="M1035" s="216" t="str">
        <f t="shared" ca="1" si="664"/>
        <v/>
      </c>
      <c r="N1035" s="216"/>
      <c r="O1035" s="216"/>
      <c r="P1035" s="216"/>
      <c r="Q1035" s="456">
        <f t="shared" ca="1" si="665"/>
        <v>1</v>
      </c>
      <c r="R1035" s="450">
        <f t="shared" ca="1" si="666"/>
        <v>12</v>
      </c>
      <c r="S1035" s="191">
        <f t="shared" si="667"/>
        <v>86</v>
      </c>
      <c r="T1035" s="191">
        <f t="shared" si="668"/>
        <v>7</v>
      </c>
      <c r="U1035" s="191">
        <f ca="1">OP!$D$5+$S1035-1</f>
        <v>118</v>
      </c>
      <c r="V1035" s="191" t="str">
        <f t="shared" si="669"/>
        <v/>
      </c>
      <c r="W1035" s="350">
        <f ca="1">IF(Q1035&lt;&gt;1,0,VLOOKUP(OP!$C$55,PVFB,$S1035+2,0))</f>
        <v>0</v>
      </c>
      <c r="X1035" s="473" t="str">
        <f t="shared" ref="X1035:X1098" ca="1" si="682">IF(AND($U1035=15,$T1035=12),$CO1036,IF(AND($U1035&gt;15,$S1035&lt;=$P$4,$T1035=12),($BS1036)*$R1035,IF($Q1035=1,($BS1036),0)))</f>
        <v/>
      </c>
      <c r="Y1035" s="348">
        <f t="shared" ref="Y1035:Y1098" ca="1" si="683">IF(AND($P$7="購買增額繳清保險",U1035&gt;=110),0,IF(AND($U1035=15,$W1035&lt;&gt;0,$T1035=12),ROUND(($X1035)/($W1035/10000),0),IF(AND($S1035&lt;=$P$4,$W1035&lt;&gt;0,$T1035=12,$U1035&gt;15),ROUND(($X1035)/($W1035/10000),0),0)))</f>
        <v>0</v>
      </c>
      <c r="Z1035" s="348">
        <f t="shared" ref="Z1035:Z1098" ca="1" si="684">Z1034+Y1035</f>
        <v>8012</v>
      </c>
      <c r="AA1035" s="348">
        <f ca="1">IF(Q1035&lt;&gt;1,0,VLOOKUP(OP!$C$55,PVFB,$S1035+2,0))</f>
        <v>0</v>
      </c>
      <c r="AB1035" s="488" t="str">
        <f ca="1">IF(AND(S1035&lt;OP!$C$24,$U1035&lt;15),0,IF(AND($U1035&lt;15,$T1035=12),ROUND(VLOOKUP($S1035,DOWN16,5,0),3),IF($T1035=12,ROUND(($Z1035/10000)*$AA1035,3)+IF(AND($P$7="購買增額繳清保險",T1035=12,U1035=110),VLOOKUP(S1035,$B$10:$H$121,7,0),0),"")))</f>
        <v/>
      </c>
      <c r="AC1035" s="350" t="str">
        <f ca="1">IF(AND(S1035&lt;OP!$C$24,$U1035&lt;15),0,IF(AND($U1035&lt;16,$T1035=12),VLOOKUP($S1035,DOWN16,4,0),IF($T1035=12,ROUND(VLOOKUP(OP!$C$55,_DIE2,$S1035+1,0)*(Z1035/10000),0)+IF(AND($P$7="購買增額繳清保險",T1035=12,U1035=110),VLOOKUP(S1035,$B$10:$H$121,7,0),0),"")))</f>
        <v/>
      </c>
      <c r="AD1035" s="347"/>
      <c r="AE1035" s="350" t="str">
        <f t="shared" ca="1" si="659"/>
        <v/>
      </c>
      <c r="AF1035" s="351" t="str">
        <f t="shared" ca="1" si="660"/>
        <v/>
      </c>
      <c r="AG1035" s="340"/>
      <c r="AH1035" s="340"/>
      <c r="AI1035" s="340"/>
      <c r="AJ1035" s="340"/>
      <c r="AK1035" s="340"/>
      <c r="AL1035" s="340"/>
      <c r="AM1035" s="340"/>
      <c r="AN1035" s="340"/>
      <c r="AO1035" s="340"/>
      <c r="AP1035" s="340"/>
      <c r="AQ1035" s="340"/>
      <c r="AR1035" s="340"/>
      <c r="AS1035" s="340"/>
      <c r="AT1035" s="340"/>
      <c r="AU1035" s="340"/>
      <c r="AV1035" s="340"/>
      <c r="AY1035" s="340"/>
      <c r="AZ1035" s="465">
        <f t="shared" ca="1" si="670"/>
        <v>7.3698599999999999E-5</v>
      </c>
      <c r="BA1035" s="464">
        <f t="shared" ca="1" si="671"/>
        <v>0</v>
      </c>
      <c r="BB1035" s="465">
        <f t="shared" ca="1" si="671"/>
        <v>7.3698599999999999E-5</v>
      </c>
      <c r="BC1035" s="466">
        <f t="shared" ca="1" si="672"/>
        <v>74115</v>
      </c>
      <c r="BD1035" s="467">
        <f t="shared" ref="BD1035:BD1098" ca="1" si="685">DATE(YEAR(BD1034),MONTH(BD1034)+1,MIN(DAY($BD$9),DAY(DATE(YEAR(BD1034),MONTH(BD1034)+2,0))))</f>
        <v>74116</v>
      </c>
      <c r="BE1035" s="467">
        <f t="shared" ca="1" si="673"/>
        <v>74145</v>
      </c>
      <c r="BF1035" s="468">
        <f ca="1">IF(計算!$BC1035&lt;OP!$C$3,0,BD1035-BC1035)</f>
        <v>1</v>
      </c>
      <c r="BG1035" s="468">
        <f ca="1">IF($BE1035&gt;DATE(YEAR($BD$9)+OP!$C$57,MONTH($BD$9),DAY($BD$9)),0,$BE1035-$BD1035+1)</f>
        <v>0</v>
      </c>
      <c r="BH1035" s="469">
        <f t="shared" ca="1" si="674"/>
        <v>1</v>
      </c>
      <c r="BI1035" t="str">
        <f t="shared" si="656"/>
        <v/>
      </c>
      <c r="BJ1035">
        <v>6</v>
      </c>
      <c r="BN1035" s="468">
        <f t="shared" ref="BN1035:BN1098" si="686">IF(BO1034=12,BN1034+1,BN1034)</f>
        <v>86</v>
      </c>
      <c r="BO1035" s="468">
        <f t="shared" ref="BO1035:BO1098" si="687">IF(BO1034=12,1,BO1034+1)</f>
        <v>6</v>
      </c>
      <c r="BP1035" s="467">
        <f t="shared" ca="1" si="675"/>
        <v>74116</v>
      </c>
      <c r="BQ1035" s="475">
        <f t="shared" ca="1" si="655"/>
        <v>118</v>
      </c>
      <c r="BR1035" s="475" t="str">
        <f t="shared" ref="BR1035:BR1098" si="688">IF(BO1035=12,BN1035,"")</f>
        <v/>
      </c>
      <c r="BS1035" s="471" t="str">
        <f t="shared" si="676"/>
        <v/>
      </c>
      <c r="BT1035" s="472" t="str">
        <f t="shared" si="657"/>
        <v/>
      </c>
      <c r="BU1035" s="472">
        <f t="shared" ca="1" si="677"/>
        <v>0</v>
      </c>
      <c r="BV1035" s="472">
        <f t="shared" ca="1" si="677"/>
        <v>0</v>
      </c>
      <c r="BW1035" s="472"/>
      <c r="BX1035" s="473">
        <f t="shared" ca="1" si="678"/>
        <v>2773884.9438640499</v>
      </c>
      <c r="BY1035" s="473">
        <f t="shared" si="679"/>
        <v>0</v>
      </c>
      <c r="BZ1035" s="473">
        <f t="shared" ca="1" si="661"/>
        <v>204.431436924</v>
      </c>
      <c r="CA1035" s="476">
        <f t="shared" ca="1" si="680"/>
        <v>0</v>
      </c>
      <c r="CB1035" s="494">
        <f ca="1">IF(OR($Q1034&lt;&gt;1,OP!$D$5+$BN1035-1&lt;16,$BN1035-1&lt;1),0,ROUND(ROUND(ROUND(((VLOOKUP($BN1035-1,MORE_PV,5,0)/10000)*VLOOKUP($BN1035,MORE_PV,$CB$5,0)),3)*VLOOKUP($BN1035,more1,5,0),0)/$R1034,0))</f>
        <v>0</v>
      </c>
      <c r="CC1035" s="473">
        <f t="shared" ca="1" si="681"/>
        <v>0</v>
      </c>
      <c r="CD1035" s="477"/>
    </row>
    <row r="1036" spans="2:82" ht="16.5" hidden="1">
      <c r="B1036" s="80"/>
      <c r="C1036" s="80"/>
      <c r="D1036" s="80"/>
      <c r="E1036" s="80"/>
      <c r="F1036" s="80"/>
      <c r="G1036" s="80"/>
      <c r="H1036" s="80"/>
      <c r="I1036" s="80"/>
      <c r="J1036" s="192">
        <f t="shared" si="662"/>
        <v>86</v>
      </c>
      <c r="K1036" s="192">
        <f t="shared" si="663"/>
        <v>8</v>
      </c>
      <c r="L1036" s="192" t="str">
        <f t="shared" si="658"/>
        <v/>
      </c>
      <c r="M1036" s="216" t="str">
        <f t="shared" ca="1" si="664"/>
        <v/>
      </c>
      <c r="N1036" s="216"/>
      <c r="O1036" s="216"/>
      <c r="P1036" s="216"/>
      <c r="Q1036" s="456">
        <f t="shared" ca="1" si="665"/>
        <v>1</v>
      </c>
      <c r="R1036" s="450">
        <f t="shared" ca="1" si="666"/>
        <v>12</v>
      </c>
      <c r="S1036" s="191">
        <f t="shared" si="667"/>
        <v>86</v>
      </c>
      <c r="T1036" s="191">
        <f t="shared" si="668"/>
        <v>8</v>
      </c>
      <c r="U1036" s="191">
        <f ca="1">OP!$D$5+$S1036-1</f>
        <v>118</v>
      </c>
      <c r="V1036" s="191" t="str">
        <f t="shared" si="669"/>
        <v/>
      </c>
      <c r="W1036" s="350">
        <f ca="1">IF(Q1036&lt;&gt;1,0,VLOOKUP(OP!$C$55,PVFB,$S1036+2,0))</f>
        <v>0</v>
      </c>
      <c r="X1036" s="473" t="str">
        <f t="shared" ca="1" si="682"/>
        <v/>
      </c>
      <c r="Y1036" s="348">
        <f t="shared" ca="1" si="683"/>
        <v>0</v>
      </c>
      <c r="Z1036" s="348">
        <f t="shared" ca="1" si="684"/>
        <v>8012</v>
      </c>
      <c r="AA1036" s="348">
        <f ca="1">IF(Q1036&lt;&gt;1,0,VLOOKUP(OP!$C$55,PVFB,$S1036+2,0))</f>
        <v>0</v>
      </c>
      <c r="AB1036" s="488" t="str">
        <f ca="1">IF(AND(S1036&lt;OP!$C$24,$U1036&lt;15),0,IF(AND($U1036&lt;15,$T1036=12),ROUND(VLOOKUP($S1036,DOWN16,5,0),3),IF($T1036=12,ROUND(($Z1036/10000)*$AA1036,3)+IF(AND($P$7="購買增額繳清保險",T1036=12,U1036=110),VLOOKUP(S1036,$B$10:$H$121,7,0),0),"")))</f>
        <v/>
      </c>
      <c r="AC1036" s="350" t="str">
        <f ca="1">IF(AND(S1036&lt;OP!$C$24,$U1036&lt;15),0,IF(AND($U1036&lt;16,$T1036=12),VLOOKUP($S1036,DOWN16,4,0),IF($T1036=12,ROUND(VLOOKUP(OP!$C$55,_DIE2,$S1036+1,0)*(Z1036/10000),0)+IF(AND($P$7="購買增額繳清保險",T1036=12,U1036=110),VLOOKUP(S1036,$B$10:$H$121,7,0),0),"")))</f>
        <v/>
      </c>
      <c r="AD1036" s="347"/>
      <c r="AE1036" s="350" t="str">
        <f t="shared" ca="1" si="659"/>
        <v/>
      </c>
      <c r="AF1036" s="351" t="str">
        <f t="shared" ca="1" si="660"/>
        <v/>
      </c>
      <c r="AG1036" s="340"/>
      <c r="AH1036" s="340"/>
      <c r="AI1036" s="340"/>
      <c r="AJ1036" s="340"/>
      <c r="AK1036" s="340"/>
      <c r="AL1036" s="340"/>
      <c r="AM1036" s="340"/>
      <c r="AN1036" s="340"/>
      <c r="AO1036" s="340"/>
      <c r="AP1036" s="340"/>
      <c r="AQ1036" s="340"/>
      <c r="AR1036" s="340"/>
      <c r="AS1036" s="340"/>
      <c r="AT1036" s="340"/>
      <c r="AU1036" s="340"/>
      <c r="AV1036" s="340"/>
      <c r="AY1036" s="340"/>
      <c r="AZ1036" s="465">
        <f t="shared" ca="1" si="670"/>
        <v>7.3698599999999999E-5</v>
      </c>
      <c r="BA1036" s="464">
        <f t="shared" ca="1" si="671"/>
        <v>0</v>
      </c>
      <c r="BB1036" s="465">
        <f t="shared" ca="1" si="671"/>
        <v>7.3698599999999999E-5</v>
      </c>
      <c r="BC1036" s="466">
        <f t="shared" ca="1" si="672"/>
        <v>74146</v>
      </c>
      <c r="BD1036" s="467">
        <f t="shared" ca="1" si="685"/>
        <v>74147</v>
      </c>
      <c r="BE1036" s="467">
        <f t="shared" ca="1" si="673"/>
        <v>74176</v>
      </c>
      <c r="BF1036" s="468">
        <f ca="1">IF(計算!$BC1036&lt;OP!$C$3,0,BD1036-BC1036)</f>
        <v>1</v>
      </c>
      <c r="BG1036" s="468">
        <f ca="1">IF($BE1036&gt;DATE(YEAR($BD$9)+OP!$C$57,MONTH($BD$9),DAY($BD$9)),0,$BE1036-$BD1036+1)</f>
        <v>0</v>
      </c>
      <c r="BH1036" s="469">
        <f t="shared" ca="1" si="674"/>
        <v>1</v>
      </c>
      <c r="BI1036" t="str">
        <f t="shared" si="656"/>
        <v/>
      </c>
      <c r="BJ1036">
        <v>7</v>
      </c>
      <c r="BN1036" s="468">
        <f t="shared" si="686"/>
        <v>86</v>
      </c>
      <c r="BO1036" s="468">
        <f t="shared" si="687"/>
        <v>7</v>
      </c>
      <c r="BP1036" s="467">
        <f t="shared" ca="1" si="675"/>
        <v>74147</v>
      </c>
      <c r="BQ1036" s="475">
        <f t="shared" ref="BQ1036:BQ1099" ca="1" si="689">IF(BO1035=12,BQ1035+1,BQ1035)</f>
        <v>118</v>
      </c>
      <c r="BR1036" s="475" t="str">
        <f t="shared" si="688"/>
        <v/>
      </c>
      <c r="BS1036" s="471" t="str">
        <f t="shared" si="676"/>
        <v/>
      </c>
      <c r="BT1036" s="472" t="str">
        <f t="shared" si="657"/>
        <v/>
      </c>
      <c r="BU1036" s="472">
        <f t="shared" ca="1" si="677"/>
        <v>0</v>
      </c>
      <c r="BV1036" s="472">
        <f t="shared" ca="1" si="677"/>
        <v>0</v>
      </c>
      <c r="BW1036" s="472"/>
      <c r="BX1036" s="473">
        <f t="shared" ca="1" si="678"/>
        <v>2774089.3753009699</v>
      </c>
      <c r="BY1036" s="473">
        <f t="shared" si="679"/>
        <v>0</v>
      </c>
      <c r="BZ1036" s="473">
        <f t="shared" ca="1" si="661"/>
        <v>204.44650323499999</v>
      </c>
      <c r="CA1036" s="476">
        <f t="shared" ca="1" si="680"/>
        <v>0</v>
      </c>
      <c r="CB1036" s="494">
        <f ca="1">IF(OR($Q1035&lt;&gt;1,OP!$D$5+$BN1036-1&lt;16,$BN1036-1&lt;1),0,ROUND(ROUND(ROUND(((VLOOKUP($BN1036-1,MORE_PV,5,0)/10000)*VLOOKUP($BN1036,MORE_PV,$CB$5,0)),3)*VLOOKUP($BN1036,more1,5,0),0)/$R1035,0))</f>
        <v>0</v>
      </c>
      <c r="CC1036" s="473">
        <f t="shared" ca="1" si="681"/>
        <v>0</v>
      </c>
      <c r="CD1036" s="477"/>
    </row>
    <row r="1037" spans="2:82" ht="16.5" hidden="1">
      <c r="B1037" s="80"/>
      <c r="C1037" s="80"/>
      <c r="D1037" s="80"/>
      <c r="E1037" s="80"/>
      <c r="F1037" s="80"/>
      <c r="G1037" s="80"/>
      <c r="H1037" s="80"/>
      <c r="I1037" s="80"/>
      <c r="J1037" s="192">
        <f t="shared" si="662"/>
        <v>86</v>
      </c>
      <c r="K1037" s="192">
        <f t="shared" si="663"/>
        <v>9</v>
      </c>
      <c r="L1037" s="192" t="str">
        <f t="shared" si="658"/>
        <v/>
      </c>
      <c r="M1037" s="216" t="str">
        <f t="shared" ca="1" si="664"/>
        <v/>
      </c>
      <c r="N1037" s="216"/>
      <c r="O1037" s="216"/>
      <c r="P1037" s="216"/>
      <c r="Q1037" s="456">
        <f t="shared" ca="1" si="665"/>
        <v>1</v>
      </c>
      <c r="R1037" s="450">
        <f t="shared" ca="1" si="666"/>
        <v>12</v>
      </c>
      <c r="S1037" s="191">
        <f t="shared" si="667"/>
        <v>86</v>
      </c>
      <c r="T1037" s="191">
        <f t="shared" si="668"/>
        <v>9</v>
      </c>
      <c r="U1037" s="191">
        <f ca="1">OP!$D$5+$S1037-1</f>
        <v>118</v>
      </c>
      <c r="V1037" s="191" t="str">
        <f t="shared" si="669"/>
        <v/>
      </c>
      <c r="W1037" s="350">
        <f ca="1">IF(Q1037&lt;&gt;1,0,VLOOKUP(OP!$C$55,PVFB,$S1037+2,0))</f>
        <v>0</v>
      </c>
      <c r="X1037" s="473" t="str">
        <f t="shared" ca="1" si="682"/>
        <v/>
      </c>
      <c r="Y1037" s="348">
        <f t="shared" ca="1" si="683"/>
        <v>0</v>
      </c>
      <c r="Z1037" s="348">
        <f t="shared" ca="1" si="684"/>
        <v>8012</v>
      </c>
      <c r="AA1037" s="348">
        <f ca="1">IF(Q1037&lt;&gt;1,0,VLOOKUP(OP!$C$55,PVFB,$S1037+2,0))</f>
        <v>0</v>
      </c>
      <c r="AB1037" s="488" t="str">
        <f ca="1">IF(AND(S1037&lt;OP!$C$24,$U1037&lt;15),0,IF(AND($U1037&lt;15,$T1037=12),ROUND(VLOOKUP($S1037,DOWN16,5,0),3),IF($T1037=12,ROUND(($Z1037/10000)*$AA1037,3)+IF(AND($P$7="購買增額繳清保險",T1037=12,U1037=110),VLOOKUP(S1037,$B$10:$H$121,7,0),0),"")))</f>
        <v/>
      </c>
      <c r="AC1037" s="350" t="str">
        <f ca="1">IF(AND(S1037&lt;OP!$C$24,$U1037&lt;15),0,IF(AND($U1037&lt;16,$T1037=12),VLOOKUP($S1037,DOWN16,4,0),IF($T1037=12,ROUND(VLOOKUP(OP!$C$55,_DIE2,$S1037+1,0)*(Z1037/10000),0)+IF(AND($P$7="購買增額繳清保險",T1037=12,U1037=110),VLOOKUP(S1037,$B$10:$H$121,7,0),0),"")))</f>
        <v/>
      </c>
      <c r="AD1037" s="347"/>
      <c r="AE1037" s="350" t="str">
        <f t="shared" ca="1" si="659"/>
        <v/>
      </c>
      <c r="AF1037" s="351" t="str">
        <f t="shared" ca="1" si="660"/>
        <v/>
      </c>
      <c r="AG1037" s="340"/>
      <c r="AH1037" s="340"/>
      <c r="AI1037" s="340"/>
      <c r="AJ1037" s="340"/>
      <c r="AK1037" s="340"/>
      <c r="AL1037" s="340"/>
      <c r="AM1037" s="340"/>
      <c r="AN1037" s="340"/>
      <c r="AO1037" s="340"/>
      <c r="AP1037" s="340"/>
      <c r="AQ1037" s="340"/>
      <c r="AR1037" s="340"/>
      <c r="AS1037" s="340"/>
      <c r="AT1037" s="340"/>
      <c r="AU1037" s="340"/>
      <c r="AV1037" s="340"/>
      <c r="AY1037" s="340"/>
      <c r="AZ1037" s="465">
        <f t="shared" ca="1" si="670"/>
        <v>7.3698599999999999E-5</v>
      </c>
      <c r="BA1037" s="464">
        <f t="shared" ca="1" si="671"/>
        <v>0</v>
      </c>
      <c r="BB1037" s="465">
        <f t="shared" ca="1" si="671"/>
        <v>7.3698599999999999E-5</v>
      </c>
      <c r="BC1037" s="466">
        <f t="shared" ca="1" si="672"/>
        <v>74177</v>
      </c>
      <c r="BD1037" s="467">
        <f t="shared" ca="1" si="685"/>
        <v>74178</v>
      </c>
      <c r="BE1037" s="467">
        <f t="shared" ca="1" si="673"/>
        <v>74204</v>
      </c>
      <c r="BF1037" s="468">
        <f ca="1">IF(計算!$BC1037&lt;OP!$C$3,0,BD1037-BC1037)</f>
        <v>1</v>
      </c>
      <c r="BG1037" s="468">
        <f ca="1">IF($BE1037&gt;DATE(YEAR($BD$9)+OP!$C$57,MONTH($BD$9),DAY($BD$9)),0,$BE1037-$BD1037+1)</f>
        <v>0</v>
      </c>
      <c r="BH1037" s="469">
        <f t="shared" ca="1" si="674"/>
        <v>1</v>
      </c>
      <c r="BI1037" t="str">
        <f t="shared" si="656"/>
        <v/>
      </c>
      <c r="BJ1037">
        <v>8</v>
      </c>
      <c r="BN1037" s="468">
        <f t="shared" si="686"/>
        <v>86</v>
      </c>
      <c r="BO1037" s="468">
        <f t="shared" si="687"/>
        <v>8</v>
      </c>
      <c r="BP1037" s="467">
        <f t="shared" ca="1" si="675"/>
        <v>74178</v>
      </c>
      <c r="BQ1037" s="475">
        <f t="shared" ca="1" si="689"/>
        <v>118</v>
      </c>
      <c r="BR1037" s="475" t="str">
        <f t="shared" si="688"/>
        <v/>
      </c>
      <c r="BS1037" s="471" t="str">
        <f t="shared" si="676"/>
        <v/>
      </c>
      <c r="BT1037" s="472" t="str">
        <f t="shared" si="657"/>
        <v/>
      </c>
      <c r="BU1037" s="472">
        <f t="shared" ca="1" si="677"/>
        <v>0</v>
      </c>
      <c r="BV1037" s="472">
        <f t="shared" ca="1" si="677"/>
        <v>0</v>
      </c>
      <c r="BW1037" s="472"/>
      <c r="BX1037" s="473">
        <f t="shared" ca="1" si="678"/>
        <v>2774293.8218041998</v>
      </c>
      <c r="BY1037" s="473">
        <f t="shared" si="679"/>
        <v>0</v>
      </c>
      <c r="BZ1037" s="473">
        <f t="shared" ca="1" si="661"/>
        <v>204.46157065599999</v>
      </c>
      <c r="CA1037" s="476">
        <f t="shared" ca="1" si="680"/>
        <v>0</v>
      </c>
      <c r="CB1037" s="494">
        <f ca="1">IF(OR($Q1036&lt;&gt;1,OP!$D$5+$BN1037-1&lt;16,$BN1037-1&lt;1),0,ROUND(ROUND(ROUND(((VLOOKUP($BN1037-1,MORE_PV,5,0)/10000)*VLOOKUP($BN1037,MORE_PV,$CB$5,0)),3)*VLOOKUP($BN1037,more1,5,0),0)/$R1036,0))</f>
        <v>0</v>
      </c>
      <c r="CC1037" s="473">
        <f t="shared" ca="1" si="681"/>
        <v>0</v>
      </c>
      <c r="CD1037" s="477"/>
    </row>
    <row r="1038" spans="2:82" ht="16.5" hidden="1">
      <c r="B1038" s="80"/>
      <c r="C1038" s="80"/>
      <c r="D1038" s="80"/>
      <c r="E1038" s="80"/>
      <c r="F1038" s="80"/>
      <c r="G1038" s="80"/>
      <c r="H1038" s="80"/>
      <c r="I1038" s="80"/>
      <c r="J1038" s="192">
        <f t="shared" si="662"/>
        <v>86</v>
      </c>
      <c r="K1038" s="192">
        <f t="shared" si="663"/>
        <v>10</v>
      </c>
      <c r="L1038" s="192" t="str">
        <f t="shared" si="658"/>
        <v/>
      </c>
      <c r="M1038" s="216" t="str">
        <f t="shared" ca="1" si="664"/>
        <v/>
      </c>
      <c r="N1038" s="216"/>
      <c r="O1038" s="216"/>
      <c r="P1038" s="216"/>
      <c r="Q1038" s="456">
        <f t="shared" ca="1" si="665"/>
        <v>1</v>
      </c>
      <c r="R1038" s="450">
        <f t="shared" ca="1" si="666"/>
        <v>12</v>
      </c>
      <c r="S1038" s="191">
        <f t="shared" si="667"/>
        <v>86</v>
      </c>
      <c r="T1038" s="191">
        <f t="shared" si="668"/>
        <v>10</v>
      </c>
      <c r="U1038" s="191">
        <f ca="1">OP!$D$5+$S1038-1</f>
        <v>118</v>
      </c>
      <c r="V1038" s="191" t="str">
        <f t="shared" si="669"/>
        <v/>
      </c>
      <c r="W1038" s="350">
        <f ca="1">IF(Q1038&lt;&gt;1,0,VLOOKUP(OP!$C$55,PVFB,$S1038+2,0))</f>
        <v>0</v>
      </c>
      <c r="X1038" s="473" t="str">
        <f t="shared" ca="1" si="682"/>
        <v/>
      </c>
      <c r="Y1038" s="348">
        <f t="shared" ca="1" si="683"/>
        <v>0</v>
      </c>
      <c r="Z1038" s="348">
        <f t="shared" ca="1" si="684"/>
        <v>8012</v>
      </c>
      <c r="AA1038" s="348">
        <f ca="1">IF(Q1038&lt;&gt;1,0,VLOOKUP(OP!$C$55,PVFB,$S1038+2,0))</f>
        <v>0</v>
      </c>
      <c r="AB1038" s="488" t="str">
        <f ca="1">IF(AND(S1038&lt;OP!$C$24,$U1038&lt;15),0,IF(AND($U1038&lt;15,$T1038=12),ROUND(VLOOKUP($S1038,DOWN16,5,0),3),IF($T1038=12,ROUND(($Z1038/10000)*$AA1038,3)+IF(AND($P$7="購買增額繳清保險",T1038=12,U1038=110),VLOOKUP(S1038,$B$10:$H$121,7,0),0),"")))</f>
        <v/>
      </c>
      <c r="AC1038" s="350" t="str">
        <f ca="1">IF(AND(S1038&lt;OP!$C$24,$U1038&lt;15),0,IF(AND($U1038&lt;16,$T1038=12),VLOOKUP($S1038,DOWN16,4,0),IF($T1038=12,ROUND(VLOOKUP(OP!$C$55,_DIE2,$S1038+1,0)*(Z1038/10000),0)+IF(AND($P$7="購買增額繳清保險",T1038=12,U1038=110),VLOOKUP(S1038,$B$10:$H$121,7,0),0),"")))</f>
        <v/>
      </c>
      <c r="AD1038" s="347"/>
      <c r="AE1038" s="350" t="str">
        <f t="shared" ca="1" si="659"/>
        <v/>
      </c>
      <c r="AF1038" s="351" t="str">
        <f t="shared" ca="1" si="660"/>
        <v/>
      </c>
      <c r="AG1038" s="340"/>
      <c r="AH1038" s="340"/>
      <c r="AI1038" s="340"/>
      <c r="AJ1038" s="340"/>
      <c r="AK1038" s="340"/>
      <c r="AL1038" s="340"/>
      <c r="AM1038" s="340"/>
      <c r="AN1038" s="340"/>
      <c r="AO1038" s="340"/>
      <c r="AP1038" s="340"/>
      <c r="AQ1038" s="340"/>
      <c r="AR1038" s="340"/>
      <c r="AS1038" s="340"/>
      <c r="AT1038" s="340"/>
      <c r="AU1038" s="340"/>
      <c r="AV1038" s="340"/>
      <c r="AY1038" s="340"/>
      <c r="AZ1038" s="465">
        <f t="shared" ca="1" si="670"/>
        <v>7.3698599999999999E-5</v>
      </c>
      <c r="BA1038" s="464">
        <f t="shared" ca="1" si="671"/>
        <v>0</v>
      </c>
      <c r="BB1038" s="465">
        <f t="shared" ca="1" si="671"/>
        <v>7.3698599999999999E-5</v>
      </c>
      <c r="BC1038" s="466">
        <f t="shared" ca="1" si="672"/>
        <v>74205</v>
      </c>
      <c r="BD1038" s="467">
        <f t="shared" ca="1" si="685"/>
        <v>74206</v>
      </c>
      <c r="BE1038" s="467">
        <f t="shared" ca="1" si="673"/>
        <v>74235</v>
      </c>
      <c r="BF1038" s="468">
        <f ca="1">IF(計算!$BC1038&lt;OP!$C$3,0,BD1038-BC1038)</f>
        <v>1</v>
      </c>
      <c r="BG1038" s="468">
        <f ca="1">IF($BE1038&gt;DATE(YEAR($BD$9)+OP!$C$57,MONTH($BD$9),DAY($BD$9)),0,$BE1038-$BD1038+1)</f>
        <v>0</v>
      </c>
      <c r="BH1038" s="469">
        <f t="shared" ca="1" si="674"/>
        <v>1</v>
      </c>
      <c r="BI1038" t="str">
        <f t="shared" si="656"/>
        <v/>
      </c>
      <c r="BJ1038">
        <v>9</v>
      </c>
      <c r="BN1038" s="468">
        <f t="shared" si="686"/>
        <v>86</v>
      </c>
      <c r="BO1038" s="468">
        <f t="shared" si="687"/>
        <v>9</v>
      </c>
      <c r="BP1038" s="467">
        <f t="shared" ca="1" si="675"/>
        <v>74206</v>
      </c>
      <c r="BQ1038" s="475">
        <f t="shared" ca="1" si="689"/>
        <v>118</v>
      </c>
      <c r="BR1038" s="475" t="str">
        <f t="shared" si="688"/>
        <v/>
      </c>
      <c r="BS1038" s="471" t="str">
        <f t="shared" si="676"/>
        <v/>
      </c>
      <c r="BT1038" s="472" t="str">
        <f t="shared" si="657"/>
        <v/>
      </c>
      <c r="BU1038" s="472">
        <f t="shared" ca="1" si="677"/>
        <v>0</v>
      </c>
      <c r="BV1038" s="472">
        <f t="shared" ca="1" si="677"/>
        <v>0</v>
      </c>
      <c r="BW1038" s="472"/>
      <c r="BX1038" s="473">
        <f t="shared" ca="1" si="678"/>
        <v>2774498.28337486</v>
      </c>
      <c r="BY1038" s="473">
        <f t="shared" si="679"/>
        <v>0</v>
      </c>
      <c r="BZ1038" s="473">
        <f t="shared" ca="1" si="661"/>
        <v>204.47663918699999</v>
      </c>
      <c r="CA1038" s="476">
        <f t="shared" ca="1" si="680"/>
        <v>0</v>
      </c>
      <c r="CB1038" s="494">
        <f ca="1">IF(OR($Q1037&lt;&gt;1,OP!$D$5+$BN1038-1&lt;16,$BN1038-1&lt;1),0,ROUND(ROUND(ROUND(((VLOOKUP($BN1038-1,MORE_PV,5,0)/10000)*VLOOKUP($BN1038,MORE_PV,$CB$5,0)),3)*VLOOKUP($BN1038,more1,5,0),0)/$R1037,0))</f>
        <v>0</v>
      </c>
      <c r="CC1038" s="473">
        <f t="shared" ca="1" si="681"/>
        <v>0</v>
      </c>
      <c r="CD1038" s="477"/>
    </row>
    <row r="1039" spans="2:82" ht="16.5" hidden="1">
      <c r="B1039" s="80"/>
      <c r="C1039" s="80"/>
      <c r="D1039" s="80"/>
      <c r="E1039" s="80"/>
      <c r="F1039" s="80"/>
      <c r="G1039" s="80"/>
      <c r="H1039" s="80"/>
      <c r="I1039" s="80"/>
      <c r="J1039" s="192">
        <f t="shared" si="662"/>
        <v>86</v>
      </c>
      <c r="K1039" s="192">
        <f t="shared" si="663"/>
        <v>11</v>
      </c>
      <c r="L1039" s="192" t="str">
        <f t="shared" si="658"/>
        <v/>
      </c>
      <c r="M1039" s="216" t="str">
        <f t="shared" ca="1" si="664"/>
        <v/>
      </c>
      <c r="N1039" s="216"/>
      <c r="O1039" s="216"/>
      <c r="P1039" s="216"/>
      <c r="Q1039" s="456">
        <f t="shared" ca="1" si="665"/>
        <v>1</v>
      </c>
      <c r="R1039" s="450">
        <f t="shared" ca="1" si="666"/>
        <v>12</v>
      </c>
      <c r="S1039" s="191">
        <f t="shared" si="667"/>
        <v>86</v>
      </c>
      <c r="T1039" s="191">
        <f t="shared" si="668"/>
        <v>11</v>
      </c>
      <c r="U1039" s="191">
        <f ca="1">OP!$D$5+$S1039-1</f>
        <v>118</v>
      </c>
      <c r="V1039" s="191" t="str">
        <f t="shared" si="669"/>
        <v/>
      </c>
      <c r="W1039" s="350">
        <f ca="1">IF(Q1039&lt;&gt;1,0,VLOOKUP(OP!$C$55,PVFB,$S1039+2,0))</f>
        <v>0</v>
      </c>
      <c r="X1039" s="473" t="str">
        <f t="shared" ca="1" si="682"/>
        <v/>
      </c>
      <c r="Y1039" s="348">
        <f t="shared" ca="1" si="683"/>
        <v>0</v>
      </c>
      <c r="Z1039" s="348">
        <f t="shared" ca="1" si="684"/>
        <v>8012</v>
      </c>
      <c r="AA1039" s="348">
        <f ca="1">IF(Q1039&lt;&gt;1,0,VLOOKUP(OP!$C$55,PVFB,$S1039+2,0))</f>
        <v>0</v>
      </c>
      <c r="AB1039" s="488" t="str">
        <f ca="1">IF(AND(S1039&lt;OP!$C$24,$U1039&lt;15),0,IF(AND($U1039&lt;15,$T1039=12),ROUND(VLOOKUP($S1039,DOWN16,5,0),3),IF($T1039=12,ROUND(($Z1039/10000)*$AA1039,3)+IF(AND($P$7="購買增額繳清保險",T1039=12,U1039=110),VLOOKUP(S1039,$B$10:$H$121,7,0),0),"")))</f>
        <v/>
      </c>
      <c r="AC1039" s="350" t="str">
        <f ca="1">IF(AND(S1039&lt;OP!$C$24,$U1039&lt;15),0,IF(AND($U1039&lt;16,$T1039=12),VLOOKUP($S1039,DOWN16,4,0),IF($T1039=12,ROUND(VLOOKUP(OP!$C$55,_DIE2,$S1039+1,0)*(Z1039/10000),0)+IF(AND($P$7="購買增額繳清保險",T1039=12,U1039=110),VLOOKUP(S1039,$B$10:$H$121,7,0),0),"")))</f>
        <v/>
      </c>
      <c r="AD1039" s="347"/>
      <c r="AE1039" s="350" t="str">
        <f t="shared" ca="1" si="659"/>
        <v/>
      </c>
      <c r="AF1039" s="351" t="str">
        <f t="shared" ca="1" si="660"/>
        <v/>
      </c>
      <c r="AG1039" s="340"/>
      <c r="AH1039" s="340"/>
      <c r="AI1039" s="340"/>
      <c r="AJ1039" s="340"/>
      <c r="AK1039" s="340"/>
      <c r="AL1039" s="340"/>
      <c r="AM1039" s="340"/>
      <c r="AN1039" s="340"/>
      <c r="AO1039" s="340"/>
      <c r="AP1039" s="340"/>
      <c r="AQ1039" s="340"/>
      <c r="AR1039" s="340"/>
      <c r="AS1039" s="340"/>
      <c r="AT1039" s="340"/>
      <c r="AU1039" s="340"/>
      <c r="AV1039" s="340"/>
      <c r="AY1039" s="340"/>
      <c r="AZ1039" s="465">
        <f t="shared" ca="1" si="670"/>
        <v>7.3698599999999999E-5</v>
      </c>
      <c r="BA1039" s="464">
        <f t="shared" ca="1" si="671"/>
        <v>0</v>
      </c>
      <c r="BB1039" s="465">
        <f t="shared" ca="1" si="671"/>
        <v>7.3698599999999999E-5</v>
      </c>
      <c r="BC1039" s="466">
        <f t="shared" ca="1" si="672"/>
        <v>74236</v>
      </c>
      <c r="BD1039" s="467">
        <f t="shared" ca="1" si="685"/>
        <v>74237</v>
      </c>
      <c r="BE1039" s="467">
        <f t="shared" ca="1" si="673"/>
        <v>74265</v>
      </c>
      <c r="BF1039" s="468">
        <f ca="1">IF(計算!$BC1039&lt;OP!$C$3,0,BD1039-BC1039)</f>
        <v>1</v>
      </c>
      <c r="BG1039" s="468">
        <f ca="1">IF($BE1039&gt;DATE(YEAR($BD$9)+OP!$C$57,MONTH($BD$9),DAY($BD$9)),0,$BE1039-$BD1039+1)</f>
        <v>0</v>
      </c>
      <c r="BH1039" s="469">
        <f t="shared" ca="1" si="674"/>
        <v>1</v>
      </c>
      <c r="BI1039" t="str">
        <f t="shared" si="656"/>
        <v/>
      </c>
      <c r="BJ1039">
        <v>10</v>
      </c>
      <c r="BN1039" s="468">
        <f t="shared" si="686"/>
        <v>86</v>
      </c>
      <c r="BO1039" s="468">
        <f t="shared" si="687"/>
        <v>10</v>
      </c>
      <c r="BP1039" s="467">
        <f t="shared" ca="1" si="675"/>
        <v>74237</v>
      </c>
      <c r="BQ1039" s="475">
        <f t="shared" ca="1" si="689"/>
        <v>118</v>
      </c>
      <c r="BR1039" s="475" t="str">
        <f t="shared" si="688"/>
        <v/>
      </c>
      <c r="BS1039" s="471" t="str">
        <f t="shared" si="676"/>
        <v/>
      </c>
      <c r="BT1039" s="472" t="str">
        <f t="shared" si="657"/>
        <v/>
      </c>
      <c r="BU1039" s="472">
        <f t="shared" ca="1" si="677"/>
        <v>0</v>
      </c>
      <c r="BV1039" s="472">
        <f t="shared" ca="1" si="677"/>
        <v>0</v>
      </c>
      <c r="BW1039" s="472"/>
      <c r="BX1039" s="473">
        <f t="shared" ca="1" si="678"/>
        <v>2774702.7600140502</v>
      </c>
      <c r="BY1039" s="473">
        <f t="shared" si="679"/>
        <v>0</v>
      </c>
      <c r="BZ1039" s="473">
        <f t="shared" ca="1" si="661"/>
        <v>204.491708829</v>
      </c>
      <c r="CA1039" s="476">
        <f t="shared" ca="1" si="680"/>
        <v>0</v>
      </c>
      <c r="CB1039" s="494">
        <f ca="1">IF(OR($Q1038&lt;&gt;1,OP!$D$5+$BN1039-1&lt;16,$BN1039-1&lt;1),0,ROUND(ROUND(ROUND(((VLOOKUP($BN1039-1,MORE_PV,5,0)/10000)*VLOOKUP($BN1039,MORE_PV,$CB$5,0)),3)*VLOOKUP($BN1039,more1,5,0),0)/$R1038,0))</f>
        <v>0</v>
      </c>
      <c r="CC1039" s="473">
        <f t="shared" ca="1" si="681"/>
        <v>0</v>
      </c>
      <c r="CD1039" s="477"/>
    </row>
    <row r="1040" spans="2:82" ht="16.5" hidden="1">
      <c r="B1040" s="80"/>
      <c r="C1040" s="80"/>
      <c r="D1040" s="80"/>
      <c r="E1040" s="80"/>
      <c r="F1040" s="80"/>
      <c r="G1040" s="80"/>
      <c r="H1040" s="80"/>
      <c r="I1040" s="80"/>
      <c r="J1040" s="192">
        <f t="shared" si="662"/>
        <v>86</v>
      </c>
      <c r="K1040" s="192">
        <f t="shared" si="663"/>
        <v>12</v>
      </c>
      <c r="L1040" s="192">
        <f t="shared" si="658"/>
        <v>86</v>
      </c>
      <c r="M1040" s="216">
        <f t="shared" ca="1" si="664"/>
        <v>2775315</v>
      </c>
      <c r="N1040" s="216"/>
      <c r="O1040" s="216"/>
      <c r="P1040" s="216"/>
      <c r="Q1040" s="456">
        <f t="shared" ca="1" si="665"/>
        <v>1</v>
      </c>
      <c r="R1040" s="450">
        <f t="shared" ca="1" si="666"/>
        <v>12</v>
      </c>
      <c r="S1040" s="191">
        <f t="shared" si="667"/>
        <v>86</v>
      </c>
      <c r="T1040" s="191">
        <f t="shared" si="668"/>
        <v>12</v>
      </c>
      <c r="U1040" s="191">
        <f ca="1">OP!$D$5+$S1040-1</f>
        <v>118</v>
      </c>
      <c r="V1040" s="191">
        <f t="shared" si="669"/>
        <v>86</v>
      </c>
      <c r="W1040" s="350">
        <f ca="1">IF(Q1040&lt;&gt;1,0,VLOOKUP(OP!$C$55,PVFB,$S1040+2,0))</f>
        <v>0</v>
      </c>
      <c r="X1040" s="473">
        <f t="shared" ca="1" si="682"/>
        <v>0</v>
      </c>
      <c r="Y1040" s="348">
        <f t="shared" ca="1" si="683"/>
        <v>0</v>
      </c>
      <c r="Z1040" s="348">
        <f t="shared" ca="1" si="684"/>
        <v>8012</v>
      </c>
      <c r="AA1040" s="348">
        <f ca="1">IF(Q1040&lt;&gt;1,0,VLOOKUP(OP!$C$55,PVFB,$S1040+2,0))</f>
        <v>0</v>
      </c>
      <c r="AB1040" s="488">
        <f ca="1">IF(AND(S1040&lt;OP!$C$24,$U1040&lt;15),0,IF(AND($U1040&lt;15,$T1040=12),ROUND(VLOOKUP($S1040,DOWN16,5,0),3),IF($T1040=12,ROUND(($Z1040/10000)*$AA1040,3)+IF(AND($P$7="購買增額繳清保險",T1040=12,U1040=110),VLOOKUP(S1040,$B$10:$H$121,7,0),0),"")))</f>
        <v>0</v>
      </c>
      <c r="AC1040" s="350">
        <f ca="1">IF(AND(S1040&lt;OP!$C$24,$U1040&lt;15),0,IF(AND($U1040&lt;16,$T1040=12),VLOOKUP($S1040,DOWN16,4,0),IF($T1040=12,ROUND(VLOOKUP(OP!$C$55,_DIE2,$S1040+1,0)*(Z1040/10000),0)+IF(AND($P$7="購買增額繳清保險",T1040=12,U1040=110),VLOOKUP(S1040,$B$10:$H$121,7,0),0),"")))</f>
        <v>0</v>
      </c>
      <c r="AD1040" s="347"/>
      <c r="AE1040" s="350" t="str">
        <f t="shared" ca="1" si="659"/>
        <v/>
      </c>
      <c r="AF1040" s="351" t="str">
        <f t="shared" ca="1" si="660"/>
        <v/>
      </c>
      <c r="AG1040" s="340"/>
      <c r="AH1040" s="340"/>
      <c r="AI1040" s="340"/>
      <c r="AJ1040" s="340"/>
      <c r="AK1040" s="340"/>
      <c r="AL1040" s="340"/>
      <c r="AM1040" s="340"/>
      <c r="AN1040" s="340"/>
      <c r="AO1040" s="340"/>
      <c r="AP1040" s="340"/>
      <c r="AQ1040" s="340"/>
      <c r="AR1040" s="340"/>
      <c r="AS1040" s="340"/>
      <c r="AT1040" s="340"/>
      <c r="AU1040" s="340"/>
      <c r="AV1040" s="340"/>
      <c r="AY1040" s="340"/>
      <c r="AZ1040" s="465">
        <f t="shared" ca="1" si="670"/>
        <v>7.3698599999999999E-5</v>
      </c>
      <c r="BA1040" s="464">
        <f t="shared" ca="1" si="671"/>
        <v>0</v>
      </c>
      <c r="BB1040" s="465">
        <f t="shared" ca="1" si="671"/>
        <v>7.3698599999999999E-5</v>
      </c>
      <c r="BC1040" s="466">
        <f t="shared" ca="1" si="672"/>
        <v>74266</v>
      </c>
      <c r="BD1040" s="467">
        <f t="shared" ca="1" si="685"/>
        <v>74267</v>
      </c>
      <c r="BE1040" s="467">
        <f t="shared" ca="1" si="673"/>
        <v>74296</v>
      </c>
      <c r="BF1040" s="468">
        <f ca="1">IF(計算!$BC1040&lt;OP!$C$3,0,BD1040-BC1040)</f>
        <v>1</v>
      </c>
      <c r="BG1040" s="468">
        <f ca="1">IF($BE1040&gt;DATE(YEAR($BD$9)+OP!$C$57,MONTH($BD$9),DAY($BD$9)),0,$BE1040-$BD1040+1)</f>
        <v>0</v>
      </c>
      <c r="BH1040" s="469">
        <f t="shared" ca="1" si="674"/>
        <v>1</v>
      </c>
      <c r="BI1040" t="str">
        <f t="shared" si="656"/>
        <v/>
      </c>
      <c r="BJ1040">
        <v>11</v>
      </c>
      <c r="BN1040" s="468">
        <f t="shared" si="686"/>
        <v>86</v>
      </c>
      <c r="BO1040" s="468">
        <f t="shared" si="687"/>
        <v>11</v>
      </c>
      <c r="BP1040" s="467">
        <f t="shared" ca="1" si="675"/>
        <v>74267</v>
      </c>
      <c r="BQ1040" s="475">
        <f t="shared" ca="1" si="689"/>
        <v>118</v>
      </c>
      <c r="BR1040" s="475" t="str">
        <f t="shared" si="688"/>
        <v/>
      </c>
      <c r="BS1040" s="471" t="str">
        <f t="shared" si="676"/>
        <v/>
      </c>
      <c r="BT1040" s="472" t="str">
        <f t="shared" si="657"/>
        <v/>
      </c>
      <c r="BU1040" s="472">
        <f t="shared" ca="1" si="677"/>
        <v>0</v>
      </c>
      <c r="BV1040" s="472">
        <f t="shared" ca="1" si="677"/>
        <v>0</v>
      </c>
      <c r="BW1040" s="472"/>
      <c r="BX1040" s="473">
        <f t="shared" ca="1" si="678"/>
        <v>2774907.2517228802</v>
      </c>
      <c r="BY1040" s="473">
        <f t="shared" si="679"/>
        <v>0</v>
      </c>
      <c r="BZ1040" s="473">
        <f t="shared" ca="1" si="661"/>
        <v>204.50677958200001</v>
      </c>
      <c r="CA1040" s="476">
        <f t="shared" ca="1" si="680"/>
        <v>0</v>
      </c>
      <c r="CB1040" s="494">
        <f ca="1">IF(OR($Q1039&lt;&gt;1,OP!$D$5+$BN1040-1&lt;16,$BN1040-1&lt;1),0,ROUND(ROUND(ROUND(((VLOOKUP($BN1040-1,MORE_PV,5,0)/10000)*VLOOKUP($BN1040,MORE_PV,$CB$5,0)),3)*VLOOKUP($BN1040,more1,5,0),0)/$R1039,0))</f>
        <v>0</v>
      </c>
      <c r="CC1040" s="473">
        <f t="shared" ca="1" si="681"/>
        <v>0</v>
      </c>
      <c r="CD1040" s="477"/>
    </row>
    <row r="1041" spans="2:82" ht="16.5" hidden="1">
      <c r="B1041" s="80"/>
      <c r="C1041" s="80"/>
      <c r="D1041" s="80"/>
      <c r="E1041" s="80"/>
      <c r="F1041" s="80"/>
      <c r="G1041" s="80"/>
      <c r="H1041" s="80"/>
      <c r="I1041" s="80"/>
      <c r="J1041" s="192">
        <f t="shared" si="662"/>
        <v>87</v>
      </c>
      <c r="K1041" s="192">
        <f t="shared" si="663"/>
        <v>1</v>
      </c>
      <c r="L1041" s="192" t="str">
        <f t="shared" si="658"/>
        <v/>
      </c>
      <c r="M1041" s="216" t="str">
        <f t="shared" ca="1" si="664"/>
        <v/>
      </c>
      <c r="N1041" s="216"/>
      <c r="O1041" s="216"/>
      <c r="P1041" s="216"/>
      <c r="Q1041" s="456">
        <f t="shared" ca="1" si="665"/>
        <v>1</v>
      </c>
      <c r="R1041" s="450">
        <f t="shared" ca="1" si="666"/>
        <v>12</v>
      </c>
      <c r="S1041" s="191">
        <f t="shared" si="667"/>
        <v>87</v>
      </c>
      <c r="T1041" s="191">
        <f t="shared" si="668"/>
        <v>1</v>
      </c>
      <c r="U1041" s="191">
        <f ca="1">OP!$D$5+$S1041-1</f>
        <v>119</v>
      </c>
      <c r="V1041" s="191" t="str">
        <f t="shared" si="669"/>
        <v/>
      </c>
      <c r="W1041" s="350">
        <f ca="1">IF(Q1041&lt;&gt;1,0,VLOOKUP(OP!$C$55,PVFB,$S1041+2,0))</f>
        <v>0</v>
      </c>
      <c r="X1041" s="473" t="str">
        <f t="shared" ca="1" si="682"/>
        <v/>
      </c>
      <c r="Y1041" s="348">
        <f t="shared" ca="1" si="683"/>
        <v>0</v>
      </c>
      <c r="Z1041" s="348">
        <f t="shared" ca="1" si="684"/>
        <v>8012</v>
      </c>
      <c r="AA1041" s="348">
        <f ca="1">IF(Q1041&lt;&gt;1,0,VLOOKUP(OP!$C$55,PVFB,$S1041+2,0))</f>
        <v>0</v>
      </c>
      <c r="AB1041" s="488" t="str">
        <f ca="1">IF(AND(S1041&lt;OP!$C$24,$U1041&lt;15),0,IF(AND($U1041&lt;15,$T1041=12),ROUND(VLOOKUP($S1041,DOWN16,5,0),3),IF($T1041=12,ROUND(($Z1041/10000)*$AA1041,3)+IF(AND($P$7="購買增額繳清保險",T1041=12,U1041=110),VLOOKUP(S1041,$B$10:$H$121,7,0),0),"")))</f>
        <v/>
      </c>
      <c r="AC1041" s="350" t="str">
        <f ca="1">IF(AND(S1041&lt;OP!$C$24,$U1041&lt;15),0,IF(AND($U1041&lt;16,$T1041=12),VLOOKUP($S1041,DOWN16,4,0),IF($T1041=12,ROUND(VLOOKUP(OP!$C$55,_DIE2,$S1041+1,0)*(Z1041/10000),0)+IF(AND($P$7="購買增額繳清保險",T1041=12,U1041=110),VLOOKUP(S1041,$B$10:$H$121,7,0),0),"")))</f>
        <v/>
      </c>
      <c r="AD1041" s="347"/>
      <c r="AE1041" s="350" t="str">
        <f t="shared" ca="1" si="659"/>
        <v/>
      </c>
      <c r="AF1041" s="351" t="str">
        <f t="shared" ca="1" si="660"/>
        <v/>
      </c>
      <c r="AG1041" s="340"/>
      <c r="AH1041" s="340"/>
      <c r="AI1041" s="340"/>
      <c r="AJ1041" s="340"/>
      <c r="AK1041" s="340"/>
      <c r="AL1041" s="340"/>
      <c r="AM1041" s="340"/>
      <c r="AN1041" s="340"/>
      <c r="AO1041" s="340"/>
      <c r="AP1041" s="340"/>
      <c r="AQ1041" s="340"/>
      <c r="AR1041" s="340"/>
      <c r="AS1041" s="340"/>
      <c r="AT1041" s="340"/>
      <c r="AU1041" s="340"/>
      <c r="AV1041" s="340"/>
      <c r="AY1041" s="340"/>
      <c r="AZ1041" s="465">
        <f t="shared" ca="1" si="670"/>
        <v>7.3698599999999999E-5</v>
      </c>
      <c r="BA1041" s="464">
        <f t="shared" ca="1" si="671"/>
        <v>0</v>
      </c>
      <c r="BB1041" s="465">
        <f t="shared" ca="1" si="671"/>
        <v>7.3698599999999999E-5</v>
      </c>
      <c r="BC1041" s="466">
        <f t="shared" ca="1" si="672"/>
        <v>74297</v>
      </c>
      <c r="BD1041" s="467">
        <f t="shared" ca="1" si="685"/>
        <v>74298</v>
      </c>
      <c r="BE1041" s="467">
        <f t="shared" ca="1" si="673"/>
        <v>74326</v>
      </c>
      <c r="BF1041" s="468">
        <f ca="1">IF(計算!$BC1041&lt;OP!$C$3,0,BD1041-BC1041)</f>
        <v>1</v>
      </c>
      <c r="BG1041" s="468">
        <f ca="1">IF($BE1041&gt;DATE(YEAR($BD$9)+OP!$C$57,MONTH($BD$9),DAY($BD$9)),0,$BE1041-$BD1041+1)</f>
        <v>0</v>
      </c>
      <c r="BH1041" s="469">
        <f t="shared" ca="1" si="674"/>
        <v>1</v>
      </c>
      <c r="BI1041">
        <f t="shared" ca="1" si="656"/>
        <v>365</v>
      </c>
      <c r="BJ1041">
        <v>12</v>
      </c>
      <c r="BN1041" s="468">
        <f t="shared" si="686"/>
        <v>86</v>
      </c>
      <c r="BO1041" s="468">
        <f t="shared" si="687"/>
        <v>12</v>
      </c>
      <c r="BP1041" s="467">
        <f t="shared" ca="1" si="675"/>
        <v>74298</v>
      </c>
      <c r="BQ1041" s="475">
        <f t="shared" ca="1" si="689"/>
        <v>118</v>
      </c>
      <c r="BR1041" s="475">
        <f t="shared" si="688"/>
        <v>86</v>
      </c>
      <c r="BS1041" s="471">
        <f t="shared" ca="1" si="676"/>
        <v>0</v>
      </c>
      <c r="BT1041" s="472">
        <f t="shared" ca="1" si="657"/>
        <v>2775315</v>
      </c>
      <c r="BU1041" s="472">
        <f t="shared" ca="1" si="677"/>
        <v>0</v>
      </c>
      <c r="BV1041" s="472">
        <f t="shared" ca="1" si="677"/>
        <v>0</v>
      </c>
      <c r="BW1041" s="472">
        <f ca="1">ROUND(SUM(BY1041,BZ1029:BZ1040),0)</f>
        <v>2453</v>
      </c>
      <c r="BX1041" s="473">
        <f t="shared" ca="1" si="678"/>
        <v>2775316.2803539098</v>
      </c>
      <c r="BY1041" s="473">
        <f t="shared" ca="1" si="679"/>
        <v>204.52185144500001</v>
      </c>
      <c r="BZ1041" s="473">
        <f t="shared" ca="1" si="661"/>
        <v>0</v>
      </c>
      <c r="CA1041" s="476">
        <f t="shared" ca="1" si="680"/>
        <v>0</v>
      </c>
      <c r="CB1041" s="494">
        <f ca="1">IF(OR($Q1040&lt;&gt;1,OP!$D$5+$BN1041-1&lt;16,$BN1041-1&lt;1),0,ROUND(ROUND(ROUND(((VLOOKUP($BN1041-1,MORE_PV,5,0)/10000)*VLOOKUP($BN1041,MORE_PV,$CB$5,0)),3)*VLOOKUP($BN1041,more1,5,0),0)/$R1040,0))</f>
        <v>0</v>
      </c>
      <c r="CC1041" s="473">
        <f t="shared" ca="1" si="681"/>
        <v>0</v>
      </c>
      <c r="CD1041" s="477"/>
    </row>
    <row r="1042" spans="2:82" ht="16.5" hidden="1">
      <c r="B1042" s="80"/>
      <c r="C1042" s="80"/>
      <c r="D1042" s="80"/>
      <c r="E1042" s="80"/>
      <c r="F1042" s="80"/>
      <c r="G1042" s="80"/>
      <c r="H1042" s="80"/>
      <c r="I1042" s="80"/>
      <c r="J1042" s="192">
        <f t="shared" si="662"/>
        <v>87</v>
      </c>
      <c r="K1042" s="192">
        <f t="shared" si="663"/>
        <v>2</v>
      </c>
      <c r="L1042" s="192" t="str">
        <f t="shared" si="658"/>
        <v/>
      </c>
      <c r="M1042" s="216" t="str">
        <f t="shared" ca="1" si="664"/>
        <v/>
      </c>
      <c r="N1042" s="216"/>
      <c r="O1042" s="216"/>
      <c r="P1042" s="216"/>
      <c r="Q1042" s="456">
        <f t="shared" ca="1" si="665"/>
        <v>1</v>
      </c>
      <c r="R1042" s="450">
        <f t="shared" ca="1" si="666"/>
        <v>12</v>
      </c>
      <c r="S1042" s="191">
        <f t="shared" si="667"/>
        <v>87</v>
      </c>
      <c r="T1042" s="191">
        <f t="shared" si="668"/>
        <v>2</v>
      </c>
      <c r="U1042" s="191">
        <f ca="1">OP!$D$5+$S1042-1</f>
        <v>119</v>
      </c>
      <c r="V1042" s="191" t="str">
        <f t="shared" si="669"/>
        <v/>
      </c>
      <c r="W1042" s="350">
        <f ca="1">IF(Q1042&lt;&gt;1,0,VLOOKUP(OP!$C$55,PVFB,$S1042+2,0))</f>
        <v>0</v>
      </c>
      <c r="X1042" s="473" t="str">
        <f t="shared" ca="1" si="682"/>
        <v/>
      </c>
      <c r="Y1042" s="348">
        <f t="shared" ca="1" si="683"/>
        <v>0</v>
      </c>
      <c r="Z1042" s="348">
        <f t="shared" ca="1" si="684"/>
        <v>8012</v>
      </c>
      <c r="AA1042" s="348">
        <f ca="1">IF(Q1042&lt;&gt;1,0,VLOOKUP(OP!$C$55,PVFB,$S1042+2,0))</f>
        <v>0</v>
      </c>
      <c r="AB1042" s="488" t="str">
        <f ca="1">IF(AND(S1042&lt;OP!$C$24,$U1042&lt;15),0,IF(AND($U1042&lt;15,$T1042=12),ROUND(VLOOKUP($S1042,DOWN16,5,0),3),IF($T1042=12,ROUND(($Z1042/10000)*$AA1042,3)+IF(AND($P$7="購買增額繳清保險",T1042=12,U1042=110),VLOOKUP(S1042,$B$10:$H$121,7,0),0),"")))</f>
        <v/>
      </c>
      <c r="AC1042" s="350" t="str">
        <f ca="1">IF(AND(S1042&lt;OP!$C$24,$U1042&lt;15),0,IF(AND($U1042&lt;16,$T1042=12),VLOOKUP($S1042,DOWN16,4,0),IF($T1042=12,ROUND(VLOOKUP(OP!$C$55,_DIE2,$S1042+1,0)*(Z1042/10000),0)+IF(AND($P$7="購買增額繳清保險",T1042=12,U1042=110),VLOOKUP(S1042,$B$10:$H$121,7,0),0),"")))</f>
        <v/>
      </c>
      <c r="AD1042" s="347"/>
      <c r="AE1042" s="350" t="str">
        <f t="shared" ca="1" si="659"/>
        <v/>
      </c>
      <c r="AF1042" s="351" t="str">
        <f t="shared" ca="1" si="660"/>
        <v/>
      </c>
      <c r="AG1042" s="340"/>
      <c r="AH1042" s="340"/>
      <c r="AI1042" s="340"/>
      <c r="AJ1042" s="340"/>
      <c r="AK1042" s="340"/>
      <c r="AL1042" s="340"/>
      <c r="AM1042" s="340"/>
      <c r="AN1042" s="340"/>
      <c r="AO1042" s="340"/>
      <c r="AP1042" s="340"/>
      <c r="AQ1042" s="340"/>
      <c r="AR1042" s="340"/>
      <c r="AS1042" s="340"/>
      <c r="AT1042" s="340"/>
      <c r="AU1042" s="340"/>
      <c r="AV1042" s="340"/>
      <c r="AY1042" s="340"/>
      <c r="AZ1042" s="465">
        <f t="shared" ca="1" si="670"/>
        <v>7.3698599999999999E-5</v>
      </c>
      <c r="BA1042" s="464">
        <f t="shared" ca="1" si="671"/>
        <v>0</v>
      </c>
      <c r="BB1042" s="465">
        <f t="shared" ca="1" si="671"/>
        <v>7.3698599999999999E-5</v>
      </c>
      <c r="BC1042" s="466">
        <f t="shared" ca="1" si="672"/>
        <v>74327</v>
      </c>
      <c r="BD1042" s="467">
        <f t="shared" ca="1" si="685"/>
        <v>74328</v>
      </c>
      <c r="BE1042" s="467">
        <f t="shared" ca="1" si="673"/>
        <v>74357</v>
      </c>
      <c r="BF1042" s="468">
        <f ca="1">IF(計算!$BC1042&lt;OP!$C$3,0,BD1042-BC1042)</f>
        <v>1</v>
      </c>
      <c r="BG1042" s="468">
        <f ca="1">IF($BE1042&gt;DATE(YEAR($BD$9)+OP!$C$57,MONTH($BD$9),DAY($BD$9)),0,$BE1042-$BD1042+1)</f>
        <v>0</v>
      </c>
      <c r="BH1042" s="469">
        <f t="shared" ca="1" si="674"/>
        <v>1</v>
      </c>
      <c r="BI1042" t="str">
        <f t="shared" si="656"/>
        <v/>
      </c>
      <c r="BJ1042">
        <v>1</v>
      </c>
      <c r="BN1042" s="468">
        <f t="shared" si="686"/>
        <v>87</v>
      </c>
      <c r="BO1042" s="468">
        <f t="shared" si="687"/>
        <v>1</v>
      </c>
      <c r="BP1042" s="467">
        <f t="shared" ca="1" si="675"/>
        <v>74328</v>
      </c>
      <c r="BQ1042" s="475">
        <f t="shared" ca="1" si="689"/>
        <v>119</v>
      </c>
      <c r="BR1042" s="475" t="str">
        <f t="shared" si="688"/>
        <v/>
      </c>
      <c r="BS1042" s="471" t="str">
        <f t="shared" si="676"/>
        <v/>
      </c>
      <c r="BT1042" s="472" t="str">
        <f t="shared" si="657"/>
        <v/>
      </c>
      <c r="BU1042" s="472">
        <f t="shared" ca="1" si="677"/>
        <v>0</v>
      </c>
      <c r="BV1042" s="472">
        <f t="shared" ca="1" si="677"/>
        <v>0</v>
      </c>
      <c r="BW1042" s="472"/>
      <c r="BX1042" s="473">
        <f t="shared" ca="1" si="678"/>
        <v>2775316.2803539098</v>
      </c>
      <c r="BY1042" s="473">
        <f t="shared" si="679"/>
        <v>0</v>
      </c>
      <c r="BZ1042" s="473">
        <f t="shared" ca="1" si="661"/>
        <v>204.536924419</v>
      </c>
      <c r="CA1042" s="476">
        <f t="shared" ca="1" si="680"/>
        <v>0</v>
      </c>
      <c r="CB1042" s="494">
        <f ca="1">IF(OR($Q1041&lt;&gt;1,OP!$D$5+$BN1042-1&lt;16,$BN1042-1&lt;1),0,ROUND(ROUND(ROUND(((VLOOKUP($BN1042-1,MORE_PV,5,0)/10000)*VLOOKUP($BN1042,MORE_PV,$CB$5,0)),3)*VLOOKUP($BN1042,more1,5,0),0)/$R1041,0))</f>
        <v>0</v>
      </c>
      <c r="CC1042" s="473">
        <f t="shared" ca="1" si="681"/>
        <v>0</v>
      </c>
      <c r="CD1042" s="477"/>
    </row>
    <row r="1043" spans="2:82" ht="16.5" hidden="1">
      <c r="B1043" s="80"/>
      <c r="C1043" s="80"/>
      <c r="D1043" s="80"/>
      <c r="E1043" s="80"/>
      <c r="F1043" s="80"/>
      <c r="G1043" s="80"/>
      <c r="H1043" s="80"/>
      <c r="I1043" s="80"/>
      <c r="J1043" s="192">
        <f t="shared" si="662"/>
        <v>87</v>
      </c>
      <c r="K1043" s="192">
        <f t="shared" si="663"/>
        <v>3</v>
      </c>
      <c r="L1043" s="192" t="str">
        <f t="shared" si="658"/>
        <v/>
      </c>
      <c r="M1043" s="216" t="str">
        <f t="shared" ca="1" si="664"/>
        <v/>
      </c>
      <c r="N1043" s="216"/>
      <c r="O1043" s="216"/>
      <c r="P1043" s="216"/>
      <c r="Q1043" s="456">
        <f t="shared" ca="1" si="665"/>
        <v>1</v>
      </c>
      <c r="R1043" s="450">
        <f t="shared" ca="1" si="666"/>
        <v>12</v>
      </c>
      <c r="S1043" s="191">
        <f t="shared" si="667"/>
        <v>87</v>
      </c>
      <c r="T1043" s="191">
        <f t="shared" si="668"/>
        <v>3</v>
      </c>
      <c r="U1043" s="191">
        <f ca="1">OP!$D$5+$S1043-1</f>
        <v>119</v>
      </c>
      <c r="V1043" s="191" t="str">
        <f t="shared" si="669"/>
        <v/>
      </c>
      <c r="W1043" s="350">
        <f ca="1">IF(Q1043&lt;&gt;1,0,VLOOKUP(OP!$C$55,PVFB,$S1043+2,0))</f>
        <v>0</v>
      </c>
      <c r="X1043" s="473" t="str">
        <f t="shared" ca="1" si="682"/>
        <v/>
      </c>
      <c r="Y1043" s="348">
        <f t="shared" ca="1" si="683"/>
        <v>0</v>
      </c>
      <c r="Z1043" s="348">
        <f t="shared" ca="1" si="684"/>
        <v>8012</v>
      </c>
      <c r="AA1043" s="348">
        <f ca="1">IF(Q1043&lt;&gt;1,0,VLOOKUP(OP!$C$55,PVFB,$S1043+2,0))</f>
        <v>0</v>
      </c>
      <c r="AB1043" s="488" t="str">
        <f ca="1">IF(AND(S1043&lt;OP!$C$24,$U1043&lt;15),0,IF(AND($U1043&lt;15,$T1043=12),ROUND(VLOOKUP($S1043,DOWN16,5,0),3),IF($T1043=12,ROUND(($Z1043/10000)*$AA1043,3)+IF(AND($P$7="購買增額繳清保險",T1043=12,U1043=110),VLOOKUP(S1043,$B$10:$H$121,7,0),0),"")))</f>
        <v/>
      </c>
      <c r="AC1043" s="350" t="str">
        <f ca="1">IF(AND(S1043&lt;OP!$C$24,$U1043&lt;15),0,IF(AND($U1043&lt;16,$T1043=12),VLOOKUP($S1043,DOWN16,4,0),IF($T1043=12,ROUND(VLOOKUP(OP!$C$55,_DIE2,$S1043+1,0)*(Z1043/10000),0)+IF(AND($P$7="購買增額繳清保險",T1043=12,U1043=110),VLOOKUP(S1043,$B$10:$H$121,7,0),0),"")))</f>
        <v/>
      </c>
      <c r="AD1043" s="347"/>
      <c r="AE1043" s="350" t="str">
        <f t="shared" ca="1" si="659"/>
        <v/>
      </c>
      <c r="AF1043" s="351" t="str">
        <f t="shared" ca="1" si="660"/>
        <v/>
      </c>
      <c r="AG1043" s="340"/>
      <c r="AH1043" s="340"/>
      <c r="AI1043" s="340"/>
      <c r="AJ1043" s="340"/>
      <c r="AK1043" s="340"/>
      <c r="AL1043" s="340"/>
      <c r="AM1043" s="340"/>
      <c r="AN1043" s="340"/>
      <c r="AO1043" s="340"/>
      <c r="AP1043" s="340"/>
      <c r="AQ1043" s="340"/>
      <c r="AR1043" s="340"/>
      <c r="AS1043" s="340"/>
      <c r="AT1043" s="340"/>
      <c r="AU1043" s="340"/>
      <c r="AV1043" s="340"/>
      <c r="AY1043" s="340"/>
      <c r="AZ1043" s="465">
        <f t="shared" ca="1" si="670"/>
        <v>7.3698599999999999E-5</v>
      </c>
      <c r="BA1043" s="464">
        <f t="shared" ca="1" si="671"/>
        <v>0</v>
      </c>
      <c r="BB1043" s="465">
        <f t="shared" ca="1" si="671"/>
        <v>7.3698599999999999E-5</v>
      </c>
      <c r="BC1043" s="466">
        <f t="shared" ca="1" si="672"/>
        <v>74358</v>
      </c>
      <c r="BD1043" s="467">
        <f t="shared" ca="1" si="685"/>
        <v>74359</v>
      </c>
      <c r="BE1043" s="467">
        <f t="shared" ca="1" si="673"/>
        <v>74388</v>
      </c>
      <c r="BF1043" s="468">
        <f ca="1">IF(計算!$BC1043&lt;OP!$C$3,0,BD1043-BC1043)</f>
        <v>1</v>
      </c>
      <c r="BG1043" s="468">
        <f ca="1">IF($BE1043&gt;DATE(YEAR($BD$9)+OP!$C$57,MONTH($BD$9),DAY($BD$9)),0,$BE1043-$BD1043+1)</f>
        <v>0</v>
      </c>
      <c r="BH1043" s="469">
        <f t="shared" ca="1" si="674"/>
        <v>1</v>
      </c>
      <c r="BI1043" t="str">
        <f t="shared" si="656"/>
        <v/>
      </c>
      <c r="BJ1043">
        <v>2</v>
      </c>
      <c r="BN1043" s="468">
        <f t="shared" si="686"/>
        <v>87</v>
      </c>
      <c r="BO1043" s="468">
        <f t="shared" si="687"/>
        <v>2</v>
      </c>
      <c r="BP1043" s="467">
        <f t="shared" ca="1" si="675"/>
        <v>74359</v>
      </c>
      <c r="BQ1043" s="475">
        <f t="shared" ca="1" si="689"/>
        <v>119</v>
      </c>
      <c r="BR1043" s="475" t="str">
        <f t="shared" si="688"/>
        <v/>
      </c>
      <c r="BS1043" s="471" t="str">
        <f t="shared" si="676"/>
        <v/>
      </c>
      <c r="BT1043" s="472" t="str">
        <f t="shared" si="657"/>
        <v/>
      </c>
      <c r="BU1043" s="472">
        <f t="shared" ca="1" si="677"/>
        <v>0</v>
      </c>
      <c r="BV1043" s="472">
        <f t="shared" ca="1" si="677"/>
        <v>0</v>
      </c>
      <c r="BW1043" s="472"/>
      <c r="BX1043" s="473">
        <f t="shared" ca="1" si="678"/>
        <v>2775520.8172783302</v>
      </c>
      <c r="BY1043" s="473">
        <f t="shared" si="679"/>
        <v>0</v>
      </c>
      <c r="BZ1043" s="473">
        <f t="shared" ca="1" si="661"/>
        <v>204.55199850400001</v>
      </c>
      <c r="CA1043" s="476">
        <f t="shared" ca="1" si="680"/>
        <v>0</v>
      </c>
      <c r="CB1043" s="494">
        <f ca="1">IF(OR($Q1042&lt;&gt;1,OP!$D$5+$BN1043-1&lt;16,$BN1043-1&lt;1),0,ROUND(ROUND(ROUND(((VLOOKUP($BN1043-1,MORE_PV,5,0)/10000)*VLOOKUP($BN1043,MORE_PV,$CB$5,0)),3)*VLOOKUP($BN1043,more1,5,0),0)/$R1042,0))</f>
        <v>0</v>
      </c>
      <c r="CC1043" s="473">
        <f t="shared" ca="1" si="681"/>
        <v>0</v>
      </c>
      <c r="CD1043" s="477"/>
    </row>
    <row r="1044" spans="2:82" ht="16.5" hidden="1">
      <c r="B1044" s="80"/>
      <c r="C1044" s="80"/>
      <c r="D1044" s="80"/>
      <c r="E1044" s="80"/>
      <c r="F1044" s="80"/>
      <c r="G1044" s="80"/>
      <c r="H1044" s="80"/>
      <c r="I1044" s="80"/>
      <c r="J1044" s="192">
        <f t="shared" si="662"/>
        <v>87</v>
      </c>
      <c r="K1044" s="192">
        <f t="shared" si="663"/>
        <v>4</v>
      </c>
      <c r="L1044" s="192" t="str">
        <f t="shared" si="658"/>
        <v/>
      </c>
      <c r="M1044" s="216" t="str">
        <f t="shared" ca="1" si="664"/>
        <v/>
      </c>
      <c r="N1044" s="216"/>
      <c r="O1044" s="216"/>
      <c r="P1044" s="216"/>
      <c r="Q1044" s="456">
        <f t="shared" ca="1" si="665"/>
        <v>1</v>
      </c>
      <c r="R1044" s="450">
        <f t="shared" ca="1" si="666"/>
        <v>12</v>
      </c>
      <c r="S1044" s="191">
        <f t="shared" si="667"/>
        <v>87</v>
      </c>
      <c r="T1044" s="191">
        <f t="shared" si="668"/>
        <v>4</v>
      </c>
      <c r="U1044" s="191">
        <f ca="1">OP!$D$5+$S1044-1</f>
        <v>119</v>
      </c>
      <c r="V1044" s="191" t="str">
        <f t="shared" si="669"/>
        <v/>
      </c>
      <c r="W1044" s="350">
        <f ca="1">IF(Q1044&lt;&gt;1,0,VLOOKUP(OP!$C$55,PVFB,$S1044+2,0))</f>
        <v>0</v>
      </c>
      <c r="X1044" s="473" t="str">
        <f t="shared" ca="1" si="682"/>
        <v/>
      </c>
      <c r="Y1044" s="348">
        <f t="shared" ca="1" si="683"/>
        <v>0</v>
      </c>
      <c r="Z1044" s="348">
        <f t="shared" ca="1" si="684"/>
        <v>8012</v>
      </c>
      <c r="AA1044" s="348">
        <f ca="1">IF(Q1044&lt;&gt;1,0,VLOOKUP(OP!$C$55,PVFB,$S1044+2,0))</f>
        <v>0</v>
      </c>
      <c r="AB1044" s="488" t="str">
        <f ca="1">IF(AND(S1044&lt;OP!$C$24,$U1044&lt;15),0,IF(AND($U1044&lt;15,$T1044=12),ROUND(VLOOKUP($S1044,DOWN16,5,0),3),IF($T1044=12,ROUND(($Z1044/10000)*$AA1044,3)+IF(AND($P$7="購買增額繳清保險",T1044=12,U1044=110),VLOOKUP(S1044,$B$10:$H$121,7,0),0),"")))</f>
        <v/>
      </c>
      <c r="AC1044" s="350" t="str">
        <f ca="1">IF(AND(S1044&lt;OP!$C$24,$U1044&lt;15),0,IF(AND($U1044&lt;16,$T1044=12),VLOOKUP($S1044,DOWN16,4,0),IF($T1044=12,ROUND(VLOOKUP(OP!$C$55,_DIE2,$S1044+1,0)*(Z1044/10000),0)+IF(AND($P$7="購買增額繳清保險",T1044=12,U1044=110),VLOOKUP(S1044,$B$10:$H$121,7,0),0),"")))</f>
        <v/>
      </c>
      <c r="AD1044" s="347"/>
      <c r="AE1044" s="350" t="str">
        <f t="shared" ca="1" si="659"/>
        <v/>
      </c>
      <c r="AF1044" s="351" t="str">
        <f t="shared" ca="1" si="660"/>
        <v/>
      </c>
      <c r="AG1044" s="340"/>
      <c r="AH1044" s="340"/>
      <c r="AI1044" s="340"/>
      <c r="AJ1044" s="340"/>
      <c r="AK1044" s="340"/>
      <c r="AL1044" s="340"/>
      <c r="AM1044" s="340"/>
      <c r="AN1044" s="340"/>
      <c r="AO1044" s="340"/>
      <c r="AP1044" s="340"/>
      <c r="AQ1044" s="340"/>
      <c r="AR1044" s="340"/>
      <c r="AS1044" s="340"/>
      <c r="AT1044" s="340"/>
      <c r="AU1044" s="340"/>
      <c r="AV1044" s="340"/>
      <c r="AY1044" s="340"/>
      <c r="AZ1044" s="465">
        <f t="shared" ca="1" si="670"/>
        <v>7.3698599999999999E-5</v>
      </c>
      <c r="BA1044" s="464">
        <f t="shared" ca="1" si="671"/>
        <v>0</v>
      </c>
      <c r="BB1044" s="465">
        <f t="shared" ca="1" si="671"/>
        <v>7.3698599999999999E-5</v>
      </c>
      <c r="BC1044" s="466">
        <f t="shared" ca="1" si="672"/>
        <v>74389</v>
      </c>
      <c r="BD1044" s="467">
        <f t="shared" ca="1" si="685"/>
        <v>74390</v>
      </c>
      <c r="BE1044" s="467">
        <f t="shared" ca="1" si="673"/>
        <v>74418</v>
      </c>
      <c r="BF1044" s="468">
        <f ca="1">IF(計算!$BC1044&lt;OP!$C$3,0,BD1044-BC1044)</f>
        <v>1</v>
      </c>
      <c r="BG1044" s="468">
        <f ca="1">IF($BE1044&gt;DATE(YEAR($BD$9)+OP!$C$57,MONTH($BD$9),DAY($BD$9)),0,$BE1044-$BD1044+1)</f>
        <v>0</v>
      </c>
      <c r="BH1044" s="469">
        <f t="shared" ca="1" si="674"/>
        <v>1</v>
      </c>
      <c r="BI1044" t="str">
        <f t="shared" si="656"/>
        <v/>
      </c>
      <c r="BJ1044">
        <v>3</v>
      </c>
      <c r="BN1044" s="468">
        <f t="shared" si="686"/>
        <v>87</v>
      </c>
      <c r="BO1044" s="468">
        <f t="shared" si="687"/>
        <v>3</v>
      </c>
      <c r="BP1044" s="467">
        <f t="shared" ca="1" si="675"/>
        <v>74390</v>
      </c>
      <c r="BQ1044" s="475">
        <f t="shared" ca="1" si="689"/>
        <v>119</v>
      </c>
      <c r="BR1044" s="475" t="str">
        <f t="shared" si="688"/>
        <v/>
      </c>
      <c r="BS1044" s="471" t="str">
        <f t="shared" si="676"/>
        <v/>
      </c>
      <c r="BT1044" s="472" t="str">
        <f t="shared" si="657"/>
        <v/>
      </c>
      <c r="BU1044" s="472">
        <f t="shared" ca="1" si="677"/>
        <v>0</v>
      </c>
      <c r="BV1044" s="472">
        <f t="shared" ca="1" si="677"/>
        <v>0</v>
      </c>
      <c r="BW1044" s="472"/>
      <c r="BX1044" s="473">
        <f t="shared" ca="1" si="678"/>
        <v>2775725.36927683</v>
      </c>
      <c r="BY1044" s="473">
        <f t="shared" si="679"/>
        <v>0</v>
      </c>
      <c r="BZ1044" s="473">
        <f t="shared" ca="1" si="661"/>
        <v>204.56707370000001</v>
      </c>
      <c r="CA1044" s="476">
        <f t="shared" ca="1" si="680"/>
        <v>0</v>
      </c>
      <c r="CB1044" s="494">
        <f ca="1">IF(OR($Q1043&lt;&gt;1,OP!$D$5+$BN1044-1&lt;16,$BN1044-1&lt;1),0,ROUND(ROUND(ROUND(((VLOOKUP($BN1044-1,MORE_PV,5,0)/10000)*VLOOKUP($BN1044,MORE_PV,$CB$5,0)),3)*VLOOKUP($BN1044,more1,5,0),0)/$R1043,0))</f>
        <v>0</v>
      </c>
      <c r="CC1044" s="473">
        <f t="shared" ca="1" si="681"/>
        <v>0</v>
      </c>
      <c r="CD1044" s="477"/>
    </row>
    <row r="1045" spans="2:82" ht="16.5" hidden="1">
      <c r="B1045" s="80"/>
      <c r="C1045" s="80"/>
      <c r="D1045" s="80"/>
      <c r="E1045" s="80"/>
      <c r="F1045" s="80"/>
      <c r="G1045" s="80"/>
      <c r="H1045" s="80"/>
      <c r="I1045" s="80"/>
      <c r="J1045" s="192">
        <f t="shared" si="662"/>
        <v>87</v>
      </c>
      <c r="K1045" s="192">
        <f t="shared" si="663"/>
        <v>5</v>
      </c>
      <c r="L1045" s="192" t="str">
        <f t="shared" si="658"/>
        <v/>
      </c>
      <c r="M1045" s="216" t="str">
        <f t="shared" ca="1" si="664"/>
        <v/>
      </c>
      <c r="N1045" s="216"/>
      <c r="O1045" s="216"/>
      <c r="P1045" s="216"/>
      <c r="Q1045" s="456">
        <f t="shared" ca="1" si="665"/>
        <v>1</v>
      </c>
      <c r="R1045" s="450">
        <f t="shared" ca="1" si="666"/>
        <v>12</v>
      </c>
      <c r="S1045" s="191">
        <f t="shared" si="667"/>
        <v>87</v>
      </c>
      <c r="T1045" s="191">
        <f t="shared" si="668"/>
        <v>5</v>
      </c>
      <c r="U1045" s="191">
        <f ca="1">OP!$D$5+$S1045-1</f>
        <v>119</v>
      </c>
      <c r="V1045" s="191" t="str">
        <f t="shared" si="669"/>
        <v/>
      </c>
      <c r="W1045" s="350">
        <f ca="1">IF(Q1045&lt;&gt;1,0,VLOOKUP(OP!$C$55,PVFB,$S1045+2,0))</f>
        <v>0</v>
      </c>
      <c r="X1045" s="473" t="str">
        <f t="shared" ca="1" si="682"/>
        <v/>
      </c>
      <c r="Y1045" s="348">
        <f t="shared" ca="1" si="683"/>
        <v>0</v>
      </c>
      <c r="Z1045" s="348">
        <f t="shared" ca="1" si="684"/>
        <v>8012</v>
      </c>
      <c r="AA1045" s="348">
        <f ca="1">IF(Q1045&lt;&gt;1,0,VLOOKUP(OP!$C$55,PVFB,$S1045+2,0))</f>
        <v>0</v>
      </c>
      <c r="AB1045" s="488" t="str">
        <f ca="1">IF(AND(S1045&lt;OP!$C$24,$U1045&lt;15),0,IF(AND($U1045&lt;15,$T1045=12),ROUND(VLOOKUP($S1045,DOWN16,5,0),3),IF($T1045=12,ROUND(($Z1045/10000)*$AA1045,3)+IF(AND($P$7="購買增額繳清保險",T1045=12,U1045=110),VLOOKUP(S1045,$B$10:$H$121,7,0),0),"")))</f>
        <v/>
      </c>
      <c r="AC1045" s="350" t="str">
        <f ca="1">IF(AND(S1045&lt;OP!$C$24,$U1045&lt;15),0,IF(AND($U1045&lt;16,$T1045=12),VLOOKUP($S1045,DOWN16,4,0),IF($T1045=12,ROUND(VLOOKUP(OP!$C$55,_DIE2,$S1045+1,0)*(Z1045/10000),0)+IF(AND($P$7="購買增額繳清保險",T1045=12,U1045=110),VLOOKUP(S1045,$B$10:$H$121,7,0),0),"")))</f>
        <v/>
      </c>
      <c r="AD1045" s="347"/>
      <c r="AE1045" s="350" t="str">
        <f t="shared" ca="1" si="659"/>
        <v/>
      </c>
      <c r="AF1045" s="351" t="str">
        <f t="shared" ca="1" si="660"/>
        <v/>
      </c>
      <c r="AG1045" s="340"/>
      <c r="AH1045" s="340"/>
      <c r="AI1045" s="340"/>
      <c r="AJ1045" s="340"/>
      <c r="AK1045" s="340"/>
      <c r="AL1045" s="340"/>
      <c r="AM1045" s="340"/>
      <c r="AN1045" s="340"/>
      <c r="AO1045" s="340"/>
      <c r="AP1045" s="340"/>
      <c r="AQ1045" s="340"/>
      <c r="AR1045" s="340"/>
      <c r="AS1045" s="340"/>
      <c r="AT1045" s="340"/>
      <c r="AU1045" s="340"/>
      <c r="AV1045" s="340"/>
      <c r="AY1045" s="340"/>
      <c r="AZ1045" s="465">
        <f t="shared" ca="1" si="670"/>
        <v>7.3698599999999999E-5</v>
      </c>
      <c r="BA1045" s="464">
        <f t="shared" ca="1" si="671"/>
        <v>0</v>
      </c>
      <c r="BB1045" s="465">
        <f t="shared" ca="1" si="671"/>
        <v>7.3698599999999999E-5</v>
      </c>
      <c r="BC1045" s="466">
        <f t="shared" ca="1" si="672"/>
        <v>74419</v>
      </c>
      <c r="BD1045" s="467">
        <f t="shared" ca="1" si="685"/>
        <v>74420</v>
      </c>
      <c r="BE1045" s="467">
        <f t="shared" ca="1" si="673"/>
        <v>74449</v>
      </c>
      <c r="BF1045" s="468">
        <f ca="1">IF(計算!$BC1045&lt;OP!$C$3,0,BD1045-BC1045)</f>
        <v>1</v>
      </c>
      <c r="BG1045" s="468">
        <f ca="1">IF($BE1045&gt;DATE(YEAR($BD$9)+OP!$C$57,MONTH($BD$9),DAY($BD$9)),0,$BE1045-$BD1045+1)</f>
        <v>0</v>
      </c>
      <c r="BH1045" s="469">
        <f t="shared" ca="1" si="674"/>
        <v>1</v>
      </c>
      <c r="BI1045" t="str">
        <f t="shared" ref="BI1045:BI1108" si="690">IF(BJ1045=12,BD1045-BD1033,"")</f>
        <v/>
      </c>
      <c r="BJ1045">
        <v>4</v>
      </c>
      <c r="BN1045" s="468">
        <f t="shared" si="686"/>
        <v>87</v>
      </c>
      <c r="BO1045" s="468">
        <f t="shared" si="687"/>
        <v>4</v>
      </c>
      <c r="BP1045" s="467">
        <f t="shared" ca="1" si="675"/>
        <v>74420</v>
      </c>
      <c r="BQ1045" s="475">
        <f t="shared" ca="1" si="689"/>
        <v>119</v>
      </c>
      <c r="BR1045" s="475" t="str">
        <f t="shared" si="688"/>
        <v/>
      </c>
      <c r="BS1045" s="471" t="str">
        <f t="shared" si="676"/>
        <v/>
      </c>
      <c r="BT1045" s="472" t="str">
        <f t="shared" si="657"/>
        <v/>
      </c>
      <c r="BU1045" s="472">
        <f t="shared" ca="1" si="677"/>
        <v>0</v>
      </c>
      <c r="BV1045" s="472">
        <f t="shared" ca="1" si="677"/>
        <v>0</v>
      </c>
      <c r="BW1045" s="472"/>
      <c r="BX1045" s="473">
        <f t="shared" ca="1" si="678"/>
        <v>2775929.93635053</v>
      </c>
      <c r="BY1045" s="473">
        <f t="shared" si="679"/>
        <v>0</v>
      </c>
      <c r="BZ1045" s="473">
        <f t="shared" ca="1" si="661"/>
        <v>204.582150007</v>
      </c>
      <c r="CA1045" s="476">
        <f t="shared" ca="1" si="680"/>
        <v>0</v>
      </c>
      <c r="CB1045" s="494">
        <f ca="1">IF(OR($Q1044&lt;&gt;1,OP!$D$5+$BN1045-1&lt;16,$BN1045-1&lt;1),0,ROUND(ROUND(ROUND(((VLOOKUP($BN1045-1,MORE_PV,5,0)/10000)*VLOOKUP($BN1045,MORE_PV,$CB$5,0)),3)*VLOOKUP($BN1045,more1,5,0),0)/$R1044,0))</f>
        <v>0</v>
      </c>
      <c r="CC1045" s="473">
        <f t="shared" ca="1" si="681"/>
        <v>0</v>
      </c>
      <c r="CD1045" s="477"/>
    </row>
    <row r="1046" spans="2:82" ht="16.5" hidden="1">
      <c r="B1046" s="80"/>
      <c r="C1046" s="80"/>
      <c r="D1046" s="80"/>
      <c r="E1046" s="80"/>
      <c r="F1046" s="80"/>
      <c r="G1046" s="80"/>
      <c r="H1046" s="80"/>
      <c r="I1046" s="80"/>
      <c r="J1046" s="192">
        <f t="shared" si="662"/>
        <v>87</v>
      </c>
      <c r="K1046" s="192">
        <f t="shared" si="663"/>
        <v>6</v>
      </c>
      <c r="L1046" s="192" t="str">
        <f t="shared" si="658"/>
        <v/>
      </c>
      <c r="M1046" s="216" t="str">
        <f t="shared" ca="1" si="664"/>
        <v/>
      </c>
      <c r="N1046" s="216"/>
      <c r="O1046" s="216"/>
      <c r="P1046" s="216"/>
      <c r="Q1046" s="456">
        <f t="shared" ca="1" si="665"/>
        <v>1</v>
      </c>
      <c r="R1046" s="450">
        <f t="shared" ca="1" si="666"/>
        <v>12</v>
      </c>
      <c r="S1046" s="191">
        <f t="shared" si="667"/>
        <v>87</v>
      </c>
      <c r="T1046" s="191">
        <f t="shared" si="668"/>
        <v>6</v>
      </c>
      <c r="U1046" s="191">
        <f ca="1">OP!$D$5+$S1046-1</f>
        <v>119</v>
      </c>
      <c r="V1046" s="191" t="str">
        <f t="shared" si="669"/>
        <v/>
      </c>
      <c r="W1046" s="350">
        <f ca="1">IF(Q1046&lt;&gt;1,0,VLOOKUP(OP!$C$55,PVFB,$S1046+2,0))</f>
        <v>0</v>
      </c>
      <c r="X1046" s="473" t="str">
        <f t="shared" ca="1" si="682"/>
        <v/>
      </c>
      <c r="Y1046" s="348">
        <f t="shared" ca="1" si="683"/>
        <v>0</v>
      </c>
      <c r="Z1046" s="348">
        <f t="shared" ca="1" si="684"/>
        <v>8012</v>
      </c>
      <c r="AA1046" s="348">
        <f ca="1">IF(Q1046&lt;&gt;1,0,VLOOKUP(OP!$C$55,PVFB,$S1046+2,0))</f>
        <v>0</v>
      </c>
      <c r="AB1046" s="488" t="str">
        <f ca="1">IF(AND(S1046&lt;OP!$C$24,$U1046&lt;15),0,IF(AND($U1046&lt;15,$T1046=12),ROUND(VLOOKUP($S1046,DOWN16,5,0),3),IF($T1046=12,ROUND(($Z1046/10000)*$AA1046,3)+IF(AND($P$7="購買增額繳清保險",T1046=12,U1046=110),VLOOKUP(S1046,$B$10:$H$121,7,0),0),"")))</f>
        <v/>
      </c>
      <c r="AC1046" s="350" t="str">
        <f ca="1">IF(AND(S1046&lt;OP!$C$24,$U1046&lt;15),0,IF(AND($U1046&lt;16,$T1046=12),VLOOKUP($S1046,DOWN16,4,0),IF($T1046=12,ROUND(VLOOKUP(OP!$C$55,_DIE2,$S1046+1,0)*(Z1046/10000),0)+IF(AND($P$7="購買增額繳清保險",T1046=12,U1046=110),VLOOKUP(S1046,$B$10:$H$121,7,0),0),"")))</f>
        <v/>
      </c>
      <c r="AD1046" s="347"/>
      <c r="AE1046" s="350" t="str">
        <f t="shared" ca="1" si="659"/>
        <v/>
      </c>
      <c r="AF1046" s="351" t="str">
        <f t="shared" ca="1" si="660"/>
        <v/>
      </c>
      <c r="AG1046" s="340"/>
      <c r="AH1046" s="340"/>
      <c r="AI1046" s="340"/>
      <c r="AJ1046" s="340"/>
      <c r="AK1046" s="340"/>
      <c r="AL1046" s="340"/>
      <c r="AM1046" s="340"/>
      <c r="AN1046" s="340"/>
      <c r="AO1046" s="340"/>
      <c r="AP1046" s="340"/>
      <c r="AQ1046" s="340"/>
      <c r="AR1046" s="340"/>
      <c r="AS1046" s="340"/>
      <c r="AT1046" s="340"/>
      <c r="AU1046" s="340"/>
      <c r="AV1046" s="340"/>
      <c r="AY1046" s="340"/>
      <c r="AZ1046" s="465">
        <f t="shared" ca="1" si="670"/>
        <v>7.3698599999999999E-5</v>
      </c>
      <c r="BA1046" s="464">
        <f t="shared" ca="1" si="671"/>
        <v>0</v>
      </c>
      <c r="BB1046" s="465">
        <f t="shared" ca="1" si="671"/>
        <v>7.3698599999999999E-5</v>
      </c>
      <c r="BC1046" s="466">
        <f t="shared" ca="1" si="672"/>
        <v>74450</v>
      </c>
      <c r="BD1046" s="467">
        <f t="shared" ca="1" si="685"/>
        <v>74451</v>
      </c>
      <c r="BE1046" s="467">
        <f t="shared" ca="1" si="673"/>
        <v>74479</v>
      </c>
      <c r="BF1046" s="468">
        <f ca="1">IF(計算!$BC1046&lt;OP!$C$3,0,BD1046-BC1046)</f>
        <v>1</v>
      </c>
      <c r="BG1046" s="468">
        <f ca="1">IF($BE1046&gt;DATE(YEAR($BD$9)+OP!$C$57,MONTH($BD$9),DAY($BD$9)),0,$BE1046-$BD1046+1)</f>
        <v>0</v>
      </c>
      <c r="BH1046" s="469">
        <f t="shared" ca="1" si="674"/>
        <v>1</v>
      </c>
      <c r="BI1046" t="str">
        <f t="shared" si="690"/>
        <v/>
      </c>
      <c r="BJ1046">
        <v>5</v>
      </c>
      <c r="BN1046" s="468">
        <f t="shared" si="686"/>
        <v>87</v>
      </c>
      <c r="BO1046" s="468">
        <f t="shared" si="687"/>
        <v>5</v>
      </c>
      <c r="BP1046" s="467">
        <f t="shared" ca="1" si="675"/>
        <v>74451</v>
      </c>
      <c r="BQ1046" s="475">
        <f t="shared" ca="1" si="689"/>
        <v>119</v>
      </c>
      <c r="BR1046" s="475" t="str">
        <f t="shared" si="688"/>
        <v/>
      </c>
      <c r="BS1046" s="471" t="str">
        <f t="shared" si="676"/>
        <v/>
      </c>
      <c r="BT1046" s="472" t="str">
        <f t="shared" ref="BT1046:BT1109" si="691">IF(BW1046&lt;&gt;"",IF(BN1046&gt;=$P$4+1,ROUND(BU1046,0)+ROUND(BV1046,0)+ROUND(BW1046,0)+BT1034,0),"")</f>
        <v/>
      </c>
      <c r="BU1046" s="472">
        <f t="shared" ca="1" si="677"/>
        <v>0</v>
      </c>
      <c r="BV1046" s="472">
        <f t="shared" ca="1" si="677"/>
        <v>0</v>
      </c>
      <c r="BW1046" s="472"/>
      <c r="BX1046" s="473">
        <f t="shared" ca="1" si="678"/>
        <v>2776134.5185005399</v>
      </c>
      <c r="BY1046" s="473">
        <f t="shared" si="679"/>
        <v>0</v>
      </c>
      <c r="BZ1046" s="473">
        <f t="shared" ca="1" si="661"/>
        <v>204.597227425</v>
      </c>
      <c r="CA1046" s="476">
        <f t="shared" ca="1" si="680"/>
        <v>0</v>
      </c>
      <c r="CB1046" s="494">
        <f ca="1">IF(OR($Q1045&lt;&gt;1,OP!$D$5+$BN1046-1&lt;16,$BN1046-1&lt;1),0,ROUND(ROUND(ROUND(((VLOOKUP($BN1046-1,MORE_PV,5,0)/10000)*VLOOKUP($BN1046,MORE_PV,$CB$5,0)),3)*VLOOKUP($BN1046,more1,5,0),0)/$R1045,0))</f>
        <v>0</v>
      </c>
      <c r="CC1046" s="473">
        <f t="shared" ca="1" si="681"/>
        <v>0</v>
      </c>
      <c r="CD1046" s="477"/>
    </row>
    <row r="1047" spans="2:82" ht="16.5" hidden="1">
      <c r="B1047" s="80"/>
      <c r="C1047" s="80"/>
      <c r="D1047" s="80"/>
      <c r="E1047" s="80"/>
      <c r="F1047" s="80"/>
      <c r="G1047" s="80"/>
      <c r="H1047" s="80"/>
      <c r="I1047" s="80"/>
      <c r="J1047" s="192">
        <f t="shared" si="662"/>
        <v>87</v>
      </c>
      <c r="K1047" s="192">
        <f t="shared" si="663"/>
        <v>7</v>
      </c>
      <c r="L1047" s="192" t="str">
        <f t="shared" si="658"/>
        <v/>
      </c>
      <c r="M1047" s="216" t="str">
        <f t="shared" ca="1" si="664"/>
        <v/>
      </c>
      <c r="N1047" s="216"/>
      <c r="O1047" s="216"/>
      <c r="P1047" s="216"/>
      <c r="Q1047" s="456">
        <f t="shared" ca="1" si="665"/>
        <v>1</v>
      </c>
      <c r="R1047" s="450">
        <f t="shared" ca="1" si="666"/>
        <v>12</v>
      </c>
      <c r="S1047" s="191">
        <f t="shared" si="667"/>
        <v>87</v>
      </c>
      <c r="T1047" s="191">
        <f t="shared" si="668"/>
        <v>7</v>
      </c>
      <c r="U1047" s="191">
        <f ca="1">OP!$D$5+$S1047-1</f>
        <v>119</v>
      </c>
      <c r="V1047" s="191" t="str">
        <f t="shared" si="669"/>
        <v/>
      </c>
      <c r="W1047" s="350">
        <f ca="1">IF(Q1047&lt;&gt;1,0,VLOOKUP(OP!$C$55,PVFB,$S1047+2,0))</f>
        <v>0</v>
      </c>
      <c r="X1047" s="473" t="str">
        <f t="shared" ca="1" si="682"/>
        <v/>
      </c>
      <c r="Y1047" s="348">
        <f t="shared" ca="1" si="683"/>
        <v>0</v>
      </c>
      <c r="Z1047" s="348">
        <f t="shared" ca="1" si="684"/>
        <v>8012</v>
      </c>
      <c r="AA1047" s="348">
        <f ca="1">IF(Q1047&lt;&gt;1,0,VLOOKUP(OP!$C$55,PVFB,$S1047+2,0))</f>
        <v>0</v>
      </c>
      <c r="AB1047" s="488" t="str">
        <f ca="1">IF(AND(S1047&lt;OP!$C$24,$U1047&lt;15),0,IF(AND($U1047&lt;15,$T1047=12),ROUND(VLOOKUP($S1047,DOWN16,5,0),3),IF($T1047=12,ROUND(($Z1047/10000)*$AA1047,3)+IF(AND($P$7="購買增額繳清保險",T1047=12,U1047=110),VLOOKUP(S1047,$B$10:$H$121,7,0),0),"")))</f>
        <v/>
      </c>
      <c r="AC1047" s="350" t="str">
        <f ca="1">IF(AND(S1047&lt;OP!$C$24,$U1047&lt;15),0,IF(AND($U1047&lt;16,$T1047=12),VLOOKUP($S1047,DOWN16,4,0),IF($T1047=12,ROUND(VLOOKUP(OP!$C$55,_DIE2,$S1047+1,0)*(Z1047/10000),0)+IF(AND($P$7="購買增額繳清保險",T1047=12,U1047=110),VLOOKUP(S1047,$B$10:$H$121,7,0),0),"")))</f>
        <v/>
      </c>
      <c r="AD1047" s="347"/>
      <c r="AE1047" s="350" t="str">
        <f t="shared" ca="1" si="659"/>
        <v/>
      </c>
      <c r="AF1047" s="351" t="str">
        <f t="shared" ca="1" si="660"/>
        <v/>
      </c>
      <c r="AG1047" s="340"/>
      <c r="AH1047" s="340"/>
      <c r="AI1047" s="340"/>
      <c r="AJ1047" s="340"/>
      <c r="AK1047" s="340"/>
      <c r="AL1047" s="340"/>
      <c r="AM1047" s="340"/>
      <c r="AN1047" s="340"/>
      <c r="AO1047" s="340"/>
      <c r="AP1047" s="340"/>
      <c r="AQ1047" s="340"/>
      <c r="AR1047" s="340"/>
      <c r="AS1047" s="340"/>
      <c r="AT1047" s="340"/>
      <c r="AU1047" s="340"/>
      <c r="AV1047" s="340"/>
      <c r="AY1047" s="340"/>
      <c r="AZ1047" s="465">
        <f t="shared" ca="1" si="670"/>
        <v>7.3698599999999999E-5</v>
      </c>
      <c r="BA1047" s="464">
        <f t="shared" ca="1" si="671"/>
        <v>0</v>
      </c>
      <c r="BB1047" s="465">
        <f t="shared" ca="1" si="671"/>
        <v>7.3698599999999999E-5</v>
      </c>
      <c r="BC1047" s="466">
        <f t="shared" ca="1" si="672"/>
        <v>74480</v>
      </c>
      <c r="BD1047" s="467">
        <f t="shared" ca="1" si="685"/>
        <v>74481</v>
      </c>
      <c r="BE1047" s="467">
        <f t="shared" ca="1" si="673"/>
        <v>74510</v>
      </c>
      <c r="BF1047" s="468">
        <f ca="1">IF(計算!$BC1047&lt;OP!$C$3,0,BD1047-BC1047)</f>
        <v>1</v>
      </c>
      <c r="BG1047" s="468">
        <f ca="1">IF($BE1047&gt;DATE(YEAR($BD$9)+OP!$C$57,MONTH($BD$9),DAY($BD$9)),0,$BE1047-$BD1047+1)</f>
        <v>0</v>
      </c>
      <c r="BH1047" s="469">
        <f t="shared" ca="1" si="674"/>
        <v>1</v>
      </c>
      <c r="BI1047" t="str">
        <f t="shared" si="690"/>
        <v/>
      </c>
      <c r="BJ1047">
        <v>6</v>
      </c>
      <c r="BN1047" s="468">
        <f t="shared" si="686"/>
        <v>87</v>
      </c>
      <c r="BO1047" s="468">
        <f t="shared" si="687"/>
        <v>6</v>
      </c>
      <c r="BP1047" s="467">
        <f t="shared" ca="1" si="675"/>
        <v>74481</v>
      </c>
      <c r="BQ1047" s="475">
        <f t="shared" ca="1" si="689"/>
        <v>119</v>
      </c>
      <c r="BR1047" s="475" t="str">
        <f t="shared" si="688"/>
        <v/>
      </c>
      <c r="BS1047" s="471" t="str">
        <f t="shared" si="676"/>
        <v/>
      </c>
      <c r="BT1047" s="472" t="str">
        <f t="shared" si="691"/>
        <v/>
      </c>
      <c r="BU1047" s="472">
        <f t="shared" ca="1" si="677"/>
        <v>0</v>
      </c>
      <c r="BV1047" s="472">
        <f t="shared" ca="1" si="677"/>
        <v>0</v>
      </c>
      <c r="BW1047" s="472"/>
      <c r="BX1047" s="473">
        <f t="shared" ca="1" si="678"/>
        <v>2776339.1157279601</v>
      </c>
      <c r="BY1047" s="473">
        <f t="shared" si="679"/>
        <v>0</v>
      </c>
      <c r="BZ1047" s="473">
        <f t="shared" ca="1" si="661"/>
        <v>204.61230595399999</v>
      </c>
      <c r="CA1047" s="476">
        <f t="shared" ca="1" si="680"/>
        <v>0</v>
      </c>
      <c r="CB1047" s="494">
        <f ca="1">IF(OR($Q1046&lt;&gt;1,OP!$D$5+$BN1047-1&lt;16,$BN1047-1&lt;1),0,ROUND(ROUND(ROUND(((VLOOKUP($BN1047-1,MORE_PV,5,0)/10000)*VLOOKUP($BN1047,MORE_PV,$CB$5,0)),3)*VLOOKUP($BN1047,more1,5,0),0)/$R1046,0))</f>
        <v>0</v>
      </c>
      <c r="CC1047" s="473">
        <f t="shared" ca="1" si="681"/>
        <v>0</v>
      </c>
      <c r="CD1047" s="477"/>
    </row>
    <row r="1048" spans="2:82" ht="16.5" hidden="1">
      <c r="B1048" s="80"/>
      <c r="C1048" s="80"/>
      <c r="D1048" s="80"/>
      <c r="E1048" s="80"/>
      <c r="F1048" s="80"/>
      <c r="G1048" s="80"/>
      <c r="H1048" s="80"/>
      <c r="I1048" s="80"/>
      <c r="J1048" s="192">
        <f t="shared" si="662"/>
        <v>87</v>
      </c>
      <c r="K1048" s="192">
        <f t="shared" si="663"/>
        <v>8</v>
      </c>
      <c r="L1048" s="192" t="str">
        <f t="shared" si="658"/>
        <v/>
      </c>
      <c r="M1048" s="216" t="str">
        <f t="shared" ca="1" si="664"/>
        <v/>
      </c>
      <c r="N1048" s="216"/>
      <c r="O1048" s="216"/>
      <c r="P1048" s="216"/>
      <c r="Q1048" s="456">
        <f t="shared" ca="1" si="665"/>
        <v>1</v>
      </c>
      <c r="R1048" s="450">
        <f t="shared" ca="1" si="666"/>
        <v>12</v>
      </c>
      <c r="S1048" s="191">
        <f t="shared" si="667"/>
        <v>87</v>
      </c>
      <c r="T1048" s="191">
        <f t="shared" si="668"/>
        <v>8</v>
      </c>
      <c r="U1048" s="191">
        <f ca="1">OP!$D$5+$S1048-1</f>
        <v>119</v>
      </c>
      <c r="V1048" s="191" t="str">
        <f t="shared" si="669"/>
        <v/>
      </c>
      <c r="W1048" s="350">
        <f ca="1">IF(Q1048&lt;&gt;1,0,VLOOKUP(OP!$C$55,PVFB,$S1048+2,0))</f>
        <v>0</v>
      </c>
      <c r="X1048" s="473" t="str">
        <f t="shared" ca="1" si="682"/>
        <v/>
      </c>
      <c r="Y1048" s="348">
        <f t="shared" ca="1" si="683"/>
        <v>0</v>
      </c>
      <c r="Z1048" s="348">
        <f t="shared" ca="1" si="684"/>
        <v>8012</v>
      </c>
      <c r="AA1048" s="348">
        <f ca="1">IF(Q1048&lt;&gt;1,0,VLOOKUP(OP!$C$55,PVFB,$S1048+2,0))</f>
        <v>0</v>
      </c>
      <c r="AB1048" s="488" t="str">
        <f ca="1">IF(AND(S1048&lt;OP!$C$24,$U1048&lt;15),0,IF(AND($U1048&lt;15,$T1048=12),ROUND(VLOOKUP($S1048,DOWN16,5,0),3),IF($T1048=12,ROUND(($Z1048/10000)*$AA1048,3)+IF(AND($P$7="購買增額繳清保險",T1048=12,U1048=110),VLOOKUP(S1048,$B$10:$H$121,7,0),0),"")))</f>
        <v/>
      </c>
      <c r="AC1048" s="350" t="str">
        <f ca="1">IF(AND(S1048&lt;OP!$C$24,$U1048&lt;15),0,IF(AND($U1048&lt;16,$T1048=12),VLOOKUP($S1048,DOWN16,4,0),IF($T1048=12,ROUND(VLOOKUP(OP!$C$55,_DIE2,$S1048+1,0)*(Z1048/10000),0)+IF(AND($P$7="購買增額繳清保險",T1048=12,U1048=110),VLOOKUP(S1048,$B$10:$H$121,7,0),0),"")))</f>
        <v/>
      </c>
      <c r="AD1048" s="347"/>
      <c r="AE1048" s="350" t="str">
        <f t="shared" ca="1" si="659"/>
        <v/>
      </c>
      <c r="AF1048" s="351" t="str">
        <f t="shared" ca="1" si="660"/>
        <v/>
      </c>
      <c r="AG1048" s="340"/>
      <c r="AH1048" s="340"/>
      <c r="AI1048" s="340"/>
      <c r="AJ1048" s="340"/>
      <c r="AK1048" s="340"/>
      <c r="AL1048" s="340"/>
      <c r="AM1048" s="340"/>
      <c r="AN1048" s="340"/>
      <c r="AO1048" s="340"/>
      <c r="AP1048" s="340"/>
      <c r="AQ1048" s="340"/>
      <c r="AR1048" s="340"/>
      <c r="AS1048" s="340"/>
      <c r="AT1048" s="340"/>
      <c r="AU1048" s="340"/>
      <c r="AV1048" s="340"/>
      <c r="AY1048" s="340"/>
      <c r="AZ1048" s="465">
        <f t="shared" ca="1" si="670"/>
        <v>7.3698599999999999E-5</v>
      </c>
      <c r="BA1048" s="464">
        <f t="shared" ca="1" si="671"/>
        <v>0</v>
      </c>
      <c r="BB1048" s="465">
        <f t="shared" ca="1" si="671"/>
        <v>7.3698599999999999E-5</v>
      </c>
      <c r="BC1048" s="466">
        <f t="shared" ca="1" si="672"/>
        <v>74511</v>
      </c>
      <c r="BD1048" s="467">
        <f t="shared" ca="1" si="685"/>
        <v>74512</v>
      </c>
      <c r="BE1048" s="467">
        <f t="shared" ca="1" si="673"/>
        <v>74541</v>
      </c>
      <c r="BF1048" s="468">
        <f ca="1">IF(計算!$BC1048&lt;OP!$C$3,0,BD1048-BC1048)</f>
        <v>1</v>
      </c>
      <c r="BG1048" s="468">
        <f ca="1">IF($BE1048&gt;DATE(YEAR($BD$9)+OP!$C$57,MONTH($BD$9),DAY($BD$9)),0,$BE1048-$BD1048+1)</f>
        <v>0</v>
      </c>
      <c r="BH1048" s="469">
        <f t="shared" ca="1" si="674"/>
        <v>1</v>
      </c>
      <c r="BI1048" t="str">
        <f t="shared" si="690"/>
        <v/>
      </c>
      <c r="BJ1048">
        <v>7</v>
      </c>
      <c r="BN1048" s="468">
        <f t="shared" si="686"/>
        <v>87</v>
      </c>
      <c r="BO1048" s="468">
        <f t="shared" si="687"/>
        <v>7</v>
      </c>
      <c r="BP1048" s="467">
        <f t="shared" ca="1" si="675"/>
        <v>74512</v>
      </c>
      <c r="BQ1048" s="475">
        <f t="shared" ca="1" si="689"/>
        <v>119</v>
      </c>
      <c r="BR1048" s="475" t="str">
        <f t="shared" si="688"/>
        <v/>
      </c>
      <c r="BS1048" s="471" t="str">
        <f t="shared" si="676"/>
        <v/>
      </c>
      <c r="BT1048" s="472" t="str">
        <f t="shared" si="691"/>
        <v/>
      </c>
      <c r="BU1048" s="472">
        <f t="shared" ca="1" si="677"/>
        <v>0</v>
      </c>
      <c r="BV1048" s="472">
        <f t="shared" ca="1" si="677"/>
        <v>0</v>
      </c>
      <c r="BW1048" s="472"/>
      <c r="BX1048" s="473">
        <f t="shared" ca="1" si="678"/>
        <v>2776543.72803391</v>
      </c>
      <c r="BY1048" s="473">
        <f t="shared" si="679"/>
        <v>0</v>
      </c>
      <c r="BZ1048" s="473">
        <f t="shared" ca="1" si="661"/>
        <v>204.62738559499999</v>
      </c>
      <c r="CA1048" s="476">
        <f t="shared" ca="1" si="680"/>
        <v>0</v>
      </c>
      <c r="CB1048" s="494">
        <f ca="1">IF(OR($Q1047&lt;&gt;1,OP!$D$5+$BN1048-1&lt;16,$BN1048-1&lt;1),0,ROUND(ROUND(ROUND(((VLOOKUP($BN1048-1,MORE_PV,5,0)/10000)*VLOOKUP($BN1048,MORE_PV,$CB$5,0)),3)*VLOOKUP($BN1048,more1,5,0),0)/$R1047,0))</f>
        <v>0</v>
      </c>
      <c r="CC1048" s="473">
        <f t="shared" ca="1" si="681"/>
        <v>0</v>
      </c>
      <c r="CD1048" s="477"/>
    </row>
    <row r="1049" spans="2:82" ht="16.5" hidden="1">
      <c r="B1049" s="80"/>
      <c r="C1049" s="80"/>
      <c r="D1049" s="80"/>
      <c r="E1049" s="80"/>
      <c r="F1049" s="80"/>
      <c r="G1049" s="80"/>
      <c r="H1049" s="80"/>
      <c r="I1049" s="80"/>
      <c r="J1049" s="192">
        <f t="shared" si="662"/>
        <v>87</v>
      </c>
      <c r="K1049" s="192">
        <f t="shared" si="663"/>
        <v>9</v>
      </c>
      <c r="L1049" s="192" t="str">
        <f t="shared" si="658"/>
        <v/>
      </c>
      <c r="M1049" s="216" t="str">
        <f t="shared" ca="1" si="664"/>
        <v/>
      </c>
      <c r="N1049" s="216"/>
      <c r="O1049" s="216"/>
      <c r="P1049" s="216"/>
      <c r="Q1049" s="456">
        <f t="shared" ca="1" si="665"/>
        <v>1</v>
      </c>
      <c r="R1049" s="450">
        <f t="shared" ca="1" si="666"/>
        <v>12</v>
      </c>
      <c r="S1049" s="191">
        <f t="shared" si="667"/>
        <v>87</v>
      </c>
      <c r="T1049" s="191">
        <f t="shared" si="668"/>
        <v>9</v>
      </c>
      <c r="U1049" s="191">
        <f ca="1">OP!$D$5+$S1049-1</f>
        <v>119</v>
      </c>
      <c r="V1049" s="191" t="str">
        <f t="shared" si="669"/>
        <v/>
      </c>
      <c r="W1049" s="350">
        <f ca="1">IF(Q1049&lt;&gt;1,0,VLOOKUP(OP!$C$55,PVFB,$S1049+2,0))</f>
        <v>0</v>
      </c>
      <c r="X1049" s="473" t="str">
        <f t="shared" ca="1" si="682"/>
        <v/>
      </c>
      <c r="Y1049" s="348">
        <f t="shared" ca="1" si="683"/>
        <v>0</v>
      </c>
      <c r="Z1049" s="348">
        <f t="shared" ca="1" si="684"/>
        <v>8012</v>
      </c>
      <c r="AA1049" s="348">
        <f ca="1">IF(Q1049&lt;&gt;1,0,VLOOKUP(OP!$C$55,PVFB,$S1049+2,0))</f>
        <v>0</v>
      </c>
      <c r="AB1049" s="488" t="str">
        <f ca="1">IF(AND(S1049&lt;OP!$C$24,$U1049&lt;15),0,IF(AND($U1049&lt;15,$T1049=12),ROUND(VLOOKUP($S1049,DOWN16,5,0),3),IF($T1049=12,ROUND(($Z1049/10000)*$AA1049,3)+IF(AND($P$7="購買增額繳清保險",T1049=12,U1049=110),VLOOKUP(S1049,$B$10:$H$121,7,0),0),"")))</f>
        <v/>
      </c>
      <c r="AC1049" s="350" t="str">
        <f ca="1">IF(AND(S1049&lt;OP!$C$24,$U1049&lt;15),0,IF(AND($U1049&lt;16,$T1049=12),VLOOKUP($S1049,DOWN16,4,0),IF($T1049=12,ROUND(VLOOKUP(OP!$C$55,_DIE2,$S1049+1,0)*(Z1049/10000),0)+IF(AND($P$7="購買增額繳清保險",T1049=12,U1049=110),VLOOKUP(S1049,$B$10:$H$121,7,0),0),"")))</f>
        <v/>
      </c>
      <c r="AD1049" s="347"/>
      <c r="AE1049" s="350" t="str">
        <f t="shared" ca="1" si="659"/>
        <v/>
      </c>
      <c r="AF1049" s="351" t="str">
        <f t="shared" ca="1" si="660"/>
        <v/>
      </c>
      <c r="AG1049" s="340"/>
      <c r="AH1049" s="340"/>
      <c r="AI1049" s="340"/>
      <c r="AJ1049" s="340"/>
      <c r="AK1049" s="340"/>
      <c r="AL1049" s="340"/>
      <c r="AM1049" s="340"/>
      <c r="AN1049" s="340"/>
      <c r="AO1049" s="340"/>
      <c r="AP1049" s="340"/>
      <c r="AQ1049" s="340"/>
      <c r="AR1049" s="340"/>
      <c r="AS1049" s="340"/>
      <c r="AT1049" s="340"/>
      <c r="AU1049" s="340"/>
      <c r="AV1049" s="340"/>
      <c r="AY1049" s="340"/>
      <c r="AZ1049" s="465">
        <f t="shared" ca="1" si="670"/>
        <v>7.3698599999999999E-5</v>
      </c>
      <c r="BA1049" s="464">
        <f t="shared" ca="1" si="671"/>
        <v>0</v>
      </c>
      <c r="BB1049" s="465">
        <f t="shared" ca="1" si="671"/>
        <v>7.3698599999999999E-5</v>
      </c>
      <c r="BC1049" s="466">
        <f t="shared" ca="1" si="672"/>
        <v>74542</v>
      </c>
      <c r="BD1049" s="467">
        <f t="shared" ca="1" si="685"/>
        <v>74543</v>
      </c>
      <c r="BE1049" s="467">
        <f t="shared" ca="1" si="673"/>
        <v>74570</v>
      </c>
      <c r="BF1049" s="468">
        <f ca="1">IF(計算!$BC1049&lt;OP!$C$3,0,BD1049-BC1049)</f>
        <v>1</v>
      </c>
      <c r="BG1049" s="468">
        <f ca="1">IF($BE1049&gt;DATE(YEAR($BD$9)+OP!$C$57,MONTH($BD$9),DAY($BD$9)),0,$BE1049-$BD1049+1)</f>
        <v>0</v>
      </c>
      <c r="BH1049" s="469">
        <f t="shared" ca="1" si="674"/>
        <v>1</v>
      </c>
      <c r="BI1049" t="str">
        <f t="shared" si="690"/>
        <v/>
      </c>
      <c r="BJ1049">
        <v>8</v>
      </c>
      <c r="BN1049" s="468">
        <f t="shared" si="686"/>
        <v>87</v>
      </c>
      <c r="BO1049" s="468">
        <f t="shared" si="687"/>
        <v>8</v>
      </c>
      <c r="BP1049" s="467">
        <f t="shared" ca="1" si="675"/>
        <v>74543</v>
      </c>
      <c r="BQ1049" s="475">
        <f t="shared" ca="1" si="689"/>
        <v>119</v>
      </c>
      <c r="BR1049" s="475" t="str">
        <f t="shared" si="688"/>
        <v/>
      </c>
      <c r="BS1049" s="471" t="str">
        <f t="shared" si="676"/>
        <v/>
      </c>
      <c r="BT1049" s="472" t="str">
        <f t="shared" si="691"/>
        <v/>
      </c>
      <c r="BU1049" s="472">
        <f t="shared" ca="1" si="677"/>
        <v>0</v>
      </c>
      <c r="BV1049" s="472">
        <f t="shared" ca="1" si="677"/>
        <v>0</v>
      </c>
      <c r="BW1049" s="472"/>
      <c r="BX1049" s="473">
        <f t="shared" ca="1" si="678"/>
        <v>2776748.3554194998</v>
      </c>
      <c r="BY1049" s="473">
        <f t="shared" si="679"/>
        <v>0</v>
      </c>
      <c r="BZ1049" s="473">
        <f t="shared" ca="1" si="661"/>
        <v>204.64246634700001</v>
      </c>
      <c r="CA1049" s="476">
        <f t="shared" ca="1" si="680"/>
        <v>0</v>
      </c>
      <c r="CB1049" s="494">
        <f ca="1">IF(OR($Q1048&lt;&gt;1,OP!$D$5+$BN1049-1&lt;16,$BN1049-1&lt;1),0,ROUND(ROUND(ROUND(((VLOOKUP($BN1049-1,MORE_PV,5,0)/10000)*VLOOKUP($BN1049,MORE_PV,$CB$5,0)),3)*VLOOKUP($BN1049,more1,5,0),0)/$R1048,0))</f>
        <v>0</v>
      </c>
      <c r="CC1049" s="473">
        <f t="shared" ca="1" si="681"/>
        <v>0</v>
      </c>
      <c r="CD1049" s="477"/>
    </row>
    <row r="1050" spans="2:82" ht="16.5" hidden="1">
      <c r="B1050" s="80"/>
      <c r="C1050" s="80"/>
      <c r="D1050" s="80"/>
      <c r="E1050" s="80"/>
      <c r="F1050" s="80"/>
      <c r="G1050" s="80"/>
      <c r="H1050" s="80"/>
      <c r="I1050" s="80"/>
      <c r="J1050" s="192">
        <f t="shared" si="662"/>
        <v>87</v>
      </c>
      <c r="K1050" s="192">
        <f t="shared" si="663"/>
        <v>10</v>
      </c>
      <c r="L1050" s="192" t="str">
        <f t="shared" si="658"/>
        <v/>
      </c>
      <c r="M1050" s="216" t="str">
        <f t="shared" ca="1" si="664"/>
        <v/>
      </c>
      <c r="N1050" s="216"/>
      <c r="O1050" s="216"/>
      <c r="P1050" s="216"/>
      <c r="Q1050" s="456">
        <f t="shared" ca="1" si="665"/>
        <v>1</v>
      </c>
      <c r="R1050" s="450">
        <f t="shared" ca="1" si="666"/>
        <v>12</v>
      </c>
      <c r="S1050" s="191">
        <f t="shared" si="667"/>
        <v>87</v>
      </c>
      <c r="T1050" s="191">
        <f t="shared" si="668"/>
        <v>10</v>
      </c>
      <c r="U1050" s="191">
        <f ca="1">OP!$D$5+$S1050-1</f>
        <v>119</v>
      </c>
      <c r="V1050" s="191" t="str">
        <f t="shared" si="669"/>
        <v/>
      </c>
      <c r="W1050" s="350">
        <f ca="1">IF(Q1050&lt;&gt;1,0,VLOOKUP(OP!$C$55,PVFB,$S1050+2,0))</f>
        <v>0</v>
      </c>
      <c r="X1050" s="473" t="str">
        <f t="shared" ca="1" si="682"/>
        <v/>
      </c>
      <c r="Y1050" s="348">
        <f t="shared" ca="1" si="683"/>
        <v>0</v>
      </c>
      <c r="Z1050" s="348">
        <f t="shared" ca="1" si="684"/>
        <v>8012</v>
      </c>
      <c r="AA1050" s="348">
        <f ca="1">IF(Q1050&lt;&gt;1,0,VLOOKUP(OP!$C$55,PVFB,$S1050+2,0))</f>
        <v>0</v>
      </c>
      <c r="AB1050" s="488" t="str">
        <f ca="1">IF(AND(S1050&lt;OP!$C$24,$U1050&lt;15),0,IF(AND($U1050&lt;15,$T1050=12),ROUND(VLOOKUP($S1050,DOWN16,5,0),3),IF($T1050=12,ROUND(($Z1050/10000)*$AA1050,3)+IF(AND($P$7="購買增額繳清保險",T1050=12,U1050=110),VLOOKUP(S1050,$B$10:$H$121,7,0),0),"")))</f>
        <v/>
      </c>
      <c r="AC1050" s="350" t="str">
        <f ca="1">IF(AND(S1050&lt;OP!$C$24,$U1050&lt;15),0,IF(AND($U1050&lt;16,$T1050=12),VLOOKUP($S1050,DOWN16,4,0),IF($T1050=12,ROUND(VLOOKUP(OP!$C$55,_DIE2,$S1050+1,0)*(Z1050/10000),0)+IF(AND($P$7="購買增額繳清保險",T1050=12,U1050=110),VLOOKUP(S1050,$B$10:$H$121,7,0),0),"")))</f>
        <v/>
      </c>
      <c r="AD1050" s="347"/>
      <c r="AE1050" s="350" t="str">
        <f t="shared" ca="1" si="659"/>
        <v/>
      </c>
      <c r="AF1050" s="351" t="str">
        <f t="shared" ca="1" si="660"/>
        <v/>
      </c>
      <c r="AG1050" s="340"/>
      <c r="AH1050" s="340"/>
      <c r="AI1050" s="340"/>
      <c r="AJ1050" s="340"/>
      <c r="AK1050" s="340"/>
      <c r="AL1050" s="340"/>
      <c r="AM1050" s="340"/>
      <c r="AN1050" s="340"/>
      <c r="AO1050" s="340"/>
      <c r="AP1050" s="340"/>
      <c r="AQ1050" s="340"/>
      <c r="AR1050" s="340"/>
      <c r="AS1050" s="340"/>
      <c r="AT1050" s="340"/>
      <c r="AU1050" s="340"/>
      <c r="AV1050" s="340"/>
      <c r="AY1050" s="340"/>
      <c r="AZ1050" s="465">
        <f t="shared" ca="1" si="670"/>
        <v>7.3698599999999999E-5</v>
      </c>
      <c r="BA1050" s="464">
        <f t="shared" ca="1" si="671"/>
        <v>0</v>
      </c>
      <c r="BB1050" s="465">
        <f t="shared" ca="1" si="671"/>
        <v>7.3698599999999999E-5</v>
      </c>
      <c r="BC1050" s="466">
        <f t="shared" ca="1" si="672"/>
        <v>74571</v>
      </c>
      <c r="BD1050" s="467">
        <f t="shared" ca="1" si="685"/>
        <v>74572</v>
      </c>
      <c r="BE1050" s="467">
        <f t="shared" ca="1" si="673"/>
        <v>74601</v>
      </c>
      <c r="BF1050" s="468">
        <f ca="1">IF(計算!$BC1050&lt;OP!$C$3,0,BD1050-BC1050)</f>
        <v>1</v>
      </c>
      <c r="BG1050" s="468">
        <f ca="1">IF($BE1050&gt;DATE(YEAR($BD$9)+OP!$C$57,MONTH($BD$9),DAY($BD$9)),0,$BE1050-$BD1050+1)</f>
        <v>0</v>
      </c>
      <c r="BH1050" s="469">
        <f t="shared" ca="1" si="674"/>
        <v>1</v>
      </c>
      <c r="BI1050" t="str">
        <f t="shared" si="690"/>
        <v/>
      </c>
      <c r="BJ1050">
        <v>9</v>
      </c>
      <c r="BN1050" s="468">
        <f t="shared" si="686"/>
        <v>87</v>
      </c>
      <c r="BO1050" s="468">
        <f t="shared" si="687"/>
        <v>9</v>
      </c>
      <c r="BP1050" s="467">
        <f t="shared" ca="1" si="675"/>
        <v>74572</v>
      </c>
      <c r="BQ1050" s="475">
        <f t="shared" ca="1" si="689"/>
        <v>119</v>
      </c>
      <c r="BR1050" s="475" t="str">
        <f t="shared" si="688"/>
        <v/>
      </c>
      <c r="BS1050" s="471" t="str">
        <f t="shared" si="676"/>
        <v/>
      </c>
      <c r="BT1050" s="472" t="str">
        <f t="shared" si="691"/>
        <v/>
      </c>
      <c r="BU1050" s="472">
        <f t="shared" ca="1" si="677"/>
        <v>0</v>
      </c>
      <c r="BV1050" s="472">
        <f t="shared" ca="1" si="677"/>
        <v>0</v>
      </c>
      <c r="BW1050" s="472"/>
      <c r="BX1050" s="473">
        <f t="shared" ca="1" si="678"/>
        <v>2776952.9978858498</v>
      </c>
      <c r="BY1050" s="473">
        <f t="shared" si="679"/>
        <v>0</v>
      </c>
      <c r="BZ1050" s="473">
        <f t="shared" ca="1" si="661"/>
        <v>204.65754820999999</v>
      </c>
      <c r="CA1050" s="476">
        <f t="shared" ca="1" si="680"/>
        <v>0</v>
      </c>
      <c r="CB1050" s="494">
        <f ca="1">IF(OR($Q1049&lt;&gt;1,OP!$D$5+$BN1050-1&lt;16,$BN1050-1&lt;1),0,ROUND(ROUND(ROUND(((VLOOKUP($BN1050-1,MORE_PV,5,0)/10000)*VLOOKUP($BN1050,MORE_PV,$CB$5,0)),3)*VLOOKUP($BN1050,more1,5,0),0)/$R1049,0))</f>
        <v>0</v>
      </c>
      <c r="CC1050" s="473">
        <f t="shared" ca="1" si="681"/>
        <v>0</v>
      </c>
      <c r="CD1050" s="477"/>
    </row>
    <row r="1051" spans="2:82" ht="16.5" hidden="1">
      <c r="B1051" s="80"/>
      <c r="C1051" s="80"/>
      <c r="D1051" s="80"/>
      <c r="E1051" s="80"/>
      <c r="F1051" s="80"/>
      <c r="G1051" s="80"/>
      <c r="H1051" s="80"/>
      <c r="I1051" s="80"/>
      <c r="J1051" s="192">
        <f t="shared" si="662"/>
        <v>87</v>
      </c>
      <c r="K1051" s="192">
        <f t="shared" si="663"/>
        <v>11</v>
      </c>
      <c r="L1051" s="192" t="str">
        <f t="shared" si="658"/>
        <v/>
      </c>
      <c r="M1051" s="216" t="str">
        <f t="shared" ca="1" si="664"/>
        <v/>
      </c>
      <c r="N1051" s="216"/>
      <c r="O1051" s="216"/>
      <c r="P1051" s="216"/>
      <c r="Q1051" s="456">
        <f t="shared" ca="1" si="665"/>
        <v>1</v>
      </c>
      <c r="R1051" s="450">
        <f t="shared" ca="1" si="666"/>
        <v>12</v>
      </c>
      <c r="S1051" s="191">
        <f t="shared" si="667"/>
        <v>87</v>
      </c>
      <c r="T1051" s="191">
        <f t="shared" si="668"/>
        <v>11</v>
      </c>
      <c r="U1051" s="191">
        <f ca="1">OP!$D$5+$S1051-1</f>
        <v>119</v>
      </c>
      <c r="V1051" s="191" t="str">
        <f t="shared" si="669"/>
        <v/>
      </c>
      <c r="W1051" s="350">
        <f ca="1">IF(Q1051&lt;&gt;1,0,VLOOKUP(OP!$C$55,PVFB,$S1051+2,0))</f>
        <v>0</v>
      </c>
      <c r="X1051" s="473" t="str">
        <f t="shared" ca="1" si="682"/>
        <v/>
      </c>
      <c r="Y1051" s="348">
        <f t="shared" ca="1" si="683"/>
        <v>0</v>
      </c>
      <c r="Z1051" s="348">
        <f t="shared" ca="1" si="684"/>
        <v>8012</v>
      </c>
      <c r="AA1051" s="348">
        <f ca="1">IF(Q1051&lt;&gt;1,0,VLOOKUP(OP!$C$55,PVFB,$S1051+2,0))</f>
        <v>0</v>
      </c>
      <c r="AB1051" s="488" t="str">
        <f ca="1">IF(AND(S1051&lt;OP!$C$24,$U1051&lt;15),0,IF(AND($U1051&lt;15,$T1051=12),ROUND(VLOOKUP($S1051,DOWN16,5,0),3),IF($T1051=12,ROUND(($Z1051/10000)*$AA1051,3)+IF(AND($P$7="購買增額繳清保險",T1051=12,U1051=110),VLOOKUP(S1051,$B$10:$H$121,7,0),0),"")))</f>
        <v/>
      </c>
      <c r="AC1051" s="350" t="str">
        <f ca="1">IF(AND(S1051&lt;OP!$C$24,$U1051&lt;15),0,IF(AND($U1051&lt;16,$T1051=12),VLOOKUP($S1051,DOWN16,4,0),IF($T1051=12,ROUND(VLOOKUP(OP!$C$55,_DIE2,$S1051+1,0)*(Z1051/10000),0)+IF(AND($P$7="購買增額繳清保險",T1051=12,U1051=110),VLOOKUP(S1051,$B$10:$H$121,7,0),0),"")))</f>
        <v/>
      </c>
      <c r="AD1051" s="347"/>
      <c r="AE1051" s="350" t="str">
        <f t="shared" ca="1" si="659"/>
        <v/>
      </c>
      <c r="AF1051" s="351" t="str">
        <f t="shared" ca="1" si="660"/>
        <v/>
      </c>
      <c r="AG1051" s="340"/>
      <c r="AH1051" s="340"/>
      <c r="AI1051" s="340"/>
      <c r="AJ1051" s="340"/>
      <c r="AK1051" s="340"/>
      <c r="AL1051" s="340"/>
      <c r="AM1051" s="340"/>
      <c r="AN1051" s="340"/>
      <c r="AO1051" s="340"/>
      <c r="AP1051" s="340"/>
      <c r="AQ1051" s="340"/>
      <c r="AR1051" s="340"/>
      <c r="AS1051" s="340"/>
      <c r="AT1051" s="340"/>
      <c r="AU1051" s="340"/>
      <c r="AV1051" s="340"/>
      <c r="AY1051" s="340"/>
      <c r="AZ1051" s="465">
        <f t="shared" ca="1" si="670"/>
        <v>7.3698599999999999E-5</v>
      </c>
      <c r="BA1051" s="464">
        <f t="shared" ca="1" si="671"/>
        <v>0</v>
      </c>
      <c r="BB1051" s="465">
        <f t="shared" ca="1" si="671"/>
        <v>7.3698599999999999E-5</v>
      </c>
      <c r="BC1051" s="466">
        <f t="shared" ca="1" si="672"/>
        <v>74602</v>
      </c>
      <c r="BD1051" s="467">
        <f t="shared" ca="1" si="685"/>
        <v>74603</v>
      </c>
      <c r="BE1051" s="467">
        <f t="shared" ca="1" si="673"/>
        <v>74631</v>
      </c>
      <c r="BF1051" s="468">
        <f ca="1">IF(計算!$BC1051&lt;OP!$C$3,0,BD1051-BC1051)</f>
        <v>1</v>
      </c>
      <c r="BG1051" s="468">
        <f ca="1">IF($BE1051&gt;DATE(YEAR($BD$9)+OP!$C$57,MONTH($BD$9),DAY($BD$9)),0,$BE1051-$BD1051+1)</f>
        <v>0</v>
      </c>
      <c r="BH1051" s="469">
        <f t="shared" ca="1" si="674"/>
        <v>1</v>
      </c>
      <c r="BI1051" t="str">
        <f t="shared" si="690"/>
        <v/>
      </c>
      <c r="BJ1051">
        <v>10</v>
      </c>
      <c r="BN1051" s="468">
        <f t="shared" si="686"/>
        <v>87</v>
      </c>
      <c r="BO1051" s="468">
        <f t="shared" si="687"/>
        <v>10</v>
      </c>
      <c r="BP1051" s="467">
        <f t="shared" ca="1" si="675"/>
        <v>74603</v>
      </c>
      <c r="BQ1051" s="475">
        <f t="shared" ca="1" si="689"/>
        <v>119</v>
      </c>
      <c r="BR1051" s="475" t="str">
        <f t="shared" si="688"/>
        <v/>
      </c>
      <c r="BS1051" s="471" t="str">
        <f t="shared" si="676"/>
        <v/>
      </c>
      <c r="BT1051" s="472" t="str">
        <f t="shared" si="691"/>
        <v/>
      </c>
      <c r="BU1051" s="472">
        <f t="shared" ca="1" si="677"/>
        <v>0</v>
      </c>
      <c r="BV1051" s="472">
        <f t="shared" ca="1" si="677"/>
        <v>0</v>
      </c>
      <c r="BW1051" s="472"/>
      <c r="BX1051" s="473">
        <f t="shared" ca="1" si="678"/>
        <v>2777157.6554340599</v>
      </c>
      <c r="BY1051" s="473">
        <f t="shared" si="679"/>
        <v>0</v>
      </c>
      <c r="BZ1051" s="473">
        <f t="shared" ca="1" si="661"/>
        <v>204.672631185</v>
      </c>
      <c r="CA1051" s="476">
        <f t="shared" ca="1" si="680"/>
        <v>0</v>
      </c>
      <c r="CB1051" s="494">
        <f ca="1">IF(OR($Q1050&lt;&gt;1,OP!$D$5+$BN1051-1&lt;16,$BN1051-1&lt;1),0,ROUND(ROUND(ROUND(((VLOOKUP($BN1051-1,MORE_PV,5,0)/10000)*VLOOKUP($BN1051,MORE_PV,$CB$5,0)),3)*VLOOKUP($BN1051,more1,5,0),0)/$R1050,0))</f>
        <v>0</v>
      </c>
      <c r="CC1051" s="473">
        <f t="shared" ca="1" si="681"/>
        <v>0</v>
      </c>
      <c r="CD1051" s="477"/>
    </row>
    <row r="1052" spans="2:82" ht="16.5" hidden="1">
      <c r="B1052" s="80"/>
      <c r="C1052" s="80"/>
      <c r="D1052" s="80"/>
      <c r="E1052" s="80"/>
      <c r="F1052" s="80"/>
      <c r="G1052" s="80"/>
      <c r="H1052" s="80"/>
      <c r="I1052" s="80"/>
      <c r="J1052" s="192">
        <f t="shared" si="662"/>
        <v>87</v>
      </c>
      <c r="K1052" s="192">
        <f t="shared" si="663"/>
        <v>12</v>
      </c>
      <c r="L1052" s="192">
        <f t="shared" si="658"/>
        <v>87</v>
      </c>
      <c r="M1052" s="216">
        <f t="shared" ca="1" si="664"/>
        <v>2777770</v>
      </c>
      <c r="N1052" s="216"/>
      <c r="O1052" s="216"/>
      <c r="P1052" s="216"/>
      <c r="Q1052" s="456">
        <f t="shared" ca="1" si="665"/>
        <v>1</v>
      </c>
      <c r="R1052" s="450">
        <f t="shared" ca="1" si="666"/>
        <v>12</v>
      </c>
      <c r="S1052" s="191">
        <f t="shared" si="667"/>
        <v>87</v>
      </c>
      <c r="T1052" s="191">
        <f t="shared" si="668"/>
        <v>12</v>
      </c>
      <c r="U1052" s="191">
        <f ca="1">OP!$D$5+$S1052-1</f>
        <v>119</v>
      </c>
      <c r="V1052" s="191">
        <f t="shared" si="669"/>
        <v>87</v>
      </c>
      <c r="W1052" s="350">
        <f ca="1">IF(Q1052&lt;&gt;1,0,VLOOKUP(OP!$C$55,PVFB,$S1052+2,0))</f>
        <v>0</v>
      </c>
      <c r="X1052" s="473">
        <f t="shared" ca="1" si="682"/>
        <v>0</v>
      </c>
      <c r="Y1052" s="348">
        <f t="shared" ca="1" si="683"/>
        <v>0</v>
      </c>
      <c r="Z1052" s="348">
        <f t="shared" ca="1" si="684"/>
        <v>8012</v>
      </c>
      <c r="AA1052" s="348">
        <f ca="1">IF(Q1052&lt;&gt;1,0,VLOOKUP(OP!$C$55,PVFB,$S1052+2,0))</f>
        <v>0</v>
      </c>
      <c r="AB1052" s="488">
        <f ca="1">IF(AND(S1052&lt;OP!$C$24,$U1052&lt;15),0,IF(AND($U1052&lt;15,$T1052=12),ROUND(VLOOKUP($S1052,DOWN16,5,0),3),IF($T1052=12,ROUND(($Z1052/10000)*$AA1052,3)+IF(AND($P$7="購買增額繳清保險",T1052=12,U1052=110),VLOOKUP(S1052,$B$10:$H$121,7,0),0),"")))</f>
        <v>0</v>
      </c>
      <c r="AC1052" s="350">
        <f ca="1">IF(AND(S1052&lt;OP!$C$24,$U1052&lt;15),0,IF(AND($U1052&lt;16,$T1052=12),VLOOKUP($S1052,DOWN16,4,0),IF($T1052=12,ROUND(VLOOKUP(OP!$C$55,_DIE2,$S1052+1,0)*(Z1052/10000),0)+IF(AND($P$7="購買增額繳清保險",T1052=12,U1052=110),VLOOKUP(S1052,$B$10:$H$121,7,0),0),"")))</f>
        <v>0</v>
      </c>
      <c r="AD1052" s="347"/>
      <c r="AE1052" s="350" t="str">
        <f t="shared" ca="1" si="659"/>
        <v/>
      </c>
      <c r="AF1052" s="351" t="str">
        <f t="shared" ca="1" si="660"/>
        <v/>
      </c>
      <c r="AG1052" s="340"/>
      <c r="AH1052" s="340"/>
      <c r="AI1052" s="340"/>
      <c r="AJ1052" s="340"/>
      <c r="AK1052" s="340"/>
      <c r="AL1052" s="340"/>
      <c r="AM1052" s="340"/>
      <c r="AN1052" s="340"/>
      <c r="AO1052" s="340"/>
      <c r="AP1052" s="340"/>
      <c r="AQ1052" s="340"/>
      <c r="AR1052" s="340"/>
      <c r="AS1052" s="340"/>
      <c r="AT1052" s="340"/>
      <c r="AU1052" s="340"/>
      <c r="AV1052" s="340"/>
      <c r="AY1052" s="340"/>
      <c r="AZ1052" s="465">
        <f t="shared" ca="1" si="670"/>
        <v>7.3698599999999999E-5</v>
      </c>
      <c r="BA1052" s="464">
        <f t="shared" ca="1" si="671"/>
        <v>0</v>
      </c>
      <c r="BB1052" s="465">
        <f t="shared" ca="1" si="671"/>
        <v>7.3698599999999999E-5</v>
      </c>
      <c r="BC1052" s="466">
        <f t="shared" ca="1" si="672"/>
        <v>74632</v>
      </c>
      <c r="BD1052" s="467">
        <f t="shared" ca="1" si="685"/>
        <v>74633</v>
      </c>
      <c r="BE1052" s="467">
        <f t="shared" ca="1" si="673"/>
        <v>74662</v>
      </c>
      <c r="BF1052" s="468">
        <f ca="1">IF(計算!$BC1052&lt;OP!$C$3,0,BD1052-BC1052)</f>
        <v>1</v>
      </c>
      <c r="BG1052" s="468">
        <f ca="1">IF($BE1052&gt;DATE(YEAR($BD$9)+OP!$C$57,MONTH($BD$9),DAY($BD$9)),0,$BE1052-$BD1052+1)</f>
        <v>0</v>
      </c>
      <c r="BH1052" s="469">
        <f t="shared" ca="1" si="674"/>
        <v>1</v>
      </c>
      <c r="BI1052" t="str">
        <f t="shared" si="690"/>
        <v/>
      </c>
      <c r="BJ1052">
        <v>11</v>
      </c>
      <c r="BN1052" s="468">
        <f t="shared" si="686"/>
        <v>87</v>
      </c>
      <c r="BO1052" s="468">
        <f t="shared" si="687"/>
        <v>11</v>
      </c>
      <c r="BP1052" s="467">
        <f t="shared" ca="1" si="675"/>
        <v>74633</v>
      </c>
      <c r="BQ1052" s="475">
        <f t="shared" ca="1" si="689"/>
        <v>119</v>
      </c>
      <c r="BR1052" s="475" t="str">
        <f t="shared" si="688"/>
        <v/>
      </c>
      <c r="BS1052" s="471" t="str">
        <f t="shared" si="676"/>
        <v/>
      </c>
      <c r="BT1052" s="472" t="str">
        <f t="shared" si="691"/>
        <v/>
      </c>
      <c r="BU1052" s="472">
        <f t="shared" ca="1" si="677"/>
        <v>0</v>
      </c>
      <c r="BV1052" s="472">
        <f t="shared" ca="1" si="677"/>
        <v>0</v>
      </c>
      <c r="BW1052" s="472"/>
      <c r="BX1052" s="473">
        <f t="shared" ca="1" si="678"/>
        <v>2777362.3280652398</v>
      </c>
      <c r="BY1052" s="473">
        <f t="shared" si="679"/>
        <v>0</v>
      </c>
      <c r="BZ1052" s="473">
        <f t="shared" ca="1" si="661"/>
        <v>204.687715271</v>
      </c>
      <c r="CA1052" s="476">
        <f t="shared" ca="1" si="680"/>
        <v>0</v>
      </c>
      <c r="CB1052" s="494">
        <f ca="1">IF(OR($Q1051&lt;&gt;1,OP!$D$5+$BN1052-1&lt;16,$BN1052-1&lt;1),0,ROUND(ROUND(ROUND(((VLOOKUP($BN1052-1,MORE_PV,5,0)/10000)*VLOOKUP($BN1052,MORE_PV,$CB$5,0)),3)*VLOOKUP($BN1052,more1,5,0),0)/$R1051,0))</f>
        <v>0</v>
      </c>
      <c r="CC1052" s="473">
        <f t="shared" ca="1" si="681"/>
        <v>0</v>
      </c>
      <c r="CD1052" s="477"/>
    </row>
    <row r="1053" spans="2:82" ht="16.5" hidden="1">
      <c r="B1053" s="80"/>
      <c r="C1053" s="80"/>
      <c r="D1053" s="80"/>
      <c r="E1053" s="80"/>
      <c r="F1053" s="80"/>
      <c r="G1053" s="80"/>
      <c r="H1053" s="80"/>
      <c r="I1053" s="80"/>
      <c r="J1053" s="192">
        <f t="shared" si="662"/>
        <v>88</v>
      </c>
      <c r="K1053" s="192">
        <f t="shared" si="663"/>
        <v>1</v>
      </c>
      <c r="L1053" s="192" t="str">
        <f t="shared" si="658"/>
        <v/>
      </c>
      <c r="M1053" s="216" t="str">
        <f t="shared" ca="1" si="664"/>
        <v/>
      </c>
      <c r="N1053" s="216"/>
      <c r="O1053" s="216"/>
      <c r="P1053" s="216"/>
      <c r="Q1053" s="456">
        <f t="shared" ca="1" si="665"/>
        <v>1</v>
      </c>
      <c r="R1053" s="450">
        <f t="shared" ca="1" si="666"/>
        <v>12</v>
      </c>
      <c r="S1053" s="191">
        <f t="shared" si="667"/>
        <v>88</v>
      </c>
      <c r="T1053" s="191">
        <f t="shared" si="668"/>
        <v>1</v>
      </c>
      <c r="U1053" s="191">
        <f ca="1">OP!$D$5+$S1053-1</f>
        <v>120</v>
      </c>
      <c r="V1053" s="191" t="str">
        <f t="shared" si="669"/>
        <v/>
      </c>
      <c r="W1053" s="350">
        <f ca="1">IF(Q1053&lt;&gt;1,0,VLOOKUP(OP!$C$55,PVFB,$S1053+2,0))</f>
        <v>0</v>
      </c>
      <c r="X1053" s="473" t="str">
        <f t="shared" ca="1" si="682"/>
        <v/>
      </c>
      <c r="Y1053" s="348">
        <f t="shared" ca="1" si="683"/>
        <v>0</v>
      </c>
      <c r="Z1053" s="348">
        <f t="shared" ca="1" si="684"/>
        <v>8012</v>
      </c>
      <c r="AA1053" s="348">
        <f ca="1">IF(Q1053&lt;&gt;1,0,VLOOKUP(OP!$C$55,PVFB,$S1053+2,0))</f>
        <v>0</v>
      </c>
      <c r="AB1053" s="488" t="str">
        <f ca="1">IF(AND(S1053&lt;OP!$C$24,$U1053&lt;15),0,IF(AND($U1053&lt;15,$T1053=12),ROUND(VLOOKUP($S1053,DOWN16,5,0),3),IF($T1053=12,ROUND(($Z1053/10000)*$AA1053,3)+IF(AND($P$7="購買增額繳清保險",T1053=12,U1053=110),VLOOKUP(S1053,$B$10:$H$121,7,0),0),"")))</f>
        <v/>
      </c>
      <c r="AC1053" s="350" t="str">
        <f ca="1">IF(AND(S1053&lt;OP!$C$24,$U1053&lt;15),0,IF(AND($U1053&lt;16,$T1053=12),VLOOKUP($S1053,DOWN16,4,0),IF($T1053=12,ROUND(VLOOKUP(OP!$C$55,_DIE2,$S1053+1,0)*(Z1053/10000),0)+IF(AND($P$7="購買增額繳清保險",T1053=12,U1053=110),VLOOKUP(S1053,$B$10:$H$121,7,0),0),"")))</f>
        <v/>
      </c>
      <c r="AD1053" s="347"/>
      <c r="AE1053" s="350" t="str">
        <f t="shared" ca="1" si="659"/>
        <v/>
      </c>
      <c r="AF1053" s="351" t="str">
        <f t="shared" ca="1" si="660"/>
        <v/>
      </c>
      <c r="AG1053" s="340"/>
      <c r="AH1053" s="340"/>
      <c r="AI1053" s="340"/>
      <c r="AJ1053" s="340"/>
      <c r="AK1053" s="340"/>
      <c r="AL1053" s="340"/>
      <c r="AM1053" s="340"/>
      <c r="AN1053" s="340"/>
      <c r="AO1053" s="340"/>
      <c r="AP1053" s="340"/>
      <c r="AQ1053" s="340"/>
      <c r="AR1053" s="340"/>
      <c r="AS1053" s="340"/>
      <c r="AT1053" s="340"/>
      <c r="AU1053" s="340"/>
      <c r="AV1053" s="340"/>
      <c r="AY1053" s="340"/>
      <c r="AZ1053" s="465">
        <f t="shared" ca="1" si="670"/>
        <v>7.3698599999999999E-5</v>
      </c>
      <c r="BA1053" s="464">
        <f t="shared" ca="1" si="671"/>
        <v>0</v>
      </c>
      <c r="BB1053" s="465">
        <f t="shared" ca="1" si="671"/>
        <v>7.3698599999999999E-5</v>
      </c>
      <c r="BC1053" s="466">
        <f t="shared" ca="1" si="672"/>
        <v>74663</v>
      </c>
      <c r="BD1053" s="467">
        <f t="shared" ca="1" si="685"/>
        <v>74664</v>
      </c>
      <c r="BE1053" s="467">
        <f t="shared" ca="1" si="673"/>
        <v>74692</v>
      </c>
      <c r="BF1053" s="468">
        <f ca="1">IF(計算!$BC1053&lt;OP!$C$3,0,BD1053-BC1053)</f>
        <v>1</v>
      </c>
      <c r="BG1053" s="468">
        <f ca="1">IF($BE1053&gt;DATE(YEAR($BD$9)+OP!$C$57,MONTH($BD$9),DAY($BD$9)),0,$BE1053-$BD1053+1)</f>
        <v>0</v>
      </c>
      <c r="BH1053" s="469">
        <f t="shared" ca="1" si="674"/>
        <v>1</v>
      </c>
      <c r="BI1053">
        <f t="shared" ca="1" si="690"/>
        <v>366</v>
      </c>
      <c r="BJ1053">
        <v>12</v>
      </c>
      <c r="BN1053" s="468">
        <f t="shared" si="686"/>
        <v>87</v>
      </c>
      <c r="BO1053" s="468">
        <f t="shared" si="687"/>
        <v>12</v>
      </c>
      <c r="BP1053" s="467">
        <f t="shared" ca="1" si="675"/>
        <v>74664</v>
      </c>
      <c r="BQ1053" s="475">
        <f t="shared" ca="1" si="689"/>
        <v>119</v>
      </c>
      <c r="BR1053" s="475">
        <f t="shared" si="688"/>
        <v>87</v>
      </c>
      <c r="BS1053" s="471">
        <f t="shared" ca="1" si="676"/>
        <v>0</v>
      </c>
      <c r="BT1053" s="472">
        <f t="shared" ca="1" si="691"/>
        <v>2777770</v>
      </c>
      <c r="BU1053" s="472">
        <f t="shared" ca="1" si="677"/>
        <v>0</v>
      </c>
      <c r="BV1053" s="472">
        <f t="shared" ca="1" si="677"/>
        <v>0</v>
      </c>
      <c r="BW1053" s="472">
        <f ca="1">ROUND(SUM(BY1053,BZ1041:BZ1052),0)</f>
        <v>2455</v>
      </c>
      <c r="BX1053" s="473">
        <f t="shared" ca="1" si="678"/>
        <v>2777771.7185809799</v>
      </c>
      <c r="BY1053" s="473">
        <f t="shared" ca="1" si="679"/>
        <v>204.70280046900001</v>
      </c>
      <c r="BZ1053" s="473">
        <f t="shared" ca="1" si="661"/>
        <v>0</v>
      </c>
      <c r="CA1053" s="476">
        <f t="shared" ca="1" si="680"/>
        <v>0</v>
      </c>
      <c r="CB1053" s="494">
        <f ca="1">IF(OR($Q1052&lt;&gt;1,OP!$D$5+$BN1053-1&lt;16,$BN1053-1&lt;1),0,ROUND(ROUND(ROUND(((VLOOKUP($BN1053-1,MORE_PV,5,0)/10000)*VLOOKUP($BN1053,MORE_PV,$CB$5,0)),3)*VLOOKUP($BN1053,more1,5,0),0)/$R1052,0))</f>
        <v>0</v>
      </c>
      <c r="CC1053" s="473">
        <f t="shared" ca="1" si="681"/>
        <v>0</v>
      </c>
      <c r="CD1053" s="477"/>
    </row>
    <row r="1054" spans="2:82" ht="16.5" hidden="1">
      <c r="B1054" s="80"/>
      <c r="C1054" s="80"/>
      <c r="D1054" s="80"/>
      <c r="E1054" s="80"/>
      <c r="F1054" s="80"/>
      <c r="G1054" s="80"/>
      <c r="H1054" s="80"/>
      <c r="I1054" s="80"/>
      <c r="J1054" s="192">
        <f t="shared" si="662"/>
        <v>88</v>
      </c>
      <c r="K1054" s="192">
        <f t="shared" si="663"/>
        <v>2</v>
      </c>
      <c r="L1054" s="192" t="str">
        <f t="shared" si="658"/>
        <v/>
      </c>
      <c r="M1054" s="216" t="str">
        <f t="shared" ca="1" si="664"/>
        <v/>
      </c>
      <c r="N1054" s="216"/>
      <c r="O1054" s="216"/>
      <c r="P1054" s="216"/>
      <c r="Q1054" s="456">
        <f t="shared" ca="1" si="665"/>
        <v>1</v>
      </c>
      <c r="R1054" s="450">
        <f t="shared" ca="1" si="666"/>
        <v>12</v>
      </c>
      <c r="S1054" s="191">
        <f t="shared" si="667"/>
        <v>88</v>
      </c>
      <c r="T1054" s="191">
        <f t="shared" si="668"/>
        <v>2</v>
      </c>
      <c r="U1054" s="191">
        <f ca="1">OP!$D$5+$S1054-1</f>
        <v>120</v>
      </c>
      <c r="V1054" s="191" t="str">
        <f t="shared" si="669"/>
        <v/>
      </c>
      <c r="W1054" s="350">
        <f ca="1">IF(Q1054&lt;&gt;1,0,VLOOKUP(OP!$C$55,PVFB,$S1054+2,0))</f>
        <v>0</v>
      </c>
      <c r="X1054" s="473" t="str">
        <f t="shared" ca="1" si="682"/>
        <v/>
      </c>
      <c r="Y1054" s="348">
        <f t="shared" ca="1" si="683"/>
        <v>0</v>
      </c>
      <c r="Z1054" s="348">
        <f t="shared" ca="1" si="684"/>
        <v>8012</v>
      </c>
      <c r="AA1054" s="348">
        <f ca="1">IF(Q1054&lt;&gt;1,0,VLOOKUP(OP!$C$55,PVFB,$S1054+2,0))</f>
        <v>0</v>
      </c>
      <c r="AB1054" s="488" t="str">
        <f ca="1">IF(AND(S1054&lt;OP!$C$24,$U1054&lt;15),0,IF(AND($U1054&lt;15,$T1054=12),ROUND(VLOOKUP($S1054,DOWN16,5,0),3),IF($T1054=12,ROUND(($Z1054/10000)*$AA1054,3)+IF(AND($P$7="購買增額繳清保險",T1054=12,U1054=110),VLOOKUP(S1054,$B$10:$H$121,7,0),0),"")))</f>
        <v/>
      </c>
      <c r="AC1054" s="350" t="str">
        <f ca="1">IF(AND(S1054&lt;OP!$C$24,$U1054&lt;15),0,IF(AND($U1054&lt;16,$T1054=12),VLOOKUP($S1054,DOWN16,4,0),IF($T1054=12,ROUND(VLOOKUP(OP!$C$55,_DIE2,$S1054+1,0)*(Z1054/10000),0)+IF(AND($P$7="購買增額繳清保險",T1054=12,U1054=110),VLOOKUP(S1054,$B$10:$H$121,7,0),0),"")))</f>
        <v/>
      </c>
      <c r="AD1054" s="347"/>
      <c r="AE1054" s="350" t="str">
        <f t="shared" ca="1" si="659"/>
        <v/>
      </c>
      <c r="AF1054" s="351" t="str">
        <f t="shared" ca="1" si="660"/>
        <v/>
      </c>
      <c r="AG1054" s="340"/>
      <c r="AH1054" s="340"/>
      <c r="AI1054" s="340"/>
      <c r="AJ1054" s="340"/>
      <c r="AK1054" s="340"/>
      <c r="AL1054" s="340"/>
      <c r="AM1054" s="340"/>
      <c r="AN1054" s="340"/>
      <c r="AO1054" s="340"/>
      <c r="AP1054" s="340"/>
      <c r="AQ1054" s="340"/>
      <c r="AR1054" s="340"/>
      <c r="AS1054" s="340"/>
      <c r="AT1054" s="340"/>
      <c r="AU1054" s="340"/>
      <c r="AV1054" s="340"/>
      <c r="AY1054" s="340"/>
      <c r="AZ1054" s="465">
        <f t="shared" ca="1" si="670"/>
        <v>7.3698599999999999E-5</v>
      </c>
      <c r="BA1054" s="464">
        <f t="shared" ca="1" si="671"/>
        <v>0</v>
      </c>
      <c r="BB1054" s="465">
        <f t="shared" ca="1" si="671"/>
        <v>7.3698599999999999E-5</v>
      </c>
      <c r="BC1054" s="466">
        <f t="shared" ca="1" si="672"/>
        <v>74693</v>
      </c>
      <c r="BD1054" s="467">
        <f t="shared" ca="1" si="685"/>
        <v>74694</v>
      </c>
      <c r="BE1054" s="467">
        <f t="shared" ca="1" si="673"/>
        <v>74723</v>
      </c>
      <c r="BF1054" s="468">
        <f ca="1">IF(計算!$BC1054&lt;OP!$C$3,0,BD1054-BC1054)</f>
        <v>1</v>
      </c>
      <c r="BG1054" s="468">
        <f ca="1">IF($BE1054&gt;DATE(YEAR($BD$9)+OP!$C$57,MONTH($BD$9),DAY($BD$9)),0,$BE1054-$BD1054+1)</f>
        <v>0</v>
      </c>
      <c r="BH1054" s="469">
        <f t="shared" ca="1" si="674"/>
        <v>1</v>
      </c>
      <c r="BI1054" t="str">
        <f t="shared" si="690"/>
        <v/>
      </c>
      <c r="BJ1054">
        <v>1</v>
      </c>
      <c r="BN1054" s="468">
        <f t="shared" si="686"/>
        <v>88</v>
      </c>
      <c r="BO1054" s="468">
        <f t="shared" si="687"/>
        <v>1</v>
      </c>
      <c r="BP1054" s="467">
        <f t="shared" ca="1" si="675"/>
        <v>74694</v>
      </c>
      <c r="BQ1054" s="475">
        <f t="shared" ca="1" si="689"/>
        <v>120</v>
      </c>
      <c r="BR1054" s="475" t="str">
        <f t="shared" si="688"/>
        <v/>
      </c>
      <c r="BS1054" s="471" t="str">
        <f t="shared" si="676"/>
        <v/>
      </c>
      <c r="BT1054" s="472" t="str">
        <f t="shared" si="691"/>
        <v/>
      </c>
      <c r="BU1054" s="472">
        <f t="shared" ca="1" si="677"/>
        <v>0</v>
      </c>
      <c r="BV1054" s="472">
        <f t="shared" ca="1" si="677"/>
        <v>0</v>
      </c>
      <c r="BW1054" s="472"/>
      <c r="BX1054" s="473">
        <f t="shared" ca="1" si="678"/>
        <v>2777771.7185809799</v>
      </c>
      <c r="BY1054" s="473">
        <f t="shared" si="679"/>
        <v>0</v>
      </c>
      <c r="BZ1054" s="473">
        <f t="shared" ca="1" si="661"/>
        <v>204.717886779</v>
      </c>
      <c r="CA1054" s="476">
        <f t="shared" ca="1" si="680"/>
        <v>0</v>
      </c>
      <c r="CB1054" s="494">
        <f ca="1">IF(OR($Q1053&lt;&gt;1,OP!$D$5+$BN1054-1&lt;16,$BN1054-1&lt;1),0,ROUND(ROUND(ROUND(((VLOOKUP($BN1054-1,MORE_PV,5,0)/10000)*VLOOKUP($BN1054,MORE_PV,$CB$5,0)),3)*VLOOKUP($BN1054,more1,5,0),0)/$R1053,0))</f>
        <v>0</v>
      </c>
      <c r="CC1054" s="473">
        <f t="shared" ca="1" si="681"/>
        <v>0</v>
      </c>
      <c r="CD1054" s="477"/>
    </row>
    <row r="1055" spans="2:82" ht="16.5" hidden="1">
      <c r="B1055" s="80"/>
      <c r="C1055" s="80"/>
      <c r="D1055" s="80"/>
      <c r="E1055" s="80"/>
      <c r="F1055" s="80"/>
      <c r="G1055" s="80"/>
      <c r="H1055" s="80"/>
      <c r="I1055" s="80"/>
      <c r="J1055" s="192">
        <f t="shared" si="662"/>
        <v>88</v>
      </c>
      <c r="K1055" s="192">
        <f t="shared" si="663"/>
        <v>3</v>
      </c>
      <c r="L1055" s="192" t="str">
        <f t="shared" si="658"/>
        <v/>
      </c>
      <c r="M1055" s="216" t="str">
        <f t="shared" ca="1" si="664"/>
        <v/>
      </c>
      <c r="N1055" s="216"/>
      <c r="O1055" s="216"/>
      <c r="P1055" s="216"/>
      <c r="Q1055" s="456">
        <f t="shared" ca="1" si="665"/>
        <v>1</v>
      </c>
      <c r="R1055" s="450">
        <f t="shared" ca="1" si="666"/>
        <v>12</v>
      </c>
      <c r="S1055" s="191">
        <f t="shared" si="667"/>
        <v>88</v>
      </c>
      <c r="T1055" s="191">
        <f t="shared" si="668"/>
        <v>3</v>
      </c>
      <c r="U1055" s="191">
        <f ca="1">OP!$D$5+$S1055-1</f>
        <v>120</v>
      </c>
      <c r="V1055" s="191" t="str">
        <f t="shared" si="669"/>
        <v/>
      </c>
      <c r="W1055" s="350">
        <f ca="1">IF(Q1055&lt;&gt;1,0,VLOOKUP(OP!$C$55,PVFB,$S1055+2,0))</f>
        <v>0</v>
      </c>
      <c r="X1055" s="473" t="str">
        <f t="shared" ca="1" si="682"/>
        <v/>
      </c>
      <c r="Y1055" s="348">
        <f t="shared" ca="1" si="683"/>
        <v>0</v>
      </c>
      <c r="Z1055" s="348">
        <f t="shared" ca="1" si="684"/>
        <v>8012</v>
      </c>
      <c r="AA1055" s="348">
        <f ca="1">IF(Q1055&lt;&gt;1,0,VLOOKUP(OP!$C$55,PVFB,$S1055+2,0))</f>
        <v>0</v>
      </c>
      <c r="AB1055" s="488" t="str">
        <f ca="1">IF(AND(S1055&lt;OP!$C$24,$U1055&lt;15),0,IF(AND($U1055&lt;15,$T1055=12),ROUND(VLOOKUP($S1055,DOWN16,5,0),3),IF($T1055=12,ROUND(($Z1055/10000)*$AA1055,3)+IF(AND($P$7="購買增額繳清保險",T1055=12,U1055=110),VLOOKUP(S1055,$B$10:$H$121,7,0),0),"")))</f>
        <v/>
      </c>
      <c r="AC1055" s="350" t="str">
        <f ca="1">IF(AND(S1055&lt;OP!$C$24,$U1055&lt;15),0,IF(AND($U1055&lt;16,$T1055=12),VLOOKUP($S1055,DOWN16,4,0),IF($T1055=12,ROUND(VLOOKUP(OP!$C$55,_DIE2,$S1055+1,0)*(Z1055/10000),0)+IF(AND($P$7="購買增額繳清保險",T1055=12,U1055=110),VLOOKUP(S1055,$B$10:$H$121,7,0),0),"")))</f>
        <v/>
      </c>
      <c r="AD1055" s="347"/>
      <c r="AE1055" s="350" t="str">
        <f t="shared" ca="1" si="659"/>
        <v/>
      </c>
      <c r="AF1055" s="351" t="str">
        <f t="shared" ca="1" si="660"/>
        <v/>
      </c>
      <c r="AG1055" s="340"/>
      <c r="AH1055" s="340"/>
      <c r="AI1055" s="340"/>
      <c r="AJ1055" s="340"/>
      <c r="AK1055" s="340"/>
      <c r="AL1055" s="340"/>
      <c r="AM1055" s="340"/>
      <c r="AN1055" s="340"/>
      <c r="AO1055" s="340"/>
      <c r="AP1055" s="340"/>
      <c r="AQ1055" s="340"/>
      <c r="AR1055" s="340"/>
      <c r="AS1055" s="340"/>
      <c r="AT1055" s="340"/>
      <c r="AU1055" s="340"/>
      <c r="AV1055" s="340"/>
      <c r="AY1055" s="340"/>
      <c r="AZ1055" s="465">
        <f t="shared" ca="1" si="670"/>
        <v>7.3698599999999999E-5</v>
      </c>
      <c r="BA1055" s="464">
        <f t="shared" ca="1" si="671"/>
        <v>0</v>
      </c>
      <c r="BB1055" s="465">
        <f t="shared" ca="1" si="671"/>
        <v>7.3698599999999999E-5</v>
      </c>
      <c r="BC1055" s="466">
        <f t="shared" ca="1" si="672"/>
        <v>74724</v>
      </c>
      <c r="BD1055" s="467">
        <f t="shared" ca="1" si="685"/>
        <v>74725</v>
      </c>
      <c r="BE1055" s="467">
        <f t="shared" ca="1" si="673"/>
        <v>74754</v>
      </c>
      <c r="BF1055" s="468">
        <f ca="1">IF(計算!$BC1055&lt;OP!$C$3,0,BD1055-BC1055)</f>
        <v>1</v>
      </c>
      <c r="BG1055" s="468">
        <f ca="1">IF($BE1055&gt;DATE(YEAR($BD$9)+OP!$C$57,MONTH($BD$9),DAY($BD$9)),0,$BE1055-$BD1055+1)</f>
        <v>0</v>
      </c>
      <c r="BH1055" s="469">
        <f t="shared" ca="1" si="674"/>
        <v>1</v>
      </c>
      <c r="BI1055" t="str">
        <f t="shared" si="690"/>
        <v/>
      </c>
      <c r="BJ1055">
        <v>2</v>
      </c>
      <c r="BN1055" s="468">
        <f t="shared" si="686"/>
        <v>88</v>
      </c>
      <c r="BO1055" s="468">
        <f t="shared" si="687"/>
        <v>2</v>
      </c>
      <c r="BP1055" s="467">
        <f t="shared" ca="1" si="675"/>
        <v>74725</v>
      </c>
      <c r="BQ1055" s="475">
        <f t="shared" ca="1" si="689"/>
        <v>120</v>
      </c>
      <c r="BR1055" s="475" t="str">
        <f t="shared" si="688"/>
        <v/>
      </c>
      <c r="BS1055" s="471" t="str">
        <f t="shared" si="676"/>
        <v/>
      </c>
      <c r="BT1055" s="472" t="str">
        <f t="shared" si="691"/>
        <v/>
      </c>
      <c r="BU1055" s="472">
        <f t="shared" ca="1" si="677"/>
        <v>0</v>
      </c>
      <c r="BV1055" s="472">
        <f t="shared" ca="1" si="677"/>
        <v>0</v>
      </c>
      <c r="BW1055" s="472"/>
      <c r="BX1055" s="473">
        <f t="shared" ca="1" si="678"/>
        <v>2777976.4364677598</v>
      </c>
      <c r="BY1055" s="473">
        <f t="shared" si="679"/>
        <v>0</v>
      </c>
      <c r="BZ1055" s="473">
        <f t="shared" ca="1" si="661"/>
        <v>204.73297420099999</v>
      </c>
      <c r="CA1055" s="476">
        <f t="shared" ca="1" si="680"/>
        <v>0</v>
      </c>
      <c r="CB1055" s="494">
        <f ca="1">IF(OR($Q1054&lt;&gt;1,OP!$D$5+$BN1055-1&lt;16,$BN1055-1&lt;1),0,ROUND(ROUND(ROUND(((VLOOKUP($BN1055-1,MORE_PV,5,0)/10000)*VLOOKUP($BN1055,MORE_PV,$CB$5,0)),3)*VLOOKUP($BN1055,more1,5,0),0)/$R1054,0))</f>
        <v>0</v>
      </c>
      <c r="CC1055" s="473">
        <f t="shared" ca="1" si="681"/>
        <v>0</v>
      </c>
      <c r="CD1055" s="477"/>
    </row>
    <row r="1056" spans="2:82" ht="16.5" hidden="1">
      <c r="B1056" s="80"/>
      <c r="C1056" s="80"/>
      <c r="D1056" s="80"/>
      <c r="E1056" s="80"/>
      <c r="F1056" s="80"/>
      <c r="G1056" s="80"/>
      <c r="H1056" s="80"/>
      <c r="I1056" s="80"/>
      <c r="J1056" s="192">
        <f t="shared" si="662"/>
        <v>88</v>
      </c>
      <c r="K1056" s="192">
        <f t="shared" si="663"/>
        <v>4</v>
      </c>
      <c r="L1056" s="192" t="str">
        <f t="shared" si="658"/>
        <v/>
      </c>
      <c r="M1056" s="216" t="str">
        <f t="shared" ca="1" si="664"/>
        <v/>
      </c>
      <c r="N1056" s="216"/>
      <c r="O1056" s="216"/>
      <c r="P1056" s="216"/>
      <c r="Q1056" s="456">
        <f t="shared" ca="1" si="665"/>
        <v>1</v>
      </c>
      <c r="R1056" s="450">
        <f t="shared" ca="1" si="666"/>
        <v>12</v>
      </c>
      <c r="S1056" s="191">
        <f t="shared" si="667"/>
        <v>88</v>
      </c>
      <c r="T1056" s="191">
        <f t="shared" si="668"/>
        <v>4</v>
      </c>
      <c r="U1056" s="191">
        <f ca="1">OP!$D$5+$S1056-1</f>
        <v>120</v>
      </c>
      <c r="V1056" s="191" t="str">
        <f t="shared" si="669"/>
        <v/>
      </c>
      <c r="W1056" s="350">
        <f ca="1">IF(Q1056&lt;&gt;1,0,VLOOKUP(OP!$C$55,PVFB,$S1056+2,0))</f>
        <v>0</v>
      </c>
      <c r="X1056" s="473" t="str">
        <f t="shared" ca="1" si="682"/>
        <v/>
      </c>
      <c r="Y1056" s="348">
        <f t="shared" ca="1" si="683"/>
        <v>0</v>
      </c>
      <c r="Z1056" s="348">
        <f t="shared" ca="1" si="684"/>
        <v>8012</v>
      </c>
      <c r="AA1056" s="348">
        <f ca="1">IF(Q1056&lt;&gt;1,0,VLOOKUP(OP!$C$55,PVFB,$S1056+2,0))</f>
        <v>0</v>
      </c>
      <c r="AB1056" s="488" t="str">
        <f ca="1">IF(AND(S1056&lt;OP!$C$24,$U1056&lt;15),0,IF(AND($U1056&lt;15,$T1056=12),ROUND(VLOOKUP($S1056,DOWN16,5,0),3),IF($T1056=12,ROUND(($Z1056/10000)*$AA1056,3)+IF(AND($P$7="購買增額繳清保險",T1056=12,U1056=110),VLOOKUP(S1056,$B$10:$H$121,7,0),0),"")))</f>
        <v/>
      </c>
      <c r="AC1056" s="350" t="str">
        <f ca="1">IF(AND(S1056&lt;OP!$C$24,$U1056&lt;15),0,IF(AND($U1056&lt;16,$T1056=12),VLOOKUP($S1056,DOWN16,4,0),IF($T1056=12,ROUND(VLOOKUP(OP!$C$55,_DIE2,$S1056+1,0)*(Z1056/10000),0)+IF(AND($P$7="購買增額繳清保險",T1056=12,U1056=110),VLOOKUP(S1056,$B$10:$H$121,7,0),0),"")))</f>
        <v/>
      </c>
      <c r="AD1056" s="347"/>
      <c r="AE1056" s="350" t="str">
        <f t="shared" ca="1" si="659"/>
        <v/>
      </c>
      <c r="AF1056" s="351" t="str">
        <f t="shared" ca="1" si="660"/>
        <v/>
      </c>
      <c r="AG1056" s="340"/>
      <c r="AH1056" s="340"/>
      <c r="AI1056" s="340"/>
      <c r="AJ1056" s="340"/>
      <c r="AK1056" s="340"/>
      <c r="AL1056" s="340"/>
      <c r="AM1056" s="340"/>
      <c r="AN1056" s="340"/>
      <c r="AO1056" s="340"/>
      <c r="AP1056" s="340"/>
      <c r="AQ1056" s="340"/>
      <c r="AR1056" s="340"/>
      <c r="AS1056" s="340"/>
      <c r="AT1056" s="340"/>
      <c r="AU1056" s="340"/>
      <c r="AV1056" s="340"/>
      <c r="AY1056" s="340"/>
      <c r="AZ1056" s="465">
        <f t="shared" ca="1" si="670"/>
        <v>7.3698599999999999E-5</v>
      </c>
      <c r="BA1056" s="464">
        <f t="shared" ca="1" si="671"/>
        <v>0</v>
      </c>
      <c r="BB1056" s="465">
        <f t="shared" ca="1" si="671"/>
        <v>7.3698599999999999E-5</v>
      </c>
      <c r="BC1056" s="466">
        <f t="shared" ca="1" si="672"/>
        <v>74755</v>
      </c>
      <c r="BD1056" s="467">
        <f t="shared" ca="1" si="685"/>
        <v>74756</v>
      </c>
      <c r="BE1056" s="467">
        <f t="shared" ca="1" si="673"/>
        <v>74784</v>
      </c>
      <c r="BF1056" s="468">
        <f ca="1">IF(計算!$BC1056&lt;OP!$C$3,0,BD1056-BC1056)</f>
        <v>1</v>
      </c>
      <c r="BG1056" s="468">
        <f ca="1">IF($BE1056&gt;DATE(YEAR($BD$9)+OP!$C$57,MONTH($BD$9),DAY($BD$9)),0,$BE1056-$BD1056+1)</f>
        <v>0</v>
      </c>
      <c r="BH1056" s="469">
        <f t="shared" ca="1" si="674"/>
        <v>1</v>
      </c>
      <c r="BI1056" t="str">
        <f t="shared" si="690"/>
        <v/>
      </c>
      <c r="BJ1056">
        <v>3</v>
      </c>
      <c r="BN1056" s="468">
        <f t="shared" si="686"/>
        <v>88</v>
      </c>
      <c r="BO1056" s="468">
        <f t="shared" si="687"/>
        <v>3</v>
      </c>
      <c r="BP1056" s="467">
        <f t="shared" ca="1" si="675"/>
        <v>74756</v>
      </c>
      <c r="BQ1056" s="475">
        <f t="shared" ca="1" si="689"/>
        <v>120</v>
      </c>
      <c r="BR1056" s="475" t="str">
        <f t="shared" si="688"/>
        <v/>
      </c>
      <c r="BS1056" s="471" t="str">
        <f t="shared" si="676"/>
        <v/>
      </c>
      <c r="BT1056" s="472" t="str">
        <f t="shared" si="691"/>
        <v/>
      </c>
      <c r="BU1056" s="472">
        <f t="shared" ca="1" si="677"/>
        <v>0</v>
      </c>
      <c r="BV1056" s="472">
        <f t="shared" ca="1" si="677"/>
        <v>0</v>
      </c>
      <c r="BW1056" s="472"/>
      <c r="BX1056" s="473">
        <f t="shared" ca="1" si="678"/>
        <v>2778181.1694419598</v>
      </c>
      <c r="BY1056" s="473">
        <f t="shared" si="679"/>
        <v>0</v>
      </c>
      <c r="BZ1056" s="473">
        <f t="shared" ca="1" si="661"/>
        <v>204.748062734</v>
      </c>
      <c r="CA1056" s="476">
        <f t="shared" ca="1" si="680"/>
        <v>0</v>
      </c>
      <c r="CB1056" s="494">
        <f ca="1">IF(OR($Q1055&lt;&gt;1,OP!$D$5+$BN1056-1&lt;16,$BN1056-1&lt;1),0,ROUND(ROUND(ROUND(((VLOOKUP($BN1056-1,MORE_PV,5,0)/10000)*VLOOKUP($BN1056,MORE_PV,$CB$5,0)),3)*VLOOKUP($BN1056,more1,5,0),0)/$R1055,0))</f>
        <v>0</v>
      </c>
      <c r="CC1056" s="473">
        <f t="shared" ca="1" si="681"/>
        <v>0</v>
      </c>
      <c r="CD1056" s="477"/>
    </row>
    <row r="1057" spans="2:82" ht="16.5" hidden="1">
      <c r="B1057" s="80"/>
      <c r="C1057" s="80"/>
      <c r="D1057" s="80"/>
      <c r="E1057" s="80"/>
      <c r="F1057" s="80"/>
      <c r="G1057" s="80"/>
      <c r="H1057" s="80"/>
      <c r="I1057" s="80"/>
      <c r="J1057" s="192">
        <f t="shared" si="662"/>
        <v>88</v>
      </c>
      <c r="K1057" s="192">
        <f t="shared" si="663"/>
        <v>5</v>
      </c>
      <c r="L1057" s="192" t="str">
        <f t="shared" si="658"/>
        <v/>
      </c>
      <c r="M1057" s="216" t="str">
        <f t="shared" ca="1" si="664"/>
        <v/>
      </c>
      <c r="N1057" s="216"/>
      <c r="O1057" s="216"/>
      <c r="P1057" s="216"/>
      <c r="Q1057" s="456">
        <f t="shared" ca="1" si="665"/>
        <v>1</v>
      </c>
      <c r="R1057" s="450">
        <f t="shared" ca="1" si="666"/>
        <v>12</v>
      </c>
      <c r="S1057" s="191">
        <f t="shared" si="667"/>
        <v>88</v>
      </c>
      <c r="T1057" s="191">
        <f t="shared" si="668"/>
        <v>5</v>
      </c>
      <c r="U1057" s="191">
        <f ca="1">OP!$D$5+$S1057-1</f>
        <v>120</v>
      </c>
      <c r="V1057" s="191" t="str">
        <f t="shared" si="669"/>
        <v/>
      </c>
      <c r="W1057" s="350">
        <f ca="1">IF(Q1057&lt;&gt;1,0,VLOOKUP(OP!$C$55,PVFB,$S1057+2,0))</f>
        <v>0</v>
      </c>
      <c r="X1057" s="473" t="str">
        <f t="shared" ca="1" si="682"/>
        <v/>
      </c>
      <c r="Y1057" s="348">
        <f t="shared" ca="1" si="683"/>
        <v>0</v>
      </c>
      <c r="Z1057" s="348">
        <f t="shared" ca="1" si="684"/>
        <v>8012</v>
      </c>
      <c r="AA1057" s="348">
        <f ca="1">IF(Q1057&lt;&gt;1,0,VLOOKUP(OP!$C$55,PVFB,$S1057+2,0))</f>
        <v>0</v>
      </c>
      <c r="AB1057" s="488" t="str">
        <f ca="1">IF(AND(S1057&lt;OP!$C$24,$U1057&lt;15),0,IF(AND($U1057&lt;15,$T1057=12),ROUND(VLOOKUP($S1057,DOWN16,5,0),3),IF($T1057=12,ROUND(($Z1057/10000)*$AA1057,3)+IF(AND($P$7="購買增額繳清保險",T1057=12,U1057=110),VLOOKUP(S1057,$B$10:$H$121,7,0),0),"")))</f>
        <v/>
      </c>
      <c r="AC1057" s="350" t="str">
        <f ca="1">IF(AND(S1057&lt;OP!$C$24,$U1057&lt;15),0,IF(AND($U1057&lt;16,$T1057=12),VLOOKUP($S1057,DOWN16,4,0),IF($T1057=12,ROUND(VLOOKUP(OP!$C$55,_DIE2,$S1057+1,0)*(Z1057/10000),0)+IF(AND($P$7="購買增額繳清保險",T1057=12,U1057=110),VLOOKUP(S1057,$B$10:$H$121,7,0),0),"")))</f>
        <v/>
      </c>
      <c r="AD1057" s="347"/>
      <c r="AE1057" s="350" t="str">
        <f t="shared" ca="1" si="659"/>
        <v/>
      </c>
      <c r="AF1057" s="351" t="str">
        <f t="shared" ca="1" si="660"/>
        <v/>
      </c>
      <c r="AG1057" s="340"/>
      <c r="AH1057" s="340"/>
      <c r="AI1057" s="340"/>
      <c r="AJ1057" s="340"/>
      <c r="AK1057" s="340"/>
      <c r="AL1057" s="340"/>
      <c r="AM1057" s="340"/>
      <c r="AN1057" s="340"/>
      <c r="AO1057" s="340"/>
      <c r="AP1057" s="340"/>
      <c r="AQ1057" s="340"/>
      <c r="AR1057" s="340"/>
      <c r="AS1057" s="340"/>
      <c r="AT1057" s="340"/>
      <c r="AU1057" s="340"/>
      <c r="AV1057" s="340"/>
      <c r="AY1057" s="340"/>
      <c r="AZ1057" s="465">
        <f t="shared" ca="1" si="670"/>
        <v>7.3698599999999999E-5</v>
      </c>
      <c r="BA1057" s="464">
        <f t="shared" ca="1" si="671"/>
        <v>0</v>
      </c>
      <c r="BB1057" s="465">
        <f t="shared" ca="1" si="671"/>
        <v>7.3698599999999999E-5</v>
      </c>
      <c r="BC1057" s="466">
        <f t="shared" ca="1" si="672"/>
        <v>74785</v>
      </c>
      <c r="BD1057" s="467">
        <f t="shared" ca="1" si="685"/>
        <v>74786</v>
      </c>
      <c r="BE1057" s="467">
        <f t="shared" ca="1" si="673"/>
        <v>74815</v>
      </c>
      <c r="BF1057" s="468">
        <f ca="1">IF(計算!$BC1057&lt;OP!$C$3,0,BD1057-BC1057)</f>
        <v>1</v>
      </c>
      <c r="BG1057" s="468">
        <f ca="1">IF($BE1057&gt;DATE(YEAR($BD$9)+OP!$C$57,MONTH($BD$9),DAY($BD$9)),0,$BE1057-$BD1057+1)</f>
        <v>0</v>
      </c>
      <c r="BH1057" s="469">
        <f t="shared" ca="1" si="674"/>
        <v>1</v>
      </c>
      <c r="BI1057" t="str">
        <f t="shared" si="690"/>
        <v/>
      </c>
      <c r="BJ1057">
        <v>4</v>
      </c>
      <c r="BN1057" s="468">
        <f t="shared" si="686"/>
        <v>88</v>
      </c>
      <c r="BO1057" s="468">
        <f t="shared" si="687"/>
        <v>4</v>
      </c>
      <c r="BP1057" s="467">
        <f t="shared" ca="1" si="675"/>
        <v>74786</v>
      </c>
      <c r="BQ1057" s="475">
        <f t="shared" ca="1" si="689"/>
        <v>120</v>
      </c>
      <c r="BR1057" s="475" t="str">
        <f t="shared" si="688"/>
        <v/>
      </c>
      <c r="BS1057" s="471" t="str">
        <f t="shared" si="676"/>
        <v/>
      </c>
      <c r="BT1057" s="472" t="str">
        <f t="shared" si="691"/>
        <v/>
      </c>
      <c r="BU1057" s="472">
        <f t="shared" ca="1" si="677"/>
        <v>0</v>
      </c>
      <c r="BV1057" s="472">
        <f t="shared" ca="1" si="677"/>
        <v>0</v>
      </c>
      <c r="BW1057" s="472"/>
      <c r="BX1057" s="473">
        <f t="shared" ca="1" si="678"/>
        <v>2778385.9175046901</v>
      </c>
      <c r="BY1057" s="473">
        <f t="shared" si="679"/>
        <v>0</v>
      </c>
      <c r="BZ1057" s="473">
        <f t="shared" ca="1" si="661"/>
        <v>204.76315238000001</v>
      </c>
      <c r="CA1057" s="476">
        <f t="shared" ca="1" si="680"/>
        <v>0</v>
      </c>
      <c r="CB1057" s="494">
        <f ca="1">IF(OR($Q1056&lt;&gt;1,OP!$D$5+$BN1057-1&lt;16,$BN1057-1&lt;1),0,ROUND(ROUND(ROUND(((VLOOKUP($BN1057-1,MORE_PV,5,0)/10000)*VLOOKUP($BN1057,MORE_PV,$CB$5,0)),3)*VLOOKUP($BN1057,more1,5,0),0)/$R1056,0))</f>
        <v>0</v>
      </c>
      <c r="CC1057" s="473">
        <f t="shared" ca="1" si="681"/>
        <v>0</v>
      </c>
      <c r="CD1057" s="477"/>
    </row>
    <row r="1058" spans="2:82" ht="16.5" hidden="1">
      <c r="B1058" s="80"/>
      <c r="C1058" s="80"/>
      <c r="D1058" s="80"/>
      <c r="E1058" s="80"/>
      <c r="F1058" s="80"/>
      <c r="G1058" s="80"/>
      <c r="H1058" s="80"/>
      <c r="I1058" s="80"/>
      <c r="J1058" s="192">
        <f t="shared" si="662"/>
        <v>88</v>
      </c>
      <c r="K1058" s="192">
        <f t="shared" si="663"/>
        <v>6</v>
      </c>
      <c r="L1058" s="192" t="str">
        <f t="shared" si="658"/>
        <v/>
      </c>
      <c r="M1058" s="216" t="str">
        <f t="shared" ca="1" si="664"/>
        <v/>
      </c>
      <c r="N1058" s="216"/>
      <c r="O1058" s="216"/>
      <c r="P1058" s="216"/>
      <c r="Q1058" s="456">
        <f t="shared" ca="1" si="665"/>
        <v>1</v>
      </c>
      <c r="R1058" s="450">
        <f t="shared" ca="1" si="666"/>
        <v>12</v>
      </c>
      <c r="S1058" s="191">
        <f t="shared" si="667"/>
        <v>88</v>
      </c>
      <c r="T1058" s="191">
        <f t="shared" si="668"/>
        <v>6</v>
      </c>
      <c r="U1058" s="191">
        <f ca="1">OP!$D$5+$S1058-1</f>
        <v>120</v>
      </c>
      <c r="V1058" s="191" t="str">
        <f t="shared" si="669"/>
        <v/>
      </c>
      <c r="W1058" s="350">
        <f ca="1">IF(Q1058&lt;&gt;1,0,VLOOKUP(OP!$C$55,PVFB,$S1058+2,0))</f>
        <v>0</v>
      </c>
      <c r="X1058" s="473" t="str">
        <f t="shared" ca="1" si="682"/>
        <v/>
      </c>
      <c r="Y1058" s="348">
        <f t="shared" ca="1" si="683"/>
        <v>0</v>
      </c>
      <c r="Z1058" s="348">
        <f t="shared" ca="1" si="684"/>
        <v>8012</v>
      </c>
      <c r="AA1058" s="348">
        <f ca="1">IF(Q1058&lt;&gt;1,0,VLOOKUP(OP!$C$55,PVFB,$S1058+2,0))</f>
        <v>0</v>
      </c>
      <c r="AB1058" s="488" t="str">
        <f ca="1">IF(AND(S1058&lt;OP!$C$24,$U1058&lt;15),0,IF(AND($U1058&lt;15,$T1058=12),ROUND(VLOOKUP($S1058,DOWN16,5,0),3),IF($T1058=12,ROUND(($Z1058/10000)*$AA1058,3)+IF(AND($P$7="購買增額繳清保險",T1058=12,U1058=110),VLOOKUP(S1058,$B$10:$H$121,7,0),0),"")))</f>
        <v/>
      </c>
      <c r="AC1058" s="350" t="str">
        <f ca="1">IF(AND(S1058&lt;OP!$C$24,$U1058&lt;15),0,IF(AND($U1058&lt;16,$T1058=12),VLOOKUP($S1058,DOWN16,4,0),IF($T1058=12,ROUND(VLOOKUP(OP!$C$55,_DIE2,$S1058+1,0)*(Z1058/10000),0)+IF(AND($P$7="購買增額繳清保險",T1058=12,U1058=110),VLOOKUP(S1058,$B$10:$H$121,7,0),0),"")))</f>
        <v/>
      </c>
      <c r="AD1058" s="347"/>
      <c r="AE1058" s="350" t="str">
        <f t="shared" ca="1" si="659"/>
        <v/>
      </c>
      <c r="AF1058" s="351" t="str">
        <f t="shared" ca="1" si="660"/>
        <v/>
      </c>
      <c r="AG1058" s="340"/>
      <c r="AH1058" s="340"/>
      <c r="AI1058" s="340"/>
      <c r="AJ1058" s="340"/>
      <c r="AK1058" s="340"/>
      <c r="AL1058" s="340"/>
      <c r="AM1058" s="340"/>
      <c r="AN1058" s="340"/>
      <c r="AO1058" s="340"/>
      <c r="AP1058" s="340"/>
      <c r="AQ1058" s="340"/>
      <c r="AR1058" s="340"/>
      <c r="AS1058" s="340"/>
      <c r="AT1058" s="340"/>
      <c r="AU1058" s="340"/>
      <c r="AV1058" s="340"/>
      <c r="AY1058" s="340"/>
      <c r="AZ1058" s="465">
        <f t="shared" ca="1" si="670"/>
        <v>7.3698599999999999E-5</v>
      </c>
      <c r="BA1058" s="464">
        <f t="shared" ca="1" si="671"/>
        <v>0</v>
      </c>
      <c r="BB1058" s="465">
        <f t="shared" ca="1" si="671"/>
        <v>7.3698599999999999E-5</v>
      </c>
      <c r="BC1058" s="466">
        <f t="shared" ca="1" si="672"/>
        <v>74816</v>
      </c>
      <c r="BD1058" s="467">
        <f t="shared" ca="1" si="685"/>
        <v>74817</v>
      </c>
      <c r="BE1058" s="467">
        <f t="shared" ca="1" si="673"/>
        <v>74845</v>
      </c>
      <c r="BF1058" s="468">
        <f ca="1">IF(計算!$BC1058&lt;OP!$C$3,0,BD1058-BC1058)</f>
        <v>1</v>
      </c>
      <c r="BG1058" s="468">
        <f ca="1">IF($BE1058&gt;DATE(YEAR($BD$9)+OP!$C$57,MONTH($BD$9),DAY($BD$9)),0,$BE1058-$BD1058+1)</f>
        <v>0</v>
      </c>
      <c r="BH1058" s="469">
        <f t="shared" ca="1" si="674"/>
        <v>1</v>
      </c>
      <c r="BI1058" t="str">
        <f t="shared" si="690"/>
        <v/>
      </c>
      <c r="BJ1058">
        <v>5</v>
      </c>
      <c r="BN1058" s="468">
        <f t="shared" si="686"/>
        <v>88</v>
      </c>
      <c r="BO1058" s="468">
        <f t="shared" si="687"/>
        <v>5</v>
      </c>
      <c r="BP1058" s="467">
        <f t="shared" ca="1" si="675"/>
        <v>74817</v>
      </c>
      <c r="BQ1058" s="475">
        <f t="shared" ca="1" si="689"/>
        <v>120</v>
      </c>
      <c r="BR1058" s="475" t="str">
        <f t="shared" si="688"/>
        <v/>
      </c>
      <c r="BS1058" s="471" t="str">
        <f t="shared" si="676"/>
        <v/>
      </c>
      <c r="BT1058" s="472" t="str">
        <f t="shared" si="691"/>
        <v/>
      </c>
      <c r="BU1058" s="472">
        <f t="shared" ca="1" si="677"/>
        <v>0</v>
      </c>
      <c r="BV1058" s="472">
        <f t="shared" ca="1" si="677"/>
        <v>0</v>
      </c>
      <c r="BW1058" s="472"/>
      <c r="BX1058" s="473">
        <f t="shared" ca="1" si="678"/>
        <v>2778590.6806570701</v>
      </c>
      <c r="BY1058" s="473">
        <f t="shared" si="679"/>
        <v>0</v>
      </c>
      <c r="BZ1058" s="473">
        <f t="shared" ca="1" si="661"/>
        <v>204.778243137</v>
      </c>
      <c r="CA1058" s="476">
        <f t="shared" ca="1" si="680"/>
        <v>0</v>
      </c>
      <c r="CB1058" s="494">
        <f ca="1">IF(OR($Q1057&lt;&gt;1,OP!$D$5+$BN1058-1&lt;16,$BN1058-1&lt;1),0,ROUND(ROUND(ROUND(((VLOOKUP($BN1058-1,MORE_PV,5,0)/10000)*VLOOKUP($BN1058,MORE_PV,$CB$5,0)),3)*VLOOKUP($BN1058,more1,5,0),0)/$R1057,0))</f>
        <v>0</v>
      </c>
      <c r="CC1058" s="473">
        <f t="shared" ca="1" si="681"/>
        <v>0</v>
      </c>
      <c r="CD1058" s="477"/>
    </row>
    <row r="1059" spans="2:82" ht="16.5" hidden="1">
      <c r="B1059" s="80"/>
      <c r="C1059" s="80"/>
      <c r="D1059" s="80"/>
      <c r="E1059" s="80"/>
      <c r="F1059" s="80"/>
      <c r="G1059" s="80"/>
      <c r="H1059" s="80"/>
      <c r="I1059" s="80"/>
      <c r="J1059" s="192">
        <f t="shared" si="662"/>
        <v>88</v>
      </c>
      <c r="K1059" s="192">
        <f t="shared" si="663"/>
        <v>7</v>
      </c>
      <c r="L1059" s="192" t="str">
        <f t="shared" si="658"/>
        <v/>
      </c>
      <c r="M1059" s="216" t="str">
        <f t="shared" ca="1" si="664"/>
        <v/>
      </c>
      <c r="N1059" s="216"/>
      <c r="O1059" s="216"/>
      <c r="P1059" s="216"/>
      <c r="Q1059" s="456">
        <f t="shared" ca="1" si="665"/>
        <v>1</v>
      </c>
      <c r="R1059" s="450">
        <f t="shared" ca="1" si="666"/>
        <v>12</v>
      </c>
      <c r="S1059" s="191">
        <f t="shared" si="667"/>
        <v>88</v>
      </c>
      <c r="T1059" s="191">
        <f t="shared" si="668"/>
        <v>7</v>
      </c>
      <c r="U1059" s="191">
        <f ca="1">OP!$D$5+$S1059-1</f>
        <v>120</v>
      </c>
      <c r="V1059" s="191" t="str">
        <f t="shared" si="669"/>
        <v/>
      </c>
      <c r="W1059" s="350">
        <f ca="1">IF(Q1059&lt;&gt;1,0,VLOOKUP(OP!$C$55,PVFB,$S1059+2,0))</f>
        <v>0</v>
      </c>
      <c r="X1059" s="473" t="str">
        <f t="shared" ca="1" si="682"/>
        <v/>
      </c>
      <c r="Y1059" s="348">
        <f t="shared" ca="1" si="683"/>
        <v>0</v>
      </c>
      <c r="Z1059" s="348">
        <f t="shared" ca="1" si="684"/>
        <v>8012</v>
      </c>
      <c r="AA1059" s="348">
        <f ca="1">IF(Q1059&lt;&gt;1,0,VLOOKUP(OP!$C$55,PVFB,$S1059+2,0))</f>
        <v>0</v>
      </c>
      <c r="AB1059" s="488" t="str">
        <f ca="1">IF(AND(S1059&lt;OP!$C$24,$U1059&lt;15),0,IF(AND($U1059&lt;15,$T1059=12),ROUND(VLOOKUP($S1059,DOWN16,5,0),3),IF($T1059=12,ROUND(($Z1059/10000)*$AA1059,3)+IF(AND($P$7="購買增額繳清保險",T1059=12,U1059=110),VLOOKUP(S1059,$B$10:$H$121,7,0),0),"")))</f>
        <v/>
      </c>
      <c r="AC1059" s="350" t="str">
        <f ca="1">IF(AND(S1059&lt;OP!$C$24,$U1059&lt;15),0,IF(AND($U1059&lt;16,$T1059=12),VLOOKUP($S1059,DOWN16,4,0),IF($T1059=12,ROUND(VLOOKUP(OP!$C$55,_DIE2,$S1059+1,0)*(Z1059/10000),0)+IF(AND($P$7="購買增額繳清保險",T1059=12,U1059=110),VLOOKUP(S1059,$B$10:$H$121,7,0),0),"")))</f>
        <v/>
      </c>
      <c r="AD1059" s="347"/>
      <c r="AE1059" s="350" t="str">
        <f t="shared" ca="1" si="659"/>
        <v/>
      </c>
      <c r="AF1059" s="351" t="str">
        <f t="shared" ca="1" si="660"/>
        <v/>
      </c>
      <c r="AG1059" s="340"/>
      <c r="AH1059" s="340"/>
      <c r="AI1059" s="340"/>
      <c r="AJ1059" s="340"/>
      <c r="AK1059" s="340"/>
      <c r="AL1059" s="340"/>
      <c r="AM1059" s="340"/>
      <c r="AN1059" s="340"/>
      <c r="AO1059" s="340"/>
      <c r="AP1059" s="340"/>
      <c r="AQ1059" s="340"/>
      <c r="AR1059" s="340"/>
      <c r="AS1059" s="340"/>
      <c r="AT1059" s="340"/>
      <c r="AU1059" s="340"/>
      <c r="AV1059" s="340"/>
      <c r="AY1059" s="340"/>
      <c r="AZ1059" s="465">
        <f t="shared" ca="1" si="670"/>
        <v>7.3698599999999999E-5</v>
      </c>
      <c r="BA1059" s="464">
        <f t="shared" ca="1" si="671"/>
        <v>0</v>
      </c>
      <c r="BB1059" s="465">
        <f t="shared" ca="1" si="671"/>
        <v>7.3698599999999999E-5</v>
      </c>
      <c r="BC1059" s="466">
        <f t="shared" ca="1" si="672"/>
        <v>74846</v>
      </c>
      <c r="BD1059" s="467">
        <f t="shared" ca="1" si="685"/>
        <v>74847</v>
      </c>
      <c r="BE1059" s="467">
        <f t="shared" ca="1" si="673"/>
        <v>74876</v>
      </c>
      <c r="BF1059" s="468">
        <f ca="1">IF(計算!$BC1059&lt;OP!$C$3,0,BD1059-BC1059)</f>
        <v>1</v>
      </c>
      <c r="BG1059" s="468">
        <f ca="1">IF($BE1059&gt;DATE(YEAR($BD$9)+OP!$C$57,MONTH($BD$9),DAY($BD$9)),0,$BE1059-$BD1059+1)</f>
        <v>0</v>
      </c>
      <c r="BH1059" s="469">
        <f t="shared" ca="1" si="674"/>
        <v>1</v>
      </c>
      <c r="BI1059" t="str">
        <f t="shared" si="690"/>
        <v/>
      </c>
      <c r="BJ1059">
        <v>6</v>
      </c>
      <c r="BN1059" s="468">
        <f t="shared" si="686"/>
        <v>88</v>
      </c>
      <c r="BO1059" s="468">
        <f t="shared" si="687"/>
        <v>6</v>
      </c>
      <c r="BP1059" s="467">
        <f t="shared" ca="1" si="675"/>
        <v>74847</v>
      </c>
      <c r="BQ1059" s="475">
        <f t="shared" ca="1" si="689"/>
        <v>120</v>
      </c>
      <c r="BR1059" s="475" t="str">
        <f t="shared" si="688"/>
        <v/>
      </c>
      <c r="BS1059" s="471" t="str">
        <f t="shared" si="676"/>
        <v/>
      </c>
      <c r="BT1059" s="472" t="str">
        <f t="shared" si="691"/>
        <v/>
      </c>
      <c r="BU1059" s="472">
        <f t="shared" ca="1" si="677"/>
        <v>0</v>
      </c>
      <c r="BV1059" s="472">
        <f t="shared" ca="1" si="677"/>
        <v>0</v>
      </c>
      <c r="BW1059" s="472"/>
      <c r="BX1059" s="473">
        <f t="shared" ca="1" si="678"/>
        <v>2778795.45890021</v>
      </c>
      <c r="BY1059" s="473">
        <f t="shared" si="679"/>
        <v>0</v>
      </c>
      <c r="BZ1059" s="473">
        <f t="shared" ca="1" si="661"/>
        <v>204.793335007</v>
      </c>
      <c r="CA1059" s="476">
        <f t="shared" ca="1" si="680"/>
        <v>0</v>
      </c>
      <c r="CB1059" s="494">
        <f ca="1">IF(OR($Q1058&lt;&gt;1,OP!$D$5+$BN1059-1&lt;16,$BN1059-1&lt;1),0,ROUND(ROUND(ROUND(((VLOOKUP($BN1059-1,MORE_PV,5,0)/10000)*VLOOKUP($BN1059,MORE_PV,$CB$5,0)),3)*VLOOKUP($BN1059,more1,5,0),0)/$R1058,0))</f>
        <v>0</v>
      </c>
      <c r="CC1059" s="473">
        <f t="shared" ca="1" si="681"/>
        <v>0</v>
      </c>
      <c r="CD1059" s="477"/>
    </row>
    <row r="1060" spans="2:82" ht="16.5" hidden="1">
      <c r="B1060" s="80"/>
      <c r="C1060" s="80"/>
      <c r="D1060" s="80"/>
      <c r="E1060" s="80"/>
      <c r="F1060" s="80"/>
      <c r="G1060" s="80"/>
      <c r="H1060" s="80"/>
      <c r="I1060" s="80"/>
      <c r="J1060" s="192">
        <f t="shared" si="662"/>
        <v>88</v>
      </c>
      <c r="K1060" s="192">
        <f t="shared" si="663"/>
        <v>8</v>
      </c>
      <c r="L1060" s="192" t="str">
        <f t="shared" si="658"/>
        <v/>
      </c>
      <c r="M1060" s="216" t="str">
        <f t="shared" ca="1" si="664"/>
        <v/>
      </c>
      <c r="N1060" s="216"/>
      <c r="O1060" s="216"/>
      <c r="P1060" s="216"/>
      <c r="Q1060" s="456">
        <f t="shared" ca="1" si="665"/>
        <v>1</v>
      </c>
      <c r="R1060" s="450">
        <f t="shared" ca="1" si="666"/>
        <v>12</v>
      </c>
      <c r="S1060" s="191">
        <f t="shared" si="667"/>
        <v>88</v>
      </c>
      <c r="T1060" s="191">
        <f t="shared" si="668"/>
        <v>8</v>
      </c>
      <c r="U1060" s="191">
        <f ca="1">OP!$D$5+$S1060-1</f>
        <v>120</v>
      </c>
      <c r="V1060" s="191" t="str">
        <f t="shared" si="669"/>
        <v/>
      </c>
      <c r="W1060" s="350">
        <f ca="1">IF(Q1060&lt;&gt;1,0,VLOOKUP(OP!$C$55,PVFB,$S1060+2,0))</f>
        <v>0</v>
      </c>
      <c r="X1060" s="473" t="str">
        <f t="shared" ca="1" si="682"/>
        <v/>
      </c>
      <c r="Y1060" s="348">
        <f t="shared" ca="1" si="683"/>
        <v>0</v>
      </c>
      <c r="Z1060" s="348">
        <f t="shared" ca="1" si="684"/>
        <v>8012</v>
      </c>
      <c r="AA1060" s="348">
        <f ca="1">IF(Q1060&lt;&gt;1,0,VLOOKUP(OP!$C$55,PVFB,$S1060+2,0))</f>
        <v>0</v>
      </c>
      <c r="AB1060" s="488" t="str">
        <f ca="1">IF(AND(S1060&lt;OP!$C$24,$U1060&lt;15),0,IF(AND($U1060&lt;15,$T1060=12),ROUND(VLOOKUP($S1060,DOWN16,5,0),3),IF($T1060=12,ROUND(($Z1060/10000)*$AA1060,3)+IF(AND($P$7="購買增額繳清保險",T1060=12,U1060=110),VLOOKUP(S1060,$B$10:$H$121,7,0),0),"")))</f>
        <v/>
      </c>
      <c r="AC1060" s="350" t="str">
        <f ca="1">IF(AND(S1060&lt;OP!$C$24,$U1060&lt;15),0,IF(AND($U1060&lt;16,$T1060=12),VLOOKUP($S1060,DOWN16,4,0),IF($T1060=12,ROUND(VLOOKUP(OP!$C$55,_DIE2,$S1060+1,0)*(Z1060/10000),0)+IF(AND($P$7="購買增額繳清保險",T1060=12,U1060=110),VLOOKUP(S1060,$B$10:$H$121,7,0),0),"")))</f>
        <v/>
      </c>
      <c r="AD1060" s="347"/>
      <c r="AE1060" s="350" t="str">
        <f t="shared" ca="1" si="659"/>
        <v/>
      </c>
      <c r="AF1060" s="351" t="str">
        <f t="shared" ca="1" si="660"/>
        <v/>
      </c>
      <c r="AG1060" s="340"/>
      <c r="AH1060" s="340"/>
      <c r="AI1060" s="340"/>
      <c r="AJ1060" s="340"/>
      <c r="AK1060" s="340"/>
      <c r="AL1060" s="340"/>
      <c r="AM1060" s="340"/>
      <c r="AN1060" s="340"/>
      <c r="AO1060" s="340"/>
      <c r="AP1060" s="340"/>
      <c r="AQ1060" s="340"/>
      <c r="AR1060" s="340"/>
      <c r="AS1060" s="340"/>
      <c r="AT1060" s="340"/>
      <c r="AU1060" s="340"/>
      <c r="AV1060" s="340"/>
      <c r="AY1060" s="340"/>
      <c r="AZ1060" s="465">
        <f t="shared" ca="1" si="670"/>
        <v>7.3698599999999999E-5</v>
      </c>
      <c r="BA1060" s="464">
        <f t="shared" ca="1" si="671"/>
        <v>0</v>
      </c>
      <c r="BB1060" s="465">
        <f t="shared" ca="1" si="671"/>
        <v>7.3698599999999999E-5</v>
      </c>
      <c r="BC1060" s="466">
        <f t="shared" ca="1" si="672"/>
        <v>74877</v>
      </c>
      <c r="BD1060" s="467">
        <f t="shared" ca="1" si="685"/>
        <v>74878</v>
      </c>
      <c r="BE1060" s="467">
        <f t="shared" ca="1" si="673"/>
        <v>74907</v>
      </c>
      <c r="BF1060" s="468">
        <f ca="1">IF(計算!$BC1060&lt;OP!$C$3,0,BD1060-BC1060)</f>
        <v>1</v>
      </c>
      <c r="BG1060" s="468">
        <f ca="1">IF($BE1060&gt;DATE(YEAR($BD$9)+OP!$C$57,MONTH($BD$9),DAY($BD$9)),0,$BE1060-$BD1060+1)</f>
        <v>0</v>
      </c>
      <c r="BH1060" s="469">
        <f t="shared" ca="1" si="674"/>
        <v>1</v>
      </c>
      <c r="BI1060" t="str">
        <f t="shared" si="690"/>
        <v/>
      </c>
      <c r="BJ1060">
        <v>7</v>
      </c>
      <c r="BN1060" s="468">
        <f t="shared" si="686"/>
        <v>88</v>
      </c>
      <c r="BO1060" s="468">
        <f t="shared" si="687"/>
        <v>7</v>
      </c>
      <c r="BP1060" s="467">
        <f t="shared" ca="1" si="675"/>
        <v>74878</v>
      </c>
      <c r="BQ1060" s="475">
        <f t="shared" ca="1" si="689"/>
        <v>120</v>
      </c>
      <c r="BR1060" s="475" t="str">
        <f t="shared" si="688"/>
        <v/>
      </c>
      <c r="BS1060" s="471" t="str">
        <f t="shared" si="676"/>
        <v/>
      </c>
      <c r="BT1060" s="472" t="str">
        <f t="shared" si="691"/>
        <v/>
      </c>
      <c r="BU1060" s="472">
        <f t="shared" ca="1" si="677"/>
        <v>0</v>
      </c>
      <c r="BV1060" s="472">
        <f t="shared" ca="1" si="677"/>
        <v>0</v>
      </c>
      <c r="BW1060" s="472"/>
      <c r="BX1060" s="473">
        <f t="shared" ca="1" si="678"/>
        <v>2779000.2522352198</v>
      </c>
      <c r="BY1060" s="473">
        <f t="shared" si="679"/>
        <v>0</v>
      </c>
      <c r="BZ1060" s="473">
        <f t="shared" ca="1" si="661"/>
        <v>204.80842798899999</v>
      </c>
      <c r="CA1060" s="476">
        <f t="shared" ca="1" si="680"/>
        <v>0</v>
      </c>
      <c r="CB1060" s="494">
        <f ca="1">IF(OR($Q1059&lt;&gt;1,OP!$D$5+$BN1060-1&lt;16,$BN1060-1&lt;1),0,ROUND(ROUND(ROUND(((VLOOKUP($BN1060-1,MORE_PV,5,0)/10000)*VLOOKUP($BN1060,MORE_PV,$CB$5,0)),3)*VLOOKUP($BN1060,more1,5,0),0)/$R1059,0))</f>
        <v>0</v>
      </c>
      <c r="CC1060" s="473">
        <f t="shared" ca="1" si="681"/>
        <v>0</v>
      </c>
      <c r="CD1060" s="477"/>
    </row>
    <row r="1061" spans="2:82" ht="16.5" hidden="1">
      <c r="B1061" s="80"/>
      <c r="C1061" s="80"/>
      <c r="D1061" s="80"/>
      <c r="E1061" s="80"/>
      <c r="F1061" s="80"/>
      <c r="G1061" s="80"/>
      <c r="H1061" s="80"/>
      <c r="I1061" s="80"/>
      <c r="J1061" s="192">
        <f t="shared" si="662"/>
        <v>88</v>
      </c>
      <c r="K1061" s="192">
        <f t="shared" si="663"/>
        <v>9</v>
      </c>
      <c r="L1061" s="192" t="str">
        <f t="shared" si="658"/>
        <v/>
      </c>
      <c r="M1061" s="216" t="str">
        <f t="shared" ca="1" si="664"/>
        <v/>
      </c>
      <c r="N1061" s="216"/>
      <c r="O1061" s="216"/>
      <c r="P1061" s="216"/>
      <c r="Q1061" s="456">
        <f t="shared" ca="1" si="665"/>
        <v>1</v>
      </c>
      <c r="R1061" s="450">
        <f t="shared" ca="1" si="666"/>
        <v>12</v>
      </c>
      <c r="S1061" s="191">
        <f t="shared" si="667"/>
        <v>88</v>
      </c>
      <c r="T1061" s="191">
        <f t="shared" si="668"/>
        <v>9</v>
      </c>
      <c r="U1061" s="191">
        <f ca="1">OP!$D$5+$S1061-1</f>
        <v>120</v>
      </c>
      <c r="V1061" s="191" t="str">
        <f t="shared" si="669"/>
        <v/>
      </c>
      <c r="W1061" s="350">
        <f ca="1">IF(Q1061&lt;&gt;1,0,VLOOKUP(OP!$C$55,PVFB,$S1061+2,0))</f>
        <v>0</v>
      </c>
      <c r="X1061" s="473" t="str">
        <f t="shared" ca="1" si="682"/>
        <v/>
      </c>
      <c r="Y1061" s="348">
        <f t="shared" ca="1" si="683"/>
        <v>0</v>
      </c>
      <c r="Z1061" s="348">
        <f t="shared" ca="1" si="684"/>
        <v>8012</v>
      </c>
      <c r="AA1061" s="348">
        <f ca="1">IF(Q1061&lt;&gt;1,0,VLOOKUP(OP!$C$55,PVFB,$S1061+2,0))</f>
        <v>0</v>
      </c>
      <c r="AB1061" s="488" t="str">
        <f ca="1">IF(AND(S1061&lt;OP!$C$24,$U1061&lt;15),0,IF(AND($U1061&lt;15,$T1061=12),ROUND(VLOOKUP($S1061,DOWN16,5,0),3),IF($T1061=12,ROUND(($Z1061/10000)*$AA1061,3)+IF(AND($P$7="購買增額繳清保險",T1061=12,U1061=110),VLOOKUP(S1061,$B$10:$H$121,7,0),0),"")))</f>
        <v/>
      </c>
      <c r="AC1061" s="350" t="str">
        <f ca="1">IF(AND(S1061&lt;OP!$C$24,$U1061&lt;15),0,IF(AND($U1061&lt;16,$T1061=12),VLOOKUP($S1061,DOWN16,4,0),IF($T1061=12,ROUND(VLOOKUP(OP!$C$55,_DIE2,$S1061+1,0)*(Z1061/10000),0)+IF(AND($P$7="購買增額繳清保險",T1061=12,U1061=110),VLOOKUP(S1061,$B$10:$H$121,7,0),0),"")))</f>
        <v/>
      </c>
      <c r="AD1061" s="347"/>
      <c r="AE1061" s="350" t="str">
        <f t="shared" ca="1" si="659"/>
        <v/>
      </c>
      <c r="AF1061" s="351" t="str">
        <f t="shared" ca="1" si="660"/>
        <v/>
      </c>
      <c r="AG1061" s="340"/>
      <c r="AH1061" s="340"/>
      <c r="AI1061" s="340"/>
      <c r="AJ1061" s="340"/>
      <c r="AK1061" s="340"/>
      <c r="AL1061" s="340"/>
      <c r="AM1061" s="340"/>
      <c r="AN1061" s="340"/>
      <c r="AO1061" s="340"/>
      <c r="AP1061" s="340"/>
      <c r="AQ1061" s="340"/>
      <c r="AR1061" s="340"/>
      <c r="AS1061" s="340"/>
      <c r="AT1061" s="340"/>
      <c r="AU1061" s="340"/>
      <c r="AV1061" s="340"/>
      <c r="AY1061" s="340"/>
      <c r="AZ1061" s="465">
        <f t="shared" ca="1" si="670"/>
        <v>7.3698599999999999E-5</v>
      </c>
      <c r="BA1061" s="464">
        <f t="shared" ca="1" si="671"/>
        <v>0</v>
      </c>
      <c r="BB1061" s="465">
        <f t="shared" ca="1" si="671"/>
        <v>7.3698599999999999E-5</v>
      </c>
      <c r="BC1061" s="466">
        <f t="shared" ca="1" si="672"/>
        <v>74908</v>
      </c>
      <c r="BD1061" s="467">
        <f t="shared" ca="1" si="685"/>
        <v>74909</v>
      </c>
      <c r="BE1061" s="467">
        <f t="shared" ca="1" si="673"/>
        <v>74935</v>
      </c>
      <c r="BF1061" s="468">
        <f ca="1">IF(計算!$BC1061&lt;OP!$C$3,0,BD1061-BC1061)</f>
        <v>1</v>
      </c>
      <c r="BG1061" s="468">
        <f ca="1">IF($BE1061&gt;DATE(YEAR($BD$9)+OP!$C$57,MONTH($BD$9),DAY($BD$9)),0,$BE1061-$BD1061+1)</f>
        <v>0</v>
      </c>
      <c r="BH1061" s="469">
        <f t="shared" ca="1" si="674"/>
        <v>1</v>
      </c>
      <c r="BI1061" t="str">
        <f t="shared" si="690"/>
        <v/>
      </c>
      <c r="BJ1061">
        <v>8</v>
      </c>
      <c r="BN1061" s="468">
        <f t="shared" si="686"/>
        <v>88</v>
      </c>
      <c r="BO1061" s="468">
        <f t="shared" si="687"/>
        <v>8</v>
      </c>
      <c r="BP1061" s="467">
        <f t="shared" ca="1" si="675"/>
        <v>74909</v>
      </c>
      <c r="BQ1061" s="475">
        <f t="shared" ca="1" si="689"/>
        <v>120</v>
      </c>
      <c r="BR1061" s="475" t="str">
        <f t="shared" si="688"/>
        <v/>
      </c>
      <c r="BS1061" s="471" t="str">
        <f t="shared" si="676"/>
        <v/>
      </c>
      <c r="BT1061" s="472" t="str">
        <f t="shared" si="691"/>
        <v/>
      </c>
      <c r="BU1061" s="472">
        <f t="shared" ca="1" si="677"/>
        <v>0</v>
      </c>
      <c r="BV1061" s="472">
        <f t="shared" ca="1" si="677"/>
        <v>0</v>
      </c>
      <c r="BW1061" s="472"/>
      <c r="BX1061" s="473">
        <f t="shared" ca="1" si="678"/>
        <v>2779205.0606632102</v>
      </c>
      <c r="BY1061" s="473">
        <f t="shared" si="679"/>
        <v>0</v>
      </c>
      <c r="BZ1061" s="473">
        <f t="shared" ca="1" si="661"/>
        <v>204.82352208399999</v>
      </c>
      <c r="CA1061" s="476">
        <f t="shared" ca="1" si="680"/>
        <v>0</v>
      </c>
      <c r="CB1061" s="494">
        <f ca="1">IF(OR($Q1060&lt;&gt;1,OP!$D$5+$BN1061-1&lt;16,$BN1061-1&lt;1),0,ROUND(ROUND(ROUND(((VLOOKUP($BN1061-1,MORE_PV,5,0)/10000)*VLOOKUP($BN1061,MORE_PV,$CB$5,0)),3)*VLOOKUP($BN1061,more1,5,0),0)/$R1060,0))</f>
        <v>0</v>
      </c>
      <c r="CC1061" s="473">
        <f t="shared" ca="1" si="681"/>
        <v>0</v>
      </c>
      <c r="CD1061" s="477"/>
    </row>
    <row r="1062" spans="2:82" ht="16.5" hidden="1">
      <c r="B1062" s="80"/>
      <c r="C1062" s="80"/>
      <c r="D1062" s="80"/>
      <c r="E1062" s="80"/>
      <c r="F1062" s="80"/>
      <c r="G1062" s="80"/>
      <c r="H1062" s="80"/>
      <c r="I1062" s="80"/>
      <c r="J1062" s="192">
        <f t="shared" si="662"/>
        <v>88</v>
      </c>
      <c r="K1062" s="192">
        <f t="shared" si="663"/>
        <v>10</v>
      </c>
      <c r="L1062" s="192" t="str">
        <f t="shared" si="658"/>
        <v/>
      </c>
      <c r="M1062" s="216" t="str">
        <f t="shared" ca="1" si="664"/>
        <v/>
      </c>
      <c r="N1062" s="216"/>
      <c r="O1062" s="216"/>
      <c r="P1062" s="216"/>
      <c r="Q1062" s="456">
        <f t="shared" ca="1" si="665"/>
        <v>1</v>
      </c>
      <c r="R1062" s="450">
        <f t="shared" ca="1" si="666"/>
        <v>12</v>
      </c>
      <c r="S1062" s="191">
        <f t="shared" si="667"/>
        <v>88</v>
      </c>
      <c r="T1062" s="191">
        <f t="shared" si="668"/>
        <v>10</v>
      </c>
      <c r="U1062" s="191">
        <f ca="1">OP!$D$5+$S1062-1</f>
        <v>120</v>
      </c>
      <c r="V1062" s="191" t="str">
        <f t="shared" si="669"/>
        <v/>
      </c>
      <c r="W1062" s="350">
        <f ca="1">IF(Q1062&lt;&gt;1,0,VLOOKUP(OP!$C$55,PVFB,$S1062+2,0))</f>
        <v>0</v>
      </c>
      <c r="X1062" s="473" t="str">
        <f t="shared" ca="1" si="682"/>
        <v/>
      </c>
      <c r="Y1062" s="348">
        <f t="shared" ca="1" si="683"/>
        <v>0</v>
      </c>
      <c r="Z1062" s="348">
        <f t="shared" ca="1" si="684"/>
        <v>8012</v>
      </c>
      <c r="AA1062" s="348">
        <f ca="1">IF(Q1062&lt;&gt;1,0,VLOOKUP(OP!$C$55,PVFB,$S1062+2,0))</f>
        <v>0</v>
      </c>
      <c r="AB1062" s="488" t="str">
        <f ca="1">IF(AND(S1062&lt;OP!$C$24,$U1062&lt;15),0,IF(AND($U1062&lt;15,$T1062=12),ROUND(VLOOKUP($S1062,DOWN16,5,0),3),IF($T1062=12,ROUND(($Z1062/10000)*$AA1062,3)+IF(AND($P$7="購買增額繳清保險",T1062=12,U1062=110),VLOOKUP(S1062,$B$10:$H$121,7,0),0),"")))</f>
        <v/>
      </c>
      <c r="AC1062" s="350" t="str">
        <f ca="1">IF(AND(S1062&lt;OP!$C$24,$U1062&lt;15),0,IF(AND($U1062&lt;16,$T1062=12),VLOOKUP($S1062,DOWN16,4,0),IF($T1062=12,ROUND(VLOOKUP(OP!$C$55,_DIE2,$S1062+1,0)*(Z1062/10000),0)+IF(AND($P$7="購買增額繳清保險",T1062=12,U1062=110),VLOOKUP(S1062,$B$10:$H$121,7,0),0),"")))</f>
        <v/>
      </c>
      <c r="AD1062" s="347"/>
      <c r="AE1062" s="350" t="str">
        <f t="shared" ca="1" si="659"/>
        <v/>
      </c>
      <c r="AF1062" s="351" t="str">
        <f t="shared" ca="1" si="660"/>
        <v/>
      </c>
      <c r="AG1062" s="340"/>
      <c r="AH1062" s="340"/>
      <c r="AI1062" s="340"/>
      <c r="AJ1062" s="340"/>
      <c r="AK1062" s="340"/>
      <c r="AL1062" s="340"/>
      <c r="AM1062" s="340"/>
      <c r="AN1062" s="340"/>
      <c r="AO1062" s="340"/>
      <c r="AP1062" s="340"/>
      <c r="AQ1062" s="340"/>
      <c r="AR1062" s="340"/>
      <c r="AS1062" s="340"/>
      <c r="AT1062" s="340"/>
      <c r="AU1062" s="340"/>
      <c r="AV1062" s="340"/>
      <c r="AY1062" s="340"/>
      <c r="AZ1062" s="465">
        <f t="shared" ca="1" si="670"/>
        <v>7.3698599999999999E-5</v>
      </c>
      <c r="BA1062" s="464">
        <f t="shared" ca="1" si="671"/>
        <v>0</v>
      </c>
      <c r="BB1062" s="465">
        <f t="shared" ca="1" si="671"/>
        <v>7.3698599999999999E-5</v>
      </c>
      <c r="BC1062" s="466">
        <f t="shared" ca="1" si="672"/>
        <v>74936</v>
      </c>
      <c r="BD1062" s="467">
        <f t="shared" ca="1" si="685"/>
        <v>74937</v>
      </c>
      <c r="BE1062" s="467">
        <f t="shared" ca="1" si="673"/>
        <v>74966</v>
      </c>
      <c r="BF1062" s="468">
        <f ca="1">IF(計算!$BC1062&lt;OP!$C$3,0,BD1062-BC1062)</f>
        <v>1</v>
      </c>
      <c r="BG1062" s="468">
        <f ca="1">IF($BE1062&gt;DATE(YEAR($BD$9)+OP!$C$57,MONTH($BD$9),DAY($BD$9)),0,$BE1062-$BD1062+1)</f>
        <v>0</v>
      </c>
      <c r="BH1062" s="469">
        <f t="shared" ca="1" si="674"/>
        <v>1</v>
      </c>
      <c r="BI1062" t="str">
        <f t="shared" si="690"/>
        <v/>
      </c>
      <c r="BJ1062">
        <v>9</v>
      </c>
      <c r="BN1062" s="468">
        <f t="shared" si="686"/>
        <v>88</v>
      </c>
      <c r="BO1062" s="468">
        <f t="shared" si="687"/>
        <v>9</v>
      </c>
      <c r="BP1062" s="467">
        <f t="shared" ca="1" si="675"/>
        <v>74937</v>
      </c>
      <c r="BQ1062" s="475">
        <f t="shared" ca="1" si="689"/>
        <v>120</v>
      </c>
      <c r="BR1062" s="475" t="str">
        <f t="shared" si="688"/>
        <v/>
      </c>
      <c r="BS1062" s="471" t="str">
        <f t="shared" si="676"/>
        <v/>
      </c>
      <c r="BT1062" s="472" t="str">
        <f t="shared" si="691"/>
        <v/>
      </c>
      <c r="BU1062" s="472">
        <f t="shared" ca="1" si="677"/>
        <v>0</v>
      </c>
      <c r="BV1062" s="472">
        <f t="shared" ca="1" si="677"/>
        <v>0</v>
      </c>
      <c r="BW1062" s="472"/>
      <c r="BX1062" s="473">
        <f t="shared" ca="1" si="678"/>
        <v>2779409.88418529</v>
      </c>
      <c r="BY1062" s="473">
        <f t="shared" si="679"/>
        <v>0</v>
      </c>
      <c r="BZ1062" s="473">
        <f t="shared" ca="1" si="661"/>
        <v>204.83861729099999</v>
      </c>
      <c r="CA1062" s="476">
        <f t="shared" ca="1" si="680"/>
        <v>0</v>
      </c>
      <c r="CB1062" s="494">
        <f ca="1">IF(OR($Q1061&lt;&gt;1,OP!$D$5+$BN1062-1&lt;16,$BN1062-1&lt;1),0,ROUND(ROUND(ROUND(((VLOOKUP($BN1062-1,MORE_PV,5,0)/10000)*VLOOKUP($BN1062,MORE_PV,$CB$5,0)),3)*VLOOKUP($BN1062,more1,5,0),0)/$R1061,0))</f>
        <v>0</v>
      </c>
      <c r="CC1062" s="473">
        <f t="shared" ca="1" si="681"/>
        <v>0</v>
      </c>
      <c r="CD1062" s="477"/>
    </row>
    <row r="1063" spans="2:82" ht="16.5" hidden="1">
      <c r="B1063" s="80"/>
      <c r="C1063" s="80"/>
      <c r="D1063" s="80"/>
      <c r="E1063" s="80"/>
      <c r="F1063" s="80"/>
      <c r="G1063" s="80"/>
      <c r="H1063" s="80"/>
      <c r="I1063" s="80"/>
      <c r="J1063" s="192">
        <f t="shared" si="662"/>
        <v>88</v>
      </c>
      <c r="K1063" s="192">
        <f t="shared" si="663"/>
        <v>11</v>
      </c>
      <c r="L1063" s="192" t="str">
        <f t="shared" si="658"/>
        <v/>
      </c>
      <c r="M1063" s="216" t="str">
        <f t="shared" ca="1" si="664"/>
        <v/>
      </c>
      <c r="N1063" s="216"/>
      <c r="O1063" s="216"/>
      <c r="P1063" s="216"/>
      <c r="Q1063" s="456">
        <f t="shared" ca="1" si="665"/>
        <v>1</v>
      </c>
      <c r="R1063" s="450">
        <f t="shared" ca="1" si="666"/>
        <v>12</v>
      </c>
      <c r="S1063" s="191">
        <f t="shared" si="667"/>
        <v>88</v>
      </c>
      <c r="T1063" s="191">
        <f t="shared" si="668"/>
        <v>11</v>
      </c>
      <c r="U1063" s="191">
        <f ca="1">OP!$D$5+$S1063-1</f>
        <v>120</v>
      </c>
      <c r="V1063" s="191" t="str">
        <f t="shared" si="669"/>
        <v/>
      </c>
      <c r="W1063" s="350">
        <f ca="1">IF(Q1063&lt;&gt;1,0,VLOOKUP(OP!$C$55,PVFB,$S1063+2,0))</f>
        <v>0</v>
      </c>
      <c r="X1063" s="473" t="str">
        <f t="shared" ca="1" si="682"/>
        <v/>
      </c>
      <c r="Y1063" s="348">
        <f t="shared" ca="1" si="683"/>
        <v>0</v>
      </c>
      <c r="Z1063" s="348">
        <f t="shared" ca="1" si="684"/>
        <v>8012</v>
      </c>
      <c r="AA1063" s="348">
        <f ca="1">IF(Q1063&lt;&gt;1,0,VLOOKUP(OP!$C$55,PVFB,$S1063+2,0))</f>
        <v>0</v>
      </c>
      <c r="AB1063" s="488" t="str">
        <f ca="1">IF(AND(S1063&lt;OP!$C$24,$U1063&lt;15),0,IF(AND($U1063&lt;15,$T1063=12),ROUND(VLOOKUP($S1063,DOWN16,5,0),3),IF($T1063=12,ROUND(($Z1063/10000)*$AA1063,3)+IF(AND($P$7="購買增額繳清保險",T1063=12,U1063=110),VLOOKUP(S1063,$B$10:$H$121,7,0),0),"")))</f>
        <v/>
      </c>
      <c r="AC1063" s="350" t="str">
        <f ca="1">IF(AND(S1063&lt;OP!$C$24,$U1063&lt;15),0,IF(AND($U1063&lt;16,$T1063=12),VLOOKUP($S1063,DOWN16,4,0),IF($T1063=12,ROUND(VLOOKUP(OP!$C$55,_DIE2,$S1063+1,0)*(Z1063/10000),0)+IF(AND($P$7="購買增額繳清保險",T1063=12,U1063=110),VLOOKUP(S1063,$B$10:$H$121,7,0),0),"")))</f>
        <v/>
      </c>
      <c r="AD1063" s="347"/>
      <c r="AE1063" s="350" t="str">
        <f t="shared" ca="1" si="659"/>
        <v/>
      </c>
      <c r="AF1063" s="351" t="str">
        <f t="shared" ca="1" si="660"/>
        <v/>
      </c>
      <c r="AG1063" s="340"/>
      <c r="AH1063" s="340"/>
      <c r="AI1063" s="340"/>
      <c r="AJ1063" s="340"/>
      <c r="AK1063" s="340"/>
      <c r="AL1063" s="340"/>
      <c r="AM1063" s="340"/>
      <c r="AN1063" s="340"/>
      <c r="AO1063" s="340"/>
      <c r="AP1063" s="340"/>
      <c r="AQ1063" s="340"/>
      <c r="AR1063" s="340"/>
      <c r="AS1063" s="340"/>
      <c r="AT1063" s="340"/>
      <c r="AU1063" s="340"/>
      <c r="AV1063" s="340"/>
      <c r="AY1063" s="340"/>
      <c r="AZ1063" s="465">
        <f t="shared" ca="1" si="670"/>
        <v>7.3698599999999999E-5</v>
      </c>
      <c r="BA1063" s="464">
        <f t="shared" ca="1" si="671"/>
        <v>0</v>
      </c>
      <c r="BB1063" s="465">
        <f t="shared" ca="1" si="671"/>
        <v>7.3698599999999999E-5</v>
      </c>
      <c r="BC1063" s="466">
        <f t="shared" ca="1" si="672"/>
        <v>74967</v>
      </c>
      <c r="BD1063" s="467">
        <f t="shared" ca="1" si="685"/>
        <v>74968</v>
      </c>
      <c r="BE1063" s="467">
        <f t="shared" ca="1" si="673"/>
        <v>74996</v>
      </c>
      <c r="BF1063" s="468">
        <f ca="1">IF(計算!$BC1063&lt;OP!$C$3,0,BD1063-BC1063)</f>
        <v>1</v>
      </c>
      <c r="BG1063" s="468">
        <f ca="1">IF($BE1063&gt;DATE(YEAR($BD$9)+OP!$C$57,MONTH($BD$9),DAY($BD$9)),0,$BE1063-$BD1063+1)</f>
        <v>0</v>
      </c>
      <c r="BH1063" s="469">
        <f t="shared" ca="1" si="674"/>
        <v>1</v>
      </c>
      <c r="BI1063" t="str">
        <f t="shared" si="690"/>
        <v/>
      </c>
      <c r="BJ1063">
        <v>10</v>
      </c>
      <c r="BN1063" s="468">
        <f t="shared" si="686"/>
        <v>88</v>
      </c>
      <c r="BO1063" s="468">
        <f t="shared" si="687"/>
        <v>10</v>
      </c>
      <c r="BP1063" s="467">
        <f t="shared" ca="1" si="675"/>
        <v>74968</v>
      </c>
      <c r="BQ1063" s="475">
        <f t="shared" ca="1" si="689"/>
        <v>120</v>
      </c>
      <c r="BR1063" s="475" t="str">
        <f t="shared" si="688"/>
        <v/>
      </c>
      <c r="BS1063" s="471" t="str">
        <f t="shared" si="676"/>
        <v/>
      </c>
      <c r="BT1063" s="472" t="str">
        <f t="shared" si="691"/>
        <v/>
      </c>
      <c r="BU1063" s="472">
        <f t="shared" ca="1" si="677"/>
        <v>0</v>
      </c>
      <c r="BV1063" s="472">
        <f t="shared" ca="1" si="677"/>
        <v>0</v>
      </c>
      <c r="BW1063" s="472"/>
      <c r="BX1063" s="473">
        <f t="shared" ca="1" si="678"/>
        <v>2779614.7228025799</v>
      </c>
      <c r="BY1063" s="473">
        <f t="shared" si="679"/>
        <v>0</v>
      </c>
      <c r="BZ1063" s="473">
        <f t="shared" ca="1" si="661"/>
        <v>204.85371361</v>
      </c>
      <c r="CA1063" s="476">
        <f t="shared" ca="1" si="680"/>
        <v>0</v>
      </c>
      <c r="CB1063" s="494">
        <f ca="1">IF(OR($Q1062&lt;&gt;1,OP!$D$5+$BN1063-1&lt;16,$BN1063-1&lt;1),0,ROUND(ROUND(ROUND(((VLOOKUP($BN1063-1,MORE_PV,5,0)/10000)*VLOOKUP($BN1063,MORE_PV,$CB$5,0)),3)*VLOOKUP($BN1063,more1,5,0),0)/$R1062,0))</f>
        <v>0</v>
      </c>
      <c r="CC1063" s="473">
        <f t="shared" ca="1" si="681"/>
        <v>0</v>
      </c>
      <c r="CD1063" s="477"/>
    </row>
    <row r="1064" spans="2:82" ht="16.5" hidden="1">
      <c r="B1064" s="80"/>
      <c r="C1064" s="80"/>
      <c r="D1064" s="80"/>
      <c r="E1064" s="80"/>
      <c r="F1064" s="80"/>
      <c r="G1064" s="80"/>
      <c r="H1064" s="80"/>
      <c r="I1064" s="80"/>
      <c r="J1064" s="192">
        <f t="shared" si="662"/>
        <v>88</v>
      </c>
      <c r="K1064" s="192">
        <f t="shared" si="663"/>
        <v>12</v>
      </c>
      <c r="L1064" s="192">
        <f t="shared" si="658"/>
        <v>88</v>
      </c>
      <c r="M1064" s="216">
        <f t="shared" ca="1" si="664"/>
        <v>2780228</v>
      </c>
      <c r="N1064" s="216"/>
      <c r="O1064" s="216"/>
      <c r="P1064" s="216"/>
      <c r="Q1064" s="456">
        <f t="shared" ca="1" si="665"/>
        <v>1</v>
      </c>
      <c r="R1064" s="450">
        <f t="shared" ca="1" si="666"/>
        <v>12</v>
      </c>
      <c r="S1064" s="191">
        <f t="shared" si="667"/>
        <v>88</v>
      </c>
      <c r="T1064" s="191">
        <f t="shared" si="668"/>
        <v>12</v>
      </c>
      <c r="U1064" s="191">
        <f ca="1">OP!$D$5+$S1064-1</f>
        <v>120</v>
      </c>
      <c r="V1064" s="191">
        <f t="shared" si="669"/>
        <v>88</v>
      </c>
      <c r="W1064" s="350">
        <f ca="1">IF(Q1064&lt;&gt;1,0,VLOOKUP(OP!$C$55,PVFB,$S1064+2,0))</f>
        <v>0</v>
      </c>
      <c r="X1064" s="473">
        <f t="shared" ca="1" si="682"/>
        <v>0</v>
      </c>
      <c r="Y1064" s="348">
        <f t="shared" ca="1" si="683"/>
        <v>0</v>
      </c>
      <c r="Z1064" s="348">
        <f t="shared" ca="1" si="684"/>
        <v>8012</v>
      </c>
      <c r="AA1064" s="348">
        <f ca="1">IF(Q1064&lt;&gt;1,0,VLOOKUP(OP!$C$55,PVFB,$S1064+2,0))</f>
        <v>0</v>
      </c>
      <c r="AB1064" s="488">
        <f ca="1">IF(AND(S1064&lt;OP!$C$24,$U1064&lt;15),0,IF(AND($U1064&lt;15,$T1064=12),ROUND(VLOOKUP($S1064,DOWN16,5,0),3),IF($T1064=12,ROUND(($Z1064/10000)*$AA1064,3)+IF(AND($P$7="購買增額繳清保險",T1064=12,U1064=110),VLOOKUP(S1064,$B$10:$H$121,7,0),0),"")))</f>
        <v>0</v>
      </c>
      <c r="AC1064" s="350">
        <f ca="1">IF(AND(S1064&lt;OP!$C$24,$U1064&lt;15),0,IF(AND($U1064&lt;16,$T1064=12),VLOOKUP($S1064,DOWN16,4,0),IF($T1064=12,ROUND(VLOOKUP(OP!$C$55,_DIE2,$S1064+1,0)*(Z1064/10000),0)+IF(AND($P$7="購買增額繳清保險",T1064=12,U1064=110),VLOOKUP(S1064,$B$10:$H$121,7,0),0),"")))</f>
        <v>0</v>
      </c>
      <c r="AD1064" s="347"/>
      <c r="AE1064" s="350" t="str">
        <f t="shared" ca="1" si="659"/>
        <v/>
      </c>
      <c r="AF1064" s="351" t="str">
        <f t="shared" ca="1" si="660"/>
        <v/>
      </c>
      <c r="AG1064" s="340"/>
      <c r="AH1064" s="340"/>
      <c r="AI1064" s="340"/>
      <c r="AJ1064" s="340"/>
      <c r="AK1064" s="340"/>
      <c r="AL1064" s="340"/>
      <c r="AM1064" s="340"/>
      <c r="AN1064" s="340"/>
      <c r="AO1064" s="340"/>
      <c r="AP1064" s="340"/>
      <c r="AQ1064" s="340"/>
      <c r="AR1064" s="340"/>
      <c r="AS1064" s="340"/>
      <c r="AT1064" s="340"/>
      <c r="AU1064" s="340"/>
      <c r="AV1064" s="340"/>
      <c r="AY1064" s="340"/>
      <c r="AZ1064" s="465">
        <f t="shared" ca="1" si="670"/>
        <v>7.3698599999999999E-5</v>
      </c>
      <c r="BA1064" s="464">
        <f t="shared" ca="1" si="671"/>
        <v>0</v>
      </c>
      <c r="BB1064" s="465">
        <f t="shared" ca="1" si="671"/>
        <v>7.3698599999999999E-5</v>
      </c>
      <c r="BC1064" s="466">
        <f t="shared" ca="1" si="672"/>
        <v>74997</v>
      </c>
      <c r="BD1064" s="467">
        <f t="shared" ca="1" si="685"/>
        <v>74998</v>
      </c>
      <c r="BE1064" s="467">
        <f t="shared" ca="1" si="673"/>
        <v>75027</v>
      </c>
      <c r="BF1064" s="468">
        <f ca="1">IF(計算!$BC1064&lt;OP!$C$3,0,BD1064-BC1064)</f>
        <v>1</v>
      </c>
      <c r="BG1064" s="468">
        <f ca="1">IF($BE1064&gt;DATE(YEAR($BD$9)+OP!$C$57,MONTH($BD$9),DAY($BD$9)),0,$BE1064-$BD1064+1)</f>
        <v>0</v>
      </c>
      <c r="BH1064" s="469">
        <f t="shared" ca="1" si="674"/>
        <v>1</v>
      </c>
      <c r="BI1064" t="str">
        <f t="shared" si="690"/>
        <v/>
      </c>
      <c r="BJ1064">
        <v>11</v>
      </c>
      <c r="BN1064" s="468">
        <f t="shared" si="686"/>
        <v>88</v>
      </c>
      <c r="BO1064" s="468">
        <f t="shared" si="687"/>
        <v>11</v>
      </c>
      <c r="BP1064" s="467">
        <f t="shared" ca="1" si="675"/>
        <v>74998</v>
      </c>
      <c r="BQ1064" s="475">
        <f t="shared" ca="1" si="689"/>
        <v>120</v>
      </c>
      <c r="BR1064" s="475" t="str">
        <f t="shared" si="688"/>
        <v/>
      </c>
      <c r="BS1064" s="471" t="str">
        <f t="shared" si="676"/>
        <v/>
      </c>
      <c r="BT1064" s="472" t="str">
        <f t="shared" si="691"/>
        <v/>
      </c>
      <c r="BU1064" s="472">
        <f t="shared" ca="1" si="677"/>
        <v>0</v>
      </c>
      <c r="BV1064" s="472">
        <f t="shared" ca="1" si="677"/>
        <v>0</v>
      </c>
      <c r="BW1064" s="472"/>
      <c r="BX1064" s="473">
        <f t="shared" ca="1" si="678"/>
        <v>2779819.5765161901</v>
      </c>
      <c r="BY1064" s="473">
        <f t="shared" si="679"/>
        <v>0</v>
      </c>
      <c r="BZ1064" s="473">
        <f t="shared" ca="1" si="661"/>
        <v>204.868811042</v>
      </c>
      <c r="CA1064" s="476">
        <f t="shared" ca="1" si="680"/>
        <v>0</v>
      </c>
      <c r="CB1064" s="494">
        <f ca="1">IF(OR($Q1063&lt;&gt;1,OP!$D$5+$BN1064-1&lt;16,$BN1064-1&lt;1),0,ROUND(ROUND(ROUND(((VLOOKUP($BN1064-1,MORE_PV,5,0)/10000)*VLOOKUP($BN1064,MORE_PV,$CB$5,0)),3)*VLOOKUP($BN1064,more1,5,0),0)/$R1063,0))</f>
        <v>0</v>
      </c>
      <c r="CC1064" s="473">
        <f t="shared" ca="1" si="681"/>
        <v>0</v>
      </c>
      <c r="CD1064" s="477"/>
    </row>
    <row r="1065" spans="2:82" ht="16.5" hidden="1">
      <c r="B1065" s="80"/>
      <c r="C1065" s="80"/>
      <c r="D1065" s="80"/>
      <c r="E1065" s="80"/>
      <c r="F1065" s="80"/>
      <c r="G1065" s="80"/>
      <c r="H1065" s="80"/>
      <c r="I1065" s="80"/>
      <c r="J1065" s="192">
        <f t="shared" si="662"/>
        <v>89</v>
      </c>
      <c r="K1065" s="192">
        <f t="shared" si="663"/>
        <v>1</v>
      </c>
      <c r="L1065" s="192" t="str">
        <f t="shared" si="658"/>
        <v/>
      </c>
      <c r="M1065" s="216" t="str">
        <f t="shared" ca="1" si="664"/>
        <v/>
      </c>
      <c r="N1065" s="216"/>
      <c r="O1065" s="216"/>
      <c r="P1065" s="216"/>
      <c r="Q1065" s="456">
        <f t="shared" ca="1" si="665"/>
        <v>1</v>
      </c>
      <c r="R1065" s="450">
        <f t="shared" ca="1" si="666"/>
        <v>12</v>
      </c>
      <c r="S1065" s="191">
        <f t="shared" si="667"/>
        <v>89</v>
      </c>
      <c r="T1065" s="191">
        <f t="shared" si="668"/>
        <v>1</v>
      </c>
      <c r="U1065" s="191">
        <f ca="1">OP!$D$5+$S1065-1</f>
        <v>121</v>
      </c>
      <c r="V1065" s="191" t="str">
        <f t="shared" si="669"/>
        <v/>
      </c>
      <c r="W1065" s="350">
        <f ca="1">IF(Q1065&lt;&gt;1,0,VLOOKUP(OP!$C$55,PVFB,$S1065+2,0))</f>
        <v>0</v>
      </c>
      <c r="X1065" s="473" t="str">
        <f t="shared" ca="1" si="682"/>
        <v/>
      </c>
      <c r="Y1065" s="348">
        <f t="shared" ca="1" si="683"/>
        <v>0</v>
      </c>
      <c r="Z1065" s="348">
        <f t="shared" ca="1" si="684"/>
        <v>8012</v>
      </c>
      <c r="AA1065" s="348">
        <f ca="1">IF(Q1065&lt;&gt;1,0,VLOOKUP(OP!$C$55,PVFB,$S1065+2,0))</f>
        <v>0</v>
      </c>
      <c r="AB1065" s="488" t="str">
        <f ca="1">IF(AND(S1065&lt;OP!$C$24,$U1065&lt;15),0,IF(AND($U1065&lt;15,$T1065=12),ROUND(VLOOKUP($S1065,DOWN16,5,0),3),IF($T1065=12,ROUND(($Z1065/10000)*$AA1065,3)+IF(AND($P$7="購買增額繳清保險",T1065=12,U1065=110),VLOOKUP(S1065,$B$10:$H$121,7,0),0),"")))</f>
        <v/>
      </c>
      <c r="AC1065" s="350" t="str">
        <f ca="1">IF(AND(S1065&lt;OP!$C$24,$U1065&lt;15),0,IF(AND($U1065&lt;16,$T1065=12),VLOOKUP($S1065,DOWN16,4,0),IF($T1065=12,ROUND(VLOOKUP(OP!$C$55,_DIE2,$S1065+1,0)*(Z1065/10000),0)+IF(AND($P$7="購買增額繳清保險",T1065=12,U1065=110),VLOOKUP(S1065,$B$10:$H$121,7,0),0),"")))</f>
        <v/>
      </c>
      <c r="AD1065" s="347"/>
      <c r="AE1065" s="350" t="str">
        <f t="shared" ca="1" si="659"/>
        <v/>
      </c>
      <c r="AF1065" s="351" t="str">
        <f t="shared" ca="1" si="660"/>
        <v/>
      </c>
      <c r="AG1065" s="340"/>
      <c r="AH1065" s="340"/>
      <c r="AI1065" s="340"/>
      <c r="AJ1065" s="340"/>
      <c r="AK1065" s="340"/>
      <c r="AL1065" s="340"/>
      <c r="AM1065" s="340"/>
      <c r="AN1065" s="340"/>
      <c r="AO1065" s="340"/>
      <c r="AP1065" s="340"/>
      <c r="AQ1065" s="340"/>
      <c r="AR1065" s="340"/>
      <c r="AS1065" s="340"/>
      <c r="AT1065" s="340"/>
      <c r="AU1065" s="340"/>
      <c r="AV1065" s="340"/>
      <c r="AY1065" s="340"/>
      <c r="AZ1065" s="465">
        <f t="shared" ca="1" si="670"/>
        <v>7.3698599999999999E-5</v>
      </c>
      <c r="BA1065" s="464">
        <f t="shared" ca="1" si="671"/>
        <v>0</v>
      </c>
      <c r="BB1065" s="465">
        <f t="shared" ca="1" si="671"/>
        <v>7.3698599999999999E-5</v>
      </c>
      <c r="BC1065" s="466">
        <f t="shared" ca="1" si="672"/>
        <v>75028</v>
      </c>
      <c r="BD1065" s="467">
        <f t="shared" ca="1" si="685"/>
        <v>75029</v>
      </c>
      <c r="BE1065" s="467">
        <f t="shared" ca="1" si="673"/>
        <v>75057</v>
      </c>
      <c r="BF1065" s="468">
        <f ca="1">IF(計算!$BC1065&lt;OP!$C$3,0,BD1065-BC1065)</f>
        <v>1</v>
      </c>
      <c r="BG1065" s="468">
        <f ca="1">IF($BE1065&gt;DATE(YEAR($BD$9)+OP!$C$57,MONTH($BD$9),DAY($BD$9)),0,$BE1065-$BD1065+1)</f>
        <v>0</v>
      </c>
      <c r="BH1065" s="469">
        <f t="shared" ca="1" si="674"/>
        <v>1</v>
      </c>
      <c r="BI1065">
        <f t="shared" ca="1" si="690"/>
        <v>365</v>
      </c>
      <c r="BJ1065">
        <v>12</v>
      </c>
      <c r="BN1065" s="468">
        <f t="shared" si="686"/>
        <v>88</v>
      </c>
      <c r="BO1065" s="468">
        <f t="shared" si="687"/>
        <v>12</v>
      </c>
      <c r="BP1065" s="467">
        <f t="shared" ca="1" si="675"/>
        <v>75029</v>
      </c>
      <c r="BQ1065" s="475">
        <f t="shared" ca="1" si="689"/>
        <v>120</v>
      </c>
      <c r="BR1065" s="475">
        <f t="shared" si="688"/>
        <v>88</v>
      </c>
      <c r="BS1065" s="471">
        <f t="shared" ca="1" si="676"/>
        <v>0</v>
      </c>
      <c r="BT1065" s="472">
        <f t="shared" ca="1" si="691"/>
        <v>2780228</v>
      </c>
      <c r="BU1065" s="472">
        <f t="shared" ca="1" si="677"/>
        <v>0</v>
      </c>
      <c r="BV1065" s="472">
        <f t="shared" ca="1" si="677"/>
        <v>0</v>
      </c>
      <c r="BW1065" s="472">
        <f ca="1">ROUND(SUM(BY1065,BZ1053:BZ1064),0)</f>
        <v>2458</v>
      </c>
      <c r="BX1065" s="473">
        <f t="shared" ca="1" si="678"/>
        <v>2780229.3292368199</v>
      </c>
      <c r="BY1065" s="473">
        <f t="shared" ca="1" si="679"/>
        <v>204.88390958599999</v>
      </c>
      <c r="BZ1065" s="473">
        <f t="shared" ca="1" si="661"/>
        <v>0</v>
      </c>
      <c r="CA1065" s="476">
        <f t="shared" ca="1" si="680"/>
        <v>0</v>
      </c>
      <c r="CB1065" s="494">
        <f ca="1">IF(OR($Q1064&lt;&gt;1,OP!$D$5+$BN1065-1&lt;16,$BN1065-1&lt;1),0,ROUND(ROUND(ROUND(((VLOOKUP($BN1065-1,MORE_PV,5,0)/10000)*VLOOKUP($BN1065,MORE_PV,$CB$5,0)),3)*VLOOKUP($BN1065,more1,5,0),0)/$R1064,0))</f>
        <v>0</v>
      </c>
      <c r="CC1065" s="473">
        <f t="shared" ca="1" si="681"/>
        <v>0</v>
      </c>
      <c r="CD1065" s="477"/>
    </row>
    <row r="1066" spans="2:82" ht="16.5" hidden="1">
      <c r="B1066" s="80"/>
      <c r="C1066" s="80"/>
      <c r="D1066" s="80"/>
      <c r="E1066" s="80"/>
      <c r="F1066" s="80"/>
      <c r="G1066" s="80"/>
      <c r="H1066" s="80"/>
      <c r="I1066" s="80"/>
      <c r="J1066" s="192">
        <f t="shared" si="662"/>
        <v>89</v>
      </c>
      <c r="K1066" s="192">
        <f t="shared" si="663"/>
        <v>2</v>
      </c>
      <c r="L1066" s="192" t="str">
        <f t="shared" si="658"/>
        <v/>
      </c>
      <c r="M1066" s="216" t="str">
        <f t="shared" ca="1" si="664"/>
        <v/>
      </c>
      <c r="N1066" s="216"/>
      <c r="O1066" s="216"/>
      <c r="P1066" s="216"/>
      <c r="Q1066" s="456">
        <f t="shared" ca="1" si="665"/>
        <v>1</v>
      </c>
      <c r="R1066" s="450">
        <f t="shared" ca="1" si="666"/>
        <v>12</v>
      </c>
      <c r="S1066" s="191">
        <f t="shared" si="667"/>
        <v>89</v>
      </c>
      <c r="T1066" s="191">
        <f t="shared" si="668"/>
        <v>2</v>
      </c>
      <c r="U1066" s="191">
        <f ca="1">OP!$D$5+$S1066-1</f>
        <v>121</v>
      </c>
      <c r="V1066" s="191" t="str">
        <f t="shared" si="669"/>
        <v/>
      </c>
      <c r="W1066" s="350">
        <f ca="1">IF(Q1066&lt;&gt;1,0,VLOOKUP(OP!$C$55,PVFB,$S1066+2,0))</f>
        <v>0</v>
      </c>
      <c r="X1066" s="473" t="str">
        <f t="shared" ca="1" si="682"/>
        <v/>
      </c>
      <c r="Y1066" s="348">
        <f t="shared" ca="1" si="683"/>
        <v>0</v>
      </c>
      <c r="Z1066" s="348">
        <f t="shared" ca="1" si="684"/>
        <v>8012</v>
      </c>
      <c r="AA1066" s="348">
        <f ca="1">IF(Q1066&lt;&gt;1,0,VLOOKUP(OP!$C$55,PVFB,$S1066+2,0))</f>
        <v>0</v>
      </c>
      <c r="AB1066" s="488" t="str">
        <f ca="1">IF(AND(S1066&lt;OP!$C$24,$U1066&lt;15),0,IF(AND($U1066&lt;15,$T1066=12),ROUND(VLOOKUP($S1066,DOWN16,5,0),3),IF($T1066=12,ROUND(($Z1066/10000)*$AA1066,3)+IF(AND($P$7="購買增額繳清保險",T1066=12,U1066=110),VLOOKUP(S1066,$B$10:$H$121,7,0),0),"")))</f>
        <v/>
      </c>
      <c r="AC1066" s="350" t="str">
        <f ca="1">IF(AND(S1066&lt;OP!$C$24,$U1066&lt;15),0,IF(AND($U1066&lt;16,$T1066=12),VLOOKUP($S1066,DOWN16,4,0),IF($T1066=12,ROUND(VLOOKUP(OP!$C$55,_DIE2,$S1066+1,0)*(Z1066/10000),0)+IF(AND($P$7="購買增額繳清保險",T1066=12,U1066=110),VLOOKUP(S1066,$B$10:$H$121,7,0),0),"")))</f>
        <v/>
      </c>
      <c r="AD1066" s="347"/>
      <c r="AE1066" s="350" t="str">
        <f t="shared" ca="1" si="659"/>
        <v/>
      </c>
      <c r="AF1066" s="351" t="str">
        <f t="shared" ca="1" si="660"/>
        <v/>
      </c>
      <c r="AG1066" s="340"/>
      <c r="AH1066" s="340"/>
      <c r="AI1066" s="340"/>
      <c r="AJ1066" s="340"/>
      <c r="AK1066" s="340"/>
      <c r="AL1066" s="340"/>
      <c r="AM1066" s="340"/>
      <c r="AN1066" s="340"/>
      <c r="AO1066" s="340"/>
      <c r="AP1066" s="340"/>
      <c r="AQ1066" s="340"/>
      <c r="AR1066" s="340"/>
      <c r="AS1066" s="340"/>
      <c r="AT1066" s="340"/>
      <c r="AU1066" s="340"/>
      <c r="AV1066" s="340"/>
      <c r="AY1066" s="340"/>
      <c r="AZ1066" s="465">
        <f t="shared" ca="1" si="670"/>
        <v>7.3698599999999999E-5</v>
      </c>
      <c r="BA1066" s="464">
        <f t="shared" ca="1" si="671"/>
        <v>0</v>
      </c>
      <c r="BB1066" s="465">
        <f t="shared" ca="1" si="671"/>
        <v>7.3698599999999999E-5</v>
      </c>
      <c r="BC1066" s="466">
        <f t="shared" ca="1" si="672"/>
        <v>75058</v>
      </c>
      <c r="BD1066" s="467">
        <f t="shared" ca="1" si="685"/>
        <v>75059</v>
      </c>
      <c r="BE1066" s="467">
        <f t="shared" ca="1" si="673"/>
        <v>75088</v>
      </c>
      <c r="BF1066" s="468">
        <f ca="1">IF(計算!$BC1066&lt;OP!$C$3,0,BD1066-BC1066)</f>
        <v>1</v>
      </c>
      <c r="BG1066" s="468">
        <f ca="1">IF($BE1066&gt;DATE(YEAR($BD$9)+OP!$C$57,MONTH($BD$9),DAY($BD$9)),0,$BE1066-$BD1066+1)</f>
        <v>0</v>
      </c>
      <c r="BH1066" s="469">
        <f t="shared" ca="1" si="674"/>
        <v>1</v>
      </c>
      <c r="BI1066" t="str">
        <f t="shared" si="690"/>
        <v/>
      </c>
      <c r="BJ1066">
        <v>1</v>
      </c>
      <c r="BN1066" s="468">
        <f t="shared" si="686"/>
        <v>89</v>
      </c>
      <c r="BO1066" s="468">
        <f t="shared" si="687"/>
        <v>1</v>
      </c>
      <c r="BP1066" s="467">
        <f t="shared" ca="1" si="675"/>
        <v>75059</v>
      </c>
      <c r="BQ1066" s="475">
        <f t="shared" ca="1" si="689"/>
        <v>121</v>
      </c>
      <c r="BR1066" s="475" t="str">
        <f t="shared" si="688"/>
        <v/>
      </c>
      <c r="BS1066" s="471" t="str">
        <f t="shared" si="676"/>
        <v/>
      </c>
      <c r="BT1066" s="472" t="str">
        <f t="shared" si="691"/>
        <v/>
      </c>
      <c r="BU1066" s="472">
        <f t="shared" ca="1" si="677"/>
        <v>0</v>
      </c>
      <c r="BV1066" s="472">
        <f t="shared" ca="1" si="677"/>
        <v>0</v>
      </c>
      <c r="BW1066" s="472"/>
      <c r="BX1066" s="473">
        <f t="shared" ca="1" si="678"/>
        <v>2780229.3292368199</v>
      </c>
      <c r="BY1066" s="473">
        <f t="shared" si="679"/>
        <v>0</v>
      </c>
      <c r="BZ1066" s="473">
        <f t="shared" ca="1" si="661"/>
        <v>204.89900924400001</v>
      </c>
      <c r="CA1066" s="476">
        <f t="shared" ca="1" si="680"/>
        <v>0</v>
      </c>
      <c r="CB1066" s="494">
        <f ca="1">IF(OR($Q1065&lt;&gt;1,OP!$D$5+$BN1066-1&lt;16,$BN1066-1&lt;1),0,ROUND(ROUND(ROUND(((VLOOKUP($BN1066-1,MORE_PV,5,0)/10000)*VLOOKUP($BN1066,MORE_PV,$CB$5,0)),3)*VLOOKUP($BN1066,more1,5,0),0)/$R1065,0))</f>
        <v>0</v>
      </c>
      <c r="CC1066" s="473">
        <f t="shared" ca="1" si="681"/>
        <v>0</v>
      </c>
      <c r="CD1066" s="477"/>
    </row>
    <row r="1067" spans="2:82" ht="16.5" hidden="1">
      <c r="B1067" s="80"/>
      <c r="C1067" s="80"/>
      <c r="D1067" s="80"/>
      <c r="E1067" s="80"/>
      <c r="F1067" s="80"/>
      <c r="G1067" s="80"/>
      <c r="H1067" s="80"/>
      <c r="I1067" s="80"/>
      <c r="J1067" s="192">
        <f t="shared" si="662"/>
        <v>89</v>
      </c>
      <c r="K1067" s="192">
        <f t="shared" si="663"/>
        <v>3</v>
      </c>
      <c r="L1067" s="192" t="str">
        <f t="shared" si="658"/>
        <v/>
      </c>
      <c r="M1067" s="216" t="str">
        <f t="shared" ca="1" si="664"/>
        <v/>
      </c>
      <c r="N1067" s="216"/>
      <c r="O1067" s="216"/>
      <c r="P1067" s="216"/>
      <c r="Q1067" s="456">
        <f t="shared" ca="1" si="665"/>
        <v>1</v>
      </c>
      <c r="R1067" s="450">
        <f t="shared" ca="1" si="666"/>
        <v>12</v>
      </c>
      <c r="S1067" s="191">
        <f t="shared" si="667"/>
        <v>89</v>
      </c>
      <c r="T1067" s="191">
        <f t="shared" si="668"/>
        <v>3</v>
      </c>
      <c r="U1067" s="191">
        <f ca="1">OP!$D$5+$S1067-1</f>
        <v>121</v>
      </c>
      <c r="V1067" s="191" t="str">
        <f t="shared" si="669"/>
        <v/>
      </c>
      <c r="W1067" s="350">
        <f ca="1">IF(Q1067&lt;&gt;1,0,VLOOKUP(OP!$C$55,PVFB,$S1067+2,0))</f>
        <v>0</v>
      </c>
      <c r="X1067" s="473" t="str">
        <f t="shared" ca="1" si="682"/>
        <v/>
      </c>
      <c r="Y1067" s="348">
        <f t="shared" ca="1" si="683"/>
        <v>0</v>
      </c>
      <c r="Z1067" s="348">
        <f t="shared" ca="1" si="684"/>
        <v>8012</v>
      </c>
      <c r="AA1067" s="348">
        <f ca="1">IF(Q1067&lt;&gt;1,0,VLOOKUP(OP!$C$55,PVFB,$S1067+2,0))</f>
        <v>0</v>
      </c>
      <c r="AB1067" s="488" t="str">
        <f ca="1">IF(AND(S1067&lt;OP!$C$24,$U1067&lt;15),0,IF(AND($U1067&lt;15,$T1067=12),ROUND(VLOOKUP($S1067,DOWN16,5,0),3),IF($T1067=12,ROUND(($Z1067/10000)*$AA1067,3)+IF(AND($P$7="購買增額繳清保險",T1067=12,U1067=110),VLOOKUP(S1067,$B$10:$H$121,7,0),0),"")))</f>
        <v/>
      </c>
      <c r="AC1067" s="350" t="str">
        <f ca="1">IF(AND(S1067&lt;OP!$C$24,$U1067&lt;15),0,IF(AND($U1067&lt;16,$T1067=12),VLOOKUP($S1067,DOWN16,4,0),IF($T1067=12,ROUND(VLOOKUP(OP!$C$55,_DIE2,$S1067+1,0)*(Z1067/10000),0)+IF(AND($P$7="購買增額繳清保險",T1067=12,U1067=110),VLOOKUP(S1067,$B$10:$H$121,7,0),0),"")))</f>
        <v/>
      </c>
      <c r="AD1067" s="347"/>
      <c r="AE1067" s="350" t="str">
        <f t="shared" ca="1" si="659"/>
        <v/>
      </c>
      <c r="AF1067" s="351" t="str">
        <f t="shared" ca="1" si="660"/>
        <v/>
      </c>
      <c r="AG1067" s="340"/>
      <c r="AH1067" s="340"/>
      <c r="AI1067" s="340"/>
      <c r="AJ1067" s="340"/>
      <c r="AK1067" s="340"/>
      <c r="AL1067" s="340"/>
      <c r="AM1067" s="340"/>
      <c r="AN1067" s="340"/>
      <c r="AO1067" s="340"/>
      <c r="AP1067" s="340"/>
      <c r="AQ1067" s="340"/>
      <c r="AR1067" s="340"/>
      <c r="AS1067" s="340"/>
      <c r="AT1067" s="340"/>
      <c r="AU1067" s="340"/>
      <c r="AV1067" s="340"/>
      <c r="AY1067" s="340"/>
      <c r="AZ1067" s="465">
        <f t="shared" ca="1" si="670"/>
        <v>7.3698599999999999E-5</v>
      </c>
      <c r="BA1067" s="464">
        <f t="shared" ca="1" si="671"/>
        <v>0</v>
      </c>
      <c r="BB1067" s="465">
        <f t="shared" ca="1" si="671"/>
        <v>7.3698599999999999E-5</v>
      </c>
      <c r="BC1067" s="466">
        <f t="shared" ca="1" si="672"/>
        <v>75089</v>
      </c>
      <c r="BD1067" s="467">
        <f t="shared" ca="1" si="685"/>
        <v>75090</v>
      </c>
      <c r="BE1067" s="467">
        <f t="shared" ca="1" si="673"/>
        <v>75119</v>
      </c>
      <c r="BF1067" s="468">
        <f ca="1">IF(計算!$BC1067&lt;OP!$C$3,0,BD1067-BC1067)</f>
        <v>1</v>
      </c>
      <c r="BG1067" s="468">
        <f ca="1">IF($BE1067&gt;DATE(YEAR($BD$9)+OP!$C$57,MONTH($BD$9),DAY($BD$9)),0,$BE1067-$BD1067+1)</f>
        <v>0</v>
      </c>
      <c r="BH1067" s="469">
        <f t="shared" ca="1" si="674"/>
        <v>1</v>
      </c>
      <c r="BI1067" t="str">
        <f t="shared" si="690"/>
        <v/>
      </c>
      <c r="BJ1067">
        <v>2</v>
      </c>
      <c r="BN1067" s="468">
        <f t="shared" si="686"/>
        <v>89</v>
      </c>
      <c r="BO1067" s="468">
        <f t="shared" si="687"/>
        <v>2</v>
      </c>
      <c r="BP1067" s="467">
        <f t="shared" ca="1" si="675"/>
        <v>75090</v>
      </c>
      <c r="BQ1067" s="475">
        <f t="shared" ca="1" si="689"/>
        <v>121</v>
      </c>
      <c r="BR1067" s="475" t="str">
        <f t="shared" si="688"/>
        <v/>
      </c>
      <c r="BS1067" s="471" t="str">
        <f t="shared" si="676"/>
        <v/>
      </c>
      <c r="BT1067" s="472" t="str">
        <f t="shared" si="691"/>
        <v/>
      </c>
      <c r="BU1067" s="472">
        <f t="shared" ca="1" si="677"/>
        <v>0</v>
      </c>
      <c r="BV1067" s="472">
        <f t="shared" ca="1" si="677"/>
        <v>0</v>
      </c>
      <c r="BW1067" s="472"/>
      <c r="BX1067" s="473">
        <f t="shared" ca="1" si="678"/>
        <v>2780434.2282460602</v>
      </c>
      <c r="BY1067" s="473">
        <f t="shared" si="679"/>
        <v>0</v>
      </c>
      <c r="BZ1067" s="473">
        <f t="shared" ca="1" si="661"/>
        <v>204.91411001399999</v>
      </c>
      <c r="CA1067" s="476">
        <f t="shared" ca="1" si="680"/>
        <v>0</v>
      </c>
      <c r="CB1067" s="494">
        <f ca="1">IF(OR($Q1066&lt;&gt;1,OP!$D$5+$BN1067-1&lt;16,$BN1067-1&lt;1),0,ROUND(ROUND(ROUND(((VLOOKUP($BN1067-1,MORE_PV,5,0)/10000)*VLOOKUP($BN1067,MORE_PV,$CB$5,0)),3)*VLOOKUP($BN1067,more1,5,0),0)/$R1066,0))</f>
        <v>0</v>
      </c>
      <c r="CC1067" s="473">
        <f t="shared" ca="1" si="681"/>
        <v>0</v>
      </c>
      <c r="CD1067" s="477"/>
    </row>
    <row r="1068" spans="2:82" ht="16.5" hidden="1">
      <c r="B1068" s="80"/>
      <c r="C1068" s="80"/>
      <c r="D1068" s="80"/>
      <c r="E1068" s="80"/>
      <c r="F1068" s="80"/>
      <c r="G1068" s="80"/>
      <c r="H1068" s="80"/>
      <c r="I1068" s="80"/>
      <c r="J1068" s="192">
        <f t="shared" si="662"/>
        <v>89</v>
      </c>
      <c r="K1068" s="192">
        <f t="shared" si="663"/>
        <v>4</v>
      </c>
      <c r="L1068" s="192" t="str">
        <f t="shared" si="658"/>
        <v/>
      </c>
      <c r="M1068" s="216" t="str">
        <f t="shared" ca="1" si="664"/>
        <v/>
      </c>
      <c r="N1068" s="216"/>
      <c r="O1068" s="216"/>
      <c r="P1068" s="216"/>
      <c r="Q1068" s="456">
        <f t="shared" ca="1" si="665"/>
        <v>1</v>
      </c>
      <c r="R1068" s="450">
        <f t="shared" ca="1" si="666"/>
        <v>12</v>
      </c>
      <c r="S1068" s="191">
        <f t="shared" si="667"/>
        <v>89</v>
      </c>
      <c r="T1068" s="191">
        <f t="shared" si="668"/>
        <v>4</v>
      </c>
      <c r="U1068" s="191">
        <f ca="1">OP!$D$5+$S1068-1</f>
        <v>121</v>
      </c>
      <c r="V1068" s="191" t="str">
        <f t="shared" si="669"/>
        <v/>
      </c>
      <c r="W1068" s="350">
        <f ca="1">IF(Q1068&lt;&gt;1,0,VLOOKUP(OP!$C$55,PVFB,$S1068+2,0))</f>
        <v>0</v>
      </c>
      <c r="X1068" s="473" t="str">
        <f t="shared" ca="1" si="682"/>
        <v/>
      </c>
      <c r="Y1068" s="348">
        <f t="shared" ca="1" si="683"/>
        <v>0</v>
      </c>
      <c r="Z1068" s="348">
        <f t="shared" ca="1" si="684"/>
        <v>8012</v>
      </c>
      <c r="AA1068" s="348">
        <f ca="1">IF(Q1068&lt;&gt;1,0,VLOOKUP(OP!$C$55,PVFB,$S1068+2,0))</f>
        <v>0</v>
      </c>
      <c r="AB1068" s="488" t="str">
        <f ca="1">IF(AND(S1068&lt;OP!$C$24,$U1068&lt;15),0,IF(AND($U1068&lt;15,$T1068=12),ROUND(VLOOKUP($S1068,DOWN16,5,0),3),IF($T1068=12,ROUND(($Z1068/10000)*$AA1068,3)+IF(AND($P$7="購買增額繳清保險",T1068=12,U1068=110),VLOOKUP(S1068,$B$10:$H$121,7,0),0),"")))</f>
        <v/>
      </c>
      <c r="AC1068" s="350" t="str">
        <f ca="1">IF(AND(S1068&lt;OP!$C$24,$U1068&lt;15),0,IF(AND($U1068&lt;16,$T1068=12),VLOOKUP($S1068,DOWN16,4,0),IF($T1068=12,ROUND(VLOOKUP(OP!$C$55,_DIE2,$S1068+1,0)*(Z1068/10000),0)+IF(AND($P$7="購買增額繳清保險",T1068=12,U1068=110),VLOOKUP(S1068,$B$10:$H$121,7,0),0),"")))</f>
        <v/>
      </c>
      <c r="AD1068" s="347"/>
      <c r="AE1068" s="350" t="str">
        <f t="shared" ca="1" si="659"/>
        <v/>
      </c>
      <c r="AF1068" s="351" t="str">
        <f t="shared" ca="1" si="660"/>
        <v/>
      </c>
      <c r="AG1068" s="340"/>
      <c r="AH1068" s="340"/>
      <c r="AI1068" s="340"/>
      <c r="AJ1068" s="340"/>
      <c r="AK1068" s="340"/>
      <c r="AL1068" s="340"/>
      <c r="AM1068" s="340"/>
      <c r="AN1068" s="340"/>
      <c r="AO1068" s="340"/>
      <c r="AP1068" s="340"/>
      <c r="AQ1068" s="340"/>
      <c r="AR1068" s="340"/>
      <c r="AS1068" s="340"/>
      <c r="AT1068" s="340"/>
      <c r="AU1068" s="340"/>
      <c r="AV1068" s="340"/>
      <c r="AY1068" s="340"/>
      <c r="AZ1068" s="465">
        <f t="shared" ca="1" si="670"/>
        <v>7.3698599999999999E-5</v>
      </c>
      <c r="BA1068" s="464">
        <f t="shared" ca="1" si="671"/>
        <v>0</v>
      </c>
      <c r="BB1068" s="465">
        <f t="shared" ca="1" si="671"/>
        <v>7.3698599999999999E-5</v>
      </c>
      <c r="BC1068" s="466">
        <f t="shared" ca="1" si="672"/>
        <v>75120</v>
      </c>
      <c r="BD1068" s="467">
        <f t="shared" ca="1" si="685"/>
        <v>75121</v>
      </c>
      <c r="BE1068" s="467">
        <f t="shared" ca="1" si="673"/>
        <v>75149</v>
      </c>
      <c r="BF1068" s="468">
        <f ca="1">IF(計算!$BC1068&lt;OP!$C$3,0,BD1068-BC1068)</f>
        <v>1</v>
      </c>
      <c r="BG1068" s="468">
        <f ca="1">IF($BE1068&gt;DATE(YEAR($BD$9)+OP!$C$57,MONTH($BD$9),DAY($BD$9)),0,$BE1068-$BD1068+1)</f>
        <v>0</v>
      </c>
      <c r="BH1068" s="469">
        <f t="shared" ca="1" si="674"/>
        <v>1</v>
      </c>
      <c r="BI1068" t="str">
        <f t="shared" si="690"/>
        <v/>
      </c>
      <c r="BJ1068">
        <v>3</v>
      </c>
      <c r="BN1068" s="468">
        <f t="shared" si="686"/>
        <v>89</v>
      </c>
      <c r="BO1068" s="468">
        <f t="shared" si="687"/>
        <v>3</v>
      </c>
      <c r="BP1068" s="467">
        <f t="shared" ca="1" si="675"/>
        <v>75121</v>
      </c>
      <c r="BQ1068" s="475">
        <f t="shared" ca="1" si="689"/>
        <v>121</v>
      </c>
      <c r="BR1068" s="475" t="str">
        <f t="shared" si="688"/>
        <v/>
      </c>
      <c r="BS1068" s="471" t="str">
        <f t="shared" si="676"/>
        <v/>
      </c>
      <c r="BT1068" s="472" t="str">
        <f t="shared" si="691"/>
        <v/>
      </c>
      <c r="BU1068" s="472">
        <f t="shared" ca="1" si="677"/>
        <v>0</v>
      </c>
      <c r="BV1068" s="472">
        <f t="shared" ca="1" si="677"/>
        <v>0</v>
      </c>
      <c r="BW1068" s="472"/>
      <c r="BX1068" s="473">
        <f t="shared" ca="1" si="678"/>
        <v>2780639.1423560702</v>
      </c>
      <c r="BY1068" s="473">
        <f t="shared" si="679"/>
        <v>0</v>
      </c>
      <c r="BZ1068" s="473">
        <f t="shared" ca="1" si="661"/>
        <v>204.92921189699999</v>
      </c>
      <c r="CA1068" s="476">
        <f t="shared" ca="1" si="680"/>
        <v>0</v>
      </c>
      <c r="CB1068" s="494">
        <f ca="1">IF(OR($Q1067&lt;&gt;1,OP!$D$5+$BN1068-1&lt;16,$BN1068-1&lt;1),0,ROUND(ROUND(ROUND(((VLOOKUP($BN1068-1,MORE_PV,5,0)/10000)*VLOOKUP($BN1068,MORE_PV,$CB$5,0)),3)*VLOOKUP($BN1068,more1,5,0),0)/$R1067,0))</f>
        <v>0</v>
      </c>
      <c r="CC1068" s="473">
        <f t="shared" ca="1" si="681"/>
        <v>0</v>
      </c>
      <c r="CD1068" s="477"/>
    </row>
    <row r="1069" spans="2:82" ht="16.5" hidden="1">
      <c r="B1069" s="80"/>
      <c r="C1069" s="80"/>
      <c r="D1069" s="80"/>
      <c r="E1069" s="80"/>
      <c r="F1069" s="80"/>
      <c r="G1069" s="80"/>
      <c r="H1069" s="80"/>
      <c r="I1069" s="80"/>
      <c r="J1069" s="192">
        <f t="shared" si="662"/>
        <v>89</v>
      </c>
      <c r="K1069" s="192">
        <f t="shared" si="663"/>
        <v>5</v>
      </c>
      <c r="L1069" s="192" t="str">
        <f t="shared" si="658"/>
        <v/>
      </c>
      <c r="M1069" s="216" t="str">
        <f t="shared" ca="1" si="664"/>
        <v/>
      </c>
      <c r="N1069" s="216"/>
      <c r="O1069" s="216"/>
      <c r="P1069" s="216"/>
      <c r="Q1069" s="456">
        <f t="shared" ca="1" si="665"/>
        <v>1</v>
      </c>
      <c r="R1069" s="450">
        <f t="shared" ca="1" si="666"/>
        <v>12</v>
      </c>
      <c r="S1069" s="191">
        <f t="shared" si="667"/>
        <v>89</v>
      </c>
      <c r="T1069" s="191">
        <f t="shared" si="668"/>
        <v>5</v>
      </c>
      <c r="U1069" s="191">
        <f ca="1">OP!$D$5+$S1069-1</f>
        <v>121</v>
      </c>
      <c r="V1069" s="191" t="str">
        <f t="shared" si="669"/>
        <v/>
      </c>
      <c r="W1069" s="350">
        <f ca="1">IF(Q1069&lt;&gt;1,0,VLOOKUP(OP!$C$55,PVFB,$S1069+2,0))</f>
        <v>0</v>
      </c>
      <c r="X1069" s="473" t="str">
        <f t="shared" ca="1" si="682"/>
        <v/>
      </c>
      <c r="Y1069" s="348">
        <f t="shared" ca="1" si="683"/>
        <v>0</v>
      </c>
      <c r="Z1069" s="348">
        <f t="shared" ca="1" si="684"/>
        <v>8012</v>
      </c>
      <c r="AA1069" s="348">
        <f ca="1">IF(Q1069&lt;&gt;1,0,VLOOKUP(OP!$C$55,PVFB,$S1069+2,0))</f>
        <v>0</v>
      </c>
      <c r="AB1069" s="488" t="str">
        <f ca="1">IF(AND(S1069&lt;OP!$C$24,$U1069&lt;15),0,IF(AND($U1069&lt;15,$T1069=12),ROUND(VLOOKUP($S1069,DOWN16,5,0),3),IF($T1069=12,ROUND(($Z1069/10000)*$AA1069,3)+IF(AND($P$7="購買增額繳清保險",T1069=12,U1069=110),VLOOKUP(S1069,$B$10:$H$121,7,0),0),"")))</f>
        <v/>
      </c>
      <c r="AC1069" s="350" t="str">
        <f ca="1">IF(AND(S1069&lt;OP!$C$24,$U1069&lt;15),0,IF(AND($U1069&lt;16,$T1069=12),VLOOKUP($S1069,DOWN16,4,0),IF($T1069=12,ROUND(VLOOKUP(OP!$C$55,_DIE2,$S1069+1,0)*(Z1069/10000),0)+IF(AND($P$7="購買增額繳清保險",T1069=12,U1069=110),VLOOKUP(S1069,$B$10:$H$121,7,0),0),"")))</f>
        <v/>
      </c>
      <c r="AD1069" s="347"/>
      <c r="AE1069" s="350" t="str">
        <f t="shared" ca="1" si="659"/>
        <v/>
      </c>
      <c r="AF1069" s="351" t="str">
        <f t="shared" ca="1" si="660"/>
        <v/>
      </c>
      <c r="AG1069" s="340"/>
      <c r="AH1069" s="340"/>
      <c r="AI1069" s="340"/>
      <c r="AJ1069" s="340"/>
      <c r="AK1069" s="340"/>
      <c r="AL1069" s="340"/>
      <c r="AM1069" s="340"/>
      <c r="AN1069" s="340"/>
      <c r="AO1069" s="340"/>
      <c r="AP1069" s="340"/>
      <c r="AQ1069" s="340"/>
      <c r="AR1069" s="340"/>
      <c r="AS1069" s="340"/>
      <c r="AT1069" s="340"/>
      <c r="AU1069" s="340"/>
      <c r="AV1069" s="340"/>
      <c r="AY1069" s="340"/>
      <c r="AZ1069" s="465">
        <f t="shared" ca="1" si="670"/>
        <v>7.3698599999999999E-5</v>
      </c>
      <c r="BA1069" s="464">
        <f t="shared" ca="1" si="671"/>
        <v>0</v>
      </c>
      <c r="BB1069" s="465">
        <f t="shared" ca="1" si="671"/>
        <v>7.3698599999999999E-5</v>
      </c>
      <c r="BC1069" s="466">
        <f t="shared" ca="1" si="672"/>
        <v>75150</v>
      </c>
      <c r="BD1069" s="467">
        <f t="shared" ca="1" si="685"/>
        <v>75151</v>
      </c>
      <c r="BE1069" s="467">
        <f t="shared" ca="1" si="673"/>
        <v>75180</v>
      </c>
      <c r="BF1069" s="468">
        <f ca="1">IF(計算!$BC1069&lt;OP!$C$3,0,BD1069-BC1069)</f>
        <v>1</v>
      </c>
      <c r="BG1069" s="468">
        <f ca="1">IF($BE1069&gt;DATE(YEAR($BD$9)+OP!$C$57,MONTH($BD$9),DAY($BD$9)),0,$BE1069-$BD1069+1)</f>
        <v>0</v>
      </c>
      <c r="BH1069" s="469">
        <f t="shared" ca="1" si="674"/>
        <v>1</v>
      </c>
      <c r="BI1069" t="str">
        <f t="shared" si="690"/>
        <v/>
      </c>
      <c r="BJ1069">
        <v>4</v>
      </c>
      <c r="BN1069" s="468">
        <f t="shared" si="686"/>
        <v>89</v>
      </c>
      <c r="BO1069" s="468">
        <f t="shared" si="687"/>
        <v>4</v>
      </c>
      <c r="BP1069" s="467">
        <f t="shared" ca="1" si="675"/>
        <v>75151</v>
      </c>
      <c r="BQ1069" s="475">
        <f t="shared" ca="1" si="689"/>
        <v>121</v>
      </c>
      <c r="BR1069" s="475" t="str">
        <f t="shared" si="688"/>
        <v/>
      </c>
      <c r="BS1069" s="471" t="str">
        <f t="shared" si="676"/>
        <v/>
      </c>
      <c r="BT1069" s="472" t="str">
        <f t="shared" si="691"/>
        <v/>
      </c>
      <c r="BU1069" s="472">
        <f t="shared" ca="1" si="677"/>
        <v>0</v>
      </c>
      <c r="BV1069" s="472">
        <f t="shared" ca="1" si="677"/>
        <v>0</v>
      </c>
      <c r="BW1069" s="472"/>
      <c r="BX1069" s="473">
        <f t="shared" ca="1" si="678"/>
        <v>2780844.0715679699</v>
      </c>
      <c r="BY1069" s="473">
        <f t="shared" si="679"/>
        <v>0</v>
      </c>
      <c r="BZ1069" s="473">
        <f t="shared" ca="1" si="661"/>
        <v>204.94431489300001</v>
      </c>
      <c r="CA1069" s="476">
        <f t="shared" ca="1" si="680"/>
        <v>0</v>
      </c>
      <c r="CB1069" s="494">
        <f ca="1">IF(OR($Q1068&lt;&gt;1,OP!$D$5+$BN1069-1&lt;16,$BN1069-1&lt;1),0,ROUND(ROUND(ROUND(((VLOOKUP($BN1069-1,MORE_PV,5,0)/10000)*VLOOKUP($BN1069,MORE_PV,$CB$5,0)),3)*VLOOKUP($BN1069,more1,5,0),0)/$R1068,0))</f>
        <v>0</v>
      </c>
      <c r="CC1069" s="473">
        <f t="shared" ca="1" si="681"/>
        <v>0</v>
      </c>
      <c r="CD1069" s="477"/>
    </row>
    <row r="1070" spans="2:82" ht="16.5" hidden="1">
      <c r="B1070" s="80"/>
      <c r="C1070" s="80"/>
      <c r="D1070" s="80"/>
      <c r="E1070" s="80"/>
      <c r="F1070" s="80"/>
      <c r="G1070" s="80"/>
      <c r="H1070" s="80"/>
      <c r="I1070" s="80"/>
      <c r="J1070" s="192">
        <f t="shared" si="662"/>
        <v>89</v>
      </c>
      <c r="K1070" s="192">
        <f t="shared" si="663"/>
        <v>6</v>
      </c>
      <c r="L1070" s="192" t="str">
        <f t="shared" si="658"/>
        <v/>
      </c>
      <c r="M1070" s="216" t="str">
        <f t="shared" ca="1" si="664"/>
        <v/>
      </c>
      <c r="N1070" s="216"/>
      <c r="O1070" s="216"/>
      <c r="P1070" s="216"/>
      <c r="Q1070" s="456">
        <f t="shared" ca="1" si="665"/>
        <v>1</v>
      </c>
      <c r="R1070" s="450">
        <f t="shared" ca="1" si="666"/>
        <v>12</v>
      </c>
      <c r="S1070" s="191">
        <f t="shared" si="667"/>
        <v>89</v>
      </c>
      <c r="T1070" s="191">
        <f t="shared" si="668"/>
        <v>6</v>
      </c>
      <c r="U1070" s="191">
        <f ca="1">OP!$D$5+$S1070-1</f>
        <v>121</v>
      </c>
      <c r="V1070" s="191" t="str">
        <f t="shared" si="669"/>
        <v/>
      </c>
      <c r="W1070" s="350">
        <f ca="1">IF(Q1070&lt;&gt;1,0,VLOOKUP(OP!$C$55,PVFB,$S1070+2,0))</f>
        <v>0</v>
      </c>
      <c r="X1070" s="473" t="str">
        <f t="shared" ca="1" si="682"/>
        <v/>
      </c>
      <c r="Y1070" s="348">
        <f t="shared" ca="1" si="683"/>
        <v>0</v>
      </c>
      <c r="Z1070" s="348">
        <f t="shared" ca="1" si="684"/>
        <v>8012</v>
      </c>
      <c r="AA1070" s="348">
        <f ca="1">IF(Q1070&lt;&gt;1,0,VLOOKUP(OP!$C$55,PVFB,$S1070+2,0))</f>
        <v>0</v>
      </c>
      <c r="AB1070" s="488" t="str">
        <f ca="1">IF(AND(S1070&lt;OP!$C$24,$U1070&lt;15),0,IF(AND($U1070&lt;15,$T1070=12),ROUND(VLOOKUP($S1070,DOWN16,5,0),3),IF($T1070=12,ROUND(($Z1070/10000)*$AA1070,3)+IF(AND($P$7="購買增額繳清保險",T1070=12,U1070=110),VLOOKUP(S1070,$B$10:$H$121,7,0),0),"")))</f>
        <v/>
      </c>
      <c r="AC1070" s="350" t="str">
        <f ca="1">IF(AND(S1070&lt;OP!$C$24,$U1070&lt;15),0,IF(AND($U1070&lt;16,$T1070=12),VLOOKUP($S1070,DOWN16,4,0),IF($T1070=12,ROUND(VLOOKUP(OP!$C$55,_DIE2,$S1070+1,0)*(Z1070/10000),0)+IF(AND($P$7="購買增額繳清保險",T1070=12,U1070=110),VLOOKUP(S1070,$B$10:$H$121,7,0),0),"")))</f>
        <v/>
      </c>
      <c r="AD1070" s="347"/>
      <c r="AE1070" s="350" t="str">
        <f t="shared" ca="1" si="659"/>
        <v/>
      </c>
      <c r="AF1070" s="351" t="str">
        <f t="shared" ca="1" si="660"/>
        <v/>
      </c>
      <c r="AG1070" s="340"/>
      <c r="AH1070" s="340"/>
      <c r="AI1070" s="340"/>
      <c r="AJ1070" s="340"/>
      <c r="AK1070" s="340"/>
      <c r="AL1070" s="340"/>
      <c r="AM1070" s="340"/>
      <c r="AN1070" s="340"/>
      <c r="AO1070" s="340"/>
      <c r="AP1070" s="340"/>
      <c r="AQ1070" s="340"/>
      <c r="AR1070" s="340"/>
      <c r="AS1070" s="340"/>
      <c r="AT1070" s="340"/>
      <c r="AU1070" s="340"/>
      <c r="AV1070" s="340"/>
      <c r="AY1070" s="340"/>
      <c r="AZ1070" s="465">
        <f t="shared" ca="1" si="670"/>
        <v>7.3698599999999999E-5</v>
      </c>
      <c r="BA1070" s="464">
        <f t="shared" ca="1" si="671"/>
        <v>0</v>
      </c>
      <c r="BB1070" s="465">
        <f t="shared" ca="1" si="671"/>
        <v>7.3698599999999999E-5</v>
      </c>
      <c r="BC1070" s="466">
        <f t="shared" ca="1" si="672"/>
        <v>75181</v>
      </c>
      <c r="BD1070" s="467">
        <f t="shared" ca="1" si="685"/>
        <v>75182</v>
      </c>
      <c r="BE1070" s="467">
        <f t="shared" ca="1" si="673"/>
        <v>75210</v>
      </c>
      <c r="BF1070" s="468">
        <f ca="1">IF(計算!$BC1070&lt;OP!$C$3,0,BD1070-BC1070)</f>
        <v>1</v>
      </c>
      <c r="BG1070" s="468">
        <f ca="1">IF($BE1070&gt;DATE(YEAR($BD$9)+OP!$C$57,MONTH($BD$9),DAY($BD$9)),0,$BE1070-$BD1070+1)</f>
        <v>0</v>
      </c>
      <c r="BH1070" s="469">
        <f t="shared" ca="1" si="674"/>
        <v>1</v>
      </c>
      <c r="BI1070" t="str">
        <f t="shared" si="690"/>
        <v/>
      </c>
      <c r="BJ1070">
        <v>5</v>
      </c>
      <c r="BN1070" s="468">
        <f t="shared" si="686"/>
        <v>89</v>
      </c>
      <c r="BO1070" s="468">
        <f t="shared" si="687"/>
        <v>5</v>
      </c>
      <c r="BP1070" s="467">
        <f t="shared" ca="1" si="675"/>
        <v>75182</v>
      </c>
      <c r="BQ1070" s="475">
        <f t="shared" ca="1" si="689"/>
        <v>121</v>
      </c>
      <c r="BR1070" s="475" t="str">
        <f t="shared" si="688"/>
        <v/>
      </c>
      <c r="BS1070" s="471" t="str">
        <f t="shared" si="676"/>
        <v/>
      </c>
      <c r="BT1070" s="472" t="str">
        <f t="shared" si="691"/>
        <v/>
      </c>
      <c r="BU1070" s="472">
        <f t="shared" ca="1" si="677"/>
        <v>0</v>
      </c>
      <c r="BV1070" s="472">
        <f t="shared" ca="1" si="677"/>
        <v>0</v>
      </c>
      <c r="BW1070" s="472"/>
      <c r="BX1070" s="473">
        <f t="shared" ca="1" si="678"/>
        <v>2781049.0158828599</v>
      </c>
      <c r="BY1070" s="473">
        <f t="shared" si="679"/>
        <v>0</v>
      </c>
      <c r="BZ1070" s="473">
        <f t="shared" ca="1" si="661"/>
        <v>204.959419002</v>
      </c>
      <c r="CA1070" s="476">
        <f t="shared" ca="1" si="680"/>
        <v>0</v>
      </c>
      <c r="CB1070" s="494">
        <f ca="1">IF(OR($Q1069&lt;&gt;1,OP!$D$5+$BN1070-1&lt;16,$BN1070-1&lt;1),0,ROUND(ROUND(ROUND(((VLOOKUP($BN1070-1,MORE_PV,5,0)/10000)*VLOOKUP($BN1070,MORE_PV,$CB$5,0)),3)*VLOOKUP($BN1070,more1,5,0),0)/$R1069,0))</f>
        <v>0</v>
      </c>
      <c r="CC1070" s="473">
        <f t="shared" ca="1" si="681"/>
        <v>0</v>
      </c>
      <c r="CD1070" s="477"/>
    </row>
    <row r="1071" spans="2:82" ht="16.5" hidden="1">
      <c r="B1071" s="80"/>
      <c r="C1071" s="80"/>
      <c r="D1071" s="80"/>
      <c r="E1071" s="80"/>
      <c r="F1071" s="80"/>
      <c r="G1071" s="80"/>
      <c r="H1071" s="80"/>
      <c r="I1071" s="80"/>
      <c r="J1071" s="192">
        <f t="shared" si="662"/>
        <v>89</v>
      </c>
      <c r="K1071" s="192">
        <f t="shared" si="663"/>
        <v>7</v>
      </c>
      <c r="L1071" s="192" t="str">
        <f t="shared" si="658"/>
        <v/>
      </c>
      <c r="M1071" s="216" t="str">
        <f t="shared" ca="1" si="664"/>
        <v/>
      </c>
      <c r="N1071" s="216"/>
      <c r="O1071" s="216"/>
      <c r="P1071" s="216"/>
      <c r="Q1071" s="456">
        <f t="shared" ca="1" si="665"/>
        <v>1</v>
      </c>
      <c r="R1071" s="450">
        <f t="shared" ca="1" si="666"/>
        <v>12</v>
      </c>
      <c r="S1071" s="191">
        <f t="shared" si="667"/>
        <v>89</v>
      </c>
      <c r="T1071" s="191">
        <f t="shared" si="668"/>
        <v>7</v>
      </c>
      <c r="U1071" s="191">
        <f ca="1">OP!$D$5+$S1071-1</f>
        <v>121</v>
      </c>
      <c r="V1071" s="191" t="str">
        <f t="shared" si="669"/>
        <v/>
      </c>
      <c r="W1071" s="350">
        <f ca="1">IF(Q1071&lt;&gt;1,0,VLOOKUP(OP!$C$55,PVFB,$S1071+2,0))</f>
        <v>0</v>
      </c>
      <c r="X1071" s="473" t="str">
        <f t="shared" ca="1" si="682"/>
        <v/>
      </c>
      <c r="Y1071" s="348">
        <f t="shared" ca="1" si="683"/>
        <v>0</v>
      </c>
      <c r="Z1071" s="348">
        <f t="shared" ca="1" si="684"/>
        <v>8012</v>
      </c>
      <c r="AA1071" s="348">
        <f ca="1">IF(Q1071&lt;&gt;1,0,VLOOKUP(OP!$C$55,PVFB,$S1071+2,0))</f>
        <v>0</v>
      </c>
      <c r="AB1071" s="488" t="str">
        <f ca="1">IF(AND(S1071&lt;OP!$C$24,$U1071&lt;15),0,IF(AND($U1071&lt;15,$T1071=12),ROUND(VLOOKUP($S1071,DOWN16,5,0),3),IF($T1071=12,ROUND(($Z1071/10000)*$AA1071,3)+IF(AND($P$7="購買增額繳清保險",T1071=12,U1071=110),VLOOKUP(S1071,$B$10:$H$121,7,0),0),"")))</f>
        <v/>
      </c>
      <c r="AC1071" s="350" t="str">
        <f ca="1">IF(AND(S1071&lt;OP!$C$24,$U1071&lt;15),0,IF(AND($U1071&lt;16,$T1071=12),VLOOKUP($S1071,DOWN16,4,0),IF($T1071=12,ROUND(VLOOKUP(OP!$C$55,_DIE2,$S1071+1,0)*(Z1071/10000),0)+IF(AND($P$7="購買增額繳清保險",T1071=12,U1071=110),VLOOKUP(S1071,$B$10:$H$121,7,0),0),"")))</f>
        <v/>
      </c>
      <c r="AD1071" s="347"/>
      <c r="AE1071" s="350" t="str">
        <f t="shared" ca="1" si="659"/>
        <v/>
      </c>
      <c r="AF1071" s="351" t="str">
        <f t="shared" ca="1" si="660"/>
        <v/>
      </c>
      <c r="AG1071" s="340"/>
      <c r="AH1071" s="340"/>
      <c r="AI1071" s="340"/>
      <c r="AJ1071" s="340"/>
      <c r="AK1071" s="340"/>
      <c r="AL1071" s="340"/>
      <c r="AM1071" s="340"/>
      <c r="AN1071" s="340"/>
      <c r="AO1071" s="340"/>
      <c r="AP1071" s="340"/>
      <c r="AQ1071" s="340"/>
      <c r="AR1071" s="340"/>
      <c r="AS1071" s="340"/>
      <c r="AT1071" s="340"/>
      <c r="AU1071" s="340"/>
      <c r="AV1071" s="340"/>
      <c r="AY1071" s="340"/>
      <c r="AZ1071" s="465">
        <f t="shared" ca="1" si="670"/>
        <v>7.3698599999999999E-5</v>
      </c>
      <c r="BA1071" s="464">
        <f t="shared" ca="1" si="671"/>
        <v>0</v>
      </c>
      <c r="BB1071" s="465">
        <f t="shared" ca="1" si="671"/>
        <v>7.3698599999999999E-5</v>
      </c>
      <c r="BC1071" s="466">
        <f t="shared" ca="1" si="672"/>
        <v>75211</v>
      </c>
      <c r="BD1071" s="467">
        <f t="shared" ca="1" si="685"/>
        <v>75212</v>
      </c>
      <c r="BE1071" s="467">
        <f t="shared" ca="1" si="673"/>
        <v>75241</v>
      </c>
      <c r="BF1071" s="468">
        <f ca="1">IF(計算!$BC1071&lt;OP!$C$3,0,BD1071-BC1071)</f>
        <v>1</v>
      </c>
      <c r="BG1071" s="468">
        <f ca="1">IF($BE1071&gt;DATE(YEAR($BD$9)+OP!$C$57,MONTH($BD$9),DAY($BD$9)),0,$BE1071-$BD1071+1)</f>
        <v>0</v>
      </c>
      <c r="BH1071" s="469">
        <f t="shared" ca="1" si="674"/>
        <v>1</v>
      </c>
      <c r="BI1071" t="str">
        <f t="shared" si="690"/>
        <v/>
      </c>
      <c r="BJ1071">
        <v>6</v>
      </c>
      <c r="BN1071" s="468">
        <f t="shared" si="686"/>
        <v>89</v>
      </c>
      <c r="BO1071" s="468">
        <f t="shared" si="687"/>
        <v>6</v>
      </c>
      <c r="BP1071" s="467">
        <f t="shared" ca="1" si="675"/>
        <v>75212</v>
      </c>
      <c r="BQ1071" s="475">
        <f t="shared" ca="1" si="689"/>
        <v>121</v>
      </c>
      <c r="BR1071" s="475" t="str">
        <f t="shared" si="688"/>
        <v/>
      </c>
      <c r="BS1071" s="471" t="str">
        <f t="shared" si="676"/>
        <v/>
      </c>
      <c r="BT1071" s="472" t="str">
        <f t="shared" si="691"/>
        <v/>
      </c>
      <c r="BU1071" s="472">
        <f t="shared" ca="1" si="677"/>
        <v>0</v>
      </c>
      <c r="BV1071" s="472">
        <f t="shared" ca="1" si="677"/>
        <v>0</v>
      </c>
      <c r="BW1071" s="472"/>
      <c r="BX1071" s="473">
        <f t="shared" ca="1" si="678"/>
        <v>2781253.9753018599</v>
      </c>
      <c r="BY1071" s="473">
        <f t="shared" si="679"/>
        <v>0</v>
      </c>
      <c r="BZ1071" s="473">
        <f t="shared" ca="1" si="661"/>
        <v>204.97452422399999</v>
      </c>
      <c r="CA1071" s="476">
        <f t="shared" ca="1" si="680"/>
        <v>0</v>
      </c>
      <c r="CB1071" s="494">
        <f ca="1">IF(OR($Q1070&lt;&gt;1,OP!$D$5+$BN1071-1&lt;16,$BN1071-1&lt;1),0,ROUND(ROUND(ROUND(((VLOOKUP($BN1071-1,MORE_PV,5,0)/10000)*VLOOKUP($BN1071,MORE_PV,$CB$5,0)),3)*VLOOKUP($BN1071,more1,5,0),0)/$R1070,0))</f>
        <v>0</v>
      </c>
      <c r="CC1071" s="473">
        <f t="shared" ca="1" si="681"/>
        <v>0</v>
      </c>
      <c r="CD1071" s="477"/>
    </row>
    <row r="1072" spans="2:82" ht="16.5" hidden="1">
      <c r="B1072" s="80"/>
      <c r="C1072" s="80"/>
      <c r="D1072" s="80"/>
      <c r="E1072" s="80"/>
      <c r="F1072" s="80"/>
      <c r="G1072" s="80"/>
      <c r="H1072" s="80"/>
      <c r="I1072" s="80"/>
      <c r="J1072" s="192">
        <f t="shared" si="662"/>
        <v>89</v>
      </c>
      <c r="K1072" s="192">
        <f t="shared" si="663"/>
        <v>8</v>
      </c>
      <c r="L1072" s="192" t="str">
        <f t="shared" si="658"/>
        <v/>
      </c>
      <c r="M1072" s="216" t="str">
        <f t="shared" ca="1" si="664"/>
        <v/>
      </c>
      <c r="N1072" s="216"/>
      <c r="O1072" s="216"/>
      <c r="P1072" s="216"/>
      <c r="Q1072" s="456">
        <f t="shared" ca="1" si="665"/>
        <v>1</v>
      </c>
      <c r="R1072" s="450">
        <f t="shared" ca="1" si="666"/>
        <v>12</v>
      </c>
      <c r="S1072" s="191">
        <f t="shared" si="667"/>
        <v>89</v>
      </c>
      <c r="T1072" s="191">
        <f t="shared" si="668"/>
        <v>8</v>
      </c>
      <c r="U1072" s="191">
        <f ca="1">OP!$D$5+$S1072-1</f>
        <v>121</v>
      </c>
      <c r="V1072" s="191" t="str">
        <f t="shared" si="669"/>
        <v/>
      </c>
      <c r="W1072" s="350">
        <f ca="1">IF(Q1072&lt;&gt;1,0,VLOOKUP(OP!$C$55,PVFB,$S1072+2,0))</f>
        <v>0</v>
      </c>
      <c r="X1072" s="473" t="str">
        <f t="shared" ca="1" si="682"/>
        <v/>
      </c>
      <c r="Y1072" s="348">
        <f t="shared" ca="1" si="683"/>
        <v>0</v>
      </c>
      <c r="Z1072" s="348">
        <f t="shared" ca="1" si="684"/>
        <v>8012</v>
      </c>
      <c r="AA1072" s="348">
        <f ca="1">IF(Q1072&lt;&gt;1,0,VLOOKUP(OP!$C$55,PVFB,$S1072+2,0))</f>
        <v>0</v>
      </c>
      <c r="AB1072" s="488" t="str">
        <f ca="1">IF(AND(S1072&lt;OP!$C$24,$U1072&lt;15),0,IF(AND($U1072&lt;15,$T1072=12),ROUND(VLOOKUP($S1072,DOWN16,5,0),3),IF($T1072=12,ROUND(($Z1072/10000)*$AA1072,3)+IF(AND($P$7="購買增額繳清保險",T1072=12,U1072=110),VLOOKUP(S1072,$B$10:$H$121,7,0),0),"")))</f>
        <v/>
      </c>
      <c r="AC1072" s="350" t="str">
        <f ca="1">IF(AND(S1072&lt;OP!$C$24,$U1072&lt;15),0,IF(AND($U1072&lt;16,$T1072=12),VLOOKUP($S1072,DOWN16,4,0),IF($T1072=12,ROUND(VLOOKUP(OP!$C$55,_DIE2,$S1072+1,0)*(Z1072/10000),0)+IF(AND($P$7="購買增額繳清保險",T1072=12,U1072=110),VLOOKUP(S1072,$B$10:$H$121,7,0),0),"")))</f>
        <v/>
      </c>
      <c r="AD1072" s="347"/>
      <c r="AE1072" s="350" t="str">
        <f t="shared" ca="1" si="659"/>
        <v/>
      </c>
      <c r="AF1072" s="351" t="str">
        <f t="shared" ca="1" si="660"/>
        <v/>
      </c>
      <c r="AG1072" s="340"/>
      <c r="AH1072" s="340"/>
      <c r="AI1072" s="340"/>
      <c r="AJ1072" s="340"/>
      <c r="AK1072" s="340"/>
      <c r="AL1072" s="340"/>
      <c r="AM1072" s="340"/>
      <c r="AN1072" s="340"/>
      <c r="AO1072" s="340"/>
      <c r="AP1072" s="340"/>
      <c r="AQ1072" s="340"/>
      <c r="AR1072" s="340"/>
      <c r="AS1072" s="340"/>
      <c r="AT1072" s="340"/>
      <c r="AU1072" s="340"/>
      <c r="AV1072" s="340"/>
      <c r="AY1072" s="340"/>
      <c r="AZ1072" s="465">
        <f t="shared" ca="1" si="670"/>
        <v>7.3698599999999999E-5</v>
      </c>
      <c r="BA1072" s="464">
        <f t="shared" ca="1" si="671"/>
        <v>0</v>
      </c>
      <c r="BB1072" s="465">
        <f t="shared" ca="1" si="671"/>
        <v>7.3698599999999999E-5</v>
      </c>
      <c r="BC1072" s="466">
        <f t="shared" ca="1" si="672"/>
        <v>75242</v>
      </c>
      <c r="BD1072" s="467">
        <f t="shared" ca="1" si="685"/>
        <v>75243</v>
      </c>
      <c r="BE1072" s="467">
        <f t="shared" ca="1" si="673"/>
        <v>75272</v>
      </c>
      <c r="BF1072" s="468">
        <f ca="1">IF(計算!$BC1072&lt;OP!$C$3,0,BD1072-BC1072)</f>
        <v>1</v>
      </c>
      <c r="BG1072" s="468">
        <f ca="1">IF($BE1072&gt;DATE(YEAR($BD$9)+OP!$C$57,MONTH($BD$9),DAY($BD$9)),0,$BE1072-$BD1072+1)</f>
        <v>0</v>
      </c>
      <c r="BH1072" s="469">
        <f t="shared" ca="1" si="674"/>
        <v>1</v>
      </c>
      <c r="BI1072" t="str">
        <f t="shared" si="690"/>
        <v/>
      </c>
      <c r="BJ1072">
        <v>7</v>
      </c>
      <c r="BN1072" s="468">
        <f t="shared" si="686"/>
        <v>89</v>
      </c>
      <c r="BO1072" s="468">
        <f t="shared" si="687"/>
        <v>7</v>
      </c>
      <c r="BP1072" s="467">
        <f t="shared" ca="1" si="675"/>
        <v>75243</v>
      </c>
      <c r="BQ1072" s="475">
        <f t="shared" ca="1" si="689"/>
        <v>121</v>
      </c>
      <c r="BR1072" s="475" t="str">
        <f t="shared" si="688"/>
        <v/>
      </c>
      <c r="BS1072" s="471" t="str">
        <f t="shared" si="676"/>
        <v/>
      </c>
      <c r="BT1072" s="472" t="str">
        <f t="shared" si="691"/>
        <v/>
      </c>
      <c r="BU1072" s="472">
        <f t="shared" ca="1" si="677"/>
        <v>0</v>
      </c>
      <c r="BV1072" s="472">
        <f t="shared" ca="1" si="677"/>
        <v>0</v>
      </c>
      <c r="BW1072" s="472"/>
      <c r="BX1072" s="473">
        <f t="shared" ca="1" si="678"/>
        <v>2781458.9498260799</v>
      </c>
      <c r="BY1072" s="473">
        <f t="shared" si="679"/>
        <v>0</v>
      </c>
      <c r="BZ1072" s="473">
        <f t="shared" ca="1" si="661"/>
        <v>204.98963055999999</v>
      </c>
      <c r="CA1072" s="476">
        <f t="shared" ca="1" si="680"/>
        <v>0</v>
      </c>
      <c r="CB1072" s="494">
        <f ca="1">IF(OR($Q1071&lt;&gt;1,OP!$D$5+$BN1072-1&lt;16,$BN1072-1&lt;1),0,ROUND(ROUND(ROUND(((VLOOKUP($BN1072-1,MORE_PV,5,0)/10000)*VLOOKUP($BN1072,MORE_PV,$CB$5,0)),3)*VLOOKUP($BN1072,more1,5,0),0)/$R1071,0))</f>
        <v>0</v>
      </c>
      <c r="CC1072" s="473">
        <f t="shared" ca="1" si="681"/>
        <v>0</v>
      </c>
      <c r="CD1072" s="477"/>
    </row>
    <row r="1073" spans="2:82" ht="16.5" hidden="1">
      <c r="B1073" s="80"/>
      <c r="C1073" s="80"/>
      <c r="D1073" s="80"/>
      <c r="E1073" s="80"/>
      <c r="F1073" s="80"/>
      <c r="G1073" s="80"/>
      <c r="H1073" s="80"/>
      <c r="I1073" s="80"/>
      <c r="J1073" s="192">
        <f t="shared" si="662"/>
        <v>89</v>
      </c>
      <c r="K1073" s="192">
        <f t="shared" si="663"/>
        <v>9</v>
      </c>
      <c r="L1073" s="192" t="str">
        <f t="shared" si="658"/>
        <v/>
      </c>
      <c r="M1073" s="216" t="str">
        <f t="shared" ca="1" si="664"/>
        <v/>
      </c>
      <c r="N1073" s="216"/>
      <c r="O1073" s="216"/>
      <c r="P1073" s="216"/>
      <c r="Q1073" s="456">
        <f t="shared" ca="1" si="665"/>
        <v>1</v>
      </c>
      <c r="R1073" s="450">
        <f t="shared" ca="1" si="666"/>
        <v>12</v>
      </c>
      <c r="S1073" s="191">
        <f t="shared" si="667"/>
        <v>89</v>
      </c>
      <c r="T1073" s="191">
        <f t="shared" si="668"/>
        <v>9</v>
      </c>
      <c r="U1073" s="191">
        <f ca="1">OP!$D$5+$S1073-1</f>
        <v>121</v>
      </c>
      <c r="V1073" s="191" t="str">
        <f t="shared" si="669"/>
        <v/>
      </c>
      <c r="W1073" s="350">
        <f ca="1">IF(Q1073&lt;&gt;1,0,VLOOKUP(OP!$C$55,PVFB,$S1073+2,0))</f>
        <v>0</v>
      </c>
      <c r="X1073" s="473" t="str">
        <f t="shared" ca="1" si="682"/>
        <v/>
      </c>
      <c r="Y1073" s="348">
        <f t="shared" ca="1" si="683"/>
        <v>0</v>
      </c>
      <c r="Z1073" s="348">
        <f t="shared" ca="1" si="684"/>
        <v>8012</v>
      </c>
      <c r="AA1073" s="348">
        <f ca="1">IF(Q1073&lt;&gt;1,0,VLOOKUP(OP!$C$55,PVFB,$S1073+2,0))</f>
        <v>0</v>
      </c>
      <c r="AB1073" s="488" t="str">
        <f ca="1">IF(AND(S1073&lt;OP!$C$24,$U1073&lt;15),0,IF(AND($U1073&lt;15,$T1073=12),ROUND(VLOOKUP($S1073,DOWN16,5,0),3),IF($T1073=12,ROUND(($Z1073/10000)*$AA1073,3)+IF(AND($P$7="購買增額繳清保險",T1073=12,U1073=110),VLOOKUP(S1073,$B$10:$H$121,7,0),0),"")))</f>
        <v/>
      </c>
      <c r="AC1073" s="350" t="str">
        <f ca="1">IF(AND(S1073&lt;OP!$C$24,$U1073&lt;15),0,IF(AND($U1073&lt;16,$T1073=12),VLOOKUP($S1073,DOWN16,4,0),IF($T1073=12,ROUND(VLOOKUP(OP!$C$55,_DIE2,$S1073+1,0)*(Z1073/10000),0)+IF(AND($P$7="購買增額繳清保險",T1073=12,U1073=110),VLOOKUP(S1073,$B$10:$H$121,7,0),0),"")))</f>
        <v/>
      </c>
      <c r="AD1073" s="347"/>
      <c r="AE1073" s="350" t="str">
        <f t="shared" ca="1" si="659"/>
        <v/>
      </c>
      <c r="AF1073" s="351" t="str">
        <f t="shared" ca="1" si="660"/>
        <v/>
      </c>
      <c r="AG1073" s="340"/>
      <c r="AH1073" s="340"/>
      <c r="AI1073" s="340"/>
      <c r="AJ1073" s="340"/>
      <c r="AK1073" s="340"/>
      <c r="AL1073" s="340"/>
      <c r="AM1073" s="340"/>
      <c r="AN1073" s="340"/>
      <c r="AO1073" s="340"/>
      <c r="AP1073" s="340"/>
      <c r="AQ1073" s="340"/>
      <c r="AR1073" s="340"/>
      <c r="AS1073" s="340"/>
      <c r="AT1073" s="340"/>
      <c r="AU1073" s="340"/>
      <c r="AV1073" s="340"/>
      <c r="AY1073" s="340"/>
      <c r="AZ1073" s="465">
        <f t="shared" ca="1" si="670"/>
        <v>7.3698599999999999E-5</v>
      </c>
      <c r="BA1073" s="464">
        <f t="shared" ca="1" si="671"/>
        <v>0</v>
      </c>
      <c r="BB1073" s="465">
        <f t="shared" ca="1" si="671"/>
        <v>7.3698599999999999E-5</v>
      </c>
      <c r="BC1073" s="466">
        <f t="shared" ca="1" si="672"/>
        <v>75273</v>
      </c>
      <c r="BD1073" s="467">
        <f t="shared" ca="1" si="685"/>
        <v>75274</v>
      </c>
      <c r="BE1073" s="467">
        <f t="shared" ca="1" si="673"/>
        <v>75300</v>
      </c>
      <c r="BF1073" s="468">
        <f ca="1">IF(計算!$BC1073&lt;OP!$C$3,0,BD1073-BC1073)</f>
        <v>1</v>
      </c>
      <c r="BG1073" s="468">
        <f ca="1">IF($BE1073&gt;DATE(YEAR($BD$9)+OP!$C$57,MONTH($BD$9),DAY($BD$9)),0,$BE1073-$BD1073+1)</f>
        <v>0</v>
      </c>
      <c r="BH1073" s="469">
        <f t="shared" ca="1" si="674"/>
        <v>1</v>
      </c>
      <c r="BI1073" t="str">
        <f t="shared" si="690"/>
        <v/>
      </c>
      <c r="BJ1073">
        <v>8</v>
      </c>
      <c r="BN1073" s="468">
        <f t="shared" si="686"/>
        <v>89</v>
      </c>
      <c r="BO1073" s="468">
        <f t="shared" si="687"/>
        <v>8</v>
      </c>
      <c r="BP1073" s="467">
        <f t="shared" ca="1" si="675"/>
        <v>75274</v>
      </c>
      <c r="BQ1073" s="475">
        <f t="shared" ca="1" si="689"/>
        <v>121</v>
      </c>
      <c r="BR1073" s="475" t="str">
        <f t="shared" si="688"/>
        <v/>
      </c>
      <c r="BS1073" s="471" t="str">
        <f t="shared" si="676"/>
        <v/>
      </c>
      <c r="BT1073" s="472" t="str">
        <f t="shared" si="691"/>
        <v/>
      </c>
      <c r="BU1073" s="472">
        <f t="shared" ca="1" si="677"/>
        <v>0</v>
      </c>
      <c r="BV1073" s="472">
        <f t="shared" ca="1" si="677"/>
        <v>0</v>
      </c>
      <c r="BW1073" s="472"/>
      <c r="BX1073" s="473">
        <f t="shared" ca="1" si="678"/>
        <v>2781663.9394566398</v>
      </c>
      <c r="BY1073" s="473">
        <f t="shared" si="679"/>
        <v>0</v>
      </c>
      <c r="BZ1073" s="473">
        <f t="shared" ca="1" si="661"/>
        <v>205.004738008</v>
      </c>
      <c r="CA1073" s="476">
        <f t="shared" ca="1" si="680"/>
        <v>0</v>
      </c>
      <c r="CB1073" s="494">
        <f ca="1">IF(OR($Q1072&lt;&gt;1,OP!$D$5+$BN1073-1&lt;16,$BN1073-1&lt;1),0,ROUND(ROUND(ROUND(((VLOOKUP($BN1073-1,MORE_PV,5,0)/10000)*VLOOKUP($BN1073,MORE_PV,$CB$5,0)),3)*VLOOKUP($BN1073,more1,5,0),0)/$R1072,0))</f>
        <v>0</v>
      </c>
      <c r="CC1073" s="473">
        <f t="shared" ca="1" si="681"/>
        <v>0</v>
      </c>
      <c r="CD1073" s="477"/>
    </row>
    <row r="1074" spans="2:82" ht="16.5" hidden="1">
      <c r="B1074" s="80"/>
      <c r="C1074" s="80"/>
      <c r="D1074" s="80"/>
      <c r="E1074" s="80"/>
      <c r="F1074" s="80"/>
      <c r="G1074" s="80"/>
      <c r="H1074" s="80"/>
      <c r="I1074" s="80"/>
      <c r="J1074" s="192">
        <f t="shared" si="662"/>
        <v>89</v>
      </c>
      <c r="K1074" s="192">
        <f t="shared" si="663"/>
        <v>10</v>
      </c>
      <c r="L1074" s="192" t="str">
        <f t="shared" si="658"/>
        <v/>
      </c>
      <c r="M1074" s="216" t="str">
        <f t="shared" ca="1" si="664"/>
        <v/>
      </c>
      <c r="N1074" s="216"/>
      <c r="O1074" s="216"/>
      <c r="P1074" s="216"/>
      <c r="Q1074" s="456">
        <f t="shared" ca="1" si="665"/>
        <v>1</v>
      </c>
      <c r="R1074" s="450">
        <f t="shared" ca="1" si="666"/>
        <v>12</v>
      </c>
      <c r="S1074" s="191">
        <f t="shared" si="667"/>
        <v>89</v>
      </c>
      <c r="T1074" s="191">
        <f t="shared" si="668"/>
        <v>10</v>
      </c>
      <c r="U1074" s="191">
        <f ca="1">OP!$D$5+$S1074-1</f>
        <v>121</v>
      </c>
      <c r="V1074" s="191" t="str">
        <f t="shared" si="669"/>
        <v/>
      </c>
      <c r="W1074" s="350">
        <f ca="1">IF(Q1074&lt;&gt;1,0,VLOOKUP(OP!$C$55,PVFB,$S1074+2,0))</f>
        <v>0</v>
      </c>
      <c r="X1074" s="473" t="str">
        <f t="shared" ca="1" si="682"/>
        <v/>
      </c>
      <c r="Y1074" s="348">
        <f t="shared" ca="1" si="683"/>
        <v>0</v>
      </c>
      <c r="Z1074" s="348">
        <f t="shared" ca="1" si="684"/>
        <v>8012</v>
      </c>
      <c r="AA1074" s="348">
        <f ca="1">IF(Q1074&lt;&gt;1,0,VLOOKUP(OP!$C$55,PVFB,$S1074+2,0))</f>
        <v>0</v>
      </c>
      <c r="AB1074" s="488" t="str">
        <f ca="1">IF(AND(S1074&lt;OP!$C$24,$U1074&lt;15),0,IF(AND($U1074&lt;15,$T1074=12),ROUND(VLOOKUP($S1074,DOWN16,5,0),3),IF($T1074=12,ROUND(($Z1074/10000)*$AA1074,3)+IF(AND($P$7="購買增額繳清保險",T1074=12,U1074=110),VLOOKUP(S1074,$B$10:$H$121,7,0),0),"")))</f>
        <v/>
      </c>
      <c r="AC1074" s="350" t="str">
        <f ca="1">IF(AND(S1074&lt;OP!$C$24,$U1074&lt;15),0,IF(AND($U1074&lt;16,$T1074=12),VLOOKUP($S1074,DOWN16,4,0),IF($T1074=12,ROUND(VLOOKUP(OP!$C$55,_DIE2,$S1074+1,0)*(Z1074/10000),0)+IF(AND($P$7="購買增額繳清保險",T1074=12,U1074=110),VLOOKUP(S1074,$B$10:$H$121,7,0),0),"")))</f>
        <v/>
      </c>
      <c r="AD1074" s="347"/>
      <c r="AE1074" s="350" t="str">
        <f t="shared" ca="1" si="659"/>
        <v/>
      </c>
      <c r="AF1074" s="351" t="str">
        <f t="shared" ca="1" si="660"/>
        <v/>
      </c>
      <c r="AG1074" s="340"/>
      <c r="AH1074" s="340"/>
      <c r="AI1074" s="340"/>
      <c r="AJ1074" s="340"/>
      <c r="AK1074" s="340"/>
      <c r="AL1074" s="340"/>
      <c r="AM1074" s="340"/>
      <c r="AN1074" s="340"/>
      <c r="AO1074" s="340"/>
      <c r="AP1074" s="340"/>
      <c r="AQ1074" s="340"/>
      <c r="AR1074" s="340"/>
      <c r="AS1074" s="340"/>
      <c r="AT1074" s="340"/>
      <c r="AU1074" s="340"/>
      <c r="AV1074" s="340"/>
      <c r="AY1074" s="340"/>
      <c r="AZ1074" s="465">
        <f t="shared" ca="1" si="670"/>
        <v>7.3698599999999999E-5</v>
      </c>
      <c r="BA1074" s="464">
        <f t="shared" ca="1" si="671"/>
        <v>0</v>
      </c>
      <c r="BB1074" s="465">
        <f t="shared" ca="1" si="671"/>
        <v>7.3698599999999999E-5</v>
      </c>
      <c r="BC1074" s="466">
        <f t="shared" ca="1" si="672"/>
        <v>75301</v>
      </c>
      <c r="BD1074" s="467">
        <f t="shared" ca="1" si="685"/>
        <v>75302</v>
      </c>
      <c r="BE1074" s="467">
        <f t="shared" ca="1" si="673"/>
        <v>75331</v>
      </c>
      <c r="BF1074" s="468">
        <f ca="1">IF(計算!$BC1074&lt;OP!$C$3,0,BD1074-BC1074)</f>
        <v>1</v>
      </c>
      <c r="BG1074" s="468">
        <f ca="1">IF($BE1074&gt;DATE(YEAR($BD$9)+OP!$C$57,MONTH($BD$9),DAY($BD$9)),0,$BE1074-$BD1074+1)</f>
        <v>0</v>
      </c>
      <c r="BH1074" s="469">
        <f t="shared" ca="1" si="674"/>
        <v>1</v>
      </c>
      <c r="BI1074" t="str">
        <f t="shared" si="690"/>
        <v/>
      </c>
      <c r="BJ1074">
        <v>9</v>
      </c>
      <c r="BN1074" s="468">
        <f t="shared" si="686"/>
        <v>89</v>
      </c>
      <c r="BO1074" s="468">
        <f t="shared" si="687"/>
        <v>9</v>
      </c>
      <c r="BP1074" s="467">
        <f t="shared" ca="1" si="675"/>
        <v>75302</v>
      </c>
      <c r="BQ1074" s="475">
        <f t="shared" ca="1" si="689"/>
        <v>121</v>
      </c>
      <c r="BR1074" s="475" t="str">
        <f t="shared" si="688"/>
        <v/>
      </c>
      <c r="BS1074" s="471" t="str">
        <f t="shared" si="676"/>
        <v/>
      </c>
      <c r="BT1074" s="472" t="str">
        <f t="shared" si="691"/>
        <v/>
      </c>
      <c r="BU1074" s="472">
        <f t="shared" ca="1" si="677"/>
        <v>0</v>
      </c>
      <c r="BV1074" s="472">
        <f t="shared" ca="1" si="677"/>
        <v>0</v>
      </c>
      <c r="BW1074" s="472"/>
      <c r="BX1074" s="473">
        <f t="shared" ca="1" si="678"/>
        <v>2781868.9441946498</v>
      </c>
      <c r="BY1074" s="473">
        <f t="shared" si="679"/>
        <v>0</v>
      </c>
      <c r="BZ1074" s="473">
        <f t="shared" ca="1" si="661"/>
        <v>205.01984657099999</v>
      </c>
      <c r="CA1074" s="476">
        <f t="shared" ca="1" si="680"/>
        <v>0</v>
      </c>
      <c r="CB1074" s="494">
        <f ca="1">IF(OR($Q1073&lt;&gt;1,OP!$D$5+$BN1074-1&lt;16,$BN1074-1&lt;1),0,ROUND(ROUND(ROUND(((VLOOKUP($BN1074-1,MORE_PV,5,0)/10000)*VLOOKUP($BN1074,MORE_PV,$CB$5,0)),3)*VLOOKUP($BN1074,more1,5,0),0)/$R1073,0))</f>
        <v>0</v>
      </c>
      <c r="CC1074" s="473">
        <f t="shared" ca="1" si="681"/>
        <v>0</v>
      </c>
      <c r="CD1074" s="477"/>
    </row>
    <row r="1075" spans="2:82" ht="16.5" hidden="1">
      <c r="B1075" s="80"/>
      <c r="C1075" s="80"/>
      <c r="D1075" s="80"/>
      <c r="E1075" s="80"/>
      <c r="F1075" s="80"/>
      <c r="G1075" s="80"/>
      <c r="H1075" s="80"/>
      <c r="I1075" s="80"/>
      <c r="J1075" s="192">
        <f t="shared" si="662"/>
        <v>89</v>
      </c>
      <c r="K1075" s="192">
        <f t="shared" si="663"/>
        <v>11</v>
      </c>
      <c r="L1075" s="192" t="str">
        <f t="shared" si="658"/>
        <v/>
      </c>
      <c r="M1075" s="216" t="str">
        <f t="shared" ca="1" si="664"/>
        <v/>
      </c>
      <c r="N1075" s="216"/>
      <c r="O1075" s="216"/>
      <c r="P1075" s="216"/>
      <c r="Q1075" s="456">
        <f t="shared" ca="1" si="665"/>
        <v>1</v>
      </c>
      <c r="R1075" s="450">
        <f t="shared" ca="1" si="666"/>
        <v>12</v>
      </c>
      <c r="S1075" s="191">
        <f t="shared" si="667"/>
        <v>89</v>
      </c>
      <c r="T1075" s="191">
        <f t="shared" si="668"/>
        <v>11</v>
      </c>
      <c r="U1075" s="191">
        <f ca="1">OP!$D$5+$S1075-1</f>
        <v>121</v>
      </c>
      <c r="V1075" s="191" t="str">
        <f t="shared" si="669"/>
        <v/>
      </c>
      <c r="W1075" s="350">
        <f ca="1">IF(Q1075&lt;&gt;1,0,VLOOKUP(OP!$C$55,PVFB,$S1075+2,0))</f>
        <v>0</v>
      </c>
      <c r="X1075" s="473" t="str">
        <f t="shared" ca="1" si="682"/>
        <v/>
      </c>
      <c r="Y1075" s="348">
        <f t="shared" ca="1" si="683"/>
        <v>0</v>
      </c>
      <c r="Z1075" s="348">
        <f t="shared" ca="1" si="684"/>
        <v>8012</v>
      </c>
      <c r="AA1075" s="348">
        <f ca="1">IF(Q1075&lt;&gt;1,0,VLOOKUP(OP!$C$55,PVFB,$S1075+2,0))</f>
        <v>0</v>
      </c>
      <c r="AB1075" s="488" t="str">
        <f ca="1">IF(AND(S1075&lt;OP!$C$24,$U1075&lt;15),0,IF(AND($U1075&lt;15,$T1075=12),ROUND(VLOOKUP($S1075,DOWN16,5,0),3),IF($T1075=12,ROUND(($Z1075/10000)*$AA1075,3)+IF(AND($P$7="購買增額繳清保險",T1075=12,U1075=110),VLOOKUP(S1075,$B$10:$H$121,7,0),0),"")))</f>
        <v/>
      </c>
      <c r="AC1075" s="350" t="str">
        <f ca="1">IF(AND(S1075&lt;OP!$C$24,$U1075&lt;15),0,IF(AND($U1075&lt;16,$T1075=12),VLOOKUP($S1075,DOWN16,4,0),IF($T1075=12,ROUND(VLOOKUP(OP!$C$55,_DIE2,$S1075+1,0)*(Z1075/10000),0)+IF(AND($P$7="購買增額繳清保險",T1075=12,U1075=110),VLOOKUP(S1075,$B$10:$H$121,7,0),0),"")))</f>
        <v/>
      </c>
      <c r="AD1075" s="347"/>
      <c r="AE1075" s="350" t="str">
        <f t="shared" ca="1" si="659"/>
        <v/>
      </c>
      <c r="AF1075" s="351" t="str">
        <f t="shared" ca="1" si="660"/>
        <v/>
      </c>
      <c r="AG1075" s="340"/>
      <c r="AH1075" s="340"/>
      <c r="AI1075" s="340"/>
      <c r="AJ1075" s="340"/>
      <c r="AK1075" s="340"/>
      <c r="AL1075" s="340"/>
      <c r="AM1075" s="340"/>
      <c r="AN1075" s="340"/>
      <c r="AO1075" s="340"/>
      <c r="AP1075" s="340"/>
      <c r="AQ1075" s="340"/>
      <c r="AR1075" s="340"/>
      <c r="AS1075" s="340"/>
      <c r="AT1075" s="340"/>
      <c r="AU1075" s="340"/>
      <c r="AV1075" s="340"/>
      <c r="AY1075" s="340"/>
      <c r="AZ1075" s="465">
        <f t="shared" ca="1" si="670"/>
        <v>7.3698599999999999E-5</v>
      </c>
      <c r="BA1075" s="464">
        <f t="shared" ca="1" si="671"/>
        <v>0</v>
      </c>
      <c r="BB1075" s="465">
        <f t="shared" ca="1" si="671"/>
        <v>7.3698599999999999E-5</v>
      </c>
      <c r="BC1075" s="466">
        <f t="shared" ca="1" si="672"/>
        <v>75332</v>
      </c>
      <c r="BD1075" s="467">
        <f t="shared" ca="1" si="685"/>
        <v>75333</v>
      </c>
      <c r="BE1075" s="467">
        <f t="shared" ca="1" si="673"/>
        <v>75361</v>
      </c>
      <c r="BF1075" s="468">
        <f ca="1">IF(計算!$BC1075&lt;OP!$C$3,0,BD1075-BC1075)</f>
        <v>1</v>
      </c>
      <c r="BG1075" s="468">
        <f ca="1">IF($BE1075&gt;DATE(YEAR($BD$9)+OP!$C$57,MONTH($BD$9),DAY($BD$9)),0,$BE1075-$BD1075+1)</f>
        <v>0</v>
      </c>
      <c r="BH1075" s="469">
        <f t="shared" ca="1" si="674"/>
        <v>1</v>
      </c>
      <c r="BI1075" t="str">
        <f t="shared" si="690"/>
        <v/>
      </c>
      <c r="BJ1075">
        <v>10</v>
      </c>
      <c r="BN1075" s="468">
        <f t="shared" si="686"/>
        <v>89</v>
      </c>
      <c r="BO1075" s="468">
        <f t="shared" si="687"/>
        <v>10</v>
      </c>
      <c r="BP1075" s="467">
        <f t="shared" ca="1" si="675"/>
        <v>75333</v>
      </c>
      <c r="BQ1075" s="475">
        <f t="shared" ca="1" si="689"/>
        <v>121</v>
      </c>
      <c r="BR1075" s="475" t="str">
        <f t="shared" si="688"/>
        <v/>
      </c>
      <c r="BS1075" s="471" t="str">
        <f t="shared" si="676"/>
        <v/>
      </c>
      <c r="BT1075" s="472" t="str">
        <f t="shared" si="691"/>
        <v/>
      </c>
      <c r="BU1075" s="472">
        <f t="shared" ca="1" si="677"/>
        <v>0</v>
      </c>
      <c r="BV1075" s="472">
        <f t="shared" ca="1" si="677"/>
        <v>0</v>
      </c>
      <c r="BW1075" s="472"/>
      <c r="BX1075" s="473">
        <f t="shared" ca="1" si="678"/>
        <v>2782073.96404122</v>
      </c>
      <c r="BY1075" s="473">
        <f t="shared" si="679"/>
        <v>0</v>
      </c>
      <c r="BZ1075" s="473">
        <f t="shared" ca="1" si="661"/>
        <v>205.03495624600001</v>
      </c>
      <c r="CA1075" s="476">
        <f t="shared" ca="1" si="680"/>
        <v>0</v>
      </c>
      <c r="CB1075" s="494">
        <f ca="1">IF(OR($Q1074&lt;&gt;1,OP!$D$5+$BN1075-1&lt;16,$BN1075-1&lt;1),0,ROUND(ROUND(ROUND(((VLOOKUP($BN1075-1,MORE_PV,5,0)/10000)*VLOOKUP($BN1075,MORE_PV,$CB$5,0)),3)*VLOOKUP($BN1075,more1,5,0),0)/$R1074,0))</f>
        <v>0</v>
      </c>
      <c r="CC1075" s="473">
        <f t="shared" ca="1" si="681"/>
        <v>0</v>
      </c>
      <c r="CD1075" s="477"/>
    </row>
    <row r="1076" spans="2:82" ht="16.5" hidden="1">
      <c r="B1076" s="80"/>
      <c r="C1076" s="80"/>
      <c r="D1076" s="80"/>
      <c r="E1076" s="80"/>
      <c r="F1076" s="80"/>
      <c r="G1076" s="80"/>
      <c r="H1076" s="80"/>
      <c r="I1076" s="80"/>
      <c r="J1076" s="192">
        <f t="shared" si="662"/>
        <v>89</v>
      </c>
      <c r="K1076" s="192">
        <f t="shared" si="663"/>
        <v>12</v>
      </c>
      <c r="L1076" s="192">
        <f t="shared" si="658"/>
        <v>89</v>
      </c>
      <c r="M1076" s="216">
        <f t="shared" ca="1" si="664"/>
        <v>2782688</v>
      </c>
      <c r="N1076" s="216"/>
      <c r="O1076" s="216"/>
      <c r="P1076" s="216"/>
      <c r="Q1076" s="456">
        <f t="shared" ca="1" si="665"/>
        <v>1</v>
      </c>
      <c r="R1076" s="450">
        <f t="shared" ca="1" si="666"/>
        <v>12</v>
      </c>
      <c r="S1076" s="191">
        <f t="shared" si="667"/>
        <v>89</v>
      </c>
      <c r="T1076" s="191">
        <f t="shared" si="668"/>
        <v>12</v>
      </c>
      <c r="U1076" s="191">
        <f ca="1">OP!$D$5+$S1076-1</f>
        <v>121</v>
      </c>
      <c r="V1076" s="191">
        <f t="shared" si="669"/>
        <v>89</v>
      </c>
      <c r="W1076" s="350">
        <f ca="1">IF(Q1076&lt;&gt;1,0,VLOOKUP(OP!$C$55,PVFB,$S1076+2,0))</f>
        <v>0</v>
      </c>
      <c r="X1076" s="473">
        <f t="shared" ca="1" si="682"/>
        <v>0</v>
      </c>
      <c r="Y1076" s="348">
        <f t="shared" ca="1" si="683"/>
        <v>0</v>
      </c>
      <c r="Z1076" s="348">
        <f t="shared" ca="1" si="684"/>
        <v>8012</v>
      </c>
      <c r="AA1076" s="348">
        <f ca="1">IF(Q1076&lt;&gt;1,0,VLOOKUP(OP!$C$55,PVFB,$S1076+2,0))</f>
        <v>0</v>
      </c>
      <c r="AB1076" s="488">
        <f ca="1">IF(AND(S1076&lt;OP!$C$24,$U1076&lt;15),0,IF(AND($U1076&lt;15,$T1076=12),ROUND(VLOOKUP($S1076,DOWN16,5,0),3),IF($T1076=12,ROUND(($Z1076/10000)*$AA1076,3)+IF(AND($P$7="購買增額繳清保險",T1076=12,U1076=110),VLOOKUP(S1076,$B$10:$H$121,7,0),0),"")))</f>
        <v>0</v>
      </c>
      <c r="AC1076" s="350">
        <f ca="1">IF(AND(S1076&lt;OP!$C$24,$U1076&lt;15),0,IF(AND($U1076&lt;16,$T1076=12),VLOOKUP($S1076,DOWN16,4,0),IF($T1076=12,ROUND(VLOOKUP(OP!$C$55,_DIE2,$S1076+1,0)*(Z1076/10000),0)+IF(AND($P$7="購買增額繳清保險",T1076=12,U1076=110),VLOOKUP(S1076,$B$10:$H$121,7,0),0),"")))</f>
        <v>0</v>
      </c>
      <c r="AD1076" s="347"/>
      <c r="AE1076" s="350" t="str">
        <f t="shared" ca="1" si="659"/>
        <v/>
      </c>
      <c r="AF1076" s="351" t="str">
        <f t="shared" ca="1" si="660"/>
        <v/>
      </c>
      <c r="AG1076" s="340"/>
      <c r="AH1076" s="340"/>
      <c r="AI1076" s="340"/>
      <c r="AJ1076" s="340"/>
      <c r="AK1076" s="340"/>
      <c r="AL1076" s="340"/>
      <c r="AM1076" s="340"/>
      <c r="AN1076" s="340"/>
      <c r="AO1076" s="340"/>
      <c r="AP1076" s="340"/>
      <c r="AQ1076" s="340"/>
      <c r="AR1076" s="340"/>
      <c r="AS1076" s="340"/>
      <c r="AT1076" s="340"/>
      <c r="AU1076" s="340"/>
      <c r="AV1076" s="340"/>
      <c r="AY1076" s="340"/>
      <c r="AZ1076" s="465">
        <f t="shared" ca="1" si="670"/>
        <v>7.3698599999999999E-5</v>
      </c>
      <c r="BA1076" s="464">
        <f t="shared" ca="1" si="671"/>
        <v>0</v>
      </c>
      <c r="BB1076" s="465">
        <f t="shared" ca="1" si="671"/>
        <v>7.3698599999999999E-5</v>
      </c>
      <c r="BC1076" s="466">
        <f t="shared" ca="1" si="672"/>
        <v>75362</v>
      </c>
      <c r="BD1076" s="467">
        <f t="shared" ca="1" si="685"/>
        <v>75363</v>
      </c>
      <c r="BE1076" s="467">
        <f t="shared" ca="1" si="673"/>
        <v>75392</v>
      </c>
      <c r="BF1076" s="468">
        <f ca="1">IF(計算!$BC1076&lt;OP!$C$3,0,BD1076-BC1076)</f>
        <v>1</v>
      </c>
      <c r="BG1076" s="468">
        <f ca="1">IF($BE1076&gt;DATE(YEAR($BD$9)+OP!$C$57,MONTH($BD$9),DAY($BD$9)),0,$BE1076-$BD1076+1)</f>
        <v>0</v>
      </c>
      <c r="BH1076" s="469">
        <f t="shared" ca="1" si="674"/>
        <v>1</v>
      </c>
      <c r="BI1076" t="str">
        <f t="shared" si="690"/>
        <v/>
      </c>
      <c r="BJ1076">
        <v>11</v>
      </c>
      <c r="BN1076" s="468">
        <f t="shared" si="686"/>
        <v>89</v>
      </c>
      <c r="BO1076" s="468">
        <f t="shared" si="687"/>
        <v>11</v>
      </c>
      <c r="BP1076" s="467">
        <f t="shared" ca="1" si="675"/>
        <v>75363</v>
      </c>
      <c r="BQ1076" s="475">
        <f t="shared" ca="1" si="689"/>
        <v>121</v>
      </c>
      <c r="BR1076" s="475" t="str">
        <f t="shared" si="688"/>
        <v/>
      </c>
      <c r="BS1076" s="471" t="str">
        <f t="shared" si="676"/>
        <v/>
      </c>
      <c r="BT1076" s="472" t="str">
        <f t="shared" si="691"/>
        <v/>
      </c>
      <c r="BU1076" s="472">
        <f t="shared" ca="1" si="677"/>
        <v>0</v>
      </c>
      <c r="BV1076" s="472">
        <f t="shared" ca="1" si="677"/>
        <v>0</v>
      </c>
      <c r="BW1076" s="472"/>
      <c r="BX1076" s="473">
        <f t="shared" ca="1" si="678"/>
        <v>2782278.9989974699</v>
      </c>
      <c r="BY1076" s="473">
        <f t="shared" si="679"/>
        <v>0</v>
      </c>
      <c r="BZ1076" s="473">
        <f t="shared" ca="1" si="661"/>
        <v>205.050067036</v>
      </c>
      <c r="CA1076" s="476">
        <f t="shared" ca="1" si="680"/>
        <v>0</v>
      </c>
      <c r="CB1076" s="494">
        <f ca="1">IF(OR($Q1075&lt;&gt;1,OP!$D$5+$BN1076-1&lt;16,$BN1076-1&lt;1),0,ROUND(ROUND(ROUND(((VLOOKUP($BN1076-1,MORE_PV,5,0)/10000)*VLOOKUP($BN1076,MORE_PV,$CB$5,0)),3)*VLOOKUP($BN1076,more1,5,0),0)/$R1075,0))</f>
        <v>0</v>
      </c>
      <c r="CC1076" s="473">
        <f t="shared" ca="1" si="681"/>
        <v>0</v>
      </c>
      <c r="CD1076" s="477"/>
    </row>
    <row r="1077" spans="2:82" ht="16.5" hidden="1">
      <c r="B1077" s="80"/>
      <c r="C1077" s="80"/>
      <c r="D1077" s="80"/>
      <c r="E1077" s="80"/>
      <c r="F1077" s="80"/>
      <c r="G1077" s="80"/>
      <c r="H1077" s="80"/>
      <c r="I1077" s="80"/>
      <c r="J1077" s="192">
        <f t="shared" si="662"/>
        <v>90</v>
      </c>
      <c r="K1077" s="192">
        <f t="shared" si="663"/>
        <v>1</v>
      </c>
      <c r="L1077" s="192" t="str">
        <f t="shared" si="658"/>
        <v/>
      </c>
      <c r="M1077" s="216" t="str">
        <f t="shared" ca="1" si="664"/>
        <v/>
      </c>
      <c r="N1077" s="216"/>
      <c r="O1077" s="216"/>
      <c r="P1077" s="216"/>
      <c r="Q1077" s="456">
        <f t="shared" ca="1" si="665"/>
        <v>1</v>
      </c>
      <c r="R1077" s="450">
        <f t="shared" ca="1" si="666"/>
        <v>12</v>
      </c>
      <c r="S1077" s="191">
        <f t="shared" si="667"/>
        <v>90</v>
      </c>
      <c r="T1077" s="191">
        <f t="shared" si="668"/>
        <v>1</v>
      </c>
      <c r="U1077" s="191">
        <f ca="1">OP!$D$5+$S1077-1</f>
        <v>122</v>
      </c>
      <c r="V1077" s="191" t="str">
        <f t="shared" si="669"/>
        <v/>
      </c>
      <c r="W1077" s="350">
        <f ca="1">IF(Q1077&lt;&gt;1,0,VLOOKUP(OP!$C$55,PVFB,$S1077+2,0))</f>
        <v>0</v>
      </c>
      <c r="X1077" s="473" t="str">
        <f t="shared" ca="1" si="682"/>
        <v/>
      </c>
      <c r="Y1077" s="348">
        <f t="shared" ca="1" si="683"/>
        <v>0</v>
      </c>
      <c r="Z1077" s="348">
        <f t="shared" ca="1" si="684"/>
        <v>8012</v>
      </c>
      <c r="AA1077" s="348">
        <f ca="1">IF(Q1077&lt;&gt;1,0,VLOOKUP(OP!$C$55,PVFB,$S1077+2,0))</f>
        <v>0</v>
      </c>
      <c r="AB1077" s="488" t="str">
        <f ca="1">IF(AND(S1077&lt;OP!$C$24,$U1077&lt;15),0,IF(AND($U1077&lt;15,$T1077=12),ROUND(VLOOKUP($S1077,DOWN16,5,0),3),IF($T1077=12,ROUND(($Z1077/10000)*$AA1077,3)+IF(AND($P$7="購買增額繳清保險",T1077=12,U1077=110),VLOOKUP(S1077,$B$10:$H$121,7,0),0),"")))</f>
        <v/>
      </c>
      <c r="AC1077" s="350" t="str">
        <f ca="1">IF(AND(S1077&lt;OP!$C$24,$U1077&lt;15),0,IF(AND($U1077&lt;16,$T1077=12),VLOOKUP($S1077,DOWN16,4,0),IF($T1077=12,ROUND(VLOOKUP(OP!$C$55,_DIE2,$S1077+1,0)*(Z1077/10000),0)+IF(AND($P$7="購買增額繳清保險",T1077=12,U1077=110),VLOOKUP(S1077,$B$10:$H$121,7,0),0),"")))</f>
        <v/>
      </c>
      <c r="AD1077" s="347"/>
      <c r="AE1077" s="350" t="str">
        <f t="shared" ca="1" si="659"/>
        <v/>
      </c>
      <c r="AF1077" s="351" t="str">
        <f t="shared" ca="1" si="660"/>
        <v/>
      </c>
      <c r="AG1077" s="340"/>
      <c r="AH1077" s="340"/>
      <c r="AI1077" s="340"/>
      <c r="AJ1077" s="340"/>
      <c r="AK1077" s="340"/>
      <c r="AL1077" s="340"/>
      <c r="AM1077" s="340"/>
      <c r="AN1077" s="340"/>
      <c r="AO1077" s="340"/>
      <c r="AP1077" s="340"/>
      <c r="AQ1077" s="340"/>
      <c r="AR1077" s="340"/>
      <c r="AS1077" s="340"/>
      <c r="AT1077" s="340"/>
      <c r="AU1077" s="340"/>
      <c r="AV1077" s="340"/>
      <c r="AY1077" s="340"/>
      <c r="AZ1077" s="465">
        <f t="shared" ca="1" si="670"/>
        <v>7.3698599999999999E-5</v>
      </c>
      <c r="BA1077" s="464">
        <f t="shared" ca="1" si="671"/>
        <v>0</v>
      </c>
      <c r="BB1077" s="465">
        <f t="shared" ca="1" si="671"/>
        <v>7.3698599999999999E-5</v>
      </c>
      <c r="BC1077" s="466">
        <f t="shared" ca="1" si="672"/>
        <v>75393</v>
      </c>
      <c r="BD1077" s="467">
        <f t="shared" ca="1" si="685"/>
        <v>75394</v>
      </c>
      <c r="BE1077" s="467">
        <f t="shared" ca="1" si="673"/>
        <v>75422</v>
      </c>
      <c r="BF1077" s="468">
        <f ca="1">IF(計算!$BC1077&lt;OP!$C$3,0,BD1077-BC1077)</f>
        <v>1</v>
      </c>
      <c r="BG1077" s="468">
        <f ca="1">IF($BE1077&gt;DATE(YEAR($BD$9)+OP!$C$57,MONTH($BD$9),DAY($BD$9)),0,$BE1077-$BD1077+1)</f>
        <v>0</v>
      </c>
      <c r="BH1077" s="469">
        <f t="shared" ca="1" si="674"/>
        <v>1</v>
      </c>
      <c r="BI1077">
        <f t="shared" ca="1" si="690"/>
        <v>365</v>
      </c>
      <c r="BJ1077">
        <v>12</v>
      </c>
      <c r="BN1077" s="468">
        <f t="shared" si="686"/>
        <v>89</v>
      </c>
      <c r="BO1077" s="468">
        <f t="shared" si="687"/>
        <v>12</v>
      </c>
      <c r="BP1077" s="467">
        <f t="shared" ca="1" si="675"/>
        <v>75394</v>
      </c>
      <c r="BQ1077" s="475">
        <f t="shared" ca="1" si="689"/>
        <v>121</v>
      </c>
      <c r="BR1077" s="475">
        <f t="shared" si="688"/>
        <v>89</v>
      </c>
      <c r="BS1077" s="471">
        <f t="shared" ca="1" si="676"/>
        <v>0</v>
      </c>
      <c r="BT1077" s="472">
        <f t="shared" ca="1" si="691"/>
        <v>2782688</v>
      </c>
      <c r="BU1077" s="472">
        <f t="shared" ca="1" si="677"/>
        <v>0</v>
      </c>
      <c r="BV1077" s="472">
        <f t="shared" ca="1" si="677"/>
        <v>0</v>
      </c>
      <c r="BW1077" s="472">
        <f ca="1">ROUND(SUM(BY1077,BZ1065:BZ1076),0)</f>
        <v>2460</v>
      </c>
      <c r="BX1077" s="473">
        <f t="shared" ca="1" si="678"/>
        <v>2782689.1142434399</v>
      </c>
      <c r="BY1077" s="473">
        <f t="shared" ca="1" si="679"/>
        <v>205.065178938</v>
      </c>
      <c r="BZ1077" s="473">
        <f t="shared" ca="1" si="661"/>
        <v>0</v>
      </c>
      <c r="CA1077" s="476">
        <f t="shared" ca="1" si="680"/>
        <v>0</v>
      </c>
      <c r="CB1077" s="494">
        <f ca="1">IF(OR($Q1076&lt;&gt;1,OP!$D$5+$BN1077-1&lt;16,$BN1077-1&lt;1),0,ROUND(ROUND(ROUND(((VLOOKUP($BN1077-1,MORE_PV,5,0)/10000)*VLOOKUP($BN1077,MORE_PV,$CB$5,0)),3)*VLOOKUP($BN1077,more1,5,0),0)/$R1076,0))</f>
        <v>0</v>
      </c>
      <c r="CC1077" s="473">
        <f t="shared" ca="1" si="681"/>
        <v>0</v>
      </c>
      <c r="CD1077" s="477"/>
    </row>
    <row r="1078" spans="2:82" ht="16.5" hidden="1">
      <c r="B1078" s="80"/>
      <c r="C1078" s="80"/>
      <c r="D1078" s="80"/>
      <c r="E1078" s="80"/>
      <c r="F1078" s="80"/>
      <c r="G1078" s="80"/>
      <c r="H1078" s="80"/>
      <c r="I1078" s="80"/>
      <c r="J1078" s="192">
        <f t="shared" si="662"/>
        <v>90</v>
      </c>
      <c r="K1078" s="192">
        <f t="shared" si="663"/>
        <v>2</v>
      </c>
      <c r="L1078" s="192" t="str">
        <f t="shared" si="658"/>
        <v/>
      </c>
      <c r="M1078" s="216" t="str">
        <f t="shared" ca="1" si="664"/>
        <v/>
      </c>
      <c r="N1078" s="216"/>
      <c r="O1078" s="216"/>
      <c r="P1078" s="216"/>
      <c r="Q1078" s="456">
        <f t="shared" ca="1" si="665"/>
        <v>1</v>
      </c>
      <c r="R1078" s="450">
        <f t="shared" ca="1" si="666"/>
        <v>12</v>
      </c>
      <c r="S1078" s="191">
        <f t="shared" si="667"/>
        <v>90</v>
      </c>
      <c r="T1078" s="191">
        <f t="shared" si="668"/>
        <v>2</v>
      </c>
      <c r="U1078" s="191">
        <f ca="1">OP!$D$5+$S1078-1</f>
        <v>122</v>
      </c>
      <c r="V1078" s="191" t="str">
        <f t="shared" si="669"/>
        <v/>
      </c>
      <c r="W1078" s="350">
        <f ca="1">IF(Q1078&lt;&gt;1,0,VLOOKUP(OP!$C$55,PVFB,$S1078+2,0))</f>
        <v>0</v>
      </c>
      <c r="X1078" s="473" t="str">
        <f t="shared" ca="1" si="682"/>
        <v/>
      </c>
      <c r="Y1078" s="348">
        <f t="shared" ca="1" si="683"/>
        <v>0</v>
      </c>
      <c r="Z1078" s="348">
        <f t="shared" ca="1" si="684"/>
        <v>8012</v>
      </c>
      <c r="AA1078" s="348">
        <f ca="1">IF(Q1078&lt;&gt;1,0,VLOOKUP(OP!$C$55,PVFB,$S1078+2,0))</f>
        <v>0</v>
      </c>
      <c r="AB1078" s="488" t="str">
        <f ca="1">IF(AND(S1078&lt;OP!$C$24,$U1078&lt;15),0,IF(AND($U1078&lt;15,$T1078=12),ROUND(VLOOKUP($S1078,DOWN16,5,0),3),IF($T1078=12,ROUND(($Z1078/10000)*$AA1078,3)+IF(AND($P$7="購買增額繳清保險",T1078=12,U1078=110),VLOOKUP(S1078,$B$10:$H$121,7,0),0),"")))</f>
        <v/>
      </c>
      <c r="AC1078" s="350" t="str">
        <f ca="1">IF(AND(S1078&lt;OP!$C$24,$U1078&lt;15),0,IF(AND($U1078&lt;16,$T1078=12),VLOOKUP($S1078,DOWN16,4,0),IF($T1078=12,ROUND(VLOOKUP(OP!$C$55,_DIE2,$S1078+1,0)*(Z1078/10000),0)+IF(AND($P$7="購買增額繳清保險",T1078=12,U1078=110),VLOOKUP(S1078,$B$10:$H$121,7,0),0),"")))</f>
        <v/>
      </c>
      <c r="AD1078" s="347"/>
      <c r="AE1078" s="350" t="str">
        <f t="shared" ca="1" si="659"/>
        <v/>
      </c>
      <c r="AF1078" s="351" t="str">
        <f t="shared" ca="1" si="660"/>
        <v/>
      </c>
      <c r="AG1078" s="340"/>
      <c r="AH1078" s="340"/>
      <c r="AI1078" s="340"/>
      <c r="AJ1078" s="340"/>
      <c r="AK1078" s="340"/>
      <c r="AL1078" s="340"/>
      <c r="AM1078" s="340"/>
      <c r="AN1078" s="340"/>
      <c r="AO1078" s="340"/>
      <c r="AP1078" s="340"/>
      <c r="AQ1078" s="340"/>
      <c r="AR1078" s="340"/>
      <c r="AS1078" s="340"/>
      <c r="AT1078" s="340"/>
      <c r="AU1078" s="340"/>
      <c r="AV1078" s="340"/>
      <c r="AY1078" s="340"/>
      <c r="AZ1078" s="465">
        <f t="shared" ca="1" si="670"/>
        <v>7.3698599999999999E-5</v>
      </c>
      <c r="BA1078" s="464">
        <f t="shared" ca="1" si="671"/>
        <v>0</v>
      </c>
      <c r="BB1078" s="465">
        <f t="shared" ca="1" si="671"/>
        <v>7.3698599999999999E-5</v>
      </c>
      <c r="BC1078" s="466">
        <f t="shared" ca="1" si="672"/>
        <v>75423</v>
      </c>
      <c r="BD1078" s="467">
        <f t="shared" ca="1" si="685"/>
        <v>75424</v>
      </c>
      <c r="BE1078" s="467">
        <f t="shared" ca="1" si="673"/>
        <v>75453</v>
      </c>
      <c r="BF1078" s="468">
        <f ca="1">IF(計算!$BC1078&lt;OP!$C$3,0,BD1078-BC1078)</f>
        <v>1</v>
      </c>
      <c r="BG1078" s="468">
        <f ca="1">IF($BE1078&gt;DATE(YEAR($BD$9)+OP!$C$57,MONTH($BD$9),DAY($BD$9)),0,$BE1078-$BD1078+1)</f>
        <v>0</v>
      </c>
      <c r="BH1078" s="469">
        <f t="shared" ca="1" si="674"/>
        <v>1</v>
      </c>
      <c r="BI1078" t="str">
        <f t="shared" si="690"/>
        <v/>
      </c>
      <c r="BJ1078">
        <v>1</v>
      </c>
      <c r="BN1078" s="468">
        <f t="shared" si="686"/>
        <v>90</v>
      </c>
      <c r="BO1078" s="468">
        <f t="shared" si="687"/>
        <v>1</v>
      </c>
      <c r="BP1078" s="467">
        <f t="shared" ca="1" si="675"/>
        <v>75424</v>
      </c>
      <c r="BQ1078" s="475">
        <f t="shared" ca="1" si="689"/>
        <v>122</v>
      </c>
      <c r="BR1078" s="475" t="str">
        <f t="shared" si="688"/>
        <v/>
      </c>
      <c r="BS1078" s="471" t="str">
        <f t="shared" si="676"/>
        <v/>
      </c>
      <c r="BT1078" s="472" t="str">
        <f t="shared" si="691"/>
        <v/>
      </c>
      <c r="BU1078" s="472">
        <f t="shared" ca="1" si="677"/>
        <v>0</v>
      </c>
      <c r="BV1078" s="472">
        <f t="shared" ca="1" si="677"/>
        <v>0</v>
      </c>
      <c r="BW1078" s="472"/>
      <c r="BX1078" s="473">
        <f t="shared" ca="1" si="678"/>
        <v>2782689.1142434399</v>
      </c>
      <c r="BY1078" s="473">
        <f t="shared" si="679"/>
        <v>0</v>
      </c>
      <c r="BZ1078" s="473">
        <f t="shared" ca="1" si="661"/>
        <v>205.08029195500001</v>
      </c>
      <c r="CA1078" s="476">
        <f t="shared" ca="1" si="680"/>
        <v>0</v>
      </c>
      <c r="CB1078" s="494">
        <f ca="1">IF(OR($Q1077&lt;&gt;1,OP!$D$5+$BN1078-1&lt;16,$BN1078-1&lt;1),0,ROUND(ROUND(ROUND(((VLOOKUP($BN1078-1,MORE_PV,5,0)/10000)*VLOOKUP($BN1078,MORE_PV,$CB$5,0)),3)*VLOOKUP($BN1078,more1,5,0),0)/$R1077,0))</f>
        <v>0</v>
      </c>
      <c r="CC1078" s="473">
        <f t="shared" ca="1" si="681"/>
        <v>0</v>
      </c>
      <c r="CD1078" s="477"/>
    </row>
    <row r="1079" spans="2:82" ht="16.5" hidden="1">
      <c r="B1079" s="80"/>
      <c r="C1079" s="80"/>
      <c r="D1079" s="80"/>
      <c r="E1079" s="80"/>
      <c r="F1079" s="80"/>
      <c r="G1079" s="80"/>
      <c r="H1079" s="80"/>
      <c r="I1079" s="80"/>
      <c r="J1079" s="192">
        <f t="shared" si="662"/>
        <v>90</v>
      </c>
      <c r="K1079" s="192">
        <f t="shared" si="663"/>
        <v>3</v>
      </c>
      <c r="L1079" s="192" t="str">
        <f t="shared" si="658"/>
        <v/>
      </c>
      <c r="M1079" s="216" t="str">
        <f t="shared" ca="1" si="664"/>
        <v/>
      </c>
      <c r="N1079" s="216"/>
      <c r="O1079" s="216"/>
      <c r="P1079" s="216"/>
      <c r="Q1079" s="456">
        <f t="shared" ca="1" si="665"/>
        <v>1</v>
      </c>
      <c r="R1079" s="450">
        <f t="shared" ca="1" si="666"/>
        <v>12</v>
      </c>
      <c r="S1079" s="191">
        <f t="shared" si="667"/>
        <v>90</v>
      </c>
      <c r="T1079" s="191">
        <f t="shared" si="668"/>
        <v>3</v>
      </c>
      <c r="U1079" s="191">
        <f ca="1">OP!$D$5+$S1079-1</f>
        <v>122</v>
      </c>
      <c r="V1079" s="191" t="str">
        <f t="shared" si="669"/>
        <v/>
      </c>
      <c r="W1079" s="350">
        <f ca="1">IF(Q1079&lt;&gt;1,0,VLOOKUP(OP!$C$55,PVFB,$S1079+2,0))</f>
        <v>0</v>
      </c>
      <c r="X1079" s="473" t="str">
        <f t="shared" ca="1" si="682"/>
        <v/>
      </c>
      <c r="Y1079" s="348">
        <f t="shared" ca="1" si="683"/>
        <v>0</v>
      </c>
      <c r="Z1079" s="348">
        <f t="shared" ca="1" si="684"/>
        <v>8012</v>
      </c>
      <c r="AA1079" s="348">
        <f ca="1">IF(Q1079&lt;&gt;1,0,VLOOKUP(OP!$C$55,PVFB,$S1079+2,0))</f>
        <v>0</v>
      </c>
      <c r="AB1079" s="488" t="str">
        <f ca="1">IF(AND(S1079&lt;OP!$C$24,$U1079&lt;15),0,IF(AND($U1079&lt;15,$T1079=12),ROUND(VLOOKUP($S1079,DOWN16,5,0),3),IF($T1079=12,ROUND(($Z1079/10000)*$AA1079,3)+IF(AND($P$7="購買增額繳清保險",T1079=12,U1079=110),VLOOKUP(S1079,$B$10:$H$121,7,0),0),"")))</f>
        <v/>
      </c>
      <c r="AC1079" s="350" t="str">
        <f ca="1">IF(AND(S1079&lt;OP!$C$24,$U1079&lt;15),0,IF(AND($U1079&lt;16,$T1079=12),VLOOKUP($S1079,DOWN16,4,0),IF($T1079=12,ROUND(VLOOKUP(OP!$C$55,_DIE2,$S1079+1,0)*(Z1079/10000),0)+IF(AND($P$7="購買增額繳清保險",T1079=12,U1079=110),VLOOKUP(S1079,$B$10:$H$121,7,0),0),"")))</f>
        <v/>
      </c>
      <c r="AD1079" s="347"/>
      <c r="AE1079" s="350" t="str">
        <f t="shared" ca="1" si="659"/>
        <v/>
      </c>
      <c r="AF1079" s="351" t="str">
        <f t="shared" ca="1" si="660"/>
        <v/>
      </c>
      <c r="AG1079" s="340"/>
      <c r="AH1079" s="340"/>
      <c r="AI1079" s="340"/>
      <c r="AJ1079" s="340"/>
      <c r="AK1079" s="340"/>
      <c r="AL1079" s="340"/>
      <c r="AM1079" s="340"/>
      <c r="AN1079" s="340"/>
      <c r="AO1079" s="340"/>
      <c r="AP1079" s="340"/>
      <c r="AQ1079" s="340"/>
      <c r="AR1079" s="340"/>
      <c r="AS1079" s="340"/>
      <c r="AT1079" s="340"/>
      <c r="AU1079" s="340"/>
      <c r="AV1079" s="340"/>
      <c r="AY1079" s="340"/>
      <c r="AZ1079" s="465">
        <f t="shared" ca="1" si="670"/>
        <v>7.3698599999999999E-5</v>
      </c>
      <c r="BA1079" s="464">
        <f t="shared" ca="1" si="671"/>
        <v>0</v>
      </c>
      <c r="BB1079" s="465">
        <f t="shared" ca="1" si="671"/>
        <v>7.3698599999999999E-5</v>
      </c>
      <c r="BC1079" s="466">
        <f t="shared" ca="1" si="672"/>
        <v>75454</v>
      </c>
      <c r="BD1079" s="467">
        <f t="shared" ca="1" si="685"/>
        <v>75455</v>
      </c>
      <c r="BE1079" s="467">
        <f t="shared" ca="1" si="673"/>
        <v>75484</v>
      </c>
      <c r="BF1079" s="468">
        <f ca="1">IF(計算!$BC1079&lt;OP!$C$3,0,BD1079-BC1079)</f>
        <v>1</v>
      </c>
      <c r="BG1079" s="468">
        <f ca="1">IF($BE1079&gt;DATE(YEAR($BD$9)+OP!$C$57,MONTH($BD$9),DAY($BD$9)),0,$BE1079-$BD1079+1)</f>
        <v>0</v>
      </c>
      <c r="BH1079" s="469">
        <f t="shared" ca="1" si="674"/>
        <v>1</v>
      </c>
      <c r="BI1079" t="str">
        <f t="shared" si="690"/>
        <v/>
      </c>
      <c r="BJ1079">
        <v>2</v>
      </c>
      <c r="BN1079" s="468">
        <f t="shared" si="686"/>
        <v>90</v>
      </c>
      <c r="BO1079" s="468">
        <f t="shared" si="687"/>
        <v>2</v>
      </c>
      <c r="BP1079" s="467">
        <f t="shared" ca="1" si="675"/>
        <v>75455</v>
      </c>
      <c r="BQ1079" s="475">
        <f t="shared" ca="1" si="689"/>
        <v>122</v>
      </c>
      <c r="BR1079" s="475" t="str">
        <f t="shared" si="688"/>
        <v/>
      </c>
      <c r="BS1079" s="471" t="str">
        <f t="shared" si="676"/>
        <v/>
      </c>
      <c r="BT1079" s="472" t="str">
        <f t="shared" si="691"/>
        <v/>
      </c>
      <c r="BU1079" s="472">
        <f t="shared" ca="1" si="677"/>
        <v>0</v>
      </c>
      <c r="BV1079" s="472">
        <f t="shared" ca="1" si="677"/>
        <v>0</v>
      </c>
      <c r="BW1079" s="472"/>
      <c r="BX1079" s="473">
        <f t="shared" ca="1" si="678"/>
        <v>2782894.19453539</v>
      </c>
      <c r="BY1079" s="473">
        <f t="shared" si="679"/>
        <v>0</v>
      </c>
      <c r="BZ1079" s="473">
        <f t="shared" ca="1" si="661"/>
        <v>205.09540608500001</v>
      </c>
      <c r="CA1079" s="476">
        <f t="shared" ca="1" si="680"/>
        <v>0</v>
      </c>
      <c r="CB1079" s="494">
        <f ca="1">IF(OR($Q1078&lt;&gt;1,OP!$D$5+$BN1079-1&lt;16,$BN1079-1&lt;1),0,ROUND(ROUND(ROUND(((VLOOKUP($BN1079-1,MORE_PV,5,0)/10000)*VLOOKUP($BN1079,MORE_PV,$CB$5,0)),3)*VLOOKUP($BN1079,more1,5,0),0)/$R1078,0))</f>
        <v>0</v>
      </c>
      <c r="CC1079" s="473">
        <f t="shared" ca="1" si="681"/>
        <v>0</v>
      </c>
      <c r="CD1079" s="477"/>
    </row>
    <row r="1080" spans="2:82" ht="16.5" hidden="1">
      <c r="B1080" s="80"/>
      <c r="C1080" s="80"/>
      <c r="D1080" s="80"/>
      <c r="E1080" s="80"/>
      <c r="F1080" s="80"/>
      <c r="G1080" s="80"/>
      <c r="H1080" s="80"/>
      <c r="I1080" s="80"/>
      <c r="J1080" s="192">
        <f t="shared" si="662"/>
        <v>90</v>
      </c>
      <c r="K1080" s="192">
        <f t="shared" si="663"/>
        <v>4</v>
      </c>
      <c r="L1080" s="192" t="str">
        <f t="shared" si="658"/>
        <v/>
      </c>
      <c r="M1080" s="216" t="str">
        <f t="shared" ca="1" si="664"/>
        <v/>
      </c>
      <c r="N1080" s="216"/>
      <c r="O1080" s="216"/>
      <c r="P1080" s="216"/>
      <c r="Q1080" s="456">
        <f t="shared" ca="1" si="665"/>
        <v>1</v>
      </c>
      <c r="R1080" s="450">
        <f t="shared" ca="1" si="666"/>
        <v>12</v>
      </c>
      <c r="S1080" s="191">
        <f t="shared" si="667"/>
        <v>90</v>
      </c>
      <c r="T1080" s="191">
        <f t="shared" si="668"/>
        <v>4</v>
      </c>
      <c r="U1080" s="191">
        <f ca="1">OP!$D$5+$S1080-1</f>
        <v>122</v>
      </c>
      <c r="V1080" s="191" t="str">
        <f t="shared" si="669"/>
        <v/>
      </c>
      <c r="W1080" s="350">
        <f ca="1">IF(Q1080&lt;&gt;1,0,VLOOKUP(OP!$C$55,PVFB,$S1080+2,0))</f>
        <v>0</v>
      </c>
      <c r="X1080" s="473" t="str">
        <f t="shared" ca="1" si="682"/>
        <v/>
      </c>
      <c r="Y1080" s="348">
        <f t="shared" ca="1" si="683"/>
        <v>0</v>
      </c>
      <c r="Z1080" s="348">
        <f t="shared" ca="1" si="684"/>
        <v>8012</v>
      </c>
      <c r="AA1080" s="348">
        <f ca="1">IF(Q1080&lt;&gt;1,0,VLOOKUP(OP!$C$55,PVFB,$S1080+2,0))</f>
        <v>0</v>
      </c>
      <c r="AB1080" s="488" t="str">
        <f ca="1">IF(AND(S1080&lt;OP!$C$24,$U1080&lt;15),0,IF(AND($U1080&lt;15,$T1080=12),ROUND(VLOOKUP($S1080,DOWN16,5,0),3),IF($T1080=12,ROUND(($Z1080/10000)*$AA1080,3)+IF(AND($P$7="購買增額繳清保險",T1080=12,U1080=110),VLOOKUP(S1080,$B$10:$H$121,7,0),0),"")))</f>
        <v/>
      </c>
      <c r="AC1080" s="350" t="str">
        <f ca="1">IF(AND(S1080&lt;OP!$C$24,$U1080&lt;15),0,IF(AND($U1080&lt;16,$T1080=12),VLOOKUP($S1080,DOWN16,4,0),IF($T1080=12,ROUND(VLOOKUP(OP!$C$55,_DIE2,$S1080+1,0)*(Z1080/10000),0)+IF(AND($P$7="購買增額繳清保險",T1080=12,U1080=110),VLOOKUP(S1080,$B$10:$H$121,7,0),0),"")))</f>
        <v/>
      </c>
      <c r="AD1080" s="347"/>
      <c r="AE1080" s="350" t="str">
        <f t="shared" ca="1" si="659"/>
        <v/>
      </c>
      <c r="AF1080" s="351" t="str">
        <f t="shared" ca="1" si="660"/>
        <v/>
      </c>
      <c r="AG1080" s="340"/>
      <c r="AH1080" s="340"/>
      <c r="AI1080" s="340"/>
      <c r="AJ1080" s="340"/>
      <c r="AK1080" s="340"/>
      <c r="AL1080" s="340"/>
      <c r="AM1080" s="340"/>
      <c r="AN1080" s="340"/>
      <c r="AO1080" s="340"/>
      <c r="AP1080" s="340"/>
      <c r="AQ1080" s="340"/>
      <c r="AR1080" s="340"/>
      <c r="AS1080" s="340"/>
      <c r="AT1080" s="340"/>
      <c r="AU1080" s="340"/>
      <c r="AV1080" s="340"/>
      <c r="AY1080" s="340"/>
      <c r="AZ1080" s="465">
        <f t="shared" ca="1" si="670"/>
        <v>7.3698599999999999E-5</v>
      </c>
      <c r="BA1080" s="464">
        <f t="shared" ca="1" si="671"/>
        <v>0</v>
      </c>
      <c r="BB1080" s="465">
        <f t="shared" ca="1" si="671"/>
        <v>7.3698599999999999E-5</v>
      </c>
      <c r="BC1080" s="466">
        <f t="shared" ca="1" si="672"/>
        <v>75485</v>
      </c>
      <c r="BD1080" s="467">
        <f t="shared" ca="1" si="685"/>
        <v>75486</v>
      </c>
      <c r="BE1080" s="467">
        <f t="shared" ca="1" si="673"/>
        <v>75514</v>
      </c>
      <c r="BF1080" s="468">
        <f ca="1">IF(計算!$BC1080&lt;OP!$C$3,0,BD1080-BC1080)</f>
        <v>1</v>
      </c>
      <c r="BG1080" s="468">
        <f ca="1">IF($BE1080&gt;DATE(YEAR($BD$9)+OP!$C$57,MONTH($BD$9),DAY($BD$9)),0,$BE1080-$BD1080+1)</f>
        <v>0</v>
      </c>
      <c r="BH1080" s="469">
        <f t="shared" ca="1" si="674"/>
        <v>1</v>
      </c>
      <c r="BI1080" t="str">
        <f t="shared" si="690"/>
        <v/>
      </c>
      <c r="BJ1080">
        <v>3</v>
      </c>
      <c r="BN1080" s="468">
        <f t="shared" si="686"/>
        <v>90</v>
      </c>
      <c r="BO1080" s="468">
        <f t="shared" si="687"/>
        <v>3</v>
      </c>
      <c r="BP1080" s="467">
        <f t="shared" ca="1" si="675"/>
        <v>75486</v>
      </c>
      <c r="BQ1080" s="475">
        <f t="shared" ca="1" si="689"/>
        <v>122</v>
      </c>
      <c r="BR1080" s="475" t="str">
        <f t="shared" si="688"/>
        <v/>
      </c>
      <c r="BS1080" s="471" t="str">
        <f t="shared" si="676"/>
        <v/>
      </c>
      <c r="BT1080" s="472" t="str">
        <f t="shared" si="691"/>
        <v/>
      </c>
      <c r="BU1080" s="472">
        <f t="shared" ca="1" si="677"/>
        <v>0</v>
      </c>
      <c r="BV1080" s="472">
        <f t="shared" ca="1" si="677"/>
        <v>0</v>
      </c>
      <c r="BW1080" s="472"/>
      <c r="BX1080" s="473">
        <f t="shared" ca="1" si="678"/>
        <v>2783099.2899414701</v>
      </c>
      <c r="BY1080" s="473">
        <f t="shared" si="679"/>
        <v>0</v>
      </c>
      <c r="BZ1080" s="473">
        <f t="shared" ca="1" si="661"/>
        <v>205.11052133000001</v>
      </c>
      <c r="CA1080" s="476">
        <f t="shared" ca="1" si="680"/>
        <v>0</v>
      </c>
      <c r="CB1080" s="494">
        <f ca="1">IF(OR($Q1079&lt;&gt;1,OP!$D$5+$BN1080-1&lt;16,$BN1080-1&lt;1),0,ROUND(ROUND(ROUND(((VLOOKUP($BN1080-1,MORE_PV,5,0)/10000)*VLOOKUP($BN1080,MORE_PV,$CB$5,0)),3)*VLOOKUP($BN1080,more1,5,0),0)/$R1079,0))</f>
        <v>0</v>
      </c>
      <c r="CC1080" s="473">
        <f t="shared" ca="1" si="681"/>
        <v>0</v>
      </c>
      <c r="CD1080" s="477"/>
    </row>
    <row r="1081" spans="2:82" ht="16.5" hidden="1">
      <c r="B1081" s="80"/>
      <c r="C1081" s="80"/>
      <c r="D1081" s="80"/>
      <c r="E1081" s="80"/>
      <c r="F1081" s="80"/>
      <c r="G1081" s="80"/>
      <c r="H1081" s="80"/>
      <c r="I1081" s="80"/>
      <c r="J1081" s="192">
        <f t="shared" si="662"/>
        <v>90</v>
      </c>
      <c r="K1081" s="192">
        <f t="shared" si="663"/>
        <v>5</v>
      </c>
      <c r="L1081" s="192" t="str">
        <f t="shared" si="658"/>
        <v/>
      </c>
      <c r="M1081" s="216" t="str">
        <f t="shared" ca="1" si="664"/>
        <v/>
      </c>
      <c r="N1081" s="216"/>
      <c r="O1081" s="216"/>
      <c r="P1081" s="216"/>
      <c r="Q1081" s="456">
        <f t="shared" ca="1" si="665"/>
        <v>1</v>
      </c>
      <c r="R1081" s="450">
        <f t="shared" ca="1" si="666"/>
        <v>12</v>
      </c>
      <c r="S1081" s="191">
        <f t="shared" si="667"/>
        <v>90</v>
      </c>
      <c r="T1081" s="191">
        <f t="shared" si="668"/>
        <v>5</v>
      </c>
      <c r="U1081" s="191">
        <f ca="1">OP!$D$5+$S1081-1</f>
        <v>122</v>
      </c>
      <c r="V1081" s="191" t="str">
        <f t="shared" si="669"/>
        <v/>
      </c>
      <c r="W1081" s="350">
        <f ca="1">IF(Q1081&lt;&gt;1,0,VLOOKUP(OP!$C$55,PVFB,$S1081+2,0))</f>
        <v>0</v>
      </c>
      <c r="X1081" s="473" t="str">
        <f t="shared" ca="1" si="682"/>
        <v/>
      </c>
      <c r="Y1081" s="348">
        <f t="shared" ca="1" si="683"/>
        <v>0</v>
      </c>
      <c r="Z1081" s="348">
        <f t="shared" ca="1" si="684"/>
        <v>8012</v>
      </c>
      <c r="AA1081" s="348">
        <f ca="1">IF(Q1081&lt;&gt;1,0,VLOOKUP(OP!$C$55,PVFB,$S1081+2,0))</f>
        <v>0</v>
      </c>
      <c r="AB1081" s="488" t="str">
        <f ca="1">IF(AND(S1081&lt;OP!$C$24,$U1081&lt;15),0,IF(AND($U1081&lt;15,$T1081=12),ROUND(VLOOKUP($S1081,DOWN16,5,0),3),IF($T1081=12,ROUND(($Z1081/10000)*$AA1081,3)+IF(AND($P$7="購買增額繳清保險",T1081=12,U1081=110),VLOOKUP(S1081,$B$10:$H$121,7,0),0),"")))</f>
        <v/>
      </c>
      <c r="AC1081" s="350" t="str">
        <f ca="1">IF(AND(S1081&lt;OP!$C$24,$U1081&lt;15),0,IF(AND($U1081&lt;16,$T1081=12),VLOOKUP($S1081,DOWN16,4,0),IF($T1081=12,ROUND(VLOOKUP(OP!$C$55,_DIE2,$S1081+1,0)*(Z1081/10000),0)+IF(AND($P$7="購買增額繳清保險",T1081=12,U1081=110),VLOOKUP(S1081,$B$10:$H$121,7,0),0),"")))</f>
        <v/>
      </c>
      <c r="AD1081" s="347"/>
      <c r="AE1081" s="350" t="str">
        <f t="shared" ca="1" si="659"/>
        <v/>
      </c>
      <c r="AF1081" s="351" t="str">
        <f t="shared" ca="1" si="660"/>
        <v/>
      </c>
      <c r="AG1081" s="340"/>
      <c r="AH1081" s="340"/>
      <c r="AI1081" s="340"/>
      <c r="AJ1081" s="340"/>
      <c r="AK1081" s="340"/>
      <c r="AL1081" s="340"/>
      <c r="AM1081" s="340"/>
      <c r="AN1081" s="340"/>
      <c r="AO1081" s="340"/>
      <c r="AP1081" s="340"/>
      <c r="AQ1081" s="340"/>
      <c r="AR1081" s="340"/>
      <c r="AS1081" s="340"/>
      <c r="AT1081" s="340"/>
      <c r="AU1081" s="340"/>
      <c r="AV1081" s="340"/>
      <c r="AY1081" s="340"/>
      <c r="AZ1081" s="465">
        <f t="shared" ca="1" si="670"/>
        <v>7.3698599999999999E-5</v>
      </c>
      <c r="BA1081" s="464">
        <f t="shared" ca="1" si="671"/>
        <v>0</v>
      </c>
      <c r="BB1081" s="465">
        <f t="shared" ca="1" si="671"/>
        <v>7.3698599999999999E-5</v>
      </c>
      <c r="BC1081" s="466">
        <f t="shared" ca="1" si="672"/>
        <v>75515</v>
      </c>
      <c r="BD1081" s="467">
        <f t="shared" ca="1" si="685"/>
        <v>75516</v>
      </c>
      <c r="BE1081" s="467">
        <f t="shared" ca="1" si="673"/>
        <v>75545</v>
      </c>
      <c r="BF1081" s="468">
        <f ca="1">IF(計算!$BC1081&lt;OP!$C$3,0,BD1081-BC1081)</f>
        <v>1</v>
      </c>
      <c r="BG1081" s="468">
        <f ca="1">IF($BE1081&gt;DATE(YEAR($BD$9)+OP!$C$57,MONTH($BD$9),DAY($BD$9)),0,$BE1081-$BD1081+1)</f>
        <v>0</v>
      </c>
      <c r="BH1081" s="469">
        <f t="shared" ca="1" si="674"/>
        <v>1</v>
      </c>
      <c r="BI1081" t="str">
        <f t="shared" si="690"/>
        <v/>
      </c>
      <c r="BJ1081">
        <v>4</v>
      </c>
      <c r="BN1081" s="468">
        <f t="shared" si="686"/>
        <v>90</v>
      </c>
      <c r="BO1081" s="468">
        <f t="shared" si="687"/>
        <v>4</v>
      </c>
      <c r="BP1081" s="467">
        <f t="shared" ca="1" si="675"/>
        <v>75516</v>
      </c>
      <c r="BQ1081" s="475">
        <f t="shared" ca="1" si="689"/>
        <v>122</v>
      </c>
      <c r="BR1081" s="475" t="str">
        <f t="shared" si="688"/>
        <v/>
      </c>
      <c r="BS1081" s="471" t="str">
        <f t="shared" si="676"/>
        <v/>
      </c>
      <c r="BT1081" s="472" t="str">
        <f t="shared" si="691"/>
        <v/>
      </c>
      <c r="BU1081" s="472">
        <f t="shared" ca="1" si="677"/>
        <v>0</v>
      </c>
      <c r="BV1081" s="472">
        <f t="shared" ca="1" si="677"/>
        <v>0</v>
      </c>
      <c r="BW1081" s="472"/>
      <c r="BX1081" s="473">
        <f t="shared" ca="1" si="678"/>
        <v>2783304.4004628002</v>
      </c>
      <c r="BY1081" s="473">
        <f t="shared" si="679"/>
        <v>0</v>
      </c>
      <c r="BZ1081" s="473">
        <f t="shared" ca="1" si="661"/>
        <v>205.12563768800001</v>
      </c>
      <c r="CA1081" s="476">
        <f t="shared" ca="1" si="680"/>
        <v>0</v>
      </c>
      <c r="CB1081" s="494">
        <f ca="1">IF(OR($Q1080&lt;&gt;1,OP!$D$5+$BN1081-1&lt;16,$BN1081-1&lt;1),0,ROUND(ROUND(ROUND(((VLOOKUP($BN1081-1,MORE_PV,5,0)/10000)*VLOOKUP($BN1081,MORE_PV,$CB$5,0)),3)*VLOOKUP($BN1081,more1,5,0),0)/$R1080,0))</f>
        <v>0</v>
      </c>
      <c r="CC1081" s="473">
        <f t="shared" ca="1" si="681"/>
        <v>0</v>
      </c>
      <c r="CD1081" s="477"/>
    </row>
    <row r="1082" spans="2:82" ht="16.5" hidden="1">
      <c r="B1082" s="80"/>
      <c r="C1082" s="80"/>
      <c r="D1082" s="80"/>
      <c r="E1082" s="80"/>
      <c r="F1082" s="80"/>
      <c r="G1082" s="80"/>
      <c r="H1082" s="80"/>
      <c r="I1082" s="80"/>
      <c r="J1082" s="192">
        <f t="shared" si="662"/>
        <v>90</v>
      </c>
      <c r="K1082" s="192">
        <f t="shared" si="663"/>
        <v>6</v>
      </c>
      <c r="L1082" s="192" t="str">
        <f t="shared" si="658"/>
        <v/>
      </c>
      <c r="M1082" s="216" t="str">
        <f t="shared" ca="1" si="664"/>
        <v/>
      </c>
      <c r="N1082" s="216"/>
      <c r="O1082" s="216"/>
      <c r="P1082" s="216"/>
      <c r="Q1082" s="456">
        <f t="shared" ca="1" si="665"/>
        <v>1</v>
      </c>
      <c r="R1082" s="450">
        <f t="shared" ca="1" si="666"/>
        <v>12</v>
      </c>
      <c r="S1082" s="191">
        <f t="shared" si="667"/>
        <v>90</v>
      </c>
      <c r="T1082" s="191">
        <f t="shared" si="668"/>
        <v>6</v>
      </c>
      <c r="U1082" s="191">
        <f ca="1">OP!$D$5+$S1082-1</f>
        <v>122</v>
      </c>
      <c r="V1082" s="191" t="str">
        <f t="shared" si="669"/>
        <v/>
      </c>
      <c r="W1082" s="350">
        <f ca="1">IF(Q1082&lt;&gt;1,0,VLOOKUP(OP!$C$55,PVFB,$S1082+2,0))</f>
        <v>0</v>
      </c>
      <c r="X1082" s="473" t="str">
        <f t="shared" ca="1" si="682"/>
        <v/>
      </c>
      <c r="Y1082" s="348">
        <f t="shared" ca="1" si="683"/>
        <v>0</v>
      </c>
      <c r="Z1082" s="348">
        <f t="shared" ca="1" si="684"/>
        <v>8012</v>
      </c>
      <c r="AA1082" s="348">
        <f ca="1">IF(Q1082&lt;&gt;1,0,VLOOKUP(OP!$C$55,PVFB,$S1082+2,0))</f>
        <v>0</v>
      </c>
      <c r="AB1082" s="488" t="str">
        <f ca="1">IF(AND(S1082&lt;OP!$C$24,$U1082&lt;15),0,IF(AND($U1082&lt;15,$T1082=12),ROUND(VLOOKUP($S1082,DOWN16,5,0),3),IF($T1082=12,ROUND(($Z1082/10000)*$AA1082,3)+IF(AND($P$7="購買增額繳清保險",T1082=12,U1082=110),VLOOKUP(S1082,$B$10:$H$121,7,0),0),"")))</f>
        <v/>
      </c>
      <c r="AC1082" s="350" t="str">
        <f ca="1">IF(AND(S1082&lt;OP!$C$24,$U1082&lt;15),0,IF(AND($U1082&lt;16,$T1082=12),VLOOKUP($S1082,DOWN16,4,0),IF($T1082=12,ROUND(VLOOKUP(OP!$C$55,_DIE2,$S1082+1,0)*(Z1082/10000),0)+IF(AND($P$7="購買增額繳清保險",T1082=12,U1082=110),VLOOKUP(S1082,$B$10:$H$121,7,0),0),"")))</f>
        <v/>
      </c>
      <c r="AD1082" s="347"/>
      <c r="AE1082" s="350" t="str">
        <f t="shared" ca="1" si="659"/>
        <v/>
      </c>
      <c r="AF1082" s="351" t="str">
        <f t="shared" ca="1" si="660"/>
        <v/>
      </c>
      <c r="AG1082" s="340"/>
      <c r="AH1082" s="340"/>
      <c r="AI1082" s="340"/>
      <c r="AJ1082" s="340"/>
      <c r="AK1082" s="340"/>
      <c r="AL1082" s="340"/>
      <c r="AM1082" s="340"/>
      <c r="AN1082" s="340"/>
      <c r="AO1082" s="340"/>
      <c r="AP1082" s="340"/>
      <c r="AQ1082" s="340"/>
      <c r="AR1082" s="340"/>
      <c r="AS1082" s="340"/>
      <c r="AT1082" s="340"/>
      <c r="AU1082" s="340"/>
      <c r="AV1082" s="340"/>
      <c r="AY1082" s="340"/>
      <c r="AZ1082" s="465">
        <f t="shared" ca="1" si="670"/>
        <v>7.3698599999999999E-5</v>
      </c>
      <c r="BA1082" s="464">
        <f t="shared" ca="1" si="671"/>
        <v>0</v>
      </c>
      <c r="BB1082" s="465">
        <f t="shared" ca="1" si="671"/>
        <v>7.3698599999999999E-5</v>
      </c>
      <c r="BC1082" s="466">
        <f t="shared" ca="1" si="672"/>
        <v>75546</v>
      </c>
      <c r="BD1082" s="467">
        <f t="shared" ca="1" si="685"/>
        <v>75547</v>
      </c>
      <c r="BE1082" s="467">
        <f t="shared" ca="1" si="673"/>
        <v>75575</v>
      </c>
      <c r="BF1082" s="468">
        <f ca="1">IF(計算!$BC1082&lt;OP!$C$3,0,BD1082-BC1082)</f>
        <v>1</v>
      </c>
      <c r="BG1082" s="468">
        <f ca="1">IF($BE1082&gt;DATE(YEAR($BD$9)+OP!$C$57,MONTH($BD$9),DAY($BD$9)),0,$BE1082-$BD1082+1)</f>
        <v>0</v>
      </c>
      <c r="BH1082" s="469">
        <f t="shared" ca="1" si="674"/>
        <v>1</v>
      </c>
      <c r="BI1082" t="str">
        <f t="shared" si="690"/>
        <v/>
      </c>
      <c r="BJ1082">
        <v>5</v>
      </c>
      <c r="BN1082" s="468">
        <f t="shared" si="686"/>
        <v>90</v>
      </c>
      <c r="BO1082" s="468">
        <f t="shared" si="687"/>
        <v>5</v>
      </c>
      <c r="BP1082" s="467">
        <f t="shared" ca="1" si="675"/>
        <v>75547</v>
      </c>
      <c r="BQ1082" s="475">
        <f t="shared" ca="1" si="689"/>
        <v>122</v>
      </c>
      <c r="BR1082" s="475" t="str">
        <f t="shared" si="688"/>
        <v/>
      </c>
      <c r="BS1082" s="471" t="str">
        <f t="shared" si="676"/>
        <v/>
      </c>
      <c r="BT1082" s="472" t="str">
        <f t="shared" si="691"/>
        <v/>
      </c>
      <c r="BU1082" s="472">
        <f t="shared" ca="1" si="677"/>
        <v>0</v>
      </c>
      <c r="BV1082" s="472">
        <f t="shared" ca="1" si="677"/>
        <v>0</v>
      </c>
      <c r="BW1082" s="472"/>
      <c r="BX1082" s="473">
        <f t="shared" ca="1" si="678"/>
        <v>2783509.5261004898</v>
      </c>
      <c r="BY1082" s="473">
        <f t="shared" si="679"/>
        <v>0</v>
      </c>
      <c r="BZ1082" s="473">
        <f t="shared" ca="1" si="661"/>
        <v>205.14075516</v>
      </c>
      <c r="CA1082" s="476">
        <f t="shared" ca="1" si="680"/>
        <v>0</v>
      </c>
      <c r="CB1082" s="494">
        <f ca="1">IF(OR($Q1081&lt;&gt;1,OP!$D$5+$BN1082-1&lt;16,$BN1082-1&lt;1),0,ROUND(ROUND(ROUND(((VLOOKUP($BN1082-1,MORE_PV,5,0)/10000)*VLOOKUP($BN1082,MORE_PV,$CB$5,0)),3)*VLOOKUP($BN1082,more1,5,0),0)/$R1081,0))</f>
        <v>0</v>
      </c>
      <c r="CC1082" s="473">
        <f t="shared" ca="1" si="681"/>
        <v>0</v>
      </c>
      <c r="CD1082" s="477"/>
    </row>
    <row r="1083" spans="2:82" ht="16.5" hidden="1">
      <c r="B1083" s="80"/>
      <c r="C1083" s="80"/>
      <c r="D1083" s="80"/>
      <c r="E1083" s="80"/>
      <c r="F1083" s="80"/>
      <c r="G1083" s="80"/>
      <c r="H1083" s="80"/>
      <c r="I1083" s="80"/>
      <c r="J1083" s="192">
        <f t="shared" si="662"/>
        <v>90</v>
      </c>
      <c r="K1083" s="192">
        <f t="shared" si="663"/>
        <v>7</v>
      </c>
      <c r="L1083" s="192" t="str">
        <f t="shared" si="658"/>
        <v/>
      </c>
      <c r="M1083" s="216" t="str">
        <f t="shared" ca="1" si="664"/>
        <v/>
      </c>
      <c r="N1083" s="216"/>
      <c r="O1083" s="216"/>
      <c r="P1083" s="216"/>
      <c r="Q1083" s="456">
        <f t="shared" ca="1" si="665"/>
        <v>1</v>
      </c>
      <c r="R1083" s="450">
        <f t="shared" ca="1" si="666"/>
        <v>12</v>
      </c>
      <c r="S1083" s="191">
        <f t="shared" si="667"/>
        <v>90</v>
      </c>
      <c r="T1083" s="191">
        <f t="shared" si="668"/>
        <v>7</v>
      </c>
      <c r="U1083" s="191">
        <f ca="1">OP!$D$5+$S1083-1</f>
        <v>122</v>
      </c>
      <c r="V1083" s="191" t="str">
        <f t="shared" si="669"/>
        <v/>
      </c>
      <c r="W1083" s="350">
        <f ca="1">IF(Q1083&lt;&gt;1,0,VLOOKUP(OP!$C$55,PVFB,$S1083+2,0))</f>
        <v>0</v>
      </c>
      <c r="X1083" s="473" t="str">
        <f t="shared" ca="1" si="682"/>
        <v/>
      </c>
      <c r="Y1083" s="348">
        <f t="shared" ca="1" si="683"/>
        <v>0</v>
      </c>
      <c r="Z1083" s="348">
        <f t="shared" ca="1" si="684"/>
        <v>8012</v>
      </c>
      <c r="AA1083" s="348">
        <f ca="1">IF(Q1083&lt;&gt;1,0,VLOOKUP(OP!$C$55,PVFB,$S1083+2,0))</f>
        <v>0</v>
      </c>
      <c r="AB1083" s="488" t="str">
        <f ca="1">IF(AND(S1083&lt;OP!$C$24,$U1083&lt;15),0,IF(AND($U1083&lt;15,$T1083=12),ROUND(VLOOKUP($S1083,DOWN16,5,0),3),IF($T1083=12,ROUND(($Z1083/10000)*$AA1083,3)+IF(AND($P$7="購買增額繳清保險",T1083=12,U1083=110),VLOOKUP(S1083,$B$10:$H$121,7,0),0),"")))</f>
        <v/>
      </c>
      <c r="AC1083" s="350" t="str">
        <f ca="1">IF(AND(S1083&lt;OP!$C$24,$U1083&lt;15),0,IF(AND($U1083&lt;16,$T1083=12),VLOOKUP($S1083,DOWN16,4,0),IF($T1083=12,ROUND(VLOOKUP(OP!$C$55,_DIE2,$S1083+1,0)*(Z1083/10000),0)+IF(AND($P$7="購買增額繳清保險",T1083=12,U1083=110),VLOOKUP(S1083,$B$10:$H$121,7,0),0),"")))</f>
        <v/>
      </c>
      <c r="AD1083" s="347"/>
      <c r="AE1083" s="350" t="str">
        <f t="shared" ca="1" si="659"/>
        <v/>
      </c>
      <c r="AF1083" s="351" t="str">
        <f t="shared" ca="1" si="660"/>
        <v/>
      </c>
      <c r="AG1083" s="340"/>
      <c r="AH1083" s="340"/>
      <c r="AI1083" s="340"/>
      <c r="AJ1083" s="340"/>
      <c r="AK1083" s="340"/>
      <c r="AL1083" s="340"/>
      <c r="AM1083" s="340"/>
      <c r="AN1083" s="340"/>
      <c r="AO1083" s="340"/>
      <c r="AP1083" s="340"/>
      <c r="AQ1083" s="340"/>
      <c r="AR1083" s="340"/>
      <c r="AS1083" s="340"/>
      <c r="AT1083" s="340"/>
      <c r="AU1083" s="340"/>
      <c r="AV1083" s="340"/>
      <c r="AY1083" s="340"/>
      <c r="AZ1083" s="465">
        <f t="shared" ca="1" si="670"/>
        <v>7.3698599999999999E-5</v>
      </c>
      <c r="BA1083" s="464">
        <f t="shared" ca="1" si="671"/>
        <v>0</v>
      </c>
      <c r="BB1083" s="465">
        <f t="shared" ca="1" si="671"/>
        <v>7.3698599999999999E-5</v>
      </c>
      <c r="BC1083" s="466">
        <f t="shared" ca="1" si="672"/>
        <v>75576</v>
      </c>
      <c r="BD1083" s="467">
        <f t="shared" ca="1" si="685"/>
        <v>75577</v>
      </c>
      <c r="BE1083" s="467">
        <f t="shared" ca="1" si="673"/>
        <v>75606</v>
      </c>
      <c r="BF1083" s="468">
        <f ca="1">IF(計算!$BC1083&lt;OP!$C$3,0,BD1083-BC1083)</f>
        <v>1</v>
      </c>
      <c r="BG1083" s="468">
        <f ca="1">IF($BE1083&gt;DATE(YEAR($BD$9)+OP!$C$57,MONTH($BD$9),DAY($BD$9)),0,$BE1083-$BD1083+1)</f>
        <v>0</v>
      </c>
      <c r="BH1083" s="469">
        <f t="shared" ca="1" si="674"/>
        <v>1</v>
      </c>
      <c r="BI1083" t="str">
        <f t="shared" si="690"/>
        <v/>
      </c>
      <c r="BJ1083">
        <v>6</v>
      </c>
      <c r="BN1083" s="468">
        <f t="shared" si="686"/>
        <v>90</v>
      </c>
      <c r="BO1083" s="468">
        <f t="shared" si="687"/>
        <v>6</v>
      </c>
      <c r="BP1083" s="467">
        <f t="shared" ca="1" si="675"/>
        <v>75577</v>
      </c>
      <c r="BQ1083" s="475">
        <f t="shared" ca="1" si="689"/>
        <v>122</v>
      </c>
      <c r="BR1083" s="475" t="str">
        <f t="shared" si="688"/>
        <v/>
      </c>
      <c r="BS1083" s="471" t="str">
        <f t="shared" si="676"/>
        <v/>
      </c>
      <c r="BT1083" s="472" t="str">
        <f t="shared" si="691"/>
        <v/>
      </c>
      <c r="BU1083" s="472">
        <f t="shared" ca="1" si="677"/>
        <v>0</v>
      </c>
      <c r="BV1083" s="472">
        <f t="shared" ca="1" si="677"/>
        <v>0</v>
      </c>
      <c r="BW1083" s="472"/>
      <c r="BX1083" s="473">
        <f t="shared" ca="1" si="678"/>
        <v>2783714.66685565</v>
      </c>
      <c r="BY1083" s="473">
        <f t="shared" si="679"/>
        <v>0</v>
      </c>
      <c r="BZ1083" s="473">
        <f t="shared" ca="1" si="661"/>
        <v>205.15587374699999</v>
      </c>
      <c r="CA1083" s="476">
        <f t="shared" ca="1" si="680"/>
        <v>0</v>
      </c>
      <c r="CB1083" s="494">
        <f ca="1">IF(OR($Q1082&lt;&gt;1,OP!$D$5+$BN1083-1&lt;16,$BN1083-1&lt;1),0,ROUND(ROUND(ROUND(((VLOOKUP($BN1083-1,MORE_PV,5,0)/10000)*VLOOKUP($BN1083,MORE_PV,$CB$5,0)),3)*VLOOKUP($BN1083,more1,5,0),0)/$R1082,0))</f>
        <v>0</v>
      </c>
      <c r="CC1083" s="473">
        <f t="shared" ca="1" si="681"/>
        <v>0</v>
      </c>
      <c r="CD1083" s="477"/>
    </row>
    <row r="1084" spans="2:82" ht="16.5" hidden="1">
      <c r="B1084" s="80"/>
      <c r="C1084" s="80"/>
      <c r="D1084" s="80"/>
      <c r="E1084" s="80"/>
      <c r="F1084" s="80"/>
      <c r="G1084" s="80"/>
      <c r="H1084" s="80"/>
      <c r="I1084" s="80"/>
      <c r="J1084" s="192">
        <f t="shared" si="662"/>
        <v>90</v>
      </c>
      <c r="K1084" s="192">
        <f t="shared" si="663"/>
        <v>8</v>
      </c>
      <c r="L1084" s="192" t="str">
        <f t="shared" si="658"/>
        <v/>
      </c>
      <c r="M1084" s="216" t="str">
        <f t="shared" ca="1" si="664"/>
        <v/>
      </c>
      <c r="N1084" s="216"/>
      <c r="O1084" s="216"/>
      <c r="P1084" s="216"/>
      <c r="Q1084" s="456">
        <f t="shared" ca="1" si="665"/>
        <v>1</v>
      </c>
      <c r="R1084" s="450">
        <f t="shared" ca="1" si="666"/>
        <v>12</v>
      </c>
      <c r="S1084" s="191">
        <f t="shared" si="667"/>
        <v>90</v>
      </c>
      <c r="T1084" s="191">
        <f t="shared" si="668"/>
        <v>8</v>
      </c>
      <c r="U1084" s="191">
        <f ca="1">OP!$D$5+$S1084-1</f>
        <v>122</v>
      </c>
      <c r="V1084" s="191" t="str">
        <f t="shared" si="669"/>
        <v/>
      </c>
      <c r="W1084" s="350">
        <f ca="1">IF(Q1084&lt;&gt;1,0,VLOOKUP(OP!$C$55,PVFB,$S1084+2,0))</f>
        <v>0</v>
      </c>
      <c r="X1084" s="473" t="str">
        <f t="shared" ca="1" si="682"/>
        <v/>
      </c>
      <c r="Y1084" s="348">
        <f t="shared" ca="1" si="683"/>
        <v>0</v>
      </c>
      <c r="Z1084" s="348">
        <f t="shared" ca="1" si="684"/>
        <v>8012</v>
      </c>
      <c r="AA1084" s="348">
        <f ca="1">IF(Q1084&lt;&gt;1,0,VLOOKUP(OP!$C$55,PVFB,$S1084+2,0))</f>
        <v>0</v>
      </c>
      <c r="AB1084" s="488" t="str">
        <f ca="1">IF(AND(S1084&lt;OP!$C$24,$U1084&lt;15),0,IF(AND($U1084&lt;15,$T1084=12),ROUND(VLOOKUP($S1084,DOWN16,5,0),3),IF($T1084=12,ROUND(($Z1084/10000)*$AA1084,3)+IF(AND($P$7="購買增額繳清保險",T1084=12,U1084=110),VLOOKUP(S1084,$B$10:$H$121,7,0),0),"")))</f>
        <v/>
      </c>
      <c r="AC1084" s="350" t="str">
        <f ca="1">IF(AND(S1084&lt;OP!$C$24,$U1084&lt;15),0,IF(AND($U1084&lt;16,$T1084=12),VLOOKUP($S1084,DOWN16,4,0),IF($T1084=12,ROUND(VLOOKUP(OP!$C$55,_DIE2,$S1084+1,0)*(Z1084/10000),0)+IF(AND($P$7="購買增額繳清保險",T1084=12,U1084=110),VLOOKUP(S1084,$B$10:$H$121,7,0),0),"")))</f>
        <v/>
      </c>
      <c r="AD1084" s="347"/>
      <c r="AE1084" s="350" t="str">
        <f t="shared" ca="1" si="659"/>
        <v/>
      </c>
      <c r="AF1084" s="351" t="str">
        <f t="shared" ca="1" si="660"/>
        <v/>
      </c>
      <c r="AG1084" s="340"/>
      <c r="AH1084" s="340"/>
      <c r="AI1084" s="340"/>
      <c r="AJ1084" s="340"/>
      <c r="AK1084" s="340"/>
      <c r="AL1084" s="340"/>
      <c r="AM1084" s="340"/>
      <c r="AN1084" s="340"/>
      <c r="AO1084" s="340"/>
      <c r="AP1084" s="340"/>
      <c r="AQ1084" s="340"/>
      <c r="AR1084" s="340"/>
      <c r="AS1084" s="340"/>
      <c r="AT1084" s="340"/>
      <c r="AU1084" s="340"/>
      <c r="AV1084" s="340"/>
      <c r="AY1084" s="340"/>
      <c r="AZ1084" s="465">
        <f t="shared" ca="1" si="670"/>
        <v>7.3698599999999999E-5</v>
      </c>
      <c r="BA1084" s="464">
        <f t="shared" ca="1" si="671"/>
        <v>0</v>
      </c>
      <c r="BB1084" s="465">
        <f t="shared" ca="1" si="671"/>
        <v>7.3698599999999999E-5</v>
      </c>
      <c r="BC1084" s="466">
        <f t="shared" ca="1" si="672"/>
        <v>75607</v>
      </c>
      <c r="BD1084" s="467">
        <f t="shared" ca="1" si="685"/>
        <v>75608</v>
      </c>
      <c r="BE1084" s="467">
        <f t="shared" ca="1" si="673"/>
        <v>75637</v>
      </c>
      <c r="BF1084" s="468">
        <f ca="1">IF(計算!$BC1084&lt;OP!$C$3,0,BD1084-BC1084)</f>
        <v>1</v>
      </c>
      <c r="BG1084" s="468">
        <f ca="1">IF($BE1084&gt;DATE(YEAR($BD$9)+OP!$C$57,MONTH($BD$9),DAY($BD$9)),0,$BE1084-$BD1084+1)</f>
        <v>0</v>
      </c>
      <c r="BH1084" s="469">
        <f t="shared" ca="1" si="674"/>
        <v>1</v>
      </c>
      <c r="BI1084" t="str">
        <f t="shared" si="690"/>
        <v/>
      </c>
      <c r="BJ1084">
        <v>7</v>
      </c>
      <c r="BN1084" s="468">
        <f t="shared" si="686"/>
        <v>90</v>
      </c>
      <c r="BO1084" s="468">
        <f t="shared" si="687"/>
        <v>7</v>
      </c>
      <c r="BP1084" s="467">
        <f t="shared" ca="1" si="675"/>
        <v>75608</v>
      </c>
      <c r="BQ1084" s="475">
        <f t="shared" ca="1" si="689"/>
        <v>122</v>
      </c>
      <c r="BR1084" s="475" t="str">
        <f t="shared" si="688"/>
        <v/>
      </c>
      <c r="BS1084" s="471" t="str">
        <f t="shared" si="676"/>
        <v/>
      </c>
      <c r="BT1084" s="472" t="str">
        <f t="shared" si="691"/>
        <v/>
      </c>
      <c r="BU1084" s="472">
        <f t="shared" ca="1" si="677"/>
        <v>0</v>
      </c>
      <c r="BV1084" s="472">
        <f t="shared" ca="1" si="677"/>
        <v>0</v>
      </c>
      <c r="BW1084" s="472"/>
      <c r="BX1084" s="473">
        <f t="shared" ca="1" si="678"/>
        <v>2783919.8227293999</v>
      </c>
      <c r="BY1084" s="473">
        <f t="shared" si="679"/>
        <v>0</v>
      </c>
      <c r="BZ1084" s="473">
        <f t="shared" ca="1" si="661"/>
        <v>205.170993447</v>
      </c>
      <c r="CA1084" s="476">
        <f t="shared" ca="1" si="680"/>
        <v>0</v>
      </c>
      <c r="CB1084" s="494">
        <f ca="1">IF(OR($Q1083&lt;&gt;1,OP!$D$5+$BN1084-1&lt;16,$BN1084-1&lt;1),0,ROUND(ROUND(ROUND(((VLOOKUP($BN1084-1,MORE_PV,5,0)/10000)*VLOOKUP($BN1084,MORE_PV,$CB$5,0)),3)*VLOOKUP($BN1084,more1,5,0),0)/$R1083,0))</f>
        <v>0</v>
      </c>
      <c r="CC1084" s="473">
        <f t="shared" ca="1" si="681"/>
        <v>0</v>
      </c>
      <c r="CD1084" s="477"/>
    </row>
    <row r="1085" spans="2:82" ht="16.5" hidden="1">
      <c r="B1085" s="80"/>
      <c r="C1085" s="80"/>
      <c r="D1085" s="80"/>
      <c r="E1085" s="80"/>
      <c r="F1085" s="80"/>
      <c r="G1085" s="80"/>
      <c r="H1085" s="80"/>
      <c r="I1085" s="80"/>
      <c r="J1085" s="192">
        <f t="shared" si="662"/>
        <v>90</v>
      </c>
      <c r="K1085" s="192">
        <f t="shared" si="663"/>
        <v>9</v>
      </c>
      <c r="L1085" s="192" t="str">
        <f t="shared" si="658"/>
        <v/>
      </c>
      <c r="M1085" s="216" t="str">
        <f t="shared" ca="1" si="664"/>
        <v/>
      </c>
      <c r="N1085" s="216"/>
      <c r="O1085" s="216"/>
      <c r="P1085" s="216"/>
      <c r="Q1085" s="456">
        <f t="shared" ca="1" si="665"/>
        <v>1</v>
      </c>
      <c r="R1085" s="450">
        <f t="shared" ca="1" si="666"/>
        <v>12</v>
      </c>
      <c r="S1085" s="191">
        <f t="shared" si="667"/>
        <v>90</v>
      </c>
      <c r="T1085" s="191">
        <f t="shared" si="668"/>
        <v>9</v>
      </c>
      <c r="U1085" s="191">
        <f ca="1">OP!$D$5+$S1085-1</f>
        <v>122</v>
      </c>
      <c r="V1085" s="191" t="str">
        <f t="shared" si="669"/>
        <v/>
      </c>
      <c r="W1085" s="350">
        <f ca="1">IF(Q1085&lt;&gt;1,0,VLOOKUP(OP!$C$55,PVFB,$S1085+2,0))</f>
        <v>0</v>
      </c>
      <c r="X1085" s="473" t="str">
        <f t="shared" ca="1" si="682"/>
        <v/>
      </c>
      <c r="Y1085" s="348">
        <f t="shared" ca="1" si="683"/>
        <v>0</v>
      </c>
      <c r="Z1085" s="348">
        <f t="shared" ca="1" si="684"/>
        <v>8012</v>
      </c>
      <c r="AA1085" s="348">
        <f ca="1">IF(Q1085&lt;&gt;1,0,VLOOKUP(OP!$C$55,PVFB,$S1085+2,0))</f>
        <v>0</v>
      </c>
      <c r="AB1085" s="488" t="str">
        <f ca="1">IF(AND(S1085&lt;OP!$C$24,$U1085&lt;15),0,IF(AND($U1085&lt;15,$T1085=12),ROUND(VLOOKUP($S1085,DOWN16,5,0),3),IF($T1085=12,ROUND(($Z1085/10000)*$AA1085,3)+IF(AND($P$7="購買增額繳清保險",T1085=12,U1085=110),VLOOKUP(S1085,$B$10:$H$121,7,0),0),"")))</f>
        <v/>
      </c>
      <c r="AC1085" s="350" t="str">
        <f ca="1">IF(AND(S1085&lt;OP!$C$24,$U1085&lt;15),0,IF(AND($U1085&lt;16,$T1085=12),VLOOKUP($S1085,DOWN16,4,0),IF($T1085=12,ROUND(VLOOKUP(OP!$C$55,_DIE2,$S1085+1,0)*(Z1085/10000),0)+IF(AND($P$7="購買增額繳清保險",T1085=12,U1085=110),VLOOKUP(S1085,$B$10:$H$121,7,0),0),"")))</f>
        <v/>
      </c>
      <c r="AD1085" s="347"/>
      <c r="AE1085" s="350" t="str">
        <f t="shared" ca="1" si="659"/>
        <v/>
      </c>
      <c r="AF1085" s="351" t="str">
        <f t="shared" ca="1" si="660"/>
        <v/>
      </c>
      <c r="AG1085" s="340"/>
      <c r="AH1085" s="340"/>
      <c r="AI1085" s="340"/>
      <c r="AJ1085" s="340"/>
      <c r="AK1085" s="340"/>
      <c r="AL1085" s="340"/>
      <c r="AM1085" s="340"/>
      <c r="AN1085" s="340"/>
      <c r="AO1085" s="340"/>
      <c r="AP1085" s="340"/>
      <c r="AQ1085" s="340"/>
      <c r="AR1085" s="340"/>
      <c r="AS1085" s="340"/>
      <c r="AT1085" s="340"/>
      <c r="AU1085" s="340"/>
      <c r="AV1085" s="340"/>
      <c r="AY1085" s="340"/>
      <c r="AZ1085" s="465">
        <f t="shared" ca="1" si="670"/>
        <v>7.3698599999999999E-5</v>
      </c>
      <c r="BA1085" s="464">
        <f t="shared" ca="1" si="671"/>
        <v>0</v>
      </c>
      <c r="BB1085" s="465">
        <f t="shared" ca="1" si="671"/>
        <v>7.3698599999999999E-5</v>
      </c>
      <c r="BC1085" s="466">
        <f t="shared" ca="1" si="672"/>
        <v>75638</v>
      </c>
      <c r="BD1085" s="467">
        <f t="shared" ca="1" si="685"/>
        <v>75639</v>
      </c>
      <c r="BE1085" s="467">
        <f t="shared" ca="1" si="673"/>
        <v>75665</v>
      </c>
      <c r="BF1085" s="468">
        <f ca="1">IF(計算!$BC1085&lt;OP!$C$3,0,BD1085-BC1085)</f>
        <v>1</v>
      </c>
      <c r="BG1085" s="468">
        <f ca="1">IF($BE1085&gt;DATE(YEAR($BD$9)+OP!$C$57,MONTH($BD$9),DAY($BD$9)),0,$BE1085-$BD1085+1)</f>
        <v>0</v>
      </c>
      <c r="BH1085" s="469">
        <f t="shared" ca="1" si="674"/>
        <v>1</v>
      </c>
      <c r="BI1085" t="str">
        <f t="shared" si="690"/>
        <v/>
      </c>
      <c r="BJ1085">
        <v>8</v>
      </c>
      <c r="BN1085" s="468">
        <f t="shared" si="686"/>
        <v>90</v>
      </c>
      <c r="BO1085" s="468">
        <f t="shared" si="687"/>
        <v>8</v>
      </c>
      <c r="BP1085" s="467">
        <f t="shared" ca="1" si="675"/>
        <v>75639</v>
      </c>
      <c r="BQ1085" s="475">
        <f t="shared" ca="1" si="689"/>
        <v>122</v>
      </c>
      <c r="BR1085" s="475" t="str">
        <f t="shared" si="688"/>
        <v/>
      </c>
      <c r="BS1085" s="471" t="str">
        <f t="shared" si="676"/>
        <v/>
      </c>
      <c r="BT1085" s="472" t="str">
        <f t="shared" si="691"/>
        <v/>
      </c>
      <c r="BU1085" s="472">
        <f t="shared" ca="1" si="677"/>
        <v>0</v>
      </c>
      <c r="BV1085" s="472">
        <f t="shared" ca="1" si="677"/>
        <v>0</v>
      </c>
      <c r="BW1085" s="472"/>
      <c r="BX1085" s="473">
        <f t="shared" ca="1" si="678"/>
        <v>2784124.99372285</v>
      </c>
      <c r="BY1085" s="473">
        <f t="shared" si="679"/>
        <v>0</v>
      </c>
      <c r="BZ1085" s="473">
        <f t="shared" ca="1" si="661"/>
        <v>205.18611426199999</v>
      </c>
      <c r="CA1085" s="476">
        <f t="shared" ca="1" si="680"/>
        <v>0</v>
      </c>
      <c r="CB1085" s="494">
        <f ca="1">IF(OR($Q1084&lt;&gt;1,OP!$D$5+$BN1085-1&lt;16,$BN1085-1&lt;1),0,ROUND(ROUND(ROUND(((VLOOKUP($BN1085-1,MORE_PV,5,0)/10000)*VLOOKUP($BN1085,MORE_PV,$CB$5,0)),3)*VLOOKUP($BN1085,more1,5,0),0)/$R1084,0))</f>
        <v>0</v>
      </c>
      <c r="CC1085" s="473">
        <f t="shared" ca="1" si="681"/>
        <v>0</v>
      </c>
      <c r="CD1085" s="477"/>
    </row>
    <row r="1086" spans="2:82" ht="16.5" hidden="1">
      <c r="B1086" s="80"/>
      <c r="C1086" s="80"/>
      <c r="D1086" s="80"/>
      <c r="E1086" s="80"/>
      <c r="F1086" s="80"/>
      <c r="G1086" s="80"/>
      <c r="H1086" s="80"/>
      <c r="I1086" s="80"/>
      <c r="J1086" s="192">
        <f t="shared" si="662"/>
        <v>90</v>
      </c>
      <c r="K1086" s="192">
        <f t="shared" si="663"/>
        <v>10</v>
      </c>
      <c r="L1086" s="192" t="str">
        <f t="shared" si="658"/>
        <v/>
      </c>
      <c r="M1086" s="216" t="str">
        <f t="shared" ca="1" si="664"/>
        <v/>
      </c>
      <c r="N1086" s="216"/>
      <c r="O1086" s="216"/>
      <c r="P1086" s="216"/>
      <c r="Q1086" s="456">
        <f t="shared" ca="1" si="665"/>
        <v>1</v>
      </c>
      <c r="R1086" s="450">
        <f t="shared" ca="1" si="666"/>
        <v>12</v>
      </c>
      <c r="S1086" s="191">
        <f t="shared" si="667"/>
        <v>90</v>
      </c>
      <c r="T1086" s="191">
        <f t="shared" si="668"/>
        <v>10</v>
      </c>
      <c r="U1086" s="191">
        <f ca="1">OP!$D$5+$S1086-1</f>
        <v>122</v>
      </c>
      <c r="V1086" s="191" t="str">
        <f t="shared" si="669"/>
        <v/>
      </c>
      <c r="W1086" s="350">
        <f ca="1">IF(Q1086&lt;&gt;1,0,VLOOKUP(OP!$C$55,PVFB,$S1086+2,0))</f>
        <v>0</v>
      </c>
      <c r="X1086" s="473" t="str">
        <f t="shared" ca="1" si="682"/>
        <v/>
      </c>
      <c r="Y1086" s="348">
        <f t="shared" ca="1" si="683"/>
        <v>0</v>
      </c>
      <c r="Z1086" s="348">
        <f t="shared" ca="1" si="684"/>
        <v>8012</v>
      </c>
      <c r="AA1086" s="348">
        <f ca="1">IF(Q1086&lt;&gt;1,0,VLOOKUP(OP!$C$55,PVFB,$S1086+2,0))</f>
        <v>0</v>
      </c>
      <c r="AB1086" s="488" t="str">
        <f ca="1">IF(AND(S1086&lt;OP!$C$24,$U1086&lt;15),0,IF(AND($U1086&lt;15,$T1086=12),ROUND(VLOOKUP($S1086,DOWN16,5,0),3),IF($T1086=12,ROUND(($Z1086/10000)*$AA1086,3)+IF(AND($P$7="購買增額繳清保險",T1086=12,U1086=110),VLOOKUP(S1086,$B$10:$H$121,7,0),0),"")))</f>
        <v/>
      </c>
      <c r="AC1086" s="350" t="str">
        <f ca="1">IF(AND(S1086&lt;OP!$C$24,$U1086&lt;15),0,IF(AND($U1086&lt;16,$T1086=12),VLOOKUP($S1086,DOWN16,4,0),IF($T1086=12,ROUND(VLOOKUP(OP!$C$55,_DIE2,$S1086+1,0)*(Z1086/10000),0)+IF(AND($P$7="購買增額繳清保險",T1086=12,U1086=110),VLOOKUP(S1086,$B$10:$H$121,7,0),0),"")))</f>
        <v/>
      </c>
      <c r="AD1086" s="347"/>
      <c r="AE1086" s="350" t="str">
        <f t="shared" ca="1" si="659"/>
        <v/>
      </c>
      <c r="AF1086" s="351" t="str">
        <f t="shared" ca="1" si="660"/>
        <v/>
      </c>
      <c r="AG1086" s="340"/>
      <c r="AH1086" s="340"/>
      <c r="AI1086" s="340"/>
      <c r="AJ1086" s="340"/>
      <c r="AK1086" s="340"/>
      <c r="AL1086" s="340"/>
      <c r="AM1086" s="340"/>
      <c r="AN1086" s="340"/>
      <c r="AO1086" s="340"/>
      <c r="AP1086" s="340"/>
      <c r="AQ1086" s="340"/>
      <c r="AR1086" s="340"/>
      <c r="AS1086" s="340"/>
      <c r="AT1086" s="340"/>
      <c r="AU1086" s="340"/>
      <c r="AV1086" s="340"/>
      <c r="AY1086" s="340"/>
      <c r="AZ1086" s="465">
        <f t="shared" ca="1" si="670"/>
        <v>7.3698599999999999E-5</v>
      </c>
      <c r="BA1086" s="464">
        <f t="shared" ca="1" si="671"/>
        <v>0</v>
      </c>
      <c r="BB1086" s="465">
        <f t="shared" ca="1" si="671"/>
        <v>7.3698599999999999E-5</v>
      </c>
      <c r="BC1086" s="466">
        <f t="shared" ca="1" si="672"/>
        <v>75666</v>
      </c>
      <c r="BD1086" s="467">
        <f t="shared" ca="1" si="685"/>
        <v>75667</v>
      </c>
      <c r="BE1086" s="467">
        <f t="shared" ca="1" si="673"/>
        <v>75696</v>
      </c>
      <c r="BF1086" s="468">
        <f ca="1">IF(計算!$BC1086&lt;OP!$C$3,0,BD1086-BC1086)</f>
        <v>1</v>
      </c>
      <c r="BG1086" s="468">
        <f ca="1">IF($BE1086&gt;DATE(YEAR($BD$9)+OP!$C$57,MONTH($BD$9),DAY($BD$9)),0,$BE1086-$BD1086+1)</f>
        <v>0</v>
      </c>
      <c r="BH1086" s="469">
        <f t="shared" ca="1" si="674"/>
        <v>1</v>
      </c>
      <c r="BI1086" t="str">
        <f t="shared" si="690"/>
        <v/>
      </c>
      <c r="BJ1086">
        <v>9</v>
      </c>
      <c r="BN1086" s="468">
        <f t="shared" si="686"/>
        <v>90</v>
      </c>
      <c r="BO1086" s="468">
        <f t="shared" si="687"/>
        <v>9</v>
      </c>
      <c r="BP1086" s="467">
        <f t="shared" ca="1" si="675"/>
        <v>75667</v>
      </c>
      <c r="BQ1086" s="475">
        <f t="shared" ca="1" si="689"/>
        <v>122</v>
      </c>
      <c r="BR1086" s="475" t="str">
        <f t="shared" si="688"/>
        <v/>
      </c>
      <c r="BS1086" s="471" t="str">
        <f t="shared" si="676"/>
        <v/>
      </c>
      <c r="BT1086" s="472" t="str">
        <f t="shared" si="691"/>
        <v/>
      </c>
      <c r="BU1086" s="472">
        <f t="shared" ca="1" si="677"/>
        <v>0</v>
      </c>
      <c r="BV1086" s="472">
        <f t="shared" ca="1" si="677"/>
        <v>0</v>
      </c>
      <c r="BW1086" s="472"/>
      <c r="BX1086" s="473">
        <f t="shared" ca="1" si="678"/>
        <v>2784330.17983711</v>
      </c>
      <c r="BY1086" s="473">
        <f t="shared" si="679"/>
        <v>0</v>
      </c>
      <c r="BZ1086" s="473">
        <f t="shared" ca="1" si="661"/>
        <v>205.20123619200001</v>
      </c>
      <c r="CA1086" s="476">
        <f t="shared" ca="1" si="680"/>
        <v>0</v>
      </c>
      <c r="CB1086" s="494">
        <f ca="1">IF(OR($Q1085&lt;&gt;1,OP!$D$5+$BN1086-1&lt;16,$BN1086-1&lt;1),0,ROUND(ROUND(ROUND(((VLOOKUP($BN1086-1,MORE_PV,5,0)/10000)*VLOOKUP($BN1086,MORE_PV,$CB$5,0)),3)*VLOOKUP($BN1086,more1,5,0),0)/$R1085,0))</f>
        <v>0</v>
      </c>
      <c r="CC1086" s="473">
        <f t="shared" ca="1" si="681"/>
        <v>0</v>
      </c>
      <c r="CD1086" s="477"/>
    </row>
    <row r="1087" spans="2:82" ht="16.5" hidden="1">
      <c r="B1087" s="80"/>
      <c r="C1087" s="80"/>
      <c r="D1087" s="80"/>
      <c r="E1087" s="80"/>
      <c r="F1087" s="80"/>
      <c r="G1087" s="80"/>
      <c r="H1087" s="80"/>
      <c r="I1087" s="80"/>
      <c r="J1087" s="192">
        <f t="shared" si="662"/>
        <v>90</v>
      </c>
      <c r="K1087" s="192">
        <f t="shared" si="663"/>
        <v>11</v>
      </c>
      <c r="L1087" s="192" t="str">
        <f t="shared" si="658"/>
        <v/>
      </c>
      <c r="M1087" s="216" t="str">
        <f t="shared" ca="1" si="664"/>
        <v/>
      </c>
      <c r="N1087" s="216"/>
      <c r="O1087" s="216"/>
      <c r="P1087" s="216"/>
      <c r="Q1087" s="456">
        <f t="shared" ca="1" si="665"/>
        <v>1</v>
      </c>
      <c r="R1087" s="450">
        <f t="shared" ca="1" si="666"/>
        <v>12</v>
      </c>
      <c r="S1087" s="191">
        <f t="shared" si="667"/>
        <v>90</v>
      </c>
      <c r="T1087" s="191">
        <f t="shared" si="668"/>
        <v>11</v>
      </c>
      <c r="U1087" s="191">
        <f ca="1">OP!$D$5+$S1087-1</f>
        <v>122</v>
      </c>
      <c r="V1087" s="191" t="str">
        <f t="shared" si="669"/>
        <v/>
      </c>
      <c r="W1087" s="350">
        <f ca="1">IF(Q1087&lt;&gt;1,0,VLOOKUP(OP!$C$55,PVFB,$S1087+2,0))</f>
        <v>0</v>
      </c>
      <c r="X1087" s="473" t="str">
        <f t="shared" ca="1" si="682"/>
        <v/>
      </c>
      <c r="Y1087" s="348">
        <f t="shared" ca="1" si="683"/>
        <v>0</v>
      </c>
      <c r="Z1087" s="348">
        <f t="shared" ca="1" si="684"/>
        <v>8012</v>
      </c>
      <c r="AA1087" s="348">
        <f ca="1">IF(Q1087&lt;&gt;1,0,VLOOKUP(OP!$C$55,PVFB,$S1087+2,0))</f>
        <v>0</v>
      </c>
      <c r="AB1087" s="488" t="str">
        <f ca="1">IF(AND(S1087&lt;OP!$C$24,$U1087&lt;15),0,IF(AND($U1087&lt;15,$T1087=12),ROUND(VLOOKUP($S1087,DOWN16,5,0),3),IF($T1087=12,ROUND(($Z1087/10000)*$AA1087,3)+IF(AND($P$7="購買增額繳清保險",T1087=12,U1087=110),VLOOKUP(S1087,$B$10:$H$121,7,0),0),"")))</f>
        <v/>
      </c>
      <c r="AC1087" s="350" t="str">
        <f ca="1">IF(AND(S1087&lt;OP!$C$24,$U1087&lt;15),0,IF(AND($U1087&lt;16,$T1087=12),VLOOKUP($S1087,DOWN16,4,0),IF($T1087=12,ROUND(VLOOKUP(OP!$C$55,_DIE2,$S1087+1,0)*(Z1087/10000),0)+IF(AND($P$7="購買增額繳清保險",T1087=12,U1087=110),VLOOKUP(S1087,$B$10:$H$121,7,0),0),"")))</f>
        <v/>
      </c>
      <c r="AD1087" s="347"/>
      <c r="AE1087" s="350" t="str">
        <f t="shared" ca="1" si="659"/>
        <v/>
      </c>
      <c r="AF1087" s="351" t="str">
        <f t="shared" ca="1" si="660"/>
        <v/>
      </c>
      <c r="AG1087" s="340"/>
      <c r="AH1087" s="340"/>
      <c r="AI1087" s="340"/>
      <c r="AJ1087" s="340"/>
      <c r="AK1087" s="340"/>
      <c r="AL1087" s="340"/>
      <c r="AM1087" s="340"/>
      <c r="AN1087" s="340"/>
      <c r="AO1087" s="340"/>
      <c r="AP1087" s="340"/>
      <c r="AQ1087" s="340"/>
      <c r="AR1087" s="340"/>
      <c r="AS1087" s="340"/>
      <c r="AT1087" s="340"/>
      <c r="AU1087" s="340"/>
      <c r="AV1087" s="340"/>
      <c r="AY1087" s="340"/>
      <c r="AZ1087" s="465">
        <f t="shared" ca="1" si="670"/>
        <v>7.3698599999999999E-5</v>
      </c>
      <c r="BA1087" s="464">
        <f t="shared" ca="1" si="671"/>
        <v>0</v>
      </c>
      <c r="BB1087" s="465">
        <f t="shared" ca="1" si="671"/>
        <v>7.3698599999999999E-5</v>
      </c>
      <c r="BC1087" s="466">
        <f t="shared" ca="1" si="672"/>
        <v>75697</v>
      </c>
      <c r="BD1087" s="467">
        <f t="shared" ca="1" si="685"/>
        <v>75698</v>
      </c>
      <c r="BE1087" s="467">
        <f t="shared" ca="1" si="673"/>
        <v>75726</v>
      </c>
      <c r="BF1087" s="468">
        <f ca="1">IF(計算!$BC1087&lt;OP!$C$3,0,BD1087-BC1087)</f>
        <v>1</v>
      </c>
      <c r="BG1087" s="468">
        <f ca="1">IF($BE1087&gt;DATE(YEAR($BD$9)+OP!$C$57,MONTH($BD$9),DAY($BD$9)),0,$BE1087-$BD1087+1)</f>
        <v>0</v>
      </c>
      <c r="BH1087" s="469">
        <f t="shared" ca="1" si="674"/>
        <v>1</v>
      </c>
      <c r="BI1087" t="str">
        <f t="shared" si="690"/>
        <v/>
      </c>
      <c r="BJ1087">
        <v>10</v>
      </c>
      <c r="BN1087" s="468">
        <f t="shared" si="686"/>
        <v>90</v>
      </c>
      <c r="BO1087" s="468">
        <f t="shared" si="687"/>
        <v>10</v>
      </c>
      <c r="BP1087" s="467">
        <f t="shared" ca="1" si="675"/>
        <v>75698</v>
      </c>
      <c r="BQ1087" s="475">
        <f t="shared" ca="1" si="689"/>
        <v>122</v>
      </c>
      <c r="BR1087" s="475" t="str">
        <f t="shared" si="688"/>
        <v/>
      </c>
      <c r="BS1087" s="471" t="str">
        <f t="shared" si="676"/>
        <v/>
      </c>
      <c r="BT1087" s="472" t="str">
        <f t="shared" si="691"/>
        <v/>
      </c>
      <c r="BU1087" s="472">
        <f t="shared" ca="1" si="677"/>
        <v>0</v>
      </c>
      <c r="BV1087" s="472">
        <f t="shared" ca="1" si="677"/>
        <v>0</v>
      </c>
      <c r="BW1087" s="472"/>
      <c r="BX1087" s="473">
        <f t="shared" ca="1" si="678"/>
        <v>2784535.3810732998</v>
      </c>
      <c r="BY1087" s="473">
        <f t="shared" si="679"/>
        <v>0</v>
      </c>
      <c r="BZ1087" s="473">
        <f t="shared" ca="1" si="661"/>
        <v>205.21635923599999</v>
      </c>
      <c r="CA1087" s="476">
        <f t="shared" ca="1" si="680"/>
        <v>0</v>
      </c>
      <c r="CB1087" s="494">
        <f ca="1">IF(OR($Q1086&lt;&gt;1,OP!$D$5+$BN1087-1&lt;16,$BN1087-1&lt;1),0,ROUND(ROUND(ROUND(((VLOOKUP($BN1087-1,MORE_PV,5,0)/10000)*VLOOKUP($BN1087,MORE_PV,$CB$5,0)),3)*VLOOKUP($BN1087,more1,5,0),0)/$R1086,0))</f>
        <v>0</v>
      </c>
      <c r="CC1087" s="473">
        <f t="shared" ca="1" si="681"/>
        <v>0</v>
      </c>
      <c r="CD1087" s="477"/>
    </row>
    <row r="1088" spans="2:82" ht="16.5" hidden="1">
      <c r="B1088" s="80"/>
      <c r="C1088" s="80"/>
      <c r="D1088" s="80"/>
      <c r="E1088" s="80"/>
      <c r="F1088" s="80"/>
      <c r="G1088" s="80"/>
      <c r="H1088" s="80"/>
      <c r="I1088" s="80"/>
      <c r="J1088" s="192">
        <f t="shared" si="662"/>
        <v>90</v>
      </c>
      <c r="K1088" s="192">
        <f t="shared" si="663"/>
        <v>12</v>
      </c>
      <c r="L1088" s="192">
        <f t="shared" si="658"/>
        <v>90</v>
      </c>
      <c r="M1088" s="216">
        <f t="shared" ca="1" si="664"/>
        <v>2785150</v>
      </c>
      <c r="N1088" s="216"/>
      <c r="O1088" s="216"/>
      <c r="P1088" s="216"/>
      <c r="Q1088" s="456">
        <f t="shared" ca="1" si="665"/>
        <v>1</v>
      </c>
      <c r="R1088" s="450">
        <f t="shared" ca="1" si="666"/>
        <v>12</v>
      </c>
      <c r="S1088" s="191">
        <f t="shared" si="667"/>
        <v>90</v>
      </c>
      <c r="T1088" s="191">
        <f t="shared" si="668"/>
        <v>12</v>
      </c>
      <c r="U1088" s="191">
        <f ca="1">OP!$D$5+$S1088-1</f>
        <v>122</v>
      </c>
      <c r="V1088" s="191">
        <f t="shared" si="669"/>
        <v>90</v>
      </c>
      <c r="W1088" s="350">
        <f ca="1">IF(Q1088&lt;&gt;1,0,VLOOKUP(OP!$C$55,PVFB,$S1088+2,0))</f>
        <v>0</v>
      </c>
      <c r="X1088" s="473">
        <f t="shared" ca="1" si="682"/>
        <v>0</v>
      </c>
      <c r="Y1088" s="348">
        <f t="shared" ca="1" si="683"/>
        <v>0</v>
      </c>
      <c r="Z1088" s="348">
        <f t="shared" ca="1" si="684"/>
        <v>8012</v>
      </c>
      <c r="AA1088" s="348">
        <f ca="1">IF(Q1088&lt;&gt;1,0,VLOOKUP(OP!$C$55,PVFB,$S1088+2,0))</f>
        <v>0</v>
      </c>
      <c r="AB1088" s="488">
        <f ca="1">IF(AND(S1088&lt;OP!$C$24,$U1088&lt;15),0,IF(AND($U1088&lt;15,$T1088=12),ROUND(VLOOKUP($S1088,DOWN16,5,0),3),IF($T1088=12,ROUND(($Z1088/10000)*$AA1088,3)+IF(AND($P$7="購買增額繳清保險",T1088=12,U1088=110),VLOOKUP(S1088,$B$10:$H$121,7,0),0),"")))</f>
        <v>0</v>
      </c>
      <c r="AC1088" s="350">
        <f ca="1">IF(AND(S1088&lt;OP!$C$24,$U1088&lt;15),0,IF(AND($U1088&lt;16,$T1088=12),VLOOKUP($S1088,DOWN16,4,0),IF($T1088=12,ROUND(VLOOKUP(OP!$C$55,_DIE2,$S1088+1,0)*(Z1088/10000),0)+IF(AND($P$7="購買增額繳清保險",T1088=12,U1088=110),VLOOKUP(S1088,$B$10:$H$121,7,0),0),"")))</f>
        <v>0</v>
      </c>
      <c r="AD1088" s="347"/>
      <c r="AE1088" s="350" t="str">
        <f t="shared" ca="1" si="659"/>
        <v/>
      </c>
      <c r="AF1088" s="351" t="str">
        <f t="shared" ca="1" si="660"/>
        <v/>
      </c>
      <c r="AG1088" s="340"/>
      <c r="AH1088" s="340"/>
      <c r="AI1088" s="340"/>
      <c r="AJ1088" s="340"/>
      <c r="AK1088" s="340"/>
      <c r="AL1088" s="340"/>
      <c r="AM1088" s="340"/>
      <c r="AN1088" s="340"/>
      <c r="AO1088" s="340"/>
      <c r="AP1088" s="340"/>
      <c r="AQ1088" s="340"/>
      <c r="AR1088" s="340"/>
      <c r="AS1088" s="340"/>
      <c r="AT1088" s="340"/>
      <c r="AU1088" s="340"/>
      <c r="AV1088" s="340"/>
      <c r="AY1088" s="340"/>
      <c r="AZ1088" s="465">
        <f t="shared" ca="1" si="670"/>
        <v>7.3698599999999999E-5</v>
      </c>
      <c r="BA1088" s="464">
        <f t="shared" ca="1" si="671"/>
        <v>0</v>
      </c>
      <c r="BB1088" s="465">
        <f t="shared" ca="1" si="671"/>
        <v>7.3698599999999999E-5</v>
      </c>
      <c r="BC1088" s="466">
        <f t="shared" ca="1" si="672"/>
        <v>75727</v>
      </c>
      <c r="BD1088" s="467">
        <f t="shared" ca="1" si="685"/>
        <v>75728</v>
      </c>
      <c r="BE1088" s="467">
        <f t="shared" ca="1" si="673"/>
        <v>75757</v>
      </c>
      <c r="BF1088" s="468">
        <f ca="1">IF(計算!$BC1088&lt;OP!$C$3,0,BD1088-BC1088)</f>
        <v>1</v>
      </c>
      <c r="BG1088" s="468">
        <f ca="1">IF($BE1088&gt;DATE(YEAR($BD$9)+OP!$C$57,MONTH($BD$9),DAY($BD$9)),0,$BE1088-$BD1088+1)</f>
        <v>0</v>
      </c>
      <c r="BH1088" s="469">
        <f t="shared" ca="1" si="674"/>
        <v>1</v>
      </c>
      <c r="BI1088" t="str">
        <f t="shared" si="690"/>
        <v/>
      </c>
      <c r="BJ1088">
        <v>11</v>
      </c>
      <c r="BN1088" s="468">
        <f t="shared" si="686"/>
        <v>90</v>
      </c>
      <c r="BO1088" s="468">
        <f t="shared" si="687"/>
        <v>11</v>
      </c>
      <c r="BP1088" s="467">
        <f t="shared" ca="1" si="675"/>
        <v>75728</v>
      </c>
      <c r="BQ1088" s="475">
        <f t="shared" ca="1" si="689"/>
        <v>122</v>
      </c>
      <c r="BR1088" s="475" t="str">
        <f t="shared" si="688"/>
        <v/>
      </c>
      <c r="BS1088" s="471" t="str">
        <f t="shared" si="676"/>
        <v/>
      </c>
      <c r="BT1088" s="472" t="str">
        <f t="shared" si="691"/>
        <v/>
      </c>
      <c r="BU1088" s="472">
        <f t="shared" ca="1" si="677"/>
        <v>0</v>
      </c>
      <c r="BV1088" s="472">
        <f t="shared" ca="1" si="677"/>
        <v>0</v>
      </c>
      <c r="BW1088" s="472"/>
      <c r="BX1088" s="473">
        <f t="shared" ca="1" si="678"/>
        <v>2784740.5974325398</v>
      </c>
      <c r="BY1088" s="473">
        <f t="shared" si="679"/>
        <v>0</v>
      </c>
      <c r="BZ1088" s="473">
        <f t="shared" ca="1" si="661"/>
        <v>205.23148339400001</v>
      </c>
      <c r="CA1088" s="476">
        <f t="shared" ca="1" si="680"/>
        <v>0</v>
      </c>
      <c r="CB1088" s="494">
        <f ca="1">IF(OR($Q1087&lt;&gt;1,OP!$D$5+$BN1088-1&lt;16,$BN1088-1&lt;1),0,ROUND(ROUND(ROUND(((VLOOKUP($BN1088-1,MORE_PV,5,0)/10000)*VLOOKUP($BN1088,MORE_PV,$CB$5,0)),3)*VLOOKUP($BN1088,more1,5,0),0)/$R1087,0))</f>
        <v>0</v>
      </c>
      <c r="CC1088" s="473">
        <f t="shared" ca="1" si="681"/>
        <v>0</v>
      </c>
      <c r="CD1088" s="477"/>
    </row>
    <row r="1089" spans="2:98" ht="16.5" hidden="1">
      <c r="B1089" s="80"/>
      <c r="C1089" s="80"/>
      <c r="D1089" s="80"/>
      <c r="E1089" s="80"/>
      <c r="F1089" s="80"/>
      <c r="G1089" s="80"/>
      <c r="H1089" s="80"/>
      <c r="I1089" s="80"/>
      <c r="J1089" s="192">
        <f t="shared" si="662"/>
        <v>91</v>
      </c>
      <c r="K1089" s="192">
        <f t="shared" si="663"/>
        <v>1</v>
      </c>
      <c r="L1089" s="192" t="str">
        <f t="shared" si="658"/>
        <v/>
      </c>
      <c r="M1089" s="216" t="str">
        <f t="shared" ca="1" si="664"/>
        <v/>
      </c>
      <c r="N1089" s="216"/>
      <c r="O1089" s="216"/>
      <c r="P1089" s="216"/>
      <c r="Q1089" s="456">
        <f t="shared" ca="1" si="665"/>
        <v>1</v>
      </c>
      <c r="R1089" s="450">
        <f t="shared" ca="1" si="666"/>
        <v>12</v>
      </c>
      <c r="S1089" s="191">
        <f t="shared" si="667"/>
        <v>91</v>
      </c>
      <c r="T1089" s="191">
        <f t="shared" si="668"/>
        <v>1</v>
      </c>
      <c r="U1089" s="191">
        <f ca="1">OP!$D$5+$S1089-1</f>
        <v>123</v>
      </c>
      <c r="V1089" s="191" t="str">
        <f t="shared" si="669"/>
        <v/>
      </c>
      <c r="W1089" s="350">
        <f ca="1">IF(Q1089&lt;&gt;1,0,VLOOKUP(OP!$C$55,PVFB,$S1089+2,0))</f>
        <v>0</v>
      </c>
      <c r="X1089" s="473" t="str">
        <f t="shared" ca="1" si="682"/>
        <v/>
      </c>
      <c r="Y1089" s="348">
        <f t="shared" ca="1" si="683"/>
        <v>0</v>
      </c>
      <c r="Z1089" s="348">
        <f t="shared" ca="1" si="684"/>
        <v>8012</v>
      </c>
      <c r="AA1089" s="348">
        <f ca="1">IF(Q1089&lt;&gt;1,0,VLOOKUP(OP!$C$55,PVFB,$S1089+2,0))</f>
        <v>0</v>
      </c>
      <c r="AB1089" s="488" t="str">
        <f ca="1">IF(AND(S1089&lt;OP!$C$24,$U1089&lt;15),0,IF(AND($U1089&lt;15,$T1089=12),ROUND(VLOOKUP($S1089,DOWN16,5,0),3),IF($T1089=12,ROUND(($Z1089/10000)*$AA1089,3)+IF(AND($P$7="購買增額繳清保險",T1089=12,U1089=110),VLOOKUP(S1089,$B$10:$H$121,7,0),0),"")))</f>
        <v/>
      </c>
      <c r="AC1089" s="350" t="str">
        <f ca="1">IF(AND(S1089&lt;OP!$C$24,$U1089&lt;15),0,IF(AND($U1089&lt;16,$T1089=12),VLOOKUP($S1089,DOWN16,4,0),IF($T1089=12,ROUND(VLOOKUP(OP!$C$55,_DIE2,$S1089+1,0)*(Z1089/10000),0)+IF(AND($P$7="購買增額繳清保險",T1089=12,U1089=110),VLOOKUP(S1089,$B$10:$H$121,7,0),0),"")))</f>
        <v/>
      </c>
      <c r="AD1089" s="347"/>
      <c r="AE1089" s="350" t="str">
        <f t="shared" ca="1" si="659"/>
        <v/>
      </c>
      <c r="AF1089" s="351" t="str">
        <f t="shared" ca="1" si="660"/>
        <v/>
      </c>
      <c r="AG1089" s="340"/>
      <c r="AH1089" s="340"/>
      <c r="AI1089" s="340"/>
      <c r="AJ1089" s="340"/>
      <c r="AK1089" s="340"/>
      <c r="AL1089" s="340"/>
      <c r="AM1089" s="340"/>
      <c r="AN1089" s="340"/>
      <c r="AO1089" s="340"/>
      <c r="AP1089" s="340"/>
      <c r="AQ1089" s="340"/>
      <c r="AR1089" s="340"/>
      <c r="AS1089" s="340"/>
      <c r="AT1089" s="340"/>
      <c r="AU1089" s="340"/>
      <c r="AV1089" s="340"/>
      <c r="AY1089" s="340"/>
      <c r="AZ1089" s="465">
        <f t="shared" ca="1" si="670"/>
        <v>7.3698599999999999E-5</v>
      </c>
      <c r="BA1089" s="464">
        <f t="shared" ca="1" si="671"/>
        <v>0</v>
      </c>
      <c r="BB1089" s="465">
        <f t="shared" ca="1" si="671"/>
        <v>7.3698599999999999E-5</v>
      </c>
      <c r="BC1089" s="479">
        <f t="shared" ca="1" si="672"/>
        <v>75758</v>
      </c>
      <c r="BD1089" s="467">
        <f t="shared" ca="1" si="685"/>
        <v>75759</v>
      </c>
      <c r="BE1089" s="467">
        <f t="shared" ca="1" si="673"/>
        <v>75787</v>
      </c>
      <c r="BF1089" s="481">
        <f ca="1">IF(計算!$BC1089&lt;OP!$C$3,0,BD1089-BC1089)</f>
        <v>1</v>
      </c>
      <c r="BG1089" s="481">
        <f ca="1">IF($BE1089&gt;DATE(YEAR($BD$9)+OP!$C$57,MONTH($BD$9),DAY($BD$9)),0,$BE1089-$BD1089+1)</f>
        <v>0</v>
      </c>
      <c r="BH1089" s="482">
        <f t="shared" ca="1" si="674"/>
        <v>1</v>
      </c>
      <c r="BI1089" s="483">
        <f t="shared" ca="1" si="690"/>
        <v>365</v>
      </c>
      <c r="BJ1089" s="483">
        <v>12</v>
      </c>
      <c r="BK1089" s="483"/>
      <c r="BL1089" s="483"/>
      <c r="BM1089" s="483"/>
      <c r="BN1089" s="481">
        <f t="shared" si="686"/>
        <v>90</v>
      </c>
      <c r="BO1089" s="481">
        <f t="shared" si="687"/>
        <v>12</v>
      </c>
      <c r="BP1089" s="480">
        <f t="shared" ca="1" si="675"/>
        <v>75759</v>
      </c>
      <c r="BQ1089" s="475">
        <f t="shared" ca="1" si="689"/>
        <v>122</v>
      </c>
      <c r="BR1089" s="484">
        <f t="shared" si="688"/>
        <v>90</v>
      </c>
      <c r="BS1089" s="471">
        <f t="shared" ca="1" si="676"/>
        <v>0</v>
      </c>
      <c r="BT1089" s="485">
        <f t="shared" ca="1" si="691"/>
        <v>2785150</v>
      </c>
      <c r="BU1089" s="485">
        <f t="shared" ca="1" si="677"/>
        <v>0</v>
      </c>
      <c r="BV1089" s="485">
        <f t="shared" ca="1" si="677"/>
        <v>0</v>
      </c>
      <c r="BW1089" s="485">
        <f ca="1">ROUND(SUM(BY1089,BZ1077:BZ1088),0)</f>
        <v>2462</v>
      </c>
      <c r="BX1089" s="473">
        <f t="shared" ca="1" si="678"/>
        <v>2785151.0755246002</v>
      </c>
      <c r="BY1089" s="473">
        <f t="shared" ca="1" si="679"/>
        <v>205.246608667</v>
      </c>
      <c r="BZ1089" s="473">
        <f t="shared" ca="1" si="661"/>
        <v>0</v>
      </c>
      <c r="CA1089" s="476">
        <f t="shared" ca="1" si="680"/>
        <v>0</v>
      </c>
      <c r="CB1089" s="494">
        <f ca="1">IF(OR($Q1088&lt;&gt;1,OP!$D$5+$BN1089-1&lt;16,$BN1089-1&lt;1),0,ROUND(ROUND(ROUND(((VLOOKUP($BN1089-1,MORE_PV,5,0)/10000)*VLOOKUP($BN1089,MORE_PV,$CB$5,0)),3)*VLOOKUP($BN1089,more1,5,0),0)/$R1088,0))</f>
        <v>0</v>
      </c>
      <c r="CC1089" s="473">
        <f t="shared" ca="1" si="681"/>
        <v>0</v>
      </c>
      <c r="CD1089" s="477"/>
      <c r="CE1089" s="483"/>
      <c r="CF1089" s="483"/>
      <c r="CG1089" s="483"/>
      <c r="CH1089" s="483"/>
      <c r="CI1089" s="483"/>
      <c r="CJ1089" s="483"/>
      <c r="CK1089" s="483"/>
      <c r="CL1089" s="483"/>
      <c r="CM1089" s="483"/>
      <c r="CN1089" s="483"/>
      <c r="CO1089" s="483"/>
      <c r="CP1089" s="483"/>
      <c r="CQ1089" s="483"/>
      <c r="CR1089" s="483"/>
      <c r="CS1089" s="483"/>
      <c r="CT1089" s="483"/>
    </row>
    <row r="1090" spans="2:98" ht="16.5" hidden="1">
      <c r="B1090" s="80"/>
      <c r="C1090" s="80"/>
      <c r="D1090" s="80"/>
      <c r="E1090" s="80"/>
      <c r="F1090" s="80"/>
      <c r="G1090" s="80"/>
      <c r="H1090" s="80"/>
      <c r="I1090" s="80"/>
      <c r="J1090" s="192">
        <f t="shared" si="662"/>
        <v>91</v>
      </c>
      <c r="K1090" s="192">
        <f t="shared" si="663"/>
        <v>2</v>
      </c>
      <c r="L1090" s="192" t="str">
        <f t="shared" si="658"/>
        <v/>
      </c>
      <c r="M1090" s="216" t="str">
        <f t="shared" ca="1" si="664"/>
        <v/>
      </c>
      <c r="N1090" s="216"/>
      <c r="O1090" s="216"/>
      <c r="P1090" s="216"/>
      <c r="Q1090" s="456">
        <f t="shared" ca="1" si="665"/>
        <v>1</v>
      </c>
      <c r="R1090" s="450">
        <f t="shared" ca="1" si="666"/>
        <v>12</v>
      </c>
      <c r="S1090" s="191">
        <f t="shared" si="667"/>
        <v>91</v>
      </c>
      <c r="T1090" s="191">
        <f t="shared" si="668"/>
        <v>2</v>
      </c>
      <c r="U1090" s="191">
        <f ca="1">OP!$D$5+$S1090-1</f>
        <v>123</v>
      </c>
      <c r="V1090" s="191" t="str">
        <f t="shared" si="669"/>
        <v/>
      </c>
      <c r="W1090" s="350">
        <f ca="1">IF(Q1090&lt;&gt;1,0,VLOOKUP(OP!$C$55,PVFB,$S1090+2,0))</f>
        <v>0</v>
      </c>
      <c r="X1090" s="473" t="str">
        <f t="shared" ca="1" si="682"/>
        <v/>
      </c>
      <c r="Y1090" s="348">
        <f t="shared" ca="1" si="683"/>
        <v>0</v>
      </c>
      <c r="Z1090" s="348">
        <f t="shared" ca="1" si="684"/>
        <v>8012</v>
      </c>
      <c r="AA1090" s="348">
        <f ca="1">IF(Q1090&lt;&gt;1,0,VLOOKUP(OP!$C$55,PVFB,$S1090+2,0))</f>
        <v>0</v>
      </c>
      <c r="AB1090" s="488" t="str">
        <f ca="1">IF(AND(S1090&lt;OP!$C$24,$U1090&lt;15),0,IF(AND($U1090&lt;15,$T1090=12),ROUND(VLOOKUP($S1090,DOWN16,5,0),3),IF($T1090=12,ROUND(($Z1090/10000)*$AA1090,3)+IF(AND($P$7="購買增額繳清保險",T1090=12,U1090=110),VLOOKUP(S1090,$B$10:$H$121,7,0),0),"")))</f>
        <v/>
      </c>
      <c r="AC1090" s="350" t="str">
        <f ca="1">IF(AND(S1090&lt;OP!$C$24,$U1090&lt;15),0,IF(AND($U1090&lt;16,$T1090=12),VLOOKUP($S1090,DOWN16,4,0),IF($T1090=12,ROUND(VLOOKUP(OP!$C$55,_DIE2,$S1090+1,0)*(Z1090/10000),0)+IF(AND($P$7="購買增額繳清保險",T1090=12,U1090=110),VLOOKUP(S1090,$B$10:$H$121,7,0),0),"")))</f>
        <v/>
      </c>
      <c r="AD1090" s="347"/>
      <c r="AE1090" s="350" t="str">
        <f t="shared" ca="1" si="659"/>
        <v/>
      </c>
      <c r="AF1090" s="351" t="str">
        <f t="shared" ca="1" si="660"/>
        <v/>
      </c>
      <c r="AG1090" s="340"/>
      <c r="AH1090" s="340"/>
      <c r="AI1090" s="340"/>
      <c r="AJ1090" s="340"/>
      <c r="AK1090" s="340"/>
      <c r="AL1090" s="340"/>
      <c r="AM1090" s="340"/>
      <c r="AN1090" s="340"/>
      <c r="AO1090" s="340"/>
      <c r="AP1090" s="340"/>
      <c r="AQ1090" s="340"/>
      <c r="AR1090" s="340"/>
      <c r="AS1090" s="340"/>
      <c r="AT1090" s="340"/>
      <c r="AU1090" s="340"/>
      <c r="AV1090" s="340"/>
      <c r="AY1090" s="340"/>
      <c r="AZ1090" s="465">
        <f t="shared" ca="1" si="670"/>
        <v>7.3698599999999999E-5</v>
      </c>
      <c r="BA1090" s="464">
        <f t="shared" ca="1" si="671"/>
        <v>0</v>
      </c>
      <c r="BB1090" s="465">
        <f t="shared" ca="1" si="671"/>
        <v>7.3698599999999999E-5</v>
      </c>
      <c r="BC1090" s="466">
        <f t="shared" ca="1" si="672"/>
        <v>75788</v>
      </c>
      <c r="BD1090" s="467">
        <f t="shared" ca="1" si="685"/>
        <v>75789</v>
      </c>
      <c r="BE1090" s="467">
        <f t="shared" ca="1" si="673"/>
        <v>75818</v>
      </c>
      <c r="BF1090" s="468">
        <f ca="1">IF(計算!$BC1090&lt;OP!$C$3,0,BD1090-BC1090)</f>
        <v>1</v>
      </c>
      <c r="BG1090" s="468">
        <f ca="1">IF($BE1090&gt;DATE(YEAR($BD$9)+OP!$C$57,MONTH($BD$9),DAY($BD$9)),0,$BE1090-$BD1090+1)</f>
        <v>0</v>
      </c>
      <c r="BH1090" s="469">
        <f t="shared" ca="1" si="674"/>
        <v>1</v>
      </c>
      <c r="BI1090" t="str">
        <f t="shared" si="690"/>
        <v/>
      </c>
      <c r="BJ1090">
        <v>1</v>
      </c>
      <c r="BN1090" s="468">
        <f t="shared" si="686"/>
        <v>91</v>
      </c>
      <c r="BO1090" s="468">
        <f t="shared" si="687"/>
        <v>1</v>
      </c>
      <c r="BP1090" s="467">
        <f t="shared" ca="1" si="675"/>
        <v>75789</v>
      </c>
      <c r="BQ1090" s="475">
        <f t="shared" ca="1" si="689"/>
        <v>123</v>
      </c>
      <c r="BR1090" s="475" t="str">
        <f t="shared" si="688"/>
        <v/>
      </c>
      <c r="BS1090" s="471" t="str">
        <f t="shared" si="676"/>
        <v/>
      </c>
      <c r="BT1090" s="472" t="str">
        <f t="shared" si="691"/>
        <v/>
      </c>
      <c r="BU1090" s="472">
        <f t="shared" ca="1" si="677"/>
        <v>0</v>
      </c>
      <c r="BV1090" s="472">
        <f t="shared" ca="1" si="677"/>
        <v>0</v>
      </c>
      <c r="BW1090" s="472"/>
      <c r="BX1090" s="473">
        <f t="shared" ca="1" si="678"/>
        <v>2785151.0755246002</v>
      </c>
      <c r="BY1090" s="473">
        <f t="shared" si="679"/>
        <v>0</v>
      </c>
      <c r="BZ1090" s="473">
        <f t="shared" ca="1" si="661"/>
        <v>205.261735055</v>
      </c>
      <c r="CA1090" s="476">
        <f t="shared" ca="1" si="680"/>
        <v>0</v>
      </c>
      <c r="CB1090" s="494">
        <f ca="1">IF(OR($Q1089&lt;&gt;1,OP!$D$5+$BN1090-1&lt;16,$BN1090-1&lt;1),0,ROUND(ROUND(ROUND(((VLOOKUP($BN1090-1,MORE_PV,5,0)/10000)*VLOOKUP($BN1090,MORE_PV,$CB$5,0)),3)*VLOOKUP($BN1090,more1,5,0),0)/$R1089,0))</f>
        <v>0</v>
      </c>
      <c r="CC1090" s="473">
        <f t="shared" ca="1" si="681"/>
        <v>0</v>
      </c>
      <c r="CD1090" s="477"/>
    </row>
    <row r="1091" spans="2:98" ht="16.5" hidden="1">
      <c r="B1091" s="80"/>
      <c r="C1091" s="80"/>
      <c r="D1091" s="80"/>
      <c r="E1091" s="80"/>
      <c r="F1091" s="80"/>
      <c r="G1091" s="80"/>
      <c r="H1091" s="80"/>
      <c r="I1091" s="80"/>
      <c r="J1091" s="192">
        <f t="shared" si="662"/>
        <v>91</v>
      </c>
      <c r="K1091" s="192">
        <f t="shared" si="663"/>
        <v>3</v>
      </c>
      <c r="L1091" s="192" t="str">
        <f t="shared" si="658"/>
        <v/>
      </c>
      <c r="M1091" s="216" t="str">
        <f t="shared" ca="1" si="664"/>
        <v/>
      </c>
      <c r="N1091" s="216"/>
      <c r="O1091" s="216"/>
      <c r="P1091" s="216"/>
      <c r="Q1091" s="456">
        <f t="shared" ca="1" si="665"/>
        <v>1</v>
      </c>
      <c r="R1091" s="450">
        <f t="shared" ca="1" si="666"/>
        <v>12</v>
      </c>
      <c r="S1091" s="191">
        <f t="shared" si="667"/>
        <v>91</v>
      </c>
      <c r="T1091" s="191">
        <f t="shared" si="668"/>
        <v>3</v>
      </c>
      <c r="U1091" s="191">
        <f ca="1">OP!$D$5+$S1091-1</f>
        <v>123</v>
      </c>
      <c r="V1091" s="191" t="str">
        <f t="shared" si="669"/>
        <v/>
      </c>
      <c r="W1091" s="350">
        <f ca="1">IF(Q1091&lt;&gt;1,0,VLOOKUP(OP!$C$55,PVFB,$S1091+2,0))</f>
        <v>0</v>
      </c>
      <c r="X1091" s="473" t="str">
        <f t="shared" ca="1" si="682"/>
        <v/>
      </c>
      <c r="Y1091" s="348">
        <f t="shared" ca="1" si="683"/>
        <v>0</v>
      </c>
      <c r="Z1091" s="348">
        <f t="shared" ca="1" si="684"/>
        <v>8012</v>
      </c>
      <c r="AA1091" s="348">
        <f ca="1">IF(Q1091&lt;&gt;1,0,VLOOKUP(OP!$C$55,PVFB,$S1091+2,0))</f>
        <v>0</v>
      </c>
      <c r="AB1091" s="488" t="str">
        <f ca="1">IF(AND(S1091&lt;OP!$C$24,$U1091&lt;15),0,IF(AND($U1091&lt;15,$T1091=12),ROUND(VLOOKUP($S1091,DOWN16,5,0),3),IF($T1091=12,ROUND(($Z1091/10000)*$AA1091,3)+IF(AND($P$7="購買增額繳清保險",T1091=12,U1091=110),VLOOKUP(S1091,$B$10:$H$121,7,0),0),"")))</f>
        <v/>
      </c>
      <c r="AC1091" s="350" t="str">
        <f ca="1">IF(AND(S1091&lt;OP!$C$24,$U1091&lt;15),0,IF(AND($U1091&lt;16,$T1091=12),VLOOKUP($S1091,DOWN16,4,0),IF($T1091=12,ROUND(VLOOKUP(OP!$C$55,_DIE2,$S1091+1,0)*(Z1091/10000),0)+IF(AND($P$7="購買增額繳清保險",T1091=12,U1091=110),VLOOKUP(S1091,$B$10:$H$121,7,0),0),"")))</f>
        <v/>
      </c>
      <c r="AD1091" s="347"/>
      <c r="AE1091" s="350" t="str">
        <f t="shared" ca="1" si="659"/>
        <v/>
      </c>
      <c r="AF1091" s="351" t="str">
        <f t="shared" ca="1" si="660"/>
        <v/>
      </c>
      <c r="AG1091" s="340"/>
      <c r="AH1091" s="340"/>
      <c r="AI1091" s="340"/>
      <c r="AJ1091" s="340"/>
      <c r="AK1091" s="340"/>
      <c r="AL1091" s="340"/>
      <c r="AM1091" s="340"/>
      <c r="AN1091" s="340"/>
      <c r="AO1091" s="340"/>
      <c r="AP1091" s="340"/>
      <c r="AQ1091" s="340"/>
      <c r="AR1091" s="340"/>
      <c r="AS1091" s="340"/>
      <c r="AT1091" s="340"/>
      <c r="AU1091" s="340"/>
      <c r="AV1091" s="340"/>
      <c r="AY1091" s="340"/>
      <c r="AZ1091" s="465">
        <f t="shared" ca="1" si="670"/>
        <v>7.3698599999999999E-5</v>
      </c>
      <c r="BA1091" s="464">
        <f t="shared" ca="1" si="671"/>
        <v>0</v>
      </c>
      <c r="BB1091" s="465">
        <f t="shared" ca="1" si="671"/>
        <v>7.3698599999999999E-5</v>
      </c>
      <c r="BC1091" s="466">
        <f t="shared" ca="1" si="672"/>
        <v>75819</v>
      </c>
      <c r="BD1091" s="467">
        <f t="shared" ca="1" si="685"/>
        <v>75820</v>
      </c>
      <c r="BE1091" s="467">
        <f t="shared" ca="1" si="673"/>
        <v>75849</v>
      </c>
      <c r="BF1091" s="468">
        <f ca="1">IF(計算!$BC1091&lt;OP!$C$3,0,BD1091-BC1091)</f>
        <v>1</v>
      </c>
      <c r="BG1091" s="468">
        <f ca="1">IF($BE1091&gt;DATE(YEAR($BD$9)+OP!$C$57,MONTH($BD$9),DAY($BD$9)),0,$BE1091-$BD1091+1)</f>
        <v>0</v>
      </c>
      <c r="BH1091" s="469">
        <f t="shared" ca="1" si="674"/>
        <v>1</v>
      </c>
      <c r="BI1091" t="str">
        <f t="shared" si="690"/>
        <v/>
      </c>
      <c r="BJ1091">
        <v>2</v>
      </c>
      <c r="BN1091" s="468">
        <f t="shared" si="686"/>
        <v>91</v>
      </c>
      <c r="BO1091" s="468">
        <f t="shared" si="687"/>
        <v>2</v>
      </c>
      <c r="BP1091" s="467">
        <f t="shared" ca="1" si="675"/>
        <v>75820</v>
      </c>
      <c r="BQ1091" s="475">
        <f t="shared" ca="1" si="689"/>
        <v>123</v>
      </c>
      <c r="BR1091" s="475" t="str">
        <f t="shared" si="688"/>
        <v/>
      </c>
      <c r="BS1091" s="471" t="str">
        <f t="shared" si="676"/>
        <v/>
      </c>
      <c r="BT1091" s="472" t="str">
        <f t="shared" si="691"/>
        <v/>
      </c>
      <c r="BU1091" s="472">
        <f t="shared" ca="1" si="677"/>
        <v>0</v>
      </c>
      <c r="BV1091" s="472">
        <f t="shared" ca="1" si="677"/>
        <v>0</v>
      </c>
      <c r="BW1091" s="472"/>
      <c r="BX1091" s="473">
        <f t="shared" ca="1" si="678"/>
        <v>2785356.33725966</v>
      </c>
      <c r="BY1091" s="473">
        <f t="shared" si="679"/>
        <v>0</v>
      </c>
      <c r="BZ1091" s="473">
        <f t="shared" ca="1" si="661"/>
        <v>205.27686255699999</v>
      </c>
      <c r="CA1091" s="476">
        <f t="shared" ca="1" si="680"/>
        <v>0</v>
      </c>
      <c r="CB1091" s="494">
        <f ca="1">IF(OR($Q1090&lt;&gt;1,OP!$D$5+$BN1091-1&lt;16,$BN1091-1&lt;1),0,ROUND(ROUND(ROUND(((VLOOKUP($BN1091-1,MORE_PV,5,0)/10000)*VLOOKUP($BN1091,MORE_PV,$CB$5,0)),3)*VLOOKUP($BN1091,more1,5,0),0)/$R1090,0))</f>
        <v>0</v>
      </c>
      <c r="CC1091" s="473">
        <f t="shared" ca="1" si="681"/>
        <v>0</v>
      </c>
      <c r="CD1091" s="477"/>
    </row>
    <row r="1092" spans="2:98" ht="16.5" hidden="1">
      <c r="B1092" s="80"/>
      <c r="C1092" s="80"/>
      <c r="D1092" s="80"/>
      <c r="E1092" s="80"/>
      <c r="F1092" s="80"/>
      <c r="G1092" s="80"/>
      <c r="H1092" s="80"/>
      <c r="I1092" s="80"/>
      <c r="J1092" s="192">
        <f t="shared" si="662"/>
        <v>91</v>
      </c>
      <c r="K1092" s="192">
        <f t="shared" si="663"/>
        <v>4</v>
      </c>
      <c r="L1092" s="192" t="str">
        <f t="shared" si="658"/>
        <v/>
      </c>
      <c r="M1092" s="216" t="str">
        <f t="shared" ca="1" si="664"/>
        <v/>
      </c>
      <c r="N1092" s="216"/>
      <c r="O1092" s="216"/>
      <c r="P1092" s="216"/>
      <c r="Q1092" s="456">
        <f t="shared" ca="1" si="665"/>
        <v>1</v>
      </c>
      <c r="R1092" s="450">
        <f t="shared" ca="1" si="666"/>
        <v>12</v>
      </c>
      <c r="S1092" s="191">
        <f t="shared" si="667"/>
        <v>91</v>
      </c>
      <c r="T1092" s="191">
        <f t="shared" si="668"/>
        <v>4</v>
      </c>
      <c r="U1092" s="191">
        <f ca="1">OP!$D$5+$S1092-1</f>
        <v>123</v>
      </c>
      <c r="V1092" s="191" t="str">
        <f t="shared" si="669"/>
        <v/>
      </c>
      <c r="W1092" s="350">
        <f ca="1">IF(Q1092&lt;&gt;1,0,VLOOKUP(OP!$C$55,PVFB,$S1092+2,0))</f>
        <v>0</v>
      </c>
      <c r="X1092" s="473" t="str">
        <f t="shared" ca="1" si="682"/>
        <v/>
      </c>
      <c r="Y1092" s="348">
        <f t="shared" ca="1" si="683"/>
        <v>0</v>
      </c>
      <c r="Z1092" s="348">
        <f t="shared" ca="1" si="684"/>
        <v>8012</v>
      </c>
      <c r="AA1092" s="348">
        <f ca="1">IF(Q1092&lt;&gt;1,0,VLOOKUP(OP!$C$55,PVFB,$S1092+2,0))</f>
        <v>0</v>
      </c>
      <c r="AB1092" s="488" t="str">
        <f ca="1">IF(AND(S1092&lt;OP!$C$24,$U1092&lt;15),0,IF(AND($U1092&lt;15,$T1092=12),ROUND(VLOOKUP($S1092,DOWN16,5,0),3),IF($T1092=12,ROUND(($Z1092/10000)*$AA1092,3)+IF(AND($P$7="購買增額繳清保險",T1092=12,U1092=110),VLOOKUP(S1092,$B$10:$H$121,7,0),0),"")))</f>
        <v/>
      </c>
      <c r="AC1092" s="350" t="str">
        <f ca="1">IF(AND(S1092&lt;OP!$C$24,$U1092&lt;15),0,IF(AND($U1092&lt;16,$T1092=12),VLOOKUP($S1092,DOWN16,4,0),IF($T1092=12,ROUND(VLOOKUP(OP!$C$55,_DIE2,$S1092+1,0)*(Z1092/10000),0)+IF(AND($P$7="購買增額繳清保險",T1092=12,U1092=110),VLOOKUP(S1092,$B$10:$H$121,7,0),0),"")))</f>
        <v/>
      </c>
      <c r="AD1092" s="347"/>
      <c r="AE1092" s="350" t="str">
        <f t="shared" ca="1" si="659"/>
        <v/>
      </c>
      <c r="AF1092" s="351" t="str">
        <f t="shared" ca="1" si="660"/>
        <v/>
      </c>
      <c r="AG1092" s="340"/>
      <c r="AH1092" s="340"/>
      <c r="AI1092" s="340"/>
      <c r="AJ1092" s="340"/>
      <c r="AK1092" s="340"/>
      <c r="AL1092" s="340"/>
      <c r="AM1092" s="340"/>
      <c r="AN1092" s="340"/>
      <c r="AO1092" s="340"/>
      <c r="AP1092" s="340"/>
      <c r="AQ1092" s="340"/>
      <c r="AR1092" s="340"/>
      <c r="AS1092" s="340"/>
      <c r="AT1092" s="340"/>
      <c r="AU1092" s="340"/>
      <c r="AV1092" s="340"/>
      <c r="AY1092" s="340"/>
      <c r="AZ1092" s="465">
        <f t="shared" ca="1" si="670"/>
        <v>7.3698599999999999E-5</v>
      </c>
      <c r="BA1092" s="464">
        <f t="shared" ca="1" si="671"/>
        <v>0</v>
      </c>
      <c r="BB1092" s="465">
        <f t="shared" ca="1" si="671"/>
        <v>7.3698599999999999E-5</v>
      </c>
      <c r="BC1092" s="466">
        <f t="shared" ca="1" si="672"/>
        <v>75850</v>
      </c>
      <c r="BD1092" s="467">
        <f t="shared" ca="1" si="685"/>
        <v>75851</v>
      </c>
      <c r="BE1092" s="467">
        <f t="shared" ca="1" si="673"/>
        <v>75879</v>
      </c>
      <c r="BF1092" s="468">
        <f ca="1">IF(計算!$BC1092&lt;OP!$C$3,0,BD1092-BC1092)</f>
        <v>1</v>
      </c>
      <c r="BG1092" s="468">
        <f ca="1">IF($BE1092&gt;DATE(YEAR($BD$9)+OP!$C$57,MONTH($BD$9),DAY($BD$9)),0,$BE1092-$BD1092+1)</f>
        <v>0</v>
      </c>
      <c r="BH1092" s="469">
        <f t="shared" ca="1" si="674"/>
        <v>1</v>
      </c>
      <c r="BI1092" t="str">
        <f t="shared" si="690"/>
        <v/>
      </c>
      <c r="BJ1092">
        <v>3</v>
      </c>
      <c r="BN1092" s="468">
        <f t="shared" si="686"/>
        <v>91</v>
      </c>
      <c r="BO1092" s="468">
        <f t="shared" si="687"/>
        <v>3</v>
      </c>
      <c r="BP1092" s="467">
        <f t="shared" ca="1" si="675"/>
        <v>75851</v>
      </c>
      <c r="BQ1092" s="475">
        <f t="shared" ca="1" si="689"/>
        <v>123</v>
      </c>
      <c r="BR1092" s="475" t="str">
        <f t="shared" si="688"/>
        <v/>
      </c>
      <c r="BS1092" s="471" t="str">
        <f t="shared" si="676"/>
        <v/>
      </c>
      <c r="BT1092" s="472" t="str">
        <f t="shared" si="691"/>
        <v/>
      </c>
      <c r="BU1092" s="472">
        <f t="shared" ca="1" si="677"/>
        <v>0</v>
      </c>
      <c r="BV1092" s="472">
        <f t="shared" ca="1" si="677"/>
        <v>0</v>
      </c>
      <c r="BW1092" s="472"/>
      <c r="BX1092" s="473">
        <f t="shared" ca="1" si="678"/>
        <v>2785561.6141222198</v>
      </c>
      <c r="BY1092" s="473">
        <f t="shared" si="679"/>
        <v>0</v>
      </c>
      <c r="BZ1092" s="473">
        <f t="shared" ca="1" si="661"/>
        <v>205.29199117499999</v>
      </c>
      <c r="CA1092" s="476">
        <f t="shared" ca="1" si="680"/>
        <v>0</v>
      </c>
      <c r="CB1092" s="494">
        <f ca="1">IF(OR($Q1091&lt;&gt;1,OP!$D$5+$BN1092-1&lt;16,$BN1092-1&lt;1),0,ROUND(ROUND(ROUND(((VLOOKUP($BN1092-1,MORE_PV,5,0)/10000)*VLOOKUP($BN1092,MORE_PV,$CB$5,0)),3)*VLOOKUP($BN1092,more1,5,0),0)/$R1091,0))</f>
        <v>0</v>
      </c>
      <c r="CC1092" s="473">
        <f t="shared" ca="1" si="681"/>
        <v>0</v>
      </c>
      <c r="CD1092" s="477"/>
    </row>
    <row r="1093" spans="2:98" ht="16.5" hidden="1">
      <c r="B1093" s="80"/>
      <c r="C1093" s="80"/>
      <c r="D1093" s="80"/>
      <c r="E1093" s="80"/>
      <c r="F1093" s="80"/>
      <c r="G1093" s="80"/>
      <c r="H1093" s="80"/>
      <c r="I1093" s="80"/>
      <c r="J1093" s="192">
        <f t="shared" si="662"/>
        <v>91</v>
      </c>
      <c r="K1093" s="192">
        <f t="shared" si="663"/>
        <v>5</v>
      </c>
      <c r="L1093" s="192" t="str">
        <f t="shared" si="658"/>
        <v/>
      </c>
      <c r="M1093" s="216" t="str">
        <f t="shared" ca="1" si="664"/>
        <v/>
      </c>
      <c r="N1093" s="216"/>
      <c r="O1093" s="216"/>
      <c r="P1093" s="216"/>
      <c r="Q1093" s="456">
        <f t="shared" ca="1" si="665"/>
        <v>1</v>
      </c>
      <c r="R1093" s="450">
        <f t="shared" ca="1" si="666"/>
        <v>12</v>
      </c>
      <c r="S1093" s="191">
        <f t="shared" si="667"/>
        <v>91</v>
      </c>
      <c r="T1093" s="191">
        <f t="shared" si="668"/>
        <v>5</v>
      </c>
      <c r="U1093" s="191">
        <f ca="1">OP!$D$5+$S1093-1</f>
        <v>123</v>
      </c>
      <c r="V1093" s="191" t="str">
        <f t="shared" si="669"/>
        <v/>
      </c>
      <c r="W1093" s="350">
        <f ca="1">IF(Q1093&lt;&gt;1,0,VLOOKUP(OP!$C$55,PVFB,$S1093+2,0))</f>
        <v>0</v>
      </c>
      <c r="X1093" s="473" t="str">
        <f t="shared" ca="1" si="682"/>
        <v/>
      </c>
      <c r="Y1093" s="348">
        <f t="shared" ca="1" si="683"/>
        <v>0</v>
      </c>
      <c r="Z1093" s="348">
        <f t="shared" ca="1" si="684"/>
        <v>8012</v>
      </c>
      <c r="AA1093" s="348">
        <f ca="1">IF(Q1093&lt;&gt;1,0,VLOOKUP(OP!$C$55,PVFB,$S1093+2,0))</f>
        <v>0</v>
      </c>
      <c r="AB1093" s="488" t="str">
        <f ca="1">IF(AND(S1093&lt;OP!$C$24,$U1093&lt;15),0,IF(AND($U1093&lt;15,$T1093=12),ROUND(VLOOKUP($S1093,DOWN16,5,0),3),IF($T1093=12,ROUND(($Z1093/10000)*$AA1093,3)+IF(AND($P$7="購買增額繳清保險",T1093=12,U1093=110),VLOOKUP(S1093,$B$10:$H$121,7,0),0),"")))</f>
        <v/>
      </c>
      <c r="AC1093" s="350" t="str">
        <f ca="1">IF(AND(S1093&lt;OP!$C$24,$U1093&lt;15),0,IF(AND($U1093&lt;16,$T1093=12),VLOOKUP($S1093,DOWN16,4,0),IF($T1093=12,ROUND(VLOOKUP(OP!$C$55,_DIE2,$S1093+1,0)*(Z1093/10000),0)+IF(AND($P$7="購買增額繳清保險",T1093=12,U1093=110),VLOOKUP(S1093,$B$10:$H$121,7,0),0),"")))</f>
        <v/>
      </c>
      <c r="AD1093" s="347"/>
      <c r="AE1093" s="350" t="str">
        <f t="shared" ca="1" si="659"/>
        <v/>
      </c>
      <c r="AF1093" s="351" t="str">
        <f t="shared" ca="1" si="660"/>
        <v/>
      </c>
      <c r="AG1093" s="340"/>
      <c r="AH1093" s="340"/>
      <c r="AI1093" s="340"/>
      <c r="AJ1093" s="340"/>
      <c r="AK1093" s="340"/>
      <c r="AL1093" s="340"/>
      <c r="AM1093" s="340"/>
      <c r="AN1093" s="340"/>
      <c r="AO1093" s="340"/>
      <c r="AP1093" s="340"/>
      <c r="AQ1093" s="340"/>
      <c r="AR1093" s="340"/>
      <c r="AS1093" s="340"/>
      <c r="AT1093" s="340"/>
      <c r="AU1093" s="340"/>
      <c r="AV1093" s="340"/>
      <c r="AY1093" s="340"/>
      <c r="AZ1093" s="465">
        <f t="shared" ca="1" si="670"/>
        <v>7.3698599999999999E-5</v>
      </c>
      <c r="BA1093" s="464">
        <f t="shared" ca="1" si="671"/>
        <v>0</v>
      </c>
      <c r="BB1093" s="465">
        <f t="shared" ca="1" si="671"/>
        <v>7.3698599999999999E-5</v>
      </c>
      <c r="BC1093" s="466">
        <f t="shared" ca="1" si="672"/>
        <v>75880</v>
      </c>
      <c r="BD1093" s="467">
        <f t="shared" ca="1" si="685"/>
        <v>75881</v>
      </c>
      <c r="BE1093" s="467">
        <f t="shared" ca="1" si="673"/>
        <v>75910</v>
      </c>
      <c r="BF1093" s="468">
        <f ca="1">IF(計算!$BC1093&lt;OP!$C$3,0,BD1093-BC1093)</f>
        <v>1</v>
      </c>
      <c r="BG1093" s="468">
        <f ca="1">IF($BE1093&gt;DATE(YEAR($BD$9)+OP!$C$57,MONTH($BD$9),DAY($BD$9)),0,$BE1093-$BD1093+1)</f>
        <v>0</v>
      </c>
      <c r="BH1093" s="469">
        <f t="shared" ca="1" si="674"/>
        <v>1</v>
      </c>
      <c r="BI1093" t="str">
        <f t="shared" si="690"/>
        <v/>
      </c>
      <c r="BJ1093">
        <v>4</v>
      </c>
      <c r="BN1093" s="468">
        <f t="shared" si="686"/>
        <v>91</v>
      </c>
      <c r="BO1093" s="468">
        <f t="shared" si="687"/>
        <v>4</v>
      </c>
      <c r="BP1093" s="467">
        <f t="shared" ca="1" si="675"/>
        <v>75881</v>
      </c>
      <c r="BQ1093" s="475">
        <f t="shared" ca="1" si="689"/>
        <v>123</v>
      </c>
      <c r="BR1093" s="475" t="str">
        <f t="shared" si="688"/>
        <v/>
      </c>
      <c r="BS1093" s="471" t="str">
        <f t="shared" si="676"/>
        <v/>
      </c>
      <c r="BT1093" s="472" t="str">
        <f t="shared" si="691"/>
        <v/>
      </c>
      <c r="BU1093" s="472">
        <f t="shared" ca="1" si="677"/>
        <v>0</v>
      </c>
      <c r="BV1093" s="472">
        <f t="shared" ca="1" si="677"/>
        <v>0</v>
      </c>
      <c r="BW1093" s="472"/>
      <c r="BX1093" s="473">
        <f t="shared" ca="1" si="678"/>
        <v>2785766.9061134001</v>
      </c>
      <c r="BY1093" s="473">
        <f t="shared" si="679"/>
        <v>0</v>
      </c>
      <c r="BZ1093" s="473">
        <f t="shared" ca="1" si="661"/>
        <v>205.30712090700001</v>
      </c>
      <c r="CA1093" s="476">
        <f t="shared" ca="1" si="680"/>
        <v>0</v>
      </c>
      <c r="CB1093" s="494">
        <f ca="1">IF(OR($Q1092&lt;&gt;1,OP!$D$5+$BN1093-1&lt;16,$BN1093-1&lt;1),0,ROUND(ROUND(ROUND(((VLOOKUP($BN1093-1,MORE_PV,5,0)/10000)*VLOOKUP($BN1093,MORE_PV,$CB$5,0)),3)*VLOOKUP($BN1093,more1,5,0),0)/$R1092,0))</f>
        <v>0</v>
      </c>
      <c r="CC1093" s="473">
        <f t="shared" ca="1" si="681"/>
        <v>0</v>
      </c>
      <c r="CD1093" s="477"/>
    </row>
    <row r="1094" spans="2:98" ht="16.5" hidden="1">
      <c r="B1094" s="80"/>
      <c r="C1094" s="80"/>
      <c r="D1094" s="80"/>
      <c r="E1094" s="80"/>
      <c r="F1094" s="80"/>
      <c r="G1094" s="80"/>
      <c r="H1094" s="80"/>
      <c r="I1094" s="80"/>
      <c r="J1094" s="192">
        <f t="shared" si="662"/>
        <v>91</v>
      </c>
      <c r="K1094" s="192">
        <f t="shared" si="663"/>
        <v>6</v>
      </c>
      <c r="L1094" s="192" t="str">
        <f t="shared" si="658"/>
        <v/>
      </c>
      <c r="M1094" s="216" t="str">
        <f t="shared" ca="1" si="664"/>
        <v/>
      </c>
      <c r="N1094" s="216"/>
      <c r="O1094" s="216"/>
      <c r="P1094" s="216"/>
      <c r="Q1094" s="456">
        <f t="shared" ca="1" si="665"/>
        <v>1</v>
      </c>
      <c r="R1094" s="450">
        <f t="shared" ca="1" si="666"/>
        <v>12</v>
      </c>
      <c r="S1094" s="191">
        <f t="shared" si="667"/>
        <v>91</v>
      </c>
      <c r="T1094" s="191">
        <f t="shared" si="668"/>
        <v>6</v>
      </c>
      <c r="U1094" s="191">
        <f ca="1">OP!$D$5+$S1094-1</f>
        <v>123</v>
      </c>
      <c r="V1094" s="191" t="str">
        <f t="shared" si="669"/>
        <v/>
      </c>
      <c r="W1094" s="350">
        <f ca="1">IF(Q1094&lt;&gt;1,0,VLOOKUP(OP!$C$55,PVFB,$S1094+2,0))</f>
        <v>0</v>
      </c>
      <c r="X1094" s="473" t="str">
        <f t="shared" ca="1" si="682"/>
        <v/>
      </c>
      <c r="Y1094" s="348">
        <f t="shared" ca="1" si="683"/>
        <v>0</v>
      </c>
      <c r="Z1094" s="348">
        <f t="shared" ca="1" si="684"/>
        <v>8012</v>
      </c>
      <c r="AA1094" s="348">
        <f ca="1">IF(Q1094&lt;&gt;1,0,VLOOKUP(OP!$C$55,PVFB,$S1094+2,0))</f>
        <v>0</v>
      </c>
      <c r="AB1094" s="488" t="str">
        <f ca="1">IF(AND(S1094&lt;OP!$C$24,$U1094&lt;15),0,IF(AND($U1094&lt;15,$T1094=12),ROUND(VLOOKUP($S1094,DOWN16,5,0),3),IF($T1094=12,ROUND(($Z1094/10000)*$AA1094,3)+IF(AND($P$7="購買增額繳清保險",T1094=12,U1094=110),VLOOKUP(S1094,$B$10:$H$121,7,0),0),"")))</f>
        <v/>
      </c>
      <c r="AC1094" s="350" t="str">
        <f ca="1">IF(AND(S1094&lt;OP!$C$24,$U1094&lt;15),0,IF(AND($U1094&lt;16,$T1094=12),VLOOKUP($S1094,DOWN16,4,0),IF($T1094=12,ROUND(VLOOKUP(OP!$C$55,_DIE2,$S1094+1,0)*(Z1094/10000),0)+IF(AND($P$7="購買增額繳清保險",T1094=12,U1094=110),VLOOKUP(S1094,$B$10:$H$121,7,0),0),"")))</f>
        <v/>
      </c>
      <c r="AD1094" s="347"/>
      <c r="AE1094" s="350" t="str">
        <f t="shared" ca="1" si="659"/>
        <v/>
      </c>
      <c r="AF1094" s="351" t="str">
        <f t="shared" ca="1" si="660"/>
        <v/>
      </c>
      <c r="AG1094" s="340"/>
      <c r="AH1094" s="340"/>
      <c r="AI1094" s="340"/>
      <c r="AJ1094" s="340"/>
      <c r="AK1094" s="340"/>
      <c r="AL1094" s="340"/>
      <c r="AM1094" s="340"/>
      <c r="AN1094" s="340"/>
      <c r="AO1094" s="340"/>
      <c r="AP1094" s="340"/>
      <c r="AQ1094" s="340"/>
      <c r="AR1094" s="340"/>
      <c r="AS1094" s="340"/>
      <c r="AT1094" s="340"/>
      <c r="AU1094" s="340"/>
      <c r="AV1094" s="340"/>
      <c r="AY1094" s="340"/>
      <c r="AZ1094" s="465">
        <f t="shared" ca="1" si="670"/>
        <v>7.3698599999999999E-5</v>
      </c>
      <c r="BA1094" s="464">
        <f t="shared" ca="1" si="671"/>
        <v>0</v>
      </c>
      <c r="BB1094" s="465">
        <f t="shared" ca="1" si="671"/>
        <v>7.3698599999999999E-5</v>
      </c>
      <c r="BC1094" s="466">
        <f t="shared" ca="1" si="672"/>
        <v>75911</v>
      </c>
      <c r="BD1094" s="467">
        <f t="shared" ca="1" si="685"/>
        <v>75912</v>
      </c>
      <c r="BE1094" s="467">
        <f t="shared" ca="1" si="673"/>
        <v>75940</v>
      </c>
      <c r="BF1094" s="468">
        <f ca="1">IF(計算!$BC1094&lt;OP!$C$3,0,BD1094-BC1094)</f>
        <v>1</v>
      </c>
      <c r="BG1094" s="468">
        <f ca="1">IF($BE1094&gt;DATE(YEAR($BD$9)+OP!$C$57,MONTH($BD$9),DAY($BD$9)),0,$BE1094-$BD1094+1)</f>
        <v>0</v>
      </c>
      <c r="BH1094" s="469">
        <f t="shared" ca="1" si="674"/>
        <v>1</v>
      </c>
      <c r="BI1094" t="str">
        <f t="shared" si="690"/>
        <v/>
      </c>
      <c r="BJ1094">
        <v>5</v>
      </c>
      <c r="BN1094" s="468">
        <f t="shared" si="686"/>
        <v>91</v>
      </c>
      <c r="BO1094" s="468">
        <f t="shared" si="687"/>
        <v>5</v>
      </c>
      <c r="BP1094" s="467">
        <f t="shared" ca="1" si="675"/>
        <v>75912</v>
      </c>
      <c r="BQ1094" s="475">
        <f t="shared" ca="1" si="689"/>
        <v>123</v>
      </c>
      <c r="BR1094" s="475" t="str">
        <f t="shared" si="688"/>
        <v/>
      </c>
      <c r="BS1094" s="471" t="str">
        <f t="shared" si="676"/>
        <v/>
      </c>
      <c r="BT1094" s="472" t="str">
        <f t="shared" si="691"/>
        <v/>
      </c>
      <c r="BU1094" s="472">
        <f t="shared" ca="1" si="677"/>
        <v>0</v>
      </c>
      <c r="BV1094" s="472">
        <f t="shared" ca="1" si="677"/>
        <v>0</v>
      </c>
      <c r="BW1094" s="472"/>
      <c r="BX1094" s="473">
        <f t="shared" ca="1" si="678"/>
        <v>2785972.21323431</v>
      </c>
      <c r="BY1094" s="473">
        <f t="shared" si="679"/>
        <v>0</v>
      </c>
      <c r="BZ1094" s="473">
        <f t="shared" ca="1" si="661"/>
        <v>205.32225175400001</v>
      </c>
      <c r="CA1094" s="476">
        <f t="shared" ca="1" si="680"/>
        <v>0</v>
      </c>
      <c r="CB1094" s="494">
        <f ca="1">IF(OR($Q1093&lt;&gt;1,OP!$D$5+$BN1094-1&lt;16,$BN1094-1&lt;1),0,ROUND(ROUND(ROUND(((VLOOKUP($BN1094-1,MORE_PV,5,0)/10000)*VLOOKUP($BN1094,MORE_PV,$CB$5,0)),3)*VLOOKUP($BN1094,more1,5,0),0)/$R1093,0))</f>
        <v>0</v>
      </c>
      <c r="CC1094" s="473">
        <f t="shared" ca="1" si="681"/>
        <v>0</v>
      </c>
      <c r="CD1094" s="477"/>
    </row>
    <row r="1095" spans="2:98" ht="16.5" hidden="1">
      <c r="B1095" s="80"/>
      <c r="C1095" s="80"/>
      <c r="D1095" s="80"/>
      <c r="E1095" s="80"/>
      <c r="F1095" s="80"/>
      <c r="G1095" s="80"/>
      <c r="H1095" s="80"/>
      <c r="I1095" s="80"/>
      <c r="J1095" s="192">
        <f t="shared" si="662"/>
        <v>91</v>
      </c>
      <c r="K1095" s="192">
        <f t="shared" si="663"/>
        <v>7</v>
      </c>
      <c r="L1095" s="192" t="str">
        <f t="shared" si="658"/>
        <v/>
      </c>
      <c r="M1095" s="216" t="str">
        <f t="shared" ca="1" si="664"/>
        <v/>
      </c>
      <c r="N1095" s="216"/>
      <c r="O1095" s="216"/>
      <c r="P1095" s="216"/>
      <c r="Q1095" s="456">
        <f t="shared" ca="1" si="665"/>
        <v>1</v>
      </c>
      <c r="R1095" s="450">
        <f t="shared" ca="1" si="666"/>
        <v>12</v>
      </c>
      <c r="S1095" s="191">
        <f t="shared" si="667"/>
        <v>91</v>
      </c>
      <c r="T1095" s="191">
        <f t="shared" si="668"/>
        <v>7</v>
      </c>
      <c r="U1095" s="191">
        <f ca="1">OP!$D$5+$S1095-1</f>
        <v>123</v>
      </c>
      <c r="V1095" s="191" t="str">
        <f t="shared" si="669"/>
        <v/>
      </c>
      <c r="W1095" s="350">
        <f ca="1">IF(Q1095&lt;&gt;1,0,VLOOKUP(OP!$C$55,PVFB,$S1095+2,0))</f>
        <v>0</v>
      </c>
      <c r="X1095" s="473" t="str">
        <f t="shared" ca="1" si="682"/>
        <v/>
      </c>
      <c r="Y1095" s="348">
        <f t="shared" ca="1" si="683"/>
        <v>0</v>
      </c>
      <c r="Z1095" s="348">
        <f t="shared" ca="1" si="684"/>
        <v>8012</v>
      </c>
      <c r="AA1095" s="348">
        <f ca="1">IF(Q1095&lt;&gt;1,0,VLOOKUP(OP!$C$55,PVFB,$S1095+2,0))</f>
        <v>0</v>
      </c>
      <c r="AB1095" s="488" t="str">
        <f ca="1">IF(AND(S1095&lt;OP!$C$24,$U1095&lt;15),0,IF(AND($U1095&lt;15,$T1095=12),ROUND(VLOOKUP($S1095,DOWN16,5,0),3),IF($T1095=12,ROUND(($Z1095/10000)*$AA1095,3)+IF(AND($P$7="購買增額繳清保險",T1095=12,U1095=110),VLOOKUP(S1095,$B$10:$H$121,7,0),0),"")))</f>
        <v/>
      </c>
      <c r="AC1095" s="350" t="str">
        <f ca="1">IF(AND(S1095&lt;OP!$C$24,$U1095&lt;15),0,IF(AND($U1095&lt;16,$T1095=12),VLOOKUP($S1095,DOWN16,4,0),IF($T1095=12,ROUND(VLOOKUP(OP!$C$55,_DIE2,$S1095+1,0)*(Z1095/10000),0)+IF(AND($P$7="購買增額繳清保險",T1095=12,U1095=110),VLOOKUP(S1095,$B$10:$H$121,7,0),0),"")))</f>
        <v/>
      </c>
      <c r="AD1095" s="347"/>
      <c r="AE1095" s="350" t="str">
        <f t="shared" ca="1" si="659"/>
        <v/>
      </c>
      <c r="AF1095" s="351" t="str">
        <f t="shared" ca="1" si="660"/>
        <v/>
      </c>
      <c r="AG1095" s="340"/>
      <c r="AH1095" s="340"/>
      <c r="AI1095" s="340"/>
      <c r="AJ1095" s="340"/>
      <c r="AK1095" s="340"/>
      <c r="AL1095" s="340"/>
      <c r="AM1095" s="340"/>
      <c r="AN1095" s="340"/>
      <c r="AO1095" s="340"/>
      <c r="AP1095" s="340"/>
      <c r="AQ1095" s="340"/>
      <c r="AR1095" s="340"/>
      <c r="AS1095" s="340"/>
      <c r="AT1095" s="340"/>
      <c r="AU1095" s="340"/>
      <c r="AV1095" s="340"/>
      <c r="AY1095" s="340"/>
      <c r="AZ1095" s="465">
        <f t="shared" ca="1" si="670"/>
        <v>7.3698599999999999E-5</v>
      </c>
      <c r="BA1095" s="464">
        <f t="shared" ca="1" si="671"/>
        <v>0</v>
      </c>
      <c r="BB1095" s="465">
        <f t="shared" ca="1" si="671"/>
        <v>7.3698599999999999E-5</v>
      </c>
      <c r="BC1095" s="466">
        <f t="shared" ca="1" si="672"/>
        <v>75941</v>
      </c>
      <c r="BD1095" s="467">
        <f t="shared" ca="1" si="685"/>
        <v>75942</v>
      </c>
      <c r="BE1095" s="467">
        <f t="shared" ca="1" si="673"/>
        <v>75971</v>
      </c>
      <c r="BF1095" s="468">
        <f ca="1">IF(計算!$BC1095&lt;OP!$C$3,0,BD1095-BC1095)</f>
        <v>1</v>
      </c>
      <c r="BG1095" s="468">
        <f ca="1">IF($BE1095&gt;DATE(YEAR($BD$9)+OP!$C$57,MONTH($BD$9),DAY($BD$9)),0,$BE1095-$BD1095+1)</f>
        <v>0</v>
      </c>
      <c r="BH1095" s="469">
        <f t="shared" ca="1" si="674"/>
        <v>1</v>
      </c>
      <c r="BI1095" t="str">
        <f t="shared" si="690"/>
        <v/>
      </c>
      <c r="BJ1095">
        <v>6</v>
      </c>
      <c r="BN1095" s="468">
        <f t="shared" si="686"/>
        <v>91</v>
      </c>
      <c r="BO1095" s="468">
        <f t="shared" si="687"/>
        <v>6</v>
      </c>
      <c r="BP1095" s="467">
        <f t="shared" ca="1" si="675"/>
        <v>75942</v>
      </c>
      <c r="BQ1095" s="475">
        <f t="shared" ca="1" si="689"/>
        <v>123</v>
      </c>
      <c r="BR1095" s="475" t="str">
        <f t="shared" si="688"/>
        <v/>
      </c>
      <c r="BS1095" s="471" t="str">
        <f t="shared" si="676"/>
        <v/>
      </c>
      <c r="BT1095" s="472" t="str">
        <f t="shared" si="691"/>
        <v/>
      </c>
      <c r="BU1095" s="472">
        <f t="shared" ca="1" si="677"/>
        <v>0</v>
      </c>
      <c r="BV1095" s="472">
        <f t="shared" ca="1" si="677"/>
        <v>0</v>
      </c>
      <c r="BW1095" s="472"/>
      <c r="BX1095" s="473">
        <f t="shared" ca="1" si="678"/>
        <v>2786177.5354860602</v>
      </c>
      <c r="BY1095" s="473">
        <f t="shared" si="679"/>
        <v>0</v>
      </c>
      <c r="BZ1095" s="473">
        <f t="shared" ca="1" si="661"/>
        <v>205.33738371699999</v>
      </c>
      <c r="CA1095" s="476">
        <f t="shared" ca="1" si="680"/>
        <v>0</v>
      </c>
      <c r="CB1095" s="494">
        <f ca="1">IF(OR($Q1094&lt;&gt;1,OP!$D$5+$BN1095-1&lt;16,$BN1095-1&lt;1),0,ROUND(ROUND(ROUND(((VLOOKUP($BN1095-1,MORE_PV,5,0)/10000)*VLOOKUP($BN1095,MORE_PV,$CB$5,0)),3)*VLOOKUP($BN1095,more1,5,0),0)/$R1094,0))</f>
        <v>0</v>
      </c>
      <c r="CC1095" s="473">
        <f t="shared" ca="1" si="681"/>
        <v>0</v>
      </c>
      <c r="CD1095" s="477"/>
    </row>
    <row r="1096" spans="2:98" ht="16.5" hidden="1">
      <c r="B1096" s="80"/>
      <c r="C1096" s="80"/>
      <c r="D1096" s="80"/>
      <c r="E1096" s="80"/>
      <c r="F1096" s="80"/>
      <c r="G1096" s="80"/>
      <c r="H1096" s="80"/>
      <c r="I1096" s="80"/>
      <c r="J1096" s="192">
        <f t="shared" si="662"/>
        <v>91</v>
      </c>
      <c r="K1096" s="192">
        <f t="shared" si="663"/>
        <v>8</v>
      </c>
      <c r="L1096" s="192" t="str">
        <f t="shared" si="658"/>
        <v/>
      </c>
      <c r="M1096" s="216" t="str">
        <f t="shared" ca="1" si="664"/>
        <v/>
      </c>
      <c r="N1096" s="216"/>
      <c r="O1096" s="216"/>
      <c r="P1096" s="216"/>
      <c r="Q1096" s="456">
        <f t="shared" ca="1" si="665"/>
        <v>1</v>
      </c>
      <c r="R1096" s="450">
        <f t="shared" ca="1" si="666"/>
        <v>12</v>
      </c>
      <c r="S1096" s="191">
        <f t="shared" si="667"/>
        <v>91</v>
      </c>
      <c r="T1096" s="191">
        <f t="shared" si="668"/>
        <v>8</v>
      </c>
      <c r="U1096" s="191">
        <f ca="1">OP!$D$5+$S1096-1</f>
        <v>123</v>
      </c>
      <c r="V1096" s="191" t="str">
        <f t="shared" si="669"/>
        <v/>
      </c>
      <c r="W1096" s="350">
        <f ca="1">IF(Q1096&lt;&gt;1,0,VLOOKUP(OP!$C$55,PVFB,$S1096+2,0))</f>
        <v>0</v>
      </c>
      <c r="X1096" s="473" t="str">
        <f t="shared" ca="1" si="682"/>
        <v/>
      </c>
      <c r="Y1096" s="348">
        <f t="shared" ca="1" si="683"/>
        <v>0</v>
      </c>
      <c r="Z1096" s="348">
        <f t="shared" ca="1" si="684"/>
        <v>8012</v>
      </c>
      <c r="AA1096" s="348">
        <f ca="1">IF(Q1096&lt;&gt;1,0,VLOOKUP(OP!$C$55,PVFB,$S1096+2,0))</f>
        <v>0</v>
      </c>
      <c r="AB1096" s="488" t="str">
        <f ca="1">IF(AND(S1096&lt;OP!$C$24,$U1096&lt;15),0,IF(AND($U1096&lt;15,$T1096=12),ROUND(VLOOKUP($S1096,DOWN16,5,0),3),IF($T1096=12,ROUND(($Z1096/10000)*$AA1096,3)+IF(AND($P$7="購買增額繳清保險",T1096=12,U1096=110),VLOOKUP(S1096,$B$10:$H$121,7,0),0),"")))</f>
        <v/>
      </c>
      <c r="AC1096" s="350" t="str">
        <f ca="1">IF(AND(S1096&lt;OP!$C$24,$U1096&lt;15),0,IF(AND($U1096&lt;16,$T1096=12),VLOOKUP($S1096,DOWN16,4,0),IF($T1096=12,ROUND(VLOOKUP(OP!$C$55,_DIE2,$S1096+1,0)*(Z1096/10000),0)+IF(AND($P$7="購買增額繳清保險",T1096=12,U1096=110),VLOOKUP(S1096,$B$10:$H$121,7,0),0),"")))</f>
        <v/>
      </c>
      <c r="AD1096" s="347"/>
      <c r="AE1096" s="350" t="str">
        <f t="shared" ca="1" si="659"/>
        <v/>
      </c>
      <c r="AF1096" s="351" t="str">
        <f t="shared" ca="1" si="660"/>
        <v/>
      </c>
      <c r="AG1096" s="340"/>
      <c r="AH1096" s="340"/>
      <c r="AI1096" s="340"/>
      <c r="AJ1096" s="340"/>
      <c r="AK1096" s="340"/>
      <c r="AL1096" s="340"/>
      <c r="AM1096" s="340"/>
      <c r="AN1096" s="340"/>
      <c r="AO1096" s="340"/>
      <c r="AP1096" s="340"/>
      <c r="AQ1096" s="340"/>
      <c r="AR1096" s="340"/>
      <c r="AS1096" s="340"/>
      <c r="AT1096" s="340"/>
      <c r="AU1096" s="340"/>
      <c r="AV1096" s="340"/>
      <c r="AY1096" s="340"/>
      <c r="AZ1096" s="465">
        <f t="shared" ca="1" si="670"/>
        <v>7.3698599999999999E-5</v>
      </c>
      <c r="BA1096" s="464">
        <f t="shared" ca="1" si="671"/>
        <v>0</v>
      </c>
      <c r="BB1096" s="465">
        <f t="shared" ca="1" si="671"/>
        <v>7.3698599999999999E-5</v>
      </c>
      <c r="BC1096" s="466">
        <f t="shared" ca="1" si="672"/>
        <v>75972</v>
      </c>
      <c r="BD1096" s="467">
        <f t="shared" ca="1" si="685"/>
        <v>75973</v>
      </c>
      <c r="BE1096" s="467">
        <f t="shared" ca="1" si="673"/>
        <v>76002</v>
      </c>
      <c r="BF1096" s="468">
        <f ca="1">IF(計算!$BC1096&lt;OP!$C$3,0,BD1096-BC1096)</f>
        <v>1</v>
      </c>
      <c r="BG1096" s="468">
        <f ca="1">IF($BE1096&gt;DATE(YEAR($BD$9)+OP!$C$57,MONTH($BD$9),DAY($BD$9)),0,$BE1096-$BD1096+1)</f>
        <v>0</v>
      </c>
      <c r="BH1096" s="469">
        <f t="shared" ca="1" si="674"/>
        <v>1</v>
      </c>
      <c r="BI1096" t="str">
        <f t="shared" si="690"/>
        <v/>
      </c>
      <c r="BJ1096">
        <v>7</v>
      </c>
      <c r="BN1096" s="468">
        <f t="shared" si="686"/>
        <v>91</v>
      </c>
      <c r="BO1096" s="468">
        <f t="shared" si="687"/>
        <v>7</v>
      </c>
      <c r="BP1096" s="467">
        <f t="shared" ca="1" si="675"/>
        <v>75973</v>
      </c>
      <c r="BQ1096" s="475">
        <f t="shared" ca="1" si="689"/>
        <v>123</v>
      </c>
      <c r="BR1096" s="475" t="str">
        <f t="shared" si="688"/>
        <v/>
      </c>
      <c r="BS1096" s="471" t="str">
        <f t="shared" si="676"/>
        <v/>
      </c>
      <c r="BT1096" s="472" t="str">
        <f t="shared" si="691"/>
        <v/>
      </c>
      <c r="BU1096" s="472">
        <f t="shared" ca="1" si="677"/>
        <v>0</v>
      </c>
      <c r="BV1096" s="472">
        <f t="shared" ca="1" si="677"/>
        <v>0</v>
      </c>
      <c r="BW1096" s="472"/>
      <c r="BX1096" s="473">
        <f t="shared" ca="1" si="678"/>
        <v>2786382.8728697798</v>
      </c>
      <c r="BY1096" s="473">
        <f t="shared" si="679"/>
        <v>0</v>
      </c>
      <c r="BZ1096" s="473">
        <f t="shared" ca="1" si="661"/>
        <v>205.352516794</v>
      </c>
      <c r="CA1096" s="476">
        <f t="shared" ca="1" si="680"/>
        <v>0</v>
      </c>
      <c r="CB1096" s="494">
        <f ca="1">IF(OR($Q1095&lt;&gt;1,OP!$D$5+$BN1096-1&lt;16,$BN1096-1&lt;1),0,ROUND(ROUND(ROUND(((VLOOKUP($BN1096-1,MORE_PV,5,0)/10000)*VLOOKUP($BN1096,MORE_PV,$CB$5,0)),3)*VLOOKUP($BN1096,more1,5,0),0)/$R1095,0))</f>
        <v>0</v>
      </c>
      <c r="CC1096" s="473">
        <f t="shared" ca="1" si="681"/>
        <v>0</v>
      </c>
      <c r="CD1096" s="477"/>
    </row>
    <row r="1097" spans="2:98" ht="16.5" hidden="1">
      <c r="B1097" s="80"/>
      <c r="C1097" s="80"/>
      <c r="D1097" s="80"/>
      <c r="E1097" s="80"/>
      <c r="F1097" s="80"/>
      <c r="G1097" s="80"/>
      <c r="H1097" s="80"/>
      <c r="I1097" s="80"/>
      <c r="J1097" s="192">
        <f t="shared" si="662"/>
        <v>91</v>
      </c>
      <c r="K1097" s="192">
        <f t="shared" si="663"/>
        <v>9</v>
      </c>
      <c r="L1097" s="192" t="str">
        <f t="shared" ref="L1097:L1160" si="692">IF($K1097=12,$J1097,"")</f>
        <v/>
      </c>
      <c r="M1097" s="216" t="str">
        <f t="shared" ca="1" si="664"/>
        <v/>
      </c>
      <c r="N1097" s="216"/>
      <c r="O1097" s="216"/>
      <c r="P1097" s="216"/>
      <c r="Q1097" s="456">
        <f t="shared" ca="1" si="665"/>
        <v>1</v>
      </c>
      <c r="R1097" s="450">
        <f t="shared" ca="1" si="666"/>
        <v>12</v>
      </c>
      <c r="S1097" s="191">
        <f t="shared" si="667"/>
        <v>91</v>
      </c>
      <c r="T1097" s="191">
        <f t="shared" si="668"/>
        <v>9</v>
      </c>
      <c r="U1097" s="191">
        <f ca="1">OP!$D$5+$S1097-1</f>
        <v>123</v>
      </c>
      <c r="V1097" s="191" t="str">
        <f t="shared" si="669"/>
        <v/>
      </c>
      <c r="W1097" s="350">
        <f ca="1">IF(Q1097&lt;&gt;1,0,VLOOKUP(OP!$C$55,PVFB,$S1097+2,0))</f>
        <v>0</v>
      </c>
      <c r="X1097" s="473" t="str">
        <f t="shared" ca="1" si="682"/>
        <v/>
      </c>
      <c r="Y1097" s="348">
        <f t="shared" ca="1" si="683"/>
        <v>0</v>
      </c>
      <c r="Z1097" s="348">
        <f t="shared" ca="1" si="684"/>
        <v>8012</v>
      </c>
      <c r="AA1097" s="348">
        <f ca="1">IF(Q1097&lt;&gt;1,0,VLOOKUP(OP!$C$55,PVFB,$S1097+2,0))</f>
        <v>0</v>
      </c>
      <c r="AB1097" s="488" t="str">
        <f ca="1">IF(AND(S1097&lt;OP!$C$24,$U1097&lt;15),0,IF(AND($U1097&lt;15,$T1097=12),ROUND(VLOOKUP($S1097,DOWN16,5,0),3),IF($T1097=12,ROUND(($Z1097/10000)*$AA1097,3)+IF(AND($P$7="購買增額繳清保險",T1097=12,U1097=110),VLOOKUP(S1097,$B$10:$H$121,7,0),0),"")))</f>
        <v/>
      </c>
      <c r="AC1097" s="350" t="str">
        <f ca="1">IF(AND(S1097&lt;OP!$C$24,$U1097&lt;15),0,IF(AND($U1097&lt;16,$T1097=12),VLOOKUP($S1097,DOWN16,4,0),IF($T1097=12,ROUND(VLOOKUP(OP!$C$55,_DIE2,$S1097+1,0)*(Z1097/10000),0)+IF(AND($P$7="購買增額繳清保險",T1097=12,U1097=110),VLOOKUP(S1097,$B$10:$H$121,7,0),0),"")))</f>
        <v/>
      </c>
      <c r="AD1097" s="347"/>
      <c r="AE1097" s="350" t="str">
        <f t="shared" ref="AE1097:AE1160" ca="1" si="693">IF(AND($U$9&lt;16,$T1097=12),VLOOKUP($S1097,DOWN16,4,0),"")</f>
        <v/>
      </c>
      <c r="AF1097" s="351" t="str">
        <f t="shared" ref="AF1097:AF1160" ca="1" si="694">IF(AND($U$9&lt;16,$T1097=12),VLOOKUP($S1097,DOWN16,5,0),"")</f>
        <v/>
      </c>
      <c r="AG1097" s="340"/>
      <c r="AH1097" s="340"/>
      <c r="AI1097" s="340"/>
      <c r="AJ1097" s="340"/>
      <c r="AK1097" s="340"/>
      <c r="AL1097" s="340"/>
      <c r="AM1097" s="340"/>
      <c r="AN1097" s="340"/>
      <c r="AO1097" s="340"/>
      <c r="AP1097" s="340"/>
      <c r="AQ1097" s="340"/>
      <c r="AR1097" s="340"/>
      <c r="AS1097" s="340"/>
      <c r="AT1097" s="340"/>
      <c r="AU1097" s="340"/>
      <c r="AV1097" s="340"/>
      <c r="AY1097" s="340"/>
      <c r="AZ1097" s="465">
        <f t="shared" ca="1" si="670"/>
        <v>7.3698599999999999E-5</v>
      </c>
      <c r="BA1097" s="464">
        <f t="shared" ca="1" si="671"/>
        <v>0</v>
      </c>
      <c r="BB1097" s="465">
        <f t="shared" ca="1" si="671"/>
        <v>7.3698599999999999E-5</v>
      </c>
      <c r="BC1097" s="466">
        <f t="shared" ca="1" si="672"/>
        <v>76003</v>
      </c>
      <c r="BD1097" s="467">
        <f t="shared" ca="1" si="685"/>
        <v>76004</v>
      </c>
      <c r="BE1097" s="467">
        <f t="shared" ca="1" si="673"/>
        <v>76031</v>
      </c>
      <c r="BF1097" s="468">
        <f ca="1">IF(計算!$BC1097&lt;OP!$C$3,0,BD1097-BC1097)</f>
        <v>1</v>
      </c>
      <c r="BG1097" s="468">
        <f ca="1">IF($BE1097&gt;DATE(YEAR($BD$9)+OP!$C$57,MONTH($BD$9),DAY($BD$9)),0,$BE1097-$BD1097+1)</f>
        <v>0</v>
      </c>
      <c r="BH1097" s="469">
        <f t="shared" ca="1" si="674"/>
        <v>1</v>
      </c>
      <c r="BI1097" t="str">
        <f t="shared" si="690"/>
        <v/>
      </c>
      <c r="BJ1097">
        <v>8</v>
      </c>
      <c r="BN1097" s="468">
        <f t="shared" si="686"/>
        <v>91</v>
      </c>
      <c r="BO1097" s="468">
        <f t="shared" si="687"/>
        <v>8</v>
      </c>
      <c r="BP1097" s="467">
        <f t="shared" ca="1" si="675"/>
        <v>76004</v>
      </c>
      <c r="BQ1097" s="475">
        <f t="shared" ca="1" si="689"/>
        <v>123</v>
      </c>
      <c r="BR1097" s="475" t="str">
        <f t="shared" si="688"/>
        <v/>
      </c>
      <c r="BS1097" s="471" t="str">
        <f t="shared" si="676"/>
        <v/>
      </c>
      <c r="BT1097" s="472" t="str">
        <f t="shared" si="691"/>
        <v/>
      </c>
      <c r="BU1097" s="472">
        <f t="shared" ca="1" si="677"/>
        <v>0</v>
      </c>
      <c r="BV1097" s="472">
        <f t="shared" ca="1" si="677"/>
        <v>0</v>
      </c>
      <c r="BW1097" s="472"/>
      <c r="BX1097" s="473">
        <f t="shared" ca="1" si="678"/>
        <v>2786588.2253865702</v>
      </c>
      <c r="BY1097" s="473">
        <f t="shared" si="679"/>
        <v>0</v>
      </c>
      <c r="BZ1097" s="473">
        <f t="shared" ref="BZ1097:BZ1160" ca="1" si="695">ROUND(BX1097*IF(BO1097=12,$BA1097,$BB1097),$CB$6)</f>
        <v>205.36765098699999</v>
      </c>
      <c r="CA1097" s="476">
        <f t="shared" ca="1" si="680"/>
        <v>0</v>
      </c>
      <c r="CB1097" s="494">
        <f ca="1">IF(OR($Q1096&lt;&gt;1,OP!$D$5+$BN1097-1&lt;16,$BN1097-1&lt;1),0,ROUND(ROUND(ROUND(((VLOOKUP($BN1097-1,MORE_PV,5,0)/10000)*VLOOKUP($BN1097,MORE_PV,$CB$5,0)),3)*VLOOKUP($BN1097,more1,5,0),0)/$R1096,0))</f>
        <v>0</v>
      </c>
      <c r="CC1097" s="473">
        <f t="shared" ca="1" si="681"/>
        <v>0</v>
      </c>
      <c r="CD1097" s="477"/>
    </row>
    <row r="1098" spans="2:98" ht="16.5" hidden="1">
      <c r="B1098" s="80"/>
      <c r="C1098" s="80"/>
      <c r="D1098" s="80"/>
      <c r="E1098" s="80"/>
      <c r="F1098" s="80"/>
      <c r="G1098" s="80"/>
      <c r="H1098" s="80"/>
      <c r="I1098" s="80"/>
      <c r="J1098" s="192">
        <f t="shared" ref="J1098:J1161" si="696">IF(K1097=12,J1097+1,J1097)</f>
        <v>91</v>
      </c>
      <c r="K1098" s="192">
        <f t="shared" ref="K1098:K1161" si="697">IF(K1097=12,1,K1097+1)</f>
        <v>10</v>
      </c>
      <c r="L1098" s="192" t="str">
        <f t="shared" si="692"/>
        <v/>
      </c>
      <c r="M1098" s="216" t="str">
        <f t="shared" ref="M1098:M1161" ca="1" si="698">IF($Q1098=1,VLOOKUP(L1098,$BR$9:$BT$1341,3,0),0)</f>
        <v/>
      </c>
      <c r="N1098" s="216"/>
      <c r="O1098" s="216"/>
      <c r="P1098" s="216"/>
      <c r="Q1098" s="456">
        <f t="shared" ref="Q1098:Q1161" ca="1" si="699">IF(OR($U1098&gt;=$I$5,AND($G$5=1,$K1098=12),AND($G$5=2,OR($K1098=6,$K1098=12)),AND($G$5=4,OR($K1098=3,$K1098=6,$K1098=9,$K1098=12)),$G$5=12),1,"")</f>
        <v>1</v>
      </c>
      <c r="R1098" s="450">
        <f t="shared" ref="R1098:R1161" ca="1" si="700">IF($U1098&lt;$I$5,$G$5,$I$6)</f>
        <v>12</v>
      </c>
      <c r="S1098" s="191">
        <f t="shared" ref="S1098:S1161" si="701">IF(T1097=12,S1097+1,S1097)</f>
        <v>91</v>
      </c>
      <c r="T1098" s="191">
        <f t="shared" ref="T1098:T1161" si="702">IF(T1097=12,1,T1097+1)</f>
        <v>10</v>
      </c>
      <c r="U1098" s="191">
        <f ca="1">OP!$D$5+$S1098-1</f>
        <v>123</v>
      </c>
      <c r="V1098" s="191" t="str">
        <f t="shared" ref="V1098:V1161" si="703">IF($T1098=12,$S1098,"")</f>
        <v/>
      </c>
      <c r="W1098" s="350">
        <f ca="1">IF(Q1098&lt;&gt;1,0,VLOOKUP(OP!$C$55,PVFB,$S1098+2,0))</f>
        <v>0</v>
      </c>
      <c r="X1098" s="473" t="str">
        <f t="shared" ca="1" si="682"/>
        <v/>
      </c>
      <c r="Y1098" s="348">
        <f t="shared" ca="1" si="683"/>
        <v>0</v>
      </c>
      <c r="Z1098" s="348">
        <f t="shared" ca="1" si="684"/>
        <v>8012</v>
      </c>
      <c r="AA1098" s="348">
        <f ca="1">IF(Q1098&lt;&gt;1,0,VLOOKUP(OP!$C$55,PVFB,$S1098+2,0))</f>
        <v>0</v>
      </c>
      <c r="AB1098" s="488" t="str">
        <f ca="1">IF(AND(S1098&lt;OP!$C$24,$U1098&lt;15),0,IF(AND($U1098&lt;15,$T1098=12),ROUND(VLOOKUP($S1098,DOWN16,5,0),3),IF($T1098=12,ROUND(($Z1098/10000)*$AA1098,3)+IF(AND($P$7="購買增額繳清保險",T1098=12,U1098=110),VLOOKUP(S1098,$B$10:$H$121,7,0),0),"")))</f>
        <v/>
      </c>
      <c r="AC1098" s="350" t="str">
        <f ca="1">IF(AND(S1098&lt;OP!$C$24,$U1098&lt;15),0,IF(AND($U1098&lt;16,$T1098=12),VLOOKUP($S1098,DOWN16,4,0),IF($T1098=12,ROUND(VLOOKUP(OP!$C$55,_DIE2,$S1098+1,0)*(Z1098/10000),0)+IF(AND($P$7="購買增額繳清保險",T1098=12,U1098=110),VLOOKUP(S1098,$B$10:$H$121,7,0),0),"")))</f>
        <v/>
      </c>
      <c r="AD1098" s="347"/>
      <c r="AE1098" s="350" t="str">
        <f t="shared" ca="1" si="693"/>
        <v/>
      </c>
      <c r="AF1098" s="351" t="str">
        <f t="shared" ca="1" si="694"/>
        <v/>
      </c>
      <c r="AG1098" s="340"/>
      <c r="AH1098" s="340"/>
      <c r="AI1098" s="340"/>
      <c r="AJ1098" s="340"/>
      <c r="AK1098" s="340"/>
      <c r="AL1098" s="340"/>
      <c r="AM1098" s="340"/>
      <c r="AN1098" s="340"/>
      <c r="AO1098" s="340"/>
      <c r="AP1098" s="340"/>
      <c r="AQ1098" s="340"/>
      <c r="AR1098" s="340"/>
      <c r="AS1098" s="340"/>
      <c r="AT1098" s="340"/>
      <c r="AU1098" s="340"/>
      <c r="AV1098" s="340"/>
      <c r="AY1098" s="340"/>
      <c r="AZ1098" s="465">
        <f t="shared" ref="AZ1098:AZ1161" ca="1" si="704">ROUND(($G$3*BF1098/365),10)</f>
        <v>7.3698599999999999E-5</v>
      </c>
      <c r="BA1098" s="464">
        <f t="shared" ref="BA1098:BB1161" ca="1" si="705">ROUND(($G$3*BG1098/365),10)</f>
        <v>0</v>
      </c>
      <c r="BB1098" s="465">
        <f t="shared" ca="1" si="705"/>
        <v>7.3698599999999999E-5</v>
      </c>
      <c r="BC1098" s="466">
        <f t="shared" ref="BC1098:BC1161" ca="1" si="706">DATE(YEAR(BD1098),MONTH(BD1098),1)</f>
        <v>76032</v>
      </c>
      <c r="BD1098" s="467">
        <f t="shared" ca="1" si="685"/>
        <v>76033</v>
      </c>
      <c r="BE1098" s="467">
        <f t="shared" ref="BE1098:BE1161" ca="1" si="707">DATE(YEAR(BD1098),MONTH(BD1098),DAY(DATE(YEAR(BD1098),MONTH(BD1098)+1,0)))</f>
        <v>76062</v>
      </c>
      <c r="BF1098" s="468">
        <f ca="1">IF(計算!$BC1098&lt;OP!$C$3,0,BD1098-BC1098)</f>
        <v>1</v>
      </c>
      <c r="BG1098" s="468">
        <f ca="1">IF($BE1098&gt;DATE(YEAR($BD$9)+OP!$C$57,MONTH($BD$9),DAY($BD$9)),0,$BE1098-$BD1098+1)</f>
        <v>0</v>
      </c>
      <c r="BH1098" s="469">
        <f t="shared" ref="BH1098:BH1161" ca="1" si="708">BF1098+BG1098</f>
        <v>1</v>
      </c>
      <c r="BI1098" t="str">
        <f t="shared" si="690"/>
        <v/>
      </c>
      <c r="BJ1098">
        <v>9</v>
      </c>
      <c r="BN1098" s="468">
        <f t="shared" si="686"/>
        <v>91</v>
      </c>
      <c r="BO1098" s="468">
        <f t="shared" si="687"/>
        <v>9</v>
      </c>
      <c r="BP1098" s="467">
        <f t="shared" ref="BP1098:BP1161" ca="1" si="709">BD1098</f>
        <v>76033</v>
      </c>
      <c r="BQ1098" s="475">
        <f t="shared" ca="1" si="689"/>
        <v>123</v>
      </c>
      <c r="BR1098" s="475" t="str">
        <f t="shared" si="688"/>
        <v/>
      </c>
      <c r="BS1098" s="471" t="str">
        <f t="shared" ref="BS1098:BS1161" si="710">IF(BW1098&lt;&gt;"",ROUND(BU1098,0)+ROUND(BV1098,0),"")</f>
        <v/>
      </c>
      <c r="BT1098" s="472" t="str">
        <f t="shared" si="691"/>
        <v/>
      </c>
      <c r="BU1098" s="472">
        <f t="shared" ref="BU1098:BV1161" ca="1" si="711">ROUND(CA1098,0)</f>
        <v>0</v>
      </c>
      <c r="BV1098" s="472">
        <f t="shared" ca="1" si="711"/>
        <v>0</v>
      </c>
      <c r="BW1098" s="472"/>
      <c r="BX1098" s="473">
        <f t="shared" ref="BX1098:BX1161" ca="1" si="712">IF(BN1098&lt;=$P$4,0,ROUNDDOWN(IF($Q1097=1,CA1098+CB1098-CC1098,0)+BX1097+BY1098+BZ1097,VLOOKUP(LEN(ROUNDDOWN(IF($Q1097=1,CA1098+CB1098-CC1098,0)+BX1097+BY1098+BZ1097,0)),$BK$9:$BL$24,2,0)))</f>
        <v>2786793.5930375601</v>
      </c>
      <c r="BY1098" s="473">
        <f t="shared" ref="BY1098:BY1161" si="713">IF(BO1098=12,ROUND((BX1097+BZ1097)*$AZ1098,$CB$6),0)</f>
        <v>0</v>
      </c>
      <c r="BZ1098" s="473">
        <f t="shared" ca="1" si="695"/>
        <v>205.38278629600001</v>
      </c>
      <c r="CA1098" s="476">
        <f t="shared" ref="CA1098:CA1161" ca="1" si="714">IF($Q1097=1,ROUND(VLOOKUP($BN1098,more1,3,0)*VLOOKUP($BN1098,more1,5,0)/$R1097,0),0)</f>
        <v>0</v>
      </c>
      <c r="CB1098" s="494">
        <f ca="1">IF(OR($Q1097&lt;&gt;1,OP!$D$5+$BN1098-1&lt;16,$BN1098-1&lt;1),0,ROUND(ROUND(ROUND(((VLOOKUP($BN1098-1,MORE_PV,5,0)/10000)*VLOOKUP($BN1098,MORE_PV,$CB$5,0)),3)*VLOOKUP($BN1098,more1,5,0),0)/$R1097,0))</f>
        <v>0</v>
      </c>
      <c r="CC1098" s="473">
        <f t="shared" ref="CC1098:CC1161" ca="1" si="715">IF(AND($BN1098=$P$4,$BO1098=12),$CA1098+$CB1098,IF(AND($BN1098&gt;$P$4,$Q1097=1,$G$6="現金給付",$CA1098+$CB1098&gt;=$P$3),$CA1098+$CB1098,0))</f>
        <v>0</v>
      </c>
      <c r="CD1098" s="477"/>
    </row>
    <row r="1099" spans="2:98" ht="16.5" hidden="1">
      <c r="B1099" s="80"/>
      <c r="C1099" s="80"/>
      <c r="D1099" s="80"/>
      <c r="E1099" s="80"/>
      <c r="F1099" s="80"/>
      <c r="G1099" s="80"/>
      <c r="H1099" s="80"/>
      <c r="I1099" s="80"/>
      <c r="J1099" s="192">
        <f t="shared" si="696"/>
        <v>91</v>
      </c>
      <c r="K1099" s="192">
        <f t="shared" si="697"/>
        <v>11</v>
      </c>
      <c r="L1099" s="192" t="str">
        <f t="shared" si="692"/>
        <v/>
      </c>
      <c r="M1099" s="216" t="str">
        <f t="shared" ca="1" si="698"/>
        <v/>
      </c>
      <c r="N1099" s="216"/>
      <c r="O1099" s="216"/>
      <c r="P1099" s="216"/>
      <c r="Q1099" s="456">
        <f t="shared" ca="1" si="699"/>
        <v>1</v>
      </c>
      <c r="R1099" s="450">
        <f t="shared" ca="1" si="700"/>
        <v>12</v>
      </c>
      <c r="S1099" s="191">
        <f t="shared" si="701"/>
        <v>91</v>
      </c>
      <c r="T1099" s="191">
        <f t="shared" si="702"/>
        <v>11</v>
      </c>
      <c r="U1099" s="191">
        <f ca="1">OP!$D$5+$S1099-1</f>
        <v>123</v>
      </c>
      <c r="V1099" s="191" t="str">
        <f t="shared" si="703"/>
        <v/>
      </c>
      <c r="W1099" s="350">
        <f ca="1">IF(Q1099&lt;&gt;1,0,VLOOKUP(OP!$C$55,PVFB,$S1099+2,0))</f>
        <v>0</v>
      </c>
      <c r="X1099" s="473" t="str">
        <f t="shared" ref="X1099:X1162" ca="1" si="716">IF(AND($U1099=15,$T1099=12),$CO1100,IF(AND($U1099&gt;15,$S1099&lt;=$P$4,$T1099=12),($BS1100)*$R1099,IF($Q1099=1,($BS1100),0)))</f>
        <v/>
      </c>
      <c r="Y1099" s="348">
        <f t="shared" ref="Y1099:Y1162" ca="1" si="717">IF(AND($P$7="購買增額繳清保險",U1099&gt;=110),0,IF(AND($U1099=15,$W1099&lt;&gt;0,$T1099=12),ROUND(($X1099)/($W1099/10000),0),IF(AND($S1099&lt;=$P$4,$W1099&lt;&gt;0,$T1099=12,$U1099&gt;15),ROUND(($X1099)/($W1099/10000),0),0)))</f>
        <v>0</v>
      </c>
      <c r="Z1099" s="348">
        <f t="shared" ref="Z1099:Z1162" ca="1" si="718">Z1098+Y1099</f>
        <v>8012</v>
      </c>
      <c r="AA1099" s="348">
        <f ca="1">IF(Q1099&lt;&gt;1,0,VLOOKUP(OP!$C$55,PVFB,$S1099+2,0))</f>
        <v>0</v>
      </c>
      <c r="AB1099" s="488" t="str">
        <f ca="1">IF(AND(S1099&lt;OP!$C$24,$U1099&lt;15),0,IF(AND($U1099&lt;15,$T1099=12),ROUND(VLOOKUP($S1099,DOWN16,5,0),3),IF($T1099=12,ROUND(($Z1099/10000)*$AA1099,3)+IF(AND($P$7="購買增額繳清保險",T1099=12,U1099=110),VLOOKUP(S1099,$B$10:$H$121,7,0),0),"")))</f>
        <v/>
      </c>
      <c r="AC1099" s="350" t="str">
        <f ca="1">IF(AND(S1099&lt;OP!$C$24,$U1099&lt;15),0,IF(AND($U1099&lt;16,$T1099=12),VLOOKUP($S1099,DOWN16,4,0),IF($T1099=12,ROUND(VLOOKUP(OP!$C$55,_DIE2,$S1099+1,0)*(Z1099/10000),0)+IF(AND($P$7="購買增額繳清保險",T1099=12,U1099=110),VLOOKUP(S1099,$B$10:$H$121,7,0),0),"")))</f>
        <v/>
      </c>
      <c r="AD1099" s="347"/>
      <c r="AE1099" s="350" t="str">
        <f t="shared" ca="1" si="693"/>
        <v/>
      </c>
      <c r="AF1099" s="351" t="str">
        <f t="shared" ca="1" si="694"/>
        <v/>
      </c>
      <c r="AG1099" s="340"/>
      <c r="AH1099" s="340"/>
      <c r="AI1099" s="340"/>
      <c r="AJ1099" s="340"/>
      <c r="AK1099" s="340"/>
      <c r="AL1099" s="340"/>
      <c r="AM1099" s="340"/>
      <c r="AN1099" s="340"/>
      <c r="AO1099" s="340"/>
      <c r="AP1099" s="340"/>
      <c r="AQ1099" s="340"/>
      <c r="AR1099" s="340"/>
      <c r="AS1099" s="340"/>
      <c r="AT1099" s="340"/>
      <c r="AU1099" s="340"/>
      <c r="AV1099" s="340"/>
      <c r="AY1099" s="340"/>
      <c r="AZ1099" s="465">
        <f t="shared" ca="1" si="704"/>
        <v>7.3698599999999999E-5</v>
      </c>
      <c r="BA1099" s="464">
        <f t="shared" ca="1" si="705"/>
        <v>0</v>
      </c>
      <c r="BB1099" s="465">
        <f t="shared" ca="1" si="705"/>
        <v>7.3698599999999999E-5</v>
      </c>
      <c r="BC1099" s="466">
        <f t="shared" ca="1" si="706"/>
        <v>76063</v>
      </c>
      <c r="BD1099" s="467">
        <f t="shared" ref="BD1099:BD1162" ca="1" si="719">DATE(YEAR(BD1098),MONTH(BD1098)+1,MIN(DAY($BD$9),DAY(DATE(YEAR(BD1098),MONTH(BD1098)+2,0))))</f>
        <v>76064</v>
      </c>
      <c r="BE1099" s="467">
        <f t="shared" ca="1" si="707"/>
        <v>76092</v>
      </c>
      <c r="BF1099" s="468">
        <f ca="1">IF(計算!$BC1099&lt;OP!$C$3,0,BD1099-BC1099)</f>
        <v>1</v>
      </c>
      <c r="BG1099" s="468">
        <f ca="1">IF($BE1099&gt;DATE(YEAR($BD$9)+OP!$C$57,MONTH($BD$9),DAY($BD$9)),0,$BE1099-$BD1099+1)</f>
        <v>0</v>
      </c>
      <c r="BH1099" s="469">
        <f t="shared" ca="1" si="708"/>
        <v>1</v>
      </c>
      <c r="BI1099" t="str">
        <f t="shared" si="690"/>
        <v/>
      </c>
      <c r="BJ1099">
        <v>10</v>
      </c>
      <c r="BN1099" s="468">
        <f t="shared" ref="BN1099:BN1162" si="720">IF(BO1098=12,BN1098+1,BN1098)</f>
        <v>91</v>
      </c>
      <c r="BO1099" s="468">
        <f t="shared" ref="BO1099:BO1162" si="721">IF(BO1098=12,1,BO1098+1)</f>
        <v>10</v>
      </c>
      <c r="BP1099" s="467">
        <f t="shared" ca="1" si="709"/>
        <v>76064</v>
      </c>
      <c r="BQ1099" s="475">
        <f t="shared" ca="1" si="689"/>
        <v>123</v>
      </c>
      <c r="BR1099" s="475" t="str">
        <f t="shared" ref="BR1099:BR1162" si="722">IF(BO1099=12,BN1099,"")</f>
        <v/>
      </c>
      <c r="BS1099" s="471" t="str">
        <f t="shared" si="710"/>
        <v/>
      </c>
      <c r="BT1099" s="472" t="str">
        <f t="shared" si="691"/>
        <v/>
      </c>
      <c r="BU1099" s="472">
        <f t="shared" ca="1" si="711"/>
        <v>0</v>
      </c>
      <c r="BV1099" s="472">
        <f t="shared" ca="1" si="711"/>
        <v>0</v>
      </c>
      <c r="BW1099" s="472"/>
      <c r="BX1099" s="473">
        <f t="shared" ca="1" si="712"/>
        <v>2786998.9758238601</v>
      </c>
      <c r="BY1099" s="473">
        <f t="shared" si="713"/>
        <v>0</v>
      </c>
      <c r="BZ1099" s="473">
        <f t="shared" ca="1" si="695"/>
        <v>205.39792272</v>
      </c>
      <c r="CA1099" s="476">
        <f t="shared" ca="1" si="714"/>
        <v>0</v>
      </c>
      <c r="CB1099" s="494">
        <f ca="1">IF(OR($Q1098&lt;&gt;1,OP!$D$5+$BN1099-1&lt;16,$BN1099-1&lt;1),0,ROUND(ROUND(ROUND(((VLOOKUP($BN1099-1,MORE_PV,5,0)/10000)*VLOOKUP($BN1099,MORE_PV,$CB$5,0)),3)*VLOOKUP($BN1099,more1,5,0),0)/$R1098,0))</f>
        <v>0</v>
      </c>
      <c r="CC1099" s="473">
        <f t="shared" ca="1" si="715"/>
        <v>0</v>
      </c>
      <c r="CD1099" s="477"/>
    </row>
    <row r="1100" spans="2:98" ht="16.5" hidden="1">
      <c r="B1100" s="80"/>
      <c r="C1100" s="80"/>
      <c r="D1100" s="80"/>
      <c r="E1100" s="80"/>
      <c r="F1100" s="80"/>
      <c r="G1100" s="80"/>
      <c r="H1100" s="80"/>
      <c r="I1100" s="80"/>
      <c r="J1100" s="192">
        <f t="shared" si="696"/>
        <v>91</v>
      </c>
      <c r="K1100" s="192">
        <f t="shared" si="697"/>
        <v>12</v>
      </c>
      <c r="L1100" s="192">
        <f t="shared" si="692"/>
        <v>91</v>
      </c>
      <c r="M1100" s="216">
        <f t="shared" ca="1" si="698"/>
        <v>2787614</v>
      </c>
      <c r="N1100" s="216"/>
      <c r="O1100" s="216"/>
      <c r="P1100" s="216"/>
      <c r="Q1100" s="456">
        <f t="shared" ca="1" si="699"/>
        <v>1</v>
      </c>
      <c r="R1100" s="450">
        <f t="shared" ca="1" si="700"/>
        <v>12</v>
      </c>
      <c r="S1100" s="191">
        <f t="shared" si="701"/>
        <v>91</v>
      </c>
      <c r="T1100" s="191">
        <f t="shared" si="702"/>
        <v>12</v>
      </c>
      <c r="U1100" s="191">
        <f ca="1">OP!$D$5+$S1100-1</f>
        <v>123</v>
      </c>
      <c r="V1100" s="191">
        <f t="shared" si="703"/>
        <v>91</v>
      </c>
      <c r="W1100" s="350">
        <f ca="1">IF(Q1100&lt;&gt;1,0,VLOOKUP(OP!$C$55,PVFB,$S1100+2,0))</f>
        <v>0</v>
      </c>
      <c r="X1100" s="473">
        <f t="shared" ca="1" si="716"/>
        <v>0</v>
      </c>
      <c r="Y1100" s="348">
        <f t="shared" ca="1" si="717"/>
        <v>0</v>
      </c>
      <c r="Z1100" s="348">
        <f t="shared" ca="1" si="718"/>
        <v>8012</v>
      </c>
      <c r="AA1100" s="348">
        <f ca="1">IF(Q1100&lt;&gt;1,0,VLOOKUP(OP!$C$55,PVFB,$S1100+2,0))</f>
        <v>0</v>
      </c>
      <c r="AB1100" s="488">
        <f ca="1">IF(AND(S1100&lt;OP!$C$24,$U1100&lt;15),0,IF(AND($U1100&lt;15,$T1100=12),ROUND(VLOOKUP($S1100,DOWN16,5,0),3),IF($T1100=12,ROUND(($Z1100/10000)*$AA1100,3)+IF(AND($P$7="購買增額繳清保險",T1100=12,U1100=110),VLOOKUP(S1100,$B$10:$H$121,7,0),0),"")))</f>
        <v>0</v>
      </c>
      <c r="AC1100" s="350">
        <f ca="1">IF(AND(S1100&lt;OP!$C$24,$U1100&lt;15),0,IF(AND($U1100&lt;16,$T1100=12),VLOOKUP($S1100,DOWN16,4,0),IF($T1100=12,ROUND(VLOOKUP(OP!$C$55,_DIE2,$S1100+1,0)*(Z1100/10000),0)+IF(AND($P$7="購買增額繳清保險",T1100=12,U1100=110),VLOOKUP(S1100,$B$10:$H$121,7,0),0),"")))</f>
        <v>0</v>
      </c>
      <c r="AD1100" s="347"/>
      <c r="AE1100" s="350" t="str">
        <f t="shared" ca="1" si="693"/>
        <v/>
      </c>
      <c r="AF1100" s="351" t="str">
        <f t="shared" ca="1" si="694"/>
        <v/>
      </c>
      <c r="AG1100" s="340"/>
      <c r="AH1100" s="340"/>
      <c r="AI1100" s="340"/>
      <c r="AJ1100" s="340"/>
      <c r="AK1100" s="340"/>
      <c r="AL1100" s="340"/>
      <c r="AM1100" s="340"/>
      <c r="AN1100" s="340"/>
      <c r="AO1100" s="340"/>
      <c r="AP1100" s="340"/>
      <c r="AQ1100" s="340"/>
      <c r="AR1100" s="340"/>
      <c r="AS1100" s="340"/>
      <c r="AT1100" s="340"/>
      <c r="AU1100" s="340"/>
      <c r="AV1100" s="340"/>
      <c r="AY1100" s="340"/>
      <c r="AZ1100" s="465">
        <f t="shared" ca="1" si="704"/>
        <v>7.3698599999999999E-5</v>
      </c>
      <c r="BA1100" s="464">
        <f t="shared" ca="1" si="705"/>
        <v>0</v>
      </c>
      <c r="BB1100" s="465">
        <f t="shared" ca="1" si="705"/>
        <v>7.3698599999999999E-5</v>
      </c>
      <c r="BC1100" s="466">
        <f t="shared" ca="1" si="706"/>
        <v>76093</v>
      </c>
      <c r="BD1100" s="467">
        <f t="shared" ca="1" si="719"/>
        <v>76094</v>
      </c>
      <c r="BE1100" s="467">
        <f t="shared" ca="1" si="707"/>
        <v>76123</v>
      </c>
      <c r="BF1100" s="468">
        <f ca="1">IF(計算!$BC1100&lt;OP!$C$3,0,BD1100-BC1100)</f>
        <v>1</v>
      </c>
      <c r="BG1100" s="468">
        <f ca="1">IF($BE1100&gt;DATE(YEAR($BD$9)+OP!$C$57,MONTH($BD$9),DAY($BD$9)),0,$BE1100-$BD1100+1)</f>
        <v>0</v>
      </c>
      <c r="BH1100" s="469">
        <f t="shared" ca="1" si="708"/>
        <v>1</v>
      </c>
      <c r="BI1100" t="str">
        <f t="shared" si="690"/>
        <v/>
      </c>
      <c r="BJ1100">
        <v>11</v>
      </c>
      <c r="BN1100" s="468">
        <f t="shared" si="720"/>
        <v>91</v>
      </c>
      <c r="BO1100" s="468">
        <f t="shared" si="721"/>
        <v>11</v>
      </c>
      <c r="BP1100" s="467">
        <f t="shared" ca="1" si="709"/>
        <v>76094</v>
      </c>
      <c r="BQ1100" s="475">
        <f t="shared" ref="BQ1100:BQ1163" ca="1" si="723">IF(BO1099=12,BQ1099+1,BQ1099)</f>
        <v>123</v>
      </c>
      <c r="BR1100" s="475" t="str">
        <f t="shared" si="722"/>
        <v/>
      </c>
      <c r="BS1100" s="471" t="str">
        <f t="shared" si="710"/>
        <v/>
      </c>
      <c r="BT1100" s="472" t="str">
        <f t="shared" si="691"/>
        <v/>
      </c>
      <c r="BU1100" s="472">
        <f t="shared" ca="1" si="711"/>
        <v>0</v>
      </c>
      <c r="BV1100" s="472">
        <f t="shared" ca="1" si="711"/>
        <v>0</v>
      </c>
      <c r="BW1100" s="472"/>
      <c r="BX1100" s="473">
        <f t="shared" ca="1" si="712"/>
        <v>2787204.37374658</v>
      </c>
      <c r="BY1100" s="473">
        <f t="shared" si="713"/>
        <v>0</v>
      </c>
      <c r="BZ1100" s="473">
        <f t="shared" ca="1" si="695"/>
        <v>205.41306025899999</v>
      </c>
      <c r="CA1100" s="476">
        <f t="shared" ca="1" si="714"/>
        <v>0</v>
      </c>
      <c r="CB1100" s="494">
        <f ca="1">IF(OR($Q1099&lt;&gt;1,OP!$D$5+$BN1100-1&lt;16,$BN1100-1&lt;1),0,ROUND(ROUND(ROUND(((VLOOKUP($BN1100-1,MORE_PV,5,0)/10000)*VLOOKUP($BN1100,MORE_PV,$CB$5,0)),3)*VLOOKUP($BN1100,more1,5,0),0)/$R1099,0))</f>
        <v>0</v>
      </c>
      <c r="CC1100" s="473">
        <f t="shared" ca="1" si="715"/>
        <v>0</v>
      </c>
      <c r="CD1100" s="477"/>
    </row>
    <row r="1101" spans="2:98" ht="16.5" hidden="1">
      <c r="B1101" s="80"/>
      <c r="C1101" s="80"/>
      <c r="D1101" s="80"/>
      <c r="E1101" s="80"/>
      <c r="F1101" s="80"/>
      <c r="G1101" s="80"/>
      <c r="H1101" s="80"/>
      <c r="I1101" s="80"/>
      <c r="J1101" s="192">
        <f t="shared" si="696"/>
        <v>92</v>
      </c>
      <c r="K1101" s="192">
        <f t="shared" si="697"/>
        <v>1</v>
      </c>
      <c r="L1101" s="192" t="str">
        <f t="shared" si="692"/>
        <v/>
      </c>
      <c r="M1101" s="216" t="str">
        <f t="shared" ca="1" si="698"/>
        <v/>
      </c>
      <c r="N1101" s="216"/>
      <c r="O1101" s="216"/>
      <c r="P1101" s="216"/>
      <c r="Q1101" s="456">
        <f t="shared" ca="1" si="699"/>
        <v>1</v>
      </c>
      <c r="R1101" s="450">
        <f t="shared" ca="1" si="700"/>
        <v>12</v>
      </c>
      <c r="S1101" s="191">
        <f t="shared" si="701"/>
        <v>92</v>
      </c>
      <c r="T1101" s="191">
        <f t="shared" si="702"/>
        <v>1</v>
      </c>
      <c r="U1101" s="191">
        <f ca="1">OP!$D$5+$S1101-1</f>
        <v>124</v>
      </c>
      <c r="V1101" s="191" t="str">
        <f t="shared" si="703"/>
        <v/>
      </c>
      <c r="W1101" s="350">
        <f ca="1">IF(Q1101&lt;&gt;1,0,VLOOKUP(OP!$C$55,PVFB,$S1101+2,0))</f>
        <v>0</v>
      </c>
      <c r="X1101" s="473" t="str">
        <f t="shared" ca="1" si="716"/>
        <v/>
      </c>
      <c r="Y1101" s="348">
        <f t="shared" ca="1" si="717"/>
        <v>0</v>
      </c>
      <c r="Z1101" s="348">
        <f t="shared" ca="1" si="718"/>
        <v>8012</v>
      </c>
      <c r="AA1101" s="348">
        <f ca="1">IF(Q1101&lt;&gt;1,0,VLOOKUP(OP!$C$55,PVFB,$S1101+2,0))</f>
        <v>0</v>
      </c>
      <c r="AB1101" s="488" t="str">
        <f ca="1">IF(AND(S1101&lt;OP!$C$24,$U1101&lt;15),0,IF(AND($U1101&lt;15,$T1101=12),ROUND(VLOOKUP($S1101,DOWN16,5,0),3),IF($T1101=12,ROUND(($Z1101/10000)*$AA1101,3)+IF(AND($P$7="購買增額繳清保險",T1101=12,U1101=110),VLOOKUP(S1101,$B$10:$H$121,7,0),0),"")))</f>
        <v/>
      </c>
      <c r="AC1101" s="350" t="str">
        <f ca="1">IF(AND(S1101&lt;OP!$C$24,$U1101&lt;15),0,IF(AND($U1101&lt;16,$T1101=12),VLOOKUP($S1101,DOWN16,4,0),IF($T1101=12,ROUND(VLOOKUP(OP!$C$55,_DIE2,$S1101+1,0)*(Z1101/10000),0)+IF(AND($P$7="購買增額繳清保險",T1101=12,U1101=110),VLOOKUP(S1101,$B$10:$H$121,7,0),0),"")))</f>
        <v/>
      </c>
      <c r="AD1101" s="347"/>
      <c r="AE1101" s="350" t="str">
        <f t="shared" ca="1" si="693"/>
        <v/>
      </c>
      <c r="AF1101" s="351" t="str">
        <f t="shared" ca="1" si="694"/>
        <v/>
      </c>
      <c r="AG1101" s="340"/>
      <c r="AH1101" s="340"/>
      <c r="AI1101" s="340"/>
      <c r="AJ1101" s="340"/>
      <c r="AK1101" s="340"/>
      <c r="AL1101" s="340"/>
      <c r="AM1101" s="340"/>
      <c r="AN1101" s="340"/>
      <c r="AO1101" s="340"/>
      <c r="AP1101" s="340"/>
      <c r="AQ1101" s="340"/>
      <c r="AR1101" s="340"/>
      <c r="AS1101" s="340"/>
      <c r="AT1101" s="340"/>
      <c r="AU1101" s="340"/>
      <c r="AV1101" s="340"/>
      <c r="AY1101" s="340"/>
      <c r="AZ1101" s="465">
        <f t="shared" ca="1" si="704"/>
        <v>7.3698599999999999E-5</v>
      </c>
      <c r="BA1101" s="464">
        <f t="shared" ca="1" si="705"/>
        <v>0</v>
      </c>
      <c r="BB1101" s="465">
        <f t="shared" ca="1" si="705"/>
        <v>7.3698599999999999E-5</v>
      </c>
      <c r="BC1101" s="466">
        <f t="shared" ca="1" si="706"/>
        <v>76124</v>
      </c>
      <c r="BD1101" s="467">
        <f t="shared" ca="1" si="719"/>
        <v>76125</v>
      </c>
      <c r="BE1101" s="467">
        <f t="shared" ca="1" si="707"/>
        <v>76153</v>
      </c>
      <c r="BF1101" s="468">
        <f ca="1">IF(計算!$BC1101&lt;OP!$C$3,0,BD1101-BC1101)</f>
        <v>1</v>
      </c>
      <c r="BG1101" s="468">
        <f ca="1">IF($BE1101&gt;DATE(YEAR($BD$9)+OP!$C$57,MONTH($BD$9),DAY($BD$9)),0,$BE1101-$BD1101+1)</f>
        <v>0</v>
      </c>
      <c r="BH1101" s="469">
        <f t="shared" ca="1" si="708"/>
        <v>1</v>
      </c>
      <c r="BI1101">
        <f t="shared" ca="1" si="690"/>
        <v>366</v>
      </c>
      <c r="BJ1101">
        <v>12</v>
      </c>
      <c r="BN1101" s="468">
        <f t="shared" si="720"/>
        <v>91</v>
      </c>
      <c r="BO1101" s="468">
        <f t="shared" si="721"/>
        <v>12</v>
      </c>
      <c r="BP1101" s="467">
        <f t="shared" ca="1" si="709"/>
        <v>76125</v>
      </c>
      <c r="BQ1101" s="475">
        <f t="shared" ca="1" si="723"/>
        <v>123</v>
      </c>
      <c r="BR1101" s="475">
        <f t="shared" si="722"/>
        <v>91</v>
      </c>
      <c r="BS1101" s="471">
        <f t="shared" ca="1" si="710"/>
        <v>0</v>
      </c>
      <c r="BT1101" s="472">
        <f t="shared" ca="1" si="691"/>
        <v>2787614</v>
      </c>
      <c r="BU1101" s="472">
        <f t="shared" ca="1" si="711"/>
        <v>0</v>
      </c>
      <c r="BV1101" s="472">
        <f t="shared" ca="1" si="711"/>
        <v>0</v>
      </c>
      <c r="BW1101" s="472">
        <f ca="1">ROUND(SUM(BY1101,BZ1089:BZ1100),0)</f>
        <v>2464</v>
      </c>
      <c r="BX1101" s="473">
        <f t="shared" ca="1" si="712"/>
        <v>2787615.2150057498</v>
      </c>
      <c r="BY1101" s="473">
        <f t="shared" ca="1" si="713"/>
        <v>205.42819891400001</v>
      </c>
      <c r="BZ1101" s="473">
        <f t="shared" ca="1" si="695"/>
        <v>0</v>
      </c>
      <c r="CA1101" s="476">
        <f t="shared" ca="1" si="714"/>
        <v>0</v>
      </c>
      <c r="CB1101" s="494">
        <f ca="1">IF(OR($Q1100&lt;&gt;1,OP!$D$5+$BN1101-1&lt;16,$BN1101-1&lt;1),0,ROUND(ROUND(ROUND(((VLOOKUP($BN1101-1,MORE_PV,5,0)/10000)*VLOOKUP($BN1101,MORE_PV,$CB$5,0)),3)*VLOOKUP($BN1101,more1,5,0),0)/$R1100,0))</f>
        <v>0</v>
      </c>
      <c r="CC1101" s="473">
        <f t="shared" ca="1" si="715"/>
        <v>0</v>
      </c>
      <c r="CD1101" s="477"/>
    </row>
    <row r="1102" spans="2:98" ht="16.5" hidden="1">
      <c r="B1102" s="80"/>
      <c r="C1102" s="80"/>
      <c r="D1102" s="80"/>
      <c r="E1102" s="80"/>
      <c r="F1102" s="80"/>
      <c r="G1102" s="80"/>
      <c r="H1102" s="80"/>
      <c r="I1102" s="80"/>
      <c r="J1102" s="192">
        <f t="shared" si="696"/>
        <v>92</v>
      </c>
      <c r="K1102" s="192">
        <f t="shared" si="697"/>
        <v>2</v>
      </c>
      <c r="L1102" s="192" t="str">
        <f t="shared" si="692"/>
        <v/>
      </c>
      <c r="M1102" s="216" t="str">
        <f t="shared" ca="1" si="698"/>
        <v/>
      </c>
      <c r="N1102" s="216"/>
      <c r="O1102" s="216"/>
      <c r="P1102" s="216"/>
      <c r="Q1102" s="456">
        <f t="shared" ca="1" si="699"/>
        <v>1</v>
      </c>
      <c r="R1102" s="450">
        <f t="shared" ca="1" si="700"/>
        <v>12</v>
      </c>
      <c r="S1102" s="191">
        <f t="shared" si="701"/>
        <v>92</v>
      </c>
      <c r="T1102" s="191">
        <f t="shared" si="702"/>
        <v>2</v>
      </c>
      <c r="U1102" s="191">
        <f ca="1">OP!$D$5+$S1102-1</f>
        <v>124</v>
      </c>
      <c r="V1102" s="191" t="str">
        <f t="shared" si="703"/>
        <v/>
      </c>
      <c r="W1102" s="350">
        <f ca="1">IF(Q1102&lt;&gt;1,0,VLOOKUP(OP!$C$55,PVFB,$S1102+2,0))</f>
        <v>0</v>
      </c>
      <c r="X1102" s="473" t="str">
        <f t="shared" ca="1" si="716"/>
        <v/>
      </c>
      <c r="Y1102" s="348">
        <f t="shared" ca="1" si="717"/>
        <v>0</v>
      </c>
      <c r="Z1102" s="348">
        <f t="shared" ca="1" si="718"/>
        <v>8012</v>
      </c>
      <c r="AA1102" s="348">
        <f ca="1">IF(Q1102&lt;&gt;1,0,VLOOKUP(OP!$C$55,PVFB,$S1102+2,0))</f>
        <v>0</v>
      </c>
      <c r="AB1102" s="488" t="str">
        <f ca="1">IF(AND(S1102&lt;OP!$C$24,$U1102&lt;15),0,IF(AND($U1102&lt;15,$T1102=12),ROUND(VLOOKUP($S1102,DOWN16,5,0),3),IF($T1102=12,ROUND(($Z1102/10000)*$AA1102,3)+IF(AND($P$7="購買增額繳清保險",T1102=12,U1102=110),VLOOKUP(S1102,$B$10:$H$121,7,0),0),"")))</f>
        <v/>
      </c>
      <c r="AC1102" s="350" t="str">
        <f ca="1">IF(AND(S1102&lt;OP!$C$24,$U1102&lt;15),0,IF(AND($U1102&lt;16,$T1102=12),VLOOKUP($S1102,DOWN16,4,0),IF($T1102=12,ROUND(VLOOKUP(OP!$C$55,_DIE2,$S1102+1,0)*(Z1102/10000),0)+IF(AND($P$7="購買增額繳清保險",T1102=12,U1102=110),VLOOKUP(S1102,$B$10:$H$121,7,0),0),"")))</f>
        <v/>
      </c>
      <c r="AD1102" s="347"/>
      <c r="AE1102" s="350" t="str">
        <f t="shared" ca="1" si="693"/>
        <v/>
      </c>
      <c r="AF1102" s="351" t="str">
        <f t="shared" ca="1" si="694"/>
        <v/>
      </c>
      <c r="AG1102" s="340"/>
      <c r="AH1102" s="340"/>
      <c r="AI1102" s="340"/>
      <c r="AJ1102" s="340"/>
      <c r="AK1102" s="340"/>
      <c r="AL1102" s="340"/>
      <c r="AM1102" s="340"/>
      <c r="AN1102" s="340"/>
      <c r="AO1102" s="340"/>
      <c r="AP1102" s="340"/>
      <c r="AQ1102" s="340"/>
      <c r="AR1102" s="340"/>
      <c r="AS1102" s="340"/>
      <c r="AT1102" s="340"/>
      <c r="AU1102" s="340"/>
      <c r="AV1102" s="340"/>
      <c r="AY1102" s="340"/>
      <c r="AZ1102" s="465">
        <f t="shared" ca="1" si="704"/>
        <v>7.3698599999999999E-5</v>
      </c>
      <c r="BA1102" s="464">
        <f t="shared" ca="1" si="705"/>
        <v>0</v>
      </c>
      <c r="BB1102" s="465">
        <f t="shared" ca="1" si="705"/>
        <v>7.3698599999999999E-5</v>
      </c>
      <c r="BC1102" s="466">
        <f t="shared" ca="1" si="706"/>
        <v>76154</v>
      </c>
      <c r="BD1102" s="467">
        <f t="shared" ca="1" si="719"/>
        <v>76155</v>
      </c>
      <c r="BE1102" s="467">
        <f t="shared" ca="1" si="707"/>
        <v>76184</v>
      </c>
      <c r="BF1102" s="468">
        <f ca="1">IF(計算!$BC1102&lt;OP!$C$3,0,BD1102-BC1102)</f>
        <v>1</v>
      </c>
      <c r="BG1102" s="468">
        <f ca="1">IF($BE1102&gt;DATE(YEAR($BD$9)+OP!$C$57,MONTH($BD$9),DAY($BD$9)),0,$BE1102-$BD1102+1)</f>
        <v>0</v>
      </c>
      <c r="BH1102" s="469">
        <f t="shared" ca="1" si="708"/>
        <v>1</v>
      </c>
      <c r="BI1102" t="str">
        <f t="shared" si="690"/>
        <v/>
      </c>
      <c r="BJ1102">
        <v>1</v>
      </c>
      <c r="BN1102" s="468">
        <f t="shared" si="720"/>
        <v>92</v>
      </c>
      <c r="BO1102" s="468">
        <f t="shared" si="721"/>
        <v>1</v>
      </c>
      <c r="BP1102" s="467">
        <f t="shared" ca="1" si="709"/>
        <v>76155</v>
      </c>
      <c r="BQ1102" s="475">
        <f t="shared" ca="1" si="723"/>
        <v>124</v>
      </c>
      <c r="BR1102" s="475" t="str">
        <f t="shared" si="722"/>
        <v/>
      </c>
      <c r="BS1102" s="471" t="str">
        <f t="shared" si="710"/>
        <v/>
      </c>
      <c r="BT1102" s="472" t="str">
        <f t="shared" si="691"/>
        <v/>
      </c>
      <c r="BU1102" s="472">
        <f t="shared" ca="1" si="711"/>
        <v>0</v>
      </c>
      <c r="BV1102" s="472">
        <f t="shared" ca="1" si="711"/>
        <v>0</v>
      </c>
      <c r="BW1102" s="472"/>
      <c r="BX1102" s="473">
        <f t="shared" ca="1" si="712"/>
        <v>2787615.2150057498</v>
      </c>
      <c r="BY1102" s="473">
        <f t="shared" si="713"/>
        <v>0</v>
      </c>
      <c r="BZ1102" s="473">
        <f t="shared" ca="1" si="695"/>
        <v>205.44333868499999</v>
      </c>
      <c r="CA1102" s="476">
        <f t="shared" ca="1" si="714"/>
        <v>0</v>
      </c>
      <c r="CB1102" s="494">
        <f ca="1">IF(OR($Q1101&lt;&gt;1,OP!$D$5+$BN1102-1&lt;16,$BN1102-1&lt;1),0,ROUND(ROUND(ROUND(((VLOOKUP($BN1102-1,MORE_PV,5,0)/10000)*VLOOKUP($BN1102,MORE_PV,$CB$5,0)),3)*VLOOKUP($BN1102,more1,5,0),0)/$R1101,0))</f>
        <v>0</v>
      </c>
      <c r="CC1102" s="473">
        <f t="shared" ca="1" si="715"/>
        <v>0</v>
      </c>
      <c r="CD1102" s="477"/>
    </row>
    <row r="1103" spans="2:98" ht="16.5" hidden="1">
      <c r="B1103" s="80"/>
      <c r="C1103" s="80"/>
      <c r="D1103" s="80"/>
      <c r="E1103" s="80"/>
      <c r="F1103" s="80"/>
      <c r="G1103" s="80"/>
      <c r="H1103" s="80"/>
      <c r="I1103" s="80"/>
      <c r="J1103" s="192">
        <f t="shared" si="696"/>
        <v>92</v>
      </c>
      <c r="K1103" s="192">
        <f t="shared" si="697"/>
        <v>3</v>
      </c>
      <c r="L1103" s="192" t="str">
        <f t="shared" si="692"/>
        <v/>
      </c>
      <c r="M1103" s="216" t="str">
        <f t="shared" ca="1" si="698"/>
        <v/>
      </c>
      <c r="N1103" s="216"/>
      <c r="O1103" s="216"/>
      <c r="P1103" s="216"/>
      <c r="Q1103" s="456">
        <f t="shared" ca="1" si="699"/>
        <v>1</v>
      </c>
      <c r="R1103" s="450">
        <f t="shared" ca="1" si="700"/>
        <v>12</v>
      </c>
      <c r="S1103" s="191">
        <f t="shared" si="701"/>
        <v>92</v>
      </c>
      <c r="T1103" s="191">
        <f t="shared" si="702"/>
        <v>3</v>
      </c>
      <c r="U1103" s="191">
        <f ca="1">OP!$D$5+$S1103-1</f>
        <v>124</v>
      </c>
      <c r="V1103" s="191" t="str">
        <f t="shared" si="703"/>
        <v/>
      </c>
      <c r="W1103" s="350">
        <f ca="1">IF(Q1103&lt;&gt;1,0,VLOOKUP(OP!$C$55,PVFB,$S1103+2,0))</f>
        <v>0</v>
      </c>
      <c r="X1103" s="473" t="str">
        <f t="shared" ca="1" si="716"/>
        <v/>
      </c>
      <c r="Y1103" s="348">
        <f t="shared" ca="1" si="717"/>
        <v>0</v>
      </c>
      <c r="Z1103" s="348">
        <f t="shared" ca="1" si="718"/>
        <v>8012</v>
      </c>
      <c r="AA1103" s="348">
        <f ca="1">IF(Q1103&lt;&gt;1,0,VLOOKUP(OP!$C$55,PVFB,$S1103+2,0))</f>
        <v>0</v>
      </c>
      <c r="AB1103" s="488" t="str">
        <f ca="1">IF(AND(S1103&lt;OP!$C$24,$U1103&lt;15),0,IF(AND($U1103&lt;15,$T1103=12),ROUND(VLOOKUP($S1103,DOWN16,5,0),3),IF($T1103=12,ROUND(($Z1103/10000)*$AA1103,3)+IF(AND($P$7="購買增額繳清保險",T1103=12,U1103=110),VLOOKUP(S1103,$B$10:$H$121,7,0),0),"")))</f>
        <v/>
      </c>
      <c r="AC1103" s="350" t="str">
        <f ca="1">IF(AND(S1103&lt;OP!$C$24,$U1103&lt;15),0,IF(AND($U1103&lt;16,$T1103=12),VLOOKUP($S1103,DOWN16,4,0),IF($T1103=12,ROUND(VLOOKUP(OP!$C$55,_DIE2,$S1103+1,0)*(Z1103/10000),0)+IF(AND($P$7="購買增額繳清保險",T1103=12,U1103=110),VLOOKUP(S1103,$B$10:$H$121,7,0),0),"")))</f>
        <v/>
      </c>
      <c r="AD1103" s="347"/>
      <c r="AE1103" s="350" t="str">
        <f t="shared" ca="1" si="693"/>
        <v/>
      </c>
      <c r="AF1103" s="351" t="str">
        <f t="shared" ca="1" si="694"/>
        <v/>
      </c>
      <c r="AG1103" s="340"/>
      <c r="AH1103" s="340"/>
      <c r="AI1103" s="340"/>
      <c r="AJ1103" s="340"/>
      <c r="AK1103" s="340"/>
      <c r="AL1103" s="340"/>
      <c r="AM1103" s="340"/>
      <c r="AN1103" s="340"/>
      <c r="AO1103" s="340"/>
      <c r="AP1103" s="340"/>
      <c r="AQ1103" s="340"/>
      <c r="AR1103" s="340"/>
      <c r="AS1103" s="340"/>
      <c r="AT1103" s="340"/>
      <c r="AU1103" s="340"/>
      <c r="AV1103" s="340"/>
      <c r="AY1103" s="340"/>
      <c r="AZ1103" s="465">
        <f t="shared" ca="1" si="704"/>
        <v>7.3698599999999999E-5</v>
      </c>
      <c r="BA1103" s="464">
        <f t="shared" ca="1" si="705"/>
        <v>0</v>
      </c>
      <c r="BB1103" s="465">
        <f t="shared" ca="1" si="705"/>
        <v>7.3698599999999999E-5</v>
      </c>
      <c r="BC1103" s="466">
        <f t="shared" ca="1" si="706"/>
        <v>76185</v>
      </c>
      <c r="BD1103" s="467">
        <f t="shared" ca="1" si="719"/>
        <v>76186</v>
      </c>
      <c r="BE1103" s="467">
        <f t="shared" ca="1" si="707"/>
        <v>76215</v>
      </c>
      <c r="BF1103" s="468">
        <f ca="1">IF(計算!$BC1103&lt;OP!$C$3,0,BD1103-BC1103)</f>
        <v>1</v>
      </c>
      <c r="BG1103" s="468">
        <f ca="1">IF($BE1103&gt;DATE(YEAR($BD$9)+OP!$C$57,MONTH($BD$9),DAY($BD$9)),0,$BE1103-$BD1103+1)</f>
        <v>0</v>
      </c>
      <c r="BH1103" s="469">
        <f t="shared" ca="1" si="708"/>
        <v>1</v>
      </c>
      <c r="BI1103" t="str">
        <f t="shared" si="690"/>
        <v/>
      </c>
      <c r="BJ1103">
        <v>2</v>
      </c>
      <c r="BN1103" s="468">
        <f t="shared" si="720"/>
        <v>92</v>
      </c>
      <c r="BO1103" s="468">
        <f t="shared" si="721"/>
        <v>2</v>
      </c>
      <c r="BP1103" s="467">
        <f t="shared" ca="1" si="709"/>
        <v>76186</v>
      </c>
      <c r="BQ1103" s="475">
        <f t="shared" ca="1" si="723"/>
        <v>124</v>
      </c>
      <c r="BR1103" s="475" t="str">
        <f t="shared" si="722"/>
        <v/>
      </c>
      <c r="BS1103" s="471" t="str">
        <f t="shared" si="710"/>
        <v/>
      </c>
      <c r="BT1103" s="472" t="str">
        <f t="shared" si="691"/>
        <v/>
      </c>
      <c r="BU1103" s="472">
        <f t="shared" ca="1" si="711"/>
        <v>0</v>
      </c>
      <c r="BV1103" s="472">
        <f t="shared" ca="1" si="711"/>
        <v>0</v>
      </c>
      <c r="BW1103" s="472"/>
      <c r="BX1103" s="473">
        <f t="shared" ca="1" si="712"/>
        <v>2787820.6583444402</v>
      </c>
      <c r="BY1103" s="473">
        <f t="shared" si="713"/>
        <v>0</v>
      </c>
      <c r="BZ1103" s="473">
        <f t="shared" ca="1" si="695"/>
        <v>205.458479571</v>
      </c>
      <c r="CA1103" s="476">
        <f t="shared" ca="1" si="714"/>
        <v>0</v>
      </c>
      <c r="CB1103" s="494">
        <f ca="1">IF(OR($Q1102&lt;&gt;1,OP!$D$5+$BN1103-1&lt;16,$BN1103-1&lt;1),0,ROUND(ROUND(ROUND(((VLOOKUP($BN1103-1,MORE_PV,5,0)/10000)*VLOOKUP($BN1103,MORE_PV,$CB$5,0)),3)*VLOOKUP($BN1103,more1,5,0),0)/$R1102,0))</f>
        <v>0</v>
      </c>
      <c r="CC1103" s="473">
        <f t="shared" ca="1" si="715"/>
        <v>0</v>
      </c>
      <c r="CD1103" s="477"/>
    </row>
    <row r="1104" spans="2:98" ht="16.5" hidden="1">
      <c r="B1104" s="80"/>
      <c r="C1104" s="80"/>
      <c r="D1104" s="80"/>
      <c r="E1104" s="80"/>
      <c r="F1104" s="80"/>
      <c r="G1104" s="80"/>
      <c r="H1104" s="80"/>
      <c r="I1104" s="80"/>
      <c r="J1104" s="192">
        <f t="shared" si="696"/>
        <v>92</v>
      </c>
      <c r="K1104" s="192">
        <f t="shared" si="697"/>
        <v>4</v>
      </c>
      <c r="L1104" s="192" t="str">
        <f t="shared" si="692"/>
        <v/>
      </c>
      <c r="M1104" s="216" t="str">
        <f t="shared" ca="1" si="698"/>
        <v/>
      </c>
      <c r="N1104" s="216"/>
      <c r="O1104" s="216"/>
      <c r="P1104" s="216"/>
      <c r="Q1104" s="456">
        <f t="shared" ca="1" si="699"/>
        <v>1</v>
      </c>
      <c r="R1104" s="450">
        <f t="shared" ca="1" si="700"/>
        <v>12</v>
      </c>
      <c r="S1104" s="191">
        <f t="shared" si="701"/>
        <v>92</v>
      </c>
      <c r="T1104" s="191">
        <f t="shared" si="702"/>
        <v>4</v>
      </c>
      <c r="U1104" s="191">
        <f ca="1">OP!$D$5+$S1104-1</f>
        <v>124</v>
      </c>
      <c r="V1104" s="191" t="str">
        <f t="shared" si="703"/>
        <v/>
      </c>
      <c r="W1104" s="350">
        <f ca="1">IF(Q1104&lt;&gt;1,0,VLOOKUP(OP!$C$55,PVFB,$S1104+2,0))</f>
        <v>0</v>
      </c>
      <c r="X1104" s="473" t="str">
        <f t="shared" ca="1" si="716"/>
        <v/>
      </c>
      <c r="Y1104" s="348">
        <f t="shared" ca="1" si="717"/>
        <v>0</v>
      </c>
      <c r="Z1104" s="348">
        <f t="shared" ca="1" si="718"/>
        <v>8012</v>
      </c>
      <c r="AA1104" s="348">
        <f ca="1">IF(Q1104&lt;&gt;1,0,VLOOKUP(OP!$C$55,PVFB,$S1104+2,0))</f>
        <v>0</v>
      </c>
      <c r="AB1104" s="488" t="str">
        <f ca="1">IF(AND(S1104&lt;OP!$C$24,$U1104&lt;15),0,IF(AND($U1104&lt;15,$T1104=12),ROUND(VLOOKUP($S1104,DOWN16,5,0),3),IF($T1104=12,ROUND(($Z1104/10000)*$AA1104,3)+IF(AND($P$7="購買增額繳清保險",T1104=12,U1104=110),VLOOKUP(S1104,$B$10:$H$121,7,0),0),"")))</f>
        <v/>
      </c>
      <c r="AC1104" s="350" t="str">
        <f ca="1">IF(AND(S1104&lt;OP!$C$24,$U1104&lt;15),0,IF(AND($U1104&lt;16,$T1104=12),VLOOKUP($S1104,DOWN16,4,0),IF($T1104=12,ROUND(VLOOKUP(OP!$C$55,_DIE2,$S1104+1,0)*(Z1104/10000),0)+IF(AND($P$7="購買增額繳清保險",T1104=12,U1104=110),VLOOKUP(S1104,$B$10:$H$121,7,0),0),"")))</f>
        <v/>
      </c>
      <c r="AD1104" s="347"/>
      <c r="AE1104" s="350" t="str">
        <f t="shared" ca="1" si="693"/>
        <v/>
      </c>
      <c r="AF1104" s="351" t="str">
        <f t="shared" ca="1" si="694"/>
        <v/>
      </c>
      <c r="AG1104" s="340"/>
      <c r="AH1104" s="340"/>
      <c r="AI1104" s="340"/>
      <c r="AJ1104" s="340"/>
      <c r="AK1104" s="340"/>
      <c r="AL1104" s="340"/>
      <c r="AM1104" s="340"/>
      <c r="AN1104" s="340"/>
      <c r="AO1104" s="340"/>
      <c r="AP1104" s="340"/>
      <c r="AQ1104" s="340"/>
      <c r="AR1104" s="340"/>
      <c r="AS1104" s="340"/>
      <c r="AT1104" s="340"/>
      <c r="AU1104" s="340"/>
      <c r="AV1104" s="340"/>
      <c r="AY1104" s="340"/>
      <c r="AZ1104" s="465">
        <f t="shared" ca="1" si="704"/>
        <v>7.3698599999999999E-5</v>
      </c>
      <c r="BA1104" s="464">
        <f t="shared" ca="1" si="705"/>
        <v>0</v>
      </c>
      <c r="BB1104" s="465">
        <f t="shared" ca="1" si="705"/>
        <v>7.3698599999999999E-5</v>
      </c>
      <c r="BC1104" s="466">
        <f t="shared" ca="1" si="706"/>
        <v>76216</v>
      </c>
      <c r="BD1104" s="467">
        <f t="shared" ca="1" si="719"/>
        <v>76217</v>
      </c>
      <c r="BE1104" s="467">
        <f t="shared" ca="1" si="707"/>
        <v>76245</v>
      </c>
      <c r="BF1104" s="468">
        <f ca="1">IF(計算!$BC1104&lt;OP!$C$3,0,BD1104-BC1104)</f>
        <v>1</v>
      </c>
      <c r="BG1104" s="468">
        <f ca="1">IF($BE1104&gt;DATE(YEAR($BD$9)+OP!$C$57,MONTH($BD$9),DAY($BD$9)),0,$BE1104-$BD1104+1)</f>
        <v>0</v>
      </c>
      <c r="BH1104" s="469">
        <f t="shared" ca="1" si="708"/>
        <v>1</v>
      </c>
      <c r="BI1104" t="str">
        <f t="shared" si="690"/>
        <v/>
      </c>
      <c r="BJ1104">
        <v>3</v>
      </c>
      <c r="BN1104" s="468">
        <f t="shared" si="720"/>
        <v>92</v>
      </c>
      <c r="BO1104" s="468">
        <f t="shared" si="721"/>
        <v>3</v>
      </c>
      <c r="BP1104" s="467">
        <f t="shared" ca="1" si="709"/>
        <v>76217</v>
      </c>
      <c r="BQ1104" s="475">
        <f t="shared" ca="1" si="723"/>
        <v>124</v>
      </c>
      <c r="BR1104" s="475" t="str">
        <f t="shared" si="722"/>
        <v/>
      </c>
      <c r="BS1104" s="471" t="str">
        <f t="shared" si="710"/>
        <v/>
      </c>
      <c r="BT1104" s="472" t="str">
        <f t="shared" si="691"/>
        <v/>
      </c>
      <c r="BU1104" s="472">
        <f t="shared" ca="1" si="711"/>
        <v>0</v>
      </c>
      <c r="BV1104" s="472">
        <f t="shared" ca="1" si="711"/>
        <v>0</v>
      </c>
      <c r="BW1104" s="472"/>
      <c r="BX1104" s="473">
        <f t="shared" ca="1" si="712"/>
        <v>2788026.1168240099</v>
      </c>
      <c r="BY1104" s="473">
        <f t="shared" si="713"/>
        <v>0</v>
      </c>
      <c r="BZ1104" s="473">
        <f t="shared" ca="1" si="695"/>
        <v>205.473621573</v>
      </c>
      <c r="CA1104" s="476">
        <f t="shared" ca="1" si="714"/>
        <v>0</v>
      </c>
      <c r="CB1104" s="494">
        <f ca="1">IF(OR($Q1103&lt;&gt;1,OP!$D$5+$BN1104-1&lt;16,$BN1104-1&lt;1),0,ROUND(ROUND(ROUND(((VLOOKUP($BN1104-1,MORE_PV,5,0)/10000)*VLOOKUP($BN1104,MORE_PV,$CB$5,0)),3)*VLOOKUP($BN1104,more1,5,0),0)/$R1103,0))</f>
        <v>0</v>
      </c>
      <c r="CC1104" s="473">
        <f t="shared" ca="1" si="715"/>
        <v>0</v>
      </c>
      <c r="CD1104" s="477"/>
    </row>
    <row r="1105" spans="2:82" ht="16.5" hidden="1">
      <c r="B1105" s="80"/>
      <c r="C1105" s="80"/>
      <c r="D1105" s="80"/>
      <c r="E1105" s="80"/>
      <c r="F1105" s="80"/>
      <c r="G1105" s="80"/>
      <c r="H1105" s="80"/>
      <c r="I1105" s="80"/>
      <c r="J1105" s="192">
        <f t="shared" si="696"/>
        <v>92</v>
      </c>
      <c r="K1105" s="192">
        <f t="shared" si="697"/>
        <v>5</v>
      </c>
      <c r="L1105" s="192" t="str">
        <f t="shared" si="692"/>
        <v/>
      </c>
      <c r="M1105" s="216" t="str">
        <f t="shared" ca="1" si="698"/>
        <v/>
      </c>
      <c r="N1105" s="216"/>
      <c r="O1105" s="216"/>
      <c r="P1105" s="216"/>
      <c r="Q1105" s="456">
        <f t="shared" ca="1" si="699"/>
        <v>1</v>
      </c>
      <c r="R1105" s="450">
        <f t="shared" ca="1" si="700"/>
        <v>12</v>
      </c>
      <c r="S1105" s="191">
        <f t="shared" si="701"/>
        <v>92</v>
      </c>
      <c r="T1105" s="191">
        <f t="shared" si="702"/>
        <v>5</v>
      </c>
      <c r="U1105" s="191">
        <f ca="1">OP!$D$5+$S1105-1</f>
        <v>124</v>
      </c>
      <c r="V1105" s="191" t="str">
        <f t="shared" si="703"/>
        <v/>
      </c>
      <c r="W1105" s="350">
        <f ca="1">IF(Q1105&lt;&gt;1,0,VLOOKUP(OP!$C$55,PVFB,$S1105+2,0))</f>
        <v>0</v>
      </c>
      <c r="X1105" s="473" t="str">
        <f t="shared" ca="1" si="716"/>
        <v/>
      </c>
      <c r="Y1105" s="348">
        <f t="shared" ca="1" si="717"/>
        <v>0</v>
      </c>
      <c r="Z1105" s="348">
        <f t="shared" ca="1" si="718"/>
        <v>8012</v>
      </c>
      <c r="AA1105" s="348">
        <f ca="1">IF(Q1105&lt;&gt;1,0,VLOOKUP(OP!$C$55,PVFB,$S1105+2,0))</f>
        <v>0</v>
      </c>
      <c r="AB1105" s="488" t="str">
        <f ca="1">IF(AND(S1105&lt;OP!$C$24,$U1105&lt;15),0,IF(AND($U1105&lt;15,$T1105=12),ROUND(VLOOKUP($S1105,DOWN16,5,0),3),IF($T1105=12,ROUND(($Z1105/10000)*$AA1105,3)+IF(AND($P$7="購買增額繳清保險",T1105=12,U1105=110),VLOOKUP(S1105,$B$10:$H$121,7,0),0),"")))</f>
        <v/>
      </c>
      <c r="AC1105" s="350" t="str">
        <f ca="1">IF(AND(S1105&lt;OP!$C$24,$U1105&lt;15),0,IF(AND($U1105&lt;16,$T1105=12),VLOOKUP($S1105,DOWN16,4,0),IF($T1105=12,ROUND(VLOOKUP(OP!$C$55,_DIE2,$S1105+1,0)*(Z1105/10000),0)+IF(AND($P$7="購買增額繳清保險",T1105=12,U1105=110),VLOOKUP(S1105,$B$10:$H$121,7,0),0),"")))</f>
        <v/>
      </c>
      <c r="AD1105" s="347"/>
      <c r="AE1105" s="350" t="str">
        <f t="shared" ca="1" si="693"/>
        <v/>
      </c>
      <c r="AF1105" s="351" t="str">
        <f t="shared" ca="1" si="694"/>
        <v/>
      </c>
      <c r="AG1105" s="340"/>
      <c r="AH1105" s="340"/>
      <c r="AI1105" s="340"/>
      <c r="AJ1105" s="340"/>
      <c r="AK1105" s="340"/>
      <c r="AL1105" s="340"/>
      <c r="AM1105" s="340"/>
      <c r="AN1105" s="340"/>
      <c r="AO1105" s="340"/>
      <c r="AP1105" s="340"/>
      <c r="AQ1105" s="340"/>
      <c r="AR1105" s="340"/>
      <c r="AS1105" s="340"/>
      <c r="AT1105" s="340"/>
      <c r="AU1105" s="340"/>
      <c r="AV1105" s="340"/>
      <c r="AY1105" s="340"/>
      <c r="AZ1105" s="465">
        <f t="shared" ca="1" si="704"/>
        <v>7.3698599999999999E-5</v>
      </c>
      <c r="BA1105" s="464">
        <f t="shared" ca="1" si="705"/>
        <v>0</v>
      </c>
      <c r="BB1105" s="465">
        <f t="shared" ca="1" si="705"/>
        <v>7.3698599999999999E-5</v>
      </c>
      <c r="BC1105" s="466">
        <f t="shared" ca="1" si="706"/>
        <v>76246</v>
      </c>
      <c r="BD1105" s="467">
        <f t="shared" ca="1" si="719"/>
        <v>76247</v>
      </c>
      <c r="BE1105" s="467">
        <f t="shared" ca="1" si="707"/>
        <v>76276</v>
      </c>
      <c r="BF1105" s="468">
        <f ca="1">IF(計算!$BC1105&lt;OP!$C$3,0,BD1105-BC1105)</f>
        <v>1</v>
      </c>
      <c r="BG1105" s="468">
        <f ca="1">IF($BE1105&gt;DATE(YEAR($BD$9)+OP!$C$57,MONTH($BD$9),DAY($BD$9)),0,$BE1105-$BD1105+1)</f>
        <v>0</v>
      </c>
      <c r="BH1105" s="469">
        <f t="shared" ca="1" si="708"/>
        <v>1</v>
      </c>
      <c r="BI1105" t="str">
        <f t="shared" si="690"/>
        <v/>
      </c>
      <c r="BJ1105">
        <v>4</v>
      </c>
      <c r="BN1105" s="468">
        <f t="shared" si="720"/>
        <v>92</v>
      </c>
      <c r="BO1105" s="468">
        <f t="shared" si="721"/>
        <v>4</v>
      </c>
      <c r="BP1105" s="467">
        <f t="shared" ca="1" si="709"/>
        <v>76247</v>
      </c>
      <c r="BQ1105" s="475">
        <f t="shared" ca="1" si="723"/>
        <v>124</v>
      </c>
      <c r="BR1105" s="475" t="str">
        <f t="shared" si="722"/>
        <v/>
      </c>
      <c r="BS1105" s="471" t="str">
        <f t="shared" si="710"/>
        <v/>
      </c>
      <c r="BT1105" s="472" t="str">
        <f t="shared" si="691"/>
        <v/>
      </c>
      <c r="BU1105" s="472">
        <f t="shared" ca="1" si="711"/>
        <v>0</v>
      </c>
      <c r="BV1105" s="472">
        <f t="shared" ca="1" si="711"/>
        <v>0</v>
      </c>
      <c r="BW1105" s="472"/>
      <c r="BX1105" s="473">
        <f t="shared" ca="1" si="712"/>
        <v>2788231.59044558</v>
      </c>
      <c r="BY1105" s="473">
        <f t="shared" si="713"/>
        <v>0</v>
      </c>
      <c r="BZ1105" s="473">
        <f t="shared" ca="1" si="695"/>
        <v>205.48876469199999</v>
      </c>
      <c r="CA1105" s="476">
        <f t="shared" ca="1" si="714"/>
        <v>0</v>
      </c>
      <c r="CB1105" s="494">
        <f ca="1">IF(OR($Q1104&lt;&gt;1,OP!$D$5+$BN1105-1&lt;16,$BN1105-1&lt;1),0,ROUND(ROUND(ROUND(((VLOOKUP($BN1105-1,MORE_PV,5,0)/10000)*VLOOKUP($BN1105,MORE_PV,$CB$5,0)),3)*VLOOKUP($BN1105,more1,5,0),0)/$R1104,0))</f>
        <v>0</v>
      </c>
      <c r="CC1105" s="473">
        <f t="shared" ca="1" si="715"/>
        <v>0</v>
      </c>
      <c r="CD1105" s="477"/>
    </row>
    <row r="1106" spans="2:82" ht="16.5" hidden="1">
      <c r="B1106" s="80"/>
      <c r="C1106" s="80"/>
      <c r="D1106" s="80"/>
      <c r="E1106" s="80"/>
      <c r="F1106" s="80"/>
      <c r="G1106" s="80"/>
      <c r="H1106" s="80"/>
      <c r="I1106" s="80"/>
      <c r="J1106" s="192">
        <f t="shared" si="696"/>
        <v>92</v>
      </c>
      <c r="K1106" s="192">
        <f t="shared" si="697"/>
        <v>6</v>
      </c>
      <c r="L1106" s="192" t="str">
        <f t="shared" si="692"/>
        <v/>
      </c>
      <c r="M1106" s="216" t="str">
        <f t="shared" ca="1" si="698"/>
        <v/>
      </c>
      <c r="N1106" s="216"/>
      <c r="O1106" s="216"/>
      <c r="P1106" s="216"/>
      <c r="Q1106" s="456">
        <f t="shared" ca="1" si="699"/>
        <v>1</v>
      </c>
      <c r="R1106" s="450">
        <f t="shared" ca="1" si="700"/>
        <v>12</v>
      </c>
      <c r="S1106" s="191">
        <f t="shared" si="701"/>
        <v>92</v>
      </c>
      <c r="T1106" s="191">
        <f t="shared" si="702"/>
        <v>6</v>
      </c>
      <c r="U1106" s="191">
        <f ca="1">OP!$D$5+$S1106-1</f>
        <v>124</v>
      </c>
      <c r="V1106" s="191" t="str">
        <f t="shared" si="703"/>
        <v/>
      </c>
      <c r="W1106" s="350">
        <f ca="1">IF(Q1106&lt;&gt;1,0,VLOOKUP(OP!$C$55,PVFB,$S1106+2,0))</f>
        <v>0</v>
      </c>
      <c r="X1106" s="473" t="str">
        <f t="shared" ca="1" si="716"/>
        <v/>
      </c>
      <c r="Y1106" s="348">
        <f t="shared" ca="1" si="717"/>
        <v>0</v>
      </c>
      <c r="Z1106" s="348">
        <f t="shared" ca="1" si="718"/>
        <v>8012</v>
      </c>
      <c r="AA1106" s="348">
        <f ca="1">IF(Q1106&lt;&gt;1,0,VLOOKUP(OP!$C$55,PVFB,$S1106+2,0))</f>
        <v>0</v>
      </c>
      <c r="AB1106" s="488" t="str">
        <f ca="1">IF(AND(S1106&lt;OP!$C$24,$U1106&lt;15),0,IF(AND($U1106&lt;15,$T1106=12),ROUND(VLOOKUP($S1106,DOWN16,5,0),3),IF($T1106=12,ROUND(($Z1106/10000)*$AA1106,3)+IF(AND($P$7="購買增額繳清保險",T1106=12,U1106=110),VLOOKUP(S1106,$B$10:$H$121,7,0),0),"")))</f>
        <v/>
      </c>
      <c r="AC1106" s="350" t="str">
        <f ca="1">IF(AND(S1106&lt;OP!$C$24,$U1106&lt;15),0,IF(AND($U1106&lt;16,$T1106=12),VLOOKUP($S1106,DOWN16,4,0),IF($T1106=12,ROUND(VLOOKUP(OP!$C$55,_DIE2,$S1106+1,0)*(Z1106/10000),0)+IF(AND($P$7="購買增額繳清保險",T1106=12,U1106=110),VLOOKUP(S1106,$B$10:$H$121,7,0),0),"")))</f>
        <v/>
      </c>
      <c r="AD1106" s="347"/>
      <c r="AE1106" s="350" t="str">
        <f t="shared" ca="1" si="693"/>
        <v/>
      </c>
      <c r="AF1106" s="351" t="str">
        <f t="shared" ca="1" si="694"/>
        <v/>
      </c>
      <c r="AG1106" s="340"/>
      <c r="AH1106" s="340"/>
      <c r="AI1106" s="340"/>
      <c r="AJ1106" s="340"/>
      <c r="AK1106" s="340"/>
      <c r="AL1106" s="340"/>
      <c r="AM1106" s="340"/>
      <c r="AN1106" s="340"/>
      <c r="AO1106" s="340"/>
      <c r="AP1106" s="340"/>
      <c r="AQ1106" s="340"/>
      <c r="AR1106" s="340"/>
      <c r="AS1106" s="340"/>
      <c r="AT1106" s="340"/>
      <c r="AU1106" s="340"/>
      <c r="AV1106" s="340"/>
      <c r="AY1106" s="340"/>
      <c r="AZ1106" s="465">
        <f t="shared" ca="1" si="704"/>
        <v>7.3698599999999999E-5</v>
      </c>
      <c r="BA1106" s="464">
        <f t="shared" ca="1" si="705"/>
        <v>0</v>
      </c>
      <c r="BB1106" s="465">
        <f t="shared" ca="1" si="705"/>
        <v>7.3698599999999999E-5</v>
      </c>
      <c r="BC1106" s="466">
        <f t="shared" ca="1" si="706"/>
        <v>76277</v>
      </c>
      <c r="BD1106" s="467">
        <f t="shared" ca="1" si="719"/>
        <v>76278</v>
      </c>
      <c r="BE1106" s="467">
        <f t="shared" ca="1" si="707"/>
        <v>76306</v>
      </c>
      <c r="BF1106" s="468">
        <f ca="1">IF(計算!$BC1106&lt;OP!$C$3,0,BD1106-BC1106)</f>
        <v>1</v>
      </c>
      <c r="BG1106" s="468">
        <f ca="1">IF($BE1106&gt;DATE(YEAR($BD$9)+OP!$C$57,MONTH($BD$9),DAY($BD$9)),0,$BE1106-$BD1106+1)</f>
        <v>0</v>
      </c>
      <c r="BH1106" s="469">
        <f t="shared" ca="1" si="708"/>
        <v>1</v>
      </c>
      <c r="BI1106" t="str">
        <f t="shared" si="690"/>
        <v/>
      </c>
      <c r="BJ1106">
        <v>5</v>
      </c>
      <c r="BN1106" s="468">
        <f t="shared" si="720"/>
        <v>92</v>
      </c>
      <c r="BO1106" s="468">
        <f t="shared" si="721"/>
        <v>5</v>
      </c>
      <c r="BP1106" s="467">
        <f t="shared" ca="1" si="709"/>
        <v>76278</v>
      </c>
      <c r="BQ1106" s="475">
        <f t="shared" ca="1" si="723"/>
        <v>124</v>
      </c>
      <c r="BR1106" s="475" t="str">
        <f t="shared" si="722"/>
        <v/>
      </c>
      <c r="BS1106" s="471" t="str">
        <f t="shared" si="710"/>
        <v/>
      </c>
      <c r="BT1106" s="472" t="str">
        <f t="shared" si="691"/>
        <v/>
      </c>
      <c r="BU1106" s="472">
        <f t="shared" ca="1" si="711"/>
        <v>0</v>
      </c>
      <c r="BV1106" s="472">
        <f t="shared" ca="1" si="711"/>
        <v>0</v>
      </c>
      <c r="BW1106" s="472"/>
      <c r="BX1106" s="473">
        <f t="shared" ca="1" si="712"/>
        <v>2788437.0792102702</v>
      </c>
      <c r="BY1106" s="473">
        <f t="shared" si="713"/>
        <v>0</v>
      </c>
      <c r="BZ1106" s="473">
        <f t="shared" ca="1" si="695"/>
        <v>205.50390892600001</v>
      </c>
      <c r="CA1106" s="476">
        <f t="shared" ca="1" si="714"/>
        <v>0</v>
      </c>
      <c r="CB1106" s="494">
        <f ca="1">IF(OR($Q1105&lt;&gt;1,OP!$D$5+$BN1106-1&lt;16,$BN1106-1&lt;1),0,ROUND(ROUND(ROUND(((VLOOKUP($BN1106-1,MORE_PV,5,0)/10000)*VLOOKUP($BN1106,MORE_PV,$CB$5,0)),3)*VLOOKUP($BN1106,more1,5,0),0)/$R1105,0))</f>
        <v>0</v>
      </c>
      <c r="CC1106" s="473">
        <f t="shared" ca="1" si="715"/>
        <v>0</v>
      </c>
      <c r="CD1106" s="477"/>
    </row>
    <row r="1107" spans="2:82" ht="16.5" hidden="1">
      <c r="B1107" s="80"/>
      <c r="C1107" s="80"/>
      <c r="D1107" s="80"/>
      <c r="E1107" s="80"/>
      <c r="F1107" s="80"/>
      <c r="G1107" s="80"/>
      <c r="H1107" s="80"/>
      <c r="I1107" s="80"/>
      <c r="J1107" s="192">
        <f t="shared" si="696"/>
        <v>92</v>
      </c>
      <c r="K1107" s="192">
        <f t="shared" si="697"/>
        <v>7</v>
      </c>
      <c r="L1107" s="192" t="str">
        <f t="shared" si="692"/>
        <v/>
      </c>
      <c r="M1107" s="216" t="str">
        <f t="shared" ca="1" si="698"/>
        <v/>
      </c>
      <c r="N1107" s="216"/>
      <c r="O1107" s="216"/>
      <c r="P1107" s="216"/>
      <c r="Q1107" s="456">
        <f t="shared" ca="1" si="699"/>
        <v>1</v>
      </c>
      <c r="R1107" s="450">
        <f t="shared" ca="1" si="700"/>
        <v>12</v>
      </c>
      <c r="S1107" s="191">
        <f t="shared" si="701"/>
        <v>92</v>
      </c>
      <c r="T1107" s="191">
        <f t="shared" si="702"/>
        <v>7</v>
      </c>
      <c r="U1107" s="191">
        <f ca="1">OP!$D$5+$S1107-1</f>
        <v>124</v>
      </c>
      <c r="V1107" s="191" t="str">
        <f t="shared" si="703"/>
        <v/>
      </c>
      <c r="W1107" s="350">
        <f ca="1">IF(Q1107&lt;&gt;1,0,VLOOKUP(OP!$C$55,PVFB,$S1107+2,0))</f>
        <v>0</v>
      </c>
      <c r="X1107" s="473" t="str">
        <f t="shared" ca="1" si="716"/>
        <v/>
      </c>
      <c r="Y1107" s="348">
        <f t="shared" ca="1" si="717"/>
        <v>0</v>
      </c>
      <c r="Z1107" s="348">
        <f t="shared" ca="1" si="718"/>
        <v>8012</v>
      </c>
      <c r="AA1107" s="348">
        <f ca="1">IF(Q1107&lt;&gt;1,0,VLOOKUP(OP!$C$55,PVFB,$S1107+2,0))</f>
        <v>0</v>
      </c>
      <c r="AB1107" s="488" t="str">
        <f ca="1">IF(AND(S1107&lt;OP!$C$24,$U1107&lt;15),0,IF(AND($U1107&lt;15,$T1107=12),ROUND(VLOOKUP($S1107,DOWN16,5,0),3),IF($T1107=12,ROUND(($Z1107/10000)*$AA1107,3)+IF(AND($P$7="購買增額繳清保險",T1107=12,U1107=110),VLOOKUP(S1107,$B$10:$H$121,7,0),0),"")))</f>
        <v/>
      </c>
      <c r="AC1107" s="350" t="str">
        <f ca="1">IF(AND(S1107&lt;OP!$C$24,$U1107&lt;15),0,IF(AND($U1107&lt;16,$T1107=12),VLOOKUP($S1107,DOWN16,4,0),IF($T1107=12,ROUND(VLOOKUP(OP!$C$55,_DIE2,$S1107+1,0)*(Z1107/10000),0)+IF(AND($P$7="購買增額繳清保險",T1107=12,U1107=110),VLOOKUP(S1107,$B$10:$H$121,7,0),0),"")))</f>
        <v/>
      </c>
      <c r="AD1107" s="347"/>
      <c r="AE1107" s="350" t="str">
        <f t="shared" ca="1" si="693"/>
        <v/>
      </c>
      <c r="AF1107" s="351" t="str">
        <f t="shared" ca="1" si="694"/>
        <v/>
      </c>
      <c r="AG1107" s="340"/>
      <c r="AH1107" s="340"/>
      <c r="AI1107" s="340"/>
      <c r="AJ1107" s="340"/>
      <c r="AK1107" s="340"/>
      <c r="AL1107" s="340"/>
      <c r="AM1107" s="340"/>
      <c r="AN1107" s="340"/>
      <c r="AO1107" s="340"/>
      <c r="AP1107" s="340"/>
      <c r="AQ1107" s="340"/>
      <c r="AR1107" s="340"/>
      <c r="AS1107" s="340"/>
      <c r="AT1107" s="340"/>
      <c r="AU1107" s="340"/>
      <c r="AV1107" s="340"/>
      <c r="AY1107" s="340"/>
      <c r="AZ1107" s="465">
        <f t="shared" ca="1" si="704"/>
        <v>7.3698599999999999E-5</v>
      </c>
      <c r="BA1107" s="464">
        <f t="shared" ca="1" si="705"/>
        <v>0</v>
      </c>
      <c r="BB1107" s="465">
        <f t="shared" ca="1" si="705"/>
        <v>7.3698599999999999E-5</v>
      </c>
      <c r="BC1107" s="466">
        <f t="shared" ca="1" si="706"/>
        <v>76307</v>
      </c>
      <c r="BD1107" s="467">
        <f t="shared" ca="1" si="719"/>
        <v>76308</v>
      </c>
      <c r="BE1107" s="467">
        <f t="shared" ca="1" si="707"/>
        <v>76337</v>
      </c>
      <c r="BF1107" s="468">
        <f ca="1">IF(計算!$BC1107&lt;OP!$C$3,0,BD1107-BC1107)</f>
        <v>1</v>
      </c>
      <c r="BG1107" s="468">
        <f ca="1">IF($BE1107&gt;DATE(YEAR($BD$9)+OP!$C$57,MONTH($BD$9),DAY($BD$9)),0,$BE1107-$BD1107+1)</f>
        <v>0</v>
      </c>
      <c r="BH1107" s="469">
        <f t="shared" ca="1" si="708"/>
        <v>1</v>
      </c>
      <c r="BI1107" t="str">
        <f t="shared" si="690"/>
        <v/>
      </c>
      <c r="BJ1107">
        <v>6</v>
      </c>
      <c r="BN1107" s="468">
        <f t="shared" si="720"/>
        <v>92</v>
      </c>
      <c r="BO1107" s="468">
        <f t="shared" si="721"/>
        <v>6</v>
      </c>
      <c r="BP1107" s="467">
        <f t="shared" ca="1" si="709"/>
        <v>76308</v>
      </c>
      <c r="BQ1107" s="475">
        <f t="shared" ca="1" si="723"/>
        <v>124</v>
      </c>
      <c r="BR1107" s="475" t="str">
        <f t="shared" si="722"/>
        <v/>
      </c>
      <c r="BS1107" s="471" t="str">
        <f t="shared" si="710"/>
        <v/>
      </c>
      <c r="BT1107" s="472" t="str">
        <f t="shared" si="691"/>
        <v/>
      </c>
      <c r="BU1107" s="472">
        <f t="shared" ca="1" si="711"/>
        <v>0</v>
      </c>
      <c r="BV1107" s="472">
        <f t="shared" ca="1" si="711"/>
        <v>0</v>
      </c>
      <c r="BW1107" s="472"/>
      <c r="BX1107" s="473">
        <f t="shared" ca="1" si="712"/>
        <v>2788642.5831192001</v>
      </c>
      <c r="BY1107" s="473">
        <f t="shared" si="713"/>
        <v>0</v>
      </c>
      <c r="BZ1107" s="473">
        <f t="shared" ca="1" si="695"/>
        <v>205.51905427599999</v>
      </c>
      <c r="CA1107" s="476">
        <f t="shared" ca="1" si="714"/>
        <v>0</v>
      </c>
      <c r="CB1107" s="494">
        <f ca="1">IF(OR($Q1106&lt;&gt;1,OP!$D$5+$BN1107-1&lt;16,$BN1107-1&lt;1),0,ROUND(ROUND(ROUND(((VLOOKUP($BN1107-1,MORE_PV,5,0)/10000)*VLOOKUP($BN1107,MORE_PV,$CB$5,0)),3)*VLOOKUP($BN1107,more1,5,0),0)/$R1106,0))</f>
        <v>0</v>
      </c>
      <c r="CC1107" s="473">
        <f t="shared" ca="1" si="715"/>
        <v>0</v>
      </c>
      <c r="CD1107" s="477"/>
    </row>
    <row r="1108" spans="2:82" ht="16.5" hidden="1">
      <c r="B1108" s="80"/>
      <c r="C1108" s="80"/>
      <c r="D1108" s="80"/>
      <c r="E1108" s="80"/>
      <c r="F1108" s="80"/>
      <c r="G1108" s="80"/>
      <c r="H1108" s="80"/>
      <c r="I1108" s="80"/>
      <c r="J1108" s="192">
        <f t="shared" si="696"/>
        <v>92</v>
      </c>
      <c r="K1108" s="192">
        <f t="shared" si="697"/>
        <v>8</v>
      </c>
      <c r="L1108" s="192" t="str">
        <f t="shared" si="692"/>
        <v/>
      </c>
      <c r="M1108" s="216" t="str">
        <f t="shared" ca="1" si="698"/>
        <v/>
      </c>
      <c r="N1108" s="216"/>
      <c r="O1108" s="216"/>
      <c r="P1108" s="216"/>
      <c r="Q1108" s="456">
        <f t="shared" ca="1" si="699"/>
        <v>1</v>
      </c>
      <c r="R1108" s="450">
        <f t="shared" ca="1" si="700"/>
        <v>12</v>
      </c>
      <c r="S1108" s="191">
        <f t="shared" si="701"/>
        <v>92</v>
      </c>
      <c r="T1108" s="191">
        <f t="shared" si="702"/>
        <v>8</v>
      </c>
      <c r="U1108" s="191">
        <f ca="1">OP!$D$5+$S1108-1</f>
        <v>124</v>
      </c>
      <c r="V1108" s="191" t="str">
        <f t="shared" si="703"/>
        <v/>
      </c>
      <c r="W1108" s="350">
        <f ca="1">IF(Q1108&lt;&gt;1,0,VLOOKUP(OP!$C$55,PVFB,$S1108+2,0))</f>
        <v>0</v>
      </c>
      <c r="X1108" s="473" t="str">
        <f t="shared" ca="1" si="716"/>
        <v/>
      </c>
      <c r="Y1108" s="348">
        <f t="shared" ca="1" si="717"/>
        <v>0</v>
      </c>
      <c r="Z1108" s="348">
        <f t="shared" ca="1" si="718"/>
        <v>8012</v>
      </c>
      <c r="AA1108" s="348">
        <f ca="1">IF(Q1108&lt;&gt;1,0,VLOOKUP(OP!$C$55,PVFB,$S1108+2,0))</f>
        <v>0</v>
      </c>
      <c r="AB1108" s="488" t="str">
        <f ca="1">IF(AND(S1108&lt;OP!$C$24,$U1108&lt;15),0,IF(AND($U1108&lt;15,$T1108=12),ROUND(VLOOKUP($S1108,DOWN16,5,0),3),IF($T1108=12,ROUND(($Z1108/10000)*$AA1108,3)+IF(AND($P$7="購買增額繳清保險",T1108=12,U1108=110),VLOOKUP(S1108,$B$10:$H$121,7,0),0),"")))</f>
        <v/>
      </c>
      <c r="AC1108" s="350" t="str">
        <f ca="1">IF(AND(S1108&lt;OP!$C$24,$U1108&lt;15),0,IF(AND($U1108&lt;16,$T1108=12),VLOOKUP($S1108,DOWN16,4,0),IF($T1108=12,ROUND(VLOOKUP(OP!$C$55,_DIE2,$S1108+1,0)*(Z1108/10000),0)+IF(AND($P$7="購買增額繳清保險",T1108=12,U1108=110),VLOOKUP(S1108,$B$10:$H$121,7,0),0),"")))</f>
        <v/>
      </c>
      <c r="AD1108" s="347"/>
      <c r="AE1108" s="350" t="str">
        <f t="shared" ca="1" si="693"/>
        <v/>
      </c>
      <c r="AF1108" s="351" t="str">
        <f t="shared" ca="1" si="694"/>
        <v/>
      </c>
      <c r="AG1108" s="340"/>
      <c r="AH1108" s="340"/>
      <c r="AI1108" s="340"/>
      <c r="AJ1108" s="340"/>
      <c r="AK1108" s="340"/>
      <c r="AL1108" s="340"/>
      <c r="AM1108" s="340"/>
      <c r="AN1108" s="340"/>
      <c r="AO1108" s="340"/>
      <c r="AP1108" s="340"/>
      <c r="AQ1108" s="340"/>
      <c r="AR1108" s="340"/>
      <c r="AS1108" s="340"/>
      <c r="AT1108" s="340"/>
      <c r="AU1108" s="340"/>
      <c r="AV1108" s="340"/>
      <c r="AY1108" s="340"/>
      <c r="AZ1108" s="465">
        <f t="shared" ca="1" si="704"/>
        <v>7.3698599999999999E-5</v>
      </c>
      <c r="BA1108" s="464">
        <f t="shared" ca="1" si="705"/>
        <v>0</v>
      </c>
      <c r="BB1108" s="465">
        <f t="shared" ca="1" si="705"/>
        <v>7.3698599999999999E-5</v>
      </c>
      <c r="BC1108" s="466">
        <f t="shared" ca="1" si="706"/>
        <v>76338</v>
      </c>
      <c r="BD1108" s="467">
        <f t="shared" ca="1" si="719"/>
        <v>76339</v>
      </c>
      <c r="BE1108" s="467">
        <f t="shared" ca="1" si="707"/>
        <v>76368</v>
      </c>
      <c r="BF1108" s="468">
        <f ca="1">IF(計算!$BC1108&lt;OP!$C$3,0,BD1108-BC1108)</f>
        <v>1</v>
      </c>
      <c r="BG1108" s="468">
        <f ca="1">IF($BE1108&gt;DATE(YEAR($BD$9)+OP!$C$57,MONTH($BD$9),DAY($BD$9)),0,$BE1108-$BD1108+1)</f>
        <v>0</v>
      </c>
      <c r="BH1108" s="469">
        <f t="shared" ca="1" si="708"/>
        <v>1</v>
      </c>
      <c r="BI1108" t="str">
        <f t="shared" si="690"/>
        <v/>
      </c>
      <c r="BJ1108">
        <v>7</v>
      </c>
      <c r="BN1108" s="468">
        <f t="shared" si="720"/>
        <v>92</v>
      </c>
      <c r="BO1108" s="468">
        <f t="shared" si="721"/>
        <v>7</v>
      </c>
      <c r="BP1108" s="467">
        <f t="shared" ca="1" si="709"/>
        <v>76339</v>
      </c>
      <c r="BQ1108" s="475">
        <f t="shared" ca="1" si="723"/>
        <v>124</v>
      </c>
      <c r="BR1108" s="475" t="str">
        <f t="shared" si="722"/>
        <v/>
      </c>
      <c r="BS1108" s="471" t="str">
        <f t="shared" si="710"/>
        <v/>
      </c>
      <c r="BT1108" s="472" t="str">
        <f t="shared" si="691"/>
        <v/>
      </c>
      <c r="BU1108" s="472">
        <f t="shared" ca="1" si="711"/>
        <v>0</v>
      </c>
      <c r="BV1108" s="472">
        <f t="shared" ca="1" si="711"/>
        <v>0</v>
      </c>
      <c r="BW1108" s="472"/>
      <c r="BX1108" s="473">
        <f t="shared" ca="1" si="712"/>
        <v>2788848.1021734802</v>
      </c>
      <c r="BY1108" s="473">
        <f t="shared" si="713"/>
        <v>0</v>
      </c>
      <c r="BZ1108" s="473">
        <f t="shared" ca="1" si="695"/>
        <v>205.53420074300001</v>
      </c>
      <c r="CA1108" s="476">
        <f t="shared" ca="1" si="714"/>
        <v>0</v>
      </c>
      <c r="CB1108" s="494">
        <f ca="1">IF(OR($Q1107&lt;&gt;1,OP!$D$5+$BN1108-1&lt;16,$BN1108-1&lt;1),0,ROUND(ROUND(ROUND(((VLOOKUP($BN1108-1,MORE_PV,5,0)/10000)*VLOOKUP($BN1108,MORE_PV,$CB$5,0)),3)*VLOOKUP($BN1108,more1,5,0),0)/$R1107,0))</f>
        <v>0</v>
      </c>
      <c r="CC1108" s="473">
        <f t="shared" ca="1" si="715"/>
        <v>0</v>
      </c>
      <c r="CD1108" s="477"/>
    </row>
    <row r="1109" spans="2:82" ht="16.5" hidden="1">
      <c r="B1109" s="80"/>
      <c r="C1109" s="80"/>
      <c r="D1109" s="80"/>
      <c r="E1109" s="80"/>
      <c r="F1109" s="80"/>
      <c r="G1109" s="80"/>
      <c r="H1109" s="80"/>
      <c r="I1109" s="80"/>
      <c r="J1109" s="192">
        <f t="shared" si="696"/>
        <v>92</v>
      </c>
      <c r="K1109" s="192">
        <f t="shared" si="697"/>
        <v>9</v>
      </c>
      <c r="L1109" s="192" t="str">
        <f t="shared" si="692"/>
        <v/>
      </c>
      <c r="M1109" s="216" t="str">
        <f t="shared" ca="1" si="698"/>
        <v/>
      </c>
      <c r="N1109" s="216"/>
      <c r="O1109" s="216"/>
      <c r="P1109" s="216"/>
      <c r="Q1109" s="456">
        <f t="shared" ca="1" si="699"/>
        <v>1</v>
      </c>
      <c r="R1109" s="450">
        <f t="shared" ca="1" si="700"/>
        <v>12</v>
      </c>
      <c r="S1109" s="191">
        <f t="shared" si="701"/>
        <v>92</v>
      </c>
      <c r="T1109" s="191">
        <f t="shared" si="702"/>
        <v>9</v>
      </c>
      <c r="U1109" s="191">
        <f ca="1">OP!$D$5+$S1109-1</f>
        <v>124</v>
      </c>
      <c r="V1109" s="191" t="str">
        <f t="shared" si="703"/>
        <v/>
      </c>
      <c r="W1109" s="350">
        <f ca="1">IF(Q1109&lt;&gt;1,0,VLOOKUP(OP!$C$55,PVFB,$S1109+2,0))</f>
        <v>0</v>
      </c>
      <c r="X1109" s="473" t="str">
        <f t="shared" ca="1" si="716"/>
        <v/>
      </c>
      <c r="Y1109" s="348">
        <f t="shared" ca="1" si="717"/>
        <v>0</v>
      </c>
      <c r="Z1109" s="348">
        <f t="shared" ca="1" si="718"/>
        <v>8012</v>
      </c>
      <c r="AA1109" s="348">
        <f ca="1">IF(Q1109&lt;&gt;1,0,VLOOKUP(OP!$C$55,PVFB,$S1109+2,0))</f>
        <v>0</v>
      </c>
      <c r="AB1109" s="488" t="str">
        <f ca="1">IF(AND(S1109&lt;OP!$C$24,$U1109&lt;15),0,IF(AND($U1109&lt;15,$T1109=12),ROUND(VLOOKUP($S1109,DOWN16,5,0),3),IF($T1109=12,ROUND(($Z1109/10000)*$AA1109,3)+IF(AND($P$7="購買增額繳清保險",T1109=12,U1109=110),VLOOKUP(S1109,$B$10:$H$121,7,0),0),"")))</f>
        <v/>
      </c>
      <c r="AC1109" s="350" t="str">
        <f ca="1">IF(AND(S1109&lt;OP!$C$24,$U1109&lt;15),0,IF(AND($U1109&lt;16,$T1109=12),VLOOKUP($S1109,DOWN16,4,0),IF($T1109=12,ROUND(VLOOKUP(OP!$C$55,_DIE2,$S1109+1,0)*(Z1109/10000),0)+IF(AND($P$7="購買增額繳清保險",T1109=12,U1109=110),VLOOKUP(S1109,$B$10:$H$121,7,0),0),"")))</f>
        <v/>
      </c>
      <c r="AD1109" s="347"/>
      <c r="AE1109" s="350" t="str">
        <f t="shared" ca="1" si="693"/>
        <v/>
      </c>
      <c r="AF1109" s="351" t="str">
        <f t="shared" ca="1" si="694"/>
        <v/>
      </c>
      <c r="AG1109" s="340"/>
      <c r="AH1109" s="340"/>
      <c r="AI1109" s="340"/>
      <c r="AJ1109" s="340"/>
      <c r="AK1109" s="340"/>
      <c r="AL1109" s="340"/>
      <c r="AM1109" s="340"/>
      <c r="AN1109" s="340"/>
      <c r="AO1109" s="340"/>
      <c r="AP1109" s="340"/>
      <c r="AQ1109" s="340"/>
      <c r="AR1109" s="340"/>
      <c r="AS1109" s="340"/>
      <c r="AT1109" s="340"/>
      <c r="AU1109" s="340"/>
      <c r="AV1109" s="340"/>
      <c r="AY1109" s="340"/>
      <c r="AZ1109" s="465">
        <f t="shared" ca="1" si="704"/>
        <v>7.3698599999999999E-5</v>
      </c>
      <c r="BA1109" s="464">
        <f t="shared" ca="1" si="705"/>
        <v>0</v>
      </c>
      <c r="BB1109" s="465">
        <f t="shared" ca="1" si="705"/>
        <v>7.3698599999999999E-5</v>
      </c>
      <c r="BC1109" s="466">
        <f t="shared" ca="1" si="706"/>
        <v>76369</v>
      </c>
      <c r="BD1109" s="467">
        <f t="shared" ca="1" si="719"/>
        <v>76370</v>
      </c>
      <c r="BE1109" s="467">
        <f t="shared" ca="1" si="707"/>
        <v>76396</v>
      </c>
      <c r="BF1109" s="468">
        <f ca="1">IF(計算!$BC1109&lt;OP!$C$3,0,BD1109-BC1109)</f>
        <v>1</v>
      </c>
      <c r="BG1109" s="468">
        <f ca="1">IF($BE1109&gt;DATE(YEAR($BD$9)+OP!$C$57,MONTH($BD$9),DAY($BD$9)),0,$BE1109-$BD1109+1)</f>
        <v>0</v>
      </c>
      <c r="BH1109" s="469">
        <f t="shared" ca="1" si="708"/>
        <v>1</v>
      </c>
      <c r="BI1109" t="str">
        <f t="shared" ref="BI1109:BI1172" si="724">IF(BJ1109=12,BD1109-BD1097,"")</f>
        <v/>
      </c>
      <c r="BJ1109">
        <v>8</v>
      </c>
      <c r="BN1109" s="468">
        <f t="shared" si="720"/>
        <v>92</v>
      </c>
      <c r="BO1109" s="468">
        <f t="shared" si="721"/>
        <v>8</v>
      </c>
      <c r="BP1109" s="467">
        <f t="shared" ca="1" si="709"/>
        <v>76370</v>
      </c>
      <c r="BQ1109" s="475">
        <f t="shared" ca="1" si="723"/>
        <v>124</v>
      </c>
      <c r="BR1109" s="475" t="str">
        <f t="shared" si="722"/>
        <v/>
      </c>
      <c r="BS1109" s="471" t="str">
        <f t="shared" si="710"/>
        <v/>
      </c>
      <c r="BT1109" s="472" t="str">
        <f t="shared" si="691"/>
        <v/>
      </c>
      <c r="BU1109" s="472">
        <f t="shared" ca="1" si="711"/>
        <v>0</v>
      </c>
      <c r="BV1109" s="472">
        <f t="shared" ca="1" si="711"/>
        <v>0</v>
      </c>
      <c r="BW1109" s="472"/>
      <c r="BX1109" s="473">
        <f t="shared" ca="1" si="712"/>
        <v>2789053.6363742198</v>
      </c>
      <c r="BY1109" s="473">
        <f t="shared" si="713"/>
        <v>0</v>
      </c>
      <c r="BZ1109" s="473">
        <f t="shared" ca="1" si="695"/>
        <v>205.549348326</v>
      </c>
      <c r="CA1109" s="476">
        <f t="shared" ca="1" si="714"/>
        <v>0</v>
      </c>
      <c r="CB1109" s="494">
        <f ca="1">IF(OR($Q1108&lt;&gt;1,OP!$D$5+$BN1109-1&lt;16,$BN1109-1&lt;1),0,ROUND(ROUND(ROUND(((VLOOKUP($BN1109-1,MORE_PV,5,0)/10000)*VLOOKUP($BN1109,MORE_PV,$CB$5,0)),3)*VLOOKUP($BN1109,more1,5,0),0)/$R1108,0))</f>
        <v>0</v>
      </c>
      <c r="CC1109" s="473">
        <f t="shared" ca="1" si="715"/>
        <v>0</v>
      </c>
      <c r="CD1109" s="477"/>
    </row>
    <row r="1110" spans="2:82" ht="16.5" hidden="1">
      <c r="B1110" s="80"/>
      <c r="C1110" s="80"/>
      <c r="D1110" s="80"/>
      <c r="E1110" s="80"/>
      <c r="F1110" s="80"/>
      <c r="G1110" s="80"/>
      <c r="H1110" s="80"/>
      <c r="I1110" s="80"/>
      <c r="J1110" s="192">
        <f t="shared" si="696"/>
        <v>92</v>
      </c>
      <c r="K1110" s="192">
        <f t="shared" si="697"/>
        <v>10</v>
      </c>
      <c r="L1110" s="192" t="str">
        <f t="shared" si="692"/>
        <v/>
      </c>
      <c r="M1110" s="216" t="str">
        <f t="shared" ca="1" si="698"/>
        <v/>
      </c>
      <c r="N1110" s="216"/>
      <c r="O1110" s="216"/>
      <c r="P1110" s="216"/>
      <c r="Q1110" s="456">
        <f t="shared" ca="1" si="699"/>
        <v>1</v>
      </c>
      <c r="R1110" s="450">
        <f t="shared" ca="1" si="700"/>
        <v>12</v>
      </c>
      <c r="S1110" s="191">
        <f t="shared" si="701"/>
        <v>92</v>
      </c>
      <c r="T1110" s="191">
        <f t="shared" si="702"/>
        <v>10</v>
      </c>
      <c r="U1110" s="191">
        <f ca="1">OP!$D$5+$S1110-1</f>
        <v>124</v>
      </c>
      <c r="V1110" s="191" t="str">
        <f t="shared" si="703"/>
        <v/>
      </c>
      <c r="W1110" s="350">
        <f ca="1">IF(Q1110&lt;&gt;1,0,VLOOKUP(OP!$C$55,PVFB,$S1110+2,0))</f>
        <v>0</v>
      </c>
      <c r="X1110" s="473" t="str">
        <f t="shared" ca="1" si="716"/>
        <v/>
      </c>
      <c r="Y1110" s="348">
        <f t="shared" ca="1" si="717"/>
        <v>0</v>
      </c>
      <c r="Z1110" s="348">
        <f t="shared" ca="1" si="718"/>
        <v>8012</v>
      </c>
      <c r="AA1110" s="348">
        <f ca="1">IF(Q1110&lt;&gt;1,0,VLOOKUP(OP!$C$55,PVFB,$S1110+2,0))</f>
        <v>0</v>
      </c>
      <c r="AB1110" s="488" t="str">
        <f ca="1">IF(AND(S1110&lt;OP!$C$24,$U1110&lt;15),0,IF(AND($U1110&lt;15,$T1110=12),ROUND(VLOOKUP($S1110,DOWN16,5,0),3),IF($T1110=12,ROUND(($Z1110/10000)*$AA1110,3)+IF(AND($P$7="購買增額繳清保險",T1110=12,U1110=110),VLOOKUP(S1110,$B$10:$H$121,7,0),0),"")))</f>
        <v/>
      </c>
      <c r="AC1110" s="350" t="str">
        <f ca="1">IF(AND(S1110&lt;OP!$C$24,$U1110&lt;15),0,IF(AND($U1110&lt;16,$T1110=12),VLOOKUP($S1110,DOWN16,4,0),IF($T1110=12,ROUND(VLOOKUP(OP!$C$55,_DIE2,$S1110+1,0)*(Z1110/10000),0)+IF(AND($P$7="購買增額繳清保險",T1110=12,U1110=110),VLOOKUP(S1110,$B$10:$H$121,7,0),0),"")))</f>
        <v/>
      </c>
      <c r="AD1110" s="347"/>
      <c r="AE1110" s="350" t="str">
        <f t="shared" ca="1" si="693"/>
        <v/>
      </c>
      <c r="AF1110" s="351" t="str">
        <f t="shared" ca="1" si="694"/>
        <v/>
      </c>
      <c r="AG1110" s="340"/>
      <c r="AH1110" s="340"/>
      <c r="AI1110" s="340"/>
      <c r="AJ1110" s="340"/>
      <c r="AK1110" s="340"/>
      <c r="AL1110" s="340"/>
      <c r="AM1110" s="340"/>
      <c r="AN1110" s="340"/>
      <c r="AO1110" s="340"/>
      <c r="AP1110" s="340"/>
      <c r="AQ1110" s="340"/>
      <c r="AR1110" s="340"/>
      <c r="AS1110" s="340"/>
      <c r="AT1110" s="340"/>
      <c r="AU1110" s="340"/>
      <c r="AV1110" s="340"/>
      <c r="AY1110" s="340"/>
      <c r="AZ1110" s="465">
        <f t="shared" ca="1" si="704"/>
        <v>7.3698599999999999E-5</v>
      </c>
      <c r="BA1110" s="464">
        <f t="shared" ca="1" si="705"/>
        <v>0</v>
      </c>
      <c r="BB1110" s="465">
        <f t="shared" ca="1" si="705"/>
        <v>7.3698599999999999E-5</v>
      </c>
      <c r="BC1110" s="466">
        <f t="shared" ca="1" si="706"/>
        <v>76397</v>
      </c>
      <c r="BD1110" s="467">
        <f t="shared" ca="1" si="719"/>
        <v>76398</v>
      </c>
      <c r="BE1110" s="467">
        <f t="shared" ca="1" si="707"/>
        <v>76427</v>
      </c>
      <c r="BF1110" s="468">
        <f ca="1">IF(計算!$BC1110&lt;OP!$C$3,0,BD1110-BC1110)</f>
        <v>1</v>
      </c>
      <c r="BG1110" s="468">
        <f ca="1">IF($BE1110&gt;DATE(YEAR($BD$9)+OP!$C$57,MONTH($BD$9),DAY($BD$9)),0,$BE1110-$BD1110+1)</f>
        <v>0</v>
      </c>
      <c r="BH1110" s="469">
        <f t="shared" ca="1" si="708"/>
        <v>1</v>
      </c>
      <c r="BI1110" t="str">
        <f t="shared" si="724"/>
        <v/>
      </c>
      <c r="BJ1110">
        <v>9</v>
      </c>
      <c r="BN1110" s="468">
        <f t="shared" si="720"/>
        <v>92</v>
      </c>
      <c r="BO1110" s="468">
        <f t="shared" si="721"/>
        <v>9</v>
      </c>
      <c r="BP1110" s="467">
        <f t="shared" ca="1" si="709"/>
        <v>76398</v>
      </c>
      <c r="BQ1110" s="475">
        <f t="shared" ca="1" si="723"/>
        <v>124</v>
      </c>
      <c r="BR1110" s="475" t="str">
        <f t="shared" si="722"/>
        <v/>
      </c>
      <c r="BS1110" s="471" t="str">
        <f t="shared" si="710"/>
        <v/>
      </c>
      <c r="BT1110" s="472" t="str">
        <f t="shared" ref="BT1110:BT1173" si="725">IF(BW1110&lt;&gt;"",IF(BN1110&gt;=$P$4+1,ROUND(BU1110,0)+ROUND(BV1110,0)+ROUND(BW1110,0)+BT1098,0),"")</f>
        <v/>
      </c>
      <c r="BU1110" s="472">
        <f t="shared" ca="1" si="711"/>
        <v>0</v>
      </c>
      <c r="BV1110" s="472">
        <f t="shared" ca="1" si="711"/>
        <v>0</v>
      </c>
      <c r="BW1110" s="472"/>
      <c r="BX1110" s="473">
        <f t="shared" ca="1" si="712"/>
        <v>2789259.1857225499</v>
      </c>
      <c r="BY1110" s="473">
        <f t="shared" si="713"/>
        <v>0</v>
      </c>
      <c r="BZ1110" s="473">
        <f t="shared" ca="1" si="695"/>
        <v>205.56449702500001</v>
      </c>
      <c r="CA1110" s="476">
        <f t="shared" ca="1" si="714"/>
        <v>0</v>
      </c>
      <c r="CB1110" s="494">
        <f ca="1">IF(OR($Q1109&lt;&gt;1,OP!$D$5+$BN1110-1&lt;16,$BN1110-1&lt;1),0,ROUND(ROUND(ROUND(((VLOOKUP($BN1110-1,MORE_PV,5,0)/10000)*VLOOKUP($BN1110,MORE_PV,$CB$5,0)),3)*VLOOKUP($BN1110,more1,5,0),0)/$R1109,0))</f>
        <v>0</v>
      </c>
      <c r="CC1110" s="473">
        <f t="shared" ca="1" si="715"/>
        <v>0</v>
      </c>
      <c r="CD1110" s="477"/>
    </row>
    <row r="1111" spans="2:82" ht="16.5" hidden="1">
      <c r="B1111" s="80"/>
      <c r="C1111" s="80"/>
      <c r="D1111" s="80"/>
      <c r="E1111" s="80"/>
      <c r="F1111" s="80"/>
      <c r="G1111" s="80"/>
      <c r="H1111" s="80"/>
      <c r="I1111" s="80"/>
      <c r="J1111" s="192">
        <f t="shared" si="696"/>
        <v>92</v>
      </c>
      <c r="K1111" s="192">
        <f t="shared" si="697"/>
        <v>11</v>
      </c>
      <c r="L1111" s="192" t="str">
        <f t="shared" si="692"/>
        <v/>
      </c>
      <c r="M1111" s="216" t="str">
        <f t="shared" ca="1" si="698"/>
        <v/>
      </c>
      <c r="N1111" s="216"/>
      <c r="O1111" s="216"/>
      <c r="P1111" s="216"/>
      <c r="Q1111" s="456">
        <f t="shared" ca="1" si="699"/>
        <v>1</v>
      </c>
      <c r="R1111" s="450">
        <f t="shared" ca="1" si="700"/>
        <v>12</v>
      </c>
      <c r="S1111" s="191">
        <f t="shared" si="701"/>
        <v>92</v>
      </c>
      <c r="T1111" s="191">
        <f t="shared" si="702"/>
        <v>11</v>
      </c>
      <c r="U1111" s="191">
        <f ca="1">OP!$D$5+$S1111-1</f>
        <v>124</v>
      </c>
      <c r="V1111" s="191" t="str">
        <f t="shared" si="703"/>
        <v/>
      </c>
      <c r="W1111" s="350">
        <f ca="1">IF(Q1111&lt;&gt;1,0,VLOOKUP(OP!$C$55,PVFB,$S1111+2,0))</f>
        <v>0</v>
      </c>
      <c r="X1111" s="473" t="str">
        <f t="shared" ca="1" si="716"/>
        <v/>
      </c>
      <c r="Y1111" s="348">
        <f t="shared" ca="1" si="717"/>
        <v>0</v>
      </c>
      <c r="Z1111" s="348">
        <f t="shared" ca="1" si="718"/>
        <v>8012</v>
      </c>
      <c r="AA1111" s="348">
        <f ca="1">IF(Q1111&lt;&gt;1,0,VLOOKUP(OP!$C$55,PVFB,$S1111+2,0))</f>
        <v>0</v>
      </c>
      <c r="AB1111" s="488" t="str">
        <f ca="1">IF(AND(S1111&lt;OP!$C$24,$U1111&lt;15),0,IF(AND($U1111&lt;15,$T1111=12),ROUND(VLOOKUP($S1111,DOWN16,5,0),3),IF($T1111=12,ROUND(($Z1111/10000)*$AA1111,3)+IF(AND($P$7="購買增額繳清保險",T1111=12,U1111=110),VLOOKUP(S1111,$B$10:$H$121,7,0),0),"")))</f>
        <v/>
      </c>
      <c r="AC1111" s="350" t="str">
        <f ca="1">IF(AND(S1111&lt;OP!$C$24,$U1111&lt;15),0,IF(AND($U1111&lt;16,$T1111=12),VLOOKUP($S1111,DOWN16,4,0),IF($T1111=12,ROUND(VLOOKUP(OP!$C$55,_DIE2,$S1111+1,0)*(Z1111/10000),0)+IF(AND($P$7="購買增額繳清保險",T1111=12,U1111=110),VLOOKUP(S1111,$B$10:$H$121,7,0),0),"")))</f>
        <v/>
      </c>
      <c r="AD1111" s="347"/>
      <c r="AE1111" s="350" t="str">
        <f t="shared" ca="1" si="693"/>
        <v/>
      </c>
      <c r="AF1111" s="351" t="str">
        <f t="shared" ca="1" si="694"/>
        <v/>
      </c>
      <c r="AG1111" s="340"/>
      <c r="AH1111" s="340"/>
      <c r="AI1111" s="340"/>
      <c r="AJ1111" s="340"/>
      <c r="AK1111" s="340"/>
      <c r="AL1111" s="340"/>
      <c r="AM1111" s="340"/>
      <c r="AN1111" s="340"/>
      <c r="AO1111" s="340"/>
      <c r="AP1111" s="340"/>
      <c r="AQ1111" s="340"/>
      <c r="AR1111" s="340"/>
      <c r="AS1111" s="340"/>
      <c r="AT1111" s="340"/>
      <c r="AU1111" s="340"/>
      <c r="AV1111" s="340"/>
      <c r="AY1111" s="340"/>
      <c r="AZ1111" s="465">
        <f t="shared" ca="1" si="704"/>
        <v>7.3698599999999999E-5</v>
      </c>
      <c r="BA1111" s="464">
        <f t="shared" ca="1" si="705"/>
        <v>0</v>
      </c>
      <c r="BB1111" s="465">
        <f t="shared" ca="1" si="705"/>
        <v>7.3698599999999999E-5</v>
      </c>
      <c r="BC1111" s="466">
        <f t="shared" ca="1" si="706"/>
        <v>76428</v>
      </c>
      <c r="BD1111" s="467">
        <f t="shared" ca="1" si="719"/>
        <v>76429</v>
      </c>
      <c r="BE1111" s="467">
        <f t="shared" ca="1" si="707"/>
        <v>76457</v>
      </c>
      <c r="BF1111" s="468">
        <f ca="1">IF(計算!$BC1111&lt;OP!$C$3,0,BD1111-BC1111)</f>
        <v>1</v>
      </c>
      <c r="BG1111" s="468">
        <f ca="1">IF($BE1111&gt;DATE(YEAR($BD$9)+OP!$C$57,MONTH($BD$9),DAY($BD$9)),0,$BE1111-$BD1111+1)</f>
        <v>0</v>
      </c>
      <c r="BH1111" s="469">
        <f t="shared" ca="1" si="708"/>
        <v>1</v>
      </c>
      <c r="BI1111" t="str">
        <f t="shared" si="724"/>
        <v/>
      </c>
      <c r="BJ1111">
        <v>10</v>
      </c>
      <c r="BN1111" s="468">
        <f t="shared" si="720"/>
        <v>92</v>
      </c>
      <c r="BO1111" s="468">
        <f t="shared" si="721"/>
        <v>10</v>
      </c>
      <c r="BP1111" s="467">
        <f t="shared" ca="1" si="709"/>
        <v>76429</v>
      </c>
      <c r="BQ1111" s="475">
        <f t="shared" ca="1" si="723"/>
        <v>124</v>
      </c>
      <c r="BR1111" s="475" t="str">
        <f t="shared" si="722"/>
        <v/>
      </c>
      <c r="BS1111" s="471" t="str">
        <f t="shared" si="710"/>
        <v/>
      </c>
      <c r="BT1111" s="472" t="str">
        <f t="shared" si="725"/>
        <v/>
      </c>
      <c r="BU1111" s="472">
        <f t="shared" ca="1" si="711"/>
        <v>0</v>
      </c>
      <c r="BV1111" s="472">
        <f t="shared" ca="1" si="711"/>
        <v>0</v>
      </c>
      <c r="BW1111" s="472"/>
      <c r="BX1111" s="473">
        <f t="shared" ca="1" si="712"/>
        <v>2789464.7502195798</v>
      </c>
      <c r="BY1111" s="473">
        <f t="shared" si="713"/>
        <v>0</v>
      </c>
      <c r="BZ1111" s="473">
        <f t="shared" ca="1" si="695"/>
        <v>205.579646841</v>
      </c>
      <c r="CA1111" s="476">
        <f t="shared" ca="1" si="714"/>
        <v>0</v>
      </c>
      <c r="CB1111" s="494">
        <f ca="1">IF(OR($Q1110&lt;&gt;1,OP!$D$5+$BN1111-1&lt;16,$BN1111-1&lt;1),0,ROUND(ROUND(ROUND(((VLOOKUP($BN1111-1,MORE_PV,5,0)/10000)*VLOOKUP($BN1111,MORE_PV,$CB$5,0)),3)*VLOOKUP($BN1111,more1,5,0),0)/$R1110,0))</f>
        <v>0</v>
      </c>
      <c r="CC1111" s="473">
        <f t="shared" ca="1" si="715"/>
        <v>0</v>
      </c>
      <c r="CD1111" s="477"/>
    </row>
    <row r="1112" spans="2:82" ht="16.5" hidden="1">
      <c r="B1112" s="80"/>
      <c r="C1112" s="80"/>
      <c r="D1112" s="80"/>
      <c r="E1112" s="80"/>
      <c r="F1112" s="80"/>
      <c r="G1112" s="80"/>
      <c r="H1112" s="80"/>
      <c r="I1112" s="80"/>
      <c r="J1112" s="192">
        <f t="shared" si="696"/>
        <v>92</v>
      </c>
      <c r="K1112" s="192">
        <f t="shared" si="697"/>
        <v>12</v>
      </c>
      <c r="L1112" s="192">
        <f t="shared" si="692"/>
        <v>92</v>
      </c>
      <c r="M1112" s="216">
        <f t="shared" ca="1" si="698"/>
        <v>2790080</v>
      </c>
      <c r="N1112" s="216"/>
      <c r="O1112" s="216"/>
      <c r="P1112" s="216"/>
      <c r="Q1112" s="456">
        <f t="shared" ca="1" si="699"/>
        <v>1</v>
      </c>
      <c r="R1112" s="450">
        <f t="shared" ca="1" si="700"/>
        <v>12</v>
      </c>
      <c r="S1112" s="191">
        <f t="shared" si="701"/>
        <v>92</v>
      </c>
      <c r="T1112" s="191">
        <f t="shared" si="702"/>
        <v>12</v>
      </c>
      <c r="U1112" s="191">
        <f ca="1">OP!$D$5+$S1112-1</f>
        <v>124</v>
      </c>
      <c r="V1112" s="191">
        <f t="shared" si="703"/>
        <v>92</v>
      </c>
      <c r="W1112" s="350">
        <f ca="1">IF(Q1112&lt;&gt;1,0,VLOOKUP(OP!$C$55,PVFB,$S1112+2,0))</f>
        <v>0</v>
      </c>
      <c r="X1112" s="473">
        <f t="shared" ca="1" si="716"/>
        <v>0</v>
      </c>
      <c r="Y1112" s="348">
        <f t="shared" ca="1" si="717"/>
        <v>0</v>
      </c>
      <c r="Z1112" s="348">
        <f t="shared" ca="1" si="718"/>
        <v>8012</v>
      </c>
      <c r="AA1112" s="348">
        <f ca="1">IF(Q1112&lt;&gt;1,0,VLOOKUP(OP!$C$55,PVFB,$S1112+2,0))</f>
        <v>0</v>
      </c>
      <c r="AB1112" s="488">
        <f ca="1">IF(AND(S1112&lt;OP!$C$24,$U1112&lt;15),0,IF(AND($U1112&lt;15,$T1112=12),ROUND(VLOOKUP($S1112,DOWN16,5,0),3),IF($T1112=12,ROUND(($Z1112/10000)*$AA1112,3)+IF(AND($P$7="購買增額繳清保險",T1112=12,U1112=110),VLOOKUP(S1112,$B$10:$H$121,7,0),0),"")))</f>
        <v>0</v>
      </c>
      <c r="AC1112" s="350">
        <f ca="1">IF(AND(S1112&lt;OP!$C$24,$U1112&lt;15),0,IF(AND($U1112&lt;16,$T1112=12),VLOOKUP($S1112,DOWN16,4,0),IF($T1112=12,ROUND(VLOOKUP(OP!$C$55,_DIE2,$S1112+1,0)*(Z1112/10000),0)+IF(AND($P$7="購買增額繳清保險",T1112=12,U1112=110),VLOOKUP(S1112,$B$10:$H$121,7,0),0),"")))</f>
        <v>0</v>
      </c>
      <c r="AD1112" s="347"/>
      <c r="AE1112" s="350" t="str">
        <f t="shared" ca="1" si="693"/>
        <v/>
      </c>
      <c r="AF1112" s="351" t="str">
        <f t="shared" ca="1" si="694"/>
        <v/>
      </c>
      <c r="AG1112" s="340"/>
      <c r="AH1112" s="340"/>
      <c r="AI1112" s="340"/>
      <c r="AJ1112" s="340"/>
      <c r="AK1112" s="340"/>
      <c r="AL1112" s="340"/>
      <c r="AM1112" s="340"/>
      <c r="AN1112" s="340"/>
      <c r="AO1112" s="340"/>
      <c r="AP1112" s="340"/>
      <c r="AQ1112" s="340"/>
      <c r="AR1112" s="340"/>
      <c r="AS1112" s="340"/>
      <c r="AT1112" s="340"/>
      <c r="AU1112" s="340"/>
      <c r="AV1112" s="340"/>
      <c r="AY1112" s="340"/>
      <c r="AZ1112" s="465">
        <f t="shared" ca="1" si="704"/>
        <v>7.3698599999999999E-5</v>
      </c>
      <c r="BA1112" s="464">
        <f t="shared" ca="1" si="705"/>
        <v>0</v>
      </c>
      <c r="BB1112" s="465">
        <f t="shared" ca="1" si="705"/>
        <v>7.3698599999999999E-5</v>
      </c>
      <c r="BC1112" s="466">
        <f t="shared" ca="1" si="706"/>
        <v>76458</v>
      </c>
      <c r="BD1112" s="467">
        <f t="shared" ca="1" si="719"/>
        <v>76459</v>
      </c>
      <c r="BE1112" s="467">
        <f t="shared" ca="1" si="707"/>
        <v>76488</v>
      </c>
      <c r="BF1112" s="468">
        <f ca="1">IF(計算!$BC1112&lt;OP!$C$3,0,BD1112-BC1112)</f>
        <v>1</v>
      </c>
      <c r="BG1112" s="468">
        <f ca="1">IF($BE1112&gt;DATE(YEAR($BD$9)+OP!$C$57,MONTH($BD$9),DAY($BD$9)),0,$BE1112-$BD1112+1)</f>
        <v>0</v>
      </c>
      <c r="BH1112" s="469">
        <f t="shared" ca="1" si="708"/>
        <v>1</v>
      </c>
      <c r="BI1112" t="str">
        <f t="shared" si="724"/>
        <v/>
      </c>
      <c r="BJ1112">
        <v>11</v>
      </c>
      <c r="BN1112" s="468">
        <f t="shared" si="720"/>
        <v>92</v>
      </c>
      <c r="BO1112" s="468">
        <f t="shared" si="721"/>
        <v>11</v>
      </c>
      <c r="BP1112" s="467">
        <f t="shared" ca="1" si="709"/>
        <v>76459</v>
      </c>
      <c r="BQ1112" s="475">
        <f t="shared" ca="1" si="723"/>
        <v>124</v>
      </c>
      <c r="BR1112" s="475" t="str">
        <f t="shared" si="722"/>
        <v/>
      </c>
      <c r="BS1112" s="471" t="str">
        <f t="shared" si="710"/>
        <v/>
      </c>
      <c r="BT1112" s="472" t="str">
        <f t="shared" si="725"/>
        <v/>
      </c>
      <c r="BU1112" s="472">
        <f t="shared" ca="1" si="711"/>
        <v>0</v>
      </c>
      <c r="BV1112" s="472">
        <f t="shared" ca="1" si="711"/>
        <v>0</v>
      </c>
      <c r="BW1112" s="472"/>
      <c r="BX1112" s="473">
        <f t="shared" ca="1" si="712"/>
        <v>2789670.32986642</v>
      </c>
      <c r="BY1112" s="473">
        <f t="shared" si="713"/>
        <v>0</v>
      </c>
      <c r="BZ1112" s="473">
        <f t="shared" ca="1" si="695"/>
        <v>205.59479777300001</v>
      </c>
      <c r="CA1112" s="476">
        <f t="shared" ca="1" si="714"/>
        <v>0</v>
      </c>
      <c r="CB1112" s="494">
        <f ca="1">IF(OR($Q1111&lt;&gt;1,OP!$D$5+$BN1112-1&lt;16,$BN1112-1&lt;1),0,ROUND(ROUND(ROUND(((VLOOKUP($BN1112-1,MORE_PV,5,0)/10000)*VLOOKUP($BN1112,MORE_PV,$CB$5,0)),3)*VLOOKUP($BN1112,more1,5,0),0)/$R1111,0))</f>
        <v>0</v>
      </c>
      <c r="CC1112" s="473">
        <f t="shared" ca="1" si="715"/>
        <v>0</v>
      </c>
      <c r="CD1112" s="477"/>
    </row>
    <row r="1113" spans="2:82" ht="16.5" hidden="1">
      <c r="B1113" s="80"/>
      <c r="C1113" s="80"/>
      <c r="D1113" s="80"/>
      <c r="E1113" s="80"/>
      <c r="F1113" s="80"/>
      <c r="G1113" s="80"/>
      <c r="H1113" s="80"/>
      <c r="I1113" s="80"/>
      <c r="J1113" s="192">
        <f t="shared" si="696"/>
        <v>93</v>
      </c>
      <c r="K1113" s="192">
        <f t="shared" si="697"/>
        <v>1</v>
      </c>
      <c r="L1113" s="192" t="str">
        <f t="shared" si="692"/>
        <v/>
      </c>
      <c r="M1113" s="216" t="str">
        <f t="shared" ca="1" si="698"/>
        <v/>
      </c>
      <c r="N1113" s="216"/>
      <c r="O1113" s="216"/>
      <c r="P1113" s="216"/>
      <c r="Q1113" s="456">
        <f t="shared" ca="1" si="699"/>
        <v>1</v>
      </c>
      <c r="R1113" s="450">
        <f t="shared" ca="1" si="700"/>
        <v>12</v>
      </c>
      <c r="S1113" s="191">
        <f t="shared" si="701"/>
        <v>93</v>
      </c>
      <c r="T1113" s="191">
        <f t="shared" si="702"/>
        <v>1</v>
      </c>
      <c r="U1113" s="191">
        <f ca="1">OP!$D$5+$S1113-1</f>
        <v>125</v>
      </c>
      <c r="V1113" s="191" t="str">
        <f t="shared" si="703"/>
        <v/>
      </c>
      <c r="W1113" s="350">
        <f ca="1">IF(Q1113&lt;&gt;1,0,VLOOKUP(OP!$C$55,PVFB,$S1113+2,0))</f>
        <v>0</v>
      </c>
      <c r="X1113" s="473" t="str">
        <f t="shared" ca="1" si="716"/>
        <v/>
      </c>
      <c r="Y1113" s="348">
        <f t="shared" ca="1" si="717"/>
        <v>0</v>
      </c>
      <c r="Z1113" s="348">
        <f t="shared" ca="1" si="718"/>
        <v>8012</v>
      </c>
      <c r="AA1113" s="348">
        <f ca="1">IF(Q1113&lt;&gt;1,0,VLOOKUP(OP!$C$55,PVFB,$S1113+2,0))</f>
        <v>0</v>
      </c>
      <c r="AB1113" s="488" t="str">
        <f ca="1">IF(AND(S1113&lt;OP!$C$24,$U1113&lt;15),0,IF(AND($U1113&lt;15,$T1113=12),ROUND(VLOOKUP($S1113,DOWN16,5,0),3),IF($T1113=12,ROUND(($Z1113/10000)*$AA1113,3)+IF(AND($P$7="購買增額繳清保險",T1113=12,U1113=110),VLOOKUP(S1113,$B$10:$H$121,7,0),0),"")))</f>
        <v/>
      </c>
      <c r="AC1113" s="350" t="str">
        <f ca="1">IF(AND(S1113&lt;OP!$C$24,$U1113&lt;15),0,IF(AND($U1113&lt;16,$T1113=12),VLOOKUP($S1113,DOWN16,4,0),IF($T1113=12,ROUND(VLOOKUP(OP!$C$55,_DIE2,$S1113+1,0)*(Z1113/10000),0)+IF(AND($P$7="購買增額繳清保險",T1113=12,U1113=110),VLOOKUP(S1113,$B$10:$H$121,7,0),0),"")))</f>
        <v/>
      </c>
      <c r="AD1113" s="347"/>
      <c r="AE1113" s="350" t="str">
        <f t="shared" ca="1" si="693"/>
        <v/>
      </c>
      <c r="AF1113" s="351" t="str">
        <f t="shared" ca="1" si="694"/>
        <v/>
      </c>
      <c r="AG1113" s="340"/>
      <c r="AH1113" s="340"/>
      <c r="AI1113" s="340"/>
      <c r="AJ1113" s="340"/>
      <c r="AK1113" s="340"/>
      <c r="AL1113" s="340"/>
      <c r="AM1113" s="340"/>
      <c r="AN1113" s="340"/>
      <c r="AO1113" s="340"/>
      <c r="AP1113" s="340"/>
      <c r="AQ1113" s="340"/>
      <c r="AR1113" s="340"/>
      <c r="AS1113" s="340"/>
      <c r="AT1113" s="340"/>
      <c r="AU1113" s="340"/>
      <c r="AV1113" s="340"/>
      <c r="AY1113" s="340"/>
      <c r="AZ1113" s="465">
        <f t="shared" ca="1" si="704"/>
        <v>7.3698599999999999E-5</v>
      </c>
      <c r="BA1113" s="464">
        <f t="shared" ca="1" si="705"/>
        <v>0</v>
      </c>
      <c r="BB1113" s="465">
        <f t="shared" ca="1" si="705"/>
        <v>7.3698599999999999E-5</v>
      </c>
      <c r="BC1113" s="466">
        <f t="shared" ca="1" si="706"/>
        <v>76489</v>
      </c>
      <c r="BD1113" s="467">
        <f t="shared" ca="1" si="719"/>
        <v>76490</v>
      </c>
      <c r="BE1113" s="467">
        <f t="shared" ca="1" si="707"/>
        <v>76518</v>
      </c>
      <c r="BF1113" s="468">
        <f ca="1">IF(計算!$BC1113&lt;OP!$C$3,0,BD1113-BC1113)</f>
        <v>1</v>
      </c>
      <c r="BG1113" s="468">
        <f ca="1">IF($BE1113&gt;DATE(YEAR($BD$9)+OP!$C$57,MONTH($BD$9),DAY($BD$9)),0,$BE1113-$BD1113+1)</f>
        <v>0</v>
      </c>
      <c r="BH1113" s="469">
        <f t="shared" ca="1" si="708"/>
        <v>1</v>
      </c>
      <c r="BI1113">
        <f t="shared" ca="1" si="724"/>
        <v>365</v>
      </c>
      <c r="BJ1113">
        <v>12</v>
      </c>
      <c r="BN1113" s="468">
        <f t="shared" si="720"/>
        <v>92</v>
      </c>
      <c r="BO1113" s="468">
        <f t="shared" si="721"/>
        <v>12</v>
      </c>
      <c r="BP1113" s="467">
        <f t="shared" ca="1" si="709"/>
        <v>76490</v>
      </c>
      <c r="BQ1113" s="475">
        <f t="shared" ca="1" si="723"/>
        <v>124</v>
      </c>
      <c r="BR1113" s="475">
        <f t="shared" si="722"/>
        <v>92</v>
      </c>
      <c r="BS1113" s="471">
        <f t="shared" ca="1" si="710"/>
        <v>0</v>
      </c>
      <c r="BT1113" s="472">
        <f t="shared" ca="1" si="725"/>
        <v>2790080</v>
      </c>
      <c r="BU1113" s="472">
        <f t="shared" ca="1" si="711"/>
        <v>0</v>
      </c>
      <c r="BV1113" s="472">
        <f t="shared" ca="1" si="711"/>
        <v>0</v>
      </c>
      <c r="BW1113" s="472">
        <f ca="1">ROUND(SUM(BY1113,BZ1101:BZ1112),0)</f>
        <v>2466</v>
      </c>
      <c r="BX1113" s="473">
        <f t="shared" ca="1" si="712"/>
        <v>2790081.5346140098</v>
      </c>
      <c r="BY1113" s="473">
        <f t="shared" ca="1" si="713"/>
        <v>205.60994982099999</v>
      </c>
      <c r="BZ1113" s="473">
        <f t="shared" ca="1" si="695"/>
        <v>0</v>
      </c>
      <c r="CA1113" s="476">
        <f t="shared" ca="1" si="714"/>
        <v>0</v>
      </c>
      <c r="CB1113" s="494">
        <f ca="1">IF(OR($Q1112&lt;&gt;1,OP!$D$5+$BN1113-1&lt;16,$BN1113-1&lt;1),0,ROUND(ROUND(ROUND(((VLOOKUP($BN1113-1,MORE_PV,5,0)/10000)*VLOOKUP($BN1113,MORE_PV,$CB$5,0)),3)*VLOOKUP($BN1113,more1,5,0),0)/$R1112,0))</f>
        <v>0</v>
      </c>
      <c r="CC1113" s="473">
        <f t="shared" ca="1" si="715"/>
        <v>0</v>
      </c>
      <c r="CD1113" s="477"/>
    </row>
    <row r="1114" spans="2:82" ht="16.5" hidden="1">
      <c r="B1114" s="80"/>
      <c r="C1114" s="80"/>
      <c r="D1114" s="80"/>
      <c r="E1114" s="80"/>
      <c r="F1114" s="80"/>
      <c r="G1114" s="80"/>
      <c r="H1114" s="80"/>
      <c r="I1114" s="80"/>
      <c r="J1114" s="192">
        <f t="shared" si="696"/>
        <v>93</v>
      </c>
      <c r="K1114" s="192">
        <f t="shared" si="697"/>
        <v>2</v>
      </c>
      <c r="L1114" s="192" t="str">
        <f t="shared" si="692"/>
        <v/>
      </c>
      <c r="M1114" s="216" t="str">
        <f t="shared" ca="1" si="698"/>
        <v/>
      </c>
      <c r="N1114" s="216"/>
      <c r="O1114" s="216"/>
      <c r="P1114" s="216"/>
      <c r="Q1114" s="456">
        <f t="shared" ca="1" si="699"/>
        <v>1</v>
      </c>
      <c r="R1114" s="450">
        <f t="shared" ca="1" si="700"/>
        <v>12</v>
      </c>
      <c r="S1114" s="191">
        <f t="shared" si="701"/>
        <v>93</v>
      </c>
      <c r="T1114" s="191">
        <f t="shared" si="702"/>
        <v>2</v>
      </c>
      <c r="U1114" s="191">
        <f ca="1">OP!$D$5+$S1114-1</f>
        <v>125</v>
      </c>
      <c r="V1114" s="191" t="str">
        <f t="shared" si="703"/>
        <v/>
      </c>
      <c r="W1114" s="350">
        <f ca="1">IF(Q1114&lt;&gt;1,0,VLOOKUP(OP!$C$55,PVFB,$S1114+2,0))</f>
        <v>0</v>
      </c>
      <c r="X1114" s="473" t="str">
        <f t="shared" ca="1" si="716"/>
        <v/>
      </c>
      <c r="Y1114" s="348">
        <f t="shared" ca="1" si="717"/>
        <v>0</v>
      </c>
      <c r="Z1114" s="348">
        <f t="shared" ca="1" si="718"/>
        <v>8012</v>
      </c>
      <c r="AA1114" s="348">
        <f ca="1">IF(Q1114&lt;&gt;1,0,VLOOKUP(OP!$C$55,PVFB,$S1114+2,0))</f>
        <v>0</v>
      </c>
      <c r="AB1114" s="488" t="str">
        <f ca="1">IF(AND(S1114&lt;OP!$C$24,$U1114&lt;15),0,IF(AND($U1114&lt;15,$T1114=12),ROUND(VLOOKUP($S1114,DOWN16,5,0),3),IF($T1114=12,ROUND(($Z1114/10000)*$AA1114,3)+IF(AND($P$7="購買增額繳清保險",T1114=12,U1114=110),VLOOKUP(S1114,$B$10:$H$121,7,0),0),"")))</f>
        <v/>
      </c>
      <c r="AC1114" s="350" t="str">
        <f ca="1">IF(AND(S1114&lt;OP!$C$24,$U1114&lt;15),0,IF(AND($U1114&lt;16,$T1114=12),VLOOKUP($S1114,DOWN16,4,0),IF($T1114=12,ROUND(VLOOKUP(OP!$C$55,_DIE2,$S1114+1,0)*(Z1114/10000),0)+IF(AND($P$7="購買增額繳清保險",T1114=12,U1114=110),VLOOKUP(S1114,$B$10:$H$121,7,0),0),"")))</f>
        <v/>
      </c>
      <c r="AD1114" s="347"/>
      <c r="AE1114" s="350" t="str">
        <f t="shared" ca="1" si="693"/>
        <v/>
      </c>
      <c r="AF1114" s="351" t="str">
        <f t="shared" ca="1" si="694"/>
        <v/>
      </c>
      <c r="AG1114" s="340"/>
      <c r="AH1114" s="340"/>
      <c r="AI1114" s="340"/>
      <c r="AJ1114" s="340"/>
      <c r="AK1114" s="340"/>
      <c r="AL1114" s="340"/>
      <c r="AM1114" s="340"/>
      <c r="AN1114" s="340"/>
      <c r="AO1114" s="340"/>
      <c r="AP1114" s="340"/>
      <c r="AQ1114" s="340"/>
      <c r="AR1114" s="340"/>
      <c r="AS1114" s="340"/>
      <c r="AT1114" s="340"/>
      <c r="AU1114" s="340"/>
      <c r="AV1114" s="340"/>
      <c r="AY1114" s="340"/>
      <c r="AZ1114" s="465">
        <f t="shared" ca="1" si="704"/>
        <v>7.3698599999999999E-5</v>
      </c>
      <c r="BA1114" s="464">
        <f t="shared" ca="1" si="705"/>
        <v>0</v>
      </c>
      <c r="BB1114" s="465">
        <f t="shared" ca="1" si="705"/>
        <v>7.3698599999999999E-5</v>
      </c>
      <c r="BC1114" s="466">
        <f t="shared" ca="1" si="706"/>
        <v>76519</v>
      </c>
      <c r="BD1114" s="467">
        <f t="shared" ca="1" si="719"/>
        <v>76520</v>
      </c>
      <c r="BE1114" s="467">
        <f t="shared" ca="1" si="707"/>
        <v>76549</v>
      </c>
      <c r="BF1114" s="468">
        <f ca="1">IF(計算!$BC1114&lt;OP!$C$3,0,BD1114-BC1114)</f>
        <v>1</v>
      </c>
      <c r="BG1114" s="468">
        <f ca="1">IF($BE1114&gt;DATE(YEAR($BD$9)+OP!$C$57,MONTH($BD$9),DAY($BD$9)),0,$BE1114-$BD1114+1)</f>
        <v>0</v>
      </c>
      <c r="BH1114" s="469">
        <f t="shared" ca="1" si="708"/>
        <v>1</v>
      </c>
      <c r="BI1114" t="str">
        <f t="shared" si="724"/>
        <v/>
      </c>
      <c r="BJ1114">
        <v>1</v>
      </c>
      <c r="BN1114" s="468">
        <f t="shared" si="720"/>
        <v>93</v>
      </c>
      <c r="BO1114" s="468">
        <f t="shared" si="721"/>
        <v>1</v>
      </c>
      <c r="BP1114" s="467">
        <f t="shared" ca="1" si="709"/>
        <v>76520</v>
      </c>
      <c r="BQ1114" s="475">
        <f t="shared" ca="1" si="723"/>
        <v>125</v>
      </c>
      <c r="BR1114" s="475" t="str">
        <f t="shared" si="722"/>
        <v/>
      </c>
      <c r="BS1114" s="471" t="str">
        <f t="shared" si="710"/>
        <v/>
      </c>
      <c r="BT1114" s="472" t="str">
        <f t="shared" si="725"/>
        <v/>
      </c>
      <c r="BU1114" s="472">
        <f t="shared" ca="1" si="711"/>
        <v>0</v>
      </c>
      <c r="BV1114" s="472">
        <f t="shared" ca="1" si="711"/>
        <v>0</v>
      </c>
      <c r="BW1114" s="472"/>
      <c r="BX1114" s="473">
        <f t="shared" ca="1" si="712"/>
        <v>2790081.5346140098</v>
      </c>
      <c r="BY1114" s="473">
        <f t="shared" si="713"/>
        <v>0</v>
      </c>
      <c r="BZ1114" s="473">
        <f t="shared" ca="1" si="695"/>
        <v>205.62510298699999</v>
      </c>
      <c r="CA1114" s="476">
        <f t="shared" ca="1" si="714"/>
        <v>0</v>
      </c>
      <c r="CB1114" s="494">
        <f ca="1">IF(OR($Q1113&lt;&gt;1,OP!$D$5+$BN1114-1&lt;16,$BN1114-1&lt;1),0,ROUND(ROUND(ROUND(((VLOOKUP($BN1114-1,MORE_PV,5,0)/10000)*VLOOKUP($BN1114,MORE_PV,$CB$5,0)),3)*VLOOKUP($BN1114,more1,5,0),0)/$R1113,0))</f>
        <v>0</v>
      </c>
      <c r="CC1114" s="473">
        <f t="shared" ca="1" si="715"/>
        <v>0</v>
      </c>
      <c r="CD1114" s="477"/>
    </row>
    <row r="1115" spans="2:82" ht="16.5" hidden="1">
      <c r="B1115" s="80"/>
      <c r="C1115" s="80"/>
      <c r="D1115" s="80"/>
      <c r="E1115" s="80"/>
      <c r="F1115" s="80"/>
      <c r="G1115" s="80"/>
      <c r="H1115" s="80"/>
      <c r="I1115" s="80"/>
      <c r="J1115" s="192">
        <f t="shared" si="696"/>
        <v>93</v>
      </c>
      <c r="K1115" s="192">
        <f t="shared" si="697"/>
        <v>3</v>
      </c>
      <c r="L1115" s="192" t="str">
        <f t="shared" si="692"/>
        <v/>
      </c>
      <c r="M1115" s="216" t="str">
        <f t="shared" ca="1" si="698"/>
        <v/>
      </c>
      <c r="N1115" s="216"/>
      <c r="O1115" s="216"/>
      <c r="P1115" s="216"/>
      <c r="Q1115" s="456">
        <f t="shared" ca="1" si="699"/>
        <v>1</v>
      </c>
      <c r="R1115" s="450">
        <f t="shared" ca="1" si="700"/>
        <v>12</v>
      </c>
      <c r="S1115" s="191">
        <f t="shared" si="701"/>
        <v>93</v>
      </c>
      <c r="T1115" s="191">
        <f t="shared" si="702"/>
        <v>3</v>
      </c>
      <c r="U1115" s="191">
        <f ca="1">OP!$D$5+$S1115-1</f>
        <v>125</v>
      </c>
      <c r="V1115" s="191" t="str">
        <f t="shared" si="703"/>
        <v/>
      </c>
      <c r="W1115" s="350">
        <f ca="1">IF(Q1115&lt;&gt;1,0,VLOOKUP(OP!$C$55,PVFB,$S1115+2,0))</f>
        <v>0</v>
      </c>
      <c r="X1115" s="473" t="str">
        <f t="shared" ca="1" si="716"/>
        <v/>
      </c>
      <c r="Y1115" s="348">
        <f t="shared" ca="1" si="717"/>
        <v>0</v>
      </c>
      <c r="Z1115" s="348">
        <f t="shared" ca="1" si="718"/>
        <v>8012</v>
      </c>
      <c r="AA1115" s="348">
        <f ca="1">IF(Q1115&lt;&gt;1,0,VLOOKUP(OP!$C$55,PVFB,$S1115+2,0))</f>
        <v>0</v>
      </c>
      <c r="AB1115" s="488" t="str">
        <f ca="1">IF(AND(S1115&lt;OP!$C$24,$U1115&lt;15),0,IF(AND($U1115&lt;15,$T1115=12),ROUND(VLOOKUP($S1115,DOWN16,5,0),3),IF($T1115=12,ROUND(($Z1115/10000)*$AA1115,3)+IF(AND($P$7="購買增額繳清保險",T1115=12,U1115=110),VLOOKUP(S1115,$B$10:$H$121,7,0),0),"")))</f>
        <v/>
      </c>
      <c r="AC1115" s="350" t="str">
        <f ca="1">IF(AND(S1115&lt;OP!$C$24,$U1115&lt;15),0,IF(AND($U1115&lt;16,$T1115=12),VLOOKUP($S1115,DOWN16,4,0),IF($T1115=12,ROUND(VLOOKUP(OP!$C$55,_DIE2,$S1115+1,0)*(Z1115/10000),0)+IF(AND($P$7="購買增額繳清保險",T1115=12,U1115=110),VLOOKUP(S1115,$B$10:$H$121,7,0),0),"")))</f>
        <v/>
      </c>
      <c r="AD1115" s="347"/>
      <c r="AE1115" s="350" t="str">
        <f t="shared" ca="1" si="693"/>
        <v/>
      </c>
      <c r="AF1115" s="351" t="str">
        <f t="shared" ca="1" si="694"/>
        <v/>
      </c>
      <c r="AG1115" s="340"/>
      <c r="AH1115" s="340"/>
      <c r="AI1115" s="340"/>
      <c r="AJ1115" s="340"/>
      <c r="AK1115" s="340"/>
      <c r="AL1115" s="340"/>
      <c r="AM1115" s="340"/>
      <c r="AN1115" s="340"/>
      <c r="AO1115" s="340"/>
      <c r="AP1115" s="340"/>
      <c r="AQ1115" s="340"/>
      <c r="AR1115" s="340"/>
      <c r="AS1115" s="340"/>
      <c r="AT1115" s="340"/>
      <c r="AU1115" s="340"/>
      <c r="AV1115" s="340"/>
      <c r="AY1115" s="340"/>
      <c r="AZ1115" s="465">
        <f t="shared" ca="1" si="704"/>
        <v>7.3698599999999999E-5</v>
      </c>
      <c r="BA1115" s="464">
        <f t="shared" ca="1" si="705"/>
        <v>0</v>
      </c>
      <c r="BB1115" s="465">
        <f t="shared" ca="1" si="705"/>
        <v>7.3698599999999999E-5</v>
      </c>
      <c r="BC1115" s="466">
        <f t="shared" ca="1" si="706"/>
        <v>76550</v>
      </c>
      <c r="BD1115" s="467">
        <f t="shared" ca="1" si="719"/>
        <v>76551</v>
      </c>
      <c r="BE1115" s="467">
        <f t="shared" ca="1" si="707"/>
        <v>76580</v>
      </c>
      <c r="BF1115" s="468">
        <f ca="1">IF(計算!$BC1115&lt;OP!$C$3,0,BD1115-BC1115)</f>
        <v>1</v>
      </c>
      <c r="BG1115" s="468">
        <f ca="1">IF($BE1115&gt;DATE(YEAR($BD$9)+OP!$C$57,MONTH($BD$9),DAY($BD$9)),0,$BE1115-$BD1115+1)</f>
        <v>0</v>
      </c>
      <c r="BH1115" s="469">
        <f t="shared" ca="1" si="708"/>
        <v>1</v>
      </c>
      <c r="BI1115" t="str">
        <f t="shared" si="724"/>
        <v/>
      </c>
      <c r="BJ1115">
        <v>2</v>
      </c>
      <c r="BN1115" s="468">
        <f t="shared" si="720"/>
        <v>93</v>
      </c>
      <c r="BO1115" s="468">
        <f t="shared" si="721"/>
        <v>2</v>
      </c>
      <c r="BP1115" s="467">
        <f t="shared" ca="1" si="709"/>
        <v>76551</v>
      </c>
      <c r="BQ1115" s="475">
        <f t="shared" ca="1" si="723"/>
        <v>125</v>
      </c>
      <c r="BR1115" s="475" t="str">
        <f t="shared" si="722"/>
        <v/>
      </c>
      <c r="BS1115" s="471" t="str">
        <f t="shared" si="710"/>
        <v/>
      </c>
      <c r="BT1115" s="472" t="str">
        <f t="shared" si="725"/>
        <v/>
      </c>
      <c r="BU1115" s="472">
        <f t="shared" ca="1" si="711"/>
        <v>0</v>
      </c>
      <c r="BV1115" s="472">
        <f t="shared" ca="1" si="711"/>
        <v>0</v>
      </c>
      <c r="BW1115" s="472"/>
      <c r="BX1115" s="473">
        <f t="shared" ca="1" si="712"/>
        <v>2790287.1597170001</v>
      </c>
      <c r="BY1115" s="473">
        <f t="shared" si="713"/>
        <v>0</v>
      </c>
      <c r="BZ1115" s="473">
        <f t="shared" ca="1" si="695"/>
        <v>205.64025726899999</v>
      </c>
      <c r="CA1115" s="476">
        <f t="shared" ca="1" si="714"/>
        <v>0</v>
      </c>
      <c r="CB1115" s="494">
        <f ca="1">IF(OR($Q1114&lt;&gt;1,OP!$D$5+$BN1115-1&lt;16,$BN1115-1&lt;1),0,ROUND(ROUND(ROUND(((VLOOKUP($BN1115-1,MORE_PV,5,0)/10000)*VLOOKUP($BN1115,MORE_PV,$CB$5,0)),3)*VLOOKUP($BN1115,more1,5,0),0)/$R1114,0))</f>
        <v>0</v>
      </c>
      <c r="CC1115" s="473">
        <f t="shared" ca="1" si="715"/>
        <v>0</v>
      </c>
      <c r="CD1115" s="477"/>
    </row>
    <row r="1116" spans="2:82" ht="16.5" hidden="1">
      <c r="B1116" s="80"/>
      <c r="C1116" s="80"/>
      <c r="D1116" s="80"/>
      <c r="E1116" s="80"/>
      <c r="F1116" s="80"/>
      <c r="G1116" s="80"/>
      <c r="H1116" s="80"/>
      <c r="I1116" s="80"/>
      <c r="J1116" s="192">
        <f t="shared" si="696"/>
        <v>93</v>
      </c>
      <c r="K1116" s="192">
        <f t="shared" si="697"/>
        <v>4</v>
      </c>
      <c r="L1116" s="192" t="str">
        <f t="shared" si="692"/>
        <v/>
      </c>
      <c r="M1116" s="216" t="str">
        <f t="shared" ca="1" si="698"/>
        <v/>
      </c>
      <c r="N1116" s="216"/>
      <c r="O1116" s="216"/>
      <c r="P1116" s="216"/>
      <c r="Q1116" s="456">
        <f t="shared" ca="1" si="699"/>
        <v>1</v>
      </c>
      <c r="R1116" s="450">
        <f t="shared" ca="1" si="700"/>
        <v>12</v>
      </c>
      <c r="S1116" s="191">
        <f t="shared" si="701"/>
        <v>93</v>
      </c>
      <c r="T1116" s="191">
        <f t="shared" si="702"/>
        <v>4</v>
      </c>
      <c r="U1116" s="191">
        <f ca="1">OP!$D$5+$S1116-1</f>
        <v>125</v>
      </c>
      <c r="V1116" s="191" t="str">
        <f t="shared" si="703"/>
        <v/>
      </c>
      <c r="W1116" s="350">
        <f ca="1">IF(Q1116&lt;&gt;1,0,VLOOKUP(OP!$C$55,PVFB,$S1116+2,0))</f>
        <v>0</v>
      </c>
      <c r="X1116" s="473" t="str">
        <f t="shared" ca="1" si="716"/>
        <v/>
      </c>
      <c r="Y1116" s="348">
        <f t="shared" ca="1" si="717"/>
        <v>0</v>
      </c>
      <c r="Z1116" s="348">
        <f t="shared" ca="1" si="718"/>
        <v>8012</v>
      </c>
      <c r="AA1116" s="348">
        <f ca="1">IF(Q1116&lt;&gt;1,0,VLOOKUP(OP!$C$55,PVFB,$S1116+2,0))</f>
        <v>0</v>
      </c>
      <c r="AB1116" s="488" t="str">
        <f ca="1">IF(AND(S1116&lt;OP!$C$24,$U1116&lt;15),0,IF(AND($U1116&lt;15,$T1116=12),ROUND(VLOOKUP($S1116,DOWN16,5,0),3),IF($T1116=12,ROUND(($Z1116/10000)*$AA1116,3)+IF(AND($P$7="購買增額繳清保險",T1116=12,U1116=110),VLOOKUP(S1116,$B$10:$H$121,7,0),0),"")))</f>
        <v/>
      </c>
      <c r="AC1116" s="350" t="str">
        <f ca="1">IF(AND(S1116&lt;OP!$C$24,$U1116&lt;15),0,IF(AND($U1116&lt;16,$T1116=12),VLOOKUP($S1116,DOWN16,4,0),IF($T1116=12,ROUND(VLOOKUP(OP!$C$55,_DIE2,$S1116+1,0)*(Z1116/10000),0)+IF(AND($P$7="購買增額繳清保險",T1116=12,U1116=110),VLOOKUP(S1116,$B$10:$H$121,7,0),0),"")))</f>
        <v/>
      </c>
      <c r="AD1116" s="347"/>
      <c r="AE1116" s="350" t="str">
        <f t="shared" ca="1" si="693"/>
        <v/>
      </c>
      <c r="AF1116" s="351" t="str">
        <f t="shared" ca="1" si="694"/>
        <v/>
      </c>
      <c r="AG1116" s="340"/>
      <c r="AH1116" s="340"/>
      <c r="AI1116" s="340"/>
      <c r="AJ1116" s="340"/>
      <c r="AK1116" s="340"/>
      <c r="AL1116" s="340"/>
      <c r="AM1116" s="340"/>
      <c r="AN1116" s="340"/>
      <c r="AO1116" s="340"/>
      <c r="AP1116" s="340"/>
      <c r="AQ1116" s="340"/>
      <c r="AR1116" s="340"/>
      <c r="AS1116" s="340"/>
      <c r="AT1116" s="340"/>
      <c r="AU1116" s="340"/>
      <c r="AV1116" s="340"/>
      <c r="AY1116" s="340"/>
      <c r="AZ1116" s="465">
        <f t="shared" ca="1" si="704"/>
        <v>7.3698599999999999E-5</v>
      </c>
      <c r="BA1116" s="464">
        <f t="shared" ca="1" si="705"/>
        <v>0</v>
      </c>
      <c r="BB1116" s="465">
        <f t="shared" ca="1" si="705"/>
        <v>7.3698599999999999E-5</v>
      </c>
      <c r="BC1116" s="466">
        <f t="shared" ca="1" si="706"/>
        <v>76581</v>
      </c>
      <c r="BD1116" s="467">
        <f t="shared" ca="1" si="719"/>
        <v>76582</v>
      </c>
      <c r="BE1116" s="467">
        <f t="shared" ca="1" si="707"/>
        <v>76610</v>
      </c>
      <c r="BF1116" s="468">
        <f ca="1">IF(計算!$BC1116&lt;OP!$C$3,0,BD1116-BC1116)</f>
        <v>1</v>
      </c>
      <c r="BG1116" s="468">
        <f ca="1">IF($BE1116&gt;DATE(YEAR($BD$9)+OP!$C$57,MONTH($BD$9),DAY($BD$9)),0,$BE1116-$BD1116+1)</f>
        <v>0</v>
      </c>
      <c r="BH1116" s="469">
        <f t="shared" ca="1" si="708"/>
        <v>1</v>
      </c>
      <c r="BI1116" t="str">
        <f t="shared" si="724"/>
        <v/>
      </c>
      <c r="BJ1116">
        <v>3</v>
      </c>
      <c r="BN1116" s="468">
        <f t="shared" si="720"/>
        <v>93</v>
      </c>
      <c r="BO1116" s="468">
        <f t="shared" si="721"/>
        <v>3</v>
      </c>
      <c r="BP1116" s="467">
        <f t="shared" ca="1" si="709"/>
        <v>76582</v>
      </c>
      <c r="BQ1116" s="475">
        <f t="shared" ca="1" si="723"/>
        <v>125</v>
      </c>
      <c r="BR1116" s="475" t="str">
        <f t="shared" si="722"/>
        <v/>
      </c>
      <c r="BS1116" s="471" t="str">
        <f t="shared" si="710"/>
        <v/>
      </c>
      <c r="BT1116" s="472" t="str">
        <f t="shared" si="725"/>
        <v/>
      </c>
      <c r="BU1116" s="472">
        <f t="shared" ca="1" si="711"/>
        <v>0</v>
      </c>
      <c r="BV1116" s="472">
        <f t="shared" ca="1" si="711"/>
        <v>0</v>
      </c>
      <c r="BW1116" s="472"/>
      <c r="BX1116" s="473">
        <f t="shared" ca="1" si="712"/>
        <v>2790492.7999742702</v>
      </c>
      <c r="BY1116" s="473">
        <f t="shared" si="713"/>
        <v>0</v>
      </c>
      <c r="BZ1116" s="473">
        <f t="shared" ca="1" si="695"/>
        <v>205.655412668</v>
      </c>
      <c r="CA1116" s="476">
        <f t="shared" ca="1" si="714"/>
        <v>0</v>
      </c>
      <c r="CB1116" s="494">
        <f ca="1">IF(OR($Q1115&lt;&gt;1,OP!$D$5+$BN1116-1&lt;16,$BN1116-1&lt;1),0,ROUND(ROUND(ROUND(((VLOOKUP($BN1116-1,MORE_PV,5,0)/10000)*VLOOKUP($BN1116,MORE_PV,$CB$5,0)),3)*VLOOKUP($BN1116,more1,5,0),0)/$R1115,0))</f>
        <v>0</v>
      </c>
      <c r="CC1116" s="473">
        <f t="shared" ca="1" si="715"/>
        <v>0</v>
      </c>
      <c r="CD1116" s="477"/>
    </row>
    <row r="1117" spans="2:82" ht="16.5" hidden="1">
      <c r="B1117" s="80"/>
      <c r="C1117" s="80"/>
      <c r="D1117" s="80"/>
      <c r="E1117" s="80"/>
      <c r="F1117" s="80"/>
      <c r="G1117" s="80"/>
      <c r="H1117" s="80"/>
      <c r="I1117" s="80"/>
      <c r="J1117" s="192">
        <f t="shared" si="696"/>
        <v>93</v>
      </c>
      <c r="K1117" s="192">
        <f t="shared" si="697"/>
        <v>5</v>
      </c>
      <c r="L1117" s="192" t="str">
        <f t="shared" si="692"/>
        <v/>
      </c>
      <c r="M1117" s="216" t="str">
        <f t="shared" ca="1" si="698"/>
        <v/>
      </c>
      <c r="N1117" s="216"/>
      <c r="O1117" s="216"/>
      <c r="P1117" s="216"/>
      <c r="Q1117" s="456">
        <f t="shared" ca="1" si="699"/>
        <v>1</v>
      </c>
      <c r="R1117" s="450">
        <f t="shared" ca="1" si="700"/>
        <v>12</v>
      </c>
      <c r="S1117" s="191">
        <f t="shared" si="701"/>
        <v>93</v>
      </c>
      <c r="T1117" s="191">
        <f t="shared" si="702"/>
        <v>5</v>
      </c>
      <c r="U1117" s="191">
        <f ca="1">OP!$D$5+$S1117-1</f>
        <v>125</v>
      </c>
      <c r="V1117" s="191" t="str">
        <f t="shared" si="703"/>
        <v/>
      </c>
      <c r="W1117" s="350">
        <f ca="1">IF(Q1117&lt;&gt;1,0,VLOOKUP(OP!$C$55,PVFB,$S1117+2,0))</f>
        <v>0</v>
      </c>
      <c r="X1117" s="473" t="str">
        <f t="shared" ca="1" si="716"/>
        <v/>
      </c>
      <c r="Y1117" s="348">
        <f t="shared" ca="1" si="717"/>
        <v>0</v>
      </c>
      <c r="Z1117" s="348">
        <f t="shared" ca="1" si="718"/>
        <v>8012</v>
      </c>
      <c r="AA1117" s="348">
        <f ca="1">IF(Q1117&lt;&gt;1,0,VLOOKUP(OP!$C$55,PVFB,$S1117+2,0))</f>
        <v>0</v>
      </c>
      <c r="AB1117" s="488" t="str">
        <f ca="1">IF(AND(S1117&lt;OP!$C$24,$U1117&lt;15),0,IF(AND($U1117&lt;15,$T1117=12),ROUND(VLOOKUP($S1117,DOWN16,5,0),3),IF($T1117=12,ROUND(($Z1117/10000)*$AA1117,3)+IF(AND($P$7="購買增額繳清保險",T1117=12,U1117=110),VLOOKUP(S1117,$B$10:$H$121,7,0),0),"")))</f>
        <v/>
      </c>
      <c r="AC1117" s="350" t="str">
        <f ca="1">IF(AND(S1117&lt;OP!$C$24,$U1117&lt;15),0,IF(AND($U1117&lt;16,$T1117=12),VLOOKUP($S1117,DOWN16,4,0),IF($T1117=12,ROUND(VLOOKUP(OP!$C$55,_DIE2,$S1117+1,0)*(Z1117/10000),0)+IF(AND($P$7="購買增額繳清保險",T1117=12,U1117=110),VLOOKUP(S1117,$B$10:$H$121,7,0),0),"")))</f>
        <v/>
      </c>
      <c r="AD1117" s="347"/>
      <c r="AE1117" s="350" t="str">
        <f t="shared" ca="1" si="693"/>
        <v/>
      </c>
      <c r="AF1117" s="351" t="str">
        <f t="shared" ca="1" si="694"/>
        <v/>
      </c>
      <c r="AG1117" s="340"/>
      <c r="AH1117" s="340"/>
      <c r="AI1117" s="340"/>
      <c r="AJ1117" s="340"/>
      <c r="AK1117" s="340"/>
      <c r="AL1117" s="340"/>
      <c r="AM1117" s="340"/>
      <c r="AN1117" s="340"/>
      <c r="AO1117" s="340"/>
      <c r="AP1117" s="340"/>
      <c r="AQ1117" s="340"/>
      <c r="AR1117" s="340"/>
      <c r="AS1117" s="340"/>
      <c r="AT1117" s="340"/>
      <c r="AU1117" s="340"/>
      <c r="AV1117" s="340"/>
      <c r="AY1117" s="340"/>
      <c r="AZ1117" s="465">
        <f t="shared" ca="1" si="704"/>
        <v>7.3698599999999999E-5</v>
      </c>
      <c r="BA1117" s="464">
        <f t="shared" ca="1" si="705"/>
        <v>0</v>
      </c>
      <c r="BB1117" s="465">
        <f t="shared" ca="1" si="705"/>
        <v>7.3698599999999999E-5</v>
      </c>
      <c r="BC1117" s="466">
        <f t="shared" ca="1" si="706"/>
        <v>76611</v>
      </c>
      <c r="BD1117" s="467">
        <f t="shared" ca="1" si="719"/>
        <v>76612</v>
      </c>
      <c r="BE1117" s="467">
        <f t="shared" ca="1" si="707"/>
        <v>76641</v>
      </c>
      <c r="BF1117" s="468">
        <f ca="1">IF(計算!$BC1117&lt;OP!$C$3,0,BD1117-BC1117)</f>
        <v>1</v>
      </c>
      <c r="BG1117" s="468">
        <f ca="1">IF($BE1117&gt;DATE(YEAR($BD$9)+OP!$C$57,MONTH($BD$9),DAY($BD$9)),0,$BE1117-$BD1117+1)</f>
        <v>0</v>
      </c>
      <c r="BH1117" s="469">
        <f t="shared" ca="1" si="708"/>
        <v>1</v>
      </c>
      <c r="BI1117" t="str">
        <f t="shared" si="724"/>
        <v/>
      </c>
      <c r="BJ1117">
        <v>4</v>
      </c>
      <c r="BN1117" s="468">
        <f t="shared" si="720"/>
        <v>93</v>
      </c>
      <c r="BO1117" s="468">
        <f t="shared" si="721"/>
        <v>4</v>
      </c>
      <c r="BP1117" s="467">
        <f t="shared" ca="1" si="709"/>
        <v>76612</v>
      </c>
      <c r="BQ1117" s="475">
        <f t="shared" ca="1" si="723"/>
        <v>125</v>
      </c>
      <c r="BR1117" s="475" t="str">
        <f t="shared" si="722"/>
        <v/>
      </c>
      <c r="BS1117" s="471" t="str">
        <f t="shared" si="710"/>
        <v/>
      </c>
      <c r="BT1117" s="472" t="str">
        <f t="shared" si="725"/>
        <v/>
      </c>
      <c r="BU1117" s="472">
        <f t="shared" ca="1" si="711"/>
        <v>0</v>
      </c>
      <c r="BV1117" s="472">
        <f t="shared" ca="1" si="711"/>
        <v>0</v>
      </c>
      <c r="BW1117" s="472"/>
      <c r="BX1117" s="473">
        <f t="shared" ca="1" si="712"/>
        <v>2790698.4553869399</v>
      </c>
      <c r="BY1117" s="473">
        <f t="shared" si="713"/>
        <v>0</v>
      </c>
      <c r="BZ1117" s="473">
        <f t="shared" ca="1" si="695"/>
        <v>205.67056918399999</v>
      </c>
      <c r="CA1117" s="476">
        <f t="shared" ca="1" si="714"/>
        <v>0</v>
      </c>
      <c r="CB1117" s="494">
        <f ca="1">IF(OR($Q1116&lt;&gt;1,OP!$D$5+$BN1117-1&lt;16,$BN1117-1&lt;1),0,ROUND(ROUND(ROUND(((VLOOKUP($BN1117-1,MORE_PV,5,0)/10000)*VLOOKUP($BN1117,MORE_PV,$CB$5,0)),3)*VLOOKUP($BN1117,more1,5,0),0)/$R1116,0))</f>
        <v>0</v>
      </c>
      <c r="CC1117" s="473">
        <f t="shared" ca="1" si="715"/>
        <v>0</v>
      </c>
      <c r="CD1117" s="477"/>
    </row>
    <row r="1118" spans="2:82" ht="16.5" hidden="1">
      <c r="B1118" s="80"/>
      <c r="C1118" s="80"/>
      <c r="D1118" s="80"/>
      <c r="E1118" s="80"/>
      <c r="F1118" s="80"/>
      <c r="G1118" s="80"/>
      <c r="H1118" s="80"/>
      <c r="I1118" s="80"/>
      <c r="J1118" s="192">
        <f t="shared" si="696"/>
        <v>93</v>
      </c>
      <c r="K1118" s="192">
        <f t="shared" si="697"/>
        <v>6</v>
      </c>
      <c r="L1118" s="192" t="str">
        <f t="shared" si="692"/>
        <v/>
      </c>
      <c r="M1118" s="216" t="str">
        <f t="shared" ca="1" si="698"/>
        <v/>
      </c>
      <c r="N1118" s="216"/>
      <c r="O1118" s="216"/>
      <c r="P1118" s="216"/>
      <c r="Q1118" s="456">
        <f t="shared" ca="1" si="699"/>
        <v>1</v>
      </c>
      <c r="R1118" s="450">
        <f t="shared" ca="1" si="700"/>
        <v>12</v>
      </c>
      <c r="S1118" s="191">
        <f t="shared" si="701"/>
        <v>93</v>
      </c>
      <c r="T1118" s="191">
        <f t="shared" si="702"/>
        <v>6</v>
      </c>
      <c r="U1118" s="191">
        <f ca="1">OP!$D$5+$S1118-1</f>
        <v>125</v>
      </c>
      <c r="V1118" s="191" t="str">
        <f t="shared" si="703"/>
        <v/>
      </c>
      <c r="W1118" s="350">
        <f ca="1">IF(Q1118&lt;&gt;1,0,VLOOKUP(OP!$C$55,PVFB,$S1118+2,0))</f>
        <v>0</v>
      </c>
      <c r="X1118" s="473" t="str">
        <f t="shared" ca="1" si="716"/>
        <v/>
      </c>
      <c r="Y1118" s="348">
        <f t="shared" ca="1" si="717"/>
        <v>0</v>
      </c>
      <c r="Z1118" s="348">
        <f t="shared" ca="1" si="718"/>
        <v>8012</v>
      </c>
      <c r="AA1118" s="348">
        <f ca="1">IF(Q1118&lt;&gt;1,0,VLOOKUP(OP!$C$55,PVFB,$S1118+2,0))</f>
        <v>0</v>
      </c>
      <c r="AB1118" s="488" t="str">
        <f ca="1">IF(AND(S1118&lt;OP!$C$24,$U1118&lt;15),0,IF(AND($U1118&lt;15,$T1118=12),ROUND(VLOOKUP($S1118,DOWN16,5,0),3),IF($T1118=12,ROUND(($Z1118/10000)*$AA1118,3)+IF(AND($P$7="購買增額繳清保險",T1118=12,U1118=110),VLOOKUP(S1118,$B$10:$H$121,7,0),0),"")))</f>
        <v/>
      </c>
      <c r="AC1118" s="350" t="str">
        <f ca="1">IF(AND(S1118&lt;OP!$C$24,$U1118&lt;15),0,IF(AND($U1118&lt;16,$T1118=12),VLOOKUP($S1118,DOWN16,4,0),IF($T1118=12,ROUND(VLOOKUP(OP!$C$55,_DIE2,$S1118+1,0)*(Z1118/10000),0)+IF(AND($P$7="購買增額繳清保險",T1118=12,U1118=110),VLOOKUP(S1118,$B$10:$H$121,7,0),0),"")))</f>
        <v/>
      </c>
      <c r="AD1118" s="347"/>
      <c r="AE1118" s="350" t="str">
        <f t="shared" ca="1" si="693"/>
        <v/>
      </c>
      <c r="AF1118" s="351" t="str">
        <f t="shared" ca="1" si="694"/>
        <v/>
      </c>
      <c r="AG1118" s="340"/>
      <c r="AH1118" s="340"/>
      <c r="AI1118" s="340"/>
      <c r="AJ1118" s="340"/>
      <c r="AK1118" s="340"/>
      <c r="AL1118" s="340"/>
      <c r="AM1118" s="340"/>
      <c r="AN1118" s="340"/>
      <c r="AO1118" s="340"/>
      <c r="AP1118" s="340"/>
      <c r="AQ1118" s="340"/>
      <c r="AR1118" s="340"/>
      <c r="AS1118" s="340"/>
      <c r="AT1118" s="340"/>
      <c r="AU1118" s="340"/>
      <c r="AV1118" s="340"/>
      <c r="AY1118" s="340"/>
      <c r="AZ1118" s="465">
        <f t="shared" ca="1" si="704"/>
        <v>7.3698599999999999E-5</v>
      </c>
      <c r="BA1118" s="464">
        <f t="shared" ca="1" si="705"/>
        <v>0</v>
      </c>
      <c r="BB1118" s="465">
        <f t="shared" ca="1" si="705"/>
        <v>7.3698599999999999E-5</v>
      </c>
      <c r="BC1118" s="466">
        <f t="shared" ca="1" si="706"/>
        <v>76642</v>
      </c>
      <c r="BD1118" s="467">
        <f t="shared" ca="1" si="719"/>
        <v>76643</v>
      </c>
      <c r="BE1118" s="467">
        <f t="shared" ca="1" si="707"/>
        <v>76671</v>
      </c>
      <c r="BF1118" s="468">
        <f ca="1">IF(計算!$BC1118&lt;OP!$C$3,0,BD1118-BC1118)</f>
        <v>1</v>
      </c>
      <c r="BG1118" s="468">
        <f ca="1">IF($BE1118&gt;DATE(YEAR($BD$9)+OP!$C$57,MONTH($BD$9),DAY($BD$9)),0,$BE1118-$BD1118+1)</f>
        <v>0</v>
      </c>
      <c r="BH1118" s="469">
        <f t="shared" ca="1" si="708"/>
        <v>1</v>
      </c>
      <c r="BI1118" t="str">
        <f t="shared" si="724"/>
        <v/>
      </c>
      <c r="BJ1118">
        <v>5</v>
      </c>
      <c r="BN1118" s="468">
        <f t="shared" si="720"/>
        <v>93</v>
      </c>
      <c r="BO1118" s="468">
        <f t="shared" si="721"/>
        <v>5</v>
      </c>
      <c r="BP1118" s="467">
        <f t="shared" ca="1" si="709"/>
        <v>76643</v>
      </c>
      <c r="BQ1118" s="475">
        <f t="shared" ca="1" si="723"/>
        <v>125</v>
      </c>
      <c r="BR1118" s="475" t="str">
        <f t="shared" si="722"/>
        <v/>
      </c>
      <c r="BS1118" s="471" t="str">
        <f t="shared" si="710"/>
        <v/>
      </c>
      <c r="BT1118" s="472" t="str">
        <f t="shared" si="725"/>
        <v/>
      </c>
      <c r="BU1118" s="472">
        <f t="shared" ca="1" si="711"/>
        <v>0</v>
      </c>
      <c r="BV1118" s="472">
        <f t="shared" ca="1" si="711"/>
        <v>0</v>
      </c>
      <c r="BW1118" s="472"/>
      <c r="BX1118" s="473">
        <f t="shared" ca="1" si="712"/>
        <v>2790904.12595612</v>
      </c>
      <c r="BY1118" s="473">
        <f t="shared" si="713"/>
        <v>0</v>
      </c>
      <c r="BZ1118" s="473">
        <f t="shared" ca="1" si="695"/>
        <v>205.68572681699999</v>
      </c>
      <c r="CA1118" s="476">
        <f t="shared" ca="1" si="714"/>
        <v>0</v>
      </c>
      <c r="CB1118" s="494">
        <f ca="1">IF(OR($Q1117&lt;&gt;1,OP!$D$5+$BN1118-1&lt;16,$BN1118-1&lt;1),0,ROUND(ROUND(ROUND(((VLOOKUP($BN1118-1,MORE_PV,5,0)/10000)*VLOOKUP($BN1118,MORE_PV,$CB$5,0)),3)*VLOOKUP($BN1118,more1,5,0),0)/$R1117,0))</f>
        <v>0</v>
      </c>
      <c r="CC1118" s="473">
        <f t="shared" ca="1" si="715"/>
        <v>0</v>
      </c>
      <c r="CD1118" s="477"/>
    </row>
    <row r="1119" spans="2:82" ht="16.5" hidden="1">
      <c r="B1119" s="80"/>
      <c r="C1119" s="80"/>
      <c r="D1119" s="80"/>
      <c r="E1119" s="80"/>
      <c r="F1119" s="80"/>
      <c r="G1119" s="80"/>
      <c r="H1119" s="80"/>
      <c r="I1119" s="80"/>
      <c r="J1119" s="192">
        <f t="shared" si="696"/>
        <v>93</v>
      </c>
      <c r="K1119" s="192">
        <f t="shared" si="697"/>
        <v>7</v>
      </c>
      <c r="L1119" s="192" t="str">
        <f t="shared" si="692"/>
        <v/>
      </c>
      <c r="M1119" s="216" t="str">
        <f t="shared" ca="1" si="698"/>
        <v/>
      </c>
      <c r="N1119" s="216"/>
      <c r="O1119" s="216"/>
      <c r="P1119" s="216"/>
      <c r="Q1119" s="456">
        <f t="shared" ca="1" si="699"/>
        <v>1</v>
      </c>
      <c r="R1119" s="450">
        <f t="shared" ca="1" si="700"/>
        <v>12</v>
      </c>
      <c r="S1119" s="191">
        <f t="shared" si="701"/>
        <v>93</v>
      </c>
      <c r="T1119" s="191">
        <f t="shared" si="702"/>
        <v>7</v>
      </c>
      <c r="U1119" s="191">
        <f ca="1">OP!$D$5+$S1119-1</f>
        <v>125</v>
      </c>
      <c r="V1119" s="191" t="str">
        <f t="shared" si="703"/>
        <v/>
      </c>
      <c r="W1119" s="350">
        <f ca="1">IF(Q1119&lt;&gt;1,0,VLOOKUP(OP!$C$55,PVFB,$S1119+2,0))</f>
        <v>0</v>
      </c>
      <c r="X1119" s="473" t="str">
        <f t="shared" ca="1" si="716"/>
        <v/>
      </c>
      <c r="Y1119" s="348">
        <f t="shared" ca="1" si="717"/>
        <v>0</v>
      </c>
      <c r="Z1119" s="348">
        <f t="shared" ca="1" si="718"/>
        <v>8012</v>
      </c>
      <c r="AA1119" s="348">
        <f ca="1">IF(Q1119&lt;&gt;1,0,VLOOKUP(OP!$C$55,PVFB,$S1119+2,0))</f>
        <v>0</v>
      </c>
      <c r="AB1119" s="488" t="str">
        <f ca="1">IF(AND(S1119&lt;OP!$C$24,$U1119&lt;15),0,IF(AND($U1119&lt;15,$T1119=12),ROUND(VLOOKUP($S1119,DOWN16,5,0),3),IF($T1119=12,ROUND(($Z1119/10000)*$AA1119,3)+IF(AND($P$7="購買增額繳清保險",T1119=12,U1119=110),VLOOKUP(S1119,$B$10:$H$121,7,0),0),"")))</f>
        <v/>
      </c>
      <c r="AC1119" s="350" t="str">
        <f ca="1">IF(AND(S1119&lt;OP!$C$24,$U1119&lt;15),0,IF(AND($U1119&lt;16,$T1119=12),VLOOKUP($S1119,DOWN16,4,0),IF($T1119=12,ROUND(VLOOKUP(OP!$C$55,_DIE2,$S1119+1,0)*(Z1119/10000),0)+IF(AND($P$7="購買增額繳清保險",T1119=12,U1119=110),VLOOKUP(S1119,$B$10:$H$121,7,0),0),"")))</f>
        <v/>
      </c>
      <c r="AD1119" s="347"/>
      <c r="AE1119" s="350" t="str">
        <f t="shared" ca="1" si="693"/>
        <v/>
      </c>
      <c r="AF1119" s="351" t="str">
        <f t="shared" ca="1" si="694"/>
        <v/>
      </c>
      <c r="AG1119" s="340"/>
      <c r="AH1119" s="340"/>
      <c r="AI1119" s="340"/>
      <c r="AJ1119" s="340"/>
      <c r="AK1119" s="340"/>
      <c r="AL1119" s="340"/>
      <c r="AM1119" s="340"/>
      <c r="AN1119" s="340"/>
      <c r="AO1119" s="340"/>
      <c r="AP1119" s="340"/>
      <c r="AQ1119" s="340"/>
      <c r="AR1119" s="340"/>
      <c r="AS1119" s="340"/>
      <c r="AT1119" s="340"/>
      <c r="AU1119" s="340"/>
      <c r="AV1119" s="340"/>
      <c r="AY1119" s="340"/>
      <c r="AZ1119" s="465">
        <f t="shared" ca="1" si="704"/>
        <v>7.3698599999999999E-5</v>
      </c>
      <c r="BA1119" s="464">
        <f t="shared" ca="1" si="705"/>
        <v>0</v>
      </c>
      <c r="BB1119" s="465">
        <f t="shared" ca="1" si="705"/>
        <v>7.3698599999999999E-5</v>
      </c>
      <c r="BC1119" s="466">
        <f t="shared" ca="1" si="706"/>
        <v>76672</v>
      </c>
      <c r="BD1119" s="467">
        <f t="shared" ca="1" si="719"/>
        <v>76673</v>
      </c>
      <c r="BE1119" s="467">
        <f t="shared" ca="1" si="707"/>
        <v>76702</v>
      </c>
      <c r="BF1119" s="468">
        <f ca="1">IF(計算!$BC1119&lt;OP!$C$3,0,BD1119-BC1119)</f>
        <v>1</v>
      </c>
      <c r="BG1119" s="468">
        <f ca="1">IF($BE1119&gt;DATE(YEAR($BD$9)+OP!$C$57,MONTH($BD$9),DAY($BD$9)),0,$BE1119-$BD1119+1)</f>
        <v>0</v>
      </c>
      <c r="BH1119" s="469">
        <f t="shared" ca="1" si="708"/>
        <v>1</v>
      </c>
      <c r="BI1119" t="str">
        <f t="shared" si="724"/>
        <v/>
      </c>
      <c r="BJ1119">
        <v>6</v>
      </c>
      <c r="BN1119" s="468">
        <f t="shared" si="720"/>
        <v>93</v>
      </c>
      <c r="BO1119" s="468">
        <f t="shared" si="721"/>
        <v>6</v>
      </c>
      <c r="BP1119" s="467">
        <f t="shared" ca="1" si="709"/>
        <v>76673</v>
      </c>
      <c r="BQ1119" s="475">
        <f t="shared" ca="1" si="723"/>
        <v>125</v>
      </c>
      <c r="BR1119" s="475" t="str">
        <f t="shared" si="722"/>
        <v/>
      </c>
      <c r="BS1119" s="471" t="str">
        <f t="shared" si="710"/>
        <v/>
      </c>
      <c r="BT1119" s="472" t="str">
        <f t="shared" si="725"/>
        <v/>
      </c>
      <c r="BU1119" s="472">
        <f t="shared" ca="1" si="711"/>
        <v>0</v>
      </c>
      <c r="BV1119" s="472">
        <f t="shared" ca="1" si="711"/>
        <v>0</v>
      </c>
      <c r="BW1119" s="472"/>
      <c r="BX1119" s="473">
        <f t="shared" ca="1" si="712"/>
        <v>2791109.81168294</v>
      </c>
      <c r="BY1119" s="473">
        <f t="shared" si="713"/>
        <v>0</v>
      </c>
      <c r="BZ1119" s="473">
        <f t="shared" ca="1" si="695"/>
        <v>205.700885567</v>
      </c>
      <c r="CA1119" s="476">
        <f t="shared" ca="1" si="714"/>
        <v>0</v>
      </c>
      <c r="CB1119" s="494">
        <f ca="1">IF(OR($Q1118&lt;&gt;1,OP!$D$5+$BN1119-1&lt;16,$BN1119-1&lt;1),0,ROUND(ROUND(ROUND(((VLOOKUP($BN1119-1,MORE_PV,5,0)/10000)*VLOOKUP($BN1119,MORE_PV,$CB$5,0)),3)*VLOOKUP($BN1119,more1,5,0),0)/$R1118,0))</f>
        <v>0</v>
      </c>
      <c r="CC1119" s="473">
        <f t="shared" ca="1" si="715"/>
        <v>0</v>
      </c>
      <c r="CD1119" s="477"/>
    </row>
    <row r="1120" spans="2:82" ht="16.5" hidden="1">
      <c r="B1120" s="80"/>
      <c r="C1120" s="80"/>
      <c r="D1120" s="80"/>
      <c r="E1120" s="80"/>
      <c r="F1120" s="80"/>
      <c r="G1120" s="80"/>
      <c r="H1120" s="80"/>
      <c r="I1120" s="80"/>
      <c r="J1120" s="192">
        <f t="shared" si="696"/>
        <v>93</v>
      </c>
      <c r="K1120" s="192">
        <f t="shared" si="697"/>
        <v>8</v>
      </c>
      <c r="L1120" s="192" t="str">
        <f t="shared" si="692"/>
        <v/>
      </c>
      <c r="M1120" s="216" t="str">
        <f t="shared" ca="1" si="698"/>
        <v/>
      </c>
      <c r="N1120" s="216"/>
      <c r="O1120" s="216"/>
      <c r="P1120" s="216"/>
      <c r="Q1120" s="456">
        <f t="shared" ca="1" si="699"/>
        <v>1</v>
      </c>
      <c r="R1120" s="450">
        <f t="shared" ca="1" si="700"/>
        <v>12</v>
      </c>
      <c r="S1120" s="191">
        <f t="shared" si="701"/>
        <v>93</v>
      </c>
      <c r="T1120" s="191">
        <f t="shared" si="702"/>
        <v>8</v>
      </c>
      <c r="U1120" s="191">
        <f ca="1">OP!$D$5+$S1120-1</f>
        <v>125</v>
      </c>
      <c r="V1120" s="191" t="str">
        <f t="shared" si="703"/>
        <v/>
      </c>
      <c r="W1120" s="350">
        <f ca="1">IF(Q1120&lt;&gt;1,0,VLOOKUP(OP!$C$55,PVFB,$S1120+2,0))</f>
        <v>0</v>
      </c>
      <c r="X1120" s="473" t="str">
        <f t="shared" ca="1" si="716"/>
        <v/>
      </c>
      <c r="Y1120" s="348">
        <f t="shared" ca="1" si="717"/>
        <v>0</v>
      </c>
      <c r="Z1120" s="348">
        <f t="shared" ca="1" si="718"/>
        <v>8012</v>
      </c>
      <c r="AA1120" s="348">
        <f ca="1">IF(Q1120&lt;&gt;1,0,VLOOKUP(OP!$C$55,PVFB,$S1120+2,0))</f>
        <v>0</v>
      </c>
      <c r="AB1120" s="488" t="str">
        <f ca="1">IF(AND(S1120&lt;OP!$C$24,$U1120&lt;15),0,IF(AND($U1120&lt;15,$T1120=12),ROUND(VLOOKUP($S1120,DOWN16,5,0),3),IF($T1120=12,ROUND(($Z1120/10000)*$AA1120,3)+IF(AND($P$7="購買增額繳清保險",T1120=12,U1120=110),VLOOKUP(S1120,$B$10:$H$121,7,0),0),"")))</f>
        <v/>
      </c>
      <c r="AC1120" s="350" t="str">
        <f ca="1">IF(AND(S1120&lt;OP!$C$24,$U1120&lt;15),0,IF(AND($U1120&lt;16,$T1120=12),VLOOKUP($S1120,DOWN16,4,0),IF($T1120=12,ROUND(VLOOKUP(OP!$C$55,_DIE2,$S1120+1,0)*(Z1120/10000),0)+IF(AND($P$7="購買增額繳清保險",T1120=12,U1120=110),VLOOKUP(S1120,$B$10:$H$121,7,0),0),"")))</f>
        <v/>
      </c>
      <c r="AD1120" s="347"/>
      <c r="AE1120" s="350" t="str">
        <f t="shared" ca="1" si="693"/>
        <v/>
      </c>
      <c r="AF1120" s="351" t="str">
        <f t="shared" ca="1" si="694"/>
        <v/>
      </c>
      <c r="AG1120" s="340"/>
      <c r="AH1120" s="340"/>
      <c r="AI1120" s="340"/>
      <c r="AJ1120" s="340"/>
      <c r="AK1120" s="340"/>
      <c r="AL1120" s="340"/>
      <c r="AM1120" s="340"/>
      <c r="AN1120" s="340"/>
      <c r="AO1120" s="340"/>
      <c r="AP1120" s="340"/>
      <c r="AQ1120" s="340"/>
      <c r="AR1120" s="340"/>
      <c r="AS1120" s="340"/>
      <c r="AT1120" s="340"/>
      <c r="AU1120" s="340"/>
      <c r="AV1120" s="340"/>
      <c r="AY1120" s="340"/>
      <c r="AZ1120" s="465">
        <f t="shared" ca="1" si="704"/>
        <v>7.3698599999999999E-5</v>
      </c>
      <c r="BA1120" s="464">
        <f t="shared" ca="1" si="705"/>
        <v>0</v>
      </c>
      <c r="BB1120" s="465">
        <f t="shared" ca="1" si="705"/>
        <v>7.3698599999999999E-5</v>
      </c>
      <c r="BC1120" s="466">
        <f t="shared" ca="1" si="706"/>
        <v>76703</v>
      </c>
      <c r="BD1120" s="467">
        <f t="shared" ca="1" si="719"/>
        <v>76704</v>
      </c>
      <c r="BE1120" s="467">
        <f t="shared" ca="1" si="707"/>
        <v>76733</v>
      </c>
      <c r="BF1120" s="468">
        <f ca="1">IF(計算!$BC1120&lt;OP!$C$3,0,BD1120-BC1120)</f>
        <v>1</v>
      </c>
      <c r="BG1120" s="468">
        <f ca="1">IF($BE1120&gt;DATE(YEAR($BD$9)+OP!$C$57,MONTH($BD$9),DAY($BD$9)),0,$BE1120-$BD1120+1)</f>
        <v>0</v>
      </c>
      <c r="BH1120" s="469">
        <f t="shared" ca="1" si="708"/>
        <v>1</v>
      </c>
      <c r="BI1120" t="str">
        <f t="shared" si="724"/>
        <v/>
      </c>
      <c r="BJ1120">
        <v>7</v>
      </c>
      <c r="BN1120" s="468">
        <f t="shared" si="720"/>
        <v>93</v>
      </c>
      <c r="BO1120" s="468">
        <f t="shared" si="721"/>
        <v>7</v>
      </c>
      <c r="BP1120" s="467">
        <f t="shared" ca="1" si="709"/>
        <v>76704</v>
      </c>
      <c r="BQ1120" s="475">
        <f t="shared" ca="1" si="723"/>
        <v>125</v>
      </c>
      <c r="BR1120" s="475" t="str">
        <f t="shared" si="722"/>
        <v/>
      </c>
      <c r="BS1120" s="471" t="str">
        <f t="shared" si="710"/>
        <v/>
      </c>
      <c r="BT1120" s="472" t="str">
        <f t="shared" si="725"/>
        <v/>
      </c>
      <c r="BU1120" s="472">
        <f t="shared" ca="1" si="711"/>
        <v>0</v>
      </c>
      <c r="BV1120" s="472">
        <f t="shared" ca="1" si="711"/>
        <v>0</v>
      </c>
      <c r="BW1120" s="472"/>
      <c r="BX1120" s="473">
        <f t="shared" ca="1" si="712"/>
        <v>2791315.5125685101</v>
      </c>
      <c r="BY1120" s="473">
        <f t="shared" si="713"/>
        <v>0</v>
      </c>
      <c r="BZ1120" s="473">
        <f t="shared" ca="1" si="695"/>
        <v>205.71604543500001</v>
      </c>
      <c r="CA1120" s="476">
        <f t="shared" ca="1" si="714"/>
        <v>0</v>
      </c>
      <c r="CB1120" s="494">
        <f ca="1">IF(OR($Q1119&lt;&gt;1,OP!$D$5+$BN1120-1&lt;16,$BN1120-1&lt;1),0,ROUND(ROUND(ROUND(((VLOOKUP($BN1120-1,MORE_PV,5,0)/10000)*VLOOKUP($BN1120,MORE_PV,$CB$5,0)),3)*VLOOKUP($BN1120,more1,5,0),0)/$R1119,0))</f>
        <v>0</v>
      </c>
      <c r="CC1120" s="473">
        <f t="shared" ca="1" si="715"/>
        <v>0</v>
      </c>
      <c r="CD1120" s="477"/>
    </row>
    <row r="1121" spans="2:82" ht="16.5" hidden="1">
      <c r="B1121" s="80"/>
      <c r="C1121" s="80"/>
      <c r="D1121" s="80"/>
      <c r="E1121" s="80"/>
      <c r="F1121" s="80"/>
      <c r="G1121" s="80"/>
      <c r="H1121" s="80"/>
      <c r="I1121" s="80"/>
      <c r="J1121" s="192">
        <f t="shared" si="696"/>
        <v>93</v>
      </c>
      <c r="K1121" s="192">
        <f t="shared" si="697"/>
        <v>9</v>
      </c>
      <c r="L1121" s="192" t="str">
        <f t="shared" si="692"/>
        <v/>
      </c>
      <c r="M1121" s="216" t="str">
        <f t="shared" ca="1" si="698"/>
        <v/>
      </c>
      <c r="N1121" s="216"/>
      <c r="O1121" s="216"/>
      <c r="P1121" s="216"/>
      <c r="Q1121" s="456">
        <f t="shared" ca="1" si="699"/>
        <v>1</v>
      </c>
      <c r="R1121" s="450">
        <f t="shared" ca="1" si="700"/>
        <v>12</v>
      </c>
      <c r="S1121" s="191">
        <f t="shared" si="701"/>
        <v>93</v>
      </c>
      <c r="T1121" s="191">
        <f t="shared" si="702"/>
        <v>9</v>
      </c>
      <c r="U1121" s="191">
        <f ca="1">OP!$D$5+$S1121-1</f>
        <v>125</v>
      </c>
      <c r="V1121" s="191" t="str">
        <f t="shared" si="703"/>
        <v/>
      </c>
      <c r="W1121" s="350">
        <f ca="1">IF(Q1121&lt;&gt;1,0,VLOOKUP(OP!$C$55,PVFB,$S1121+2,0))</f>
        <v>0</v>
      </c>
      <c r="X1121" s="473" t="str">
        <f t="shared" ca="1" si="716"/>
        <v/>
      </c>
      <c r="Y1121" s="348">
        <f t="shared" ca="1" si="717"/>
        <v>0</v>
      </c>
      <c r="Z1121" s="348">
        <f t="shared" ca="1" si="718"/>
        <v>8012</v>
      </c>
      <c r="AA1121" s="348">
        <f ca="1">IF(Q1121&lt;&gt;1,0,VLOOKUP(OP!$C$55,PVFB,$S1121+2,0))</f>
        <v>0</v>
      </c>
      <c r="AB1121" s="488" t="str">
        <f ca="1">IF(AND(S1121&lt;OP!$C$24,$U1121&lt;15),0,IF(AND($U1121&lt;15,$T1121=12),ROUND(VLOOKUP($S1121,DOWN16,5,0),3),IF($T1121=12,ROUND(($Z1121/10000)*$AA1121,3)+IF(AND($P$7="購買增額繳清保險",T1121=12,U1121=110),VLOOKUP(S1121,$B$10:$H$121,7,0),0),"")))</f>
        <v/>
      </c>
      <c r="AC1121" s="350" t="str">
        <f ca="1">IF(AND(S1121&lt;OP!$C$24,$U1121&lt;15),0,IF(AND($U1121&lt;16,$T1121=12),VLOOKUP($S1121,DOWN16,4,0),IF($T1121=12,ROUND(VLOOKUP(OP!$C$55,_DIE2,$S1121+1,0)*(Z1121/10000),0)+IF(AND($P$7="購買增額繳清保險",T1121=12,U1121=110),VLOOKUP(S1121,$B$10:$H$121,7,0),0),"")))</f>
        <v/>
      </c>
      <c r="AD1121" s="347"/>
      <c r="AE1121" s="350" t="str">
        <f t="shared" ca="1" si="693"/>
        <v/>
      </c>
      <c r="AF1121" s="351" t="str">
        <f t="shared" ca="1" si="694"/>
        <v/>
      </c>
      <c r="AG1121" s="340"/>
      <c r="AH1121" s="340"/>
      <c r="AI1121" s="340"/>
      <c r="AJ1121" s="340"/>
      <c r="AK1121" s="340"/>
      <c r="AL1121" s="340"/>
      <c r="AM1121" s="340"/>
      <c r="AN1121" s="340"/>
      <c r="AO1121" s="340"/>
      <c r="AP1121" s="340"/>
      <c r="AQ1121" s="340"/>
      <c r="AR1121" s="340"/>
      <c r="AS1121" s="340"/>
      <c r="AT1121" s="340"/>
      <c r="AU1121" s="340"/>
      <c r="AV1121" s="340"/>
      <c r="AY1121" s="340"/>
      <c r="AZ1121" s="465">
        <f t="shared" ca="1" si="704"/>
        <v>7.3698599999999999E-5</v>
      </c>
      <c r="BA1121" s="464">
        <f t="shared" ca="1" si="705"/>
        <v>0</v>
      </c>
      <c r="BB1121" s="465">
        <f t="shared" ca="1" si="705"/>
        <v>7.3698599999999999E-5</v>
      </c>
      <c r="BC1121" s="466">
        <f t="shared" ca="1" si="706"/>
        <v>76734</v>
      </c>
      <c r="BD1121" s="467">
        <f t="shared" ca="1" si="719"/>
        <v>76735</v>
      </c>
      <c r="BE1121" s="467">
        <f t="shared" ca="1" si="707"/>
        <v>76761</v>
      </c>
      <c r="BF1121" s="468">
        <f ca="1">IF(計算!$BC1121&lt;OP!$C$3,0,BD1121-BC1121)</f>
        <v>1</v>
      </c>
      <c r="BG1121" s="468">
        <f ca="1">IF($BE1121&gt;DATE(YEAR($BD$9)+OP!$C$57,MONTH($BD$9),DAY($BD$9)),0,$BE1121-$BD1121+1)</f>
        <v>0</v>
      </c>
      <c r="BH1121" s="469">
        <f t="shared" ca="1" si="708"/>
        <v>1</v>
      </c>
      <c r="BI1121" t="str">
        <f t="shared" si="724"/>
        <v/>
      </c>
      <c r="BJ1121">
        <v>8</v>
      </c>
      <c r="BN1121" s="468">
        <f t="shared" si="720"/>
        <v>93</v>
      </c>
      <c r="BO1121" s="468">
        <f t="shared" si="721"/>
        <v>8</v>
      </c>
      <c r="BP1121" s="467">
        <f t="shared" ca="1" si="709"/>
        <v>76735</v>
      </c>
      <c r="BQ1121" s="475">
        <f t="shared" ca="1" si="723"/>
        <v>125</v>
      </c>
      <c r="BR1121" s="475" t="str">
        <f t="shared" si="722"/>
        <v/>
      </c>
      <c r="BS1121" s="471" t="str">
        <f t="shared" si="710"/>
        <v/>
      </c>
      <c r="BT1121" s="472" t="str">
        <f t="shared" si="725"/>
        <v/>
      </c>
      <c r="BU1121" s="472">
        <f t="shared" ca="1" si="711"/>
        <v>0</v>
      </c>
      <c r="BV1121" s="472">
        <f t="shared" ca="1" si="711"/>
        <v>0</v>
      </c>
      <c r="BW1121" s="472"/>
      <c r="BX1121" s="473">
        <f t="shared" ca="1" si="712"/>
        <v>2791521.2286139498</v>
      </c>
      <c r="BY1121" s="473">
        <f t="shared" si="713"/>
        <v>0</v>
      </c>
      <c r="BZ1121" s="473">
        <f t="shared" ca="1" si="695"/>
        <v>205.73120641899999</v>
      </c>
      <c r="CA1121" s="476">
        <f t="shared" ca="1" si="714"/>
        <v>0</v>
      </c>
      <c r="CB1121" s="494">
        <f ca="1">IF(OR($Q1120&lt;&gt;1,OP!$D$5+$BN1121-1&lt;16,$BN1121-1&lt;1),0,ROUND(ROUND(ROUND(((VLOOKUP($BN1121-1,MORE_PV,5,0)/10000)*VLOOKUP($BN1121,MORE_PV,$CB$5,0)),3)*VLOOKUP($BN1121,more1,5,0),0)/$R1120,0))</f>
        <v>0</v>
      </c>
      <c r="CC1121" s="473">
        <f t="shared" ca="1" si="715"/>
        <v>0</v>
      </c>
      <c r="CD1121" s="477"/>
    </row>
    <row r="1122" spans="2:82" ht="16.5" hidden="1">
      <c r="B1122" s="80"/>
      <c r="C1122" s="80"/>
      <c r="D1122" s="80"/>
      <c r="E1122" s="80"/>
      <c r="F1122" s="80"/>
      <c r="G1122" s="80"/>
      <c r="H1122" s="80"/>
      <c r="I1122" s="80"/>
      <c r="J1122" s="192">
        <f t="shared" si="696"/>
        <v>93</v>
      </c>
      <c r="K1122" s="192">
        <f t="shared" si="697"/>
        <v>10</v>
      </c>
      <c r="L1122" s="192" t="str">
        <f t="shared" si="692"/>
        <v/>
      </c>
      <c r="M1122" s="216" t="str">
        <f t="shared" ca="1" si="698"/>
        <v/>
      </c>
      <c r="N1122" s="216"/>
      <c r="O1122" s="216"/>
      <c r="P1122" s="216"/>
      <c r="Q1122" s="456">
        <f t="shared" ca="1" si="699"/>
        <v>1</v>
      </c>
      <c r="R1122" s="450">
        <f t="shared" ca="1" si="700"/>
        <v>12</v>
      </c>
      <c r="S1122" s="191">
        <f t="shared" si="701"/>
        <v>93</v>
      </c>
      <c r="T1122" s="191">
        <f t="shared" si="702"/>
        <v>10</v>
      </c>
      <c r="U1122" s="191">
        <f ca="1">OP!$D$5+$S1122-1</f>
        <v>125</v>
      </c>
      <c r="V1122" s="191" t="str">
        <f t="shared" si="703"/>
        <v/>
      </c>
      <c r="W1122" s="350">
        <f ca="1">IF(Q1122&lt;&gt;1,0,VLOOKUP(OP!$C$55,PVFB,$S1122+2,0))</f>
        <v>0</v>
      </c>
      <c r="X1122" s="473" t="str">
        <f t="shared" ca="1" si="716"/>
        <v/>
      </c>
      <c r="Y1122" s="348">
        <f t="shared" ca="1" si="717"/>
        <v>0</v>
      </c>
      <c r="Z1122" s="348">
        <f t="shared" ca="1" si="718"/>
        <v>8012</v>
      </c>
      <c r="AA1122" s="348">
        <f ca="1">IF(Q1122&lt;&gt;1,0,VLOOKUP(OP!$C$55,PVFB,$S1122+2,0))</f>
        <v>0</v>
      </c>
      <c r="AB1122" s="488" t="str">
        <f ca="1">IF(AND(S1122&lt;OP!$C$24,$U1122&lt;15),0,IF(AND($U1122&lt;15,$T1122=12),ROUND(VLOOKUP($S1122,DOWN16,5,0),3),IF($T1122=12,ROUND(($Z1122/10000)*$AA1122,3)+IF(AND($P$7="購買增額繳清保險",T1122=12,U1122=110),VLOOKUP(S1122,$B$10:$H$121,7,0),0),"")))</f>
        <v/>
      </c>
      <c r="AC1122" s="350" t="str">
        <f ca="1">IF(AND(S1122&lt;OP!$C$24,$U1122&lt;15),0,IF(AND($U1122&lt;16,$T1122=12),VLOOKUP($S1122,DOWN16,4,0),IF($T1122=12,ROUND(VLOOKUP(OP!$C$55,_DIE2,$S1122+1,0)*(Z1122/10000),0)+IF(AND($P$7="購買增額繳清保險",T1122=12,U1122=110),VLOOKUP(S1122,$B$10:$H$121,7,0),0),"")))</f>
        <v/>
      </c>
      <c r="AD1122" s="347"/>
      <c r="AE1122" s="350" t="str">
        <f t="shared" ca="1" si="693"/>
        <v/>
      </c>
      <c r="AF1122" s="351" t="str">
        <f t="shared" ca="1" si="694"/>
        <v/>
      </c>
      <c r="AG1122" s="340"/>
      <c r="AH1122" s="340"/>
      <c r="AI1122" s="340"/>
      <c r="AJ1122" s="340"/>
      <c r="AK1122" s="340"/>
      <c r="AL1122" s="340"/>
      <c r="AM1122" s="340"/>
      <c r="AN1122" s="340"/>
      <c r="AO1122" s="340"/>
      <c r="AP1122" s="340"/>
      <c r="AQ1122" s="340"/>
      <c r="AR1122" s="340"/>
      <c r="AS1122" s="340"/>
      <c r="AT1122" s="340"/>
      <c r="AU1122" s="340"/>
      <c r="AV1122" s="340"/>
      <c r="AY1122" s="340"/>
      <c r="AZ1122" s="465">
        <f t="shared" ca="1" si="704"/>
        <v>7.3698599999999999E-5</v>
      </c>
      <c r="BA1122" s="464">
        <f t="shared" ca="1" si="705"/>
        <v>0</v>
      </c>
      <c r="BB1122" s="465">
        <f t="shared" ca="1" si="705"/>
        <v>7.3698599999999999E-5</v>
      </c>
      <c r="BC1122" s="466">
        <f t="shared" ca="1" si="706"/>
        <v>76762</v>
      </c>
      <c r="BD1122" s="467">
        <f t="shared" ca="1" si="719"/>
        <v>76763</v>
      </c>
      <c r="BE1122" s="467">
        <f t="shared" ca="1" si="707"/>
        <v>76792</v>
      </c>
      <c r="BF1122" s="468">
        <f ca="1">IF(計算!$BC1122&lt;OP!$C$3,0,BD1122-BC1122)</f>
        <v>1</v>
      </c>
      <c r="BG1122" s="468">
        <f ca="1">IF($BE1122&gt;DATE(YEAR($BD$9)+OP!$C$57,MONTH($BD$9),DAY($BD$9)),0,$BE1122-$BD1122+1)</f>
        <v>0</v>
      </c>
      <c r="BH1122" s="469">
        <f t="shared" ca="1" si="708"/>
        <v>1</v>
      </c>
      <c r="BI1122" t="str">
        <f t="shared" si="724"/>
        <v/>
      </c>
      <c r="BJ1122">
        <v>9</v>
      </c>
      <c r="BN1122" s="468">
        <f t="shared" si="720"/>
        <v>93</v>
      </c>
      <c r="BO1122" s="468">
        <f t="shared" si="721"/>
        <v>9</v>
      </c>
      <c r="BP1122" s="467">
        <f t="shared" ca="1" si="709"/>
        <v>76763</v>
      </c>
      <c r="BQ1122" s="475">
        <f t="shared" ca="1" si="723"/>
        <v>125</v>
      </c>
      <c r="BR1122" s="475" t="str">
        <f t="shared" si="722"/>
        <v/>
      </c>
      <c r="BS1122" s="471" t="str">
        <f t="shared" si="710"/>
        <v/>
      </c>
      <c r="BT1122" s="472" t="str">
        <f t="shared" si="725"/>
        <v/>
      </c>
      <c r="BU1122" s="472">
        <f t="shared" ca="1" si="711"/>
        <v>0</v>
      </c>
      <c r="BV1122" s="472">
        <f t="shared" ca="1" si="711"/>
        <v>0</v>
      </c>
      <c r="BW1122" s="472"/>
      <c r="BX1122" s="473">
        <f t="shared" ca="1" si="712"/>
        <v>2791726.9598203702</v>
      </c>
      <c r="BY1122" s="473">
        <f t="shared" si="713"/>
        <v>0</v>
      </c>
      <c r="BZ1122" s="473">
        <f t="shared" ca="1" si="695"/>
        <v>205.74636852099999</v>
      </c>
      <c r="CA1122" s="476">
        <f t="shared" ca="1" si="714"/>
        <v>0</v>
      </c>
      <c r="CB1122" s="494">
        <f ca="1">IF(OR($Q1121&lt;&gt;1,OP!$D$5+$BN1122-1&lt;16,$BN1122-1&lt;1),0,ROUND(ROUND(ROUND(((VLOOKUP($BN1122-1,MORE_PV,5,0)/10000)*VLOOKUP($BN1122,MORE_PV,$CB$5,0)),3)*VLOOKUP($BN1122,more1,5,0),0)/$R1121,0))</f>
        <v>0</v>
      </c>
      <c r="CC1122" s="473">
        <f t="shared" ca="1" si="715"/>
        <v>0</v>
      </c>
      <c r="CD1122" s="477"/>
    </row>
    <row r="1123" spans="2:82" ht="16.5" hidden="1">
      <c r="B1123" s="80"/>
      <c r="C1123" s="80"/>
      <c r="D1123" s="80"/>
      <c r="E1123" s="80"/>
      <c r="F1123" s="80"/>
      <c r="G1123" s="80"/>
      <c r="H1123" s="80"/>
      <c r="I1123" s="80"/>
      <c r="J1123" s="192">
        <f t="shared" si="696"/>
        <v>93</v>
      </c>
      <c r="K1123" s="192">
        <f t="shared" si="697"/>
        <v>11</v>
      </c>
      <c r="L1123" s="192" t="str">
        <f t="shared" si="692"/>
        <v/>
      </c>
      <c r="M1123" s="216" t="str">
        <f t="shared" ca="1" si="698"/>
        <v/>
      </c>
      <c r="N1123" s="216"/>
      <c r="O1123" s="216"/>
      <c r="P1123" s="216"/>
      <c r="Q1123" s="456">
        <f t="shared" ca="1" si="699"/>
        <v>1</v>
      </c>
      <c r="R1123" s="450">
        <f t="shared" ca="1" si="700"/>
        <v>12</v>
      </c>
      <c r="S1123" s="191">
        <f t="shared" si="701"/>
        <v>93</v>
      </c>
      <c r="T1123" s="191">
        <f t="shared" si="702"/>
        <v>11</v>
      </c>
      <c r="U1123" s="191">
        <f ca="1">OP!$D$5+$S1123-1</f>
        <v>125</v>
      </c>
      <c r="V1123" s="191" t="str">
        <f t="shared" si="703"/>
        <v/>
      </c>
      <c r="W1123" s="350">
        <f ca="1">IF(Q1123&lt;&gt;1,0,VLOOKUP(OP!$C$55,PVFB,$S1123+2,0))</f>
        <v>0</v>
      </c>
      <c r="X1123" s="473" t="str">
        <f t="shared" ca="1" si="716"/>
        <v/>
      </c>
      <c r="Y1123" s="348">
        <f t="shared" ca="1" si="717"/>
        <v>0</v>
      </c>
      <c r="Z1123" s="348">
        <f t="shared" ca="1" si="718"/>
        <v>8012</v>
      </c>
      <c r="AA1123" s="348">
        <f ca="1">IF(Q1123&lt;&gt;1,0,VLOOKUP(OP!$C$55,PVFB,$S1123+2,0))</f>
        <v>0</v>
      </c>
      <c r="AB1123" s="488" t="str">
        <f ca="1">IF(AND(S1123&lt;OP!$C$24,$U1123&lt;15),0,IF(AND($U1123&lt;15,$T1123=12),ROUND(VLOOKUP($S1123,DOWN16,5,0),3),IF($T1123=12,ROUND(($Z1123/10000)*$AA1123,3)+IF(AND($P$7="購買增額繳清保險",T1123=12,U1123=110),VLOOKUP(S1123,$B$10:$H$121,7,0),0),"")))</f>
        <v/>
      </c>
      <c r="AC1123" s="350" t="str">
        <f ca="1">IF(AND(S1123&lt;OP!$C$24,$U1123&lt;15),0,IF(AND($U1123&lt;16,$T1123=12),VLOOKUP($S1123,DOWN16,4,0),IF($T1123=12,ROUND(VLOOKUP(OP!$C$55,_DIE2,$S1123+1,0)*(Z1123/10000),0)+IF(AND($P$7="購買增額繳清保險",T1123=12,U1123=110),VLOOKUP(S1123,$B$10:$H$121,7,0),0),"")))</f>
        <v/>
      </c>
      <c r="AD1123" s="347"/>
      <c r="AE1123" s="350" t="str">
        <f t="shared" ca="1" si="693"/>
        <v/>
      </c>
      <c r="AF1123" s="351" t="str">
        <f t="shared" ca="1" si="694"/>
        <v/>
      </c>
      <c r="AG1123" s="340"/>
      <c r="AH1123" s="340"/>
      <c r="AI1123" s="340"/>
      <c r="AJ1123" s="340"/>
      <c r="AK1123" s="340"/>
      <c r="AL1123" s="340"/>
      <c r="AM1123" s="340"/>
      <c r="AN1123" s="340"/>
      <c r="AO1123" s="340"/>
      <c r="AP1123" s="340"/>
      <c r="AQ1123" s="340"/>
      <c r="AR1123" s="340"/>
      <c r="AS1123" s="340"/>
      <c r="AT1123" s="340"/>
      <c r="AU1123" s="340"/>
      <c r="AV1123" s="340"/>
      <c r="AY1123" s="340"/>
      <c r="AZ1123" s="465">
        <f t="shared" ca="1" si="704"/>
        <v>7.3698599999999999E-5</v>
      </c>
      <c r="BA1123" s="464">
        <f t="shared" ca="1" si="705"/>
        <v>0</v>
      </c>
      <c r="BB1123" s="465">
        <f t="shared" ca="1" si="705"/>
        <v>7.3698599999999999E-5</v>
      </c>
      <c r="BC1123" s="466">
        <f t="shared" ca="1" si="706"/>
        <v>76793</v>
      </c>
      <c r="BD1123" s="467">
        <f t="shared" ca="1" si="719"/>
        <v>76794</v>
      </c>
      <c r="BE1123" s="467">
        <f t="shared" ca="1" si="707"/>
        <v>76822</v>
      </c>
      <c r="BF1123" s="468">
        <f ca="1">IF(計算!$BC1123&lt;OP!$C$3,0,BD1123-BC1123)</f>
        <v>1</v>
      </c>
      <c r="BG1123" s="468">
        <f ca="1">IF($BE1123&gt;DATE(YEAR($BD$9)+OP!$C$57,MONTH($BD$9),DAY($BD$9)),0,$BE1123-$BD1123+1)</f>
        <v>0</v>
      </c>
      <c r="BH1123" s="469">
        <f t="shared" ca="1" si="708"/>
        <v>1</v>
      </c>
      <c r="BI1123" t="str">
        <f t="shared" si="724"/>
        <v/>
      </c>
      <c r="BJ1123">
        <v>10</v>
      </c>
      <c r="BN1123" s="468">
        <f t="shared" si="720"/>
        <v>93</v>
      </c>
      <c r="BO1123" s="468">
        <f t="shared" si="721"/>
        <v>10</v>
      </c>
      <c r="BP1123" s="467">
        <f t="shared" ca="1" si="709"/>
        <v>76794</v>
      </c>
      <c r="BQ1123" s="475">
        <f t="shared" ca="1" si="723"/>
        <v>125</v>
      </c>
      <c r="BR1123" s="475" t="str">
        <f t="shared" si="722"/>
        <v/>
      </c>
      <c r="BS1123" s="471" t="str">
        <f t="shared" si="710"/>
        <v/>
      </c>
      <c r="BT1123" s="472" t="str">
        <f t="shared" si="725"/>
        <v/>
      </c>
      <c r="BU1123" s="472">
        <f t="shared" ca="1" si="711"/>
        <v>0</v>
      </c>
      <c r="BV1123" s="472">
        <f t="shared" ca="1" si="711"/>
        <v>0</v>
      </c>
      <c r="BW1123" s="472"/>
      <c r="BX1123" s="473">
        <f t="shared" ca="1" si="712"/>
        <v>2791932.7061888902</v>
      </c>
      <c r="BY1123" s="473">
        <f t="shared" si="713"/>
        <v>0</v>
      </c>
      <c r="BZ1123" s="473">
        <f t="shared" ca="1" si="695"/>
        <v>205.76153174000001</v>
      </c>
      <c r="CA1123" s="476">
        <f t="shared" ca="1" si="714"/>
        <v>0</v>
      </c>
      <c r="CB1123" s="494">
        <f ca="1">IF(OR($Q1122&lt;&gt;1,OP!$D$5+$BN1123-1&lt;16,$BN1123-1&lt;1),0,ROUND(ROUND(ROUND(((VLOOKUP($BN1123-1,MORE_PV,5,0)/10000)*VLOOKUP($BN1123,MORE_PV,$CB$5,0)),3)*VLOOKUP($BN1123,more1,5,0),0)/$R1122,0))</f>
        <v>0</v>
      </c>
      <c r="CC1123" s="473">
        <f t="shared" ca="1" si="715"/>
        <v>0</v>
      </c>
      <c r="CD1123" s="477"/>
    </row>
    <row r="1124" spans="2:82" ht="16.5" hidden="1">
      <c r="B1124" s="80"/>
      <c r="C1124" s="80"/>
      <c r="D1124" s="80"/>
      <c r="E1124" s="80"/>
      <c r="F1124" s="80"/>
      <c r="G1124" s="80"/>
      <c r="H1124" s="80"/>
      <c r="I1124" s="80"/>
      <c r="J1124" s="192">
        <f t="shared" si="696"/>
        <v>93</v>
      </c>
      <c r="K1124" s="192">
        <f t="shared" si="697"/>
        <v>12</v>
      </c>
      <c r="L1124" s="192">
        <f t="shared" si="692"/>
        <v>93</v>
      </c>
      <c r="M1124" s="216">
        <f t="shared" ca="1" si="698"/>
        <v>2792549</v>
      </c>
      <c r="N1124" s="216"/>
      <c r="O1124" s="216"/>
      <c r="P1124" s="216"/>
      <c r="Q1124" s="456">
        <f t="shared" ca="1" si="699"/>
        <v>1</v>
      </c>
      <c r="R1124" s="450">
        <f t="shared" ca="1" si="700"/>
        <v>12</v>
      </c>
      <c r="S1124" s="191">
        <f t="shared" si="701"/>
        <v>93</v>
      </c>
      <c r="T1124" s="191">
        <f t="shared" si="702"/>
        <v>12</v>
      </c>
      <c r="U1124" s="191">
        <f ca="1">OP!$D$5+$S1124-1</f>
        <v>125</v>
      </c>
      <c r="V1124" s="191">
        <f t="shared" si="703"/>
        <v>93</v>
      </c>
      <c r="W1124" s="350">
        <f ca="1">IF(Q1124&lt;&gt;1,0,VLOOKUP(OP!$C$55,PVFB,$S1124+2,0))</f>
        <v>0</v>
      </c>
      <c r="X1124" s="473">
        <f t="shared" ca="1" si="716"/>
        <v>0</v>
      </c>
      <c r="Y1124" s="348">
        <f t="shared" ca="1" si="717"/>
        <v>0</v>
      </c>
      <c r="Z1124" s="348">
        <f t="shared" ca="1" si="718"/>
        <v>8012</v>
      </c>
      <c r="AA1124" s="348">
        <f ca="1">IF(Q1124&lt;&gt;1,0,VLOOKUP(OP!$C$55,PVFB,$S1124+2,0))</f>
        <v>0</v>
      </c>
      <c r="AB1124" s="488">
        <f ca="1">IF(AND(S1124&lt;OP!$C$24,$U1124&lt;15),0,IF(AND($U1124&lt;15,$T1124=12),ROUND(VLOOKUP($S1124,DOWN16,5,0),3),IF($T1124=12,ROUND(($Z1124/10000)*$AA1124,3)+IF(AND($P$7="購買增額繳清保險",T1124=12,U1124=110),VLOOKUP(S1124,$B$10:$H$121,7,0),0),"")))</f>
        <v>0</v>
      </c>
      <c r="AC1124" s="350">
        <f ca="1">IF(AND(S1124&lt;OP!$C$24,$U1124&lt;15),0,IF(AND($U1124&lt;16,$T1124=12),VLOOKUP($S1124,DOWN16,4,0),IF($T1124=12,ROUND(VLOOKUP(OP!$C$55,_DIE2,$S1124+1,0)*(Z1124/10000),0)+IF(AND($P$7="購買增額繳清保險",T1124=12,U1124=110),VLOOKUP(S1124,$B$10:$H$121,7,0),0),"")))</f>
        <v>0</v>
      </c>
      <c r="AD1124" s="347"/>
      <c r="AE1124" s="350" t="str">
        <f t="shared" ca="1" si="693"/>
        <v/>
      </c>
      <c r="AF1124" s="351" t="str">
        <f t="shared" ca="1" si="694"/>
        <v/>
      </c>
      <c r="AG1124" s="340"/>
      <c r="AH1124" s="340"/>
      <c r="AI1124" s="340"/>
      <c r="AJ1124" s="340"/>
      <c r="AK1124" s="340"/>
      <c r="AL1124" s="340"/>
      <c r="AM1124" s="340"/>
      <c r="AN1124" s="340"/>
      <c r="AO1124" s="340"/>
      <c r="AP1124" s="340"/>
      <c r="AQ1124" s="340"/>
      <c r="AR1124" s="340"/>
      <c r="AS1124" s="340"/>
      <c r="AT1124" s="340"/>
      <c r="AU1124" s="340"/>
      <c r="AV1124" s="340"/>
      <c r="AY1124" s="340"/>
      <c r="AZ1124" s="465">
        <f t="shared" ca="1" si="704"/>
        <v>7.3698599999999999E-5</v>
      </c>
      <c r="BA1124" s="464">
        <f t="shared" ca="1" si="705"/>
        <v>0</v>
      </c>
      <c r="BB1124" s="465">
        <f t="shared" ca="1" si="705"/>
        <v>7.3698599999999999E-5</v>
      </c>
      <c r="BC1124" s="466">
        <f t="shared" ca="1" si="706"/>
        <v>76823</v>
      </c>
      <c r="BD1124" s="467">
        <f t="shared" ca="1" si="719"/>
        <v>76824</v>
      </c>
      <c r="BE1124" s="467">
        <f t="shared" ca="1" si="707"/>
        <v>76853</v>
      </c>
      <c r="BF1124" s="468">
        <f ca="1">IF(計算!$BC1124&lt;OP!$C$3,0,BD1124-BC1124)</f>
        <v>1</v>
      </c>
      <c r="BG1124" s="468">
        <f ca="1">IF($BE1124&gt;DATE(YEAR($BD$9)+OP!$C$57,MONTH($BD$9),DAY($BD$9)),0,$BE1124-$BD1124+1)</f>
        <v>0</v>
      </c>
      <c r="BH1124" s="469">
        <f t="shared" ca="1" si="708"/>
        <v>1</v>
      </c>
      <c r="BI1124" t="str">
        <f t="shared" si="724"/>
        <v/>
      </c>
      <c r="BJ1124">
        <v>11</v>
      </c>
      <c r="BN1124" s="468">
        <f t="shared" si="720"/>
        <v>93</v>
      </c>
      <c r="BO1124" s="468">
        <f t="shared" si="721"/>
        <v>11</v>
      </c>
      <c r="BP1124" s="467">
        <f t="shared" ca="1" si="709"/>
        <v>76824</v>
      </c>
      <c r="BQ1124" s="475">
        <f t="shared" ca="1" si="723"/>
        <v>125</v>
      </c>
      <c r="BR1124" s="475" t="str">
        <f t="shared" si="722"/>
        <v/>
      </c>
      <c r="BS1124" s="471" t="str">
        <f t="shared" si="710"/>
        <v/>
      </c>
      <c r="BT1124" s="472" t="str">
        <f t="shared" si="725"/>
        <v/>
      </c>
      <c r="BU1124" s="472">
        <f t="shared" ca="1" si="711"/>
        <v>0</v>
      </c>
      <c r="BV1124" s="472">
        <f t="shared" ca="1" si="711"/>
        <v>0</v>
      </c>
      <c r="BW1124" s="472"/>
      <c r="BX1124" s="473">
        <f t="shared" ca="1" si="712"/>
        <v>2792138.4677206301</v>
      </c>
      <c r="BY1124" s="473">
        <f t="shared" si="713"/>
        <v>0</v>
      </c>
      <c r="BZ1124" s="473">
        <f t="shared" ca="1" si="695"/>
        <v>205.776696077</v>
      </c>
      <c r="CA1124" s="476">
        <f t="shared" ca="1" si="714"/>
        <v>0</v>
      </c>
      <c r="CB1124" s="494">
        <f ca="1">IF(OR($Q1123&lt;&gt;1,OP!$D$5+$BN1124-1&lt;16,$BN1124-1&lt;1),0,ROUND(ROUND(ROUND(((VLOOKUP($BN1124-1,MORE_PV,5,0)/10000)*VLOOKUP($BN1124,MORE_PV,$CB$5,0)),3)*VLOOKUP($BN1124,more1,5,0),0)/$R1123,0))</f>
        <v>0</v>
      </c>
      <c r="CC1124" s="473">
        <f t="shared" ca="1" si="715"/>
        <v>0</v>
      </c>
      <c r="CD1124" s="477"/>
    </row>
    <row r="1125" spans="2:82" ht="16.5" hidden="1">
      <c r="B1125" s="80"/>
      <c r="C1125" s="80"/>
      <c r="D1125" s="80"/>
      <c r="E1125" s="80"/>
      <c r="F1125" s="80"/>
      <c r="G1125" s="80"/>
      <c r="H1125" s="80"/>
      <c r="I1125" s="80"/>
      <c r="J1125" s="192">
        <f t="shared" si="696"/>
        <v>94</v>
      </c>
      <c r="K1125" s="192">
        <f t="shared" si="697"/>
        <v>1</v>
      </c>
      <c r="L1125" s="192" t="str">
        <f t="shared" si="692"/>
        <v/>
      </c>
      <c r="M1125" s="216" t="str">
        <f t="shared" ca="1" si="698"/>
        <v/>
      </c>
      <c r="N1125" s="216"/>
      <c r="O1125" s="216"/>
      <c r="P1125" s="216"/>
      <c r="Q1125" s="456">
        <f t="shared" ca="1" si="699"/>
        <v>1</v>
      </c>
      <c r="R1125" s="450">
        <f t="shared" ca="1" si="700"/>
        <v>12</v>
      </c>
      <c r="S1125" s="191">
        <f t="shared" si="701"/>
        <v>94</v>
      </c>
      <c r="T1125" s="191">
        <f t="shared" si="702"/>
        <v>1</v>
      </c>
      <c r="U1125" s="191">
        <f ca="1">OP!$D$5+$S1125-1</f>
        <v>126</v>
      </c>
      <c r="V1125" s="191" t="str">
        <f t="shared" si="703"/>
        <v/>
      </c>
      <c r="W1125" s="350">
        <f ca="1">IF(Q1125&lt;&gt;1,0,VLOOKUP(OP!$C$55,PVFB,$S1125+2,0))</f>
        <v>0</v>
      </c>
      <c r="X1125" s="473" t="str">
        <f t="shared" ca="1" si="716"/>
        <v/>
      </c>
      <c r="Y1125" s="348">
        <f t="shared" ca="1" si="717"/>
        <v>0</v>
      </c>
      <c r="Z1125" s="348">
        <f t="shared" ca="1" si="718"/>
        <v>8012</v>
      </c>
      <c r="AA1125" s="348">
        <f ca="1">IF(Q1125&lt;&gt;1,0,VLOOKUP(OP!$C$55,PVFB,$S1125+2,0))</f>
        <v>0</v>
      </c>
      <c r="AB1125" s="488" t="str">
        <f ca="1">IF(AND(S1125&lt;OP!$C$24,$U1125&lt;15),0,IF(AND($U1125&lt;15,$T1125=12),ROUND(VLOOKUP($S1125,DOWN16,5,0),3),IF($T1125=12,ROUND(($Z1125/10000)*$AA1125,3)+IF(AND($P$7="購買增額繳清保險",T1125=12,U1125=110),VLOOKUP(S1125,$B$10:$H$121,7,0),0),"")))</f>
        <v/>
      </c>
      <c r="AC1125" s="350" t="str">
        <f ca="1">IF(AND(S1125&lt;OP!$C$24,$U1125&lt;15),0,IF(AND($U1125&lt;16,$T1125=12),VLOOKUP($S1125,DOWN16,4,0),IF($T1125=12,ROUND(VLOOKUP(OP!$C$55,_DIE2,$S1125+1,0)*(Z1125/10000),0)+IF(AND($P$7="購買增額繳清保險",T1125=12,U1125=110),VLOOKUP(S1125,$B$10:$H$121,7,0),0),"")))</f>
        <v/>
      </c>
      <c r="AD1125" s="347"/>
      <c r="AE1125" s="350" t="str">
        <f t="shared" ca="1" si="693"/>
        <v/>
      </c>
      <c r="AF1125" s="351" t="str">
        <f t="shared" ca="1" si="694"/>
        <v/>
      </c>
      <c r="AG1125" s="340"/>
      <c r="AH1125" s="340"/>
      <c r="AI1125" s="340"/>
      <c r="AJ1125" s="340"/>
      <c r="AK1125" s="340"/>
      <c r="AL1125" s="340"/>
      <c r="AM1125" s="340"/>
      <c r="AN1125" s="340"/>
      <c r="AO1125" s="340"/>
      <c r="AP1125" s="340"/>
      <c r="AQ1125" s="340"/>
      <c r="AR1125" s="340"/>
      <c r="AS1125" s="340"/>
      <c r="AT1125" s="340"/>
      <c r="AU1125" s="340"/>
      <c r="AV1125" s="340"/>
      <c r="AY1125" s="340"/>
      <c r="AZ1125" s="465">
        <f t="shared" ca="1" si="704"/>
        <v>7.3698599999999999E-5</v>
      </c>
      <c r="BA1125" s="464">
        <f t="shared" ca="1" si="705"/>
        <v>0</v>
      </c>
      <c r="BB1125" s="465">
        <f t="shared" ca="1" si="705"/>
        <v>7.3698599999999999E-5</v>
      </c>
      <c r="BC1125" s="466">
        <f t="shared" ca="1" si="706"/>
        <v>76854</v>
      </c>
      <c r="BD1125" s="467">
        <f t="shared" ca="1" si="719"/>
        <v>76855</v>
      </c>
      <c r="BE1125" s="467">
        <f t="shared" ca="1" si="707"/>
        <v>76883</v>
      </c>
      <c r="BF1125" s="468">
        <f ca="1">IF(計算!$BC1125&lt;OP!$C$3,0,BD1125-BC1125)</f>
        <v>1</v>
      </c>
      <c r="BG1125" s="468">
        <f ca="1">IF($BE1125&gt;DATE(YEAR($BD$9)+OP!$C$57,MONTH($BD$9),DAY($BD$9)),0,$BE1125-$BD1125+1)</f>
        <v>0</v>
      </c>
      <c r="BH1125" s="469">
        <f t="shared" ca="1" si="708"/>
        <v>1</v>
      </c>
      <c r="BI1125">
        <f t="shared" ca="1" si="724"/>
        <v>365</v>
      </c>
      <c r="BJ1125">
        <v>12</v>
      </c>
      <c r="BN1125" s="468">
        <f t="shared" si="720"/>
        <v>93</v>
      </c>
      <c r="BO1125" s="468">
        <f t="shared" si="721"/>
        <v>12</v>
      </c>
      <c r="BP1125" s="467">
        <f t="shared" ca="1" si="709"/>
        <v>76855</v>
      </c>
      <c r="BQ1125" s="475">
        <f t="shared" ca="1" si="723"/>
        <v>125</v>
      </c>
      <c r="BR1125" s="475">
        <f t="shared" si="722"/>
        <v>93</v>
      </c>
      <c r="BS1125" s="471">
        <f t="shared" ca="1" si="710"/>
        <v>0</v>
      </c>
      <c r="BT1125" s="472">
        <f t="shared" ca="1" si="725"/>
        <v>2792549</v>
      </c>
      <c r="BU1125" s="472">
        <f t="shared" ca="1" si="711"/>
        <v>0</v>
      </c>
      <c r="BV1125" s="472">
        <f t="shared" ca="1" si="711"/>
        <v>0</v>
      </c>
      <c r="BW1125" s="472">
        <f ca="1">ROUND(SUM(BY1125,BZ1113:BZ1124),0)</f>
        <v>2469</v>
      </c>
      <c r="BX1125" s="473">
        <f t="shared" ca="1" si="712"/>
        <v>2792550.0362782399</v>
      </c>
      <c r="BY1125" s="473">
        <f t="shared" ca="1" si="713"/>
        <v>205.79186153200001</v>
      </c>
      <c r="BZ1125" s="473">
        <f t="shared" ca="1" si="695"/>
        <v>0</v>
      </c>
      <c r="CA1125" s="476">
        <f t="shared" ca="1" si="714"/>
        <v>0</v>
      </c>
      <c r="CB1125" s="494">
        <f ca="1">IF(OR($Q1124&lt;&gt;1,OP!$D$5+$BN1125-1&lt;16,$BN1125-1&lt;1),0,ROUND(ROUND(ROUND(((VLOOKUP($BN1125-1,MORE_PV,5,0)/10000)*VLOOKUP($BN1125,MORE_PV,$CB$5,0)),3)*VLOOKUP($BN1125,more1,5,0),0)/$R1124,0))</f>
        <v>0</v>
      </c>
      <c r="CC1125" s="473">
        <f t="shared" ca="1" si="715"/>
        <v>0</v>
      </c>
      <c r="CD1125" s="477"/>
    </row>
    <row r="1126" spans="2:82" ht="16.5" hidden="1">
      <c r="B1126" s="80"/>
      <c r="C1126" s="80"/>
      <c r="D1126" s="80"/>
      <c r="E1126" s="80"/>
      <c r="F1126" s="80"/>
      <c r="G1126" s="80"/>
      <c r="H1126" s="80"/>
      <c r="I1126" s="80"/>
      <c r="J1126" s="192">
        <f t="shared" si="696"/>
        <v>94</v>
      </c>
      <c r="K1126" s="192">
        <f t="shared" si="697"/>
        <v>2</v>
      </c>
      <c r="L1126" s="192" t="str">
        <f t="shared" si="692"/>
        <v/>
      </c>
      <c r="M1126" s="216" t="str">
        <f t="shared" ca="1" si="698"/>
        <v/>
      </c>
      <c r="N1126" s="216"/>
      <c r="O1126" s="216"/>
      <c r="P1126" s="216"/>
      <c r="Q1126" s="456">
        <f t="shared" ca="1" si="699"/>
        <v>1</v>
      </c>
      <c r="R1126" s="450">
        <f t="shared" ca="1" si="700"/>
        <v>12</v>
      </c>
      <c r="S1126" s="191">
        <f t="shared" si="701"/>
        <v>94</v>
      </c>
      <c r="T1126" s="191">
        <f t="shared" si="702"/>
        <v>2</v>
      </c>
      <c r="U1126" s="191">
        <f ca="1">OP!$D$5+$S1126-1</f>
        <v>126</v>
      </c>
      <c r="V1126" s="191" t="str">
        <f t="shared" si="703"/>
        <v/>
      </c>
      <c r="W1126" s="350">
        <f ca="1">IF(Q1126&lt;&gt;1,0,VLOOKUP(OP!$C$55,PVFB,$S1126+2,0))</f>
        <v>0</v>
      </c>
      <c r="X1126" s="473" t="str">
        <f t="shared" ca="1" si="716"/>
        <v/>
      </c>
      <c r="Y1126" s="348">
        <f t="shared" ca="1" si="717"/>
        <v>0</v>
      </c>
      <c r="Z1126" s="348">
        <f t="shared" ca="1" si="718"/>
        <v>8012</v>
      </c>
      <c r="AA1126" s="348">
        <f ca="1">IF(Q1126&lt;&gt;1,0,VLOOKUP(OP!$C$55,PVFB,$S1126+2,0))</f>
        <v>0</v>
      </c>
      <c r="AB1126" s="488" t="str">
        <f ca="1">IF(AND(S1126&lt;OP!$C$24,$U1126&lt;15),0,IF(AND($U1126&lt;15,$T1126=12),ROUND(VLOOKUP($S1126,DOWN16,5,0),3),IF($T1126=12,ROUND(($Z1126/10000)*$AA1126,3)+IF(AND($P$7="購買增額繳清保險",T1126=12,U1126=110),VLOOKUP(S1126,$B$10:$H$121,7,0),0),"")))</f>
        <v/>
      </c>
      <c r="AC1126" s="350" t="str">
        <f ca="1">IF(AND(S1126&lt;OP!$C$24,$U1126&lt;15),0,IF(AND($U1126&lt;16,$T1126=12),VLOOKUP($S1126,DOWN16,4,0),IF($T1126=12,ROUND(VLOOKUP(OP!$C$55,_DIE2,$S1126+1,0)*(Z1126/10000),0)+IF(AND($P$7="購買增額繳清保險",T1126=12,U1126=110),VLOOKUP(S1126,$B$10:$H$121,7,0),0),"")))</f>
        <v/>
      </c>
      <c r="AD1126" s="347"/>
      <c r="AE1126" s="350" t="str">
        <f t="shared" ca="1" si="693"/>
        <v/>
      </c>
      <c r="AF1126" s="351" t="str">
        <f t="shared" ca="1" si="694"/>
        <v/>
      </c>
      <c r="AG1126" s="340"/>
      <c r="AH1126" s="340"/>
      <c r="AI1126" s="340"/>
      <c r="AJ1126" s="340"/>
      <c r="AK1126" s="340"/>
      <c r="AL1126" s="340"/>
      <c r="AM1126" s="340"/>
      <c r="AN1126" s="340"/>
      <c r="AO1126" s="340"/>
      <c r="AP1126" s="340"/>
      <c r="AQ1126" s="340"/>
      <c r="AR1126" s="340"/>
      <c r="AS1126" s="340"/>
      <c r="AT1126" s="340"/>
      <c r="AU1126" s="340"/>
      <c r="AV1126" s="340"/>
      <c r="AY1126" s="340"/>
      <c r="AZ1126" s="465">
        <f t="shared" ca="1" si="704"/>
        <v>7.3698599999999999E-5</v>
      </c>
      <c r="BA1126" s="464">
        <f t="shared" ca="1" si="705"/>
        <v>0</v>
      </c>
      <c r="BB1126" s="465">
        <f t="shared" ca="1" si="705"/>
        <v>7.3698599999999999E-5</v>
      </c>
      <c r="BC1126" s="466">
        <f t="shared" ca="1" si="706"/>
        <v>76884</v>
      </c>
      <c r="BD1126" s="467">
        <f t="shared" ca="1" si="719"/>
        <v>76885</v>
      </c>
      <c r="BE1126" s="467">
        <f t="shared" ca="1" si="707"/>
        <v>76914</v>
      </c>
      <c r="BF1126" s="468">
        <f ca="1">IF(計算!$BC1126&lt;OP!$C$3,0,BD1126-BC1126)</f>
        <v>1</v>
      </c>
      <c r="BG1126" s="468">
        <f ca="1">IF($BE1126&gt;DATE(YEAR($BD$9)+OP!$C$57,MONTH($BD$9),DAY($BD$9)),0,$BE1126-$BD1126+1)</f>
        <v>0</v>
      </c>
      <c r="BH1126" s="469">
        <f t="shared" ca="1" si="708"/>
        <v>1</v>
      </c>
      <c r="BI1126" t="str">
        <f t="shared" si="724"/>
        <v/>
      </c>
      <c r="BJ1126">
        <v>1</v>
      </c>
      <c r="BN1126" s="468">
        <f t="shared" si="720"/>
        <v>94</v>
      </c>
      <c r="BO1126" s="468">
        <f t="shared" si="721"/>
        <v>1</v>
      </c>
      <c r="BP1126" s="467">
        <f t="shared" ca="1" si="709"/>
        <v>76885</v>
      </c>
      <c r="BQ1126" s="475">
        <f t="shared" ca="1" si="723"/>
        <v>126</v>
      </c>
      <c r="BR1126" s="475" t="str">
        <f t="shared" si="722"/>
        <v/>
      </c>
      <c r="BS1126" s="471" t="str">
        <f t="shared" si="710"/>
        <v/>
      </c>
      <c r="BT1126" s="472" t="str">
        <f t="shared" si="725"/>
        <v/>
      </c>
      <c r="BU1126" s="472">
        <f t="shared" ca="1" si="711"/>
        <v>0</v>
      </c>
      <c r="BV1126" s="472">
        <f t="shared" ca="1" si="711"/>
        <v>0</v>
      </c>
      <c r="BW1126" s="472"/>
      <c r="BX1126" s="473">
        <f t="shared" ca="1" si="712"/>
        <v>2792550.0362782399</v>
      </c>
      <c r="BY1126" s="473">
        <f t="shared" si="713"/>
        <v>0</v>
      </c>
      <c r="BZ1126" s="473">
        <f t="shared" ca="1" si="695"/>
        <v>205.80702810400001</v>
      </c>
      <c r="CA1126" s="476">
        <f t="shared" ca="1" si="714"/>
        <v>0</v>
      </c>
      <c r="CB1126" s="494">
        <f ca="1">IF(OR($Q1125&lt;&gt;1,OP!$D$5+$BN1126-1&lt;16,$BN1126-1&lt;1),0,ROUND(ROUND(ROUND(((VLOOKUP($BN1126-1,MORE_PV,5,0)/10000)*VLOOKUP($BN1126,MORE_PV,$CB$5,0)),3)*VLOOKUP($BN1126,more1,5,0),0)/$R1125,0))</f>
        <v>0</v>
      </c>
      <c r="CC1126" s="473">
        <f t="shared" ca="1" si="715"/>
        <v>0</v>
      </c>
      <c r="CD1126" s="477"/>
    </row>
    <row r="1127" spans="2:82" ht="16.5" hidden="1">
      <c r="B1127" s="80"/>
      <c r="C1127" s="80"/>
      <c r="D1127" s="80"/>
      <c r="E1127" s="80"/>
      <c r="F1127" s="80"/>
      <c r="G1127" s="80"/>
      <c r="H1127" s="80"/>
      <c r="I1127" s="80"/>
      <c r="J1127" s="192">
        <f t="shared" si="696"/>
        <v>94</v>
      </c>
      <c r="K1127" s="192">
        <f t="shared" si="697"/>
        <v>3</v>
      </c>
      <c r="L1127" s="192" t="str">
        <f t="shared" si="692"/>
        <v/>
      </c>
      <c r="M1127" s="216" t="str">
        <f t="shared" ca="1" si="698"/>
        <v/>
      </c>
      <c r="N1127" s="216"/>
      <c r="O1127" s="216"/>
      <c r="P1127" s="216"/>
      <c r="Q1127" s="456">
        <f t="shared" ca="1" si="699"/>
        <v>1</v>
      </c>
      <c r="R1127" s="450">
        <f t="shared" ca="1" si="700"/>
        <v>12</v>
      </c>
      <c r="S1127" s="191">
        <f t="shared" si="701"/>
        <v>94</v>
      </c>
      <c r="T1127" s="191">
        <f t="shared" si="702"/>
        <v>3</v>
      </c>
      <c r="U1127" s="191">
        <f ca="1">OP!$D$5+$S1127-1</f>
        <v>126</v>
      </c>
      <c r="V1127" s="191" t="str">
        <f t="shared" si="703"/>
        <v/>
      </c>
      <c r="W1127" s="350">
        <f ca="1">IF(Q1127&lt;&gt;1,0,VLOOKUP(OP!$C$55,PVFB,$S1127+2,0))</f>
        <v>0</v>
      </c>
      <c r="X1127" s="473" t="str">
        <f t="shared" ca="1" si="716"/>
        <v/>
      </c>
      <c r="Y1127" s="348">
        <f t="shared" ca="1" si="717"/>
        <v>0</v>
      </c>
      <c r="Z1127" s="348">
        <f t="shared" ca="1" si="718"/>
        <v>8012</v>
      </c>
      <c r="AA1127" s="348">
        <f ca="1">IF(Q1127&lt;&gt;1,0,VLOOKUP(OP!$C$55,PVFB,$S1127+2,0))</f>
        <v>0</v>
      </c>
      <c r="AB1127" s="488" t="str">
        <f ca="1">IF(AND(S1127&lt;OP!$C$24,$U1127&lt;15),0,IF(AND($U1127&lt;15,$T1127=12),ROUND(VLOOKUP($S1127,DOWN16,5,0),3),IF($T1127=12,ROUND(($Z1127/10000)*$AA1127,3)+IF(AND($P$7="購買增額繳清保險",T1127=12,U1127=110),VLOOKUP(S1127,$B$10:$H$121,7,0),0),"")))</f>
        <v/>
      </c>
      <c r="AC1127" s="350" t="str">
        <f ca="1">IF(AND(S1127&lt;OP!$C$24,$U1127&lt;15),0,IF(AND($U1127&lt;16,$T1127=12),VLOOKUP($S1127,DOWN16,4,0),IF($T1127=12,ROUND(VLOOKUP(OP!$C$55,_DIE2,$S1127+1,0)*(Z1127/10000),0)+IF(AND($P$7="購買增額繳清保險",T1127=12,U1127=110),VLOOKUP(S1127,$B$10:$H$121,7,0),0),"")))</f>
        <v/>
      </c>
      <c r="AD1127" s="347"/>
      <c r="AE1127" s="350" t="str">
        <f t="shared" ca="1" si="693"/>
        <v/>
      </c>
      <c r="AF1127" s="351" t="str">
        <f t="shared" ca="1" si="694"/>
        <v/>
      </c>
      <c r="AG1127" s="340"/>
      <c r="AH1127" s="340"/>
      <c r="AI1127" s="340"/>
      <c r="AJ1127" s="340"/>
      <c r="AK1127" s="340"/>
      <c r="AL1127" s="340"/>
      <c r="AM1127" s="340"/>
      <c r="AN1127" s="340"/>
      <c r="AO1127" s="340"/>
      <c r="AP1127" s="340"/>
      <c r="AQ1127" s="340"/>
      <c r="AR1127" s="340"/>
      <c r="AS1127" s="340"/>
      <c r="AT1127" s="340"/>
      <c r="AU1127" s="340"/>
      <c r="AV1127" s="340"/>
      <c r="AY1127" s="340"/>
      <c r="AZ1127" s="465">
        <f t="shared" ca="1" si="704"/>
        <v>7.3698599999999999E-5</v>
      </c>
      <c r="BA1127" s="464">
        <f t="shared" ca="1" si="705"/>
        <v>0</v>
      </c>
      <c r="BB1127" s="465">
        <f t="shared" ca="1" si="705"/>
        <v>7.3698599999999999E-5</v>
      </c>
      <c r="BC1127" s="466">
        <f t="shared" ca="1" si="706"/>
        <v>76915</v>
      </c>
      <c r="BD1127" s="467">
        <f t="shared" ca="1" si="719"/>
        <v>76916</v>
      </c>
      <c r="BE1127" s="467">
        <f t="shared" ca="1" si="707"/>
        <v>76945</v>
      </c>
      <c r="BF1127" s="468">
        <f ca="1">IF(計算!$BC1127&lt;OP!$C$3,0,BD1127-BC1127)</f>
        <v>1</v>
      </c>
      <c r="BG1127" s="468">
        <f ca="1">IF($BE1127&gt;DATE(YEAR($BD$9)+OP!$C$57,MONTH($BD$9),DAY($BD$9)),0,$BE1127-$BD1127+1)</f>
        <v>0</v>
      </c>
      <c r="BH1127" s="469">
        <f t="shared" ca="1" si="708"/>
        <v>1</v>
      </c>
      <c r="BI1127" t="str">
        <f t="shared" si="724"/>
        <v/>
      </c>
      <c r="BJ1127">
        <v>2</v>
      </c>
      <c r="BN1127" s="468">
        <f t="shared" si="720"/>
        <v>94</v>
      </c>
      <c r="BO1127" s="468">
        <f t="shared" si="721"/>
        <v>2</v>
      </c>
      <c r="BP1127" s="467">
        <f t="shared" ca="1" si="709"/>
        <v>76916</v>
      </c>
      <c r="BQ1127" s="475">
        <f t="shared" ca="1" si="723"/>
        <v>126</v>
      </c>
      <c r="BR1127" s="475" t="str">
        <f t="shared" si="722"/>
        <v/>
      </c>
      <c r="BS1127" s="471" t="str">
        <f t="shared" si="710"/>
        <v/>
      </c>
      <c r="BT1127" s="472" t="str">
        <f t="shared" si="725"/>
        <v/>
      </c>
      <c r="BU1127" s="472">
        <f t="shared" ca="1" si="711"/>
        <v>0</v>
      </c>
      <c r="BV1127" s="472">
        <f t="shared" ca="1" si="711"/>
        <v>0</v>
      </c>
      <c r="BW1127" s="472"/>
      <c r="BX1127" s="473">
        <f t="shared" ca="1" si="712"/>
        <v>2792755.8433063398</v>
      </c>
      <c r="BY1127" s="473">
        <f t="shared" si="713"/>
        <v>0</v>
      </c>
      <c r="BZ1127" s="473">
        <f t="shared" ca="1" si="695"/>
        <v>205.82219579299999</v>
      </c>
      <c r="CA1127" s="476">
        <f t="shared" ca="1" si="714"/>
        <v>0</v>
      </c>
      <c r="CB1127" s="494">
        <f ca="1">IF(OR($Q1126&lt;&gt;1,OP!$D$5+$BN1127-1&lt;16,$BN1127-1&lt;1),0,ROUND(ROUND(ROUND(((VLOOKUP($BN1127-1,MORE_PV,5,0)/10000)*VLOOKUP($BN1127,MORE_PV,$CB$5,0)),3)*VLOOKUP($BN1127,more1,5,0),0)/$R1126,0))</f>
        <v>0</v>
      </c>
      <c r="CC1127" s="473">
        <f t="shared" ca="1" si="715"/>
        <v>0</v>
      </c>
      <c r="CD1127" s="477"/>
    </row>
    <row r="1128" spans="2:82" ht="16.5" hidden="1">
      <c r="B1128" s="80"/>
      <c r="C1128" s="80"/>
      <c r="D1128" s="80"/>
      <c r="E1128" s="80"/>
      <c r="F1128" s="80"/>
      <c r="G1128" s="80"/>
      <c r="H1128" s="80"/>
      <c r="I1128" s="80"/>
      <c r="J1128" s="192">
        <f t="shared" si="696"/>
        <v>94</v>
      </c>
      <c r="K1128" s="192">
        <f t="shared" si="697"/>
        <v>4</v>
      </c>
      <c r="L1128" s="192" t="str">
        <f t="shared" si="692"/>
        <v/>
      </c>
      <c r="M1128" s="216" t="str">
        <f t="shared" ca="1" si="698"/>
        <v/>
      </c>
      <c r="N1128" s="216"/>
      <c r="O1128" s="216"/>
      <c r="P1128" s="216"/>
      <c r="Q1128" s="456">
        <f t="shared" ca="1" si="699"/>
        <v>1</v>
      </c>
      <c r="R1128" s="450">
        <f t="shared" ca="1" si="700"/>
        <v>12</v>
      </c>
      <c r="S1128" s="191">
        <f t="shared" si="701"/>
        <v>94</v>
      </c>
      <c r="T1128" s="191">
        <f t="shared" si="702"/>
        <v>4</v>
      </c>
      <c r="U1128" s="191">
        <f ca="1">OP!$D$5+$S1128-1</f>
        <v>126</v>
      </c>
      <c r="V1128" s="191" t="str">
        <f t="shared" si="703"/>
        <v/>
      </c>
      <c r="W1128" s="350">
        <f ca="1">IF(Q1128&lt;&gt;1,0,VLOOKUP(OP!$C$55,PVFB,$S1128+2,0))</f>
        <v>0</v>
      </c>
      <c r="X1128" s="473" t="str">
        <f t="shared" ca="1" si="716"/>
        <v/>
      </c>
      <c r="Y1128" s="348">
        <f t="shared" ca="1" si="717"/>
        <v>0</v>
      </c>
      <c r="Z1128" s="348">
        <f t="shared" ca="1" si="718"/>
        <v>8012</v>
      </c>
      <c r="AA1128" s="348">
        <f ca="1">IF(Q1128&lt;&gt;1,0,VLOOKUP(OP!$C$55,PVFB,$S1128+2,0))</f>
        <v>0</v>
      </c>
      <c r="AB1128" s="488" t="str">
        <f ca="1">IF(AND(S1128&lt;OP!$C$24,$U1128&lt;15),0,IF(AND($U1128&lt;15,$T1128=12),ROUND(VLOOKUP($S1128,DOWN16,5,0),3),IF($T1128=12,ROUND(($Z1128/10000)*$AA1128,3)+IF(AND($P$7="購買增額繳清保險",T1128=12,U1128=110),VLOOKUP(S1128,$B$10:$H$121,7,0),0),"")))</f>
        <v/>
      </c>
      <c r="AC1128" s="350" t="str">
        <f ca="1">IF(AND(S1128&lt;OP!$C$24,$U1128&lt;15),0,IF(AND($U1128&lt;16,$T1128=12),VLOOKUP($S1128,DOWN16,4,0),IF($T1128=12,ROUND(VLOOKUP(OP!$C$55,_DIE2,$S1128+1,0)*(Z1128/10000),0)+IF(AND($P$7="購買增額繳清保險",T1128=12,U1128=110),VLOOKUP(S1128,$B$10:$H$121,7,0),0),"")))</f>
        <v/>
      </c>
      <c r="AD1128" s="347"/>
      <c r="AE1128" s="350" t="str">
        <f t="shared" ca="1" si="693"/>
        <v/>
      </c>
      <c r="AF1128" s="351" t="str">
        <f t="shared" ca="1" si="694"/>
        <v/>
      </c>
      <c r="AG1128" s="340"/>
      <c r="AH1128" s="340"/>
      <c r="AI1128" s="340"/>
      <c r="AJ1128" s="340"/>
      <c r="AK1128" s="340"/>
      <c r="AL1128" s="340"/>
      <c r="AM1128" s="340"/>
      <c r="AN1128" s="340"/>
      <c r="AO1128" s="340"/>
      <c r="AP1128" s="340"/>
      <c r="AQ1128" s="340"/>
      <c r="AR1128" s="340"/>
      <c r="AS1128" s="340"/>
      <c r="AT1128" s="340"/>
      <c r="AU1128" s="340"/>
      <c r="AV1128" s="340"/>
      <c r="AY1128" s="340"/>
      <c r="AZ1128" s="465">
        <f t="shared" ca="1" si="704"/>
        <v>7.3698599999999999E-5</v>
      </c>
      <c r="BA1128" s="464">
        <f t="shared" ca="1" si="705"/>
        <v>0</v>
      </c>
      <c r="BB1128" s="465">
        <f t="shared" ca="1" si="705"/>
        <v>7.3698599999999999E-5</v>
      </c>
      <c r="BC1128" s="466">
        <f t="shared" ca="1" si="706"/>
        <v>76946</v>
      </c>
      <c r="BD1128" s="467">
        <f t="shared" ca="1" si="719"/>
        <v>76947</v>
      </c>
      <c r="BE1128" s="467">
        <f t="shared" ca="1" si="707"/>
        <v>76975</v>
      </c>
      <c r="BF1128" s="468">
        <f ca="1">IF(計算!$BC1128&lt;OP!$C$3,0,BD1128-BC1128)</f>
        <v>1</v>
      </c>
      <c r="BG1128" s="468">
        <f ca="1">IF($BE1128&gt;DATE(YEAR($BD$9)+OP!$C$57,MONTH($BD$9),DAY($BD$9)),0,$BE1128-$BD1128+1)</f>
        <v>0</v>
      </c>
      <c r="BH1128" s="469">
        <f t="shared" ca="1" si="708"/>
        <v>1</v>
      </c>
      <c r="BI1128" t="str">
        <f t="shared" si="724"/>
        <v/>
      </c>
      <c r="BJ1128">
        <v>3</v>
      </c>
      <c r="BN1128" s="468">
        <f t="shared" si="720"/>
        <v>94</v>
      </c>
      <c r="BO1128" s="468">
        <f t="shared" si="721"/>
        <v>3</v>
      </c>
      <c r="BP1128" s="467">
        <f t="shared" ca="1" si="709"/>
        <v>76947</v>
      </c>
      <c r="BQ1128" s="475">
        <f t="shared" ca="1" si="723"/>
        <v>126</v>
      </c>
      <c r="BR1128" s="475" t="str">
        <f t="shared" si="722"/>
        <v/>
      </c>
      <c r="BS1128" s="471" t="str">
        <f t="shared" si="710"/>
        <v/>
      </c>
      <c r="BT1128" s="472" t="str">
        <f t="shared" si="725"/>
        <v/>
      </c>
      <c r="BU1128" s="472">
        <f t="shared" ca="1" si="711"/>
        <v>0</v>
      </c>
      <c r="BV1128" s="472">
        <f t="shared" ca="1" si="711"/>
        <v>0</v>
      </c>
      <c r="BW1128" s="472"/>
      <c r="BX1128" s="473">
        <f t="shared" ca="1" si="712"/>
        <v>2792961.6655021301</v>
      </c>
      <c r="BY1128" s="473">
        <f t="shared" si="713"/>
        <v>0</v>
      </c>
      <c r="BZ1128" s="473">
        <f t="shared" ca="1" si="695"/>
        <v>205.83736460099999</v>
      </c>
      <c r="CA1128" s="476">
        <f t="shared" ca="1" si="714"/>
        <v>0</v>
      </c>
      <c r="CB1128" s="494">
        <f ca="1">IF(OR($Q1127&lt;&gt;1,OP!$D$5+$BN1128-1&lt;16,$BN1128-1&lt;1),0,ROUND(ROUND(ROUND(((VLOOKUP($BN1128-1,MORE_PV,5,0)/10000)*VLOOKUP($BN1128,MORE_PV,$CB$5,0)),3)*VLOOKUP($BN1128,more1,5,0),0)/$R1127,0))</f>
        <v>0</v>
      </c>
      <c r="CC1128" s="473">
        <f t="shared" ca="1" si="715"/>
        <v>0</v>
      </c>
      <c r="CD1128" s="477"/>
    </row>
    <row r="1129" spans="2:82" ht="16.5" hidden="1">
      <c r="B1129" s="80"/>
      <c r="C1129" s="80"/>
      <c r="D1129" s="80"/>
      <c r="E1129" s="80"/>
      <c r="F1129" s="80"/>
      <c r="G1129" s="80"/>
      <c r="H1129" s="80"/>
      <c r="I1129" s="80"/>
      <c r="J1129" s="192">
        <f t="shared" si="696"/>
        <v>94</v>
      </c>
      <c r="K1129" s="192">
        <f t="shared" si="697"/>
        <v>5</v>
      </c>
      <c r="L1129" s="192" t="str">
        <f t="shared" si="692"/>
        <v/>
      </c>
      <c r="M1129" s="216" t="str">
        <f t="shared" ca="1" si="698"/>
        <v/>
      </c>
      <c r="N1129" s="216"/>
      <c r="O1129" s="216"/>
      <c r="P1129" s="216"/>
      <c r="Q1129" s="456">
        <f t="shared" ca="1" si="699"/>
        <v>1</v>
      </c>
      <c r="R1129" s="450">
        <f t="shared" ca="1" si="700"/>
        <v>12</v>
      </c>
      <c r="S1129" s="191">
        <f t="shared" si="701"/>
        <v>94</v>
      </c>
      <c r="T1129" s="191">
        <f t="shared" si="702"/>
        <v>5</v>
      </c>
      <c r="U1129" s="191">
        <f ca="1">OP!$D$5+$S1129-1</f>
        <v>126</v>
      </c>
      <c r="V1129" s="191" t="str">
        <f t="shared" si="703"/>
        <v/>
      </c>
      <c r="W1129" s="350">
        <f ca="1">IF(Q1129&lt;&gt;1,0,VLOOKUP(OP!$C$55,PVFB,$S1129+2,0))</f>
        <v>0</v>
      </c>
      <c r="X1129" s="473" t="str">
        <f t="shared" ca="1" si="716"/>
        <v/>
      </c>
      <c r="Y1129" s="348">
        <f t="shared" ca="1" si="717"/>
        <v>0</v>
      </c>
      <c r="Z1129" s="348">
        <f t="shared" ca="1" si="718"/>
        <v>8012</v>
      </c>
      <c r="AA1129" s="348">
        <f ca="1">IF(Q1129&lt;&gt;1,0,VLOOKUP(OP!$C$55,PVFB,$S1129+2,0))</f>
        <v>0</v>
      </c>
      <c r="AB1129" s="488" t="str">
        <f ca="1">IF(AND(S1129&lt;OP!$C$24,$U1129&lt;15),0,IF(AND($U1129&lt;15,$T1129=12),ROUND(VLOOKUP($S1129,DOWN16,5,0),3),IF($T1129=12,ROUND(($Z1129/10000)*$AA1129,3)+IF(AND($P$7="購買增額繳清保險",T1129=12,U1129=110),VLOOKUP(S1129,$B$10:$H$121,7,0),0),"")))</f>
        <v/>
      </c>
      <c r="AC1129" s="350" t="str">
        <f ca="1">IF(AND(S1129&lt;OP!$C$24,$U1129&lt;15),0,IF(AND($U1129&lt;16,$T1129=12),VLOOKUP($S1129,DOWN16,4,0),IF($T1129=12,ROUND(VLOOKUP(OP!$C$55,_DIE2,$S1129+1,0)*(Z1129/10000),0)+IF(AND($P$7="購買增額繳清保險",T1129=12,U1129=110),VLOOKUP(S1129,$B$10:$H$121,7,0),0),"")))</f>
        <v/>
      </c>
      <c r="AD1129" s="347"/>
      <c r="AE1129" s="350" t="str">
        <f t="shared" ca="1" si="693"/>
        <v/>
      </c>
      <c r="AF1129" s="351" t="str">
        <f t="shared" ca="1" si="694"/>
        <v/>
      </c>
      <c r="AG1129" s="340"/>
      <c r="AH1129" s="340"/>
      <c r="AI1129" s="340"/>
      <c r="AJ1129" s="340"/>
      <c r="AK1129" s="340"/>
      <c r="AL1129" s="340"/>
      <c r="AM1129" s="340"/>
      <c r="AN1129" s="340"/>
      <c r="AO1129" s="340"/>
      <c r="AP1129" s="340"/>
      <c r="AQ1129" s="340"/>
      <c r="AR1129" s="340"/>
      <c r="AS1129" s="340"/>
      <c r="AT1129" s="340"/>
      <c r="AU1129" s="340"/>
      <c r="AV1129" s="340"/>
      <c r="AY1129" s="340"/>
      <c r="AZ1129" s="465">
        <f t="shared" ca="1" si="704"/>
        <v>7.3698599999999999E-5</v>
      </c>
      <c r="BA1129" s="464">
        <f t="shared" ca="1" si="705"/>
        <v>0</v>
      </c>
      <c r="BB1129" s="465">
        <f t="shared" ca="1" si="705"/>
        <v>7.3698599999999999E-5</v>
      </c>
      <c r="BC1129" s="466">
        <f t="shared" ca="1" si="706"/>
        <v>76976</v>
      </c>
      <c r="BD1129" s="467">
        <f t="shared" ca="1" si="719"/>
        <v>76977</v>
      </c>
      <c r="BE1129" s="467">
        <f t="shared" ca="1" si="707"/>
        <v>77006</v>
      </c>
      <c r="BF1129" s="468">
        <f ca="1">IF(計算!$BC1129&lt;OP!$C$3,0,BD1129-BC1129)</f>
        <v>1</v>
      </c>
      <c r="BG1129" s="468">
        <f ca="1">IF($BE1129&gt;DATE(YEAR($BD$9)+OP!$C$57,MONTH($BD$9),DAY($BD$9)),0,$BE1129-$BD1129+1)</f>
        <v>0</v>
      </c>
      <c r="BH1129" s="469">
        <f t="shared" ca="1" si="708"/>
        <v>1</v>
      </c>
      <c r="BI1129" t="str">
        <f t="shared" si="724"/>
        <v/>
      </c>
      <c r="BJ1129">
        <v>4</v>
      </c>
      <c r="BN1129" s="468">
        <f t="shared" si="720"/>
        <v>94</v>
      </c>
      <c r="BO1129" s="468">
        <f t="shared" si="721"/>
        <v>4</v>
      </c>
      <c r="BP1129" s="467">
        <f t="shared" ca="1" si="709"/>
        <v>76977</v>
      </c>
      <c r="BQ1129" s="475">
        <f t="shared" ca="1" si="723"/>
        <v>126</v>
      </c>
      <c r="BR1129" s="475" t="str">
        <f t="shared" si="722"/>
        <v/>
      </c>
      <c r="BS1129" s="471" t="str">
        <f t="shared" si="710"/>
        <v/>
      </c>
      <c r="BT1129" s="472" t="str">
        <f t="shared" si="725"/>
        <v/>
      </c>
      <c r="BU1129" s="472">
        <f t="shared" ca="1" si="711"/>
        <v>0</v>
      </c>
      <c r="BV1129" s="472">
        <f t="shared" ca="1" si="711"/>
        <v>0</v>
      </c>
      <c r="BW1129" s="472"/>
      <c r="BX1129" s="473">
        <f t="shared" ca="1" si="712"/>
        <v>2793167.5028667301</v>
      </c>
      <c r="BY1129" s="473">
        <f t="shared" si="713"/>
        <v>0</v>
      </c>
      <c r="BZ1129" s="473">
        <f t="shared" ca="1" si="695"/>
        <v>205.85253452699999</v>
      </c>
      <c r="CA1129" s="476">
        <f t="shared" ca="1" si="714"/>
        <v>0</v>
      </c>
      <c r="CB1129" s="494">
        <f ca="1">IF(OR($Q1128&lt;&gt;1,OP!$D$5+$BN1129-1&lt;16,$BN1129-1&lt;1),0,ROUND(ROUND(ROUND(((VLOOKUP($BN1129-1,MORE_PV,5,0)/10000)*VLOOKUP($BN1129,MORE_PV,$CB$5,0)),3)*VLOOKUP($BN1129,more1,5,0),0)/$R1128,0))</f>
        <v>0</v>
      </c>
      <c r="CC1129" s="473">
        <f t="shared" ca="1" si="715"/>
        <v>0</v>
      </c>
      <c r="CD1129" s="477"/>
    </row>
    <row r="1130" spans="2:82" ht="16.5" hidden="1">
      <c r="B1130" s="80"/>
      <c r="C1130" s="80"/>
      <c r="D1130" s="80"/>
      <c r="E1130" s="80"/>
      <c r="F1130" s="80"/>
      <c r="G1130" s="80"/>
      <c r="H1130" s="80"/>
      <c r="I1130" s="80"/>
      <c r="J1130" s="192">
        <f t="shared" si="696"/>
        <v>94</v>
      </c>
      <c r="K1130" s="192">
        <f t="shared" si="697"/>
        <v>6</v>
      </c>
      <c r="L1130" s="192" t="str">
        <f t="shared" si="692"/>
        <v/>
      </c>
      <c r="M1130" s="216" t="str">
        <f t="shared" ca="1" si="698"/>
        <v/>
      </c>
      <c r="N1130" s="216"/>
      <c r="O1130" s="216"/>
      <c r="P1130" s="216"/>
      <c r="Q1130" s="456">
        <f t="shared" ca="1" si="699"/>
        <v>1</v>
      </c>
      <c r="R1130" s="450">
        <f t="shared" ca="1" si="700"/>
        <v>12</v>
      </c>
      <c r="S1130" s="191">
        <f t="shared" si="701"/>
        <v>94</v>
      </c>
      <c r="T1130" s="191">
        <f t="shared" si="702"/>
        <v>6</v>
      </c>
      <c r="U1130" s="191">
        <f ca="1">OP!$D$5+$S1130-1</f>
        <v>126</v>
      </c>
      <c r="V1130" s="191" t="str">
        <f t="shared" si="703"/>
        <v/>
      </c>
      <c r="W1130" s="350">
        <f ca="1">IF(Q1130&lt;&gt;1,0,VLOOKUP(OP!$C$55,PVFB,$S1130+2,0))</f>
        <v>0</v>
      </c>
      <c r="X1130" s="473" t="str">
        <f t="shared" ca="1" si="716"/>
        <v/>
      </c>
      <c r="Y1130" s="348">
        <f t="shared" ca="1" si="717"/>
        <v>0</v>
      </c>
      <c r="Z1130" s="348">
        <f t="shared" ca="1" si="718"/>
        <v>8012</v>
      </c>
      <c r="AA1130" s="348">
        <f ca="1">IF(Q1130&lt;&gt;1,0,VLOOKUP(OP!$C$55,PVFB,$S1130+2,0))</f>
        <v>0</v>
      </c>
      <c r="AB1130" s="488" t="str">
        <f ca="1">IF(AND(S1130&lt;OP!$C$24,$U1130&lt;15),0,IF(AND($U1130&lt;15,$T1130=12),ROUND(VLOOKUP($S1130,DOWN16,5,0),3),IF($T1130=12,ROUND(($Z1130/10000)*$AA1130,3)+IF(AND($P$7="購買增額繳清保險",T1130=12,U1130=110),VLOOKUP(S1130,$B$10:$H$121,7,0),0),"")))</f>
        <v/>
      </c>
      <c r="AC1130" s="350" t="str">
        <f ca="1">IF(AND(S1130&lt;OP!$C$24,$U1130&lt;15),0,IF(AND($U1130&lt;16,$T1130=12),VLOOKUP($S1130,DOWN16,4,0),IF($T1130=12,ROUND(VLOOKUP(OP!$C$55,_DIE2,$S1130+1,0)*(Z1130/10000),0)+IF(AND($P$7="購買增額繳清保險",T1130=12,U1130=110),VLOOKUP(S1130,$B$10:$H$121,7,0),0),"")))</f>
        <v/>
      </c>
      <c r="AD1130" s="347"/>
      <c r="AE1130" s="350" t="str">
        <f t="shared" ca="1" si="693"/>
        <v/>
      </c>
      <c r="AF1130" s="351" t="str">
        <f t="shared" ca="1" si="694"/>
        <v/>
      </c>
      <c r="AG1130" s="340"/>
      <c r="AH1130" s="340"/>
      <c r="AI1130" s="340"/>
      <c r="AJ1130" s="340"/>
      <c r="AK1130" s="340"/>
      <c r="AL1130" s="340"/>
      <c r="AM1130" s="340"/>
      <c r="AN1130" s="340"/>
      <c r="AO1130" s="340"/>
      <c r="AP1130" s="340"/>
      <c r="AQ1130" s="340"/>
      <c r="AR1130" s="340"/>
      <c r="AS1130" s="340"/>
      <c r="AT1130" s="340"/>
      <c r="AU1130" s="340"/>
      <c r="AV1130" s="340"/>
      <c r="AY1130" s="340"/>
      <c r="AZ1130" s="465">
        <f t="shared" ca="1" si="704"/>
        <v>7.3698599999999999E-5</v>
      </c>
      <c r="BA1130" s="464">
        <f t="shared" ca="1" si="705"/>
        <v>0</v>
      </c>
      <c r="BB1130" s="465">
        <f t="shared" ca="1" si="705"/>
        <v>7.3698599999999999E-5</v>
      </c>
      <c r="BC1130" s="466">
        <f t="shared" ca="1" si="706"/>
        <v>77007</v>
      </c>
      <c r="BD1130" s="467">
        <f t="shared" ca="1" si="719"/>
        <v>77008</v>
      </c>
      <c r="BE1130" s="467">
        <f t="shared" ca="1" si="707"/>
        <v>77036</v>
      </c>
      <c r="BF1130" s="468">
        <f ca="1">IF(計算!$BC1130&lt;OP!$C$3,0,BD1130-BC1130)</f>
        <v>1</v>
      </c>
      <c r="BG1130" s="468">
        <f ca="1">IF($BE1130&gt;DATE(YEAR($BD$9)+OP!$C$57,MONTH($BD$9),DAY($BD$9)),0,$BE1130-$BD1130+1)</f>
        <v>0</v>
      </c>
      <c r="BH1130" s="469">
        <f t="shared" ca="1" si="708"/>
        <v>1</v>
      </c>
      <c r="BI1130" t="str">
        <f t="shared" si="724"/>
        <v/>
      </c>
      <c r="BJ1130">
        <v>5</v>
      </c>
      <c r="BN1130" s="468">
        <f t="shared" si="720"/>
        <v>94</v>
      </c>
      <c r="BO1130" s="468">
        <f t="shared" si="721"/>
        <v>5</v>
      </c>
      <c r="BP1130" s="467">
        <f t="shared" ca="1" si="709"/>
        <v>77008</v>
      </c>
      <c r="BQ1130" s="475">
        <f t="shared" ca="1" si="723"/>
        <v>126</v>
      </c>
      <c r="BR1130" s="475" t="str">
        <f t="shared" si="722"/>
        <v/>
      </c>
      <c r="BS1130" s="471" t="str">
        <f t="shared" si="710"/>
        <v/>
      </c>
      <c r="BT1130" s="472" t="str">
        <f t="shared" si="725"/>
        <v/>
      </c>
      <c r="BU1130" s="472">
        <f t="shared" ca="1" si="711"/>
        <v>0</v>
      </c>
      <c r="BV1130" s="472">
        <f t="shared" ca="1" si="711"/>
        <v>0</v>
      </c>
      <c r="BW1130" s="472"/>
      <c r="BX1130" s="473">
        <f t="shared" ca="1" si="712"/>
        <v>2793373.3554012598</v>
      </c>
      <c r="BY1130" s="473">
        <f t="shared" si="713"/>
        <v>0</v>
      </c>
      <c r="BZ1130" s="473">
        <f t="shared" ca="1" si="695"/>
        <v>205.86770557</v>
      </c>
      <c r="CA1130" s="476">
        <f t="shared" ca="1" si="714"/>
        <v>0</v>
      </c>
      <c r="CB1130" s="494">
        <f ca="1">IF(OR($Q1129&lt;&gt;1,OP!$D$5+$BN1130-1&lt;16,$BN1130-1&lt;1),0,ROUND(ROUND(ROUND(((VLOOKUP($BN1130-1,MORE_PV,5,0)/10000)*VLOOKUP($BN1130,MORE_PV,$CB$5,0)),3)*VLOOKUP($BN1130,more1,5,0),0)/$R1129,0))</f>
        <v>0</v>
      </c>
      <c r="CC1130" s="473">
        <f t="shared" ca="1" si="715"/>
        <v>0</v>
      </c>
      <c r="CD1130" s="477"/>
    </row>
    <row r="1131" spans="2:82" ht="16.5" hidden="1">
      <c r="B1131" s="80"/>
      <c r="C1131" s="80"/>
      <c r="D1131" s="80"/>
      <c r="E1131" s="80"/>
      <c r="F1131" s="80"/>
      <c r="G1131" s="80"/>
      <c r="H1131" s="80"/>
      <c r="I1131" s="80"/>
      <c r="J1131" s="192">
        <f t="shared" si="696"/>
        <v>94</v>
      </c>
      <c r="K1131" s="192">
        <f t="shared" si="697"/>
        <v>7</v>
      </c>
      <c r="L1131" s="192" t="str">
        <f t="shared" si="692"/>
        <v/>
      </c>
      <c r="M1131" s="216" t="str">
        <f t="shared" ca="1" si="698"/>
        <v/>
      </c>
      <c r="N1131" s="216"/>
      <c r="O1131" s="216"/>
      <c r="P1131" s="216"/>
      <c r="Q1131" s="456">
        <f t="shared" ca="1" si="699"/>
        <v>1</v>
      </c>
      <c r="R1131" s="450">
        <f t="shared" ca="1" si="700"/>
        <v>12</v>
      </c>
      <c r="S1131" s="191">
        <f t="shared" si="701"/>
        <v>94</v>
      </c>
      <c r="T1131" s="191">
        <f t="shared" si="702"/>
        <v>7</v>
      </c>
      <c r="U1131" s="191">
        <f ca="1">OP!$D$5+$S1131-1</f>
        <v>126</v>
      </c>
      <c r="V1131" s="191" t="str">
        <f t="shared" si="703"/>
        <v/>
      </c>
      <c r="W1131" s="350">
        <f ca="1">IF(Q1131&lt;&gt;1,0,VLOOKUP(OP!$C$55,PVFB,$S1131+2,0))</f>
        <v>0</v>
      </c>
      <c r="X1131" s="473" t="str">
        <f t="shared" ca="1" si="716"/>
        <v/>
      </c>
      <c r="Y1131" s="348">
        <f t="shared" ca="1" si="717"/>
        <v>0</v>
      </c>
      <c r="Z1131" s="348">
        <f t="shared" ca="1" si="718"/>
        <v>8012</v>
      </c>
      <c r="AA1131" s="348">
        <f ca="1">IF(Q1131&lt;&gt;1,0,VLOOKUP(OP!$C$55,PVFB,$S1131+2,0))</f>
        <v>0</v>
      </c>
      <c r="AB1131" s="488" t="str">
        <f ca="1">IF(AND(S1131&lt;OP!$C$24,$U1131&lt;15),0,IF(AND($U1131&lt;15,$T1131=12),ROUND(VLOOKUP($S1131,DOWN16,5,0),3),IF($T1131=12,ROUND(($Z1131/10000)*$AA1131,3)+IF(AND($P$7="購買增額繳清保險",T1131=12,U1131=110),VLOOKUP(S1131,$B$10:$H$121,7,0),0),"")))</f>
        <v/>
      </c>
      <c r="AC1131" s="350" t="str">
        <f ca="1">IF(AND(S1131&lt;OP!$C$24,$U1131&lt;15),0,IF(AND($U1131&lt;16,$T1131=12),VLOOKUP($S1131,DOWN16,4,0),IF($T1131=12,ROUND(VLOOKUP(OP!$C$55,_DIE2,$S1131+1,0)*(Z1131/10000),0)+IF(AND($P$7="購買增額繳清保險",T1131=12,U1131=110),VLOOKUP(S1131,$B$10:$H$121,7,0),0),"")))</f>
        <v/>
      </c>
      <c r="AD1131" s="347"/>
      <c r="AE1131" s="350" t="str">
        <f t="shared" ca="1" si="693"/>
        <v/>
      </c>
      <c r="AF1131" s="351" t="str">
        <f t="shared" ca="1" si="694"/>
        <v/>
      </c>
      <c r="AG1131" s="340"/>
      <c r="AH1131" s="340"/>
      <c r="AI1131" s="340"/>
      <c r="AJ1131" s="340"/>
      <c r="AK1131" s="340"/>
      <c r="AL1131" s="340"/>
      <c r="AM1131" s="340"/>
      <c r="AN1131" s="340"/>
      <c r="AO1131" s="340"/>
      <c r="AP1131" s="340"/>
      <c r="AQ1131" s="340"/>
      <c r="AR1131" s="340"/>
      <c r="AS1131" s="340"/>
      <c r="AT1131" s="340"/>
      <c r="AU1131" s="340"/>
      <c r="AV1131" s="340"/>
      <c r="AY1131" s="340"/>
      <c r="AZ1131" s="465">
        <f t="shared" ca="1" si="704"/>
        <v>7.3698599999999999E-5</v>
      </c>
      <c r="BA1131" s="464">
        <f t="shared" ca="1" si="705"/>
        <v>0</v>
      </c>
      <c r="BB1131" s="465">
        <f t="shared" ca="1" si="705"/>
        <v>7.3698599999999999E-5</v>
      </c>
      <c r="BC1131" s="466">
        <f t="shared" ca="1" si="706"/>
        <v>77037</v>
      </c>
      <c r="BD1131" s="467">
        <f t="shared" ca="1" si="719"/>
        <v>77038</v>
      </c>
      <c r="BE1131" s="467">
        <f t="shared" ca="1" si="707"/>
        <v>77067</v>
      </c>
      <c r="BF1131" s="468">
        <f ca="1">IF(計算!$BC1131&lt;OP!$C$3,0,BD1131-BC1131)</f>
        <v>1</v>
      </c>
      <c r="BG1131" s="468">
        <f ca="1">IF($BE1131&gt;DATE(YEAR($BD$9)+OP!$C$57,MONTH($BD$9),DAY($BD$9)),0,$BE1131-$BD1131+1)</f>
        <v>0</v>
      </c>
      <c r="BH1131" s="469">
        <f t="shared" ca="1" si="708"/>
        <v>1</v>
      </c>
      <c r="BI1131" t="str">
        <f t="shared" si="724"/>
        <v/>
      </c>
      <c r="BJ1131">
        <v>6</v>
      </c>
      <c r="BN1131" s="468">
        <f t="shared" si="720"/>
        <v>94</v>
      </c>
      <c r="BO1131" s="468">
        <f t="shared" si="721"/>
        <v>6</v>
      </c>
      <c r="BP1131" s="467">
        <f t="shared" ca="1" si="709"/>
        <v>77038</v>
      </c>
      <c r="BQ1131" s="475">
        <f t="shared" ca="1" si="723"/>
        <v>126</v>
      </c>
      <c r="BR1131" s="475" t="str">
        <f t="shared" si="722"/>
        <v/>
      </c>
      <c r="BS1131" s="471" t="str">
        <f t="shared" si="710"/>
        <v/>
      </c>
      <c r="BT1131" s="472" t="str">
        <f t="shared" si="725"/>
        <v/>
      </c>
      <c r="BU1131" s="472">
        <f t="shared" ca="1" si="711"/>
        <v>0</v>
      </c>
      <c r="BV1131" s="472">
        <f t="shared" ca="1" si="711"/>
        <v>0</v>
      </c>
      <c r="BW1131" s="472"/>
      <c r="BX1131" s="473">
        <f t="shared" ca="1" si="712"/>
        <v>2793579.2231068299</v>
      </c>
      <c r="BY1131" s="473">
        <f t="shared" si="713"/>
        <v>0</v>
      </c>
      <c r="BZ1131" s="473">
        <f t="shared" ca="1" si="695"/>
        <v>205.882877732</v>
      </c>
      <c r="CA1131" s="476">
        <f t="shared" ca="1" si="714"/>
        <v>0</v>
      </c>
      <c r="CB1131" s="494">
        <f ca="1">IF(OR($Q1130&lt;&gt;1,OP!$D$5+$BN1131-1&lt;16,$BN1131-1&lt;1),0,ROUND(ROUND(ROUND(((VLOOKUP($BN1131-1,MORE_PV,5,0)/10000)*VLOOKUP($BN1131,MORE_PV,$CB$5,0)),3)*VLOOKUP($BN1131,more1,5,0),0)/$R1130,0))</f>
        <v>0</v>
      </c>
      <c r="CC1131" s="473">
        <f t="shared" ca="1" si="715"/>
        <v>0</v>
      </c>
      <c r="CD1131" s="477"/>
    </row>
    <row r="1132" spans="2:82" ht="16.5" hidden="1">
      <c r="B1132" s="80"/>
      <c r="C1132" s="80"/>
      <c r="D1132" s="80"/>
      <c r="E1132" s="80"/>
      <c r="F1132" s="80"/>
      <c r="G1132" s="80"/>
      <c r="H1132" s="80"/>
      <c r="I1132" s="80"/>
      <c r="J1132" s="192">
        <f t="shared" si="696"/>
        <v>94</v>
      </c>
      <c r="K1132" s="192">
        <f t="shared" si="697"/>
        <v>8</v>
      </c>
      <c r="L1132" s="192" t="str">
        <f t="shared" si="692"/>
        <v/>
      </c>
      <c r="M1132" s="216" t="str">
        <f t="shared" ca="1" si="698"/>
        <v/>
      </c>
      <c r="N1132" s="216"/>
      <c r="O1132" s="216"/>
      <c r="P1132" s="216"/>
      <c r="Q1132" s="456">
        <f t="shared" ca="1" si="699"/>
        <v>1</v>
      </c>
      <c r="R1132" s="450">
        <f t="shared" ca="1" si="700"/>
        <v>12</v>
      </c>
      <c r="S1132" s="191">
        <f t="shared" si="701"/>
        <v>94</v>
      </c>
      <c r="T1132" s="191">
        <f t="shared" si="702"/>
        <v>8</v>
      </c>
      <c r="U1132" s="191">
        <f ca="1">OP!$D$5+$S1132-1</f>
        <v>126</v>
      </c>
      <c r="V1132" s="191" t="str">
        <f t="shared" si="703"/>
        <v/>
      </c>
      <c r="W1132" s="350">
        <f ca="1">IF(Q1132&lt;&gt;1,0,VLOOKUP(OP!$C$55,PVFB,$S1132+2,0))</f>
        <v>0</v>
      </c>
      <c r="X1132" s="473" t="str">
        <f t="shared" ca="1" si="716"/>
        <v/>
      </c>
      <c r="Y1132" s="348">
        <f t="shared" ca="1" si="717"/>
        <v>0</v>
      </c>
      <c r="Z1132" s="348">
        <f t="shared" ca="1" si="718"/>
        <v>8012</v>
      </c>
      <c r="AA1132" s="348">
        <f ca="1">IF(Q1132&lt;&gt;1,0,VLOOKUP(OP!$C$55,PVFB,$S1132+2,0))</f>
        <v>0</v>
      </c>
      <c r="AB1132" s="488" t="str">
        <f ca="1">IF(AND(S1132&lt;OP!$C$24,$U1132&lt;15),0,IF(AND($U1132&lt;15,$T1132=12),ROUND(VLOOKUP($S1132,DOWN16,5,0),3),IF($T1132=12,ROUND(($Z1132/10000)*$AA1132,3)+IF(AND($P$7="購買增額繳清保險",T1132=12,U1132=110),VLOOKUP(S1132,$B$10:$H$121,7,0),0),"")))</f>
        <v/>
      </c>
      <c r="AC1132" s="350" t="str">
        <f ca="1">IF(AND(S1132&lt;OP!$C$24,$U1132&lt;15),0,IF(AND($U1132&lt;16,$T1132=12),VLOOKUP($S1132,DOWN16,4,0),IF($T1132=12,ROUND(VLOOKUP(OP!$C$55,_DIE2,$S1132+1,0)*(Z1132/10000),0)+IF(AND($P$7="購買增額繳清保險",T1132=12,U1132=110),VLOOKUP(S1132,$B$10:$H$121,7,0),0),"")))</f>
        <v/>
      </c>
      <c r="AD1132" s="347"/>
      <c r="AE1132" s="350" t="str">
        <f t="shared" ca="1" si="693"/>
        <v/>
      </c>
      <c r="AF1132" s="351" t="str">
        <f t="shared" ca="1" si="694"/>
        <v/>
      </c>
      <c r="AG1132" s="340"/>
      <c r="AH1132" s="340"/>
      <c r="AI1132" s="340"/>
      <c r="AJ1132" s="340"/>
      <c r="AK1132" s="340"/>
      <c r="AL1132" s="340"/>
      <c r="AM1132" s="340"/>
      <c r="AN1132" s="340"/>
      <c r="AO1132" s="340"/>
      <c r="AP1132" s="340"/>
      <c r="AQ1132" s="340"/>
      <c r="AR1132" s="340"/>
      <c r="AS1132" s="340"/>
      <c r="AT1132" s="340"/>
      <c r="AU1132" s="340"/>
      <c r="AV1132" s="340"/>
      <c r="AY1132" s="340"/>
      <c r="AZ1132" s="465">
        <f t="shared" ca="1" si="704"/>
        <v>7.3698599999999999E-5</v>
      </c>
      <c r="BA1132" s="464">
        <f t="shared" ca="1" si="705"/>
        <v>0</v>
      </c>
      <c r="BB1132" s="465">
        <f t="shared" ca="1" si="705"/>
        <v>7.3698599999999999E-5</v>
      </c>
      <c r="BC1132" s="466">
        <f t="shared" ca="1" si="706"/>
        <v>77068</v>
      </c>
      <c r="BD1132" s="467">
        <f t="shared" ca="1" si="719"/>
        <v>77069</v>
      </c>
      <c r="BE1132" s="467">
        <f t="shared" ca="1" si="707"/>
        <v>77098</v>
      </c>
      <c r="BF1132" s="468">
        <f ca="1">IF(計算!$BC1132&lt;OP!$C$3,0,BD1132-BC1132)</f>
        <v>1</v>
      </c>
      <c r="BG1132" s="468">
        <f ca="1">IF($BE1132&gt;DATE(YEAR($BD$9)+OP!$C$57,MONTH($BD$9),DAY($BD$9)),0,$BE1132-$BD1132+1)</f>
        <v>0</v>
      </c>
      <c r="BH1132" s="469">
        <f t="shared" ca="1" si="708"/>
        <v>1</v>
      </c>
      <c r="BI1132" t="str">
        <f t="shared" si="724"/>
        <v/>
      </c>
      <c r="BJ1132">
        <v>7</v>
      </c>
      <c r="BN1132" s="468">
        <f t="shared" si="720"/>
        <v>94</v>
      </c>
      <c r="BO1132" s="468">
        <f t="shared" si="721"/>
        <v>7</v>
      </c>
      <c r="BP1132" s="467">
        <f t="shared" ca="1" si="709"/>
        <v>77069</v>
      </c>
      <c r="BQ1132" s="475">
        <f t="shared" ca="1" si="723"/>
        <v>126</v>
      </c>
      <c r="BR1132" s="475" t="str">
        <f t="shared" si="722"/>
        <v/>
      </c>
      <c r="BS1132" s="471" t="str">
        <f t="shared" si="710"/>
        <v/>
      </c>
      <c r="BT1132" s="472" t="str">
        <f t="shared" si="725"/>
        <v/>
      </c>
      <c r="BU1132" s="472">
        <f t="shared" ca="1" si="711"/>
        <v>0</v>
      </c>
      <c r="BV1132" s="472">
        <f t="shared" ca="1" si="711"/>
        <v>0</v>
      </c>
      <c r="BW1132" s="472"/>
      <c r="BX1132" s="473">
        <f t="shared" ca="1" si="712"/>
        <v>2793785.1059845602</v>
      </c>
      <c r="BY1132" s="473">
        <f t="shared" si="713"/>
        <v>0</v>
      </c>
      <c r="BZ1132" s="473">
        <f t="shared" ca="1" si="695"/>
        <v>205.898051012</v>
      </c>
      <c r="CA1132" s="476">
        <f t="shared" ca="1" si="714"/>
        <v>0</v>
      </c>
      <c r="CB1132" s="494">
        <f ca="1">IF(OR($Q1131&lt;&gt;1,OP!$D$5+$BN1132-1&lt;16,$BN1132-1&lt;1),0,ROUND(ROUND(ROUND(((VLOOKUP($BN1132-1,MORE_PV,5,0)/10000)*VLOOKUP($BN1132,MORE_PV,$CB$5,0)),3)*VLOOKUP($BN1132,more1,5,0),0)/$R1131,0))</f>
        <v>0</v>
      </c>
      <c r="CC1132" s="473">
        <f t="shared" ca="1" si="715"/>
        <v>0</v>
      </c>
      <c r="CD1132" s="477"/>
    </row>
    <row r="1133" spans="2:82" ht="16.5" hidden="1">
      <c r="B1133" s="80"/>
      <c r="C1133" s="80"/>
      <c r="D1133" s="80"/>
      <c r="E1133" s="80"/>
      <c r="F1133" s="80"/>
      <c r="G1133" s="80"/>
      <c r="H1133" s="80"/>
      <c r="I1133" s="80"/>
      <c r="J1133" s="192">
        <f t="shared" si="696"/>
        <v>94</v>
      </c>
      <c r="K1133" s="192">
        <f t="shared" si="697"/>
        <v>9</v>
      </c>
      <c r="L1133" s="192" t="str">
        <f t="shared" si="692"/>
        <v/>
      </c>
      <c r="M1133" s="216" t="str">
        <f t="shared" ca="1" si="698"/>
        <v/>
      </c>
      <c r="N1133" s="216"/>
      <c r="O1133" s="216"/>
      <c r="P1133" s="216"/>
      <c r="Q1133" s="456">
        <f t="shared" ca="1" si="699"/>
        <v>1</v>
      </c>
      <c r="R1133" s="450">
        <f t="shared" ca="1" si="700"/>
        <v>12</v>
      </c>
      <c r="S1133" s="191">
        <f t="shared" si="701"/>
        <v>94</v>
      </c>
      <c r="T1133" s="191">
        <f t="shared" si="702"/>
        <v>9</v>
      </c>
      <c r="U1133" s="191">
        <f ca="1">OP!$D$5+$S1133-1</f>
        <v>126</v>
      </c>
      <c r="V1133" s="191" t="str">
        <f t="shared" si="703"/>
        <v/>
      </c>
      <c r="W1133" s="350">
        <f ca="1">IF(Q1133&lt;&gt;1,0,VLOOKUP(OP!$C$55,PVFB,$S1133+2,0))</f>
        <v>0</v>
      </c>
      <c r="X1133" s="473" t="str">
        <f t="shared" ca="1" si="716"/>
        <v/>
      </c>
      <c r="Y1133" s="348">
        <f t="shared" ca="1" si="717"/>
        <v>0</v>
      </c>
      <c r="Z1133" s="348">
        <f t="shared" ca="1" si="718"/>
        <v>8012</v>
      </c>
      <c r="AA1133" s="348">
        <f ca="1">IF(Q1133&lt;&gt;1,0,VLOOKUP(OP!$C$55,PVFB,$S1133+2,0))</f>
        <v>0</v>
      </c>
      <c r="AB1133" s="488" t="str">
        <f ca="1">IF(AND(S1133&lt;OP!$C$24,$U1133&lt;15),0,IF(AND($U1133&lt;15,$T1133=12),ROUND(VLOOKUP($S1133,DOWN16,5,0),3),IF($T1133=12,ROUND(($Z1133/10000)*$AA1133,3)+IF(AND($P$7="購買增額繳清保險",T1133=12,U1133=110),VLOOKUP(S1133,$B$10:$H$121,7,0),0),"")))</f>
        <v/>
      </c>
      <c r="AC1133" s="350" t="str">
        <f ca="1">IF(AND(S1133&lt;OP!$C$24,$U1133&lt;15),0,IF(AND($U1133&lt;16,$T1133=12),VLOOKUP($S1133,DOWN16,4,0),IF($T1133=12,ROUND(VLOOKUP(OP!$C$55,_DIE2,$S1133+1,0)*(Z1133/10000),0)+IF(AND($P$7="購買增額繳清保險",T1133=12,U1133=110),VLOOKUP(S1133,$B$10:$H$121,7,0),0),"")))</f>
        <v/>
      </c>
      <c r="AD1133" s="347"/>
      <c r="AE1133" s="350" t="str">
        <f t="shared" ca="1" si="693"/>
        <v/>
      </c>
      <c r="AF1133" s="351" t="str">
        <f t="shared" ca="1" si="694"/>
        <v/>
      </c>
      <c r="AG1133" s="340"/>
      <c r="AH1133" s="340"/>
      <c r="AI1133" s="340"/>
      <c r="AJ1133" s="340"/>
      <c r="AK1133" s="340"/>
      <c r="AL1133" s="340"/>
      <c r="AM1133" s="340"/>
      <c r="AN1133" s="340"/>
      <c r="AO1133" s="340"/>
      <c r="AP1133" s="340"/>
      <c r="AQ1133" s="340"/>
      <c r="AR1133" s="340"/>
      <c r="AS1133" s="340"/>
      <c r="AT1133" s="340"/>
      <c r="AU1133" s="340"/>
      <c r="AV1133" s="340"/>
      <c r="AY1133" s="340"/>
      <c r="AZ1133" s="465">
        <f t="shared" ca="1" si="704"/>
        <v>7.3698599999999999E-5</v>
      </c>
      <c r="BA1133" s="464">
        <f t="shared" ca="1" si="705"/>
        <v>0</v>
      </c>
      <c r="BB1133" s="465">
        <f t="shared" ca="1" si="705"/>
        <v>7.3698599999999999E-5</v>
      </c>
      <c r="BC1133" s="466">
        <f t="shared" ca="1" si="706"/>
        <v>77099</v>
      </c>
      <c r="BD1133" s="467">
        <f t="shared" ca="1" si="719"/>
        <v>77100</v>
      </c>
      <c r="BE1133" s="467">
        <f t="shared" ca="1" si="707"/>
        <v>77126</v>
      </c>
      <c r="BF1133" s="468">
        <f ca="1">IF(計算!$BC1133&lt;OP!$C$3,0,BD1133-BC1133)</f>
        <v>1</v>
      </c>
      <c r="BG1133" s="468">
        <f ca="1">IF($BE1133&gt;DATE(YEAR($BD$9)+OP!$C$57,MONTH($BD$9),DAY($BD$9)),0,$BE1133-$BD1133+1)</f>
        <v>0</v>
      </c>
      <c r="BH1133" s="469">
        <f t="shared" ca="1" si="708"/>
        <v>1</v>
      </c>
      <c r="BI1133" t="str">
        <f t="shared" si="724"/>
        <v/>
      </c>
      <c r="BJ1133">
        <v>8</v>
      </c>
      <c r="BN1133" s="468">
        <f t="shared" si="720"/>
        <v>94</v>
      </c>
      <c r="BO1133" s="468">
        <f t="shared" si="721"/>
        <v>8</v>
      </c>
      <c r="BP1133" s="467">
        <f t="shared" ca="1" si="709"/>
        <v>77100</v>
      </c>
      <c r="BQ1133" s="475">
        <f t="shared" ca="1" si="723"/>
        <v>126</v>
      </c>
      <c r="BR1133" s="475" t="str">
        <f t="shared" si="722"/>
        <v/>
      </c>
      <c r="BS1133" s="471" t="str">
        <f t="shared" si="710"/>
        <v/>
      </c>
      <c r="BT1133" s="472" t="str">
        <f t="shared" si="725"/>
        <v/>
      </c>
      <c r="BU1133" s="472">
        <f t="shared" ca="1" si="711"/>
        <v>0</v>
      </c>
      <c r="BV1133" s="472">
        <f t="shared" ca="1" si="711"/>
        <v>0</v>
      </c>
      <c r="BW1133" s="472"/>
      <c r="BX1133" s="473">
        <f t="shared" ca="1" si="712"/>
        <v>2793991.0040355702</v>
      </c>
      <c r="BY1133" s="473">
        <f t="shared" si="713"/>
        <v>0</v>
      </c>
      <c r="BZ1133" s="473">
        <f t="shared" ca="1" si="695"/>
        <v>205.91322541</v>
      </c>
      <c r="CA1133" s="476">
        <f t="shared" ca="1" si="714"/>
        <v>0</v>
      </c>
      <c r="CB1133" s="494">
        <f ca="1">IF(OR($Q1132&lt;&gt;1,OP!$D$5+$BN1133-1&lt;16,$BN1133-1&lt;1),0,ROUND(ROUND(ROUND(((VLOOKUP($BN1133-1,MORE_PV,5,0)/10000)*VLOOKUP($BN1133,MORE_PV,$CB$5,0)),3)*VLOOKUP($BN1133,more1,5,0),0)/$R1132,0))</f>
        <v>0</v>
      </c>
      <c r="CC1133" s="473">
        <f t="shared" ca="1" si="715"/>
        <v>0</v>
      </c>
      <c r="CD1133" s="477"/>
    </row>
    <row r="1134" spans="2:82" ht="16.5" hidden="1">
      <c r="B1134" s="80"/>
      <c r="C1134" s="80"/>
      <c r="D1134" s="80"/>
      <c r="E1134" s="80"/>
      <c r="F1134" s="80"/>
      <c r="G1134" s="80"/>
      <c r="H1134" s="80"/>
      <c r="I1134" s="80"/>
      <c r="J1134" s="192">
        <f t="shared" si="696"/>
        <v>94</v>
      </c>
      <c r="K1134" s="192">
        <f t="shared" si="697"/>
        <v>10</v>
      </c>
      <c r="L1134" s="192" t="str">
        <f t="shared" si="692"/>
        <v/>
      </c>
      <c r="M1134" s="216" t="str">
        <f t="shared" ca="1" si="698"/>
        <v/>
      </c>
      <c r="N1134" s="216"/>
      <c r="O1134" s="216"/>
      <c r="P1134" s="216"/>
      <c r="Q1134" s="456">
        <f t="shared" ca="1" si="699"/>
        <v>1</v>
      </c>
      <c r="R1134" s="450">
        <f t="shared" ca="1" si="700"/>
        <v>12</v>
      </c>
      <c r="S1134" s="191">
        <f t="shared" si="701"/>
        <v>94</v>
      </c>
      <c r="T1134" s="191">
        <f t="shared" si="702"/>
        <v>10</v>
      </c>
      <c r="U1134" s="191">
        <f ca="1">OP!$D$5+$S1134-1</f>
        <v>126</v>
      </c>
      <c r="V1134" s="191" t="str">
        <f t="shared" si="703"/>
        <v/>
      </c>
      <c r="W1134" s="350">
        <f ca="1">IF(Q1134&lt;&gt;1,0,VLOOKUP(OP!$C$55,PVFB,$S1134+2,0))</f>
        <v>0</v>
      </c>
      <c r="X1134" s="473" t="str">
        <f t="shared" ca="1" si="716"/>
        <v/>
      </c>
      <c r="Y1134" s="348">
        <f t="shared" ca="1" si="717"/>
        <v>0</v>
      </c>
      <c r="Z1134" s="348">
        <f t="shared" ca="1" si="718"/>
        <v>8012</v>
      </c>
      <c r="AA1134" s="348">
        <f ca="1">IF(Q1134&lt;&gt;1,0,VLOOKUP(OP!$C$55,PVFB,$S1134+2,0))</f>
        <v>0</v>
      </c>
      <c r="AB1134" s="488" t="str">
        <f ca="1">IF(AND(S1134&lt;OP!$C$24,$U1134&lt;15),0,IF(AND($U1134&lt;15,$T1134=12),ROUND(VLOOKUP($S1134,DOWN16,5,0),3),IF($T1134=12,ROUND(($Z1134/10000)*$AA1134,3)+IF(AND($P$7="購買增額繳清保險",T1134=12,U1134=110),VLOOKUP(S1134,$B$10:$H$121,7,0),0),"")))</f>
        <v/>
      </c>
      <c r="AC1134" s="350" t="str">
        <f ca="1">IF(AND(S1134&lt;OP!$C$24,$U1134&lt;15),0,IF(AND($U1134&lt;16,$T1134=12),VLOOKUP($S1134,DOWN16,4,0),IF($T1134=12,ROUND(VLOOKUP(OP!$C$55,_DIE2,$S1134+1,0)*(Z1134/10000),0)+IF(AND($P$7="購買增額繳清保險",T1134=12,U1134=110),VLOOKUP(S1134,$B$10:$H$121,7,0),0),"")))</f>
        <v/>
      </c>
      <c r="AD1134" s="347"/>
      <c r="AE1134" s="350" t="str">
        <f t="shared" ca="1" si="693"/>
        <v/>
      </c>
      <c r="AF1134" s="351" t="str">
        <f t="shared" ca="1" si="694"/>
        <v/>
      </c>
      <c r="AG1134" s="340"/>
      <c r="AH1134" s="340"/>
      <c r="AI1134" s="340"/>
      <c r="AJ1134" s="340"/>
      <c r="AK1134" s="340"/>
      <c r="AL1134" s="340"/>
      <c r="AM1134" s="340"/>
      <c r="AN1134" s="340"/>
      <c r="AO1134" s="340"/>
      <c r="AP1134" s="340"/>
      <c r="AQ1134" s="340"/>
      <c r="AR1134" s="340"/>
      <c r="AS1134" s="340"/>
      <c r="AT1134" s="340"/>
      <c r="AU1134" s="340"/>
      <c r="AV1134" s="340"/>
      <c r="AY1134" s="340"/>
      <c r="AZ1134" s="465">
        <f t="shared" ca="1" si="704"/>
        <v>7.3698599999999999E-5</v>
      </c>
      <c r="BA1134" s="464">
        <f t="shared" ca="1" si="705"/>
        <v>0</v>
      </c>
      <c r="BB1134" s="465">
        <f t="shared" ca="1" si="705"/>
        <v>7.3698599999999999E-5</v>
      </c>
      <c r="BC1134" s="466">
        <f t="shared" ca="1" si="706"/>
        <v>77127</v>
      </c>
      <c r="BD1134" s="467">
        <f t="shared" ca="1" si="719"/>
        <v>77128</v>
      </c>
      <c r="BE1134" s="467">
        <f t="shared" ca="1" si="707"/>
        <v>77157</v>
      </c>
      <c r="BF1134" s="468">
        <f ca="1">IF(計算!$BC1134&lt;OP!$C$3,0,BD1134-BC1134)</f>
        <v>1</v>
      </c>
      <c r="BG1134" s="468">
        <f ca="1">IF($BE1134&gt;DATE(YEAR($BD$9)+OP!$C$57,MONTH($BD$9),DAY($BD$9)),0,$BE1134-$BD1134+1)</f>
        <v>0</v>
      </c>
      <c r="BH1134" s="469">
        <f t="shared" ca="1" si="708"/>
        <v>1</v>
      </c>
      <c r="BI1134" t="str">
        <f t="shared" si="724"/>
        <v/>
      </c>
      <c r="BJ1134">
        <v>9</v>
      </c>
      <c r="BN1134" s="468">
        <f t="shared" si="720"/>
        <v>94</v>
      </c>
      <c r="BO1134" s="468">
        <f t="shared" si="721"/>
        <v>9</v>
      </c>
      <c r="BP1134" s="467">
        <f t="shared" ca="1" si="709"/>
        <v>77128</v>
      </c>
      <c r="BQ1134" s="475">
        <f t="shared" ca="1" si="723"/>
        <v>126</v>
      </c>
      <c r="BR1134" s="475" t="str">
        <f t="shared" si="722"/>
        <v/>
      </c>
      <c r="BS1134" s="471" t="str">
        <f t="shared" si="710"/>
        <v/>
      </c>
      <c r="BT1134" s="472" t="str">
        <f t="shared" si="725"/>
        <v/>
      </c>
      <c r="BU1134" s="472">
        <f t="shared" ca="1" si="711"/>
        <v>0</v>
      </c>
      <c r="BV1134" s="472">
        <f t="shared" ca="1" si="711"/>
        <v>0</v>
      </c>
      <c r="BW1134" s="472"/>
      <c r="BX1134" s="473">
        <f t="shared" ca="1" si="712"/>
        <v>2794196.9172609798</v>
      </c>
      <c r="BY1134" s="473">
        <f t="shared" si="713"/>
        <v>0</v>
      </c>
      <c r="BZ1134" s="473">
        <f t="shared" ca="1" si="695"/>
        <v>205.92840092599999</v>
      </c>
      <c r="CA1134" s="476">
        <f t="shared" ca="1" si="714"/>
        <v>0</v>
      </c>
      <c r="CB1134" s="494">
        <f ca="1">IF(OR($Q1133&lt;&gt;1,OP!$D$5+$BN1134-1&lt;16,$BN1134-1&lt;1),0,ROUND(ROUND(ROUND(((VLOOKUP($BN1134-1,MORE_PV,5,0)/10000)*VLOOKUP($BN1134,MORE_PV,$CB$5,0)),3)*VLOOKUP($BN1134,more1,5,0),0)/$R1133,0))</f>
        <v>0</v>
      </c>
      <c r="CC1134" s="473">
        <f t="shared" ca="1" si="715"/>
        <v>0</v>
      </c>
      <c r="CD1134" s="477"/>
    </row>
    <row r="1135" spans="2:82" ht="16.5" hidden="1">
      <c r="B1135" s="80"/>
      <c r="C1135" s="80"/>
      <c r="D1135" s="80"/>
      <c r="E1135" s="80"/>
      <c r="F1135" s="80"/>
      <c r="G1135" s="80"/>
      <c r="H1135" s="80"/>
      <c r="I1135" s="80"/>
      <c r="J1135" s="192">
        <f t="shared" si="696"/>
        <v>94</v>
      </c>
      <c r="K1135" s="192">
        <f t="shared" si="697"/>
        <v>11</v>
      </c>
      <c r="L1135" s="192" t="str">
        <f t="shared" si="692"/>
        <v/>
      </c>
      <c r="M1135" s="216" t="str">
        <f t="shared" ca="1" si="698"/>
        <v/>
      </c>
      <c r="N1135" s="216"/>
      <c r="O1135" s="216"/>
      <c r="P1135" s="216"/>
      <c r="Q1135" s="456">
        <f t="shared" ca="1" si="699"/>
        <v>1</v>
      </c>
      <c r="R1135" s="450">
        <f t="shared" ca="1" si="700"/>
        <v>12</v>
      </c>
      <c r="S1135" s="191">
        <f t="shared" si="701"/>
        <v>94</v>
      </c>
      <c r="T1135" s="191">
        <f t="shared" si="702"/>
        <v>11</v>
      </c>
      <c r="U1135" s="191">
        <f ca="1">OP!$D$5+$S1135-1</f>
        <v>126</v>
      </c>
      <c r="V1135" s="191" t="str">
        <f t="shared" si="703"/>
        <v/>
      </c>
      <c r="W1135" s="350">
        <f ca="1">IF(Q1135&lt;&gt;1,0,VLOOKUP(OP!$C$55,PVFB,$S1135+2,0))</f>
        <v>0</v>
      </c>
      <c r="X1135" s="473" t="str">
        <f t="shared" ca="1" si="716"/>
        <v/>
      </c>
      <c r="Y1135" s="348">
        <f t="shared" ca="1" si="717"/>
        <v>0</v>
      </c>
      <c r="Z1135" s="348">
        <f t="shared" ca="1" si="718"/>
        <v>8012</v>
      </c>
      <c r="AA1135" s="348">
        <f ca="1">IF(Q1135&lt;&gt;1,0,VLOOKUP(OP!$C$55,PVFB,$S1135+2,0))</f>
        <v>0</v>
      </c>
      <c r="AB1135" s="488" t="str">
        <f ca="1">IF(AND(S1135&lt;OP!$C$24,$U1135&lt;15),0,IF(AND($U1135&lt;15,$T1135=12),ROUND(VLOOKUP($S1135,DOWN16,5,0),3),IF($T1135=12,ROUND(($Z1135/10000)*$AA1135,3)+IF(AND($P$7="購買增額繳清保險",T1135=12,U1135=110),VLOOKUP(S1135,$B$10:$H$121,7,0),0),"")))</f>
        <v/>
      </c>
      <c r="AC1135" s="350" t="str">
        <f ca="1">IF(AND(S1135&lt;OP!$C$24,$U1135&lt;15),0,IF(AND($U1135&lt;16,$T1135=12),VLOOKUP($S1135,DOWN16,4,0),IF($T1135=12,ROUND(VLOOKUP(OP!$C$55,_DIE2,$S1135+1,0)*(Z1135/10000),0)+IF(AND($P$7="購買增額繳清保險",T1135=12,U1135=110),VLOOKUP(S1135,$B$10:$H$121,7,0),0),"")))</f>
        <v/>
      </c>
      <c r="AD1135" s="347"/>
      <c r="AE1135" s="350" t="str">
        <f t="shared" ca="1" si="693"/>
        <v/>
      </c>
      <c r="AF1135" s="351" t="str">
        <f t="shared" ca="1" si="694"/>
        <v/>
      </c>
      <c r="AG1135" s="340"/>
      <c r="AH1135" s="340"/>
      <c r="AI1135" s="340"/>
      <c r="AJ1135" s="340"/>
      <c r="AK1135" s="340"/>
      <c r="AL1135" s="340"/>
      <c r="AM1135" s="340"/>
      <c r="AN1135" s="340"/>
      <c r="AO1135" s="340"/>
      <c r="AP1135" s="340"/>
      <c r="AQ1135" s="340"/>
      <c r="AR1135" s="340"/>
      <c r="AS1135" s="340"/>
      <c r="AT1135" s="340"/>
      <c r="AU1135" s="340"/>
      <c r="AV1135" s="340"/>
      <c r="AY1135" s="340"/>
      <c r="AZ1135" s="465">
        <f t="shared" ca="1" si="704"/>
        <v>7.3698599999999999E-5</v>
      </c>
      <c r="BA1135" s="464">
        <f t="shared" ca="1" si="705"/>
        <v>0</v>
      </c>
      <c r="BB1135" s="465">
        <f t="shared" ca="1" si="705"/>
        <v>7.3698599999999999E-5</v>
      </c>
      <c r="BC1135" s="466">
        <f t="shared" ca="1" si="706"/>
        <v>77158</v>
      </c>
      <c r="BD1135" s="467">
        <f t="shared" ca="1" si="719"/>
        <v>77159</v>
      </c>
      <c r="BE1135" s="467">
        <f t="shared" ca="1" si="707"/>
        <v>77187</v>
      </c>
      <c r="BF1135" s="468">
        <f ca="1">IF(計算!$BC1135&lt;OP!$C$3,0,BD1135-BC1135)</f>
        <v>1</v>
      </c>
      <c r="BG1135" s="468">
        <f ca="1">IF($BE1135&gt;DATE(YEAR($BD$9)+OP!$C$57,MONTH($BD$9),DAY($BD$9)),0,$BE1135-$BD1135+1)</f>
        <v>0</v>
      </c>
      <c r="BH1135" s="469">
        <f t="shared" ca="1" si="708"/>
        <v>1</v>
      </c>
      <c r="BI1135" t="str">
        <f t="shared" si="724"/>
        <v/>
      </c>
      <c r="BJ1135">
        <v>10</v>
      </c>
      <c r="BN1135" s="468">
        <f t="shared" si="720"/>
        <v>94</v>
      </c>
      <c r="BO1135" s="468">
        <f t="shared" si="721"/>
        <v>10</v>
      </c>
      <c r="BP1135" s="467">
        <f t="shared" ca="1" si="709"/>
        <v>77159</v>
      </c>
      <c r="BQ1135" s="475">
        <f t="shared" ca="1" si="723"/>
        <v>126</v>
      </c>
      <c r="BR1135" s="475" t="str">
        <f t="shared" si="722"/>
        <v/>
      </c>
      <c r="BS1135" s="471" t="str">
        <f t="shared" si="710"/>
        <v/>
      </c>
      <c r="BT1135" s="472" t="str">
        <f t="shared" si="725"/>
        <v/>
      </c>
      <c r="BU1135" s="472">
        <f t="shared" ca="1" si="711"/>
        <v>0</v>
      </c>
      <c r="BV1135" s="472">
        <f t="shared" ca="1" si="711"/>
        <v>0</v>
      </c>
      <c r="BW1135" s="472"/>
      <c r="BX1135" s="473">
        <f t="shared" ca="1" si="712"/>
        <v>2794402.8456619098</v>
      </c>
      <c r="BY1135" s="473">
        <f t="shared" si="713"/>
        <v>0</v>
      </c>
      <c r="BZ1135" s="473">
        <f t="shared" ca="1" si="695"/>
        <v>205.94357756100001</v>
      </c>
      <c r="CA1135" s="476">
        <f t="shared" ca="1" si="714"/>
        <v>0</v>
      </c>
      <c r="CB1135" s="494">
        <f ca="1">IF(OR($Q1134&lt;&gt;1,OP!$D$5+$BN1135-1&lt;16,$BN1135-1&lt;1),0,ROUND(ROUND(ROUND(((VLOOKUP($BN1135-1,MORE_PV,5,0)/10000)*VLOOKUP($BN1135,MORE_PV,$CB$5,0)),3)*VLOOKUP($BN1135,more1,5,0),0)/$R1134,0))</f>
        <v>0</v>
      </c>
      <c r="CC1135" s="473">
        <f t="shared" ca="1" si="715"/>
        <v>0</v>
      </c>
      <c r="CD1135" s="477"/>
    </row>
    <row r="1136" spans="2:82" ht="16.5" hidden="1">
      <c r="B1136" s="80"/>
      <c r="C1136" s="80"/>
      <c r="D1136" s="80"/>
      <c r="E1136" s="80"/>
      <c r="F1136" s="80"/>
      <c r="G1136" s="80"/>
      <c r="H1136" s="80"/>
      <c r="I1136" s="80"/>
      <c r="J1136" s="192">
        <f t="shared" si="696"/>
        <v>94</v>
      </c>
      <c r="K1136" s="192">
        <f t="shared" si="697"/>
        <v>12</v>
      </c>
      <c r="L1136" s="192">
        <f t="shared" si="692"/>
        <v>94</v>
      </c>
      <c r="M1136" s="216">
        <f t="shared" ca="1" si="698"/>
        <v>2795020</v>
      </c>
      <c r="N1136" s="216"/>
      <c r="O1136" s="216"/>
      <c r="P1136" s="216"/>
      <c r="Q1136" s="456">
        <f t="shared" ca="1" si="699"/>
        <v>1</v>
      </c>
      <c r="R1136" s="450">
        <f t="shared" ca="1" si="700"/>
        <v>12</v>
      </c>
      <c r="S1136" s="191">
        <f t="shared" si="701"/>
        <v>94</v>
      </c>
      <c r="T1136" s="191">
        <f t="shared" si="702"/>
        <v>12</v>
      </c>
      <c r="U1136" s="191">
        <f ca="1">OP!$D$5+$S1136-1</f>
        <v>126</v>
      </c>
      <c r="V1136" s="191">
        <f t="shared" si="703"/>
        <v>94</v>
      </c>
      <c r="W1136" s="350">
        <f ca="1">IF(Q1136&lt;&gt;1,0,VLOOKUP(OP!$C$55,PVFB,$S1136+2,0))</f>
        <v>0</v>
      </c>
      <c r="X1136" s="473">
        <f t="shared" ca="1" si="716"/>
        <v>0</v>
      </c>
      <c r="Y1136" s="348">
        <f t="shared" ca="1" si="717"/>
        <v>0</v>
      </c>
      <c r="Z1136" s="348">
        <f t="shared" ca="1" si="718"/>
        <v>8012</v>
      </c>
      <c r="AA1136" s="348">
        <f ca="1">IF(Q1136&lt;&gt;1,0,VLOOKUP(OP!$C$55,PVFB,$S1136+2,0))</f>
        <v>0</v>
      </c>
      <c r="AB1136" s="488">
        <f ca="1">IF(AND(S1136&lt;OP!$C$24,$U1136&lt;15),0,IF(AND($U1136&lt;15,$T1136=12),ROUND(VLOOKUP($S1136,DOWN16,5,0),3),IF($T1136=12,ROUND(($Z1136/10000)*$AA1136,3)+IF(AND($P$7="購買增額繳清保險",T1136=12,U1136=110),VLOOKUP(S1136,$B$10:$H$121,7,0),0),"")))</f>
        <v>0</v>
      </c>
      <c r="AC1136" s="350">
        <f ca="1">IF(AND(S1136&lt;OP!$C$24,$U1136&lt;15),0,IF(AND($U1136&lt;16,$T1136=12),VLOOKUP($S1136,DOWN16,4,0),IF($T1136=12,ROUND(VLOOKUP(OP!$C$55,_DIE2,$S1136+1,0)*(Z1136/10000),0)+IF(AND($P$7="購買增額繳清保險",T1136=12,U1136=110),VLOOKUP(S1136,$B$10:$H$121,7,0),0),"")))</f>
        <v>0</v>
      </c>
      <c r="AD1136" s="347"/>
      <c r="AE1136" s="350" t="str">
        <f t="shared" ca="1" si="693"/>
        <v/>
      </c>
      <c r="AF1136" s="351" t="str">
        <f t="shared" ca="1" si="694"/>
        <v/>
      </c>
      <c r="AG1136" s="340"/>
      <c r="AH1136" s="340"/>
      <c r="AI1136" s="340"/>
      <c r="AJ1136" s="340"/>
      <c r="AK1136" s="340"/>
      <c r="AL1136" s="340"/>
      <c r="AM1136" s="340"/>
      <c r="AN1136" s="340"/>
      <c r="AO1136" s="340"/>
      <c r="AP1136" s="340"/>
      <c r="AQ1136" s="340"/>
      <c r="AR1136" s="340"/>
      <c r="AS1136" s="340"/>
      <c r="AT1136" s="340"/>
      <c r="AU1136" s="340"/>
      <c r="AV1136" s="340"/>
      <c r="AY1136" s="340"/>
      <c r="AZ1136" s="465">
        <f t="shared" ca="1" si="704"/>
        <v>7.3698599999999999E-5</v>
      </c>
      <c r="BA1136" s="464">
        <f t="shared" ca="1" si="705"/>
        <v>0</v>
      </c>
      <c r="BB1136" s="465">
        <f t="shared" ca="1" si="705"/>
        <v>7.3698599999999999E-5</v>
      </c>
      <c r="BC1136" s="466">
        <f t="shared" ca="1" si="706"/>
        <v>77188</v>
      </c>
      <c r="BD1136" s="467">
        <f t="shared" ca="1" si="719"/>
        <v>77189</v>
      </c>
      <c r="BE1136" s="467">
        <f t="shared" ca="1" si="707"/>
        <v>77218</v>
      </c>
      <c r="BF1136" s="468">
        <f ca="1">IF(計算!$BC1136&lt;OP!$C$3,0,BD1136-BC1136)</f>
        <v>1</v>
      </c>
      <c r="BG1136" s="468">
        <f ca="1">IF($BE1136&gt;DATE(YEAR($BD$9)+OP!$C$57,MONTH($BD$9),DAY($BD$9)),0,$BE1136-$BD1136+1)</f>
        <v>0</v>
      </c>
      <c r="BH1136" s="469">
        <f t="shared" ca="1" si="708"/>
        <v>1</v>
      </c>
      <c r="BI1136" t="str">
        <f t="shared" si="724"/>
        <v/>
      </c>
      <c r="BJ1136">
        <v>11</v>
      </c>
      <c r="BN1136" s="468">
        <f t="shared" si="720"/>
        <v>94</v>
      </c>
      <c r="BO1136" s="468">
        <f t="shared" si="721"/>
        <v>11</v>
      </c>
      <c r="BP1136" s="467">
        <f t="shared" ca="1" si="709"/>
        <v>77189</v>
      </c>
      <c r="BQ1136" s="475">
        <f t="shared" ca="1" si="723"/>
        <v>126</v>
      </c>
      <c r="BR1136" s="475" t="str">
        <f t="shared" si="722"/>
        <v/>
      </c>
      <c r="BS1136" s="471" t="str">
        <f t="shared" si="710"/>
        <v/>
      </c>
      <c r="BT1136" s="472" t="str">
        <f t="shared" si="725"/>
        <v/>
      </c>
      <c r="BU1136" s="472">
        <f t="shared" ca="1" si="711"/>
        <v>0</v>
      </c>
      <c r="BV1136" s="472">
        <f t="shared" ca="1" si="711"/>
        <v>0</v>
      </c>
      <c r="BW1136" s="472"/>
      <c r="BX1136" s="473">
        <f t="shared" ca="1" si="712"/>
        <v>2794608.7892394699</v>
      </c>
      <c r="BY1136" s="473">
        <f t="shared" si="713"/>
        <v>0</v>
      </c>
      <c r="BZ1136" s="473">
        <f t="shared" ca="1" si="695"/>
        <v>205.95875531499999</v>
      </c>
      <c r="CA1136" s="476">
        <f t="shared" ca="1" si="714"/>
        <v>0</v>
      </c>
      <c r="CB1136" s="494">
        <f ca="1">IF(OR($Q1135&lt;&gt;1,OP!$D$5+$BN1136-1&lt;16,$BN1136-1&lt;1),0,ROUND(ROUND(ROUND(((VLOOKUP($BN1136-1,MORE_PV,5,0)/10000)*VLOOKUP($BN1136,MORE_PV,$CB$5,0)),3)*VLOOKUP($BN1136,more1,5,0),0)/$R1135,0))</f>
        <v>0</v>
      </c>
      <c r="CC1136" s="473">
        <f t="shared" ca="1" si="715"/>
        <v>0</v>
      </c>
      <c r="CD1136" s="477"/>
    </row>
    <row r="1137" spans="2:82" ht="16.5" hidden="1">
      <c r="B1137" s="80"/>
      <c r="C1137" s="80"/>
      <c r="D1137" s="80"/>
      <c r="E1137" s="80"/>
      <c r="F1137" s="80"/>
      <c r="G1137" s="80"/>
      <c r="H1137" s="80"/>
      <c r="I1137" s="80"/>
      <c r="J1137" s="192">
        <f t="shared" si="696"/>
        <v>95</v>
      </c>
      <c r="K1137" s="192">
        <f t="shared" si="697"/>
        <v>1</v>
      </c>
      <c r="L1137" s="192" t="str">
        <f t="shared" si="692"/>
        <v/>
      </c>
      <c r="M1137" s="216" t="str">
        <f t="shared" ca="1" si="698"/>
        <v/>
      </c>
      <c r="N1137" s="216"/>
      <c r="O1137" s="216"/>
      <c r="P1137" s="216"/>
      <c r="Q1137" s="456">
        <f t="shared" ca="1" si="699"/>
        <v>1</v>
      </c>
      <c r="R1137" s="450">
        <f t="shared" ca="1" si="700"/>
        <v>12</v>
      </c>
      <c r="S1137" s="191">
        <f t="shared" si="701"/>
        <v>95</v>
      </c>
      <c r="T1137" s="191">
        <f t="shared" si="702"/>
        <v>1</v>
      </c>
      <c r="U1137" s="191">
        <f ca="1">OP!$D$5+$S1137-1</f>
        <v>127</v>
      </c>
      <c r="V1137" s="191" t="str">
        <f t="shared" si="703"/>
        <v/>
      </c>
      <c r="W1137" s="350">
        <f ca="1">IF(Q1137&lt;&gt;1,0,VLOOKUP(OP!$C$55,PVFB,$S1137+2,0))</f>
        <v>0</v>
      </c>
      <c r="X1137" s="473" t="str">
        <f t="shared" ca="1" si="716"/>
        <v/>
      </c>
      <c r="Y1137" s="348">
        <f t="shared" ca="1" si="717"/>
        <v>0</v>
      </c>
      <c r="Z1137" s="348">
        <f t="shared" ca="1" si="718"/>
        <v>8012</v>
      </c>
      <c r="AA1137" s="348">
        <f ca="1">IF(Q1137&lt;&gt;1,0,VLOOKUP(OP!$C$55,PVFB,$S1137+2,0))</f>
        <v>0</v>
      </c>
      <c r="AB1137" s="488" t="str">
        <f ca="1">IF(AND(S1137&lt;OP!$C$24,$U1137&lt;15),0,IF(AND($U1137&lt;15,$T1137=12),ROUND(VLOOKUP($S1137,DOWN16,5,0),3),IF($T1137=12,ROUND(($Z1137/10000)*$AA1137,3)+IF(AND($P$7="購買增額繳清保險",T1137=12,U1137=110),VLOOKUP(S1137,$B$10:$H$121,7,0),0),"")))</f>
        <v/>
      </c>
      <c r="AC1137" s="350" t="str">
        <f ca="1">IF(AND(S1137&lt;OP!$C$24,$U1137&lt;15),0,IF(AND($U1137&lt;16,$T1137=12),VLOOKUP($S1137,DOWN16,4,0),IF($T1137=12,ROUND(VLOOKUP(OP!$C$55,_DIE2,$S1137+1,0)*(Z1137/10000),0)+IF(AND($P$7="購買增額繳清保險",T1137=12,U1137=110),VLOOKUP(S1137,$B$10:$H$121,7,0),0),"")))</f>
        <v/>
      </c>
      <c r="AD1137" s="347"/>
      <c r="AE1137" s="350" t="str">
        <f t="shared" ca="1" si="693"/>
        <v/>
      </c>
      <c r="AF1137" s="351" t="str">
        <f t="shared" ca="1" si="694"/>
        <v/>
      </c>
      <c r="AG1137" s="340"/>
      <c r="AH1137" s="340"/>
      <c r="AI1137" s="340"/>
      <c r="AJ1137" s="340"/>
      <c r="AK1137" s="340"/>
      <c r="AL1137" s="340"/>
      <c r="AM1137" s="340"/>
      <c r="AN1137" s="340"/>
      <c r="AO1137" s="340"/>
      <c r="AP1137" s="340"/>
      <c r="AQ1137" s="340"/>
      <c r="AR1137" s="340"/>
      <c r="AS1137" s="340"/>
      <c r="AT1137" s="340"/>
      <c r="AU1137" s="340"/>
      <c r="AV1137" s="340"/>
      <c r="AY1137" s="340"/>
      <c r="AZ1137" s="465">
        <f t="shared" ca="1" si="704"/>
        <v>7.3698599999999999E-5</v>
      </c>
      <c r="BA1137" s="464">
        <f t="shared" ca="1" si="705"/>
        <v>0</v>
      </c>
      <c r="BB1137" s="465">
        <f t="shared" ca="1" si="705"/>
        <v>7.3698599999999999E-5</v>
      </c>
      <c r="BC1137" s="466">
        <f t="shared" ca="1" si="706"/>
        <v>77219</v>
      </c>
      <c r="BD1137" s="467">
        <f t="shared" ca="1" si="719"/>
        <v>77220</v>
      </c>
      <c r="BE1137" s="467">
        <f t="shared" ca="1" si="707"/>
        <v>77248</v>
      </c>
      <c r="BF1137" s="468">
        <f ca="1">IF(計算!$BC1137&lt;OP!$C$3,0,BD1137-BC1137)</f>
        <v>1</v>
      </c>
      <c r="BG1137" s="468">
        <f ca="1">IF($BE1137&gt;DATE(YEAR($BD$9)+OP!$C$57,MONTH($BD$9),DAY($BD$9)),0,$BE1137-$BD1137+1)</f>
        <v>0</v>
      </c>
      <c r="BH1137" s="469">
        <f t="shared" ca="1" si="708"/>
        <v>1</v>
      </c>
      <c r="BI1137">
        <f t="shared" ca="1" si="724"/>
        <v>365</v>
      </c>
      <c r="BJ1137">
        <v>12</v>
      </c>
      <c r="BN1137" s="468">
        <f t="shared" si="720"/>
        <v>94</v>
      </c>
      <c r="BO1137" s="468">
        <f t="shared" si="721"/>
        <v>12</v>
      </c>
      <c r="BP1137" s="467">
        <f t="shared" ca="1" si="709"/>
        <v>77220</v>
      </c>
      <c r="BQ1137" s="475">
        <f t="shared" ca="1" si="723"/>
        <v>126</v>
      </c>
      <c r="BR1137" s="475">
        <f t="shared" si="722"/>
        <v>94</v>
      </c>
      <c r="BS1137" s="471">
        <f t="shared" ca="1" si="710"/>
        <v>0</v>
      </c>
      <c r="BT1137" s="472">
        <f t="shared" ca="1" si="725"/>
        <v>2795020</v>
      </c>
      <c r="BU1137" s="472">
        <f t="shared" ca="1" si="711"/>
        <v>0</v>
      </c>
      <c r="BV1137" s="472">
        <f t="shared" ca="1" si="711"/>
        <v>0</v>
      </c>
      <c r="BW1137" s="472">
        <f ca="1">ROUND(SUM(BY1137,BZ1125:BZ1136),0)</f>
        <v>2471</v>
      </c>
      <c r="BX1137" s="473">
        <f t="shared" ca="1" si="712"/>
        <v>2795020.72192897</v>
      </c>
      <c r="BY1137" s="473">
        <f t="shared" ca="1" si="713"/>
        <v>205.973934187</v>
      </c>
      <c r="BZ1137" s="473">
        <f t="shared" ca="1" si="695"/>
        <v>0</v>
      </c>
      <c r="CA1137" s="476">
        <f t="shared" ca="1" si="714"/>
        <v>0</v>
      </c>
      <c r="CB1137" s="494">
        <f ca="1">IF(OR($Q1136&lt;&gt;1,OP!$D$5+$BN1137-1&lt;16,$BN1137-1&lt;1),0,ROUND(ROUND(ROUND(((VLOOKUP($BN1137-1,MORE_PV,5,0)/10000)*VLOOKUP($BN1137,MORE_PV,$CB$5,0)),3)*VLOOKUP($BN1137,more1,5,0),0)/$R1136,0))</f>
        <v>0</v>
      </c>
      <c r="CC1137" s="473">
        <f t="shared" ca="1" si="715"/>
        <v>0</v>
      </c>
      <c r="CD1137" s="477"/>
    </row>
    <row r="1138" spans="2:82" ht="16.5" hidden="1">
      <c r="B1138" s="80"/>
      <c r="C1138" s="80"/>
      <c r="D1138" s="80"/>
      <c r="E1138" s="80"/>
      <c r="F1138" s="80"/>
      <c r="G1138" s="80"/>
      <c r="H1138" s="80"/>
      <c r="I1138" s="80"/>
      <c r="J1138" s="192">
        <f t="shared" si="696"/>
        <v>95</v>
      </c>
      <c r="K1138" s="192">
        <f t="shared" si="697"/>
        <v>2</v>
      </c>
      <c r="L1138" s="192" t="str">
        <f t="shared" si="692"/>
        <v/>
      </c>
      <c r="M1138" s="216" t="str">
        <f t="shared" ca="1" si="698"/>
        <v/>
      </c>
      <c r="N1138" s="216"/>
      <c r="O1138" s="216"/>
      <c r="P1138" s="216"/>
      <c r="Q1138" s="456">
        <f t="shared" ca="1" si="699"/>
        <v>1</v>
      </c>
      <c r="R1138" s="450">
        <f t="shared" ca="1" si="700"/>
        <v>12</v>
      </c>
      <c r="S1138" s="191">
        <f t="shared" si="701"/>
        <v>95</v>
      </c>
      <c r="T1138" s="191">
        <f t="shared" si="702"/>
        <v>2</v>
      </c>
      <c r="U1138" s="191">
        <f ca="1">OP!$D$5+$S1138-1</f>
        <v>127</v>
      </c>
      <c r="V1138" s="191" t="str">
        <f t="shared" si="703"/>
        <v/>
      </c>
      <c r="W1138" s="350">
        <f ca="1">IF(Q1138&lt;&gt;1,0,VLOOKUP(OP!$C$55,PVFB,$S1138+2,0))</f>
        <v>0</v>
      </c>
      <c r="X1138" s="473" t="str">
        <f t="shared" ca="1" si="716"/>
        <v/>
      </c>
      <c r="Y1138" s="348">
        <f t="shared" ca="1" si="717"/>
        <v>0</v>
      </c>
      <c r="Z1138" s="348">
        <f t="shared" ca="1" si="718"/>
        <v>8012</v>
      </c>
      <c r="AA1138" s="348">
        <f ca="1">IF(Q1138&lt;&gt;1,0,VLOOKUP(OP!$C$55,PVFB,$S1138+2,0))</f>
        <v>0</v>
      </c>
      <c r="AB1138" s="488" t="str">
        <f ca="1">IF(AND(S1138&lt;OP!$C$24,$U1138&lt;15),0,IF(AND($U1138&lt;15,$T1138=12),ROUND(VLOOKUP($S1138,DOWN16,5,0),3),IF($T1138=12,ROUND(($Z1138/10000)*$AA1138,3)+IF(AND($P$7="購買增額繳清保險",T1138=12,U1138=110),VLOOKUP(S1138,$B$10:$H$121,7,0),0),"")))</f>
        <v/>
      </c>
      <c r="AC1138" s="350" t="str">
        <f ca="1">IF(AND(S1138&lt;OP!$C$24,$U1138&lt;15),0,IF(AND($U1138&lt;16,$T1138=12),VLOOKUP($S1138,DOWN16,4,0),IF($T1138=12,ROUND(VLOOKUP(OP!$C$55,_DIE2,$S1138+1,0)*(Z1138/10000),0)+IF(AND($P$7="購買增額繳清保險",T1138=12,U1138=110),VLOOKUP(S1138,$B$10:$H$121,7,0),0),"")))</f>
        <v/>
      </c>
      <c r="AD1138" s="347"/>
      <c r="AE1138" s="350" t="str">
        <f t="shared" ca="1" si="693"/>
        <v/>
      </c>
      <c r="AF1138" s="351" t="str">
        <f t="shared" ca="1" si="694"/>
        <v/>
      </c>
      <c r="AG1138" s="340"/>
      <c r="AH1138" s="340"/>
      <c r="AI1138" s="340"/>
      <c r="AJ1138" s="340"/>
      <c r="AK1138" s="340"/>
      <c r="AL1138" s="340"/>
      <c r="AM1138" s="340"/>
      <c r="AN1138" s="340"/>
      <c r="AO1138" s="340"/>
      <c r="AP1138" s="340"/>
      <c r="AQ1138" s="340"/>
      <c r="AR1138" s="340"/>
      <c r="AS1138" s="340"/>
      <c r="AT1138" s="340"/>
      <c r="AU1138" s="340"/>
      <c r="AV1138" s="340"/>
      <c r="AY1138" s="340"/>
      <c r="AZ1138" s="465">
        <f t="shared" ca="1" si="704"/>
        <v>7.3698599999999999E-5</v>
      </c>
      <c r="BA1138" s="464">
        <f t="shared" ca="1" si="705"/>
        <v>0</v>
      </c>
      <c r="BB1138" s="465">
        <f t="shared" ca="1" si="705"/>
        <v>7.3698599999999999E-5</v>
      </c>
      <c r="BC1138" s="466">
        <f t="shared" ca="1" si="706"/>
        <v>77249</v>
      </c>
      <c r="BD1138" s="467">
        <f t="shared" ca="1" si="719"/>
        <v>77250</v>
      </c>
      <c r="BE1138" s="467">
        <f t="shared" ca="1" si="707"/>
        <v>77279</v>
      </c>
      <c r="BF1138" s="468">
        <f ca="1">IF(計算!$BC1138&lt;OP!$C$3,0,BD1138-BC1138)</f>
        <v>1</v>
      </c>
      <c r="BG1138" s="468">
        <f ca="1">IF($BE1138&gt;DATE(YEAR($BD$9)+OP!$C$57,MONTH($BD$9),DAY($BD$9)),0,$BE1138-$BD1138+1)</f>
        <v>0</v>
      </c>
      <c r="BH1138" s="469">
        <f t="shared" ca="1" si="708"/>
        <v>1</v>
      </c>
      <c r="BI1138" t="str">
        <f t="shared" si="724"/>
        <v/>
      </c>
      <c r="BJ1138">
        <v>1</v>
      </c>
      <c r="BN1138" s="468">
        <f t="shared" si="720"/>
        <v>95</v>
      </c>
      <c r="BO1138" s="468">
        <f t="shared" si="721"/>
        <v>1</v>
      </c>
      <c r="BP1138" s="467">
        <f t="shared" ca="1" si="709"/>
        <v>77250</v>
      </c>
      <c r="BQ1138" s="475">
        <f t="shared" ca="1" si="723"/>
        <v>127</v>
      </c>
      <c r="BR1138" s="475" t="str">
        <f t="shared" si="722"/>
        <v/>
      </c>
      <c r="BS1138" s="471" t="str">
        <f t="shared" si="710"/>
        <v/>
      </c>
      <c r="BT1138" s="472" t="str">
        <f t="shared" si="725"/>
        <v/>
      </c>
      <c r="BU1138" s="472">
        <f t="shared" ca="1" si="711"/>
        <v>0</v>
      </c>
      <c r="BV1138" s="472">
        <f t="shared" ca="1" si="711"/>
        <v>0</v>
      </c>
      <c r="BW1138" s="472"/>
      <c r="BX1138" s="473">
        <f t="shared" ca="1" si="712"/>
        <v>2795020.72192897</v>
      </c>
      <c r="BY1138" s="473">
        <f t="shared" si="713"/>
        <v>0</v>
      </c>
      <c r="BZ1138" s="473">
        <f t="shared" ca="1" si="695"/>
        <v>205.989114177</v>
      </c>
      <c r="CA1138" s="476">
        <f t="shared" ca="1" si="714"/>
        <v>0</v>
      </c>
      <c r="CB1138" s="494">
        <f ca="1">IF(OR($Q1137&lt;&gt;1,OP!$D$5+$BN1138-1&lt;16,$BN1138-1&lt;1),0,ROUND(ROUND(ROUND(((VLOOKUP($BN1138-1,MORE_PV,5,0)/10000)*VLOOKUP($BN1138,MORE_PV,$CB$5,0)),3)*VLOOKUP($BN1138,more1,5,0),0)/$R1137,0))</f>
        <v>0</v>
      </c>
      <c r="CC1138" s="473">
        <f t="shared" ca="1" si="715"/>
        <v>0</v>
      </c>
      <c r="CD1138" s="477"/>
    </row>
    <row r="1139" spans="2:82" ht="16.5" hidden="1">
      <c r="B1139" s="80"/>
      <c r="C1139" s="80"/>
      <c r="D1139" s="80"/>
      <c r="E1139" s="80"/>
      <c r="F1139" s="80"/>
      <c r="G1139" s="80"/>
      <c r="H1139" s="80"/>
      <c r="I1139" s="80"/>
      <c r="J1139" s="192">
        <f t="shared" si="696"/>
        <v>95</v>
      </c>
      <c r="K1139" s="192">
        <f t="shared" si="697"/>
        <v>3</v>
      </c>
      <c r="L1139" s="192" t="str">
        <f t="shared" si="692"/>
        <v/>
      </c>
      <c r="M1139" s="216" t="str">
        <f t="shared" ca="1" si="698"/>
        <v/>
      </c>
      <c r="N1139" s="216"/>
      <c r="O1139" s="216"/>
      <c r="P1139" s="216"/>
      <c r="Q1139" s="456">
        <f t="shared" ca="1" si="699"/>
        <v>1</v>
      </c>
      <c r="R1139" s="450">
        <f t="shared" ca="1" si="700"/>
        <v>12</v>
      </c>
      <c r="S1139" s="191">
        <f t="shared" si="701"/>
        <v>95</v>
      </c>
      <c r="T1139" s="191">
        <f t="shared" si="702"/>
        <v>3</v>
      </c>
      <c r="U1139" s="191">
        <f ca="1">OP!$D$5+$S1139-1</f>
        <v>127</v>
      </c>
      <c r="V1139" s="191" t="str">
        <f t="shared" si="703"/>
        <v/>
      </c>
      <c r="W1139" s="350">
        <f ca="1">IF(Q1139&lt;&gt;1,0,VLOOKUP(OP!$C$55,PVFB,$S1139+2,0))</f>
        <v>0</v>
      </c>
      <c r="X1139" s="473" t="str">
        <f t="shared" ca="1" si="716"/>
        <v/>
      </c>
      <c r="Y1139" s="348">
        <f t="shared" ca="1" si="717"/>
        <v>0</v>
      </c>
      <c r="Z1139" s="348">
        <f t="shared" ca="1" si="718"/>
        <v>8012</v>
      </c>
      <c r="AA1139" s="348">
        <f ca="1">IF(Q1139&lt;&gt;1,0,VLOOKUP(OP!$C$55,PVFB,$S1139+2,0))</f>
        <v>0</v>
      </c>
      <c r="AB1139" s="488" t="str">
        <f ca="1">IF(AND(S1139&lt;OP!$C$24,$U1139&lt;15),0,IF(AND($U1139&lt;15,$T1139=12),ROUND(VLOOKUP($S1139,DOWN16,5,0),3),IF($T1139=12,ROUND(($Z1139/10000)*$AA1139,3)+IF(AND($P$7="購買增額繳清保險",T1139=12,U1139=110),VLOOKUP(S1139,$B$10:$H$121,7,0),0),"")))</f>
        <v/>
      </c>
      <c r="AC1139" s="350" t="str">
        <f ca="1">IF(AND(S1139&lt;OP!$C$24,$U1139&lt;15),0,IF(AND($U1139&lt;16,$T1139=12),VLOOKUP($S1139,DOWN16,4,0),IF($T1139=12,ROUND(VLOOKUP(OP!$C$55,_DIE2,$S1139+1,0)*(Z1139/10000),0)+IF(AND($P$7="購買增額繳清保險",T1139=12,U1139=110),VLOOKUP(S1139,$B$10:$H$121,7,0),0),"")))</f>
        <v/>
      </c>
      <c r="AD1139" s="347"/>
      <c r="AE1139" s="350" t="str">
        <f t="shared" ca="1" si="693"/>
        <v/>
      </c>
      <c r="AF1139" s="351" t="str">
        <f t="shared" ca="1" si="694"/>
        <v/>
      </c>
      <c r="AG1139" s="340"/>
      <c r="AH1139" s="340"/>
      <c r="AI1139" s="340"/>
      <c r="AJ1139" s="340"/>
      <c r="AK1139" s="340"/>
      <c r="AL1139" s="340"/>
      <c r="AM1139" s="340"/>
      <c r="AN1139" s="340"/>
      <c r="AO1139" s="340"/>
      <c r="AP1139" s="340"/>
      <c r="AQ1139" s="340"/>
      <c r="AR1139" s="340"/>
      <c r="AS1139" s="340"/>
      <c r="AT1139" s="340"/>
      <c r="AU1139" s="340"/>
      <c r="AV1139" s="340"/>
      <c r="AY1139" s="340"/>
      <c r="AZ1139" s="465">
        <f t="shared" ca="1" si="704"/>
        <v>7.3698599999999999E-5</v>
      </c>
      <c r="BA1139" s="464">
        <f t="shared" ca="1" si="705"/>
        <v>0</v>
      </c>
      <c r="BB1139" s="465">
        <f t="shared" ca="1" si="705"/>
        <v>7.3698599999999999E-5</v>
      </c>
      <c r="BC1139" s="466">
        <f t="shared" ca="1" si="706"/>
        <v>77280</v>
      </c>
      <c r="BD1139" s="467">
        <f t="shared" ca="1" si="719"/>
        <v>77281</v>
      </c>
      <c r="BE1139" s="467">
        <f t="shared" ca="1" si="707"/>
        <v>77310</v>
      </c>
      <c r="BF1139" s="468">
        <f ca="1">IF(計算!$BC1139&lt;OP!$C$3,0,BD1139-BC1139)</f>
        <v>1</v>
      </c>
      <c r="BG1139" s="468">
        <f ca="1">IF($BE1139&gt;DATE(YEAR($BD$9)+OP!$C$57,MONTH($BD$9),DAY($BD$9)),0,$BE1139-$BD1139+1)</f>
        <v>0</v>
      </c>
      <c r="BH1139" s="469">
        <f t="shared" ca="1" si="708"/>
        <v>1</v>
      </c>
      <c r="BI1139" t="str">
        <f t="shared" si="724"/>
        <v/>
      </c>
      <c r="BJ1139">
        <v>2</v>
      </c>
      <c r="BN1139" s="468">
        <f t="shared" si="720"/>
        <v>95</v>
      </c>
      <c r="BO1139" s="468">
        <f t="shared" si="721"/>
        <v>2</v>
      </c>
      <c r="BP1139" s="467">
        <f t="shared" ca="1" si="709"/>
        <v>77281</v>
      </c>
      <c r="BQ1139" s="475">
        <f t="shared" ca="1" si="723"/>
        <v>127</v>
      </c>
      <c r="BR1139" s="475" t="str">
        <f t="shared" si="722"/>
        <v/>
      </c>
      <c r="BS1139" s="471" t="str">
        <f t="shared" si="710"/>
        <v/>
      </c>
      <c r="BT1139" s="472" t="str">
        <f t="shared" si="725"/>
        <v/>
      </c>
      <c r="BU1139" s="472">
        <f t="shared" ca="1" si="711"/>
        <v>0</v>
      </c>
      <c r="BV1139" s="472">
        <f t="shared" ca="1" si="711"/>
        <v>0</v>
      </c>
      <c r="BW1139" s="472"/>
      <c r="BX1139" s="473">
        <f t="shared" ca="1" si="712"/>
        <v>2795226.7110431502</v>
      </c>
      <c r="BY1139" s="473">
        <f t="shared" si="713"/>
        <v>0</v>
      </c>
      <c r="BZ1139" s="473">
        <f t="shared" ca="1" si="695"/>
        <v>206.004295286</v>
      </c>
      <c r="CA1139" s="476">
        <f t="shared" ca="1" si="714"/>
        <v>0</v>
      </c>
      <c r="CB1139" s="494">
        <f ca="1">IF(OR($Q1138&lt;&gt;1,OP!$D$5+$BN1139-1&lt;16,$BN1139-1&lt;1),0,ROUND(ROUND(ROUND(((VLOOKUP($BN1139-1,MORE_PV,5,0)/10000)*VLOOKUP($BN1139,MORE_PV,$CB$5,0)),3)*VLOOKUP($BN1139,more1,5,0),0)/$R1138,0))</f>
        <v>0</v>
      </c>
      <c r="CC1139" s="473">
        <f t="shared" ca="1" si="715"/>
        <v>0</v>
      </c>
      <c r="CD1139" s="477"/>
    </row>
    <row r="1140" spans="2:82" ht="16.5" hidden="1">
      <c r="B1140" s="80"/>
      <c r="C1140" s="80"/>
      <c r="D1140" s="80"/>
      <c r="E1140" s="80"/>
      <c r="F1140" s="80"/>
      <c r="G1140" s="80"/>
      <c r="H1140" s="80"/>
      <c r="I1140" s="80"/>
      <c r="J1140" s="192">
        <f t="shared" si="696"/>
        <v>95</v>
      </c>
      <c r="K1140" s="192">
        <f t="shared" si="697"/>
        <v>4</v>
      </c>
      <c r="L1140" s="192" t="str">
        <f t="shared" si="692"/>
        <v/>
      </c>
      <c r="M1140" s="216" t="str">
        <f t="shared" ca="1" si="698"/>
        <v/>
      </c>
      <c r="N1140" s="216"/>
      <c r="O1140" s="216"/>
      <c r="P1140" s="216"/>
      <c r="Q1140" s="456">
        <f t="shared" ca="1" si="699"/>
        <v>1</v>
      </c>
      <c r="R1140" s="450">
        <f t="shared" ca="1" si="700"/>
        <v>12</v>
      </c>
      <c r="S1140" s="191">
        <f t="shared" si="701"/>
        <v>95</v>
      </c>
      <c r="T1140" s="191">
        <f t="shared" si="702"/>
        <v>4</v>
      </c>
      <c r="U1140" s="191">
        <f ca="1">OP!$D$5+$S1140-1</f>
        <v>127</v>
      </c>
      <c r="V1140" s="191" t="str">
        <f t="shared" si="703"/>
        <v/>
      </c>
      <c r="W1140" s="350">
        <f ca="1">IF(Q1140&lt;&gt;1,0,VLOOKUP(OP!$C$55,PVFB,$S1140+2,0))</f>
        <v>0</v>
      </c>
      <c r="X1140" s="473" t="str">
        <f t="shared" ca="1" si="716"/>
        <v/>
      </c>
      <c r="Y1140" s="348">
        <f t="shared" ca="1" si="717"/>
        <v>0</v>
      </c>
      <c r="Z1140" s="348">
        <f t="shared" ca="1" si="718"/>
        <v>8012</v>
      </c>
      <c r="AA1140" s="348">
        <f ca="1">IF(Q1140&lt;&gt;1,0,VLOOKUP(OP!$C$55,PVFB,$S1140+2,0))</f>
        <v>0</v>
      </c>
      <c r="AB1140" s="488" t="str">
        <f ca="1">IF(AND(S1140&lt;OP!$C$24,$U1140&lt;15),0,IF(AND($U1140&lt;15,$T1140=12),ROUND(VLOOKUP($S1140,DOWN16,5,0),3),IF($T1140=12,ROUND(($Z1140/10000)*$AA1140,3)+IF(AND($P$7="購買增額繳清保險",T1140=12,U1140=110),VLOOKUP(S1140,$B$10:$H$121,7,0),0),"")))</f>
        <v/>
      </c>
      <c r="AC1140" s="350" t="str">
        <f ca="1">IF(AND(S1140&lt;OP!$C$24,$U1140&lt;15),0,IF(AND($U1140&lt;16,$T1140=12),VLOOKUP($S1140,DOWN16,4,0),IF($T1140=12,ROUND(VLOOKUP(OP!$C$55,_DIE2,$S1140+1,0)*(Z1140/10000),0)+IF(AND($P$7="購買增額繳清保險",T1140=12,U1140=110),VLOOKUP(S1140,$B$10:$H$121,7,0),0),"")))</f>
        <v/>
      </c>
      <c r="AD1140" s="347"/>
      <c r="AE1140" s="350" t="str">
        <f t="shared" ca="1" si="693"/>
        <v/>
      </c>
      <c r="AF1140" s="351" t="str">
        <f t="shared" ca="1" si="694"/>
        <v/>
      </c>
      <c r="AG1140" s="340"/>
      <c r="AH1140" s="340"/>
      <c r="AI1140" s="340"/>
      <c r="AJ1140" s="340"/>
      <c r="AK1140" s="340"/>
      <c r="AL1140" s="340"/>
      <c r="AM1140" s="340"/>
      <c r="AN1140" s="340"/>
      <c r="AO1140" s="340"/>
      <c r="AP1140" s="340"/>
      <c r="AQ1140" s="340"/>
      <c r="AR1140" s="340"/>
      <c r="AS1140" s="340"/>
      <c r="AT1140" s="340"/>
      <c r="AU1140" s="340"/>
      <c r="AV1140" s="340"/>
      <c r="AY1140" s="340"/>
      <c r="AZ1140" s="465">
        <f t="shared" ca="1" si="704"/>
        <v>7.3698599999999999E-5</v>
      </c>
      <c r="BA1140" s="464">
        <f t="shared" ca="1" si="705"/>
        <v>0</v>
      </c>
      <c r="BB1140" s="465">
        <f t="shared" ca="1" si="705"/>
        <v>7.3698599999999999E-5</v>
      </c>
      <c r="BC1140" s="466">
        <f t="shared" ca="1" si="706"/>
        <v>77311</v>
      </c>
      <c r="BD1140" s="467">
        <f t="shared" ca="1" si="719"/>
        <v>77312</v>
      </c>
      <c r="BE1140" s="467">
        <f t="shared" ca="1" si="707"/>
        <v>77340</v>
      </c>
      <c r="BF1140" s="468">
        <f ca="1">IF(計算!$BC1140&lt;OP!$C$3,0,BD1140-BC1140)</f>
        <v>1</v>
      </c>
      <c r="BG1140" s="468">
        <f ca="1">IF($BE1140&gt;DATE(YEAR($BD$9)+OP!$C$57,MONTH($BD$9),DAY($BD$9)),0,$BE1140-$BD1140+1)</f>
        <v>0</v>
      </c>
      <c r="BH1140" s="469">
        <f t="shared" ca="1" si="708"/>
        <v>1</v>
      </c>
      <c r="BI1140" t="str">
        <f t="shared" si="724"/>
        <v/>
      </c>
      <c r="BJ1140">
        <v>3</v>
      </c>
      <c r="BN1140" s="468">
        <f t="shared" si="720"/>
        <v>95</v>
      </c>
      <c r="BO1140" s="468">
        <f t="shared" si="721"/>
        <v>3</v>
      </c>
      <c r="BP1140" s="467">
        <f t="shared" ca="1" si="709"/>
        <v>77312</v>
      </c>
      <c r="BQ1140" s="475">
        <f t="shared" ca="1" si="723"/>
        <v>127</v>
      </c>
      <c r="BR1140" s="475" t="str">
        <f t="shared" si="722"/>
        <v/>
      </c>
      <c r="BS1140" s="471" t="str">
        <f t="shared" si="710"/>
        <v/>
      </c>
      <c r="BT1140" s="472" t="str">
        <f t="shared" si="725"/>
        <v/>
      </c>
      <c r="BU1140" s="472">
        <f t="shared" ca="1" si="711"/>
        <v>0</v>
      </c>
      <c r="BV1140" s="472">
        <f t="shared" ca="1" si="711"/>
        <v>0</v>
      </c>
      <c r="BW1140" s="472"/>
      <c r="BX1140" s="473">
        <f t="shared" ca="1" si="712"/>
        <v>2795432.7153384401</v>
      </c>
      <c r="BY1140" s="473">
        <f t="shared" si="713"/>
        <v>0</v>
      </c>
      <c r="BZ1140" s="473">
        <f t="shared" ca="1" si="695"/>
        <v>206.01947751500001</v>
      </c>
      <c r="CA1140" s="476">
        <f t="shared" ca="1" si="714"/>
        <v>0</v>
      </c>
      <c r="CB1140" s="494">
        <f ca="1">IF(OR($Q1139&lt;&gt;1,OP!$D$5+$BN1140-1&lt;16,$BN1140-1&lt;1),0,ROUND(ROUND(ROUND(((VLOOKUP($BN1140-1,MORE_PV,5,0)/10000)*VLOOKUP($BN1140,MORE_PV,$CB$5,0)),3)*VLOOKUP($BN1140,more1,5,0),0)/$R1139,0))</f>
        <v>0</v>
      </c>
      <c r="CC1140" s="473">
        <f t="shared" ca="1" si="715"/>
        <v>0</v>
      </c>
      <c r="CD1140" s="477"/>
    </row>
    <row r="1141" spans="2:82" ht="16.5" hidden="1">
      <c r="B1141" s="80"/>
      <c r="C1141" s="80"/>
      <c r="D1141" s="80"/>
      <c r="E1141" s="80"/>
      <c r="F1141" s="80"/>
      <c r="G1141" s="80"/>
      <c r="H1141" s="80"/>
      <c r="I1141" s="80"/>
      <c r="J1141" s="192">
        <f t="shared" si="696"/>
        <v>95</v>
      </c>
      <c r="K1141" s="192">
        <f t="shared" si="697"/>
        <v>5</v>
      </c>
      <c r="L1141" s="192" t="str">
        <f t="shared" si="692"/>
        <v/>
      </c>
      <c r="M1141" s="216" t="str">
        <f t="shared" ca="1" si="698"/>
        <v/>
      </c>
      <c r="N1141" s="216"/>
      <c r="O1141" s="216"/>
      <c r="P1141" s="216"/>
      <c r="Q1141" s="456">
        <f t="shared" ca="1" si="699"/>
        <v>1</v>
      </c>
      <c r="R1141" s="450">
        <f t="shared" ca="1" si="700"/>
        <v>12</v>
      </c>
      <c r="S1141" s="191">
        <f t="shared" si="701"/>
        <v>95</v>
      </c>
      <c r="T1141" s="191">
        <f t="shared" si="702"/>
        <v>5</v>
      </c>
      <c r="U1141" s="191">
        <f ca="1">OP!$D$5+$S1141-1</f>
        <v>127</v>
      </c>
      <c r="V1141" s="191" t="str">
        <f t="shared" si="703"/>
        <v/>
      </c>
      <c r="W1141" s="350">
        <f ca="1">IF(Q1141&lt;&gt;1,0,VLOOKUP(OP!$C$55,PVFB,$S1141+2,0))</f>
        <v>0</v>
      </c>
      <c r="X1141" s="473" t="str">
        <f t="shared" ca="1" si="716"/>
        <v/>
      </c>
      <c r="Y1141" s="348">
        <f t="shared" ca="1" si="717"/>
        <v>0</v>
      </c>
      <c r="Z1141" s="348">
        <f t="shared" ca="1" si="718"/>
        <v>8012</v>
      </c>
      <c r="AA1141" s="348">
        <f ca="1">IF(Q1141&lt;&gt;1,0,VLOOKUP(OP!$C$55,PVFB,$S1141+2,0))</f>
        <v>0</v>
      </c>
      <c r="AB1141" s="488" t="str">
        <f ca="1">IF(AND(S1141&lt;OP!$C$24,$U1141&lt;15),0,IF(AND($U1141&lt;15,$T1141=12),ROUND(VLOOKUP($S1141,DOWN16,5,0),3),IF($T1141=12,ROUND(($Z1141/10000)*$AA1141,3)+IF(AND($P$7="購買增額繳清保險",T1141=12,U1141=110),VLOOKUP(S1141,$B$10:$H$121,7,0),0),"")))</f>
        <v/>
      </c>
      <c r="AC1141" s="350" t="str">
        <f ca="1">IF(AND(S1141&lt;OP!$C$24,$U1141&lt;15),0,IF(AND($U1141&lt;16,$T1141=12),VLOOKUP($S1141,DOWN16,4,0),IF($T1141=12,ROUND(VLOOKUP(OP!$C$55,_DIE2,$S1141+1,0)*(Z1141/10000),0)+IF(AND($P$7="購買增額繳清保險",T1141=12,U1141=110),VLOOKUP(S1141,$B$10:$H$121,7,0),0),"")))</f>
        <v/>
      </c>
      <c r="AD1141" s="347"/>
      <c r="AE1141" s="350" t="str">
        <f t="shared" ca="1" si="693"/>
        <v/>
      </c>
      <c r="AF1141" s="351" t="str">
        <f t="shared" ca="1" si="694"/>
        <v/>
      </c>
      <c r="AG1141" s="340"/>
      <c r="AH1141" s="340"/>
      <c r="AI1141" s="340"/>
      <c r="AJ1141" s="340"/>
      <c r="AK1141" s="340"/>
      <c r="AL1141" s="340"/>
      <c r="AM1141" s="340"/>
      <c r="AN1141" s="340"/>
      <c r="AO1141" s="340"/>
      <c r="AP1141" s="340"/>
      <c r="AQ1141" s="340"/>
      <c r="AR1141" s="340"/>
      <c r="AS1141" s="340"/>
      <c r="AT1141" s="340"/>
      <c r="AU1141" s="340"/>
      <c r="AV1141" s="340"/>
      <c r="AY1141" s="340"/>
      <c r="AZ1141" s="465">
        <f t="shared" ca="1" si="704"/>
        <v>7.3698599999999999E-5</v>
      </c>
      <c r="BA1141" s="464">
        <f t="shared" ca="1" si="705"/>
        <v>0</v>
      </c>
      <c r="BB1141" s="465">
        <f t="shared" ca="1" si="705"/>
        <v>7.3698599999999999E-5</v>
      </c>
      <c r="BC1141" s="466">
        <f t="shared" ca="1" si="706"/>
        <v>77341</v>
      </c>
      <c r="BD1141" s="467">
        <f t="shared" ca="1" si="719"/>
        <v>77342</v>
      </c>
      <c r="BE1141" s="467">
        <f t="shared" ca="1" si="707"/>
        <v>77371</v>
      </c>
      <c r="BF1141" s="468">
        <f ca="1">IF(計算!$BC1141&lt;OP!$C$3,0,BD1141-BC1141)</f>
        <v>1</v>
      </c>
      <c r="BG1141" s="468">
        <f ca="1">IF($BE1141&gt;DATE(YEAR($BD$9)+OP!$C$57,MONTH($BD$9),DAY($BD$9)),0,$BE1141-$BD1141+1)</f>
        <v>0</v>
      </c>
      <c r="BH1141" s="469">
        <f t="shared" ca="1" si="708"/>
        <v>1</v>
      </c>
      <c r="BI1141" t="str">
        <f t="shared" si="724"/>
        <v/>
      </c>
      <c r="BJ1141">
        <v>4</v>
      </c>
      <c r="BN1141" s="468">
        <f t="shared" si="720"/>
        <v>95</v>
      </c>
      <c r="BO1141" s="468">
        <f t="shared" si="721"/>
        <v>4</v>
      </c>
      <c r="BP1141" s="467">
        <f t="shared" ca="1" si="709"/>
        <v>77342</v>
      </c>
      <c r="BQ1141" s="475">
        <f t="shared" ca="1" si="723"/>
        <v>127</v>
      </c>
      <c r="BR1141" s="475" t="str">
        <f t="shared" si="722"/>
        <v/>
      </c>
      <c r="BS1141" s="471" t="str">
        <f t="shared" si="710"/>
        <v/>
      </c>
      <c r="BT1141" s="472" t="str">
        <f t="shared" si="725"/>
        <v/>
      </c>
      <c r="BU1141" s="472">
        <f t="shared" ca="1" si="711"/>
        <v>0</v>
      </c>
      <c r="BV1141" s="472">
        <f t="shared" ca="1" si="711"/>
        <v>0</v>
      </c>
      <c r="BW1141" s="472"/>
      <c r="BX1141" s="473">
        <f t="shared" ca="1" si="712"/>
        <v>2795638.7348159598</v>
      </c>
      <c r="BY1141" s="473">
        <f t="shared" si="713"/>
        <v>0</v>
      </c>
      <c r="BZ1141" s="473">
        <f t="shared" ca="1" si="695"/>
        <v>206.03466086200001</v>
      </c>
      <c r="CA1141" s="476">
        <f t="shared" ca="1" si="714"/>
        <v>0</v>
      </c>
      <c r="CB1141" s="494">
        <f ca="1">IF(OR($Q1140&lt;&gt;1,OP!$D$5+$BN1141-1&lt;16,$BN1141-1&lt;1),0,ROUND(ROUND(ROUND(((VLOOKUP($BN1141-1,MORE_PV,5,0)/10000)*VLOOKUP($BN1141,MORE_PV,$CB$5,0)),3)*VLOOKUP($BN1141,more1,5,0),0)/$R1140,0))</f>
        <v>0</v>
      </c>
      <c r="CC1141" s="473">
        <f t="shared" ca="1" si="715"/>
        <v>0</v>
      </c>
      <c r="CD1141" s="477"/>
    </row>
    <row r="1142" spans="2:82" ht="16.5" hidden="1">
      <c r="B1142" s="80"/>
      <c r="C1142" s="80"/>
      <c r="D1142" s="80"/>
      <c r="E1142" s="80"/>
      <c r="F1142" s="80"/>
      <c r="G1142" s="80"/>
      <c r="H1142" s="80"/>
      <c r="I1142" s="80"/>
      <c r="J1142" s="192">
        <f t="shared" si="696"/>
        <v>95</v>
      </c>
      <c r="K1142" s="192">
        <f t="shared" si="697"/>
        <v>6</v>
      </c>
      <c r="L1142" s="192" t="str">
        <f t="shared" si="692"/>
        <v/>
      </c>
      <c r="M1142" s="216" t="str">
        <f t="shared" ca="1" si="698"/>
        <v/>
      </c>
      <c r="N1142" s="216"/>
      <c r="O1142" s="216"/>
      <c r="P1142" s="216"/>
      <c r="Q1142" s="456">
        <f t="shared" ca="1" si="699"/>
        <v>1</v>
      </c>
      <c r="R1142" s="450">
        <f t="shared" ca="1" si="700"/>
        <v>12</v>
      </c>
      <c r="S1142" s="191">
        <f t="shared" si="701"/>
        <v>95</v>
      </c>
      <c r="T1142" s="191">
        <f t="shared" si="702"/>
        <v>6</v>
      </c>
      <c r="U1142" s="191">
        <f ca="1">OP!$D$5+$S1142-1</f>
        <v>127</v>
      </c>
      <c r="V1142" s="191" t="str">
        <f t="shared" si="703"/>
        <v/>
      </c>
      <c r="W1142" s="350">
        <f ca="1">IF(Q1142&lt;&gt;1,0,VLOOKUP(OP!$C$55,PVFB,$S1142+2,0))</f>
        <v>0</v>
      </c>
      <c r="X1142" s="473" t="str">
        <f t="shared" ca="1" si="716"/>
        <v/>
      </c>
      <c r="Y1142" s="348">
        <f t="shared" ca="1" si="717"/>
        <v>0</v>
      </c>
      <c r="Z1142" s="348">
        <f t="shared" ca="1" si="718"/>
        <v>8012</v>
      </c>
      <c r="AA1142" s="348">
        <f ca="1">IF(Q1142&lt;&gt;1,0,VLOOKUP(OP!$C$55,PVFB,$S1142+2,0))</f>
        <v>0</v>
      </c>
      <c r="AB1142" s="488" t="str">
        <f ca="1">IF(AND(S1142&lt;OP!$C$24,$U1142&lt;15),0,IF(AND($U1142&lt;15,$T1142=12),ROUND(VLOOKUP($S1142,DOWN16,5,0),3),IF($T1142=12,ROUND(($Z1142/10000)*$AA1142,3)+IF(AND($P$7="購買增額繳清保險",T1142=12,U1142=110),VLOOKUP(S1142,$B$10:$H$121,7,0),0),"")))</f>
        <v/>
      </c>
      <c r="AC1142" s="350" t="str">
        <f ca="1">IF(AND(S1142&lt;OP!$C$24,$U1142&lt;15),0,IF(AND($U1142&lt;16,$T1142=12),VLOOKUP($S1142,DOWN16,4,0),IF($T1142=12,ROUND(VLOOKUP(OP!$C$55,_DIE2,$S1142+1,0)*(Z1142/10000),0)+IF(AND($P$7="購買增額繳清保險",T1142=12,U1142=110),VLOOKUP(S1142,$B$10:$H$121,7,0),0),"")))</f>
        <v/>
      </c>
      <c r="AD1142" s="347"/>
      <c r="AE1142" s="350" t="str">
        <f t="shared" ca="1" si="693"/>
        <v/>
      </c>
      <c r="AF1142" s="351" t="str">
        <f t="shared" ca="1" si="694"/>
        <v/>
      </c>
      <c r="AG1142" s="340"/>
      <c r="AH1142" s="340"/>
      <c r="AI1142" s="340"/>
      <c r="AJ1142" s="340"/>
      <c r="AK1142" s="340"/>
      <c r="AL1142" s="340"/>
      <c r="AM1142" s="340"/>
      <c r="AN1142" s="340"/>
      <c r="AO1142" s="340"/>
      <c r="AP1142" s="340"/>
      <c r="AQ1142" s="340"/>
      <c r="AR1142" s="340"/>
      <c r="AS1142" s="340"/>
      <c r="AT1142" s="340"/>
      <c r="AU1142" s="340"/>
      <c r="AV1142" s="340"/>
      <c r="AY1142" s="340"/>
      <c r="AZ1142" s="465">
        <f t="shared" ca="1" si="704"/>
        <v>7.3698599999999999E-5</v>
      </c>
      <c r="BA1142" s="464">
        <f t="shared" ca="1" si="705"/>
        <v>0</v>
      </c>
      <c r="BB1142" s="465">
        <f t="shared" ca="1" si="705"/>
        <v>7.3698599999999999E-5</v>
      </c>
      <c r="BC1142" s="466">
        <f t="shared" ca="1" si="706"/>
        <v>77372</v>
      </c>
      <c r="BD1142" s="467">
        <f t="shared" ca="1" si="719"/>
        <v>77373</v>
      </c>
      <c r="BE1142" s="467">
        <f t="shared" ca="1" si="707"/>
        <v>77401</v>
      </c>
      <c r="BF1142" s="468">
        <f ca="1">IF(計算!$BC1142&lt;OP!$C$3,0,BD1142-BC1142)</f>
        <v>1</v>
      </c>
      <c r="BG1142" s="468">
        <f ca="1">IF($BE1142&gt;DATE(YEAR($BD$9)+OP!$C$57,MONTH($BD$9),DAY($BD$9)),0,$BE1142-$BD1142+1)</f>
        <v>0</v>
      </c>
      <c r="BH1142" s="469">
        <f t="shared" ca="1" si="708"/>
        <v>1</v>
      </c>
      <c r="BI1142" t="str">
        <f t="shared" si="724"/>
        <v/>
      </c>
      <c r="BJ1142">
        <v>5</v>
      </c>
      <c r="BN1142" s="468">
        <f t="shared" si="720"/>
        <v>95</v>
      </c>
      <c r="BO1142" s="468">
        <f t="shared" si="721"/>
        <v>5</v>
      </c>
      <c r="BP1142" s="467">
        <f t="shared" ca="1" si="709"/>
        <v>77373</v>
      </c>
      <c r="BQ1142" s="475">
        <f t="shared" ca="1" si="723"/>
        <v>127</v>
      </c>
      <c r="BR1142" s="475" t="str">
        <f t="shared" si="722"/>
        <v/>
      </c>
      <c r="BS1142" s="471" t="str">
        <f t="shared" si="710"/>
        <v/>
      </c>
      <c r="BT1142" s="472" t="str">
        <f t="shared" si="725"/>
        <v/>
      </c>
      <c r="BU1142" s="472">
        <f t="shared" ca="1" si="711"/>
        <v>0</v>
      </c>
      <c r="BV1142" s="472">
        <f t="shared" ca="1" si="711"/>
        <v>0</v>
      </c>
      <c r="BW1142" s="472"/>
      <c r="BX1142" s="473">
        <f t="shared" ca="1" si="712"/>
        <v>2795844.7694768198</v>
      </c>
      <c r="BY1142" s="473">
        <f t="shared" si="713"/>
        <v>0</v>
      </c>
      <c r="BZ1142" s="473">
        <f t="shared" ca="1" si="695"/>
        <v>206.049845328</v>
      </c>
      <c r="CA1142" s="476">
        <f t="shared" ca="1" si="714"/>
        <v>0</v>
      </c>
      <c r="CB1142" s="494">
        <f ca="1">IF(OR($Q1141&lt;&gt;1,OP!$D$5+$BN1142-1&lt;16,$BN1142-1&lt;1),0,ROUND(ROUND(ROUND(((VLOOKUP($BN1142-1,MORE_PV,5,0)/10000)*VLOOKUP($BN1142,MORE_PV,$CB$5,0)),3)*VLOOKUP($BN1142,more1,5,0),0)/$R1141,0))</f>
        <v>0</v>
      </c>
      <c r="CC1142" s="473">
        <f t="shared" ca="1" si="715"/>
        <v>0</v>
      </c>
      <c r="CD1142" s="477"/>
    </row>
    <row r="1143" spans="2:82" ht="16.5" hidden="1">
      <c r="B1143" s="80"/>
      <c r="C1143" s="80"/>
      <c r="D1143" s="80"/>
      <c r="E1143" s="80"/>
      <c r="F1143" s="80"/>
      <c r="G1143" s="80"/>
      <c r="H1143" s="80"/>
      <c r="I1143" s="80"/>
      <c r="J1143" s="192">
        <f t="shared" si="696"/>
        <v>95</v>
      </c>
      <c r="K1143" s="192">
        <f t="shared" si="697"/>
        <v>7</v>
      </c>
      <c r="L1143" s="192" t="str">
        <f t="shared" si="692"/>
        <v/>
      </c>
      <c r="M1143" s="216" t="str">
        <f t="shared" ca="1" si="698"/>
        <v/>
      </c>
      <c r="N1143" s="216"/>
      <c r="O1143" s="216"/>
      <c r="P1143" s="216"/>
      <c r="Q1143" s="456">
        <f t="shared" ca="1" si="699"/>
        <v>1</v>
      </c>
      <c r="R1143" s="450">
        <f t="shared" ca="1" si="700"/>
        <v>12</v>
      </c>
      <c r="S1143" s="191">
        <f t="shared" si="701"/>
        <v>95</v>
      </c>
      <c r="T1143" s="191">
        <f t="shared" si="702"/>
        <v>7</v>
      </c>
      <c r="U1143" s="191">
        <f ca="1">OP!$D$5+$S1143-1</f>
        <v>127</v>
      </c>
      <c r="V1143" s="191" t="str">
        <f t="shared" si="703"/>
        <v/>
      </c>
      <c r="W1143" s="350">
        <f ca="1">IF(Q1143&lt;&gt;1,0,VLOOKUP(OP!$C$55,PVFB,$S1143+2,0))</f>
        <v>0</v>
      </c>
      <c r="X1143" s="473" t="str">
        <f t="shared" ca="1" si="716"/>
        <v/>
      </c>
      <c r="Y1143" s="348">
        <f t="shared" ca="1" si="717"/>
        <v>0</v>
      </c>
      <c r="Z1143" s="348">
        <f t="shared" ca="1" si="718"/>
        <v>8012</v>
      </c>
      <c r="AA1143" s="348">
        <f ca="1">IF(Q1143&lt;&gt;1,0,VLOOKUP(OP!$C$55,PVFB,$S1143+2,0))</f>
        <v>0</v>
      </c>
      <c r="AB1143" s="488" t="str">
        <f ca="1">IF(AND(S1143&lt;OP!$C$24,$U1143&lt;15),0,IF(AND($U1143&lt;15,$T1143=12),ROUND(VLOOKUP($S1143,DOWN16,5,0),3),IF($T1143=12,ROUND(($Z1143/10000)*$AA1143,3)+IF(AND($P$7="購買增額繳清保險",T1143=12,U1143=110),VLOOKUP(S1143,$B$10:$H$121,7,0),0),"")))</f>
        <v/>
      </c>
      <c r="AC1143" s="350" t="str">
        <f ca="1">IF(AND(S1143&lt;OP!$C$24,$U1143&lt;15),0,IF(AND($U1143&lt;16,$T1143=12),VLOOKUP($S1143,DOWN16,4,0),IF($T1143=12,ROUND(VLOOKUP(OP!$C$55,_DIE2,$S1143+1,0)*(Z1143/10000),0)+IF(AND($P$7="購買增額繳清保險",T1143=12,U1143=110),VLOOKUP(S1143,$B$10:$H$121,7,0),0),"")))</f>
        <v/>
      </c>
      <c r="AD1143" s="347"/>
      <c r="AE1143" s="350" t="str">
        <f t="shared" ca="1" si="693"/>
        <v/>
      </c>
      <c r="AF1143" s="351" t="str">
        <f t="shared" ca="1" si="694"/>
        <v/>
      </c>
      <c r="AG1143" s="340"/>
      <c r="AH1143" s="340"/>
      <c r="AI1143" s="340"/>
      <c r="AJ1143" s="340"/>
      <c r="AK1143" s="340"/>
      <c r="AL1143" s="340"/>
      <c r="AM1143" s="340"/>
      <c r="AN1143" s="340"/>
      <c r="AO1143" s="340"/>
      <c r="AP1143" s="340"/>
      <c r="AQ1143" s="340"/>
      <c r="AR1143" s="340"/>
      <c r="AS1143" s="340"/>
      <c r="AT1143" s="340"/>
      <c r="AU1143" s="340"/>
      <c r="AV1143" s="340"/>
      <c r="AY1143" s="340"/>
      <c r="AZ1143" s="465">
        <f t="shared" ca="1" si="704"/>
        <v>7.3698599999999999E-5</v>
      </c>
      <c r="BA1143" s="464">
        <f t="shared" ca="1" si="705"/>
        <v>0</v>
      </c>
      <c r="BB1143" s="465">
        <f t="shared" ca="1" si="705"/>
        <v>7.3698599999999999E-5</v>
      </c>
      <c r="BC1143" s="466">
        <f t="shared" ca="1" si="706"/>
        <v>77402</v>
      </c>
      <c r="BD1143" s="467">
        <f t="shared" ca="1" si="719"/>
        <v>77403</v>
      </c>
      <c r="BE1143" s="467">
        <f t="shared" ca="1" si="707"/>
        <v>77432</v>
      </c>
      <c r="BF1143" s="468">
        <f ca="1">IF(計算!$BC1143&lt;OP!$C$3,0,BD1143-BC1143)</f>
        <v>1</v>
      </c>
      <c r="BG1143" s="468">
        <f ca="1">IF($BE1143&gt;DATE(YEAR($BD$9)+OP!$C$57,MONTH($BD$9),DAY($BD$9)),0,$BE1143-$BD1143+1)</f>
        <v>0</v>
      </c>
      <c r="BH1143" s="469">
        <f t="shared" ca="1" si="708"/>
        <v>1</v>
      </c>
      <c r="BI1143" t="str">
        <f t="shared" si="724"/>
        <v/>
      </c>
      <c r="BJ1143">
        <v>6</v>
      </c>
      <c r="BN1143" s="468">
        <f t="shared" si="720"/>
        <v>95</v>
      </c>
      <c r="BO1143" s="468">
        <f t="shared" si="721"/>
        <v>6</v>
      </c>
      <c r="BP1143" s="467">
        <f t="shared" ca="1" si="709"/>
        <v>77403</v>
      </c>
      <c r="BQ1143" s="475">
        <f t="shared" ca="1" si="723"/>
        <v>127</v>
      </c>
      <c r="BR1143" s="475" t="str">
        <f t="shared" si="722"/>
        <v/>
      </c>
      <c r="BS1143" s="471" t="str">
        <f t="shared" si="710"/>
        <v/>
      </c>
      <c r="BT1143" s="472" t="str">
        <f t="shared" si="725"/>
        <v/>
      </c>
      <c r="BU1143" s="472">
        <f t="shared" ca="1" si="711"/>
        <v>0</v>
      </c>
      <c r="BV1143" s="472">
        <f t="shared" ca="1" si="711"/>
        <v>0</v>
      </c>
      <c r="BW1143" s="472"/>
      <c r="BX1143" s="473">
        <f t="shared" ca="1" si="712"/>
        <v>2796050.8193221502</v>
      </c>
      <c r="BY1143" s="473">
        <f t="shared" si="713"/>
        <v>0</v>
      </c>
      <c r="BZ1143" s="473">
        <f t="shared" ca="1" si="695"/>
        <v>206.06503091299999</v>
      </c>
      <c r="CA1143" s="476">
        <f t="shared" ca="1" si="714"/>
        <v>0</v>
      </c>
      <c r="CB1143" s="494">
        <f ca="1">IF(OR($Q1142&lt;&gt;1,OP!$D$5+$BN1143-1&lt;16,$BN1143-1&lt;1),0,ROUND(ROUND(ROUND(((VLOOKUP($BN1143-1,MORE_PV,5,0)/10000)*VLOOKUP($BN1143,MORE_PV,$CB$5,0)),3)*VLOOKUP($BN1143,more1,5,0),0)/$R1142,0))</f>
        <v>0</v>
      </c>
      <c r="CC1143" s="473">
        <f t="shared" ca="1" si="715"/>
        <v>0</v>
      </c>
      <c r="CD1143" s="477"/>
    </row>
    <row r="1144" spans="2:82" ht="16.5" hidden="1">
      <c r="B1144" s="80"/>
      <c r="C1144" s="80"/>
      <c r="D1144" s="80"/>
      <c r="E1144" s="80"/>
      <c r="F1144" s="80"/>
      <c r="G1144" s="80"/>
      <c r="H1144" s="80"/>
      <c r="I1144" s="80"/>
      <c r="J1144" s="192">
        <f t="shared" si="696"/>
        <v>95</v>
      </c>
      <c r="K1144" s="192">
        <f t="shared" si="697"/>
        <v>8</v>
      </c>
      <c r="L1144" s="192" t="str">
        <f t="shared" si="692"/>
        <v/>
      </c>
      <c r="M1144" s="216" t="str">
        <f t="shared" ca="1" si="698"/>
        <v/>
      </c>
      <c r="N1144" s="216"/>
      <c r="O1144" s="216"/>
      <c r="P1144" s="216"/>
      <c r="Q1144" s="456">
        <f t="shared" ca="1" si="699"/>
        <v>1</v>
      </c>
      <c r="R1144" s="450">
        <f t="shared" ca="1" si="700"/>
        <v>12</v>
      </c>
      <c r="S1144" s="191">
        <f t="shared" si="701"/>
        <v>95</v>
      </c>
      <c r="T1144" s="191">
        <f t="shared" si="702"/>
        <v>8</v>
      </c>
      <c r="U1144" s="191">
        <f ca="1">OP!$D$5+$S1144-1</f>
        <v>127</v>
      </c>
      <c r="V1144" s="191" t="str">
        <f t="shared" si="703"/>
        <v/>
      </c>
      <c r="W1144" s="350">
        <f ca="1">IF(Q1144&lt;&gt;1,0,VLOOKUP(OP!$C$55,PVFB,$S1144+2,0))</f>
        <v>0</v>
      </c>
      <c r="X1144" s="473" t="str">
        <f t="shared" ca="1" si="716"/>
        <v/>
      </c>
      <c r="Y1144" s="348">
        <f t="shared" ca="1" si="717"/>
        <v>0</v>
      </c>
      <c r="Z1144" s="348">
        <f t="shared" ca="1" si="718"/>
        <v>8012</v>
      </c>
      <c r="AA1144" s="348">
        <f ca="1">IF(Q1144&lt;&gt;1,0,VLOOKUP(OP!$C$55,PVFB,$S1144+2,0))</f>
        <v>0</v>
      </c>
      <c r="AB1144" s="488" t="str">
        <f ca="1">IF(AND(S1144&lt;OP!$C$24,$U1144&lt;15),0,IF(AND($U1144&lt;15,$T1144=12),ROUND(VLOOKUP($S1144,DOWN16,5,0),3),IF($T1144=12,ROUND(($Z1144/10000)*$AA1144,3)+IF(AND($P$7="購買增額繳清保險",T1144=12,U1144=110),VLOOKUP(S1144,$B$10:$H$121,7,0),0),"")))</f>
        <v/>
      </c>
      <c r="AC1144" s="350" t="str">
        <f ca="1">IF(AND(S1144&lt;OP!$C$24,$U1144&lt;15),0,IF(AND($U1144&lt;16,$T1144=12),VLOOKUP($S1144,DOWN16,4,0),IF($T1144=12,ROUND(VLOOKUP(OP!$C$55,_DIE2,$S1144+1,0)*(Z1144/10000),0)+IF(AND($P$7="購買增額繳清保險",T1144=12,U1144=110),VLOOKUP(S1144,$B$10:$H$121,7,0),0),"")))</f>
        <v/>
      </c>
      <c r="AD1144" s="347"/>
      <c r="AE1144" s="350" t="str">
        <f t="shared" ca="1" si="693"/>
        <v/>
      </c>
      <c r="AF1144" s="351" t="str">
        <f t="shared" ca="1" si="694"/>
        <v/>
      </c>
      <c r="AG1144" s="340"/>
      <c r="AH1144" s="340"/>
      <c r="AI1144" s="340"/>
      <c r="AJ1144" s="340"/>
      <c r="AK1144" s="340"/>
      <c r="AL1144" s="340"/>
      <c r="AM1144" s="340"/>
      <c r="AN1144" s="340"/>
      <c r="AO1144" s="340"/>
      <c r="AP1144" s="340"/>
      <c r="AQ1144" s="340"/>
      <c r="AR1144" s="340"/>
      <c r="AS1144" s="340"/>
      <c r="AT1144" s="340"/>
      <c r="AU1144" s="340"/>
      <c r="AV1144" s="340"/>
      <c r="AY1144" s="340"/>
      <c r="AZ1144" s="465">
        <f t="shared" ca="1" si="704"/>
        <v>7.3698599999999999E-5</v>
      </c>
      <c r="BA1144" s="464">
        <f t="shared" ca="1" si="705"/>
        <v>0</v>
      </c>
      <c r="BB1144" s="465">
        <f t="shared" ca="1" si="705"/>
        <v>7.3698599999999999E-5</v>
      </c>
      <c r="BC1144" s="466">
        <f t="shared" ca="1" si="706"/>
        <v>77433</v>
      </c>
      <c r="BD1144" s="467">
        <f t="shared" ca="1" si="719"/>
        <v>77434</v>
      </c>
      <c r="BE1144" s="467">
        <f t="shared" ca="1" si="707"/>
        <v>77463</v>
      </c>
      <c r="BF1144" s="468">
        <f ca="1">IF(計算!$BC1144&lt;OP!$C$3,0,BD1144-BC1144)</f>
        <v>1</v>
      </c>
      <c r="BG1144" s="468">
        <f ca="1">IF($BE1144&gt;DATE(YEAR($BD$9)+OP!$C$57,MONTH($BD$9),DAY($BD$9)),0,$BE1144-$BD1144+1)</f>
        <v>0</v>
      </c>
      <c r="BH1144" s="469">
        <f t="shared" ca="1" si="708"/>
        <v>1</v>
      </c>
      <c r="BI1144" t="str">
        <f t="shared" si="724"/>
        <v/>
      </c>
      <c r="BJ1144">
        <v>7</v>
      </c>
      <c r="BN1144" s="468">
        <f t="shared" si="720"/>
        <v>95</v>
      </c>
      <c r="BO1144" s="468">
        <f t="shared" si="721"/>
        <v>7</v>
      </c>
      <c r="BP1144" s="467">
        <f t="shared" ca="1" si="709"/>
        <v>77434</v>
      </c>
      <c r="BQ1144" s="475">
        <f t="shared" ca="1" si="723"/>
        <v>127</v>
      </c>
      <c r="BR1144" s="475" t="str">
        <f t="shared" si="722"/>
        <v/>
      </c>
      <c r="BS1144" s="471" t="str">
        <f t="shared" si="710"/>
        <v/>
      </c>
      <c r="BT1144" s="472" t="str">
        <f t="shared" si="725"/>
        <v/>
      </c>
      <c r="BU1144" s="472">
        <f t="shared" ca="1" si="711"/>
        <v>0</v>
      </c>
      <c r="BV1144" s="472">
        <f t="shared" ca="1" si="711"/>
        <v>0</v>
      </c>
      <c r="BW1144" s="472"/>
      <c r="BX1144" s="473">
        <f t="shared" ca="1" si="712"/>
        <v>2796256.8843530598</v>
      </c>
      <c r="BY1144" s="473">
        <f t="shared" si="713"/>
        <v>0</v>
      </c>
      <c r="BZ1144" s="473">
        <f t="shared" ca="1" si="695"/>
        <v>206.08021761699999</v>
      </c>
      <c r="CA1144" s="476">
        <f t="shared" ca="1" si="714"/>
        <v>0</v>
      </c>
      <c r="CB1144" s="494">
        <f ca="1">IF(OR($Q1143&lt;&gt;1,OP!$D$5+$BN1144-1&lt;16,$BN1144-1&lt;1),0,ROUND(ROUND(ROUND(((VLOOKUP($BN1144-1,MORE_PV,5,0)/10000)*VLOOKUP($BN1144,MORE_PV,$CB$5,0)),3)*VLOOKUP($BN1144,more1,5,0),0)/$R1143,0))</f>
        <v>0</v>
      </c>
      <c r="CC1144" s="473">
        <f t="shared" ca="1" si="715"/>
        <v>0</v>
      </c>
      <c r="CD1144" s="477"/>
    </row>
    <row r="1145" spans="2:82" ht="16.5" hidden="1">
      <c r="B1145" s="80"/>
      <c r="C1145" s="80"/>
      <c r="D1145" s="80"/>
      <c r="E1145" s="80"/>
      <c r="F1145" s="80"/>
      <c r="G1145" s="80"/>
      <c r="H1145" s="80"/>
      <c r="I1145" s="80"/>
      <c r="J1145" s="192">
        <f t="shared" si="696"/>
        <v>95</v>
      </c>
      <c r="K1145" s="192">
        <f t="shared" si="697"/>
        <v>9</v>
      </c>
      <c r="L1145" s="192" t="str">
        <f t="shared" si="692"/>
        <v/>
      </c>
      <c r="M1145" s="216" t="str">
        <f t="shared" ca="1" si="698"/>
        <v/>
      </c>
      <c r="N1145" s="216"/>
      <c r="O1145" s="216"/>
      <c r="P1145" s="216"/>
      <c r="Q1145" s="456">
        <f t="shared" ca="1" si="699"/>
        <v>1</v>
      </c>
      <c r="R1145" s="450">
        <f t="shared" ca="1" si="700"/>
        <v>12</v>
      </c>
      <c r="S1145" s="191">
        <f t="shared" si="701"/>
        <v>95</v>
      </c>
      <c r="T1145" s="191">
        <f t="shared" si="702"/>
        <v>9</v>
      </c>
      <c r="U1145" s="191">
        <f ca="1">OP!$D$5+$S1145-1</f>
        <v>127</v>
      </c>
      <c r="V1145" s="191" t="str">
        <f t="shared" si="703"/>
        <v/>
      </c>
      <c r="W1145" s="350">
        <f ca="1">IF(Q1145&lt;&gt;1,0,VLOOKUP(OP!$C$55,PVFB,$S1145+2,0))</f>
        <v>0</v>
      </c>
      <c r="X1145" s="473" t="str">
        <f t="shared" ca="1" si="716"/>
        <v/>
      </c>
      <c r="Y1145" s="348">
        <f t="shared" ca="1" si="717"/>
        <v>0</v>
      </c>
      <c r="Z1145" s="348">
        <f t="shared" ca="1" si="718"/>
        <v>8012</v>
      </c>
      <c r="AA1145" s="348">
        <f ca="1">IF(Q1145&lt;&gt;1,0,VLOOKUP(OP!$C$55,PVFB,$S1145+2,0))</f>
        <v>0</v>
      </c>
      <c r="AB1145" s="488" t="str">
        <f ca="1">IF(AND(S1145&lt;OP!$C$24,$U1145&lt;15),0,IF(AND($U1145&lt;15,$T1145=12),ROUND(VLOOKUP($S1145,DOWN16,5,0),3),IF($T1145=12,ROUND(($Z1145/10000)*$AA1145,3)+IF(AND($P$7="購買增額繳清保險",T1145=12,U1145=110),VLOOKUP(S1145,$B$10:$H$121,7,0),0),"")))</f>
        <v/>
      </c>
      <c r="AC1145" s="350" t="str">
        <f ca="1">IF(AND(S1145&lt;OP!$C$24,$U1145&lt;15),0,IF(AND($U1145&lt;16,$T1145=12),VLOOKUP($S1145,DOWN16,4,0),IF($T1145=12,ROUND(VLOOKUP(OP!$C$55,_DIE2,$S1145+1,0)*(Z1145/10000),0)+IF(AND($P$7="購買增額繳清保險",T1145=12,U1145=110),VLOOKUP(S1145,$B$10:$H$121,7,0),0),"")))</f>
        <v/>
      </c>
      <c r="AD1145" s="347"/>
      <c r="AE1145" s="350" t="str">
        <f t="shared" ca="1" si="693"/>
        <v/>
      </c>
      <c r="AF1145" s="351" t="str">
        <f t="shared" ca="1" si="694"/>
        <v/>
      </c>
      <c r="AG1145" s="340"/>
      <c r="AH1145" s="340"/>
      <c r="AI1145" s="340"/>
      <c r="AJ1145" s="340"/>
      <c r="AK1145" s="340"/>
      <c r="AL1145" s="340"/>
      <c r="AM1145" s="340"/>
      <c r="AN1145" s="340"/>
      <c r="AO1145" s="340"/>
      <c r="AP1145" s="340"/>
      <c r="AQ1145" s="340"/>
      <c r="AR1145" s="340"/>
      <c r="AS1145" s="340"/>
      <c r="AT1145" s="340"/>
      <c r="AU1145" s="340"/>
      <c r="AV1145" s="340"/>
      <c r="AY1145" s="340"/>
      <c r="AZ1145" s="465">
        <f t="shared" ca="1" si="704"/>
        <v>7.3698599999999999E-5</v>
      </c>
      <c r="BA1145" s="464">
        <f t="shared" ca="1" si="705"/>
        <v>0</v>
      </c>
      <c r="BB1145" s="465">
        <f t="shared" ca="1" si="705"/>
        <v>7.3698599999999999E-5</v>
      </c>
      <c r="BC1145" s="466">
        <f t="shared" ca="1" si="706"/>
        <v>77464</v>
      </c>
      <c r="BD1145" s="467">
        <f t="shared" ca="1" si="719"/>
        <v>77465</v>
      </c>
      <c r="BE1145" s="467">
        <f t="shared" ca="1" si="707"/>
        <v>77492</v>
      </c>
      <c r="BF1145" s="468">
        <f ca="1">IF(計算!$BC1145&lt;OP!$C$3,0,BD1145-BC1145)</f>
        <v>1</v>
      </c>
      <c r="BG1145" s="468">
        <f ca="1">IF($BE1145&gt;DATE(YEAR($BD$9)+OP!$C$57,MONTH($BD$9),DAY($BD$9)),0,$BE1145-$BD1145+1)</f>
        <v>0</v>
      </c>
      <c r="BH1145" s="469">
        <f t="shared" ca="1" si="708"/>
        <v>1</v>
      </c>
      <c r="BI1145" t="str">
        <f t="shared" si="724"/>
        <v/>
      </c>
      <c r="BJ1145">
        <v>8</v>
      </c>
      <c r="BN1145" s="468">
        <f t="shared" si="720"/>
        <v>95</v>
      </c>
      <c r="BO1145" s="468">
        <f t="shared" si="721"/>
        <v>8</v>
      </c>
      <c r="BP1145" s="467">
        <f t="shared" ca="1" si="709"/>
        <v>77465</v>
      </c>
      <c r="BQ1145" s="475">
        <f t="shared" ca="1" si="723"/>
        <v>127</v>
      </c>
      <c r="BR1145" s="475" t="str">
        <f t="shared" si="722"/>
        <v/>
      </c>
      <c r="BS1145" s="471" t="str">
        <f t="shared" si="710"/>
        <v/>
      </c>
      <c r="BT1145" s="472" t="str">
        <f t="shared" si="725"/>
        <v/>
      </c>
      <c r="BU1145" s="472">
        <f t="shared" ca="1" si="711"/>
        <v>0</v>
      </c>
      <c r="BV1145" s="472">
        <f t="shared" ca="1" si="711"/>
        <v>0</v>
      </c>
      <c r="BW1145" s="472"/>
      <c r="BX1145" s="473">
        <f t="shared" ca="1" si="712"/>
        <v>2796462.9645706802</v>
      </c>
      <c r="BY1145" s="473">
        <f t="shared" si="713"/>
        <v>0</v>
      </c>
      <c r="BZ1145" s="473">
        <f t="shared" ca="1" si="695"/>
        <v>206.095405441</v>
      </c>
      <c r="CA1145" s="476">
        <f t="shared" ca="1" si="714"/>
        <v>0</v>
      </c>
      <c r="CB1145" s="494">
        <f ca="1">IF(OR($Q1144&lt;&gt;1,OP!$D$5+$BN1145-1&lt;16,$BN1145-1&lt;1),0,ROUND(ROUND(ROUND(((VLOOKUP($BN1145-1,MORE_PV,5,0)/10000)*VLOOKUP($BN1145,MORE_PV,$CB$5,0)),3)*VLOOKUP($BN1145,more1,5,0),0)/$R1144,0))</f>
        <v>0</v>
      </c>
      <c r="CC1145" s="473">
        <f t="shared" ca="1" si="715"/>
        <v>0</v>
      </c>
      <c r="CD1145" s="477"/>
    </row>
    <row r="1146" spans="2:82" ht="16.5" hidden="1">
      <c r="B1146" s="80"/>
      <c r="C1146" s="80"/>
      <c r="D1146" s="80"/>
      <c r="E1146" s="80"/>
      <c r="F1146" s="80"/>
      <c r="G1146" s="80"/>
      <c r="H1146" s="80"/>
      <c r="I1146" s="80"/>
      <c r="J1146" s="192">
        <f t="shared" si="696"/>
        <v>95</v>
      </c>
      <c r="K1146" s="192">
        <f t="shared" si="697"/>
        <v>10</v>
      </c>
      <c r="L1146" s="192" t="str">
        <f t="shared" si="692"/>
        <v/>
      </c>
      <c r="M1146" s="216" t="str">
        <f t="shared" ca="1" si="698"/>
        <v/>
      </c>
      <c r="N1146" s="216"/>
      <c r="O1146" s="216"/>
      <c r="P1146" s="216"/>
      <c r="Q1146" s="456">
        <f t="shared" ca="1" si="699"/>
        <v>1</v>
      </c>
      <c r="R1146" s="450">
        <f t="shared" ca="1" si="700"/>
        <v>12</v>
      </c>
      <c r="S1146" s="191">
        <f t="shared" si="701"/>
        <v>95</v>
      </c>
      <c r="T1146" s="191">
        <f t="shared" si="702"/>
        <v>10</v>
      </c>
      <c r="U1146" s="191">
        <f ca="1">OP!$D$5+$S1146-1</f>
        <v>127</v>
      </c>
      <c r="V1146" s="191" t="str">
        <f t="shared" si="703"/>
        <v/>
      </c>
      <c r="W1146" s="350">
        <f ca="1">IF(Q1146&lt;&gt;1,0,VLOOKUP(OP!$C$55,PVFB,$S1146+2,0))</f>
        <v>0</v>
      </c>
      <c r="X1146" s="473" t="str">
        <f t="shared" ca="1" si="716"/>
        <v/>
      </c>
      <c r="Y1146" s="348">
        <f t="shared" ca="1" si="717"/>
        <v>0</v>
      </c>
      <c r="Z1146" s="348">
        <f t="shared" ca="1" si="718"/>
        <v>8012</v>
      </c>
      <c r="AA1146" s="348">
        <f ca="1">IF(Q1146&lt;&gt;1,0,VLOOKUP(OP!$C$55,PVFB,$S1146+2,0))</f>
        <v>0</v>
      </c>
      <c r="AB1146" s="488" t="str">
        <f ca="1">IF(AND(S1146&lt;OP!$C$24,$U1146&lt;15),0,IF(AND($U1146&lt;15,$T1146=12),ROUND(VLOOKUP($S1146,DOWN16,5,0),3),IF($T1146=12,ROUND(($Z1146/10000)*$AA1146,3)+IF(AND($P$7="購買增額繳清保險",T1146=12,U1146=110),VLOOKUP(S1146,$B$10:$H$121,7,0),0),"")))</f>
        <v/>
      </c>
      <c r="AC1146" s="350" t="str">
        <f ca="1">IF(AND(S1146&lt;OP!$C$24,$U1146&lt;15),0,IF(AND($U1146&lt;16,$T1146=12),VLOOKUP($S1146,DOWN16,4,0),IF($T1146=12,ROUND(VLOOKUP(OP!$C$55,_DIE2,$S1146+1,0)*(Z1146/10000),0)+IF(AND($P$7="購買增額繳清保險",T1146=12,U1146=110),VLOOKUP(S1146,$B$10:$H$121,7,0),0),"")))</f>
        <v/>
      </c>
      <c r="AD1146" s="347"/>
      <c r="AE1146" s="350" t="str">
        <f t="shared" ca="1" si="693"/>
        <v/>
      </c>
      <c r="AF1146" s="351" t="str">
        <f t="shared" ca="1" si="694"/>
        <v/>
      </c>
      <c r="AG1146" s="340"/>
      <c r="AH1146" s="340"/>
      <c r="AI1146" s="340"/>
      <c r="AJ1146" s="340"/>
      <c r="AK1146" s="340"/>
      <c r="AL1146" s="340"/>
      <c r="AM1146" s="340"/>
      <c r="AN1146" s="340"/>
      <c r="AO1146" s="340"/>
      <c r="AP1146" s="340"/>
      <c r="AQ1146" s="340"/>
      <c r="AR1146" s="340"/>
      <c r="AS1146" s="340"/>
      <c r="AT1146" s="340"/>
      <c r="AU1146" s="340"/>
      <c r="AV1146" s="340"/>
      <c r="AY1146" s="340"/>
      <c r="AZ1146" s="465">
        <f t="shared" ca="1" si="704"/>
        <v>7.3698599999999999E-5</v>
      </c>
      <c r="BA1146" s="464">
        <f t="shared" ca="1" si="705"/>
        <v>0</v>
      </c>
      <c r="BB1146" s="465">
        <f t="shared" ca="1" si="705"/>
        <v>7.3698599999999999E-5</v>
      </c>
      <c r="BC1146" s="466">
        <f t="shared" ca="1" si="706"/>
        <v>77493</v>
      </c>
      <c r="BD1146" s="467">
        <f t="shared" ca="1" si="719"/>
        <v>77494</v>
      </c>
      <c r="BE1146" s="467">
        <f t="shared" ca="1" si="707"/>
        <v>77523</v>
      </c>
      <c r="BF1146" s="468">
        <f ca="1">IF(計算!$BC1146&lt;OP!$C$3,0,BD1146-BC1146)</f>
        <v>1</v>
      </c>
      <c r="BG1146" s="468">
        <f ca="1">IF($BE1146&gt;DATE(YEAR($BD$9)+OP!$C$57,MONTH($BD$9),DAY($BD$9)),0,$BE1146-$BD1146+1)</f>
        <v>0</v>
      </c>
      <c r="BH1146" s="469">
        <f t="shared" ca="1" si="708"/>
        <v>1</v>
      </c>
      <c r="BI1146" t="str">
        <f t="shared" si="724"/>
        <v/>
      </c>
      <c r="BJ1146">
        <v>9</v>
      </c>
      <c r="BN1146" s="468">
        <f t="shared" si="720"/>
        <v>95</v>
      </c>
      <c r="BO1146" s="468">
        <f t="shared" si="721"/>
        <v>9</v>
      </c>
      <c r="BP1146" s="467">
        <f t="shared" ca="1" si="709"/>
        <v>77494</v>
      </c>
      <c r="BQ1146" s="475">
        <f t="shared" ca="1" si="723"/>
        <v>127</v>
      </c>
      <c r="BR1146" s="475" t="str">
        <f t="shared" si="722"/>
        <v/>
      </c>
      <c r="BS1146" s="471" t="str">
        <f t="shared" si="710"/>
        <v/>
      </c>
      <c r="BT1146" s="472" t="str">
        <f t="shared" si="725"/>
        <v/>
      </c>
      <c r="BU1146" s="472">
        <f t="shared" ca="1" si="711"/>
        <v>0</v>
      </c>
      <c r="BV1146" s="472">
        <f t="shared" ca="1" si="711"/>
        <v>0</v>
      </c>
      <c r="BW1146" s="472"/>
      <c r="BX1146" s="473">
        <f t="shared" ca="1" si="712"/>
        <v>2796669.05997612</v>
      </c>
      <c r="BY1146" s="473">
        <f t="shared" si="713"/>
        <v>0</v>
      </c>
      <c r="BZ1146" s="473">
        <f t="shared" ca="1" si="695"/>
        <v>206.110594384</v>
      </c>
      <c r="CA1146" s="476">
        <f t="shared" ca="1" si="714"/>
        <v>0</v>
      </c>
      <c r="CB1146" s="494">
        <f ca="1">IF(OR($Q1145&lt;&gt;1,OP!$D$5+$BN1146-1&lt;16,$BN1146-1&lt;1),0,ROUND(ROUND(ROUND(((VLOOKUP($BN1146-1,MORE_PV,5,0)/10000)*VLOOKUP($BN1146,MORE_PV,$CB$5,0)),3)*VLOOKUP($BN1146,more1,5,0),0)/$R1145,0))</f>
        <v>0</v>
      </c>
      <c r="CC1146" s="473">
        <f t="shared" ca="1" si="715"/>
        <v>0</v>
      </c>
      <c r="CD1146" s="477"/>
    </row>
    <row r="1147" spans="2:82" ht="16.5" hidden="1">
      <c r="B1147" s="80"/>
      <c r="C1147" s="80"/>
      <c r="D1147" s="80"/>
      <c r="E1147" s="80"/>
      <c r="F1147" s="80"/>
      <c r="G1147" s="80"/>
      <c r="H1147" s="80"/>
      <c r="I1147" s="80"/>
      <c r="J1147" s="192">
        <f t="shared" si="696"/>
        <v>95</v>
      </c>
      <c r="K1147" s="192">
        <f t="shared" si="697"/>
        <v>11</v>
      </c>
      <c r="L1147" s="192" t="str">
        <f t="shared" si="692"/>
        <v/>
      </c>
      <c r="M1147" s="216" t="str">
        <f t="shared" ca="1" si="698"/>
        <v/>
      </c>
      <c r="N1147" s="216"/>
      <c r="O1147" s="216"/>
      <c r="P1147" s="216"/>
      <c r="Q1147" s="456">
        <f t="shared" ca="1" si="699"/>
        <v>1</v>
      </c>
      <c r="R1147" s="450">
        <f t="shared" ca="1" si="700"/>
        <v>12</v>
      </c>
      <c r="S1147" s="191">
        <f t="shared" si="701"/>
        <v>95</v>
      </c>
      <c r="T1147" s="191">
        <f t="shared" si="702"/>
        <v>11</v>
      </c>
      <c r="U1147" s="191">
        <f ca="1">OP!$D$5+$S1147-1</f>
        <v>127</v>
      </c>
      <c r="V1147" s="191" t="str">
        <f t="shared" si="703"/>
        <v/>
      </c>
      <c r="W1147" s="350">
        <f ca="1">IF(Q1147&lt;&gt;1,0,VLOOKUP(OP!$C$55,PVFB,$S1147+2,0))</f>
        <v>0</v>
      </c>
      <c r="X1147" s="473" t="str">
        <f t="shared" ca="1" si="716"/>
        <v/>
      </c>
      <c r="Y1147" s="348">
        <f t="shared" ca="1" si="717"/>
        <v>0</v>
      </c>
      <c r="Z1147" s="348">
        <f t="shared" ca="1" si="718"/>
        <v>8012</v>
      </c>
      <c r="AA1147" s="348">
        <f ca="1">IF(Q1147&lt;&gt;1,0,VLOOKUP(OP!$C$55,PVFB,$S1147+2,0))</f>
        <v>0</v>
      </c>
      <c r="AB1147" s="488" t="str">
        <f ca="1">IF(AND(S1147&lt;OP!$C$24,$U1147&lt;15),0,IF(AND($U1147&lt;15,$T1147=12),ROUND(VLOOKUP($S1147,DOWN16,5,0),3),IF($T1147=12,ROUND(($Z1147/10000)*$AA1147,3)+IF(AND($P$7="購買增額繳清保險",T1147=12,U1147=110),VLOOKUP(S1147,$B$10:$H$121,7,0),0),"")))</f>
        <v/>
      </c>
      <c r="AC1147" s="350" t="str">
        <f ca="1">IF(AND(S1147&lt;OP!$C$24,$U1147&lt;15),0,IF(AND($U1147&lt;16,$T1147=12),VLOOKUP($S1147,DOWN16,4,0),IF($T1147=12,ROUND(VLOOKUP(OP!$C$55,_DIE2,$S1147+1,0)*(Z1147/10000),0)+IF(AND($P$7="購買增額繳清保險",T1147=12,U1147=110),VLOOKUP(S1147,$B$10:$H$121,7,0),0),"")))</f>
        <v/>
      </c>
      <c r="AD1147" s="347"/>
      <c r="AE1147" s="350" t="str">
        <f t="shared" ca="1" si="693"/>
        <v/>
      </c>
      <c r="AF1147" s="351" t="str">
        <f t="shared" ca="1" si="694"/>
        <v/>
      </c>
      <c r="AG1147" s="340"/>
      <c r="AH1147" s="340"/>
      <c r="AI1147" s="340"/>
      <c r="AJ1147" s="340"/>
      <c r="AK1147" s="340"/>
      <c r="AL1147" s="340"/>
      <c r="AM1147" s="340"/>
      <c r="AN1147" s="340"/>
      <c r="AO1147" s="340"/>
      <c r="AP1147" s="340"/>
      <c r="AQ1147" s="340"/>
      <c r="AR1147" s="340"/>
      <c r="AS1147" s="340"/>
      <c r="AT1147" s="340"/>
      <c r="AU1147" s="340"/>
      <c r="AV1147" s="340"/>
      <c r="AY1147" s="340"/>
      <c r="AZ1147" s="465">
        <f t="shared" ca="1" si="704"/>
        <v>7.3698599999999999E-5</v>
      </c>
      <c r="BA1147" s="464">
        <f t="shared" ca="1" si="705"/>
        <v>0</v>
      </c>
      <c r="BB1147" s="465">
        <f t="shared" ca="1" si="705"/>
        <v>7.3698599999999999E-5</v>
      </c>
      <c r="BC1147" s="466">
        <f t="shared" ca="1" si="706"/>
        <v>77524</v>
      </c>
      <c r="BD1147" s="467">
        <f t="shared" ca="1" si="719"/>
        <v>77525</v>
      </c>
      <c r="BE1147" s="467">
        <f t="shared" ca="1" si="707"/>
        <v>77553</v>
      </c>
      <c r="BF1147" s="468">
        <f ca="1">IF(計算!$BC1147&lt;OP!$C$3,0,BD1147-BC1147)</f>
        <v>1</v>
      </c>
      <c r="BG1147" s="468">
        <f ca="1">IF($BE1147&gt;DATE(YEAR($BD$9)+OP!$C$57,MONTH($BD$9),DAY($BD$9)),0,$BE1147-$BD1147+1)</f>
        <v>0</v>
      </c>
      <c r="BH1147" s="469">
        <f t="shared" ca="1" si="708"/>
        <v>1</v>
      </c>
      <c r="BI1147" t="str">
        <f t="shared" si="724"/>
        <v/>
      </c>
      <c r="BJ1147">
        <v>10</v>
      </c>
      <c r="BN1147" s="468">
        <f t="shared" si="720"/>
        <v>95</v>
      </c>
      <c r="BO1147" s="468">
        <f t="shared" si="721"/>
        <v>10</v>
      </c>
      <c r="BP1147" s="467">
        <f t="shared" ca="1" si="709"/>
        <v>77525</v>
      </c>
      <c r="BQ1147" s="475">
        <f t="shared" ca="1" si="723"/>
        <v>127</v>
      </c>
      <c r="BR1147" s="475" t="str">
        <f t="shared" si="722"/>
        <v/>
      </c>
      <c r="BS1147" s="471" t="str">
        <f t="shared" si="710"/>
        <v/>
      </c>
      <c r="BT1147" s="472" t="str">
        <f t="shared" si="725"/>
        <v/>
      </c>
      <c r="BU1147" s="472">
        <f t="shared" ca="1" si="711"/>
        <v>0</v>
      </c>
      <c r="BV1147" s="472">
        <f t="shared" ca="1" si="711"/>
        <v>0</v>
      </c>
      <c r="BW1147" s="472"/>
      <c r="BX1147" s="473">
        <f t="shared" ca="1" si="712"/>
        <v>2796875.1705705002</v>
      </c>
      <c r="BY1147" s="473">
        <f t="shared" si="713"/>
        <v>0</v>
      </c>
      <c r="BZ1147" s="473">
        <f t="shared" ca="1" si="695"/>
        <v>206.12578444600001</v>
      </c>
      <c r="CA1147" s="476">
        <f t="shared" ca="1" si="714"/>
        <v>0</v>
      </c>
      <c r="CB1147" s="494">
        <f ca="1">IF(OR($Q1146&lt;&gt;1,OP!$D$5+$BN1147-1&lt;16,$BN1147-1&lt;1),0,ROUND(ROUND(ROUND(((VLOOKUP($BN1147-1,MORE_PV,5,0)/10000)*VLOOKUP($BN1147,MORE_PV,$CB$5,0)),3)*VLOOKUP($BN1147,more1,5,0),0)/$R1146,0))</f>
        <v>0</v>
      </c>
      <c r="CC1147" s="473">
        <f t="shared" ca="1" si="715"/>
        <v>0</v>
      </c>
      <c r="CD1147" s="477"/>
    </row>
    <row r="1148" spans="2:82" ht="16.5" hidden="1">
      <c r="B1148" s="80"/>
      <c r="C1148" s="80"/>
      <c r="D1148" s="80"/>
      <c r="E1148" s="80"/>
      <c r="F1148" s="80"/>
      <c r="G1148" s="80"/>
      <c r="H1148" s="80"/>
      <c r="I1148" s="80"/>
      <c r="J1148" s="192">
        <f t="shared" si="696"/>
        <v>95</v>
      </c>
      <c r="K1148" s="192">
        <f t="shared" si="697"/>
        <v>12</v>
      </c>
      <c r="L1148" s="192">
        <f t="shared" si="692"/>
        <v>95</v>
      </c>
      <c r="M1148" s="216">
        <f t="shared" ca="1" si="698"/>
        <v>2797493</v>
      </c>
      <c r="N1148" s="216"/>
      <c r="O1148" s="216"/>
      <c r="P1148" s="216"/>
      <c r="Q1148" s="456">
        <f t="shared" ca="1" si="699"/>
        <v>1</v>
      </c>
      <c r="R1148" s="450">
        <f t="shared" ca="1" si="700"/>
        <v>12</v>
      </c>
      <c r="S1148" s="191">
        <f t="shared" si="701"/>
        <v>95</v>
      </c>
      <c r="T1148" s="191">
        <f t="shared" si="702"/>
        <v>12</v>
      </c>
      <c r="U1148" s="191">
        <f ca="1">OP!$D$5+$S1148-1</f>
        <v>127</v>
      </c>
      <c r="V1148" s="191">
        <f t="shared" si="703"/>
        <v>95</v>
      </c>
      <c r="W1148" s="350">
        <f ca="1">IF(Q1148&lt;&gt;1,0,VLOOKUP(OP!$C$55,PVFB,$S1148+2,0))</f>
        <v>0</v>
      </c>
      <c r="X1148" s="473">
        <f t="shared" ca="1" si="716"/>
        <v>0</v>
      </c>
      <c r="Y1148" s="348">
        <f t="shared" ca="1" si="717"/>
        <v>0</v>
      </c>
      <c r="Z1148" s="348">
        <f t="shared" ca="1" si="718"/>
        <v>8012</v>
      </c>
      <c r="AA1148" s="348">
        <f ca="1">IF(Q1148&lt;&gt;1,0,VLOOKUP(OP!$C$55,PVFB,$S1148+2,0))</f>
        <v>0</v>
      </c>
      <c r="AB1148" s="488">
        <f ca="1">IF(AND(S1148&lt;OP!$C$24,$U1148&lt;15),0,IF(AND($U1148&lt;15,$T1148=12),ROUND(VLOOKUP($S1148,DOWN16,5,0),3),IF($T1148=12,ROUND(($Z1148/10000)*$AA1148,3)+IF(AND($P$7="購買增額繳清保險",T1148=12,U1148=110),VLOOKUP(S1148,$B$10:$H$121,7,0),0),"")))</f>
        <v>0</v>
      </c>
      <c r="AC1148" s="350">
        <f ca="1">IF(AND(S1148&lt;OP!$C$24,$U1148&lt;15),0,IF(AND($U1148&lt;16,$T1148=12),VLOOKUP($S1148,DOWN16,4,0),IF($T1148=12,ROUND(VLOOKUP(OP!$C$55,_DIE2,$S1148+1,0)*(Z1148/10000),0)+IF(AND($P$7="購買增額繳清保險",T1148=12,U1148=110),VLOOKUP(S1148,$B$10:$H$121,7,0),0),"")))</f>
        <v>0</v>
      </c>
      <c r="AD1148" s="347"/>
      <c r="AE1148" s="350" t="str">
        <f t="shared" ca="1" si="693"/>
        <v/>
      </c>
      <c r="AF1148" s="351" t="str">
        <f t="shared" ca="1" si="694"/>
        <v/>
      </c>
      <c r="AG1148" s="340"/>
      <c r="AH1148" s="340"/>
      <c r="AI1148" s="340"/>
      <c r="AJ1148" s="340"/>
      <c r="AK1148" s="340"/>
      <c r="AL1148" s="340"/>
      <c r="AM1148" s="340"/>
      <c r="AN1148" s="340"/>
      <c r="AO1148" s="340"/>
      <c r="AP1148" s="340"/>
      <c r="AQ1148" s="340"/>
      <c r="AR1148" s="340"/>
      <c r="AS1148" s="340"/>
      <c r="AT1148" s="340"/>
      <c r="AU1148" s="340"/>
      <c r="AV1148" s="340"/>
      <c r="AY1148" s="340"/>
      <c r="AZ1148" s="465">
        <f t="shared" ca="1" si="704"/>
        <v>7.3698599999999999E-5</v>
      </c>
      <c r="BA1148" s="464">
        <f t="shared" ca="1" si="705"/>
        <v>0</v>
      </c>
      <c r="BB1148" s="465">
        <f t="shared" ca="1" si="705"/>
        <v>7.3698599999999999E-5</v>
      </c>
      <c r="BC1148" s="466">
        <f t="shared" ca="1" si="706"/>
        <v>77554</v>
      </c>
      <c r="BD1148" s="467">
        <f t="shared" ca="1" si="719"/>
        <v>77555</v>
      </c>
      <c r="BE1148" s="467">
        <f t="shared" ca="1" si="707"/>
        <v>77584</v>
      </c>
      <c r="BF1148" s="468">
        <f ca="1">IF(計算!$BC1148&lt;OP!$C$3,0,BD1148-BC1148)</f>
        <v>1</v>
      </c>
      <c r="BG1148" s="468">
        <f ca="1">IF($BE1148&gt;DATE(YEAR($BD$9)+OP!$C$57,MONTH($BD$9),DAY($BD$9)),0,$BE1148-$BD1148+1)</f>
        <v>0</v>
      </c>
      <c r="BH1148" s="469">
        <f t="shared" ca="1" si="708"/>
        <v>1</v>
      </c>
      <c r="BI1148" t="str">
        <f t="shared" si="724"/>
        <v/>
      </c>
      <c r="BJ1148">
        <v>11</v>
      </c>
      <c r="BN1148" s="468">
        <f t="shared" si="720"/>
        <v>95</v>
      </c>
      <c r="BO1148" s="468">
        <f t="shared" si="721"/>
        <v>11</v>
      </c>
      <c r="BP1148" s="467">
        <f t="shared" ca="1" si="709"/>
        <v>77555</v>
      </c>
      <c r="BQ1148" s="475">
        <f t="shared" ca="1" si="723"/>
        <v>127</v>
      </c>
      <c r="BR1148" s="475" t="str">
        <f t="shared" si="722"/>
        <v/>
      </c>
      <c r="BS1148" s="471" t="str">
        <f t="shared" si="710"/>
        <v/>
      </c>
      <c r="BT1148" s="472" t="str">
        <f t="shared" si="725"/>
        <v/>
      </c>
      <c r="BU1148" s="472">
        <f t="shared" ca="1" si="711"/>
        <v>0</v>
      </c>
      <c r="BV1148" s="472">
        <f t="shared" ca="1" si="711"/>
        <v>0</v>
      </c>
      <c r="BW1148" s="472"/>
      <c r="BX1148" s="473">
        <f t="shared" ca="1" si="712"/>
        <v>2797081.2963549499</v>
      </c>
      <c r="BY1148" s="473">
        <f t="shared" si="713"/>
        <v>0</v>
      </c>
      <c r="BZ1148" s="473">
        <f t="shared" ca="1" si="695"/>
        <v>206.14097562800001</v>
      </c>
      <c r="CA1148" s="476">
        <f t="shared" ca="1" si="714"/>
        <v>0</v>
      </c>
      <c r="CB1148" s="494">
        <f ca="1">IF(OR($Q1147&lt;&gt;1,OP!$D$5+$BN1148-1&lt;16,$BN1148-1&lt;1),0,ROUND(ROUND(ROUND(((VLOOKUP($BN1148-1,MORE_PV,5,0)/10000)*VLOOKUP($BN1148,MORE_PV,$CB$5,0)),3)*VLOOKUP($BN1148,more1,5,0),0)/$R1147,0))</f>
        <v>0</v>
      </c>
      <c r="CC1148" s="473">
        <f t="shared" ca="1" si="715"/>
        <v>0</v>
      </c>
      <c r="CD1148" s="477"/>
    </row>
    <row r="1149" spans="2:82" ht="16.5" hidden="1">
      <c r="B1149" s="80"/>
      <c r="C1149" s="80"/>
      <c r="D1149" s="80"/>
      <c r="E1149" s="80"/>
      <c r="F1149" s="80"/>
      <c r="G1149" s="80"/>
      <c r="H1149" s="80"/>
      <c r="I1149" s="80"/>
      <c r="J1149" s="192">
        <f t="shared" si="696"/>
        <v>96</v>
      </c>
      <c r="K1149" s="192">
        <f t="shared" si="697"/>
        <v>1</v>
      </c>
      <c r="L1149" s="192" t="str">
        <f t="shared" si="692"/>
        <v/>
      </c>
      <c r="M1149" s="216" t="str">
        <f t="shared" ca="1" si="698"/>
        <v/>
      </c>
      <c r="N1149" s="216"/>
      <c r="O1149" s="216"/>
      <c r="P1149" s="216"/>
      <c r="Q1149" s="456">
        <f t="shared" ca="1" si="699"/>
        <v>1</v>
      </c>
      <c r="R1149" s="450">
        <f t="shared" ca="1" si="700"/>
        <v>12</v>
      </c>
      <c r="S1149" s="191">
        <f t="shared" si="701"/>
        <v>96</v>
      </c>
      <c r="T1149" s="191">
        <f t="shared" si="702"/>
        <v>1</v>
      </c>
      <c r="U1149" s="191">
        <f ca="1">OP!$D$5+$S1149-1</f>
        <v>128</v>
      </c>
      <c r="V1149" s="191" t="str">
        <f t="shared" si="703"/>
        <v/>
      </c>
      <c r="W1149" s="350">
        <f ca="1">IF(Q1149&lt;&gt;1,0,VLOOKUP(OP!$C$55,PVFB,$S1149+2,0))</f>
        <v>0</v>
      </c>
      <c r="X1149" s="473" t="str">
        <f t="shared" ca="1" si="716"/>
        <v/>
      </c>
      <c r="Y1149" s="348">
        <f t="shared" ca="1" si="717"/>
        <v>0</v>
      </c>
      <c r="Z1149" s="348">
        <f t="shared" ca="1" si="718"/>
        <v>8012</v>
      </c>
      <c r="AA1149" s="348">
        <f ca="1">IF(Q1149&lt;&gt;1,0,VLOOKUP(OP!$C$55,PVFB,$S1149+2,0))</f>
        <v>0</v>
      </c>
      <c r="AB1149" s="488" t="str">
        <f ca="1">IF(AND(S1149&lt;OP!$C$24,$U1149&lt;15),0,IF(AND($U1149&lt;15,$T1149=12),ROUND(VLOOKUP($S1149,DOWN16,5,0),3),IF($T1149=12,ROUND(($Z1149/10000)*$AA1149,3)+IF(AND($P$7="購買增額繳清保險",T1149=12,U1149=110),VLOOKUP(S1149,$B$10:$H$121,7,0),0),"")))</f>
        <v/>
      </c>
      <c r="AC1149" s="350" t="str">
        <f ca="1">IF(AND(S1149&lt;OP!$C$24,$U1149&lt;15),0,IF(AND($U1149&lt;16,$T1149=12),VLOOKUP($S1149,DOWN16,4,0),IF($T1149=12,ROUND(VLOOKUP(OP!$C$55,_DIE2,$S1149+1,0)*(Z1149/10000),0)+IF(AND($P$7="購買增額繳清保險",T1149=12,U1149=110),VLOOKUP(S1149,$B$10:$H$121,7,0),0),"")))</f>
        <v/>
      </c>
      <c r="AD1149" s="347"/>
      <c r="AE1149" s="350" t="str">
        <f t="shared" ca="1" si="693"/>
        <v/>
      </c>
      <c r="AF1149" s="351" t="str">
        <f t="shared" ca="1" si="694"/>
        <v/>
      </c>
      <c r="AG1149" s="340"/>
      <c r="AH1149" s="340"/>
      <c r="AI1149" s="340"/>
      <c r="AJ1149" s="340"/>
      <c r="AK1149" s="340"/>
      <c r="AL1149" s="340"/>
      <c r="AM1149" s="340"/>
      <c r="AN1149" s="340"/>
      <c r="AO1149" s="340"/>
      <c r="AP1149" s="340"/>
      <c r="AQ1149" s="340"/>
      <c r="AR1149" s="340"/>
      <c r="AS1149" s="340"/>
      <c r="AT1149" s="340"/>
      <c r="AU1149" s="340"/>
      <c r="AV1149" s="340"/>
      <c r="AY1149" s="340"/>
      <c r="AZ1149" s="465">
        <f t="shared" ca="1" si="704"/>
        <v>7.3698599999999999E-5</v>
      </c>
      <c r="BA1149" s="464">
        <f t="shared" ca="1" si="705"/>
        <v>0</v>
      </c>
      <c r="BB1149" s="465">
        <f t="shared" ca="1" si="705"/>
        <v>7.3698599999999999E-5</v>
      </c>
      <c r="BC1149" s="466">
        <f t="shared" ca="1" si="706"/>
        <v>77585</v>
      </c>
      <c r="BD1149" s="467">
        <f t="shared" ca="1" si="719"/>
        <v>77586</v>
      </c>
      <c r="BE1149" s="467">
        <f t="shared" ca="1" si="707"/>
        <v>77614</v>
      </c>
      <c r="BF1149" s="468">
        <f ca="1">IF(計算!$BC1149&lt;OP!$C$3,0,BD1149-BC1149)</f>
        <v>1</v>
      </c>
      <c r="BG1149" s="468">
        <f ca="1">IF($BE1149&gt;DATE(YEAR($BD$9)+OP!$C$57,MONTH($BD$9),DAY($BD$9)),0,$BE1149-$BD1149+1)</f>
        <v>0</v>
      </c>
      <c r="BH1149" s="469">
        <f t="shared" ca="1" si="708"/>
        <v>1</v>
      </c>
      <c r="BI1149">
        <f t="shared" ca="1" si="724"/>
        <v>366</v>
      </c>
      <c r="BJ1149">
        <v>12</v>
      </c>
      <c r="BN1149" s="468">
        <f t="shared" si="720"/>
        <v>95</v>
      </c>
      <c r="BO1149" s="468">
        <f t="shared" si="721"/>
        <v>12</v>
      </c>
      <c r="BP1149" s="467">
        <f t="shared" ca="1" si="709"/>
        <v>77586</v>
      </c>
      <c r="BQ1149" s="475">
        <f t="shared" ca="1" si="723"/>
        <v>127</v>
      </c>
      <c r="BR1149" s="475">
        <f t="shared" si="722"/>
        <v>95</v>
      </c>
      <c r="BS1149" s="471">
        <f t="shared" ca="1" si="710"/>
        <v>0</v>
      </c>
      <c r="BT1149" s="472">
        <f t="shared" ca="1" si="725"/>
        <v>2797493</v>
      </c>
      <c r="BU1149" s="472">
        <f t="shared" ca="1" si="711"/>
        <v>0</v>
      </c>
      <c r="BV1149" s="472">
        <f t="shared" ca="1" si="711"/>
        <v>0</v>
      </c>
      <c r="BW1149" s="472">
        <f ca="1">ROUND(SUM(BY1149,BZ1137:BZ1148),0)</f>
        <v>2473</v>
      </c>
      <c r="BX1149" s="473">
        <f t="shared" ca="1" si="712"/>
        <v>2797493.5934985098</v>
      </c>
      <c r="BY1149" s="473">
        <f t="shared" ca="1" si="713"/>
        <v>206.15616792899999</v>
      </c>
      <c r="BZ1149" s="473">
        <f t="shared" ca="1" si="695"/>
        <v>0</v>
      </c>
      <c r="CA1149" s="476">
        <f t="shared" ca="1" si="714"/>
        <v>0</v>
      </c>
      <c r="CB1149" s="494">
        <f ca="1">IF(OR($Q1148&lt;&gt;1,OP!$D$5+$BN1149-1&lt;16,$BN1149-1&lt;1),0,ROUND(ROUND(ROUND(((VLOOKUP($BN1149-1,MORE_PV,5,0)/10000)*VLOOKUP($BN1149,MORE_PV,$CB$5,0)),3)*VLOOKUP($BN1149,more1,5,0),0)/$R1148,0))</f>
        <v>0</v>
      </c>
      <c r="CC1149" s="473">
        <f t="shared" ca="1" si="715"/>
        <v>0</v>
      </c>
      <c r="CD1149" s="477"/>
    </row>
    <row r="1150" spans="2:82" ht="16.5" hidden="1">
      <c r="B1150" s="80"/>
      <c r="C1150" s="80"/>
      <c r="D1150" s="80"/>
      <c r="E1150" s="80"/>
      <c r="F1150" s="80"/>
      <c r="G1150" s="80"/>
      <c r="H1150" s="80"/>
      <c r="I1150" s="80"/>
      <c r="J1150" s="192">
        <f t="shared" si="696"/>
        <v>96</v>
      </c>
      <c r="K1150" s="192">
        <f t="shared" si="697"/>
        <v>2</v>
      </c>
      <c r="L1150" s="192" t="str">
        <f t="shared" si="692"/>
        <v/>
      </c>
      <c r="M1150" s="216" t="str">
        <f t="shared" ca="1" si="698"/>
        <v/>
      </c>
      <c r="N1150" s="216"/>
      <c r="O1150" s="216"/>
      <c r="P1150" s="216"/>
      <c r="Q1150" s="456">
        <f t="shared" ca="1" si="699"/>
        <v>1</v>
      </c>
      <c r="R1150" s="450">
        <f t="shared" ca="1" si="700"/>
        <v>12</v>
      </c>
      <c r="S1150" s="191">
        <f t="shared" si="701"/>
        <v>96</v>
      </c>
      <c r="T1150" s="191">
        <f t="shared" si="702"/>
        <v>2</v>
      </c>
      <c r="U1150" s="191">
        <f ca="1">OP!$D$5+$S1150-1</f>
        <v>128</v>
      </c>
      <c r="V1150" s="191" t="str">
        <f t="shared" si="703"/>
        <v/>
      </c>
      <c r="W1150" s="350">
        <f ca="1">IF(Q1150&lt;&gt;1,0,VLOOKUP(OP!$C$55,PVFB,$S1150+2,0))</f>
        <v>0</v>
      </c>
      <c r="X1150" s="473" t="str">
        <f t="shared" ca="1" si="716"/>
        <v/>
      </c>
      <c r="Y1150" s="348">
        <f t="shared" ca="1" si="717"/>
        <v>0</v>
      </c>
      <c r="Z1150" s="348">
        <f t="shared" ca="1" si="718"/>
        <v>8012</v>
      </c>
      <c r="AA1150" s="348">
        <f ca="1">IF(Q1150&lt;&gt;1,0,VLOOKUP(OP!$C$55,PVFB,$S1150+2,0))</f>
        <v>0</v>
      </c>
      <c r="AB1150" s="488" t="str">
        <f ca="1">IF(AND(S1150&lt;OP!$C$24,$U1150&lt;15),0,IF(AND($U1150&lt;15,$T1150=12),ROUND(VLOOKUP($S1150,DOWN16,5,0),3),IF($T1150=12,ROUND(($Z1150/10000)*$AA1150,3)+IF(AND($P$7="購買增額繳清保險",T1150=12,U1150=110),VLOOKUP(S1150,$B$10:$H$121,7,0),0),"")))</f>
        <v/>
      </c>
      <c r="AC1150" s="350" t="str">
        <f ca="1">IF(AND(S1150&lt;OP!$C$24,$U1150&lt;15),0,IF(AND($U1150&lt;16,$T1150=12),VLOOKUP($S1150,DOWN16,4,0),IF($T1150=12,ROUND(VLOOKUP(OP!$C$55,_DIE2,$S1150+1,0)*(Z1150/10000),0)+IF(AND($P$7="購買增額繳清保險",T1150=12,U1150=110),VLOOKUP(S1150,$B$10:$H$121,7,0),0),"")))</f>
        <v/>
      </c>
      <c r="AD1150" s="347"/>
      <c r="AE1150" s="350" t="str">
        <f t="shared" ca="1" si="693"/>
        <v/>
      </c>
      <c r="AF1150" s="351" t="str">
        <f t="shared" ca="1" si="694"/>
        <v/>
      </c>
      <c r="AG1150" s="340"/>
      <c r="AH1150" s="340"/>
      <c r="AI1150" s="340"/>
      <c r="AJ1150" s="340"/>
      <c r="AK1150" s="340"/>
      <c r="AL1150" s="340"/>
      <c r="AM1150" s="340"/>
      <c r="AN1150" s="340"/>
      <c r="AO1150" s="340"/>
      <c r="AP1150" s="340"/>
      <c r="AQ1150" s="340"/>
      <c r="AR1150" s="340"/>
      <c r="AS1150" s="340"/>
      <c r="AT1150" s="340"/>
      <c r="AU1150" s="340"/>
      <c r="AV1150" s="340"/>
      <c r="AY1150" s="340"/>
      <c r="AZ1150" s="465">
        <f t="shared" ca="1" si="704"/>
        <v>7.3698599999999999E-5</v>
      </c>
      <c r="BA1150" s="464">
        <f t="shared" ca="1" si="705"/>
        <v>0</v>
      </c>
      <c r="BB1150" s="465">
        <f t="shared" ca="1" si="705"/>
        <v>7.3698599999999999E-5</v>
      </c>
      <c r="BC1150" s="466">
        <f t="shared" ca="1" si="706"/>
        <v>77615</v>
      </c>
      <c r="BD1150" s="467">
        <f t="shared" ca="1" si="719"/>
        <v>77616</v>
      </c>
      <c r="BE1150" s="467">
        <f t="shared" ca="1" si="707"/>
        <v>77645</v>
      </c>
      <c r="BF1150" s="468">
        <f ca="1">IF(計算!$BC1150&lt;OP!$C$3,0,BD1150-BC1150)</f>
        <v>1</v>
      </c>
      <c r="BG1150" s="468">
        <f ca="1">IF($BE1150&gt;DATE(YEAR($BD$9)+OP!$C$57,MONTH($BD$9),DAY($BD$9)),0,$BE1150-$BD1150+1)</f>
        <v>0</v>
      </c>
      <c r="BH1150" s="469">
        <f t="shared" ca="1" si="708"/>
        <v>1</v>
      </c>
      <c r="BI1150" t="str">
        <f t="shared" si="724"/>
        <v/>
      </c>
      <c r="BJ1150">
        <v>1</v>
      </c>
      <c r="BN1150" s="468">
        <f t="shared" si="720"/>
        <v>96</v>
      </c>
      <c r="BO1150" s="468">
        <f t="shared" si="721"/>
        <v>1</v>
      </c>
      <c r="BP1150" s="467">
        <f t="shared" ca="1" si="709"/>
        <v>77616</v>
      </c>
      <c r="BQ1150" s="475">
        <f t="shared" ca="1" si="723"/>
        <v>128</v>
      </c>
      <c r="BR1150" s="475" t="str">
        <f t="shared" si="722"/>
        <v/>
      </c>
      <c r="BS1150" s="471" t="str">
        <f t="shared" si="710"/>
        <v/>
      </c>
      <c r="BT1150" s="472" t="str">
        <f t="shared" si="725"/>
        <v/>
      </c>
      <c r="BU1150" s="472">
        <f t="shared" ca="1" si="711"/>
        <v>0</v>
      </c>
      <c r="BV1150" s="472">
        <f t="shared" ca="1" si="711"/>
        <v>0</v>
      </c>
      <c r="BW1150" s="472"/>
      <c r="BX1150" s="473">
        <f t="shared" ca="1" si="712"/>
        <v>2797493.5934985098</v>
      </c>
      <c r="BY1150" s="473">
        <f t="shared" si="713"/>
        <v>0</v>
      </c>
      <c r="BZ1150" s="473">
        <f t="shared" ca="1" si="695"/>
        <v>206.17136135000001</v>
      </c>
      <c r="CA1150" s="476">
        <f t="shared" ca="1" si="714"/>
        <v>0</v>
      </c>
      <c r="CB1150" s="494">
        <f ca="1">IF(OR($Q1149&lt;&gt;1,OP!$D$5+$BN1150-1&lt;16,$BN1150-1&lt;1),0,ROUND(ROUND(ROUND(((VLOOKUP($BN1150-1,MORE_PV,5,0)/10000)*VLOOKUP($BN1150,MORE_PV,$CB$5,0)),3)*VLOOKUP($BN1150,more1,5,0),0)/$R1149,0))</f>
        <v>0</v>
      </c>
      <c r="CC1150" s="473">
        <f t="shared" ca="1" si="715"/>
        <v>0</v>
      </c>
      <c r="CD1150" s="477"/>
    </row>
    <row r="1151" spans="2:82" ht="16.5" hidden="1">
      <c r="B1151" s="80"/>
      <c r="C1151" s="80"/>
      <c r="D1151" s="80"/>
      <c r="E1151" s="80"/>
      <c r="F1151" s="80"/>
      <c r="G1151" s="80"/>
      <c r="H1151" s="80"/>
      <c r="I1151" s="80"/>
      <c r="J1151" s="192">
        <f t="shared" si="696"/>
        <v>96</v>
      </c>
      <c r="K1151" s="192">
        <f t="shared" si="697"/>
        <v>3</v>
      </c>
      <c r="L1151" s="192" t="str">
        <f t="shared" si="692"/>
        <v/>
      </c>
      <c r="M1151" s="216" t="str">
        <f t="shared" ca="1" si="698"/>
        <v/>
      </c>
      <c r="N1151" s="216"/>
      <c r="O1151" s="216"/>
      <c r="P1151" s="216"/>
      <c r="Q1151" s="456">
        <f t="shared" ca="1" si="699"/>
        <v>1</v>
      </c>
      <c r="R1151" s="450">
        <f t="shared" ca="1" si="700"/>
        <v>12</v>
      </c>
      <c r="S1151" s="191">
        <f t="shared" si="701"/>
        <v>96</v>
      </c>
      <c r="T1151" s="191">
        <f t="shared" si="702"/>
        <v>3</v>
      </c>
      <c r="U1151" s="191">
        <f ca="1">OP!$D$5+$S1151-1</f>
        <v>128</v>
      </c>
      <c r="V1151" s="191" t="str">
        <f t="shared" si="703"/>
        <v/>
      </c>
      <c r="W1151" s="350">
        <f ca="1">IF(Q1151&lt;&gt;1,0,VLOOKUP(OP!$C$55,PVFB,$S1151+2,0))</f>
        <v>0</v>
      </c>
      <c r="X1151" s="473" t="str">
        <f t="shared" ca="1" si="716"/>
        <v/>
      </c>
      <c r="Y1151" s="348">
        <f t="shared" ca="1" si="717"/>
        <v>0</v>
      </c>
      <c r="Z1151" s="348">
        <f t="shared" ca="1" si="718"/>
        <v>8012</v>
      </c>
      <c r="AA1151" s="348">
        <f ca="1">IF(Q1151&lt;&gt;1,0,VLOOKUP(OP!$C$55,PVFB,$S1151+2,0))</f>
        <v>0</v>
      </c>
      <c r="AB1151" s="488" t="str">
        <f ca="1">IF(AND(S1151&lt;OP!$C$24,$U1151&lt;15),0,IF(AND($U1151&lt;15,$T1151=12),ROUND(VLOOKUP($S1151,DOWN16,5,0),3),IF($T1151=12,ROUND(($Z1151/10000)*$AA1151,3)+IF(AND($P$7="購買增額繳清保險",T1151=12,U1151=110),VLOOKUP(S1151,$B$10:$H$121,7,0),0),"")))</f>
        <v/>
      </c>
      <c r="AC1151" s="350" t="str">
        <f ca="1">IF(AND(S1151&lt;OP!$C$24,$U1151&lt;15),0,IF(AND($U1151&lt;16,$T1151=12),VLOOKUP($S1151,DOWN16,4,0),IF($T1151=12,ROUND(VLOOKUP(OP!$C$55,_DIE2,$S1151+1,0)*(Z1151/10000),0)+IF(AND($P$7="購買增額繳清保險",T1151=12,U1151=110),VLOOKUP(S1151,$B$10:$H$121,7,0),0),"")))</f>
        <v/>
      </c>
      <c r="AD1151" s="347"/>
      <c r="AE1151" s="350" t="str">
        <f t="shared" ca="1" si="693"/>
        <v/>
      </c>
      <c r="AF1151" s="351" t="str">
        <f t="shared" ca="1" si="694"/>
        <v/>
      </c>
      <c r="AG1151" s="340"/>
      <c r="AH1151" s="340"/>
      <c r="AI1151" s="340"/>
      <c r="AJ1151" s="340"/>
      <c r="AK1151" s="340"/>
      <c r="AL1151" s="340"/>
      <c r="AM1151" s="340"/>
      <c r="AN1151" s="340"/>
      <c r="AO1151" s="340"/>
      <c r="AP1151" s="340"/>
      <c r="AQ1151" s="340"/>
      <c r="AR1151" s="340"/>
      <c r="AS1151" s="340"/>
      <c r="AT1151" s="340"/>
      <c r="AU1151" s="340"/>
      <c r="AV1151" s="340"/>
      <c r="AY1151" s="340"/>
      <c r="AZ1151" s="465">
        <f t="shared" ca="1" si="704"/>
        <v>7.3698599999999999E-5</v>
      </c>
      <c r="BA1151" s="464">
        <f t="shared" ca="1" si="705"/>
        <v>0</v>
      </c>
      <c r="BB1151" s="465">
        <f t="shared" ca="1" si="705"/>
        <v>7.3698599999999999E-5</v>
      </c>
      <c r="BC1151" s="466">
        <f t="shared" ca="1" si="706"/>
        <v>77646</v>
      </c>
      <c r="BD1151" s="467">
        <f t="shared" ca="1" si="719"/>
        <v>77647</v>
      </c>
      <c r="BE1151" s="467">
        <f t="shared" ca="1" si="707"/>
        <v>77676</v>
      </c>
      <c r="BF1151" s="468">
        <f ca="1">IF(計算!$BC1151&lt;OP!$C$3,0,BD1151-BC1151)</f>
        <v>1</v>
      </c>
      <c r="BG1151" s="468">
        <f ca="1">IF($BE1151&gt;DATE(YEAR($BD$9)+OP!$C$57,MONTH($BD$9),DAY($BD$9)),0,$BE1151-$BD1151+1)</f>
        <v>0</v>
      </c>
      <c r="BH1151" s="469">
        <f t="shared" ca="1" si="708"/>
        <v>1</v>
      </c>
      <c r="BI1151" t="str">
        <f t="shared" si="724"/>
        <v/>
      </c>
      <c r="BJ1151">
        <v>2</v>
      </c>
      <c r="BN1151" s="468">
        <f t="shared" si="720"/>
        <v>96</v>
      </c>
      <c r="BO1151" s="468">
        <f t="shared" si="721"/>
        <v>2</v>
      </c>
      <c r="BP1151" s="467">
        <f t="shared" ca="1" si="709"/>
        <v>77647</v>
      </c>
      <c r="BQ1151" s="475">
        <f t="shared" ca="1" si="723"/>
        <v>128</v>
      </c>
      <c r="BR1151" s="475" t="str">
        <f t="shared" si="722"/>
        <v/>
      </c>
      <c r="BS1151" s="471" t="str">
        <f t="shared" si="710"/>
        <v/>
      </c>
      <c r="BT1151" s="472" t="str">
        <f t="shared" si="725"/>
        <v/>
      </c>
      <c r="BU1151" s="472">
        <f t="shared" ca="1" si="711"/>
        <v>0</v>
      </c>
      <c r="BV1151" s="472">
        <f t="shared" ca="1" si="711"/>
        <v>0</v>
      </c>
      <c r="BW1151" s="472"/>
      <c r="BX1151" s="473">
        <f t="shared" ca="1" si="712"/>
        <v>2797699.7648598598</v>
      </c>
      <c r="BY1151" s="473">
        <f t="shared" si="713"/>
        <v>0</v>
      </c>
      <c r="BZ1151" s="473">
        <f t="shared" ca="1" si="695"/>
        <v>206.18655589100001</v>
      </c>
      <c r="CA1151" s="476">
        <f t="shared" ca="1" si="714"/>
        <v>0</v>
      </c>
      <c r="CB1151" s="494">
        <f ca="1">IF(OR($Q1150&lt;&gt;1,OP!$D$5+$BN1151-1&lt;16,$BN1151-1&lt;1),0,ROUND(ROUND(ROUND(((VLOOKUP($BN1151-1,MORE_PV,5,0)/10000)*VLOOKUP($BN1151,MORE_PV,$CB$5,0)),3)*VLOOKUP($BN1151,more1,5,0),0)/$R1150,0))</f>
        <v>0</v>
      </c>
      <c r="CC1151" s="473">
        <f t="shared" ca="1" si="715"/>
        <v>0</v>
      </c>
      <c r="CD1151" s="477"/>
    </row>
    <row r="1152" spans="2:82" ht="16.5" hidden="1">
      <c r="B1152" s="80"/>
      <c r="C1152" s="80"/>
      <c r="D1152" s="80"/>
      <c r="E1152" s="80"/>
      <c r="F1152" s="80"/>
      <c r="G1152" s="80"/>
      <c r="H1152" s="80"/>
      <c r="I1152" s="80"/>
      <c r="J1152" s="192">
        <f t="shared" si="696"/>
        <v>96</v>
      </c>
      <c r="K1152" s="192">
        <f t="shared" si="697"/>
        <v>4</v>
      </c>
      <c r="L1152" s="192" t="str">
        <f t="shared" si="692"/>
        <v/>
      </c>
      <c r="M1152" s="216" t="str">
        <f t="shared" ca="1" si="698"/>
        <v/>
      </c>
      <c r="N1152" s="216"/>
      <c r="O1152" s="216"/>
      <c r="P1152" s="216"/>
      <c r="Q1152" s="456">
        <f t="shared" ca="1" si="699"/>
        <v>1</v>
      </c>
      <c r="R1152" s="450">
        <f t="shared" ca="1" si="700"/>
        <v>12</v>
      </c>
      <c r="S1152" s="191">
        <f t="shared" si="701"/>
        <v>96</v>
      </c>
      <c r="T1152" s="191">
        <f t="shared" si="702"/>
        <v>4</v>
      </c>
      <c r="U1152" s="191">
        <f ca="1">OP!$D$5+$S1152-1</f>
        <v>128</v>
      </c>
      <c r="V1152" s="191" t="str">
        <f t="shared" si="703"/>
        <v/>
      </c>
      <c r="W1152" s="350">
        <f ca="1">IF(Q1152&lt;&gt;1,0,VLOOKUP(OP!$C$55,PVFB,$S1152+2,0))</f>
        <v>0</v>
      </c>
      <c r="X1152" s="473" t="str">
        <f t="shared" ca="1" si="716"/>
        <v/>
      </c>
      <c r="Y1152" s="348">
        <f t="shared" ca="1" si="717"/>
        <v>0</v>
      </c>
      <c r="Z1152" s="348">
        <f t="shared" ca="1" si="718"/>
        <v>8012</v>
      </c>
      <c r="AA1152" s="348">
        <f ca="1">IF(Q1152&lt;&gt;1,0,VLOOKUP(OP!$C$55,PVFB,$S1152+2,0))</f>
        <v>0</v>
      </c>
      <c r="AB1152" s="488" t="str">
        <f ca="1">IF(AND(S1152&lt;OP!$C$24,$U1152&lt;15),0,IF(AND($U1152&lt;15,$T1152=12),ROUND(VLOOKUP($S1152,DOWN16,5,0),3),IF($T1152=12,ROUND(($Z1152/10000)*$AA1152,3)+IF(AND($P$7="購買增額繳清保險",T1152=12,U1152=110),VLOOKUP(S1152,$B$10:$H$121,7,0),0),"")))</f>
        <v/>
      </c>
      <c r="AC1152" s="350" t="str">
        <f ca="1">IF(AND(S1152&lt;OP!$C$24,$U1152&lt;15),0,IF(AND($U1152&lt;16,$T1152=12),VLOOKUP($S1152,DOWN16,4,0),IF($T1152=12,ROUND(VLOOKUP(OP!$C$55,_DIE2,$S1152+1,0)*(Z1152/10000),0)+IF(AND($P$7="購買增額繳清保險",T1152=12,U1152=110),VLOOKUP(S1152,$B$10:$H$121,7,0),0),"")))</f>
        <v/>
      </c>
      <c r="AD1152" s="347"/>
      <c r="AE1152" s="350" t="str">
        <f t="shared" ca="1" si="693"/>
        <v/>
      </c>
      <c r="AF1152" s="351" t="str">
        <f t="shared" ca="1" si="694"/>
        <v/>
      </c>
      <c r="AG1152" s="340"/>
      <c r="AH1152" s="340"/>
      <c r="AI1152" s="340"/>
      <c r="AJ1152" s="340"/>
      <c r="AK1152" s="340"/>
      <c r="AL1152" s="340"/>
      <c r="AM1152" s="340"/>
      <c r="AN1152" s="340"/>
      <c r="AO1152" s="340"/>
      <c r="AP1152" s="340"/>
      <c r="AQ1152" s="340"/>
      <c r="AR1152" s="340"/>
      <c r="AS1152" s="340"/>
      <c r="AT1152" s="340"/>
      <c r="AU1152" s="340"/>
      <c r="AV1152" s="340"/>
      <c r="AY1152" s="340"/>
      <c r="AZ1152" s="465">
        <f t="shared" ca="1" si="704"/>
        <v>7.3698599999999999E-5</v>
      </c>
      <c r="BA1152" s="464">
        <f t="shared" ca="1" si="705"/>
        <v>0</v>
      </c>
      <c r="BB1152" s="465">
        <f t="shared" ca="1" si="705"/>
        <v>7.3698599999999999E-5</v>
      </c>
      <c r="BC1152" s="466">
        <f t="shared" ca="1" si="706"/>
        <v>77677</v>
      </c>
      <c r="BD1152" s="467">
        <f t="shared" ca="1" si="719"/>
        <v>77678</v>
      </c>
      <c r="BE1152" s="467">
        <f t="shared" ca="1" si="707"/>
        <v>77706</v>
      </c>
      <c r="BF1152" s="468">
        <f ca="1">IF(計算!$BC1152&lt;OP!$C$3,0,BD1152-BC1152)</f>
        <v>1</v>
      </c>
      <c r="BG1152" s="468">
        <f ca="1">IF($BE1152&gt;DATE(YEAR($BD$9)+OP!$C$57,MONTH($BD$9),DAY($BD$9)),0,$BE1152-$BD1152+1)</f>
        <v>0</v>
      </c>
      <c r="BH1152" s="469">
        <f t="shared" ca="1" si="708"/>
        <v>1</v>
      </c>
      <c r="BI1152" t="str">
        <f t="shared" si="724"/>
        <v/>
      </c>
      <c r="BJ1152">
        <v>3</v>
      </c>
      <c r="BN1152" s="468">
        <f t="shared" si="720"/>
        <v>96</v>
      </c>
      <c r="BO1152" s="468">
        <f t="shared" si="721"/>
        <v>3</v>
      </c>
      <c r="BP1152" s="467">
        <f t="shared" ca="1" si="709"/>
        <v>77678</v>
      </c>
      <c r="BQ1152" s="475">
        <f t="shared" ca="1" si="723"/>
        <v>128</v>
      </c>
      <c r="BR1152" s="475" t="str">
        <f t="shared" si="722"/>
        <v/>
      </c>
      <c r="BS1152" s="471" t="str">
        <f t="shared" si="710"/>
        <v/>
      </c>
      <c r="BT1152" s="472" t="str">
        <f t="shared" si="725"/>
        <v/>
      </c>
      <c r="BU1152" s="472">
        <f t="shared" ca="1" si="711"/>
        <v>0</v>
      </c>
      <c r="BV1152" s="472">
        <f t="shared" ca="1" si="711"/>
        <v>0</v>
      </c>
      <c r="BW1152" s="472"/>
      <c r="BX1152" s="473">
        <f t="shared" ca="1" si="712"/>
        <v>2797905.9514157502</v>
      </c>
      <c r="BY1152" s="473">
        <f t="shared" si="713"/>
        <v>0</v>
      </c>
      <c r="BZ1152" s="473">
        <f t="shared" ca="1" si="695"/>
        <v>206.201751551</v>
      </c>
      <c r="CA1152" s="476">
        <f t="shared" ca="1" si="714"/>
        <v>0</v>
      </c>
      <c r="CB1152" s="494">
        <f ca="1">IF(OR($Q1151&lt;&gt;1,OP!$D$5+$BN1152-1&lt;16,$BN1152-1&lt;1),0,ROUND(ROUND(ROUND(((VLOOKUP($BN1152-1,MORE_PV,5,0)/10000)*VLOOKUP($BN1152,MORE_PV,$CB$5,0)),3)*VLOOKUP($BN1152,more1,5,0),0)/$R1151,0))</f>
        <v>0</v>
      </c>
      <c r="CC1152" s="473">
        <f t="shared" ca="1" si="715"/>
        <v>0</v>
      </c>
      <c r="CD1152" s="477"/>
    </row>
    <row r="1153" spans="2:82" ht="16.5" hidden="1">
      <c r="B1153" s="80"/>
      <c r="C1153" s="80"/>
      <c r="D1153" s="80"/>
      <c r="E1153" s="80"/>
      <c r="F1153" s="80"/>
      <c r="G1153" s="80"/>
      <c r="H1153" s="80"/>
      <c r="I1153" s="80"/>
      <c r="J1153" s="192">
        <f t="shared" si="696"/>
        <v>96</v>
      </c>
      <c r="K1153" s="192">
        <f t="shared" si="697"/>
        <v>5</v>
      </c>
      <c r="L1153" s="192" t="str">
        <f t="shared" si="692"/>
        <v/>
      </c>
      <c r="M1153" s="216" t="str">
        <f t="shared" ca="1" si="698"/>
        <v/>
      </c>
      <c r="N1153" s="216"/>
      <c r="O1153" s="216"/>
      <c r="P1153" s="216"/>
      <c r="Q1153" s="456">
        <f t="shared" ca="1" si="699"/>
        <v>1</v>
      </c>
      <c r="R1153" s="450">
        <f t="shared" ca="1" si="700"/>
        <v>12</v>
      </c>
      <c r="S1153" s="191">
        <f t="shared" si="701"/>
        <v>96</v>
      </c>
      <c r="T1153" s="191">
        <f t="shared" si="702"/>
        <v>5</v>
      </c>
      <c r="U1153" s="191">
        <f ca="1">OP!$D$5+$S1153-1</f>
        <v>128</v>
      </c>
      <c r="V1153" s="191" t="str">
        <f t="shared" si="703"/>
        <v/>
      </c>
      <c r="W1153" s="350">
        <f ca="1">IF(Q1153&lt;&gt;1,0,VLOOKUP(OP!$C$55,PVFB,$S1153+2,0))</f>
        <v>0</v>
      </c>
      <c r="X1153" s="473" t="str">
        <f t="shared" ca="1" si="716"/>
        <v/>
      </c>
      <c r="Y1153" s="348">
        <f t="shared" ca="1" si="717"/>
        <v>0</v>
      </c>
      <c r="Z1153" s="348">
        <f t="shared" ca="1" si="718"/>
        <v>8012</v>
      </c>
      <c r="AA1153" s="348">
        <f ca="1">IF(Q1153&lt;&gt;1,0,VLOOKUP(OP!$C$55,PVFB,$S1153+2,0))</f>
        <v>0</v>
      </c>
      <c r="AB1153" s="488" t="str">
        <f ca="1">IF(AND(S1153&lt;OP!$C$24,$U1153&lt;15),0,IF(AND($U1153&lt;15,$T1153=12),ROUND(VLOOKUP($S1153,DOWN16,5,0),3),IF($T1153=12,ROUND(($Z1153/10000)*$AA1153,3)+IF(AND($P$7="購買增額繳清保險",T1153=12,U1153=110),VLOOKUP(S1153,$B$10:$H$121,7,0),0),"")))</f>
        <v/>
      </c>
      <c r="AC1153" s="350" t="str">
        <f ca="1">IF(AND(S1153&lt;OP!$C$24,$U1153&lt;15),0,IF(AND($U1153&lt;16,$T1153=12),VLOOKUP($S1153,DOWN16,4,0),IF($T1153=12,ROUND(VLOOKUP(OP!$C$55,_DIE2,$S1153+1,0)*(Z1153/10000),0)+IF(AND($P$7="購買增額繳清保險",T1153=12,U1153=110),VLOOKUP(S1153,$B$10:$H$121,7,0),0),"")))</f>
        <v/>
      </c>
      <c r="AD1153" s="347"/>
      <c r="AE1153" s="350" t="str">
        <f t="shared" ca="1" si="693"/>
        <v/>
      </c>
      <c r="AF1153" s="351" t="str">
        <f t="shared" ca="1" si="694"/>
        <v/>
      </c>
      <c r="AG1153" s="340"/>
      <c r="AH1153" s="340"/>
      <c r="AI1153" s="340"/>
      <c r="AJ1153" s="340"/>
      <c r="AK1153" s="340"/>
      <c r="AL1153" s="340"/>
      <c r="AM1153" s="340"/>
      <c r="AN1153" s="340"/>
      <c r="AO1153" s="340"/>
      <c r="AP1153" s="340"/>
      <c r="AQ1153" s="340"/>
      <c r="AR1153" s="340"/>
      <c r="AS1153" s="340"/>
      <c r="AT1153" s="340"/>
      <c r="AU1153" s="340"/>
      <c r="AV1153" s="340"/>
      <c r="AY1153" s="340"/>
      <c r="AZ1153" s="465">
        <f t="shared" ca="1" si="704"/>
        <v>7.3698599999999999E-5</v>
      </c>
      <c r="BA1153" s="464">
        <f t="shared" ca="1" si="705"/>
        <v>0</v>
      </c>
      <c r="BB1153" s="465">
        <f t="shared" ca="1" si="705"/>
        <v>7.3698599999999999E-5</v>
      </c>
      <c r="BC1153" s="466">
        <f t="shared" ca="1" si="706"/>
        <v>77707</v>
      </c>
      <c r="BD1153" s="467">
        <f t="shared" ca="1" si="719"/>
        <v>77708</v>
      </c>
      <c r="BE1153" s="467">
        <f t="shared" ca="1" si="707"/>
        <v>77737</v>
      </c>
      <c r="BF1153" s="468">
        <f ca="1">IF(計算!$BC1153&lt;OP!$C$3,0,BD1153-BC1153)</f>
        <v>1</v>
      </c>
      <c r="BG1153" s="468">
        <f ca="1">IF($BE1153&gt;DATE(YEAR($BD$9)+OP!$C$57,MONTH($BD$9),DAY($BD$9)),0,$BE1153-$BD1153+1)</f>
        <v>0</v>
      </c>
      <c r="BH1153" s="469">
        <f t="shared" ca="1" si="708"/>
        <v>1</v>
      </c>
      <c r="BI1153" t="str">
        <f t="shared" si="724"/>
        <v/>
      </c>
      <c r="BJ1153">
        <v>4</v>
      </c>
      <c r="BN1153" s="468">
        <f t="shared" si="720"/>
        <v>96</v>
      </c>
      <c r="BO1153" s="468">
        <f t="shared" si="721"/>
        <v>4</v>
      </c>
      <c r="BP1153" s="467">
        <f t="shared" ca="1" si="709"/>
        <v>77708</v>
      </c>
      <c r="BQ1153" s="475">
        <f t="shared" ca="1" si="723"/>
        <v>128</v>
      </c>
      <c r="BR1153" s="475" t="str">
        <f t="shared" si="722"/>
        <v/>
      </c>
      <c r="BS1153" s="471" t="str">
        <f t="shared" si="710"/>
        <v/>
      </c>
      <c r="BT1153" s="472" t="str">
        <f t="shared" si="725"/>
        <v/>
      </c>
      <c r="BU1153" s="472">
        <f t="shared" ca="1" si="711"/>
        <v>0</v>
      </c>
      <c r="BV1153" s="472">
        <f t="shared" ca="1" si="711"/>
        <v>0</v>
      </c>
      <c r="BW1153" s="472"/>
      <c r="BX1153" s="473">
        <f t="shared" ca="1" si="712"/>
        <v>2798112.1531672999</v>
      </c>
      <c r="BY1153" s="473">
        <f t="shared" si="713"/>
        <v>0</v>
      </c>
      <c r="BZ1153" s="473">
        <f t="shared" ca="1" si="695"/>
        <v>206.216948331</v>
      </c>
      <c r="CA1153" s="476">
        <f t="shared" ca="1" si="714"/>
        <v>0</v>
      </c>
      <c r="CB1153" s="494">
        <f ca="1">IF(OR($Q1152&lt;&gt;1,OP!$D$5+$BN1153-1&lt;16,$BN1153-1&lt;1),0,ROUND(ROUND(ROUND(((VLOOKUP($BN1153-1,MORE_PV,5,0)/10000)*VLOOKUP($BN1153,MORE_PV,$CB$5,0)),3)*VLOOKUP($BN1153,more1,5,0),0)/$R1152,0))</f>
        <v>0</v>
      </c>
      <c r="CC1153" s="473">
        <f t="shared" ca="1" si="715"/>
        <v>0</v>
      </c>
      <c r="CD1153" s="477"/>
    </row>
    <row r="1154" spans="2:82" ht="16.5" hidden="1">
      <c r="B1154" s="80"/>
      <c r="C1154" s="80"/>
      <c r="D1154" s="80"/>
      <c r="E1154" s="80"/>
      <c r="F1154" s="80"/>
      <c r="G1154" s="80"/>
      <c r="H1154" s="80"/>
      <c r="I1154" s="80"/>
      <c r="J1154" s="192">
        <f t="shared" si="696"/>
        <v>96</v>
      </c>
      <c r="K1154" s="192">
        <f t="shared" si="697"/>
        <v>6</v>
      </c>
      <c r="L1154" s="192" t="str">
        <f t="shared" si="692"/>
        <v/>
      </c>
      <c r="M1154" s="216" t="str">
        <f t="shared" ca="1" si="698"/>
        <v/>
      </c>
      <c r="N1154" s="216"/>
      <c r="O1154" s="216"/>
      <c r="P1154" s="216"/>
      <c r="Q1154" s="456">
        <f t="shared" ca="1" si="699"/>
        <v>1</v>
      </c>
      <c r="R1154" s="450">
        <f t="shared" ca="1" si="700"/>
        <v>12</v>
      </c>
      <c r="S1154" s="191">
        <f t="shared" si="701"/>
        <v>96</v>
      </c>
      <c r="T1154" s="191">
        <f t="shared" si="702"/>
        <v>6</v>
      </c>
      <c r="U1154" s="191">
        <f ca="1">OP!$D$5+$S1154-1</f>
        <v>128</v>
      </c>
      <c r="V1154" s="191" t="str">
        <f t="shared" si="703"/>
        <v/>
      </c>
      <c r="W1154" s="350">
        <f ca="1">IF(Q1154&lt;&gt;1,0,VLOOKUP(OP!$C$55,PVFB,$S1154+2,0))</f>
        <v>0</v>
      </c>
      <c r="X1154" s="473" t="str">
        <f t="shared" ca="1" si="716"/>
        <v/>
      </c>
      <c r="Y1154" s="348">
        <f t="shared" ca="1" si="717"/>
        <v>0</v>
      </c>
      <c r="Z1154" s="348">
        <f t="shared" ca="1" si="718"/>
        <v>8012</v>
      </c>
      <c r="AA1154" s="348">
        <f ca="1">IF(Q1154&lt;&gt;1,0,VLOOKUP(OP!$C$55,PVFB,$S1154+2,0))</f>
        <v>0</v>
      </c>
      <c r="AB1154" s="488" t="str">
        <f ca="1">IF(AND(S1154&lt;OP!$C$24,$U1154&lt;15),0,IF(AND($U1154&lt;15,$T1154=12),ROUND(VLOOKUP($S1154,DOWN16,5,0),3),IF($T1154=12,ROUND(($Z1154/10000)*$AA1154,3)+IF(AND($P$7="購買增額繳清保險",T1154=12,U1154=110),VLOOKUP(S1154,$B$10:$H$121,7,0),0),"")))</f>
        <v/>
      </c>
      <c r="AC1154" s="350" t="str">
        <f ca="1">IF(AND(S1154&lt;OP!$C$24,$U1154&lt;15),0,IF(AND($U1154&lt;16,$T1154=12),VLOOKUP($S1154,DOWN16,4,0),IF($T1154=12,ROUND(VLOOKUP(OP!$C$55,_DIE2,$S1154+1,0)*(Z1154/10000),0)+IF(AND($P$7="購買增額繳清保險",T1154=12,U1154=110),VLOOKUP(S1154,$B$10:$H$121,7,0),0),"")))</f>
        <v/>
      </c>
      <c r="AD1154" s="347"/>
      <c r="AE1154" s="350" t="str">
        <f t="shared" ca="1" si="693"/>
        <v/>
      </c>
      <c r="AF1154" s="351" t="str">
        <f t="shared" ca="1" si="694"/>
        <v/>
      </c>
      <c r="AG1154" s="340"/>
      <c r="AH1154" s="340"/>
      <c r="AI1154" s="340"/>
      <c r="AJ1154" s="340"/>
      <c r="AK1154" s="340"/>
      <c r="AL1154" s="340"/>
      <c r="AM1154" s="340"/>
      <c r="AN1154" s="340"/>
      <c r="AO1154" s="340"/>
      <c r="AP1154" s="340"/>
      <c r="AQ1154" s="340"/>
      <c r="AR1154" s="340"/>
      <c r="AS1154" s="340"/>
      <c r="AT1154" s="340"/>
      <c r="AU1154" s="340"/>
      <c r="AV1154" s="340"/>
      <c r="AY1154" s="340"/>
      <c r="AZ1154" s="465">
        <f t="shared" ca="1" si="704"/>
        <v>7.3698599999999999E-5</v>
      </c>
      <c r="BA1154" s="464">
        <f t="shared" ca="1" si="705"/>
        <v>0</v>
      </c>
      <c r="BB1154" s="465">
        <f t="shared" ca="1" si="705"/>
        <v>7.3698599999999999E-5</v>
      </c>
      <c r="BC1154" s="466">
        <f t="shared" ca="1" si="706"/>
        <v>77738</v>
      </c>
      <c r="BD1154" s="467">
        <f t="shared" ca="1" si="719"/>
        <v>77739</v>
      </c>
      <c r="BE1154" s="467">
        <f t="shared" ca="1" si="707"/>
        <v>77767</v>
      </c>
      <c r="BF1154" s="468">
        <f ca="1">IF(計算!$BC1154&lt;OP!$C$3,0,BD1154-BC1154)</f>
        <v>1</v>
      </c>
      <c r="BG1154" s="468">
        <f ca="1">IF($BE1154&gt;DATE(YEAR($BD$9)+OP!$C$57,MONTH($BD$9),DAY($BD$9)),0,$BE1154-$BD1154+1)</f>
        <v>0</v>
      </c>
      <c r="BH1154" s="469">
        <f t="shared" ca="1" si="708"/>
        <v>1</v>
      </c>
      <c r="BI1154" t="str">
        <f t="shared" si="724"/>
        <v/>
      </c>
      <c r="BJ1154">
        <v>5</v>
      </c>
      <c r="BN1154" s="468">
        <f t="shared" si="720"/>
        <v>96</v>
      </c>
      <c r="BO1154" s="468">
        <f t="shared" si="721"/>
        <v>5</v>
      </c>
      <c r="BP1154" s="467">
        <f t="shared" ca="1" si="709"/>
        <v>77739</v>
      </c>
      <c r="BQ1154" s="475">
        <f t="shared" ca="1" si="723"/>
        <v>128</v>
      </c>
      <c r="BR1154" s="475" t="str">
        <f t="shared" si="722"/>
        <v/>
      </c>
      <c r="BS1154" s="471" t="str">
        <f t="shared" si="710"/>
        <v/>
      </c>
      <c r="BT1154" s="472" t="str">
        <f t="shared" si="725"/>
        <v/>
      </c>
      <c r="BU1154" s="472">
        <f t="shared" ca="1" si="711"/>
        <v>0</v>
      </c>
      <c r="BV1154" s="472">
        <f t="shared" ca="1" si="711"/>
        <v>0</v>
      </c>
      <c r="BW1154" s="472"/>
      <c r="BX1154" s="473">
        <f t="shared" ca="1" si="712"/>
        <v>2798318.3701156299</v>
      </c>
      <c r="BY1154" s="473">
        <f t="shared" si="713"/>
        <v>0</v>
      </c>
      <c r="BZ1154" s="473">
        <f t="shared" ca="1" si="695"/>
        <v>206.23214623199999</v>
      </c>
      <c r="CA1154" s="476">
        <f t="shared" ca="1" si="714"/>
        <v>0</v>
      </c>
      <c r="CB1154" s="494">
        <f ca="1">IF(OR($Q1153&lt;&gt;1,OP!$D$5+$BN1154-1&lt;16,$BN1154-1&lt;1),0,ROUND(ROUND(ROUND(((VLOOKUP($BN1154-1,MORE_PV,5,0)/10000)*VLOOKUP($BN1154,MORE_PV,$CB$5,0)),3)*VLOOKUP($BN1154,more1,5,0),0)/$R1153,0))</f>
        <v>0</v>
      </c>
      <c r="CC1154" s="473">
        <f t="shared" ca="1" si="715"/>
        <v>0</v>
      </c>
      <c r="CD1154" s="477"/>
    </row>
    <row r="1155" spans="2:82" ht="16.5" hidden="1">
      <c r="B1155" s="80"/>
      <c r="C1155" s="80"/>
      <c r="D1155" s="80"/>
      <c r="E1155" s="80"/>
      <c r="F1155" s="80"/>
      <c r="G1155" s="80"/>
      <c r="H1155" s="80"/>
      <c r="I1155" s="80"/>
      <c r="J1155" s="192">
        <f t="shared" si="696"/>
        <v>96</v>
      </c>
      <c r="K1155" s="192">
        <f t="shared" si="697"/>
        <v>7</v>
      </c>
      <c r="L1155" s="192" t="str">
        <f t="shared" si="692"/>
        <v/>
      </c>
      <c r="M1155" s="216" t="str">
        <f t="shared" ca="1" si="698"/>
        <v/>
      </c>
      <c r="N1155" s="216"/>
      <c r="O1155" s="216"/>
      <c r="P1155" s="216"/>
      <c r="Q1155" s="456">
        <f t="shared" ca="1" si="699"/>
        <v>1</v>
      </c>
      <c r="R1155" s="450">
        <f t="shared" ca="1" si="700"/>
        <v>12</v>
      </c>
      <c r="S1155" s="191">
        <f t="shared" si="701"/>
        <v>96</v>
      </c>
      <c r="T1155" s="191">
        <f t="shared" si="702"/>
        <v>7</v>
      </c>
      <c r="U1155" s="191">
        <f ca="1">OP!$D$5+$S1155-1</f>
        <v>128</v>
      </c>
      <c r="V1155" s="191" t="str">
        <f t="shared" si="703"/>
        <v/>
      </c>
      <c r="W1155" s="350">
        <f ca="1">IF(Q1155&lt;&gt;1,0,VLOOKUP(OP!$C$55,PVFB,$S1155+2,0))</f>
        <v>0</v>
      </c>
      <c r="X1155" s="473" t="str">
        <f t="shared" ca="1" si="716"/>
        <v/>
      </c>
      <c r="Y1155" s="348">
        <f t="shared" ca="1" si="717"/>
        <v>0</v>
      </c>
      <c r="Z1155" s="348">
        <f t="shared" ca="1" si="718"/>
        <v>8012</v>
      </c>
      <c r="AA1155" s="348">
        <f ca="1">IF(Q1155&lt;&gt;1,0,VLOOKUP(OP!$C$55,PVFB,$S1155+2,0))</f>
        <v>0</v>
      </c>
      <c r="AB1155" s="488" t="str">
        <f ca="1">IF(AND(S1155&lt;OP!$C$24,$U1155&lt;15),0,IF(AND($U1155&lt;15,$T1155=12),ROUND(VLOOKUP($S1155,DOWN16,5,0),3),IF($T1155=12,ROUND(($Z1155/10000)*$AA1155,3)+IF(AND($P$7="購買增額繳清保險",T1155=12,U1155=110),VLOOKUP(S1155,$B$10:$H$121,7,0),0),"")))</f>
        <v/>
      </c>
      <c r="AC1155" s="350" t="str">
        <f ca="1">IF(AND(S1155&lt;OP!$C$24,$U1155&lt;15),0,IF(AND($U1155&lt;16,$T1155=12),VLOOKUP($S1155,DOWN16,4,0),IF($T1155=12,ROUND(VLOOKUP(OP!$C$55,_DIE2,$S1155+1,0)*(Z1155/10000),0)+IF(AND($P$7="購買增額繳清保險",T1155=12,U1155=110),VLOOKUP(S1155,$B$10:$H$121,7,0),0),"")))</f>
        <v/>
      </c>
      <c r="AD1155" s="347"/>
      <c r="AE1155" s="350" t="str">
        <f t="shared" ca="1" si="693"/>
        <v/>
      </c>
      <c r="AF1155" s="351" t="str">
        <f t="shared" ca="1" si="694"/>
        <v/>
      </c>
      <c r="AG1155" s="340"/>
      <c r="AH1155" s="340"/>
      <c r="AI1155" s="340"/>
      <c r="AJ1155" s="340"/>
      <c r="AK1155" s="340"/>
      <c r="AL1155" s="340"/>
      <c r="AM1155" s="340"/>
      <c r="AN1155" s="340"/>
      <c r="AO1155" s="340"/>
      <c r="AP1155" s="340"/>
      <c r="AQ1155" s="340"/>
      <c r="AR1155" s="340"/>
      <c r="AS1155" s="340"/>
      <c r="AT1155" s="340"/>
      <c r="AU1155" s="340"/>
      <c r="AV1155" s="340"/>
      <c r="AY1155" s="340"/>
      <c r="AZ1155" s="465">
        <f t="shared" ca="1" si="704"/>
        <v>7.3698599999999999E-5</v>
      </c>
      <c r="BA1155" s="464">
        <f t="shared" ca="1" si="705"/>
        <v>0</v>
      </c>
      <c r="BB1155" s="465">
        <f t="shared" ca="1" si="705"/>
        <v>7.3698599999999999E-5</v>
      </c>
      <c r="BC1155" s="466">
        <f t="shared" ca="1" si="706"/>
        <v>77768</v>
      </c>
      <c r="BD1155" s="467">
        <f t="shared" ca="1" si="719"/>
        <v>77769</v>
      </c>
      <c r="BE1155" s="467">
        <f t="shared" ca="1" si="707"/>
        <v>77798</v>
      </c>
      <c r="BF1155" s="468">
        <f ca="1">IF(計算!$BC1155&lt;OP!$C$3,0,BD1155-BC1155)</f>
        <v>1</v>
      </c>
      <c r="BG1155" s="468">
        <f ca="1">IF($BE1155&gt;DATE(YEAR($BD$9)+OP!$C$57,MONTH($BD$9),DAY($BD$9)),0,$BE1155-$BD1155+1)</f>
        <v>0</v>
      </c>
      <c r="BH1155" s="469">
        <f t="shared" ca="1" si="708"/>
        <v>1</v>
      </c>
      <c r="BI1155" t="str">
        <f t="shared" si="724"/>
        <v/>
      </c>
      <c r="BJ1155">
        <v>6</v>
      </c>
      <c r="BN1155" s="468">
        <f t="shared" si="720"/>
        <v>96</v>
      </c>
      <c r="BO1155" s="468">
        <f t="shared" si="721"/>
        <v>6</v>
      </c>
      <c r="BP1155" s="467">
        <f t="shared" ca="1" si="709"/>
        <v>77769</v>
      </c>
      <c r="BQ1155" s="475">
        <f t="shared" ca="1" si="723"/>
        <v>128</v>
      </c>
      <c r="BR1155" s="475" t="str">
        <f t="shared" si="722"/>
        <v/>
      </c>
      <c r="BS1155" s="471" t="str">
        <f t="shared" si="710"/>
        <v/>
      </c>
      <c r="BT1155" s="472" t="str">
        <f t="shared" si="725"/>
        <v/>
      </c>
      <c r="BU1155" s="472">
        <f t="shared" ca="1" si="711"/>
        <v>0</v>
      </c>
      <c r="BV1155" s="472">
        <f t="shared" ca="1" si="711"/>
        <v>0</v>
      </c>
      <c r="BW1155" s="472"/>
      <c r="BX1155" s="473">
        <f t="shared" ca="1" si="712"/>
        <v>2798524.6022618599</v>
      </c>
      <c r="BY1155" s="473">
        <f t="shared" si="713"/>
        <v>0</v>
      </c>
      <c r="BZ1155" s="473">
        <f t="shared" ca="1" si="695"/>
        <v>206.247345252</v>
      </c>
      <c r="CA1155" s="476">
        <f t="shared" ca="1" si="714"/>
        <v>0</v>
      </c>
      <c r="CB1155" s="494">
        <f ca="1">IF(OR($Q1154&lt;&gt;1,OP!$D$5+$BN1155-1&lt;16,$BN1155-1&lt;1),0,ROUND(ROUND(ROUND(((VLOOKUP($BN1155-1,MORE_PV,5,0)/10000)*VLOOKUP($BN1155,MORE_PV,$CB$5,0)),3)*VLOOKUP($BN1155,more1,5,0),0)/$R1154,0))</f>
        <v>0</v>
      </c>
      <c r="CC1155" s="473">
        <f t="shared" ca="1" si="715"/>
        <v>0</v>
      </c>
      <c r="CD1155" s="477"/>
    </row>
    <row r="1156" spans="2:82" ht="16.5" hidden="1">
      <c r="B1156" s="80"/>
      <c r="C1156" s="80"/>
      <c r="D1156" s="80"/>
      <c r="E1156" s="80"/>
      <c r="F1156" s="80"/>
      <c r="G1156" s="80"/>
      <c r="H1156" s="80"/>
      <c r="I1156" s="80"/>
      <c r="J1156" s="192">
        <f t="shared" si="696"/>
        <v>96</v>
      </c>
      <c r="K1156" s="192">
        <f t="shared" si="697"/>
        <v>8</v>
      </c>
      <c r="L1156" s="192" t="str">
        <f t="shared" si="692"/>
        <v/>
      </c>
      <c r="M1156" s="216" t="str">
        <f t="shared" ca="1" si="698"/>
        <v/>
      </c>
      <c r="N1156" s="216"/>
      <c r="O1156" s="216"/>
      <c r="P1156" s="216"/>
      <c r="Q1156" s="456">
        <f t="shared" ca="1" si="699"/>
        <v>1</v>
      </c>
      <c r="R1156" s="450">
        <f t="shared" ca="1" si="700"/>
        <v>12</v>
      </c>
      <c r="S1156" s="191">
        <f t="shared" si="701"/>
        <v>96</v>
      </c>
      <c r="T1156" s="191">
        <f t="shared" si="702"/>
        <v>8</v>
      </c>
      <c r="U1156" s="191">
        <f ca="1">OP!$D$5+$S1156-1</f>
        <v>128</v>
      </c>
      <c r="V1156" s="191" t="str">
        <f t="shared" si="703"/>
        <v/>
      </c>
      <c r="W1156" s="350">
        <f ca="1">IF(Q1156&lt;&gt;1,0,VLOOKUP(OP!$C$55,PVFB,$S1156+2,0))</f>
        <v>0</v>
      </c>
      <c r="X1156" s="473" t="str">
        <f t="shared" ca="1" si="716"/>
        <v/>
      </c>
      <c r="Y1156" s="348">
        <f t="shared" ca="1" si="717"/>
        <v>0</v>
      </c>
      <c r="Z1156" s="348">
        <f t="shared" ca="1" si="718"/>
        <v>8012</v>
      </c>
      <c r="AA1156" s="348">
        <f ca="1">IF(Q1156&lt;&gt;1,0,VLOOKUP(OP!$C$55,PVFB,$S1156+2,0))</f>
        <v>0</v>
      </c>
      <c r="AB1156" s="488" t="str">
        <f ca="1">IF(AND(S1156&lt;OP!$C$24,$U1156&lt;15),0,IF(AND($U1156&lt;15,$T1156=12),ROUND(VLOOKUP($S1156,DOWN16,5,0),3),IF($T1156=12,ROUND(($Z1156/10000)*$AA1156,3)+IF(AND($P$7="購買增額繳清保險",T1156=12,U1156=110),VLOOKUP(S1156,$B$10:$H$121,7,0),0),"")))</f>
        <v/>
      </c>
      <c r="AC1156" s="350" t="str">
        <f ca="1">IF(AND(S1156&lt;OP!$C$24,$U1156&lt;15),0,IF(AND($U1156&lt;16,$T1156=12),VLOOKUP($S1156,DOWN16,4,0),IF($T1156=12,ROUND(VLOOKUP(OP!$C$55,_DIE2,$S1156+1,0)*(Z1156/10000),0)+IF(AND($P$7="購買增額繳清保險",T1156=12,U1156=110),VLOOKUP(S1156,$B$10:$H$121,7,0),0),"")))</f>
        <v/>
      </c>
      <c r="AD1156" s="347"/>
      <c r="AE1156" s="350" t="str">
        <f t="shared" ca="1" si="693"/>
        <v/>
      </c>
      <c r="AF1156" s="351" t="str">
        <f t="shared" ca="1" si="694"/>
        <v/>
      </c>
      <c r="AG1156" s="340"/>
      <c r="AH1156" s="340"/>
      <c r="AI1156" s="340"/>
      <c r="AJ1156" s="340"/>
      <c r="AK1156" s="340"/>
      <c r="AL1156" s="340"/>
      <c r="AM1156" s="340"/>
      <c r="AN1156" s="340"/>
      <c r="AO1156" s="340"/>
      <c r="AP1156" s="340"/>
      <c r="AQ1156" s="340"/>
      <c r="AR1156" s="340"/>
      <c r="AS1156" s="340"/>
      <c r="AT1156" s="340"/>
      <c r="AU1156" s="340"/>
      <c r="AV1156" s="340"/>
      <c r="AY1156" s="340"/>
      <c r="AZ1156" s="465">
        <f t="shared" ca="1" si="704"/>
        <v>7.3698599999999999E-5</v>
      </c>
      <c r="BA1156" s="464">
        <f t="shared" ca="1" si="705"/>
        <v>0</v>
      </c>
      <c r="BB1156" s="465">
        <f t="shared" ca="1" si="705"/>
        <v>7.3698599999999999E-5</v>
      </c>
      <c r="BC1156" s="466">
        <f t="shared" ca="1" si="706"/>
        <v>77799</v>
      </c>
      <c r="BD1156" s="467">
        <f t="shared" ca="1" si="719"/>
        <v>77800</v>
      </c>
      <c r="BE1156" s="467">
        <f t="shared" ca="1" si="707"/>
        <v>77829</v>
      </c>
      <c r="BF1156" s="468">
        <f ca="1">IF(計算!$BC1156&lt;OP!$C$3,0,BD1156-BC1156)</f>
        <v>1</v>
      </c>
      <c r="BG1156" s="468">
        <f ca="1">IF($BE1156&gt;DATE(YEAR($BD$9)+OP!$C$57,MONTH($BD$9),DAY($BD$9)),0,$BE1156-$BD1156+1)</f>
        <v>0</v>
      </c>
      <c r="BH1156" s="469">
        <f t="shared" ca="1" si="708"/>
        <v>1</v>
      </c>
      <c r="BI1156" t="str">
        <f t="shared" si="724"/>
        <v/>
      </c>
      <c r="BJ1156">
        <v>7</v>
      </c>
      <c r="BN1156" s="468">
        <f t="shared" si="720"/>
        <v>96</v>
      </c>
      <c r="BO1156" s="468">
        <f t="shared" si="721"/>
        <v>7</v>
      </c>
      <c r="BP1156" s="467">
        <f t="shared" ca="1" si="709"/>
        <v>77800</v>
      </c>
      <c r="BQ1156" s="475">
        <f t="shared" ca="1" si="723"/>
        <v>128</v>
      </c>
      <c r="BR1156" s="475" t="str">
        <f t="shared" si="722"/>
        <v/>
      </c>
      <c r="BS1156" s="471" t="str">
        <f t="shared" si="710"/>
        <v/>
      </c>
      <c r="BT1156" s="472" t="str">
        <f t="shared" si="725"/>
        <v/>
      </c>
      <c r="BU1156" s="472">
        <f t="shared" ca="1" si="711"/>
        <v>0</v>
      </c>
      <c r="BV1156" s="472">
        <f t="shared" ca="1" si="711"/>
        <v>0</v>
      </c>
      <c r="BW1156" s="472"/>
      <c r="BX1156" s="473">
        <f t="shared" ca="1" si="712"/>
        <v>2798730.84960711</v>
      </c>
      <c r="BY1156" s="473">
        <f t="shared" si="713"/>
        <v>0</v>
      </c>
      <c r="BZ1156" s="473">
        <f t="shared" ca="1" si="695"/>
        <v>206.26254539300001</v>
      </c>
      <c r="CA1156" s="476">
        <f t="shared" ca="1" si="714"/>
        <v>0</v>
      </c>
      <c r="CB1156" s="494">
        <f ca="1">IF(OR($Q1155&lt;&gt;1,OP!$D$5+$BN1156-1&lt;16,$BN1156-1&lt;1),0,ROUND(ROUND(ROUND(((VLOOKUP($BN1156-1,MORE_PV,5,0)/10000)*VLOOKUP($BN1156,MORE_PV,$CB$5,0)),3)*VLOOKUP($BN1156,more1,5,0),0)/$R1155,0))</f>
        <v>0</v>
      </c>
      <c r="CC1156" s="473">
        <f t="shared" ca="1" si="715"/>
        <v>0</v>
      </c>
      <c r="CD1156" s="477"/>
    </row>
    <row r="1157" spans="2:82" ht="16.5" hidden="1">
      <c r="B1157" s="80"/>
      <c r="C1157" s="80"/>
      <c r="D1157" s="80"/>
      <c r="E1157" s="80"/>
      <c r="F1157" s="80"/>
      <c r="G1157" s="80"/>
      <c r="H1157" s="80"/>
      <c r="I1157" s="80"/>
      <c r="J1157" s="192">
        <f t="shared" si="696"/>
        <v>96</v>
      </c>
      <c r="K1157" s="192">
        <f t="shared" si="697"/>
        <v>9</v>
      </c>
      <c r="L1157" s="192" t="str">
        <f t="shared" si="692"/>
        <v/>
      </c>
      <c r="M1157" s="216" t="str">
        <f t="shared" ca="1" si="698"/>
        <v/>
      </c>
      <c r="N1157" s="216"/>
      <c r="O1157" s="216"/>
      <c r="P1157" s="216"/>
      <c r="Q1157" s="456">
        <f t="shared" ca="1" si="699"/>
        <v>1</v>
      </c>
      <c r="R1157" s="450">
        <f t="shared" ca="1" si="700"/>
        <v>12</v>
      </c>
      <c r="S1157" s="191">
        <f t="shared" si="701"/>
        <v>96</v>
      </c>
      <c r="T1157" s="191">
        <f t="shared" si="702"/>
        <v>9</v>
      </c>
      <c r="U1157" s="191">
        <f ca="1">OP!$D$5+$S1157-1</f>
        <v>128</v>
      </c>
      <c r="V1157" s="191" t="str">
        <f t="shared" si="703"/>
        <v/>
      </c>
      <c r="W1157" s="350">
        <f ca="1">IF(Q1157&lt;&gt;1,0,VLOOKUP(OP!$C$55,PVFB,$S1157+2,0))</f>
        <v>0</v>
      </c>
      <c r="X1157" s="473" t="str">
        <f t="shared" ca="1" si="716"/>
        <v/>
      </c>
      <c r="Y1157" s="348">
        <f t="shared" ca="1" si="717"/>
        <v>0</v>
      </c>
      <c r="Z1157" s="348">
        <f t="shared" ca="1" si="718"/>
        <v>8012</v>
      </c>
      <c r="AA1157" s="348">
        <f ca="1">IF(Q1157&lt;&gt;1,0,VLOOKUP(OP!$C$55,PVFB,$S1157+2,0))</f>
        <v>0</v>
      </c>
      <c r="AB1157" s="488" t="str">
        <f ca="1">IF(AND(S1157&lt;OP!$C$24,$U1157&lt;15),0,IF(AND($U1157&lt;15,$T1157=12),ROUND(VLOOKUP($S1157,DOWN16,5,0),3),IF($T1157=12,ROUND(($Z1157/10000)*$AA1157,3)+IF(AND($P$7="購買增額繳清保險",T1157=12,U1157=110),VLOOKUP(S1157,$B$10:$H$121,7,0),0),"")))</f>
        <v/>
      </c>
      <c r="AC1157" s="350" t="str">
        <f ca="1">IF(AND(S1157&lt;OP!$C$24,$U1157&lt;15),0,IF(AND($U1157&lt;16,$T1157=12),VLOOKUP($S1157,DOWN16,4,0),IF($T1157=12,ROUND(VLOOKUP(OP!$C$55,_DIE2,$S1157+1,0)*(Z1157/10000),0)+IF(AND($P$7="購買增額繳清保險",T1157=12,U1157=110),VLOOKUP(S1157,$B$10:$H$121,7,0),0),"")))</f>
        <v/>
      </c>
      <c r="AD1157" s="347"/>
      <c r="AE1157" s="350" t="str">
        <f t="shared" ca="1" si="693"/>
        <v/>
      </c>
      <c r="AF1157" s="351" t="str">
        <f t="shared" ca="1" si="694"/>
        <v/>
      </c>
      <c r="AG1157" s="340"/>
      <c r="AH1157" s="340"/>
      <c r="AI1157" s="340"/>
      <c r="AJ1157" s="340"/>
      <c r="AK1157" s="340"/>
      <c r="AL1157" s="340"/>
      <c r="AM1157" s="340"/>
      <c r="AN1157" s="340"/>
      <c r="AO1157" s="340"/>
      <c r="AP1157" s="340"/>
      <c r="AQ1157" s="340"/>
      <c r="AR1157" s="340"/>
      <c r="AS1157" s="340"/>
      <c r="AT1157" s="340"/>
      <c r="AU1157" s="340"/>
      <c r="AV1157" s="340"/>
      <c r="AY1157" s="340"/>
      <c r="AZ1157" s="465">
        <f t="shared" ca="1" si="704"/>
        <v>7.3698599999999999E-5</v>
      </c>
      <c r="BA1157" s="464">
        <f t="shared" ca="1" si="705"/>
        <v>0</v>
      </c>
      <c r="BB1157" s="465">
        <f t="shared" ca="1" si="705"/>
        <v>7.3698599999999999E-5</v>
      </c>
      <c r="BC1157" s="466">
        <f t="shared" ca="1" si="706"/>
        <v>77830</v>
      </c>
      <c r="BD1157" s="467">
        <f t="shared" ca="1" si="719"/>
        <v>77831</v>
      </c>
      <c r="BE1157" s="467">
        <f t="shared" ca="1" si="707"/>
        <v>77857</v>
      </c>
      <c r="BF1157" s="468">
        <f ca="1">IF(計算!$BC1157&lt;OP!$C$3,0,BD1157-BC1157)</f>
        <v>1</v>
      </c>
      <c r="BG1157" s="468">
        <f ca="1">IF($BE1157&gt;DATE(YEAR($BD$9)+OP!$C$57,MONTH($BD$9),DAY($BD$9)),0,$BE1157-$BD1157+1)</f>
        <v>0</v>
      </c>
      <c r="BH1157" s="469">
        <f t="shared" ca="1" si="708"/>
        <v>1</v>
      </c>
      <c r="BI1157" t="str">
        <f t="shared" si="724"/>
        <v/>
      </c>
      <c r="BJ1157">
        <v>8</v>
      </c>
      <c r="BN1157" s="468">
        <f t="shared" si="720"/>
        <v>96</v>
      </c>
      <c r="BO1157" s="468">
        <f t="shared" si="721"/>
        <v>8</v>
      </c>
      <c r="BP1157" s="467">
        <f t="shared" ca="1" si="709"/>
        <v>77831</v>
      </c>
      <c r="BQ1157" s="475">
        <f t="shared" ca="1" si="723"/>
        <v>128</v>
      </c>
      <c r="BR1157" s="475" t="str">
        <f t="shared" si="722"/>
        <v/>
      </c>
      <c r="BS1157" s="471" t="str">
        <f t="shared" si="710"/>
        <v/>
      </c>
      <c r="BT1157" s="472" t="str">
        <f t="shared" si="725"/>
        <v/>
      </c>
      <c r="BU1157" s="472">
        <f t="shared" ca="1" si="711"/>
        <v>0</v>
      </c>
      <c r="BV1157" s="472">
        <f t="shared" ca="1" si="711"/>
        <v>0</v>
      </c>
      <c r="BW1157" s="472"/>
      <c r="BX1157" s="473">
        <f t="shared" ca="1" si="712"/>
        <v>2798937.1121525001</v>
      </c>
      <c r="BY1157" s="473">
        <f t="shared" si="713"/>
        <v>0</v>
      </c>
      <c r="BZ1157" s="473">
        <f t="shared" ca="1" si="695"/>
        <v>206.277746654</v>
      </c>
      <c r="CA1157" s="476">
        <f t="shared" ca="1" si="714"/>
        <v>0</v>
      </c>
      <c r="CB1157" s="494">
        <f ca="1">IF(OR($Q1156&lt;&gt;1,OP!$D$5+$BN1157-1&lt;16,$BN1157-1&lt;1),0,ROUND(ROUND(ROUND(((VLOOKUP($BN1157-1,MORE_PV,5,0)/10000)*VLOOKUP($BN1157,MORE_PV,$CB$5,0)),3)*VLOOKUP($BN1157,more1,5,0),0)/$R1156,0))</f>
        <v>0</v>
      </c>
      <c r="CC1157" s="473">
        <f t="shared" ca="1" si="715"/>
        <v>0</v>
      </c>
      <c r="CD1157" s="477"/>
    </row>
    <row r="1158" spans="2:82" ht="16.5" hidden="1">
      <c r="B1158" s="80"/>
      <c r="C1158" s="80"/>
      <c r="D1158" s="80"/>
      <c r="E1158" s="80"/>
      <c r="F1158" s="80"/>
      <c r="G1158" s="80"/>
      <c r="H1158" s="80"/>
      <c r="I1158" s="80"/>
      <c r="J1158" s="192">
        <f t="shared" si="696"/>
        <v>96</v>
      </c>
      <c r="K1158" s="192">
        <f t="shared" si="697"/>
        <v>10</v>
      </c>
      <c r="L1158" s="192" t="str">
        <f t="shared" si="692"/>
        <v/>
      </c>
      <c r="M1158" s="216" t="str">
        <f t="shared" ca="1" si="698"/>
        <v/>
      </c>
      <c r="N1158" s="216"/>
      <c r="O1158" s="216"/>
      <c r="P1158" s="216"/>
      <c r="Q1158" s="456">
        <f t="shared" ca="1" si="699"/>
        <v>1</v>
      </c>
      <c r="R1158" s="450">
        <f t="shared" ca="1" si="700"/>
        <v>12</v>
      </c>
      <c r="S1158" s="191">
        <f t="shared" si="701"/>
        <v>96</v>
      </c>
      <c r="T1158" s="191">
        <f t="shared" si="702"/>
        <v>10</v>
      </c>
      <c r="U1158" s="191">
        <f ca="1">OP!$D$5+$S1158-1</f>
        <v>128</v>
      </c>
      <c r="V1158" s="191" t="str">
        <f t="shared" si="703"/>
        <v/>
      </c>
      <c r="W1158" s="350">
        <f ca="1">IF(Q1158&lt;&gt;1,0,VLOOKUP(OP!$C$55,PVFB,$S1158+2,0))</f>
        <v>0</v>
      </c>
      <c r="X1158" s="473" t="str">
        <f t="shared" ca="1" si="716"/>
        <v/>
      </c>
      <c r="Y1158" s="348">
        <f t="shared" ca="1" si="717"/>
        <v>0</v>
      </c>
      <c r="Z1158" s="348">
        <f t="shared" ca="1" si="718"/>
        <v>8012</v>
      </c>
      <c r="AA1158" s="348">
        <f ca="1">IF(Q1158&lt;&gt;1,0,VLOOKUP(OP!$C$55,PVFB,$S1158+2,0))</f>
        <v>0</v>
      </c>
      <c r="AB1158" s="488" t="str">
        <f ca="1">IF(AND(S1158&lt;OP!$C$24,$U1158&lt;15),0,IF(AND($U1158&lt;15,$T1158=12),ROUND(VLOOKUP($S1158,DOWN16,5,0),3),IF($T1158=12,ROUND(($Z1158/10000)*$AA1158,3)+IF(AND($P$7="購買增額繳清保險",T1158=12,U1158=110),VLOOKUP(S1158,$B$10:$H$121,7,0),0),"")))</f>
        <v/>
      </c>
      <c r="AC1158" s="350" t="str">
        <f ca="1">IF(AND(S1158&lt;OP!$C$24,$U1158&lt;15),0,IF(AND($U1158&lt;16,$T1158=12),VLOOKUP($S1158,DOWN16,4,0),IF($T1158=12,ROUND(VLOOKUP(OP!$C$55,_DIE2,$S1158+1,0)*(Z1158/10000),0)+IF(AND($P$7="購買增額繳清保險",T1158=12,U1158=110),VLOOKUP(S1158,$B$10:$H$121,7,0),0),"")))</f>
        <v/>
      </c>
      <c r="AD1158" s="347"/>
      <c r="AE1158" s="350" t="str">
        <f t="shared" ca="1" si="693"/>
        <v/>
      </c>
      <c r="AF1158" s="351" t="str">
        <f t="shared" ca="1" si="694"/>
        <v/>
      </c>
      <c r="AG1158" s="340"/>
      <c r="AH1158" s="340"/>
      <c r="AI1158" s="340"/>
      <c r="AJ1158" s="340"/>
      <c r="AK1158" s="340"/>
      <c r="AL1158" s="340"/>
      <c r="AM1158" s="340"/>
      <c r="AN1158" s="340"/>
      <c r="AO1158" s="340"/>
      <c r="AP1158" s="340"/>
      <c r="AQ1158" s="340"/>
      <c r="AR1158" s="340"/>
      <c r="AS1158" s="340"/>
      <c r="AT1158" s="340"/>
      <c r="AU1158" s="340"/>
      <c r="AV1158" s="340"/>
      <c r="AY1158" s="340"/>
      <c r="AZ1158" s="465">
        <f t="shared" ca="1" si="704"/>
        <v>7.3698599999999999E-5</v>
      </c>
      <c r="BA1158" s="464">
        <f t="shared" ca="1" si="705"/>
        <v>0</v>
      </c>
      <c r="BB1158" s="465">
        <f t="shared" ca="1" si="705"/>
        <v>7.3698599999999999E-5</v>
      </c>
      <c r="BC1158" s="466">
        <f t="shared" ca="1" si="706"/>
        <v>77858</v>
      </c>
      <c r="BD1158" s="467">
        <f t="shared" ca="1" si="719"/>
        <v>77859</v>
      </c>
      <c r="BE1158" s="467">
        <f t="shared" ca="1" si="707"/>
        <v>77888</v>
      </c>
      <c r="BF1158" s="468">
        <f ca="1">IF(計算!$BC1158&lt;OP!$C$3,0,BD1158-BC1158)</f>
        <v>1</v>
      </c>
      <c r="BG1158" s="468">
        <f ca="1">IF($BE1158&gt;DATE(YEAR($BD$9)+OP!$C$57,MONTH($BD$9),DAY($BD$9)),0,$BE1158-$BD1158+1)</f>
        <v>0</v>
      </c>
      <c r="BH1158" s="469">
        <f t="shared" ca="1" si="708"/>
        <v>1</v>
      </c>
      <c r="BI1158" t="str">
        <f t="shared" si="724"/>
        <v/>
      </c>
      <c r="BJ1158">
        <v>9</v>
      </c>
      <c r="BN1158" s="468">
        <f t="shared" si="720"/>
        <v>96</v>
      </c>
      <c r="BO1158" s="468">
        <f t="shared" si="721"/>
        <v>9</v>
      </c>
      <c r="BP1158" s="467">
        <f t="shared" ca="1" si="709"/>
        <v>77859</v>
      </c>
      <c r="BQ1158" s="475">
        <f t="shared" ca="1" si="723"/>
        <v>128</v>
      </c>
      <c r="BR1158" s="475" t="str">
        <f t="shared" si="722"/>
        <v/>
      </c>
      <c r="BS1158" s="471" t="str">
        <f t="shared" si="710"/>
        <v/>
      </c>
      <c r="BT1158" s="472" t="str">
        <f t="shared" si="725"/>
        <v/>
      </c>
      <c r="BU1158" s="472">
        <f t="shared" ca="1" si="711"/>
        <v>0</v>
      </c>
      <c r="BV1158" s="472">
        <f t="shared" ca="1" si="711"/>
        <v>0</v>
      </c>
      <c r="BW1158" s="472"/>
      <c r="BX1158" s="473">
        <f t="shared" ca="1" si="712"/>
        <v>2799143.38989915</v>
      </c>
      <c r="BY1158" s="473">
        <f t="shared" si="713"/>
        <v>0</v>
      </c>
      <c r="BZ1158" s="473">
        <f t="shared" ca="1" si="695"/>
        <v>206.29294903499999</v>
      </c>
      <c r="CA1158" s="476">
        <f t="shared" ca="1" si="714"/>
        <v>0</v>
      </c>
      <c r="CB1158" s="494">
        <f ca="1">IF(OR($Q1157&lt;&gt;1,OP!$D$5+$BN1158-1&lt;16,$BN1158-1&lt;1),0,ROUND(ROUND(ROUND(((VLOOKUP($BN1158-1,MORE_PV,5,0)/10000)*VLOOKUP($BN1158,MORE_PV,$CB$5,0)),3)*VLOOKUP($BN1158,more1,5,0),0)/$R1157,0))</f>
        <v>0</v>
      </c>
      <c r="CC1158" s="473">
        <f t="shared" ca="1" si="715"/>
        <v>0</v>
      </c>
      <c r="CD1158" s="477"/>
    </row>
    <row r="1159" spans="2:82" ht="16.5" hidden="1">
      <c r="B1159" s="80"/>
      <c r="C1159" s="80"/>
      <c r="D1159" s="80"/>
      <c r="E1159" s="80"/>
      <c r="F1159" s="80"/>
      <c r="G1159" s="80"/>
      <c r="H1159" s="80"/>
      <c r="I1159" s="80"/>
      <c r="J1159" s="192">
        <f t="shared" si="696"/>
        <v>96</v>
      </c>
      <c r="K1159" s="192">
        <f t="shared" si="697"/>
        <v>11</v>
      </c>
      <c r="L1159" s="192" t="str">
        <f t="shared" si="692"/>
        <v/>
      </c>
      <c r="M1159" s="216" t="str">
        <f t="shared" ca="1" si="698"/>
        <v/>
      </c>
      <c r="N1159" s="216"/>
      <c r="O1159" s="216"/>
      <c r="P1159" s="216"/>
      <c r="Q1159" s="456">
        <f t="shared" ca="1" si="699"/>
        <v>1</v>
      </c>
      <c r="R1159" s="450">
        <f t="shared" ca="1" si="700"/>
        <v>12</v>
      </c>
      <c r="S1159" s="191">
        <f t="shared" si="701"/>
        <v>96</v>
      </c>
      <c r="T1159" s="191">
        <f t="shared" si="702"/>
        <v>11</v>
      </c>
      <c r="U1159" s="191">
        <f ca="1">OP!$D$5+$S1159-1</f>
        <v>128</v>
      </c>
      <c r="V1159" s="191" t="str">
        <f t="shared" si="703"/>
        <v/>
      </c>
      <c r="W1159" s="350">
        <f ca="1">IF(Q1159&lt;&gt;1,0,VLOOKUP(OP!$C$55,PVFB,$S1159+2,0))</f>
        <v>0</v>
      </c>
      <c r="X1159" s="473" t="str">
        <f t="shared" ca="1" si="716"/>
        <v/>
      </c>
      <c r="Y1159" s="348">
        <f t="shared" ca="1" si="717"/>
        <v>0</v>
      </c>
      <c r="Z1159" s="348">
        <f t="shared" ca="1" si="718"/>
        <v>8012</v>
      </c>
      <c r="AA1159" s="348">
        <f ca="1">IF(Q1159&lt;&gt;1,0,VLOOKUP(OP!$C$55,PVFB,$S1159+2,0))</f>
        <v>0</v>
      </c>
      <c r="AB1159" s="488" t="str">
        <f ca="1">IF(AND(S1159&lt;OP!$C$24,$U1159&lt;15),0,IF(AND($U1159&lt;15,$T1159=12),ROUND(VLOOKUP($S1159,DOWN16,5,0),3),IF($T1159=12,ROUND(($Z1159/10000)*$AA1159,3)+IF(AND($P$7="購買增額繳清保險",T1159=12,U1159=110),VLOOKUP(S1159,$B$10:$H$121,7,0),0),"")))</f>
        <v/>
      </c>
      <c r="AC1159" s="350" t="str">
        <f ca="1">IF(AND(S1159&lt;OP!$C$24,$U1159&lt;15),0,IF(AND($U1159&lt;16,$T1159=12),VLOOKUP($S1159,DOWN16,4,0),IF($T1159=12,ROUND(VLOOKUP(OP!$C$55,_DIE2,$S1159+1,0)*(Z1159/10000),0)+IF(AND($P$7="購買增額繳清保險",T1159=12,U1159=110),VLOOKUP(S1159,$B$10:$H$121,7,0),0),"")))</f>
        <v/>
      </c>
      <c r="AD1159" s="347"/>
      <c r="AE1159" s="350" t="str">
        <f t="shared" ca="1" si="693"/>
        <v/>
      </c>
      <c r="AF1159" s="351" t="str">
        <f t="shared" ca="1" si="694"/>
        <v/>
      </c>
      <c r="AG1159" s="340"/>
      <c r="AH1159" s="340"/>
      <c r="AI1159" s="340"/>
      <c r="AJ1159" s="340"/>
      <c r="AK1159" s="340"/>
      <c r="AL1159" s="340"/>
      <c r="AM1159" s="340"/>
      <c r="AN1159" s="340"/>
      <c r="AO1159" s="340"/>
      <c r="AP1159" s="340"/>
      <c r="AQ1159" s="340"/>
      <c r="AR1159" s="340"/>
      <c r="AS1159" s="340"/>
      <c r="AT1159" s="340"/>
      <c r="AU1159" s="340"/>
      <c r="AV1159" s="340"/>
      <c r="AY1159" s="340"/>
      <c r="AZ1159" s="465">
        <f t="shared" ca="1" si="704"/>
        <v>7.3698599999999999E-5</v>
      </c>
      <c r="BA1159" s="464">
        <f t="shared" ca="1" si="705"/>
        <v>0</v>
      </c>
      <c r="BB1159" s="465">
        <f t="shared" ca="1" si="705"/>
        <v>7.3698599999999999E-5</v>
      </c>
      <c r="BC1159" s="466">
        <f t="shared" ca="1" si="706"/>
        <v>77889</v>
      </c>
      <c r="BD1159" s="467">
        <f t="shared" ca="1" si="719"/>
        <v>77890</v>
      </c>
      <c r="BE1159" s="467">
        <f t="shared" ca="1" si="707"/>
        <v>77918</v>
      </c>
      <c r="BF1159" s="468">
        <f ca="1">IF(計算!$BC1159&lt;OP!$C$3,0,BD1159-BC1159)</f>
        <v>1</v>
      </c>
      <c r="BG1159" s="468">
        <f ca="1">IF($BE1159&gt;DATE(YEAR($BD$9)+OP!$C$57,MONTH($BD$9),DAY($BD$9)),0,$BE1159-$BD1159+1)</f>
        <v>0</v>
      </c>
      <c r="BH1159" s="469">
        <f t="shared" ca="1" si="708"/>
        <v>1</v>
      </c>
      <c r="BI1159" t="str">
        <f t="shared" si="724"/>
        <v/>
      </c>
      <c r="BJ1159">
        <v>10</v>
      </c>
      <c r="BN1159" s="468">
        <f t="shared" si="720"/>
        <v>96</v>
      </c>
      <c r="BO1159" s="468">
        <f t="shared" si="721"/>
        <v>10</v>
      </c>
      <c r="BP1159" s="467">
        <f t="shared" ca="1" si="709"/>
        <v>77890</v>
      </c>
      <c r="BQ1159" s="475">
        <f t="shared" ca="1" si="723"/>
        <v>128</v>
      </c>
      <c r="BR1159" s="475" t="str">
        <f t="shared" si="722"/>
        <v/>
      </c>
      <c r="BS1159" s="471" t="str">
        <f t="shared" si="710"/>
        <v/>
      </c>
      <c r="BT1159" s="472" t="str">
        <f t="shared" si="725"/>
        <v/>
      </c>
      <c r="BU1159" s="472">
        <f t="shared" ca="1" si="711"/>
        <v>0</v>
      </c>
      <c r="BV1159" s="472">
        <f t="shared" ca="1" si="711"/>
        <v>0</v>
      </c>
      <c r="BW1159" s="472"/>
      <c r="BX1159" s="473">
        <f t="shared" ca="1" si="712"/>
        <v>2799349.6828481802</v>
      </c>
      <c r="BY1159" s="473">
        <f t="shared" si="713"/>
        <v>0</v>
      </c>
      <c r="BZ1159" s="473">
        <f t="shared" ca="1" si="695"/>
        <v>206.30815253599999</v>
      </c>
      <c r="CA1159" s="476">
        <f t="shared" ca="1" si="714"/>
        <v>0</v>
      </c>
      <c r="CB1159" s="494">
        <f ca="1">IF(OR($Q1158&lt;&gt;1,OP!$D$5+$BN1159-1&lt;16,$BN1159-1&lt;1),0,ROUND(ROUND(ROUND(((VLOOKUP($BN1159-1,MORE_PV,5,0)/10000)*VLOOKUP($BN1159,MORE_PV,$CB$5,0)),3)*VLOOKUP($BN1159,more1,5,0),0)/$R1158,0))</f>
        <v>0</v>
      </c>
      <c r="CC1159" s="473">
        <f t="shared" ca="1" si="715"/>
        <v>0</v>
      </c>
      <c r="CD1159" s="477"/>
    </row>
    <row r="1160" spans="2:82" ht="16.5" hidden="1">
      <c r="B1160" s="80"/>
      <c r="C1160" s="80"/>
      <c r="D1160" s="80"/>
      <c r="E1160" s="80"/>
      <c r="F1160" s="80"/>
      <c r="G1160" s="80"/>
      <c r="H1160" s="80"/>
      <c r="I1160" s="80"/>
      <c r="J1160" s="192">
        <f t="shared" si="696"/>
        <v>96</v>
      </c>
      <c r="K1160" s="192">
        <f t="shared" si="697"/>
        <v>12</v>
      </c>
      <c r="L1160" s="192">
        <f t="shared" si="692"/>
        <v>96</v>
      </c>
      <c r="M1160" s="216">
        <f t="shared" ca="1" si="698"/>
        <v>2799968</v>
      </c>
      <c r="N1160" s="216"/>
      <c r="O1160" s="216"/>
      <c r="P1160" s="216"/>
      <c r="Q1160" s="456">
        <f t="shared" ca="1" si="699"/>
        <v>1</v>
      </c>
      <c r="R1160" s="450">
        <f t="shared" ca="1" si="700"/>
        <v>12</v>
      </c>
      <c r="S1160" s="191">
        <f t="shared" si="701"/>
        <v>96</v>
      </c>
      <c r="T1160" s="191">
        <f t="shared" si="702"/>
        <v>12</v>
      </c>
      <c r="U1160" s="191">
        <f ca="1">OP!$D$5+$S1160-1</f>
        <v>128</v>
      </c>
      <c r="V1160" s="191">
        <f t="shared" si="703"/>
        <v>96</v>
      </c>
      <c r="W1160" s="350">
        <f ca="1">IF(Q1160&lt;&gt;1,0,VLOOKUP(OP!$C$55,PVFB,$S1160+2,0))</f>
        <v>0</v>
      </c>
      <c r="X1160" s="473">
        <f t="shared" ca="1" si="716"/>
        <v>0</v>
      </c>
      <c r="Y1160" s="348">
        <f t="shared" ca="1" si="717"/>
        <v>0</v>
      </c>
      <c r="Z1160" s="348">
        <f t="shared" ca="1" si="718"/>
        <v>8012</v>
      </c>
      <c r="AA1160" s="348">
        <f ca="1">IF(Q1160&lt;&gt;1,0,VLOOKUP(OP!$C$55,PVFB,$S1160+2,0))</f>
        <v>0</v>
      </c>
      <c r="AB1160" s="488">
        <f ca="1">IF(AND(S1160&lt;OP!$C$24,$U1160&lt;15),0,IF(AND($U1160&lt;15,$T1160=12),ROUND(VLOOKUP($S1160,DOWN16,5,0),3),IF($T1160=12,ROUND(($Z1160/10000)*$AA1160,3)+IF(AND($P$7="購買增額繳清保險",T1160=12,U1160=110),VLOOKUP(S1160,$B$10:$H$121,7,0),0),"")))</f>
        <v>0</v>
      </c>
      <c r="AC1160" s="350">
        <f ca="1">IF(AND(S1160&lt;OP!$C$24,$U1160&lt;15),0,IF(AND($U1160&lt;16,$T1160=12),VLOOKUP($S1160,DOWN16,4,0),IF($T1160=12,ROUND(VLOOKUP(OP!$C$55,_DIE2,$S1160+1,0)*(Z1160/10000),0)+IF(AND($P$7="購買增額繳清保險",T1160=12,U1160=110),VLOOKUP(S1160,$B$10:$H$121,7,0),0),"")))</f>
        <v>0</v>
      </c>
      <c r="AD1160" s="347"/>
      <c r="AE1160" s="350" t="str">
        <f t="shared" ca="1" si="693"/>
        <v/>
      </c>
      <c r="AF1160" s="351" t="str">
        <f t="shared" ca="1" si="694"/>
        <v/>
      </c>
      <c r="AG1160" s="340"/>
      <c r="AH1160" s="340"/>
      <c r="AI1160" s="340"/>
      <c r="AJ1160" s="340"/>
      <c r="AK1160" s="340"/>
      <c r="AL1160" s="340"/>
      <c r="AM1160" s="340"/>
      <c r="AN1160" s="340"/>
      <c r="AO1160" s="340"/>
      <c r="AP1160" s="340"/>
      <c r="AQ1160" s="340"/>
      <c r="AR1160" s="340"/>
      <c r="AS1160" s="340"/>
      <c r="AT1160" s="340"/>
      <c r="AU1160" s="340"/>
      <c r="AV1160" s="340"/>
      <c r="AY1160" s="340"/>
      <c r="AZ1160" s="465">
        <f t="shared" ca="1" si="704"/>
        <v>7.3698599999999999E-5</v>
      </c>
      <c r="BA1160" s="464">
        <f t="shared" ca="1" si="705"/>
        <v>0</v>
      </c>
      <c r="BB1160" s="465">
        <f t="shared" ca="1" si="705"/>
        <v>7.3698599999999999E-5</v>
      </c>
      <c r="BC1160" s="466">
        <f t="shared" ca="1" si="706"/>
        <v>77919</v>
      </c>
      <c r="BD1160" s="467">
        <f t="shared" ca="1" si="719"/>
        <v>77920</v>
      </c>
      <c r="BE1160" s="467">
        <f t="shared" ca="1" si="707"/>
        <v>77949</v>
      </c>
      <c r="BF1160" s="468">
        <f ca="1">IF(計算!$BC1160&lt;OP!$C$3,0,BD1160-BC1160)</f>
        <v>1</v>
      </c>
      <c r="BG1160" s="468">
        <f ca="1">IF($BE1160&gt;DATE(YEAR($BD$9)+OP!$C$57,MONTH($BD$9),DAY($BD$9)),0,$BE1160-$BD1160+1)</f>
        <v>0</v>
      </c>
      <c r="BH1160" s="469">
        <f t="shared" ca="1" si="708"/>
        <v>1</v>
      </c>
      <c r="BI1160" t="str">
        <f t="shared" si="724"/>
        <v/>
      </c>
      <c r="BJ1160">
        <v>11</v>
      </c>
      <c r="BN1160" s="468">
        <f t="shared" si="720"/>
        <v>96</v>
      </c>
      <c r="BO1160" s="468">
        <f t="shared" si="721"/>
        <v>11</v>
      </c>
      <c r="BP1160" s="467">
        <f t="shared" ca="1" si="709"/>
        <v>77920</v>
      </c>
      <c r="BQ1160" s="475">
        <f t="shared" ca="1" si="723"/>
        <v>128</v>
      </c>
      <c r="BR1160" s="475" t="str">
        <f t="shared" si="722"/>
        <v/>
      </c>
      <c r="BS1160" s="471" t="str">
        <f t="shared" si="710"/>
        <v/>
      </c>
      <c r="BT1160" s="472" t="str">
        <f t="shared" si="725"/>
        <v/>
      </c>
      <c r="BU1160" s="472">
        <f t="shared" ca="1" si="711"/>
        <v>0</v>
      </c>
      <c r="BV1160" s="472">
        <f t="shared" ca="1" si="711"/>
        <v>0</v>
      </c>
      <c r="BW1160" s="472"/>
      <c r="BX1160" s="473">
        <f t="shared" ca="1" si="712"/>
        <v>2799555.9910007198</v>
      </c>
      <c r="BY1160" s="473">
        <f t="shared" si="713"/>
        <v>0</v>
      </c>
      <c r="BZ1160" s="473">
        <f t="shared" ca="1" si="695"/>
        <v>206.32335715799999</v>
      </c>
      <c r="CA1160" s="476">
        <f t="shared" ca="1" si="714"/>
        <v>0</v>
      </c>
      <c r="CB1160" s="494">
        <f ca="1">IF(OR($Q1159&lt;&gt;1,OP!$D$5+$BN1160-1&lt;16,$BN1160-1&lt;1),0,ROUND(ROUND(ROUND(((VLOOKUP($BN1160-1,MORE_PV,5,0)/10000)*VLOOKUP($BN1160,MORE_PV,$CB$5,0)),3)*VLOOKUP($BN1160,more1,5,0),0)/$R1159,0))</f>
        <v>0</v>
      </c>
      <c r="CC1160" s="473">
        <f t="shared" ca="1" si="715"/>
        <v>0</v>
      </c>
      <c r="CD1160" s="477"/>
    </row>
    <row r="1161" spans="2:82" ht="16.5" hidden="1">
      <c r="B1161" s="80"/>
      <c r="C1161" s="80"/>
      <c r="D1161" s="80"/>
      <c r="E1161" s="80"/>
      <c r="F1161" s="80"/>
      <c r="G1161" s="80"/>
      <c r="H1161" s="80"/>
      <c r="I1161" s="80"/>
      <c r="J1161" s="192">
        <f t="shared" si="696"/>
        <v>97</v>
      </c>
      <c r="K1161" s="192">
        <f t="shared" si="697"/>
        <v>1</v>
      </c>
      <c r="L1161" s="192" t="str">
        <f t="shared" ref="L1161:L1224" si="726">IF($K1161=12,$J1161,"")</f>
        <v/>
      </c>
      <c r="M1161" s="216" t="str">
        <f t="shared" ca="1" si="698"/>
        <v/>
      </c>
      <c r="N1161" s="216"/>
      <c r="O1161" s="216"/>
      <c r="P1161" s="216"/>
      <c r="Q1161" s="456">
        <f t="shared" ca="1" si="699"/>
        <v>1</v>
      </c>
      <c r="R1161" s="450">
        <f t="shared" ca="1" si="700"/>
        <v>12</v>
      </c>
      <c r="S1161" s="191">
        <f t="shared" si="701"/>
        <v>97</v>
      </c>
      <c r="T1161" s="191">
        <f t="shared" si="702"/>
        <v>1</v>
      </c>
      <c r="U1161" s="191">
        <f ca="1">OP!$D$5+$S1161-1</f>
        <v>129</v>
      </c>
      <c r="V1161" s="191" t="str">
        <f t="shared" si="703"/>
        <v/>
      </c>
      <c r="W1161" s="350">
        <f ca="1">IF(Q1161&lt;&gt;1,0,VLOOKUP(OP!$C$55,PVFB,$S1161+2,0))</f>
        <v>0</v>
      </c>
      <c r="X1161" s="473" t="str">
        <f t="shared" ca="1" si="716"/>
        <v/>
      </c>
      <c r="Y1161" s="348">
        <f t="shared" ca="1" si="717"/>
        <v>0</v>
      </c>
      <c r="Z1161" s="348">
        <f t="shared" ca="1" si="718"/>
        <v>8012</v>
      </c>
      <c r="AA1161" s="348">
        <f ca="1">IF(Q1161&lt;&gt;1,0,VLOOKUP(OP!$C$55,PVFB,$S1161+2,0))</f>
        <v>0</v>
      </c>
      <c r="AB1161" s="488" t="str">
        <f ca="1">IF(AND(S1161&lt;OP!$C$24,$U1161&lt;15),0,IF(AND($U1161&lt;15,$T1161=12),ROUND(VLOOKUP($S1161,DOWN16,5,0),3),IF($T1161=12,ROUND(($Z1161/10000)*$AA1161,3)+IF(AND($P$7="購買增額繳清保險",T1161=12,U1161=110),VLOOKUP(S1161,$B$10:$H$121,7,0),0),"")))</f>
        <v/>
      </c>
      <c r="AC1161" s="350" t="str">
        <f ca="1">IF(AND(S1161&lt;OP!$C$24,$U1161&lt;15),0,IF(AND($U1161&lt;16,$T1161=12),VLOOKUP($S1161,DOWN16,4,0),IF($T1161=12,ROUND(VLOOKUP(OP!$C$55,_DIE2,$S1161+1,0)*(Z1161/10000),0)+IF(AND($P$7="購買增額繳清保險",T1161=12,U1161=110),VLOOKUP(S1161,$B$10:$H$121,7,0),0),"")))</f>
        <v/>
      </c>
      <c r="AD1161" s="347"/>
      <c r="AE1161" s="350" t="str">
        <f t="shared" ref="AE1161:AE1224" ca="1" si="727">IF(AND($U$9&lt;16,$T1161=12),VLOOKUP($S1161,DOWN16,4,0),"")</f>
        <v/>
      </c>
      <c r="AF1161" s="351" t="str">
        <f t="shared" ref="AF1161:AF1224" ca="1" si="728">IF(AND($U$9&lt;16,$T1161=12),VLOOKUP($S1161,DOWN16,5,0),"")</f>
        <v/>
      </c>
      <c r="AG1161" s="340"/>
      <c r="AH1161" s="340"/>
      <c r="AI1161" s="340"/>
      <c r="AJ1161" s="340"/>
      <c r="AK1161" s="340"/>
      <c r="AL1161" s="340"/>
      <c r="AM1161" s="340"/>
      <c r="AN1161" s="340"/>
      <c r="AO1161" s="340"/>
      <c r="AP1161" s="340"/>
      <c r="AQ1161" s="340"/>
      <c r="AR1161" s="340"/>
      <c r="AS1161" s="340"/>
      <c r="AT1161" s="340"/>
      <c r="AU1161" s="340"/>
      <c r="AV1161" s="340"/>
      <c r="AY1161" s="340"/>
      <c r="AZ1161" s="465">
        <f t="shared" ca="1" si="704"/>
        <v>7.3698599999999999E-5</v>
      </c>
      <c r="BA1161" s="464">
        <f t="shared" ca="1" si="705"/>
        <v>0</v>
      </c>
      <c r="BB1161" s="465">
        <f t="shared" ca="1" si="705"/>
        <v>7.3698599999999999E-5</v>
      </c>
      <c r="BC1161" s="466">
        <f t="shared" ca="1" si="706"/>
        <v>77950</v>
      </c>
      <c r="BD1161" s="467">
        <f t="shared" ca="1" si="719"/>
        <v>77951</v>
      </c>
      <c r="BE1161" s="467">
        <f t="shared" ca="1" si="707"/>
        <v>77979</v>
      </c>
      <c r="BF1161" s="468">
        <f ca="1">IF(計算!$BC1161&lt;OP!$C$3,0,BD1161-BC1161)</f>
        <v>1</v>
      </c>
      <c r="BG1161" s="468">
        <f ca="1">IF($BE1161&gt;DATE(YEAR($BD$9)+OP!$C$57,MONTH($BD$9),DAY($BD$9)),0,$BE1161-$BD1161+1)</f>
        <v>0</v>
      </c>
      <c r="BH1161" s="469">
        <f t="shared" ca="1" si="708"/>
        <v>1</v>
      </c>
      <c r="BI1161">
        <f t="shared" ca="1" si="724"/>
        <v>365</v>
      </c>
      <c r="BJ1161">
        <v>12</v>
      </c>
      <c r="BN1161" s="468">
        <f t="shared" si="720"/>
        <v>96</v>
      </c>
      <c r="BO1161" s="468">
        <f t="shared" si="721"/>
        <v>12</v>
      </c>
      <c r="BP1161" s="467">
        <f t="shared" ca="1" si="709"/>
        <v>77951</v>
      </c>
      <c r="BQ1161" s="475">
        <f t="shared" ca="1" si="723"/>
        <v>128</v>
      </c>
      <c r="BR1161" s="475">
        <f t="shared" si="722"/>
        <v>96</v>
      </c>
      <c r="BS1161" s="471">
        <f t="shared" ca="1" si="710"/>
        <v>0</v>
      </c>
      <c r="BT1161" s="472">
        <f t="shared" ca="1" si="725"/>
        <v>2799968</v>
      </c>
      <c r="BU1161" s="472">
        <f t="shared" ca="1" si="711"/>
        <v>0</v>
      </c>
      <c r="BV1161" s="472">
        <f t="shared" ca="1" si="711"/>
        <v>0</v>
      </c>
      <c r="BW1161" s="472">
        <f ca="1">ROUND(SUM(BY1161,BZ1149:BZ1160),0)</f>
        <v>2475</v>
      </c>
      <c r="BX1161" s="473">
        <f t="shared" ca="1" si="712"/>
        <v>2799968.6529207798</v>
      </c>
      <c r="BY1161" s="473">
        <f t="shared" ca="1" si="713"/>
        <v>206.33856290099999</v>
      </c>
      <c r="BZ1161" s="473">
        <f t="shared" ref="BZ1161:BZ1224" ca="1" si="729">ROUND(BX1161*IF(BO1161=12,$BA1161,$BB1161),$CB$6)</f>
        <v>0</v>
      </c>
      <c r="CA1161" s="476">
        <f t="shared" ca="1" si="714"/>
        <v>0</v>
      </c>
      <c r="CB1161" s="494">
        <f ca="1">IF(OR($Q1160&lt;&gt;1,OP!$D$5+$BN1161-1&lt;16,$BN1161-1&lt;1),0,ROUND(ROUND(ROUND(((VLOOKUP($BN1161-1,MORE_PV,5,0)/10000)*VLOOKUP($BN1161,MORE_PV,$CB$5,0)),3)*VLOOKUP($BN1161,more1,5,0),0)/$R1160,0))</f>
        <v>0</v>
      </c>
      <c r="CC1161" s="473">
        <f t="shared" ca="1" si="715"/>
        <v>0</v>
      </c>
      <c r="CD1161" s="477"/>
    </row>
    <row r="1162" spans="2:82" ht="16.5" hidden="1">
      <c r="B1162" s="80"/>
      <c r="C1162" s="80"/>
      <c r="D1162" s="80"/>
      <c r="E1162" s="80"/>
      <c r="F1162" s="80"/>
      <c r="G1162" s="80"/>
      <c r="H1162" s="80"/>
      <c r="I1162" s="80"/>
      <c r="J1162" s="192">
        <f t="shared" ref="J1162:J1225" si="730">IF(K1161=12,J1161+1,J1161)</f>
        <v>97</v>
      </c>
      <c r="K1162" s="192">
        <f t="shared" ref="K1162:K1225" si="731">IF(K1161=12,1,K1161+1)</f>
        <v>2</v>
      </c>
      <c r="L1162" s="192" t="str">
        <f t="shared" si="726"/>
        <v/>
      </c>
      <c r="M1162" s="216" t="str">
        <f t="shared" ref="M1162:M1225" ca="1" si="732">IF($Q1162=1,VLOOKUP(L1162,$BR$9:$BT$1341,3,0),0)</f>
        <v/>
      </c>
      <c r="N1162" s="216"/>
      <c r="O1162" s="216"/>
      <c r="P1162" s="216"/>
      <c r="Q1162" s="456">
        <f t="shared" ref="Q1162:Q1225" ca="1" si="733">IF(OR($U1162&gt;=$I$5,AND($G$5=1,$K1162=12),AND($G$5=2,OR($K1162=6,$K1162=12)),AND($G$5=4,OR($K1162=3,$K1162=6,$K1162=9,$K1162=12)),$G$5=12),1,"")</f>
        <v>1</v>
      </c>
      <c r="R1162" s="450">
        <f t="shared" ref="R1162:R1225" ca="1" si="734">IF($U1162&lt;$I$5,$G$5,$I$6)</f>
        <v>12</v>
      </c>
      <c r="S1162" s="191">
        <f t="shared" ref="S1162:S1225" si="735">IF(T1161=12,S1161+1,S1161)</f>
        <v>97</v>
      </c>
      <c r="T1162" s="191">
        <f t="shared" ref="T1162:T1225" si="736">IF(T1161=12,1,T1161+1)</f>
        <v>2</v>
      </c>
      <c r="U1162" s="191">
        <f ca="1">OP!$D$5+$S1162-1</f>
        <v>129</v>
      </c>
      <c r="V1162" s="191" t="str">
        <f t="shared" ref="V1162:V1225" si="737">IF($T1162=12,$S1162,"")</f>
        <v/>
      </c>
      <c r="W1162" s="350">
        <f ca="1">IF(Q1162&lt;&gt;1,0,VLOOKUP(OP!$C$55,PVFB,$S1162+2,0))</f>
        <v>0</v>
      </c>
      <c r="X1162" s="473" t="str">
        <f t="shared" ca="1" si="716"/>
        <v/>
      </c>
      <c r="Y1162" s="348">
        <f t="shared" ca="1" si="717"/>
        <v>0</v>
      </c>
      <c r="Z1162" s="348">
        <f t="shared" ca="1" si="718"/>
        <v>8012</v>
      </c>
      <c r="AA1162" s="348">
        <f ca="1">IF(Q1162&lt;&gt;1,0,VLOOKUP(OP!$C$55,PVFB,$S1162+2,0))</f>
        <v>0</v>
      </c>
      <c r="AB1162" s="488" t="str">
        <f ca="1">IF(AND(S1162&lt;OP!$C$24,$U1162&lt;15),0,IF(AND($U1162&lt;15,$T1162=12),ROUND(VLOOKUP($S1162,DOWN16,5,0),3),IF($T1162=12,ROUND(($Z1162/10000)*$AA1162,3)+IF(AND($P$7="購買增額繳清保險",T1162=12,U1162=110),VLOOKUP(S1162,$B$10:$H$121,7,0),0),"")))</f>
        <v/>
      </c>
      <c r="AC1162" s="350" t="str">
        <f ca="1">IF(AND(S1162&lt;OP!$C$24,$U1162&lt;15),0,IF(AND($U1162&lt;16,$T1162=12),VLOOKUP($S1162,DOWN16,4,0),IF($T1162=12,ROUND(VLOOKUP(OP!$C$55,_DIE2,$S1162+1,0)*(Z1162/10000),0)+IF(AND($P$7="購買增額繳清保險",T1162=12,U1162=110),VLOOKUP(S1162,$B$10:$H$121,7,0),0),"")))</f>
        <v/>
      </c>
      <c r="AD1162" s="347"/>
      <c r="AE1162" s="350" t="str">
        <f t="shared" ca="1" si="727"/>
        <v/>
      </c>
      <c r="AF1162" s="351" t="str">
        <f t="shared" ca="1" si="728"/>
        <v/>
      </c>
      <c r="AG1162" s="340"/>
      <c r="AH1162" s="340"/>
      <c r="AI1162" s="340"/>
      <c r="AJ1162" s="340"/>
      <c r="AK1162" s="340"/>
      <c r="AL1162" s="340"/>
      <c r="AM1162" s="340"/>
      <c r="AN1162" s="340"/>
      <c r="AO1162" s="340"/>
      <c r="AP1162" s="340"/>
      <c r="AQ1162" s="340"/>
      <c r="AR1162" s="340"/>
      <c r="AS1162" s="340"/>
      <c r="AT1162" s="340"/>
      <c r="AU1162" s="340"/>
      <c r="AV1162" s="340"/>
      <c r="AY1162" s="340"/>
      <c r="AZ1162" s="465">
        <f t="shared" ref="AZ1162:AZ1225" ca="1" si="738">ROUND(($G$3*BF1162/365),10)</f>
        <v>7.3698599999999999E-5</v>
      </c>
      <c r="BA1162" s="464">
        <f t="shared" ref="BA1162:BB1225" ca="1" si="739">ROUND(($G$3*BG1162/365),10)</f>
        <v>0</v>
      </c>
      <c r="BB1162" s="465">
        <f t="shared" ca="1" si="739"/>
        <v>7.3698599999999999E-5</v>
      </c>
      <c r="BC1162" s="466">
        <f t="shared" ref="BC1162:BC1225" ca="1" si="740">DATE(YEAR(BD1162),MONTH(BD1162),1)</f>
        <v>77980</v>
      </c>
      <c r="BD1162" s="467">
        <f t="shared" ca="1" si="719"/>
        <v>77981</v>
      </c>
      <c r="BE1162" s="467">
        <f t="shared" ref="BE1162:BE1225" ca="1" si="741">DATE(YEAR(BD1162),MONTH(BD1162),DAY(DATE(YEAR(BD1162),MONTH(BD1162)+1,0)))</f>
        <v>78010</v>
      </c>
      <c r="BF1162" s="468">
        <f ca="1">IF(計算!$BC1162&lt;OP!$C$3,0,BD1162-BC1162)</f>
        <v>1</v>
      </c>
      <c r="BG1162" s="468">
        <f ca="1">IF($BE1162&gt;DATE(YEAR($BD$9)+OP!$C$57,MONTH($BD$9),DAY($BD$9)),0,$BE1162-$BD1162+1)</f>
        <v>0</v>
      </c>
      <c r="BH1162" s="469">
        <f t="shared" ref="BH1162:BH1225" ca="1" si="742">BF1162+BG1162</f>
        <v>1</v>
      </c>
      <c r="BI1162" t="str">
        <f t="shared" si="724"/>
        <v/>
      </c>
      <c r="BJ1162">
        <v>1</v>
      </c>
      <c r="BN1162" s="468">
        <f t="shared" si="720"/>
        <v>97</v>
      </c>
      <c r="BO1162" s="468">
        <f t="shared" si="721"/>
        <v>1</v>
      </c>
      <c r="BP1162" s="467">
        <f t="shared" ref="BP1162:BP1225" ca="1" si="743">BD1162</f>
        <v>77981</v>
      </c>
      <c r="BQ1162" s="475">
        <f t="shared" ca="1" si="723"/>
        <v>129</v>
      </c>
      <c r="BR1162" s="475" t="str">
        <f t="shared" si="722"/>
        <v/>
      </c>
      <c r="BS1162" s="471" t="str">
        <f t="shared" ref="BS1162:BS1225" si="744">IF(BW1162&lt;&gt;"",ROUND(BU1162,0)+ROUND(BV1162,0),"")</f>
        <v/>
      </c>
      <c r="BT1162" s="472" t="str">
        <f t="shared" si="725"/>
        <v/>
      </c>
      <c r="BU1162" s="472">
        <f t="shared" ref="BU1162:BV1225" ca="1" si="745">ROUND(CA1162,0)</f>
        <v>0</v>
      </c>
      <c r="BV1162" s="472">
        <f t="shared" ca="1" si="745"/>
        <v>0</v>
      </c>
      <c r="BW1162" s="472"/>
      <c r="BX1162" s="473">
        <f t="shared" ref="BX1162:BX1225" ca="1" si="746">IF(BN1162&lt;=$P$4,0,ROUNDDOWN(IF($Q1161=1,CA1162+CB1162-CC1162,0)+BX1161+BY1162+BZ1161,VLOOKUP(LEN(ROUNDDOWN(IF($Q1161=1,CA1162+CB1162-CC1162,0)+BX1161+BY1162+BZ1161,0)),$BK$9:$BL$24,2,0)))</f>
        <v>2799968.6529207798</v>
      </c>
      <c r="BY1162" s="473">
        <f t="shared" ref="BY1162:BY1225" si="747">IF(BO1162=12,ROUND((BX1161+BZ1161)*$AZ1162,$CB$6),0)</f>
        <v>0</v>
      </c>
      <c r="BZ1162" s="473">
        <f t="shared" ca="1" si="729"/>
        <v>206.35376976399999</v>
      </c>
      <c r="CA1162" s="476">
        <f t="shared" ref="CA1162:CA1225" ca="1" si="748">IF($Q1161=1,ROUND(VLOOKUP($BN1162,more1,3,0)*VLOOKUP($BN1162,more1,5,0)/$R1161,0),0)</f>
        <v>0</v>
      </c>
      <c r="CB1162" s="494">
        <f ca="1">IF(OR($Q1161&lt;&gt;1,OP!$D$5+$BN1162-1&lt;16,$BN1162-1&lt;1),0,ROUND(ROUND(ROUND(((VLOOKUP($BN1162-1,MORE_PV,5,0)/10000)*VLOOKUP($BN1162,MORE_PV,$CB$5,0)),3)*VLOOKUP($BN1162,more1,5,0),0)/$R1161,0))</f>
        <v>0</v>
      </c>
      <c r="CC1162" s="473">
        <f t="shared" ref="CC1162:CC1225" ca="1" si="749">IF(AND($BN1162=$P$4,$BO1162=12),$CA1162+$CB1162,IF(AND($BN1162&gt;$P$4,$Q1161=1,$G$6="現金給付",$CA1162+$CB1162&gt;=$P$3),$CA1162+$CB1162,0))</f>
        <v>0</v>
      </c>
      <c r="CD1162" s="477"/>
    </row>
    <row r="1163" spans="2:82" ht="16.5" hidden="1">
      <c r="B1163" s="80"/>
      <c r="C1163" s="80"/>
      <c r="D1163" s="80"/>
      <c r="E1163" s="80"/>
      <c r="F1163" s="80"/>
      <c r="G1163" s="80"/>
      <c r="H1163" s="80"/>
      <c r="I1163" s="80"/>
      <c r="J1163" s="192">
        <f t="shared" si="730"/>
        <v>97</v>
      </c>
      <c r="K1163" s="192">
        <f t="shared" si="731"/>
        <v>3</v>
      </c>
      <c r="L1163" s="192" t="str">
        <f t="shared" si="726"/>
        <v/>
      </c>
      <c r="M1163" s="216" t="str">
        <f t="shared" ca="1" si="732"/>
        <v/>
      </c>
      <c r="N1163" s="216"/>
      <c r="O1163" s="216"/>
      <c r="P1163" s="216"/>
      <c r="Q1163" s="456">
        <f t="shared" ca="1" si="733"/>
        <v>1</v>
      </c>
      <c r="R1163" s="450">
        <f t="shared" ca="1" si="734"/>
        <v>12</v>
      </c>
      <c r="S1163" s="191">
        <f t="shared" si="735"/>
        <v>97</v>
      </c>
      <c r="T1163" s="191">
        <f t="shared" si="736"/>
        <v>3</v>
      </c>
      <c r="U1163" s="191">
        <f ca="1">OP!$D$5+$S1163-1</f>
        <v>129</v>
      </c>
      <c r="V1163" s="191" t="str">
        <f t="shared" si="737"/>
        <v/>
      </c>
      <c r="W1163" s="350">
        <f ca="1">IF(Q1163&lt;&gt;1,0,VLOOKUP(OP!$C$55,PVFB,$S1163+2,0))</f>
        <v>0</v>
      </c>
      <c r="X1163" s="473" t="str">
        <f t="shared" ref="X1163:X1226" ca="1" si="750">IF(AND($U1163=15,$T1163=12),$CO1164,IF(AND($U1163&gt;15,$S1163&lt;=$P$4,$T1163=12),($BS1164)*$R1163,IF($Q1163=1,($BS1164),0)))</f>
        <v/>
      </c>
      <c r="Y1163" s="348">
        <f t="shared" ref="Y1163:Y1226" ca="1" si="751">IF(AND($P$7="購買增額繳清保險",U1163&gt;=110),0,IF(AND($U1163=15,$W1163&lt;&gt;0,$T1163=12),ROUND(($X1163)/($W1163/10000),0),IF(AND($S1163&lt;=$P$4,$W1163&lt;&gt;0,$T1163=12,$U1163&gt;15),ROUND(($X1163)/($W1163/10000),0),0)))</f>
        <v>0</v>
      </c>
      <c r="Z1163" s="348">
        <f t="shared" ref="Z1163:Z1226" ca="1" si="752">Z1162+Y1163</f>
        <v>8012</v>
      </c>
      <c r="AA1163" s="348">
        <f ca="1">IF(Q1163&lt;&gt;1,0,VLOOKUP(OP!$C$55,PVFB,$S1163+2,0))</f>
        <v>0</v>
      </c>
      <c r="AB1163" s="488" t="str">
        <f ca="1">IF(AND(S1163&lt;OP!$C$24,$U1163&lt;15),0,IF(AND($U1163&lt;15,$T1163=12),ROUND(VLOOKUP($S1163,DOWN16,5,0),3),IF($T1163=12,ROUND(($Z1163/10000)*$AA1163,3)+IF(AND($P$7="購買增額繳清保險",T1163=12,U1163=110),VLOOKUP(S1163,$B$10:$H$121,7,0),0),"")))</f>
        <v/>
      </c>
      <c r="AC1163" s="350" t="str">
        <f ca="1">IF(AND(S1163&lt;OP!$C$24,$U1163&lt;15),0,IF(AND($U1163&lt;16,$T1163=12),VLOOKUP($S1163,DOWN16,4,0),IF($T1163=12,ROUND(VLOOKUP(OP!$C$55,_DIE2,$S1163+1,0)*(Z1163/10000),0)+IF(AND($P$7="購買增額繳清保險",T1163=12,U1163=110),VLOOKUP(S1163,$B$10:$H$121,7,0),0),"")))</f>
        <v/>
      </c>
      <c r="AD1163" s="347"/>
      <c r="AE1163" s="350" t="str">
        <f t="shared" ca="1" si="727"/>
        <v/>
      </c>
      <c r="AF1163" s="351" t="str">
        <f t="shared" ca="1" si="728"/>
        <v/>
      </c>
      <c r="AG1163" s="340"/>
      <c r="AH1163" s="340"/>
      <c r="AI1163" s="340"/>
      <c r="AJ1163" s="340"/>
      <c r="AK1163" s="340"/>
      <c r="AL1163" s="340"/>
      <c r="AM1163" s="340"/>
      <c r="AN1163" s="340"/>
      <c r="AO1163" s="340"/>
      <c r="AP1163" s="340"/>
      <c r="AQ1163" s="340"/>
      <c r="AR1163" s="340"/>
      <c r="AS1163" s="340"/>
      <c r="AT1163" s="340"/>
      <c r="AU1163" s="340"/>
      <c r="AV1163" s="340"/>
      <c r="AY1163" s="340"/>
      <c r="AZ1163" s="465">
        <f t="shared" ca="1" si="738"/>
        <v>7.3698599999999999E-5</v>
      </c>
      <c r="BA1163" s="464">
        <f t="shared" ca="1" si="739"/>
        <v>0</v>
      </c>
      <c r="BB1163" s="465">
        <f t="shared" ca="1" si="739"/>
        <v>7.3698599999999999E-5</v>
      </c>
      <c r="BC1163" s="466">
        <f t="shared" ca="1" si="740"/>
        <v>78011</v>
      </c>
      <c r="BD1163" s="467">
        <f t="shared" ref="BD1163:BD1226" ca="1" si="753">DATE(YEAR(BD1162),MONTH(BD1162)+1,MIN(DAY($BD$9),DAY(DATE(YEAR(BD1162),MONTH(BD1162)+2,0))))</f>
        <v>78012</v>
      </c>
      <c r="BE1163" s="467">
        <f t="shared" ca="1" si="741"/>
        <v>78041</v>
      </c>
      <c r="BF1163" s="468">
        <f ca="1">IF(計算!$BC1163&lt;OP!$C$3,0,BD1163-BC1163)</f>
        <v>1</v>
      </c>
      <c r="BG1163" s="468">
        <f ca="1">IF($BE1163&gt;DATE(YEAR($BD$9)+OP!$C$57,MONTH($BD$9),DAY($BD$9)),0,$BE1163-$BD1163+1)</f>
        <v>0</v>
      </c>
      <c r="BH1163" s="469">
        <f t="shared" ca="1" si="742"/>
        <v>1</v>
      </c>
      <c r="BI1163" t="str">
        <f t="shared" si="724"/>
        <v/>
      </c>
      <c r="BJ1163">
        <v>2</v>
      </c>
      <c r="BN1163" s="468">
        <f t="shared" ref="BN1163:BN1226" si="754">IF(BO1162=12,BN1162+1,BN1162)</f>
        <v>97</v>
      </c>
      <c r="BO1163" s="468">
        <f t="shared" ref="BO1163:BO1226" si="755">IF(BO1162=12,1,BO1162+1)</f>
        <v>2</v>
      </c>
      <c r="BP1163" s="467">
        <f t="shared" ca="1" si="743"/>
        <v>78012</v>
      </c>
      <c r="BQ1163" s="475">
        <f t="shared" ca="1" si="723"/>
        <v>129</v>
      </c>
      <c r="BR1163" s="475" t="str">
        <f t="shared" ref="BR1163:BR1226" si="756">IF(BO1163=12,BN1163,"")</f>
        <v/>
      </c>
      <c r="BS1163" s="471" t="str">
        <f t="shared" si="744"/>
        <v/>
      </c>
      <c r="BT1163" s="472" t="str">
        <f t="shared" si="725"/>
        <v/>
      </c>
      <c r="BU1163" s="472">
        <f t="shared" ca="1" si="745"/>
        <v>0</v>
      </c>
      <c r="BV1163" s="472">
        <f t="shared" ca="1" si="745"/>
        <v>0</v>
      </c>
      <c r="BW1163" s="472"/>
      <c r="BX1163" s="473">
        <f t="shared" ca="1" si="746"/>
        <v>2800175.0066905399</v>
      </c>
      <c r="BY1163" s="473">
        <f t="shared" si="747"/>
        <v>0</v>
      </c>
      <c r="BZ1163" s="473">
        <f t="shared" ca="1" si="729"/>
        <v>206.36897774799999</v>
      </c>
      <c r="CA1163" s="476">
        <f t="shared" ca="1" si="748"/>
        <v>0</v>
      </c>
      <c r="CB1163" s="494">
        <f ca="1">IF(OR($Q1162&lt;&gt;1,OP!$D$5+$BN1163-1&lt;16,$BN1163-1&lt;1),0,ROUND(ROUND(ROUND(((VLOOKUP($BN1163-1,MORE_PV,5,0)/10000)*VLOOKUP($BN1163,MORE_PV,$CB$5,0)),3)*VLOOKUP($BN1163,more1,5,0),0)/$R1162,0))</f>
        <v>0</v>
      </c>
      <c r="CC1163" s="473">
        <f t="shared" ca="1" si="749"/>
        <v>0</v>
      </c>
      <c r="CD1163" s="477"/>
    </row>
    <row r="1164" spans="2:82" ht="16.5" hidden="1">
      <c r="B1164" s="80"/>
      <c r="C1164" s="80"/>
      <c r="D1164" s="80"/>
      <c r="E1164" s="80"/>
      <c r="F1164" s="80"/>
      <c r="G1164" s="80"/>
      <c r="H1164" s="80"/>
      <c r="I1164" s="80"/>
      <c r="J1164" s="192">
        <f t="shared" si="730"/>
        <v>97</v>
      </c>
      <c r="K1164" s="192">
        <f t="shared" si="731"/>
        <v>4</v>
      </c>
      <c r="L1164" s="192" t="str">
        <f t="shared" si="726"/>
        <v/>
      </c>
      <c r="M1164" s="216" t="str">
        <f t="shared" ca="1" si="732"/>
        <v/>
      </c>
      <c r="N1164" s="216"/>
      <c r="O1164" s="216"/>
      <c r="P1164" s="216"/>
      <c r="Q1164" s="456">
        <f t="shared" ca="1" si="733"/>
        <v>1</v>
      </c>
      <c r="R1164" s="450">
        <f t="shared" ca="1" si="734"/>
        <v>12</v>
      </c>
      <c r="S1164" s="191">
        <f t="shared" si="735"/>
        <v>97</v>
      </c>
      <c r="T1164" s="191">
        <f t="shared" si="736"/>
        <v>4</v>
      </c>
      <c r="U1164" s="191">
        <f ca="1">OP!$D$5+$S1164-1</f>
        <v>129</v>
      </c>
      <c r="V1164" s="191" t="str">
        <f t="shared" si="737"/>
        <v/>
      </c>
      <c r="W1164" s="350">
        <f ca="1">IF(Q1164&lt;&gt;1,0,VLOOKUP(OP!$C$55,PVFB,$S1164+2,0))</f>
        <v>0</v>
      </c>
      <c r="X1164" s="473" t="str">
        <f t="shared" ca="1" si="750"/>
        <v/>
      </c>
      <c r="Y1164" s="348">
        <f t="shared" ca="1" si="751"/>
        <v>0</v>
      </c>
      <c r="Z1164" s="348">
        <f t="shared" ca="1" si="752"/>
        <v>8012</v>
      </c>
      <c r="AA1164" s="348">
        <f ca="1">IF(Q1164&lt;&gt;1,0,VLOOKUP(OP!$C$55,PVFB,$S1164+2,0))</f>
        <v>0</v>
      </c>
      <c r="AB1164" s="488" t="str">
        <f ca="1">IF(AND(S1164&lt;OP!$C$24,$U1164&lt;15),0,IF(AND($U1164&lt;15,$T1164=12),ROUND(VLOOKUP($S1164,DOWN16,5,0),3),IF($T1164=12,ROUND(($Z1164/10000)*$AA1164,3)+IF(AND($P$7="購買增額繳清保險",T1164=12,U1164=110),VLOOKUP(S1164,$B$10:$H$121,7,0),0),"")))</f>
        <v/>
      </c>
      <c r="AC1164" s="350" t="str">
        <f ca="1">IF(AND(S1164&lt;OP!$C$24,$U1164&lt;15),0,IF(AND($U1164&lt;16,$T1164=12),VLOOKUP($S1164,DOWN16,4,0),IF($T1164=12,ROUND(VLOOKUP(OP!$C$55,_DIE2,$S1164+1,0)*(Z1164/10000),0)+IF(AND($P$7="購買增額繳清保險",T1164=12,U1164=110),VLOOKUP(S1164,$B$10:$H$121,7,0),0),"")))</f>
        <v/>
      </c>
      <c r="AD1164" s="347"/>
      <c r="AE1164" s="350" t="str">
        <f t="shared" ca="1" si="727"/>
        <v/>
      </c>
      <c r="AF1164" s="351" t="str">
        <f t="shared" ca="1" si="728"/>
        <v/>
      </c>
      <c r="AG1164" s="340"/>
      <c r="AH1164" s="340"/>
      <c r="AI1164" s="340"/>
      <c r="AJ1164" s="340"/>
      <c r="AK1164" s="340"/>
      <c r="AL1164" s="340"/>
      <c r="AM1164" s="340"/>
      <c r="AN1164" s="340"/>
      <c r="AO1164" s="340"/>
      <c r="AP1164" s="340"/>
      <c r="AQ1164" s="340"/>
      <c r="AR1164" s="340"/>
      <c r="AS1164" s="340"/>
      <c r="AT1164" s="340"/>
      <c r="AU1164" s="340"/>
      <c r="AV1164" s="340"/>
      <c r="AY1164" s="340"/>
      <c r="AZ1164" s="465">
        <f t="shared" ca="1" si="738"/>
        <v>7.3698599999999999E-5</v>
      </c>
      <c r="BA1164" s="464">
        <f t="shared" ca="1" si="739"/>
        <v>0</v>
      </c>
      <c r="BB1164" s="465">
        <f t="shared" ca="1" si="739"/>
        <v>7.3698599999999999E-5</v>
      </c>
      <c r="BC1164" s="466">
        <f t="shared" ca="1" si="740"/>
        <v>78042</v>
      </c>
      <c r="BD1164" s="467">
        <f t="shared" ca="1" si="753"/>
        <v>78043</v>
      </c>
      <c r="BE1164" s="467">
        <f t="shared" ca="1" si="741"/>
        <v>78071</v>
      </c>
      <c r="BF1164" s="468">
        <f ca="1">IF(計算!$BC1164&lt;OP!$C$3,0,BD1164-BC1164)</f>
        <v>1</v>
      </c>
      <c r="BG1164" s="468">
        <f ca="1">IF($BE1164&gt;DATE(YEAR($BD$9)+OP!$C$57,MONTH($BD$9),DAY($BD$9)),0,$BE1164-$BD1164+1)</f>
        <v>0</v>
      </c>
      <c r="BH1164" s="469">
        <f t="shared" ca="1" si="742"/>
        <v>1</v>
      </c>
      <c r="BI1164" t="str">
        <f t="shared" si="724"/>
        <v/>
      </c>
      <c r="BJ1164">
        <v>3</v>
      </c>
      <c r="BN1164" s="468">
        <f t="shared" si="754"/>
        <v>97</v>
      </c>
      <c r="BO1164" s="468">
        <f t="shared" si="755"/>
        <v>3</v>
      </c>
      <c r="BP1164" s="467">
        <f t="shared" ca="1" si="743"/>
        <v>78043</v>
      </c>
      <c r="BQ1164" s="475">
        <f t="shared" ref="BQ1164:BQ1227" ca="1" si="757">IF(BO1163=12,BQ1163+1,BQ1163)</f>
        <v>129</v>
      </c>
      <c r="BR1164" s="475" t="str">
        <f t="shared" si="756"/>
        <v/>
      </c>
      <c r="BS1164" s="471" t="str">
        <f t="shared" si="744"/>
        <v/>
      </c>
      <c r="BT1164" s="472" t="str">
        <f t="shared" si="725"/>
        <v/>
      </c>
      <c r="BU1164" s="472">
        <f t="shared" ca="1" si="745"/>
        <v>0</v>
      </c>
      <c r="BV1164" s="472">
        <f t="shared" ca="1" si="745"/>
        <v>0</v>
      </c>
      <c r="BW1164" s="472"/>
      <c r="BX1164" s="473">
        <f t="shared" ca="1" si="746"/>
        <v>2800381.3756682901</v>
      </c>
      <c r="BY1164" s="473">
        <f t="shared" si="747"/>
        <v>0</v>
      </c>
      <c r="BZ1164" s="473">
        <f t="shared" ca="1" si="729"/>
        <v>206.38418685299999</v>
      </c>
      <c r="CA1164" s="476">
        <f t="shared" ca="1" si="748"/>
        <v>0</v>
      </c>
      <c r="CB1164" s="494">
        <f ca="1">IF(OR($Q1163&lt;&gt;1,OP!$D$5+$BN1164-1&lt;16,$BN1164-1&lt;1),0,ROUND(ROUND(ROUND(((VLOOKUP($BN1164-1,MORE_PV,5,0)/10000)*VLOOKUP($BN1164,MORE_PV,$CB$5,0)),3)*VLOOKUP($BN1164,more1,5,0),0)/$R1163,0))</f>
        <v>0</v>
      </c>
      <c r="CC1164" s="473">
        <f t="shared" ca="1" si="749"/>
        <v>0</v>
      </c>
      <c r="CD1164" s="477"/>
    </row>
    <row r="1165" spans="2:82" ht="16.5" hidden="1">
      <c r="B1165" s="80"/>
      <c r="C1165" s="80"/>
      <c r="D1165" s="80"/>
      <c r="E1165" s="80"/>
      <c r="F1165" s="80"/>
      <c r="G1165" s="80"/>
      <c r="H1165" s="80"/>
      <c r="I1165" s="80"/>
      <c r="J1165" s="192">
        <f t="shared" si="730"/>
        <v>97</v>
      </c>
      <c r="K1165" s="192">
        <f t="shared" si="731"/>
        <v>5</v>
      </c>
      <c r="L1165" s="192" t="str">
        <f t="shared" si="726"/>
        <v/>
      </c>
      <c r="M1165" s="216" t="str">
        <f t="shared" ca="1" si="732"/>
        <v/>
      </c>
      <c r="N1165" s="216"/>
      <c r="O1165" s="216"/>
      <c r="P1165" s="216"/>
      <c r="Q1165" s="456">
        <f t="shared" ca="1" si="733"/>
        <v>1</v>
      </c>
      <c r="R1165" s="450">
        <f t="shared" ca="1" si="734"/>
        <v>12</v>
      </c>
      <c r="S1165" s="191">
        <f t="shared" si="735"/>
        <v>97</v>
      </c>
      <c r="T1165" s="191">
        <f t="shared" si="736"/>
        <v>5</v>
      </c>
      <c r="U1165" s="191">
        <f ca="1">OP!$D$5+$S1165-1</f>
        <v>129</v>
      </c>
      <c r="V1165" s="191" t="str">
        <f t="shared" si="737"/>
        <v/>
      </c>
      <c r="W1165" s="350">
        <f ca="1">IF(Q1165&lt;&gt;1,0,VLOOKUP(OP!$C$55,PVFB,$S1165+2,0))</f>
        <v>0</v>
      </c>
      <c r="X1165" s="473" t="str">
        <f t="shared" ca="1" si="750"/>
        <v/>
      </c>
      <c r="Y1165" s="348">
        <f t="shared" ca="1" si="751"/>
        <v>0</v>
      </c>
      <c r="Z1165" s="348">
        <f t="shared" ca="1" si="752"/>
        <v>8012</v>
      </c>
      <c r="AA1165" s="348">
        <f ca="1">IF(Q1165&lt;&gt;1,0,VLOOKUP(OP!$C$55,PVFB,$S1165+2,0))</f>
        <v>0</v>
      </c>
      <c r="AB1165" s="488" t="str">
        <f ca="1">IF(AND(S1165&lt;OP!$C$24,$U1165&lt;15),0,IF(AND($U1165&lt;15,$T1165=12),ROUND(VLOOKUP($S1165,DOWN16,5,0),3),IF($T1165=12,ROUND(($Z1165/10000)*$AA1165,3)+IF(AND($P$7="購買增額繳清保險",T1165=12,U1165=110),VLOOKUP(S1165,$B$10:$H$121,7,0),0),"")))</f>
        <v/>
      </c>
      <c r="AC1165" s="350" t="str">
        <f ca="1">IF(AND(S1165&lt;OP!$C$24,$U1165&lt;15),0,IF(AND($U1165&lt;16,$T1165=12),VLOOKUP($S1165,DOWN16,4,0),IF($T1165=12,ROUND(VLOOKUP(OP!$C$55,_DIE2,$S1165+1,0)*(Z1165/10000),0)+IF(AND($P$7="購買增額繳清保險",T1165=12,U1165=110),VLOOKUP(S1165,$B$10:$H$121,7,0),0),"")))</f>
        <v/>
      </c>
      <c r="AD1165" s="347"/>
      <c r="AE1165" s="350" t="str">
        <f t="shared" ca="1" si="727"/>
        <v/>
      </c>
      <c r="AF1165" s="351" t="str">
        <f t="shared" ca="1" si="728"/>
        <v/>
      </c>
      <c r="AG1165" s="340"/>
      <c r="AH1165" s="340"/>
      <c r="AI1165" s="340"/>
      <c r="AJ1165" s="340"/>
      <c r="AK1165" s="340"/>
      <c r="AL1165" s="340"/>
      <c r="AM1165" s="340"/>
      <c r="AN1165" s="340"/>
      <c r="AO1165" s="340"/>
      <c r="AP1165" s="340"/>
      <c r="AQ1165" s="340"/>
      <c r="AR1165" s="340"/>
      <c r="AS1165" s="340"/>
      <c r="AT1165" s="340"/>
      <c r="AU1165" s="340"/>
      <c r="AV1165" s="340"/>
      <c r="AY1165" s="340"/>
      <c r="AZ1165" s="465">
        <f t="shared" ca="1" si="738"/>
        <v>7.3698599999999999E-5</v>
      </c>
      <c r="BA1165" s="464">
        <f t="shared" ca="1" si="739"/>
        <v>0</v>
      </c>
      <c r="BB1165" s="465">
        <f t="shared" ca="1" si="739"/>
        <v>7.3698599999999999E-5</v>
      </c>
      <c r="BC1165" s="466">
        <f t="shared" ca="1" si="740"/>
        <v>78072</v>
      </c>
      <c r="BD1165" s="467">
        <f t="shared" ca="1" si="753"/>
        <v>78073</v>
      </c>
      <c r="BE1165" s="467">
        <f t="shared" ca="1" si="741"/>
        <v>78102</v>
      </c>
      <c r="BF1165" s="468">
        <f ca="1">IF(計算!$BC1165&lt;OP!$C$3,0,BD1165-BC1165)</f>
        <v>1</v>
      </c>
      <c r="BG1165" s="468">
        <f ca="1">IF($BE1165&gt;DATE(YEAR($BD$9)+OP!$C$57,MONTH($BD$9),DAY($BD$9)),0,$BE1165-$BD1165+1)</f>
        <v>0</v>
      </c>
      <c r="BH1165" s="469">
        <f t="shared" ca="1" si="742"/>
        <v>1</v>
      </c>
      <c r="BI1165" t="str">
        <f t="shared" si="724"/>
        <v/>
      </c>
      <c r="BJ1165">
        <v>4</v>
      </c>
      <c r="BN1165" s="468">
        <f t="shared" si="754"/>
        <v>97</v>
      </c>
      <c r="BO1165" s="468">
        <f t="shared" si="755"/>
        <v>4</v>
      </c>
      <c r="BP1165" s="467">
        <f t="shared" ca="1" si="743"/>
        <v>78073</v>
      </c>
      <c r="BQ1165" s="475">
        <f t="shared" ca="1" si="757"/>
        <v>129</v>
      </c>
      <c r="BR1165" s="475" t="str">
        <f t="shared" si="756"/>
        <v/>
      </c>
      <c r="BS1165" s="471" t="str">
        <f t="shared" si="744"/>
        <v/>
      </c>
      <c r="BT1165" s="472" t="str">
        <f t="shared" si="725"/>
        <v/>
      </c>
      <c r="BU1165" s="472">
        <f t="shared" ca="1" si="745"/>
        <v>0</v>
      </c>
      <c r="BV1165" s="472">
        <f t="shared" ca="1" si="745"/>
        <v>0</v>
      </c>
      <c r="BW1165" s="472"/>
      <c r="BX1165" s="473">
        <f t="shared" ca="1" si="746"/>
        <v>2800587.75985514</v>
      </c>
      <c r="BY1165" s="473">
        <f t="shared" si="747"/>
        <v>0</v>
      </c>
      <c r="BZ1165" s="473">
        <f t="shared" ca="1" si="729"/>
        <v>206.39939707799999</v>
      </c>
      <c r="CA1165" s="476">
        <f t="shared" ca="1" si="748"/>
        <v>0</v>
      </c>
      <c r="CB1165" s="494">
        <f ca="1">IF(OR($Q1164&lt;&gt;1,OP!$D$5+$BN1165-1&lt;16,$BN1165-1&lt;1),0,ROUND(ROUND(ROUND(((VLOOKUP($BN1165-1,MORE_PV,5,0)/10000)*VLOOKUP($BN1165,MORE_PV,$CB$5,0)),3)*VLOOKUP($BN1165,more1,5,0),0)/$R1164,0))</f>
        <v>0</v>
      </c>
      <c r="CC1165" s="473">
        <f t="shared" ca="1" si="749"/>
        <v>0</v>
      </c>
      <c r="CD1165" s="477"/>
    </row>
    <row r="1166" spans="2:82" ht="16.5" hidden="1">
      <c r="B1166" s="80"/>
      <c r="C1166" s="80"/>
      <c r="D1166" s="80"/>
      <c r="E1166" s="80"/>
      <c r="F1166" s="80"/>
      <c r="G1166" s="80"/>
      <c r="H1166" s="80"/>
      <c r="I1166" s="80"/>
      <c r="J1166" s="192">
        <f t="shared" si="730"/>
        <v>97</v>
      </c>
      <c r="K1166" s="192">
        <f t="shared" si="731"/>
        <v>6</v>
      </c>
      <c r="L1166" s="192" t="str">
        <f t="shared" si="726"/>
        <v/>
      </c>
      <c r="M1166" s="216" t="str">
        <f t="shared" ca="1" si="732"/>
        <v/>
      </c>
      <c r="N1166" s="216"/>
      <c r="O1166" s="216"/>
      <c r="P1166" s="216"/>
      <c r="Q1166" s="456">
        <f t="shared" ca="1" si="733"/>
        <v>1</v>
      </c>
      <c r="R1166" s="450">
        <f t="shared" ca="1" si="734"/>
        <v>12</v>
      </c>
      <c r="S1166" s="191">
        <f t="shared" si="735"/>
        <v>97</v>
      </c>
      <c r="T1166" s="191">
        <f t="shared" si="736"/>
        <v>6</v>
      </c>
      <c r="U1166" s="191">
        <f ca="1">OP!$D$5+$S1166-1</f>
        <v>129</v>
      </c>
      <c r="V1166" s="191" t="str">
        <f t="shared" si="737"/>
        <v/>
      </c>
      <c r="W1166" s="350">
        <f ca="1">IF(Q1166&lt;&gt;1,0,VLOOKUP(OP!$C$55,PVFB,$S1166+2,0))</f>
        <v>0</v>
      </c>
      <c r="X1166" s="473" t="str">
        <f t="shared" ca="1" si="750"/>
        <v/>
      </c>
      <c r="Y1166" s="348">
        <f t="shared" ca="1" si="751"/>
        <v>0</v>
      </c>
      <c r="Z1166" s="348">
        <f t="shared" ca="1" si="752"/>
        <v>8012</v>
      </c>
      <c r="AA1166" s="348">
        <f ca="1">IF(Q1166&lt;&gt;1,0,VLOOKUP(OP!$C$55,PVFB,$S1166+2,0))</f>
        <v>0</v>
      </c>
      <c r="AB1166" s="488" t="str">
        <f ca="1">IF(AND(S1166&lt;OP!$C$24,$U1166&lt;15),0,IF(AND($U1166&lt;15,$T1166=12),ROUND(VLOOKUP($S1166,DOWN16,5,0),3),IF($T1166=12,ROUND(($Z1166/10000)*$AA1166,3)+IF(AND($P$7="購買增額繳清保險",T1166=12,U1166=110),VLOOKUP(S1166,$B$10:$H$121,7,0),0),"")))</f>
        <v/>
      </c>
      <c r="AC1166" s="350" t="str">
        <f ca="1">IF(AND(S1166&lt;OP!$C$24,$U1166&lt;15),0,IF(AND($U1166&lt;16,$T1166=12),VLOOKUP($S1166,DOWN16,4,0),IF($T1166=12,ROUND(VLOOKUP(OP!$C$55,_DIE2,$S1166+1,0)*(Z1166/10000),0)+IF(AND($P$7="購買增額繳清保險",T1166=12,U1166=110),VLOOKUP(S1166,$B$10:$H$121,7,0),0),"")))</f>
        <v/>
      </c>
      <c r="AD1166" s="347"/>
      <c r="AE1166" s="350" t="str">
        <f t="shared" ca="1" si="727"/>
        <v/>
      </c>
      <c r="AF1166" s="351" t="str">
        <f t="shared" ca="1" si="728"/>
        <v/>
      </c>
      <c r="AG1166" s="340"/>
      <c r="AH1166" s="340"/>
      <c r="AI1166" s="340"/>
      <c r="AJ1166" s="340"/>
      <c r="AK1166" s="340"/>
      <c r="AL1166" s="340"/>
      <c r="AM1166" s="340"/>
      <c r="AN1166" s="340"/>
      <c r="AO1166" s="340"/>
      <c r="AP1166" s="340"/>
      <c r="AQ1166" s="340"/>
      <c r="AR1166" s="340"/>
      <c r="AS1166" s="340"/>
      <c r="AT1166" s="340"/>
      <c r="AU1166" s="340"/>
      <c r="AV1166" s="340"/>
      <c r="AY1166" s="340"/>
      <c r="AZ1166" s="465">
        <f t="shared" ca="1" si="738"/>
        <v>7.3698599999999999E-5</v>
      </c>
      <c r="BA1166" s="464">
        <f t="shared" ca="1" si="739"/>
        <v>0</v>
      </c>
      <c r="BB1166" s="465">
        <f t="shared" ca="1" si="739"/>
        <v>7.3698599999999999E-5</v>
      </c>
      <c r="BC1166" s="466">
        <f t="shared" ca="1" si="740"/>
        <v>78103</v>
      </c>
      <c r="BD1166" s="467">
        <f t="shared" ca="1" si="753"/>
        <v>78104</v>
      </c>
      <c r="BE1166" s="467">
        <f t="shared" ca="1" si="741"/>
        <v>78132</v>
      </c>
      <c r="BF1166" s="468">
        <f ca="1">IF(計算!$BC1166&lt;OP!$C$3,0,BD1166-BC1166)</f>
        <v>1</v>
      </c>
      <c r="BG1166" s="468">
        <f ca="1">IF($BE1166&gt;DATE(YEAR($BD$9)+OP!$C$57,MONTH($BD$9),DAY($BD$9)),0,$BE1166-$BD1166+1)</f>
        <v>0</v>
      </c>
      <c r="BH1166" s="469">
        <f t="shared" ca="1" si="742"/>
        <v>1</v>
      </c>
      <c r="BI1166" t="str">
        <f t="shared" si="724"/>
        <v/>
      </c>
      <c r="BJ1166">
        <v>5</v>
      </c>
      <c r="BN1166" s="468">
        <f t="shared" si="754"/>
        <v>97</v>
      </c>
      <c r="BO1166" s="468">
        <f t="shared" si="755"/>
        <v>5</v>
      </c>
      <c r="BP1166" s="467">
        <f t="shared" ca="1" si="743"/>
        <v>78104</v>
      </c>
      <c r="BQ1166" s="475">
        <f t="shared" ca="1" si="757"/>
        <v>129</v>
      </c>
      <c r="BR1166" s="475" t="str">
        <f t="shared" si="756"/>
        <v/>
      </c>
      <c r="BS1166" s="471" t="str">
        <f t="shared" si="744"/>
        <v/>
      </c>
      <c r="BT1166" s="472" t="str">
        <f t="shared" si="725"/>
        <v/>
      </c>
      <c r="BU1166" s="472">
        <f t="shared" ca="1" si="745"/>
        <v>0</v>
      </c>
      <c r="BV1166" s="472">
        <f t="shared" ca="1" si="745"/>
        <v>0</v>
      </c>
      <c r="BW1166" s="472"/>
      <c r="BX1166" s="473">
        <f t="shared" ca="1" si="746"/>
        <v>2800794.1592522198</v>
      </c>
      <c r="BY1166" s="473">
        <f t="shared" si="747"/>
        <v>0</v>
      </c>
      <c r="BZ1166" s="473">
        <f t="shared" ca="1" si="729"/>
        <v>206.41460842500001</v>
      </c>
      <c r="CA1166" s="476">
        <f t="shared" ca="1" si="748"/>
        <v>0</v>
      </c>
      <c r="CB1166" s="494">
        <f ca="1">IF(OR($Q1165&lt;&gt;1,OP!$D$5+$BN1166-1&lt;16,$BN1166-1&lt;1),0,ROUND(ROUND(ROUND(((VLOOKUP($BN1166-1,MORE_PV,5,0)/10000)*VLOOKUP($BN1166,MORE_PV,$CB$5,0)),3)*VLOOKUP($BN1166,more1,5,0),0)/$R1165,0))</f>
        <v>0</v>
      </c>
      <c r="CC1166" s="473">
        <f t="shared" ca="1" si="749"/>
        <v>0</v>
      </c>
      <c r="CD1166" s="477"/>
    </row>
    <row r="1167" spans="2:82" ht="16.5" hidden="1">
      <c r="B1167" s="80"/>
      <c r="C1167" s="80"/>
      <c r="D1167" s="80"/>
      <c r="E1167" s="80"/>
      <c r="F1167" s="80"/>
      <c r="G1167" s="80"/>
      <c r="H1167" s="80"/>
      <c r="I1167" s="80"/>
      <c r="J1167" s="192">
        <f t="shared" si="730"/>
        <v>97</v>
      </c>
      <c r="K1167" s="192">
        <f t="shared" si="731"/>
        <v>7</v>
      </c>
      <c r="L1167" s="192" t="str">
        <f t="shared" si="726"/>
        <v/>
      </c>
      <c r="M1167" s="216" t="str">
        <f t="shared" ca="1" si="732"/>
        <v/>
      </c>
      <c r="N1167" s="216"/>
      <c r="O1167" s="216"/>
      <c r="P1167" s="216"/>
      <c r="Q1167" s="456">
        <f t="shared" ca="1" si="733"/>
        <v>1</v>
      </c>
      <c r="R1167" s="450">
        <f t="shared" ca="1" si="734"/>
        <v>12</v>
      </c>
      <c r="S1167" s="191">
        <f t="shared" si="735"/>
        <v>97</v>
      </c>
      <c r="T1167" s="191">
        <f t="shared" si="736"/>
        <v>7</v>
      </c>
      <c r="U1167" s="191">
        <f ca="1">OP!$D$5+$S1167-1</f>
        <v>129</v>
      </c>
      <c r="V1167" s="191" t="str">
        <f t="shared" si="737"/>
        <v/>
      </c>
      <c r="W1167" s="350">
        <f ca="1">IF(Q1167&lt;&gt;1,0,VLOOKUP(OP!$C$55,PVFB,$S1167+2,0))</f>
        <v>0</v>
      </c>
      <c r="X1167" s="473" t="str">
        <f t="shared" ca="1" si="750"/>
        <v/>
      </c>
      <c r="Y1167" s="348">
        <f t="shared" ca="1" si="751"/>
        <v>0</v>
      </c>
      <c r="Z1167" s="348">
        <f t="shared" ca="1" si="752"/>
        <v>8012</v>
      </c>
      <c r="AA1167" s="348">
        <f ca="1">IF(Q1167&lt;&gt;1,0,VLOOKUP(OP!$C$55,PVFB,$S1167+2,0))</f>
        <v>0</v>
      </c>
      <c r="AB1167" s="488" t="str">
        <f ca="1">IF(AND(S1167&lt;OP!$C$24,$U1167&lt;15),0,IF(AND($U1167&lt;15,$T1167=12),ROUND(VLOOKUP($S1167,DOWN16,5,0),3),IF($T1167=12,ROUND(($Z1167/10000)*$AA1167,3)+IF(AND($P$7="購買增額繳清保險",T1167=12,U1167=110),VLOOKUP(S1167,$B$10:$H$121,7,0),0),"")))</f>
        <v/>
      </c>
      <c r="AC1167" s="350" t="str">
        <f ca="1">IF(AND(S1167&lt;OP!$C$24,$U1167&lt;15),0,IF(AND($U1167&lt;16,$T1167=12),VLOOKUP($S1167,DOWN16,4,0),IF($T1167=12,ROUND(VLOOKUP(OP!$C$55,_DIE2,$S1167+1,0)*(Z1167/10000),0)+IF(AND($P$7="購買增額繳清保險",T1167=12,U1167=110),VLOOKUP(S1167,$B$10:$H$121,7,0),0),"")))</f>
        <v/>
      </c>
      <c r="AD1167" s="347"/>
      <c r="AE1167" s="350" t="str">
        <f t="shared" ca="1" si="727"/>
        <v/>
      </c>
      <c r="AF1167" s="351" t="str">
        <f t="shared" ca="1" si="728"/>
        <v/>
      </c>
      <c r="AG1167" s="340"/>
      <c r="AH1167" s="340"/>
      <c r="AI1167" s="340"/>
      <c r="AJ1167" s="340"/>
      <c r="AK1167" s="340"/>
      <c r="AL1167" s="340"/>
      <c r="AM1167" s="340"/>
      <c r="AN1167" s="340"/>
      <c r="AO1167" s="340"/>
      <c r="AP1167" s="340"/>
      <c r="AQ1167" s="340"/>
      <c r="AR1167" s="340"/>
      <c r="AS1167" s="340"/>
      <c r="AT1167" s="340"/>
      <c r="AU1167" s="340"/>
      <c r="AV1167" s="340"/>
      <c r="AY1167" s="340"/>
      <c r="AZ1167" s="465">
        <f t="shared" ca="1" si="738"/>
        <v>7.3698599999999999E-5</v>
      </c>
      <c r="BA1167" s="464">
        <f t="shared" ca="1" si="739"/>
        <v>0</v>
      </c>
      <c r="BB1167" s="465">
        <f t="shared" ca="1" si="739"/>
        <v>7.3698599999999999E-5</v>
      </c>
      <c r="BC1167" s="466">
        <f t="shared" ca="1" si="740"/>
        <v>78133</v>
      </c>
      <c r="BD1167" s="467">
        <f t="shared" ca="1" si="753"/>
        <v>78134</v>
      </c>
      <c r="BE1167" s="467">
        <f t="shared" ca="1" si="741"/>
        <v>78163</v>
      </c>
      <c r="BF1167" s="468">
        <f ca="1">IF(計算!$BC1167&lt;OP!$C$3,0,BD1167-BC1167)</f>
        <v>1</v>
      </c>
      <c r="BG1167" s="468">
        <f ca="1">IF($BE1167&gt;DATE(YEAR($BD$9)+OP!$C$57,MONTH($BD$9),DAY($BD$9)),0,$BE1167-$BD1167+1)</f>
        <v>0</v>
      </c>
      <c r="BH1167" s="469">
        <f t="shared" ca="1" si="742"/>
        <v>1</v>
      </c>
      <c r="BI1167" t="str">
        <f t="shared" si="724"/>
        <v/>
      </c>
      <c r="BJ1167">
        <v>6</v>
      </c>
      <c r="BN1167" s="468">
        <f t="shared" si="754"/>
        <v>97</v>
      </c>
      <c r="BO1167" s="468">
        <f t="shared" si="755"/>
        <v>6</v>
      </c>
      <c r="BP1167" s="467">
        <f t="shared" ca="1" si="743"/>
        <v>78134</v>
      </c>
      <c r="BQ1167" s="475">
        <f t="shared" ca="1" si="757"/>
        <v>129</v>
      </c>
      <c r="BR1167" s="475" t="str">
        <f t="shared" si="756"/>
        <v/>
      </c>
      <c r="BS1167" s="471" t="str">
        <f t="shared" si="744"/>
        <v/>
      </c>
      <c r="BT1167" s="472" t="str">
        <f t="shared" si="725"/>
        <v/>
      </c>
      <c r="BU1167" s="472">
        <f t="shared" ca="1" si="745"/>
        <v>0</v>
      </c>
      <c r="BV1167" s="472">
        <f t="shared" ca="1" si="745"/>
        <v>0</v>
      </c>
      <c r="BW1167" s="472"/>
      <c r="BX1167" s="473">
        <f t="shared" ca="1" si="746"/>
        <v>2801000.5738606402</v>
      </c>
      <c r="BY1167" s="473">
        <f t="shared" si="747"/>
        <v>0</v>
      </c>
      <c r="BZ1167" s="473">
        <f t="shared" ca="1" si="729"/>
        <v>206.429820893</v>
      </c>
      <c r="CA1167" s="476">
        <f t="shared" ca="1" si="748"/>
        <v>0</v>
      </c>
      <c r="CB1167" s="494">
        <f ca="1">IF(OR($Q1166&lt;&gt;1,OP!$D$5+$BN1167-1&lt;16,$BN1167-1&lt;1),0,ROUND(ROUND(ROUND(((VLOOKUP($BN1167-1,MORE_PV,5,0)/10000)*VLOOKUP($BN1167,MORE_PV,$CB$5,0)),3)*VLOOKUP($BN1167,more1,5,0),0)/$R1166,0))</f>
        <v>0</v>
      </c>
      <c r="CC1167" s="473">
        <f t="shared" ca="1" si="749"/>
        <v>0</v>
      </c>
      <c r="CD1167" s="477"/>
    </row>
    <row r="1168" spans="2:82" ht="16.5" hidden="1">
      <c r="B1168" s="80"/>
      <c r="C1168" s="80"/>
      <c r="D1168" s="80"/>
      <c r="E1168" s="80"/>
      <c r="F1168" s="80"/>
      <c r="G1168" s="80"/>
      <c r="H1168" s="80"/>
      <c r="I1168" s="80"/>
      <c r="J1168" s="192">
        <f t="shared" si="730"/>
        <v>97</v>
      </c>
      <c r="K1168" s="192">
        <f t="shared" si="731"/>
        <v>8</v>
      </c>
      <c r="L1168" s="192" t="str">
        <f t="shared" si="726"/>
        <v/>
      </c>
      <c r="M1168" s="216" t="str">
        <f t="shared" ca="1" si="732"/>
        <v/>
      </c>
      <c r="N1168" s="216"/>
      <c r="O1168" s="216"/>
      <c r="P1168" s="216"/>
      <c r="Q1168" s="456">
        <f t="shared" ca="1" si="733"/>
        <v>1</v>
      </c>
      <c r="R1168" s="450">
        <f t="shared" ca="1" si="734"/>
        <v>12</v>
      </c>
      <c r="S1168" s="191">
        <f t="shared" si="735"/>
        <v>97</v>
      </c>
      <c r="T1168" s="191">
        <f t="shared" si="736"/>
        <v>8</v>
      </c>
      <c r="U1168" s="191">
        <f ca="1">OP!$D$5+$S1168-1</f>
        <v>129</v>
      </c>
      <c r="V1168" s="191" t="str">
        <f t="shared" si="737"/>
        <v/>
      </c>
      <c r="W1168" s="350">
        <f ca="1">IF(Q1168&lt;&gt;1,0,VLOOKUP(OP!$C$55,PVFB,$S1168+2,0))</f>
        <v>0</v>
      </c>
      <c r="X1168" s="473" t="str">
        <f t="shared" ca="1" si="750"/>
        <v/>
      </c>
      <c r="Y1168" s="348">
        <f t="shared" ca="1" si="751"/>
        <v>0</v>
      </c>
      <c r="Z1168" s="348">
        <f t="shared" ca="1" si="752"/>
        <v>8012</v>
      </c>
      <c r="AA1168" s="348">
        <f ca="1">IF(Q1168&lt;&gt;1,0,VLOOKUP(OP!$C$55,PVFB,$S1168+2,0))</f>
        <v>0</v>
      </c>
      <c r="AB1168" s="488" t="str">
        <f ca="1">IF(AND(S1168&lt;OP!$C$24,$U1168&lt;15),0,IF(AND($U1168&lt;15,$T1168=12),ROUND(VLOOKUP($S1168,DOWN16,5,0),3),IF($T1168=12,ROUND(($Z1168/10000)*$AA1168,3)+IF(AND($P$7="購買增額繳清保險",T1168=12,U1168=110),VLOOKUP(S1168,$B$10:$H$121,7,0),0),"")))</f>
        <v/>
      </c>
      <c r="AC1168" s="350" t="str">
        <f ca="1">IF(AND(S1168&lt;OP!$C$24,$U1168&lt;15),0,IF(AND($U1168&lt;16,$T1168=12),VLOOKUP($S1168,DOWN16,4,0),IF($T1168=12,ROUND(VLOOKUP(OP!$C$55,_DIE2,$S1168+1,0)*(Z1168/10000),0)+IF(AND($P$7="購買增額繳清保險",T1168=12,U1168=110),VLOOKUP(S1168,$B$10:$H$121,7,0),0),"")))</f>
        <v/>
      </c>
      <c r="AD1168" s="347"/>
      <c r="AE1168" s="350" t="str">
        <f t="shared" ca="1" si="727"/>
        <v/>
      </c>
      <c r="AF1168" s="351" t="str">
        <f t="shared" ca="1" si="728"/>
        <v/>
      </c>
      <c r="AG1168" s="340"/>
      <c r="AH1168" s="340"/>
      <c r="AI1168" s="340"/>
      <c r="AJ1168" s="340"/>
      <c r="AK1168" s="340"/>
      <c r="AL1168" s="340"/>
      <c r="AM1168" s="340"/>
      <c r="AN1168" s="340"/>
      <c r="AO1168" s="340"/>
      <c r="AP1168" s="340"/>
      <c r="AQ1168" s="340"/>
      <c r="AR1168" s="340"/>
      <c r="AS1168" s="340"/>
      <c r="AT1168" s="340"/>
      <c r="AU1168" s="340"/>
      <c r="AV1168" s="340"/>
      <c r="AY1168" s="340"/>
      <c r="AZ1168" s="465">
        <f t="shared" ca="1" si="738"/>
        <v>7.3698599999999999E-5</v>
      </c>
      <c r="BA1168" s="464">
        <f t="shared" ca="1" si="739"/>
        <v>0</v>
      </c>
      <c r="BB1168" s="465">
        <f t="shared" ca="1" si="739"/>
        <v>7.3698599999999999E-5</v>
      </c>
      <c r="BC1168" s="466">
        <f t="shared" ca="1" si="740"/>
        <v>78164</v>
      </c>
      <c r="BD1168" s="467">
        <f t="shared" ca="1" si="753"/>
        <v>78165</v>
      </c>
      <c r="BE1168" s="467">
        <f t="shared" ca="1" si="741"/>
        <v>78194</v>
      </c>
      <c r="BF1168" s="468">
        <f ca="1">IF(計算!$BC1168&lt;OP!$C$3,0,BD1168-BC1168)</f>
        <v>1</v>
      </c>
      <c r="BG1168" s="468">
        <f ca="1">IF($BE1168&gt;DATE(YEAR($BD$9)+OP!$C$57,MONTH($BD$9),DAY($BD$9)),0,$BE1168-$BD1168+1)</f>
        <v>0</v>
      </c>
      <c r="BH1168" s="469">
        <f t="shared" ca="1" si="742"/>
        <v>1</v>
      </c>
      <c r="BI1168" t="str">
        <f t="shared" si="724"/>
        <v/>
      </c>
      <c r="BJ1168">
        <v>7</v>
      </c>
      <c r="BN1168" s="468">
        <f t="shared" si="754"/>
        <v>97</v>
      </c>
      <c r="BO1168" s="468">
        <f t="shared" si="755"/>
        <v>7</v>
      </c>
      <c r="BP1168" s="467">
        <f t="shared" ca="1" si="743"/>
        <v>78165</v>
      </c>
      <c r="BQ1168" s="475">
        <f t="shared" ca="1" si="757"/>
        <v>129</v>
      </c>
      <c r="BR1168" s="475" t="str">
        <f t="shared" si="756"/>
        <v/>
      </c>
      <c r="BS1168" s="471" t="str">
        <f t="shared" si="744"/>
        <v/>
      </c>
      <c r="BT1168" s="472" t="str">
        <f t="shared" si="725"/>
        <v/>
      </c>
      <c r="BU1168" s="472">
        <f t="shared" ca="1" si="745"/>
        <v>0</v>
      </c>
      <c r="BV1168" s="472">
        <f t="shared" ca="1" si="745"/>
        <v>0</v>
      </c>
      <c r="BW1168" s="472"/>
      <c r="BX1168" s="473">
        <f t="shared" ca="1" si="746"/>
        <v>2801207.0036815298</v>
      </c>
      <c r="BY1168" s="473">
        <f t="shared" si="747"/>
        <v>0</v>
      </c>
      <c r="BZ1168" s="473">
        <f t="shared" ca="1" si="729"/>
        <v>206.44503448200001</v>
      </c>
      <c r="CA1168" s="476">
        <f t="shared" ca="1" si="748"/>
        <v>0</v>
      </c>
      <c r="CB1168" s="494">
        <f ca="1">IF(OR($Q1167&lt;&gt;1,OP!$D$5+$BN1168-1&lt;16,$BN1168-1&lt;1),0,ROUND(ROUND(ROUND(((VLOOKUP($BN1168-1,MORE_PV,5,0)/10000)*VLOOKUP($BN1168,MORE_PV,$CB$5,0)),3)*VLOOKUP($BN1168,more1,5,0),0)/$R1167,0))</f>
        <v>0</v>
      </c>
      <c r="CC1168" s="473">
        <f t="shared" ca="1" si="749"/>
        <v>0</v>
      </c>
      <c r="CD1168" s="477"/>
    </row>
    <row r="1169" spans="2:82" ht="16.5" hidden="1">
      <c r="B1169" s="80"/>
      <c r="C1169" s="80"/>
      <c r="D1169" s="80"/>
      <c r="E1169" s="80"/>
      <c r="F1169" s="80"/>
      <c r="G1169" s="80"/>
      <c r="H1169" s="80"/>
      <c r="I1169" s="80"/>
      <c r="J1169" s="192">
        <f t="shared" si="730"/>
        <v>97</v>
      </c>
      <c r="K1169" s="192">
        <f t="shared" si="731"/>
        <v>9</v>
      </c>
      <c r="L1169" s="192" t="str">
        <f t="shared" si="726"/>
        <v/>
      </c>
      <c r="M1169" s="216" t="str">
        <f t="shared" ca="1" si="732"/>
        <v/>
      </c>
      <c r="N1169" s="216"/>
      <c r="O1169" s="216"/>
      <c r="P1169" s="216"/>
      <c r="Q1169" s="456">
        <f t="shared" ca="1" si="733"/>
        <v>1</v>
      </c>
      <c r="R1169" s="450">
        <f t="shared" ca="1" si="734"/>
        <v>12</v>
      </c>
      <c r="S1169" s="191">
        <f t="shared" si="735"/>
        <v>97</v>
      </c>
      <c r="T1169" s="191">
        <f t="shared" si="736"/>
        <v>9</v>
      </c>
      <c r="U1169" s="191">
        <f ca="1">OP!$D$5+$S1169-1</f>
        <v>129</v>
      </c>
      <c r="V1169" s="191" t="str">
        <f t="shared" si="737"/>
        <v/>
      </c>
      <c r="W1169" s="350">
        <f ca="1">IF(Q1169&lt;&gt;1,0,VLOOKUP(OP!$C$55,PVFB,$S1169+2,0))</f>
        <v>0</v>
      </c>
      <c r="X1169" s="473" t="str">
        <f t="shared" ca="1" si="750"/>
        <v/>
      </c>
      <c r="Y1169" s="348">
        <f t="shared" ca="1" si="751"/>
        <v>0</v>
      </c>
      <c r="Z1169" s="348">
        <f t="shared" ca="1" si="752"/>
        <v>8012</v>
      </c>
      <c r="AA1169" s="348">
        <f ca="1">IF(Q1169&lt;&gt;1,0,VLOOKUP(OP!$C$55,PVFB,$S1169+2,0))</f>
        <v>0</v>
      </c>
      <c r="AB1169" s="488" t="str">
        <f ca="1">IF(AND(S1169&lt;OP!$C$24,$U1169&lt;15),0,IF(AND($U1169&lt;15,$T1169=12),ROUND(VLOOKUP($S1169,DOWN16,5,0),3),IF($T1169=12,ROUND(($Z1169/10000)*$AA1169,3)+IF(AND($P$7="購買增額繳清保險",T1169=12,U1169=110),VLOOKUP(S1169,$B$10:$H$121,7,0),0),"")))</f>
        <v/>
      </c>
      <c r="AC1169" s="350" t="str">
        <f ca="1">IF(AND(S1169&lt;OP!$C$24,$U1169&lt;15),0,IF(AND($U1169&lt;16,$T1169=12),VLOOKUP($S1169,DOWN16,4,0),IF($T1169=12,ROUND(VLOOKUP(OP!$C$55,_DIE2,$S1169+1,0)*(Z1169/10000),0)+IF(AND($P$7="購買增額繳清保險",T1169=12,U1169=110),VLOOKUP(S1169,$B$10:$H$121,7,0),0),"")))</f>
        <v/>
      </c>
      <c r="AD1169" s="347"/>
      <c r="AE1169" s="350" t="str">
        <f t="shared" ca="1" si="727"/>
        <v/>
      </c>
      <c r="AF1169" s="351" t="str">
        <f t="shared" ca="1" si="728"/>
        <v/>
      </c>
      <c r="AG1169" s="340"/>
      <c r="AH1169" s="340"/>
      <c r="AI1169" s="340"/>
      <c r="AJ1169" s="340"/>
      <c r="AK1169" s="340"/>
      <c r="AL1169" s="340"/>
      <c r="AM1169" s="340"/>
      <c r="AN1169" s="340"/>
      <c r="AO1169" s="340"/>
      <c r="AP1169" s="340"/>
      <c r="AQ1169" s="340"/>
      <c r="AR1169" s="340"/>
      <c r="AS1169" s="340"/>
      <c r="AT1169" s="340"/>
      <c r="AU1169" s="340"/>
      <c r="AV1169" s="340"/>
      <c r="AY1169" s="340"/>
      <c r="AZ1169" s="465">
        <f t="shared" ca="1" si="738"/>
        <v>7.3698599999999999E-5</v>
      </c>
      <c r="BA1169" s="464">
        <f t="shared" ca="1" si="739"/>
        <v>0</v>
      </c>
      <c r="BB1169" s="465">
        <f t="shared" ca="1" si="739"/>
        <v>7.3698599999999999E-5</v>
      </c>
      <c r="BC1169" s="466">
        <f t="shared" ca="1" si="740"/>
        <v>78195</v>
      </c>
      <c r="BD1169" s="467">
        <f t="shared" ca="1" si="753"/>
        <v>78196</v>
      </c>
      <c r="BE1169" s="467">
        <f t="shared" ca="1" si="741"/>
        <v>78222</v>
      </c>
      <c r="BF1169" s="468">
        <f ca="1">IF(計算!$BC1169&lt;OP!$C$3,0,BD1169-BC1169)</f>
        <v>1</v>
      </c>
      <c r="BG1169" s="468">
        <f ca="1">IF($BE1169&gt;DATE(YEAR($BD$9)+OP!$C$57,MONTH($BD$9),DAY($BD$9)),0,$BE1169-$BD1169+1)</f>
        <v>0</v>
      </c>
      <c r="BH1169" s="469">
        <f t="shared" ca="1" si="742"/>
        <v>1</v>
      </c>
      <c r="BI1169" t="str">
        <f t="shared" si="724"/>
        <v/>
      </c>
      <c r="BJ1169">
        <v>8</v>
      </c>
      <c r="BN1169" s="468">
        <f t="shared" si="754"/>
        <v>97</v>
      </c>
      <c r="BO1169" s="468">
        <f t="shared" si="755"/>
        <v>8</v>
      </c>
      <c r="BP1169" s="467">
        <f t="shared" ca="1" si="743"/>
        <v>78196</v>
      </c>
      <c r="BQ1169" s="475">
        <f t="shared" ca="1" si="757"/>
        <v>129</v>
      </c>
      <c r="BR1169" s="475" t="str">
        <f t="shared" si="756"/>
        <v/>
      </c>
      <c r="BS1169" s="471" t="str">
        <f t="shared" si="744"/>
        <v/>
      </c>
      <c r="BT1169" s="472" t="str">
        <f t="shared" si="725"/>
        <v/>
      </c>
      <c r="BU1169" s="472">
        <f t="shared" ca="1" si="745"/>
        <v>0</v>
      </c>
      <c r="BV1169" s="472">
        <f t="shared" ca="1" si="745"/>
        <v>0</v>
      </c>
      <c r="BW1169" s="472"/>
      <c r="BX1169" s="473">
        <f t="shared" ca="1" si="746"/>
        <v>2801413.44871601</v>
      </c>
      <c r="BY1169" s="473">
        <f t="shared" si="747"/>
        <v>0</v>
      </c>
      <c r="BZ1169" s="473">
        <f t="shared" ca="1" si="729"/>
        <v>206.46024919199999</v>
      </c>
      <c r="CA1169" s="476">
        <f t="shared" ca="1" si="748"/>
        <v>0</v>
      </c>
      <c r="CB1169" s="494">
        <f ca="1">IF(OR($Q1168&lt;&gt;1,OP!$D$5+$BN1169-1&lt;16,$BN1169-1&lt;1),0,ROUND(ROUND(ROUND(((VLOOKUP($BN1169-1,MORE_PV,5,0)/10000)*VLOOKUP($BN1169,MORE_PV,$CB$5,0)),3)*VLOOKUP($BN1169,more1,5,0),0)/$R1168,0))</f>
        <v>0</v>
      </c>
      <c r="CC1169" s="473">
        <f t="shared" ca="1" si="749"/>
        <v>0</v>
      </c>
      <c r="CD1169" s="477"/>
    </row>
    <row r="1170" spans="2:82" ht="16.5" hidden="1">
      <c r="B1170" s="80"/>
      <c r="C1170" s="80"/>
      <c r="D1170" s="80"/>
      <c r="E1170" s="80"/>
      <c r="F1170" s="80"/>
      <c r="G1170" s="80"/>
      <c r="H1170" s="80"/>
      <c r="I1170" s="80"/>
      <c r="J1170" s="192">
        <f t="shared" si="730"/>
        <v>97</v>
      </c>
      <c r="K1170" s="192">
        <f t="shared" si="731"/>
        <v>10</v>
      </c>
      <c r="L1170" s="192" t="str">
        <f t="shared" si="726"/>
        <v/>
      </c>
      <c r="M1170" s="216" t="str">
        <f t="shared" ca="1" si="732"/>
        <v/>
      </c>
      <c r="N1170" s="216"/>
      <c r="O1170" s="216"/>
      <c r="P1170" s="216"/>
      <c r="Q1170" s="456">
        <f t="shared" ca="1" si="733"/>
        <v>1</v>
      </c>
      <c r="R1170" s="450">
        <f t="shared" ca="1" si="734"/>
        <v>12</v>
      </c>
      <c r="S1170" s="191">
        <f t="shared" si="735"/>
        <v>97</v>
      </c>
      <c r="T1170" s="191">
        <f t="shared" si="736"/>
        <v>10</v>
      </c>
      <c r="U1170" s="191">
        <f ca="1">OP!$D$5+$S1170-1</f>
        <v>129</v>
      </c>
      <c r="V1170" s="191" t="str">
        <f t="shared" si="737"/>
        <v/>
      </c>
      <c r="W1170" s="350">
        <f ca="1">IF(Q1170&lt;&gt;1,0,VLOOKUP(OP!$C$55,PVFB,$S1170+2,0))</f>
        <v>0</v>
      </c>
      <c r="X1170" s="473" t="str">
        <f t="shared" ca="1" si="750"/>
        <v/>
      </c>
      <c r="Y1170" s="348">
        <f t="shared" ca="1" si="751"/>
        <v>0</v>
      </c>
      <c r="Z1170" s="348">
        <f t="shared" ca="1" si="752"/>
        <v>8012</v>
      </c>
      <c r="AA1170" s="348">
        <f ca="1">IF(Q1170&lt;&gt;1,0,VLOOKUP(OP!$C$55,PVFB,$S1170+2,0))</f>
        <v>0</v>
      </c>
      <c r="AB1170" s="488" t="str">
        <f ca="1">IF(AND(S1170&lt;OP!$C$24,$U1170&lt;15),0,IF(AND($U1170&lt;15,$T1170=12),ROUND(VLOOKUP($S1170,DOWN16,5,0),3),IF($T1170=12,ROUND(($Z1170/10000)*$AA1170,3)+IF(AND($P$7="購買增額繳清保險",T1170=12,U1170=110),VLOOKUP(S1170,$B$10:$H$121,7,0),0),"")))</f>
        <v/>
      </c>
      <c r="AC1170" s="350" t="str">
        <f ca="1">IF(AND(S1170&lt;OP!$C$24,$U1170&lt;15),0,IF(AND($U1170&lt;16,$T1170=12),VLOOKUP($S1170,DOWN16,4,0),IF($T1170=12,ROUND(VLOOKUP(OP!$C$55,_DIE2,$S1170+1,0)*(Z1170/10000),0)+IF(AND($P$7="購買增額繳清保險",T1170=12,U1170=110),VLOOKUP(S1170,$B$10:$H$121,7,0),0),"")))</f>
        <v/>
      </c>
      <c r="AD1170" s="347"/>
      <c r="AE1170" s="350" t="str">
        <f t="shared" ca="1" si="727"/>
        <v/>
      </c>
      <c r="AF1170" s="351" t="str">
        <f t="shared" ca="1" si="728"/>
        <v/>
      </c>
      <c r="AG1170" s="340"/>
      <c r="AH1170" s="340"/>
      <c r="AI1170" s="340"/>
      <c r="AJ1170" s="340"/>
      <c r="AK1170" s="340"/>
      <c r="AL1170" s="340"/>
      <c r="AM1170" s="340"/>
      <c r="AN1170" s="340"/>
      <c r="AO1170" s="340"/>
      <c r="AP1170" s="340"/>
      <c r="AQ1170" s="340"/>
      <c r="AR1170" s="340"/>
      <c r="AS1170" s="340"/>
      <c r="AT1170" s="340"/>
      <c r="AU1170" s="340"/>
      <c r="AV1170" s="340"/>
      <c r="AY1170" s="340"/>
      <c r="AZ1170" s="465">
        <f t="shared" ca="1" si="738"/>
        <v>7.3698599999999999E-5</v>
      </c>
      <c r="BA1170" s="464">
        <f t="shared" ca="1" si="739"/>
        <v>0</v>
      </c>
      <c r="BB1170" s="465">
        <f t="shared" ca="1" si="739"/>
        <v>7.3698599999999999E-5</v>
      </c>
      <c r="BC1170" s="466">
        <f t="shared" ca="1" si="740"/>
        <v>78223</v>
      </c>
      <c r="BD1170" s="467">
        <f t="shared" ca="1" si="753"/>
        <v>78224</v>
      </c>
      <c r="BE1170" s="467">
        <f t="shared" ca="1" si="741"/>
        <v>78253</v>
      </c>
      <c r="BF1170" s="468">
        <f ca="1">IF(計算!$BC1170&lt;OP!$C$3,0,BD1170-BC1170)</f>
        <v>1</v>
      </c>
      <c r="BG1170" s="468">
        <f ca="1">IF($BE1170&gt;DATE(YEAR($BD$9)+OP!$C$57,MONTH($BD$9),DAY($BD$9)),0,$BE1170-$BD1170+1)</f>
        <v>0</v>
      </c>
      <c r="BH1170" s="469">
        <f t="shared" ca="1" si="742"/>
        <v>1</v>
      </c>
      <c r="BI1170" t="str">
        <f t="shared" si="724"/>
        <v/>
      </c>
      <c r="BJ1170">
        <v>9</v>
      </c>
      <c r="BN1170" s="468">
        <f t="shared" si="754"/>
        <v>97</v>
      </c>
      <c r="BO1170" s="468">
        <f t="shared" si="755"/>
        <v>9</v>
      </c>
      <c r="BP1170" s="467">
        <f t="shared" ca="1" si="743"/>
        <v>78224</v>
      </c>
      <c r="BQ1170" s="475">
        <f t="shared" ca="1" si="757"/>
        <v>129</v>
      </c>
      <c r="BR1170" s="475" t="str">
        <f t="shared" si="756"/>
        <v/>
      </c>
      <c r="BS1170" s="471" t="str">
        <f t="shared" si="744"/>
        <v/>
      </c>
      <c r="BT1170" s="472" t="str">
        <f t="shared" si="725"/>
        <v/>
      </c>
      <c r="BU1170" s="472">
        <f t="shared" ca="1" si="745"/>
        <v>0</v>
      </c>
      <c r="BV1170" s="472">
        <f t="shared" ca="1" si="745"/>
        <v>0</v>
      </c>
      <c r="BW1170" s="472"/>
      <c r="BX1170" s="473">
        <f t="shared" ca="1" si="746"/>
        <v>2801619.9089652002</v>
      </c>
      <c r="BY1170" s="473">
        <f t="shared" si="747"/>
        <v>0</v>
      </c>
      <c r="BZ1170" s="473">
        <f t="shared" ca="1" si="729"/>
        <v>206.475465023</v>
      </c>
      <c r="CA1170" s="476">
        <f t="shared" ca="1" si="748"/>
        <v>0</v>
      </c>
      <c r="CB1170" s="494">
        <f ca="1">IF(OR($Q1169&lt;&gt;1,OP!$D$5+$BN1170-1&lt;16,$BN1170-1&lt;1),0,ROUND(ROUND(ROUND(((VLOOKUP($BN1170-1,MORE_PV,5,0)/10000)*VLOOKUP($BN1170,MORE_PV,$CB$5,0)),3)*VLOOKUP($BN1170,more1,5,0),0)/$R1169,0))</f>
        <v>0</v>
      </c>
      <c r="CC1170" s="473">
        <f t="shared" ca="1" si="749"/>
        <v>0</v>
      </c>
      <c r="CD1170" s="477"/>
    </row>
    <row r="1171" spans="2:82" ht="16.5" hidden="1">
      <c r="B1171" s="80"/>
      <c r="C1171" s="80"/>
      <c r="D1171" s="80"/>
      <c r="E1171" s="80"/>
      <c r="F1171" s="80"/>
      <c r="G1171" s="80"/>
      <c r="H1171" s="80"/>
      <c r="I1171" s="80"/>
      <c r="J1171" s="192">
        <f t="shared" si="730"/>
        <v>97</v>
      </c>
      <c r="K1171" s="192">
        <f t="shared" si="731"/>
        <v>11</v>
      </c>
      <c r="L1171" s="192" t="str">
        <f t="shared" si="726"/>
        <v/>
      </c>
      <c r="M1171" s="216" t="str">
        <f t="shared" ca="1" si="732"/>
        <v/>
      </c>
      <c r="N1171" s="216"/>
      <c r="O1171" s="216"/>
      <c r="P1171" s="216"/>
      <c r="Q1171" s="456">
        <f t="shared" ca="1" si="733"/>
        <v>1</v>
      </c>
      <c r="R1171" s="450">
        <f t="shared" ca="1" si="734"/>
        <v>12</v>
      </c>
      <c r="S1171" s="191">
        <f t="shared" si="735"/>
        <v>97</v>
      </c>
      <c r="T1171" s="191">
        <f t="shared" si="736"/>
        <v>11</v>
      </c>
      <c r="U1171" s="191">
        <f ca="1">OP!$D$5+$S1171-1</f>
        <v>129</v>
      </c>
      <c r="V1171" s="191" t="str">
        <f t="shared" si="737"/>
        <v/>
      </c>
      <c r="W1171" s="350">
        <f ca="1">IF(Q1171&lt;&gt;1,0,VLOOKUP(OP!$C$55,PVFB,$S1171+2,0))</f>
        <v>0</v>
      </c>
      <c r="X1171" s="473" t="str">
        <f t="shared" ca="1" si="750"/>
        <v/>
      </c>
      <c r="Y1171" s="348">
        <f t="shared" ca="1" si="751"/>
        <v>0</v>
      </c>
      <c r="Z1171" s="348">
        <f t="shared" ca="1" si="752"/>
        <v>8012</v>
      </c>
      <c r="AA1171" s="348">
        <f ca="1">IF(Q1171&lt;&gt;1,0,VLOOKUP(OP!$C$55,PVFB,$S1171+2,0))</f>
        <v>0</v>
      </c>
      <c r="AB1171" s="488" t="str">
        <f ca="1">IF(AND(S1171&lt;OP!$C$24,$U1171&lt;15),0,IF(AND($U1171&lt;15,$T1171=12),ROUND(VLOOKUP($S1171,DOWN16,5,0),3),IF($T1171=12,ROUND(($Z1171/10000)*$AA1171,3)+IF(AND($P$7="購買增額繳清保險",T1171=12,U1171=110),VLOOKUP(S1171,$B$10:$H$121,7,0),0),"")))</f>
        <v/>
      </c>
      <c r="AC1171" s="350" t="str">
        <f ca="1">IF(AND(S1171&lt;OP!$C$24,$U1171&lt;15),0,IF(AND($U1171&lt;16,$T1171=12),VLOOKUP($S1171,DOWN16,4,0),IF($T1171=12,ROUND(VLOOKUP(OP!$C$55,_DIE2,$S1171+1,0)*(Z1171/10000),0)+IF(AND($P$7="購買增額繳清保險",T1171=12,U1171=110),VLOOKUP(S1171,$B$10:$H$121,7,0),0),"")))</f>
        <v/>
      </c>
      <c r="AD1171" s="347"/>
      <c r="AE1171" s="350" t="str">
        <f t="shared" ca="1" si="727"/>
        <v/>
      </c>
      <c r="AF1171" s="351" t="str">
        <f t="shared" ca="1" si="728"/>
        <v/>
      </c>
      <c r="AG1171" s="340"/>
      <c r="AH1171" s="340"/>
      <c r="AI1171" s="340"/>
      <c r="AJ1171" s="340"/>
      <c r="AK1171" s="340"/>
      <c r="AL1171" s="340"/>
      <c r="AM1171" s="340"/>
      <c r="AN1171" s="340"/>
      <c r="AO1171" s="340"/>
      <c r="AP1171" s="340"/>
      <c r="AQ1171" s="340"/>
      <c r="AR1171" s="340"/>
      <c r="AS1171" s="340"/>
      <c r="AT1171" s="340"/>
      <c r="AU1171" s="340"/>
      <c r="AV1171" s="340"/>
      <c r="AY1171" s="340"/>
      <c r="AZ1171" s="465">
        <f t="shared" ca="1" si="738"/>
        <v>7.3698599999999999E-5</v>
      </c>
      <c r="BA1171" s="464">
        <f t="shared" ca="1" si="739"/>
        <v>0</v>
      </c>
      <c r="BB1171" s="465">
        <f t="shared" ca="1" si="739"/>
        <v>7.3698599999999999E-5</v>
      </c>
      <c r="BC1171" s="466">
        <f t="shared" ca="1" si="740"/>
        <v>78254</v>
      </c>
      <c r="BD1171" s="467">
        <f t="shared" ca="1" si="753"/>
        <v>78255</v>
      </c>
      <c r="BE1171" s="467">
        <f t="shared" ca="1" si="741"/>
        <v>78283</v>
      </c>
      <c r="BF1171" s="468">
        <f ca="1">IF(計算!$BC1171&lt;OP!$C$3,0,BD1171-BC1171)</f>
        <v>1</v>
      </c>
      <c r="BG1171" s="468">
        <f ca="1">IF($BE1171&gt;DATE(YEAR($BD$9)+OP!$C$57,MONTH($BD$9),DAY($BD$9)),0,$BE1171-$BD1171+1)</f>
        <v>0</v>
      </c>
      <c r="BH1171" s="469">
        <f t="shared" ca="1" si="742"/>
        <v>1</v>
      </c>
      <c r="BI1171" t="str">
        <f t="shared" si="724"/>
        <v/>
      </c>
      <c r="BJ1171">
        <v>10</v>
      </c>
      <c r="BN1171" s="468">
        <f t="shared" si="754"/>
        <v>97</v>
      </c>
      <c r="BO1171" s="468">
        <f t="shared" si="755"/>
        <v>10</v>
      </c>
      <c r="BP1171" s="467">
        <f t="shared" ca="1" si="743"/>
        <v>78255</v>
      </c>
      <c r="BQ1171" s="475">
        <f t="shared" ca="1" si="757"/>
        <v>129</v>
      </c>
      <c r="BR1171" s="475" t="str">
        <f t="shared" si="756"/>
        <v/>
      </c>
      <c r="BS1171" s="471" t="str">
        <f t="shared" si="744"/>
        <v/>
      </c>
      <c r="BT1171" s="472" t="str">
        <f t="shared" si="725"/>
        <v/>
      </c>
      <c r="BU1171" s="472">
        <f t="shared" ca="1" si="745"/>
        <v>0</v>
      </c>
      <c r="BV1171" s="472">
        <f t="shared" ca="1" si="745"/>
        <v>0</v>
      </c>
      <c r="BW1171" s="472"/>
      <c r="BX1171" s="473">
        <f t="shared" ca="1" si="746"/>
        <v>2801826.3844302199</v>
      </c>
      <c r="BY1171" s="473">
        <f t="shared" si="747"/>
        <v>0</v>
      </c>
      <c r="BZ1171" s="473">
        <f t="shared" ca="1" si="729"/>
        <v>206.49068197599999</v>
      </c>
      <c r="CA1171" s="476">
        <f t="shared" ca="1" si="748"/>
        <v>0</v>
      </c>
      <c r="CB1171" s="494">
        <f ca="1">IF(OR($Q1170&lt;&gt;1,OP!$D$5+$BN1171-1&lt;16,$BN1171-1&lt;1),0,ROUND(ROUND(ROUND(((VLOOKUP($BN1171-1,MORE_PV,5,0)/10000)*VLOOKUP($BN1171,MORE_PV,$CB$5,0)),3)*VLOOKUP($BN1171,more1,5,0),0)/$R1170,0))</f>
        <v>0</v>
      </c>
      <c r="CC1171" s="473">
        <f t="shared" ca="1" si="749"/>
        <v>0</v>
      </c>
      <c r="CD1171" s="477"/>
    </row>
    <row r="1172" spans="2:82" ht="16.5" hidden="1">
      <c r="B1172" s="80"/>
      <c r="C1172" s="80"/>
      <c r="D1172" s="80"/>
      <c r="E1172" s="80"/>
      <c r="F1172" s="80"/>
      <c r="G1172" s="80"/>
      <c r="H1172" s="80"/>
      <c r="I1172" s="80"/>
      <c r="J1172" s="192">
        <f t="shared" si="730"/>
        <v>97</v>
      </c>
      <c r="K1172" s="192">
        <f t="shared" si="731"/>
        <v>12</v>
      </c>
      <c r="L1172" s="192">
        <f t="shared" si="726"/>
        <v>97</v>
      </c>
      <c r="M1172" s="216">
        <f t="shared" ca="1" si="732"/>
        <v>2802445</v>
      </c>
      <c r="N1172" s="216"/>
      <c r="O1172" s="216"/>
      <c r="P1172" s="216"/>
      <c r="Q1172" s="456">
        <f t="shared" ca="1" si="733"/>
        <v>1</v>
      </c>
      <c r="R1172" s="450">
        <f t="shared" ca="1" si="734"/>
        <v>12</v>
      </c>
      <c r="S1172" s="191">
        <f t="shared" si="735"/>
        <v>97</v>
      </c>
      <c r="T1172" s="191">
        <f t="shared" si="736"/>
        <v>12</v>
      </c>
      <c r="U1172" s="191">
        <f ca="1">OP!$D$5+$S1172-1</f>
        <v>129</v>
      </c>
      <c r="V1172" s="191">
        <f t="shared" si="737"/>
        <v>97</v>
      </c>
      <c r="W1172" s="350">
        <f ca="1">IF(Q1172&lt;&gt;1,0,VLOOKUP(OP!$C$55,PVFB,$S1172+2,0))</f>
        <v>0</v>
      </c>
      <c r="X1172" s="473">
        <f t="shared" ca="1" si="750"/>
        <v>0</v>
      </c>
      <c r="Y1172" s="348">
        <f t="shared" ca="1" si="751"/>
        <v>0</v>
      </c>
      <c r="Z1172" s="348">
        <f t="shared" ca="1" si="752"/>
        <v>8012</v>
      </c>
      <c r="AA1172" s="348">
        <f ca="1">IF(Q1172&lt;&gt;1,0,VLOOKUP(OP!$C$55,PVFB,$S1172+2,0))</f>
        <v>0</v>
      </c>
      <c r="AB1172" s="488">
        <f ca="1">IF(AND(S1172&lt;OP!$C$24,$U1172&lt;15),0,IF(AND($U1172&lt;15,$T1172=12),ROUND(VLOOKUP($S1172,DOWN16,5,0),3),IF($T1172=12,ROUND(($Z1172/10000)*$AA1172,3)+IF(AND($P$7="購買增額繳清保險",T1172=12,U1172=110),VLOOKUP(S1172,$B$10:$H$121,7,0),0),"")))</f>
        <v>0</v>
      </c>
      <c r="AC1172" s="350">
        <f ca="1">IF(AND(S1172&lt;OP!$C$24,$U1172&lt;15),0,IF(AND($U1172&lt;16,$T1172=12),VLOOKUP($S1172,DOWN16,4,0),IF($T1172=12,ROUND(VLOOKUP(OP!$C$55,_DIE2,$S1172+1,0)*(Z1172/10000),0)+IF(AND($P$7="購買增額繳清保險",T1172=12,U1172=110),VLOOKUP(S1172,$B$10:$H$121,7,0),0),"")))</f>
        <v>0</v>
      </c>
      <c r="AD1172" s="347"/>
      <c r="AE1172" s="350" t="str">
        <f t="shared" ca="1" si="727"/>
        <v/>
      </c>
      <c r="AF1172" s="351" t="str">
        <f t="shared" ca="1" si="728"/>
        <v/>
      </c>
      <c r="AG1172" s="340"/>
      <c r="AH1172" s="340"/>
      <c r="AI1172" s="340"/>
      <c r="AJ1172" s="340"/>
      <c r="AK1172" s="340"/>
      <c r="AL1172" s="340"/>
      <c r="AM1172" s="340"/>
      <c r="AN1172" s="340"/>
      <c r="AO1172" s="340"/>
      <c r="AP1172" s="340"/>
      <c r="AQ1172" s="340"/>
      <c r="AR1172" s="340"/>
      <c r="AS1172" s="340"/>
      <c r="AT1172" s="340"/>
      <c r="AU1172" s="340"/>
      <c r="AV1172" s="340"/>
      <c r="AY1172" s="340"/>
      <c r="AZ1172" s="465">
        <f t="shared" ca="1" si="738"/>
        <v>7.3698599999999999E-5</v>
      </c>
      <c r="BA1172" s="464">
        <f t="shared" ca="1" si="739"/>
        <v>0</v>
      </c>
      <c r="BB1172" s="465">
        <f t="shared" ca="1" si="739"/>
        <v>7.3698599999999999E-5</v>
      </c>
      <c r="BC1172" s="466">
        <f t="shared" ca="1" si="740"/>
        <v>78284</v>
      </c>
      <c r="BD1172" s="467">
        <f t="shared" ca="1" si="753"/>
        <v>78285</v>
      </c>
      <c r="BE1172" s="467">
        <f t="shared" ca="1" si="741"/>
        <v>78314</v>
      </c>
      <c r="BF1172" s="468">
        <f ca="1">IF(計算!$BC1172&lt;OP!$C$3,0,BD1172-BC1172)</f>
        <v>1</v>
      </c>
      <c r="BG1172" s="468">
        <f ca="1">IF($BE1172&gt;DATE(YEAR($BD$9)+OP!$C$57,MONTH($BD$9),DAY($BD$9)),0,$BE1172-$BD1172+1)</f>
        <v>0</v>
      </c>
      <c r="BH1172" s="469">
        <f t="shared" ca="1" si="742"/>
        <v>1</v>
      </c>
      <c r="BI1172" t="str">
        <f t="shared" si="724"/>
        <v/>
      </c>
      <c r="BJ1172">
        <v>11</v>
      </c>
      <c r="BN1172" s="468">
        <f t="shared" si="754"/>
        <v>97</v>
      </c>
      <c r="BO1172" s="468">
        <f t="shared" si="755"/>
        <v>11</v>
      </c>
      <c r="BP1172" s="467">
        <f t="shared" ca="1" si="743"/>
        <v>78285</v>
      </c>
      <c r="BQ1172" s="475">
        <f t="shared" ca="1" si="757"/>
        <v>129</v>
      </c>
      <c r="BR1172" s="475" t="str">
        <f t="shared" si="756"/>
        <v/>
      </c>
      <c r="BS1172" s="471" t="str">
        <f t="shared" si="744"/>
        <v/>
      </c>
      <c r="BT1172" s="472" t="str">
        <f t="shared" si="725"/>
        <v/>
      </c>
      <c r="BU1172" s="472">
        <f t="shared" ca="1" si="745"/>
        <v>0</v>
      </c>
      <c r="BV1172" s="472">
        <f t="shared" ca="1" si="745"/>
        <v>0</v>
      </c>
      <c r="BW1172" s="472"/>
      <c r="BX1172" s="473">
        <f t="shared" ca="1" si="746"/>
        <v>2802032.8751122002</v>
      </c>
      <c r="BY1172" s="473">
        <f t="shared" si="747"/>
        <v>0</v>
      </c>
      <c r="BZ1172" s="473">
        <f t="shared" ca="1" si="729"/>
        <v>206.50590005000001</v>
      </c>
      <c r="CA1172" s="476">
        <f t="shared" ca="1" si="748"/>
        <v>0</v>
      </c>
      <c r="CB1172" s="494">
        <f ca="1">IF(OR($Q1171&lt;&gt;1,OP!$D$5+$BN1172-1&lt;16,$BN1172-1&lt;1),0,ROUND(ROUND(ROUND(((VLOOKUP($BN1172-1,MORE_PV,5,0)/10000)*VLOOKUP($BN1172,MORE_PV,$CB$5,0)),3)*VLOOKUP($BN1172,more1,5,0),0)/$R1171,0))</f>
        <v>0</v>
      </c>
      <c r="CC1172" s="473">
        <f t="shared" ca="1" si="749"/>
        <v>0</v>
      </c>
      <c r="CD1172" s="477"/>
    </row>
    <row r="1173" spans="2:82" ht="16.5" hidden="1">
      <c r="B1173" s="80"/>
      <c r="C1173" s="80"/>
      <c r="D1173" s="80"/>
      <c r="E1173" s="80"/>
      <c r="F1173" s="80"/>
      <c r="G1173" s="80"/>
      <c r="H1173" s="80"/>
      <c r="I1173" s="80"/>
      <c r="J1173" s="192">
        <f t="shared" si="730"/>
        <v>98</v>
      </c>
      <c r="K1173" s="192">
        <f t="shared" si="731"/>
        <v>1</v>
      </c>
      <c r="L1173" s="192" t="str">
        <f t="shared" si="726"/>
        <v/>
      </c>
      <c r="M1173" s="216" t="str">
        <f t="shared" ca="1" si="732"/>
        <v/>
      </c>
      <c r="N1173" s="216"/>
      <c r="O1173" s="216"/>
      <c r="P1173" s="216"/>
      <c r="Q1173" s="456">
        <f t="shared" ca="1" si="733"/>
        <v>1</v>
      </c>
      <c r="R1173" s="450">
        <f t="shared" ca="1" si="734"/>
        <v>12</v>
      </c>
      <c r="S1173" s="191">
        <f t="shared" si="735"/>
        <v>98</v>
      </c>
      <c r="T1173" s="191">
        <f t="shared" si="736"/>
        <v>1</v>
      </c>
      <c r="U1173" s="191">
        <f ca="1">OP!$D$5+$S1173-1</f>
        <v>130</v>
      </c>
      <c r="V1173" s="191" t="str">
        <f t="shared" si="737"/>
        <v/>
      </c>
      <c r="W1173" s="350">
        <f ca="1">IF(Q1173&lt;&gt;1,0,VLOOKUP(OP!$C$55,PVFB,$S1173+2,0))</f>
        <v>0</v>
      </c>
      <c r="X1173" s="473" t="str">
        <f t="shared" ca="1" si="750"/>
        <v/>
      </c>
      <c r="Y1173" s="348">
        <f t="shared" ca="1" si="751"/>
        <v>0</v>
      </c>
      <c r="Z1173" s="348">
        <f t="shared" ca="1" si="752"/>
        <v>8012</v>
      </c>
      <c r="AA1173" s="348">
        <f ca="1">IF(Q1173&lt;&gt;1,0,VLOOKUP(OP!$C$55,PVFB,$S1173+2,0))</f>
        <v>0</v>
      </c>
      <c r="AB1173" s="488" t="str">
        <f ca="1">IF(AND(S1173&lt;OP!$C$24,$U1173&lt;15),0,IF(AND($U1173&lt;15,$T1173=12),ROUND(VLOOKUP($S1173,DOWN16,5,0),3),IF($T1173=12,ROUND(($Z1173/10000)*$AA1173,3)+IF(AND($P$7="購買增額繳清保險",T1173=12,U1173=110),VLOOKUP(S1173,$B$10:$H$121,7,0),0),"")))</f>
        <v/>
      </c>
      <c r="AC1173" s="350" t="str">
        <f ca="1">IF(AND(S1173&lt;OP!$C$24,$U1173&lt;15),0,IF(AND($U1173&lt;16,$T1173=12),VLOOKUP($S1173,DOWN16,4,0),IF($T1173=12,ROUND(VLOOKUP(OP!$C$55,_DIE2,$S1173+1,0)*(Z1173/10000),0)+IF(AND($P$7="購買增額繳清保險",T1173=12,U1173=110),VLOOKUP(S1173,$B$10:$H$121,7,0),0),"")))</f>
        <v/>
      </c>
      <c r="AD1173" s="347"/>
      <c r="AE1173" s="350" t="str">
        <f t="shared" ca="1" si="727"/>
        <v/>
      </c>
      <c r="AF1173" s="351" t="str">
        <f t="shared" ca="1" si="728"/>
        <v/>
      </c>
      <c r="AG1173" s="340"/>
      <c r="AH1173" s="340"/>
      <c r="AI1173" s="340"/>
      <c r="AJ1173" s="340"/>
      <c r="AK1173" s="340"/>
      <c r="AL1173" s="340"/>
      <c r="AM1173" s="340"/>
      <c r="AN1173" s="340"/>
      <c r="AO1173" s="340"/>
      <c r="AP1173" s="340"/>
      <c r="AQ1173" s="340"/>
      <c r="AR1173" s="340"/>
      <c r="AS1173" s="340"/>
      <c r="AT1173" s="340"/>
      <c r="AU1173" s="340"/>
      <c r="AV1173" s="340"/>
      <c r="AY1173" s="340"/>
      <c r="AZ1173" s="465">
        <f t="shared" ca="1" si="738"/>
        <v>7.3698599999999999E-5</v>
      </c>
      <c r="BA1173" s="464">
        <f t="shared" ca="1" si="739"/>
        <v>0</v>
      </c>
      <c r="BB1173" s="465">
        <f t="shared" ca="1" si="739"/>
        <v>7.3698599999999999E-5</v>
      </c>
      <c r="BC1173" s="466">
        <f t="shared" ca="1" si="740"/>
        <v>78315</v>
      </c>
      <c r="BD1173" s="467">
        <f t="shared" ca="1" si="753"/>
        <v>78316</v>
      </c>
      <c r="BE1173" s="467">
        <f t="shared" ca="1" si="741"/>
        <v>78344</v>
      </c>
      <c r="BF1173" s="468">
        <f ca="1">IF(計算!$BC1173&lt;OP!$C$3,0,BD1173-BC1173)</f>
        <v>1</v>
      </c>
      <c r="BG1173" s="468">
        <f ca="1">IF($BE1173&gt;DATE(YEAR($BD$9)+OP!$C$57,MONTH($BD$9),DAY($BD$9)),0,$BE1173-$BD1173+1)</f>
        <v>0</v>
      </c>
      <c r="BH1173" s="469">
        <f t="shared" ca="1" si="742"/>
        <v>1</v>
      </c>
      <c r="BI1173">
        <f t="shared" ref="BI1173:BI1236" ca="1" si="758">IF(BJ1173=12,BD1173-BD1161,"")</f>
        <v>365</v>
      </c>
      <c r="BJ1173">
        <v>12</v>
      </c>
      <c r="BN1173" s="468">
        <f t="shared" si="754"/>
        <v>97</v>
      </c>
      <c r="BO1173" s="468">
        <f t="shared" si="755"/>
        <v>12</v>
      </c>
      <c r="BP1173" s="467">
        <f t="shared" ca="1" si="743"/>
        <v>78316</v>
      </c>
      <c r="BQ1173" s="475">
        <f t="shared" ca="1" si="757"/>
        <v>129</v>
      </c>
      <c r="BR1173" s="475">
        <f t="shared" si="756"/>
        <v>97</v>
      </c>
      <c r="BS1173" s="471">
        <f t="shared" ca="1" si="744"/>
        <v>0</v>
      </c>
      <c r="BT1173" s="472">
        <f t="shared" ca="1" si="725"/>
        <v>2802445</v>
      </c>
      <c r="BU1173" s="472">
        <f t="shared" ca="1" si="745"/>
        <v>0</v>
      </c>
      <c r="BV1173" s="472">
        <f t="shared" ca="1" si="745"/>
        <v>0</v>
      </c>
      <c r="BW1173" s="472">
        <f ca="1">ROUND(SUM(BY1173,BZ1161:BZ1172),0)</f>
        <v>2477</v>
      </c>
      <c r="BX1173" s="473">
        <f t="shared" ca="1" si="746"/>
        <v>2802445.9021315002</v>
      </c>
      <c r="BY1173" s="473">
        <f t="shared" ca="1" si="747"/>
        <v>206.52111924499999</v>
      </c>
      <c r="BZ1173" s="473">
        <f t="shared" ca="1" si="729"/>
        <v>0</v>
      </c>
      <c r="CA1173" s="476">
        <f t="shared" ca="1" si="748"/>
        <v>0</v>
      </c>
      <c r="CB1173" s="494">
        <f ca="1">IF(OR($Q1172&lt;&gt;1,OP!$D$5+$BN1173-1&lt;16,$BN1173-1&lt;1),0,ROUND(ROUND(ROUND(((VLOOKUP($BN1173-1,MORE_PV,5,0)/10000)*VLOOKUP($BN1173,MORE_PV,$CB$5,0)),3)*VLOOKUP($BN1173,more1,5,0),0)/$R1172,0))</f>
        <v>0</v>
      </c>
      <c r="CC1173" s="473">
        <f t="shared" ca="1" si="749"/>
        <v>0</v>
      </c>
      <c r="CD1173" s="477"/>
    </row>
    <row r="1174" spans="2:82" ht="16.5" hidden="1">
      <c r="B1174" s="80"/>
      <c r="C1174" s="80"/>
      <c r="D1174" s="80"/>
      <c r="E1174" s="80"/>
      <c r="F1174" s="80"/>
      <c r="G1174" s="80"/>
      <c r="H1174" s="80"/>
      <c r="I1174" s="80"/>
      <c r="J1174" s="192">
        <f t="shared" si="730"/>
        <v>98</v>
      </c>
      <c r="K1174" s="192">
        <f t="shared" si="731"/>
        <v>2</v>
      </c>
      <c r="L1174" s="192" t="str">
        <f t="shared" si="726"/>
        <v/>
      </c>
      <c r="M1174" s="216" t="str">
        <f t="shared" ca="1" si="732"/>
        <v/>
      </c>
      <c r="N1174" s="216"/>
      <c r="O1174" s="216"/>
      <c r="P1174" s="216"/>
      <c r="Q1174" s="456">
        <f t="shared" ca="1" si="733"/>
        <v>1</v>
      </c>
      <c r="R1174" s="450">
        <f t="shared" ca="1" si="734"/>
        <v>12</v>
      </c>
      <c r="S1174" s="191">
        <f t="shared" si="735"/>
        <v>98</v>
      </c>
      <c r="T1174" s="191">
        <f t="shared" si="736"/>
        <v>2</v>
      </c>
      <c r="U1174" s="191">
        <f ca="1">OP!$D$5+$S1174-1</f>
        <v>130</v>
      </c>
      <c r="V1174" s="191" t="str">
        <f t="shared" si="737"/>
        <v/>
      </c>
      <c r="W1174" s="350">
        <f ca="1">IF(Q1174&lt;&gt;1,0,VLOOKUP(OP!$C$55,PVFB,$S1174+2,0))</f>
        <v>0</v>
      </c>
      <c r="X1174" s="473" t="str">
        <f t="shared" ca="1" si="750"/>
        <v/>
      </c>
      <c r="Y1174" s="348">
        <f t="shared" ca="1" si="751"/>
        <v>0</v>
      </c>
      <c r="Z1174" s="348">
        <f t="shared" ca="1" si="752"/>
        <v>8012</v>
      </c>
      <c r="AA1174" s="348">
        <f ca="1">IF(Q1174&lt;&gt;1,0,VLOOKUP(OP!$C$55,PVFB,$S1174+2,0))</f>
        <v>0</v>
      </c>
      <c r="AB1174" s="488" t="str">
        <f ca="1">IF(AND(S1174&lt;OP!$C$24,$U1174&lt;15),0,IF(AND($U1174&lt;15,$T1174=12),ROUND(VLOOKUP($S1174,DOWN16,5,0),3),IF($T1174=12,ROUND(($Z1174/10000)*$AA1174,3)+IF(AND($P$7="購買增額繳清保險",T1174=12,U1174=110),VLOOKUP(S1174,$B$10:$H$121,7,0),0),"")))</f>
        <v/>
      </c>
      <c r="AC1174" s="350" t="str">
        <f ca="1">IF(AND(S1174&lt;OP!$C$24,$U1174&lt;15),0,IF(AND($U1174&lt;16,$T1174=12),VLOOKUP($S1174,DOWN16,4,0),IF($T1174=12,ROUND(VLOOKUP(OP!$C$55,_DIE2,$S1174+1,0)*(Z1174/10000),0)+IF(AND($P$7="購買增額繳清保險",T1174=12,U1174=110),VLOOKUP(S1174,$B$10:$H$121,7,0),0),"")))</f>
        <v/>
      </c>
      <c r="AD1174" s="347"/>
      <c r="AE1174" s="350" t="str">
        <f t="shared" ca="1" si="727"/>
        <v/>
      </c>
      <c r="AF1174" s="351" t="str">
        <f t="shared" ca="1" si="728"/>
        <v/>
      </c>
      <c r="AG1174" s="340"/>
      <c r="AH1174" s="340"/>
      <c r="AI1174" s="340"/>
      <c r="AJ1174" s="340"/>
      <c r="AK1174" s="340"/>
      <c r="AL1174" s="340"/>
      <c r="AM1174" s="340"/>
      <c r="AN1174" s="340"/>
      <c r="AO1174" s="340"/>
      <c r="AP1174" s="340"/>
      <c r="AQ1174" s="340"/>
      <c r="AR1174" s="340"/>
      <c r="AS1174" s="340"/>
      <c r="AT1174" s="340"/>
      <c r="AU1174" s="340"/>
      <c r="AV1174" s="340"/>
      <c r="AY1174" s="340"/>
      <c r="AZ1174" s="465">
        <f t="shared" ca="1" si="738"/>
        <v>7.3698599999999999E-5</v>
      </c>
      <c r="BA1174" s="464">
        <f t="shared" ca="1" si="739"/>
        <v>0</v>
      </c>
      <c r="BB1174" s="465">
        <f t="shared" ca="1" si="739"/>
        <v>7.3698599999999999E-5</v>
      </c>
      <c r="BC1174" s="466">
        <f t="shared" ca="1" si="740"/>
        <v>78345</v>
      </c>
      <c r="BD1174" s="467">
        <f t="shared" ca="1" si="753"/>
        <v>78346</v>
      </c>
      <c r="BE1174" s="467">
        <f t="shared" ca="1" si="741"/>
        <v>78375</v>
      </c>
      <c r="BF1174" s="468">
        <f ca="1">IF(計算!$BC1174&lt;OP!$C$3,0,BD1174-BC1174)</f>
        <v>1</v>
      </c>
      <c r="BG1174" s="468">
        <f ca="1">IF($BE1174&gt;DATE(YEAR($BD$9)+OP!$C$57,MONTH($BD$9),DAY($BD$9)),0,$BE1174-$BD1174+1)</f>
        <v>0</v>
      </c>
      <c r="BH1174" s="469">
        <f t="shared" ca="1" si="742"/>
        <v>1</v>
      </c>
      <c r="BI1174" t="str">
        <f t="shared" si="758"/>
        <v/>
      </c>
      <c r="BJ1174">
        <v>1</v>
      </c>
      <c r="BN1174" s="468">
        <f t="shared" si="754"/>
        <v>98</v>
      </c>
      <c r="BO1174" s="468">
        <f t="shared" si="755"/>
        <v>1</v>
      </c>
      <c r="BP1174" s="467">
        <f t="shared" ca="1" si="743"/>
        <v>78346</v>
      </c>
      <c r="BQ1174" s="475">
        <f t="shared" ca="1" si="757"/>
        <v>130</v>
      </c>
      <c r="BR1174" s="475" t="str">
        <f t="shared" si="756"/>
        <v/>
      </c>
      <c r="BS1174" s="471" t="str">
        <f t="shared" si="744"/>
        <v/>
      </c>
      <c r="BT1174" s="472" t="str">
        <f t="shared" ref="BT1174:BT1237" si="759">IF(BW1174&lt;&gt;"",IF(BN1174&gt;=$P$4+1,ROUND(BU1174,0)+ROUND(BV1174,0)+ROUND(BW1174,0)+BT1162,0),"")</f>
        <v/>
      </c>
      <c r="BU1174" s="472">
        <f t="shared" ca="1" si="745"/>
        <v>0</v>
      </c>
      <c r="BV1174" s="472">
        <f t="shared" ca="1" si="745"/>
        <v>0</v>
      </c>
      <c r="BW1174" s="472"/>
      <c r="BX1174" s="473">
        <f t="shared" ca="1" si="746"/>
        <v>2802445.9021315002</v>
      </c>
      <c r="BY1174" s="473">
        <f t="shared" si="747"/>
        <v>0</v>
      </c>
      <c r="BZ1174" s="473">
        <f t="shared" ca="1" si="729"/>
        <v>206.53633956300001</v>
      </c>
      <c r="CA1174" s="476">
        <f t="shared" ca="1" si="748"/>
        <v>0</v>
      </c>
      <c r="CB1174" s="494">
        <f ca="1">IF(OR($Q1173&lt;&gt;1,OP!$D$5+$BN1174-1&lt;16,$BN1174-1&lt;1),0,ROUND(ROUND(ROUND(((VLOOKUP($BN1174-1,MORE_PV,5,0)/10000)*VLOOKUP($BN1174,MORE_PV,$CB$5,0)),3)*VLOOKUP($BN1174,more1,5,0),0)/$R1173,0))</f>
        <v>0</v>
      </c>
      <c r="CC1174" s="473">
        <f t="shared" ca="1" si="749"/>
        <v>0</v>
      </c>
      <c r="CD1174" s="477"/>
    </row>
    <row r="1175" spans="2:82" ht="16.5" hidden="1">
      <c r="B1175" s="80"/>
      <c r="C1175" s="80"/>
      <c r="D1175" s="80"/>
      <c r="E1175" s="80"/>
      <c r="F1175" s="80"/>
      <c r="G1175" s="80"/>
      <c r="H1175" s="80"/>
      <c r="I1175" s="80"/>
      <c r="J1175" s="192">
        <f t="shared" si="730"/>
        <v>98</v>
      </c>
      <c r="K1175" s="192">
        <f t="shared" si="731"/>
        <v>3</v>
      </c>
      <c r="L1175" s="192" t="str">
        <f t="shared" si="726"/>
        <v/>
      </c>
      <c r="M1175" s="216" t="str">
        <f t="shared" ca="1" si="732"/>
        <v/>
      </c>
      <c r="N1175" s="216"/>
      <c r="O1175" s="216"/>
      <c r="P1175" s="216"/>
      <c r="Q1175" s="456">
        <f t="shared" ca="1" si="733"/>
        <v>1</v>
      </c>
      <c r="R1175" s="450">
        <f t="shared" ca="1" si="734"/>
        <v>12</v>
      </c>
      <c r="S1175" s="191">
        <f t="shared" si="735"/>
        <v>98</v>
      </c>
      <c r="T1175" s="191">
        <f t="shared" si="736"/>
        <v>3</v>
      </c>
      <c r="U1175" s="191">
        <f ca="1">OP!$D$5+$S1175-1</f>
        <v>130</v>
      </c>
      <c r="V1175" s="191" t="str">
        <f t="shared" si="737"/>
        <v/>
      </c>
      <c r="W1175" s="350">
        <f ca="1">IF(Q1175&lt;&gt;1,0,VLOOKUP(OP!$C$55,PVFB,$S1175+2,0))</f>
        <v>0</v>
      </c>
      <c r="X1175" s="473" t="str">
        <f t="shared" ca="1" si="750"/>
        <v/>
      </c>
      <c r="Y1175" s="348">
        <f t="shared" ca="1" si="751"/>
        <v>0</v>
      </c>
      <c r="Z1175" s="348">
        <f t="shared" ca="1" si="752"/>
        <v>8012</v>
      </c>
      <c r="AA1175" s="348">
        <f ca="1">IF(Q1175&lt;&gt;1,0,VLOOKUP(OP!$C$55,PVFB,$S1175+2,0))</f>
        <v>0</v>
      </c>
      <c r="AB1175" s="488" t="str">
        <f ca="1">IF(AND(S1175&lt;OP!$C$24,$U1175&lt;15),0,IF(AND($U1175&lt;15,$T1175=12),ROUND(VLOOKUP($S1175,DOWN16,5,0),3),IF($T1175=12,ROUND(($Z1175/10000)*$AA1175,3)+IF(AND($P$7="購買增額繳清保險",T1175=12,U1175=110),VLOOKUP(S1175,$B$10:$H$121,7,0),0),"")))</f>
        <v/>
      </c>
      <c r="AC1175" s="350" t="str">
        <f ca="1">IF(AND(S1175&lt;OP!$C$24,$U1175&lt;15),0,IF(AND($U1175&lt;16,$T1175=12),VLOOKUP($S1175,DOWN16,4,0),IF($T1175=12,ROUND(VLOOKUP(OP!$C$55,_DIE2,$S1175+1,0)*(Z1175/10000),0)+IF(AND($P$7="購買增額繳清保險",T1175=12,U1175=110),VLOOKUP(S1175,$B$10:$H$121,7,0),0),"")))</f>
        <v/>
      </c>
      <c r="AD1175" s="347"/>
      <c r="AE1175" s="350" t="str">
        <f t="shared" ca="1" si="727"/>
        <v/>
      </c>
      <c r="AF1175" s="351" t="str">
        <f t="shared" ca="1" si="728"/>
        <v/>
      </c>
      <c r="AG1175" s="340"/>
      <c r="AH1175" s="340"/>
      <c r="AI1175" s="340"/>
      <c r="AJ1175" s="340"/>
      <c r="AK1175" s="340"/>
      <c r="AL1175" s="340"/>
      <c r="AM1175" s="340"/>
      <c r="AN1175" s="340"/>
      <c r="AO1175" s="340"/>
      <c r="AP1175" s="340"/>
      <c r="AQ1175" s="340"/>
      <c r="AR1175" s="340"/>
      <c r="AS1175" s="340"/>
      <c r="AT1175" s="340"/>
      <c r="AU1175" s="340"/>
      <c r="AV1175" s="340"/>
      <c r="AY1175" s="340"/>
      <c r="AZ1175" s="465">
        <f t="shared" ca="1" si="738"/>
        <v>7.3698599999999999E-5</v>
      </c>
      <c r="BA1175" s="464">
        <f t="shared" ca="1" si="739"/>
        <v>0</v>
      </c>
      <c r="BB1175" s="465">
        <f t="shared" ca="1" si="739"/>
        <v>7.3698599999999999E-5</v>
      </c>
      <c r="BC1175" s="466">
        <f t="shared" ca="1" si="740"/>
        <v>78376</v>
      </c>
      <c r="BD1175" s="467">
        <f t="shared" ca="1" si="753"/>
        <v>78377</v>
      </c>
      <c r="BE1175" s="467">
        <f t="shared" ca="1" si="741"/>
        <v>78406</v>
      </c>
      <c r="BF1175" s="468">
        <f ca="1">IF(計算!$BC1175&lt;OP!$C$3,0,BD1175-BC1175)</f>
        <v>1</v>
      </c>
      <c r="BG1175" s="468">
        <f ca="1">IF($BE1175&gt;DATE(YEAR($BD$9)+OP!$C$57,MONTH($BD$9),DAY($BD$9)),0,$BE1175-$BD1175+1)</f>
        <v>0</v>
      </c>
      <c r="BH1175" s="469">
        <f t="shared" ca="1" si="742"/>
        <v>1</v>
      </c>
      <c r="BI1175" t="str">
        <f t="shared" si="758"/>
        <v/>
      </c>
      <c r="BJ1175">
        <v>2</v>
      </c>
      <c r="BN1175" s="468">
        <f t="shared" si="754"/>
        <v>98</v>
      </c>
      <c r="BO1175" s="468">
        <f t="shared" si="755"/>
        <v>2</v>
      </c>
      <c r="BP1175" s="467">
        <f t="shared" ca="1" si="743"/>
        <v>78377</v>
      </c>
      <c r="BQ1175" s="475">
        <f t="shared" ca="1" si="757"/>
        <v>130</v>
      </c>
      <c r="BR1175" s="475" t="str">
        <f t="shared" si="756"/>
        <v/>
      </c>
      <c r="BS1175" s="471" t="str">
        <f t="shared" si="744"/>
        <v/>
      </c>
      <c r="BT1175" s="472" t="str">
        <f t="shared" si="759"/>
        <v/>
      </c>
      <c r="BU1175" s="472">
        <f t="shared" ca="1" si="745"/>
        <v>0</v>
      </c>
      <c r="BV1175" s="472">
        <f t="shared" ca="1" si="745"/>
        <v>0</v>
      </c>
      <c r="BW1175" s="472"/>
      <c r="BX1175" s="473">
        <f t="shared" ca="1" si="746"/>
        <v>2802652.4384710598</v>
      </c>
      <c r="BY1175" s="473">
        <f t="shared" si="747"/>
        <v>0</v>
      </c>
      <c r="BZ1175" s="473">
        <f t="shared" ca="1" si="729"/>
        <v>206.551561002</v>
      </c>
      <c r="CA1175" s="476">
        <f t="shared" ca="1" si="748"/>
        <v>0</v>
      </c>
      <c r="CB1175" s="494">
        <f ca="1">IF(OR($Q1174&lt;&gt;1,OP!$D$5+$BN1175-1&lt;16,$BN1175-1&lt;1),0,ROUND(ROUND(ROUND(((VLOOKUP($BN1175-1,MORE_PV,5,0)/10000)*VLOOKUP($BN1175,MORE_PV,$CB$5,0)),3)*VLOOKUP($BN1175,more1,5,0),0)/$R1174,0))</f>
        <v>0</v>
      </c>
      <c r="CC1175" s="473">
        <f t="shared" ca="1" si="749"/>
        <v>0</v>
      </c>
      <c r="CD1175" s="477"/>
    </row>
    <row r="1176" spans="2:82" ht="16.5" hidden="1">
      <c r="B1176" s="80"/>
      <c r="C1176" s="80"/>
      <c r="D1176" s="80"/>
      <c r="E1176" s="80"/>
      <c r="F1176" s="80"/>
      <c r="G1176" s="80"/>
      <c r="H1176" s="80"/>
      <c r="I1176" s="80"/>
      <c r="J1176" s="192">
        <f t="shared" si="730"/>
        <v>98</v>
      </c>
      <c r="K1176" s="192">
        <f t="shared" si="731"/>
        <v>4</v>
      </c>
      <c r="L1176" s="192" t="str">
        <f t="shared" si="726"/>
        <v/>
      </c>
      <c r="M1176" s="216" t="str">
        <f t="shared" ca="1" si="732"/>
        <v/>
      </c>
      <c r="N1176" s="216"/>
      <c r="O1176" s="216"/>
      <c r="P1176" s="216"/>
      <c r="Q1176" s="456">
        <f t="shared" ca="1" si="733"/>
        <v>1</v>
      </c>
      <c r="R1176" s="450">
        <f t="shared" ca="1" si="734"/>
        <v>12</v>
      </c>
      <c r="S1176" s="191">
        <f t="shared" si="735"/>
        <v>98</v>
      </c>
      <c r="T1176" s="191">
        <f t="shared" si="736"/>
        <v>4</v>
      </c>
      <c r="U1176" s="191">
        <f ca="1">OP!$D$5+$S1176-1</f>
        <v>130</v>
      </c>
      <c r="V1176" s="191" t="str">
        <f t="shared" si="737"/>
        <v/>
      </c>
      <c r="W1176" s="350">
        <f ca="1">IF(Q1176&lt;&gt;1,0,VLOOKUP(OP!$C$55,PVFB,$S1176+2,0))</f>
        <v>0</v>
      </c>
      <c r="X1176" s="473" t="str">
        <f t="shared" ca="1" si="750"/>
        <v/>
      </c>
      <c r="Y1176" s="348">
        <f t="shared" ca="1" si="751"/>
        <v>0</v>
      </c>
      <c r="Z1176" s="348">
        <f t="shared" ca="1" si="752"/>
        <v>8012</v>
      </c>
      <c r="AA1176" s="348">
        <f ca="1">IF(Q1176&lt;&gt;1,0,VLOOKUP(OP!$C$55,PVFB,$S1176+2,0))</f>
        <v>0</v>
      </c>
      <c r="AB1176" s="488" t="str">
        <f ca="1">IF(AND(S1176&lt;OP!$C$24,$U1176&lt;15),0,IF(AND($U1176&lt;15,$T1176=12),ROUND(VLOOKUP($S1176,DOWN16,5,0),3),IF($T1176=12,ROUND(($Z1176/10000)*$AA1176,3)+IF(AND($P$7="購買增額繳清保險",T1176=12,U1176=110),VLOOKUP(S1176,$B$10:$H$121,7,0),0),"")))</f>
        <v/>
      </c>
      <c r="AC1176" s="350" t="str">
        <f ca="1">IF(AND(S1176&lt;OP!$C$24,$U1176&lt;15),0,IF(AND($U1176&lt;16,$T1176=12),VLOOKUP($S1176,DOWN16,4,0),IF($T1176=12,ROUND(VLOOKUP(OP!$C$55,_DIE2,$S1176+1,0)*(Z1176/10000),0)+IF(AND($P$7="購買增額繳清保險",T1176=12,U1176=110),VLOOKUP(S1176,$B$10:$H$121,7,0),0),"")))</f>
        <v/>
      </c>
      <c r="AD1176" s="347"/>
      <c r="AE1176" s="350" t="str">
        <f t="shared" ca="1" si="727"/>
        <v/>
      </c>
      <c r="AF1176" s="351" t="str">
        <f t="shared" ca="1" si="728"/>
        <v/>
      </c>
      <c r="AG1176" s="340"/>
      <c r="AH1176" s="340"/>
      <c r="AI1176" s="340"/>
      <c r="AJ1176" s="340"/>
      <c r="AK1176" s="340"/>
      <c r="AL1176" s="340"/>
      <c r="AM1176" s="340"/>
      <c r="AN1176" s="340"/>
      <c r="AO1176" s="340"/>
      <c r="AP1176" s="340"/>
      <c r="AQ1176" s="340"/>
      <c r="AR1176" s="340"/>
      <c r="AS1176" s="340"/>
      <c r="AT1176" s="340"/>
      <c r="AU1176" s="340"/>
      <c r="AV1176" s="340"/>
      <c r="AY1176" s="340"/>
      <c r="AZ1176" s="465">
        <f t="shared" ca="1" si="738"/>
        <v>7.3698599999999999E-5</v>
      </c>
      <c r="BA1176" s="464">
        <f t="shared" ca="1" si="739"/>
        <v>0</v>
      </c>
      <c r="BB1176" s="465">
        <f t="shared" ca="1" si="739"/>
        <v>7.3698599999999999E-5</v>
      </c>
      <c r="BC1176" s="466">
        <f t="shared" ca="1" si="740"/>
        <v>78407</v>
      </c>
      <c r="BD1176" s="467">
        <f t="shared" ca="1" si="753"/>
        <v>78408</v>
      </c>
      <c r="BE1176" s="467">
        <f t="shared" ca="1" si="741"/>
        <v>78436</v>
      </c>
      <c r="BF1176" s="468">
        <f ca="1">IF(計算!$BC1176&lt;OP!$C$3,0,BD1176-BC1176)</f>
        <v>1</v>
      </c>
      <c r="BG1176" s="468">
        <f ca="1">IF($BE1176&gt;DATE(YEAR($BD$9)+OP!$C$57,MONTH($BD$9),DAY($BD$9)),0,$BE1176-$BD1176+1)</f>
        <v>0</v>
      </c>
      <c r="BH1176" s="469">
        <f t="shared" ca="1" si="742"/>
        <v>1</v>
      </c>
      <c r="BI1176" t="str">
        <f t="shared" si="758"/>
        <v/>
      </c>
      <c r="BJ1176">
        <v>3</v>
      </c>
      <c r="BN1176" s="468">
        <f t="shared" si="754"/>
        <v>98</v>
      </c>
      <c r="BO1176" s="468">
        <f t="shared" si="755"/>
        <v>3</v>
      </c>
      <c r="BP1176" s="467">
        <f t="shared" ca="1" si="743"/>
        <v>78408</v>
      </c>
      <c r="BQ1176" s="475">
        <f t="shared" ca="1" si="757"/>
        <v>130</v>
      </c>
      <c r="BR1176" s="475" t="str">
        <f t="shared" si="756"/>
        <v/>
      </c>
      <c r="BS1176" s="471" t="str">
        <f t="shared" si="744"/>
        <v/>
      </c>
      <c r="BT1176" s="472" t="str">
        <f t="shared" si="759"/>
        <v/>
      </c>
      <c r="BU1176" s="472">
        <f t="shared" ca="1" si="745"/>
        <v>0</v>
      </c>
      <c r="BV1176" s="472">
        <f t="shared" ca="1" si="745"/>
        <v>0</v>
      </c>
      <c r="BW1176" s="472"/>
      <c r="BX1176" s="473">
        <f t="shared" ca="1" si="746"/>
        <v>2802858.9900320601</v>
      </c>
      <c r="BY1176" s="473">
        <f t="shared" si="747"/>
        <v>0</v>
      </c>
      <c r="BZ1176" s="473">
        <f t="shared" ca="1" si="729"/>
        <v>206.566783563</v>
      </c>
      <c r="CA1176" s="476">
        <f t="shared" ca="1" si="748"/>
        <v>0</v>
      </c>
      <c r="CB1176" s="494">
        <f ca="1">IF(OR($Q1175&lt;&gt;1,OP!$D$5+$BN1176-1&lt;16,$BN1176-1&lt;1),0,ROUND(ROUND(ROUND(((VLOOKUP($BN1176-1,MORE_PV,5,0)/10000)*VLOOKUP($BN1176,MORE_PV,$CB$5,0)),3)*VLOOKUP($BN1176,more1,5,0),0)/$R1175,0))</f>
        <v>0</v>
      </c>
      <c r="CC1176" s="473">
        <f t="shared" ca="1" si="749"/>
        <v>0</v>
      </c>
      <c r="CD1176" s="477"/>
    </row>
    <row r="1177" spans="2:82" ht="16.5" hidden="1">
      <c r="B1177" s="80"/>
      <c r="C1177" s="80"/>
      <c r="D1177" s="80"/>
      <c r="E1177" s="80"/>
      <c r="F1177" s="80"/>
      <c r="G1177" s="80"/>
      <c r="H1177" s="80"/>
      <c r="I1177" s="80"/>
      <c r="J1177" s="192">
        <f t="shared" si="730"/>
        <v>98</v>
      </c>
      <c r="K1177" s="192">
        <f t="shared" si="731"/>
        <v>5</v>
      </c>
      <c r="L1177" s="192" t="str">
        <f t="shared" si="726"/>
        <v/>
      </c>
      <c r="M1177" s="216" t="str">
        <f t="shared" ca="1" si="732"/>
        <v/>
      </c>
      <c r="N1177" s="216"/>
      <c r="O1177" s="216"/>
      <c r="P1177" s="216"/>
      <c r="Q1177" s="456">
        <f t="shared" ca="1" si="733"/>
        <v>1</v>
      </c>
      <c r="R1177" s="450">
        <f t="shared" ca="1" si="734"/>
        <v>12</v>
      </c>
      <c r="S1177" s="191">
        <f t="shared" si="735"/>
        <v>98</v>
      </c>
      <c r="T1177" s="191">
        <f t="shared" si="736"/>
        <v>5</v>
      </c>
      <c r="U1177" s="191">
        <f ca="1">OP!$D$5+$S1177-1</f>
        <v>130</v>
      </c>
      <c r="V1177" s="191" t="str">
        <f t="shared" si="737"/>
        <v/>
      </c>
      <c r="W1177" s="350">
        <f ca="1">IF(Q1177&lt;&gt;1,0,VLOOKUP(OP!$C$55,PVFB,$S1177+2,0))</f>
        <v>0</v>
      </c>
      <c r="X1177" s="473" t="str">
        <f t="shared" ca="1" si="750"/>
        <v/>
      </c>
      <c r="Y1177" s="348">
        <f t="shared" ca="1" si="751"/>
        <v>0</v>
      </c>
      <c r="Z1177" s="348">
        <f t="shared" ca="1" si="752"/>
        <v>8012</v>
      </c>
      <c r="AA1177" s="348">
        <f ca="1">IF(Q1177&lt;&gt;1,0,VLOOKUP(OP!$C$55,PVFB,$S1177+2,0))</f>
        <v>0</v>
      </c>
      <c r="AB1177" s="488" t="str">
        <f ca="1">IF(AND(S1177&lt;OP!$C$24,$U1177&lt;15),0,IF(AND($U1177&lt;15,$T1177=12),ROUND(VLOOKUP($S1177,DOWN16,5,0),3),IF($T1177=12,ROUND(($Z1177/10000)*$AA1177,3)+IF(AND($P$7="購買增額繳清保險",T1177=12,U1177=110),VLOOKUP(S1177,$B$10:$H$121,7,0),0),"")))</f>
        <v/>
      </c>
      <c r="AC1177" s="350" t="str">
        <f ca="1">IF(AND(S1177&lt;OP!$C$24,$U1177&lt;15),0,IF(AND($U1177&lt;16,$T1177=12),VLOOKUP($S1177,DOWN16,4,0),IF($T1177=12,ROUND(VLOOKUP(OP!$C$55,_DIE2,$S1177+1,0)*(Z1177/10000),0)+IF(AND($P$7="購買增額繳清保險",T1177=12,U1177=110),VLOOKUP(S1177,$B$10:$H$121,7,0),0),"")))</f>
        <v/>
      </c>
      <c r="AD1177" s="347"/>
      <c r="AE1177" s="350" t="str">
        <f t="shared" ca="1" si="727"/>
        <v/>
      </c>
      <c r="AF1177" s="351" t="str">
        <f t="shared" ca="1" si="728"/>
        <v/>
      </c>
      <c r="AG1177" s="340"/>
      <c r="AH1177" s="340"/>
      <c r="AI1177" s="340"/>
      <c r="AJ1177" s="340"/>
      <c r="AK1177" s="340"/>
      <c r="AL1177" s="340"/>
      <c r="AM1177" s="340"/>
      <c r="AN1177" s="340"/>
      <c r="AO1177" s="340"/>
      <c r="AP1177" s="340"/>
      <c r="AQ1177" s="340"/>
      <c r="AR1177" s="340"/>
      <c r="AS1177" s="340"/>
      <c r="AT1177" s="340"/>
      <c r="AU1177" s="340"/>
      <c r="AV1177" s="340"/>
      <c r="AY1177" s="340"/>
      <c r="AZ1177" s="465">
        <f t="shared" ca="1" si="738"/>
        <v>7.3698599999999999E-5</v>
      </c>
      <c r="BA1177" s="464">
        <f t="shared" ca="1" si="739"/>
        <v>0</v>
      </c>
      <c r="BB1177" s="465">
        <f t="shared" ca="1" si="739"/>
        <v>7.3698599999999999E-5</v>
      </c>
      <c r="BC1177" s="466">
        <f t="shared" ca="1" si="740"/>
        <v>78437</v>
      </c>
      <c r="BD1177" s="467">
        <f t="shared" ca="1" si="753"/>
        <v>78438</v>
      </c>
      <c r="BE1177" s="467">
        <f t="shared" ca="1" si="741"/>
        <v>78467</v>
      </c>
      <c r="BF1177" s="468">
        <f ca="1">IF(計算!$BC1177&lt;OP!$C$3,0,BD1177-BC1177)</f>
        <v>1</v>
      </c>
      <c r="BG1177" s="468">
        <f ca="1">IF($BE1177&gt;DATE(YEAR($BD$9)+OP!$C$57,MONTH($BD$9),DAY($BD$9)),0,$BE1177-$BD1177+1)</f>
        <v>0</v>
      </c>
      <c r="BH1177" s="469">
        <f t="shared" ca="1" si="742"/>
        <v>1</v>
      </c>
      <c r="BI1177" t="str">
        <f t="shared" si="758"/>
        <v/>
      </c>
      <c r="BJ1177">
        <v>4</v>
      </c>
      <c r="BN1177" s="468">
        <f t="shared" si="754"/>
        <v>98</v>
      </c>
      <c r="BO1177" s="468">
        <f t="shared" si="755"/>
        <v>4</v>
      </c>
      <c r="BP1177" s="467">
        <f t="shared" ca="1" si="743"/>
        <v>78438</v>
      </c>
      <c r="BQ1177" s="475">
        <f t="shared" ca="1" si="757"/>
        <v>130</v>
      </c>
      <c r="BR1177" s="475" t="str">
        <f t="shared" si="756"/>
        <v/>
      </c>
      <c r="BS1177" s="471" t="str">
        <f t="shared" si="744"/>
        <v/>
      </c>
      <c r="BT1177" s="472" t="str">
        <f t="shared" si="759"/>
        <v/>
      </c>
      <c r="BU1177" s="472">
        <f t="shared" ca="1" si="745"/>
        <v>0</v>
      </c>
      <c r="BV1177" s="472">
        <f t="shared" ca="1" si="745"/>
        <v>0</v>
      </c>
      <c r="BW1177" s="472"/>
      <c r="BX1177" s="473">
        <f t="shared" ca="1" si="746"/>
        <v>2803065.55681562</v>
      </c>
      <c r="BY1177" s="473">
        <f t="shared" si="747"/>
        <v>0</v>
      </c>
      <c r="BZ1177" s="473">
        <f t="shared" ca="1" si="729"/>
        <v>206.58200724599999</v>
      </c>
      <c r="CA1177" s="476">
        <f t="shared" ca="1" si="748"/>
        <v>0</v>
      </c>
      <c r="CB1177" s="494">
        <f ca="1">IF(OR($Q1176&lt;&gt;1,OP!$D$5+$BN1177-1&lt;16,$BN1177-1&lt;1),0,ROUND(ROUND(ROUND(((VLOOKUP($BN1177-1,MORE_PV,5,0)/10000)*VLOOKUP($BN1177,MORE_PV,$CB$5,0)),3)*VLOOKUP($BN1177,more1,5,0),0)/$R1176,0))</f>
        <v>0</v>
      </c>
      <c r="CC1177" s="473">
        <f t="shared" ca="1" si="749"/>
        <v>0</v>
      </c>
      <c r="CD1177" s="477"/>
    </row>
    <row r="1178" spans="2:82" ht="16.5" hidden="1">
      <c r="B1178" s="80"/>
      <c r="C1178" s="80"/>
      <c r="D1178" s="80"/>
      <c r="E1178" s="80"/>
      <c r="F1178" s="80"/>
      <c r="G1178" s="80"/>
      <c r="H1178" s="80"/>
      <c r="I1178" s="80"/>
      <c r="J1178" s="192">
        <f t="shared" si="730"/>
        <v>98</v>
      </c>
      <c r="K1178" s="192">
        <f t="shared" si="731"/>
        <v>6</v>
      </c>
      <c r="L1178" s="192" t="str">
        <f t="shared" si="726"/>
        <v/>
      </c>
      <c r="M1178" s="216" t="str">
        <f t="shared" ca="1" si="732"/>
        <v/>
      </c>
      <c r="N1178" s="216"/>
      <c r="O1178" s="216"/>
      <c r="P1178" s="216"/>
      <c r="Q1178" s="456">
        <f t="shared" ca="1" si="733"/>
        <v>1</v>
      </c>
      <c r="R1178" s="450">
        <f t="shared" ca="1" si="734"/>
        <v>12</v>
      </c>
      <c r="S1178" s="191">
        <f t="shared" si="735"/>
        <v>98</v>
      </c>
      <c r="T1178" s="191">
        <f t="shared" si="736"/>
        <v>6</v>
      </c>
      <c r="U1178" s="191">
        <f ca="1">OP!$D$5+$S1178-1</f>
        <v>130</v>
      </c>
      <c r="V1178" s="191" t="str">
        <f t="shared" si="737"/>
        <v/>
      </c>
      <c r="W1178" s="350">
        <f ca="1">IF(Q1178&lt;&gt;1,0,VLOOKUP(OP!$C$55,PVFB,$S1178+2,0))</f>
        <v>0</v>
      </c>
      <c r="X1178" s="473" t="str">
        <f t="shared" ca="1" si="750"/>
        <v/>
      </c>
      <c r="Y1178" s="348">
        <f t="shared" ca="1" si="751"/>
        <v>0</v>
      </c>
      <c r="Z1178" s="348">
        <f t="shared" ca="1" si="752"/>
        <v>8012</v>
      </c>
      <c r="AA1178" s="348">
        <f ca="1">IF(Q1178&lt;&gt;1,0,VLOOKUP(OP!$C$55,PVFB,$S1178+2,0))</f>
        <v>0</v>
      </c>
      <c r="AB1178" s="488" t="str">
        <f ca="1">IF(AND(S1178&lt;OP!$C$24,$U1178&lt;15),0,IF(AND($U1178&lt;15,$T1178=12),ROUND(VLOOKUP($S1178,DOWN16,5,0),3),IF($T1178=12,ROUND(($Z1178/10000)*$AA1178,3)+IF(AND($P$7="購買增額繳清保險",T1178=12,U1178=110),VLOOKUP(S1178,$B$10:$H$121,7,0),0),"")))</f>
        <v/>
      </c>
      <c r="AC1178" s="350" t="str">
        <f ca="1">IF(AND(S1178&lt;OP!$C$24,$U1178&lt;15),0,IF(AND($U1178&lt;16,$T1178=12),VLOOKUP($S1178,DOWN16,4,0),IF($T1178=12,ROUND(VLOOKUP(OP!$C$55,_DIE2,$S1178+1,0)*(Z1178/10000),0)+IF(AND($P$7="購買增額繳清保險",T1178=12,U1178=110),VLOOKUP(S1178,$B$10:$H$121,7,0),0),"")))</f>
        <v/>
      </c>
      <c r="AD1178" s="347"/>
      <c r="AE1178" s="350" t="str">
        <f t="shared" ca="1" si="727"/>
        <v/>
      </c>
      <c r="AF1178" s="351" t="str">
        <f t="shared" ca="1" si="728"/>
        <v/>
      </c>
      <c r="AG1178" s="340"/>
      <c r="AH1178" s="340"/>
      <c r="AI1178" s="340"/>
      <c r="AJ1178" s="340"/>
      <c r="AK1178" s="340"/>
      <c r="AL1178" s="340"/>
      <c r="AM1178" s="340"/>
      <c r="AN1178" s="340"/>
      <c r="AO1178" s="340"/>
      <c r="AP1178" s="340"/>
      <c r="AQ1178" s="340"/>
      <c r="AR1178" s="340"/>
      <c r="AS1178" s="340"/>
      <c r="AT1178" s="340"/>
      <c r="AU1178" s="340"/>
      <c r="AV1178" s="340"/>
      <c r="AY1178" s="340"/>
      <c r="AZ1178" s="465">
        <f t="shared" ca="1" si="738"/>
        <v>7.3698599999999999E-5</v>
      </c>
      <c r="BA1178" s="464">
        <f t="shared" ca="1" si="739"/>
        <v>0</v>
      </c>
      <c r="BB1178" s="465">
        <f t="shared" ca="1" si="739"/>
        <v>7.3698599999999999E-5</v>
      </c>
      <c r="BC1178" s="466">
        <f t="shared" ca="1" si="740"/>
        <v>78468</v>
      </c>
      <c r="BD1178" s="467">
        <f t="shared" ca="1" si="753"/>
        <v>78469</v>
      </c>
      <c r="BE1178" s="467">
        <f t="shared" ca="1" si="741"/>
        <v>78497</v>
      </c>
      <c r="BF1178" s="468">
        <f ca="1">IF(計算!$BC1178&lt;OP!$C$3,0,BD1178-BC1178)</f>
        <v>1</v>
      </c>
      <c r="BG1178" s="468">
        <f ca="1">IF($BE1178&gt;DATE(YEAR($BD$9)+OP!$C$57,MONTH($BD$9),DAY($BD$9)),0,$BE1178-$BD1178+1)</f>
        <v>0</v>
      </c>
      <c r="BH1178" s="469">
        <f t="shared" ca="1" si="742"/>
        <v>1</v>
      </c>
      <c r="BI1178" t="str">
        <f t="shared" si="758"/>
        <v/>
      </c>
      <c r="BJ1178">
        <v>5</v>
      </c>
      <c r="BN1178" s="468">
        <f t="shared" si="754"/>
        <v>98</v>
      </c>
      <c r="BO1178" s="468">
        <f t="shared" si="755"/>
        <v>5</v>
      </c>
      <c r="BP1178" s="467">
        <f t="shared" ca="1" si="743"/>
        <v>78469</v>
      </c>
      <c r="BQ1178" s="475">
        <f t="shared" ca="1" si="757"/>
        <v>130</v>
      </c>
      <c r="BR1178" s="475" t="str">
        <f t="shared" si="756"/>
        <v/>
      </c>
      <c r="BS1178" s="471" t="str">
        <f t="shared" si="744"/>
        <v/>
      </c>
      <c r="BT1178" s="472" t="str">
        <f t="shared" si="759"/>
        <v/>
      </c>
      <c r="BU1178" s="472">
        <f t="shared" ca="1" si="745"/>
        <v>0</v>
      </c>
      <c r="BV1178" s="472">
        <f t="shared" ca="1" si="745"/>
        <v>0</v>
      </c>
      <c r="BW1178" s="472"/>
      <c r="BX1178" s="473">
        <f t="shared" ca="1" si="746"/>
        <v>2803272.1388228699</v>
      </c>
      <c r="BY1178" s="473">
        <f t="shared" si="747"/>
        <v>0</v>
      </c>
      <c r="BZ1178" s="473">
        <f t="shared" ca="1" si="729"/>
        <v>206.59723205</v>
      </c>
      <c r="CA1178" s="476">
        <f t="shared" ca="1" si="748"/>
        <v>0</v>
      </c>
      <c r="CB1178" s="494">
        <f ca="1">IF(OR($Q1177&lt;&gt;1,OP!$D$5+$BN1178-1&lt;16,$BN1178-1&lt;1),0,ROUND(ROUND(ROUND(((VLOOKUP($BN1178-1,MORE_PV,5,0)/10000)*VLOOKUP($BN1178,MORE_PV,$CB$5,0)),3)*VLOOKUP($BN1178,more1,5,0),0)/$R1177,0))</f>
        <v>0</v>
      </c>
      <c r="CC1178" s="473">
        <f t="shared" ca="1" si="749"/>
        <v>0</v>
      </c>
      <c r="CD1178" s="477"/>
    </row>
    <row r="1179" spans="2:82" ht="16.5" hidden="1">
      <c r="B1179" s="80"/>
      <c r="C1179" s="80"/>
      <c r="D1179" s="80"/>
      <c r="E1179" s="80"/>
      <c r="F1179" s="80"/>
      <c r="G1179" s="80"/>
      <c r="H1179" s="80"/>
      <c r="I1179" s="80"/>
      <c r="J1179" s="192">
        <f t="shared" si="730"/>
        <v>98</v>
      </c>
      <c r="K1179" s="192">
        <f t="shared" si="731"/>
        <v>7</v>
      </c>
      <c r="L1179" s="192" t="str">
        <f t="shared" si="726"/>
        <v/>
      </c>
      <c r="M1179" s="216" t="str">
        <f t="shared" ca="1" si="732"/>
        <v/>
      </c>
      <c r="N1179" s="216"/>
      <c r="O1179" s="216"/>
      <c r="P1179" s="216"/>
      <c r="Q1179" s="456">
        <f t="shared" ca="1" si="733"/>
        <v>1</v>
      </c>
      <c r="R1179" s="450">
        <f t="shared" ca="1" si="734"/>
        <v>12</v>
      </c>
      <c r="S1179" s="191">
        <f t="shared" si="735"/>
        <v>98</v>
      </c>
      <c r="T1179" s="191">
        <f t="shared" si="736"/>
        <v>7</v>
      </c>
      <c r="U1179" s="191">
        <f ca="1">OP!$D$5+$S1179-1</f>
        <v>130</v>
      </c>
      <c r="V1179" s="191" t="str">
        <f t="shared" si="737"/>
        <v/>
      </c>
      <c r="W1179" s="350">
        <f ca="1">IF(Q1179&lt;&gt;1,0,VLOOKUP(OP!$C$55,PVFB,$S1179+2,0))</f>
        <v>0</v>
      </c>
      <c r="X1179" s="473" t="str">
        <f t="shared" ca="1" si="750"/>
        <v/>
      </c>
      <c r="Y1179" s="348">
        <f t="shared" ca="1" si="751"/>
        <v>0</v>
      </c>
      <c r="Z1179" s="348">
        <f t="shared" ca="1" si="752"/>
        <v>8012</v>
      </c>
      <c r="AA1179" s="348">
        <f ca="1">IF(Q1179&lt;&gt;1,0,VLOOKUP(OP!$C$55,PVFB,$S1179+2,0))</f>
        <v>0</v>
      </c>
      <c r="AB1179" s="488" t="str">
        <f ca="1">IF(AND(S1179&lt;OP!$C$24,$U1179&lt;15),0,IF(AND($U1179&lt;15,$T1179=12),ROUND(VLOOKUP($S1179,DOWN16,5,0),3),IF($T1179=12,ROUND(($Z1179/10000)*$AA1179,3)+IF(AND($P$7="購買增額繳清保險",T1179=12,U1179=110),VLOOKUP(S1179,$B$10:$H$121,7,0),0),"")))</f>
        <v/>
      </c>
      <c r="AC1179" s="350" t="str">
        <f ca="1">IF(AND(S1179&lt;OP!$C$24,$U1179&lt;15),0,IF(AND($U1179&lt;16,$T1179=12),VLOOKUP($S1179,DOWN16,4,0),IF($T1179=12,ROUND(VLOOKUP(OP!$C$55,_DIE2,$S1179+1,0)*(Z1179/10000),0)+IF(AND($P$7="購買增額繳清保險",T1179=12,U1179=110),VLOOKUP(S1179,$B$10:$H$121,7,0),0),"")))</f>
        <v/>
      </c>
      <c r="AD1179" s="347"/>
      <c r="AE1179" s="350" t="str">
        <f t="shared" ca="1" si="727"/>
        <v/>
      </c>
      <c r="AF1179" s="351" t="str">
        <f t="shared" ca="1" si="728"/>
        <v/>
      </c>
      <c r="AG1179" s="340"/>
      <c r="AH1179" s="340"/>
      <c r="AI1179" s="340"/>
      <c r="AJ1179" s="340"/>
      <c r="AK1179" s="340"/>
      <c r="AL1179" s="340"/>
      <c r="AM1179" s="340"/>
      <c r="AN1179" s="340"/>
      <c r="AO1179" s="340"/>
      <c r="AP1179" s="340"/>
      <c r="AQ1179" s="340"/>
      <c r="AR1179" s="340"/>
      <c r="AS1179" s="340"/>
      <c r="AT1179" s="340"/>
      <c r="AU1179" s="340"/>
      <c r="AV1179" s="340"/>
      <c r="AY1179" s="340"/>
      <c r="AZ1179" s="465">
        <f t="shared" ca="1" si="738"/>
        <v>7.3698599999999999E-5</v>
      </c>
      <c r="BA1179" s="464">
        <f t="shared" ca="1" si="739"/>
        <v>0</v>
      </c>
      <c r="BB1179" s="465">
        <f t="shared" ca="1" si="739"/>
        <v>7.3698599999999999E-5</v>
      </c>
      <c r="BC1179" s="466">
        <f t="shared" ca="1" si="740"/>
        <v>78498</v>
      </c>
      <c r="BD1179" s="467">
        <f t="shared" ca="1" si="753"/>
        <v>78499</v>
      </c>
      <c r="BE1179" s="467">
        <f t="shared" ca="1" si="741"/>
        <v>78528</v>
      </c>
      <c r="BF1179" s="468">
        <f ca="1">IF(計算!$BC1179&lt;OP!$C$3,0,BD1179-BC1179)</f>
        <v>1</v>
      </c>
      <c r="BG1179" s="468">
        <f ca="1">IF($BE1179&gt;DATE(YEAR($BD$9)+OP!$C$57,MONTH($BD$9),DAY($BD$9)),0,$BE1179-$BD1179+1)</f>
        <v>0</v>
      </c>
      <c r="BH1179" s="469">
        <f t="shared" ca="1" si="742"/>
        <v>1</v>
      </c>
      <c r="BI1179" t="str">
        <f t="shared" si="758"/>
        <v/>
      </c>
      <c r="BJ1179">
        <v>6</v>
      </c>
      <c r="BN1179" s="468">
        <f t="shared" si="754"/>
        <v>98</v>
      </c>
      <c r="BO1179" s="468">
        <f t="shared" si="755"/>
        <v>6</v>
      </c>
      <c r="BP1179" s="467">
        <f t="shared" ca="1" si="743"/>
        <v>78499</v>
      </c>
      <c r="BQ1179" s="475">
        <f t="shared" ca="1" si="757"/>
        <v>130</v>
      </c>
      <c r="BR1179" s="475" t="str">
        <f t="shared" si="756"/>
        <v/>
      </c>
      <c r="BS1179" s="471" t="str">
        <f t="shared" si="744"/>
        <v/>
      </c>
      <c r="BT1179" s="472" t="str">
        <f t="shared" si="759"/>
        <v/>
      </c>
      <c r="BU1179" s="472">
        <f t="shared" ca="1" si="745"/>
        <v>0</v>
      </c>
      <c r="BV1179" s="472">
        <f t="shared" ca="1" si="745"/>
        <v>0</v>
      </c>
      <c r="BW1179" s="472"/>
      <c r="BX1179" s="473">
        <f t="shared" ca="1" si="746"/>
        <v>2803478.7360549201</v>
      </c>
      <c r="BY1179" s="473">
        <f t="shared" si="747"/>
        <v>0</v>
      </c>
      <c r="BZ1179" s="473">
        <f t="shared" ca="1" si="729"/>
        <v>206.61245797699999</v>
      </c>
      <c r="CA1179" s="476">
        <f t="shared" ca="1" si="748"/>
        <v>0</v>
      </c>
      <c r="CB1179" s="494">
        <f ca="1">IF(OR($Q1178&lt;&gt;1,OP!$D$5+$BN1179-1&lt;16,$BN1179-1&lt;1),0,ROUND(ROUND(ROUND(((VLOOKUP($BN1179-1,MORE_PV,5,0)/10000)*VLOOKUP($BN1179,MORE_PV,$CB$5,0)),3)*VLOOKUP($BN1179,more1,5,0),0)/$R1178,0))</f>
        <v>0</v>
      </c>
      <c r="CC1179" s="473">
        <f t="shared" ca="1" si="749"/>
        <v>0</v>
      </c>
      <c r="CD1179" s="477"/>
    </row>
    <row r="1180" spans="2:82" ht="16.5" hidden="1">
      <c r="B1180" s="80"/>
      <c r="C1180" s="80"/>
      <c r="D1180" s="80"/>
      <c r="E1180" s="80"/>
      <c r="F1180" s="80"/>
      <c r="G1180" s="80"/>
      <c r="H1180" s="80"/>
      <c r="I1180" s="80"/>
      <c r="J1180" s="192">
        <f t="shared" si="730"/>
        <v>98</v>
      </c>
      <c r="K1180" s="192">
        <f t="shared" si="731"/>
        <v>8</v>
      </c>
      <c r="L1180" s="192" t="str">
        <f t="shared" si="726"/>
        <v/>
      </c>
      <c r="M1180" s="216" t="str">
        <f t="shared" ca="1" si="732"/>
        <v/>
      </c>
      <c r="N1180" s="216"/>
      <c r="O1180" s="216"/>
      <c r="P1180" s="216"/>
      <c r="Q1180" s="456">
        <f t="shared" ca="1" si="733"/>
        <v>1</v>
      </c>
      <c r="R1180" s="450">
        <f t="shared" ca="1" si="734"/>
        <v>12</v>
      </c>
      <c r="S1180" s="191">
        <f t="shared" si="735"/>
        <v>98</v>
      </c>
      <c r="T1180" s="191">
        <f t="shared" si="736"/>
        <v>8</v>
      </c>
      <c r="U1180" s="191">
        <f ca="1">OP!$D$5+$S1180-1</f>
        <v>130</v>
      </c>
      <c r="V1180" s="191" t="str">
        <f t="shared" si="737"/>
        <v/>
      </c>
      <c r="W1180" s="350">
        <f ca="1">IF(Q1180&lt;&gt;1,0,VLOOKUP(OP!$C$55,PVFB,$S1180+2,0))</f>
        <v>0</v>
      </c>
      <c r="X1180" s="473" t="str">
        <f t="shared" ca="1" si="750"/>
        <v/>
      </c>
      <c r="Y1180" s="348">
        <f t="shared" ca="1" si="751"/>
        <v>0</v>
      </c>
      <c r="Z1180" s="348">
        <f t="shared" ca="1" si="752"/>
        <v>8012</v>
      </c>
      <c r="AA1180" s="348">
        <f ca="1">IF(Q1180&lt;&gt;1,0,VLOOKUP(OP!$C$55,PVFB,$S1180+2,0))</f>
        <v>0</v>
      </c>
      <c r="AB1180" s="488" t="str">
        <f ca="1">IF(AND(S1180&lt;OP!$C$24,$U1180&lt;15),0,IF(AND($U1180&lt;15,$T1180=12),ROUND(VLOOKUP($S1180,DOWN16,5,0),3),IF($T1180=12,ROUND(($Z1180/10000)*$AA1180,3)+IF(AND($P$7="購買增額繳清保險",T1180=12,U1180=110),VLOOKUP(S1180,$B$10:$H$121,7,0),0),"")))</f>
        <v/>
      </c>
      <c r="AC1180" s="350" t="str">
        <f ca="1">IF(AND(S1180&lt;OP!$C$24,$U1180&lt;15),0,IF(AND($U1180&lt;16,$T1180=12),VLOOKUP($S1180,DOWN16,4,0),IF($T1180=12,ROUND(VLOOKUP(OP!$C$55,_DIE2,$S1180+1,0)*(Z1180/10000),0)+IF(AND($P$7="購買增額繳清保險",T1180=12,U1180=110),VLOOKUP(S1180,$B$10:$H$121,7,0),0),"")))</f>
        <v/>
      </c>
      <c r="AD1180" s="347"/>
      <c r="AE1180" s="350" t="str">
        <f t="shared" ca="1" si="727"/>
        <v/>
      </c>
      <c r="AF1180" s="351" t="str">
        <f t="shared" ca="1" si="728"/>
        <v/>
      </c>
      <c r="AG1180" s="340"/>
      <c r="AH1180" s="340"/>
      <c r="AI1180" s="340"/>
      <c r="AJ1180" s="340"/>
      <c r="AK1180" s="340"/>
      <c r="AL1180" s="340"/>
      <c r="AM1180" s="340"/>
      <c r="AN1180" s="340"/>
      <c r="AO1180" s="340"/>
      <c r="AP1180" s="340"/>
      <c r="AQ1180" s="340"/>
      <c r="AR1180" s="340"/>
      <c r="AS1180" s="340"/>
      <c r="AT1180" s="340"/>
      <c r="AU1180" s="340"/>
      <c r="AV1180" s="340"/>
      <c r="AY1180" s="340"/>
      <c r="AZ1180" s="465">
        <f t="shared" ca="1" si="738"/>
        <v>7.3698599999999999E-5</v>
      </c>
      <c r="BA1180" s="464">
        <f t="shared" ca="1" si="739"/>
        <v>0</v>
      </c>
      <c r="BB1180" s="465">
        <f t="shared" ca="1" si="739"/>
        <v>7.3698599999999999E-5</v>
      </c>
      <c r="BC1180" s="466">
        <f t="shared" ca="1" si="740"/>
        <v>78529</v>
      </c>
      <c r="BD1180" s="467">
        <f t="shared" ca="1" si="753"/>
        <v>78530</v>
      </c>
      <c r="BE1180" s="467">
        <f t="shared" ca="1" si="741"/>
        <v>78559</v>
      </c>
      <c r="BF1180" s="468">
        <f ca="1">IF(計算!$BC1180&lt;OP!$C$3,0,BD1180-BC1180)</f>
        <v>1</v>
      </c>
      <c r="BG1180" s="468">
        <f ca="1">IF($BE1180&gt;DATE(YEAR($BD$9)+OP!$C$57,MONTH($BD$9),DAY($BD$9)),0,$BE1180-$BD1180+1)</f>
        <v>0</v>
      </c>
      <c r="BH1180" s="469">
        <f t="shared" ca="1" si="742"/>
        <v>1</v>
      </c>
      <c r="BI1180" t="str">
        <f t="shared" si="758"/>
        <v/>
      </c>
      <c r="BJ1180">
        <v>7</v>
      </c>
      <c r="BN1180" s="468">
        <f t="shared" si="754"/>
        <v>98</v>
      </c>
      <c r="BO1180" s="468">
        <f t="shared" si="755"/>
        <v>7</v>
      </c>
      <c r="BP1180" s="467">
        <f t="shared" ca="1" si="743"/>
        <v>78530</v>
      </c>
      <c r="BQ1180" s="475">
        <f t="shared" ca="1" si="757"/>
        <v>130</v>
      </c>
      <c r="BR1180" s="475" t="str">
        <f t="shared" si="756"/>
        <v/>
      </c>
      <c r="BS1180" s="471" t="str">
        <f t="shared" si="744"/>
        <v/>
      </c>
      <c r="BT1180" s="472" t="str">
        <f t="shared" si="759"/>
        <v/>
      </c>
      <c r="BU1180" s="472">
        <f t="shared" ca="1" si="745"/>
        <v>0</v>
      </c>
      <c r="BV1180" s="472">
        <f t="shared" ca="1" si="745"/>
        <v>0</v>
      </c>
      <c r="BW1180" s="472"/>
      <c r="BX1180" s="473">
        <f t="shared" ca="1" si="746"/>
        <v>2803685.3485129001</v>
      </c>
      <c r="BY1180" s="473">
        <f t="shared" si="747"/>
        <v>0</v>
      </c>
      <c r="BZ1180" s="473">
        <f t="shared" ca="1" si="729"/>
        <v>206.62768502599999</v>
      </c>
      <c r="CA1180" s="476">
        <f t="shared" ca="1" si="748"/>
        <v>0</v>
      </c>
      <c r="CB1180" s="494">
        <f ca="1">IF(OR($Q1179&lt;&gt;1,OP!$D$5+$BN1180-1&lt;16,$BN1180-1&lt;1),0,ROUND(ROUND(ROUND(((VLOOKUP($BN1180-1,MORE_PV,5,0)/10000)*VLOOKUP($BN1180,MORE_PV,$CB$5,0)),3)*VLOOKUP($BN1180,more1,5,0),0)/$R1179,0))</f>
        <v>0</v>
      </c>
      <c r="CC1180" s="473">
        <f t="shared" ca="1" si="749"/>
        <v>0</v>
      </c>
      <c r="CD1180" s="477"/>
    </row>
    <row r="1181" spans="2:82" ht="16.5" hidden="1">
      <c r="B1181" s="80"/>
      <c r="C1181" s="80"/>
      <c r="D1181" s="80"/>
      <c r="E1181" s="80"/>
      <c r="F1181" s="80"/>
      <c r="G1181" s="80"/>
      <c r="H1181" s="80"/>
      <c r="I1181" s="80"/>
      <c r="J1181" s="192">
        <f t="shared" si="730"/>
        <v>98</v>
      </c>
      <c r="K1181" s="192">
        <f t="shared" si="731"/>
        <v>9</v>
      </c>
      <c r="L1181" s="192" t="str">
        <f t="shared" si="726"/>
        <v/>
      </c>
      <c r="M1181" s="216" t="str">
        <f t="shared" ca="1" si="732"/>
        <v/>
      </c>
      <c r="N1181" s="216"/>
      <c r="O1181" s="216"/>
      <c r="P1181" s="216"/>
      <c r="Q1181" s="456">
        <f t="shared" ca="1" si="733"/>
        <v>1</v>
      </c>
      <c r="R1181" s="450">
        <f t="shared" ca="1" si="734"/>
        <v>12</v>
      </c>
      <c r="S1181" s="191">
        <f t="shared" si="735"/>
        <v>98</v>
      </c>
      <c r="T1181" s="191">
        <f t="shared" si="736"/>
        <v>9</v>
      </c>
      <c r="U1181" s="191">
        <f ca="1">OP!$D$5+$S1181-1</f>
        <v>130</v>
      </c>
      <c r="V1181" s="191" t="str">
        <f t="shared" si="737"/>
        <v/>
      </c>
      <c r="W1181" s="350">
        <f ca="1">IF(Q1181&lt;&gt;1,0,VLOOKUP(OP!$C$55,PVFB,$S1181+2,0))</f>
        <v>0</v>
      </c>
      <c r="X1181" s="473" t="str">
        <f t="shared" ca="1" si="750"/>
        <v/>
      </c>
      <c r="Y1181" s="348">
        <f t="shared" ca="1" si="751"/>
        <v>0</v>
      </c>
      <c r="Z1181" s="348">
        <f t="shared" ca="1" si="752"/>
        <v>8012</v>
      </c>
      <c r="AA1181" s="348">
        <f ca="1">IF(Q1181&lt;&gt;1,0,VLOOKUP(OP!$C$55,PVFB,$S1181+2,0))</f>
        <v>0</v>
      </c>
      <c r="AB1181" s="488" t="str">
        <f ca="1">IF(AND(S1181&lt;OP!$C$24,$U1181&lt;15),0,IF(AND($U1181&lt;15,$T1181=12),ROUND(VLOOKUP($S1181,DOWN16,5,0),3),IF($T1181=12,ROUND(($Z1181/10000)*$AA1181,3)+IF(AND($P$7="購買增額繳清保險",T1181=12,U1181=110),VLOOKUP(S1181,$B$10:$H$121,7,0),0),"")))</f>
        <v/>
      </c>
      <c r="AC1181" s="350" t="str">
        <f ca="1">IF(AND(S1181&lt;OP!$C$24,$U1181&lt;15),0,IF(AND($U1181&lt;16,$T1181=12),VLOOKUP($S1181,DOWN16,4,0),IF($T1181=12,ROUND(VLOOKUP(OP!$C$55,_DIE2,$S1181+1,0)*(Z1181/10000),0)+IF(AND($P$7="購買增額繳清保險",T1181=12,U1181=110),VLOOKUP(S1181,$B$10:$H$121,7,0),0),"")))</f>
        <v/>
      </c>
      <c r="AD1181" s="347"/>
      <c r="AE1181" s="350" t="str">
        <f t="shared" ca="1" si="727"/>
        <v/>
      </c>
      <c r="AF1181" s="351" t="str">
        <f t="shared" ca="1" si="728"/>
        <v/>
      </c>
      <c r="AG1181" s="340"/>
      <c r="AH1181" s="340"/>
      <c r="AI1181" s="340"/>
      <c r="AJ1181" s="340"/>
      <c r="AK1181" s="340"/>
      <c r="AL1181" s="340"/>
      <c r="AM1181" s="340"/>
      <c r="AN1181" s="340"/>
      <c r="AO1181" s="340"/>
      <c r="AP1181" s="340"/>
      <c r="AQ1181" s="340"/>
      <c r="AR1181" s="340"/>
      <c r="AS1181" s="340"/>
      <c r="AT1181" s="340"/>
      <c r="AU1181" s="340"/>
      <c r="AV1181" s="340"/>
      <c r="AY1181" s="340"/>
      <c r="AZ1181" s="465">
        <f t="shared" ca="1" si="738"/>
        <v>7.3698599999999999E-5</v>
      </c>
      <c r="BA1181" s="464">
        <f t="shared" ca="1" si="739"/>
        <v>0</v>
      </c>
      <c r="BB1181" s="465">
        <f t="shared" ca="1" si="739"/>
        <v>7.3698599999999999E-5</v>
      </c>
      <c r="BC1181" s="466">
        <f t="shared" ca="1" si="740"/>
        <v>78560</v>
      </c>
      <c r="BD1181" s="467">
        <f t="shared" ca="1" si="753"/>
        <v>78561</v>
      </c>
      <c r="BE1181" s="467">
        <f t="shared" ca="1" si="741"/>
        <v>78587</v>
      </c>
      <c r="BF1181" s="468">
        <f ca="1">IF(計算!$BC1181&lt;OP!$C$3,0,BD1181-BC1181)</f>
        <v>1</v>
      </c>
      <c r="BG1181" s="468">
        <f ca="1">IF($BE1181&gt;DATE(YEAR($BD$9)+OP!$C$57,MONTH($BD$9),DAY($BD$9)),0,$BE1181-$BD1181+1)</f>
        <v>0</v>
      </c>
      <c r="BH1181" s="469">
        <f t="shared" ca="1" si="742"/>
        <v>1</v>
      </c>
      <c r="BI1181" t="str">
        <f t="shared" si="758"/>
        <v/>
      </c>
      <c r="BJ1181">
        <v>8</v>
      </c>
      <c r="BN1181" s="468">
        <f t="shared" si="754"/>
        <v>98</v>
      </c>
      <c r="BO1181" s="468">
        <f t="shared" si="755"/>
        <v>8</v>
      </c>
      <c r="BP1181" s="467">
        <f t="shared" ca="1" si="743"/>
        <v>78561</v>
      </c>
      <c r="BQ1181" s="475">
        <f t="shared" ca="1" si="757"/>
        <v>130</v>
      </c>
      <c r="BR1181" s="475" t="str">
        <f t="shared" si="756"/>
        <v/>
      </c>
      <c r="BS1181" s="471" t="str">
        <f t="shared" si="744"/>
        <v/>
      </c>
      <c r="BT1181" s="472" t="str">
        <f t="shared" si="759"/>
        <v/>
      </c>
      <c r="BU1181" s="472">
        <f t="shared" ca="1" si="745"/>
        <v>0</v>
      </c>
      <c r="BV1181" s="472">
        <f t="shared" ca="1" si="745"/>
        <v>0</v>
      </c>
      <c r="BW1181" s="472"/>
      <c r="BX1181" s="473">
        <f t="shared" ca="1" si="746"/>
        <v>2803891.9761979301</v>
      </c>
      <c r="BY1181" s="473">
        <f t="shared" si="747"/>
        <v>0</v>
      </c>
      <c r="BZ1181" s="473">
        <f t="shared" ca="1" si="729"/>
        <v>206.64291319700001</v>
      </c>
      <c r="CA1181" s="476">
        <f t="shared" ca="1" si="748"/>
        <v>0</v>
      </c>
      <c r="CB1181" s="494">
        <f ca="1">IF(OR($Q1180&lt;&gt;1,OP!$D$5+$BN1181-1&lt;16,$BN1181-1&lt;1),0,ROUND(ROUND(ROUND(((VLOOKUP($BN1181-1,MORE_PV,5,0)/10000)*VLOOKUP($BN1181,MORE_PV,$CB$5,0)),3)*VLOOKUP($BN1181,more1,5,0),0)/$R1180,0))</f>
        <v>0</v>
      </c>
      <c r="CC1181" s="473">
        <f t="shared" ca="1" si="749"/>
        <v>0</v>
      </c>
      <c r="CD1181" s="477"/>
    </row>
    <row r="1182" spans="2:82" ht="16.5" hidden="1">
      <c r="B1182" s="80"/>
      <c r="C1182" s="80"/>
      <c r="D1182" s="80"/>
      <c r="E1182" s="80"/>
      <c r="F1182" s="80"/>
      <c r="G1182" s="80"/>
      <c r="H1182" s="80"/>
      <c r="I1182" s="80"/>
      <c r="J1182" s="192">
        <f t="shared" si="730"/>
        <v>98</v>
      </c>
      <c r="K1182" s="192">
        <f t="shared" si="731"/>
        <v>10</v>
      </c>
      <c r="L1182" s="192" t="str">
        <f t="shared" si="726"/>
        <v/>
      </c>
      <c r="M1182" s="216" t="str">
        <f t="shared" ca="1" si="732"/>
        <v/>
      </c>
      <c r="N1182" s="216"/>
      <c r="O1182" s="216"/>
      <c r="P1182" s="216"/>
      <c r="Q1182" s="456">
        <f t="shared" ca="1" si="733"/>
        <v>1</v>
      </c>
      <c r="R1182" s="450">
        <f t="shared" ca="1" si="734"/>
        <v>12</v>
      </c>
      <c r="S1182" s="191">
        <f t="shared" si="735"/>
        <v>98</v>
      </c>
      <c r="T1182" s="191">
        <f t="shared" si="736"/>
        <v>10</v>
      </c>
      <c r="U1182" s="191">
        <f ca="1">OP!$D$5+$S1182-1</f>
        <v>130</v>
      </c>
      <c r="V1182" s="191" t="str">
        <f t="shared" si="737"/>
        <v/>
      </c>
      <c r="W1182" s="350">
        <f ca="1">IF(Q1182&lt;&gt;1,0,VLOOKUP(OP!$C$55,PVFB,$S1182+2,0))</f>
        <v>0</v>
      </c>
      <c r="X1182" s="473" t="str">
        <f t="shared" ca="1" si="750"/>
        <v/>
      </c>
      <c r="Y1182" s="348">
        <f t="shared" ca="1" si="751"/>
        <v>0</v>
      </c>
      <c r="Z1182" s="348">
        <f t="shared" ca="1" si="752"/>
        <v>8012</v>
      </c>
      <c r="AA1182" s="348">
        <f ca="1">IF(Q1182&lt;&gt;1,0,VLOOKUP(OP!$C$55,PVFB,$S1182+2,0))</f>
        <v>0</v>
      </c>
      <c r="AB1182" s="488" t="str">
        <f ca="1">IF(AND(S1182&lt;OP!$C$24,$U1182&lt;15),0,IF(AND($U1182&lt;15,$T1182=12),ROUND(VLOOKUP($S1182,DOWN16,5,0),3),IF($T1182=12,ROUND(($Z1182/10000)*$AA1182,3)+IF(AND($P$7="購買增額繳清保險",T1182=12,U1182=110),VLOOKUP(S1182,$B$10:$H$121,7,0),0),"")))</f>
        <v/>
      </c>
      <c r="AC1182" s="350" t="str">
        <f ca="1">IF(AND(S1182&lt;OP!$C$24,$U1182&lt;15),0,IF(AND($U1182&lt;16,$T1182=12),VLOOKUP($S1182,DOWN16,4,0),IF($T1182=12,ROUND(VLOOKUP(OP!$C$55,_DIE2,$S1182+1,0)*(Z1182/10000),0)+IF(AND($P$7="購買增額繳清保險",T1182=12,U1182=110),VLOOKUP(S1182,$B$10:$H$121,7,0),0),"")))</f>
        <v/>
      </c>
      <c r="AD1182" s="347"/>
      <c r="AE1182" s="350" t="str">
        <f t="shared" ca="1" si="727"/>
        <v/>
      </c>
      <c r="AF1182" s="351" t="str">
        <f t="shared" ca="1" si="728"/>
        <v/>
      </c>
      <c r="AG1182" s="340"/>
      <c r="AH1182" s="340"/>
      <c r="AI1182" s="340"/>
      <c r="AJ1182" s="340"/>
      <c r="AK1182" s="340"/>
      <c r="AL1182" s="340"/>
      <c r="AM1182" s="340"/>
      <c r="AN1182" s="340"/>
      <c r="AO1182" s="340"/>
      <c r="AP1182" s="340"/>
      <c r="AQ1182" s="340"/>
      <c r="AR1182" s="340"/>
      <c r="AS1182" s="340"/>
      <c r="AT1182" s="340"/>
      <c r="AU1182" s="340"/>
      <c r="AV1182" s="340"/>
      <c r="AY1182" s="340"/>
      <c r="AZ1182" s="465">
        <f t="shared" ca="1" si="738"/>
        <v>7.3698599999999999E-5</v>
      </c>
      <c r="BA1182" s="464">
        <f t="shared" ca="1" si="739"/>
        <v>0</v>
      </c>
      <c r="BB1182" s="465">
        <f t="shared" ca="1" si="739"/>
        <v>7.3698599999999999E-5</v>
      </c>
      <c r="BC1182" s="466">
        <f t="shared" ca="1" si="740"/>
        <v>78588</v>
      </c>
      <c r="BD1182" s="467">
        <f t="shared" ca="1" si="753"/>
        <v>78589</v>
      </c>
      <c r="BE1182" s="467">
        <f t="shared" ca="1" si="741"/>
        <v>78618</v>
      </c>
      <c r="BF1182" s="468">
        <f ca="1">IF(計算!$BC1182&lt;OP!$C$3,0,BD1182-BC1182)</f>
        <v>1</v>
      </c>
      <c r="BG1182" s="468">
        <f ca="1">IF($BE1182&gt;DATE(YEAR($BD$9)+OP!$C$57,MONTH($BD$9),DAY($BD$9)),0,$BE1182-$BD1182+1)</f>
        <v>0</v>
      </c>
      <c r="BH1182" s="469">
        <f t="shared" ca="1" si="742"/>
        <v>1</v>
      </c>
      <c r="BI1182" t="str">
        <f t="shared" si="758"/>
        <v/>
      </c>
      <c r="BJ1182">
        <v>9</v>
      </c>
      <c r="BN1182" s="468">
        <f t="shared" si="754"/>
        <v>98</v>
      </c>
      <c r="BO1182" s="468">
        <f t="shared" si="755"/>
        <v>9</v>
      </c>
      <c r="BP1182" s="467">
        <f t="shared" ca="1" si="743"/>
        <v>78589</v>
      </c>
      <c r="BQ1182" s="475">
        <f t="shared" ca="1" si="757"/>
        <v>130</v>
      </c>
      <c r="BR1182" s="475" t="str">
        <f t="shared" si="756"/>
        <v/>
      </c>
      <c r="BS1182" s="471" t="str">
        <f t="shared" si="744"/>
        <v/>
      </c>
      <c r="BT1182" s="472" t="str">
        <f t="shared" si="759"/>
        <v/>
      </c>
      <c r="BU1182" s="472">
        <f t="shared" ca="1" si="745"/>
        <v>0</v>
      </c>
      <c r="BV1182" s="472">
        <f t="shared" ca="1" si="745"/>
        <v>0</v>
      </c>
      <c r="BW1182" s="472"/>
      <c r="BX1182" s="473">
        <f t="shared" ca="1" si="746"/>
        <v>2804098.61911113</v>
      </c>
      <c r="BY1182" s="473">
        <f t="shared" si="747"/>
        <v>0</v>
      </c>
      <c r="BZ1182" s="473">
        <f t="shared" ca="1" si="729"/>
        <v>206.65814248999999</v>
      </c>
      <c r="CA1182" s="476">
        <f t="shared" ca="1" si="748"/>
        <v>0</v>
      </c>
      <c r="CB1182" s="494">
        <f ca="1">IF(OR($Q1181&lt;&gt;1,OP!$D$5+$BN1182-1&lt;16,$BN1182-1&lt;1),0,ROUND(ROUND(ROUND(((VLOOKUP($BN1182-1,MORE_PV,5,0)/10000)*VLOOKUP($BN1182,MORE_PV,$CB$5,0)),3)*VLOOKUP($BN1182,more1,5,0),0)/$R1181,0))</f>
        <v>0</v>
      </c>
      <c r="CC1182" s="473">
        <f t="shared" ca="1" si="749"/>
        <v>0</v>
      </c>
      <c r="CD1182" s="477"/>
    </row>
    <row r="1183" spans="2:82" ht="16.5" hidden="1">
      <c r="B1183" s="80"/>
      <c r="C1183" s="80"/>
      <c r="D1183" s="80"/>
      <c r="E1183" s="80"/>
      <c r="F1183" s="80"/>
      <c r="G1183" s="80"/>
      <c r="H1183" s="80"/>
      <c r="I1183" s="80"/>
      <c r="J1183" s="192">
        <f t="shared" si="730"/>
        <v>98</v>
      </c>
      <c r="K1183" s="192">
        <f t="shared" si="731"/>
        <v>11</v>
      </c>
      <c r="L1183" s="192" t="str">
        <f t="shared" si="726"/>
        <v/>
      </c>
      <c r="M1183" s="216" t="str">
        <f t="shared" ca="1" si="732"/>
        <v/>
      </c>
      <c r="N1183" s="216"/>
      <c r="O1183" s="216"/>
      <c r="P1183" s="216"/>
      <c r="Q1183" s="456">
        <f t="shared" ca="1" si="733"/>
        <v>1</v>
      </c>
      <c r="R1183" s="450">
        <f t="shared" ca="1" si="734"/>
        <v>12</v>
      </c>
      <c r="S1183" s="191">
        <f t="shared" si="735"/>
        <v>98</v>
      </c>
      <c r="T1183" s="191">
        <f t="shared" si="736"/>
        <v>11</v>
      </c>
      <c r="U1183" s="191">
        <f ca="1">OP!$D$5+$S1183-1</f>
        <v>130</v>
      </c>
      <c r="V1183" s="191" t="str">
        <f t="shared" si="737"/>
        <v/>
      </c>
      <c r="W1183" s="350">
        <f ca="1">IF(Q1183&lt;&gt;1,0,VLOOKUP(OP!$C$55,PVFB,$S1183+2,0))</f>
        <v>0</v>
      </c>
      <c r="X1183" s="473" t="str">
        <f t="shared" ca="1" si="750"/>
        <v/>
      </c>
      <c r="Y1183" s="348">
        <f t="shared" ca="1" si="751"/>
        <v>0</v>
      </c>
      <c r="Z1183" s="348">
        <f t="shared" ca="1" si="752"/>
        <v>8012</v>
      </c>
      <c r="AA1183" s="348">
        <f ca="1">IF(Q1183&lt;&gt;1,0,VLOOKUP(OP!$C$55,PVFB,$S1183+2,0))</f>
        <v>0</v>
      </c>
      <c r="AB1183" s="488" t="str">
        <f ca="1">IF(AND(S1183&lt;OP!$C$24,$U1183&lt;15),0,IF(AND($U1183&lt;15,$T1183=12),ROUND(VLOOKUP($S1183,DOWN16,5,0),3),IF($T1183=12,ROUND(($Z1183/10000)*$AA1183,3)+IF(AND($P$7="購買增額繳清保險",T1183=12,U1183=110),VLOOKUP(S1183,$B$10:$H$121,7,0),0),"")))</f>
        <v/>
      </c>
      <c r="AC1183" s="350" t="str">
        <f ca="1">IF(AND(S1183&lt;OP!$C$24,$U1183&lt;15),0,IF(AND($U1183&lt;16,$T1183=12),VLOOKUP($S1183,DOWN16,4,0),IF($T1183=12,ROUND(VLOOKUP(OP!$C$55,_DIE2,$S1183+1,0)*(Z1183/10000),0)+IF(AND($P$7="購買增額繳清保險",T1183=12,U1183=110),VLOOKUP(S1183,$B$10:$H$121,7,0),0),"")))</f>
        <v/>
      </c>
      <c r="AD1183" s="347"/>
      <c r="AE1183" s="350" t="str">
        <f t="shared" ca="1" si="727"/>
        <v/>
      </c>
      <c r="AF1183" s="351" t="str">
        <f t="shared" ca="1" si="728"/>
        <v/>
      </c>
      <c r="AG1183" s="340"/>
      <c r="AH1183" s="340"/>
      <c r="AI1183" s="340"/>
      <c r="AJ1183" s="340"/>
      <c r="AK1183" s="340"/>
      <c r="AL1183" s="340"/>
      <c r="AM1183" s="340"/>
      <c r="AN1183" s="340"/>
      <c r="AO1183" s="340"/>
      <c r="AP1183" s="340"/>
      <c r="AQ1183" s="340"/>
      <c r="AR1183" s="340"/>
      <c r="AS1183" s="340"/>
      <c r="AT1183" s="340"/>
      <c r="AU1183" s="340"/>
      <c r="AV1183" s="340"/>
      <c r="AY1183" s="340"/>
      <c r="AZ1183" s="465">
        <f t="shared" ca="1" si="738"/>
        <v>7.3698599999999999E-5</v>
      </c>
      <c r="BA1183" s="464">
        <f t="shared" ca="1" si="739"/>
        <v>0</v>
      </c>
      <c r="BB1183" s="465">
        <f t="shared" ca="1" si="739"/>
        <v>7.3698599999999999E-5</v>
      </c>
      <c r="BC1183" s="466">
        <f t="shared" ca="1" si="740"/>
        <v>78619</v>
      </c>
      <c r="BD1183" s="467">
        <f t="shared" ca="1" si="753"/>
        <v>78620</v>
      </c>
      <c r="BE1183" s="467">
        <f t="shared" ca="1" si="741"/>
        <v>78648</v>
      </c>
      <c r="BF1183" s="468">
        <f ca="1">IF(計算!$BC1183&lt;OP!$C$3,0,BD1183-BC1183)</f>
        <v>1</v>
      </c>
      <c r="BG1183" s="468">
        <f ca="1">IF($BE1183&gt;DATE(YEAR($BD$9)+OP!$C$57,MONTH($BD$9),DAY($BD$9)),0,$BE1183-$BD1183+1)</f>
        <v>0</v>
      </c>
      <c r="BH1183" s="469">
        <f t="shared" ca="1" si="742"/>
        <v>1</v>
      </c>
      <c r="BI1183" t="str">
        <f t="shared" si="758"/>
        <v/>
      </c>
      <c r="BJ1183">
        <v>10</v>
      </c>
      <c r="BN1183" s="468">
        <f t="shared" si="754"/>
        <v>98</v>
      </c>
      <c r="BO1183" s="468">
        <f t="shared" si="755"/>
        <v>10</v>
      </c>
      <c r="BP1183" s="467">
        <f t="shared" ca="1" si="743"/>
        <v>78620</v>
      </c>
      <c r="BQ1183" s="475">
        <f t="shared" ca="1" si="757"/>
        <v>130</v>
      </c>
      <c r="BR1183" s="475" t="str">
        <f t="shared" si="756"/>
        <v/>
      </c>
      <c r="BS1183" s="471" t="str">
        <f t="shared" si="744"/>
        <v/>
      </c>
      <c r="BT1183" s="472" t="str">
        <f t="shared" si="759"/>
        <v/>
      </c>
      <c r="BU1183" s="472">
        <f t="shared" ca="1" si="745"/>
        <v>0</v>
      </c>
      <c r="BV1183" s="472">
        <f t="shared" ca="1" si="745"/>
        <v>0</v>
      </c>
      <c r="BW1183" s="472"/>
      <c r="BX1183" s="473">
        <f t="shared" ca="1" si="746"/>
        <v>2804305.2772536199</v>
      </c>
      <c r="BY1183" s="473">
        <f t="shared" si="747"/>
        <v>0</v>
      </c>
      <c r="BZ1183" s="473">
        <f t="shared" ca="1" si="729"/>
        <v>206.673372906</v>
      </c>
      <c r="CA1183" s="476">
        <f t="shared" ca="1" si="748"/>
        <v>0</v>
      </c>
      <c r="CB1183" s="494">
        <f ca="1">IF(OR($Q1182&lt;&gt;1,OP!$D$5+$BN1183-1&lt;16,$BN1183-1&lt;1),0,ROUND(ROUND(ROUND(((VLOOKUP($BN1183-1,MORE_PV,5,0)/10000)*VLOOKUP($BN1183,MORE_PV,$CB$5,0)),3)*VLOOKUP($BN1183,more1,5,0),0)/$R1182,0))</f>
        <v>0</v>
      </c>
      <c r="CC1183" s="473">
        <f t="shared" ca="1" si="749"/>
        <v>0</v>
      </c>
      <c r="CD1183" s="477"/>
    </row>
    <row r="1184" spans="2:82" ht="16.5" hidden="1">
      <c r="B1184" s="80"/>
      <c r="C1184" s="80"/>
      <c r="D1184" s="80"/>
      <c r="E1184" s="80"/>
      <c r="F1184" s="80"/>
      <c r="G1184" s="80"/>
      <c r="H1184" s="80"/>
      <c r="I1184" s="80"/>
      <c r="J1184" s="192">
        <f t="shared" si="730"/>
        <v>98</v>
      </c>
      <c r="K1184" s="192">
        <f t="shared" si="731"/>
        <v>12</v>
      </c>
      <c r="L1184" s="192">
        <f t="shared" si="726"/>
        <v>98</v>
      </c>
      <c r="M1184" s="216">
        <f t="shared" ca="1" si="732"/>
        <v>2804924</v>
      </c>
      <c r="N1184" s="216"/>
      <c r="O1184" s="216"/>
      <c r="P1184" s="216"/>
      <c r="Q1184" s="456">
        <f t="shared" ca="1" si="733"/>
        <v>1</v>
      </c>
      <c r="R1184" s="450">
        <f t="shared" ca="1" si="734"/>
        <v>12</v>
      </c>
      <c r="S1184" s="191">
        <f t="shared" si="735"/>
        <v>98</v>
      </c>
      <c r="T1184" s="191">
        <f t="shared" si="736"/>
        <v>12</v>
      </c>
      <c r="U1184" s="191">
        <f ca="1">OP!$D$5+$S1184-1</f>
        <v>130</v>
      </c>
      <c r="V1184" s="191">
        <f t="shared" si="737"/>
        <v>98</v>
      </c>
      <c r="W1184" s="350">
        <f ca="1">IF(Q1184&lt;&gt;1,0,VLOOKUP(OP!$C$55,PVFB,$S1184+2,0))</f>
        <v>0</v>
      </c>
      <c r="X1184" s="473">
        <f t="shared" ca="1" si="750"/>
        <v>0</v>
      </c>
      <c r="Y1184" s="348">
        <f t="shared" ca="1" si="751"/>
        <v>0</v>
      </c>
      <c r="Z1184" s="348">
        <f t="shared" ca="1" si="752"/>
        <v>8012</v>
      </c>
      <c r="AA1184" s="348">
        <f ca="1">IF(Q1184&lt;&gt;1,0,VLOOKUP(OP!$C$55,PVFB,$S1184+2,0))</f>
        <v>0</v>
      </c>
      <c r="AB1184" s="488">
        <f ca="1">IF(AND(S1184&lt;OP!$C$24,$U1184&lt;15),0,IF(AND($U1184&lt;15,$T1184=12),ROUND(VLOOKUP($S1184,DOWN16,5,0),3),IF($T1184=12,ROUND(($Z1184/10000)*$AA1184,3)+IF(AND($P$7="購買增額繳清保險",T1184=12,U1184=110),VLOOKUP(S1184,$B$10:$H$121,7,0),0),"")))</f>
        <v>0</v>
      </c>
      <c r="AC1184" s="350">
        <f ca="1">IF(AND(S1184&lt;OP!$C$24,$U1184&lt;15),0,IF(AND($U1184&lt;16,$T1184=12),VLOOKUP($S1184,DOWN16,4,0),IF($T1184=12,ROUND(VLOOKUP(OP!$C$55,_DIE2,$S1184+1,0)*(Z1184/10000),0)+IF(AND($P$7="購買增額繳清保險",T1184=12,U1184=110),VLOOKUP(S1184,$B$10:$H$121,7,0),0),"")))</f>
        <v>0</v>
      </c>
      <c r="AD1184" s="347"/>
      <c r="AE1184" s="350" t="str">
        <f t="shared" ca="1" si="727"/>
        <v/>
      </c>
      <c r="AF1184" s="351" t="str">
        <f t="shared" ca="1" si="728"/>
        <v/>
      </c>
      <c r="AG1184" s="340"/>
      <c r="AH1184" s="340"/>
      <c r="AI1184" s="340"/>
      <c r="AJ1184" s="340"/>
      <c r="AK1184" s="340"/>
      <c r="AL1184" s="340"/>
      <c r="AM1184" s="340"/>
      <c r="AN1184" s="340"/>
      <c r="AO1184" s="340"/>
      <c r="AP1184" s="340"/>
      <c r="AQ1184" s="340"/>
      <c r="AR1184" s="340"/>
      <c r="AS1184" s="340"/>
      <c r="AT1184" s="340"/>
      <c r="AU1184" s="340"/>
      <c r="AV1184" s="340"/>
      <c r="AY1184" s="340"/>
      <c r="AZ1184" s="465">
        <f t="shared" ca="1" si="738"/>
        <v>7.3698599999999999E-5</v>
      </c>
      <c r="BA1184" s="464">
        <f t="shared" ca="1" si="739"/>
        <v>0</v>
      </c>
      <c r="BB1184" s="465">
        <f t="shared" ca="1" si="739"/>
        <v>7.3698599999999999E-5</v>
      </c>
      <c r="BC1184" s="466">
        <f t="shared" ca="1" si="740"/>
        <v>78649</v>
      </c>
      <c r="BD1184" s="467">
        <f t="shared" ca="1" si="753"/>
        <v>78650</v>
      </c>
      <c r="BE1184" s="467">
        <f t="shared" ca="1" si="741"/>
        <v>78679</v>
      </c>
      <c r="BF1184" s="468">
        <f ca="1">IF(計算!$BC1184&lt;OP!$C$3,0,BD1184-BC1184)</f>
        <v>1</v>
      </c>
      <c r="BG1184" s="468">
        <f ca="1">IF($BE1184&gt;DATE(YEAR($BD$9)+OP!$C$57,MONTH($BD$9),DAY($BD$9)),0,$BE1184-$BD1184+1)</f>
        <v>0</v>
      </c>
      <c r="BH1184" s="469">
        <f t="shared" ca="1" si="742"/>
        <v>1</v>
      </c>
      <c r="BI1184" t="str">
        <f t="shared" si="758"/>
        <v/>
      </c>
      <c r="BJ1184">
        <v>11</v>
      </c>
      <c r="BN1184" s="468">
        <f t="shared" si="754"/>
        <v>98</v>
      </c>
      <c r="BO1184" s="468">
        <f t="shared" si="755"/>
        <v>11</v>
      </c>
      <c r="BP1184" s="467">
        <f t="shared" ca="1" si="743"/>
        <v>78650</v>
      </c>
      <c r="BQ1184" s="475">
        <f t="shared" ca="1" si="757"/>
        <v>130</v>
      </c>
      <c r="BR1184" s="475" t="str">
        <f t="shared" si="756"/>
        <v/>
      </c>
      <c r="BS1184" s="471" t="str">
        <f t="shared" si="744"/>
        <v/>
      </c>
      <c r="BT1184" s="472" t="str">
        <f t="shared" si="759"/>
        <v/>
      </c>
      <c r="BU1184" s="472">
        <f t="shared" ca="1" si="745"/>
        <v>0</v>
      </c>
      <c r="BV1184" s="472">
        <f t="shared" ca="1" si="745"/>
        <v>0</v>
      </c>
      <c r="BW1184" s="472"/>
      <c r="BX1184" s="473">
        <f t="shared" ca="1" si="746"/>
        <v>2804511.9506265302</v>
      </c>
      <c r="BY1184" s="473">
        <f t="shared" si="747"/>
        <v>0</v>
      </c>
      <c r="BZ1184" s="473">
        <f t="shared" ca="1" si="729"/>
        <v>206.68860444399999</v>
      </c>
      <c r="CA1184" s="476">
        <f t="shared" ca="1" si="748"/>
        <v>0</v>
      </c>
      <c r="CB1184" s="494">
        <f ca="1">IF(OR($Q1183&lt;&gt;1,OP!$D$5+$BN1184-1&lt;16,$BN1184-1&lt;1),0,ROUND(ROUND(ROUND(((VLOOKUP($BN1184-1,MORE_PV,5,0)/10000)*VLOOKUP($BN1184,MORE_PV,$CB$5,0)),3)*VLOOKUP($BN1184,more1,5,0),0)/$R1183,0))</f>
        <v>0</v>
      </c>
      <c r="CC1184" s="473">
        <f t="shared" ca="1" si="749"/>
        <v>0</v>
      </c>
      <c r="CD1184" s="477"/>
    </row>
    <row r="1185" spans="2:82" ht="16.5" hidden="1">
      <c r="B1185" s="80"/>
      <c r="C1185" s="80"/>
      <c r="D1185" s="80"/>
      <c r="E1185" s="80"/>
      <c r="F1185" s="80"/>
      <c r="G1185" s="80"/>
      <c r="H1185" s="80"/>
      <c r="I1185" s="80"/>
      <c r="J1185" s="192">
        <f t="shared" si="730"/>
        <v>99</v>
      </c>
      <c r="K1185" s="192">
        <f t="shared" si="731"/>
        <v>1</v>
      </c>
      <c r="L1185" s="192" t="str">
        <f t="shared" si="726"/>
        <v/>
      </c>
      <c r="M1185" s="216" t="str">
        <f t="shared" ca="1" si="732"/>
        <v/>
      </c>
      <c r="N1185" s="216"/>
      <c r="O1185" s="216"/>
      <c r="P1185" s="216"/>
      <c r="Q1185" s="456">
        <f t="shared" ca="1" si="733"/>
        <v>1</v>
      </c>
      <c r="R1185" s="450">
        <f t="shared" ca="1" si="734"/>
        <v>12</v>
      </c>
      <c r="S1185" s="191">
        <f t="shared" si="735"/>
        <v>99</v>
      </c>
      <c r="T1185" s="191">
        <f t="shared" si="736"/>
        <v>1</v>
      </c>
      <c r="U1185" s="191">
        <f ca="1">OP!$D$5+$S1185-1</f>
        <v>131</v>
      </c>
      <c r="V1185" s="191" t="str">
        <f t="shared" si="737"/>
        <v/>
      </c>
      <c r="W1185" s="350">
        <f ca="1">IF(Q1185&lt;&gt;1,0,VLOOKUP(OP!$C$55,PVFB,$S1185+2,0))</f>
        <v>0</v>
      </c>
      <c r="X1185" s="473" t="str">
        <f t="shared" ca="1" si="750"/>
        <v/>
      </c>
      <c r="Y1185" s="348">
        <f t="shared" ca="1" si="751"/>
        <v>0</v>
      </c>
      <c r="Z1185" s="348">
        <f t="shared" ca="1" si="752"/>
        <v>8012</v>
      </c>
      <c r="AA1185" s="348">
        <f ca="1">IF(Q1185&lt;&gt;1,0,VLOOKUP(OP!$C$55,PVFB,$S1185+2,0))</f>
        <v>0</v>
      </c>
      <c r="AB1185" s="488" t="str">
        <f ca="1">IF(AND(S1185&lt;OP!$C$24,$U1185&lt;15),0,IF(AND($U1185&lt;15,$T1185=12),ROUND(VLOOKUP($S1185,DOWN16,5,0),3),IF($T1185=12,ROUND(($Z1185/10000)*$AA1185,3)+IF(AND($P$7="購買增額繳清保險",T1185=12,U1185=110),VLOOKUP(S1185,$B$10:$H$121,7,0),0),"")))</f>
        <v/>
      </c>
      <c r="AC1185" s="350" t="str">
        <f ca="1">IF(AND(S1185&lt;OP!$C$24,$U1185&lt;15),0,IF(AND($U1185&lt;16,$T1185=12),VLOOKUP($S1185,DOWN16,4,0),IF($T1185=12,ROUND(VLOOKUP(OP!$C$55,_DIE2,$S1185+1,0)*(Z1185/10000),0)+IF(AND($P$7="購買增額繳清保險",T1185=12,U1185=110),VLOOKUP(S1185,$B$10:$H$121,7,0),0),"")))</f>
        <v/>
      </c>
      <c r="AD1185" s="347"/>
      <c r="AE1185" s="350" t="str">
        <f t="shared" ca="1" si="727"/>
        <v/>
      </c>
      <c r="AF1185" s="351" t="str">
        <f t="shared" ca="1" si="728"/>
        <v/>
      </c>
      <c r="AG1185" s="340"/>
      <c r="AH1185" s="340"/>
      <c r="AI1185" s="340"/>
      <c r="AJ1185" s="340"/>
      <c r="AK1185" s="340"/>
      <c r="AL1185" s="340"/>
      <c r="AM1185" s="340"/>
      <c r="AN1185" s="340"/>
      <c r="AO1185" s="340"/>
      <c r="AP1185" s="340"/>
      <c r="AQ1185" s="340"/>
      <c r="AR1185" s="340"/>
      <c r="AS1185" s="340"/>
      <c r="AT1185" s="340"/>
      <c r="AU1185" s="340"/>
      <c r="AV1185" s="340"/>
      <c r="AY1185" s="340"/>
      <c r="AZ1185" s="465">
        <f t="shared" ca="1" si="738"/>
        <v>7.3698599999999999E-5</v>
      </c>
      <c r="BA1185" s="464">
        <f t="shared" ca="1" si="739"/>
        <v>0</v>
      </c>
      <c r="BB1185" s="465">
        <f t="shared" ca="1" si="739"/>
        <v>7.3698599999999999E-5</v>
      </c>
      <c r="BC1185" s="466">
        <f t="shared" ca="1" si="740"/>
        <v>78680</v>
      </c>
      <c r="BD1185" s="467">
        <f t="shared" ca="1" si="753"/>
        <v>78681</v>
      </c>
      <c r="BE1185" s="467">
        <f t="shared" ca="1" si="741"/>
        <v>78709</v>
      </c>
      <c r="BF1185" s="468">
        <f ca="1">IF(計算!$BC1185&lt;OP!$C$3,0,BD1185-BC1185)</f>
        <v>1</v>
      </c>
      <c r="BG1185" s="468">
        <f ca="1">IF($BE1185&gt;DATE(YEAR($BD$9)+OP!$C$57,MONTH($BD$9),DAY($BD$9)),0,$BE1185-$BD1185+1)</f>
        <v>0</v>
      </c>
      <c r="BH1185" s="469">
        <f t="shared" ca="1" si="742"/>
        <v>1</v>
      </c>
      <c r="BI1185">
        <f t="shared" ca="1" si="758"/>
        <v>365</v>
      </c>
      <c r="BJ1185">
        <v>12</v>
      </c>
      <c r="BN1185" s="468">
        <f t="shared" si="754"/>
        <v>98</v>
      </c>
      <c r="BO1185" s="468">
        <f t="shared" si="755"/>
        <v>12</v>
      </c>
      <c r="BP1185" s="467">
        <f t="shared" ca="1" si="743"/>
        <v>78681</v>
      </c>
      <c r="BQ1185" s="475">
        <f t="shared" ca="1" si="757"/>
        <v>130</v>
      </c>
      <c r="BR1185" s="475">
        <f t="shared" si="756"/>
        <v>98</v>
      </c>
      <c r="BS1185" s="471">
        <f t="shared" ca="1" si="744"/>
        <v>0</v>
      </c>
      <c r="BT1185" s="472">
        <f t="shared" ca="1" si="759"/>
        <v>2804924</v>
      </c>
      <c r="BU1185" s="472">
        <f t="shared" ca="1" si="745"/>
        <v>0</v>
      </c>
      <c r="BV1185" s="472">
        <f t="shared" ca="1" si="745"/>
        <v>0</v>
      </c>
      <c r="BW1185" s="472">
        <f ca="1">ROUND(SUM(BY1185,BZ1173:BZ1184),0)</f>
        <v>2479</v>
      </c>
      <c r="BX1185" s="473">
        <f t="shared" ca="1" si="746"/>
        <v>2804925.34306808</v>
      </c>
      <c r="BY1185" s="473">
        <f t="shared" ca="1" si="747"/>
        <v>206.70383710499999</v>
      </c>
      <c r="BZ1185" s="473">
        <f t="shared" ca="1" si="729"/>
        <v>0</v>
      </c>
      <c r="CA1185" s="476">
        <f t="shared" ca="1" si="748"/>
        <v>0</v>
      </c>
      <c r="CB1185" s="494">
        <f ca="1">IF(OR($Q1184&lt;&gt;1,OP!$D$5+$BN1185-1&lt;16,$BN1185-1&lt;1),0,ROUND(ROUND(ROUND(((VLOOKUP($BN1185-1,MORE_PV,5,0)/10000)*VLOOKUP($BN1185,MORE_PV,$CB$5,0)),3)*VLOOKUP($BN1185,more1,5,0),0)/$R1184,0))</f>
        <v>0</v>
      </c>
      <c r="CC1185" s="473">
        <f t="shared" ca="1" si="749"/>
        <v>0</v>
      </c>
      <c r="CD1185" s="477"/>
    </row>
    <row r="1186" spans="2:82" ht="16.5" hidden="1">
      <c r="B1186" s="80"/>
      <c r="C1186" s="80"/>
      <c r="D1186" s="80"/>
      <c r="E1186" s="80"/>
      <c r="F1186" s="80"/>
      <c r="G1186" s="80"/>
      <c r="H1186" s="80"/>
      <c r="I1186" s="80"/>
      <c r="J1186" s="192">
        <f t="shared" si="730"/>
        <v>99</v>
      </c>
      <c r="K1186" s="192">
        <f t="shared" si="731"/>
        <v>2</v>
      </c>
      <c r="L1186" s="192" t="str">
        <f t="shared" si="726"/>
        <v/>
      </c>
      <c r="M1186" s="216" t="str">
        <f t="shared" ca="1" si="732"/>
        <v/>
      </c>
      <c r="N1186" s="216"/>
      <c r="O1186" s="216"/>
      <c r="P1186" s="216"/>
      <c r="Q1186" s="456">
        <f t="shared" ca="1" si="733"/>
        <v>1</v>
      </c>
      <c r="R1186" s="450">
        <f t="shared" ca="1" si="734"/>
        <v>12</v>
      </c>
      <c r="S1186" s="191">
        <f t="shared" si="735"/>
        <v>99</v>
      </c>
      <c r="T1186" s="191">
        <f t="shared" si="736"/>
        <v>2</v>
      </c>
      <c r="U1186" s="191">
        <f ca="1">OP!$D$5+$S1186-1</f>
        <v>131</v>
      </c>
      <c r="V1186" s="191" t="str">
        <f t="shared" si="737"/>
        <v/>
      </c>
      <c r="W1186" s="350">
        <f ca="1">IF(Q1186&lt;&gt;1,0,VLOOKUP(OP!$C$55,PVFB,$S1186+2,0))</f>
        <v>0</v>
      </c>
      <c r="X1186" s="473" t="str">
        <f t="shared" ca="1" si="750"/>
        <v/>
      </c>
      <c r="Y1186" s="348">
        <f t="shared" ca="1" si="751"/>
        <v>0</v>
      </c>
      <c r="Z1186" s="348">
        <f t="shared" ca="1" si="752"/>
        <v>8012</v>
      </c>
      <c r="AA1186" s="348">
        <f ca="1">IF(Q1186&lt;&gt;1,0,VLOOKUP(OP!$C$55,PVFB,$S1186+2,0))</f>
        <v>0</v>
      </c>
      <c r="AB1186" s="488" t="str">
        <f ca="1">IF(AND(S1186&lt;OP!$C$24,$U1186&lt;15),0,IF(AND($U1186&lt;15,$T1186=12),ROUND(VLOOKUP($S1186,DOWN16,5,0),3),IF($T1186=12,ROUND(($Z1186/10000)*$AA1186,3)+IF(AND($P$7="購買增額繳清保險",T1186=12,U1186=110),VLOOKUP(S1186,$B$10:$H$121,7,0),0),"")))</f>
        <v/>
      </c>
      <c r="AC1186" s="350" t="str">
        <f ca="1">IF(AND(S1186&lt;OP!$C$24,$U1186&lt;15),0,IF(AND($U1186&lt;16,$T1186=12),VLOOKUP($S1186,DOWN16,4,0),IF($T1186=12,ROUND(VLOOKUP(OP!$C$55,_DIE2,$S1186+1,0)*(Z1186/10000),0)+IF(AND($P$7="購買增額繳清保險",T1186=12,U1186=110),VLOOKUP(S1186,$B$10:$H$121,7,0),0),"")))</f>
        <v/>
      </c>
      <c r="AD1186" s="347"/>
      <c r="AE1186" s="350" t="str">
        <f t="shared" ca="1" si="727"/>
        <v/>
      </c>
      <c r="AF1186" s="351" t="str">
        <f t="shared" ca="1" si="728"/>
        <v/>
      </c>
      <c r="AG1186" s="340"/>
      <c r="AH1186" s="340"/>
      <c r="AI1186" s="340"/>
      <c r="AJ1186" s="340"/>
      <c r="AK1186" s="340"/>
      <c r="AL1186" s="340"/>
      <c r="AM1186" s="340"/>
      <c r="AN1186" s="340"/>
      <c r="AO1186" s="340"/>
      <c r="AP1186" s="340"/>
      <c r="AQ1186" s="340"/>
      <c r="AR1186" s="340"/>
      <c r="AS1186" s="340"/>
      <c r="AT1186" s="340"/>
      <c r="AU1186" s="340"/>
      <c r="AV1186" s="340"/>
      <c r="AY1186" s="340"/>
      <c r="AZ1186" s="465">
        <f t="shared" ca="1" si="738"/>
        <v>7.3698599999999999E-5</v>
      </c>
      <c r="BA1186" s="464">
        <f t="shared" ca="1" si="739"/>
        <v>0</v>
      </c>
      <c r="BB1186" s="465">
        <f t="shared" ca="1" si="739"/>
        <v>7.3698599999999999E-5</v>
      </c>
      <c r="BC1186" s="466">
        <f t="shared" ca="1" si="740"/>
        <v>78710</v>
      </c>
      <c r="BD1186" s="467">
        <f t="shared" ca="1" si="753"/>
        <v>78711</v>
      </c>
      <c r="BE1186" s="467">
        <f t="shared" ca="1" si="741"/>
        <v>78740</v>
      </c>
      <c r="BF1186" s="468">
        <f ca="1">IF(計算!$BC1186&lt;OP!$C$3,0,BD1186-BC1186)</f>
        <v>1</v>
      </c>
      <c r="BG1186" s="468">
        <f ca="1">IF($BE1186&gt;DATE(YEAR($BD$9)+OP!$C$57,MONTH($BD$9),DAY($BD$9)),0,$BE1186-$BD1186+1)</f>
        <v>0</v>
      </c>
      <c r="BH1186" s="469">
        <f t="shared" ca="1" si="742"/>
        <v>1</v>
      </c>
      <c r="BI1186" t="str">
        <f t="shared" si="758"/>
        <v/>
      </c>
      <c r="BJ1186">
        <v>1</v>
      </c>
      <c r="BN1186" s="468">
        <f t="shared" si="754"/>
        <v>99</v>
      </c>
      <c r="BO1186" s="468">
        <f t="shared" si="755"/>
        <v>1</v>
      </c>
      <c r="BP1186" s="467">
        <f t="shared" ca="1" si="743"/>
        <v>78711</v>
      </c>
      <c r="BQ1186" s="475">
        <f t="shared" ca="1" si="757"/>
        <v>131</v>
      </c>
      <c r="BR1186" s="475" t="str">
        <f t="shared" si="756"/>
        <v/>
      </c>
      <c r="BS1186" s="471" t="str">
        <f t="shared" si="744"/>
        <v/>
      </c>
      <c r="BT1186" s="472" t="str">
        <f t="shared" si="759"/>
        <v/>
      </c>
      <c r="BU1186" s="472">
        <f t="shared" ca="1" si="745"/>
        <v>0</v>
      </c>
      <c r="BV1186" s="472">
        <f t="shared" ca="1" si="745"/>
        <v>0</v>
      </c>
      <c r="BW1186" s="472"/>
      <c r="BX1186" s="473">
        <f t="shared" ca="1" si="746"/>
        <v>2804925.34306808</v>
      </c>
      <c r="BY1186" s="473">
        <f t="shared" si="747"/>
        <v>0</v>
      </c>
      <c r="BZ1186" s="473">
        <f t="shared" ca="1" si="729"/>
        <v>206.71907088899999</v>
      </c>
      <c r="CA1186" s="476">
        <f t="shared" ca="1" si="748"/>
        <v>0</v>
      </c>
      <c r="CB1186" s="494">
        <f ca="1">IF(OR($Q1185&lt;&gt;1,OP!$D$5+$BN1186-1&lt;16,$BN1186-1&lt;1),0,ROUND(ROUND(ROUND(((VLOOKUP($BN1186-1,MORE_PV,5,0)/10000)*VLOOKUP($BN1186,MORE_PV,$CB$5,0)),3)*VLOOKUP($BN1186,more1,5,0),0)/$R1185,0))</f>
        <v>0</v>
      </c>
      <c r="CC1186" s="473">
        <f t="shared" ca="1" si="749"/>
        <v>0</v>
      </c>
      <c r="CD1186" s="477"/>
    </row>
    <row r="1187" spans="2:82" ht="16.5" hidden="1">
      <c r="B1187" s="80"/>
      <c r="C1187" s="80"/>
      <c r="D1187" s="80"/>
      <c r="E1187" s="80"/>
      <c r="F1187" s="80"/>
      <c r="G1187" s="80"/>
      <c r="H1187" s="80"/>
      <c r="I1187" s="80"/>
      <c r="J1187" s="192">
        <f t="shared" si="730"/>
        <v>99</v>
      </c>
      <c r="K1187" s="192">
        <f t="shared" si="731"/>
        <v>3</v>
      </c>
      <c r="L1187" s="192" t="str">
        <f t="shared" si="726"/>
        <v/>
      </c>
      <c r="M1187" s="216" t="str">
        <f t="shared" ca="1" si="732"/>
        <v/>
      </c>
      <c r="N1187" s="216"/>
      <c r="O1187" s="216"/>
      <c r="P1187" s="216"/>
      <c r="Q1187" s="456">
        <f t="shared" ca="1" si="733"/>
        <v>1</v>
      </c>
      <c r="R1187" s="450">
        <f t="shared" ca="1" si="734"/>
        <v>12</v>
      </c>
      <c r="S1187" s="191">
        <f t="shared" si="735"/>
        <v>99</v>
      </c>
      <c r="T1187" s="191">
        <f t="shared" si="736"/>
        <v>3</v>
      </c>
      <c r="U1187" s="191">
        <f ca="1">OP!$D$5+$S1187-1</f>
        <v>131</v>
      </c>
      <c r="V1187" s="191" t="str">
        <f t="shared" si="737"/>
        <v/>
      </c>
      <c r="W1187" s="350">
        <f ca="1">IF(Q1187&lt;&gt;1,0,VLOOKUP(OP!$C$55,PVFB,$S1187+2,0))</f>
        <v>0</v>
      </c>
      <c r="X1187" s="473" t="str">
        <f t="shared" ca="1" si="750"/>
        <v/>
      </c>
      <c r="Y1187" s="348">
        <f t="shared" ca="1" si="751"/>
        <v>0</v>
      </c>
      <c r="Z1187" s="348">
        <f t="shared" ca="1" si="752"/>
        <v>8012</v>
      </c>
      <c r="AA1187" s="348">
        <f ca="1">IF(Q1187&lt;&gt;1,0,VLOOKUP(OP!$C$55,PVFB,$S1187+2,0))</f>
        <v>0</v>
      </c>
      <c r="AB1187" s="488" t="str">
        <f ca="1">IF(AND(S1187&lt;OP!$C$24,$U1187&lt;15),0,IF(AND($U1187&lt;15,$T1187=12),ROUND(VLOOKUP($S1187,DOWN16,5,0),3),IF($T1187=12,ROUND(($Z1187/10000)*$AA1187,3)+IF(AND($P$7="購買增額繳清保險",T1187=12,U1187=110),VLOOKUP(S1187,$B$10:$H$121,7,0),0),"")))</f>
        <v/>
      </c>
      <c r="AC1187" s="350" t="str">
        <f ca="1">IF(AND(S1187&lt;OP!$C$24,$U1187&lt;15),0,IF(AND($U1187&lt;16,$T1187=12),VLOOKUP($S1187,DOWN16,4,0),IF($T1187=12,ROUND(VLOOKUP(OP!$C$55,_DIE2,$S1187+1,0)*(Z1187/10000),0)+IF(AND($P$7="購買增額繳清保險",T1187=12,U1187=110),VLOOKUP(S1187,$B$10:$H$121,7,0),0),"")))</f>
        <v/>
      </c>
      <c r="AD1187" s="347"/>
      <c r="AE1187" s="350" t="str">
        <f t="shared" ca="1" si="727"/>
        <v/>
      </c>
      <c r="AF1187" s="351" t="str">
        <f t="shared" ca="1" si="728"/>
        <v/>
      </c>
      <c r="AG1187" s="340"/>
      <c r="AH1187" s="340"/>
      <c r="AI1187" s="340"/>
      <c r="AJ1187" s="340"/>
      <c r="AK1187" s="340"/>
      <c r="AL1187" s="340"/>
      <c r="AM1187" s="340"/>
      <c r="AN1187" s="340"/>
      <c r="AO1187" s="340"/>
      <c r="AP1187" s="340"/>
      <c r="AQ1187" s="340"/>
      <c r="AR1187" s="340"/>
      <c r="AS1187" s="340"/>
      <c r="AT1187" s="340"/>
      <c r="AU1187" s="340"/>
      <c r="AV1187" s="340"/>
      <c r="AY1187" s="340"/>
      <c r="AZ1187" s="465">
        <f t="shared" ca="1" si="738"/>
        <v>7.3698599999999999E-5</v>
      </c>
      <c r="BA1187" s="464">
        <f t="shared" ca="1" si="739"/>
        <v>0</v>
      </c>
      <c r="BB1187" s="465">
        <f t="shared" ca="1" si="739"/>
        <v>7.3698599999999999E-5</v>
      </c>
      <c r="BC1187" s="466">
        <f t="shared" ca="1" si="740"/>
        <v>78741</v>
      </c>
      <c r="BD1187" s="467">
        <f t="shared" ca="1" si="753"/>
        <v>78742</v>
      </c>
      <c r="BE1187" s="467">
        <f t="shared" ca="1" si="741"/>
        <v>78771</v>
      </c>
      <c r="BF1187" s="468">
        <f ca="1">IF(計算!$BC1187&lt;OP!$C$3,0,BD1187-BC1187)</f>
        <v>1</v>
      </c>
      <c r="BG1187" s="468">
        <f ca="1">IF($BE1187&gt;DATE(YEAR($BD$9)+OP!$C$57,MONTH($BD$9),DAY($BD$9)),0,$BE1187-$BD1187+1)</f>
        <v>0</v>
      </c>
      <c r="BH1187" s="469">
        <f t="shared" ca="1" si="742"/>
        <v>1</v>
      </c>
      <c r="BI1187" t="str">
        <f t="shared" si="758"/>
        <v/>
      </c>
      <c r="BJ1187">
        <v>2</v>
      </c>
      <c r="BN1187" s="468">
        <f t="shared" si="754"/>
        <v>99</v>
      </c>
      <c r="BO1187" s="468">
        <f t="shared" si="755"/>
        <v>2</v>
      </c>
      <c r="BP1187" s="467">
        <f t="shared" ca="1" si="743"/>
        <v>78742</v>
      </c>
      <c r="BQ1187" s="475">
        <f t="shared" ca="1" si="757"/>
        <v>131</v>
      </c>
      <c r="BR1187" s="475" t="str">
        <f t="shared" si="756"/>
        <v/>
      </c>
      <c r="BS1187" s="471" t="str">
        <f t="shared" si="744"/>
        <v/>
      </c>
      <c r="BT1187" s="472" t="str">
        <f t="shared" si="759"/>
        <v/>
      </c>
      <c r="BU1187" s="472">
        <f t="shared" ca="1" si="745"/>
        <v>0</v>
      </c>
      <c r="BV1187" s="472">
        <f t="shared" ca="1" si="745"/>
        <v>0</v>
      </c>
      <c r="BW1187" s="472"/>
      <c r="BX1187" s="473">
        <f t="shared" ca="1" si="746"/>
        <v>2805132.06213897</v>
      </c>
      <c r="BY1187" s="473">
        <f t="shared" si="747"/>
        <v>0</v>
      </c>
      <c r="BZ1187" s="473">
        <f t="shared" ca="1" si="729"/>
        <v>206.73430579500001</v>
      </c>
      <c r="CA1187" s="476">
        <f t="shared" ca="1" si="748"/>
        <v>0</v>
      </c>
      <c r="CB1187" s="494">
        <f ca="1">IF(OR($Q1186&lt;&gt;1,OP!$D$5+$BN1187-1&lt;16,$BN1187-1&lt;1),0,ROUND(ROUND(ROUND(((VLOOKUP($BN1187-1,MORE_PV,5,0)/10000)*VLOOKUP($BN1187,MORE_PV,$CB$5,0)),3)*VLOOKUP($BN1187,more1,5,0),0)/$R1186,0))</f>
        <v>0</v>
      </c>
      <c r="CC1187" s="473">
        <f t="shared" ca="1" si="749"/>
        <v>0</v>
      </c>
      <c r="CD1187" s="477"/>
    </row>
    <row r="1188" spans="2:82" ht="16.5" hidden="1">
      <c r="B1188" s="80"/>
      <c r="C1188" s="80"/>
      <c r="D1188" s="80"/>
      <c r="E1188" s="80"/>
      <c r="F1188" s="80"/>
      <c r="G1188" s="80"/>
      <c r="H1188" s="80"/>
      <c r="I1188" s="80"/>
      <c r="J1188" s="192">
        <f t="shared" si="730"/>
        <v>99</v>
      </c>
      <c r="K1188" s="192">
        <f t="shared" si="731"/>
        <v>4</v>
      </c>
      <c r="L1188" s="192" t="str">
        <f t="shared" si="726"/>
        <v/>
      </c>
      <c r="M1188" s="216" t="str">
        <f t="shared" ca="1" si="732"/>
        <v/>
      </c>
      <c r="N1188" s="216"/>
      <c r="O1188" s="216"/>
      <c r="P1188" s="216"/>
      <c r="Q1188" s="456">
        <f t="shared" ca="1" si="733"/>
        <v>1</v>
      </c>
      <c r="R1188" s="450">
        <f t="shared" ca="1" si="734"/>
        <v>12</v>
      </c>
      <c r="S1188" s="191">
        <f t="shared" si="735"/>
        <v>99</v>
      </c>
      <c r="T1188" s="191">
        <f t="shared" si="736"/>
        <v>4</v>
      </c>
      <c r="U1188" s="191">
        <f ca="1">OP!$D$5+$S1188-1</f>
        <v>131</v>
      </c>
      <c r="V1188" s="191" t="str">
        <f t="shared" si="737"/>
        <v/>
      </c>
      <c r="W1188" s="350">
        <f ca="1">IF(Q1188&lt;&gt;1,0,VLOOKUP(OP!$C$55,PVFB,$S1188+2,0))</f>
        <v>0</v>
      </c>
      <c r="X1188" s="473" t="str">
        <f t="shared" ca="1" si="750"/>
        <v/>
      </c>
      <c r="Y1188" s="348">
        <f t="shared" ca="1" si="751"/>
        <v>0</v>
      </c>
      <c r="Z1188" s="348">
        <f t="shared" ca="1" si="752"/>
        <v>8012</v>
      </c>
      <c r="AA1188" s="348">
        <f ca="1">IF(Q1188&lt;&gt;1,0,VLOOKUP(OP!$C$55,PVFB,$S1188+2,0))</f>
        <v>0</v>
      </c>
      <c r="AB1188" s="488" t="str">
        <f ca="1">IF(AND(S1188&lt;OP!$C$24,$U1188&lt;15),0,IF(AND($U1188&lt;15,$T1188=12),ROUND(VLOOKUP($S1188,DOWN16,5,0),3),IF($T1188=12,ROUND(($Z1188/10000)*$AA1188,3)+IF(AND($P$7="購買增額繳清保險",T1188=12,U1188=110),VLOOKUP(S1188,$B$10:$H$121,7,0),0),"")))</f>
        <v/>
      </c>
      <c r="AC1188" s="350" t="str">
        <f ca="1">IF(AND(S1188&lt;OP!$C$24,$U1188&lt;15),0,IF(AND($U1188&lt;16,$T1188=12),VLOOKUP($S1188,DOWN16,4,0),IF($T1188=12,ROUND(VLOOKUP(OP!$C$55,_DIE2,$S1188+1,0)*(Z1188/10000),0)+IF(AND($P$7="購買增額繳清保險",T1188=12,U1188=110),VLOOKUP(S1188,$B$10:$H$121,7,0),0),"")))</f>
        <v/>
      </c>
      <c r="AD1188" s="347"/>
      <c r="AE1188" s="350" t="str">
        <f t="shared" ca="1" si="727"/>
        <v/>
      </c>
      <c r="AF1188" s="351" t="str">
        <f t="shared" ca="1" si="728"/>
        <v/>
      </c>
      <c r="AG1188" s="340"/>
      <c r="AH1188" s="340"/>
      <c r="AI1188" s="340"/>
      <c r="AJ1188" s="340"/>
      <c r="AK1188" s="340"/>
      <c r="AL1188" s="340"/>
      <c r="AM1188" s="340"/>
      <c r="AN1188" s="340"/>
      <c r="AO1188" s="340"/>
      <c r="AP1188" s="340"/>
      <c r="AQ1188" s="340"/>
      <c r="AR1188" s="340"/>
      <c r="AS1188" s="340"/>
      <c r="AT1188" s="340"/>
      <c r="AU1188" s="340"/>
      <c r="AV1188" s="340"/>
      <c r="AY1188" s="340"/>
      <c r="AZ1188" s="465">
        <f t="shared" ca="1" si="738"/>
        <v>7.3698599999999999E-5</v>
      </c>
      <c r="BA1188" s="464">
        <f t="shared" ca="1" si="739"/>
        <v>0</v>
      </c>
      <c r="BB1188" s="465">
        <f t="shared" ca="1" si="739"/>
        <v>7.3698599999999999E-5</v>
      </c>
      <c r="BC1188" s="466">
        <f t="shared" ca="1" si="740"/>
        <v>78772</v>
      </c>
      <c r="BD1188" s="467">
        <f t="shared" ca="1" si="753"/>
        <v>78773</v>
      </c>
      <c r="BE1188" s="467">
        <f t="shared" ca="1" si="741"/>
        <v>78801</v>
      </c>
      <c r="BF1188" s="468">
        <f ca="1">IF(計算!$BC1188&lt;OP!$C$3,0,BD1188-BC1188)</f>
        <v>1</v>
      </c>
      <c r="BG1188" s="468">
        <f ca="1">IF($BE1188&gt;DATE(YEAR($BD$9)+OP!$C$57,MONTH($BD$9),DAY($BD$9)),0,$BE1188-$BD1188+1)</f>
        <v>0</v>
      </c>
      <c r="BH1188" s="469">
        <f t="shared" ca="1" si="742"/>
        <v>1</v>
      </c>
      <c r="BI1188" t="str">
        <f t="shared" si="758"/>
        <v/>
      </c>
      <c r="BJ1188">
        <v>3</v>
      </c>
      <c r="BN1188" s="468">
        <f t="shared" si="754"/>
        <v>99</v>
      </c>
      <c r="BO1188" s="468">
        <f t="shared" si="755"/>
        <v>3</v>
      </c>
      <c r="BP1188" s="467">
        <f t="shared" ca="1" si="743"/>
        <v>78773</v>
      </c>
      <c r="BQ1188" s="475">
        <f t="shared" ca="1" si="757"/>
        <v>131</v>
      </c>
      <c r="BR1188" s="475" t="str">
        <f t="shared" si="756"/>
        <v/>
      </c>
      <c r="BS1188" s="471" t="str">
        <f t="shared" si="744"/>
        <v/>
      </c>
      <c r="BT1188" s="472" t="str">
        <f t="shared" si="759"/>
        <v/>
      </c>
      <c r="BU1188" s="472">
        <f t="shared" ca="1" si="745"/>
        <v>0</v>
      </c>
      <c r="BV1188" s="472">
        <f t="shared" ca="1" si="745"/>
        <v>0</v>
      </c>
      <c r="BW1188" s="472"/>
      <c r="BX1188" s="473">
        <f t="shared" ca="1" si="746"/>
        <v>2805338.7964447602</v>
      </c>
      <c r="BY1188" s="473">
        <f t="shared" si="747"/>
        <v>0</v>
      </c>
      <c r="BZ1188" s="473">
        <f t="shared" ca="1" si="729"/>
        <v>206.749541824</v>
      </c>
      <c r="CA1188" s="476">
        <f t="shared" ca="1" si="748"/>
        <v>0</v>
      </c>
      <c r="CB1188" s="494">
        <f ca="1">IF(OR($Q1187&lt;&gt;1,OP!$D$5+$BN1188-1&lt;16,$BN1188-1&lt;1),0,ROUND(ROUND(ROUND(((VLOOKUP($BN1188-1,MORE_PV,5,0)/10000)*VLOOKUP($BN1188,MORE_PV,$CB$5,0)),3)*VLOOKUP($BN1188,more1,5,0),0)/$R1187,0))</f>
        <v>0</v>
      </c>
      <c r="CC1188" s="473">
        <f t="shared" ca="1" si="749"/>
        <v>0</v>
      </c>
      <c r="CD1188" s="477"/>
    </row>
    <row r="1189" spans="2:82" ht="16.5" hidden="1">
      <c r="B1189" s="80"/>
      <c r="C1189" s="80"/>
      <c r="D1189" s="80"/>
      <c r="E1189" s="80"/>
      <c r="F1189" s="80"/>
      <c r="G1189" s="80"/>
      <c r="H1189" s="80"/>
      <c r="I1189" s="80"/>
      <c r="J1189" s="192">
        <f t="shared" si="730"/>
        <v>99</v>
      </c>
      <c r="K1189" s="192">
        <f t="shared" si="731"/>
        <v>5</v>
      </c>
      <c r="L1189" s="192" t="str">
        <f t="shared" si="726"/>
        <v/>
      </c>
      <c r="M1189" s="216" t="str">
        <f t="shared" ca="1" si="732"/>
        <v/>
      </c>
      <c r="N1189" s="216"/>
      <c r="O1189" s="216"/>
      <c r="P1189" s="216"/>
      <c r="Q1189" s="456">
        <f t="shared" ca="1" si="733"/>
        <v>1</v>
      </c>
      <c r="R1189" s="450">
        <f t="shared" ca="1" si="734"/>
        <v>12</v>
      </c>
      <c r="S1189" s="191">
        <f t="shared" si="735"/>
        <v>99</v>
      </c>
      <c r="T1189" s="191">
        <f t="shared" si="736"/>
        <v>5</v>
      </c>
      <c r="U1189" s="191">
        <f ca="1">OP!$D$5+$S1189-1</f>
        <v>131</v>
      </c>
      <c r="V1189" s="191" t="str">
        <f t="shared" si="737"/>
        <v/>
      </c>
      <c r="W1189" s="350">
        <f ca="1">IF(Q1189&lt;&gt;1,0,VLOOKUP(OP!$C$55,PVFB,$S1189+2,0))</f>
        <v>0</v>
      </c>
      <c r="X1189" s="473" t="str">
        <f t="shared" ca="1" si="750"/>
        <v/>
      </c>
      <c r="Y1189" s="348">
        <f t="shared" ca="1" si="751"/>
        <v>0</v>
      </c>
      <c r="Z1189" s="348">
        <f t="shared" ca="1" si="752"/>
        <v>8012</v>
      </c>
      <c r="AA1189" s="348">
        <f ca="1">IF(Q1189&lt;&gt;1,0,VLOOKUP(OP!$C$55,PVFB,$S1189+2,0))</f>
        <v>0</v>
      </c>
      <c r="AB1189" s="488" t="str">
        <f ca="1">IF(AND(S1189&lt;OP!$C$24,$U1189&lt;15),0,IF(AND($U1189&lt;15,$T1189=12),ROUND(VLOOKUP($S1189,DOWN16,5,0),3),IF($T1189=12,ROUND(($Z1189/10000)*$AA1189,3)+IF(AND($P$7="購買增額繳清保險",T1189=12,U1189=110),VLOOKUP(S1189,$B$10:$H$121,7,0),0),"")))</f>
        <v/>
      </c>
      <c r="AC1189" s="350" t="str">
        <f ca="1">IF(AND(S1189&lt;OP!$C$24,$U1189&lt;15),0,IF(AND($U1189&lt;16,$T1189=12),VLOOKUP($S1189,DOWN16,4,0),IF($T1189=12,ROUND(VLOOKUP(OP!$C$55,_DIE2,$S1189+1,0)*(Z1189/10000),0)+IF(AND($P$7="購買增額繳清保險",T1189=12,U1189=110),VLOOKUP(S1189,$B$10:$H$121,7,0),0),"")))</f>
        <v/>
      </c>
      <c r="AD1189" s="347"/>
      <c r="AE1189" s="350" t="str">
        <f t="shared" ca="1" si="727"/>
        <v/>
      </c>
      <c r="AF1189" s="351" t="str">
        <f t="shared" ca="1" si="728"/>
        <v/>
      </c>
      <c r="AG1189" s="340"/>
      <c r="AH1189" s="340"/>
      <c r="AI1189" s="340"/>
      <c r="AJ1189" s="340"/>
      <c r="AK1189" s="340"/>
      <c r="AL1189" s="340"/>
      <c r="AM1189" s="340"/>
      <c r="AN1189" s="340"/>
      <c r="AO1189" s="340"/>
      <c r="AP1189" s="340"/>
      <c r="AQ1189" s="340"/>
      <c r="AR1189" s="340"/>
      <c r="AS1189" s="340"/>
      <c r="AT1189" s="340"/>
      <c r="AU1189" s="340"/>
      <c r="AV1189" s="340"/>
      <c r="AY1189" s="340"/>
      <c r="AZ1189" s="465">
        <f t="shared" ca="1" si="738"/>
        <v>7.3698599999999999E-5</v>
      </c>
      <c r="BA1189" s="464">
        <f t="shared" ca="1" si="739"/>
        <v>0</v>
      </c>
      <c r="BB1189" s="465">
        <f t="shared" ca="1" si="739"/>
        <v>7.3698599999999999E-5</v>
      </c>
      <c r="BC1189" s="466">
        <f t="shared" ca="1" si="740"/>
        <v>78802</v>
      </c>
      <c r="BD1189" s="467">
        <f t="shared" ca="1" si="753"/>
        <v>78803</v>
      </c>
      <c r="BE1189" s="467">
        <f t="shared" ca="1" si="741"/>
        <v>78832</v>
      </c>
      <c r="BF1189" s="468">
        <f ca="1">IF(計算!$BC1189&lt;OP!$C$3,0,BD1189-BC1189)</f>
        <v>1</v>
      </c>
      <c r="BG1189" s="468">
        <f ca="1">IF($BE1189&gt;DATE(YEAR($BD$9)+OP!$C$57,MONTH($BD$9),DAY($BD$9)),0,$BE1189-$BD1189+1)</f>
        <v>0</v>
      </c>
      <c r="BH1189" s="469">
        <f t="shared" ca="1" si="742"/>
        <v>1</v>
      </c>
      <c r="BI1189" t="str">
        <f t="shared" si="758"/>
        <v/>
      </c>
      <c r="BJ1189">
        <v>4</v>
      </c>
      <c r="BN1189" s="468">
        <f t="shared" si="754"/>
        <v>99</v>
      </c>
      <c r="BO1189" s="468">
        <f t="shared" si="755"/>
        <v>4</v>
      </c>
      <c r="BP1189" s="467">
        <f t="shared" ca="1" si="743"/>
        <v>78803</v>
      </c>
      <c r="BQ1189" s="475">
        <f t="shared" ca="1" si="757"/>
        <v>131</v>
      </c>
      <c r="BR1189" s="475" t="str">
        <f t="shared" si="756"/>
        <v/>
      </c>
      <c r="BS1189" s="471" t="str">
        <f t="shared" si="744"/>
        <v/>
      </c>
      <c r="BT1189" s="472" t="str">
        <f t="shared" si="759"/>
        <v/>
      </c>
      <c r="BU1189" s="472">
        <f t="shared" ca="1" si="745"/>
        <v>0</v>
      </c>
      <c r="BV1189" s="472">
        <f t="shared" ca="1" si="745"/>
        <v>0</v>
      </c>
      <c r="BW1189" s="472"/>
      <c r="BX1189" s="473">
        <f t="shared" ca="1" si="746"/>
        <v>2805545.5459865802</v>
      </c>
      <c r="BY1189" s="473">
        <f t="shared" si="747"/>
        <v>0</v>
      </c>
      <c r="BZ1189" s="473">
        <f t="shared" ca="1" si="729"/>
        <v>206.76477897500001</v>
      </c>
      <c r="CA1189" s="476">
        <f t="shared" ca="1" si="748"/>
        <v>0</v>
      </c>
      <c r="CB1189" s="494">
        <f ca="1">IF(OR($Q1188&lt;&gt;1,OP!$D$5+$BN1189-1&lt;16,$BN1189-1&lt;1),0,ROUND(ROUND(ROUND(((VLOOKUP($BN1189-1,MORE_PV,5,0)/10000)*VLOOKUP($BN1189,MORE_PV,$CB$5,0)),3)*VLOOKUP($BN1189,more1,5,0),0)/$R1188,0))</f>
        <v>0</v>
      </c>
      <c r="CC1189" s="473">
        <f t="shared" ca="1" si="749"/>
        <v>0</v>
      </c>
      <c r="CD1189" s="477"/>
    </row>
    <row r="1190" spans="2:82" ht="16.5" hidden="1">
      <c r="B1190" s="80"/>
      <c r="C1190" s="80"/>
      <c r="D1190" s="80"/>
      <c r="E1190" s="80"/>
      <c r="F1190" s="80"/>
      <c r="G1190" s="80"/>
      <c r="H1190" s="80"/>
      <c r="I1190" s="80"/>
      <c r="J1190" s="192">
        <f t="shared" si="730"/>
        <v>99</v>
      </c>
      <c r="K1190" s="192">
        <f t="shared" si="731"/>
        <v>6</v>
      </c>
      <c r="L1190" s="192" t="str">
        <f t="shared" si="726"/>
        <v/>
      </c>
      <c r="M1190" s="216" t="str">
        <f t="shared" ca="1" si="732"/>
        <v/>
      </c>
      <c r="N1190" s="216"/>
      <c r="O1190" s="216"/>
      <c r="P1190" s="216"/>
      <c r="Q1190" s="456">
        <f t="shared" ca="1" si="733"/>
        <v>1</v>
      </c>
      <c r="R1190" s="450">
        <f t="shared" ca="1" si="734"/>
        <v>12</v>
      </c>
      <c r="S1190" s="191">
        <f t="shared" si="735"/>
        <v>99</v>
      </c>
      <c r="T1190" s="191">
        <f t="shared" si="736"/>
        <v>6</v>
      </c>
      <c r="U1190" s="191">
        <f ca="1">OP!$D$5+$S1190-1</f>
        <v>131</v>
      </c>
      <c r="V1190" s="191" t="str">
        <f t="shared" si="737"/>
        <v/>
      </c>
      <c r="W1190" s="350">
        <f ca="1">IF(Q1190&lt;&gt;1,0,VLOOKUP(OP!$C$55,PVFB,$S1190+2,0))</f>
        <v>0</v>
      </c>
      <c r="X1190" s="473" t="str">
        <f t="shared" ca="1" si="750"/>
        <v/>
      </c>
      <c r="Y1190" s="348">
        <f t="shared" ca="1" si="751"/>
        <v>0</v>
      </c>
      <c r="Z1190" s="348">
        <f t="shared" ca="1" si="752"/>
        <v>8012</v>
      </c>
      <c r="AA1190" s="348">
        <f ca="1">IF(Q1190&lt;&gt;1,0,VLOOKUP(OP!$C$55,PVFB,$S1190+2,0))</f>
        <v>0</v>
      </c>
      <c r="AB1190" s="488" t="str">
        <f ca="1">IF(AND(S1190&lt;OP!$C$24,$U1190&lt;15),0,IF(AND($U1190&lt;15,$T1190=12),ROUND(VLOOKUP($S1190,DOWN16,5,0),3),IF($T1190=12,ROUND(($Z1190/10000)*$AA1190,3)+IF(AND($P$7="購買增額繳清保險",T1190=12,U1190=110),VLOOKUP(S1190,$B$10:$H$121,7,0),0),"")))</f>
        <v/>
      </c>
      <c r="AC1190" s="350" t="str">
        <f ca="1">IF(AND(S1190&lt;OP!$C$24,$U1190&lt;15),0,IF(AND($U1190&lt;16,$T1190=12),VLOOKUP($S1190,DOWN16,4,0),IF($T1190=12,ROUND(VLOOKUP(OP!$C$55,_DIE2,$S1190+1,0)*(Z1190/10000),0)+IF(AND($P$7="購買增額繳清保險",T1190=12,U1190=110),VLOOKUP(S1190,$B$10:$H$121,7,0),0),"")))</f>
        <v/>
      </c>
      <c r="AD1190" s="347"/>
      <c r="AE1190" s="350" t="str">
        <f t="shared" ca="1" si="727"/>
        <v/>
      </c>
      <c r="AF1190" s="351" t="str">
        <f t="shared" ca="1" si="728"/>
        <v/>
      </c>
      <c r="AG1190" s="340"/>
      <c r="AH1190" s="340"/>
      <c r="AI1190" s="340"/>
      <c r="AJ1190" s="340"/>
      <c r="AK1190" s="340"/>
      <c r="AL1190" s="340"/>
      <c r="AM1190" s="340"/>
      <c r="AN1190" s="340"/>
      <c r="AO1190" s="340"/>
      <c r="AP1190" s="340"/>
      <c r="AQ1190" s="340"/>
      <c r="AR1190" s="340"/>
      <c r="AS1190" s="340"/>
      <c r="AT1190" s="340"/>
      <c r="AU1190" s="340"/>
      <c r="AV1190" s="340"/>
      <c r="AY1190" s="340"/>
      <c r="AZ1190" s="465">
        <f t="shared" ca="1" si="738"/>
        <v>7.3698599999999999E-5</v>
      </c>
      <c r="BA1190" s="464">
        <f t="shared" ca="1" si="739"/>
        <v>0</v>
      </c>
      <c r="BB1190" s="465">
        <f t="shared" ca="1" si="739"/>
        <v>7.3698599999999999E-5</v>
      </c>
      <c r="BC1190" s="466">
        <f t="shared" ca="1" si="740"/>
        <v>78833</v>
      </c>
      <c r="BD1190" s="467">
        <f t="shared" ca="1" si="753"/>
        <v>78834</v>
      </c>
      <c r="BE1190" s="467">
        <f t="shared" ca="1" si="741"/>
        <v>78862</v>
      </c>
      <c r="BF1190" s="468">
        <f ca="1">IF(計算!$BC1190&lt;OP!$C$3,0,BD1190-BC1190)</f>
        <v>1</v>
      </c>
      <c r="BG1190" s="468">
        <f ca="1">IF($BE1190&gt;DATE(YEAR($BD$9)+OP!$C$57,MONTH($BD$9),DAY($BD$9)),0,$BE1190-$BD1190+1)</f>
        <v>0</v>
      </c>
      <c r="BH1190" s="469">
        <f t="shared" ca="1" si="742"/>
        <v>1</v>
      </c>
      <c r="BI1190" t="str">
        <f t="shared" si="758"/>
        <v/>
      </c>
      <c r="BJ1190">
        <v>5</v>
      </c>
      <c r="BN1190" s="468">
        <f t="shared" si="754"/>
        <v>99</v>
      </c>
      <c r="BO1190" s="468">
        <f t="shared" si="755"/>
        <v>5</v>
      </c>
      <c r="BP1190" s="467">
        <f t="shared" ca="1" si="743"/>
        <v>78834</v>
      </c>
      <c r="BQ1190" s="475">
        <f t="shared" ca="1" si="757"/>
        <v>131</v>
      </c>
      <c r="BR1190" s="475" t="str">
        <f t="shared" si="756"/>
        <v/>
      </c>
      <c r="BS1190" s="471" t="str">
        <f t="shared" si="744"/>
        <v/>
      </c>
      <c r="BT1190" s="472" t="str">
        <f t="shared" si="759"/>
        <v/>
      </c>
      <c r="BU1190" s="472">
        <f t="shared" ca="1" si="745"/>
        <v>0</v>
      </c>
      <c r="BV1190" s="472">
        <f t="shared" ca="1" si="745"/>
        <v>0</v>
      </c>
      <c r="BW1190" s="472"/>
      <c r="BX1190" s="473">
        <f t="shared" ca="1" si="746"/>
        <v>2805752.3107655598</v>
      </c>
      <c r="BY1190" s="473">
        <f t="shared" si="747"/>
        <v>0</v>
      </c>
      <c r="BZ1190" s="473">
        <f t="shared" ca="1" si="729"/>
        <v>206.78001724999999</v>
      </c>
      <c r="CA1190" s="476">
        <f t="shared" ca="1" si="748"/>
        <v>0</v>
      </c>
      <c r="CB1190" s="494">
        <f ca="1">IF(OR($Q1189&lt;&gt;1,OP!$D$5+$BN1190-1&lt;16,$BN1190-1&lt;1),0,ROUND(ROUND(ROUND(((VLOOKUP($BN1190-1,MORE_PV,5,0)/10000)*VLOOKUP($BN1190,MORE_PV,$CB$5,0)),3)*VLOOKUP($BN1190,more1,5,0),0)/$R1189,0))</f>
        <v>0</v>
      </c>
      <c r="CC1190" s="473">
        <f t="shared" ca="1" si="749"/>
        <v>0</v>
      </c>
      <c r="CD1190" s="477"/>
    </row>
    <row r="1191" spans="2:82" ht="16.5" hidden="1">
      <c r="B1191" s="80"/>
      <c r="C1191" s="80"/>
      <c r="D1191" s="80"/>
      <c r="E1191" s="80"/>
      <c r="F1191" s="80"/>
      <c r="G1191" s="80"/>
      <c r="H1191" s="80"/>
      <c r="I1191" s="80"/>
      <c r="J1191" s="192">
        <f t="shared" si="730"/>
        <v>99</v>
      </c>
      <c r="K1191" s="192">
        <f t="shared" si="731"/>
        <v>7</v>
      </c>
      <c r="L1191" s="192" t="str">
        <f t="shared" si="726"/>
        <v/>
      </c>
      <c r="M1191" s="216" t="str">
        <f t="shared" ca="1" si="732"/>
        <v/>
      </c>
      <c r="N1191" s="216"/>
      <c r="O1191" s="216"/>
      <c r="P1191" s="216"/>
      <c r="Q1191" s="456">
        <f t="shared" ca="1" si="733"/>
        <v>1</v>
      </c>
      <c r="R1191" s="450">
        <f t="shared" ca="1" si="734"/>
        <v>12</v>
      </c>
      <c r="S1191" s="191">
        <f t="shared" si="735"/>
        <v>99</v>
      </c>
      <c r="T1191" s="191">
        <f t="shared" si="736"/>
        <v>7</v>
      </c>
      <c r="U1191" s="191">
        <f ca="1">OP!$D$5+$S1191-1</f>
        <v>131</v>
      </c>
      <c r="V1191" s="191" t="str">
        <f t="shared" si="737"/>
        <v/>
      </c>
      <c r="W1191" s="350">
        <f ca="1">IF(Q1191&lt;&gt;1,0,VLOOKUP(OP!$C$55,PVFB,$S1191+2,0))</f>
        <v>0</v>
      </c>
      <c r="X1191" s="473" t="str">
        <f t="shared" ca="1" si="750"/>
        <v/>
      </c>
      <c r="Y1191" s="348">
        <f t="shared" ca="1" si="751"/>
        <v>0</v>
      </c>
      <c r="Z1191" s="348">
        <f t="shared" ca="1" si="752"/>
        <v>8012</v>
      </c>
      <c r="AA1191" s="348">
        <f ca="1">IF(Q1191&lt;&gt;1,0,VLOOKUP(OP!$C$55,PVFB,$S1191+2,0))</f>
        <v>0</v>
      </c>
      <c r="AB1191" s="488" t="str">
        <f ca="1">IF(AND(S1191&lt;OP!$C$24,$U1191&lt;15),0,IF(AND($U1191&lt;15,$T1191=12),ROUND(VLOOKUP($S1191,DOWN16,5,0),3),IF($T1191=12,ROUND(($Z1191/10000)*$AA1191,3)+IF(AND($P$7="購買增額繳清保險",T1191=12,U1191=110),VLOOKUP(S1191,$B$10:$H$121,7,0),0),"")))</f>
        <v/>
      </c>
      <c r="AC1191" s="350" t="str">
        <f ca="1">IF(AND(S1191&lt;OP!$C$24,$U1191&lt;15),0,IF(AND($U1191&lt;16,$T1191=12),VLOOKUP($S1191,DOWN16,4,0),IF($T1191=12,ROUND(VLOOKUP(OP!$C$55,_DIE2,$S1191+1,0)*(Z1191/10000),0)+IF(AND($P$7="購買增額繳清保險",T1191=12,U1191=110),VLOOKUP(S1191,$B$10:$H$121,7,0),0),"")))</f>
        <v/>
      </c>
      <c r="AD1191" s="347"/>
      <c r="AE1191" s="350" t="str">
        <f t="shared" ca="1" si="727"/>
        <v/>
      </c>
      <c r="AF1191" s="351" t="str">
        <f t="shared" ca="1" si="728"/>
        <v/>
      </c>
      <c r="AG1191" s="340"/>
      <c r="AH1191" s="340"/>
      <c r="AI1191" s="340"/>
      <c r="AJ1191" s="340"/>
      <c r="AK1191" s="340"/>
      <c r="AL1191" s="340"/>
      <c r="AM1191" s="340"/>
      <c r="AN1191" s="340"/>
      <c r="AO1191" s="340"/>
      <c r="AP1191" s="340"/>
      <c r="AQ1191" s="340"/>
      <c r="AR1191" s="340"/>
      <c r="AS1191" s="340"/>
      <c r="AT1191" s="340"/>
      <c r="AU1191" s="340"/>
      <c r="AV1191" s="340"/>
      <c r="AY1191" s="340"/>
      <c r="AZ1191" s="465">
        <f t="shared" ca="1" si="738"/>
        <v>7.3698599999999999E-5</v>
      </c>
      <c r="BA1191" s="464">
        <f t="shared" ca="1" si="739"/>
        <v>0</v>
      </c>
      <c r="BB1191" s="465">
        <f t="shared" ca="1" si="739"/>
        <v>7.3698599999999999E-5</v>
      </c>
      <c r="BC1191" s="466">
        <f t="shared" ca="1" si="740"/>
        <v>78863</v>
      </c>
      <c r="BD1191" s="467">
        <f t="shared" ca="1" si="753"/>
        <v>78864</v>
      </c>
      <c r="BE1191" s="467">
        <f t="shared" ca="1" si="741"/>
        <v>78893</v>
      </c>
      <c r="BF1191" s="468">
        <f ca="1">IF(計算!$BC1191&lt;OP!$C$3,0,BD1191-BC1191)</f>
        <v>1</v>
      </c>
      <c r="BG1191" s="468">
        <f ca="1">IF($BE1191&gt;DATE(YEAR($BD$9)+OP!$C$57,MONTH($BD$9),DAY($BD$9)),0,$BE1191-$BD1191+1)</f>
        <v>0</v>
      </c>
      <c r="BH1191" s="469">
        <f t="shared" ca="1" si="742"/>
        <v>1</v>
      </c>
      <c r="BI1191" t="str">
        <f t="shared" si="758"/>
        <v/>
      </c>
      <c r="BJ1191">
        <v>6</v>
      </c>
      <c r="BN1191" s="468">
        <f t="shared" si="754"/>
        <v>99</v>
      </c>
      <c r="BO1191" s="468">
        <f t="shared" si="755"/>
        <v>6</v>
      </c>
      <c r="BP1191" s="467">
        <f t="shared" ca="1" si="743"/>
        <v>78864</v>
      </c>
      <c r="BQ1191" s="475">
        <f t="shared" ca="1" si="757"/>
        <v>131</v>
      </c>
      <c r="BR1191" s="475" t="str">
        <f t="shared" si="756"/>
        <v/>
      </c>
      <c r="BS1191" s="471" t="str">
        <f t="shared" si="744"/>
        <v/>
      </c>
      <c r="BT1191" s="472" t="str">
        <f t="shared" si="759"/>
        <v/>
      </c>
      <c r="BU1191" s="472">
        <f t="shared" ca="1" si="745"/>
        <v>0</v>
      </c>
      <c r="BV1191" s="472">
        <f t="shared" ca="1" si="745"/>
        <v>0</v>
      </c>
      <c r="BW1191" s="472"/>
      <c r="BX1191" s="473">
        <f t="shared" ca="1" si="746"/>
        <v>2805959.09078281</v>
      </c>
      <c r="BY1191" s="473">
        <f t="shared" si="747"/>
        <v>0</v>
      </c>
      <c r="BZ1191" s="473">
        <f t="shared" ca="1" si="729"/>
        <v>206.79525664799999</v>
      </c>
      <c r="CA1191" s="476">
        <f t="shared" ca="1" si="748"/>
        <v>0</v>
      </c>
      <c r="CB1191" s="494">
        <f ca="1">IF(OR($Q1190&lt;&gt;1,OP!$D$5+$BN1191-1&lt;16,$BN1191-1&lt;1),0,ROUND(ROUND(ROUND(((VLOOKUP($BN1191-1,MORE_PV,5,0)/10000)*VLOOKUP($BN1191,MORE_PV,$CB$5,0)),3)*VLOOKUP($BN1191,more1,5,0),0)/$R1190,0))</f>
        <v>0</v>
      </c>
      <c r="CC1191" s="473">
        <f t="shared" ca="1" si="749"/>
        <v>0</v>
      </c>
      <c r="CD1191" s="477"/>
    </row>
    <row r="1192" spans="2:82" ht="16.5" hidden="1">
      <c r="B1192" s="80"/>
      <c r="C1192" s="80"/>
      <c r="D1192" s="80"/>
      <c r="E1192" s="80"/>
      <c r="F1192" s="80"/>
      <c r="G1192" s="80"/>
      <c r="H1192" s="80"/>
      <c r="I1192" s="80"/>
      <c r="J1192" s="192">
        <f t="shared" si="730"/>
        <v>99</v>
      </c>
      <c r="K1192" s="192">
        <f t="shared" si="731"/>
        <v>8</v>
      </c>
      <c r="L1192" s="192" t="str">
        <f t="shared" si="726"/>
        <v/>
      </c>
      <c r="M1192" s="216" t="str">
        <f t="shared" ca="1" si="732"/>
        <v/>
      </c>
      <c r="N1192" s="216"/>
      <c r="O1192" s="216"/>
      <c r="P1192" s="216"/>
      <c r="Q1192" s="456">
        <f t="shared" ca="1" si="733"/>
        <v>1</v>
      </c>
      <c r="R1192" s="450">
        <f t="shared" ca="1" si="734"/>
        <v>12</v>
      </c>
      <c r="S1192" s="191">
        <f t="shared" si="735"/>
        <v>99</v>
      </c>
      <c r="T1192" s="191">
        <f t="shared" si="736"/>
        <v>8</v>
      </c>
      <c r="U1192" s="191">
        <f ca="1">OP!$D$5+$S1192-1</f>
        <v>131</v>
      </c>
      <c r="V1192" s="191" t="str">
        <f t="shared" si="737"/>
        <v/>
      </c>
      <c r="W1192" s="350">
        <f ca="1">IF(Q1192&lt;&gt;1,0,VLOOKUP(OP!$C$55,PVFB,$S1192+2,0))</f>
        <v>0</v>
      </c>
      <c r="X1192" s="473" t="str">
        <f t="shared" ca="1" si="750"/>
        <v/>
      </c>
      <c r="Y1192" s="348">
        <f t="shared" ca="1" si="751"/>
        <v>0</v>
      </c>
      <c r="Z1192" s="348">
        <f t="shared" ca="1" si="752"/>
        <v>8012</v>
      </c>
      <c r="AA1192" s="348">
        <f ca="1">IF(Q1192&lt;&gt;1,0,VLOOKUP(OP!$C$55,PVFB,$S1192+2,0))</f>
        <v>0</v>
      </c>
      <c r="AB1192" s="488" t="str">
        <f ca="1">IF(AND(S1192&lt;OP!$C$24,$U1192&lt;15),0,IF(AND($U1192&lt;15,$T1192=12),ROUND(VLOOKUP($S1192,DOWN16,5,0),3),IF($T1192=12,ROUND(($Z1192/10000)*$AA1192,3)+IF(AND($P$7="購買增額繳清保險",T1192=12,U1192=110),VLOOKUP(S1192,$B$10:$H$121,7,0),0),"")))</f>
        <v/>
      </c>
      <c r="AC1192" s="350" t="str">
        <f ca="1">IF(AND(S1192&lt;OP!$C$24,$U1192&lt;15),0,IF(AND($U1192&lt;16,$T1192=12),VLOOKUP($S1192,DOWN16,4,0),IF($T1192=12,ROUND(VLOOKUP(OP!$C$55,_DIE2,$S1192+1,0)*(Z1192/10000),0)+IF(AND($P$7="購買增額繳清保險",T1192=12,U1192=110),VLOOKUP(S1192,$B$10:$H$121,7,0),0),"")))</f>
        <v/>
      </c>
      <c r="AD1192" s="347"/>
      <c r="AE1192" s="350" t="str">
        <f t="shared" ca="1" si="727"/>
        <v/>
      </c>
      <c r="AF1192" s="351" t="str">
        <f t="shared" ca="1" si="728"/>
        <v/>
      </c>
      <c r="AG1192" s="340"/>
      <c r="AH1192" s="340"/>
      <c r="AI1192" s="340"/>
      <c r="AJ1192" s="340"/>
      <c r="AK1192" s="340"/>
      <c r="AL1192" s="340"/>
      <c r="AM1192" s="340"/>
      <c r="AN1192" s="340"/>
      <c r="AO1192" s="340"/>
      <c r="AP1192" s="340"/>
      <c r="AQ1192" s="340"/>
      <c r="AR1192" s="340"/>
      <c r="AS1192" s="340"/>
      <c r="AT1192" s="340"/>
      <c r="AU1192" s="340"/>
      <c r="AV1192" s="340"/>
      <c r="AY1192" s="340"/>
      <c r="AZ1192" s="465">
        <f t="shared" ca="1" si="738"/>
        <v>7.3698599999999999E-5</v>
      </c>
      <c r="BA1192" s="464">
        <f t="shared" ca="1" si="739"/>
        <v>0</v>
      </c>
      <c r="BB1192" s="465">
        <f t="shared" ca="1" si="739"/>
        <v>7.3698599999999999E-5</v>
      </c>
      <c r="BC1192" s="466">
        <f t="shared" ca="1" si="740"/>
        <v>78894</v>
      </c>
      <c r="BD1192" s="467">
        <f t="shared" ca="1" si="753"/>
        <v>78895</v>
      </c>
      <c r="BE1192" s="467">
        <f t="shared" ca="1" si="741"/>
        <v>78924</v>
      </c>
      <c r="BF1192" s="468">
        <f ca="1">IF(計算!$BC1192&lt;OP!$C$3,0,BD1192-BC1192)</f>
        <v>1</v>
      </c>
      <c r="BG1192" s="468">
        <f ca="1">IF($BE1192&gt;DATE(YEAR($BD$9)+OP!$C$57,MONTH($BD$9),DAY($BD$9)),0,$BE1192-$BD1192+1)</f>
        <v>0</v>
      </c>
      <c r="BH1192" s="469">
        <f t="shared" ca="1" si="742"/>
        <v>1</v>
      </c>
      <c r="BI1192" t="str">
        <f t="shared" si="758"/>
        <v/>
      </c>
      <c r="BJ1192">
        <v>7</v>
      </c>
      <c r="BN1192" s="468">
        <f t="shared" si="754"/>
        <v>99</v>
      </c>
      <c r="BO1192" s="468">
        <f t="shared" si="755"/>
        <v>7</v>
      </c>
      <c r="BP1192" s="467">
        <f t="shared" ca="1" si="743"/>
        <v>78895</v>
      </c>
      <c r="BQ1192" s="475">
        <f t="shared" ca="1" si="757"/>
        <v>131</v>
      </c>
      <c r="BR1192" s="475" t="str">
        <f t="shared" si="756"/>
        <v/>
      </c>
      <c r="BS1192" s="471" t="str">
        <f t="shared" si="744"/>
        <v/>
      </c>
      <c r="BT1192" s="472" t="str">
        <f t="shared" si="759"/>
        <v/>
      </c>
      <c r="BU1192" s="472">
        <f t="shared" ca="1" si="745"/>
        <v>0</v>
      </c>
      <c r="BV1192" s="472">
        <f t="shared" ca="1" si="745"/>
        <v>0</v>
      </c>
      <c r="BW1192" s="472"/>
      <c r="BX1192" s="473">
        <f t="shared" ca="1" si="746"/>
        <v>2806165.8860394601</v>
      </c>
      <c r="BY1192" s="473">
        <f t="shared" si="747"/>
        <v>0</v>
      </c>
      <c r="BZ1192" s="473">
        <f t="shared" ca="1" si="729"/>
        <v>206.810497169</v>
      </c>
      <c r="CA1192" s="476">
        <f t="shared" ca="1" si="748"/>
        <v>0</v>
      </c>
      <c r="CB1192" s="494">
        <f ca="1">IF(OR($Q1191&lt;&gt;1,OP!$D$5+$BN1192-1&lt;16,$BN1192-1&lt;1),0,ROUND(ROUND(ROUND(((VLOOKUP($BN1192-1,MORE_PV,5,0)/10000)*VLOOKUP($BN1192,MORE_PV,$CB$5,0)),3)*VLOOKUP($BN1192,more1,5,0),0)/$R1191,0))</f>
        <v>0</v>
      </c>
      <c r="CC1192" s="473">
        <f t="shared" ca="1" si="749"/>
        <v>0</v>
      </c>
      <c r="CD1192" s="477"/>
    </row>
    <row r="1193" spans="2:82" ht="16.5" hidden="1">
      <c r="B1193" s="80"/>
      <c r="C1193" s="80"/>
      <c r="D1193" s="80"/>
      <c r="E1193" s="80"/>
      <c r="F1193" s="80"/>
      <c r="G1193" s="80"/>
      <c r="H1193" s="80"/>
      <c r="I1193" s="80"/>
      <c r="J1193" s="192">
        <f t="shared" si="730"/>
        <v>99</v>
      </c>
      <c r="K1193" s="192">
        <f t="shared" si="731"/>
        <v>9</v>
      </c>
      <c r="L1193" s="192" t="str">
        <f t="shared" si="726"/>
        <v/>
      </c>
      <c r="M1193" s="216" t="str">
        <f t="shared" ca="1" si="732"/>
        <v/>
      </c>
      <c r="N1193" s="216"/>
      <c r="O1193" s="216"/>
      <c r="P1193" s="216"/>
      <c r="Q1193" s="456">
        <f t="shared" ca="1" si="733"/>
        <v>1</v>
      </c>
      <c r="R1193" s="450">
        <f t="shared" ca="1" si="734"/>
        <v>12</v>
      </c>
      <c r="S1193" s="191">
        <f t="shared" si="735"/>
        <v>99</v>
      </c>
      <c r="T1193" s="191">
        <f t="shared" si="736"/>
        <v>9</v>
      </c>
      <c r="U1193" s="191">
        <f ca="1">OP!$D$5+$S1193-1</f>
        <v>131</v>
      </c>
      <c r="V1193" s="191" t="str">
        <f t="shared" si="737"/>
        <v/>
      </c>
      <c r="W1193" s="350">
        <f ca="1">IF(Q1193&lt;&gt;1,0,VLOOKUP(OP!$C$55,PVFB,$S1193+2,0))</f>
        <v>0</v>
      </c>
      <c r="X1193" s="473" t="str">
        <f t="shared" ca="1" si="750"/>
        <v/>
      </c>
      <c r="Y1193" s="348">
        <f t="shared" ca="1" si="751"/>
        <v>0</v>
      </c>
      <c r="Z1193" s="348">
        <f t="shared" ca="1" si="752"/>
        <v>8012</v>
      </c>
      <c r="AA1193" s="348">
        <f ca="1">IF(Q1193&lt;&gt;1,0,VLOOKUP(OP!$C$55,PVFB,$S1193+2,0))</f>
        <v>0</v>
      </c>
      <c r="AB1193" s="488" t="str">
        <f ca="1">IF(AND(S1193&lt;OP!$C$24,$U1193&lt;15),0,IF(AND($U1193&lt;15,$T1193=12),ROUND(VLOOKUP($S1193,DOWN16,5,0),3),IF($T1193=12,ROUND(($Z1193/10000)*$AA1193,3)+IF(AND($P$7="購買增額繳清保險",T1193=12,U1193=110),VLOOKUP(S1193,$B$10:$H$121,7,0),0),"")))</f>
        <v/>
      </c>
      <c r="AC1193" s="350" t="str">
        <f ca="1">IF(AND(S1193&lt;OP!$C$24,$U1193&lt;15),0,IF(AND($U1193&lt;16,$T1193=12),VLOOKUP($S1193,DOWN16,4,0),IF($T1193=12,ROUND(VLOOKUP(OP!$C$55,_DIE2,$S1193+1,0)*(Z1193/10000),0)+IF(AND($P$7="購買增額繳清保險",T1193=12,U1193=110),VLOOKUP(S1193,$B$10:$H$121,7,0),0),"")))</f>
        <v/>
      </c>
      <c r="AD1193" s="347"/>
      <c r="AE1193" s="350" t="str">
        <f t="shared" ca="1" si="727"/>
        <v/>
      </c>
      <c r="AF1193" s="351" t="str">
        <f t="shared" ca="1" si="728"/>
        <v/>
      </c>
      <c r="AG1193" s="340"/>
      <c r="AH1193" s="340"/>
      <c r="AI1193" s="340"/>
      <c r="AJ1193" s="340"/>
      <c r="AK1193" s="340"/>
      <c r="AL1193" s="340"/>
      <c r="AM1193" s="340"/>
      <c r="AN1193" s="340"/>
      <c r="AO1193" s="340"/>
      <c r="AP1193" s="340"/>
      <c r="AQ1193" s="340"/>
      <c r="AR1193" s="340"/>
      <c r="AS1193" s="340"/>
      <c r="AT1193" s="340"/>
      <c r="AU1193" s="340"/>
      <c r="AV1193" s="340"/>
      <c r="AY1193" s="340"/>
      <c r="AZ1193" s="465">
        <f t="shared" ca="1" si="738"/>
        <v>7.3698599999999999E-5</v>
      </c>
      <c r="BA1193" s="464">
        <f t="shared" ca="1" si="739"/>
        <v>0</v>
      </c>
      <c r="BB1193" s="465">
        <f t="shared" ca="1" si="739"/>
        <v>7.3698599999999999E-5</v>
      </c>
      <c r="BC1193" s="466">
        <f t="shared" ca="1" si="740"/>
        <v>78925</v>
      </c>
      <c r="BD1193" s="467">
        <f t="shared" ca="1" si="753"/>
        <v>78926</v>
      </c>
      <c r="BE1193" s="467">
        <f t="shared" ca="1" si="741"/>
        <v>78953</v>
      </c>
      <c r="BF1193" s="468">
        <f ca="1">IF(計算!$BC1193&lt;OP!$C$3,0,BD1193-BC1193)</f>
        <v>1</v>
      </c>
      <c r="BG1193" s="468">
        <f ca="1">IF($BE1193&gt;DATE(YEAR($BD$9)+OP!$C$57,MONTH($BD$9),DAY($BD$9)),0,$BE1193-$BD1193+1)</f>
        <v>0</v>
      </c>
      <c r="BH1193" s="469">
        <f t="shared" ca="1" si="742"/>
        <v>1</v>
      </c>
      <c r="BI1193" t="str">
        <f t="shared" si="758"/>
        <v/>
      </c>
      <c r="BJ1193">
        <v>8</v>
      </c>
      <c r="BN1193" s="468">
        <f t="shared" si="754"/>
        <v>99</v>
      </c>
      <c r="BO1193" s="468">
        <f t="shared" si="755"/>
        <v>8</v>
      </c>
      <c r="BP1193" s="467">
        <f t="shared" ca="1" si="743"/>
        <v>78926</v>
      </c>
      <c r="BQ1193" s="475">
        <f t="shared" ca="1" si="757"/>
        <v>131</v>
      </c>
      <c r="BR1193" s="475" t="str">
        <f t="shared" si="756"/>
        <v/>
      </c>
      <c r="BS1193" s="471" t="str">
        <f t="shared" si="744"/>
        <v/>
      </c>
      <c r="BT1193" s="472" t="str">
        <f t="shared" si="759"/>
        <v/>
      </c>
      <c r="BU1193" s="472">
        <f t="shared" ca="1" si="745"/>
        <v>0</v>
      </c>
      <c r="BV1193" s="472">
        <f t="shared" ca="1" si="745"/>
        <v>0</v>
      </c>
      <c r="BW1193" s="472"/>
      <c r="BX1193" s="473">
        <f t="shared" ca="1" si="746"/>
        <v>2806372.6965366299</v>
      </c>
      <c r="BY1193" s="473">
        <f t="shared" si="747"/>
        <v>0</v>
      </c>
      <c r="BZ1193" s="473">
        <f t="shared" ca="1" si="729"/>
        <v>206.82573881299999</v>
      </c>
      <c r="CA1193" s="476">
        <f t="shared" ca="1" si="748"/>
        <v>0</v>
      </c>
      <c r="CB1193" s="494">
        <f ca="1">IF(OR($Q1192&lt;&gt;1,OP!$D$5+$BN1193-1&lt;16,$BN1193-1&lt;1),0,ROUND(ROUND(ROUND(((VLOOKUP($BN1193-1,MORE_PV,5,0)/10000)*VLOOKUP($BN1193,MORE_PV,$CB$5,0)),3)*VLOOKUP($BN1193,more1,5,0),0)/$R1192,0))</f>
        <v>0</v>
      </c>
      <c r="CC1193" s="473">
        <f t="shared" ca="1" si="749"/>
        <v>0</v>
      </c>
      <c r="CD1193" s="477"/>
    </row>
    <row r="1194" spans="2:82" ht="16.5" hidden="1">
      <c r="B1194" s="80"/>
      <c r="C1194" s="80"/>
      <c r="D1194" s="80"/>
      <c r="E1194" s="80"/>
      <c r="F1194" s="80"/>
      <c r="G1194" s="80"/>
      <c r="H1194" s="80"/>
      <c r="I1194" s="80"/>
      <c r="J1194" s="192">
        <f t="shared" si="730"/>
        <v>99</v>
      </c>
      <c r="K1194" s="192">
        <f t="shared" si="731"/>
        <v>10</v>
      </c>
      <c r="L1194" s="192" t="str">
        <f t="shared" si="726"/>
        <v/>
      </c>
      <c r="M1194" s="216" t="str">
        <f t="shared" ca="1" si="732"/>
        <v/>
      </c>
      <c r="N1194" s="216"/>
      <c r="O1194" s="216"/>
      <c r="P1194" s="216"/>
      <c r="Q1194" s="456">
        <f t="shared" ca="1" si="733"/>
        <v>1</v>
      </c>
      <c r="R1194" s="450">
        <f t="shared" ca="1" si="734"/>
        <v>12</v>
      </c>
      <c r="S1194" s="191">
        <f t="shared" si="735"/>
        <v>99</v>
      </c>
      <c r="T1194" s="191">
        <f t="shared" si="736"/>
        <v>10</v>
      </c>
      <c r="U1194" s="191">
        <f ca="1">OP!$D$5+$S1194-1</f>
        <v>131</v>
      </c>
      <c r="V1194" s="191" t="str">
        <f t="shared" si="737"/>
        <v/>
      </c>
      <c r="W1194" s="350">
        <f ca="1">IF(Q1194&lt;&gt;1,0,VLOOKUP(OP!$C$55,PVFB,$S1194+2,0))</f>
        <v>0</v>
      </c>
      <c r="X1194" s="473" t="str">
        <f t="shared" ca="1" si="750"/>
        <v/>
      </c>
      <c r="Y1194" s="348">
        <f t="shared" ca="1" si="751"/>
        <v>0</v>
      </c>
      <c r="Z1194" s="348">
        <f t="shared" ca="1" si="752"/>
        <v>8012</v>
      </c>
      <c r="AA1194" s="348">
        <f ca="1">IF(Q1194&lt;&gt;1,0,VLOOKUP(OP!$C$55,PVFB,$S1194+2,0))</f>
        <v>0</v>
      </c>
      <c r="AB1194" s="488" t="str">
        <f ca="1">IF(AND(S1194&lt;OP!$C$24,$U1194&lt;15),0,IF(AND($U1194&lt;15,$T1194=12),ROUND(VLOOKUP($S1194,DOWN16,5,0),3),IF($T1194=12,ROUND(($Z1194/10000)*$AA1194,3)+IF(AND($P$7="購買增額繳清保險",T1194=12,U1194=110),VLOOKUP(S1194,$B$10:$H$121,7,0),0),"")))</f>
        <v/>
      </c>
      <c r="AC1194" s="350" t="str">
        <f ca="1">IF(AND(S1194&lt;OP!$C$24,$U1194&lt;15),0,IF(AND($U1194&lt;16,$T1194=12),VLOOKUP($S1194,DOWN16,4,0),IF($T1194=12,ROUND(VLOOKUP(OP!$C$55,_DIE2,$S1194+1,0)*(Z1194/10000),0)+IF(AND($P$7="購買增額繳清保險",T1194=12,U1194=110),VLOOKUP(S1194,$B$10:$H$121,7,0),0),"")))</f>
        <v/>
      </c>
      <c r="AD1194" s="347"/>
      <c r="AE1194" s="350" t="str">
        <f t="shared" ca="1" si="727"/>
        <v/>
      </c>
      <c r="AF1194" s="351" t="str">
        <f t="shared" ca="1" si="728"/>
        <v/>
      </c>
      <c r="AG1194" s="340"/>
      <c r="AH1194" s="340"/>
      <c r="AI1194" s="340"/>
      <c r="AJ1194" s="340"/>
      <c r="AK1194" s="340"/>
      <c r="AL1194" s="340"/>
      <c r="AM1194" s="340"/>
      <c r="AN1194" s="340"/>
      <c r="AO1194" s="340"/>
      <c r="AP1194" s="340"/>
      <c r="AQ1194" s="340"/>
      <c r="AR1194" s="340"/>
      <c r="AS1194" s="340"/>
      <c r="AT1194" s="340"/>
      <c r="AU1194" s="340"/>
      <c r="AV1194" s="340"/>
      <c r="AY1194" s="340"/>
      <c r="AZ1194" s="465">
        <f t="shared" ca="1" si="738"/>
        <v>7.3698599999999999E-5</v>
      </c>
      <c r="BA1194" s="464">
        <f t="shared" ca="1" si="739"/>
        <v>0</v>
      </c>
      <c r="BB1194" s="465">
        <f t="shared" ca="1" si="739"/>
        <v>7.3698599999999999E-5</v>
      </c>
      <c r="BC1194" s="466">
        <f t="shared" ca="1" si="740"/>
        <v>78954</v>
      </c>
      <c r="BD1194" s="467">
        <f t="shared" ca="1" si="753"/>
        <v>78955</v>
      </c>
      <c r="BE1194" s="467">
        <f t="shared" ca="1" si="741"/>
        <v>78984</v>
      </c>
      <c r="BF1194" s="468">
        <f ca="1">IF(計算!$BC1194&lt;OP!$C$3,0,BD1194-BC1194)</f>
        <v>1</v>
      </c>
      <c r="BG1194" s="468">
        <f ca="1">IF($BE1194&gt;DATE(YEAR($BD$9)+OP!$C$57,MONTH($BD$9),DAY($BD$9)),0,$BE1194-$BD1194+1)</f>
        <v>0</v>
      </c>
      <c r="BH1194" s="469">
        <f t="shared" ca="1" si="742"/>
        <v>1</v>
      </c>
      <c r="BI1194" t="str">
        <f t="shared" si="758"/>
        <v/>
      </c>
      <c r="BJ1194">
        <v>9</v>
      </c>
      <c r="BN1194" s="468">
        <f t="shared" si="754"/>
        <v>99</v>
      </c>
      <c r="BO1194" s="468">
        <f t="shared" si="755"/>
        <v>9</v>
      </c>
      <c r="BP1194" s="467">
        <f t="shared" ca="1" si="743"/>
        <v>78955</v>
      </c>
      <c r="BQ1194" s="475">
        <f t="shared" ca="1" si="757"/>
        <v>131</v>
      </c>
      <c r="BR1194" s="475" t="str">
        <f t="shared" si="756"/>
        <v/>
      </c>
      <c r="BS1194" s="471" t="str">
        <f t="shared" si="744"/>
        <v/>
      </c>
      <c r="BT1194" s="472" t="str">
        <f t="shared" si="759"/>
        <v/>
      </c>
      <c r="BU1194" s="472">
        <f t="shared" ca="1" si="745"/>
        <v>0</v>
      </c>
      <c r="BV1194" s="472">
        <f t="shared" ca="1" si="745"/>
        <v>0</v>
      </c>
      <c r="BW1194" s="472"/>
      <c r="BX1194" s="473">
        <f t="shared" ca="1" si="746"/>
        <v>2806579.5222754399</v>
      </c>
      <c r="BY1194" s="473">
        <f t="shared" si="747"/>
        <v>0</v>
      </c>
      <c r="BZ1194" s="473">
        <f t="shared" ca="1" si="729"/>
        <v>206.84098158</v>
      </c>
      <c r="CA1194" s="476">
        <f t="shared" ca="1" si="748"/>
        <v>0</v>
      </c>
      <c r="CB1194" s="494">
        <f ca="1">IF(OR($Q1193&lt;&gt;1,OP!$D$5+$BN1194-1&lt;16,$BN1194-1&lt;1),0,ROUND(ROUND(ROUND(((VLOOKUP($BN1194-1,MORE_PV,5,0)/10000)*VLOOKUP($BN1194,MORE_PV,$CB$5,0)),3)*VLOOKUP($BN1194,more1,5,0),0)/$R1193,0))</f>
        <v>0</v>
      </c>
      <c r="CC1194" s="473">
        <f t="shared" ca="1" si="749"/>
        <v>0</v>
      </c>
      <c r="CD1194" s="477"/>
    </row>
    <row r="1195" spans="2:82" ht="16.5" hidden="1">
      <c r="B1195" s="80"/>
      <c r="C1195" s="80"/>
      <c r="D1195" s="80"/>
      <c r="E1195" s="80"/>
      <c r="F1195" s="80"/>
      <c r="G1195" s="80"/>
      <c r="H1195" s="80"/>
      <c r="I1195" s="80"/>
      <c r="J1195" s="192">
        <f t="shared" si="730"/>
        <v>99</v>
      </c>
      <c r="K1195" s="192">
        <f t="shared" si="731"/>
        <v>11</v>
      </c>
      <c r="L1195" s="192" t="str">
        <f t="shared" si="726"/>
        <v/>
      </c>
      <c r="M1195" s="216" t="str">
        <f t="shared" ca="1" si="732"/>
        <v/>
      </c>
      <c r="N1195" s="216"/>
      <c r="O1195" s="216"/>
      <c r="P1195" s="216"/>
      <c r="Q1195" s="456">
        <f t="shared" ca="1" si="733"/>
        <v>1</v>
      </c>
      <c r="R1195" s="450">
        <f t="shared" ca="1" si="734"/>
        <v>12</v>
      </c>
      <c r="S1195" s="191">
        <f t="shared" si="735"/>
        <v>99</v>
      </c>
      <c r="T1195" s="191">
        <f t="shared" si="736"/>
        <v>11</v>
      </c>
      <c r="U1195" s="191">
        <f ca="1">OP!$D$5+$S1195-1</f>
        <v>131</v>
      </c>
      <c r="V1195" s="191" t="str">
        <f t="shared" si="737"/>
        <v/>
      </c>
      <c r="W1195" s="350">
        <f ca="1">IF(Q1195&lt;&gt;1,0,VLOOKUP(OP!$C$55,PVFB,$S1195+2,0))</f>
        <v>0</v>
      </c>
      <c r="X1195" s="473" t="str">
        <f t="shared" ca="1" si="750"/>
        <v/>
      </c>
      <c r="Y1195" s="348">
        <f t="shared" ca="1" si="751"/>
        <v>0</v>
      </c>
      <c r="Z1195" s="348">
        <f t="shared" ca="1" si="752"/>
        <v>8012</v>
      </c>
      <c r="AA1195" s="348">
        <f ca="1">IF(Q1195&lt;&gt;1,0,VLOOKUP(OP!$C$55,PVFB,$S1195+2,0))</f>
        <v>0</v>
      </c>
      <c r="AB1195" s="488" t="str">
        <f ca="1">IF(AND(S1195&lt;OP!$C$24,$U1195&lt;15),0,IF(AND($U1195&lt;15,$T1195=12),ROUND(VLOOKUP($S1195,DOWN16,5,0),3),IF($T1195=12,ROUND(($Z1195/10000)*$AA1195,3)+IF(AND($P$7="購買增額繳清保險",T1195=12,U1195=110),VLOOKUP(S1195,$B$10:$H$121,7,0),0),"")))</f>
        <v/>
      </c>
      <c r="AC1195" s="350" t="str">
        <f ca="1">IF(AND(S1195&lt;OP!$C$24,$U1195&lt;15),0,IF(AND($U1195&lt;16,$T1195=12),VLOOKUP($S1195,DOWN16,4,0),IF($T1195=12,ROUND(VLOOKUP(OP!$C$55,_DIE2,$S1195+1,0)*(Z1195/10000),0)+IF(AND($P$7="購買增額繳清保險",T1195=12,U1195=110),VLOOKUP(S1195,$B$10:$H$121,7,0),0),"")))</f>
        <v/>
      </c>
      <c r="AD1195" s="347"/>
      <c r="AE1195" s="350" t="str">
        <f t="shared" ca="1" si="727"/>
        <v/>
      </c>
      <c r="AF1195" s="351" t="str">
        <f t="shared" ca="1" si="728"/>
        <v/>
      </c>
      <c r="AG1195" s="340"/>
      <c r="AH1195" s="340"/>
      <c r="AI1195" s="340"/>
      <c r="AJ1195" s="340"/>
      <c r="AK1195" s="340"/>
      <c r="AL1195" s="340"/>
      <c r="AM1195" s="340"/>
      <c r="AN1195" s="340"/>
      <c r="AO1195" s="340"/>
      <c r="AP1195" s="340"/>
      <c r="AQ1195" s="340"/>
      <c r="AR1195" s="340"/>
      <c r="AS1195" s="340"/>
      <c r="AT1195" s="340"/>
      <c r="AU1195" s="340"/>
      <c r="AV1195" s="340"/>
      <c r="AY1195" s="340"/>
      <c r="AZ1195" s="465">
        <f t="shared" ca="1" si="738"/>
        <v>7.3698599999999999E-5</v>
      </c>
      <c r="BA1195" s="464">
        <f t="shared" ca="1" si="739"/>
        <v>0</v>
      </c>
      <c r="BB1195" s="465">
        <f t="shared" ca="1" si="739"/>
        <v>7.3698599999999999E-5</v>
      </c>
      <c r="BC1195" s="466">
        <f t="shared" ca="1" si="740"/>
        <v>78985</v>
      </c>
      <c r="BD1195" s="467">
        <f t="shared" ca="1" si="753"/>
        <v>78986</v>
      </c>
      <c r="BE1195" s="467">
        <f t="shared" ca="1" si="741"/>
        <v>79014</v>
      </c>
      <c r="BF1195" s="468">
        <f ca="1">IF(計算!$BC1195&lt;OP!$C$3,0,BD1195-BC1195)</f>
        <v>1</v>
      </c>
      <c r="BG1195" s="468">
        <f ca="1">IF($BE1195&gt;DATE(YEAR($BD$9)+OP!$C$57,MONTH($BD$9),DAY($BD$9)),0,$BE1195-$BD1195+1)</f>
        <v>0</v>
      </c>
      <c r="BH1195" s="469">
        <f t="shared" ca="1" si="742"/>
        <v>1</v>
      </c>
      <c r="BI1195" t="str">
        <f t="shared" si="758"/>
        <v/>
      </c>
      <c r="BJ1195">
        <v>10</v>
      </c>
      <c r="BN1195" s="468">
        <f t="shared" si="754"/>
        <v>99</v>
      </c>
      <c r="BO1195" s="468">
        <f t="shared" si="755"/>
        <v>10</v>
      </c>
      <c r="BP1195" s="467">
        <f t="shared" ca="1" si="743"/>
        <v>78986</v>
      </c>
      <c r="BQ1195" s="475">
        <f t="shared" ca="1" si="757"/>
        <v>131</v>
      </c>
      <c r="BR1195" s="475" t="str">
        <f t="shared" si="756"/>
        <v/>
      </c>
      <c r="BS1195" s="471" t="str">
        <f t="shared" si="744"/>
        <v/>
      </c>
      <c r="BT1195" s="472" t="str">
        <f t="shared" si="759"/>
        <v/>
      </c>
      <c r="BU1195" s="472">
        <f t="shared" ca="1" si="745"/>
        <v>0</v>
      </c>
      <c r="BV1195" s="472">
        <f t="shared" ca="1" si="745"/>
        <v>0</v>
      </c>
      <c r="BW1195" s="472"/>
      <c r="BX1195" s="473">
        <f t="shared" ca="1" si="746"/>
        <v>2806786.3632570198</v>
      </c>
      <c r="BY1195" s="473">
        <f t="shared" si="747"/>
        <v>0</v>
      </c>
      <c r="BZ1195" s="473">
        <f t="shared" ca="1" si="729"/>
        <v>206.85622547099999</v>
      </c>
      <c r="CA1195" s="476">
        <f t="shared" ca="1" si="748"/>
        <v>0</v>
      </c>
      <c r="CB1195" s="494">
        <f ca="1">IF(OR($Q1194&lt;&gt;1,OP!$D$5+$BN1195-1&lt;16,$BN1195-1&lt;1),0,ROUND(ROUND(ROUND(((VLOOKUP($BN1195-1,MORE_PV,5,0)/10000)*VLOOKUP($BN1195,MORE_PV,$CB$5,0)),3)*VLOOKUP($BN1195,more1,5,0),0)/$R1194,0))</f>
        <v>0</v>
      </c>
      <c r="CC1195" s="473">
        <f t="shared" ca="1" si="749"/>
        <v>0</v>
      </c>
      <c r="CD1195" s="477"/>
    </row>
    <row r="1196" spans="2:82" ht="16.5" hidden="1">
      <c r="B1196" s="80"/>
      <c r="C1196" s="80"/>
      <c r="D1196" s="80"/>
      <c r="E1196" s="80"/>
      <c r="F1196" s="80"/>
      <c r="G1196" s="80"/>
      <c r="H1196" s="80"/>
      <c r="I1196" s="80"/>
      <c r="J1196" s="192">
        <f t="shared" si="730"/>
        <v>99</v>
      </c>
      <c r="K1196" s="192">
        <f t="shared" si="731"/>
        <v>12</v>
      </c>
      <c r="L1196" s="192">
        <f t="shared" si="726"/>
        <v>99</v>
      </c>
      <c r="M1196" s="216">
        <f t="shared" ca="1" si="732"/>
        <v>2807406</v>
      </c>
      <c r="N1196" s="216"/>
      <c r="O1196" s="216"/>
      <c r="P1196" s="216"/>
      <c r="Q1196" s="456">
        <f t="shared" ca="1" si="733"/>
        <v>1</v>
      </c>
      <c r="R1196" s="450">
        <f t="shared" ca="1" si="734"/>
        <v>12</v>
      </c>
      <c r="S1196" s="191">
        <f t="shared" si="735"/>
        <v>99</v>
      </c>
      <c r="T1196" s="191">
        <f t="shared" si="736"/>
        <v>12</v>
      </c>
      <c r="U1196" s="191">
        <f ca="1">OP!$D$5+$S1196-1</f>
        <v>131</v>
      </c>
      <c r="V1196" s="191">
        <f t="shared" si="737"/>
        <v>99</v>
      </c>
      <c r="W1196" s="350">
        <f ca="1">IF(Q1196&lt;&gt;1,0,VLOOKUP(OP!$C$55,PVFB,$S1196+2,0))</f>
        <v>0</v>
      </c>
      <c r="X1196" s="473">
        <f t="shared" ca="1" si="750"/>
        <v>0</v>
      </c>
      <c r="Y1196" s="348">
        <f t="shared" ca="1" si="751"/>
        <v>0</v>
      </c>
      <c r="Z1196" s="348">
        <f t="shared" ca="1" si="752"/>
        <v>8012</v>
      </c>
      <c r="AA1196" s="348">
        <f ca="1">IF(Q1196&lt;&gt;1,0,VLOOKUP(OP!$C$55,PVFB,$S1196+2,0))</f>
        <v>0</v>
      </c>
      <c r="AB1196" s="488">
        <f ca="1">IF(AND(S1196&lt;OP!$C$24,$U1196&lt;15),0,IF(AND($U1196&lt;15,$T1196=12),ROUND(VLOOKUP($S1196,DOWN16,5,0),3),IF($T1196=12,ROUND(($Z1196/10000)*$AA1196,3)+IF(AND($P$7="購買增額繳清保險",T1196=12,U1196=110),VLOOKUP(S1196,$B$10:$H$121,7,0),0),"")))</f>
        <v>0</v>
      </c>
      <c r="AC1196" s="350">
        <f ca="1">IF(AND(S1196&lt;OP!$C$24,$U1196&lt;15),0,IF(AND($U1196&lt;16,$T1196=12),VLOOKUP($S1196,DOWN16,4,0),IF($T1196=12,ROUND(VLOOKUP(OP!$C$55,_DIE2,$S1196+1,0)*(Z1196/10000),0)+IF(AND($P$7="購買增額繳清保險",T1196=12,U1196=110),VLOOKUP(S1196,$B$10:$H$121,7,0),0),"")))</f>
        <v>0</v>
      </c>
      <c r="AD1196" s="347"/>
      <c r="AE1196" s="350" t="str">
        <f t="shared" ca="1" si="727"/>
        <v/>
      </c>
      <c r="AF1196" s="351" t="str">
        <f t="shared" ca="1" si="728"/>
        <v/>
      </c>
      <c r="AG1196" s="340"/>
      <c r="AH1196" s="340"/>
      <c r="AI1196" s="340"/>
      <c r="AJ1196" s="340"/>
      <c r="AK1196" s="340"/>
      <c r="AL1196" s="340"/>
      <c r="AM1196" s="340"/>
      <c r="AN1196" s="340"/>
      <c r="AO1196" s="340"/>
      <c r="AP1196" s="340"/>
      <c r="AQ1196" s="340"/>
      <c r="AR1196" s="340"/>
      <c r="AS1196" s="340"/>
      <c r="AT1196" s="340"/>
      <c r="AU1196" s="340"/>
      <c r="AV1196" s="340"/>
      <c r="AY1196" s="340"/>
      <c r="AZ1196" s="465">
        <f t="shared" ca="1" si="738"/>
        <v>7.3698599999999999E-5</v>
      </c>
      <c r="BA1196" s="464">
        <f t="shared" ca="1" si="739"/>
        <v>0</v>
      </c>
      <c r="BB1196" s="465">
        <f t="shared" ca="1" si="739"/>
        <v>7.3698599999999999E-5</v>
      </c>
      <c r="BC1196" s="466">
        <f t="shared" ca="1" si="740"/>
        <v>79015</v>
      </c>
      <c r="BD1196" s="467">
        <f t="shared" ca="1" si="753"/>
        <v>79016</v>
      </c>
      <c r="BE1196" s="467">
        <f t="shared" ca="1" si="741"/>
        <v>79045</v>
      </c>
      <c r="BF1196" s="468">
        <f ca="1">IF(計算!$BC1196&lt;OP!$C$3,0,BD1196-BC1196)</f>
        <v>1</v>
      </c>
      <c r="BG1196" s="468">
        <f ca="1">IF($BE1196&gt;DATE(YEAR($BD$9)+OP!$C$57,MONTH($BD$9),DAY($BD$9)),0,$BE1196-$BD1196+1)</f>
        <v>0</v>
      </c>
      <c r="BH1196" s="469">
        <f t="shared" ca="1" si="742"/>
        <v>1</v>
      </c>
      <c r="BI1196" t="str">
        <f t="shared" si="758"/>
        <v/>
      </c>
      <c r="BJ1196">
        <v>11</v>
      </c>
      <c r="BN1196" s="468">
        <f t="shared" si="754"/>
        <v>99</v>
      </c>
      <c r="BO1196" s="468">
        <f t="shared" si="755"/>
        <v>11</v>
      </c>
      <c r="BP1196" s="467">
        <f t="shared" ca="1" si="743"/>
        <v>79016</v>
      </c>
      <c r="BQ1196" s="475">
        <f t="shared" ca="1" si="757"/>
        <v>131</v>
      </c>
      <c r="BR1196" s="475" t="str">
        <f t="shared" si="756"/>
        <v/>
      </c>
      <c r="BS1196" s="471" t="str">
        <f t="shared" si="744"/>
        <v/>
      </c>
      <c r="BT1196" s="472" t="str">
        <f t="shared" si="759"/>
        <v/>
      </c>
      <c r="BU1196" s="472">
        <f t="shared" ca="1" si="745"/>
        <v>0</v>
      </c>
      <c r="BV1196" s="472">
        <f t="shared" ca="1" si="745"/>
        <v>0</v>
      </c>
      <c r="BW1196" s="472"/>
      <c r="BX1196" s="473">
        <f t="shared" ca="1" si="746"/>
        <v>2806993.2194824899</v>
      </c>
      <c r="BY1196" s="473">
        <f t="shared" si="747"/>
        <v>0</v>
      </c>
      <c r="BZ1196" s="473">
        <f t="shared" ca="1" si="729"/>
        <v>206.871470485</v>
      </c>
      <c r="CA1196" s="476">
        <f t="shared" ca="1" si="748"/>
        <v>0</v>
      </c>
      <c r="CB1196" s="494">
        <f ca="1">IF(OR($Q1195&lt;&gt;1,OP!$D$5+$BN1196-1&lt;16,$BN1196-1&lt;1),0,ROUND(ROUND(ROUND(((VLOOKUP($BN1196-1,MORE_PV,5,0)/10000)*VLOOKUP($BN1196,MORE_PV,$CB$5,0)),3)*VLOOKUP($BN1196,more1,5,0),0)/$R1195,0))</f>
        <v>0</v>
      </c>
      <c r="CC1196" s="473">
        <f t="shared" ca="1" si="749"/>
        <v>0</v>
      </c>
      <c r="CD1196" s="477"/>
    </row>
    <row r="1197" spans="2:82" ht="16.5" hidden="1">
      <c r="B1197" s="80"/>
      <c r="C1197" s="80"/>
      <c r="D1197" s="80"/>
      <c r="E1197" s="80"/>
      <c r="F1197" s="80"/>
      <c r="G1197" s="80"/>
      <c r="H1197" s="80"/>
      <c r="I1197" s="80"/>
      <c r="J1197" s="192">
        <f t="shared" si="730"/>
        <v>100</v>
      </c>
      <c r="K1197" s="192">
        <f t="shared" si="731"/>
        <v>1</v>
      </c>
      <c r="L1197" s="192" t="str">
        <f t="shared" si="726"/>
        <v/>
      </c>
      <c r="M1197" s="216" t="str">
        <f t="shared" ca="1" si="732"/>
        <v/>
      </c>
      <c r="N1197" s="216"/>
      <c r="O1197" s="216"/>
      <c r="P1197" s="216"/>
      <c r="Q1197" s="456">
        <f t="shared" ca="1" si="733"/>
        <v>1</v>
      </c>
      <c r="R1197" s="450">
        <f t="shared" ca="1" si="734"/>
        <v>12</v>
      </c>
      <c r="S1197" s="191">
        <f t="shared" si="735"/>
        <v>100</v>
      </c>
      <c r="T1197" s="191">
        <f t="shared" si="736"/>
        <v>1</v>
      </c>
      <c r="U1197" s="191">
        <f ca="1">OP!$D$5+$S1197-1</f>
        <v>132</v>
      </c>
      <c r="V1197" s="191" t="str">
        <f t="shared" si="737"/>
        <v/>
      </c>
      <c r="W1197" s="350">
        <f ca="1">IF(Q1197&lt;&gt;1,0,VLOOKUP(OP!$C$55,PVFB,$S1197+2,0))</f>
        <v>0</v>
      </c>
      <c r="X1197" s="473" t="str">
        <f t="shared" ca="1" si="750"/>
        <v/>
      </c>
      <c r="Y1197" s="348">
        <f t="shared" ca="1" si="751"/>
        <v>0</v>
      </c>
      <c r="Z1197" s="348">
        <f t="shared" ca="1" si="752"/>
        <v>8012</v>
      </c>
      <c r="AA1197" s="348">
        <f ca="1">IF(Q1197&lt;&gt;1,0,VLOOKUP(OP!$C$55,PVFB,$S1197+2,0))</f>
        <v>0</v>
      </c>
      <c r="AB1197" s="488" t="str">
        <f ca="1">IF(AND(S1197&lt;OP!$C$24,$U1197&lt;15),0,IF(AND($U1197&lt;15,$T1197=12),ROUND(VLOOKUP($S1197,DOWN16,5,0),3),IF($T1197=12,ROUND(($Z1197/10000)*$AA1197,3)+IF(AND($P$7="購買增額繳清保險",T1197=12,U1197=110),VLOOKUP(S1197,$B$10:$H$121,7,0),0),"")))</f>
        <v/>
      </c>
      <c r="AC1197" s="350" t="str">
        <f ca="1">IF(AND(S1197&lt;OP!$C$24,$U1197&lt;15),0,IF(AND($U1197&lt;16,$T1197=12),VLOOKUP($S1197,DOWN16,4,0),IF($T1197=12,ROUND(VLOOKUP(OP!$C$55,_DIE2,$S1197+1,0)*(Z1197/10000),0)+IF(AND($P$7="購買增額繳清保險",T1197=12,U1197=110),VLOOKUP(S1197,$B$10:$H$121,7,0),0),"")))</f>
        <v/>
      </c>
      <c r="AD1197" s="347"/>
      <c r="AE1197" s="350" t="str">
        <f t="shared" ca="1" si="727"/>
        <v/>
      </c>
      <c r="AF1197" s="351" t="str">
        <f t="shared" ca="1" si="728"/>
        <v/>
      </c>
      <c r="AG1197" s="340"/>
      <c r="AH1197" s="340"/>
      <c r="AI1197" s="340"/>
      <c r="AJ1197" s="340"/>
      <c r="AK1197" s="340"/>
      <c r="AL1197" s="340"/>
      <c r="AM1197" s="340"/>
      <c r="AN1197" s="340"/>
      <c r="AO1197" s="340"/>
      <c r="AP1197" s="340"/>
      <c r="AQ1197" s="340"/>
      <c r="AR1197" s="340"/>
      <c r="AS1197" s="340"/>
      <c r="AT1197" s="340"/>
      <c r="AU1197" s="340"/>
      <c r="AV1197" s="340"/>
      <c r="AY1197" s="340"/>
      <c r="AZ1197" s="465">
        <f t="shared" ca="1" si="738"/>
        <v>7.3698599999999999E-5</v>
      </c>
      <c r="BA1197" s="464">
        <f t="shared" ca="1" si="739"/>
        <v>0</v>
      </c>
      <c r="BB1197" s="465">
        <f t="shared" ca="1" si="739"/>
        <v>7.3698599999999999E-5</v>
      </c>
      <c r="BC1197" s="466">
        <f t="shared" ca="1" si="740"/>
        <v>79046</v>
      </c>
      <c r="BD1197" s="467">
        <f t="shared" ca="1" si="753"/>
        <v>79047</v>
      </c>
      <c r="BE1197" s="467">
        <f t="shared" ca="1" si="741"/>
        <v>79075</v>
      </c>
      <c r="BF1197" s="468">
        <f ca="1">IF(計算!$BC1197&lt;OP!$C$3,0,BD1197-BC1197)</f>
        <v>1</v>
      </c>
      <c r="BG1197" s="468">
        <f ca="1">IF($BE1197&gt;DATE(YEAR($BD$9)+OP!$C$57,MONTH($BD$9),DAY($BD$9)),0,$BE1197-$BD1197+1)</f>
        <v>0</v>
      </c>
      <c r="BH1197" s="469">
        <f t="shared" ca="1" si="742"/>
        <v>1</v>
      </c>
      <c r="BI1197">
        <f t="shared" ca="1" si="758"/>
        <v>366</v>
      </c>
      <c r="BJ1197">
        <v>12</v>
      </c>
      <c r="BN1197" s="468">
        <f t="shared" si="754"/>
        <v>99</v>
      </c>
      <c r="BO1197" s="468">
        <f t="shared" si="755"/>
        <v>12</v>
      </c>
      <c r="BP1197" s="467">
        <f t="shared" ca="1" si="743"/>
        <v>79047</v>
      </c>
      <c r="BQ1197" s="475">
        <f t="shared" ca="1" si="757"/>
        <v>131</v>
      </c>
      <c r="BR1197" s="475">
        <f t="shared" si="756"/>
        <v>99</v>
      </c>
      <c r="BS1197" s="471">
        <f t="shared" ca="1" si="744"/>
        <v>0</v>
      </c>
      <c r="BT1197" s="472">
        <f t="shared" ca="1" si="759"/>
        <v>2807406</v>
      </c>
      <c r="BU1197" s="472">
        <f t="shared" ca="1" si="745"/>
        <v>0</v>
      </c>
      <c r="BV1197" s="472">
        <f t="shared" ca="1" si="745"/>
        <v>0</v>
      </c>
      <c r="BW1197" s="472">
        <f ca="1">ROUND(SUM(BY1197,BZ1185:BZ1196),0)</f>
        <v>2482</v>
      </c>
      <c r="BX1197" s="473">
        <f t="shared" ca="1" si="746"/>
        <v>2807406.9776695999</v>
      </c>
      <c r="BY1197" s="473">
        <f t="shared" ca="1" si="747"/>
        <v>206.88671662300001</v>
      </c>
      <c r="BZ1197" s="473">
        <f t="shared" ca="1" si="729"/>
        <v>0</v>
      </c>
      <c r="CA1197" s="476">
        <f t="shared" ca="1" si="748"/>
        <v>0</v>
      </c>
      <c r="CB1197" s="494">
        <f ca="1">IF(OR($Q1196&lt;&gt;1,OP!$D$5+$BN1197-1&lt;16,$BN1197-1&lt;1),0,ROUND(ROUND(ROUND(((VLOOKUP($BN1197-1,MORE_PV,5,0)/10000)*VLOOKUP($BN1197,MORE_PV,$CB$5,0)),3)*VLOOKUP($BN1197,more1,5,0),0)/$R1196,0))</f>
        <v>0</v>
      </c>
      <c r="CC1197" s="473">
        <f t="shared" ca="1" si="749"/>
        <v>0</v>
      </c>
      <c r="CD1197" s="477"/>
    </row>
    <row r="1198" spans="2:82" ht="16.5" hidden="1">
      <c r="B1198" s="80"/>
      <c r="C1198" s="80"/>
      <c r="D1198" s="80"/>
      <c r="E1198" s="80"/>
      <c r="F1198" s="80"/>
      <c r="G1198" s="80"/>
      <c r="H1198" s="80"/>
      <c r="I1198" s="80"/>
      <c r="J1198" s="192">
        <f t="shared" si="730"/>
        <v>100</v>
      </c>
      <c r="K1198" s="192">
        <f t="shared" si="731"/>
        <v>2</v>
      </c>
      <c r="L1198" s="192" t="str">
        <f t="shared" si="726"/>
        <v/>
      </c>
      <c r="M1198" s="216" t="str">
        <f t="shared" ca="1" si="732"/>
        <v/>
      </c>
      <c r="N1198" s="216"/>
      <c r="O1198" s="216"/>
      <c r="P1198" s="216"/>
      <c r="Q1198" s="456">
        <f t="shared" ca="1" si="733"/>
        <v>1</v>
      </c>
      <c r="R1198" s="450">
        <f t="shared" ca="1" si="734"/>
        <v>12</v>
      </c>
      <c r="S1198" s="191">
        <f t="shared" si="735"/>
        <v>100</v>
      </c>
      <c r="T1198" s="191">
        <f t="shared" si="736"/>
        <v>2</v>
      </c>
      <c r="U1198" s="191">
        <f ca="1">OP!$D$5+$S1198-1</f>
        <v>132</v>
      </c>
      <c r="V1198" s="191" t="str">
        <f t="shared" si="737"/>
        <v/>
      </c>
      <c r="W1198" s="350">
        <f ca="1">IF(Q1198&lt;&gt;1,0,VLOOKUP(OP!$C$55,PVFB,$S1198+2,0))</f>
        <v>0</v>
      </c>
      <c r="X1198" s="473" t="str">
        <f t="shared" ca="1" si="750"/>
        <v/>
      </c>
      <c r="Y1198" s="348">
        <f t="shared" ca="1" si="751"/>
        <v>0</v>
      </c>
      <c r="Z1198" s="348">
        <f t="shared" ca="1" si="752"/>
        <v>8012</v>
      </c>
      <c r="AA1198" s="348">
        <f ca="1">IF(Q1198&lt;&gt;1,0,VLOOKUP(OP!$C$55,PVFB,$S1198+2,0))</f>
        <v>0</v>
      </c>
      <c r="AB1198" s="488" t="str">
        <f ca="1">IF(AND(S1198&lt;OP!$C$24,$U1198&lt;15),0,IF(AND($U1198&lt;15,$T1198=12),ROUND(VLOOKUP($S1198,DOWN16,5,0),3),IF($T1198=12,ROUND(($Z1198/10000)*$AA1198,3)+IF(AND($P$7="購買增額繳清保險",T1198=12,U1198=110),VLOOKUP(S1198,$B$10:$H$121,7,0),0),"")))</f>
        <v/>
      </c>
      <c r="AC1198" s="350" t="str">
        <f ca="1">IF(AND(S1198&lt;OP!$C$24,$U1198&lt;15),0,IF(AND($U1198&lt;16,$T1198=12),VLOOKUP($S1198,DOWN16,4,0),IF($T1198=12,ROUND(VLOOKUP(OP!$C$55,_DIE2,$S1198+1,0)*(Z1198/10000),0)+IF(AND($P$7="購買增額繳清保險",T1198=12,U1198=110),VLOOKUP(S1198,$B$10:$H$121,7,0),0),"")))</f>
        <v/>
      </c>
      <c r="AD1198" s="347"/>
      <c r="AE1198" s="350" t="str">
        <f t="shared" ca="1" si="727"/>
        <v/>
      </c>
      <c r="AF1198" s="351" t="str">
        <f t="shared" ca="1" si="728"/>
        <v/>
      </c>
      <c r="AG1198" s="340"/>
      <c r="AH1198" s="340"/>
      <c r="AI1198" s="340"/>
      <c r="AJ1198" s="340"/>
      <c r="AK1198" s="340"/>
      <c r="AL1198" s="340"/>
      <c r="AM1198" s="340"/>
      <c r="AN1198" s="340"/>
      <c r="AO1198" s="340"/>
      <c r="AP1198" s="340"/>
      <c r="AQ1198" s="340"/>
      <c r="AR1198" s="340"/>
      <c r="AS1198" s="340"/>
      <c r="AT1198" s="340"/>
      <c r="AU1198" s="340"/>
      <c r="AV1198" s="340"/>
      <c r="AY1198" s="340"/>
      <c r="AZ1198" s="465">
        <f t="shared" ca="1" si="738"/>
        <v>7.3698599999999999E-5</v>
      </c>
      <c r="BA1198" s="464">
        <f t="shared" ca="1" si="739"/>
        <v>0</v>
      </c>
      <c r="BB1198" s="465">
        <f t="shared" ca="1" si="739"/>
        <v>7.3698599999999999E-5</v>
      </c>
      <c r="BC1198" s="466">
        <f t="shared" ca="1" si="740"/>
        <v>79076</v>
      </c>
      <c r="BD1198" s="467">
        <f t="shared" ca="1" si="753"/>
        <v>79077</v>
      </c>
      <c r="BE1198" s="467">
        <f t="shared" ca="1" si="741"/>
        <v>79106</v>
      </c>
      <c r="BF1198" s="468">
        <f ca="1">IF(計算!$BC1198&lt;OP!$C$3,0,BD1198-BC1198)</f>
        <v>1</v>
      </c>
      <c r="BG1198" s="468">
        <f ca="1">IF($BE1198&gt;DATE(YEAR($BD$9)+OP!$C$57,MONTH($BD$9),DAY($BD$9)),0,$BE1198-$BD1198+1)</f>
        <v>0</v>
      </c>
      <c r="BH1198" s="469">
        <f t="shared" ca="1" si="742"/>
        <v>1</v>
      </c>
      <c r="BI1198" t="str">
        <f t="shared" si="758"/>
        <v/>
      </c>
      <c r="BJ1198">
        <v>1</v>
      </c>
      <c r="BN1198" s="468">
        <f t="shared" si="754"/>
        <v>100</v>
      </c>
      <c r="BO1198" s="468">
        <f t="shared" si="755"/>
        <v>1</v>
      </c>
      <c r="BP1198" s="467">
        <f t="shared" ca="1" si="743"/>
        <v>79077</v>
      </c>
      <c r="BQ1198" s="475">
        <f t="shared" ca="1" si="757"/>
        <v>132</v>
      </c>
      <c r="BR1198" s="475" t="str">
        <f t="shared" si="756"/>
        <v/>
      </c>
      <c r="BS1198" s="471" t="str">
        <f t="shared" si="744"/>
        <v/>
      </c>
      <c r="BT1198" s="472" t="str">
        <f t="shared" si="759"/>
        <v/>
      </c>
      <c r="BU1198" s="472">
        <f t="shared" ca="1" si="745"/>
        <v>0</v>
      </c>
      <c r="BV1198" s="472">
        <f t="shared" ca="1" si="745"/>
        <v>0</v>
      </c>
      <c r="BW1198" s="472"/>
      <c r="BX1198" s="473">
        <f t="shared" ca="1" si="746"/>
        <v>2807406.9776695999</v>
      </c>
      <c r="BY1198" s="473">
        <f t="shared" si="747"/>
        <v>0</v>
      </c>
      <c r="BZ1198" s="473">
        <f t="shared" ca="1" si="729"/>
        <v>206.901963884</v>
      </c>
      <c r="CA1198" s="476">
        <f t="shared" ca="1" si="748"/>
        <v>0</v>
      </c>
      <c r="CB1198" s="494">
        <f ca="1">IF(OR($Q1197&lt;&gt;1,OP!$D$5+$BN1198-1&lt;16,$BN1198-1&lt;1),0,ROUND(ROUND(ROUND(((VLOOKUP($BN1198-1,MORE_PV,5,0)/10000)*VLOOKUP($BN1198,MORE_PV,$CB$5,0)),3)*VLOOKUP($BN1198,more1,5,0),0)/$R1197,0))</f>
        <v>0</v>
      </c>
      <c r="CC1198" s="473">
        <f t="shared" ca="1" si="749"/>
        <v>0</v>
      </c>
      <c r="CD1198" s="477"/>
    </row>
    <row r="1199" spans="2:82" ht="16.5" hidden="1">
      <c r="B1199" s="80"/>
      <c r="C1199" s="80"/>
      <c r="D1199" s="80"/>
      <c r="E1199" s="80"/>
      <c r="F1199" s="80"/>
      <c r="G1199" s="80"/>
      <c r="H1199" s="80"/>
      <c r="I1199" s="80"/>
      <c r="J1199" s="192">
        <f t="shared" si="730"/>
        <v>100</v>
      </c>
      <c r="K1199" s="192">
        <f t="shared" si="731"/>
        <v>3</v>
      </c>
      <c r="L1199" s="192" t="str">
        <f t="shared" si="726"/>
        <v/>
      </c>
      <c r="M1199" s="216" t="str">
        <f t="shared" ca="1" si="732"/>
        <v/>
      </c>
      <c r="N1199" s="216"/>
      <c r="O1199" s="216"/>
      <c r="P1199" s="216"/>
      <c r="Q1199" s="456">
        <f t="shared" ca="1" si="733"/>
        <v>1</v>
      </c>
      <c r="R1199" s="450">
        <f t="shared" ca="1" si="734"/>
        <v>12</v>
      </c>
      <c r="S1199" s="191">
        <f t="shared" si="735"/>
        <v>100</v>
      </c>
      <c r="T1199" s="191">
        <f t="shared" si="736"/>
        <v>3</v>
      </c>
      <c r="U1199" s="191">
        <f ca="1">OP!$D$5+$S1199-1</f>
        <v>132</v>
      </c>
      <c r="V1199" s="191" t="str">
        <f t="shared" si="737"/>
        <v/>
      </c>
      <c r="W1199" s="350">
        <f ca="1">IF(Q1199&lt;&gt;1,0,VLOOKUP(OP!$C$55,PVFB,$S1199+2,0))</f>
        <v>0</v>
      </c>
      <c r="X1199" s="473" t="str">
        <f t="shared" ca="1" si="750"/>
        <v/>
      </c>
      <c r="Y1199" s="348">
        <f t="shared" ca="1" si="751"/>
        <v>0</v>
      </c>
      <c r="Z1199" s="348">
        <f t="shared" ca="1" si="752"/>
        <v>8012</v>
      </c>
      <c r="AA1199" s="348">
        <f ca="1">IF(Q1199&lt;&gt;1,0,VLOOKUP(OP!$C$55,PVFB,$S1199+2,0))</f>
        <v>0</v>
      </c>
      <c r="AB1199" s="488" t="str">
        <f ca="1">IF(AND(S1199&lt;OP!$C$24,$U1199&lt;15),0,IF(AND($U1199&lt;15,$T1199=12),ROUND(VLOOKUP($S1199,DOWN16,5,0),3),IF($T1199=12,ROUND(($Z1199/10000)*$AA1199,3)+IF(AND($P$7="購買增額繳清保險",T1199=12,U1199=110),VLOOKUP(S1199,$B$10:$H$121,7,0),0),"")))</f>
        <v/>
      </c>
      <c r="AC1199" s="350" t="str">
        <f ca="1">IF(AND(S1199&lt;OP!$C$24,$U1199&lt;15),0,IF(AND($U1199&lt;16,$T1199=12),VLOOKUP($S1199,DOWN16,4,0),IF($T1199=12,ROUND(VLOOKUP(OP!$C$55,_DIE2,$S1199+1,0)*(Z1199/10000),0)+IF(AND($P$7="購買增額繳清保險",T1199=12,U1199=110),VLOOKUP(S1199,$B$10:$H$121,7,0),0),"")))</f>
        <v/>
      </c>
      <c r="AD1199" s="347"/>
      <c r="AE1199" s="350" t="str">
        <f t="shared" ca="1" si="727"/>
        <v/>
      </c>
      <c r="AF1199" s="351" t="str">
        <f t="shared" ca="1" si="728"/>
        <v/>
      </c>
      <c r="AG1199" s="340"/>
      <c r="AH1199" s="340"/>
      <c r="AI1199" s="340"/>
      <c r="AJ1199" s="340"/>
      <c r="AK1199" s="340"/>
      <c r="AL1199" s="340"/>
      <c r="AM1199" s="340"/>
      <c r="AN1199" s="340"/>
      <c r="AO1199" s="340"/>
      <c r="AP1199" s="340"/>
      <c r="AQ1199" s="340"/>
      <c r="AR1199" s="340"/>
      <c r="AS1199" s="340"/>
      <c r="AT1199" s="340"/>
      <c r="AU1199" s="340"/>
      <c r="AV1199" s="340"/>
      <c r="AY1199" s="340"/>
      <c r="AZ1199" s="465">
        <f t="shared" ca="1" si="738"/>
        <v>7.3698599999999999E-5</v>
      </c>
      <c r="BA1199" s="464">
        <f t="shared" ca="1" si="739"/>
        <v>0</v>
      </c>
      <c r="BB1199" s="465">
        <f t="shared" ca="1" si="739"/>
        <v>7.3698599999999999E-5</v>
      </c>
      <c r="BC1199" s="466">
        <f t="shared" ca="1" si="740"/>
        <v>79107</v>
      </c>
      <c r="BD1199" s="467">
        <f t="shared" ca="1" si="753"/>
        <v>79108</v>
      </c>
      <c r="BE1199" s="467">
        <f t="shared" ca="1" si="741"/>
        <v>79137</v>
      </c>
      <c r="BF1199" s="468">
        <f ca="1">IF(計算!$BC1199&lt;OP!$C$3,0,BD1199-BC1199)</f>
        <v>1</v>
      </c>
      <c r="BG1199" s="468">
        <f ca="1">IF($BE1199&gt;DATE(YEAR($BD$9)+OP!$C$57,MONTH($BD$9),DAY($BD$9)),0,$BE1199-$BD1199+1)</f>
        <v>0</v>
      </c>
      <c r="BH1199" s="469">
        <f t="shared" ca="1" si="742"/>
        <v>1</v>
      </c>
      <c r="BI1199" t="str">
        <f t="shared" si="758"/>
        <v/>
      </c>
      <c r="BJ1199">
        <v>2</v>
      </c>
      <c r="BN1199" s="468">
        <f t="shared" si="754"/>
        <v>100</v>
      </c>
      <c r="BO1199" s="468">
        <f t="shared" si="755"/>
        <v>2</v>
      </c>
      <c r="BP1199" s="467">
        <f t="shared" ca="1" si="743"/>
        <v>79108</v>
      </c>
      <c r="BQ1199" s="475">
        <f t="shared" ca="1" si="757"/>
        <v>132</v>
      </c>
      <c r="BR1199" s="475" t="str">
        <f t="shared" si="756"/>
        <v/>
      </c>
      <c r="BS1199" s="471" t="str">
        <f t="shared" si="744"/>
        <v/>
      </c>
      <c r="BT1199" s="472" t="str">
        <f t="shared" si="759"/>
        <v/>
      </c>
      <c r="BU1199" s="472">
        <f t="shared" ca="1" si="745"/>
        <v>0</v>
      </c>
      <c r="BV1199" s="472">
        <f t="shared" ca="1" si="745"/>
        <v>0</v>
      </c>
      <c r="BW1199" s="472"/>
      <c r="BX1199" s="473">
        <f t="shared" ca="1" si="746"/>
        <v>2807613.8796334802</v>
      </c>
      <c r="BY1199" s="473">
        <f t="shared" si="747"/>
        <v>0</v>
      </c>
      <c r="BZ1199" s="473">
        <f t="shared" ca="1" si="729"/>
        <v>206.91721226999999</v>
      </c>
      <c r="CA1199" s="476">
        <f t="shared" ca="1" si="748"/>
        <v>0</v>
      </c>
      <c r="CB1199" s="494">
        <f ca="1">IF(OR($Q1198&lt;&gt;1,OP!$D$5+$BN1199-1&lt;16,$BN1199-1&lt;1),0,ROUND(ROUND(ROUND(((VLOOKUP($BN1199-1,MORE_PV,5,0)/10000)*VLOOKUP($BN1199,MORE_PV,$CB$5,0)),3)*VLOOKUP($BN1199,more1,5,0),0)/$R1198,0))</f>
        <v>0</v>
      </c>
      <c r="CC1199" s="473">
        <f t="shared" ca="1" si="749"/>
        <v>0</v>
      </c>
      <c r="CD1199" s="477"/>
    </row>
    <row r="1200" spans="2:82" ht="16.5" hidden="1">
      <c r="B1200" s="80"/>
      <c r="C1200" s="80"/>
      <c r="D1200" s="80"/>
      <c r="E1200" s="80"/>
      <c r="F1200" s="80"/>
      <c r="G1200" s="80"/>
      <c r="H1200" s="80"/>
      <c r="I1200" s="80"/>
      <c r="J1200" s="192">
        <f t="shared" si="730"/>
        <v>100</v>
      </c>
      <c r="K1200" s="192">
        <f t="shared" si="731"/>
        <v>4</v>
      </c>
      <c r="L1200" s="192" t="str">
        <f t="shared" si="726"/>
        <v/>
      </c>
      <c r="M1200" s="216" t="str">
        <f t="shared" ca="1" si="732"/>
        <v/>
      </c>
      <c r="N1200" s="216"/>
      <c r="O1200" s="216"/>
      <c r="P1200" s="216"/>
      <c r="Q1200" s="456">
        <f t="shared" ca="1" si="733"/>
        <v>1</v>
      </c>
      <c r="R1200" s="450">
        <f t="shared" ca="1" si="734"/>
        <v>12</v>
      </c>
      <c r="S1200" s="191">
        <f t="shared" si="735"/>
        <v>100</v>
      </c>
      <c r="T1200" s="191">
        <f t="shared" si="736"/>
        <v>4</v>
      </c>
      <c r="U1200" s="191">
        <f ca="1">OP!$D$5+$S1200-1</f>
        <v>132</v>
      </c>
      <c r="V1200" s="191" t="str">
        <f t="shared" si="737"/>
        <v/>
      </c>
      <c r="W1200" s="350">
        <f ca="1">IF(Q1200&lt;&gt;1,0,VLOOKUP(OP!$C$55,PVFB,$S1200+2,0))</f>
        <v>0</v>
      </c>
      <c r="X1200" s="473" t="str">
        <f t="shared" ca="1" si="750"/>
        <v/>
      </c>
      <c r="Y1200" s="348">
        <f t="shared" ca="1" si="751"/>
        <v>0</v>
      </c>
      <c r="Z1200" s="348">
        <f t="shared" ca="1" si="752"/>
        <v>8012</v>
      </c>
      <c r="AA1200" s="348">
        <f ca="1">IF(Q1200&lt;&gt;1,0,VLOOKUP(OP!$C$55,PVFB,$S1200+2,0))</f>
        <v>0</v>
      </c>
      <c r="AB1200" s="488" t="str">
        <f ca="1">IF(AND(S1200&lt;OP!$C$24,$U1200&lt;15),0,IF(AND($U1200&lt;15,$T1200=12),ROUND(VLOOKUP($S1200,DOWN16,5,0),3),IF($T1200=12,ROUND(($Z1200/10000)*$AA1200,3)+IF(AND($P$7="購買增額繳清保險",T1200=12,U1200=110),VLOOKUP(S1200,$B$10:$H$121,7,0),0),"")))</f>
        <v/>
      </c>
      <c r="AC1200" s="350" t="str">
        <f ca="1">IF(AND(S1200&lt;OP!$C$24,$U1200&lt;15),0,IF(AND($U1200&lt;16,$T1200=12),VLOOKUP($S1200,DOWN16,4,0),IF($T1200=12,ROUND(VLOOKUP(OP!$C$55,_DIE2,$S1200+1,0)*(Z1200/10000),0)+IF(AND($P$7="購買增額繳清保險",T1200=12,U1200=110),VLOOKUP(S1200,$B$10:$H$121,7,0),0),"")))</f>
        <v/>
      </c>
      <c r="AD1200" s="347"/>
      <c r="AE1200" s="350" t="str">
        <f t="shared" ca="1" si="727"/>
        <v/>
      </c>
      <c r="AF1200" s="351" t="str">
        <f t="shared" ca="1" si="728"/>
        <v/>
      </c>
      <c r="AG1200" s="340"/>
      <c r="AH1200" s="340"/>
      <c r="AI1200" s="340"/>
      <c r="AJ1200" s="340"/>
      <c r="AK1200" s="340"/>
      <c r="AL1200" s="340"/>
      <c r="AM1200" s="340"/>
      <c r="AN1200" s="340"/>
      <c r="AO1200" s="340"/>
      <c r="AP1200" s="340"/>
      <c r="AQ1200" s="340"/>
      <c r="AR1200" s="340"/>
      <c r="AS1200" s="340"/>
      <c r="AT1200" s="340"/>
      <c r="AU1200" s="340"/>
      <c r="AV1200" s="340"/>
      <c r="AY1200" s="340"/>
      <c r="AZ1200" s="465">
        <f t="shared" ca="1" si="738"/>
        <v>7.3698599999999999E-5</v>
      </c>
      <c r="BA1200" s="464">
        <f t="shared" ca="1" si="739"/>
        <v>0</v>
      </c>
      <c r="BB1200" s="465">
        <f t="shared" ca="1" si="739"/>
        <v>7.3698599999999999E-5</v>
      </c>
      <c r="BC1200" s="466">
        <f t="shared" ca="1" si="740"/>
        <v>79138</v>
      </c>
      <c r="BD1200" s="467">
        <f t="shared" ca="1" si="753"/>
        <v>79139</v>
      </c>
      <c r="BE1200" s="467">
        <f t="shared" ca="1" si="741"/>
        <v>79167</v>
      </c>
      <c r="BF1200" s="468">
        <f ca="1">IF(計算!$BC1200&lt;OP!$C$3,0,BD1200-BC1200)</f>
        <v>1</v>
      </c>
      <c r="BG1200" s="468">
        <f ca="1">IF($BE1200&gt;DATE(YEAR($BD$9)+OP!$C$57,MONTH($BD$9),DAY($BD$9)),0,$BE1200-$BD1200+1)</f>
        <v>0</v>
      </c>
      <c r="BH1200" s="469">
        <f t="shared" ca="1" si="742"/>
        <v>1</v>
      </c>
      <c r="BI1200" t="str">
        <f t="shared" si="758"/>
        <v/>
      </c>
      <c r="BJ1200">
        <v>3</v>
      </c>
      <c r="BN1200" s="468">
        <f t="shared" si="754"/>
        <v>100</v>
      </c>
      <c r="BO1200" s="468">
        <f t="shared" si="755"/>
        <v>3</v>
      </c>
      <c r="BP1200" s="467">
        <f t="shared" ca="1" si="743"/>
        <v>79139</v>
      </c>
      <c r="BQ1200" s="475">
        <f t="shared" ca="1" si="757"/>
        <v>132</v>
      </c>
      <c r="BR1200" s="475" t="str">
        <f t="shared" si="756"/>
        <v/>
      </c>
      <c r="BS1200" s="471" t="str">
        <f t="shared" si="744"/>
        <v/>
      </c>
      <c r="BT1200" s="472" t="str">
        <f t="shared" si="759"/>
        <v/>
      </c>
      <c r="BU1200" s="472">
        <f t="shared" ca="1" si="745"/>
        <v>0</v>
      </c>
      <c r="BV1200" s="472">
        <f t="shared" ca="1" si="745"/>
        <v>0</v>
      </c>
      <c r="BW1200" s="472"/>
      <c r="BX1200" s="473">
        <f t="shared" ca="1" si="746"/>
        <v>2807820.79684575</v>
      </c>
      <c r="BY1200" s="473">
        <f t="shared" si="747"/>
        <v>0</v>
      </c>
      <c r="BZ1200" s="473">
        <f t="shared" ca="1" si="729"/>
        <v>206.932461778</v>
      </c>
      <c r="CA1200" s="476">
        <f t="shared" ca="1" si="748"/>
        <v>0</v>
      </c>
      <c r="CB1200" s="494">
        <f ca="1">IF(OR($Q1199&lt;&gt;1,OP!$D$5+$BN1200-1&lt;16,$BN1200-1&lt;1),0,ROUND(ROUND(ROUND(((VLOOKUP($BN1200-1,MORE_PV,5,0)/10000)*VLOOKUP($BN1200,MORE_PV,$CB$5,0)),3)*VLOOKUP($BN1200,more1,5,0),0)/$R1199,0))</f>
        <v>0</v>
      </c>
      <c r="CC1200" s="473">
        <f t="shared" ca="1" si="749"/>
        <v>0</v>
      </c>
      <c r="CD1200" s="477"/>
    </row>
    <row r="1201" spans="2:82" ht="16.5" hidden="1">
      <c r="B1201" s="80"/>
      <c r="C1201" s="80"/>
      <c r="D1201" s="80"/>
      <c r="E1201" s="80"/>
      <c r="F1201" s="80"/>
      <c r="G1201" s="80"/>
      <c r="H1201" s="80"/>
      <c r="I1201" s="80"/>
      <c r="J1201" s="192">
        <f t="shared" si="730"/>
        <v>100</v>
      </c>
      <c r="K1201" s="192">
        <f t="shared" si="731"/>
        <v>5</v>
      </c>
      <c r="L1201" s="192" t="str">
        <f t="shared" si="726"/>
        <v/>
      </c>
      <c r="M1201" s="216" t="str">
        <f t="shared" ca="1" si="732"/>
        <v/>
      </c>
      <c r="N1201" s="216"/>
      <c r="O1201" s="216"/>
      <c r="P1201" s="216"/>
      <c r="Q1201" s="456">
        <f t="shared" ca="1" si="733"/>
        <v>1</v>
      </c>
      <c r="R1201" s="450">
        <f t="shared" ca="1" si="734"/>
        <v>12</v>
      </c>
      <c r="S1201" s="191">
        <f t="shared" si="735"/>
        <v>100</v>
      </c>
      <c r="T1201" s="191">
        <f t="shared" si="736"/>
        <v>5</v>
      </c>
      <c r="U1201" s="191">
        <f ca="1">OP!$D$5+$S1201-1</f>
        <v>132</v>
      </c>
      <c r="V1201" s="191" t="str">
        <f t="shared" si="737"/>
        <v/>
      </c>
      <c r="W1201" s="350">
        <f ca="1">IF(Q1201&lt;&gt;1,0,VLOOKUP(OP!$C$55,PVFB,$S1201+2,0))</f>
        <v>0</v>
      </c>
      <c r="X1201" s="473" t="str">
        <f t="shared" ca="1" si="750"/>
        <v/>
      </c>
      <c r="Y1201" s="348">
        <f t="shared" ca="1" si="751"/>
        <v>0</v>
      </c>
      <c r="Z1201" s="348">
        <f t="shared" ca="1" si="752"/>
        <v>8012</v>
      </c>
      <c r="AA1201" s="348">
        <f ca="1">IF(Q1201&lt;&gt;1,0,VLOOKUP(OP!$C$55,PVFB,$S1201+2,0))</f>
        <v>0</v>
      </c>
      <c r="AB1201" s="488" t="str">
        <f ca="1">IF(AND(S1201&lt;OP!$C$24,$U1201&lt;15),0,IF(AND($U1201&lt;15,$T1201=12),ROUND(VLOOKUP($S1201,DOWN16,5,0),3),IF($T1201=12,ROUND(($Z1201/10000)*$AA1201,3)+IF(AND($P$7="購買增額繳清保險",T1201=12,U1201=110),VLOOKUP(S1201,$B$10:$H$121,7,0),0),"")))</f>
        <v/>
      </c>
      <c r="AC1201" s="350" t="str">
        <f ca="1">IF(AND(S1201&lt;OP!$C$24,$U1201&lt;15),0,IF(AND($U1201&lt;16,$T1201=12),VLOOKUP($S1201,DOWN16,4,0),IF($T1201=12,ROUND(VLOOKUP(OP!$C$55,_DIE2,$S1201+1,0)*(Z1201/10000),0)+IF(AND($P$7="購買增額繳清保險",T1201=12,U1201=110),VLOOKUP(S1201,$B$10:$H$121,7,0),0),"")))</f>
        <v/>
      </c>
      <c r="AD1201" s="347"/>
      <c r="AE1201" s="350" t="str">
        <f t="shared" ca="1" si="727"/>
        <v/>
      </c>
      <c r="AF1201" s="351" t="str">
        <f t="shared" ca="1" si="728"/>
        <v/>
      </c>
      <c r="AG1201" s="340"/>
      <c r="AH1201" s="340"/>
      <c r="AI1201" s="340"/>
      <c r="AJ1201" s="340"/>
      <c r="AK1201" s="340"/>
      <c r="AL1201" s="340"/>
      <c r="AM1201" s="340"/>
      <c r="AN1201" s="340"/>
      <c r="AO1201" s="340"/>
      <c r="AP1201" s="340"/>
      <c r="AQ1201" s="340"/>
      <c r="AR1201" s="340"/>
      <c r="AS1201" s="340"/>
      <c r="AT1201" s="340"/>
      <c r="AU1201" s="340"/>
      <c r="AV1201" s="340"/>
      <c r="AY1201" s="340"/>
      <c r="AZ1201" s="465">
        <f t="shared" ca="1" si="738"/>
        <v>7.3698599999999999E-5</v>
      </c>
      <c r="BA1201" s="464">
        <f t="shared" ca="1" si="739"/>
        <v>0</v>
      </c>
      <c r="BB1201" s="465">
        <f t="shared" ca="1" si="739"/>
        <v>7.3698599999999999E-5</v>
      </c>
      <c r="BC1201" s="466">
        <f t="shared" ca="1" si="740"/>
        <v>79168</v>
      </c>
      <c r="BD1201" s="467">
        <f t="shared" ca="1" si="753"/>
        <v>79169</v>
      </c>
      <c r="BE1201" s="467">
        <f t="shared" ca="1" si="741"/>
        <v>79198</v>
      </c>
      <c r="BF1201" s="468">
        <f ca="1">IF(計算!$BC1201&lt;OP!$C$3,0,BD1201-BC1201)</f>
        <v>1</v>
      </c>
      <c r="BG1201" s="468">
        <f ca="1">IF($BE1201&gt;DATE(YEAR($BD$9)+OP!$C$57,MONTH($BD$9),DAY($BD$9)),0,$BE1201-$BD1201+1)</f>
        <v>0</v>
      </c>
      <c r="BH1201" s="469">
        <f t="shared" ca="1" si="742"/>
        <v>1</v>
      </c>
      <c r="BI1201" t="str">
        <f t="shared" si="758"/>
        <v/>
      </c>
      <c r="BJ1201">
        <v>4</v>
      </c>
      <c r="BN1201" s="468">
        <f t="shared" si="754"/>
        <v>100</v>
      </c>
      <c r="BO1201" s="468">
        <f t="shared" si="755"/>
        <v>4</v>
      </c>
      <c r="BP1201" s="467">
        <f t="shared" ca="1" si="743"/>
        <v>79169</v>
      </c>
      <c r="BQ1201" s="475">
        <f t="shared" ca="1" si="757"/>
        <v>132</v>
      </c>
      <c r="BR1201" s="475" t="str">
        <f t="shared" si="756"/>
        <v/>
      </c>
      <c r="BS1201" s="471" t="str">
        <f t="shared" si="744"/>
        <v/>
      </c>
      <c r="BT1201" s="472" t="str">
        <f t="shared" si="759"/>
        <v/>
      </c>
      <c r="BU1201" s="472">
        <f t="shared" ca="1" si="745"/>
        <v>0</v>
      </c>
      <c r="BV1201" s="472">
        <f t="shared" ca="1" si="745"/>
        <v>0</v>
      </c>
      <c r="BW1201" s="472"/>
      <c r="BX1201" s="473">
        <f t="shared" ca="1" si="746"/>
        <v>2808027.72930753</v>
      </c>
      <c r="BY1201" s="473">
        <f t="shared" si="747"/>
        <v>0</v>
      </c>
      <c r="BZ1201" s="473">
        <f t="shared" ca="1" si="729"/>
        <v>206.947712411</v>
      </c>
      <c r="CA1201" s="476">
        <f t="shared" ca="1" si="748"/>
        <v>0</v>
      </c>
      <c r="CB1201" s="494">
        <f ca="1">IF(OR($Q1200&lt;&gt;1,OP!$D$5+$BN1201-1&lt;16,$BN1201-1&lt;1),0,ROUND(ROUND(ROUND(((VLOOKUP($BN1201-1,MORE_PV,5,0)/10000)*VLOOKUP($BN1201,MORE_PV,$CB$5,0)),3)*VLOOKUP($BN1201,more1,5,0),0)/$R1200,0))</f>
        <v>0</v>
      </c>
      <c r="CC1201" s="473">
        <f t="shared" ca="1" si="749"/>
        <v>0</v>
      </c>
      <c r="CD1201" s="477"/>
    </row>
    <row r="1202" spans="2:82" ht="16.5" hidden="1">
      <c r="B1202" s="80"/>
      <c r="C1202" s="80"/>
      <c r="D1202" s="80"/>
      <c r="E1202" s="80"/>
      <c r="F1202" s="80"/>
      <c r="G1202" s="80"/>
      <c r="H1202" s="80"/>
      <c r="I1202" s="80"/>
      <c r="J1202" s="192">
        <f t="shared" si="730"/>
        <v>100</v>
      </c>
      <c r="K1202" s="192">
        <f t="shared" si="731"/>
        <v>6</v>
      </c>
      <c r="L1202" s="192" t="str">
        <f t="shared" si="726"/>
        <v/>
      </c>
      <c r="M1202" s="216" t="str">
        <f t="shared" ca="1" si="732"/>
        <v/>
      </c>
      <c r="N1202" s="216"/>
      <c r="O1202" s="216"/>
      <c r="P1202" s="216"/>
      <c r="Q1202" s="456">
        <f t="shared" ca="1" si="733"/>
        <v>1</v>
      </c>
      <c r="R1202" s="450">
        <f t="shared" ca="1" si="734"/>
        <v>12</v>
      </c>
      <c r="S1202" s="191">
        <f t="shared" si="735"/>
        <v>100</v>
      </c>
      <c r="T1202" s="191">
        <f t="shared" si="736"/>
        <v>6</v>
      </c>
      <c r="U1202" s="191">
        <f ca="1">OP!$D$5+$S1202-1</f>
        <v>132</v>
      </c>
      <c r="V1202" s="191" t="str">
        <f t="shared" si="737"/>
        <v/>
      </c>
      <c r="W1202" s="350">
        <f ca="1">IF(Q1202&lt;&gt;1,0,VLOOKUP(OP!$C$55,PVFB,$S1202+2,0))</f>
        <v>0</v>
      </c>
      <c r="X1202" s="473" t="str">
        <f t="shared" ca="1" si="750"/>
        <v/>
      </c>
      <c r="Y1202" s="348">
        <f t="shared" ca="1" si="751"/>
        <v>0</v>
      </c>
      <c r="Z1202" s="348">
        <f t="shared" ca="1" si="752"/>
        <v>8012</v>
      </c>
      <c r="AA1202" s="348">
        <f ca="1">IF(Q1202&lt;&gt;1,0,VLOOKUP(OP!$C$55,PVFB,$S1202+2,0))</f>
        <v>0</v>
      </c>
      <c r="AB1202" s="488" t="str">
        <f ca="1">IF(AND(S1202&lt;OP!$C$24,$U1202&lt;15),0,IF(AND($U1202&lt;15,$T1202=12),ROUND(VLOOKUP($S1202,DOWN16,5,0),3),IF($T1202=12,ROUND(($Z1202/10000)*$AA1202,3)+IF(AND($P$7="購買增額繳清保險",T1202=12,U1202=110),VLOOKUP(S1202,$B$10:$H$121,7,0),0),"")))</f>
        <v/>
      </c>
      <c r="AC1202" s="350" t="str">
        <f ca="1">IF(AND(S1202&lt;OP!$C$24,$U1202&lt;15),0,IF(AND($U1202&lt;16,$T1202=12),VLOOKUP($S1202,DOWN16,4,0),IF($T1202=12,ROUND(VLOOKUP(OP!$C$55,_DIE2,$S1202+1,0)*(Z1202/10000),0)+IF(AND($P$7="購買增額繳清保險",T1202=12,U1202=110),VLOOKUP(S1202,$B$10:$H$121,7,0),0),"")))</f>
        <v/>
      </c>
      <c r="AD1202" s="347"/>
      <c r="AE1202" s="350" t="str">
        <f t="shared" ca="1" si="727"/>
        <v/>
      </c>
      <c r="AF1202" s="351" t="str">
        <f t="shared" ca="1" si="728"/>
        <v/>
      </c>
      <c r="AG1202" s="340"/>
      <c r="AH1202" s="340"/>
      <c r="AI1202" s="340"/>
      <c r="AJ1202" s="340"/>
      <c r="AK1202" s="340"/>
      <c r="AL1202" s="340"/>
      <c r="AM1202" s="340"/>
      <c r="AN1202" s="340"/>
      <c r="AO1202" s="340"/>
      <c r="AP1202" s="340"/>
      <c r="AQ1202" s="340"/>
      <c r="AR1202" s="340"/>
      <c r="AS1202" s="340"/>
      <c r="AT1202" s="340"/>
      <c r="AU1202" s="340"/>
      <c r="AV1202" s="340"/>
      <c r="AY1202" s="340"/>
      <c r="AZ1202" s="465">
        <f t="shared" ca="1" si="738"/>
        <v>7.3698599999999999E-5</v>
      </c>
      <c r="BA1202" s="464">
        <f t="shared" ca="1" si="739"/>
        <v>0</v>
      </c>
      <c r="BB1202" s="465">
        <f t="shared" ca="1" si="739"/>
        <v>7.3698599999999999E-5</v>
      </c>
      <c r="BC1202" s="466">
        <f t="shared" ca="1" si="740"/>
        <v>79199</v>
      </c>
      <c r="BD1202" s="467">
        <f t="shared" ca="1" si="753"/>
        <v>79200</v>
      </c>
      <c r="BE1202" s="467">
        <f t="shared" ca="1" si="741"/>
        <v>79228</v>
      </c>
      <c r="BF1202" s="468">
        <f ca="1">IF(計算!$BC1202&lt;OP!$C$3,0,BD1202-BC1202)</f>
        <v>1</v>
      </c>
      <c r="BG1202" s="468">
        <f ca="1">IF($BE1202&gt;DATE(YEAR($BD$9)+OP!$C$57,MONTH($BD$9),DAY($BD$9)),0,$BE1202-$BD1202+1)</f>
        <v>0</v>
      </c>
      <c r="BH1202" s="469">
        <f t="shared" ca="1" si="742"/>
        <v>1</v>
      </c>
      <c r="BI1202" t="str">
        <f t="shared" si="758"/>
        <v/>
      </c>
      <c r="BJ1202">
        <v>5</v>
      </c>
      <c r="BN1202" s="468">
        <f t="shared" si="754"/>
        <v>100</v>
      </c>
      <c r="BO1202" s="468">
        <f t="shared" si="755"/>
        <v>5</v>
      </c>
      <c r="BP1202" s="467">
        <f t="shared" ca="1" si="743"/>
        <v>79200</v>
      </c>
      <c r="BQ1202" s="475">
        <f t="shared" ca="1" si="757"/>
        <v>132</v>
      </c>
      <c r="BR1202" s="475" t="str">
        <f t="shared" si="756"/>
        <v/>
      </c>
      <c r="BS1202" s="471" t="str">
        <f t="shared" si="744"/>
        <v/>
      </c>
      <c r="BT1202" s="472" t="str">
        <f t="shared" si="759"/>
        <v/>
      </c>
      <c r="BU1202" s="472">
        <f t="shared" ca="1" si="745"/>
        <v>0</v>
      </c>
      <c r="BV1202" s="472">
        <f t="shared" ca="1" si="745"/>
        <v>0</v>
      </c>
      <c r="BW1202" s="472"/>
      <c r="BX1202" s="473">
        <f t="shared" ca="1" si="746"/>
        <v>2808234.6770199402</v>
      </c>
      <c r="BY1202" s="473">
        <f t="shared" si="747"/>
        <v>0</v>
      </c>
      <c r="BZ1202" s="473">
        <f t="shared" ca="1" si="729"/>
        <v>206.96296416800001</v>
      </c>
      <c r="CA1202" s="476">
        <f t="shared" ca="1" si="748"/>
        <v>0</v>
      </c>
      <c r="CB1202" s="494">
        <f ca="1">IF(OR($Q1201&lt;&gt;1,OP!$D$5+$BN1202-1&lt;16,$BN1202-1&lt;1),0,ROUND(ROUND(ROUND(((VLOOKUP($BN1202-1,MORE_PV,5,0)/10000)*VLOOKUP($BN1202,MORE_PV,$CB$5,0)),3)*VLOOKUP($BN1202,more1,5,0),0)/$R1201,0))</f>
        <v>0</v>
      </c>
      <c r="CC1202" s="473">
        <f t="shared" ca="1" si="749"/>
        <v>0</v>
      </c>
      <c r="CD1202" s="477"/>
    </row>
    <row r="1203" spans="2:82" ht="16.5" hidden="1">
      <c r="B1203" s="80"/>
      <c r="C1203" s="80"/>
      <c r="D1203" s="80"/>
      <c r="E1203" s="80"/>
      <c r="F1203" s="80"/>
      <c r="G1203" s="80"/>
      <c r="H1203" s="80"/>
      <c r="I1203" s="80"/>
      <c r="J1203" s="192">
        <f t="shared" si="730"/>
        <v>100</v>
      </c>
      <c r="K1203" s="192">
        <f t="shared" si="731"/>
        <v>7</v>
      </c>
      <c r="L1203" s="192" t="str">
        <f t="shared" si="726"/>
        <v/>
      </c>
      <c r="M1203" s="216" t="str">
        <f t="shared" ca="1" si="732"/>
        <v/>
      </c>
      <c r="N1203" s="216"/>
      <c r="O1203" s="216"/>
      <c r="P1203" s="216"/>
      <c r="Q1203" s="456">
        <f t="shared" ca="1" si="733"/>
        <v>1</v>
      </c>
      <c r="R1203" s="450">
        <f t="shared" ca="1" si="734"/>
        <v>12</v>
      </c>
      <c r="S1203" s="191">
        <f t="shared" si="735"/>
        <v>100</v>
      </c>
      <c r="T1203" s="191">
        <f t="shared" si="736"/>
        <v>7</v>
      </c>
      <c r="U1203" s="191">
        <f ca="1">OP!$D$5+$S1203-1</f>
        <v>132</v>
      </c>
      <c r="V1203" s="191" t="str">
        <f t="shared" si="737"/>
        <v/>
      </c>
      <c r="W1203" s="350">
        <f ca="1">IF(Q1203&lt;&gt;1,0,VLOOKUP(OP!$C$55,PVFB,$S1203+2,0))</f>
        <v>0</v>
      </c>
      <c r="X1203" s="473" t="str">
        <f t="shared" ca="1" si="750"/>
        <v/>
      </c>
      <c r="Y1203" s="348">
        <f t="shared" ca="1" si="751"/>
        <v>0</v>
      </c>
      <c r="Z1203" s="348">
        <f t="shared" ca="1" si="752"/>
        <v>8012</v>
      </c>
      <c r="AA1203" s="348">
        <f ca="1">IF(Q1203&lt;&gt;1,0,VLOOKUP(OP!$C$55,PVFB,$S1203+2,0))</f>
        <v>0</v>
      </c>
      <c r="AB1203" s="488" t="str">
        <f ca="1">IF(AND(S1203&lt;OP!$C$24,$U1203&lt;15),0,IF(AND($U1203&lt;15,$T1203=12),ROUND(VLOOKUP($S1203,DOWN16,5,0),3),IF($T1203=12,ROUND(($Z1203/10000)*$AA1203,3)+IF(AND($P$7="購買增額繳清保險",T1203=12,U1203=110),VLOOKUP(S1203,$B$10:$H$121,7,0),0),"")))</f>
        <v/>
      </c>
      <c r="AC1203" s="350" t="str">
        <f ca="1">IF(AND(S1203&lt;OP!$C$24,$U1203&lt;15),0,IF(AND($U1203&lt;16,$T1203=12),VLOOKUP($S1203,DOWN16,4,0),IF($T1203=12,ROUND(VLOOKUP(OP!$C$55,_DIE2,$S1203+1,0)*(Z1203/10000),0)+IF(AND($P$7="購買增額繳清保險",T1203=12,U1203=110),VLOOKUP(S1203,$B$10:$H$121,7,0),0),"")))</f>
        <v/>
      </c>
      <c r="AD1203" s="347"/>
      <c r="AE1203" s="350" t="str">
        <f t="shared" ca="1" si="727"/>
        <v/>
      </c>
      <c r="AF1203" s="351" t="str">
        <f t="shared" ca="1" si="728"/>
        <v/>
      </c>
      <c r="AG1203" s="340"/>
      <c r="AH1203" s="340"/>
      <c r="AI1203" s="340"/>
      <c r="AJ1203" s="340"/>
      <c r="AK1203" s="340"/>
      <c r="AL1203" s="340"/>
      <c r="AM1203" s="340"/>
      <c r="AN1203" s="340"/>
      <c r="AO1203" s="340"/>
      <c r="AP1203" s="340"/>
      <c r="AQ1203" s="340"/>
      <c r="AR1203" s="340"/>
      <c r="AS1203" s="340"/>
      <c r="AT1203" s="340"/>
      <c r="AU1203" s="340"/>
      <c r="AV1203" s="340"/>
      <c r="AY1203" s="340"/>
      <c r="AZ1203" s="465">
        <f t="shared" ca="1" si="738"/>
        <v>7.3698599999999999E-5</v>
      </c>
      <c r="BA1203" s="464">
        <f t="shared" ca="1" si="739"/>
        <v>0</v>
      </c>
      <c r="BB1203" s="465">
        <f t="shared" ca="1" si="739"/>
        <v>7.3698599999999999E-5</v>
      </c>
      <c r="BC1203" s="466">
        <f t="shared" ca="1" si="740"/>
        <v>79229</v>
      </c>
      <c r="BD1203" s="467">
        <f t="shared" ca="1" si="753"/>
        <v>79230</v>
      </c>
      <c r="BE1203" s="467">
        <f t="shared" ca="1" si="741"/>
        <v>79259</v>
      </c>
      <c r="BF1203" s="468">
        <f ca="1">IF(計算!$BC1203&lt;OP!$C$3,0,BD1203-BC1203)</f>
        <v>1</v>
      </c>
      <c r="BG1203" s="468">
        <f ca="1">IF($BE1203&gt;DATE(YEAR($BD$9)+OP!$C$57,MONTH($BD$9),DAY($BD$9)),0,$BE1203-$BD1203+1)</f>
        <v>0</v>
      </c>
      <c r="BH1203" s="469">
        <f t="shared" ca="1" si="742"/>
        <v>1</v>
      </c>
      <c r="BI1203" t="str">
        <f t="shared" si="758"/>
        <v/>
      </c>
      <c r="BJ1203">
        <v>6</v>
      </c>
      <c r="BN1203" s="468">
        <f t="shared" si="754"/>
        <v>100</v>
      </c>
      <c r="BO1203" s="468">
        <f t="shared" si="755"/>
        <v>6</v>
      </c>
      <c r="BP1203" s="467">
        <f t="shared" ca="1" si="743"/>
        <v>79230</v>
      </c>
      <c r="BQ1203" s="475">
        <f t="shared" ca="1" si="757"/>
        <v>132</v>
      </c>
      <c r="BR1203" s="475" t="str">
        <f t="shared" si="756"/>
        <v/>
      </c>
      <c r="BS1203" s="471" t="str">
        <f t="shared" si="744"/>
        <v/>
      </c>
      <c r="BT1203" s="472" t="str">
        <f t="shared" si="759"/>
        <v/>
      </c>
      <c r="BU1203" s="472">
        <f t="shared" ca="1" si="745"/>
        <v>0</v>
      </c>
      <c r="BV1203" s="472">
        <f t="shared" ca="1" si="745"/>
        <v>0</v>
      </c>
      <c r="BW1203" s="472"/>
      <c r="BX1203" s="473">
        <f t="shared" ca="1" si="746"/>
        <v>2808441.6399841099</v>
      </c>
      <c r="BY1203" s="473">
        <f t="shared" si="747"/>
        <v>0</v>
      </c>
      <c r="BZ1203" s="473">
        <f t="shared" ca="1" si="729"/>
        <v>206.97821704899999</v>
      </c>
      <c r="CA1203" s="476">
        <f t="shared" ca="1" si="748"/>
        <v>0</v>
      </c>
      <c r="CB1203" s="494">
        <f ca="1">IF(OR($Q1202&lt;&gt;1,OP!$D$5+$BN1203-1&lt;16,$BN1203-1&lt;1),0,ROUND(ROUND(ROUND(((VLOOKUP($BN1203-1,MORE_PV,5,0)/10000)*VLOOKUP($BN1203,MORE_PV,$CB$5,0)),3)*VLOOKUP($BN1203,more1,5,0),0)/$R1202,0))</f>
        <v>0</v>
      </c>
      <c r="CC1203" s="473">
        <f t="shared" ca="1" si="749"/>
        <v>0</v>
      </c>
      <c r="CD1203" s="477"/>
    </row>
    <row r="1204" spans="2:82" ht="16.5" hidden="1">
      <c r="B1204" s="80"/>
      <c r="C1204" s="80"/>
      <c r="D1204" s="80"/>
      <c r="E1204" s="80"/>
      <c r="F1204" s="80"/>
      <c r="G1204" s="80"/>
      <c r="H1204" s="80"/>
      <c r="I1204" s="80"/>
      <c r="J1204" s="192">
        <f t="shared" si="730"/>
        <v>100</v>
      </c>
      <c r="K1204" s="192">
        <f t="shared" si="731"/>
        <v>8</v>
      </c>
      <c r="L1204" s="192" t="str">
        <f t="shared" si="726"/>
        <v/>
      </c>
      <c r="M1204" s="216" t="str">
        <f t="shared" ca="1" si="732"/>
        <v/>
      </c>
      <c r="N1204" s="216"/>
      <c r="O1204" s="216"/>
      <c r="P1204" s="216"/>
      <c r="Q1204" s="456">
        <f t="shared" ca="1" si="733"/>
        <v>1</v>
      </c>
      <c r="R1204" s="450">
        <f t="shared" ca="1" si="734"/>
        <v>12</v>
      </c>
      <c r="S1204" s="191">
        <f t="shared" si="735"/>
        <v>100</v>
      </c>
      <c r="T1204" s="191">
        <f t="shared" si="736"/>
        <v>8</v>
      </c>
      <c r="U1204" s="191">
        <f ca="1">OP!$D$5+$S1204-1</f>
        <v>132</v>
      </c>
      <c r="V1204" s="191" t="str">
        <f t="shared" si="737"/>
        <v/>
      </c>
      <c r="W1204" s="350">
        <f ca="1">IF(Q1204&lt;&gt;1,0,VLOOKUP(OP!$C$55,PVFB,$S1204+2,0))</f>
        <v>0</v>
      </c>
      <c r="X1204" s="473" t="str">
        <f t="shared" ca="1" si="750"/>
        <v/>
      </c>
      <c r="Y1204" s="348">
        <f t="shared" ca="1" si="751"/>
        <v>0</v>
      </c>
      <c r="Z1204" s="348">
        <f t="shared" ca="1" si="752"/>
        <v>8012</v>
      </c>
      <c r="AA1204" s="348">
        <f ca="1">IF(Q1204&lt;&gt;1,0,VLOOKUP(OP!$C$55,PVFB,$S1204+2,0))</f>
        <v>0</v>
      </c>
      <c r="AB1204" s="488" t="str">
        <f ca="1">IF(AND(S1204&lt;OP!$C$24,$U1204&lt;15),0,IF(AND($U1204&lt;15,$T1204=12),ROUND(VLOOKUP($S1204,DOWN16,5,0),3),IF($T1204=12,ROUND(($Z1204/10000)*$AA1204,3)+IF(AND($P$7="購買增額繳清保險",T1204=12,U1204=110),VLOOKUP(S1204,$B$10:$H$121,7,0),0),"")))</f>
        <v/>
      </c>
      <c r="AC1204" s="350" t="str">
        <f ca="1">IF(AND(S1204&lt;OP!$C$24,$U1204&lt;15),0,IF(AND($U1204&lt;16,$T1204=12),VLOOKUP($S1204,DOWN16,4,0),IF($T1204=12,ROUND(VLOOKUP(OP!$C$55,_DIE2,$S1204+1,0)*(Z1204/10000),0)+IF(AND($P$7="購買增額繳清保險",T1204=12,U1204=110),VLOOKUP(S1204,$B$10:$H$121,7,0),0),"")))</f>
        <v/>
      </c>
      <c r="AD1204" s="347"/>
      <c r="AE1204" s="350" t="str">
        <f t="shared" ca="1" si="727"/>
        <v/>
      </c>
      <c r="AF1204" s="351" t="str">
        <f t="shared" ca="1" si="728"/>
        <v/>
      </c>
      <c r="AG1204" s="340"/>
      <c r="AH1204" s="340"/>
      <c r="AI1204" s="340"/>
      <c r="AJ1204" s="340"/>
      <c r="AK1204" s="340"/>
      <c r="AL1204" s="340"/>
      <c r="AM1204" s="340"/>
      <c r="AN1204" s="340"/>
      <c r="AO1204" s="340"/>
      <c r="AP1204" s="340"/>
      <c r="AQ1204" s="340"/>
      <c r="AR1204" s="340"/>
      <c r="AS1204" s="340"/>
      <c r="AT1204" s="340"/>
      <c r="AU1204" s="340"/>
      <c r="AV1204" s="340"/>
      <c r="AY1204" s="340"/>
      <c r="AZ1204" s="465">
        <f t="shared" ca="1" si="738"/>
        <v>7.3698599999999999E-5</v>
      </c>
      <c r="BA1204" s="464">
        <f t="shared" ca="1" si="739"/>
        <v>0</v>
      </c>
      <c r="BB1204" s="465">
        <f t="shared" ca="1" si="739"/>
        <v>7.3698599999999999E-5</v>
      </c>
      <c r="BC1204" s="466">
        <f t="shared" ca="1" si="740"/>
        <v>79260</v>
      </c>
      <c r="BD1204" s="467">
        <f t="shared" ca="1" si="753"/>
        <v>79261</v>
      </c>
      <c r="BE1204" s="467">
        <f t="shared" ca="1" si="741"/>
        <v>79290</v>
      </c>
      <c r="BF1204" s="468">
        <f ca="1">IF(計算!$BC1204&lt;OP!$C$3,0,BD1204-BC1204)</f>
        <v>1</v>
      </c>
      <c r="BG1204" s="468">
        <f ca="1">IF($BE1204&gt;DATE(YEAR($BD$9)+OP!$C$57,MONTH($BD$9),DAY($BD$9)),0,$BE1204-$BD1204+1)</f>
        <v>0</v>
      </c>
      <c r="BH1204" s="469">
        <f t="shared" ca="1" si="742"/>
        <v>1</v>
      </c>
      <c r="BI1204" t="str">
        <f t="shared" si="758"/>
        <v/>
      </c>
      <c r="BJ1204">
        <v>7</v>
      </c>
      <c r="BN1204" s="468">
        <f t="shared" si="754"/>
        <v>100</v>
      </c>
      <c r="BO1204" s="468">
        <f t="shared" si="755"/>
        <v>7</v>
      </c>
      <c r="BP1204" s="467">
        <f t="shared" ca="1" si="743"/>
        <v>79261</v>
      </c>
      <c r="BQ1204" s="475">
        <f t="shared" ca="1" si="757"/>
        <v>132</v>
      </c>
      <c r="BR1204" s="475" t="str">
        <f t="shared" si="756"/>
        <v/>
      </c>
      <c r="BS1204" s="471" t="str">
        <f t="shared" si="744"/>
        <v/>
      </c>
      <c r="BT1204" s="472" t="str">
        <f t="shared" si="759"/>
        <v/>
      </c>
      <c r="BU1204" s="472">
        <f t="shared" ca="1" si="745"/>
        <v>0</v>
      </c>
      <c r="BV1204" s="472">
        <f t="shared" ca="1" si="745"/>
        <v>0</v>
      </c>
      <c r="BW1204" s="472"/>
      <c r="BX1204" s="473">
        <f t="shared" ca="1" si="746"/>
        <v>2808648.6182011599</v>
      </c>
      <c r="BY1204" s="473">
        <f t="shared" si="747"/>
        <v>0</v>
      </c>
      <c r="BZ1204" s="473">
        <f t="shared" ca="1" si="729"/>
        <v>206.99347105300001</v>
      </c>
      <c r="CA1204" s="476">
        <f t="shared" ca="1" si="748"/>
        <v>0</v>
      </c>
      <c r="CB1204" s="494">
        <f ca="1">IF(OR($Q1203&lt;&gt;1,OP!$D$5+$BN1204-1&lt;16,$BN1204-1&lt;1),0,ROUND(ROUND(ROUND(((VLOOKUP($BN1204-1,MORE_PV,5,0)/10000)*VLOOKUP($BN1204,MORE_PV,$CB$5,0)),3)*VLOOKUP($BN1204,more1,5,0),0)/$R1203,0))</f>
        <v>0</v>
      </c>
      <c r="CC1204" s="473">
        <f t="shared" ca="1" si="749"/>
        <v>0</v>
      </c>
      <c r="CD1204" s="477"/>
    </row>
    <row r="1205" spans="2:82" ht="16.5" hidden="1">
      <c r="B1205" s="80"/>
      <c r="C1205" s="80"/>
      <c r="D1205" s="80"/>
      <c r="E1205" s="80"/>
      <c r="F1205" s="80"/>
      <c r="G1205" s="80"/>
      <c r="H1205" s="80"/>
      <c r="I1205" s="80"/>
      <c r="J1205" s="192">
        <f t="shared" si="730"/>
        <v>100</v>
      </c>
      <c r="K1205" s="192">
        <f t="shared" si="731"/>
        <v>9</v>
      </c>
      <c r="L1205" s="192" t="str">
        <f t="shared" si="726"/>
        <v/>
      </c>
      <c r="M1205" s="216" t="str">
        <f t="shared" ca="1" si="732"/>
        <v/>
      </c>
      <c r="N1205" s="216"/>
      <c r="O1205" s="216"/>
      <c r="P1205" s="216"/>
      <c r="Q1205" s="456">
        <f t="shared" ca="1" si="733"/>
        <v>1</v>
      </c>
      <c r="R1205" s="450">
        <f t="shared" ca="1" si="734"/>
        <v>12</v>
      </c>
      <c r="S1205" s="191">
        <f t="shared" si="735"/>
        <v>100</v>
      </c>
      <c r="T1205" s="191">
        <f t="shared" si="736"/>
        <v>9</v>
      </c>
      <c r="U1205" s="191">
        <f ca="1">OP!$D$5+$S1205-1</f>
        <v>132</v>
      </c>
      <c r="V1205" s="191" t="str">
        <f t="shared" si="737"/>
        <v/>
      </c>
      <c r="W1205" s="350">
        <f ca="1">IF(Q1205&lt;&gt;1,0,VLOOKUP(OP!$C$55,PVFB,$S1205+2,0))</f>
        <v>0</v>
      </c>
      <c r="X1205" s="473" t="str">
        <f t="shared" ca="1" si="750"/>
        <v/>
      </c>
      <c r="Y1205" s="348">
        <f t="shared" ca="1" si="751"/>
        <v>0</v>
      </c>
      <c r="Z1205" s="348">
        <f t="shared" ca="1" si="752"/>
        <v>8012</v>
      </c>
      <c r="AA1205" s="348">
        <f ca="1">IF(Q1205&lt;&gt;1,0,VLOOKUP(OP!$C$55,PVFB,$S1205+2,0))</f>
        <v>0</v>
      </c>
      <c r="AB1205" s="488" t="str">
        <f ca="1">IF(AND(S1205&lt;OP!$C$24,$U1205&lt;15),0,IF(AND($U1205&lt;15,$T1205=12),ROUND(VLOOKUP($S1205,DOWN16,5,0),3),IF($T1205=12,ROUND(($Z1205/10000)*$AA1205,3)+IF(AND($P$7="購買增額繳清保險",T1205=12,U1205=110),VLOOKUP(S1205,$B$10:$H$121,7,0),0),"")))</f>
        <v/>
      </c>
      <c r="AC1205" s="350" t="str">
        <f ca="1">IF(AND(S1205&lt;OP!$C$24,$U1205&lt;15),0,IF(AND($U1205&lt;16,$T1205=12),VLOOKUP($S1205,DOWN16,4,0),IF($T1205=12,ROUND(VLOOKUP(OP!$C$55,_DIE2,$S1205+1,0)*(Z1205/10000),0)+IF(AND($P$7="購買增額繳清保險",T1205=12,U1205=110),VLOOKUP(S1205,$B$10:$H$121,7,0),0),"")))</f>
        <v/>
      </c>
      <c r="AD1205" s="347"/>
      <c r="AE1205" s="350" t="str">
        <f t="shared" ca="1" si="727"/>
        <v/>
      </c>
      <c r="AF1205" s="351" t="str">
        <f t="shared" ca="1" si="728"/>
        <v/>
      </c>
      <c r="AG1205" s="340"/>
      <c r="AH1205" s="340"/>
      <c r="AI1205" s="340"/>
      <c r="AJ1205" s="340"/>
      <c r="AK1205" s="340"/>
      <c r="AL1205" s="340"/>
      <c r="AM1205" s="340"/>
      <c r="AN1205" s="340"/>
      <c r="AO1205" s="340"/>
      <c r="AP1205" s="340"/>
      <c r="AQ1205" s="340"/>
      <c r="AR1205" s="340"/>
      <c r="AS1205" s="340"/>
      <c r="AT1205" s="340"/>
      <c r="AU1205" s="340"/>
      <c r="AV1205" s="340"/>
      <c r="AY1205" s="340"/>
      <c r="AZ1205" s="465">
        <f t="shared" ca="1" si="738"/>
        <v>7.3698599999999999E-5</v>
      </c>
      <c r="BA1205" s="464">
        <f t="shared" ca="1" si="739"/>
        <v>0</v>
      </c>
      <c r="BB1205" s="465">
        <f t="shared" ca="1" si="739"/>
        <v>7.3698599999999999E-5</v>
      </c>
      <c r="BC1205" s="466">
        <f t="shared" ca="1" si="740"/>
        <v>79291</v>
      </c>
      <c r="BD1205" s="467">
        <f t="shared" ca="1" si="753"/>
        <v>79292</v>
      </c>
      <c r="BE1205" s="467">
        <f t="shared" ca="1" si="741"/>
        <v>79318</v>
      </c>
      <c r="BF1205" s="468">
        <f ca="1">IF(計算!$BC1205&lt;OP!$C$3,0,BD1205-BC1205)</f>
        <v>1</v>
      </c>
      <c r="BG1205" s="468">
        <f ca="1">IF($BE1205&gt;DATE(YEAR($BD$9)+OP!$C$57,MONTH($BD$9),DAY($BD$9)),0,$BE1205-$BD1205+1)</f>
        <v>0</v>
      </c>
      <c r="BH1205" s="469">
        <f t="shared" ca="1" si="742"/>
        <v>1</v>
      </c>
      <c r="BI1205" t="str">
        <f t="shared" si="758"/>
        <v/>
      </c>
      <c r="BJ1205">
        <v>8</v>
      </c>
      <c r="BN1205" s="468">
        <f t="shared" si="754"/>
        <v>100</v>
      </c>
      <c r="BO1205" s="468">
        <f t="shared" si="755"/>
        <v>8</v>
      </c>
      <c r="BP1205" s="467">
        <f t="shared" ca="1" si="743"/>
        <v>79292</v>
      </c>
      <c r="BQ1205" s="475">
        <f t="shared" ca="1" si="757"/>
        <v>132</v>
      </c>
      <c r="BR1205" s="475" t="str">
        <f t="shared" si="756"/>
        <v/>
      </c>
      <c r="BS1205" s="471" t="str">
        <f t="shared" si="744"/>
        <v/>
      </c>
      <c r="BT1205" s="472" t="str">
        <f t="shared" si="759"/>
        <v/>
      </c>
      <c r="BU1205" s="472">
        <f t="shared" ca="1" si="745"/>
        <v>0</v>
      </c>
      <c r="BV1205" s="472">
        <f t="shared" ca="1" si="745"/>
        <v>0</v>
      </c>
      <c r="BW1205" s="472"/>
      <c r="BX1205" s="473">
        <f t="shared" ca="1" si="746"/>
        <v>2808855.61167221</v>
      </c>
      <c r="BY1205" s="473">
        <f t="shared" si="747"/>
        <v>0</v>
      </c>
      <c r="BZ1205" s="473">
        <f t="shared" ca="1" si="729"/>
        <v>207.008726182</v>
      </c>
      <c r="CA1205" s="476">
        <f t="shared" ca="1" si="748"/>
        <v>0</v>
      </c>
      <c r="CB1205" s="494">
        <f ca="1">IF(OR($Q1204&lt;&gt;1,OP!$D$5+$BN1205-1&lt;16,$BN1205-1&lt;1),0,ROUND(ROUND(ROUND(((VLOOKUP($BN1205-1,MORE_PV,5,0)/10000)*VLOOKUP($BN1205,MORE_PV,$CB$5,0)),3)*VLOOKUP($BN1205,more1,5,0),0)/$R1204,0))</f>
        <v>0</v>
      </c>
      <c r="CC1205" s="473">
        <f t="shared" ca="1" si="749"/>
        <v>0</v>
      </c>
      <c r="CD1205" s="477"/>
    </row>
    <row r="1206" spans="2:82" ht="16.5" hidden="1">
      <c r="B1206" s="80"/>
      <c r="C1206" s="80"/>
      <c r="D1206" s="80"/>
      <c r="E1206" s="80"/>
      <c r="F1206" s="80"/>
      <c r="G1206" s="80"/>
      <c r="H1206" s="80"/>
      <c r="I1206" s="80"/>
      <c r="J1206" s="192">
        <f t="shared" si="730"/>
        <v>100</v>
      </c>
      <c r="K1206" s="192">
        <f t="shared" si="731"/>
        <v>10</v>
      </c>
      <c r="L1206" s="192" t="str">
        <f t="shared" si="726"/>
        <v/>
      </c>
      <c r="M1206" s="216" t="str">
        <f t="shared" ca="1" si="732"/>
        <v/>
      </c>
      <c r="N1206" s="216"/>
      <c r="O1206" s="216"/>
      <c r="P1206" s="216"/>
      <c r="Q1206" s="456">
        <f t="shared" ca="1" si="733"/>
        <v>1</v>
      </c>
      <c r="R1206" s="450">
        <f t="shared" ca="1" si="734"/>
        <v>12</v>
      </c>
      <c r="S1206" s="191">
        <f t="shared" si="735"/>
        <v>100</v>
      </c>
      <c r="T1206" s="191">
        <f t="shared" si="736"/>
        <v>10</v>
      </c>
      <c r="U1206" s="191">
        <f ca="1">OP!$D$5+$S1206-1</f>
        <v>132</v>
      </c>
      <c r="V1206" s="191" t="str">
        <f t="shared" si="737"/>
        <v/>
      </c>
      <c r="W1206" s="350">
        <f ca="1">IF(Q1206&lt;&gt;1,0,VLOOKUP(OP!$C$55,PVFB,$S1206+2,0))</f>
        <v>0</v>
      </c>
      <c r="X1206" s="473" t="str">
        <f t="shared" ca="1" si="750"/>
        <v/>
      </c>
      <c r="Y1206" s="348">
        <f t="shared" ca="1" si="751"/>
        <v>0</v>
      </c>
      <c r="Z1206" s="348">
        <f t="shared" ca="1" si="752"/>
        <v>8012</v>
      </c>
      <c r="AA1206" s="348">
        <f ca="1">IF(Q1206&lt;&gt;1,0,VLOOKUP(OP!$C$55,PVFB,$S1206+2,0))</f>
        <v>0</v>
      </c>
      <c r="AB1206" s="488" t="str">
        <f ca="1">IF(AND(S1206&lt;OP!$C$24,$U1206&lt;15),0,IF(AND($U1206&lt;15,$T1206=12),ROUND(VLOOKUP($S1206,DOWN16,5,0),3),IF($T1206=12,ROUND(($Z1206/10000)*$AA1206,3)+IF(AND($P$7="購買增額繳清保險",T1206=12,U1206=110),VLOOKUP(S1206,$B$10:$H$121,7,0),0),"")))</f>
        <v/>
      </c>
      <c r="AC1206" s="350" t="str">
        <f ca="1">IF(AND(S1206&lt;OP!$C$24,$U1206&lt;15),0,IF(AND($U1206&lt;16,$T1206=12),VLOOKUP($S1206,DOWN16,4,0),IF($T1206=12,ROUND(VLOOKUP(OP!$C$55,_DIE2,$S1206+1,0)*(Z1206/10000),0)+IF(AND($P$7="購買增額繳清保險",T1206=12,U1206=110),VLOOKUP(S1206,$B$10:$H$121,7,0),0),"")))</f>
        <v/>
      </c>
      <c r="AD1206" s="347"/>
      <c r="AE1206" s="350" t="str">
        <f t="shared" ca="1" si="727"/>
        <v/>
      </c>
      <c r="AF1206" s="351" t="str">
        <f t="shared" ca="1" si="728"/>
        <v/>
      </c>
      <c r="AG1206" s="340"/>
      <c r="AH1206" s="340"/>
      <c r="AI1206" s="340"/>
      <c r="AJ1206" s="340"/>
      <c r="AK1206" s="340"/>
      <c r="AL1206" s="340"/>
      <c r="AM1206" s="340"/>
      <c r="AN1206" s="340"/>
      <c r="AO1206" s="340"/>
      <c r="AP1206" s="340"/>
      <c r="AQ1206" s="340"/>
      <c r="AR1206" s="340"/>
      <c r="AS1206" s="340"/>
      <c r="AT1206" s="340"/>
      <c r="AU1206" s="340"/>
      <c r="AV1206" s="340"/>
      <c r="AY1206" s="340"/>
      <c r="AZ1206" s="465">
        <f t="shared" ca="1" si="738"/>
        <v>7.3698599999999999E-5</v>
      </c>
      <c r="BA1206" s="464">
        <f t="shared" ca="1" si="739"/>
        <v>0</v>
      </c>
      <c r="BB1206" s="465">
        <f t="shared" ca="1" si="739"/>
        <v>7.3698599999999999E-5</v>
      </c>
      <c r="BC1206" s="466">
        <f t="shared" ca="1" si="740"/>
        <v>79319</v>
      </c>
      <c r="BD1206" s="467">
        <f t="shared" ca="1" si="753"/>
        <v>79320</v>
      </c>
      <c r="BE1206" s="467">
        <f t="shared" ca="1" si="741"/>
        <v>79349</v>
      </c>
      <c r="BF1206" s="468">
        <f ca="1">IF(計算!$BC1206&lt;OP!$C$3,0,BD1206-BC1206)</f>
        <v>1</v>
      </c>
      <c r="BG1206" s="468">
        <f ca="1">IF($BE1206&gt;DATE(YEAR($BD$9)+OP!$C$57,MONTH($BD$9),DAY($BD$9)),0,$BE1206-$BD1206+1)</f>
        <v>0</v>
      </c>
      <c r="BH1206" s="469">
        <f t="shared" ca="1" si="742"/>
        <v>1</v>
      </c>
      <c r="BI1206" t="str">
        <f t="shared" si="758"/>
        <v/>
      </c>
      <c r="BJ1206">
        <v>9</v>
      </c>
      <c r="BN1206" s="468">
        <f t="shared" si="754"/>
        <v>100</v>
      </c>
      <c r="BO1206" s="468">
        <f t="shared" si="755"/>
        <v>9</v>
      </c>
      <c r="BP1206" s="467">
        <f t="shared" ca="1" si="743"/>
        <v>79320</v>
      </c>
      <c r="BQ1206" s="475">
        <f t="shared" ca="1" si="757"/>
        <v>132</v>
      </c>
      <c r="BR1206" s="475" t="str">
        <f t="shared" si="756"/>
        <v/>
      </c>
      <c r="BS1206" s="471" t="str">
        <f t="shared" si="744"/>
        <v/>
      </c>
      <c r="BT1206" s="472" t="str">
        <f t="shared" si="759"/>
        <v/>
      </c>
      <c r="BU1206" s="472">
        <f t="shared" ca="1" si="745"/>
        <v>0</v>
      </c>
      <c r="BV1206" s="472">
        <f t="shared" ca="1" si="745"/>
        <v>0</v>
      </c>
      <c r="BW1206" s="472"/>
      <c r="BX1206" s="473">
        <f t="shared" ca="1" si="746"/>
        <v>2809062.6203983901</v>
      </c>
      <c r="BY1206" s="473">
        <f t="shared" si="747"/>
        <v>0</v>
      </c>
      <c r="BZ1206" s="473">
        <f t="shared" ca="1" si="729"/>
        <v>207.02398243600001</v>
      </c>
      <c r="CA1206" s="476">
        <f t="shared" ca="1" si="748"/>
        <v>0</v>
      </c>
      <c r="CB1206" s="494">
        <f ca="1">IF(OR($Q1205&lt;&gt;1,OP!$D$5+$BN1206-1&lt;16,$BN1206-1&lt;1),0,ROUND(ROUND(ROUND(((VLOOKUP($BN1206-1,MORE_PV,5,0)/10000)*VLOOKUP($BN1206,MORE_PV,$CB$5,0)),3)*VLOOKUP($BN1206,more1,5,0),0)/$R1205,0))</f>
        <v>0</v>
      </c>
      <c r="CC1206" s="473">
        <f t="shared" ca="1" si="749"/>
        <v>0</v>
      </c>
      <c r="CD1206" s="477"/>
    </row>
    <row r="1207" spans="2:82" ht="16.5" hidden="1">
      <c r="B1207" s="80"/>
      <c r="C1207" s="80"/>
      <c r="D1207" s="80"/>
      <c r="E1207" s="80"/>
      <c r="F1207" s="80"/>
      <c r="G1207" s="80"/>
      <c r="H1207" s="80"/>
      <c r="I1207" s="80"/>
      <c r="J1207" s="192">
        <f t="shared" si="730"/>
        <v>100</v>
      </c>
      <c r="K1207" s="192">
        <f t="shared" si="731"/>
        <v>11</v>
      </c>
      <c r="L1207" s="192" t="str">
        <f t="shared" si="726"/>
        <v/>
      </c>
      <c r="M1207" s="216" t="str">
        <f t="shared" ca="1" si="732"/>
        <v/>
      </c>
      <c r="N1207" s="216"/>
      <c r="O1207" s="216"/>
      <c r="P1207" s="216"/>
      <c r="Q1207" s="456">
        <f t="shared" ca="1" si="733"/>
        <v>1</v>
      </c>
      <c r="R1207" s="450">
        <f t="shared" ca="1" si="734"/>
        <v>12</v>
      </c>
      <c r="S1207" s="191">
        <f t="shared" si="735"/>
        <v>100</v>
      </c>
      <c r="T1207" s="191">
        <f t="shared" si="736"/>
        <v>11</v>
      </c>
      <c r="U1207" s="191">
        <f ca="1">OP!$D$5+$S1207-1</f>
        <v>132</v>
      </c>
      <c r="V1207" s="191" t="str">
        <f t="shared" si="737"/>
        <v/>
      </c>
      <c r="W1207" s="350">
        <f ca="1">IF(Q1207&lt;&gt;1,0,VLOOKUP(OP!$C$55,PVFB,$S1207+2,0))</f>
        <v>0</v>
      </c>
      <c r="X1207" s="473" t="str">
        <f t="shared" ca="1" si="750"/>
        <v/>
      </c>
      <c r="Y1207" s="348">
        <f t="shared" ca="1" si="751"/>
        <v>0</v>
      </c>
      <c r="Z1207" s="348">
        <f t="shared" ca="1" si="752"/>
        <v>8012</v>
      </c>
      <c r="AA1207" s="348">
        <f ca="1">IF(Q1207&lt;&gt;1,0,VLOOKUP(OP!$C$55,PVFB,$S1207+2,0))</f>
        <v>0</v>
      </c>
      <c r="AB1207" s="488" t="str">
        <f ca="1">IF(AND(S1207&lt;OP!$C$24,$U1207&lt;15),0,IF(AND($U1207&lt;15,$T1207=12),ROUND(VLOOKUP($S1207,DOWN16,5,0),3),IF($T1207=12,ROUND(($Z1207/10000)*$AA1207,3)+IF(AND($P$7="購買增額繳清保險",T1207=12,U1207=110),VLOOKUP(S1207,$B$10:$H$121,7,0),0),"")))</f>
        <v/>
      </c>
      <c r="AC1207" s="350" t="str">
        <f ca="1">IF(AND(S1207&lt;OP!$C$24,$U1207&lt;15),0,IF(AND($U1207&lt;16,$T1207=12),VLOOKUP($S1207,DOWN16,4,0),IF($T1207=12,ROUND(VLOOKUP(OP!$C$55,_DIE2,$S1207+1,0)*(Z1207/10000),0)+IF(AND($P$7="購買增額繳清保險",T1207=12,U1207=110),VLOOKUP(S1207,$B$10:$H$121,7,0),0),"")))</f>
        <v/>
      </c>
      <c r="AD1207" s="347"/>
      <c r="AE1207" s="350" t="str">
        <f t="shared" ca="1" si="727"/>
        <v/>
      </c>
      <c r="AF1207" s="351" t="str">
        <f t="shared" ca="1" si="728"/>
        <v/>
      </c>
      <c r="AG1207" s="340"/>
      <c r="AH1207" s="340"/>
      <c r="AI1207" s="340"/>
      <c r="AJ1207" s="340"/>
      <c r="AK1207" s="340"/>
      <c r="AL1207" s="340"/>
      <c r="AM1207" s="340"/>
      <c r="AN1207" s="340"/>
      <c r="AO1207" s="340"/>
      <c r="AP1207" s="340"/>
      <c r="AQ1207" s="340"/>
      <c r="AR1207" s="340"/>
      <c r="AS1207" s="340"/>
      <c r="AT1207" s="340"/>
      <c r="AU1207" s="340"/>
      <c r="AV1207" s="340"/>
      <c r="AY1207" s="340"/>
      <c r="AZ1207" s="465">
        <f t="shared" ca="1" si="738"/>
        <v>7.3698599999999999E-5</v>
      </c>
      <c r="BA1207" s="464">
        <f t="shared" ca="1" si="739"/>
        <v>0</v>
      </c>
      <c r="BB1207" s="465">
        <f t="shared" ca="1" si="739"/>
        <v>7.3698599999999999E-5</v>
      </c>
      <c r="BC1207" s="466">
        <f t="shared" ca="1" si="740"/>
        <v>79350</v>
      </c>
      <c r="BD1207" s="467">
        <f t="shared" ca="1" si="753"/>
        <v>79351</v>
      </c>
      <c r="BE1207" s="467">
        <f t="shared" ca="1" si="741"/>
        <v>79379</v>
      </c>
      <c r="BF1207" s="468">
        <f ca="1">IF(計算!$BC1207&lt;OP!$C$3,0,BD1207-BC1207)</f>
        <v>1</v>
      </c>
      <c r="BG1207" s="468">
        <f ca="1">IF($BE1207&gt;DATE(YEAR($BD$9)+OP!$C$57,MONTH($BD$9),DAY($BD$9)),0,$BE1207-$BD1207+1)</f>
        <v>0</v>
      </c>
      <c r="BH1207" s="469">
        <f t="shared" ca="1" si="742"/>
        <v>1</v>
      </c>
      <c r="BI1207" t="str">
        <f t="shared" si="758"/>
        <v/>
      </c>
      <c r="BJ1207">
        <v>10</v>
      </c>
      <c r="BN1207" s="468">
        <f t="shared" si="754"/>
        <v>100</v>
      </c>
      <c r="BO1207" s="468">
        <f t="shared" si="755"/>
        <v>10</v>
      </c>
      <c r="BP1207" s="467">
        <f t="shared" ca="1" si="743"/>
        <v>79351</v>
      </c>
      <c r="BQ1207" s="475">
        <f t="shared" ca="1" si="757"/>
        <v>132</v>
      </c>
      <c r="BR1207" s="475" t="str">
        <f t="shared" si="756"/>
        <v/>
      </c>
      <c r="BS1207" s="471" t="str">
        <f t="shared" si="744"/>
        <v/>
      </c>
      <c r="BT1207" s="472" t="str">
        <f t="shared" si="759"/>
        <v/>
      </c>
      <c r="BU1207" s="472">
        <f t="shared" ca="1" si="745"/>
        <v>0</v>
      </c>
      <c r="BV1207" s="472">
        <f t="shared" ca="1" si="745"/>
        <v>0</v>
      </c>
      <c r="BW1207" s="472"/>
      <c r="BX1207" s="473">
        <f t="shared" ca="1" si="746"/>
        <v>2809269.6443808302</v>
      </c>
      <c r="BY1207" s="473">
        <f t="shared" si="747"/>
        <v>0</v>
      </c>
      <c r="BZ1207" s="473">
        <f t="shared" ca="1" si="729"/>
        <v>207.03923981299999</v>
      </c>
      <c r="CA1207" s="476">
        <f t="shared" ca="1" si="748"/>
        <v>0</v>
      </c>
      <c r="CB1207" s="494">
        <f ca="1">IF(OR($Q1206&lt;&gt;1,OP!$D$5+$BN1207-1&lt;16,$BN1207-1&lt;1),0,ROUND(ROUND(ROUND(((VLOOKUP($BN1207-1,MORE_PV,5,0)/10000)*VLOOKUP($BN1207,MORE_PV,$CB$5,0)),3)*VLOOKUP($BN1207,more1,5,0),0)/$R1206,0))</f>
        <v>0</v>
      </c>
      <c r="CC1207" s="473">
        <f t="shared" ca="1" si="749"/>
        <v>0</v>
      </c>
      <c r="CD1207" s="477"/>
    </row>
    <row r="1208" spans="2:82" ht="16.5" hidden="1">
      <c r="B1208" s="80"/>
      <c r="C1208" s="80"/>
      <c r="D1208" s="80"/>
      <c r="E1208" s="80"/>
      <c r="F1208" s="80"/>
      <c r="G1208" s="80"/>
      <c r="H1208" s="80"/>
      <c r="I1208" s="80"/>
      <c r="J1208" s="192">
        <f t="shared" si="730"/>
        <v>100</v>
      </c>
      <c r="K1208" s="192">
        <f t="shared" si="731"/>
        <v>12</v>
      </c>
      <c r="L1208" s="192">
        <f t="shared" si="726"/>
        <v>100</v>
      </c>
      <c r="M1208" s="216">
        <f t="shared" ca="1" si="732"/>
        <v>2809890</v>
      </c>
      <c r="N1208" s="216"/>
      <c r="O1208" s="216"/>
      <c r="P1208" s="216"/>
      <c r="Q1208" s="456">
        <f t="shared" ca="1" si="733"/>
        <v>1</v>
      </c>
      <c r="R1208" s="450">
        <f t="shared" ca="1" si="734"/>
        <v>12</v>
      </c>
      <c r="S1208" s="191">
        <f t="shared" si="735"/>
        <v>100</v>
      </c>
      <c r="T1208" s="191">
        <f t="shared" si="736"/>
        <v>12</v>
      </c>
      <c r="U1208" s="191">
        <f ca="1">OP!$D$5+$S1208-1</f>
        <v>132</v>
      </c>
      <c r="V1208" s="191">
        <f t="shared" si="737"/>
        <v>100</v>
      </c>
      <c r="W1208" s="350">
        <f ca="1">IF(Q1208&lt;&gt;1,0,VLOOKUP(OP!$C$55,PVFB,$S1208+2,0))</f>
        <v>0</v>
      </c>
      <c r="X1208" s="473">
        <f t="shared" ca="1" si="750"/>
        <v>0</v>
      </c>
      <c r="Y1208" s="348">
        <f t="shared" ca="1" si="751"/>
        <v>0</v>
      </c>
      <c r="Z1208" s="348">
        <f t="shared" ca="1" si="752"/>
        <v>8012</v>
      </c>
      <c r="AA1208" s="348">
        <f ca="1">IF(Q1208&lt;&gt;1,0,VLOOKUP(OP!$C$55,PVFB,$S1208+2,0))</f>
        <v>0</v>
      </c>
      <c r="AB1208" s="488">
        <f ca="1">IF(AND(S1208&lt;OP!$C$24,$U1208&lt;15),0,IF(AND($U1208&lt;15,$T1208=12),ROUND(VLOOKUP($S1208,DOWN16,5,0),3),IF($T1208=12,ROUND(($Z1208/10000)*$AA1208,3)+IF(AND($P$7="購買增額繳清保險",T1208=12,U1208=110),VLOOKUP(S1208,$B$10:$H$121,7,0),0),"")))</f>
        <v>0</v>
      </c>
      <c r="AC1208" s="350">
        <f ca="1">IF(AND(S1208&lt;OP!$C$24,$U1208&lt;15),0,IF(AND($U1208&lt;16,$T1208=12),VLOOKUP($S1208,DOWN16,4,0),IF($T1208=12,ROUND(VLOOKUP(OP!$C$55,_DIE2,$S1208+1,0)*(Z1208/10000),0)+IF(AND($P$7="購買增額繳清保險",T1208=12,U1208=110),VLOOKUP(S1208,$B$10:$H$121,7,0),0),"")))</f>
        <v>0</v>
      </c>
      <c r="AD1208" s="347"/>
      <c r="AE1208" s="350" t="str">
        <f t="shared" ca="1" si="727"/>
        <v/>
      </c>
      <c r="AF1208" s="351" t="str">
        <f t="shared" ca="1" si="728"/>
        <v/>
      </c>
      <c r="AG1208" s="340"/>
      <c r="AH1208" s="340"/>
      <c r="AI1208" s="340"/>
      <c r="AJ1208" s="340"/>
      <c r="AK1208" s="340"/>
      <c r="AL1208" s="340"/>
      <c r="AM1208" s="340"/>
      <c r="AN1208" s="340"/>
      <c r="AO1208" s="340"/>
      <c r="AP1208" s="340"/>
      <c r="AQ1208" s="340"/>
      <c r="AR1208" s="340"/>
      <c r="AS1208" s="340"/>
      <c r="AT1208" s="340"/>
      <c r="AU1208" s="340"/>
      <c r="AV1208" s="340"/>
      <c r="AY1208" s="340"/>
      <c r="AZ1208" s="465">
        <f t="shared" ca="1" si="738"/>
        <v>7.3698599999999999E-5</v>
      </c>
      <c r="BA1208" s="464">
        <f t="shared" ca="1" si="739"/>
        <v>0</v>
      </c>
      <c r="BB1208" s="465">
        <f t="shared" ca="1" si="739"/>
        <v>7.3698599999999999E-5</v>
      </c>
      <c r="BC1208" s="466">
        <f t="shared" ca="1" si="740"/>
        <v>79380</v>
      </c>
      <c r="BD1208" s="467">
        <f t="shared" ca="1" si="753"/>
        <v>79381</v>
      </c>
      <c r="BE1208" s="467">
        <f t="shared" ca="1" si="741"/>
        <v>79410</v>
      </c>
      <c r="BF1208" s="468">
        <f ca="1">IF(計算!$BC1208&lt;OP!$C$3,0,BD1208-BC1208)</f>
        <v>1</v>
      </c>
      <c r="BG1208" s="468">
        <f ca="1">IF($BE1208&gt;DATE(YEAR($BD$9)+OP!$C$57,MONTH($BD$9),DAY($BD$9)),0,$BE1208-$BD1208+1)</f>
        <v>0</v>
      </c>
      <c r="BH1208" s="469">
        <f t="shared" ca="1" si="742"/>
        <v>1</v>
      </c>
      <c r="BI1208" t="str">
        <f t="shared" si="758"/>
        <v/>
      </c>
      <c r="BJ1208">
        <v>11</v>
      </c>
      <c r="BN1208" s="468">
        <f t="shared" si="754"/>
        <v>100</v>
      </c>
      <c r="BO1208" s="468">
        <f t="shared" si="755"/>
        <v>11</v>
      </c>
      <c r="BP1208" s="467">
        <f t="shared" ca="1" si="743"/>
        <v>79381</v>
      </c>
      <c r="BQ1208" s="475">
        <f t="shared" ca="1" si="757"/>
        <v>132</v>
      </c>
      <c r="BR1208" s="475" t="str">
        <f t="shared" si="756"/>
        <v/>
      </c>
      <c r="BS1208" s="471" t="str">
        <f t="shared" si="744"/>
        <v/>
      </c>
      <c r="BT1208" s="472" t="str">
        <f t="shared" si="759"/>
        <v/>
      </c>
      <c r="BU1208" s="472">
        <f t="shared" ca="1" si="745"/>
        <v>0</v>
      </c>
      <c r="BV1208" s="472">
        <f t="shared" ca="1" si="745"/>
        <v>0</v>
      </c>
      <c r="BW1208" s="472"/>
      <c r="BX1208" s="473">
        <f t="shared" ca="1" si="746"/>
        <v>2809476.6836206401</v>
      </c>
      <c r="BY1208" s="473">
        <f t="shared" si="747"/>
        <v>0</v>
      </c>
      <c r="BZ1208" s="473">
        <f t="shared" ca="1" si="729"/>
        <v>207.05449831499999</v>
      </c>
      <c r="CA1208" s="476">
        <f t="shared" ca="1" si="748"/>
        <v>0</v>
      </c>
      <c r="CB1208" s="494">
        <f ca="1">IF(OR($Q1207&lt;&gt;1,OP!$D$5+$BN1208-1&lt;16,$BN1208-1&lt;1),0,ROUND(ROUND(ROUND(((VLOOKUP($BN1208-1,MORE_PV,5,0)/10000)*VLOOKUP($BN1208,MORE_PV,$CB$5,0)),3)*VLOOKUP($BN1208,more1,5,0),0)/$R1207,0))</f>
        <v>0</v>
      </c>
      <c r="CC1208" s="473">
        <f t="shared" ca="1" si="749"/>
        <v>0</v>
      </c>
      <c r="CD1208" s="477"/>
    </row>
    <row r="1209" spans="2:82" ht="16.5" hidden="1">
      <c r="B1209" s="80"/>
      <c r="C1209" s="80"/>
      <c r="D1209" s="80"/>
      <c r="E1209" s="80"/>
      <c r="F1209" s="80"/>
      <c r="G1209" s="80"/>
      <c r="H1209" s="80"/>
      <c r="I1209" s="80"/>
      <c r="J1209" s="192">
        <f t="shared" si="730"/>
        <v>101</v>
      </c>
      <c r="K1209" s="192">
        <f t="shared" si="731"/>
        <v>1</v>
      </c>
      <c r="L1209" s="192" t="str">
        <f t="shared" si="726"/>
        <v/>
      </c>
      <c r="M1209" s="216" t="str">
        <f t="shared" ca="1" si="732"/>
        <v/>
      </c>
      <c r="N1209" s="216"/>
      <c r="O1209" s="216"/>
      <c r="P1209" s="216"/>
      <c r="Q1209" s="456">
        <f t="shared" ca="1" si="733"/>
        <v>1</v>
      </c>
      <c r="R1209" s="450">
        <f t="shared" ca="1" si="734"/>
        <v>12</v>
      </c>
      <c r="S1209" s="191">
        <f t="shared" si="735"/>
        <v>101</v>
      </c>
      <c r="T1209" s="191">
        <f t="shared" si="736"/>
        <v>1</v>
      </c>
      <c r="U1209" s="191">
        <f ca="1">OP!$D$5+$S1209-1</f>
        <v>133</v>
      </c>
      <c r="V1209" s="191" t="str">
        <f t="shared" si="737"/>
        <v/>
      </c>
      <c r="W1209" s="350">
        <f ca="1">IF(Q1209&lt;&gt;1,0,VLOOKUP(OP!$C$55,PVFB,$S1209+2,0))</f>
        <v>0</v>
      </c>
      <c r="X1209" s="473" t="str">
        <f t="shared" ca="1" si="750"/>
        <v/>
      </c>
      <c r="Y1209" s="348">
        <f t="shared" ca="1" si="751"/>
        <v>0</v>
      </c>
      <c r="Z1209" s="348">
        <f t="shared" ca="1" si="752"/>
        <v>8012</v>
      </c>
      <c r="AA1209" s="348">
        <f ca="1">IF(Q1209&lt;&gt;1,0,VLOOKUP(OP!$C$55,PVFB,$S1209+2,0))</f>
        <v>0</v>
      </c>
      <c r="AB1209" s="488" t="str">
        <f ca="1">IF(AND(S1209&lt;OP!$C$24,$U1209&lt;15),0,IF(AND($U1209&lt;15,$T1209=12),ROUND(VLOOKUP($S1209,DOWN16,5,0),3),IF($T1209=12,ROUND(($Z1209/10000)*$AA1209,3)+IF(AND($P$7="購買增額繳清保險",T1209=12,U1209=110),VLOOKUP(S1209,$B$10:$H$121,7,0),0),"")))</f>
        <v/>
      </c>
      <c r="AC1209" s="350" t="str">
        <f ca="1">IF(AND(S1209&lt;OP!$C$24,$U1209&lt;15),0,IF(AND($U1209&lt;16,$T1209=12),VLOOKUP($S1209,DOWN16,4,0),IF($T1209=12,ROUND(VLOOKUP(OP!$C$55,_DIE2,$S1209+1,0)*(Z1209/10000),0)+IF(AND($P$7="購買增額繳清保險",T1209=12,U1209=110),VLOOKUP(S1209,$B$10:$H$121,7,0),0),"")))</f>
        <v/>
      </c>
      <c r="AD1209" s="347"/>
      <c r="AE1209" s="350" t="str">
        <f t="shared" ca="1" si="727"/>
        <v/>
      </c>
      <c r="AF1209" s="351" t="str">
        <f t="shared" ca="1" si="728"/>
        <v/>
      </c>
      <c r="AG1209" s="340"/>
      <c r="AH1209" s="340"/>
      <c r="AI1209" s="340"/>
      <c r="AJ1209" s="340"/>
      <c r="AK1209" s="340"/>
      <c r="AL1209" s="340"/>
      <c r="AM1209" s="340"/>
      <c r="AN1209" s="340"/>
      <c r="AO1209" s="340"/>
      <c r="AP1209" s="340"/>
      <c r="AQ1209" s="340"/>
      <c r="AR1209" s="340"/>
      <c r="AS1209" s="340"/>
      <c r="AT1209" s="340"/>
      <c r="AU1209" s="340"/>
      <c r="AV1209" s="340"/>
      <c r="AY1209" s="340"/>
      <c r="AZ1209" s="465">
        <f t="shared" ca="1" si="738"/>
        <v>7.3698599999999999E-5</v>
      </c>
      <c r="BA1209" s="464">
        <f t="shared" ca="1" si="739"/>
        <v>0</v>
      </c>
      <c r="BB1209" s="465">
        <f t="shared" ca="1" si="739"/>
        <v>7.3698599999999999E-5</v>
      </c>
      <c r="BC1209" s="466">
        <f t="shared" ca="1" si="740"/>
        <v>79411</v>
      </c>
      <c r="BD1209" s="467">
        <f t="shared" ca="1" si="753"/>
        <v>79412</v>
      </c>
      <c r="BE1209" s="467">
        <f t="shared" ca="1" si="741"/>
        <v>79440</v>
      </c>
      <c r="BF1209" s="468">
        <f ca="1">IF(計算!$BC1209&lt;OP!$C$3,0,BD1209-BC1209)</f>
        <v>1</v>
      </c>
      <c r="BG1209" s="468">
        <f ca="1">IF($BE1209&gt;DATE(YEAR($BD$9)+OP!$C$57,MONTH($BD$9),DAY($BD$9)),0,$BE1209-$BD1209+1)</f>
        <v>0</v>
      </c>
      <c r="BH1209" s="469">
        <f t="shared" ca="1" si="742"/>
        <v>1</v>
      </c>
      <c r="BI1209">
        <f t="shared" ca="1" si="758"/>
        <v>365</v>
      </c>
      <c r="BJ1209">
        <v>12</v>
      </c>
      <c r="BN1209" s="468">
        <f t="shared" si="754"/>
        <v>100</v>
      </c>
      <c r="BO1209" s="468">
        <f t="shared" si="755"/>
        <v>12</v>
      </c>
      <c r="BP1209" s="467">
        <f t="shared" ca="1" si="743"/>
        <v>79412</v>
      </c>
      <c r="BQ1209" s="475">
        <f t="shared" ca="1" si="757"/>
        <v>132</v>
      </c>
      <c r="BR1209" s="475">
        <f t="shared" si="756"/>
        <v>100</v>
      </c>
      <c r="BS1209" s="471">
        <f t="shared" ca="1" si="744"/>
        <v>0</v>
      </c>
      <c r="BT1209" s="472">
        <f t="shared" ca="1" si="759"/>
        <v>2809890</v>
      </c>
      <c r="BU1209" s="472">
        <f t="shared" ca="1" si="745"/>
        <v>0</v>
      </c>
      <c r="BV1209" s="472">
        <f t="shared" ca="1" si="745"/>
        <v>0</v>
      </c>
      <c r="BW1209" s="472">
        <f ca="1">ROUND(SUM(BY1209,BZ1197:BZ1208),0)</f>
        <v>2484</v>
      </c>
      <c r="BX1209" s="473">
        <f t="shared" ca="1" si="746"/>
        <v>2809890.8078768998</v>
      </c>
      <c r="BY1209" s="473">
        <f t="shared" ca="1" si="747"/>
        <v>207.069757942</v>
      </c>
      <c r="BZ1209" s="473">
        <f t="shared" ca="1" si="729"/>
        <v>0</v>
      </c>
      <c r="CA1209" s="476">
        <f t="shared" ca="1" si="748"/>
        <v>0</v>
      </c>
      <c r="CB1209" s="494">
        <f ca="1">IF(OR($Q1208&lt;&gt;1,OP!$D$5+$BN1209-1&lt;16,$BN1209-1&lt;1),0,ROUND(ROUND(ROUND(((VLOOKUP($BN1209-1,MORE_PV,5,0)/10000)*VLOOKUP($BN1209,MORE_PV,$CB$5,0)),3)*VLOOKUP($BN1209,more1,5,0),0)/$R1208,0))</f>
        <v>0</v>
      </c>
      <c r="CC1209" s="473">
        <f t="shared" ca="1" si="749"/>
        <v>0</v>
      </c>
      <c r="CD1209" s="477"/>
    </row>
    <row r="1210" spans="2:82" ht="16.5" hidden="1">
      <c r="B1210" s="80"/>
      <c r="C1210" s="80"/>
      <c r="D1210" s="80"/>
      <c r="E1210" s="80"/>
      <c r="F1210" s="80"/>
      <c r="G1210" s="80"/>
      <c r="H1210" s="80"/>
      <c r="I1210" s="80"/>
      <c r="J1210" s="192">
        <f t="shared" si="730"/>
        <v>101</v>
      </c>
      <c r="K1210" s="192">
        <f t="shared" si="731"/>
        <v>2</v>
      </c>
      <c r="L1210" s="192" t="str">
        <f t="shared" si="726"/>
        <v/>
      </c>
      <c r="M1210" s="216" t="str">
        <f t="shared" ca="1" si="732"/>
        <v/>
      </c>
      <c r="N1210" s="216"/>
      <c r="O1210" s="216"/>
      <c r="P1210" s="216"/>
      <c r="Q1210" s="456">
        <f t="shared" ca="1" si="733"/>
        <v>1</v>
      </c>
      <c r="R1210" s="450">
        <f t="shared" ca="1" si="734"/>
        <v>12</v>
      </c>
      <c r="S1210" s="191">
        <f t="shared" si="735"/>
        <v>101</v>
      </c>
      <c r="T1210" s="191">
        <f t="shared" si="736"/>
        <v>2</v>
      </c>
      <c r="U1210" s="191">
        <f ca="1">OP!$D$5+$S1210-1</f>
        <v>133</v>
      </c>
      <c r="V1210" s="191" t="str">
        <f t="shared" si="737"/>
        <v/>
      </c>
      <c r="W1210" s="350">
        <f ca="1">IF(Q1210&lt;&gt;1,0,VLOOKUP(OP!$C$55,PVFB,$S1210+2,0))</f>
        <v>0</v>
      </c>
      <c r="X1210" s="473" t="str">
        <f t="shared" ca="1" si="750"/>
        <v/>
      </c>
      <c r="Y1210" s="348">
        <f t="shared" ca="1" si="751"/>
        <v>0</v>
      </c>
      <c r="Z1210" s="348">
        <f t="shared" ca="1" si="752"/>
        <v>8012</v>
      </c>
      <c r="AA1210" s="348">
        <f ca="1">IF(Q1210&lt;&gt;1,0,VLOOKUP(OP!$C$55,PVFB,$S1210+2,0))</f>
        <v>0</v>
      </c>
      <c r="AB1210" s="488" t="str">
        <f ca="1">IF(AND(S1210&lt;OP!$C$24,$U1210&lt;15),0,IF(AND($U1210&lt;15,$T1210=12),ROUND(VLOOKUP($S1210,DOWN16,5,0),3),IF($T1210=12,ROUND(($Z1210/10000)*$AA1210,3)+IF(AND($P$7="購買增額繳清保險",T1210=12,U1210=110),VLOOKUP(S1210,$B$10:$H$121,7,0),0),"")))</f>
        <v/>
      </c>
      <c r="AC1210" s="350" t="str">
        <f ca="1">IF(AND(S1210&lt;OP!$C$24,$U1210&lt;15),0,IF(AND($U1210&lt;16,$T1210=12),VLOOKUP($S1210,DOWN16,4,0),IF($T1210=12,ROUND(VLOOKUP(OP!$C$55,_DIE2,$S1210+1,0)*(Z1210/10000),0)+IF(AND($P$7="購買增額繳清保險",T1210=12,U1210=110),VLOOKUP(S1210,$B$10:$H$121,7,0),0),"")))</f>
        <v/>
      </c>
      <c r="AD1210" s="347"/>
      <c r="AE1210" s="350" t="str">
        <f t="shared" ca="1" si="727"/>
        <v/>
      </c>
      <c r="AF1210" s="351" t="str">
        <f t="shared" ca="1" si="728"/>
        <v/>
      </c>
      <c r="AG1210" s="340"/>
      <c r="AH1210" s="340"/>
      <c r="AI1210" s="340"/>
      <c r="AJ1210" s="340"/>
      <c r="AK1210" s="340"/>
      <c r="AL1210" s="340"/>
      <c r="AM1210" s="340"/>
      <c r="AN1210" s="340"/>
      <c r="AO1210" s="340"/>
      <c r="AP1210" s="340"/>
      <c r="AQ1210" s="340"/>
      <c r="AR1210" s="340"/>
      <c r="AS1210" s="340"/>
      <c r="AT1210" s="340"/>
      <c r="AU1210" s="340"/>
      <c r="AV1210" s="340"/>
      <c r="AY1210" s="340"/>
      <c r="AZ1210" s="465">
        <f t="shared" ca="1" si="738"/>
        <v>7.3698599999999999E-5</v>
      </c>
      <c r="BA1210" s="464">
        <f t="shared" ca="1" si="739"/>
        <v>0</v>
      </c>
      <c r="BB1210" s="465">
        <f t="shared" ca="1" si="739"/>
        <v>7.3698599999999999E-5</v>
      </c>
      <c r="BC1210" s="466">
        <f t="shared" ca="1" si="740"/>
        <v>79441</v>
      </c>
      <c r="BD1210" s="467">
        <f t="shared" ca="1" si="753"/>
        <v>79442</v>
      </c>
      <c r="BE1210" s="467">
        <f t="shared" ca="1" si="741"/>
        <v>79471</v>
      </c>
      <c r="BF1210" s="468">
        <f ca="1">IF(計算!$BC1210&lt;OP!$C$3,0,BD1210-BC1210)</f>
        <v>1</v>
      </c>
      <c r="BG1210" s="468">
        <f ca="1">IF($BE1210&gt;DATE(YEAR($BD$9)+OP!$C$57,MONTH($BD$9),DAY($BD$9)),0,$BE1210-$BD1210+1)</f>
        <v>0</v>
      </c>
      <c r="BH1210" s="469">
        <f t="shared" ca="1" si="742"/>
        <v>1</v>
      </c>
      <c r="BI1210" t="str">
        <f t="shared" si="758"/>
        <v/>
      </c>
      <c r="BJ1210">
        <v>1</v>
      </c>
      <c r="BN1210" s="468">
        <f t="shared" si="754"/>
        <v>101</v>
      </c>
      <c r="BO1210" s="468">
        <f t="shared" si="755"/>
        <v>1</v>
      </c>
      <c r="BP1210" s="467">
        <f t="shared" ca="1" si="743"/>
        <v>79442</v>
      </c>
      <c r="BQ1210" s="475">
        <f t="shared" ca="1" si="757"/>
        <v>133</v>
      </c>
      <c r="BR1210" s="475" t="str">
        <f t="shared" si="756"/>
        <v/>
      </c>
      <c r="BS1210" s="471" t="str">
        <f t="shared" si="744"/>
        <v/>
      </c>
      <c r="BT1210" s="472" t="str">
        <f t="shared" si="759"/>
        <v/>
      </c>
      <c r="BU1210" s="472">
        <f t="shared" ca="1" si="745"/>
        <v>0</v>
      </c>
      <c r="BV1210" s="472">
        <f t="shared" ca="1" si="745"/>
        <v>0</v>
      </c>
      <c r="BW1210" s="472"/>
      <c r="BX1210" s="473">
        <f t="shared" ca="1" si="746"/>
        <v>2809890.8078768998</v>
      </c>
      <c r="BY1210" s="473">
        <f t="shared" si="747"/>
        <v>0</v>
      </c>
      <c r="BZ1210" s="473">
        <f t="shared" ca="1" si="729"/>
        <v>207.08501869299999</v>
      </c>
      <c r="CA1210" s="476">
        <f t="shared" ca="1" si="748"/>
        <v>0</v>
      </c>
      <c r="CB1210" s="494">
        <f ca="1">IF(OR($Q1209&lt;&gt;1,OP!$D$5+$BN1210-1&lt;16,$BN1210-1&lt;1),0,ROUND(ROUND(ROUND(((VLOOKUP($BN1210-1,MORE_PV,5,0)/10000)*VLOOKUP($BN1210,MORE_PV,$CB$5,0)),3)*VLOOKUP($BN1210,more1,5,0),0)/$R1209,0))</f>
        <v>0</v>
      </c>
      <c r="CC1210" s="473">
        <f t="shared" ca="1" si="749"/>
        <v>0</v>
      </c>
      <c r="CD1210" s="477"/>
    </row>
    <row r="1211" spans="2:82" ht="16.5" hidden="1">
      <c r="B1211" s="80"/>
      <c r="C1211" s="80"/>
      <c r="D1211" s="80"/>
      <c r="E1211" s="80"/>
      <c r="F1211" s="80"/>
      <c r="G1211" s="80"/>
      <c r="H1211" s="80"/>
      <c r="I1211" s="80"/>
      <c r="J1211" s="192">
        <f t="shared" si="730"/>
        <v>101</v>
      </c>
      <c r="K1211" s="192">
        <f t="shared" si="731"/>
        <v>3</v>
      </c>
      <c r="L1211" s="192" t="str">
        <f t="shared" si="726"/>
        <v/>
      </c>
      <c r="M1211" s="216" t="str">
        <f t="shared" ca="1" si="732"/>
        <v/>
      </c>
      <c r="N1211" s="216"/>
      <c r="O1211" s="216"/>
      <c r="P1211" s="216"/>
      <c r="Q1211" s="456">
        <f t="shared" ca="1" si="733"/>
        <v>1</v>
      </c>
      <c r="R1211" s="450">
        <f t="shared" ca="1" si="734"/>
        <v>12</v>
      </c>
      <c r="S1211" s="191">
        <f t="shared" si="735"/>
        <v>101</v>
      </c>
      <c r="T1211" s="191">
        <f t="shared" si="736"/>
        <v>3</v>
      </c>
      <c r="U1211" s="191">
        <f ca="1">OP!$D$5+$S1211-1</f>
        <v>133</v>
      </c>
      <c r="V1211" s="191" t="str">
        <f t="shared" si="737"/>
        <v/>
      </c>
      <c r="W1211" s="350">
        <f ca="1">IF(Q1211&lt;&gt;1,0,VLOOKUP(OP!$C$55,PVFB,$S1211+2,0))</f>
        <v>0</v>
      </c>
      <c r="X1211" s="473" t="str">
        <f t="shared" ca="1" si="750"/>
        <v/>
      </c>
      <c r="Y1211" s="348">
        <f t="shared" ca="1" si="751"/>
        <v>0</v>
      </c>
      <c r="Z1211" s="348">
        <f t="shared" ca="1" si="752"/>
        <v>8012</v>
      </c>
      <c r="AA1211" s="348">
        <f ca="1">IF(Q1211&lt;&gt;1,0,VLOOKUP(OP!$C$55,PVFB,$S1211+2,0))</f>
        <v>0</v>
      </c>
      <c r="AB1211" s="488" t="str">
        <f ca="1">IF(AND(S1211&lt;OP!$C$24,$U1211&lt;15),0,IF(AND($U1211&lt;15,$T1211=12),ROUND(VLOOKUP($S1211,DOWN16,5,0),3),IF($T1211=12,ROUND(($Z1211/10000)*$AA1211,3)+IF(AND($P$7="購買增額繳清保險",T1211=12,U1211=110),VLOOKUP(S1211,$B$10:$H$121,7,0),0),"")))</f>
        <v/>
      </c>
      <c r="AC1211" s="350" t="str">
        <f ca="1">IF(AND(S1211&lt;OP!$C$24,$U1211&lt;15),0,IF(AND($U1211&lt;16,$T1211=12),VLOOKUP($S1211,DOWN16,4,0),IF($T1211=12,ROUND(VLOOKUP(OP!$C$55,_DIE2,$S1211+1,0)*(Z1211/10000),0)+IF(AND($P$7="購買增額繳清保險",T1211=12,U1211=110),VLOOKUP(S1211,$B$10:$H$121,7,0),0),"")))</f>
        <v/>
      </c>
      <c r="AD1211" s="347"/>
      <c r="AE1211" s="350" t="str">
        <f t="shared" ca="1" si="727"/>
        <v/>
      </c>
      <c r="AF1211" s="351" t="str">
        <f t="shared" ca="1" si="728"/>
        <v/>
      </c>
      <c r="AG1211" s="340"/>
      <c r="AH1211" s="340"/>
      <c r="AI1211" s="340"/>
      <c r="AJ1211" s="340"/>
      <c r="AK1211" s="340"/>
      <c r="AL1211" s="340"/>
      <c r="AM1211" s="340"/>
      <c r="AN1211" s="340"/>
      <c r="AO1211" s="340"/>
      <c r="AP1211" s="340"/>
      <c r="AQ1211" s="340"/>
      <c r="AR1211" s="340"/>
      <c r="AS1211" s="340"/>
      <c r="AT1211" s="340"/>
      <c r="AU1211" s="340"/>
      <c r="AV1211" s="340"/>
      <c r="AY1211" s="340"/>
      <c r="AZ1211" s="465">
        <f t="shared" ca="1" si="738"/>
        <v>7.3698599999999999E-5</v>
      </c>
      <c r="BA1211" s="464">
        <f t="shared" ca="1" si="739"/>
        <v>0</v>
      </c>
      <c r="BB1211" s="465">
        <f t="shared" ca="1" si="739"/>
        <v>7.3698599999999999E-5</v>
      </c>
      <c r="BC1211" s="466">
        <f t="shared" ca="1" si="740"/>
        <v>79472</v>
      </c>
      <c r="BD1211" s="467">
        <f t="shared" ca="1" si="753"/>
        <v>79473</v>
      </c>
      <c r="BE1211" s="467">
        <f t="shared" ca="1" si="741"/>
        <v>79502</v>
      </c>
      <c r="BF1211" s="468">
        <f ca="1">IF(計算!$BC1211&lt;OP!$C$3,0,BD1211-BC1211)</f>
        <v>1</v>
      </c>
      <c r="BG1211" s="468">
        <f ca="1">IF($BE1211&gt;DATE(YEAR($BD$9)+OP!$C$57,MONTH($BD$9),DAY($BD$9)),0,$BE1211-$BD1211+1)</f>
        <v>0</v>
      </c>
      <c r="BH1211" s="469">
        <f t="shared" ca="1" si="742"/>
        <v>1</v>
      </c>
      <c r="BI1211" t="str">
        <f t="shared" si="758"/>
        <v/>
      </c>
      <c r="BJ1211">
        <v>2</v>
      </c>
      <c r="BN1211" s="468">
        <f t="shared" si="754"/>
        <v>101</v>
      </c>
      <c r="BO1211" s="468">
        <f t="shared" si="755"/>
        <v>2</v>
      </c>
      <c r="BP1211" s="467">
        <f t="shared" ca="1" si="743"/>
        <v>79473</v>
      </c>
      <c r="BQ1211" s="475">
        <f t="shared" ca="1" si="757"/>
        <v>133</v>
      </c>
      <c r="BR1211" s="475" t="str">
        <f t="shared" si="756"/>
        <v/>
      </c>
      <c r="BS1211" s="471" t="str">
        <f t="shared" si="744"/>
        <v/>
      </c>
      <c r="BT1211" s="472" t="str">
        <f t="shared" si="759"/>
        <v/>
      </c>
      <c r="BU1211" s="472">
        <f t="shared" ca="1" si="745"/>
        <v>0</v>
      </c>
      <c r="BV1211" s="472">
        <f t="shared" ca="1" si="745"/>
        <v>0</v>
      </c>
      <c r="BW1211" s="472"/>
      <c r="BX1211" s="473">
        <f t="shared" ca="1" si="746"/>
        <v>2810097.89289559</v>
      </c>
      <c r="BY1211" s="473">
        <f t="shared" si="747"/>
        <v>0</v>
      </c>
      <c r="BZ1211" s="473">
        <f t="shared" ca="1" si="729"/>
        <v>207.10028056900001</v>
      </c>
      <c r="CA1211" s="476">
        <f t="shared" ca="1" si="748"/>
        <v>0</v>
      </c>
      <c r="CB1211" s="494">
        <f ca="1">IF(OR($Q1210&lt;&gt;1,OP!$D$5+$BN1211-1&lt;16,$BN1211-1&lt;1),0,ROUND(ROUND(ROUND(((VLOOKUP($BN1211-1,MORE_PV,5,0)/10000)*VLOOKUP($BN1211,MORE_PV,$CB$5,0)),3)*VLOOKUP($BN1211,more1,5,0),0)/$R1210,0))</f>
        <v>0</v>
      </c>
      <c r="CC1211" s="473">
        <f t="shared" ca="1" si="749"/>
        <v>0</v>
      </c>
      <c r="CD1211" s="477"/>
    </row>
    <row r="1212" spans="2:82" ht="16.5" hidden="1">
      <c r="B1212" s="80"/>
      <c r="C1212" s="80"/>
      <c r="D1212" s="80"/>
      <c r="E1212" s="80"/>
      <c r="F1212" s="80"/>
      <c r="G1212" s="80"/>
      <c r="H1212" s="80"/>
      <c r="I1212" s="80"/>
      <c r="J1212" s="192">
        <f t="shared" si="730"/>
        <v>101</v>
      </c>
      <c r="K1212" s="192">
        <f t="shared" si="731"/>
        <v>4</v>
      </c>
      <c r="L1212" s="192" t="str">
        <f t="shared" si="726"/>
        <v/>
      </c>
      <c r="M1212" s="216" t="str">
        <f t="shared" ca="1" si="732"/>
        <v/>
      </c>
      <c r="N1212" s="216"/>
      <c r="O1212" s="216"/>
      <c r="P1212" s="216"/>
      <c r="Q1212" s="456">
        <f t="shared" ca="1" si="733"/>
        <v>1</v>
      </c>
      <c r="R1212" s="450">
        <f t="shared" ca="1" si="734"/>
        <v>12</v>
      </c>
      <c r="S1212" s="191">
        <f t="shared" si="735"/>
        <v>101</v>
      </c>
      <c r="T1212" s="191">
        <f t="shared" si="736"/>
        <v>4</v>
      </c>
      <c r="U1212" s="191">
        <f ca="1">OP!$D$5+$S1212-1</f>
        <v>133</v>
      </c>
      <c r="V1212" s="191" t="str">
        <f t="shared" si="737"/>
        <v/>
      </c>
      <c r="W1212" s="350">
        <f ca="1">IF(Q1212&lt;&gt;1,0,VLOOKUP(OP!$C$55,PVFB,$S1212+2,0))</f>
        <v>0</v>
      </c>
      <c r="X1212" s="473" t="str">
        <f t="shared" ca="1" si="750"/>
        <v/>
      </c>
      <c r="Y1212" s="348">
        <f t="shared" ca="1" si="751"/>
        <v>0</v>
      </c>
      <c r="Z1212" s="348">
        <f t="shared" ca="1" si="752"/>
        <v>8012</v>
      </c>
      <c r="AA1212" s="348">
        <f ca="1">IF(Q1212&lt;&gt;1,0,VLOOKUP(OP!$C$55,PVFB,$S1212+2,0))</f>
        <v>0</v>
      </c>
      <c r="AB1212" s="488" t="str">
        <f ca="1">IF(AND(S1212&lt;OP!$C$24,$U1212&lt;15),0,IF(AND($U1212&lt;15,$T1212=12),ROUND(VLOOKUP($S1212,DOWN16,5,0),3),IF($T1212=12,ROUND(($Z1212/10000)*$AA1212,3)+IF(AND($P$7="購買增額繳清保險",T1212=12,U1212=110),VLOOKUP(S1212,$B$10:$H$121,7,0),0),"")))</f>
        <v/>
      </c>
      <c r="AC1212" s="350" t="str">
        <f ca="1">IF(AND(S1212&lt;OP!$C$24,$U1212&lt;15),0,IF(AND($U1212&lt;16,$T1212=12),VLOOKUP($S1212,DOWN16,4,0),IF($T1212=12,ROUND(VLOOKUP(OP!$C$55,_DIE2,$S1212+1,0)*(Z1212/10000),0)+IF(AND($P$7="購買增額繳清保險",T1212=12,U1212=110),VLOOKUP(S1212,$B$10:$H$121,7,0),0),"")))</f>
        <v/>
      </c>
      <c r="AD1212" s="347"/>
      <c r="AE1212" s="350" t="str">
        <f t="shared" ca="1" si="727"/>
        <v/>
      </c>
      <c r="AF1212" s="351" t="str">
        <f t="shared" ca="1" si="728"/>
        <v/>
      </c>
      <c r="AG1212" s="340"/>
      <c r="AH1212" s="340"/>
      <c r="AI1212" s="340"/>
      <c r="AJ1212" s="340"/>
      <c r="AK1212" s="340"/>
      <c r="AL1212" s="340"/>
      <c r="AM1212" s="340"/>
      <c r="AN1212" s="340"/>
      <c r="AO1212" s="340"/>
      <c r="AP1212" s="340"/>
      <c r="AQ1212" s="340"/>
      <c r="AR1212" s="340"/>
      <c r="AS1212" s="340"/>
      <c r="AT1212" s="340"/>
      <c r="AU1212" s="340"/>
      <c r="AV1212" s="340"/>
      <c r="AY1212" s="340"/>
      <c r="AZ1212" s="465">
        <f t="shared" ca="1" si="738"/>
        <v>7.3698599999999999E-5</v>
      </c>
      <c r="BA1212" s="464">
        <f t="shared" ca="1" si="739"/>
        <v>0</v>
      </c>
      <c r="BB1212" s="465">
        <f t="shared" ca="1" si="739"/>
        <v>7.3698599999999999E-5</v>
      </c>
      <c r="BC1212" s="466">
        <f t="shared" ca="1" si="740"/>
        <v>79503</v>
      </c>
      <c r="BD1212" s="467">
        <f t="shared" ca="1" si="753"/>
        <v>79504</v>
      </c>
      <c r="BE1212" s="467">
        <f t="shared" ca="1" si="741"/>
        <v>79532</v>
      </c>
      <c r="BF1212" s="468">
        <f ca="1">IF(計算!$BC1212&lt;OP!$C$3,0,BD1212-BC1212)</f>
        <v>1</v>
      </c>
      <c r="BG1212" s="468">
        <f ca="1">IF($BE1212&gt;DATE(YEAR($BD$9)+OP!$C$57,MONTH($BD$9),DAY($BD$9)),0,$BE1212-$BD1212+1)</f>
        <v>0</v>
      </c>
      <c r="BH1212" s="469">
        <f t="shared" ca="1" si="742"/>
        <v>1</v>
      </c>
      <c r="BI1212" t="str">
        <f t="shared" si="758"/>
        <v/>
      </c>
      <c r="BJ1212">
        <v>3</v>
      </c>
      <c r="BN1212" s="468">
        <f t="shared" si="754"/>
        <v>101</v>
      </c>
      <c r="BO1212" s="468">
        <f t="shared" si="755"/>
        <v>3</v>
      </c>
      <c r="BP1212" s="467">
        <f t="shared" ca="1" si="743"/>
        <v>79504</v>
      </c>
      <c r="BQ1212" s="475">
        <f t="shared" ca="1" si="757"/>
        <v>133</v>
      </c>
      <c r="BR1212" s="475" t="str">
        <f t="shared" si="756"/>
        <v/>
      </c>
      <c r="BS1212" s="471" t="str">
        <f t="shared" si="744"/>
        <v/>
      </c>
      <c r="BT1212" s="472" t="str">
        <f t="shared" si="759"/>
        <v/>
      </c>
      <c r="BU1212" s="472">
        <f t="shared" ca="1" si="745"/>
        <v>0</v>
      </c>
      <c r="BV1212" s="472">
        <f t="shared" ca="1" si="745"/>
        <v>0</v>
      </c>
      <c r="BW1212" s="472"/>
      <c r="BX1212" s="473">
        <f t="shared" ca="1" si="746"/>
        <v>2810304.9931761599</v>
      </c>
      <c r="BY1212" s="473">
        <f t="shared" si="747"/>
        <v>0</v>
      </c>
      <c r="BZ1212" s="473">
        <f t="shared" ca="1" si="729"/>
        <v>207.11554357</v>
      </c>
      <c r="CA1212" s="476">
        <f t="shared" ca="1" si="748"/>
        <v>0</v>
      </c>
      <c r="CB1212" s="494">
        <f ca="1">IF(OR($Q1211&lt;&gt;1,OP!$D$5+$BN1212-1&lt;16,$BN1212-1&lt;1),0,ROUND(ROUND(ROUND(((VLOOKUP($BN1212-1,MORE_PV,5,0)/10000)*VLOOKUP($BN1212,MORE_PV,$CB$5,0)),3)*VLOOKUP($BN1212,more1,5,0),0)/$R1211,0))</f>
        <v>0</v>
      </c>
      <c r="CC1212" s="473">
        <f t="shared" ca="1" si="749"/>
        <v>0</v>
      </c>
      <c r="CD1212" s="477"/>
    </row>
    <row r="1213" spans="2:82" ht="16.5" hidden="1">
      <c r="B1213" s="80"/>
      <c r="C1213" s="80"/>
      <c r="D1213" s="80"/>
      <c r="E1213" s="80"/>
      <c r="F1213" s="80"/>
      <c r="G1213" s="80"/>
      <c r="H1213" s="80"/>
      <c r="I1213" s="80"/>
      <c r="J1213" s="192">
        <f t="shared" si="730"/>
        <v>101</v>
      </c>
      <c r="K1213" s="192">
        <f t="shared" si="731"/>
        <v>5</v>
      </c>
      <c r="L1213" s="192" t="str">
        <f t="shared" si="726"/>
        <v/>
      </c>
      <c r="M1213" s="216" t="str">
        <f t="shared" ca="1" si="732"/>
        <v/>
      </c>
      <c r="N1213" s="216"/>
      <c r="O1213" s="216"/>
      <c r="P1213" s="216"/>
      <c r="Q1213" s="456">
        <f t="shared" ca="1" si="733"/>
        <v>1</v>
      </c>
      <c r="R1213" s="450">
        <f t="shared" ca="1" si="734"/>
        <v>12</v>
      </c>
      <c r="S1213" s="191">
        <f t="shared" si="735"/>
        <v>101</v>
      </c>
      <c r="T1213" s="191">
        <f t="shared" si="736"/>
        <v>5</v>
      </c>
      <c r="U1213" s="191">
        <f ca="1">OP!$D$5+$S1213-1</f>
        <v>133</v>
      </c>
      <c r="V1213" s="191" t="str">
        <f t="shared" si="737"/>
        <v/>
      </c>
      <c r="W1213" s="350">
        <f ca="1">IF(Q1213&lt;&gt;1,0,VLOOKUP(OP!$C$55,PVFB,$S1213+2,0))</f>
        <v>0</v>
      </c>
      <c r="X1213" s="473" t="str">
        <f t="shared" ca="1" si="750"/>
        <v/>
      </c>
      <c r="Y1213" s="348">
        <f t="shared" ca="1" si="751"/>
        <v>0</v>
      </c>
      <c r="Z1213" s="348">
        <f t="shared" ca="1" si="752"/>
        <v>8012</v>
      </c>
      <c r="AA1213" s="348">
        <f ca="1">IF(Q1213&lt;&gt;1,0,VLOOKUP(OP!$C$55,PVFB,$S1213+2,0))</f>
        <v>0</v>
      </c>
      <c r="AB1213" s="488" t="str">
        <f ca="1">IF(AND(S1213&lt;OP!$C$24,$U1213&lt;15),0,IF(AND($U1213&lt;15,$T1213=12),ROUND(VLOOKUP($S1213,DOWN16,5,0),3),IF($T1213=12,ROUND(($Z1213/10000)*$AA1213,3)+IF(AND($P$7="購買增額繳清保險",T1213=12,U1213=110),VLOOKUP(S1213,$B$10:$H$121,7,0),0),"")))</f>
        <v/>
      </c>
      <c r="AC1213" s="350" t="str">
        <f ca="1">IF(AND(S1213&lt;OP!$C$24,$U1213&lt;15),0,IF(AND($U1213&lt;16,$T1213=12),VLOOKUP($S1213,DOWN16,4,0),IF($T1213=12,ROUND(VLOOKUP(OP!$C$55,_DIE2,$S1213+1,0)*(Z1213/10000),0)+IF(AND($P$7="購買增額繳清保險",T1213=12,U1213=110),VLOOKUP(S1213,$B$10:$H$121,7,0),0),"")))</f>
        <v/>
      </c>
      <c r="AD1213" s="347"/>
      <c r="AE1213" s="350" t="str">
        <f t="shared" ca="1" si="727"/>
        <v/>
      </c>
      <c r="AF1213" s="351" t="str">
        <f t="shared" ca="1" si="728"/>
        <v/>
      </c>
      <c r="AG1213" s="340"/>
      <c r="AH1213" s="340"/>
      <c r="AI1213" s="340"/>
      <c r="AJ1213" s="340"/>
      <c r="AK1213" s="340"/>
      <c r="AL1213" s="340"/>
      <c r="AM1213" s="340"/>
      <c r="AN1213" s="340"/>
      <c r="AO1213" s="340"/>
      <c r="AP1213" s="340"/>
      <c r="AQ1213" s="340"/>
      <c r="AR1213" s="340"/>
      <c r="AS1213" s="340"/>
      <c r="AT1213" s="340"/>
      <c r="AU1213" s="340"/>
      <c r="AV1213" s="340"/>
      <c r="AY1213" s="340"/>
      <c r="AZ1213" s="465">
        <f t="shared" ca="1" si="738"/>
        <v>7.3698599999999999E-5</v>
      </c>
      <c r="BA1213" s="464">
        <f t="shared" ca="1" si="739"/>
        <v>0</v>
      </c>
      <c r="BB1213" s="465">
        <f t="shared" ca="1" si="739"/>
        <v>7.3698599999999999E-5</v>
      </c>
      <c r="BC1213" s="466">
        <f t="shared" ca="1" si="740"/>
        <v>79533</v>
      </c>
      <c r="BD1213" s="467">
        <f t="shared" ca="1" si="753"/>
        <v>79534</v>
      </c>
      <c r="BE1213" s="467">
        <f t="shared" ca="1" si="741"/>
        <v>79563</v>
      </c>
      <c r="BF1213" s="468">
        <f ca="1">IF(計算!$BC1213&lt;OP!$C$3,0,BD1213-BC1213)</f>
        <v>1</v>
      </c>
      <c r="BG1213" s="468">
        <f ca="1">IF($BE1213&gt;DATE(YEAR($BD$9)+OP!$C$57,MONTH($BD$9),DAY($BD$9)),0,$BE1213-$BD1213+1)</f>
        <v>0</v>
      </c>
      <c r="BH1213" s="469">
        <f t="shared" ca="1" si="742"/>
        <v>1</v>
      </c>
      <c r="BI1213" t="str">
        <f t="shared" si="758"/>
        <v/>
      </c>
      <c r="BJ1213">
        <v>4</v>
      </c>
      <c r="BN1213" s="468">
        <f t="shared" si="754"/>
        <v>101</v>
      </c>
      <c r="BO1213" s="468">
        <f t="shared" si="755"/>
        <v>4</v>
      </c>
      <c r="BP1213" s="467">
        <f t="shared" ca="1" si="743"/>
        <v>79534</v>
      </c>
      <c r="BQ1213" s="475">
        <f t="shared" ca="1" si="757"/>
        <v>133</v>
      </c>
      <c r="BR1213" s="475" t="str">
        <f t="shared" si="756"/>
        <v/>
      </c>
      <c r="BS1213" s="471" t="str">
        <f t="shared" si="744"/>
        <v/>
      </c>
      <c r="BT1213" s="472" t="str">
        <f t="shared" si="759"/>
        <v/>
      </c>
      <c r="BU1213" s="472">
        <f t="shared" ca="1" si="745"/>
        <v>0</v>
      </c>
      <c r="BV1213" s="472">
        <f t="shared" ca="1" si="745"/>
        <v>0</v>
      </c>
      <c r="BW1213" s="472"/>
      <c r="BX1213" s="473">
        <f t="shared" ca="1" si="746"/>
        <v>2810512.1087197298</v>
      </c>
      <c r="BY1213" s="473">
        <f t="shared" si="747"/>
        <v>0</v>
      </c>
      <c r="BZ1213" s="473">
        <f t="shared" ca="1" si="729"/>
        <v>207.13080769600001</v>
      </c>
      <c r="CA1213" s="476">
        <f t="shared" ca="1" si="748"/>
        <v>0</v>
      </c>
      <c r="CB1213" s="494">
        <f ca="1">IF(OR($Q1212&lt;&gt;1,OP!$D$5+$BN1213-1&lt;16,$BN1213-1&lt;1),0,ROUND(ROUND(ROUND(((VLOOKUP($BN1213-1,MORE_PV,5,0)/10000)*VLOOKUP($BN1213,MORE_PV,$CB$5,0)),3)*VLOOKUP($BN1213,more1,5,0),0)/$R1212,0))</f>
        <v>0</v>
      </c>
      <c r="CC1213" s="473">
        <f t="shared" ca="1" si="749"/>
        <v>0</v>
      </c>
      <c r="CD1213" s="477"/>
    </row>
    <row r="1214" spans="2:82" ht="16.5" hidden="1">
      <c r="B1214" s="80"/>
      <c r="C1214" s="80"/>
      <c r="D1214" s="80"/>
      <c r="E1214" s="80"/>
      <c r="F1214" s="80"/>
      <c r="G1214" s="80"/>
      <c r="H1214" s="80"/>
      <c r="I1214" s="80"/>
      <c r="J1214" s="192">
        <f t="shared" si="730"/>
        <v>101</v>
      </c>
      <c r="K1214" s="192">
        <f t="shared" si="731"/>
        <v>6</v>
      </c>
      <c r="L1214" s="192" t="str">
        <f t="shared" si="726"/>
        <v/>
      </c>
      <c r="M1214" s="216" t="str">
        <f t="shared" ca="1" si="732"/>
        <v/>
      </c>
      <c r="N1214" s="216"/>
      <c r="O1214" s="216"/>
      <c r="P1214" s="216"/>
      <c r="Q1214" s="456">
        <f t="shared" ca="1" si="733"/>
        <v>1</v>
      </c>
      <c r="R1214" s="450">
        <f t="shared" ca="1" si="734"/>
        <v>12</v>
      </c>
      <c r="S1214" s="191">
        <f t="shared" si="735"/>
        <v>101</v>
      </c>
      <c r="T1214" s="191">
        <f t="shared" si="736"/>
        <v>6</v>
      </c>
      <c r="U1214" s="191">
        <f ca="1">OP!$D$5+$S1214-1</f>
        <v>133</v>
      </c>
      <c r="V1214" s="191" t="str">
        <f t="shared" si="737"/>
        <v/>
      </c>
      <c r="W1214" s="350">
        <f ca="1">IF(Q1214&lt;&gt;1,0,VLOOKUP(OP!$C$55,PVFB,$S1214+2,0))</f>
        <v>0</v>
      </c>
      <c r="X1214" s="473" t="str">
        <f t="shared" ca="1" si="750"/>
        <v/>
      </c>
      <c r="Y1214" s="348">
        <f t="shared" ca="1" si="751"/>
        <v>0</v>
      </c>
      <c r="Z1214" s="348">
        <f t="shared" ca="1" si="752"/>
        <v>8012</v>
      </c>
      <c r="AA1214" s="348">
        <f ca="1">IF(Q1214&lt;&gt;1,0,VLOOKUP(OP!$C$55,PVFB,$S1214+2,0))</f>
        <v>0</v>
      </c>
      <c r="AB1214" s="488" t="str">
        <f ca="1">IF(AND(S1214&lt;OP!$C$24,$U1214&lt;15),0,IF(AND($U1214&lt;15,$T1214=12),ROUND(VLOOKUP($S1214,DOWN16,5,0),3),IF($T1214=12,ROUND(($Z1214/10000)*$AA1214,3)+IF(AND($P$7="購買增額繳清保險",T1214=12,U1214=110),VLOOKUP(S1214,$B$10:$H$121,7,0),0),"")))</f>
        <v/>
      </c>
      <c r="AC1214" s="350" t="str">
        <f ca="1">IF(AND(S1214&lt;OP!$C$24,$U1214&lt;15),0,IF(AND($U1214&lt;16,$T1214=12),VLOOKUP($S1214,DOWN16,4,0),IF($T1214=12,ROUND(VLOOKUP(OP!$C$55,_DIE2,$S1214+1,0)*(Z1214/10000),0)+IF(AND($P$7="購買增額繳清保險",T1214=12,U1214=110),VLOOKUP(S1214,$B$10:$H$121,7,0),0),"")))</f>
        <v/>
      </c>
      <c r="AD1214" s="347"/>
      <c r="AE1214" s="350" t="str">
        <f t="shared" ca="1" si="727"/>
        <v/>
      </c>
      <c r="AF1214" s="351" t="str">
        <f t="shared" ca="1" si="728"/>
        <v/>
      </c>
      <c r="AG1214" s="340"/>
      <c r="AH1214" s="340"/>
      <c r="AI1214" s="340"/>
      <c r="AJ1214" s="340"/>
      <c r="AK1214" s="340"/>
      <c r="AL1214" s="340"/>
      <c r="AM1214" s="340"/>
      <c r="AN1214" s="340"/>
      <c r="AO1214" s="340"/>
      <c r="AP1214" s="340"/>
      <c r="AQ1214" s="340"/>
      <c r="AR1214" s="340"/>
      <c r="AS1214" s="340"/>
      <c r="AT1214" s="340"/>
      <c r="AU1214" s="340"/>
      <c r="AV1214" s="340"/>
      <c r="AY1214" s="340"/>
      <c r="AZ1214" s="465">
        <f t="shared" ca="1" si="738"/>
        <v>7.3698599999999999E-5</v>
      </c>
      <c r="BA1214" s="464">
        <f t="shared" ca="1" si="739"/>
        <v>0</v>
      </c>
      <c r="BB1214" s="465">
        <f t="shared" ca="1" si="739"/>
        <v>7.3698599999999999E-5</v>
      </c>
      <c r="BC1214" s="466">
        <f t="shared" ca="1" si="740"/>
        <v>79564</v>
      </c>
      <c r="BD1214" s="467">
        <f t="shared" ca="1" si="753"/>
        <v>79565</v>
      </c>
      <c r="BE1214" s="467">
        <f t="shared" ca="1" si="741"/>
        <v>79593</v>
      </c>
      <c r="BF1214" s="468">
        <f ca="1">IF(計算!$BC1214&lt;OP!$C$3,0,BD1214-BC1214)</f>
        <v>1</v>
      </c>
      <c r="BG1214" s="468">
        <f ca="1">IF($BE1214&gt;DATE(YEAR($BD$9)+OP!$C$57,MONTH($BD$9),DAY($BD$9)),0,$BE1214-$BD1214+1)</f>
        <v>0</v>
      </c>
      <c r="BH1214" s="469">
        <f t="shared" ca="1" si="742"/>
        <v>1</v>
      </c>
      <c r="BI1214" t="str">
        <f t="shared" si="758"/>
        <v/>
      </c>
      <c r="BJ1214">
        <v>5</v>
      </c>
      <c r="BN1214" s="468">
        <f t="shared" si="754"/>
        <v>101</v>
      </c>
      <c r="BO1214" s="468">
        <f t="shared" si="755"/>
        <v>5</v>
      </c>
      <c r="BP1214" s="467">
        <f t="shared" ca="1" si="743"/>
        <v>79565</v>
      </c>
      <c r="BQ1214" s="475">
        <f t="shared" ca="1" si="757"/>
        <v>133</v>
      </c>
      <c r="BR1214" s="475" t="str">
        <f t="shared" si="756"/>
        <v/>
      </c>
      <c r="BS1214" s="471" t="str">
        <f t="shared" si="744"/>
        <v/>
      </c>
      <c r="BT1214" s="472" t="str">
        <f t="shared" si="759"/>
        <v/>
      </c>
      <c r="BU1214" s="472">
        <f t="shared" ca="1" si="745"/>
        <v>0</v>
      </c>
      <c r="BV1214" s="472">
        <f t="shared" ca="1" si="745"/>
        <v>0</v>
      </c>
      <c r="BW1214" s="472"/>
      <c r="BX1214" s="473">
        <f t="shared" ca="1" si="746"/>
        <v>2810719.2395274299</v>
      </c>
      <c r="BY1214" s="473">
        <f t="shared" si="747"/>
        <v>0</v>
      </c>
      <c r="BZ1214" s="473">
        <f t="shared" ca="1" si="729"/>
        <v>207.146072946</v>
      </c>
      <c r="CA1214" s="476">
        <f t="shared" ca="1" si="748"/>
        <v>0</v>
      </c>
      <c r="CB1214" s="494">
        <f ca="1">IF(OR($Q1213&lt;&gt;1,OP!$D$5+$BN1214-1&lt;16,$BN1214-1&lt;1),0,ROUND(ROUND(ROUND(((VLOOKUP($BN1214-1,MORE_PV,5,0)/10000)*VLOOKUP($BN1214,MORE_PV,$CB$5,0)),3)*VLOOKUP($BN1214,more1,5,0),0)/$R1213,0))</f>
        <v>0</v>
      </c>
      <c r="CC1214" s="473">
        <f t="shared" ca="1" si="749"/>
        <v>0</v>
      </c>
      <c r="CD1214" s="477"/>
    </row>
    <row r="1215" spans="2:82" ht="16.5" hidden="1">
      <c r="B1215" s="80"/>
      <c r="C1215" s="80"/>
      <c r="D1215" s="80"/>
      <c r="E1215" s="80"/>
      <c r="F1215" s="80"/>
      <c r="G1215" s="80"/>
      <c r="H1215" s="80"/>
      <c r="I1215" s="80"/>
      <c r="J1215" s="192">
        <f t="shared" si="730"/>
        <v>101</v>
      </c>
      <c r="K1215" s="192">
        <f t="shared" si="731"/>
        <v>7</v>
      </c>
      <c r="L1215" s="192" t="str">
        <f t="shared" si="726"/>
        <v/>
      </c>
      <c r="M1215" s="216" t="str">
        <f t="shared" ca="1" si="732"/>
        <v/>
      </c>
      <c r="N1215" s="216"/>
      <c r="O1215" s="216"/>
      <c r="P1215" s="216"/>
      <c r="Q1215" s="456">
        <f t="shared" ca="1" si="733"/>
        <v>1</v>
      </c>
      <c r="R1215" s="450">
        <f t="shared" ca="1" si="734"/>
        <v>12</v>
      </c>
      <c r="S1215" s="191">
        <f t="shared" si="735"/>
        <v>101</v>
      </c>
      <c r="T1215" s="191">
        <f t="shared" si="736"/>
        <v>7</v>
      </c>
      <c r="U1215" s="191">
        <f ca="1">OP!$D$5+$S1215-1</f>
        <v>133</v>
      </c>
      <c r="V1215" s="191" t="str">
        <f t="shared" si="737"/>
        <v/>
      </c>
      <c r="W1215" s="350">
        <f ca="1">IF(Q1215&lt;&gt;1,0,VLOOKUP(OP!$C$55,PVFB,$S1215+2,0))</f>
        <v>0</v>
      </c>
      <c r="X1215" s="473" t="str">
        <f t="shared" ca="1" si="750"/>
        <v/>
      </c>
      <c r="Y1215" s="348">
        <f t="shared" ca="1" si="751"/>
        <v>0</v>
      </c>
      <c r="Z1215" s="348">
        <f t="shared" ca="1" si="752"/>
        <v>8012</v>
      </c>
      <c r="AA1215" s="348">
        <f ca="1">IF(Q1215&lt;&gt;1,0,VLOOKUP(OP!$C$55,PVFB,$S1215+2,0))</f>
        <v>0</v>
      </c>
      <c r="AB1215" s="488" t="str">
        <f ca="1">IF(AND(S1215&lt;OP!$C$24,$U1215&lt;15),0,IF(AND($U1215&lt;15,$T1215=12),ROUND(VLOOKUP($S1215,DOWN16,5,0),3),IF($T1215=12,ROUND(($Z1215/10000)*$AA1215,3)+IF(AND($P$7="購買增額繳清保險",T1215=12,U1215=110),VLOOKUP(S1215,$B$10:$H$121,7,0),0),"")))</f>
        <v/>
      </c>
      <c r="AC1215" s="350" t="str">
        <f ca="1">IF(AND(S1215&lt;OP!$C$24,$U1215&lt;15),0,IF(AND($U1215&lt;16,$T1215=12),VLOOKUP($S1215,DOWN16,4,0),IF($T1215=12,ROUND(VLOOKUP(OP!$C$55,_DIE2,$S1215+1,0)*(Z1215/10000),0)+IF(AND($P$7="購買增額繳清保險",T1215=12,U1215=110),VLOOKUP(S1215,$B$10:$H$121,7,0),0),"")))</f>
        <v/>
      </c>
      <c r="AD1215" s="347"/>
      <c r="AE1215" s="350" t="str">
        <f t="shared" ca="1" si="727"/>
        <v/>
      </c>
      <c r="AF1215" s="351" t="str">
        <f t="shared" ca="1" si="728"/>
        <v/>
      </c>
      <c r="AG1215" s="340"/>
      <c r="AH1215" s="340"/>
      <c r="AI1215" s="340"/>
      <c r="AJ1215" s="340"/>
      <c r="AK1215" s="340"/>
      <c r="AL1215" s="340"/>
      <c r="AM1215" s="340"/>
      <c r="AN1215" s="340"/>
      <c r="AO1215" s="340"/>
      <c r="AP1215" s="340"/>
      <c r="AQ1215" s="340"/>
      <c r="AR1215" s="340"/>
      <c r="AS1215" s="340"/>
      <c r="AT1215" s="340"/>
      <c r="AU1215" s="340"/>
      <c r="AV1215" s="340"/>
      <c r="AY1215" s="340"/>
      <c r="AZ1215" s="465">
        <f t="shared" ca="1" si="738"/>
        <v>7.3698599999999999E-5</v>
      </c>
      <c r="BA1215" s="464">
        <f t="shared" ca="1" si="739"/>
        <v>0</v>
      </c>
      <c r="BB1215" s="465">
        <f t="shared" ca="1" si="739"/>
        <v>7.3698599999999999E-5</v>
      </c>
      <c r="BC1215" s="466">
        <f t="shared" ca="1" si="740"/>
        <v>79594</v>
      </c>
      <c r="BD1215" s="467">
        <f t="shared" ca="1" si="753"/>
        <v>79595</v>
      </c>
      <c r="BE1215" s="467">
        <f t="shared" ca="1" si="741"/>
        <v>79624</v>
      </c>
      <c r="BF1215" s="468">
        <f ca="1">IF(計算!$BC1215&lt;OP!$C$3,0,BD1215-BC1215)</f>
        <v>1</v>
      </c>
      <c r="BG1215" s="468">
        <f ca="1">IF($BE1215&gt;DATE(YEAR($BD$9)+OP!$C$57,MONTH($BD$9),DAY($BD$9)),0,$BE1215-$BD1215+1)</f>
        <v>0</v>
      </c>
      <c r="BH1215" s="469">
        <f t="shared" ca="1" si="742"/>
        <v>1</v>
      </c>
      <c r="BI1215" t="str">
        <f t="shared" si="758"/>
        <v/>
      </c>
      <c r="BJ1215">
        <v>6</v>
      </c>
      <c r="BN1215" s="468">
        <f t="shared" si="754"/>
        <v>101</v>
      </c>
      <c r="BO1215" s="468">
        <f t="shared" si="755"/>
        <v>6</v>
      </c>
      <c r="BP1215" s="467">
        <f t="shared" ca="1" si="743"/>
        <v>79595</v>
      </c>
      <c r="BQ1215" s="475">
        <f t="shared" ca="1" si="757"/>
        <v>133</v>
      </c>
      <c r="BR1215" s="475" t="str">
        <f t="shared" si="756"/>
        <v/>
      </c>
      <c r="BS1215" s="471" t="str">
        <f t="shared" si="744"/>
        <v/>
      </c>
      <c r="BT1215" s="472" t="str">
        <f t="shared" si="759"/>
        <v/>
      </c>
      <c r="BU1215" s="472">
        <f t="shared" ca="1" si="745"/>
        <v>0</v>
      </c>
      <c r="BV1215" s="472">
        <f t="shared" ca="1" si="745"/>
        <v>0</v>
      </c>
      <c r="BW1215" s="472"/>
      <c r="BX1215" s="473">
        <f t="shared" ca="1" si="746"/>
        <v>2810926.3856003801</v>
      </c>
      <c r="BY1215" s="473">
        <f t="shared" si="747"/>
        <v>0</v>
      </c>
      <c r="BZ1215" s="473">
        <f t="shared" ca="1" si="729"/>
        <v>207.161339322</v>
      </c>
      <c r="CA1215" s="476">
        <f t="shared" ca="1" si="748"/>
        <v>0</v>
      </c>
      <c r="CB1215" s="494">
        <f ca="1">IF(OR($Q1214&lt;&gt;1,OP!$D$5+$BN1215-1&lt;16,$BN1215-1&lt;1),0,ROUND(ROUND(ROUND(((VLOOKUP($BN1215-1,MORE_PV,5,0)/10000)*VLOOKUP($BN1215,MORE_PV,$CB$5,0)),3)*VLOOKUP($BN1215,more1,5,0),0)/$R1214,0))</f>
        <v>0</v>
      </c>
      <c r="CC1215" s="473">
        <f t="shared" ca="1" si="749"/>
        <v>0</v>
      </c>
      <c r="CD1215" s="477"/>
    </row>
    <row r="1216" spans="2:82" ht="16.5" hidden="1">
      <c r="B1216" s="80"/>
      <c r="C1216" s="80"/>
      <c r="D1216" s="80"/>
      <c r="E1216" s="80"/>
      <c r="F1216" s="80"/>
      <c r="G1216" s="80"/>
      <c r="H1216" s="80"/>
      <c r="I1216" s="80"/>
      <c r="J1216" s="192">
        <f t="shared" si="730"/>
        <v>101</v>
      </c>
      <c r="K1216" s="192">
        <f t="shared" si="731"/>
        <v>8</v>
      </c>
      <c r="L1216" s="192" t="str">
        <f t="shared" si="726"/>
        <v/>
      </c>
      <c r="M1216" s="216" t="str">
        <f t="shared" ca="1" si="732"/>
        <v/>
      </c>
      <c r="N1216" s="216"/>
      <c r="O1216" s="216"/>
      <c r="P1216" s="216"/>
      <c r="Q1216" s="456">
        <f t="shared" ca="1" si="733"/>
        <v>1</v>
      </c>
      <c r="R1216" s="450">
        <f t="shared" ca="1" si="734"/>
        <v>12</v>
      </c>
      <c r="S1216" s="191">
        <f t="shared" si="735"/>
        <v>101</v>
      </c>
      <c r="T1216" s="191">
        <f t="shared" si="736"/>
        <v>8</v>
      </c>
      <c r="U1216" s="191">
        <f ca="1">OP!$D$5+$S1216-1</f>
        <v>133</v>
      </c>
      <c r="V1216" s="191" t="str">
        <f t="shared" si="737"/>
        <v/>
      </c>
      <c r="W1216" s="350">
        <f ca="1">IF(Q1216&lt;&gt;1,0,VLOOKUP(OP!$C$55,PVFB,$S1216+2,0))</f>
        <v>0</v>
      </c>
      <c r="X1216" s="473" t="str">
        <f t="shared" ca="1" si="750"/>
        <v/>
      </c>
      <c r="Y1216" s="348">
        <f t="shared" ca="1" si="751"/>
        <v>0</v>
      </c>
      <c r="Z1216" s="348">
        <f t="shared" ca="1" si="752"/>
        <v>8012</v>
      </c>
      <c r="AA1216" s="348">
        <f ca="1">IF(Q1216&lt;&gt;1,0,VLOOKUP(OP!$C$55,PVFB,$S1216+2,0))</f>
        <v>0</v>
      </c>
      <c r="AB1216" s="488" t="str">
        <f ca="1">IF(AND(S1216&lt;OP!$C$24,$U1216&lt;15),0,IF(AND($U1216&lt;15,$T1216=12),ROUND(VLOOKUP($S1216,DOWN16,5,0),3),IF($T1216=12,ROUND(($Z1216/10000)*$AA1216,3)+IF(AND($P$7="購買增額繳清保險",T1216=12,U1216=110),VLOOKUP(S1216,$B$10:$H$121,7,0),0),"")))</f>
        <v/>
      </c>
      <c r="AC1216" s="350" t="str">
        <f ca="1">IF(AND(S1216&lt;OP!$C$24,$U1216&lt;15),0,IF(AND($U1216&lt;16,$T1216=12),VLOOKUP($S1216,DOWN16,4,0),IF($T1216=12,ROUND(VLOOKUP(OP!$C$55,_DIE2,$S1216+1,0)*(Z1216/10000),0)+IF(AND($P$7="購買增額繳清保險",T1216=12,U1216=110),VLOOKUP(S1216,$B$10:$H$121,7,0),0),"")))</f>
        <v/>
      </c>
      <c r="AD1216" s="347"/>
      <c r="AE1216" s="350" t="str">
        <f t="shared" ca="1" si="727"/>
        <v/>
      </c>
      <c r="AF1216" s="351" t="str">
        <f t="shared" ca="1" si="728"/>
        <v/>
      </c>
      <c r="AG1216" s="340"/>
      <c r="AH1216" s="340"/>
      <c r="AI1216" s="340"/>
      <c r="AJ1216" s="340"/>
      <c r="AK1216" s="340"/>
      <c r="AL1216" s="340"/>
      <c r="AM1216" s="340"/>
      <c r="AN1216" s="340"/>
      <c r="AO1216" s="340"/>
      <c r="AP1216" s="340"/>
      <c r="AQ1216" s="340"/>
      <c r="AR1216" s="340"/>
      <c r="AS1216" s="340"/>
      <c r="AT1216" s="340"/>
      <c r="AU1216" s="340"/>
      <c r="AV1216" s="340"/>
      <c r="AY1216" s="340"/>
      <c r="AZ1216" s="465">
        <f t="shared" ca="1" si="738"/>
        <v>7.3698599999999999E-5</v>
      </c>
      <c r="BA1216" s="464">
        <f t="shared" ca="1" si="739"/>
        <v>0</v>
      </c>
      <c r="BB1216" s="465">
        <f t="shared" ca="1" si="739"/>
        <v>7.3698599999999999E-5</v>
      </c>
      <c r="BC1216" s="466">
        <f t="shared" ca="1" si="740"/>
        <v>79625</v>
      </c>
      <c r="BD1216" s="467">
        <f t="shared" ca="1" si="753"/>
        <v>79626</v>
      </c>
      <c r="BE1216" s="467">
        <f t="shared" ca="1" si="741"/>
        <v>79655</v>
      </c>
      <c r="BF1216" s="468">
        <f ca="1">IF(計算!$BC1216&lt;OP!$C$3,0,BD1216-BC1216)</f>
        <v>1</v>
      </c>
      <c r="BG1216" s="468">
        <f ca="1">IF($BE1216&gt;DATE(YEAR($BD$9)+OP!$C$57,MONTH($BD$9),DAY($BD$9)),0,$BE1216-$BD1216+1)</f>
        <v>0</v>
      </c>
      <c r="BH1216" s="469">
        <f t="shared" ca="1" si="742"/>
        <v>1</v>
      </c>
      <c r="BI1216" t="str">
        <f t="shared" si="758"/>
        <v/>
      </c>
      <c r="BJ1216">
        <v>7</v>
      </c>
      <c r="BN1216" s="468">
        <f t="shared" si="754"/>
        <v>101</v>
      </c>
      <c r="BO1216" s="468">
        <f t="shared" si="755"/>
        <v>7</v>
      </c>
      <c r="BP1216" s="467">
        <f t="shared" ca="1" si="743"/>
        <v>79626</v>
      </c>
      <c r="BQ1216" s="475">
        <f t="shared" ca="1" si="757"/>
        <v>133</v>
      </c>
      <c r="BR1216" s="475" t="str">
        <f t="shared" si="756"/>
        <v/>
      </c>
      <c r="BS1216" s="471" t="str">
        <f t="shared" si="744"/>
        <v/>
      </c>
      <c r="BT1216" s="472" t="str">
        <f t="shared" si="759"/>
        <v/>
      </c>
      <c r="BU1216" s="472">
        <f t="shared" ca="1" si="745"/>
        <v>0</v>
      </c>
      <c r="BV1216" s="472">
        <f t="shared" ca="1" si="745"/>
        <v>0</v>
      </c>
      <c r="BW1216" s="472"/>
      <c r="BX1216" s="473">
        <f t="shared" ca="1" si="746"/>
        <v>2811133.5469396999</v>
      </c>
      <c r="BY1216" s="473">
        <f t="shared" si="747"/>
        <v>0</v>
      </c>
      <c r="BZ1216" s="473">
        <f t="shared" ca="1" si="729"/>
        <v>207.176606822</v>
      </c>
      <c r="CA1216" s="476">
        <f t="shared" ca="1" si="748"/>
        <v>0</v>
      </c>
      <c r="CB1216" s="494">
        <f ca="1">IF(OR($Q1215&lt;&gt;1,OP!$D$5+$BN1216-1&lt;16,$BN1216-1&lt;1),0,ROUND(ROUND(ROUND(((VLOOKUP($BN1216-1,MORE_PV,5,0)/10000)*VLOOKUP($BN1216,MORE_PV,$CB$5,0)),3)*VLOOKUP($BN1216,more1,5,0),0)/$R1215,0))</f>
        <v>0</v>
      </c>
      <c r="CC1216" s="473">
        <f t="shared" ca="1" si="749"/>
        <v>0</v>
      </c>
      <c r="CD1216" s="477"/>
    </row>
    <row r="1217" spans="2:82" ht="16.5" hidden="1">
      <c r="B1217" s="80"/>
      <c r="C1217" s="80"/>
      <c r="D1217" s="80"/>
      <c r="E1217" s="80"/>
      <c r="F1217" s="80"/>
      <c r="G1217" s="80"/>
      <c r="H1217" s="80"/>
      <c r="I1217" s="80"/>
      <c r="J1217" s="192">
        <f t="shared" si="730"/>
        <v>101</v>
      </c>
      <c r="K1217" s="192">
        <f t="shared" si="731"/>
        <v>9</v>
      </c>
      <c r="L1217" s="192" t="str">
        <f t="shared" si="726"/>
        <v/>
      </c>
      <c r="M1217" s="216" t="str">
        <f t="shared" ca="1" si="732"/>
        <v/>
      </c>
      <c r="N1217" s="216"/>
      <c r="O1217" s="216"/>
      <c r="P1217" s="216"/>
      <c r="Q1217" s="456">
        <f t="shared" ca="1" si="733"/>
        <v>1</v>
      </c>
      <c r="R1217" s="450">
        <f t="shared" ca="1" si="734"/>
        <v>12</v>
      </c>
      <c r="S1217" s="191">
        <f t="shared" si="735"/>
        <v>101</v>
      </c>
      <c r="T1217" s="191">
        <f t="shared" si="736"/>
        <v>9</v>
      </c>
      <c r="U1217" s="191">
        <f ca="1">OP!$D$5+$S1217-1</f>
        <v>133</v>
      </c>
      <c r="V1217" s="191" t="str">
        <f t="shared" si="737"/>
        <v/>
      </c>
      <c r="W1217" s="350">
        <f ca="1">IF(Q1217&lt;&gt;1,0,VLOOKUP(OP!$C$55,PVFB,$S1217+2,0))</f>
        <v>0</v>
      </c>
      <c r="X1217" s="473" t="str">
        <f t="shared" ca="1" si="750"/>
        <v/>
      </c>
      <c r="Y1217" s="348">
        <f t="shared" ca="1" si="751"/>
        <v>0</v>
      </c>
      <c r="Z1217" s="348">
        <f t="shared" ca="1" si="752"/>
        <v>8012</v>
      </c>
      <c r="AA1217" s="348">
        <f ca="1">IF(Q1217&lt;&gt;1,0,VLOOKUP(OP!$C$55,PVFB,$S1217+2,0))</f>
        <v>0</v>
      </c>
      <c r="AB1217" s="488" t="str">
        <f ca="1">IF(AND(S1217&lt;OP!$C$24,$U1217&lt;15),0,IF(AND($U1217&lt;15,$T1217=12),ROUND(VLOOKUP($S1217,DOWN16,5,0),3),IF($T1217=12,ROUND(($Z1217/10000)*$AA1217,3)+IF(AND($P$7="購買增額繳清保險",T1217=12,U1217=110),VLOOKUP(S1217,$B$10:$H$121,7,0),0),"")))</f>
        <v/>
      </c>
      <c r="AC1217" s="350" t="str">
        <f ca="1">IF(AND(S1217&lt;OP!$C$24,$U1217&lt;15),0,IF(AND($U1217&lt;16,$T1217=12),VLOOKUP($S1217,DOWN16,4,0),IF($T1217=12,ROUND(VLOOKUP(OP!$C$55,_DIE2,$S1217+1,0)*(Z1217/10000),0)+IF(AND($P$7="購買增額繳清保險",T1217=12,U1217=110),VLOOKUP(S1217,$B$10:$H$121,7,0),0),"")))</f>
        <v/>
      </c>
      <c r="AD1217" s="347"/>
      <c r="AE1217" s="350" t="str">
        <f t="shared" ca="1" si="727"/>
        <v/>
      </c>
      <c r="AF1217" s="351" t="str">
        <f t="shared" ca="1" si="728"/>
        <v/>
      </c>
      <c r="AG1217" s="340"/>
      <c r="AH1217" s="340"/>
      <c r="AI1217" s="340"/>
      <c r="AJ1217" s="340"/>
      <c r="AK1217" s="340"/>
      <c r="AL1217" s="340"/>
      <c r="AM1217" s="340"/>
      <c r="AN1217" s="340"/>
      <c r="AO1217" s="340"/>
      <c r="AP1217" s="340"/>
      <c r="AQ1217" s="340"/>
      <c r="AR1217" s="340"/>
      <c r="AS1217" s="340"/>
      <c r="AT1217" s="340"/>
      <c r="AU1217" s="340"/>
      <c r="AV1217" s="340"/>
      <c r="AY1217" s="340"/>
      <c r="AZ1217" s="465">
        <f t="shared" ca="1" si="738"/>
        <v>7.3698599999999999E-5</v>
      </c>
      <c r="BA1217" s="464">
        <f t="shared" ca="1" si="739"/>
        <v>0</v>
      </c>
      <c r="BB1217" s="465">
        <f t="shared" ca="1" si="739"/>
        <v>7.3698599999999999E-5</v>
      </c>
      <c r="BC1217" s="466">
        <f t="shared" ca="1" si="740"/>
        <v>79656</v>
      </c>
      <c r="BD1217" s="467">
        <f t="shared" ca="1" si="753"/>
        <v>79657</v>
      </c>
      <c r="BE1217" s="467">
        <f t="shared" ca="1" si="741"/>
        <v>79683</v>
      </c>
      <c r="BF1217" s="468">
        <f ca="1">IF(計算!$BC1217&lt;OP!$C$3,0,BD1217-BC1217)</f>
        <v>1</v>
      </c>
      <c r="BG1217" s="468">
        <f ca="1">IF($BE1217&gt;DATE(YEAR($BD$9)+OP!$C$57,MONTH($BD$9),DAY($BD$9)),0,$BE1217-$BD1217+1)</f>
        <v>0</v>
      </c>
      <c r="BH1217" s="469">
        <f t="shared" ca="1" si="742"/>
        <v>1</v>
      </c>
      <c r="BI1217" t="str">
        <f t="shared" si="758"/>
        <v/>
      </c>
      <c r="BJ1217">
        <v>8</v>
      </c>
      <c r="BN1217" s="468">
        <f t="shared" si="754"/>
        <v>101</v>
      </c>
      <c r="BO1217" s="468">
        <f t="shared" si="755"/>
        <v>8</v>
      </c>
      <c r="BP1217" s="467">
        <f t="shared" ca="1" si="743"/>
        <v>79657</v>
      </c>
      <c r="BQ1217" s="475">
        <f t="shared" ca="1" si="757"/>
        <v>133</v>
      </c>
      <c r="BR1217" s="475" t="str">
        <f t="shared" si="756"/>
        <v/>
      </c>
      <c r="BS1217" s="471" t="str">
        <f t="shared" si="744"/>
        <v/>
      </c>
      <c r="BT1217" s="472" t="str">
        <f t="shared" si="759"/>
        <v/>
      </c>
      <c r="BU1217" s="472">
        <f t="shared" ca="1" si="745"/>
        <v>0</v>
      </c>
      <c r="BV1217" s="472">
        <f t="shared" ca="1" si="745"/>
        <v>0</v>
      </c>
      <c r="BW1217" s="472"/>
      <c r="BX1217" s="473">
        <f t="shared" ca="1" si="746"/>
        <v>2811340.7235465199</v>
      </c>
      <c r="BY1217" s="473">
        <f t="shared" si="747"/>
        <v>0</v>
      </c>
      <c r="BZ1217" s="473">
        <f t="shared" ca="1" si="729"/>
        <v>207.19187544799999</v>
      </c>
      <c r="CA1217" s="476">
        <f t="shared" ca="1" si="748"/>
        <v>0</v>
      </c>
      <c r="CB1217" s="494">
        <f ca="1">IF(OR($Q1216&lt;&gt;1,OP!$D$5+$BN1217-1&lt;16,$BN1217-1&lt;1),0,ROUND(ROUND(ROUND(((VLOOKUP($BN1217-1,MORE_PV,5,0)/10000)*VLOOKUP($BN1217,MORE_PV,$CB$5,0)),3)*VLOOKUP($BN1217,more1,5,0),0)/$R1216,0))</f>
        <v>0</v>
      </c>
      <c r="CC1217" s="473">
        <f t="shared" ca="1" si="749"/>
        <v>0</v>
      </c>
      <c r="CD1217" s="477"/>
    </row>
    <row r="1218" spans="2:82" ht="16.5" hidden="1">
      <c r="B1218" s="80"/>
      <c r="C1218" s="80"/>
      <c r="D1218" s="80"/>
      <c r="E1218" s="80"/>
      <c r="F1218" s="80"/>
      <c r="G1218" s="80"/>
      <c r="H1218" s="80"/>
      <c r="I1218" s="80"/>
      <c r="J1218" s="192">
        <f t="shared" si="730"/>
        <v>101</v>
      </c>
      <c r="K1218" s="192">
        <f t="shared" si="731"/>
        <v>10</v>
      </c>
      <c r="L1218" s="192" t="str">
        <f t="shared" si="726"/>
        <v/>
      </c>
      <c r="M1218" s="216" t="str">
        <f t="shared" ca="1" si="732"/>
        <v/>
      </c>
      <c r="N1218" s="216"/>
      <c r="O1218" s="216"/>
      <c r="P1218" s="216"/>
      <c r="Q1218" s="456">
        <f t="shared" ca="1" si="733"/>
        <v>1</v>
      </c>
      <c r="R1218" s="450">
        <f t="shared" ca="1" si="734"/>
        <v>12</v>
      </c>
      <c r="S1218" s="191">
        <f t="shared" si="735"/>
        <v>101</v>
      </c>
      <c r="T1218" s="191">
        <f t="shared" si="736"/>
        <v>10</v>
      </c>
      <c r="U1218" s="191">
        <f ca="1">OP!$D$5+$S1218-1</f>
        <v>133</v>
      </c>
      <c r="V1218" s="191" t="str">
        <f t="shared" si="737"/>
        <v/>
      </c>
      <c r="W1218" s="350">
        <f ca="1">IF(Q1218&lt;&gt;1,0,VLOOKUP(OP!$C$55,PVFB,$S1218+2,0))</f>
        <v>0</v>
      </c>
      <c r="X1218" s="473" t="str">
        <f t="shared" ca="1" si="750"/>
        <v/>
      </c>
      <c r="Y1218" s="348">
        <f t="shared" ca="1" si="751"/>
        <v>0</v>
      </c>
      <c r="Z1218" s="348">
        <f t="shared" ca="1" si="752"/>
        <v>8012</v>
      </c>
      <c r="AA1218" s="348">
        <f ca="1">IF(Q1218&lt;&gt;1,0,VLOOKUP(OP!$C$55,PVFB,$S1218+2,0))</f>
        <v>0</v>
      </c>
      <c r="AB1218" s="488" t="str">
        <f ca="1">IF(AND(S1218&lt;OP!$C$24,$U1218&lt;15),0,IF(AND($U1218&lt;15,$T1218=12),ROUND(VLOOKUP($S1218,DOWN16,5,0),3),IF($T1218=12,ROUND(($Z1218/10000)*$AA1218,3)+IF(AND($P$7="購買增額繳清保險",T1218=12,U1218=110),VLOOKUP(S1218,$B$10:$H$121,7,0),0),"")))</f>
        <v/>
      </c>
      <c r="AC1218" s="350" t="str">
        <f ca="1">IF(AND(S1218&lt;OP!$C$24,$U1218&lt;15),0,IF(AND($U1218&lt;16,$T1218=12),VLOOKUP($S1218,DOWN16,4,0),IF($T1218=12,ROUND(VLOOKUP(OP!$C$55,_DIE2,$S1218+1,0)*(Z1218/10000),0)+IF(AND($P$7="購買增額繳清保險",T1218=12,U1218=110),VLOOKUP(S1218,$B$10:$H$121,7,0),0),"")))</f>
        <v/>
      </c>
      <c r="AD1218" s="347"/>
      <c r="AE1218" s="350" t="str">
        <f t="shared" ca="1" si="727"/>
        <v/>
      </c>
      <c r="AF1218" s="351" t="str">
        <f t="shared" ca="1" si="728"/>
        <v/>
      </c>
      <c r="AG1218" s="340"/>
      <c r="AH1218" s="340"/>
      <c r="AI1218" s="340"/>
      <c r="AJ1218" s="340"/>
      <c r="AK1218" s="340"/>
      <c r="AL1218" s="340"/>
      <c r="AM1218" s="340"/>
      <c r="AN1218" s="340"/>
      <c r="AO1218" s="340"/>
      <c r="AP1218" s="340"/>
      <c r="AQ1218" s="340"/>
      <c r="AR1218" s="340"/>
      <c r="AS1218" s="340"/>
      <c r="AT1218" s="340"/>
      <c r="AU1218" s="340"/>
      <c r="AV1218" s="340"/>
      <c r="AY1218" s="340"/>
      <c r="AZ1218" s="465">
        <f t="shared" ca="1" si="738"/>
        <v>7.3698599999999999E-5</v>
      </c>
      <c r="BA1218" s="464">
        <f t="shared" ca="1" si="739"/>
        <v>0</v>
      </c>
      <c r="BB1218" s="465">
        <f t="shared" ca="1" si="739"/>
        <v>7.3698599999999999E-5</v>
      </c>
      <c r="BC1218" s="466">
        <f t="shared" ca="1" si="740"/>
        <v>79684</v>
      </c>
      <c r="BD1218" s="467">
        <f t="shared" ca="1" si="753"/>
        <v>79685</v>
      </c>
      <c r="BE1218" s="467">
        <f t="shared" ca="1" si="741"/>
        <v>79714</v>
      </c>
      <c r="BF1218" s="468">
        <f ca="1">IF(計算!$BC1218&lt;OP!$C$3,0,BD1218-BC1218)</f>
        <v>1</v>
      </c>
      <c r="BG1218" s="468">
        <f ca="1">IF($BE1218&gt;DATE(YEAR($BD$9)+OP!$C$57,MONTH($BD$9),DAY($BD$9)),0,$BE1218-$BD1218+1)</f>
        <v>0</v>
      </c>
      <c r="BH1218" s="469">
        <f t="shared" ca="1" si="742"/>
        <v>1</v>
      </c>
      <c r="BI1218" t="str">
        <f t="shared" si="758"/>
        <v/>
      </c>
      <c r="BJ1218">
        <v>9</v>
      </c>
      <c r="BN1218" s="468">
        <f t="shared" si="754"/>
        <v>101</v>
      </c>
      <c r="BO1218" s="468">
        <f t="shared" si="755"/>
        <v>9</v>
      </c>
      <c r="BP1218" s="467">
        <f t="shared" ca="1" si="743"/>
        <v>79685</v>
      </c>
      <c r="BQ1218" s="475">
        <f t="shared" ca="1" si="757"/>
        <v>133</v>
      </c>
      <c r="BR1218" s="475" t="str">
        <f t="shared" si="756"/>
        <v/>
      </c>
      <c r="BS1218" s="471" t="str">
        <f t="shared" si="744"/>
        <v/>
      </c>
      <c r="BT1218" s="472" t="str">
        <f t="shared" si="759"/>
        <v/>
      </c>
      <c r="BU1218" s="472">
        <f t="shared" ca="1" si="745"/>
        <v>0</v>
      </c>
      <c r="BV1218" s="472">
        <f t="shared" ca="1" si="745"/>
        <v>0</v>
      </c>
      <c r="BW1218" s="472"/>
      <c r="BX1218" s="473">
        <f t="shared" ca="1" si="746"/>
        <v>2811547.9154219702</v>
      </c>
      <c r="BY1218" s="473">
        <f t="shared" si="747"/>
        <v>0</v>
      </c>
      <c r="BZ1218" s="473">
        <f t="shared" ca="1" si="729"/>
        <v>207.20714520000001</v>
      </c>
      <c r="CA1218" s="476">
        <f t="shared" ca="1" si="748"/>
        <v>0</v>
      </c>
      <c r="CB1218" s="494">
        <f ca="1">IF(OR($Q1217&lt;&gt;1,OP!$D$5+$BN1218-1&lt;16,$BN1218-1&lt;1),0,ROUND(ROUND(ROUND(((VLOOKUP($BN1218-1,MORE_PV,5,0)/10000)*VLOOKUP($BN1218,MORE_PV,$CB$5,0)),3)*VLOOKUP($BN1218,more1,5,0),0)/$R1217,0))</f>
        <v>0</v>
      </c>
      <c r="CC1218" s="473">
        <f t="shared" ca="1" si="749"/>
        <v>0</v>
      </c>
      <c r="CD1218" s="477"/>
    </row>
    <row r="1219" spans="2:82" ht="16.5" hidden="1">
      <c r="B1219" s="80"/>
      <c r="C1219" s="80"/>
      <c r="D1219" s="80"/>
      <c r="E1219" s="80"/>
      <c r="F1219" s="80"/>
      <c r="G1219" s="80"/>
      <c r="H1219" s="80"/>
      <c r="I1219" s="80"/>
      <c r="J1219" s="192">
        <f t="shared" si="730"/>
        <v>101</v>
      </c>
      <c r="K1219" s="192">
        <f t="shared" si="731"/>
        <v>11</v>
      </c>
      <c r="L1219" s="192" t="str">
        <f t="shared" si="726"/>
        <v/>
      </c>
      <c r="M1219" s="216" t="str">
        <f t="shared" ca="1" si="732"/>
        <v/>
      </c>
      <c r="N1219" s="216"/>
      <c r="O1219" s="216"/>
      <c r="P1219" s="216"/>
      <c r="Q1219" s="456">
        <f t="shared" ca="1" si="733"/>
        <v>1</v>
      </c>
      <c r="R1219" s="450">
        <f t="shared" ca="1" si="734"/>
        <v>12</v>
      </c>
      <c r="S1219" s="191">
        <f t="shared" si="735"/>
        <v>101</v>
      </c>
      <c r="T1219" s="191">
        <f t="shared" si="736"/>
        <v>11</v>
      </c>
      <c r="U1219" s="191">
        <f ca="1">OP!$D$5+$S1219-1</f>
        <v>133</v>
      </c>
      <c r="V1219" s="191" t="str">
        <f t="shared" si="737"/>
        <v/>
      </c>
      <c r="W1219" s="350">
        <f ca="1">IF(Q1219&lt;&gt;1,0,VLOOKUP(OP!$C$55,PVFB,$S1219+2,0))</f>
        <v>0</v>
      </c>
      <c r="X1219" s="473" t="str">
        <f t="shared" ca="1" si="750"/>
        <v/>
      </c>
      <c r="Y1219" s="348">
        <f t="shared" ca="1" si="751"/>
        <v>0</v>
      </c>
      <c r="Z1219" s="348">
        <f t="shared" ca="1" si="752"/>
        <v>8012</v>
      </c>
      <c r="AA1219" s="348">
        <f ca="1">IF(Q1219&lt;&gt;1,0,VLOOKUP(OP!$C$55,PVFB,$S1219+2,0))</f>
        <v>0</v>
      </c>
      <c r="AB1219" s="488" t="str">
        <f ca="1">IF(AND(S1219&lt;OP!$C$24,$U1219&lt;15),0,IF(AND($U1219&lt;15,$T1219=12),ROUND(VLOOKUP($S1219,DOWN16,5,0),3),IF($T1219=12,ROUND(($Z1219/10000)*$AA1219,3)+IF(AND($P$7="購買增額繳清保險",T1219=12,U1219=110),VLOOKUP(S1219,$B$10:$H$121,7,0),0),"")))</f>
        <v/>
      </c>
      <c r="AC1219" s="350" t="str">
        <f ca="1">IF(AND(S1219&lt;OP!$C$24,$U1219&lt;15),0,IF(AND($U1219&lt;16,$T1219=12),VLOOKUP($S1219,DOWN16,4,0),IF($T1219=12,ROUND(VLOOKUP(OP!$C$55,_DIE2,$S1219+1,0)*(Z1219/10000),0)+IF(AND($P$7="購買增額繳清保險",T1219=12,U1219=110),VLOOKUP(S1219,$B$10:$H$121,7,0),0),"")))</f>
        <v/>
      </c>
      <c r="AD1219" s="347"/>
      <c r="AE1219" s="350" t="str">
        <f t="shared" ca="1" si="727"/>
        <v/>
      </c>
      <c r="AF1219" s="351" t="str">
        <f t="shared" ca="1" si="728"/>
        <v/>
      </c>
      <c r="AG1219" s="340"/>
      <c r="AH1219" s="340"/>
      <c r="AI1219" s="340"/>
      <c r="AJ1219" s="340"/>
      <c r="AK1219" s="340"/>
      <c r="AL1219" s="340"/>
      <c r="AM1219" s="340"/>
      <c r="AN1219" s="340"/>
      <c r="AO1219" s="340"/>
      <c r="AP1219" s="340"/>
      <c r="AQ1219" s="340"/>
      <c r="AR1219" s="340"/>
      <c r="AS1219" s="340"/>
      <c r="AT1219" s="340"/>
      <c r="AU1219" s="340"/>
      <c r="AV1219" s="340"/>
      <c r="AY1219" s="340"/>
      <c r="AZ1219" s="465">
        <f t="shared" ca="1" si="738"/>
        <v>7.3698599999999999E-5</v>
      </c>
      <c r="BA1219" s="464">
        <f t="shared" ca="1" si="739"/>
        <v>0</v>
      </c>
      <c r="BB1219" s="465">
        <f t="shared" ca="1" si="739"/>
        <v>7.3698599999999999E-5</v>
      </c>
      <c r="BC1219" s="466">
        <f t="shared" ca="1" si="740"/>
        <v>79715</v>
      </c>
      <c r="BD1219" s="467">
        <f t="shared" ca="1" si="753"/>
        <v>79716</v>
      </c>
      <c r="BE1219" s="467">
        <f t="shared" ca="1" si="741"/>
        <v>79744</v>
      </c>
      <c r="BF1219" s="468">
        <f ca="1">IF(計算!$BC1219&lt;OP!$C$3,0,BD1219-BC1219)</f>
        <v>1</v>
      </c>
      <c r="BG1219" s="468">
        <f ca="1">IF($BE1219&gt;DATE(YEAR($BD$9)+OP!$C$57,MONTH($BD$9),DAY($BD$9)),0,$BE1219-$BD1219+1)</f>
        <v>0</v>
      </c>
      <c r="BH1219" s="469">
        <f t="shared" ca="1" si="742"/>
        <v>1</v>
      </c>
      <c r="BI1219" t="str">
        <f t="shared" si="758"/>
        <v/>
      </c>
      <c r="BJ1219">
        <v>10</v>
      </c>
      <c r="BN1219" s="468">
        <f t="shared" si="754"/>
        <v>101</v>
      </c>
      <c r="BO1219" s="468">
        <f t="shared" si="755"/>
        <v>10</v>
      </c>
      <c r="BP1219" s="467">
        <f t="shared" ca="1" si="743"/>
        <v>79716</v>
      </c>
      <c r="BQ1219" s="475">
        <f t="shared" ca="1" si="757"/>
        <v>133</v>
      </c>
      <c r="BR1219" s="475" t="str">
        <f t="shared" si="756"/>
        <v/>
      </c>
      <c r="BS1219" s="471" t="str">
        <f t="shared" si="744"/>
        <v/>
      </c>
      <c r="BT1219" s="472" t="str">
        <f t="shared" si="759"/>
        <v/>
      </c>
      <c r="BU1219" s="472">
        <f t="shared" ca="1" si="745"/>
        <v>0</v>
      </c>
      <c r="BV1219" s="472">
        <f t="shared" ca="1" si="745"/>
        <v>0</v>
      </c>
      <c r="BW1219" s="472"/>
      <c r="BX1219" s="473">
        <f t="shared" ca="1" si="746"/>
        <v>2811755.1225671698</v>
      </c>
      <c r="BY1219" s="473">
        <f t="shared" si="747"/>
        <v>0</v>
      </c>
      <c r="BZ1219" s="473">
        <f t="shared" ca="1" si="729"/>
        <v>207.222416076</v>
      </c>
      <c r="CA1219" s="476">
        <f t="shared" ca="1" si="748"/>
        <v>0</v>
      </c>
      <c r="CB1219" s="494">
        <f ca="1">IF(OR($Q1218&lt;&gt;1,OP!$D$5+$BN1219-1&lt;16,$BN1219-1&lt;1),0,ROUND(ROUND(ROUND(((VLOOKUP($BN1219-1,MORE_PV,5,0)/10000)*VLOOKUP($BN1219,MORE_PV,$CB$5,0)),3)*VLOOKUP($BN1219,more1,5,0),0)/$R1218,0))</f>
        <v>0</v>
      </c>
      <c r="CC1219" s="473">
        <f t="shared" ca="1" si="749"/>
        <v>0</v>
      </c>
      <c r="CD1219" s="477"/>
    </row>
    <row r="1220" spans="2:82" ht="16.5" hidden="1">
      <c r="B1220" s="80"/>
      <c r="C1220" s="80"/>
      <c r="D1220" s="80"/>
      <c r="E1220" s="80"/>
      <c r="F1220" s="80"/>
      <c r="G1220" s="80"/>
      <c r="H1220" s="80"/>
      <c r="I1220" s="80"/>
      <c r="J1220" s="192">
        <f t="shared" si="730"/>
        <v>101</v>
      </c>
      <c r="K1220" s="192">
        <f t="shared" si="731"/>
        <v>12</v>
      </c>
      <c r="L1220" s="192">
        <f t="shared" si="726"/>
        <v>101</v>
      </c>
      <c r="M1220" s="216">
        <f t="shared" ca="1" si="732"/>
        <v>2812376</v>
      </c>
      <c r="N1220" s="216"/>
      <c r="O1220" s="216"/>
      <c r="P1220" s="216"/>
      <c r="Q1220" s="456">
        <f t="shared" ca="1" si="733"/>
        <v>1</v>
      </c>
      <c r="R1220" s="450">
        <f t="shared" ca="1" si="734"/>
        <v>12</v>
      </c>
      <c r="S1220" s="191">
        <f t="shared" si="735"/>
        <v>101</v>
      </c>
      <c r="T1220" s="191">
        <f t="shared" si="736"/>
        <v>12</v>
      </c>
      <c r="U1220" s="191">
        <f ca="1">OP!$D$5+$S1220-1</f>
        <v>133</v>
      </c>
      <c r="V1220" s="191">
        <f t="shared" si="737"/>
        <v>101</v>
      </c>
      <c r="W1220" s="350">
        <f ca="1">IF(Q1220&lt;&gt;1,0,VLOOKUP(OP!$C$55,PVFB,$S1220+2,0))</f>
        <v>0</v>
      </c>
      <c r="X1220" s="473">
        <f t="shared" ca="1" si="750"/>
        <v>0</v>
      </c>
      <c r="Y1220" s="348">
        <f t="shared" ca="1" si="751"/>
        <v>0</v>
      </c>
      <c r="Z1220" s="348">
        <f t="shared" ca="1" si="752"/>
        <v>8012</v>
      </c>
      <c r="AA1220" s="348">
        <f ca="1">IF(Q1220&lt;&gt;1,0,VLOOKUP(OP!$C$55,PVFB,$S1220+2,0))</f>
        <v>0</v>
      </c>
      <c r="AB1220" s="488">
        <f ca="1">IF(AND(S1220&lt;OP!$C$24,$U1220&lt;15),0,IF(AND($U1220&lt;15,$T1220=12),ROUND(VLOOKUP($S1220,DOWN16,5,0),3),IF($T1220=12,ROUND(($Z1220/10000)*$AA1220,3)+IF(AND($P$7="購買增額繳清保險",T1220=12,U1220=110),VLOOKUP(S1220,$B$10:$H$121,7,0),0),"")))</f>
        <v>0</v>
      </c>
      <c r="AC1220" s="350">
        <f ca="1">IF(AND(S1220&lt;OP!$C$24,$U1220&lt;15),0,IF(AND($U1220&lt;16,$T1220=12),VLOOKUP($S1220,DOWN16,4,0),IF($T1220=12,ROUND(VLOOKUP(OP!$C$55,_DIE2,$S1220+1,0)*(Z1220/10000),0)+IF(AND($P$7="購買增額繳清保險",T1220=12,U1220=110),VLOOKUP(S1220,$B$10:$H$121,7,0),0),"")))</f>
        <v>0</v>
      </c>
      <c r="AD1220" s="347"/>
      <c r="AE1220" s="350" t="str">
        <f t="shared" ca="1" si="727"/>
        <v/>
      </c>
      <c r="AF1220" s="351" t="str">
        <f t="shared" ca="1" si="728"/>
        <v/>
      </c>
      <c r="AG1220" s="340"/>
      <c r="AH1220" s="340"/>
      <c r="AI1220" s="340"/>
      <c r="AJ1220" s="340"/>
      <c r="AK1220" s="340"/>
      <c r="AL1220" s="340"/>
      <c r="AM1220" s="340"/>
      <c r="AN1220" s="340"/>
      <c r="AO1220" s="340"/>
      <c r="AP1220" s="340"/>
      <c r="AQ1220" s="340"/>
      <c r="AR1220" s="340"/>
      <c r="AS1220" s="340"/>
      <c r="AT1220" s="340"/>
      <c r="AU1220" s="340"/>
      <c r="AV1220" s="340"/>
      <c r="AY1220" s="340"/>
      <c r="AZ1220" s="465">
        <f t="shared" ca="1" si="738"/>
        <v>7.3698599999999999E-5</v>
      </c>
      <c r="BA1220" s="464">
        <f t="shared" ca="1" si="739"/>
        <v>0</v>
      </c>
      <c r="BB1220" s="465">
        <f t="shared" ca="1" si="739"/>
        <v>7.3698599999999999E-5</v>
      </c>
      <c r="BC1220" s="466">
        <f t="shared" ca="1" si="740"/>
        <v>79745</v>
      </c>
      <c r="BD1220" s="467">
        <f t="shared" ca="1" si="753"/>
        <v>79746</v>
      </c>
      <c r="BE1220" s="467">
        <f t="shared" ca="1" si="741"/>
        <v>79775</v>
      </c>
      <c r="BF1220" s="468">
        <f ca="1">IF(計算!$BC1220&lt;OP!$C$3,0,BD1220-BC1220)</f>
        <v>1</v>
      </c>
      <c r="BG1220" s="468">
        <f ca="1">IF($BE1220&gt;DATE(YEAR($BD$9)+OP!$C$57,MONTH($BD$9),DAY($BD$9)),0,$BE1220-$BD1220+1)</f>
        <v>0</v>
      </c>
      <c r="BH1220" s="469">
        <f t="shared" ca="1" si="742"/>
        <v>1</v>
      </c>
      <c r="BI1220" t="str">
        <f t="shared" si="758"/>
        <v/>
      </c>
      <c r="BJ1220">
        <v>11</v>
      </c>
      <c r="BN1220" s="468">
        <f t="shared" si="754"/>
        <v>101</v>
      </c>
      <c r="BO1220" s="468">
        <f t="shared" si="755"/>
        <v>11</v>
      </c>
      <c r="BP1220" s="467">
        <f t="shared" ca="1" si="743"/>
        <v>79746</v>
      </c>
      <c r="BQ1220" s="475">
        <f t="shared" ca="1" si="757"/>
        <v>133</v>
      </c>
      <c r="BR1220" s="475" t="str">
        <f t="shared" si="756"/>
        <v/>
      </c>
      <c r="BS1220" s="471" t="str">
        <f t="shared" si="744"/>
        <v/>
      </c>
      <c r="BT1220" s="472" t="str">
        <f t="shared" si="759"/>
        <v/>
      </c>
      <c r="BU1220" s="472">
        <f t="shared" ca="1" si="745"/>
        <v>0</v>
      </c>
      <c r="BV1220" s="472">
        <f t="shared" ca="1" si="745"/>
        <v>0</v>
      </c>
      <c r="BW1220" s="472"/>
      <c r="BX1220" s="473">
        <f t="shared" ca="1" si="746"/>
        <v>2811962.3449832499</v>
      </c>
      <c r="BY1220" s="473">
        <f t="shared" si="747"/>
        <v>0</v>
      </c>
      <c r="BZ1220" s="473">
        <f t="shared" ca="1" si="729"/>
        <v>207.23768807799999</v>
      </c>
      <c r="CA1220" s="476">
        <f t="shared" ca="1" si="748"/>
        <v>0</v>
      </c>
      <c r="CB1220" s="494">
        <f ca="1">IF(OR($Q1219&lt;&gt;1,OP!$D$5+$BN1220-1&lt;16,$BN1220-1&lt;1),0,ROUND(ROUND(ROUND(((VLOOKUP($BN1220-1,MORE_PV,5,0)/10000)*VLOOKUP($BN1220,MORE_PV,$CB$5,0)),3)*VLOOKUP($BN1220,more1,5,0),0)/$R1219,0))</f>
        <v>0</v>
      </c>
      <c r="CC1220" s="473">
        <f t="shared" ca="1" si="749"/>
        <v>0</v>
      </c>
      <c r="CD1220" s="477"/>
    </row>
    <row r="1221" spans="2:82" ht="16.5" hidden="1">
      <c r="B1221" s="80"/>
      <c r="C1221" s="80"/>
      <c r="D1221" s="80"/>
      <c r="E1221" s="80"/>
      <c r="F1221" s="80"/>
      <c r="G1221" s="80"/>
      <c r="H1221" s="80"/>
      <c r="I1221" s="80"/>
      <c r="J1221" s="192">
        <f t="shared" si="730"/>
        <v>102</v>
      </c>
      <c r="K1221" s="192">
        <f t="shared" si="731"/>
        <v>1</v>
      </c>
      <c r="L1221" s="192" t="str">
        <f t="shared" si="726"/>
        <v/>
      </c>
      <c r="M1221" s="216" t="str">
        <f t="shared" ca="1" si="732"/>
        <v/>
      </c>
      <c r="N1221" s="216"/>
      <c r="O1221" s="216"/>
      <c r="P1221" s="216"/>
      <c r="Q1221" s="456">
        <f t="shared" ca="1" si="733"/>
        <v>1</v>
      </c>
      <c r="R1221" s="450">
        <f t="shared" ca="1" si="734"/>
        <v>12</v>
      </c>
      <c r="S1221" s="191">
        <f t="shared" si="735"/>
        <v>102</v>
      </c>
      <c r="T1221" s="191">
        <f t="shared" si="736"/>
        <v>1</v>
      </c>
      <c r="U1221" s="191">
        <f ca="1">OP!$D$5+$S1221-1</f>
        <v>134</v>
      </c>
      <c r="V1221" s="191" t="str">
        <f t="shared" si="737"/>
        <v/>
      </c>
      <c r="W1221" s="350">
        <f ca="1">IF(Q1221&lt;&gt;1,0,VLOOKUP(OP!$C$55,PVFB,$S1221+2,0))</f>
        <v>0</v>
      </c>
      <c r="X1221" s="473" t="str">
        <f t="shared" ca="1" si="750"/>
        <v/>
      </c>
      <c r="Y1221" s="348">
        <f t="shared" ca="1" si="751"/>
        <v>0</v>
      </c>
      <c r="Z1221" s="348">
        <f t="shared" ca="1" si="752"/>
        <v>8012</v>
      </c>
      <c r="AA1221" s="348">
        <f ca="1">IF(Q1221&lt;&gt;1,0,VLOOKUP(OP!$C$55,PVFB,$S1221+2,0))</f>
        <v>0</v>
      </c>
      <c r="AB1221" s="488" t="str">
        <f ca="1">IF(AND(S1221&lt;OP!$C$24,$U1221&lt;15),0,IF(AND($U1221&lt;15,$T1221=12),ROUND(VLOOKUP($S1221,DOWN16,5,0),3),IF($T1221=12,ROUND(($Z1221/10000)*$AA1221,3)+IF(AND($P$7="購買增額繳清保險",T1221=12,U1221=110),VLOOKUP(S1221,$B$10:$H$121,7,0),0),"")))</f>
        <v/>
      </c>
      <c r="AC1221" s="350" t="str">
        <f ca="1">IF(AND(S1221&lt;OP!$C$24,$U1221&lt;15),0,IF(AND($U1221&lt;16,$T1221=12),VLOOKUP($S1221,DOWN16,4,0),IF($T1221=12,ROUND(VLOOKUP(OP!$C$55,_DIE2,$S1221+1,0)*(Z1221/10000),0)+IF(AND($P$7="購買增額繳清保險",T1221=12,U1221=110),VLOOKUP(S1221,$B$10:$H$121,7,0),0),"")))</f>
        <v/>
      </c>
      <c r="AD1221" s="347"/>
      <c r="AE1221" s="350" t="str">
        <f t="shared" ca="1" si="727"/>
        <v/>
      </c>
      <c r="AF1221" s="351" t="str">
        <f t="shared" ca="1" si="728"/>
        <v/>
      </c>
      <c r="AG1221" s="340"/>
      <c r="AH1221" s="340"/>
      <c r="AI1221" s="340"/>
      <c r="AJ1221" s="340"/>
      <c r="AK1221" s="340"/>
      <c r="AL1221" s="340"/>
      <c r="AM1221" s="340"/>
      <c r="AN1221" s="340"/>
      <c r="AO1221" s="340"/>
      <c r="AP1221" s="340"/>
      <c r="AQ1221" s="340"/>
      <c r="AR1221" s="340"/>
      <c r="AS1221" s="340"/>
      <c r="AT1221" s="340"/>
      <c r="AU1221" s="340"/>
      <c r="AV1221" s="340"/>
      <c r="AY1221" s="340"/>
      <c r="AZ1221" s="465">
        <f t="shared" ca="1" si="738"/>
        <v>7.3698599999999999E-5</v>
      </c>
      <c r="BA1221" s="464">
        <f t="shared" ca="1" si="739"/>
        <v>0</v>
      </c>
      <c r="BB1221" s="465">
        <f t="shared" ca="1" si="739"/>
        <v>7.3698599999999999E-5</v>
      </c>
      <c r="BC1221" s="466">
        <f t="shared" ca="1" si="740"/>
        <v>79776</v>
      </c>
      <c r="BD1221" s="467">
        <f t="shared" ca="1" si="753"/>
        <v>79777</v>
      </c>
      <c r="BE1221" s="467">
        <f t="shared" ca="1" si="741"/>
        <v>79805</v>
      </c>
      <c r="BF1221" s="468">
        <f ca="1">IF(計算!$BC1221&lt;OP!$C$3,0,BD1221-BC1221)</f>
        <v>1</v>
      </c>
      <c r="BG1221" s="468">
        <f ca="1">IF($BE1221&gt;DATE(YEAR($BD$9)+OP!$C$57,MONTH($BD$9),DAY($BD$9)),0,$BE1221-$BD1221+1)</f>
        <v>0</v>
      </c>
      <c r="BH1221" s="469">
        <f t="shared" ca="1" si="742"/>
        <v>1</v>
      </c>
      <c r="BI1221">
        <f t="shared" ca="1" si="758"/>
        <v>365</v>
      </c>
      <c r="BJ1221">
        <v>12</v>
      </c>
      <c r="BN1221" s="468">
        <f t="shared" si="754"/>
        <v>101</v>
      </c>
      <c r="BO1221" s="468">
        <f t="shared" si="755"/>
        <v>12</v>
      </c>
      <c r="BP1221" s="467">
        <f t="shared" ca="1" si="743"/>
        <v>79777</v>
      </c>
      <c r="BQ1221" s="475">
        <f t="shared" ca="1" si="757"/>
        <v>133</v>
      </c>
      <c r="BR1221" s="475">
        <f t="shared" si="756"/>
        <v>101</v>
      </c>
      <c r="BS1221" s="471">
        <f t="shared" ca="1" si="744"/>
        <v>0</v>
      </c>
      <c r="BT1221" s="472">
        <f t="shared" ca="1" si="759"/>
        <v>2812376</v>
      </c>
      <c r="BU1221" s="472">
        <f t="shared" ca="1" si="745"/>
        <v>0</v>
      </c>
      <c r="BV1221" s="472">
        <f t="shared" ca="1" si="745"/>
        <v>0</v>
      </c>
      <c r="BW1221" s="472">
        <f ca="1">ROUND(SUM(BY1221,BZ1209:BZ1220),0)</f>
        <v>2486</v>
      </c>
      <c r="BX1221" s="473">
        <f t="shared" ca="1" si="746"/>
        <v>2812376.83563253</v>
      </c>
      <c r="BY1221" s="473">
        <f t="shared" ca="1" si="747"/>
        <v>207.25296120499999</v>
      </c>
      <c r="BZ1221" s="473">
        <f t="shared" ca="1" si="729"/>
        <v>0</v>
      </c>
      <c r="CA1221" s="476">
        <f t="shared" ca="1" si="748"/>
        <v>0</v>
      </c>
      <c r="CB1221" s="494">
        <f ca="1">IF(OR($Q1220&lt;&gt;1,OP!$D$5+$BN1221-1&lt;16,$BN1221-1&lt;1),0,ROUND(ROUND(ROUND(((VLOOKUP($BN1221-1,MORE_PV,5,0)/10000)*VLOOKUP($BN1221,MORE_PV,$CB$5,0)),3)*VLOOKUP($BN1221,more1,5,0),0)/$R1220,0))</f>
        <v>0</v>
      </c>
      <c r="CC1221" s="473">
        <f t="shared" ca="1" si="749"/>
        <v>0</v>
      </c>
      <c r="CD1221" s="477"/>
    </row>
    <row r="1222" spans="2:82" ht="16.5" hidden="1">
      <c r="B1222" s="80"/>
      <c r="C1222" s="80"/>
      <c r="D1222" s="80"/>
      <c r="E1222" s="80"/>
      <c r="F1222" s="80"/>
      <c r="G1222" s="80"/>
      <c r="H1222" s="80"/>
      <c r="I1222" s="80"/>
      <c r="J1222" s="192">
        <f t="shared" si="730"/>
        <v>102</v>
      </c>
      <c r="K1222" s="192">
        <f t="shared" si="731"/>
        <v>2</v>
      </c>
      <c r="L1222" s="192" t="str">
        <f t="shared" si="726"/>
        <v/>
      </c>
      <c r="M1222" s="216" t="str">
        <f t="shared" ca="1" si="732"/>
        <v/>
      </c>
      <c r="N1222" s="216"/>
      <c r="O1222" s="216"/>
      <c r="P1222" s="216"/>
      <c r="Q1222" s="456">
        <f t="shared" ca="1" si="733"/>
        <v>1</v>
      </c>
      <c r="R1222" s="450">
        <f t="shared" ca="1" si="734"/>
        <v>12</v>
      </c>
      <c r="S1222" s="191">
        <f t="shared" si="735"/>
        <v>102</v>
      </c>
      <c r="T1222" s="191">
        <f t="shared" si="736"/>
        <v>2</v>
      </c>
      <c r="U1222" s="191">
        <f ca="1">OP!$D$5+$S1222-1</f>
        <v>134</v>
      </c>
      <c r="V1222" s="191" t="str">
        <f t="shared" si="737"/>
        <v/>
      </c>
      <c r="W1222" s="350">
        <f ca="1">IF(Q1222&lt;&gt;1,0,VLOOKUP(OP!$C$55,PVFB,$S1222+2,0))</f>
        <v>0</v>
      </c>
      <c r="X1222" s="473" t="str">
        <f t="shared" ca="1" si="750"/>
        <v/>
      </c>
      <c r="Y1222" s="348">
        <f t="shared" ca="1" si="751"/>
        <v>0</v>
      </c>
      <c r="Z1222" s="348">
        <f t="shared" ca="1" si="752"/>
        <v>8012</v>
      </c>
      <c r="AA1222" s="348">
        <f ca="1">IF(Q1222&lt;&gt;1,0,VLOOKUP(OP!$C$55,PVFB,$S1222+2,0))</f>
        <v>0</v>
      </c>
      <c r="AB1222" s="488" t="str">
        <f ca="1">IF(AND(S1222&lt;OP!$C$24,$U1222&lt;15),0,IF(AND($U1222&lt;15,$T1222=12),ROUND(VLOOKUP($S1222,DOWN16,5,0),3),IF($T1222=12,ROUND(($Z1222/10000)*$AA1222,3)+IF(AND($P$7="購買增額繳清保險",T1222=12,U1222=110),VLOOKUP(S1222,$B$10:$H$121,7,0),0),"")))</f>
        <v/>
      </c>
      <c r="AC1222" s="350" t="str">
        <f ca="1">IF(AND(S1222&lt;OP!$C$24,$U1222&lt;15),0,IF(AND($U1222&lt;16,$T1222=12),VLOOKUP($S1222,DOWN16,4,0),IF($T1222=12,ROUND(VLOOKUP(OP!$C$55,_DIE2,$S1222+1,0)*(Z1222/10000),0)+IF(AND($P$7="購買增額繳清保險",T1222=12,U1222=110),VLOOKUP(S1222,$B$10:$H$121,7,0),0),"")))</f>
        <v/>
      </c>
      <c r="AD1222" s="347"/>
      <c r="AE1222" s="350" t="str">
        <f t="shared" ca="1" si="727"/>
        <v/>
      </c>
      <c r="AF1222" s="351" t="str">
        <f t="shared" ca="1" si="728"/>
        <v/>
      </c>
      <c r="AG1222" s="340"/>
      <c r="AH1222" s="340"/>
      <c r="AI1222" s="340"/>
      <c r="AJ1222" s="340"/>
      <c r="AK1222" s="340"/>
      <c r="AL1222" s="340"/>
      <c r="AM1222" s="340"/>
      <c r="AN1222" s="340"/>
      <c r="AO1222" s="340"/>
      <c r="AP1222" s="340"/>
      <c r="AQ1222" s="340"/>
      <c r="AR1222" s="340"/>
      <c r="AS1222" s="340"/>
      <c r="AT1222" s="340"/>
      <c r="AU1222" s="340"/>
      <c r="AV1222" s="340"/>
      <c r="AY1222" s="340"/>
      <c r="AZ1222" s="465">
        <f t="shared" ca="1" si="738"/>
        <v>7.3698599999999999E-5</v>
      </c>
      <c r="BA1222" s="464">
        <f t="shared" ca="1" si="739"/>
        <v>0</v>
      </c>
      <c r="BB1222" s="465">
        <f t="shared" ca="1" si="739"/>
        <v>7.3698599999999999E-5</v>
      </c>
      <c r="BC1222" s="466">
        <f t="shared" ca="1" si="740"/>
        <v>79806</v>
      </c>
      <c r="BD1222" s="467">
        <f t="shared" ca="1" si="753"/>
        <v>79807</v>
      </c>
      <c r="BE1222" s="467">
        <f t="shared" ca="1" si="741"/>
        <v>79836</v>
      </c>
      <c r="BF1222" s="468">
        <f ca="1">IF(計算!$BC1222&lt;OP!$C$3,0,BD1222-BC1222)</f>
        <v>1</v>
      </c>
      <c r="BG1222" s="468">
        <f ca="1">IF($BE1222&gt;DATE(YEAR($BD$9)+OP!$C$57,MONTH($BD$9),DAY($BD$9)),0,$BE1222-$BD1222+1)</f>
        <v>0</v>
      </c>
      <c r="BH1222" s="469">
        <f t="shared" ca="1" si="742"/>
        <v>1</v>
      </c>
      <c r="BI1222" t="str">
        <f t="shared" si="758"/>
        <v/>
      </c>
      <c r="BJ1222">
        <v>1</v>
      </c>
      <c r="BN1222" s="468">
        <f t="shared" si="754"/>
        <v>102</v>
      </c>
      <c r="BO1222" s="468">
        <f t="shared" si="755"/>
        <v>1</v>
      </c>
      <c r="BP1222" s="467">
        <f t="shared" ca="1" si="743"/>
        <v>79807</v>
      </c>
      <c r="BQ1222" s="475">
        <f t="shared" ca="1" si="757"/>
        <v>134</v>
      </c>
      <c r="BR1222" s="475" t="str">
        <f t="shared" si="756"/>
        <v/>
      </c>
      <c r="BS1222" s="471" t="str">
        <f t="shared" si="744"/>
        <v/>
      </c>
      <c r="BT1222" s="472" t="str">
        <f t="shared" si="759"/>
        <v/>
      </c>
      <c r="BU1222" s="472">
        <f t="shared" ca="1" si="745"/>
        <v>0</v>
      </c>
      <c r="BV1222" s="472">
        <f t="shared" ca="1" si="745"/>
        <v>0</v>
      </c>
      <c r="BW1222" s="472"/>
      <c r="BX1222" s="473">
        <f t="shared" ca="1" si="746"/>
        <v>2812376.83563253</v>
      </c>
      <c r="BY1222" s="473">
        <f t="shared" si="747"/>
        <v>0</v>
      </c>
      <c r="BZ1222" s="473">
        <f t="shared" ca="1" si="729"/>
        <v>207.26823545900001</v>
      </c>
      <c r="CA1222" s="476">
        <f t="shared" ca="1" si="748"/>
        <v>0</v>
      </c>
      <c r="CB1222" s="494">
        <f ca="1">IF(OR($Q1221&lt;&gt;1,OP!$D$5+$BN1222-1&lt;16,$BN1222-1&lt;1),0,ROUND(ROUND(ROUND(((VLOOKUP($BN1222-1,MORE_PV,5,0)/10000)*VLOOKUP($BN1222,MORE_PV,$CB$5,0)),3)*VLOOKUP($BN1222,more1,5,0),0)/$R1221,0))</f>
        <v>0</v>
      </c>
      <c r="CC1222" s="473">
        <f t="shared" ca="1" si="749"/>
        <v>0</v>
      </c>
      <c r="CD1222" s="477"/>
    </row>
    <row r="1223" spans="2:82" ht="16.5" hidden="1">
      <c r="B1223" s="80"/>
      <c r="C1223" s="80"/>
      <c r="D1223" s="80"/>
      <c r="E1223" s="80"/>
      <c r="F1223" s="80"/>
      <c r="G1223" s="80"/>
      <c r="H1223" s="80"/>
      <c r="I1223" s="80"/>
      <c r="J1223" s="192">
        <f t="shared" si="730"/>
        <v>102</v>
      </c>
      <c r="K1223" s="192">
        <f t="shared" si="731"/>
        <v>3</v>
      </c>
      <c r="L1223" s="192" t="str">
        <f t="shared" si="726"/>
        <v/>
      </c>
      <c r="M1223" s="216" t="str">
        <f t="shared" ca="1" si="732"/>
        <v/>
      </c>
      <c r="N1223" s="216"/>
      <c r="O1223" s="216"/>
      <c r="P1223" s="216"/>
      <c r="Q1223" s="456">
        <f t="shared" ca="1" si="733"/>
        <v>1</v>
      </c>
      <c r="R1223" s="450">
        <f t="shared" ca="1" si="734"/>
        <v>12</v>
      </c>
      <c r="S1223" s="191">
        <f t="shared" si="735"/>
        <v>102</v>
      </c>
      <c r="T1223" s="191">
        <f t="shared" si="736"/>
        <v>3</v>
      </c>
      <c r="U1223" s="191">
        <f ca="1">OP!$D$5+$S1223-1</f>
        <v>134</v>
      </c>
      <c r="V1223" s="191" t="str">
        <f t="shared" si="737"/>
        <v/>
      </c>
      <c r="W1223" s="350">
        <f ca="1">IF(Q1223&lt;&gt;1,0,VLOOKUP(OP!$C$55,PVFB,$S1223+2,0))</f>
        <v>0</v>
      </c>
      <c r="X1223" s="473" t="str">
        <f t="shared" ca="1" si="750"/>
        <v/>
      </c>
      <c r="Y1223" s="348">
        <f t="shared" ca="1" si="751"/>
        <v>0</v>
      </c>
      <c r="Z1223" s="348">
        <f t="shared" ca="1" si="752"/>
        <v>8012</v>
      </c>
      <c r="AA1223" s="348">
        <f ca="1">IF(Q1223&lt;&gt;1,0,VLOOKUP(OP!$C$55,PVFB,$S1223+2,0))</f>
        <v>0</v>
      </c>
      <c r="AB1223" s="488" t="str">
        <f ca="1">IF(AND(S1223&lt;OP!$C$24,$U1223&lt;15),0,IF(AND($U1223&lt;15,$T1223=12),ROUND(VLOOKUP($S1223,DOWN16,5,0),3),IF($T1223=12,ROUND(($Z1223/10000)*$AA1223,3)+IF(AND($P$7="購買增額繳清保險",T1223=12,U1223=110),VLOOKUP(S1223,$B$10:$H$121,7,0),0),"")))</f>
        <v/>
      </c>
      <c r="AC1223" s="350" t="str">
        <f ca="1">IF(AND(S1223&lt;OP!$C$24,$U1223&lt;15),0,IF(AND($U1223&lt;16,$T1223=12),VLOOKUP($S1223,DOWN16,4,0),IF($T1223=12,ROUND(VLOOKUP(OP!$C$55,_DIE2,$S1223+1,0)*(Z1223/10000),0)+IF(AND($P$7="購買增額繳清保險",T1223=12,U1223=110),VLOOKUP(S1223,$B$10:$H$121,7,0),0),"")))</f>
        <v/>
      </c>
      <c r="AD1223" s="347"/>
      <c r="AE1223" s="350" t="str">
        <f t="shared" ca="1" si="727"/>
        <v/>
      </c>
      <c r="AF1223" s="351" t="str">
        <f t="shared" ca="1" si="728"/>
        <v/>
      </c>
      <c r="AG1223" s="340"/>
      <c r="AH1223" s="340"/>
      <c r="AI1223" s="340"/>
      <c r="AJ1223" s="340"/>
      <c r="AK1223" s="340"/>
      <c r="AL1223" s="340"/>
      <c r="AM1223" s="340"/>
      <c r="AN1223" s="340"/>
      <c r="AO1223" s="340"/>
      <c r="AP1223" s="340"/>
      <c r="AQ1223" s="340"/>
      <c r="AR1223" s="340"/>
      <c r="AS1223" s="340"/>
      <c r="AT1223" s="340"/>
      <c r="AU1223" s="340"/>
      <c r="AV1223" s="340"/>
      <c r="AY1223" s="340"/>
      <c r="AZ1223" s="465">
        <f t="shared" ca="1" si="738"/>
        <v>7.3698599999999999E-5</v>
      </c>
      <c r="BA1223" s="464">
        <f t="shared" ca="1" si="739"/>
        <v>0</v>
      </c>
      <c r="BB1223" s="465">
        <f t="shared" ca="1" si="739"/>
        <v>7.3698599999999999E-5</v>
      </c>
      <c r="BC1223" s="466">
        <f t="shared" ca="1" si="740"/>
        <v>79837</v>
      </c>
      <c r="BD1223" s="467">
        <f t="shared" ca="1" si="753"/>
        <v>79838</v>
      </c>
      <c r="BE1223" s="467">
        <f t="shared" ca="1" si="741"/>
        <v>79867</v>
      </c>
      <c r="BF1223" s="468">
        <f ca="1">IF(計算!$BC1223&lt;OP!$C$3,0,BD1223-BC1223)</f>
        <v>1</v>
      </c>
      <c r="BG1223" s="468">
        <f ca="1">IF($BE1223&gt;DATE(YEAR($BD$9)+OP!$C$57,MONTH($BD$9),DAY($BD$9)),0,$BE1223-$BD1223+1)</f>
        <v>0</v>
      </c>
      <c r="BH1223" s="469">
        <f t="shared" ca="1" si="742"/>
        <v>1</v>
      </c>
      <c r="BI1223" t="str">
        <f t="shared" si="758"/>
        <v/>
      </c>
      <c r="BJ1223">
        <v>2</v>
      </c>
      <c r="BN1223" s="468">
        <f t="shared" si="754"/>
        <v>102</v>
      </c>
      <c r="BO1223" s="468">
        <f t="shared" si="755"/>
        <v>2</v>
      </c>
      <c r="BP1223" s="467">
        <f t="shared" ca="1" si="743"/>
        <v>79838</v>
      </c>
      <c r="BQ1223" s="475">
        <f t="shared" ca="1" si="757"/>
        <v>134</v>
      </c>
      <c r="BR1223" s="475" t="str">
        <f t="shared" si="756"/>
        <v/>
      </c>
      <c r="BS1223" s="471" t="str">
        <f t="shared" si="744"/>
        <v/>
      </c>
      <c r="BT1223" s="472" t="str">
        <f t="shared" si="759"/>
        <v/>
      </c>
      <c r="BU1223" s="472">
        <f t="shared" ca="1" si="745"/>
        <v>0</v>
      </c>
      <c r="BV1223" s="472">
        <f t="shared" ca="1" si="745"/>
        <v>0</v>
      </c>
      <c r="BW1223" s="472"/>
      <c r="BX1223" s="473">
        <f t="shared" ca="1" si="746"/>
        <v>2812584.10386799</v>
      </c>
      <c r="BY1223" s="473">
        <f t="shared" si="747"/>
        <v>0</v>
      </c>
      <c r="BZ1223" s="473">
        <f t="shared" ca="1" si="729"/>
        <v>207.28351083699999</v>
      </c>
      <c r="CA1223" s="476">
        <f t="shared" ca="1" si="748"/>
        <v>0</v>
      </c>
      <c r="CB1223" s="494">
        <f ca="1">IF(OR($Q1222&lt;&gt;1,OP!$D$5+$BN1223-1&lt;16,$BN1223-1&lt;1),0,ROUND(ROUND(ROUND(((VLOOKUP($BN1223-1,MORE_PV,5,0)/10000)*VLOOKUP($BN1223,MORE_PV,$CB$5,0)),3)*VLOOKUP($BN1223,more1,5,0),0)/$R1222,0))</f>
        <v>0</v>
      </c>
      <c r="CC1223" s="473">
        <f t="shared" ca="1" si="749"/>
        <v>0</v>
      </c>
      <c r="CD1223" s="477"/>
    </row>
    <row r="1224" spans="2:82" ht="16.5" hidden="1">
      <c r="B1224" s="80"/>
      <c r="C1224" s="80"/>
      <c r="D1224" s="80"/>
      <c r="E1224" s="80"/>
      <c r="F1224" s="80"/>
      <c r="G1224" s="80"/>
      <c r="H1224" s="80"/>
      <c r="I1224" s="80"/>
      <c r="J1224" s="192">
        <f t="shared" si="730"/>
        <v>102</v>
      </c>
      <c r="K1224" s="192">
        <f t="shared" si="731"/>
        <v>4</v>
      </c>
      <c r="L1224" s="192" t="str">
        <f t="shared" si="726"/>
        <v/>
      </c>
      <c r="M1224" s="216" t="str">
        <f t="shared" ca="1" si="732"/>
        <v/>
      </c>
      <c r="N1224" s="216"/>
      <c r="O1224" s="216"/>
      <c r="P1224" s="216"/>
      <c r="Q1224" s="456">
        <f t="shared" ca="1" si="733"/>
        <v>1</v>
      </c>
      <c r="R1224" s="450">
        <f t="shared" ca="1" si="734"/>
        <v>12</v>
      </c>
      <c r="S1224" s="191">
        <f t="shared" si="735"/>
        <v>102</v>
      </c>
      <c r="T1224" s="191">
        <f t="shared" si="736"/>
        <v>4</v>
      </c>
      <c r="U1224" s="191">
        <f ca="1">OP!$D$5+$S1224-1</f>
        <v>134</v>
      </c>
      <c r="V1224" s="191" t="str">
        <f t="shared" si="737"/>
        <v/>
      </c>
      <c r="W1224" s="350">
        <f ca="1">IF(Q1224&lt;&gt;1,0,VLOOKUP(OP!$C$55,PVFB,$S1224+2,0))</f>
        <v>0</v>
      </c>
      <c r="X1224" s="473" t="str">
        <f t="shared" ca="1" si="750"/>
        <v/>
      </c>
      <c r="Y1224" s="348">
        <f t="shared" ca="1" si="751"/>
        <v>0</v>
      </c>
      <c r="Z1224" s="348">
        <f t="shared" ca="1" si="752"/>
        <v>8012</v>
      </c>
      <c r="AA1224" s="348">
        <f ca="1">IF(Q1224&lt;&gt;1,0,VLOOKUP(OP!$C$55,PVFB,$S1224+2,0))</f>
        <v>0</v>
      </c>
      <c r="AB1224" s="488" t="str">
        <f ca="1">IF(AND(S1224&lt;OP!$C$24,$U1224&lt;15),0,IF(AND($U1224&lt;15,$T1224=12),ROUND(VLOOKUP($S1224,DOWN16,5,0),3),IF($T1224=12,ROUND(($Z1224/10000)*$AA1224,3)+IF(AND($P$7="購買增額繳清保險",T1224=12,U1224=110),VLOOKUP(S1224,$B$10:$H$121,7,0),0),"")))</f>
        <v/>
      </c>
      <c r="AC1224" s="350" t="str">
        <f ca="1">IF(AND(S1224&lt;OP!$C$24,$U1224&lt;15),0,IF(AND($U1224&lt;16,$T1224=12),VLOOKUP($S1224,DOWN16,4,0),IF($T1224=12,ROUND(VLOOKUP(OP!$C$55,_DIE2,$S1224+1,0)*(Z1224/10000),0)+IF(AND($P$7="購買增額繳清保險",T1224=12,U1224=110),VLOOKUP(S1224,$B$10:$H$121,7,0),0),"")))</f>
        <v/>
      </c>
      <c r="AD1224" s="347"/>
      <c r="AE1224" s="350" t="str">
        <f t="shared" ca="1" si="727"/>
        <v/>
      </c>
      <c r="AF1224" s="351" t="str">
        <f t="shared" ca="1" si="728"/>
        <v/>
      </c>
      <c r="AG1224" s="340"/>
      <c r="AH1224" s="340"/>
      <c r="AI1224" s="340"/>
      <c r="AJ1224" s="340"/>
      <c r="AK1224" s="340"/>
      <c r="AL1224" s="340"/>
      <c r="AM1224" s="340"/>
      <c r="AN1224" s="340"/>
      <c r="AO1224" s="340"/>
      <c r="AP1224" s="340"/>
      <c r="AQ1224" s="340"/>
      <c r="AR1224" s="340"/>
      <c r="AS1224" s="340"/>
      <c r="AT1224" s="340"/>
      <c r="AU1224" s="340"/>
      <c r="AV1224" s="340"/>
      <c r="AY1224" s="340"/>
      <c r="AZ1224" s="465">
        <f t="shared" ca="1" si="738"/>
        <v>7.3698599999999999E-5</v>
      </c>
      <c r="BA1224" s="464">
        <f t="shared" ca="1" si="739"/>
        <v>0</v>
      </c>
      <c r="BB1224" s="465">
        <f t="shared" ca="1" si="739"/>
        <v>7.3698599999999999E-5</v>
      </c>
      <c r="BC1224" s="466">
        <f t="shared" ca="1" si="740"/>
        <v>79868</v>
      </c>
      <c r="BD1224" s="467">
        <f t="shared" ca="1" si="753"/>
        <v>79869</v>
      </c>
      <c r="BE1224" s="467">
        <f t="shared" ca="1" si="741"/>
        <v>79897</v>
      </c>
      <c r="BF1224" s="468">
        <f ca="1">IF(計算!$BC1224&lt;OP!$C$3,0,BD1224-BC1224)</f>
        <v>1</v>
      </c>
      <c r="BG1224" s="468">
        <f ca="1">IF($BE1224&gt;DATE(YEAR($BD$9)+OP!$C$57,MONTH($BD$9),DAY($BD$9)),0,$BE1224-$BD1224+1)</f>
        <v>0</v>
      </c>
      <c r="BH1224" s="469">
        <f t="shared" ca="1" si="742"/>
        <v>1</v>
      </c>
      <c r="BI1224" t="str">
        <f t="shared" si="758"/>
        <v/>
      </c>
      <c r="BJ1224">
        <v>3</v>
      </c>
      <c r="BN1224" s="468">
        <f t="shared" si="754"/>
        <v>102</v>
      </c>
      <c r="BO1224" s="468">
        <f t="shared" si="755"/>
        <v>3</v>
      </c>
      <c r="BP1224" s="467">
        <f t="shared" ca="1" si="743"/>
        <v>79869</v>
      </c>
      <c r="BQ1224" s="475">
        <f t="shared" ca="1" si="757"/>
        <v>134</v>
      </c>
      <c r="BR1224" s="475" t="str">
        <f t="shared" si="756"/>
        <v/>
      </c>
      <c r="BS1224" s="471" t="str">
        <f t="shared" si="744"/>
        <v/>
      </c>
      <c r="BT1224" s="472" t="str">
        <f t="shared" si="759"/>
        <v/>
      </c>
      <c r="BU1224" s="472">
        <f t="shared" ca="1" si="745"/>
        <v>0</v>
      </c>
      <c r="BV1224" s="472">
        <f t="shared" ca="1" si="745"/>
        <v>0</v>
      </c>
      <c r="BW1224" s="472"/>
      <c r="BX1224" s="473">
        <f t="shared" ca="1" si="746"/>
        <v>2812791.38737883</v>
      </c>
      <c r="BY1224" s="473">
        <f t="shared" si="747"/>
        <v>0</v>
      </c>
      <c r="BZ1224" s="473">
        <f t="shared" ca="1" si="729"/>
        <v>207.298787342</v>
      </c>
      <c r="CA1224" s="476">
        <f t="shared" ca="1" si="748"/>
        <v>0</v>
      </c>
      <c r="CB1224" s="494">
        <f ca="1">IF(OR($Q1223&lt;&gt;1,OP!$D$5+$BN1224-1&lt;16,$BN1224-1&lt;1),0,ROUND(ROUND(ROUND(((VLOOKUP($BN1224-1,MORE_PV,5,0)/10000)*VLOOKUP($BN1224,MORE_PV,$CB$5,0)),3)*VLOOKUP($BN1224,more1,5,0),0)/$R1223,0))</f>
        <v>0</v>
      </c>
      <c r="CC1224" s="473">
        <f t="shared" ca="1" si="749"/>
        <v>0</v>
      </c>
      <c r="CD1224" s="477"/>
    </row>
    <row r="1225" spans="2:82" ht="16.5" hidden="1">
      <c r="B1225" s="80"/>
      <c r="C1225" s="80"/>
      <c r="D1225" s="80"/>
      <c r="E1225" s="80"/>
      <c r="F1225" s="80"/>
      <c r="G1225" s="80"/>
      <c r="H1225" s="80"/>
      <c r="I1225" s="80"/>
      <c r="J1225" s="192">
        <f t="shared" si="730"/>
        <v>102</v>
      </c>
      <c r="K1225" s="192">
        <f t="shared" si="731"/>
        <v>5</v>
      </c>
      <c r="L1225" s="192" t="str">
        <f t="shared" ref="L1225:L1288" si="760">IF($K1225=12,$J1225,"")</f>
        <v/>
      </c>
      <c r="M1225" s="216" t="str">
        <f t="shared" ca="1" si="732"/>
        <v/>
      </c>
      <c r="N1225" s="216"/>
      <c r="O1225" s="216"/>
      <c r="P1225" s="216"/>
      <c r="Q1225" s="456">
        <f t="shared" ca="1" si="733"/>
        <v>1</v>
      </c>
      <c r="R1225" s="450">
        <f t="shared" ca="1" si="734"/>
        <v>12</v>
      </c>
      <c r="S1225" s="191">
        <f t="shared" si="735"/>
        <v>102</v>
      </c>
      <c r="T1225" s="191">
        <f t="shared" si="736"/>
        <v>5</v>
      </c>
      <c r="U1225" s="191">
        <f ca="1">OP!$D$5+$S1225-1</f>
        <v>134</v>
      </c>
      <c r="V1225" s="191" t="str">
        <f t="shared" si="737"/>
        <v/>
      </c>
      <c r="W1225" s="350">
        <f ca="1">IF(Q1225&lt;&gt;1,0,VLOOKUP(OP!$C$55,PVFB,$S1225+2,0))</f>
        <v>0</v>
      </c>
      <c r="X1225" s="473" t="str">
        <f t="shared" ca="1" si="750"/>
        <v/>
      </c>
      <c r="Y1225" s="348">
        <f t="shared" ca="1" si="751"/>
        <v>0</v>
      </c>
      <c r="Z1225" s="348">
        <f t="shared" ca="1" si="752"/>
        <v>8012</v>
      </c>
      <c r="AA1225" s="348">
        <f ca="1">IF(Q1225&lt;&gt;1,0,VLOOKUP(OP!$C$55,PVFB,$S1225+2,0))</f>
        <v>0</v>
      </c>
      <c r="AB1225" s="488" t="str">
        <f ca="1">IF(AND(S1225&lt;OP!$C$24,$U1225&lt;15),0,IF(AND($U1225&lt;15,$T1225=12),ROUND(VLOOKUP($S1225,DOWN16,5,0),3),IF($T1225=12,ROUND(($Z1225/10000)*$AA1225,3)+IF(AND($P$7="購買增額繳清保險",T1225=12,U1225=110),VLOOKUP(S1225,$B$10:$H$121,7,0),0),"")))</f>
        <v/>
      </c>
      <c r="AC1225" s="350" t="str">
        <f ca="1">IF(AND(S1225&lt;OP!$C$24,$U1225&lt;15),0,IF(AND($U1225&lt;16,$T1225=12),VLOOKUP($S1225,DOWN16,4,0),IF($T1225=12,ROUND(VLOOKUP(OP!$C$55,_DIE2,$S1225+1,0)*(Z1225/10000),0)+IF(AND($P$7="購買增額繳清保險",T1225=12,U1225=110),VLOOKUP(S1225,$B$10:$H$121,7,0),0),"")))</f>
        <v/>
      </c>
      <c r="AD1225" s="347"/>
      <c r="AE1225" s="350" t="str">
        <f t="shared" ref="AE1225:AE1288" ca="1" si="761">IF(AND($U$9&lt;16,$T1225=12),VLOOKUP($S1225,DOWN16,4,0),"")</f>
        <v/>
      </c>
      <c r="AF1225" s="351" t="str">
        <f t="shared" ref="AF1225:AF1288" ca="1" si="762">IF(AND($U$9&lt;16,$T1225=12),VLOOKUP($S1225,DOWN16,5,0),"")</f>
        <v/>
      </c>
      <c r="AG1225" s="340"/>
      <c r="AH1225" s="340"/>
      <c r="AI1225" s="340"/>
      <c r="AJ1225" s="340"/>
      <c r="AK1225" s="340"/>
      <c r="AL1225" s="340"/>
      <c r="AM1225" s="340"/>
      <c r="AN1225" s="340"/>
      <c r="AO1225" s="340"/>
      <c r="AP1225" s="340"/>
      <c r="AQ1225" s="340"/>
      <c r="AR1225" s="340"/>
      <c r="AS1225" s="340"/>
      <c r="AT1225" s="340"/>
      <c r="AU1225" s="340"/>
      <c r="AV1225" s="340"/>
      <c r="AY1225" s="340"/>
      <c r="AZ1225" s="465">
        <f t="shared" ca="1" si="738"/>
        <v>7.3698599999999999E-5</v>
      </c>
      <c r="BA1225" s="464">
        <f t="shared" ca="1" si="739"/>
        <v>0</v>
      </c>
      <c r="BB1225" s="465">
        <f t="shared" ca="1" si="739"/>
        <v>7.3698599999999999E-5</v>
      </c>
      <c r="BC1225" s="466">
        <f t="shared" ca="1" si="740"/>
        <v>79898</v>
      </c>
      <c r="BD1225" s="467">
        <f t="shared" ca="1" si="753"/>
        <v>79899</v>
      </c>
      <c r="BE1225" s="467">
        <f t="shared" ca="1" si="741"/>
        <v>79928</v>
      </c>
      <c r="BF1225" s="468">
        <f ca="1">IF(計算!$BC1225&lt;OP!$C$3,0,BD1225-BC1225)</f>
        <v>1</v>
      </c>
      <c r="BG1225" s="468">
        <f ca="1">IF($BE1225&gt;DATE(YEAR($BD$9)+OP!$C$57,MONTH($BD$9),DAY($BD$9)),0,$BE1225-$BD1225+1)</f>
        <v>0</v>
      </c>
      <c r="BH1225" s="469">
        <f t="shared" ca="1" si="742"/>
        <v>1</v>
      </c>
      <c r="BI1225" t="str">
        <f t="shared" si="758"/>
        <v/>
      </c>
      <c r="BJ1225">
        <v>4</v>
      </c>
      <c r="BN1225" s="468">
        <f t="shared" si="754"/>
        <v>102</v>
      </c>
      <c r="BO1225" s="468">
        <f t="shared" si="755"/>
        <v>4</v>
      </c>
      <c r="BP1225" s="467">
        <f t="shared" ca="1" si="743"/>
        <v>79899</v>
      </c>
      <c r="BQ1225" s="475">
        <f t="shared" ca="1" si="757"/>
        <v>134</v>
      </c>
      <c r="BR1225" s="475" t="str">
        <f t="shared" si="756"/>
        <v/>
      </c>
      <c r="BS1225" s="471" t="str">
        <f t="shared" si="744"/>
        <v/>
      </c>
      <c r="BT1225" s="472" t="str">
        <f t="shared" si="759"/>
        <v/>
      </c>
      <c r="BU1225" s="472">
        <f t="shared" ca="1" si="745"/>
        <v>0</v>
      </c>
      <c r="BV1225" s="472">
        <f t="shared" ca="1" si="745"/>
        <v>0</v>
      </c>
      <c r="BW1225" s="472"/>
      <c r="BX1225" s="473">
        <f t="shared" ca="1" si="746"/>
        <v>2812998.6861661701</v>
      </c>
      <c r="BY1225" s="473">
        <f t="shared" si="747"/>
        <v>0</v>
      </c>
      <c r="BZ1225" s="473">
        <f t="shared" ref="BZ1225:BZ1288" ca="1" si="763">ROUND(BX1225*IF(BO1225=12,$BA1225,$BB1225),$CB$6)</f>
        <v>207.31406497200001</v>
      </c>
      <c r="CA1225" s="476">
        <f t="shared" ca="1" si="748"/>
        <v>0</v>
      </c>
      <c r="CB1225" s="494">
        <f ca="1">IF(OR($Q1224&lt;&gt;1,OP!$D$5+$BN1225-1&lt;16,$BN1225-1&lt;1),0,ROUND(ROUND(ROUND(((VLOOKUP($BN1225-1,MORE_PV,5,0)/10000)*VLOOKUP($BN1225,MORE_PV,$CB$5,0)),3)*VLOOKUP($BN1225,more1,5,0),0)/$R1224,0))</f>
        <v>0</v>
      </c>
      <c r="CC1225" s="473">
        <f t="shared" ca="1" si="749"/>
        <v>0</v>
      </c>
      <c r="CD1225" s="477"/>
    </row>
    <row r="1226" spans="2:82" ht="16.5" hidden="1">
      <c r="B1226" s="80"/>
      <c r="C1226" s="80"/>
      <c r="D1226" s="80"/>
      <c r="E1226" s="80"/>
      <c r="F1226" s="80"/>
      <c r="G1226" s="80"/>
      <c r="H1226" s="80"/>
      <c r="I1226" s="80"/>
      <c r="J1226" s="192">
        <f t="shared" ref="J1226:J1289" si="764">IF(K1225=12,J1225+1,J1225)</f>
        <v>102</v>
      </c>
      <c r="K1226" s="192">
        <f t="shared" ref="K1226:K1289" si="765">IF(K1225=12,1,K1225+1)</f>
        <v>6</v>
      </c>
      <c r="L1226" s="192" t="str">
        <f t="shared" si="760"/>
        <v/>
      </c>
      <c r="M1226" s="216" t="str">
        <f t="shared" ref="M1226:M1289" ca="1" si="766">IF($Q1226=1,VLOOKUP(L1226,$BR$9:$BT$1341,3,0),0)</f>
        <v/>
      </c>
      <c r="N1226" s="216"/>
      <c r="O1226" s="216"/>
      <c r="P1226" s="216"/>
      <c r="Q1226" s="456">
        <f t="shared" ref="Q1226:Q1289" ca="1" si="767">IF(OR($U1226&gt;=$I$5,AND($G$5=1,$K1226=12),AND($G$5=2,OR($K1226=6,$K1226=12)),AND($G$5=4,OR($K1226=3,$K1226=6,$K1226=9,$K1226=12)),$G$5=12),1,"")</f>
        <v>1</v>
      </c>
      <c r="R1226" s="450">
        <f t="shared" ref="R1226:R1289" ca="1" si="768">IF($U1226&lt;$I$5,$G$5,$I$6)</f>
        <v>12</v>
      </c>
      <c r="S1226" s="191">
        <f t="shared" ref="S1226:S1289" si="769">IF(T1225=12,S1225+1,S1225)</f>
        <v>102</v>
      </c>
      <c r="T1226" s="191">
        <f t="shared" ref="T1226:T1289" si="770">IF(T1225=12,1,T1225+1)</f>
        <v>6</v>
      </c>
      <c r="U1226" s="191">
        <f ca="1">OP!$D$5+$S1226-1</f>
        <v>134</v>
      </c>
      <c r="V1226" s="191" t="str">
        <f t="shared" ref="V1226:V1289" si="771">IF($T1226=12,$S1226,"")</f>
        <v/>
      </c>
      <c r="W1226" s="350">
        <f ca="1">IF(Q1226&lt;&gt;1,0,VLOOKUP(OP!$C$55,PVFB,$S1226+2,0))</f>
        <v>0</v>
      </c>
      <c r="X1226" s="473" t="str">
        <f t="shared" ca="1" si="750"/>
        <v/>
      </c>
      <c r="Y1226" s="348">
        <f t="shared" ca="1" si="751"/>
        <v>0</v>
      </c>
      <c r="Z1226" s="348">
        <f t="shared" ca="1" si="752"/>
        <v>8012</v>
      </c>
      <c r="AA1226" s="348">
        <f ca="1">IF(Q1226&lt;&gt;1,0,VLOOKUP(OP!$C$55,PVFB,$S1226+2,0))</f>
        <v>0</v>
      </c>
      <c r="AB1226" s="488" t="str">
        <f ca="1">IF(AND(S1226&lt;OP!$C$24,$U1226&lt;15),0,IF(AND($U1226&lt;15,$T1226=12),ROUND(VLOOKUP($S1226,DOWN16,5,0),3),IF($T1226=12,ROUND(($Z1226/10000)*$AA1226,3)+IF(AND($P$7="購買增額繳清保險",T1226=12,U1226=110),VLOOKUP(S1226,$B$10:$H$121,7,0),0),"")))</f>
        <v/>
      </c>
      <c r="AC1226" s="350" t="str">
        <f ca="1">IF(AND(S1226&lt;OP!$C$24,$U1226&lt;15),0,IF(AND($U1226&lt;16,$T1226=12),VLOOKUP($S1226,DOWN16,4,0),IF($T1226=12,ROUND(VLOOKUP(OP!$C$55,_DIE2,$S1226+1,0)*(Z1226/10000),0)+IF(AND($P$7="購買增額繳清保險",T1226=12,U1226=110),VLOOKUP(S1226,$B$10:$H$121,7,0),0),"")))</f>
        <v/>
      </c>
      <c r="AD1226" s="347"/>
      <c r="AE1226" s="350" t="str">
        <f t="shared" ca="1" si="761"/>
        <v/>
      </c>
      <c r="AF1226" s="351" t="str">
        <f t="shared" ca="1" si="762"/>
        <v/>
      </c>
      <c r="AG1226" s="340"/>
      <c r="AH1226" s="340"/>
      <c r="AI1226" s="340"/>
      <c r="AJ1226" s="340"/>
      <c r="AK1226" s="340"/>
      <c r="AL1226" s="340"/>
      <c r="AM1226" s="340"/>
      <c r="AN1226" s="340"/>
      <c r="AO1226" s="340"/>
      <c r="AP1226" s="340"/>
      <c r="AQ1226" s="340"/>
      <c r="AR1226" s="340"/>
      <c r="AS1226" s="340"/>
      <c r="AT1226" s="340"/>
      <c r="AU1226" s="340"/>
      <c r="AV1226" s="340"/>
      <c r="AY1226" s="340"/>
      <c r="AZ1226" s="465">
        <f t="shared" ref="AZ1226:AZ1289" ca="1" si="772">ROUND(($G$3*BF1226/365),10)</f>
        <v>7.3698599999999999E-5</v>
      </c>
      <c r="BA1226" s="464">
        <f t="shared" ref="BA1226:BB1289" ca="1" si="773">ROUND(($G$3*BG1226/365),10)</f>
        <v>0</v>
      </c>
      <c r="BB1226" s="465">
        <f t="shared" ca="1" si="773"/>
        <v>7.3698599999999999E-5</v>
      </c>
      <c r="BC1226" s="466">
        <f t="shared" ref="BC1226:BC1289" ca="1" si="774">DATE(YEAR(BD1226),MONTH(BD1226),1)</f>
        <v>79929</v>
      </c>
      <c r="BD1226" s="467">
        <f t="shared" ca="1" si="753"/>
        <v>79930</v>
      </c>
      <c r="BE1226" s="467">
        <f t="shared" ref="BE1226:BE1289" ca="1" si="775">DATE(YEAR(BD1226),MONTH(BD1226),DAY(DATE(YEAR(BD1226),MONTH(BD1226)+1,0)))</f>
        <v>79958</v>
      </c>
      <c r="BF1226" s="468">
        <f ca="1">IF(計算!$BC1226&lt;OP!$C$3,0,BD1226-BC1226)</f>
        <v>1</v>
      </c>
      <c r="BG1226" s="468">
        <f ca="1">IF($BE1226&gt;DATE(YEAR($BD$9)+OP!$C$57,MONTH($BD$9),DAY($BD$9)),0,$BE1226-$BD1226+1)</f>
        <v>0</v>
      </c>
      <c r="BH1226" s="469">
        <f t="shared" ref="BH1226:BH1289" ca="1" si="776">BF1226+BG1226</f>
        <v>1</v>
      </c>
      <c r="BI1226" t="str">
        <f t="shared" si="758"/>
        <v/>
      </c>
      <c r="BJ1226">
        <v>5</v>
      </c>
      <c r="BN1226" s="468">
        <f t="shared" si="754"/>
        <v>102</v>
      </c>
      <c r="BO1226" s="468">
        <f t="shared" si="755"/>
        <v>5</v>
      </c>
      <c r="BP1226" s="467">
        <f t="shared" ref="BP1226:BP1289" ca="1" si="777">BD1226</f>
        <v>79930</v>
      </c>
      <c r="BQ1226" s="475">
        <f t="shared" ca="1" si="757"/>
        <v>134</v>
      </c>
      <c r="BR1226" s="475" t="str">
        <f t="shared" si="756"/>
        <v/>
      </c>
      <c r="BS1226" s="471" t="str">
        <f t="shared" ref="BS1226:BS1289" si="778">IF(BW1226&lt;&gt;"",ROUND(BU1226,0)+ROUND(BV1226,0),"")</f>
        <v/>
      </c>
      <c r="BT1226" s="472" t="str">
        <f t="shared" si="759"/>
        <v/>
      </c>
      <c r="BU1226" s="472">
        <f t="shared" ref="BU1226:BV1289" ca="1" si="779">ROUND(CA1226,0)</f>
        <v>0</v>
      </c>
      <c r="BV1226" s="472">
        <f t="shared" ca="1" si="779"/>
        <v>0</v>
      </c>
      <c r="BW1226" s="472"/>
      <c r="BX1226" s="473">
        <f t="shared" ref="BX1226:BX1289" ca="1" si="780">IF(BN1226&lt;=$P$4,0,ROUNDDOWN(IF($Q1225=1,CA1226+CB1226-CC1226,0)+BX1225+BY1226+BZ1225,VLOOKUP(LEN(ROUNDDOWN(IF($Q1225=1,CA1226+CB1226-CC1226,0)+BX1225+BY1226+BZ1225,0)),$BK$9:$BL$24,2,0)))</f>
        <v>2813206.0002311398</v>
      </c>
      <c r="BY1226" s="473">
        <f t="shared" ref="BY1226:BY1289" si="781">IF(BO1226=12,ROUND((BX1225+BZ1225)*$AZ1226,$CB$6),0)</f>
        <v>0</v>
      </c>
      <c r="BZ1226" s="473">
        <f t="shared" ca="1" si="763"/>
        <v>207.32934372899999</v>
      </c>
      <c r="CA1226" s="476">
        <f t="shared" ref="CA1226:CA1289" ca="1" si="782">IF($Q1225=1,ROUND(VLOOKUP($BN1226,more1,3,0)*VLOOKUP($BN1226,more1,5,0)/$R1225,0),0)</f>
        <v>0</v>
      </c>
      <c r="CB1226" s="494">
        <f ca="1">IF(OR($Q1225&lt;&gt;1,OP!$D$5+$BN1226-1&lt;16,$BN1226-1&lt;1),0,ROUND(ROUND(ROUND(((VLOOKUP($BN1226-1,MORE_PV,5,0)/10000)*VLOOKUP($BN1226,MORE_PV,$CB$5,0)),3)*VLOOKUP($BN1226,more1,5,0),0)/$R1225,0))</f>
        <v>0</v>
      </c>
      <c r="CC1226" s="473">
        <f t="shared" ref="CC1226:CC1289" ca="1" si="783">IF(AND($BN1226=$P$4,$BO1226=12),$CA1226+$CB1226,IF(AND($BN1226&gt;$P$4,$Q1225=1,$G$6="現金給付",$CA1226+$CB1226&gt;=$P$3),$CA1226+$CB1226,0))</f>
        <v>0</v>
      </c>
      <c r="CD1226" s="477"/>
    </row>
    <row r="1227" spans="2:82" ht="16.5" hidden="1">
      <c r="B1227" s="80"/>
      <c r="C1227" s="80"/>
      <c r="D1227" s="80"/>
      <c r="E1227" s="80"/>
      <c r="F1227" s="80"/>
      <c r="G1227" s="80"/>
      <c r="H1227" s="80"/>
      <c r="I1227" s="80"/>
      <c r="J1227" s="192">
        <f t="shared" si="764"/>
        <v>102</v>
      </c>
      <c r="K1227" s="192">
        <f t="shared" si="765"/>
        <v>7</v>
      </c>
      <c r="L1227" s="192" t="str">
        <f t="shared" si="760"/>
        <v/>
      </c>
      <c r="M1227" s="216" t="str">
        <f t="shared" ca="1" si="766"/>
        <v/>
      </c>
      <c r="N1227" s="216"/>
      <c r="O1227" s="216"/>
      <c r="P1227" s="216"/>
      <c r="Q1227" s="456">
        <f t="shared" ca="1" si="767"/>
        <v>1</v>
      </c>
      <c r="R1227" s="450">
        <f t="shared" ca="1" si="768"/>
        <v>12</v>
      </c>
      <c r="S1227" s="191">
        <f t="shared" si="769"/>
        <v>102</v>
      </c>
      <c r="T1227" s="191">
        <f t="shared" si="770"/>
        <v>7</v>
      </c>
      <c r="U1227" s="191">
        <f ca="1">OP!$D$5+$S1227-1</f>
        <v>134</v>
      </c>
      <c r="V1227" s="191" t="str">
        <f t="shared" si="771"/>
        <v/>
      </c>
      <c r="W1227" s="350">
        <f ca="1">IF(Q1227&lt;&gt;1,0,VLOOKUP(OP!$C$55,PVFB,$S1227+2,0))</f>
        <v>0</v>
      </c>
      <c r="X1227" s="473" t="str">
        <f t="shared" ref="X1227:X1290" ca="1" si="784">IF(AND($U1227=15,$T1227=12),$CO1228,IF(AND($U1227&gt;15,$S1227&lt;=$P$4,$T1227=12),($BS1228)*$R1227,IF($Q1227=1,($BS1228),0)))</f>
        <v/>
      </c>
      <c r="Y1227" s="348">
        <f t="shared" ref="Y1227:Y1290" ca="1" si="785">IF(AND($P$7="購買增額繳清保險",U1227&gt;=110),0,IF(AND($U1227=15,$W1227&lt;&gt;0,$T1227=12),ROUND(($X1227)/($W1227/10000),0),IF(AND($S1227&lt;=$P$4,$W1227&lt;&gt;0,$T1227=12,$U1227&gt;15),ROUND(($X1227)/($W1227/10000),0),0)))</f>
        <v>0</v>
      </c>
      <c r="Z1227" s="348">
        <f t="shared" ref="Z1227:Z1290" ca="1" si="786">Z1226+Y1227</f>
        <v>8012</v>
      </c>
      <c r="AA1227" s="348">
        <f ca="1">IF(Q1227&lt;&gt;1,0,VLOOKUP(OP!$C$55,PVFB,$S1227+2,0))</f>
        <v>0</v>
      </c>
      <c r="AB1227" s="488" t="str">
        <f ca="1">IF(AND(S1227&lt;OP!$C$24,$U1227&lt;15),0,IF(AND($U1227&lt;15,$T1227=12),ROUND(VLOOKUP($S1227,DOWN16,5,0),3),IF($T1227=12,ROUND(($Z1227/10000)*$AA1227,3)+IF(AND($P$7="購買增額繳清保險",T1227=12,U1227=110),VLOOKUP(S1227,$B$10:$H$121,7,0),0),"")))</f>
        <v/>
      </c>
      <c r="AC1227" s="350" t="str">
        <f ca="1">IF(AND(S1227&lt;OP!$C$24,$U1227&lt;15),0,IF(AND($U1227&lt;16,$T1227=12),VLOOKUP($S1227,DOWN16,4,0),IF($T1227=12,ROUND(VLOOKUP(OP!$C$55,_DIE2,$S1227+1,0)*(Z1227/10000),0)+IF(AND($P$7="購買增額繳清保險",T1227=12,U1227=110),VLOOKUP(S1227,$B$10:$H$121,7,0),0),"")))</f>
        <v/>
      </c>
      <c r="AD1227" s="347"/>
      <c r="AE1227" s="350" t="str">
        <f t="shared" ca="1" si="761"/>
        <v/>
      </c>
      <c r="AF1227" s="351" t="str">
        <f t="shared" ca="1" si="762"/>
        <v/>
      </c>
      <c r="AG1227" s="340"/>
      <c r="AH1227" s="340"/>
      <c r="AI1227" s="340"/>
      <c r="AJ1227" s="340"/>
      <c r="AK1227" s="340"/>
      <c r="AL1227" s="340"/>
      <c r="AM1227" s="340"/>
      <c r="AN1227" s="340"/>
      <c r="AO1227" s="340"/>
      <c r="AP1227" s="340"/>
      <c r="AQ1227" s="340"/>
      <c r="AR1227" s="340"/>
      <c r="AS1227" s="340"/>
      <c r="AT1227" s="340"/>
      <c r="AU1227" s="340"/>
      <c r="AV1227" s="340"/>
      <c r="AY1227" s="340"/>
      <c r="AZ1227" s="465">
        <f t="shared" ca="1" si="772"/>
        <v>7.3698599999999999E-5</v>
      </c>
      <c r="BA1227" s="464">
        <f t="shared" ca="1" si="773"/>
        <v>0</v>
      </c>
      <c r="BB1227" s="465">
        <f t="shared" ca="1" si="773"/>
        <v>7.3698599999999999E-5</v>
      </c>
      <c r="BC1227" s="466">
        <f t="shared" ca="1" si="774"/>
        <v>79959</v>
      </c>
      <c r="BD1227" s="467">
        <f t="shared" ref="BD1227:BD1290" ca="1" si="787">DATE(YEAR(BD1226),MONTH(BD1226)+1,MIN(DAY($BD$9),DAY(DATE(YEAR(BD1226),MONTH(BD1226)+2,0))))</f>
        <v>79960</v>
      </c>
      <c r="BE1227" s="467">
        <f t="shared" ca="1" si="775"/>
        <v>79989</v>
      </c>
      <c r="BF1227" s="468">
        <f ca="1">IF(計算!$BC1227&lt;OP!$C$3,0,BD1227-BC1227)</f>
        <v>1</v>
      </c>
      <c r="BG1227" s="468">
        <f ca="1">IF($BE1227&gt;DATE(YEAR($BD$9)+OP!$C$57,MONTH($BD$9),DAY($BD$9)),0,$BE1227-$BD1227+1)</f>
        <v>0</v>
      </c>
      <c r="BH1227" s="469">
        <f t="shared" ca="1" si="776"/>
        <v>1</v>
      </c>
      <c r="BI1227" t="str">
        <f t="shared" si="758"/>
        <v/>
      </c>
      <c r="BJ1227">
        <v>6</v>
      </c>
      <c r="BN1227" s="468">
        <f t="shared" ref="BN1227:BN1290" si="788">IF(BO1226=12,BN1226+1,BN1226)</f>
        <v>102</v>
      </c>
      <c r="BO1227" s="468">
        <f t="shared" ref="BO1227:BO1290" si="789">IF(BO1226=12,1,BO1226+1)</f>
        <v>6</v>
      </c>
      <c r="BP1227" s="467">
        <f t="shared" ca="1" si="777"/>
        <v>79960</v>
      </c>
      <c r="BQ1227" s="475">
        <f t="shared" ca="1" si="757"/>
        <v>134</v>
      </c>
      <c r="BR1227" s="475" t="str">
        <f t="shared" ref="BR1227:BR1290" si="790">IF(BO1227=12,BN1227,"")</f>
        <v/>
      </c>
      <c r="BS1227" s="471" t="str">
        <f t="shared" si="778"/>
        <v/>
      </c>
      <c r="BT1227" s="472" t="str">
        <f t="shared" si="759"/>
        <v/>
      </c>
      <c r="BU1227" s="472">
        <f t="shared" ca="1" si="779"/>
        <v>0</v>
      </c>
      <c r="BV1227" s="472">
        <f t="shared" ca="1" si="779"/>
        <v>0</v>
      </c>
      <c r="BW1227" s="472"/>
      <c r="BX1227" s="473">
        <f t="shared" ca="1" si="780"/>
        <v>2813413.3295748699</v>
      </c>
      <c r="BY1227" s="473">
        <f t="shared" si="781"/>
        <v>0</v>
      </c>
      <c r="BZ1227" s="473">
        <f t="shared" ca="1" si="763"/>
        <v>207.344623611</v>
      </c>
      <c r="CA1227" s="476">
        <f t="shared" ca="1" si="782"/>
        <v>0</v>
      </c>
      <c r="CB1227" s="494">
        <f ca="1">IF(OR($Q1226&lt;&gt;1,OP!$D$5+$BN1227-1&lt;16,$BN1227-1&lt;1),0,ROUND(ROUND(ROUND(((VLOOKUP($BN1227-1,MORE_PV,5,0)/10000)*VLOOKUP($BN1227,MORE_PV,$CB$5,0)),3)*VLOOKUP($BN1227,more1,5,0),0)/$R1226,0))</f>
        <v>0</v>
      </c>
      <c r="CC1227" s="473">
        <f t="shared" ca="1" si="783"/>
        <v>0</v>
      </c>
      <c r="CD1227" s="477"/>
    </row>
    <row r="1228" spans="2:82" ht="16.5" hidden="1">
      <c r="B1228" s="80"/>
      <c r="C1228" s="80"/>
      <c r="D1228" s="80"/>
      <c r="E1228" s="80"/>
      <c r="F1228" s="80"/>
      <c r="G1228" s="80"/>
      <c r="H1228" s="80"/>
      <c r="I1228" s="80"/>
      <c r="J1228" s="192">
        <f t="shared" si="764"/>
        <v>102</v>
      </c>
      <c r="K1228" s="192">
        <f t="shared" si="765"/>
        <v>8</v>
      </c>
      <c r="L1228" s="192" t="str">
        <f t="shared" si="760"/>
        <v/>
      </c>
      <c r="M1228" s="216" t="str">
        <f t="shared" ca="1" si="766"/>
        <v/>
      </c>
      <c r="N1228" s="216"/>
      <c r="O1228" s="216"/>
      <c r="P1228" s="216"/>
      <c r="Q1228" s="456">
        <f t="shared" ca="1" si="767"/>
        <v>1</v>
      </c>
      <c r="R1228" s="450">
        <f t="shared" ca="1" si="768"/>
        <v>12</v>
      </c>
      <c r="S1228" s="191">
        <f t="shared" si="769"/>
        <v>102</v>
      </c>
      <c r="T1228" s="191">
        <f t="shared" si="770"/>
        <v>8</v>
      </c>
      <c r="U1228" s="191">
        <f ca="1">OP!$D$5+$S1228-1</f>
        <v>134</v>
      </c>
      <c r="V1228" s="191" t="str">
        <f t="shared" si="771"/>
        <v/>
      </c>
      <c r="W1228" s="350">
        <f ca="1">IF(Q1228&lt;&gt;1,0,VLOOKUP(OP!$C$55,PVFB,$S1228+2,0))</f>
        <v>0</v>
      </c>
      <c r="X1228" s="473" t="str">
        <f t="shared" ca="1" si="784"/>
        <v/>
      </c>
      <c r="Y1228" s="348">
        <f t="shared" ca="1" si="785"/>
        <v>0</v>
      </c>
      <c r="Z1228" s="348">
        <f t="shared" ca="1" si="786"/>
        <v>8012</v>
      </c>
      <c r="AA1228" s="348">
        <f ca="1">IF(Q1228&lt;&gt;1,0,VLOOKUP(OP!$C$55,PVFB,$S1228+2,0))</f>
        <v>0</v>
      </c>
      <c r="AB1228" s="488" t="str">
        <f ca="1">IF(AND(S1228&lt;OP!$C$24,$U1228&lt;15),0,IF(AND($U1228&lt;15,$T1228=12),ROUND(VLOOKUP($S1228,DOWN16,5,0),3),IF($T1228=12,ROUND(($Z1228/10000)*$AA1228,3)+IF(AND($P$7="購買增額繳清保險",T1228=12,U1228=110),VLOOKUP(S1228,$B$10:$H$121,7,0),0),"")))</f>
        <v/>
      </c>
      <c r="AC1228" s="350" t="str">
        <f ca="1">IF(AND(S1228&lt;OP!$C$24,$U1228&lt;15),0,IF(AND($U1228&lt;16,$T1228=12),VLOOKUP($S1228,DOWN16,4,0),IF($T1228=12,ROUND(VLOOKUP(OP!$C$55,_DIE2,$S1228+1,0)*(Z1228/10000),0)+IF(AND($P$7="購買增額繳清保險",T1228=12,U1228=110),VLOOKUP(S1228,$B$10:$H$121,7,0),0),"")))</f>
        <v/>
      </c>
      <c r="AD1228" s="347"/>
      <c r="AE1228" s="350" t="str">
        <f t="shared" ca="1" si="761"/>
        <v/>
      </c>
      <c r="AF1228" s="351" t="str">
        <f t="shared" ca="1" si="762"/>
        <v/>
      </c>
      <c r="AG1228" s="340"/>
      <c r="AH1228" s="340"/>
      <c r="AI1228" s="340"/>
      <c r="AJ1228" s="340"/>
      <c r="AK1228" s="340"/>
      <c r="AL1228" s="340"/>
      <c r="AM1228" s="340"/>
      <c r="AN1228" s="340"/>
      <c r="AO1228" s="340"/>
      <c r="AP1228" s="340"/>
      <c r="AQ1228" s="340"/>
      <c r="AR1228" s="340"/>
      <c r="AS1228" s="340"/>
      <c r="AT1228" s="340"/>
      <c r="AU1228" s="340"/>
      <c r="AV1228" s="340"/>
      <c r="AY1228" s="340"/>
      <c r="AZ1228" s="465">
        <f t="shared" ca="1" si="772"/>
        <v>7.3698599999999999E-5</v>
      </c>
      <c r="BA1228" s="464">
        <f t="shared" ca="1" si="773"/>
        <v>0</v>
      </c>
      <c r="BB1228" s="465">
        <f t="shared" ca="1" si="773"/>
        <v>7.3698599999999999E-5</v>
      </c>
      <c r="BC1228" s="466">
        <f t="shared" ca="1" si="774"/>
        <v>79990</v>
      </c>
      <c r="BD1228" s="467">
        <f t="shared" ca="1" si="787"/>
        <v>79991</v>
      </c>
      <c r="BE1228" s="467">
        <f t="shared" ca="1" si="775"/>
        <v>80020</v>
      </c>
      <c r="BF1228" s="468">
        <f ca="1">IF(計算!$BC1228&lt;OP!$C$3,0,BD1228-BC1228)</f>
        <v>1</v>
      </c>
      <c r="BG1228" s="468">
        <f ca="1">IF($BE1228&gt;DATE(YEAR($BD$9)+OP!$C$57,MONTH($BD$9),DAY($BD$9)),0,$BE1228-$BD1228+1)</f>
        <v>0</v>
      </c>
      <c r="BH1228" s="469">
        <f t="shared" ca="1" si="776"/>
        <v>1</v>
      </c>
      <c r="BI1228" t="str">
        <f t="shared" si="758"/>
        <v/>
      </c>
      <c r="BJ1228">
        <v>7</v>
      </c>
      <c r="BN1228" s="468">
        <f t="shared" si="788"/>
        <v>102</v>
      </c>
      <c r="BO1228" s="468">
        <f t="shared" si="789"/>
        <v>7</v>
      </c>
      <c r="BP1228" s="467">
        <f t="shared" ca="1" si="777"/>
        <v>79991</v>
      </c>
      <c r="BQ1228" s="475">
        <f t="shared" ref="BQ1228:BQ1291" ca="1" si="791">IF(BO1227=12,BQ1227+1,BQ1227)</f>
        <v>134</v>
      </c>
      <c r="BR1228" s="475" t="str">
        <f t="shared" si="790"/>
        <v/>
      </c>
      <c r="BS1228" s="471" t="str">
        <f t="shared" si="778"/>
        <v/>
      </c>
      <c r="BT1228" s="472" t="str">
        <f t="shared" si="759"/>
        <v/>
      </c>
      <c r="BU1228" s="472">
        <f t="shared" ca="1" si="779"/>
        <v>0</v>
      </c>
      <c r="BV1228" s="472">
        <f t="shared" ca="1" si="779"/>
        <v>0</v>
      </c>
      <c r="BW1228" s="472"/>
      <c r="BX1228" s="473">
        <f t="shared" ca="1" si="780"/>
        <v>2813620.6741984799</v>
      </c>
      <c r="BY1228" s="473">
        <f t="shared" si="781"/>
        <v>0</v>
      </c>
      <c r="BZ1228" s="473">
        <f t="shared" ca="1" si="763"/>
        <v>207.35990461899999</v>
      </c>
      <c r="CA1228" s="476">
        <f t="shared" ca="1" si="782"/>
        <v>0</v>
      </c>
      <c r="CB1228" s="494">
        <f ca="1">IF(OR($Q1227&lt;&gt;1,OP!$D$5+$BN1228-1&lt;16,$BN1228-1&lt;1),0,ROUND(ROUND(ROUND(((VLOOKUP($BN1228-1,MORE_PV,5,0)/10000)*VLOOKUP($BN1228,MORE_PV,$CB$5,0)),3)*VLOOKUP($BN1228,more1,5,0),0)/$R1227,0))</f>
        <v>0</v>
      </c>
      <c r="CC1228" s="473">
        <f t="shared" ca="1" si="783"/>
        <v>0</v>
      </c>
      <c r="CD1228" s="477"/>
    </row>
    <row r="1229" spans="2:82" ht="16.5" hidden="1">
      <c r="B1229" s="80"/>
      <c r="C1229" s="80"/>
      <c r="D1229" s="80"/>
      <c r="E1229" s="80"/>
      <c r="F1229" s="80"/>
      <c r="G1229" s="80"/>
      <c r="H1229" s="80"/>
      <c r="I1229" s="80"/>
      <c r="J1229" s="192">
        <f t="shared" si="764"/>
        <v>102</v>
      </c>
      <c r="K1229" s="192">
        <f t="shared" si="765"/>
        <v>9</v>
      </c>
      <c r="L1229" s="192" t="str">
        <f t="shared" si="760"/>
        <v/>
      </c>
      <c r="M1229" s="216" t="str">
        <f t="shared" ca="1" si="766"/>
        <v/>
      </c>
      <c r="N1229" s="216"/>
      <c r="O1229" s="216"/>
      <c r="P1229" s="216"/>
      <c r="Q1229" s="456">
        <f t="shared" ca="1" si="767"/>
        <v>1</v>
      </c>
      <c r="R1229" s="450">
        <f t="shared" ca="1" si="768"/>
        <v>12</v>
      </c>
      <c r="S1229" s="191">
        <f t="shared" si="769"/>
        <v>102</v>
      </c>
      <c r="T1229" s="191">
        <f t="shared" si="770"/>
        <v>9</v>
      </c>
      <c r="U1229" s="191">
        <f ca="1">OP!$D$5+$S1229-1</f>
        <v>134</v>
      </c>
      <c r="V1229" s="191" t="str">
        <f t="shared" si="771"/>
        <v/>
      </c>
      <c r="W1229" s="350">
        <f ca="1">IF(Q1229&lt;&gt;1,0,VLOOKUP(OP!$C$55,PVFB,$S1229+2,0))</f>
        <v>0</v>
      </c>
      <c r="X1229" s="473" t="str">
        <f t="shared" ca="1" si="784"/>
        <v/>
      </c>
      <c r="Y1229" s="348">
        <f t="shared" ca="1" si="785"/>
        <v>0</v>
      </c>
      <c r="Z1229" s="348">
        <f t="shared" ca="1" si="786"/>
        <v>8012</v>
      </c>
      <c r="AA1229" s="348">
        <f ca="1">IF(Q1229&lt;&gt;1,0,VLOOKUP(OP!$C$55,PVFB,$S1229+2,0))</f>
        <v>0</v>
      </c>
      <c r="AB1229" s="488" t="str">
        <f ca="1">IF(AND(S1229&lt;OP!$C$24,$U1229&lt;15),0,IF(AND($U1229&lt;15,$T1229=12),ROUND(VLOOKUP($S1229,DOWN16,5,0),3),IF($T1229=12,ROUND(($Z1229/10000)*$AA1229,3)+IF(AND($P$7="購買增額繳清保險",T1229=12,U1229=110),VLOOKUP(S1229,$B$10:$H$121,7,0),0),"")))</f>
        <v/>
      </c>
      <c r="AC1229" s="350" t="str">
        <f ca="1">IF(AND(S1229&lt;OP!$C$24,$U1229&lt;15),0,IF(AND($U1229&lt;16,$T1229=12),VLOOKUP($S1229,DOWN16,4,0),IF($T1229=12,ROUND(VLOOKUP(OP!$C$55,_DIE2,$S1229+1,0)*(Z1229/10000),0)+IF(AND($P$7="購買增額繳清保險",T1229=12,U1229=110),VLOOKUP(S1229,$B$10:$H$121,7,0),0),"")))</f>
        <v/>
      </c>
      <c r="AD1229" s="347"/>
      <c r="AE1229" s="350" t="str">
        <f t="shared" ca="1" si="761"/>
        <v/>
      </c>
      <c r="AF1229" s="351" t="str">
        <f t="shared" ca="1" si="762"/>
        <v/>
      </c>
      <c r="AG1229" s="340"/>
      <c r="AH1229" s="340"/>
      <c r="AI1229" s="340"/>
      <c r="AJ1229" s="340"/>
      <c r="AK1229" s="340"/>
      <c r="AL1229" s="340"/>
      <c r="AM1229" s="340"/>
      <c r="AN1229" s="340"/>
      <c r="AO1229" s="340"/>
      <c r="AP1229" s="340"/>
      <c r="AQ1229" s="340"/>
      <c r="AR1229" s="340"/>
      <c r="AS1229" s="340"/>
      <c r="AT1229" s="340"/>
      <c r="AU1229" s="340"/>
      <c r="AV1229" s="340"/>
      <c r="AY1229" s="340"/>
      <c r="AZ1229" s="465">
        <f t="shared" ca="1" si="772"/>
        <v>7.3698599999999999E-5</v>
      </c>
      <c r="BA1229" s="464">
        <f t="shared" ca="1" si="773"/>
        <v>0</v>
      </c>
      <c r="BB1229" s="465">
        <f t="shared" ca="1" si="773"/>
        <v>7.3698599999999999E-5</v>
      </c>
      <c r="BC1229" s="466">
        <f t="shared" ca="1" si="774"/>
        <v>80021</v>
      </c>
      <c r="BD1229" s="467">
        <f t="shared" ca="1" si="787"/>
        <v>80022</v>
      </c>
      <c r="BE1229" s="467">
        <f t="shared" ca="1" si="775"/>
        <v>80048</v>
      </c>
      <c r="BF1229" s="468">
        <f ca="1">IF(計算!$BC1229&lt;OP!$C$3,0,BD1229-BC1229)</f>
        <v>1</v>
      </c>
      <c r="BG1229" s="468">
        <f ca="1">IF($BE1229&gt;DATE(YEAR($BD$9)+OP!$C$57,MONTH($BD$9),DAY($BD$9)),0,$BE1229-$BD1229+1)</f>
        <v>0</v>
      </c>
      <c r="BH1229" s="469">
        <f t="shared" ca="1" si="776"/>
        <v>1</v>
      </c>
      <c r="BI1229" t="str">
        <f t="shared" si="758"/>
        <v/>
      </c>
      <c r="BJ1229">
        <v>8</v>
      </c>
      <c r="BN1229" s="468">
        <f t="shared" si="788"/>
        <v>102</v>
      </c>
      <c r="BO1229" s="468">
        <f t="shared" si="789"/>
        <v>8</v>
      </c>
      <c r="BP1229" s="467">
        <f t="shared" ca="1" si="777"/>
        <v>80022</v>
      </c>
      <c r="BQ1229" s="475">
        <f t="shared" ca="1" si="791"/>
        <v>134</v>
      </c>
      <c r="BR1229" s="475" t="str">
        <f t="shared" si="790"/>
        <v/>
      </c>
      <c r="BS1229" s="471" t="str">
        <f t="shared" si="778"/>
        <v/>
      </c>
      <c r="BT1229" s="472" t="str">
        <f t="shared" si="759"/>
        <v/>
      </c>
      <c r="BU1229" s="472">
        <f t="shared" ca="1" si="779"/>
        <v>0</v>
      </c>
      <c r="BV1229" s="472">
        <f t="shared" ca="1" si="779"/>
        <v>0</v>
      </c>
      <c r="BW1229" s="472"/>
      <c r="BX1229" s="473">
        <f t="shared" ca="1" si="780"/>
        <v>2813828.0341031002</v>
      </c>
      <c r="BY1229" s="473">
        <f t="shared" si="781"/>
        <v>0</v>
      </c>
      <c r="BZ1229" s="473">
        <f t="shared" ca="1" si="763"/>
        <v>207.375186754</v>
      </c>
      <c r="CA1229" s="476">
        <f t="shared" ca="1" si="782"/>
        <v>0</v>
      </c>
      <c r="CB1229" s="494">
        <f ca="1">IF(OR($Q1228&lt;&gt;1,OP!$D$5+$BN1229-1&lt;16,$BN1229-1&lt;1),0,ROUND(ROUND(ROUND(((VLOOKUP($BN1229-1,MORE_PV,5,0)/10000)*VLOOKUP($BN1229,MORE_PV,$CB$5,0)),3)*VLOOKUP($BN1229,more1,5,0),0)/$R1228,0))</f>
        <v>0</v>
      </c>
      <c r="CC1229" s="473">
        <f t="shared" ca="1" si="783"/>
        <v>0</v>
      </c>
      <c r="CD1229" s="477"/>
    </row>
    <row r="1230" spans="2:82" ht="16.5" hidden="1">
      <c r="B1230" s="80"/>
      <c r="C1230" s="80"/>
      <c r="D1230" s="80"/>
      <c r="E1230" s="80"/>
      <c r="F1230" s="80"/>
      <c r="G1230" s="80"/>
      <c r="H1230" s="80"/>
      <c r="I1230" s="80"/>
      <c r="J1230" s="192">
        <f t="shared" si="764"/>
        <v>102</v>
      </c>
      <c r="K1230" s="192">
        <f t="shared" si="765"/>
        <v>10</v>
      </c>
      <c r="L1230" s="192" t="str">
        <f t="shared" si="760"/>
        <v/>
      </c>
      <c r="M1230" s="216" t="str">
        <f t="shared" ca="1" si="766"/>
        <v/>
      </c>
      <c r="N1230" s="216"/>
      <c r="O1230" s="216"/>
      <c r="P1230" s="216"/>
      <c r="Q1230" s="456">
        <f t="shared" ca="1" si="767"/>
        <v>1</v>
      </c>
      <c r="R1230" s="450">
        <f t="shared" ca="1" si="768"/>
        <v>12</v>
      </c>
      <c r="S1230" s="191">
        <f t="shared" si="769"/>
        <v>102</v>
      </c>
      <c r="T1230" s="191">
        <f t="shared" si="770"/>
        <v>10</v>
      </c>
      <c r="U1230" s="191">
        <f ca="1">OP!$D$5+$S1230-1</f>
        <v>134</v>
      </c>
      <c r="V1230" s="191" t="str">
        <f t="shared" si="771"/>
        <v/>
      </c>
      <c r="W1230" s="350">
        <f ca="1">IF(Q1230&lt;&gt;1,0,VLOOKUP(OP!$C$55,PVFB,$S1230+2,0))</f>
        <v>0</v>
      </c>
      <c r="X1230" s="473" t="str">
        <f t="shared" ca="1" si="784"/>
        <v/>
      </c>
      <c r="Y1230" s="348">
        <f t="shared" ca="1" si="785"/>
        <v>0</v>
      </c>
      <c r="Z1230" s="348">
        <f t="shared" ca="1" si="786"/>
        <v>8012</v>
      </c>
      <c r="AA1230" s="348">
        <f ca="1">IF(Q1230&lt;&gt;1,0,VLOOKUP(OP!$C$55,PVFB,$S1230+2,0))</f>
        <v>0</v>
      </c>
      <c r="AB1230" s="488" t="str">
        <f ca="1">IF(AND(S1230&lt;OP!$C$24,$U1230&lt;15),0,IF(AND($U1230&lt;15,$T1230=12),ROUND(VLOOKUP($S1230,DOWN16,5,0),3),IF($T1230=12,ROUND(($Z1230/10000)*$AA1230,3)+IF(AND($P$7="購買增額繳清保險",T1230=12,U1230=110),VLOOKUP(S1230,$B$10:$H$121,7,0),0),"")))</f>
        <v/>
      </c>
      <c r="AC1230" s="350" t="str">
        <f ca="1">IF(AND(S1230&lt;OP!$C$24,$U1230&lt;15),0,IF(AND($U1230&lt;16,$T1230=12),VLOOKUP($S1230,DOWN16,4,0),IF($T1230=12,ROUND(VLOOKUP(OP!$C$55,_DIE2,$S1230+1,0)*(Z1230/10000),0)+IF(AND($P$7="購買增額繳清保險",T1230=12,U1230=110),VLOOKUP(S1230,$B$10:$H$121,7,0),0),"")))</f>
        <v/>
      </c>
      <c r="AD1230" s="347"/>
      <c r="AE1230" s="350" t="str">
        <f t="shared" ca="1" si="761"/>
        <v/>
      </c>
      <c r="AF1230" s="351" t="str">
        <f t="shared" ca="1" si="762"/>
        <v/>
      </c>
      <c r="AG1230" s="340"/>
      <c r="AH1230" s="340"/>
      <c r="AI1230" s="340"/>
      <c r="AJ1230" s="340"/>
      <c r="AK1230" s="340"/>
      <c r="AL1230" s="340"/>
      <c r="AM1230" s="340"/>
      <c r="AN1230" s="340"/>
      <c r="AO1230" s="340"/>
      <c r="AP1230" s="340"/>
      <c r="AQ1230" s="340"/>
      <c r="AR1230" s="340"/>
      <c r="AS1230" s="340"/>
      <c r="AT1230" s="340"/>
      <c r="AU1230" s="340"/>
      <c r="AV1230" s="340"/>
      <c r="AY1230" s="340"/>
      <c r="AZ1230" s="465">
        <f t="shared" ca="1" si="772"/>
        <v>7.3698599999999999E-5</v>
      </c>
      <c r="BA1230" s="464">
        <f t="shared" ca="1" si="773"/>
        <v>0</v>
      </c>
      <c r="BB1230" s="465">
        <f t="shared" ca="1" si="773"/>
        <v>7.3698599999999999E-5</v>
      </c>
      <c r="BC1230" s="466">
        <f t="shared" ca="1" si="774"/>
        <v>80049</v>
      </c>
      <c r="BD1230" s="467">
        <f t="shared" ca="1" si="787"/>
        <v>80050</v>
      </c>
      <c r="BE1230" s="467">
        <f t="shared" ca="1" si="775"/>
        <v>80079</v>
      </c>
      <c r="BF1230" s="468">
        <f ca="1">IF(計算!$BC1230&lt;OP!$C$3,0,BD1230-BC1230)</f>
        <v>1</v>
      </c>
      <c r="BG1230" s="468">
        <f ca="1">IF($BE1230&gt;DATE(YEAR($BD$9)+OP!$C$57,MONTH($BD$9),DAY($BD$9)),0,$BE1230-$BD1230+1)</f>
        <v>0</v>
      </c>
      <c r="BH1230" s="469">
        <f t="shared" ca="1" si="776"/>
        <v>1</v>
      </c>
      <c r="BI1230" t="str">
        <f t="shared" si="758"/>
        <v/>
      </c>
      <c r="BJ1230">
        <v>9</v>
      </c>
      <c r="BN1230" s="468">
        <f t="shared" si="788"/>
        <v>102</v>
      </c>
      <c r="BO1230" s="468">
        <f t="shared" si="789"/>
        <v>9</v>
      </c>
      <c r="BP1230" s="467">
        <f t="shared" ca="1" si="777"/>
        <v>80050</v>
      </c>
      <c r="BQ1230" s="475">
        <f t="shared" ca="1" si="791"/>
        <v>134</v>
      </c>
      <c r="BR1230" s="475" t="str">
        <f t="shared" si="790"/>
        <v/>
      </c>
      <c r="BS1230" s="471" t="str">
        <f t="shared" si="778"/>
        <v/>
      </c>
      <c r="BT1230" s="472" t="str">
        <f t="shared" si="759"/>
        <v/>
      </c>
      <c r="BU1230" s="472">
        <f t="shared" ca="1" si="779"/>
        <v>0</v>
      </c>
      <c r="BV1230" s="472">
        <f t="shared" ca="1" si="779"/>
        <v>0</v>
      </c>
      <c r="BW1230" s="472"/>
      <c r="BX1230" s="473">
        <f t="shared" ca="1" si="780"/>
        <v>2814035.4092898499</v>
      </c>
      <c r="BY1230" s="473">
        <f t="shared" si="781"/>
        <v>0</v>
      </c>
      <c r="BZ1230" s="473">
        <f t="shared" ca="1" si="763"/>
        <v>207.39047001500001</v>
      </c>
      <c r="CA1230" s="476">
        <f t="shared" ca="1" si="782"/>
        <v>0</v>
      </c>
      <c r="CB1230" s="494">
        <f ca="1">IF(OR($Q1229&lt;&gt;1,OP!$D$5+$BN1230-1&lt;16,$BN1230-1&lt;1),0,ROUND(ROUND(ROUND(((VLOOKUP($BN1230-1,MORE_PV,5,0)/10000)*VLOOKUP($BN1230,MORE_PV,$CB$5,0)),3)*VLOOKUP($BN1230,more1,5,0),0)/$R1229,0))</f>
        <v>0</v>
      </c>
      <c r="CC1230" s="473">
        <f t="shared" ca="1" si="783"/>
        <v>0</v>
      </c>
      <c r="CD1230" s="477"/>
    </row>
    <row r="1231" spans="2:82" ht="16.5" hidden="1">
      <c r="B1231" s="80"/>
      <c r="C1231" s="80"/>
      <c r="D1231" s="80"/>
      <c r="E1231" s="80"/>
      <c r="F1231" s="80"/>
      <c r="G1231" s="80"/>
      <c r="H1231" s="80"/>
      <c r="I1231" s="80"/>
      <c r="J1231" s="192">
        <f t="shared" si="764"/>
        <v>102</v>
      </c>
      <c r="K1231" s="192">
        <f t="shared" si="765"/>
        <v>11</v>
      </c>
      <c r="L1231" s="192" t="str">
        <f t="shared" si="760"/>
        <v/>
      </c>
      <c r="M1231" s="216" t="str">
        <f t="shared" ca="1" si="766"/>
        <v/>
      </c>
      <c r="N1231" s="216"/>
      <c r="O1231" s="216"/>
      <c r="P1231" s="216"/>
      <c r="Q1231" s="456">
        <f t="shared" ca="1" si="767"/>
        <v>1</v>
      </c>
      <c r="R1231" s="450">
        <f t="shared" ca="1" si="768"/>
        <v>12</v>
      </c>
      <c r="S1231" s="191">
        <f t="shared" si="769"/>
        <v>102</v>
      </c>
      <c r="T1231" s="191">
        <f t="shared" si="770"/>
        <v>11</v>
      </c>
      <c r="U1231" s="191">
        <f ca="1">OP!$D$5+$S1231-1</f>
        <v>134</v>
      </c>
      <c r="V1231" s="191" t="str">
        <f t="shared" si="771"/>
        <v/>
      </c>
      <c r="W1231" s="350">
        <f ca="1">IF(Q1231&lt;&gt;1,0,VLOOKUP(OP!$C$55,PVFB,$S1231+2,0))</f>
        <v>0</v>
      </c>
      <c r="X1231" s="473" t="str">
        <f t="shared" ca="1" si="784"/>
        <v/>
      </c>
      <c r="Y1231" s="348">
        <f t="shared" ca="1" si="785"/>
        <v>0</v>
      </c>
      <c r="Z1231" s="348">
        <f t="shared" ca="1" si="786"/>
        <v>8012</v>
      </c>
      <c r="AA1231" s="348">
        <f ca="1">IF(Q1231&lt;&gt;1,0,VLOOKUP(OP!$C$55,PVFB,$S1231+2,0))</f>
        <v>0</v>
      </c>
      <c r="AB1231" s="488" t="str">
        <f ca="1">IF(AND(S1231&lt;OP!$C$24,$U1231&lt;15),0,IF(AND($U1231&lt;15,$T1231=12),ROUND(VLOOKUP($S1231,DOWN16,5,0),3),IF($T1231=12,ROUND(($Z1231/10000)*$AA1231,3)+IF(AND($P$7="購買增額繳清保險",T1231=12,U1231=110),VLOOKUP(S1231,$B$10:$H$121,7,0),0),"")))</f>
        <v/>
      </c>
      <c r="AC1231" s="350" t="str">
        <f ca="1">IF(AND(S1231&lt;OP!$C$24,$U1231&lt;15),0,IF(AND($U1231&lt;16,$T1231=12),VLOOKUP($S1231,DOWN16,4,0),IF($T1231=12,ROUND(VLOOKUP(OP!$C$55,_DIE2,$S1231+1,0)*(Z1231/10000),0)+IF(AND($P$7="購買增額繳清保險",T1231=12,U1231=110),VLOOKUP(S1231,$B$10:$H$121,7,0),0),"")))</f>
        <v/>
      </c>
      <c r="AD1231" s="347"/>
      <c r="AE1231" s="350" t="str">
        <f t="shared" ca="1" si="761"/>
        <v/>
      </c>
      <c r="AF1231" s="351" t="str">
        <f t="shared" ca="1" si="762"/>
        <v/>
      </c>
      <c r="AG1231" s="340"/>
      <c r="AH1231" s="340"/>
      <c r="AI1231" s="340"/>
      <c r="AJ1231" s="340"/>
      <c r="AK1231" s="340"/>
      <c r="AL1231" s="340"/>
      <c r="AM1231" s="340"/>
      <c r="AN1231" s="340"/>
      <c r="AO1231" s="340"/>
      <c r="AP1231" s="340"/>
      <c r="AQ1231" s="340"/>
      <c r="AR1231" s="340"/>
      <c r="AS1231" s="340"/>
      <c r="AT1231" s="340"/>
      <c r="AU1231" s="340"/>
      <c r="AV1231" s="340"/>
      <c r="AY1231" s="340"/>
      <c r="AZ1231" s="465">
        <f t="shared" ca="1" si="772"/>
        <v>7.3698599999999999E-5</v>
      </c>
      <c r="BA1231" s="464">
        <f t="shared" ca="1" si="773"/>
        <v>0</v>
      </c>
      <c r="BB1231" s="465">
        <f t="shared" ca="1" si="773"/>
        <v>7.3698599999999999E-5</v>
      </c>
      <c r="BC1231" s="466">
        <f t="shared" ca="1" si="774"/>
        <v>80080</v>
      </c>
      <c r="BD1231" s="467">
        <f t="shared" ca="1" si="787"/>
        <v>80081</v>
      </c>
      <c r="BE1231" s="467">
        <f t="shared" ca="1" si="775"/>
        <v>80109</v>
      </c>
      <c r="BF1231" s="468">
        <f ca="1">IF(計算!$BC1231&lt;OP!$C$3,0,BD1231-BC1231)</f>
        <v>1</v>
      </c>
      <c r="BG1231" s="468">
        <f ca="1">IF($BE1231&gt;DATE(YEAR($BD$9)+OP!$C$57,MONTH($BD$9),DAY($BD$9)),0,$BE1231-$BD1231+1)</f>
        <v>0</v>
      </c>
      <c r="BH1231" s="469">
        <f t="shared" ca="1" si="776"/>
        <v>1</v>
      </c>
      <c r="BI1231" t="str">
        <f t="shared" si="758"/>
        <v/>
      </c>
      <c r="BJ1231">
        <v>10</v>
      </c>
      <c r="BN1231" s="468">
        <f t="shared" si="788"/>
        <v>102</v>
      </c>
      <c r="BO1231" s="468">
        <f t="shared" si="789"/>
        <v>10</v>
      </c>
      <c r="BP1231" s="467">
        <f t="shared" ca="1" si="777"/>
        <v>80081</v>
      </c>
      <c r="BQ1231" s="475">
        <f t="shared" ca="1" si="791"/>
        <v>134</v>
      </c>
      <c r="BR1231" s="475" t="str">
        <f t="shared" si="790"/>
        <v/>
      </c>
      <c r="BS1231" s="471" t="str">
        <f t="shared" si="778"/>
        <v/>
      </c>
      <c r="BT1231" s="472" t="str">
        <f t="shared" si="759"/>
        <v/>
      </c>
      <c r="BU1231" s="472">
        <f t="shared" ca="1" si="779"/>
        <v>0</v>
      </c>
      <c r="BV1231" s="472">
        <f t="shared" ca="1" si="779"/>
        <v>0</v>
      </c>
      <c r="BW1231" s="472"/>
      <c r="BX1231" s="473">
        <f t="shared" ca="1" si="780"/>
        <v>2814242.7997598602</v>
      </c>
      <c r="BY1231" s="473">
        <f t="shared" si="781"/>
        <v>0</v>
      </c>
      <c r="BZ1231" s="473">
        <f t="shared" ca="1" si="763"/>
        <v>207.40575440200001</v>
      </c>
      <c r="CA1231" s="476">
        <f t="shared" ca="1" si="782"/>
        <v>0</v>
      </c>
      <c r="CB1231" s="494">
        <f ca="1">IF(OR($Q1230&lt;&gt;1,OP!$D$5+$BN1231-1&lt;16,$BN1231-1&lt;1),0,ROUND(ROUND(ROUND(((VLOOKUP($BN1231-1,MORE_PV,5,0)/10000)*VLOOKUP($BN1231,MORE_PV,$CB$5,0)),3)*VLOOKUP($BN1231,more1,5,0),0)/$R1230,0))</f>
        <v>0</v>
      </c>
      <c r="CC1231" s="473">
        <f t="shared" ca="1" si="783"/>
        <v>0</v>
      </c>
      <c r="CD1231" s="477"/>
    </row>
    <row r="1232" spans="2:82" ht="16.5" hidden="1">
      <c r="B1232" s="80"/>
      <c r="C1232" s="80"/>
      <c r="D1232" s="80"/>
      <c r="E1232" s="80"/>
      <c r="F1232" s="80"/>
      <c r="G1232" s="80"/>
      <c r="H1232" s="80"/>
      <c r="I1232" s="80"/>
      <c r="J1232" s="192">
        <f t="shared" si="764"/>
        <v>102</v>
      </c>
      <c r="K1232" s="192">
        <f t="shared" si="765"/>
        <v>12</v>
      </c>
      <c r="L1232" s="192">
        <f t="shared" si="760"/>
        <v>102</v>
      </c>
      <c r="M1232" s="216">
        <f t="shared" ca="1" si="766"/>
        <v>2814864</v>
      </c>
      <c r="N1232" s="216"/>
      <c r="O1232" s="216"/>
      <c r="P1232" s="216"/>
      <c r="Q1232" s="456">
        <f t="shared" ca="1" si="767"/>
        <v>1</v>
      </c>
      <c r="R1232" s="450">
        <f t="shared" ca="1" si="768"/>
        <v>12</v>
      </c>
      <c r="S1232" s="191">
        <f t="shared" si="769"/>
        <v>102</v>
      </c>
      <c r="T1232" s="191">
        <f t="shared" si="770"/>
        <v>12</v>
      </c>
      <c r="U1232" s="191">
        <f ca="1">OP!$D$5+$S1232-1</f>
        <v>134</v>
      </c>
      <c r="V1232" s="191">
        <f t="shared" si="771"/>
        <v>102</v>
      </c>
      <c r="W1232" s="350">
        <f ca="1">IF(Q1232&lt;&gt;1,0,VLOOKUP(OP!$C$55,PVFB,$S1232+2,0))</f>
        <v>0</v>
      </c>
      <c r="X1232" s="473">
        <f t="shared" ca="1" si="784"/>
        <v>0</v>
      </c>
      <c r="Y1232" s="348">
        <f t="shared" ca="1" si="785"/>
        <v>0</v>
      </c>
      <c r="Z1232" s="348">
        <f t="shared" ca="1" si="786"/>
        <v>8012</v>
      </c>
      <c r="AA1232" s="348">
        <f ca="1">IF(Q1232&lt;&gt;1,0,VLOOKUP(OP!$C$55,PVFB,$S1232+2,0))</f>
        <v>0</v>
      </c>
      <c r="AB1232" s="488">
        <f ca="1">IF(AND(S1232&lt;OP!$C$24,$U1232&lt;15),0,IF(AND($U1232&lt;15,$T1232=12),ROUND(VLOOKUP($S1232,DOWN16,5,0),3),IF($T1232=12,ROUND(($Z1232/10000)*$AA1232,3)+IF(AND($P$7="購買增額繳清保險",T1232=12,U1232=110),VLOOKUP(S1232,$B$10:$H$121,7,0),0),"")))</f>
        <v>0</v>
      </c>
      <c r="AC1232" s="350">
        <f ca="1">IF(AND(S1232&lt;OP!$C$24,$U1232&lt;15),0,IF(AND($U1232&lt;16,$T1232=12),VLOOKUP($S1232,DOWN16,4,0),IF($T1232=12,ROUND(VLOOKUP(OP!$C$55,_DIE2,$S1232+1,0)*(Z1232/10000),0)+IF(AND($P$7="購買增額繳清保險",T1232=12,U1232=110),VLOOKUP(S1232,$B$10:$H$121,7,0),0),"")))</f>
        <v>0</v>
      </c>
      <c r="AD1232" s="347"/>
      <c r="AE1232" s="350" t="str">
        <f t="shared" ca="1" si="761"/>
        <v/>
      </c>
      <c r="AF1232" s="351" t="str">
        <f t="shared" ca="1" si="762"/>
        <v/>
      </c>
      <c r="AG1232" s="340"/>
      <c r="AH1232" s="340"/>
      <c r="AI1232" s="340"/>
      <c r="AJ1232" s="340"/>
      <c r="AK1232" s="340"/>
      <c r="AL1232" s="340"/>
      <c r="AM1232" s="340"/>
      <c r="AN1232" s="340"/>
      <c r="AO1232" s="340"/>
      <c r="AP1232" s="340"/>
      <c r="AQ1232" s="340"/>
      <c r="AR1232" s="340"/>
      <c r="AS1232" s="340"/>
      <c r="AT1232" s="340"/>
      <c r="AU1232" s="340"/>
      <c r="AV1232" s="340"/>
      <c r="AY1232" s="340"/>
      <c r="AZ1232" s="465">
        <f t="shared" ca="1" si="772"/>
        <v>7.3698599999999999E-5</v>
      </c>
      <c r="BA1232" s="464">
        <f t="shared" ca="1" si="773"/>
        <v>0</v>
      </c>
      <c r="BB1232" s="465">
        <f t="shared" ca="1" si="773"/>
        <v>7.3698599999999999E-5</v>
      </c>
      <c r="BC1232" s="466">
        <f t="shared" ca="1" si="774"/>
        <v>80110</v>
      </c>
      <c r="BD1232" s="467">
        <f t="shared" ca="1" si="787"/>
        <v>80111</v>
      </c>
      <c r="BE1232" s="467">
        <f t="shared" ca="1" si="775"/>
        <v>80140</v>
      </c>
      <c r="BF1232" s="468">
        <f ca="1">IF(計算!$BC1232&lt;OP!$C$3,0,BD1232-BC1232)</f>
        <v>1</v>
      </c>
      <c r="BG1232" s="468">
        <f ca="1">IF($BE1232&gt;DATE(YEAR($BD$9)+OP!$C$57,MONTH($BD$9),DAY($BD$9)),0,$BE1232-$BD1232+1)</f>
        <v>0</v>
      </c>
      <c r="BH1232" s="469">
        <f t="shared" ca="1" si="776"/>
        <v>1</v>
      </c>
      <c r="BI1232" t="str">
        <f t="shared" si="758"/>
        <v/>
      </c>
      <c r="BJ1232">
        <v>11</v>
      </c>
      <c r="BN1232" s="468">
        <f t="shared" si="788"/>
        <v>102</v>
      </c>
      <c r="BO1232" s="468">
        <f t="shared" si="789"/>
        <v>11</v>
      </c>
      <c r="BP1232" s="467">
        <f t="shared" ca="1" si="777"/>
        <v>80111</v>
      </c>
      <c r="BQ1232" s="475">
        <f t="shared" ca="1" si="791"/>
        <v>134</v>
      </c>
      <c r="BR1232" s="475" t="str">
        <f t="shared" si="790"/>
        <v/>
      </c>
      <c r="BS1232" s="471" t="str">
        <f t="shared" si="778"/>
        <v/>
      </c>
      <c r="BT1232" s="472" t="str">
        <f t="shared" si="759"/>
        <v/>
      </c>
      <c r="BU1232" s="472">
        <f t="shared" ca="1" si="779"/>
        <v>0</v>
      </c>
      <c r="BV1232" s="472">
        <f t="shared" ca="1" si="779"/>
        <v>0</v>
      </c>
      <c r="BW1232" s="472"/>
      <c r="BX1232" s="473">
        <f t="shared" ca="1" si="780"/>
        <v>2814450.2055142601</v>
      </c>
      <c r="BY1232" s="473">
        <f t="shared" si="781"/>
        <v>0</v>
      </c>
      <c r="BZ1232" s="473">
        <f t="shared" ca="1" si="763"/>
        <v>207.42103991600001</v>
      </c>
      <c r="CA1232" s="476">
        <f t="shared" ca="1" si="782"/>
        <v>0</v>
      </c>
      <c r="CB1232" s="494">
        <f ca="1">IF(OR($Q1231&lt;&gt;1,OP!$D$5+$BN1232-1&lt;16,$BN1232-1&lt;1),0,ROUND(ROUND(ROUND(((VLOOKUP($BN1232-1,MORE_PV,5,0)/10000)*VLOOKUP($BN1232,MORE_PV,$CB$5,0)),3)*VLOOKUP($BN1232,more1,5,0),0)/$R1231,0))</f>
        <v>0</v>
      </c>
      <c r="CC1232" s="473">
        <f t="shared" ca="1" si="783"/>
        <v>0</v>
      </c>
      <c r="CD1232" s="477"/>
    </row>
    <row r="1233" spans="2:82" ht="16.5" hidden="1">
      <c r="B1233" s="80"/>
      <c r="C1233" s="80"/>
      <c r="D1233" s="80"/>
      <c r="E1233" s="80"/>
      <c r="F1233" s="80"/>
      <c r="G1233" s="80"/>
      <c r="H1233" s="80"/>
      <c r="I1233" s="80"/>
      <c r="J1233" s="192">
        <f t="shared" si="764"/>
        <v>103</v>
      </c>
      <c r="K1233" s="192">
        <f t="shared" si="765"/>
        <v>1</v>
      </c>
      <c r="L1233" s="192" t="str">
        <f t="shared" si="760"/>
        <v/>
      </c>
      <c r="M1233" s="216" t="str">
        <f t="shared" ca="1" si="766"/>
        <v/>
      </c>
      <c r="N1233" s="216"/>
      <c r="O1233" s="216"/>
      <c r="P1233" s="216"/>
      <c r="Q1233" s="456">
        <f t="shared" ca="1" si="767"/>
        <v>1</v>
      </c>
      <c r="R1233" s="450">
        <f t="shared" ca="1" si="768"/>
        <v>12</v>
      </c>
      <c r="S1233" s="191">
        <f t="shared" si="769"/>
        <v>103</v>
      </c>
      <c r="T1233" s="191">
        <f t="shared" si="770"/>
        <v>1</v>
      </c>
      <c r="U1233" s="191">
        <f ca="1">OP!$D$5+$S1233-1</f>
        <v>135</v>
      </c>
      <c r="V1233" s="191" t="str">
        <f t="shared" si="771"/>
        <v/>
      </c>
      <c r="W1233" s="350">
        <f ca="1">IF(Q1233&lt;&gt;1,0,VLOOKUP(OP!$C$55,PVFB,$S1233+2,0))</f>
        <v>0</v>
      </c>
      <c r="X1233" s="473" t="str">
        <f t="shared" ca="1" si="784"/>
        <v/>
      </c>
      <c r="Y1233" s="348">
        <f t="shared" ca="1" si="785"/>
        <v>0</v>
      </c>
      <c r="Z1233" s="348">
        <f t="shared" ca="1" si="786"/>
        <v>8012</v>
      </c>
      <c r="AA1233" s="348">
        <f ca="1">IF(Q1233&lt;&gt;1,0,VLOOKUP(OP!$C$55,PVFB,$S1233+2,0))</f>
        <v>0</v>
      </c>
      <c r="AB1233" s="488" t="str">
        <f ca="1">IF(AND(S1233&lt;OP!$C$24,$U1233&lt;15),0,IF(AND($U1233&lt;15,$T1233=12),ROUND(VLOOKUP($S1233,DOWN16,5,0),3),IF($T1233=12,ROUND(($Z1233/10000)*$AA1233,3)+IF(AND($P$7="購買增額繳清保險",T1233=12,U1233=110),VLOOKUP(S1233,$B$10:$H$121,7,0),0),"")))</f>
        <v/>
      </c>
      <c r="AC1233" s="350" t="str">
        <f ca="1">IF(AND(S1233&lt;OP!$C$24,$U1233&lt;15),0,IF(AND($U1233&lt;16,$T1233=12),VLOOKUP($S1233,DOWN16,4,0),IF($T1233=12,ROUND(VLOOKUP(OP!$C$55,_DIE2,$S1233+1,0)*(Z1233/10000),0)+IF(AND($P$7="購買增額繳清保險",T1233=12,U1233=110),VLOOKUP(S1233,$B$10:$H$121,7,0),0),"")))</f>
        <v/>
      </c>
      <c r="AD1233" s="347"/>
      <c r="AE1233" s="350" t="str">
        <f t="shared" ca="1" si="761"/>
        <v/>
      </c>
      <c r="AF1233" s="351" t="str">
        <f t="shared" ca="1" si="762"/>
        <v/>
      </c>
      <c r="AG1233" s="340"/>
      <c r="AH1233" s="340"/>
      <c r="AI1233" s="340"/>
      <c r="AJ1233" s="340"/>
      <c r="AK1233" s="340"/>
      <c r="AL1233" s="340"/>
      <c r="AM1233" s="340"/>
      <c r="AN1233" s="340"/>
      <c r="AO1233" s="340"/>
      <c r="AP1233" s="340"/>
      <c r="AQ1233" s="340"/>
      <c r="AR1233" s="340"/>
      <c r="AS1233" s="340"/>
      <c r="AT1233" s="340"/>
      <c r="AU1233" s="340"/>
      <c r="AV1233" s="340"/>
      <c r="AY1233" s="340"/>
      <c r="AZ1233" s="465">
        <f t="shared" ca="1" si="772"/>
        <v>7.3698599999999999E-5</v>
      </c>
      <c r="BA1233" s="464">
        <f t="shared" ca="1" si="773"/>
        <v>0</v>
      </c>
      <c r="BB1233" s="465">
        <f t="shared" ca="1" si="773"/>
        <v>7.3698599999999999E-5</v>
      </c>
      <c r="BC1233" s="466">
        <f t="shared" ca="1" si="774"/>
        <v>80141</v>
      </c>
      <c r="BD1233" s="467">
        <f t="shared" ca="1" si="787"/>
        <v>80142</v>
      </c>
      <c r="BE1233" s="467">
        <f t="shared" ca="1" si="775"/>
        <v>80170</v>
      </c>
      <c r="BF1233" s="468">
        <f ca="1">IF(計算!$BC1233&lt;OP!$C$3,0,BD1233-BC1233)</f>
        <v>1</v>
      </c>
      <c r="BG1233" s="468">
        <f ca="1">IF($BE1233&gt;DATE(YEAR($BD$9)+OP!$C$57,MONTH($BD$9),DAY($BD$9)),0,$BE1233-$BD1233+1)</f>
        <v>0</v>
      </c>
      <c r="BH1233" s="469">
        <f t="shared" ca="1" si="776"/>
        <v>1</v>
      </c>
      <c r="BI1233">
        <f t="shared" ca="1" si="758"/>
        <v>365</v>
      </c>
      <c r="BJ1233">
        <v>12</v>
      </c>
      <c r="BN1233" s="468">
        <f t="shared" si="788"/>
        <v>102</v>
      </c>
      <c r="BO1233" s="468">
        <f t="shared" si="789"/>
        <v>12</v>
      </c>
      <c r="BP1233" s="467">
        <f t="shared" ca="1" si="777"/>
        <v>80142</v>
      </c>
      <c r="BQ1233" s="475">
        <f t="shared" ca="1" si="791"/>
        <v>134</v>
      </c>
      <c r="BR1233" s="475">
        <f t="shared" si="790"/>
        <v>102</v>
      </c>
      <c r="BS1233" s="471">
        <f t="shared" ca="1" si="778"/>
        <v>0</v>
      </c>
      <c r="BT1233" s="472">
        <f t="shared" ca="1" si="759"/>
        <v>2814864</v>
      </c>
      <c r="BU1233" s="472">
        <f t="shared" ca="1" si="779"/>
        <v>0</v>
      </c>
      <c r="BV1233" s="472">
        <f t="shared" ca="1" si="779"/>
        <v>0</v>
      </c>
      <c r="BW1233" s="472">
        <f ca="1">ROUND(SUM(BY1233,BZ1221:BZ1232),0)</f>
        <v>2488</v>
      </c>
      <c r="BX1233" s="473">
        <f t="shared" ca="1" si="780"/>
        <v>2814865.0628807298</v>
      </c>
      <c r="BY1233" s="473">
        <f t="shared" ca="1" si="781"/>
        <v>207.43632655600001</v>
      </c>
      <c r="BZ1233" s="473">
        <f t="shared" ca="1" si="763"/>
        <v>0</v>
      </c>
      <c r="CA1233" s="476">
        <f t="shared" ca="1" si="782"/>
        <v>0</v>
      </c>
      <c r="CB1233" s="494">
        <f ca="1">IF(OR($Q1232&lt;&gt;1,OP!$D$5+$BN1233-1&lt;16,$BN1233-1&lt;1),0,ROUND(ROUND(ROUND(((VLOOKUP($BN1233-1,MORE_PV,5,0)/10000)*VLOOKUP($BN1233,MORE_PV,$CB$5,0)),3)*VLOOKUP($BN1233,more1,5,0),0)/$R1232,0))</f>
        <v>0</v>
      </c>
      <c r="CC1233" s="473">
        <f t="shared" ca="1" si="783"/>
        <v>0</v>
      </c>
      <c r="CD1233" s="477"/>
    </row>
    <row r="1234" spans="2:82" ht="16.5" hidden="1">
      <c r="B1234" s="80"/>
      <c r="C1234" s="80"/>
      <c r="D1234" s="80"/>
      <c r="E1234" s="80"/>
      <c r="F1234" s="80"/>
      <c r="G1234" s="80"/>
      <c r="H1234" s="80"/>
      <c r="I1234" s="80"/>
      <c r="J1234" s="192">
        <f t="shared" si="764"/>
        <v>103</v>
      </c>
      <c r="K1234" s="192">
        <f t="shared" si="765"/>
        <v>2</v>
      </c>
      <c r="L1234" s="192" t="str">
        <f t="shared" si="760"/>
        <v/>
      </c>
      <c r="M1234" s="216" t="str">
        <f t="shared" ca="1" si="766"/>
        <v/>
      </c>
      <c r="N1234" s="216"/>
      <c r="O1234" s="216"/>
      <c r="P1234" s="216"/>
      <c r="Q1234" s="456">
        <f t="shared" ca="1" si="767"/>
        <v>1</v>
      </c>
      <c r="R1234" s="450">
        <f t="shared" ca="1" si="768"/>
        <v>12</v>
      </c>
      <c r="S1234" s="191">
        <f t="shared" si="769"/>
        <v>103</v>
      </c>
      <c r="T1234" s="191">
        <f t="shared" si="770"/>
        <v>2</v>
      </c>
      <c r="U1234" s="191">
        <f ca="1">OP!$D$5+$S1234-1</f>
        <v>135</v>
      </c>
      <c r="V1234" s="191" t="str">
        <f t="shared" si="771"/>
        <v/>
      </c>
      <c r="W1234" s="350">
        <f ca="1">IF(Q1234&lt;&gt;1,0,VLOOKUP(OP!$C$55,PVFB,$S1234+2,0))</f>
        <v>0</v>
      </c>
      <c r="X1234" s="473" t="str">
        <f t="shared" ca="1" si="784"/>
        <v/>
      </c>
      <c r="Y1234" s="348">
        <f t="shared" ca="1" si="785"/>
        <v>0</v>
      </c>
      <c r="Z1234" s="348">
        <f t="shared" ca="1" si="786"/>
        <v>8012</v>
      </c>
      <c r="AA1234" s="348">
        <f ca="1">IF(Q1234&lt;&gt;1,0,VLOOKUP(OP!$C$55,PVFB,$S1234+2,0))</f>
        <v>0</v>
      </c>
      <c r="AB1234" s="488" t="str">
        <f ca="1">IF(AND(S1234&lt;OP!$C$24,$U1234&lt;15),0,IF(AND($U1234&lt;15,$T1234=12),ROUND(VLOOKUP($S1234,DOWN16,5,0),3),IF($T1234=12,ROUND(($Z1234/10000)*$AA1234,3)+IF(AND($P$7="購買增額繳清保險",T1234=12,U1234=110),VLOOKUP(S1234,$B$10:$H$121,7,0),0),"")))</f>
        <v/>
      </c>
      <c r="AC1234" s="350" t="str">
        <f ca="1">IF(AND(S1234&lt;OP!$C$24,$U1234&lt;15),0,IF(AND($U1234&lt;16,$T1234=12),VLOOKUP($S1234,DOWN16,4,0),IF($T1234=12,ROUND(VLOOKUP(OP!$C$55,_DIE2,$S1234+1,0)*(Z1234/10000),0)+IF(AND($P$7="購買增額繳清保險",T1234=12,U1234=110),VLOOKUP(S1234,$B$10:$H$121,7,0),0),"")))</f>
        <v/>
      </c>
      <c r="AD1234" s="347"/>
      <c r="AE1234" s="350" t="str">
        <f t="shared" ca="1" si="761"/>
        <v/>
      </c>
      <c r="AF1234" s="351" t="str">
        <f t="shared" ca="1" si="762"/>
        <v/>
      </c>
      <c r="AG1234" s="340"/>
      <c r="AH1234" s="340"/>
      <c r="AI1234" s="340"/>
      <c r="AJ1234" s="340"/>
      <c r="AK1234" s="340"/>
      <c r="AL1234" s="340"/>
      <c r="AM1234" s="340"/>
      <c r="AN1234" s="340"/>
      <c r="AO1234" s="340"/>
      <c r="AP1234" s="340"/>
      <c r="AQ1234" s="340"/>
      <c r="AR1234" s="340"/>
      <c r="AS1234" s="340"/>
      <c r="AT1234" s="340"/>
      <c r="AU1234" s="340"/>
      <c r="AV1234" s="340"/>
      <c r="AY1234" s="340"/>
      <c r="AZ1234" s="465">
        <f t="shared" ca="1" si="772"/>
        <v>7.3698599999999999E-5</v>
      </c>
      <c r="BA1234" s="464">
        <f t="shared" ca="1" si="773"/>
        <v>0</v>
      </c>
      <c r="BB1234" s="465">
        <f t="shared" ca="1" si="773"/>
        <v>7.3698599999999999E-5</v>
      </c>
      <c r="BC1234" s="466">
        <f t="shared" ca="1" si="774"/>
        <v>80171</v>
      </c>
      <c r="BD1234" s="467">
        <f t="shared" ca="1" si="787"/>
        <v>80172</v>
      </c>
      <c r="BE1234" s="467">
        <f t="shared" ca="1" si="775"/>
        <v>80201</v>
      </c>
      <c r="BF1234" s="468">
        <f ca="1">IF(計算!$BC1234&lt;OP!$C$3,0,BD1234-BC1234)</f>
        <v>1</v>
      </c>
      <c r="BG1234" s="468">
        <f ca="1">IF($BE1234&gt;DATE(YEAR($BD$9)+OP!$C$57,MONTH($BD$9),DAY($BD$9)),0,$BE1234-$BD1234+1)</f>
        <v>0</v>
      </c>
      <c r="BH1234" s="469">
        <f t="shared" ca="1" si="776"/>
        <v>1</v>
      </c>
      <c r="BI1234" t="str">
        <f t="shared" si="758"/>
        <v/>
      </c>
      <c r="BJ1234">
        <v>1</v>
      </c>
      <c r="BN1234" s="468">
        <f t="shared" si="788"/>
        <v>103</v>
      </c>
      <c r="BO1234" s="468">
        <f t="shared" si="789"/>
        <v>1</v>
      </c>
      <c r="BP1234" s="467">
        <f t="shared" ca="1" si="777"/>
        <v>80172</v>
      </c>
      <c r="BQ1234" s="475">
        <f t="shared" ca="1" si="791"/>
        <v>135</v>
      </c>
      <c r="BR1234" s="475" t="str">
        <f t="shared" si="790"/>
        <v/>
      </c>
      <c r="BS1234" s="471" t="str">
        <f t="shared" si="778"/>
        <v/>
      </c>
      <c r="BT1234" s="472" t="str">
        <f t="shared" si="759"/>
        <v/>
      </c>
      <c r="BU1234" s="472">
        <f t="shared" ca="1" si="779"/>
        <v>0</v>
      </c>
      <c r="BV1234" s="472">
        <f t="shared" ca="1" si="779"/>
        <v>0</v>
      </c>
      <c r="BW1234" s="472"/>
      <c r="BX1234" s="473">
        <f t="shared" ca="1" si="780"/>
        <v>2814865.0628807298</v>
      </c>
      <c r="BY1234" s="473">
        <f t="shared" si="781"/>
        <v>0</v>
      </c>
      <c r="BZ1234" s="473">
        <f t="shared" ca="1" si="763"/>
        <v>207.451614323</v>
      </c>
      <c r="CA1234" s="476">
        <f t="shared" ca="1" si="782"/>
        <v>0</v>
      </c>
      <c r="CB1234" s="494">
        <f ca="1">IF(OR($Q1233&lt;&gt;1,OP!$D$5+$BN1234-1&lt;16,$BN1234-1&lt;1),0,ROUND(ROUND(ROUND(((VLOOKUP($BN1234-1,MORE_PV,5,0)/10000)*VLOOKUP($BN1234,MORE_PV,$CB$5,0)),3)*VLOOKUP($BN1234,more1,5,0),0)/$R1233,0))</f>
        <v>0</v>
      </c>
      <c r="CC1234" s="473">
        <f t="shared" ca="1" si="783"/>
        <v>0</v>
      </c>
      <c r="CD1234" s="477"/>
    </row>
    <row r="1235" spans="2:82" ht="16.5" hidden="1">
      <c r="B1235" s="80"/>
      <c r="C1235" s="80"/>
      <c r="D1235" s="80"/>
      <c r="E1235" s="80"/>
      <c r="F1235" s="80"/>
      <c r="G1235" s="80"/>
      <c r="H1235" s="80"/>
      <c r="I1235" s="80"/>
      <c r="J1235" s="192">
        <f t="shared" si="764"/>
        <v>103</v>
      </c>
      <c r="K1235" s="192">
        <f t="shared" si="765"/>
        <v>3</v>
      </c>
      <c r="L1235" s="192" t="str">
        <f t="shared" si="760"/>
        <v/>
      </c>
      <c r="M1235" s="216" t="str">
        <f t="shared" ca="1" si="766"/>
        <v/>
      </c>
      <c r="N1235" s="216"/>
      <c r="O1235" s="216"/>
      <c r="P1235" s="216"/>
      <c r="Q1235" s="456">
        <f t="shared" ca="1" si="767"/>
        <v>1</v>
      </c>
      <c r="R1235" s="450">
        <f t="shared" ca="1" si="768"/>
        <v>12</v>
      </c>
      <c r="S1235" s="191">
        <f t="shared" si="769"/>
        <v>103</v>
      </c>
      <c r="T1235" s="191">
        <f t="shared" si="770"/>
        <v>3</v>
      </c>
      <c r="U1235" s="191">
        <f ca="1">OP!$D$5+$S1235-1</f>
        <v>135</v>
      </c>
      <c r="V1235" s="191" t="str">
        <f t="shared" si="771"/>
        <v/>
      </c>
      <c r="W1235" s="350">
        <f ca="1">IF(Q1235&lt;&gt;1,0,VLOOKUP(OP!$C$55,PVFB,$S1235+2,0))</f>
        <v>0</v>
      </c>
      <c r="X1235" s="473" t="str">
        <f t="shared" ca="1" si="784"/>
        <v/>
      </c>
      <c r="Y1235" s="348">
        <f t="shared" ca="1" si="785"/>
        <v>0</v>
      </c>
      <c r="Z1235" s="348">
        <f t="shared" ca="1" si="786"/>
        <v>8012</v>
      </c>
      <c r="AA1235" s="348">
        <f ca="1">IF(Q1235&lt;&gt;1,0,VLOOKUP(OP!$C$55,PVFB,$S1235+2,0))</f>
        <v>0</v>
      </c>
      <c r="AB1235" s="488" t="str">
        <f ca="1">IF(AND(S1235&lt;OP!$C$24,$U1235&lt;15),0,IF(AND($U1235&lt;15,$T1235=12),ROUND(VLOOKUP($S1235,DOWN16,5,0),3),IF($T1235=12,ROUND(($Z1235/10000)*$AA1235,3)+IF(AND($P$7="購買增額繳清保險",T1235=12,U1235=110),VLOOKUP(S1235,$B$10:$H$121,7,0),0),"")))</f>
        <v/>
      </c>
      <c r="AC1235" s="350" t="str">
        <f ca="1">IF(AND(S1235&lt;OP!$C$24,$U1235&lt;15),0,IF(AND($U1235&lt;16,$T1235=12),VLOOKUP($S1235,DOWN16,4,0),IF($T1235=12,ROUND(VLOOKUP(OP!$C$55,_DIE2,$S1235+1,0)*(Z1235/10000),0)+IF(AND($P$7="購買增額繳清保險",T1235=12,U1235=110),VLOOKUP(S1235,$B$10:$H$121,7,0),0),"")))</f>
        <v/>
      </c>
      <c r="AD1235" s="347"/>
      <c r="AE1235" s="350" t="str">
        <f t="shared" ca="1" si="761"/>
        <v/>
      </c>
      <c r="AF1235" s="351" t="str">
        <f t="shared" ca="1" si="762"/>
        <v/>
      </c>
      <c r="AG1235" s="340"/>
      <c r="AH1235" s="340"/>
      <c r="AI1235" s="340"/>
      <c r="AJ1235" s="340"/>
      <c r="AK1235" s="340"/>
      <c r="AL1235" s="340"/>
      <c r="AM1235" s="340"/>
      <c r="AN1235" s="340"/>
      <c r="AO1235" s="340"/>
      <c r="AP1235" s="340"/>
      <c r="AQ1235" s="340"/>
      <c r="AR1235" s="340"/>
      <c r="AS1235" s="340"/>
      <c r="AT1235" s="340"/>
      <c r="AU1235" s="340"/>
      <c r="AV1235" s="340"/>
      <c r="AY1235" s="340"/>
      <c r="AZ1235" s="465">
        <f t="shared" ca="1" si="772"/>
        <v>7.3698599999999999E-5</v>
      </c>
      <c r="BA1235" s="464">
        <f t="shared" ca="1" si="773"/>
        <v>0</v>
      </c>
      <c r="BB1235" s="465">
        <f t="shared" ca="1" si="773"/>
        <v>7.3698599999999999E-5</v>
      </c>
      <c r="BC1235" s="466">
        <f t="shared" ca="1" si="774"/>
        <v>80202</v>
      </c>
      <c r="BD1235" s="467">
        <f t="shared" ca="1" si="787"/>
        <v>80203</v>
      </c>
      <c r="BE1235" s="467">
        <f t="shared" ca="1" si="775"/>
        <v>80232</v>
      </c>
      <c r="BF1235" s="468">
        <f ca="1">IF(計算!$BC1235&lt;OP!$C$3,0,BD1235-BC1235)</f>
        <v>1</v>
      </c>
      <c r="BG1235" s="468">
        <f ca="1">IF($BE1235&gt;DATE(YEAR($BD$9)+OP!$C$57,MONTH($BD$9),DAY($BD$9)),0,$BE1235-$BD1235+1)</f>
        <v>0</v>
      </c>
      <c r="BH1235" s="469">
        <f t="shared" ca="1" si="776"/>
        <v>1</v>
      </c>
      <c r="BI1235" t="str">
        <f t="shared" si="758"/>
        <v/>
      </c>
      <c r="BJ1235">
        <v>2</v>
      </c>
      <c r="BN1235" s="468">
        <f t="shared" si="788"/>
        <v>103</v>
      </c>
      <c r="BO1235" s="468">
        <f t="shared" si="789"/>
        <v>2</v>
      </c>
      <c r="BP1235" s="467">
        <f t="shared" ca="1" si="777"/>
        <v>80203</v>
      </c>
      <c r="BQ1235" s="475">
        <f t="shared" ca="1" si="791"/>
        <v>135</v>
      </c>
      <c r="BR1235" s="475" t="str">
        <f t="shared" si="790"/>
        <v/>
      </c>
      <c r="BS1235" s="471" t="str">
        <f t="shared" si="778"/>
        <v/>
      </c>
      <c r="BT1235" s="472" t="str">
        <f t="shared" si="759"/>
        <v/>
      </c>
      <c r="BU1235" s="472">
        <f t="shared" ca="1" si="779"/>
        <v>0</v>
      </c>
      <c r="BV1235" s="472">
        <f t="shared" ca="1" si="779"/>
        <v>0</v>
      </c>
      <c r="BW1235" s="472"/>
      <c r="BX1235" s="473">
        <f t="shared" ca="1" si="780"/>
        <v>2815072.5144950501</v>
      </c>
      <c r="BY1235" s="473">
        <f t="shared" si="781"/>
        <v>0</v>
      </c>
      <c r="BZ1235" s="473">
        <f t="shared" ca="1" si="763"/>
        <v>207.46690321700001</v>
      </c>
      <c r="CA1235" s="476">
        <f t="shared" ca="1" si="782"/>
        <v>0</v>
      </c>
      <c r="CB1235" s="494">
        <f ca="1">IF(OR($Q1234&lt;&gt;1,OP!$D$5+$BN1235-1&lt;16,$BN1235-1&lt;1),0,ROUND(ROUND(ROUND(((VLOOKUP($BN1235-1,MORE_PV,5,0)/10000)*VLOOKUP($BN1235,MORE_PV,$CB$5,0)),3)*VLOOKUP($BN1235,more1,5,0),0)/$R1234,0))</f>
        <v>0</v>
      </c>
      <c r="CC1235" s="473">
        <f t="shared" ca="1" si="783"/>
        <v>0</v>
      </c>
      <c r="CD1235" s="477"/>
    </row>
    <row r="1236" spans="2:82" ht="16.5" hidden="1">
      <c r="B1236" s="80"/>
      <c r="C1236" s="80"/>
      <c r="D1236" s="80"/>
      <c r="E1236" s="80"/>
      <c r="F1236" s="80"/>
      <c r="G1236" s="80"/>
      <c r="H1236" s="80"/>
      <c r="I1236" s="80"/>
      <c r="J1236" s="192">
        <f t="shared" si="764"/>
        <v>103</v>
      </c>
      <c r="K1236" s="192">
        <f t="shared" si="765"/>
        <v>4</v>
      </c>
      <c r="L1236" s="192" t="str">
        <f t="shared" si="760"/>
        <v/>
      </c>
      <c r="M1236" s="216" t="str">
        <f t="shared" ca="1" si="766"/>
        <v/>
      </c>
      <c r="N1236" s="216"/>
      <c r="O1236" s="216"/>
      <c r="P1236" s="216"/>
      <c r="Q1236" s="456">
        <f t="shared" ca="1" si="767"/>
        <v>1</v>
      </c>
      <c r="R1236" s="450">
        <f t="shared" ca="1" si="768"/>
        <v>12</v>
      </c>
      <c r="S1236" s="191">
        <f t="shared" si="769"/>
        <v>103</v>
      </c>
      <c r="T1236" s="191">
        <f t="shared" si="770"/>
        <v>4</v>
      </c>
      <c r="U1236" s="191">
        <f ca="1">OP!$D$5+$S1236-1</f>
        <v>135</v>
      </c>
      <c r="V1236" s="191" t="str">
        <f t="shared" si="771"/>
        <v/>
      </c>
      <c r="W1236" s="350">
        <f ca="1">IF(Q1236&lt;&gt;1,0,VLOOKUP(OP!$C$55,PVFB,$S1236+2,0))</f>
        <v>0</v>
      </c>
      <c r="X1236" s="473" t="str">
        <f t="shared" ca="1" si="784"/>
        <v/>
      </c>
      <c r="Y1236" s="348">
        <f t="shared" ca="1" si="785"/>
        <v>0</v>
      </c>
      <c r="Z1236" s="348">
        <f t="shared" ca="1" si="786"/>
        <v>8012</v>
      </c>
      <c r="AA1236" s="348">
        <f ca="1">IF(Q1236&lt;&gt;1,0,VLOOKUP(OP!$C$55,PVFB,$S1236+2,0))</f>
        <v>0</v>
      </c>
      <c r="AB1236" s="488" t="str">
        <f ca="1">IF(AND(S1236&lt;OP!$C$24,$U1236&lt;15),0,IF(AND($U1236&lt;15,$T1236=12),ROUND(VLOOKUP($S1236,DOWN16,5,0),3),IF($T1236=12,ROUND(($Z1236/10000)*$AA1236,3)+IF(AND($P$7="購買增額繳清保險",T1236=12,U1236=110),VLOOKUP(S1236,$B$10:$H$121,7,0),0),"")))</f>
        <v/>
      </c>
      <c r="AC1236" s="350" t="str">
        <f ca="1">IF(AND(S1236&lt;OP!$C$24,$U1236&lt;15),0,IF(AND($U1236&lt;16,$T1236=12),VLOOKUP($S1236,DOWN16,4,0),IF($T1236=12,ROUND(VLOOKUP(OP!$C$55,_DIE2,$S1236+1,0)*(Z1236/10000),0)+IF(AND($P$7="購買增額繳清保險",T1236=12,U1236=110),VLOOKUP(S1236,$B$10:$H$121,7,0),0),"")))</f>
        <v/>
      </c>
      <c r="AD1236" s="347"/>
      <c r="AE1236" s="350" t="str">
        <f t="shared" ca="1" si="761"/>
        <v/>
      </c>
      <c r="AF1236" s="351" t="str">
        <f t="shared" ca="1" si="762"/>
        <v/>
      </c>
      <c r="AG1236" s="340"/>
      <c r="AH1236" s="340"/>
      <c r="AI1236" s="340"/>
      <c r="AJ1236" s="340"/>
      <c r="AK1236" s="340"/>
      <c r="AL1236" s="340"/>
      <c r="AM1236" s="340"/>
      <c r="AN1236" s="340"/>
      <c r="AO1236" s="340"/>
      <c r="AP1236" s="340"/>
      <c r="AQ1236" s="340"/>
      <c r="AR1236" s="340"/>
      <c r="AS1236" s="340"/>
      <c r="AT1236" s="340"/>
      <c r="AU1236" s="340"/>
      <c r="AV1236" s="340"/>
      <c r="AY1236" s="340"/>
      <c r="AZ1236" s="465">
        <f t="shared" ca="1" si="772"/>
        <v>7.3698599999999999E-5</v>
      </c>
      <c r="BA1236" s="464">
        <f t="shared" ca="1" si="773"/>
        <v>0</v>
      </c>
      <c r="BB1236" s="465">
        <f t="shared" ca="1" si="773"/>
        <v>7.3698599999999999E-5</v>
      </c>
      <c r="BC1236" s="466">
        <f t="shared" ca="1" si="774"/>
        <v>80233</v>
      </c>
      <c r="BD1236" s="467">
        <f t="shared" ca="1" si="787"/>
        <v>80234</v>
      </c>
      <c r="BE1236" s="467">
        <f t="shared" ca="1" si="775"/>
        <v>80262</v>
      </c>
      <c r="BF1236" s="468">
        <f ca="1">IF(計算!$BC1236&lt;OP!$C$3,0,BD1236-BC1236)</f>
        <v>1</v>
      </c>
      <c r="BG1236" s="468">
        <f ca="1">IF($BE1236&gt;DATE(YEAR($BD$9)+OP!$C$57,MONTH($BD$9),DAY($BD$9)),0,$BE1236-$BD1236+1)</f>
        <v>0</v>
      </c>
      <c r="BH1236" s="469">
        <f t="shared" ca="1" si="776"/>
        <v>1</v>
      </c>
      <c r="BI1236" t="str">
        <f t="shared" si="758"/>
        <v/>
      </c>
      <c r="BJ1236">
        <v>3</v>
      </c>
      <c r="BN1236" s="468">
        <f t="shared" si="788"/>
        <v>103</v>
      </c>
      <c r="BO1236" s="468">
        <f t="shared" si="789"/>
        <v>3</v>
      </c>
      <c r="BP1236" s="467">
        <f t="shared" ca="1" si="777"/>
        <v>80234</v>
      </c>
      <c r="BQ1236" s="475">
        <f t="shared" ca="1" si="791"/>
        <v>135</v>
      </c>
      <c r="BR1236" s="475" t="str">
        <f t="shared" si="790"/>
        <v/>
      </c>
      <c r="BS1236" s="471" t="str">
        <f t="shared" si="778"/>
        <v/>
      </c>
      <c r="BT1236" s="472" t="str">
        <f t="shared" si="759"/>
        <v/>
      </c>
      <c r="BU1236" s="472">
        <f t="shared" ca="1" si="779"/>
        <v>0</v>
      </c>
      <c r="BV1236" s="472">
        <f t="shared" ca="1" si="779"/>
        <v>0</v>
      </c>
      <c r="BW1236" s="472"/>
      <c r="BX1236" s="473">
        <f t="shared" ca="1" si="780"/>
        <v>2815279.98139827</v>
      </c>
      <c r="BY1236" s="473">
        <f t="shared" si="781"/>
        <v>0</v>
      </c>
      <c r="BZ1236" s="473">
        <f t="shared" ca="1" si="763"/>
        <v>207.48219323699999</v>
      </c>
      <c r="CA1236" s="476">
        <f t="shared" ca="1" si="782"/>
        <v>0</v>
      </c>
      <c r="CB1236" s="494">
        <f ca="1">IF(OR($Q1235&lt;&gt;1,OP!$D$5+$BN1236-1&lt;16,$BN1236-1&lt;1),0,ROUND(ROUND(ROUND(((VLOOKUP($BN1236-1,MORE_PV,5,0)/10000)*VLOOKUP($BN1236,MORE_PV,$CB$5,0)),3)*VLOOKUP($BN1236,more1,5,0),0)/$R1235,0))</f>
        <v>0</v>
      </c>
      <c r="CC1236" s="473">
        <f t="shared" ca="1" si="783"/>
        <v>0</v>
      </c>
      <c r="CD1236" s="477"/>
    </row>
    <row r="1237" spans="2:82" ht="16.5" hidden="1">
      <c r="B1237" s="80"/>
      <c r="C1237" s="80"/>
      <c r="D1237" s="80"/>
      <c r="E1237" s="80"/>
      <c r="F1237" s="80"/>
      <c r="G1237" s="80"/>
      <c r="H1237" s="80"/>
      <c r="I1237" s="80"/>
      <c r="J1237" s="192">
        <f t="shared" si="764"/>
        <v>103</v>
      </c>
      <c r="K1237" s="192">
        <f t="shared" si="765"/>
        <v>5</v>
      </c>
      <c r="L1237" s="192" t="str">
        <f t="shared" si="760"/>
        <v/>
      </c>
      <c r="M1237" s="216" t="str">
        <f t="shared" ca="1" si="766"/>
        <v/>
      </c>
      <c r="N1237" s="216"/>
      <c r="O1237" s="216"/>
      <c r="P1237" s="216"/>
      <c r="Q1237" s="456">
        <f t="shared" ca="1" si="767"/>
        <v>1</v>
      </c>
      <c r="R1237" s="450">
        <f t="shared" ca="1" si="768"/>
        <v>12</v>
      </c>
      <c r="S1237" s="191">
        <f t="shared" si="769"/>
        <v>103</v>
      </c>
      <c r="T1237" s="191">
        <f t="shared" si="770"/>
        <v>5</v>
      </c>
      <c r="U1237" s="191">
        <f ca="1">OP!$D$5+$S1237-1</f>
        <v>135</v>
      </c>
      <c r="V1237" s="191" t="str">
        <f t="shared" si="771"/>
        <v/>
      </c>
      <c r="W1237" s="350">
        <f ca="1">IF(Q1237&lt;&gt;1,0,VLOOKUP(OP!$C$55,PVFB,$S1237+2,0))</f>
        <v>0</v>
      </c>
      <c r="X1237" s="473" t="str">
        <f t="shared" ca="1" si="784"/>
        <v/>
      </c>
      <c r="Y1237" s="348">
        <f t="shared" ca="1" si="785"/>
        <v>0</v>
      </c>
      <c r="Z1237" s="348">
        <f t="shared" ca="1" si="786"/>
        <v>8012</v>
      </c>
      <c r="AA1237" s="348">
        <f ca="1">IF(Q1237&lt;&gt;1,0,VLOOKUP(OP!$C$55,PVFB,$S1237+2,0))</f>
        <v>0</v>
      </c>
      <c r="AB1237" s="488" t="str">
        <f ca="1">IF(AND(S1237&lt;OP!$C$24,$U1237&lt;15),0,IF(AND($U1237&lt;15,$T1237=12),ROUND(VLOOKUP($S1237,DOWN16,5,0),3),IF($T1237=12,ROUND(($Z1237/10000)*$AA1237,3)+IF(AND($P$7="購買增額繳清保險",T1237=12,U1237=110),VLOOKUP(S1237,$B$10:$H$121,7,0),0),"")))</f>
        <v/>
      </c>
      <c r="AC1237" s="350" t="str">
        <f ca="1">IF(AND(S1237&lt;OP!$C$24,$U1237&lt;15),0,IF(AND($U1237&lt;16,$T1237=12),VLOOKUP($S1237,DOWN16,4,0),IF($T1237=12,ROUND(VLOOKUP(OP!$C$55,_DIE2,$S1237+1,0)*(Z1237/10000),0)+IF(AND($P$7="購買增額繳清保險",T1237=12,U1237=110),VLOOKUP(S1237,$B$10:$H$121,7,0),0),"")))</f>
        <v/>
      </c>
      <c r="AD1237" s="347"/>
      <c r="AE1237" s="350" t="str">
        <f t="shared" ca="1" si="761"/>
        <v/>
      </c>
      <c r="AF1237" s="351" t="str">
        <f t="shared" ca="1" si="762"/>
        <v/>
      </c>
      <c r="AG1237" s="340"/>
      <c r="AH1237" s="340"/>
      <c r="AI1237" s="340"/>
      <c r="AJ1237" s="340"/>
      <c r="AK1237" s="340"/>
      <c r="AL1237" s="340"/>
      <c r="AM1237" s="340"/>
      <c r="AN1237" s="340"/>
      <c r="AO1237" s="340"/>
      <c r="AP1237" s="340"/>
      <c r="AQ1237" s="340"/>
      <c r="AR1237" s="340"/>
      <c r="AS1237" s="340"/>
      <c r="AT1237" s="340"/>
      <c r="AU1237" s="340"/>
      <c r="AV1237" s="340"/>
      <c r="AY1237" s="340"/>
      <c r="AZ1237" s="465">
        <f t="shared" ca="1" si="772"/>
        <v>7.3698599999999999E-5</v>
      </c>
      <c r="BA1237" s="464">
        <f t="shared" ca="1" si="773"/>
        <v>0</v>
      </c>
      <c r="BB1237" s="465">
        <f t="shared" ca="1" si="773"/>
        <v>7.3698599999999999E-5</v>
      </c>
      <c r="BC1237" s="466">
        <f t="shared" ca="1" si="774"/>
        <v>80263</v>
      </c>
      <c r="BD1237" s="467">
        <f t="shared" ca="1" si="787"/>
        <v>80264</v>
      </c>
      <c r="BE1237" s="467">
        <f t="shared" ca="1" si="775"/>
        <v>80293</v>
      </c>
      <c r="BF1237" s="468">
        <f ca="1">IF(計算!$BC1237&lt;OP!$C$3,0,BD1237-BC1237)</f>
        <v>1</v>
      </c>
      <c r="BG1237" s="468">
        <f ca="1">IF($BE1237&gt;DATE(YEAR($BD$9)+OP!$C$57,MONTH($BD$9),DAY($BD$9)),0,$BE1237-$BD1237+1)</f>
        <v>0</v>
      </c>
      <c r="BH1237" s="469">
        <f t="shared" ca="1" si="776"/>
        <v>1</v>
      </c>
      <c r="BI1237" t="str">
        <f t="shared" ref="BI1237:BI1300" si="792">IF(BJ1237=12,BD1237-BD1225,"")</f>
        <v/>
      </c>
      <c r="BJ1237">
        <v>4</v>
      </c>
      <c r="BN1237" s="468">
        <f t="shared" si="788"/>
        <v>103</v>
      </c>
      <c r="BO1237" s="468">
        <f t="shared" si="789"/>
        <v>4</v>
      </c>
      <c r="BP1237" s="467">
        <f t="shared" ca="1" si="777"/>
        <v>80264</v>
      </c>
      <c r="BQ1237" s="475">
        <f t="shared" ca="1" si="791"/>
        <v>135</v>
      </c>
      <c r="BR1237" s="475" t="str">
        <f t="shared" si="790"/>
        <v/>
      </c>
      <c r="BS1237" s="471" t="str">
        <f t="shared" si="778"/>
        <v/>
      </c>
      <c r="BT1237" s="472" t="str">
        <f t="shared" si="759"/>
        <v/>
      </c>
      <c r="BU1237" s="472">
        <f t="shared" ca="1" si="779"/>
        <v>0</v>
      </c>
      <c r="BV1237" s="472">
        <f t="shared" ca="1" si="779"/>
        <v>0</v>
      </c>
      <c r="BW1237" s="472"/>
      <c r="BX1237" s="473">
        <f t="shared" ca="1" si="780"/>
        <v>2815487.46359151</v>
      </c>
      <c r="BY1237" s="473">
        <f t="shared" si="781"/>
        <v>0</v>
      </c>
      <c r="BZ1237" s="473">
        <f t="shared" ca="1" si="763"/>
        <v>207.49748438399999</v>
      </c>
      <c r="CA1237" s="476">
        <f t="shared" ca="1" si="782"/>
        <v>0</v>
      </c>
      <c r="CB1237" s="494">
        <f ca="1">IF(OR($Q1236&lt;&gt;1,OP!$D$5+$BN1237-1&lt;16,$BN1237-1&lt;1),0,ROUND(ROUND(ROUND(((VLOOKUP($BN1237-1,MORE_PV,5,0)/10000)*VLOOKUP($BN1237,MORE_PV,$CB$5,0)),3)*VLOOKUP($BN1237,more1,5,0),0)/$R1236,0))</f>
        <v>0</v>
      </c>
      <c r="CC1237" s="473">
        <f t="shared" ca="1" si="783"/>
        <v>0</v>
      </c>
      <c r="CD1237" s="477"/>
    </row>
    <row r="1238" spans="2:82" ht="16.5" hidden="1">
      <c r="B1238" s="80"/>
      <c r="C1238" s="80"/>
      <c r="D1238" s="80"/>
      <c r="E1238" s="80"/>
      <c r="F1238" s="80"/>
      <c r="G1238" s="80"/>
      <c r="H1238" s="80"/>
      <c r="I1238" s="80"/>
      <c r="J1238" s="192">
        <f t="shared" si="764"/>
        <v>103</v>
      </c>
      <c r="K1238" s="192">
        <f t="shared" si="765"/>
        <v>6</v>
      </c>
      <c r="L1238" s="192" t="str">
        <f t="shared" si="760"/>
        <v/>
      </c>
      <c r="M1238" s="216" t="str">
        <f t="shared" ca="1" si="766"/>
        <v/>
      </c>
      <c r="N1238" s="216"/>
      <c r="O1238" s="216"/>
      <c r="P1238" s="216"/>
      <c r="Q1238" s="456">
        <f t="shared" ca="1" si="767"/>
        <v>1</v>
      </c>
      <c r="R1238" s="450">
        <f t="shared" ca="1" si="768"/>
        <v>12</v>
      </c>
      <c r="S1238" s="191">
        <f t="shared" si="769"/>
        <v>103</v>
      </c>
      <c r="T1238" s="191">
        <f t="shared" si="770"/>
        <v>6</v>
      </c>
      <c r="U1238" s="191">
        <f ca="1">OP!$D$5+$S1238-1</f>
        <v>135</v>
      </c>
      <c r="V1238" s="191" t="str">
        <f t="shared" si="771"/>
        <v/>
      </c>
      <c r="W1238" s="350">
        <f ca="1">IF(Q1238&lt;&gt;1,0,VLOOKUP(OP!$C$55,PVFB,$S1238+2,0))</f>
        <v>0</v>
      </c>
      <c r="X1238" s="473" t="str">
        <f t="shared" ca="1" si="784"/>
        <v/>
      </c>
      <c r="Y1238" s="348">
        <f t="shared" ca="1" si="785"/>
        <v>0</v>
      </c>
      <c r="Z1238" s="348">
        <f t="shared" ca="1" si="786"/>
        <v>8012</v>
      </c>
      <c r="AA1238" s="348">
        <f ca="1">IF(Q1238&lt;&gt;1,0,VLOOKUP(OP!$C$55,PVFB,$S1238+2,0))</f>
        <v>0</v>
      </c>
      <c r="AB1238" s="488" t="str">
        <f ca="1">IF(AND(S1238&lt;OP!$C$24,$U1238&lt;15),0,IF(AND($U1238&lt;15,$T1238=12),ROUND(VLOOKUP($S1238,DOWN16,5,0),3),IF($T1238=12,ROUND(($Z1238/10000)*$AA1238,3)+IF(AND($P$7="購買增額繳清保險",T1238=12,U1238=110),VLOOKUP(S1238,$B$10:$H$121,7,0),0),"")))</f>
        <v/>
      </c>
      <c r="AC1238" s="350" t="str">
        <f ca="1">IF(AND(S1238&lt;OP!$C$24,$U1238&lt;15),0,IF(AND($U1238&lt;16,$T1238=12),VLOOKUP($S1238,DOWN16,4,0),IF($T1238=12,ROUND(VLOOKUP(OP!$C$55,_DIE2,$S1238+1,0)*(Z1238/10000),0)+IF(AND($P$7="購買增額繳清保險",T1238=12,U1238=110),VLOOKUP(S1238,$B$10:$H$121,7,0),0),"")))</f>
        <v/>
      </c>
      <c r="AD1238" s="347"/>
      <c r="AE1238" s="350" t="str">
        <f t="shared" ca="1" si="761"/>
        <v/>
      </c>
      <c r="AF1238" s="351" t="str">
        <f t="shared" ca="1" si="762"/>
        <v/>
      </c>
      <c r="AG1238" s="340"/>
      <c r="AH1238" s="340"/>
      <c r="AI1238" s="340"/>
      <c r="AJ1238" s="340"/>
      <c r="AK1238" s="340"/>
      <c r="AL1238" s="340"/>
      <c r="AM1238" s="340"/>
      <c r="AN1238" s="340"/>
      <c r="AO1238" s="340"/>
      <c r="AP1238" s="340"/>
      <c r="AQ1238" s="340"/>
      <c r="AR1238" s="340"/>
      <c r="AS1238" s="340"/>
      <c r="AT1238" s="340"/>
      <c r="AU1238" s="340"/>
      <c r="AV1238" s="340"/>
      <c r="AY1238" s="340"/>
      <c r="AZ1238" s="465">
        <f t="shared" ca="1" si="772"/>
        <v>7.3698599999999999E-5</v>
      </c>
      <c r="BA1238" s="464">
        <f t="shared" ca="1" si="773"/>
        <v>0</v>
      </c>
      <c r="BB1238" s="465">
        <f t="shared" ca="1" si="773"/>
        <v>7.3698599999999999E-5</v>
      </c>
      <c r="BC1238" s="466">
        <f t="shared" ca="1" si="774"/>
        <v>80294</v>
      </c>
      <c r="BD1238" s="467">
        <f t="shared" ca="1" si="787"/>
        <v>80295</v>
      </c>
      <c r="BE1238" s="467">
        <f t="shared" ca="1" si="775"/>
        <v>80323</v>
      </c>
      <c r="BF1238" s="468">
        <f ca="1">IF(計算!$BC1238&lt;OP!$C$3,0,BD1238-BC1238)</f>
        <v>1</v>
      </c>
      <c r="BG1238" s="468">
        <f ca="1">IF($BE1238&gt;DATE(YEAR($BD$9)+OP!$C$57,MONTH($BD$9),DAY($BD$9)),0,$BE1238-$BD1238+1)</f>
        <v>0</v>
      </c>
      <c r="BH1238" s="469">
        <f t="shared" ca="1" si="776"/>
        <v>1</v>
      </c>
      <c r="BI1238" t="str">
        <f t="shared" si="792"/>
        <v/>
      </c>
      <c r="BJ1238">
        <v>5</v>
      </c>
      <c r="BN1238" s="468">
        <f t="shared" si="788"/>
        <v>103</v>
      </c>
      <c r="BO1238" s="468">
        <f t="shared" si="789"/>
        <v>5</v>
      </c>
      <c r="BP1238" s="467">
        <f t="shared" ca="1" si="777"/>
        <v>80295</v>
      </c>
      <c r="BQ1238" s="475">
        <f t="shared" ca="1" si="791"/>
        <v>135</v>
      </c>
      <c r="BR1238" s="475" t="str">
        <f t="shared" si="790"/>
        <v/>
      </c>
      <c r="BS1238" s="471" t="str">
        <f t="shared" si="778"/>
        <v/>
      </c>
      <c r="BT1238" s="472" t="str">
        <f t="shared" ref="BT1238:BT1301" si="793">IF(BW1238&lt;&gt;"",IF(BN1238&gt;=$P$4+1,ROUND(BU1238,0)+ROUND(BV1238,0)+ROUND(BW1238,0)+BT1226,0),"")</f>
        <v/>
      </c>
      <c r="BU1238" s="472">
        <f t="shared" ca="1" si="779"/>
        <v>0</v>
      </c>
      <c r="BV1238" s="472">
        <f t="shared" ca="1" si="779"/>
        <v>0</v>
      </c>
      <c r="BW1238" s="472"/>
      <c r="BX1238" s="473">
        <f t="shared" ca="1" si="780"/>
        <v>2815694.9610758899</v>
      </c>
      <c r="BY1238" s="473">
        <f t="shared" si="781"/>
        <v>0</v>
      </c>
      <c r="BZ1238" s="473">
        <f t="shared" ca="1" si="763"/>
        <v>207.51277665800001</v>
      </c>
      <c r="CA1238" s="476">
        <f t="shared" ca="1" si="782"/>
        <v>0</v>
      </c>
      <c r="CB1238" s="494">
        <f ca="1">IF(OR($Q1237&lt;&gt;1,OP!$D$5+$BN1238-1&lt;16,$BN1238-1&lt;1),0,ROUND(ROUND(ROUND(((VLOOKUP($BN1238-1,MORE_PV,5,0)/10000)*VLOOKUP($BN1238,MORE_PV,$CB$5,0)),3)*VLOOKUP($BN1238,more1,5,0),0)/$R1237,0))</f>
        <v>0</v>
      </c>
      <c r="CC1238" s="473">
        <f t="shared" ca="1" si="783"/>
        <v>0</v>
      </c>
      <c r="CD1238" s="477"/>
    </row>
    <row r="1239" spans="2:82" ht="16.5" hidden="1">
      <c r="B1239" s="80"/>
      <c r="C1239" s="80"/>
      <c r="D1239" s="80"/>
      <c r="E1239" s="80"/>
      <c r="F1239" s="80"/>
      <c r="G1239" s="80"/>
      <c r="H1239" s="80"/>
      <c r="I1239" s="80"/>
      <c r="J1239" s="192">
        <f t="shared" si="764"/>
        <v>103</v>
      </c>
      <c r="K1239" s="192">
        <f t="shared" si="765"/>
        <v>7</v>
      </c>
      <c r="L1239" s="192" t="str">
        <f t="shared" si="760"/>
        <v/>
      </c>
      <c r="M1239" s="216" t="str">
        <f t="shared" ca="1" si="766"/>
        <v/>
      </c>
      <c r="N1239" s="216"/>
      <c r="O1239" s="216"/>
      <c r="P1239" s="216"/>
      <c r="Q1239" s="456">
        <f t="shared" ca="1" si="767"/>
        <v>1</v>
      </c>
      <c r="R1239" s="450">
        <f t="shared" ca="1" si="768"/>
        <v>12</v>
      </c>
      <c r="S1239" s="191">
        <f t="shared" si="769"/>
        <v>103</v>
      </c>
      <c r="T1239" s="191">
        <f t="shared" si="770"/>
        <v>7</v>
      </c>
      <c r="U1239" s="191">
        <f ca="1">OP!$D$5+$S1239-1</f>
        <v>135</v>
      </c>
      <c r="V1239" s="191" t="str">
        <f t="shared" si="771"/>
        <v/>
      </c>
      <c r="W1239" s="350">
        <f ca="1">IF(Q1239&lt;&gt;1,0,VLOOKUP(OP!$C$55,PVFB,$S1239+2,0))</f>
        <v>0</v>
      </c>
      <c r="X1239" s="473" t="str">
        <f t="shared" ca="1" si="784"/>
        <v/>
      </c>
      <c r="Y1239" s="348">
        <f t="shared" ca="1" si="785"/>
        <v>0</v>
      </c>
      <c r="Z1239" s="348">
        <f t="shared" ca="1" si="786"/>
        <v>8012</v>
      </c>
      <c r="AA1239" s="348">
        <f ca="1">IF(Q1239&lt;&gt;1,0,VLOOKUP(OP!$C$55,PVFB,$S1239+2,0))</f>
        <v>0</v>
      </c>
      <c r="AB1239" s="488" t="str">
        <f ca="1">IF(AND(S1239&lt;OP!$C$24,$U1239&lt;15),0,IF(AND($U1239&lt;15,$T1239=12),ROUND(VLOOKUP($S1239,DOWN16,5,0),3),IF($T1239=12,ROUND(($Z1239/10000)*$AA1239,3)+IF(AND($P$7="購買增額繳清保險",T1239=12,U1239=110),VLOOKUP(S1239,$B$10:$H$121,7,0),0),"")))</f>
        <v/>
      </c>
      <c r="AC1239" s="350" t="str">
        <f ca="1">IF(AND(S1239&lt;OP!$C$24,$U1239&lt;15),0,IF(AND($U1239&lt;16,$T1239=12),VLOOKUP($S1239,DOWN16,4,0),IF($T1239=12,ROUND(VLOOKUP(OP!$C$55,_DIE2,$S1239+1,0)*(Z1239/10000),0)+IF(AND($P$7="購買增額繳清保險",T1239=12,U1239=110),VLOOKUP(S1239,$B$10:$H$121,7,0),0),"")))</f>
        <v/>
      </c>
      <c r="AD1239" s="347"/>
      <c r="AE1239" s="350" t="str">
        <f t="shared" ca="1" si="761"/>
        <v/>
      </c>
      <c r="AF1239" s="351" t="str">
        <f t="shared" ca="1" si="762"/>
        <v/>
      </c>
      <c r="AG1239" s="340"/>
      <c r="AH1239" s="340"/>
      <c r="AI1239" s="340"/>
      <c r="AJ1239" s="340"/>
      <c r="AK1239" s="340"/>
      <c r="AL1239" s="340"/>
      <c r="AM1239" s="340"/>
      <c r="AN1239" s="340"/>
      <c r="AO1239" s="340"/>
      <c r="AP1239" s="340"/>
      <c r="AQ1239" s="340"/>
      <c r="AR1239" s="340"/>
      <c r="AS1239" s="340"/>
      <c r="AT1239" s="340"/>
      <c r="AU1239" s="340"/>
      <c r="AV1239" s="340"/>
      <c r="AY1239" s="340"/>
      <c r="AZ1239" s="465">
        <f t="shared" ca="1" si="772"/>
        <v>7.3698599999999999E-5</v>
      </c>
      <c r="BA1239" s="464">
        <f t="shared" ca="1" si="773"/>
        <v>0</v>
      </c>
      <c r="BB1239" s="465">
        <f t="shared" ca="1" si="773"/>
        <v>7.3698599999999999E-5</v>
      </c>
      <c r="BC1239" s="466">
        <f t="shared" ca="1" si="774"/>
        <v>80324</v>
      </c>
      <c r="BD1239" s="467">
        <f t="shared" ca="1" si="787"/>
        <v>80325</v>
      </c>
      <c r="BE1239" s="467">
        <f t="shared" ca="1" si="775"/>
        <v>80354</v>
      </c>
      <c r="BF1239" s="468">
        <f ca="1">IF(計算!$BC1239&lt;OP!$C$3,0,BD1239-BC1239)</f>
        <v>1</v>
      </c>
      <c r="BG1239" s="468">
        <f ca="1">IF($BE1239&gt;DATE(YEAR($BD$9)+OP!$C$57,MONTH($BD$9),DAY($BD$9)),0,$BE1239-$BD1239+1)</f>
        <v>0</v>
      </c>
      <c r="BH1239" s="469">
        <f t="shared" ca="1" si="776"/>
        <v>1</v>
      </c>
      <c r="BI1239" t="str">
        <f t="shared" si="792"/>
        <v/>
      </c>
      <c r="BJ1239">
        <v>6</v>
      </c>
      <c r="BN1239" s="468">
        <f t="shared" si="788"/>
        <v>103</v>
      </c>
      <c r="BO1239" s="468">
        <f t="shared" si="789"/>
        <v>6</v>
      </c>
      <c r="BP1239" s="467">
        <f t="shared" ca="1" si="777"/>
        <v>80325</v>
      </c>
      <c r="BQ1239" s="475">
        <f t="shared" ca="1" si="791"/>
        <v>135</v>
      </c>
      <c r="BR1239" s="475" t="str">
        <f t="shared" si="790"/>
        <v/>
      </c>
      <c r="BS1239" s="471" t="str">
        <f t="shared" si="778"/>
        <v/>
      </c>
      <c r="BT1239" s="472" t="str">
        <f t="shared" si="793"/>
        <v/>
      </c>
      <c r="BU1239" s="472">
        <f t="shared" ca="1" si="779"/>
        <v>0</v>
      </c>
      <c r="BV1239" s="472">
        <f t="shared" ca="1" si="779"/>
        <v>0</v>
      </c>
      <c r="BW1239" s="472"/>
      <c r="BX1239" s="473">
        <f t="shared" ca="1" si="780"/>
        <v>2815902.4738525501</v>
      </c>
      <c r="BY1239" s="473">
        <f t="shared" si="781"/>
        <v>0</v>
      </c>
      <c r="BZ1239" s="473">
        <f t="shared" ca="1" si="763"/>
        <v>207.52807005899999</v>
      </c>
      <c r="CA1239" s="476">
        <f t="shared" ca="1" si="782"/>
        <v>0</v>
      </c>
      <c r="CB1239" s="494">
        <f ca="1">IF(OR($Q1238&lt;&gt;1,OP!$D$5+$BN1239-1&lt;16,$BN1239-1&lt;1),0,ROUND(ROUND(ROUND(((VLOOKUP($BN1239-1,MORE_PV,5,0)/10000)*VLOOKUP($BN1239,MORE_PV,$CB$5,0)),3)*VLOOKUP($BN1239,more1,5,0),0)/$R1238,0))</f>
        <v>0</v>
      </c>
      <c r="CC1239" s="473">
        <f t="shared" ca="1" si="783"/>
        <v>0</v>
      </c>
      <c r="CD1239" s="477"/>
    </row>
    <row r="1240" spans="2:82" ht="16.5" hidden="1">
      <c r="B1240" s="80"/>
      <c r="C1240" s="80"/>
      <c r="D1240" s="80"/>
      <c r="E1240" s="80"/>
      <c r="F1240" s="80"/>
      <c r="G1240" s="80"/>
      <c r="H1240" s="80"/>
      <c r="I1240" s="80"/>
      <c r="J1240" s="192">
        <f t="shared" si="764"/>
        <v>103</v>
      </c>
      <c r="K1240" s="192">
        <f t="shared" si="765"/>
        <v>8</v>
      </c>
      <c r="L1240" s="192" t="str">
        <f t="shared" si="760"/>
        <v/>
      </c>
      <c r="M1240" s="216" t="str">
        <f t="shared" ca="1" si="766"/>
        <v/>
      </c>
      <c r="N1240" s="216"/>
      <c r="O1240" s="216"/>
      <c r="P1240" s="216"/>
      <c r="Q1240" s="456">
        <f t="shared" ca="1" si="767"/>
        <v>1</v>
      </c>
      <c r="R1240" s="450">
        <f t="shared" ca="1" si="768"/>
        <v>12</v>
      </c>
      <c r="S1240" s="191">
        <f t="shared" si="769"/>
        <v>103</v>
      </c>
      <c r="T1240" s="191">
        <f t="shared" si="770"/>
        <v>8</v>
      </c>
      <c r="U1240" s="191">
        <f ca="1">OP!$D$5+$S1240-1</f>
        <v>135</v>
      </c>
      <c r="V1240" s="191" t="str">
        <f t="shared" si="771"/>
        <v/>
      </c>
      <c r="W1240" s="350">
        <f ca="1">IF(Q1240&lt;&gt;1,0,VLOOKUP(OP!$C$55,PVFB,$S1240+2,0))</f>
        <v>0</v>
      </c>
      <c r="X1240" s="473" t="str">
        <f t="shared" ca="1" si="784"/>
        <v/>
      </c>
      <c r="Y1240" s="348">
        <f t="shared" ca="1" si="785"/>
        <v>0</v>
      </c>
      <c r="Z1240" s="348">
        <f t="shared" ca="1" si="786"/>
        <v>8012</v>
      </c>
      <c r="AA1240" s="348">
        <f ca="1">IF(Q1240&lt;&gt;1,0,VLOOKUP(OP!$C$55,PVFB,$S1240+2,0))</f>
        <v>0</v>
      </c>
      <c r="AB1240" s="488" t="str">
        <f ca="1">IF(AND(S1240&lt;OP!$C$24,$U1240&lt;15),0,IF(AND($U1240&lt;15,$T1240=12),ROUND(VLOOKUP($S1240,DOWN16,5,0),3),IF($T1240=12,ROUND(($Z1240/10000)*$AA1240,3)+IF(AND($P$7="購買增額繳清保險",T1240=12,U1240=110),VLOOKUP(S1240,$B$10:$H$121,7,0),0),"")))</f>
        <v/>
      </c>
      <c r="AC1240" s="350" t="str">
        <f ca="1">IF(AND(S1240&lt;OP!$C$24,$U1240&lt;15),0,IF(AND($U1240&lt;16,$T1240=12),VLOOKUP($S1240,DOWN16,4,0),IF($T1240=12,ROUND(VLOOKUP(OP!$C$55,_DIE2,$S1240+1,0)*(Z1240/10000),0)+IF(AND($P$7="購買增額繳清保險",T1240=12,U1240=110),VLOOKUP(S1240,$B$10:$H$121,7,0),0),"")))</f>
        <v/>
      </c>
      <c r="AD1240" s="347"/>
      <c r="AE1240" s="350" t="str">
        <f t="shared" ca="1" si="761"/>
        <v/>
      </c>
      <c r="AF1240" s="351" t="str">
        <f t="shared" ca="1" si="762"/>
        <v/>
      </c>
      <c r="AG1240" s="340"/>
      <c r="AH1240" s="340"/>
      <c r="AI1240" s="340"/>
      <c r="AJ1240" s="340"/>
      <c r="AK1240" s="340"/>
      <c r="AL1240" s="340"/>
      <c r="AM1240" s="340"/>
      <c r="AN1240" s="340"/>
      <c r="AO1240" s="340"/>
      <c r="AP1240" s="340"/>
      <c r="AQ1240" s="340"/>
      <c r="AR1240" s="340"/>
      <c r="AS1240" s="340"/>
      <c r="AT1240" s="340"/>
      <c r="AU1240" s="340"/>
      <c r="AV1240" s="340"/>
      <c r="AY1240" s="340"/>
      <c r="AZ1240" s="465">
        <f t="shared" ca="1" si="772"/>
        <v>7.3698599999999999E-5</v>
      </c>
      <c r="BA1240" s="464">
        <f t="shared" ca="1" si="773"/>
        <v>0</v>
      </c>
      <c r="BB1240" s="465">
        <f t="shared" ca="1" si="773"/>
        <v>7.3698599999999999E-5</v>
      </c>
      <c r="BC1240" s="466">
        <f t="shared" ca="1" si="774"/>
        <v>80355</v>
      </c>
      <c r="BD1240" s="467">
        <f t="shared" ca="1" si="787"/>
        <v>80356</v>
      </c>
      <c r="BE1240" s="467">
        <f t="shared" ca="1" si="775"/>
        <v>80385</v>
      </c>
      <c r="BF1240" s="468">
        <f ca="1">IF(計算!$BC1240&lt;OP!$C$3,0,BD1240-BC1240)</f>
        <v>1</v>
      </c>
      <c r="BG1240" s="468">
        <f ca="1">IF($BE1240&gt;DATE(YEAR($BD$9)+OP!$C$57,MONTH($BD$9),DAY($BD$9)),0,$BE1240-$BD1240+1)</f>
        <v>0</v>
      </c>
      <c r="BH1240" s="469">
        <f t="shared" ca="1" si="776"/>
        <v>1</v>
      </c>
      <c r="BI1240" t="str">
        <f t="shared" si="792"/>
        <v/>
      </c>
      <c r="BJ1240">
        <v>7</v>
      </c>
      <c r="BN1240" s="468">
        <f t="shared" si="788"/>
        <v>103</v>
      </c>
      <c r="BO1240" s="468">
        <f t="shared" si="789"/>
        <v>7</v>
      </c>
      <c r="BP1240" s="467">
        <f t="shared" ca="1" si="777"/>
        <v>80356</v>
      </c>
      <c r="BQ1240" s="475">
        <f t="shared" ca="1" si="791"/>
        <v>135</v>
      </c>
      <c r="BR1240" s="475" t="str">
        <f t="shared" si="790"/>
        <v/>
      </c>
      <c r="BS1240" s="471" t="str">
        <f t="shared" si="778"/>
        <v/>
      </c>
      <c r="BT1240" s="472" t="str">
        <f t="shared" si="793"/>
        <v/>
      </c>
      <c r="BU1240" s="472">
        <f t="shared" ca="1" si="779"/>
        <v>0</v>
      </c>
      <c r="BV1240" s="472">
        <f t="shared" ca="1" si="779"/>
        <v>0</v>
      </c>
      <c r="BW1240" s="472"/>
      <c r="BX1240" s="473">
        <f t="shared" ca="1" si="780"/>
        <v>2816110.0019226102</v>
      </c>
      <c r="BY1240" s="473">
        <f t="shared" si="781"/>
        <v>0</v>
      </c>
      <c r="BZ1240" s="473">
        <f t="shared" ca="1" si="763"/>
        <v>207.543364588</v>
      </c>
      <c r="CA1240" s="476">
        <f t="shared" ca="1" si="782"/>
        <v>0</v>
      </c>
      <c r="CB1240" s="494">
        <f ca="1">IF(OR($Q1239&lt;&gt;1,OP!$D$5+$BN1240-1&lt;16,$BN1240-1&lt;1),0,ROUND(ROUND(ROUND(((VLOOKUP($BN1240-1,MORE_PV,5,0)/10000)*VLOOKUP($BN1240,MORE_PV,$CB$5,0)),3)*VLOOKUP($BN1240,more1,5,0),0)/$R1239,0))</f>
        <v>0</v>
      </c>
      <c r="CC1240" s="473">
        <f t="shared" ca="1" si="783"/>
        <v>0</v>
      </c>
      <c r="CD1240" s="477"/>
    </row>
    <row r="1241" spans="2:82" ht="16.5" hidden="1">
      <c r="B1241" s="80"/>
      <c r="C1241" s="80"/>
      <c r="D1241" s="80"/>
      <c r="E1241" s="80"/>
      <c r="F1241" s="80"/>
      <c r="G1241" s="80"/>
      <c r="H1241" s="80"/>
      <c r="I1241" s="80"/>
      <c r="J1241" s="192">
        <f t="shared" si="764"/>
        <v>103</v>
      </c>
      <c r="K1241" s="192">
        <f t="shared" si="765"/>
        <v>9</v>
      </c>
      <c r="L1241" s="192" t="str">
        <f t="shared" si="760"/>
        <v/>
      </c>
      <c r="M1241" s="216" t="str">
        <f t="shared" ca="1" si="766"/>
        <v/>
      </c>
      <c r="N1241" s="216"/>
      <c r="O1241" s="216"/>
      <c r="P1241" s="216"/>
      <c r="Q1241" s="456">
        <f t="shared" ca="1" si="767"/>
        <v>1</v>
      </c>
      <c r="R1241" s="450">
        <f t="shared" ca="1" si="768"/>
        <v>12</v>
      </c>
      <c r="S1241" s="191">
        <f t="shared" si="769"/>
        <v>103</v>
      </c>
      <c r="T1241" s="191">
        <f t="shared" si="770"/>
        <v>9</v>
      </c>
      <c r="U1241" s="191">
        <f ca="1">OP!$D$5+$S1241-1</f>
        <v>135</v>
      </c>
      <c r="V1241" s="191" t="str">
        <f t="shared" si="771"/>
        <v/>
      </c>
      <c r="W1241" s="350">
        <f ca="1">IF(Q1241&lt;&gt;1,0,VLOOKUP(OP!$C$55,PVFB,$S1241+2,0))</f>
        <v>0</v>
      </c>
      <c r="X1241" s="473" t="str">
        <f t="shared" ca="1" si="784"/>
        <v/>
      </c>
      <c r="Y1241" s="348">
        <f t="shared" ca="1" si="785"/>
        <v>0</v>
      </c>
      <c r="Z1241" s="348">
        <f t="shared" ca="1" si="786"/>
        <v>8012</v>
      </c>
      <c r="AA1241" s="348">
        <f ca="1">IF(Q1241&lt;&gt;1,0,VLOOKUP(OP!$C$55,PVFB,$S1241+2,0))</f>
        <v>0</v>
      </c>
      <c r="AB1241" s="488" t="str">
        <f ca="1">IF(AND(S1241&lt;OP!$C$24,$U1241&lt;15),0,IF(AND($U1241&lt;15,$T1241=12),ROUND(VLOOKUP($S1241,DOWN16,5,0),3),IF($T1241=12,ROUND(($Z1241/10000)*$AA1241,3)+IF(AND($P$7="購買增額繳清保險",T1241=12,U1241=110),VLOOKUP(S1241,$B$10:$H$121,7,0),0),"")))</f>
        <v/>
      </c>
      <c r="AC1241" s="350" t="str">
        <f ca="1">IF(AND(S1241&lt;OP!$C$24,$U1241&lt;15),0,IF(AND($U1241&lt;16,$T1241=12),VLOOKUP($S1241,DOWN16,4,0),IF($T1241=12,ROUND(VLOOKUP(OP!$C$55,_DIE2,$S1241+1,0)*(Z1241/10000),0)+IF(AND($P$7="購買增額繳清保險",T1241=12,U1241=110),VLOOKUP(S1241,$B$10:$H$121,7,0),0),"")))</f>
        <v/>
      </c>
      <c r="AD1241" s="347"/>
      <c r="AE1241" s="350" t="str">
        <f t="shared" ca="1" si="761"/>
        <v/>
      </c>
      <c r="AF1241" s="351" t="str">
        <f t="shared" ca="1" si="762"/>
        <v/>
      </c>
      <c r="AG1241" s="340"/>
      <c r="AH1241" s="340"/>
      <c r="AI1241" s="340"/>
      <c r="AJ1241" s="340"/>
      <c r="AK1241" s="340"/>
      <c r="AL1241" s="340"/>
      <c r="AM1241" s="340"/>
      <c r="AN1241" s="340"/>
      <c r="AO1241" s="340"/>
      <c r="AP1241" s="340"/>
      <c r="AQ1241" s="340"/>
      <c r="AR1241" s="340"/>
      <c r="AS1241" s="340"/>
      <c r="AT1241" s="340"/>
      <c r="AU1241" s="340"/>
      <c r="AV1241" s="340"/>
      <c r="AY1241" s="340"/>
      <c r="AZ1241" s="465">
        <f t="shared" ca="1" si="772"/>
        <v>7.3698599999999999E-5</v>
      </c>
      <c r="BA1241" s="464">
        <f t="shared" ca="1" si="773"/>
        <v>0</v>
      </c>
      <c r="BB1241" s="465">
        <f t="shared" ca="1" si="773"/>
        <v>7.3698599999999999E-5</v>
      </c>
      <c r="BC1241" s="466">
        <f t="shared" ca="1" si="774"/>
        <v>80386</v>
      </c>
      <c r="BD1241" s="467">
        <f t="shared" ca="1" si="787"/>
        <v>80387</v>
      </c>
      <c r="BE1241" s="467">
        <f t="shared" ca="1" si="775"/>
        <v>80414</v>
      </c>
      <c r="BF1241" s="468">
        <f ca="1">IF(計算!$BC1241&lt;OP!$C$3,0,BD1241-BC1241)</f>
        <v>1</v>
      </c>
      <c r="BG1241" s="468">
        <f ca="1">IF($BE1241&gt;DATE(YEAR($BD$9)+OP!$C$57,MONTH($BD$9),DAY($BD$9)),0,$BE1241-$BD1241+1)</f>
        <v>0</v>
      </c>
      <c r="BH1241" s="469">
        <f t="shared" ca="1" si="776"/>
        <v>1</v>
      </c>
      <c r="BI1241" t="str">
        <f t="shared" si="792"/>
        <v/>
      </c>
      <c r="BJ1241">
        <v>8</v>
      </c>
      <c r="BN1241" s="468">
        <f t="shared" si="788"/>
        <v>103</v>
      </c>
      <c r="BO1241" s="468">
        <f t="shared" si="789"/>
        <v>8</v>
      </c>
      <c r="BP1241" s="467">
        <f t="shared" ca="1" si="777"/>
        <v>80387</v>
      </c>
      <c r="BQ1241" s="475">
        <f t="shared" ca="1" si="791"/>
        <v>135</v>
      </c>
      <c r="BR1241" s="475" t="str">
        <f t="shared" si="790"/>
        <v/>
      </c>
      <c r="BS1241" s="471" t="str">
        <f t="shared" si="778"/>
        <v/>
      </c>
      <c r="BT1241" s="472" t="str">
        <f t="shared" si="793"/>
        <v/>
      </c>
      <c r="BU1241" s="472">
        <f t="shared" ca="1" si="779"/>
        <v>0</v>
      </c>
      <c r="BV1241" s="472">
        <f t="shared" ca="1" si="779"/>
        <v>0</v>
      </c>
      <c r="BW1241" s="472"/>
      <c r="BX1241" s="473">
        <f t="shared" ca="1" si="780"/>
        <v>2816317.5452871998</v>
      </c>
      <c r="BY1241" s="473">
        <f t="shared" si="781"/>
        <v>0</v>
      </c>
      <c r="BZ1241" s="473">
        <f t="shared" ca="1" si="763"/>
        <v>207.55866024299999</v>
      </c>
      <c r="CA1241" s="476">
        <f t="shared" ca="1" si="782"/>
        <v>0</v>
      </c>
      <c r="CB1241" s="494">
        <f ca="1">IF(OR($Q1240&lt;&gt;1,OP!$D$5+$BN1241-1&lt;16,$BN1241-1&lt;1),0,ROUND(ROUND(ROUND(((VLOOKUP($BN1241-1,MORE_PV,5,0)/10000)*VLOOKUP($BN1241,MORE_PV,$CB$5,0)),3)*VLOOKUP($BN1241,more1,5,0),0)/$R1240,0))</f>
        <v>0</v>
      </c>
      <c r="CC1241" s="473">
        <f t="shared" ca="1" si="783"/>
        <v>0</v>
      </c>
      <c r="CD1241" s="477"/>
    </row>
    <row r="1242" spans="2:82" ht="16.5" hidden="1">
      <c r="B1242" s="80"/>
      <c r="C1242" s="80"/>
      <c r="D1242" s="80"/>
      <c r="E1242" s="80"/>
      <c r="F1242" s="80"/>
      <c r="G1242" s="80"/>
      <c r="H1242" s="80"/>
      <c r="I1242" s="80"/>
      <c r="J1242" s="192">
        <f t="shared" si="764"/>
        <v>103</v>
      </c>
      <c r="K1242" s="192">
        <f t="shared" si="765"/>
        <v>10</v>
      </c>
      <c r="L1242" s="192" t="str">
        <f t="shared" si="760"/>
        <v/>
      </c>
      <c r="M1242" s="216" t="str">
        <f t="shared" ca="1" si="766"/>
        <v/>
      </c>
      <c r="N1242" s="216"/>
      <c r="O1242" s="216"/>
      <c r="P1242" s="216"/>
      <c r="Q1242" s="456">
        <f t="shared" ca="1" si="767"/>
        <v>1</v>
      </c>
      <c r="R1242" s="450">
        <f t="shared" ca="1" si="768"/>
        <v>12</v>
      </c>
      <c r="S1242" s="191">
        <f t="shared" si="769"/>
        <v>103</v>
      </c>
      <c r="T1242" s="191">
        <f t="shared" si="770"/>
        <v>10</v>
      </c>
      <c r="U1242" s="191">
        <f ca="1">OP!$D$5+$S1242-1</f>
        <v>135</v>
      </c>
      <c r="V1242" s="191" t="str">
        <f t="shared" si="771"/>
        <v/>
      </c>
      <c r="W1242" s="350">
        <f ca="1">IF(Q1242&lt;&gt;1,0,VLOOKUP(OP!$C$55,PVFB,$S1242+2,0))</f>
        <v>0</v>
      </c>
      <c r="X1242" s="473" t="str">
        <f t="shared" ca="1" si="784"/>
        <v/>
      </c>
      <c r="Y1242" s="348">
        <f t="shared" ca="1" si="785"/>
        <v>0</v>
      </c>
      <c r="Z1242" s="348">
        <f t="shared" ca="1" si="786"/>
        <v>8012</v>
      </c>
      <c r="AA1242" s="348">
        <f ca="1">IF(Q1242&lt;&gt;1,0,VLOOKUP(OP!$C$55,PVFB,$S1242+2,0))</f>
        <v>0</v>
      </c>
      <c r="AB1242" s="488" t="str">
        <f ca="1">IF(AND(S1242&lt;OP!$C$24,$U1242&lt;15),0,IF(AND($U1242&lt;15,$T1242=12),ROUND(VLOOKUP($S1242,DOWN16,5,0),3),IF($T1242=12,ROUND(($Z1242/10000)*$AA1242,3)+IF(AND($P$7="購買增額繳清保險",T1242=12,U1242=110),VLOOKUP(S1242,$B$10:$H$121,7,0),0),"")))</f>
        <v/>
      </c>
      <c r="AC1242" s="350" t="str">
        <f ca="1">IF(AND(S1242&lt;OP!$C$24,$U1242&lt;15),0,IF(AND($U1242&lt;16,$T1242=12),VLOOKUP($S1242,DOWN16,4,0),IF($T1242=12,ROUND(VLOOKUP(OP!$C$55,_DIE2,$S1242+1,0)*(Z1242/10000),0)+IF(AND($P$7="購買增額繳清保險",T1242=12,U1242=110),VLOOKUP(S1242,$B$10:$H$121,7,0),0),"")))</f>
        <v/>
      </c>
      <c r="AD1242" s="347"/>
      <c r="AE1242" s="350" t="str">
        <f t="shared" ca="1" si="761"/>
        <v/>
      </c>
      <c r="AF1242" s="351" t="str">
        <f t="shared" ca="1" si="762"/>
        <v/>
      </c>
      <c r="AG1242" s="340"/>
      <c r="AH1242" s="340"/>
      <c r="AI1242" s="340"/>
      <c r="AJ1242" s="340"/>
      <c r="AK1242" s="340"/>
      <c r="AL1242" s="340"/>
      <c r="AM1242" s="340"/>
      <c r="AN1242" s="340"/>
      <c r="AO1242" s="340"/>
      <c r="AP1242" s="340"/>
      <c r="AQ1242" s="340"/>
      <c r="AR1242" s="340"/>
      <c r="AS1242" s="340"/>
      <c r="AT1242" s="340"/>
      <c r="AU1242" s="340"/>
      <c r="AV1242" s="340"/>
      <c r="AY1242" s="340"/>
      <c r="AZ1242" s="465">
        <f t="shared" ca="1" si="772"/>
        <v>7.3698599999999999E-5</v>
      </c>
      <c r="BA1242" s="464">
        <f t="shared" ca="1" si="773"/>
        <v>0</v>
      </c>
      <c r="BB1242" s="465">
        <f t="shared" ca="1" si="773"/>
        <v>7.3698599999999999E-5</v>
      </c>
      <c r="BC1242" s="466">
        <f t="shared" ca="1" si="774"/>
        <v>80415</v>
      </c>
      <c r="BD1242" s="467">
        <f t="shared" ca="1" si="787"/>
        <v>80416</v>
      </c>
      <c r="BE1242" s="467">
        <f t="shared" ca="1" si="775"/>
        <v>80445</v>
      </c>
      <c r="BF1242" s="468">
        <f ca="1">IF(計算!$BC1242&lt;OP!$C$3,0,BD1242-BC1242)</f>
        <v>1</v>
      </c>
      <c r="BG1242" s="468">
        <f ca="1">IF($BE1242&gt;DATE(YEAR($BD$9)+OP!$C$57,MONTH($BD$9),DAY($BD$9)),0,$BE1242-$BD1242+1)</f>
        <v>0</v>
      </c>
      <c r="BH1242" s="469">
        <f t="shared" ca="1" si="776"/>
        <v>1</v>
      </c>
      <c r="BI1242" t="str">
        <f t="shared" si="792"/>
        <v/>
      </c>
      <c r="BJ1242">
        <v>9</v>
      </c>
      <c r="BN1242" s="468">
        <f t="shared" si="788"/>
        <v>103</v>
      </c>
      <c r="BO1242" s="468">
        <f t="shared" si="789"/>
        <v>9</v>
      </c>
      <c r="BP1242" s="467">
        <f t="shared" ca="1" si="777"/>
        <v>80416</v>
      </c>
      <c r="BQ1242" s="475">
        <f t="shared" ca="1" si="791"/>
        <v>135</v>
      </c>
      <c r="BR1242" s="475" t="str">
        <f t="shared" si="790"/>
        <v/>
      </c>
      <c r="BS1242" s="471" t="str">
        <f t="shared" si="778"/>
        <v/>
      </c>
      <c r="BT1242" s="472" t="str">
        <f t="shared" si="793"/>
        <v/>
      </c>
      <c r="BU1242" s="472">
        <f t="shared" ca="1" si="779"/>
        <v>0</v>
      </c>
      <c r="BV1242" s="472">
        <f t="shared" ca="1" si="779"/>
        <v>0</v>
      </c>
      <c r="BW1242" s="472"/>
      <c r="BX1242" s="473">
        <f t="shared" ca="1" si="780"/>
        <v>2816525.1039474402</v>
      </c>
      <c r="BY1242" s="473">
        <f t="shared" si="781"/>
        <v>0</v>
      </c>
      <c r="BZ1242" s="473">
        <f t="shared" ca="1" si="763"/>
        <v>207.57395702599999</v>
      </c>
      <c r="CA1242" s="476">
        <f t="shared" ca="1" si="782"/>
        <v>0</v>
      </c>
      <c r="CB1242" s="494">
        <f ca="1">IF(OR($Q1241&lt;&gt;1,OP!$D$5+$BN1242-1&lt;16,$BN1242-1&lt;1),0,ROUND(ROUND(ROUND(((VLOOKUP($BN1242-1,MORE_PV,5,0)/10000)*VLOOKUP($BN1242,MORE_PV,$CB$5,0)),3)*VLOOKUP($BN1242,more1,5,0),0)/$R1241,0))</f>
        <v>0</v>
      </c>
      <c r="CC1242" s="473">
        <f t="shared" ca="1" si="783"/>
        <v>0</v>
      </c>
      <c r="CD1242" s="477"/>
    </row>
    <row r="1243" spans="2:82" ht="16.5" hidden="1">
      <c r="B1243" s="80"/>
      <c r="C1243" s="80"/>
      <c r="D1243" s="80"/>
      <c r="E1243" s="80"/>
      <c r="F1243" s="80"/>
      <c r="G1243" s="80"/>
      <c r="H1243" s="80"/>
      <c r="I1243" s="80"/>
      <c r="J1243" s="192">
        <f t="shared" si="764"/>
        <v>103</v>
      </c>
      <c r="K1243" s="192">
        <f t="shared" si="765"/>
        <v>11</v>
      </c>
      <c r="L1243" s="192" t="str">
        <f t="shared" si="760"/>
        <v/>
      </c>
      <c r="M1243" s="216" t="str">
        <f t="shared" ca="1" si="766"/>
        <v/>
      </c>
      <c r="N1243" s="216"/>
      <c r="O1243" s="216"/>
      <c r="P1243" s="216"/>
      <c r="Q1243" s="456">
        <f t="shared" ca="1" si="767"/>
        <v>1</v>
      </c>
      <c r="R1243" s="450">
        <f t="shared" ca="1" si="768"/>
        <v>12</v>
      </c>
      <c r="S1243" s="191">
        <f t="shared" si="769"/>
        <v>103</v>
      </c>
      <c r="T1243" s="191">
        <f t="shared" si="770"/>
        <v>11</v>
      </c>
      <c r="U1243" s="191">
        <f ca="1">OP!$D$5+$S1243-1</f>
        <v>135</v>
      </c>
      <c r="V1243" s="191" t="str">
        <f t="shared" si="771"/>
        <v/>
      </c>
      <c r="W1243" s="350">
        <f ca="1">IF(Q1243&lt;&gt;1,0,VLOOKUP(OP!$C$55,PVFB,$S1243+2,0))</f>
        <v>0</v>
      </c>
      <c r="X1243" s="473" t="str">
        <f t="shared" ca="1" si="784"/>
        <v/>
      </c>
      <c r="Y1243" s="348">
        <f t="shared" ca="1" si="785"/>
        <v>0</v>
      </c>
      <c r="Z1243" s="348">
        <f t="shared" ca="1" si="786"/>
        <v>8012</v>
      </c>
      <c r="AA1243" s="348">
        <f ca="1">IF(Q1243&lt;&gt;1,0,VLOOKUP(OP!$C$55,PVFB,$S1243+2,0))</f>
        <v>0</v>
      </c>
      <c r="AB1243" s="488" t="str">
        <f ca="1">IF(AND(S1243&lt;OP!$C$24,$U1243&lt;15),0,IF(AND($U1243&lt;15,$T1243=12),ROUND(VLOOKUP($S1243,DOWN16,5,0),3),IF($T1243=12,ROUND(($Z1243/10000)*$AA1243,3)+IF(AND($P$7="購買增額繳清保險",T1243=12,U1243=110),VLOOKUP(S1243,$B$10:$H$121,7,0),0),"")))</f>
        <v/>
      </c>
      <c r="AC1243" s="350" t="str">
        <f ca="1">IF(AND(S1243&lt;OP!$C$24,$U1243&lt;15),0,IF(AND($U1243&lt;16,$T1243=12),VLOOKUP($S1243,DOWN16,4,0),IF($T1243=12,ROUND(VLOOKUP(OP!$C$55,_DIE2,$S1243+1,0)*(Z1243/10000),0)+IF(AND($P$7="購買增額繳清保險",T1243=12,U1243=110),VLOOKUP(S1243,$B$10:$H$121,7,0),0),"")))</f>
        <v/>
      </c>
      <c r="AD1243" s="347"/>
      <c r="AE1243" s="350" t="str">
        <f t="shared" ca="1" si="761"/>
        <v/>
      </c>
      <c r="AF1243" s="351" t="str">
        <f t="shared" ca="1" si="762"/>
        <v/>
      </c>
      <c r="AG1243" s="340"/>
      <c r="AH1243" s="340"/>
      <c r="AI1243" s="340"/>
      <c r="AJ1243" s="340"/>
      <c r="AK1243" s="340"/>
      <c r="AL1243" s="340"/>
      <c r="AM1243" s="340"/>
      <c r="AN1243" s="340"/>
      <c r="AO1243" s="340"/>
      <c r="AP1243" s="340"/>
      <c r="AQ1243" s="340"/>
      <c r="AR1243" s="340"/>
      <c r="AS1243" s="340"/>
      <c r="AT1243" s="340"/>
      <c r="AU1243" s="340"/>
      <c r="AV1243" s="340"/>
      <c r="AY1243" s="340"/>
      <c r="AZ1243" s="465">
        <f t="shared" ca="1" si="772"/>
        <v>7.3698599999999999E-5</v>
      </c>
      <c r="BA1243" s="464">
        <f t="shared" ca="1" si="773"/>
        <v>0</v>
      </c>
      <c r="BB1243" s="465">
        <f t="shared" ca="1" si="773"/>
        <v>7.3698599999999999E-5</v>
      </c>
      <c r="BC1243" s="466">
        <f t="shared" ca="1" si="774"/>
        <v>80446</v>
      </c>
      <c r="BD1243" s="467">
        <f t="shared" ca="1" si="787"/>
        <v>80447</v>
      </c>
      <c r="BE1243" s="467">
        <f t="shared" ca="1" si="775"/>
        <v>80475</v>
      </c>
      <c r="BF1243" s="468">
        <f ca="1">IF(計算!$BC1243&lt;OP!$C$3,0,BD1243-BC1243)</f>
        <v>1</v>
      </c>
      <c r="BG1243" s="468">
        <f ca="1">IF($BE1243&gt;DATE(YEAR($BD$9)+OP!$C$57,MONTH($BD$9),DAY($BD$9)),0,$BE1243-$BD1243+1)</f>
        <v>0</v>
      </c>
      <c r="BH1243" s="469">
        <f t="shared" ca="1" si="776"/>
        <v>1</v>
      </c>
      <c r="BI1243" t="str">
        <f t="shared" si="792"/>
        <v/>
      </c>
      <c r="BJ1243">
        <v>10</v>
      </c>
      <c r="BN1243" s="468">
        <f t="shared" si="788"/>
        <v>103</v>
      </c>
      <c r="BO1243" s="468">
        <f t="shared" si="789"/>
        <v>10</v>
      </c>
      <c r="BP1243" s="467">
        <f t="shared" ca="1" si="777"/>
        <v>80447</v>
      </c>
      <c r="BQ1243" s="475">
        <f t="shared" ca="1" si="791"/>
        <v>135</v>
      </c>
      <c r="BR1243" s="475" t="str">
        <f t="shared" si="790"/>
        <v/>
      </c>
      <c r="BS1243" s="471" t="str">
        <f t="shared" si="778"/>
        <v/>
      </c>
      <c r="BT1243" s="472" t="str">
        <f t="shared" si="793"/>
        <v/>
      </c>
      <c r="BU1243" s="472">
        <f t="shared" ca="1" si="779"/>
        <v>0</v>
      </c>
      <c r="BV1243" s="472">
        <f t="shared" ca="1" si="779"/>
        <v>0</v>
      </c>
      <c r="BW1243" s="472"/>
      <c r="BX1243" s="473">
        <f t="shared" ca="1" si="780"/>
        <v>2816732.6779044699</v>
      </c>
      <c r="BY1243" s="473">
        <f t="shared" si="781"/>
        <v>0</v>
      </c>
      <c r="BZ1243" s="473">
        <f t="shared" ca="1" si="763"/>
        <v>207.589254936</v>
      </c>
      <c r="CA1243" s="476">
        <f t="shared" ca="1" si="782"/>
        <v>0</v>
      </c>
      <c r="CB1243" s="494">
        <f ca="1">IF(OR($Q1242&lt;&gt;1,OP!$D$5+$BN1243-1&lt;16,$BN1243-1&lt;1),0,ROUND(ROUND(ROUND(((VLOOKUP($BN1243-1,MORE_PV,5,0)/10000)*VLOOKUP($BN1243,MORE_PV,$CB$5,0)),3)*VLOOKUP($BN1243,more1,5,0),0)/$R1242,0))</f>
        <v>0</v>
      </c>
      <c r="CC1243" s="473">
        <f t="shared" ca="1" si="783"/>
        <v>0</v>
      </c>
      <c r="CD1243" s="477"/>
    </row>
    <row r="1244" spans="2:82" ht="16.5" hidden="1">
      <c r="B1244" s="80"/>
      <c r="C1244" s="80"/>
      <c r="D1244" s="80"/>
      <c r="E1244" s="80"/>
      <c r="F1244" s="80"/>
      <c r="G1244" s="80"/>
      <c r="H1244" s="80"/>
      <c r="I1244" s="80"/>
      <c r="J1244" s="192">
        <f t="shared" si="764"/>
        <v>103</v>
      </c>
      <c r="K1244" s="192">
        <f t="shared" si="765"/>
        <v>12</v>
      </c>
      <c r="L1244" s="192">
        <f t="shared" si="760"/>
        <v>103</v>
      </c>
      <c r="M1244" s="216">
        <f t="shared" ca="1" si="766"/>
        <v>2817354</v>
      </c>
      <c r="N1244" s="216"/>
      <c r="O1244" s="216"/>
      <c r="P1244" s="216"/>
      <c r="Q1244" s="456">
        <f t="shared" ca="1" si="767"/>
        <v>1</v>
      </c>
      <c r="R1244" s="450">
        <f t="shared" ca="1" si="768"/>
        <v>12</v>
      </c>
      <c r="S1244" s="191">
        <f t="shared" si="769"/>
        <v>103</v>
      </c>
      <c r="T1244" s="191">
        <f t="shared" si="770"/>
        <v>12</v>
      </c>
      <c r="U1244" s="191">
        <f ca="1">OP!$D$5+$S1244-1</f>
        <v>135</v>
      </c>
      <c r="V1244" s="191">
        <f t="shared" si="771"/>
        <v>103</v>
      </c>
      <c r="W1244" s="350">
        <f ca="1">IF(Q1244&lt;&gt;1,0,VLOOKUP(OP!$C$55,PVFB,$S1244+2,0))</f>
        <v>0</v>
      </c>
      <c r="X1244" s="473">
        <f t="shared" ca="1" si="784"/>
        <v>0</v>
      </c>
      <c r="Y1244" s="348">
        <f t="shared" ca="1" si="785"/>
        <v>0</v>
      </c>
      <c r="Z1244" s="348">
        <f t="shared" ca="1" si="786"/>
        <v>8012</v>
      </c>
      <c r="AA1244" s="348">
        <f ca="1">IF(Q1244&lt;&gt;1,0,VLOOKUP(OP!$C$55,PVFB,$S1244+2,0))</f>
        <v>0</v>
      </c>
      <c r="AB1244" s="488">
        <f ca="1">IF(AND(S1244&lt;OP!$C$24,$U1244&lt;15),0,IF(AND($U1244&lt;15,$T1244=12),ROUND(VLOOKUP($S1244,DOWN16,5,0),3),IF($T1244=12,ROUND(($Z1244/10000)*$AA1244,3)+IF(AND($P$7="購買增額繳清保險",T1244=12,U1244=110),VLOOKUP(S1244,$B$10:$H$121,7,0),0),"")))</f>
        <v>0</v>
      </c>
      <c r="AC1244" s="350">
        <f ca="1">IF(AND(S1244&lt;OP!$C$24,$U1244&lt;15),0,IF(AND($U1244&lt;16,$T1244=12),VLOOKUP($S1244,DOWN16,4,0),IF($T1244=12,ROUND(VLOOKUP(OP!$C$55,_DIE2,$S1244+1,0)*(Z1244/10000),0)+IF(AND($P$7="購買增額繳清保險",T1244=12,U1244=110),VLOOKUP(S1244,$B$10:$H$121,7,0),0),"")))</f>
        <v>0</v>
      </c>
      <c r="AD1244" s="347"/>
      <c r="AE1244" s="350" t="str">
        <f t="shared" ca="1" si="761"/>
        <v/>
      </c>
      <c r="AF1244" s="351" t="str">
        <f t="shared" ca="1" si="762"/>
        <v/>
      </c>
      <c r="AG1244" s="340"/>
      <c r="AH1244" s="340"/>
      <c r="AI1244" s="340"/>
      <c r="AJ1244" s="340"/>
      <c r="AK1244" s="340"/>
      <c r="AL1244" s="340"/>
      <c r="AM1244" s="340"/>
      <c r="AN1244" s="340"/>
      <c r="AO1244" s="340"/>
      <c r="AP1244" s="340"/>
      <c r="AQ1244" s="340"/>
      <c r="AR1244" s="340"/>
      <c r="AS1244" s="340"/>
      <c r="AT1244" s="340"/>
      <c r="AU1244" s="340"/>
      <c r="AV1244" s="340"/>
      <c r="AY1244" s="340"/>
      <c r="AZ1244" s="465">
        <f t="shared" ca="1" si="772"/>
        <v>7.3698599999999999E-5</v>
      </c>
      <c r="BA1244" s="464">
        <f t="shared" ca="1" si="773"/>
        <v>0</v>
      </c>
      <c r="BB1244" s="465">
        <f t="shared" ca="1" si="773"/>
        <v>7.3698599999999999E-5</v>
      </c>
      <c r="BC1244" s="466">
        <f t="shared" ca="1" si="774"/>
        <v>80476</v>
      </c>
      <c r="BD1244" s="467">
        <f t="shared" ca="1" si="787"/>
        <v>80477</v>
      </c>
      <c r="BE1244" s="467">
        <f t="shared" ca="1" si="775"/>
        <v>80506</v>
      </c>
      <c r="BF1244" s="468">
        <f ca="1">IF(計算!$BC1244&lt;OP!$C$3,0,BD1244-BC1244)</f>
        <v>1</v>
      </c>
      <c r="BG1244" s="468">
        <f ca="1">IF($BE1244&gt;DATE(YEAR($BD$9)+OP!$C$57,MONTH($BD$9),DAY($BD$9)),0,$BE1244-$BD1244+1)</f>
        <v>0</v>
      </c>
      <c r="BH1244" s="469">
        <f t="shared" ca="1" si="776"/>
        <v>1</v>
      </c>
      <c r="BI1244" t="str">
        <f t="shared" si="792"/>
        <v/>
      </c>
      <c r="BJ1244">
        <v>11</v>
      </c>
      <c r="BN1244" s="468">
        <f t="shared" si="788"/>
        <v>103</v>
      </c>
      <c r="BO1244" s="468">
        <f t="shared" si="789"/>
        <v>11</v>
      </c>
      <c r="BP1244" s="467">
        <f t="shared" ca="1" si="777"/>
        <v>80477</v>
      </c>
      <c r="BQ1244" s="475">
        <f t="shared" ca="1" si="791"/>
        <v>135</v>
      </c>
      <c r="BR1244" s="475" t="str">
        <f t="shared" si="790"/>
        <v/>
      </c>
      <c r="BS1244" s="471" t="str">
        <f t="shared" si="778"/>
        <v/>
      </c>
      <c r="BT1244" s="472" t="str">
        <f t="shared" si="793"/>
        <v/>
      </c>
      <c r="BU1244" s="472">
        <f t="shared" ca="1" si="779"/>
        <v>0</v>
      </c>
      <c r="BV1244" s="472">
        <f t="shared" ca="1" si="779"/>
        <v>0</v>
      </c>
      <c r="BW1244" s="472"/>
      <c r="BX1244" s="473">
        <f t="shared" ca="1" si="780"/>
        <v>2816940.2671594098</v>
      </c>
      <c r="BY1244" s="473">
        <f t="shared" si="781"/>
        <v>0</v>
      </c>
      <c r="BZ1244" s="473">
        <f t="shared" ca="1" si="763"/>
        <v>207.60455397300001</v>
      </c>
      <c r="CA1244" s="476">
        <f t="shared" ca="1" si="782"/>
        <v>0</v>
      </c>
      <c r="CB1244" s="494">
        <f ca="1">IF(OR($Q1243&lt;&gt;1,OP!$D$5+$BN1244-1&lt;16,$BN1244-1&lt;1),0,ROUND(ROUND(ROUND(((VLOOKUP($BN1244-1,MORE_PV,5,0)/10000)*VLOOKUP($BN1244,MORE_PV,$CB$5,0)),3)*VLOOKUP($BN1244,more1,5,0),0)/$R1243,0))</f>
        <v>0</v>
      </c>
      <c r="CC1244" s="473">
        <f t="shared" ca="1" si="783"/>
        <v>0</v>
      </c>
      <c r="CD1244" s="477"/>
    </row>
    <row r="1245" spans="2:82" ht="16.5" hidden="1">
      <c r="B1245" s="80"/>
      <c r="C1245" s="80"/>
      <c r="D1245" s="80"/>
      <c r="E1245" s="80"/>
      <c r="F1245" s="80"/>
      <c r="G1245" s="80"/>
      <c r="H1245" s="80"/>
      <c r="I1245" s="80"/>
      <c r="J1245" s="192">
        <f t="shared" si="764"/>
        <v>104</v>
      </c>
      <c r="K1245" s="192">
        <f t="shared" si="765"/>
        <v>1</v>
      </c>
      <c r="L1245" s="192" t="str">
        <f t="shared" si="760"/>
        <v/>
      </c>
      <c r="M1245" s="216" t="str">
        <f t="shared" ca="1" si="766"/>
        <v/>
      </c>
      <c r="N1245" s="216"/>
      <c r="O1245" s="216"/>
      <c r="P1245" s="216"/>
      <c r="Q1245" s="456">
        <f t="shared" ca="1" si="767"/>
        <v>1</v>
      </c>
      <c r="R1245" s="450">
        <f t="shared" ca="1" si="768"/>
        <v>12</v>
      </c>
      <c r="S1245" s="191">
        <f t="shared" si="769"/>
        <v>104</v>
      </c>
      <c r="T1245" s="191">
        <f t="shared" si="770"/>
        <v>1</v>
      </c>
      <c r="U1245" s="191">
        <f ca="1">OP!$D$5+$S1245-1</f>
        <v>136</v>
      </c>
      <c r="V1245" s="191" t="str">
        <f t="shared" si="771"/>
        <v/>
      </c>
      <c r="W1245" s="350">
        <f ca="1">IF(Q1245&lt;&gt;1,0,VLOOKUP(OP!$C$55,PVFB,$S1245+2,0))</f>
        <v>0</v>
      </c>
      <c r="X1245" s="473" t="str">
        <f t="shared" ca="1" si="784"/>
        <v/>
      </c>
      <c r="Y1245" s="348">
        <f t="shared" ca="1" si="785"/>
        <v>0</v>
      </c>
      <c r="Z1245" s="348">
        <f t="shared" ca="1" si="786"/>
        <v>8012</v>
      </c>
      <c r="AA1245" s="348">
        <f ca="1">IF(Q1245&lt;&gt;1,0,VLOOKUP(OP!$C$55,PVFB,$S1245+2,0))</f>
        <v>0</v>
      </c>
      <c r="AB1245" s="488" t="str">
        <f ca="1">IF(AND(S1245&lt;OP!$C$24,$U1245&lt;15),0,IF(AND($U1245&lt;15,$T1245=12),ROUND(VLOOKUP($S1245,DOWN16,5,0),3),IF($T1245=12,ROUND(($Z1245/10000)*$AA1245,3)+IF(AND($P$7="購買增額繳清保險",T1245=12,U1245=110),VLOOKUP(S1245,$B$10:$H$121,7,0),0),"")))</f>
        <v/>
      </c>
      <c r="AC1245" s="350" t="str">
        <f ca="1">IF(AND(S1245&lt;OP!$C$24,$U1245&lt;15),0,IF(AND($U1245&lt;16,$T1245=12),VLOOKUP($S1245,DOWN16,4,0),IF($T1245=12,ROUND(VLOOKUP(OP!$C$55,_DIE2,$S1245+1,0)*(Z1245/10000),0)+IF(AND($P$7="購買增額繳清保險",T1245=12,U1245=110),VLOOKUP(S1245,$B$10:$H$121,7,0),0),"")))</f>
        <v/>
      </c>
      <c r="AD1245" s="347"/>
      <c r="AE1245" s="350" t="str">
        <f t="shared" ca="1" si="761"/>
        <v/>
      </c>
      <c r="AF1245" s="351" t="str">
        <f t="shared" ca="1" si="762"/>
        <v/>
      </c>
      <c r="AG1245" s="340"/>
      <c r="AH1245" s="340"/>
      <c r="AI1245" s="340"/>
      <c r="AJ1245" s="340"/>
      <c r="AK1245" s="340"/>
      <c r="AL1245" s="340"/>
      <c r="AM1245" s="340"/>
      <c r="AN1245" s="340"/>
      <c r="AO1245" s="340"/>
      <c r="AP1245" s="340"/>
      <c r="AQ1245" s="340"/>
      <c r="AR1245" s="340"/>
      <c r="AS1245" s="340"/>
      <c r="AT1245" s="340"/>
      <c r="AU1245" s="340"/>
      <c r="AV1245" s="340"/>
      <c r="AY1245" s="340"/>
      <c r="AZ1245" s="465">
        <f t="shared" ca="1" si="772"/>
        <v>7.3698599999999999E-5</v>
      </c>
      <c r="BA1245" s="464">
        <f t="shared" ca="1" si="773"/>
        <v>0</v>
      </c>
      <c r="BB1245" s="465">
        <f t="shared" ca="1" si="773"/>
        <v>7.3698599999999999E-5</v>
      </c>
      <c r="BC1245" s="466">
        <f t="shared" ca="1" si="774"/>
        <v>80507</v>
      </c>
      <c r="BD1245" s="467">
        <f t="shared" ca="1" si="787"/>
        <v>80508</v>
      </c>
      <c r="BE1245" s="467">
        <f t="shared" ca="1" si="775"/>
        <v>80536</v>
      </c>
      <c r="BF1245" s="468">
        <f ca="1">IF(計算!$BC1245&lt;OP!$C$3,0,BD1245-BC1245)</f>
        <v>1</v>
      </c>
      <c r="BG1245" s="468">
        <f ca="1">IF($BE1245&gt;DATE(YEAR($BD$9)+OP!$C$57,MONTH($BD$9),DAY($BD$9)),0,$BE1245-$BD1245+1)</f>
        <v>0</v>
      </c>
      <c r="BH1245" s="469">
        <f t="shared" ca="1" si="776"/>
        <v>1</v>
      </c>
      <c r="BI1245">
        <f t="shared" ca="1" si="792"/>
        <v>366</v>
      </c>
      <c r="BJ1245">
        <v>12</v>
      </c>
      <c r="BN1245" s="468">
        <f t="shared" si="788"/>
        <v>103</v>
      </c>
      <c r="BO1245" s="468">
        <f t="shared" si="789"/>
        <v>12</v>
      </c>
      <c r="BP1245" s="467">
        <f t="shared" ca="1" si="777"/>
        <v>80508</v>
      </c>
      <c r="BQ1245" s="475">
        <f t="shared" ca="1" si="791"/>
        <v>135</v>
      </c>
      <c r="BR1245" s="475">
        <f t="shared" si="790"/>
        <v>103</v>
      </c>
      <c r="BS1245" s="471">
        <f t="shared" ca="1" si="778"/>
        <v>0</v>
      </c>
      <c r="BT1245" s="472">
        <f t="shared" ca="1" si="793"/>
        <v>2817354</v>
      </c>
      <c r="BU1245" s="472">
        <f t="shared" ca="1" si="779"/>
        <v>0</v>
      </c>
      <c r="BV1245" s="472">
        <f t="shared" ca="1" si="779"/>
        <v>0</v>
      </c>
      <c r="BW1245" s="472">
        <f ca="1">ROUND(SUM(BY1245,BZ1233:BZ1244),0)</f>
        <v>2490</v>
      </c>
      <c r="BX1245" s="473">
        <f t="shared" ca="1" si="780"/>
        <v>2817355.49156752</v>
      </c>
      <c r="BY1245" s="473">
        <f t="shared" ca="1" si="781"/>
        <v>207.61985413799999</v>
      </c>
      <c r="BZ1245" s="473">
        <f t="shared" ca="1" si="763"/>
        <v>0</v>
      </c>
      <c r="CA1245" s="476">
        <f t="shared" ca="1" si="782"/>
        <v>0</v>
      </c>
      <c r="CB1245" s="494">
        <f ca="1">IF(OR($Q1244&lt;&gt;1,OP!$D$5+$BN1245-1&lt;16,$BN1245-1&lt;1),0,ROUND(ROUND(ROUND(((VLOOKUP($BN1245-1,MORE_PV,5,0)/10000)*VLOOKUP($BN1245,MORE_PV,$CB$5,0)),3)*VLOOKUP($BN1245,more1,5,0),0)/$R1244,0))</f>
        <v>0</v>
      </c>
      <c r="CC1245" s="473">
        <f t="shared" ca="1" si="783"/>
        <v>0</v>
      </c>
      <c r="CD1245" s="477"/>
    </row>
    <row r="1246" spans="2:82" ht="16.5" hidden="1">
      <c r="B1246" s="80"/>
      <c r="C1246" s="80"/>
      <c r="D1246" s="80"/>
      <c r="E1246" s="80"/>
      <c r="F1246" s="80"/>
      <c r="G1246" s="80"/>
      <c r="H1246" s="80"/>
      <c r="I1246" s="80"/>
      <c r="J1246" s="192">
        <f t="shared" si="764"/>
        <v>104</v>
      </c>
      <c r="K1246" s="192">
        <f t="shared" si="765"/>
        <v>2</v>
      </c>
      <c r="L1246" s="192" t="str">
        <f t="shared" si="760"/>
        <v/>
      </c>
      <c r="M1246" s="216" t="str">
        <f t="shared" ca="1" si="766"/>
        <v/>
      </c>
      <c r="N1246" s="216"/>
      <c r="O1246" s="216"/>
      <c r="P1246" s="216"/>
      <c r="Q1246" s="456">
        <f t="shared" ca="1" si="767"/>
        <v>1</v>
      </c>
      <c r="R1246" s="450">
        <f t="shared" ca="1" si="768"/>
        <v>12</v>
      </c>
      <c r="S1246" s="191">
        <f t="shared" si="769"/>
        <v>104</v>
      </c>
      <c r="T1246" s="191">
        <f t="shared" si="770"/>
        <v>2</v>
      </c>
      <c r="U1246" s="191">
        <f ca="1">OP!$D$5+$S1246-1</f>
        <v>136</v>
      </c>
      <c r="V1246" s="191" t="str">
        <f t="shared" si="771"/>
        <v/>
      </c>
      <c r="W1246" s="350">
        <f ca="1">IF(Q1246&lt;&gt;1,0,VLOOKUP(OP!$C$55,PVFB,$S1246+2,0))</f>
        <v>0</v>
      </c>
      <c r="X1246" s="473" t="str">
        <f t="shared" ca="1" si="784"/>
        <v/>
      </c>
      <c r="Y1246" s="348">
        <f t="shared" ca="1" si="785"/>
        <v>0</v>
      </c>
      <c r="Z1246" s="348">
        <f t="shared" ca="1" si="786"/>
        <v>8012</v>
      </c>
      <c r="AA1246" s="348">
        <f ca="1">IF(Q1246&lt;&gt;1,0,VLOOKUP(OP!$C$55,PVFB,$S1246+2,0))</f>
        <v>0</v>
      </c>
      <c r="AB1246" s="488" t="str">
        <f ca="1">IF(AND(S1246&lt;OP!$C$24,$U1246&lt;15),0,IF(AND($U1246&lt;15,$T1246=12),ROUND(VLOOKUP($S1246,DOWN16,5,0),3),IF($T1246=12,ROUND(($Z1246/10000)*$AA1246,3)+IF(AND($P$7="購買增額繳清保險",T1246=12,U1246=110),VLOOKUP(S1246,$B$10:$H$121,7,0),0),"")))</f>
        <v/>
      </c>
      <c r="AC1246" s="350" t="str">
        <f ca="1">IF(AND(S1246&lt;OP!$C$24,$U1246&lt;15),0,IF(AND($U1246&lt;16,$T1246=12),VLOOKUP($S1246,DOWN16,4,0),IF($T1246=12,ROUND(VLOOKUP(OP!$C$55,_DIE2,$S1246+1,0)*(Z1246/10000),0)+IF(AND($P$7="購買增額繳清保險",T1246=12,U1246=110),VLOOKUP(S1246,$B$10:$H$121,7,0),0),"")))</f>
        <v/>
      </c>
      <c r="AD1246" s="347"/>
      <c r="AE1246" s="350" t="str">
        <f t="shared" ca="1" si="761"/>
        <v/>
      </c>
      <c r="AF1246" s="351" t="str">
        <f t="shared" ca="1" si="762"/>
        <v/>
      </c>
      <c r="AG1246" s="340"/>
      <c r="AH1246" s="340"/>
      <c r="AI1246" s="340"/>
      <c r="AJ1246" s="340"/>
      <c r="AK1246" s="340"/>
      <c r="AL1246" s="340"/>
      <c r="AM1246" s="340"/>
      <c r="AN1246" s="340"/>
      <c r="AO1246" s="340"/>
      <c r="AP1246" s="340"/>
      <c r="AQ1246" s="340"/>
      <c r="AR1246" s="340"/>
      <c r="AS1246" s="340"/>
      <c r="AT1246" s="340"/>
      <c r="AU1246" s="340"/>
      <c r="AV1246" s="340"/>
      <c r="AY1246" s="340"/>
      <c r="AZ1246" s="465">
        <f t="shared" ca="1" si="772"/>
        <v>7.3698599999999999E-5</v>
      </c>
      <c r="BA1246" s="464">
        <f t="shared" ca="1" si="773"/>
        <v>0</v>
      </c>
      <c r="BB1246" s="465">
        <f t="shared" ca="1" si="773"/>
        <v>7.3698599999999999E-5</v>
      </c>
      <c r="BC1246" s="466">
        <f t="shared" ca="1" si="774"/>
        <v>80537</v>
      </c>
      <c r="BD1246" s="467">
        <f t="shared" ca="1" si="787"/>
        <v>80538</v>
      </c>
      <c r="BE1246" s="467">
        <f t="shared" ca="1" si="775"/>
        <v>80567</v>
      </c>
      <c r="BF1246" s="468">
        <f ca="1">IF(計算!$BC1246&lt;OP!$C$3,0,BD1246-BC1246)</f>
        <v>1</v>
      </c>
      <c r="BG1246" s="468">
        <f ca="1">IF($BE1246&gt;DATE(YEAR($BD$9)+OP!$C$57,MONTH($BD$9),DAY($BD$9)),0,$BE1246-$BD1246+1)</f>
        <v>0</v>
      </c>
      <c r="BH1246" s="469">
        <f t="shared" ca="1" si="776"/>
        <v>1</v>
      </c>
      <c r="BI1246" t="str">
        <f t="shared" si="792"/>
        <v/>
      </c>
      <c r="BJ1246">
        <v>1</v>
      </c>
      <c r="BN1246" s="468">
        <f t="shared" si="788"/>
        <v>104</v>
      </c>
      <c r="BO1246" s="468">
        <f t="shared" si="789"/>
        <v>1</v>
      </c>
      <c r="BP1246" s="467">
        <f t="shared" ca="1" si="777"/>
        <v>80538</v>
      </c>
      <c r="BQ1246" s="475">
        <f t="shared" ca="1" si="791"/>
        <v>136</v>
      </c>
      <c r="BR1246" s="475" t="str">
        <f t="shared" si="790"/>
        <v/>
      </c>
      <c r="BS1246" s="471" t="str">
        <f t="shared" si="778"/>
        <v/>
      </c>
      <c r="BT1246" s="472" t="str">
        <f t="shared" si="793"/>
        <v/>
      </c>
      <c r="BU1246" s="472">
        <f t="shared" ca="1" si="779"/>
        <v>0</v>
      </c>
      <c r="BV1246" s="472">
        <f t="shared" ca="1" si="779"/>
        <v>0</v>
      </c>
      <c r="BW1246" s="472"/>
      <c r="BX1246" s="473">
        <f t="shared" ca="1" si="780"/>
        <v>2817355.49156752</v>
      </c>
      <c r="BY1246" s="473">
        <f t="shared" si="781"/>
        <v>0</v>
      </c>
      <c r="BZ1246" s="473">
        <f t="shared" ca="1" si="763"/>
        <v>207.63515543099999</v>
      </c>
      <c r="CA1246" s="476">
        <f t="shared" ca="1" si="782"/>
        <v>0</v>
      </c>
      <c r="CB1246" s="494">
        <f ca="1">IF(OR($Q1245&lt;&gt;1,OP!$D$5+$BN1246-1&lt;16,$BN1246-1&lt;1),0,ROUND(ROUND(ROUND(((VLOOKUP($BN1246-1,MORE_PV,5,0)/10000)*VLOOKUP($BN1246,MORE_PV,$CB$5,0)),3)*VLOOKUP($BN1246,more1,5,0),0)/$R1245,0))</f>
        <v>0</v>
      </c>
      <c r="CC1246" s="473">
        <f t="shared" ca="1" si="783"/>
        <v>0</v>
      </c>
      <c r="CD1246" s="477"/>
    </row>
    <row r="1247" spans="2:82" ht="16.5" hidden="1">
      <c r="B1247" s="80"/>
      <c r="C1247" s="80"/>
      <c r="D1247" s="80"/>
      <c r="E1247" s="80"/>
      <c r="F1247" s="80"/>
      <c r="G1247" s="80"/>
      <c r="H1247" s="80"/>
      <c r="I1247" s="80"/>
      <c r="J1247" s="192">
        <f t="shared" si="764"/>
        <v>104</v>
      </c>
      <c r="K1247" s="192">
        <f t="shared" si="765"/>
        <v>3</v>
      </c>
      <c r="L1247" s="192" t="str">
        <f t="shared" si="760"/>
        <v/>
      </c>
      <c r="M1247" s="216" t="str">
        <f t="shared" ca="1" si="766"/>
        <v/>
      </c>
      <c r="N1247" s="216"/>
      <c r="O1247" s="216"/>
      <c r="P1247" s="216"/>
      <c r="Q1247" s="456">
        <f t="shared" ca="1" si="767"/>
        <v>1</v>
      </c>
      <c r="R1247" s="450">
        <f t="shared" ca="1" si="768"/>
        <v>12</v>
      </c>
      <c r="S1247" s="191">
        <f t="shared" si="769"/>
        <v>104</v>
      </c>
      <c r="T1247" s="191">
        <f t="shared" si="770"/>
        <v>3</v>
      </c>
      <c r="U1247" s="191">
        <f ca="1">OP!$D$5+$S1247-1</f>
        <v>136</v>
      </c>
      <c r="V1247" s="191" t="str">
        <f t="shared" si="771"/>
        <v/>
      </c>
      <c r="W1247" s="350">
        <f ca="1">IF(Q1247&lt;&gt;1,0,VLOOKUP(OP!$C$55,PVFB,$S1247+2,0))</f>
        <v>0</v>
      </c>
      <c r="X1247" s="473" t="str">
        <f t="shared" ca="1" si="784"/>
        <v/>
      </c>
      <c r="Y1247" s="348">
        <f t="shared" ca="1" si="785"/>
        <v>0</v>
      </c>
      <c r="Z1247" s="348">
        <f t="shared" ca="1" si="786"/>
        <v>8012</v>
      </c>
      <c r="AA1247" s="348">
        <f ca="1">IF(Q1247&lt;&gt;1,0,VLOOKUP(OP!$C$55,PVFB,$S1247+2,0))</f>
        <v>0</v>
      </c>
      <c r="AB1247" s="488" t="str">
        <f ca="1">IF(AND(S1247&lt;OP!$C$24,$U1247&lt;15),0,IF(AND($U1247&lt;15,$T1247=12),ROUND(VLOOKUP($S1247,DOWN16,5,0),3),IF($T1247=12,ROUND(($Z1247/10000)*$AA1247,3)+IF(AND($P$7="購買增額繳清保險",T1247=12,U1247=110),VLOOKUP(S1247,$B$10:$H$121,7,0),0),"")))</f>
        <v/>
      </c>
      <c r="AC1247" s="350" t="str">
        <f ca="1">IF(AND(S1247&lt;OP!$C$24,$U1247&lt;15),0,IF(AND($U1247&lt;16,$T1247=12),VLOOKUP($S1247,DOWN16,4,0),IF($T1247=12,ROUND(VLOOKUP(OP!$C$55,_DIE2,$S1247+1,0)*(Z1247/10000),0)+IF(AND($P$7="購買增額繳清保險",T1247=12,U1247=110),VLOOKUP(S1247,$B$10:$H$121,7,0),0),"")))</f>
        <v/>
      </c>
      <c r="AD1247" s="347"/>
      <c r="AE1247" s="350" t="str">
        <f t="shared" ca="1" si="761"/>
        <v/>
      </c>
      <c r="AF1247" s="351" t="str">
        <f t="shared" ca="1" si="762"/>
        <v/>
      </c>
      <c r="AG1247" s="340"/>
      <c r="AH1247" s="340"/>
      <c r="AI1247" s="340"/>
      <c r="AJ1247" s="340"/>
      <c r="AK1247" s="340"/>
      <c r="AL1247" s="340"/>
      <c r="AM1247" s="340"/>
      <c r="AN1247" s="340"/>
      <c r="AO1247" s="340"/>
      <c r="AP1247" s="340"/>
      <c r="AQ1247" s="340"/>
      <c r="AR1247" s="340"/>
      <c r="AS1247" s="340"/>
      <c r="AT1247" s="340"/>
      <c r="AU1247" s="340"/>
      <c r="AV1247" s="340"/>
      <c r="AY1247" s="340"/>
      <c r="AZ1247" s="465">
        <f t="shared" ca="1" si="772"/>
        <v>7.3698599999999999E-5</v>
      </c>
      <c r="BA1247" s="464">
        <f t="shared" ca="1" si="773"/>
        <v>0</v>
      </c>
      <c r="BB1247" s="465">
        <f t="shared" ca="1" si="773"/>
        <v>7.3698599999999999E-5</v>
      </c>
      <c r="BC1247" s="466">
        <f t="shared" ca="1" si="774"/>
        <v>80568</v>
      </c>
      <c r="BD1247" s="467">
        <f t="shared" ca="1" si="787"/>
        <v>80569</v>
      </c>
      <c r="BE1247" s="467">
        <f t="shared" ca="1" si="775"/>
        <v>80598</v>
      </c>
      <c r="BF1247" s="468">
        <f ca="1">IF(計算!$BC1247&lt;OP!$C$3,0,BD1247-BC1247)</f>
        <v>1</v>
      </c>
      <c r="BG1247" s="468">
        <f ca="1">IF($BE1247&gt;DATE(YEAR($BD$9)+OP!$C$57,MONTH($BD$9),DAY($BD$9)),0,$BE1247-$BD1247+1)</f>
        <v>0</v>
      </c>
      <c r="BH1247" s="469">
        <f t="shared" ca="1" si="776"/>
        <v>1</v>
      </c>
      <c r="BI1247" t="str">
        <f t="shared" si="792"/>
        <v/>
      </c>
      <c r="BJ1247">
        <v>2</v>
      </c>
      <c r="BN1247" s="468">
        <f t="shared" si="788"/>
        <v>104</v>
      </c>
      <c r="BO1247" s="468">
        <f t="shared" si="789"/>
        <v>2</v>
      </c>
      <c r="BP1247" s="467">
        <f t="shared" ca="1" si="777"/>
        <v>80569</v>
      </c>
      <c r="BQ1247" s="475">
        <f t="shared" ca="1" si="791"/>
        <v>136</v>
      </c>
      <c r="BR1247" s="475" t="str">
        <f t="shared" si="790"/>
        <v/>
      </c>
      <c r="BS1247" s="471" t="str">
        <f t="shared" si="778"/>
        <v/>
      </c>
      <c r="BT1247" s="472" t="str">
        <f t="shared" si="793"/>
        <v/>
      </c>
      <c r="BU1247" s="472">
        <f t="shared" ca="1" si="779"/>
        <v>0</v>
      </c>
      <c r="BV1247" s="472">
        <f t="shared" ca="1" si="779"/>
        <v>0</v>
      </c>
      <c r="BW1247" s="472"/>
      <c r="BX1247" s="473">
        <f t="shared" ca="1" si="780"/>
        <v>2817563.12672295</v>
      </c>
      <c r="BY1247" s="473">
        <f t="shared" si="781"/>
        <v>0</v>
      </c>
      <c r="BZ1247" s="473">
        <f t="shared" ca="1" si="763"/>
        <v>207.650457851</v>
      </c>
      <c r="CA1247" s="476">
        <f t="shared" ca="1" si="782"/>
        <v>0</v>
      </c>
      <c r="CB1247" s="494">
        <f ca="1">IF(OR($Q1246&lt;&gt;1,OP!$D$5+$BN1247-1&lt;16,$BN1247-1&lt;1),0,ROUND(ROUND(ROUND(((VLOOKUP($BN1247-1,MORE_PV,5,0)/10000)*VLOOKUP($BN1247,MORE_PV,$CB$5,0)),3)*VLOOKUP($BN1247,more1,5,0),0)/$R1246,0))</f>
        <v>0</v>
      </c>
      <c r="CC1247" s="473">
        <f t="shared" ca="1" si="783"/>
        <v>0</v>
      </c>
      <c r="CD1247" s="477"/>
    </row>
    <row r="1248" spans="2:82" ht="16.5" hidden="1">
      <c r="B1248" s="80"/>
      <c r="C1248" s="80"/>
      <c r="D1248" s="80"/>
      <c r="E1248" s="80"/>
      <c r="F1248" s="80"/>
      <c r="G1248" s="80"/>
      <c r="H1248" s="80"/>
      <c r="I1248" s="80"/>
      <c r="J1248" s="192">
        <f t="shared" si="764"/>
        <v>104</v>
      </c>
      <c r="K1248" s="192">
        <f t="shared" si="765"/>
        <v>4</v>
      </c>
      <c r="L1248" s="192" t="str">
        <f t="shared" si="760"/>
        <v/>
      </c>
      <c r="M1248" s="216" t="str">
        <f t="shared" ca="1" si="766"/>
        <v/>
      </c>
      <c r="N1248" s="216"/>
      <c r="O1248" s="216"/>
      <c r="P1248" s="216"/>
      <c r="Q1248" s="456">
        <f t="shared" ca="1" si="767"/>
        <v>1</v>
      </c>
      <c r="R1248" s="450">
        <f t="shared" ca="1" si="768"/>
        <v>12</v>
      </c>
      <c r="S1248" s="191">
        <f t="shared" si="769"/>
        <v>104</v>
      </c>
      <c r="T1248" s="191">
        <f t="shared" si="770"/>
        <v>4</v>
      </c>
      <c r="U1248" s="191">
        <f ca="1">OP!$D$5+$S1248-1</f>
        <v>136</v>
      </c>
      <c r="V1248" s="191" t="str">
        <f t="shared" si="771"/>
        <v/>
      </c>
      <c r="W1248" s="350">
        <f ca="1">IF(Q1248&lt;&gt;1,0,VLOOKUP(OP!$C$55,PVFB,$S1248+2,0))</f>
        <v>0</v>
      </c>
      <c r="X1248" s="473" t="str">
        <f t="shared" ca="1" si="784"/>
        <v/>
      </c>
      <c r="Y1248" s="348">
        <f t="shared" ca="1" si="785"/>
        <v>0</v>
      </c>
      <c r="Z1248" s="348">
        <f t="shared" ca="1" si="786"/>
        <v>8012</v>
      </c>
      <c r="AA1248" s="348">
        <f ca="1">IF(Q1248&lt;&gt;1,0,VLOOKUP(OP!$C$55,PVFB,$S1248+2,0))</f>
        <v>0</v>
      </c>
      <c r="AB1248" s="488" t="str">
        <f ca="1">IF(AND(S1248&lt;OP!$C$24,$U1248&lt;15),0,IF(AND($U1248&lt;15,$T1248=12),ROUND(VLOOKUP($S1248,DOWN16,5,0),3),IF($T1248=12,ROUND(($Z1248/10000)*$AA1248,3)+IF(AND($P$7="購買增額繳清保險",T1248=12,U1248=110),VLOOKUP(S1248,$B$10:$H$121,7,0),0),"")))</f>
        <v/>
      </c>
      <c r="AC1248" s="350" t="str">
        <f ca="1">IF(AND(S1248&lt;OP!$C$24,$U1248&lt;15),0,IF(AND($U1248&lt;16,$T1248=12),VLOOKUP($S1248,DOWN16,4,0),IF($T1248=12,ROUND(VLOOKUP(OP!$C$55,_DIE2,$S1248+1,0)*(Z1248/10000),0)+IF(AND($P$7="購買增額繳清保險",T1248=12,U1248=110),VLOOKUP(S1248,$B$10:$H$121,7,0),0),"")))</f>
        <v/>
      </c>
      <c r="AD1248" s="347"/>
      <c r="AE1248" s="350" t="str">
        <f t="shared" ca="1" si="761"/>
        <v/>
      </c>
      <c r="AF1248" s="351" t="str">
        <f t="shared" ca="1" si="762"/>
        <v/>
      </c>
      <c r="AG1248" s="340"/>
      <c r="AH1248" s="340"/>
      <c r="AI1248" s="340"/>
      <c r="AJ1248" s="340"/>
      <c r="AK1248" s="340"/>
      <c r="AL1248" s="340"/>
      <c r="AM1248" s="340"/>
      <c r="AN1248" s="340"/>
      <c r="AO1248" s="340"/>
      <c r="AP1248" s="340"/>
      <c r="AQ1248" s="340"/>
      <c r="AR1248" s="340"/>
      <c r="AS1248" s="340"/>
      <c r="AT1248" s="340"/>
      <c r="AU1248" s="340"/>
      <c r="AV1248" s="340"/>
      <c r="AY1248" s="340"/>
      <c r="AZ1248" s="465">
        <f t="shared" ca="1" si="772"/>
        <v>7.3698599999999999E-5</v>
      </c>
      <c r="BA1248" s="464">
        <f t="shared" ca="1" si="773"/>
        <v>0</v>
      </c>
      <c r="BB1248" s="465">
        <f t="shared" ca="1" si="773"/>
        <v>7.3698599999999999E-5</v>
      </c>
      <c r="BC1248" s="466">
        <f t="shared" ca="1" si="774"/>
        <v>80599</v>
      </c>
      <c r="BD1248" s="467">
        <f t="shared" ca="1" si="787"/>
        <v>80600</v>
      </c>
      <c r="BE1248" s="467">
        <f t="shared" ca="1" si="775"/>
        <v>80628</v>
      </c>
      <c r="BF1248" s="468">
        <f ca="1">IF(計算!$BC1248&lt;OP!$C$3,0,BD1248-BC1248)</f>
        <v>1</v>
      </c>
      <c r="BG1248" s="468">
        <f ca="1">IF($BE1248&gt;DATE(YEAR($BD$9)+OP!$C$57,MONTH($BD$9),DAY($BD$9)),0,$BE1248-$BD1248+1)</f>
        <v>0</v>
      </c>
      <c r="BH1248" s="469">
        <f t="shared" ca="1" si="776"/>
        <v>1</v>
      </c>
      <c r="BI1248" t="str">
        <f t="shared" si="792"/>
        <v/>
      </c>
      <c r="BJ1248">
        <v>3</v>
      </c>
      <c r="BN1248" s="468">
        <f t="shared" si="788"/>
        <v>104</v>
      </c>
      <c r="BO1248" s="468">
        <f t="shared" si="789"/>
        <v>3</v>
      </c>
      <c r="BP1248" s="467">
        <f t="shared" ca="1" si="777"/>
        <v>80600</v>
      </c>
      <c r="BQ1248" s="475">
        <f t="shared" ca="1" si="791"/>
        <v>136</v>
      </c>
      <c r="BR1248" s="475" t="str">
        <f t="shared" si="790"/>
        <v/>
      </c>
      <c r="BS1248" s="471" t="str">
        <f t="shared" si="778"/>
        <v/>
      </c>
      <c r="BT1248" s="472" t="str">
        <f t="shared" si="793"/>
        <v/>
      </c>
      <c r="BU1248" s="472">
        <f t="shared" ca="1" si="779"/>
        <v>0</v>
      </c>
      <c r="BV1248" s="472">
        <f t="shared" ca="1" si="779"/>
        <v>0</v>
      </c>
      <c r="BW1248" s="472"/>
      <c r="BX1248" s="473">
        <f t="shared" ca="1" si="780"/>
        <v>2817770.7771808002</v>
      </c>
      <c r="BY1248" s="473">
        <f t="shared" si="781"/>
        <v>0</v>
      </c>
      <c r="BZ1248" s="473">
        <f t="shared" ca="1" si="763"/>
        <v>207.66576139899999</v>
      </c>
      <c r="CA1248" s="476">
        <f t="shared" ca="1" si="782"/>
        <v>0</v>
      </c>
      <c r="CB1248" s="494">
        <f ca="1">IF(OR($Q1247&lt;&gt;1,OP!$D$5+$BN1248-1&lt;16,$BN1248-1&lt;1),0,ROUND(ROUND(ROUND(((VLOOKUP($BN1248-1,MORE_PV,5,0)/10000)*VLOOKUP($BN1248,MORE_PV,$CB$5,0)),3)*VLOOKUP($BN1248,more1,5,0),0)/$R1247,0))</f>
        <v>0</v>
      </c>
      <c r="CC1248" s="473">
        <f t="shared" ca="1" si="783"/>
        <v>0</v>
      </c>
      <c r="CD1248" s="477"/>
    </row>
    <row r="1249" spans="2:82" ht="16.5" hidden="1">
      <c r="B1249" s="80"/>
      <c r="C1249" s="80"/>
      <c r="D1249" s="80"/>
      <c r="E1249" s="80"/>
      <c r="F1249" s="80"/>
      <c r="G1249" s="80"/>
      <c r="H1249" s="80"/>
      <c r="I1249" s="80"/>
      <c r="J1249" s="192">
        <f t="shared" si="764"/>
        <v>104</v>
      </c>
      <c r="K1249" s="192">
        <f t="shared" si="765"/>
        <v>5</v>
      </c>
      <c r="L1249" s="192" t="str">
        <f t="shared" si="760"/>
        <v/>
      </c>
      <c r="M1249" s="216" t="str">
        <f t="shared" ca="1" si="766"/>
        <v/>
      </c>
      <c r="N1249" s="216"/>
      <c r="O1249" s="216"/>
      <c r="P1249" s="216"/>
      <c r="Q1249" s="456">
        <f t="shared" ca="1" si="767"/>
        <v>1</v>
      </c>
      <c r="R1249" s="450">
        <f t="shared" ca="1" si="768"/>
        <v>12</v>
      </c>
      <c r="S1249" s="191">
        <f t="shared" si="769"/>
        <v>104</v>
      </c>
      <c r="T1249" s="191">
        <f t="shared" si="770"/>
        <v>5</v>
      </c>
      <c r="U1249" s="191">
        <f ca="1">OP!$D$5+$S1249-1</f>
        <v>136</v>
      </c>
      <c r="V1249" s="191" t="str">
        <f t="shared" si="771"/>
        <v/>
      </c>
      <c r="W1249" s="350">
        <f ca="1">IF(Q1249&lt;&gt;1,0,VLOOKUP(OP!$C$55,PVFB,$S1249+2,0))</f>
        <v>0</v>
      </c>
      <c r="X1249" s="473" t="str">
        <f t="shared" ca="1" si="784"/>
        <v/>
      </c>
      <c r="Y1249" s="348">
        <f t="shared" ca="1" si="785"/>
        <v>0</v>
      </c>
      <c r="Z1249" s="348">
        <f t="shared" ca="1" si="786"/>
        <v>8012</v>
      </c>
      <c r="AA1249" s="348">
        <f ca="1">IF(Q1249&lt;&gt;1,0,VLOOKUP(OP!$C$55,PVFB,$S1249+2,0))</f>
        <v>0</v>
      </c>
      <c r="AB1249" s="488" t="str">
        <f ca="1">IF(AND(S1249&lt;OP!$C$24,$U1249&lt;15),0,IF(AND($U1249&lt;15,$T1249=12),ROUND(VLOOKUP($S1249,DOWN16,5,0),3),IF($T1249=12,ROUND(($Z1249/10000)*$AA1249,3)+IF(AND($P$7="購買增額繳清保險",T1249=12,U1249=110),VLOOKUP(S1249,$B$10:$H$121,7,0),0),"")))</f>
        <v/>
      </c>
      <c r="AC1249" s="350" t="str">
        <f ca="1">IF(AND(S1249&lt;OP!$C$24,$U1249&lt;15),0,IF(AND($U1249&lt;16,$T1249=12),VLOOKUP($S1249,DOWN16,4,0),IF($T1249=12,ROUND(VLOOKUP(OP!$C$55,_DIE2,$S1249+1,0)*(Z1249/10000),0)+IF(AND($P$7="購買增額繳清保險",T1249=12,U1249=110),VLOOKUP(S1249,$B$10:$H$121,7,0),0),"")))</f>
        <v/>
      </c>
      <c r="AD1249" s="347"/>
      <c r="AE1249" s="350" t="str">
        <f t="shared" ca="1" si="761"/>
        <v/>
      </c>
      <c r="AF1249" s="351" t="str">
        <f t="shared" ca="1" si="762"/>
        <v/>
      </c>
      <c r="AG1249" s="340"/>
      <c r="AH1249" s="340"/>
      <c r="AI1249" s="340"/>
      <c r="AJ1249" s="340"/>
      <c r="AK1249" s="340"/>
      <c r="AL1249" s="340"/>
      <c r="AM1249" s="340"/>
      <c r="AN1249" s="340"/>
      <c r="AO1249" s="340"/>
      <c r="AP1249" s="340"/>
      <c r="AQ1249" s="340"/>
      <c r="AR1249" s="340"/>
      <c r="AS1249" s="340"/>
      <c r="AT1249" s="340"/>
      <c r="AU1249" s="340"/>
      <c r="AV1249" s="340"/>
      <c r="AY1249" s="340"/>
      <c r="AZ1249" s="465">
        <f t="shared" ca="1" si="772"/>
        <v>7.3698599999999999E-5</v>
      </c>
      <c r="BA1249" s="464">
        <f t="shared" ca="1" si="773"/>
        <v>0</v>
      </c>
      <c r="BB1249" s="465">
        <f t="shared" ca="1" si="773"/>
        <v>7.3698599999999999E-5</v>
      </c>
      <c r="BC1249" s="466">
        <f t="shared" ca="1" si="774"/>
        <v>80629</v>
      </c>
      <c r="BD1249" s="467">
        <f t="shared" ca="1" si="787"/>
        <v>80630</v>
      </c>
      <c r="BE1249" s="467">
        <f t="shared" ca="1" si="775"/>
        <v>80659</v>
      </c>
      <c r="BF1249" s="468">
        <f ca="1">IF(計算!$BC1249&lt;OP!$C$3,0,BD1249-BC1249)</f>
        <v>1</v>
      </c>
      <c r="BG1249" s="468">
        <f ca="1">IF($BE1249&gt;DATE(YEAR($BD$9)+OP!$C$57,MONTH($BD$9),DAY($BD$9)),0,$BE1249-$BD1249+1)</f>
        <v>0</v>
      </c>
      <c r="BH1249" s="469">
        <f t="shared" ca="1" si="776"/>
        <v>1</v>
      </c>
      <c r="BI1249" t="str">
        <f t="shared" si="792"/>
        <v/>
      </c>
      <c r="BJ1249">
        <v>4</v>
      </c>
      <c r="BN1249" s="468">
        <f t="shared" si="788"/>
        <v>104</v>
      </c>
      <c r="BO1249" s="468">
        <f t="shared" si="789"/>
        <v>4</v>
      </c>
      <c r="BP1249" s="467">
        <f t="shared" ca="1" si="777"/>
        <v>80630</v>
      </c>
      <c r="BQ1249" s="475">
        <f t="shared" ca="1" si="791"/>
        <v>136</v>
      </c>
      <c r="BR1249" s="475" t="str">
        <f t="shared" si="790"/>
        <v/>
      </c>
      <c r="BS1249" s="471" t="str">
        <f t="shared" si="778"/>
        <v/>
      </c>
      <c r="BT1249" s="472" t="str">
        <f t="shared" si="793"/>
        <v/>
      </c>
      <c r="BU1249" s="472">
        <f t="shared" ca="1" si="779"/>
        <v>0</v>
      </c>
      <c r="BV1249" s="472">
        <f t="shared" ca="1" si="779"/>
        <v>0</v>
      </c>
      <c r="BW1249" s="472"/>
      <c r="BX1249" s="473">
        <f t="shared" ca="1" si="780"/>
        <v>2817978.4429422002</v>
      </c>
      <c r="BY1249" s="473">
        <f t="shared" si="781"/>
        <v>0</v>
      </c>
      <c r="BZ1249" s="473">
        <f t="shared" ca="1" si="763"/>
        <v>207.68106607499999</v>
      </c>
      <c r="CA1249" s="476">
        <f t="shared" ca="1" si="782"/>
        <v>0</v>
      </c>
      <c r="CB1249" s="494">
        <f ca="1">IF(OR($Q1248&lt;&gt;1,OP!$D$5+$BN1249-1&lt;16,$BN1249-1&lt;1),0,ROUND(ROUND(ROUND(((VLOOKUP($BN1249-1,MORE_PV,5,0)/10000)*VLOOKUP($BN1249,MORE_PV,$CB$5,0)),3)*VLOOKUP($BN1249,more1,5,0),0)/$R1248,0))</f>
        <v>0</v>
      </c>
      <c r="CC1249" s="473">
        <f t="shared" ca="1" si="783"/>
        <v>0</v>
      </c>
      <c r="CD1249" s="477"/>
    </row>
    <row r="1250" spans="2:82" ht="16.5" hidden="1">
      <c r="B1250" s="80"/>
      <c r="C1250" s="80"/>
      <c r="D1250" s="80"/>
      <c r="E1250" s="80"/>
      <c r="F1250" s="80"/>
      <c r="G1250" s="80"/>
      <c r="H1250" s="80"/>
      <c r="I1250" s="80"/>
      <c r="J1250" s="192">
        <f t="shared" si="764"/>
        <v>104</v>
      </c>
      <c r="K1250" s="192">
        <f t="shared" si="765"/>
        <v>6</v>
      </c>
      <c r="L1250" s="192" t="str">
        <f t="shared" si="760"/>
        <v/>
      </c>
      <c r="M1250" s="216" t="str">
        <f t="shared" ca="1" si="766"/>
        <v/>
      </c>
      <c r="N1250" s="216"/>
      <c r="O1250" s="216"/>
      <c r="P1250" s="216"/>
      <c r="Q1250" s="456">
        <f t="shared" ca="1" si="767"/>
        <v>1</v>
      </c>
      <c r="R1250" s="450">
        <f t="shared" ca="1" si="768"/>
        <v>12</v>
      </c>
      <c r="S1250" s="191">
        <f t="shared" si="769"/>
        <v>104</v>
      </c>
      <c r="T1250" s="191">
        <f t="shared" si="770"/>
        <v>6</v>
      </c>
      <c r="U1250" s="191">
        <f ca="1">OP!$D$5+$S1250-1</f>
        <v>136</v>
      </c>
      <c r="V1250" s="191" t="str">
        <f t="shared" si="771"/>
        <v/>
      </c>
      <c r="W1250" s="350">
        <f ca="1">IF(Q1250&lt;&gt;1,0,VLOOKUP(OP!$C$55,PVFB,$S1250+2,0))</f>
        <v>0</v>
      </c>
      <c r="X1250" s="473" t="str">
        <f t="shared" ca="1" si="784"/>
        <v/>
      </c>
      <c r="Y1250" s="348">
        <f t="shared" ca="1" si="785"/>
        <v>0</v>
      </c>
      <c r="Z1250" s="348">
        <f t="shared" ca="1" si="786"/>
        <v>8012</v>
      </c>
      <c r="AA1250" s="348">
        <f ca="1">IF(Q1250&lt;&gt;1,0,VLOOKUP(OP!$C$55,PVFB,$S1250+2,0))</f>
        <v>0</v>
      </c>
      <c r="AB1250" s="488" t="str">
        <f ca="1">IF(AND(S1250&lt;OP!$C$24,$U1250&lt;15),0,IF(AND($U1250&lt;15,$T1250=12),ROUND(VLOOKUP($S1250,DOWN16,5,0),3),IF($T1250=12,ROUND(($Z1250/10000)*$AA1250,3)+IF(AND($P$7="購買增額繳清保險",T1250=12,U1250=110),VLOOKUP(S1250,$B$10:$H$121,7,0),0),"")))</f>
        <v/>
      </c>
      <c r="AC1250" s="350" t="str">
        <f ca="1">IF(AND(S1250&lt;OP!$C$24,$U1250&lt;15),0,IF(AND($U1250&lt;16,$T1250=12),VLOOKUP($S1250,DOWN16,4,0),IF($T1250=12,ROUND(VLOOKUP(OP!$C$55,_DIE2,$S1250+1,0)*(Z1250/10000),0)+IF(AND($P$7="購買增額繳清保險",T1250=12,U1250=110),VLOOKUP(S1250,$B$10:$H$121,7,0),0),"")))</f>
        <v/>
      </c>
      <c r="AD1250" s="347"/>
      <c r="AE1250" s="350" t="str">
        <f t="shared" ca="1" si="761"/>
        <v/>
      </c>
      <c r="AF1250" s="351" t="str">
        <f t="shared" ca="1" si="762"/>
        <v/>
      </c>
      <c r="AG1250" s="340"/>
      <c r="AH1250" s="340"/>
      <c r="AI1250" s="340"/>
      <c r="AJ1250" s="340"/>
      <c r="AK1250" s="340"/>
      <c r="AL1250" s="340"/>
      <c r="AM1250" s="340"/>
      <c r="AN1250" s="340"/>
      <c r="AO1250" s="340"/>
      <c r="AP1250" s="340"/>
      <c r="AQ1250" s="340"/>
      <c r="AR1250" s="340"/>
      <c r="AS1250" s="340"/>
      <c r="AT1250" s="340"/>
      <c r="AU1250" s="340"/>
      <c r="AV1250" s="340"/>
      <c r="AY1250" s="340"/>
      <c r="AZ1250" s="465">
        <f t="shared" ca="1" si="772"/>
        <v>7.3698599999999999E-5</v>
      </c>
      <c r="BA1250" s="464">
        <f t="shared" ca="1" si="773"/>
        <v>0</v>
      </c>
      <c r="BB1250" s="465">
        <f t="shared" ca="1" si="773"/>
        <v>7.3698599999999999E-5</v>
      </c>
      <c r="BC1250" s="466">
        <f t="shared" ca="1" si="774"/>
        <v>80660</v>
      </c>
      <c r="BD1250" s="467">
        <f t="shared" ca="1" si="787"/>
        <v>80661</v>
      </c>
      <c r="BE1250" s="467">
        <f t="shared" ca="1" si="775"/>
        <v>80689</v>
      </c>
      <c r="BF1250" s="468">
        <f ca="1">IF(計算!$BC1250&lt;OP!$C$3,0,BD1250-BC1250)</f>
        <v>1</v>
      </c>
      <c r="BG1250" s="468">
        <f ca="1">IF($BE1250&gt;DATE(YEAR($BD$9)+OP!$C$57,MONTH($BD$9),DAY($BD$9)),0,$BE1250-$BD1250+1)</f>
        <v>0</v>
      </c>
      <c r="BH1250" s="469">
        <f t="shared" ca="1" si="776"/>
        <v>1</v>
      </c>
      <c r="BI1250" t="str">
        <f t="shared" si="792"/>
        <v/>
      </c>
      <c r="BJ1250">
        <v>5</v>
      </c>
      <c r="BN1250" s="468">
        <f t="shared" si="788"/>
        <v>104</v>
      </c>
      <c r="BO1250" s="468">
        <f t="shared" si="789"/>
        <v>5</v>
      </c>
      <c r="BP1250" s="467">
        <f t="shared" ca="1" si="777"/>
        <v>80661</v>
      </c>
      <c r="BQ1250" s="475">
        <f t="shared" ca="1" si="791"/>
        <v>136</v>
      </c>
      <c r="BR1250" s="475" t="str">
        <f t="shared" si="790"/>
        <v/>
      </c>
      <c r="BS1250" s="471" t="str">
        <f t="shared" si="778"/>
        <v/>
      </c>
      <c r="BT1250" s="472" t="str">
        <f t="shared" si="793"/>
        <v/>
      </c>
      <c r="BU1250" s="472">
        <f t="shared" ca="1" si="779"/>
        <v>0</v>
      </c>
      <c r="BV1250" s="472">
        <f t="shared" ca="1" si="779"/>
        <v>0</v>
      </c>
      <c r="BW1250" s="472"/>
      <c r="BX1250" s="473">
        <f t="shared" ca="1" si="780"/>
        <v>2818186.1240082802</v>
      </c>
      <c r="BY1250" s="473">
        <f t="shared" si="781"/>
        <v>0</v>
      </c>
      <c r="BZ1250" s="473">
        <f t="shared" ca="1" si="763"/>
        <v>207.696371879</v>
      </c>
      <c r="CA1250" s="476">
        <f t="shared" ca="1" si="782"/>
        <v>0</v>
      </c>
      <c r="CB1250" s="494">
        <f ca="1">IF(OR($Q1249&lt;&gt;1,OP!$D$5+$BN1250-1&lt;16,$BN1250-1&lt;1),0,ROUND(ROUND(ROUND(((VLOOKUP($BN1250-1,MORE_PV,5,0)/10000)*VLOOKUP($BN1250,MORE_PV,$CB$5,0)),3)*VLOOKUP($BN1250,more1,5,0),0)/$R1249,0))</f>
        <v>0</v>
      </c>
      <c r="CC1250" s="473">
        <f t="shared" ca="1" si="783"/>
        <v>0</v>
      </c>
      <c r="CD1250" s="477"/>
    </row>
    <row r="1251" spans="2:82" ht="16.5" hidden="1">
      <c r="B1251" s="80"/>
      <c r="C1251" s="80"/>
      <c r="D1251" s="80"/>
      <c r="E1251" s="80"/>
      <c r="F1251" s="80"/>
      <c r="G1251" s="80"/>
      <c r="H1251" s="80"/>
      <c r="I1251" s="80"/>
      <c r="J1251" s="192">
        <f t="shared" si="764"/>
        <v>104</v>
      </c>
      <c r="K1251" s="192">
        <f t="shared" si="765"/>
        <v>7</v>
      </c>
      <c r="L1251" s="192" t="str">
        <f t="shared" si="760"/>
        <v/>
      </c>
      <c r="M1251" s="216" t="str">
        <f t="shared" ca="1" si="766"/>
        <v/>
      </c>
      <c r="N1251" s="216"/>
      <c r="O1251" s="216"/>
      <c r="P1251" s="216"/>
      <c r="Q1251" s="456">
        <f t="shared" ca="1" si="767"/>
        <v>1</v>
      </c>
      <c r="R1251" s="450">
        <f t="shared" ca="1" si="768"/>
        <v>12</v>
      </c>
      <c r="S1251" s="191">
        <f t="shared" si="769"/>
        <v>104</v>
      </c>
      <c r="T1251" s="191">
        <f t="shared" si="770"/>
        <v>7</v>
      </c>
      <c r="U1251" s="191">
        <f ca="1">OP!$D$5+$S1251-1</f>
        <v>136</v>
      </c>
      <c r="V1251" s="191" t="str">
        <f t="shared" si="771"/>
        <v/>
      </c>
      <c r="W1251" s="350">
        <f ca="1">IF(Q1251&lt;&gt;1,0,VLOOKUP(OP!$C$55,PVFB,$S1251+2,0))</f>
        <v>0</v>
      </c>
      <c r="X1251" s="473" t="str">
        <f t="shared" ca="1" si="784"/>
        <v/>
      </c>
      <c r="Y1251" s="348">
        <f t="shared" ca="1" si="785"/>
        <v>0</v>
      </c>
      <c r="Z1251" s="348">
        <f t="shared" ca="1" si="786"/>
        <v>8012</v>
      </c>
      <c r="AA1251" s="348">
        <f ca="1">IF(Q1251&lt;&gt;1,0,VLOOKUP(OP!$C$55,PVFB,$S1251+2,0))</f>
        <v>0</v>
      </c>
      <c r="AB1251" s="488" t="str">
        <f ca="1">IF(AND(S1251&lt;OP!$C$24,$U1251&lt;15),0,IF(AND($U1251&lt;15,$T1251=12),ROUND(VLOOKUP($S1251,DOWN16,5,0),3),IF($T1251=12,ROUND(($Z1251/10000)*$AA1251,3)+IF(AND($P$7="購買增額繳清保險",T1251=12,U1251=110),VLOOKUP(S1251,$B$10:$H$121,7,0),0),"")))</f>
        <v/>
      </c>
      <c r="AC1251" s="350" t="str">
        <f ca="1">IF(AND(S1251&lt;OP!$C$24,$U1251&lt;15),0,IF(AND($U1251&lt;16,$T1251=12),VLOOKUP($S1251,DOWN16,4,0),IF($T1251=12,ROUND(VLOOKUP(OP!$C$55,_DIE2,$S1251+1,0)*(Z1251/10000),0)+IF(AND($P$7="購買增額繳清保險",T1251=12,U1251=110),VLOOKUP(S1251,$B$10:$H$121,7,0),0),"")))</f>
        <v/>
      </c>
      <c r="AD1251" s="347"/>
      <c r="AE1251" s="350" t="str">
        <f t="shared" ca="1" si="761"/>
        <v/>
      </c>
      <c r="AF1251" s="351" t="str">
        <f t="shared" ca="1" si="762"/>
        <v/>
      </c>
      <c r="AG1251" s="340"/>
      <c r="AH1251" s="340"/>
      <c r="AI1251" s="340"/>
      <c r="AJ1251" s="340"/>
      <c r="AK1251" s="340"/>
      <c r="AL1251" s="340"/>
      <c r="AM1251" s="340"/>
      <c r="AN1251" s="340"/>
      <c r="AO1251" s="340"/>
      <c r="AP1251" s="340"/>
      <c r="AQ1251" s="340"/>
      <c r="AR1251" s="340"/>
      <c r="AS1251" s="340"/>
      <c r="AT1251" s="340"/>
      <c r="AU1251" s="340"/>
      <c r="AV1251" s="340"/>
      <c r="AY1251" s="340"/>
      <c r="AZ1251" s="465">
        <f t="shared" ca="1" si="772"/>
        <v>7.3698599999999999E-5</v>
      </c>
      <c r="BA1251" s="464">
        <f t="shared" ca="1" si="773"/>
        <v>0</v>
      </c>
      <c r="BB1251" s="465">
        <f t="shared" ca="1" si="773"/>
        <v>7.3698599999999999E-5</v>
      </c>
      <c r="BC1251" s="466">
        <f t="shared" ca="1" si="774"/>
        <v>80690</v>
      </c>
      <c r="BD1251" s="467">
        <f t="shared" ca="1" si="787"/>
        <v>80691</v>
      </c>
      <c r="BE1251" s="467">
        <f t="shared" ca="1" si="775"/>
        <v>80720</v>
      </c>
      <c r="BF1251" s="468">
        <f ca="1">IF(計算!$BC1251&lt;OP!$C$3,0,BD1251-BC1251)</f>
        <v>1</v>
      </c>
      <c r="BG1251" s="468">
        <f ca="1">IF($BE1251&gt;DATE(YEAR($BD$9)+OP!$C$57,MONTH($BD$9),DAY($BD$9)),0,$BE1251-$BD1251+1)</f>
        <v>0</v>
      </c>
      <c r="BH1251" s="469">
        <f t="shared" ca="1" si="776"/>
        <v>1</v>
      </c>
      <c r="BI1251" t="str">
        <f t="shared" si="792"/>
        <v/>
      </c>
      <c r="BJ1251">
        <v>6</v>
      </c>
      <c r="BN1251" s="468">
        <f t="shared" si="788"/>
        <v>104</v>
      </c>
      <c r="BO1251" s="468">
        <f t="shared" si="789"/>
        <v>6</v>
      </c>
      <c r="BP1251" s="467">
        <f t="shared" ca="1" si="777"/>
        <v>80691</v>
      </c>
      <c r="BQ1251" s="475">
        <f t="shared" ca="1" si="791"/>
        <v>136</v>
      </c>
      <c r="BR1251" s="475" t="str">
        <f t="shared" si="790"/>
        <v/>
      </c>
      <c r="BS1251" s="471" t="str">
        <f t="shared" si="778"/>
        <v/>
      </c>
      <c r="BT1251" s="472" t="str">
        <f t="shared" si="793"/>
        <v/>
      </c>
      <c r="BU1251" s="472">
        <f t="shared" ca="1" si="779"/>
        <v>0</v>
      </c>
      <c r="BV1251" s="472">
        <f t="shared" ca="1" si="779"/>
        <v>0</v>
      </c>
      <c r="BW1251" s="472"/>
      <c r="BX1251" s="473">
        <f t="shared" ca="1" si="780"/>
        <v>2818393.8203801601</v>
      </c>
      <c r="BY1251" s="473">
        <f t="shared" si="781"/>
        <v>0</v>
      </c>
      <c r="BZ1251" s="473">
        <f t="shared" ca="1" si="763"/>
        <v>207.71167881100001</v>
      </c>
      <c r="CA1251" s="476">
        <f t="shared" ca="1" si="782"/>
        <v>0</v>
      </c>
      <c r="CB1251" s="494">
        <f ca="1">IF(OR($Q1250&lt;&gt;1,OP!$D$5+$BN1251-1&lt;16,$BN1251-1&lt;1),0,ROUND(ROUND(ROUND(((VLOOKUP($BN1251-1,MORE_PV,5,0)/10000)*VLOOKUP($BN1251,MORE_PV,$CB$5,0)),3)*VLOOKUP($BN1251,more1,5,0),0)/$R1250,0))</f>
        <v>0</v>
      </c>
      <c r="CC1251" s="473">
        <f t="shared" ca="1" si="783"/>
        <v>0</v>
      </c>
      <c r="CD1251" s="477"/>
    </row>
    <row r="1252" spans="2:82" ht="16.5" hidden="1">
      <c r="B1252" s="80"/>
      <c r="C1252" s="80"/>
      <c r="D1252" s="80"/>
      <c r="E1252" s="80"/>
      <c r="F1252" s="80"/>
      <c r="G1252" s="80"/>
      <c r="H1252" s="80"/>
      <c r="I1252" s="80"/>
      <c r="J1252" s="192">
        <f t="shared" si="764"/>
        <v>104</v>
      </c>
      <c r="K1252" s="192">
        <f t="shared" si="765"/>
        <v>8</v>
      </c>
      <c r="L1252" s="192" t="str">
        <f t="shared" si="760"/>
        <v/>
      </c>
      <c r="M1252" s="216" t="str">
        <f t="shared" ca="1" si="766"/>
        <v/>
      </c>
      <c r="N1252" s="216"/>
      <c r="O1252" s="216"/>
      <c r="P1252" s="216"/>
      <c r="Q1252" s="456">
        <f t="shared" ca="1" si="767"/>
        <v>1</v>
      </c>
      <c r="R1252" s="450">
        <f t="shared" ca="1" si="768"/>
        <v>12</v>
      </c>
      <c r="S1252" s="191">
        <f t="shared" si="769"/>
        <v>104</v>
      </c>
      <c r="T1252" s="191">
        <f t="shared" si="770"/>
        <v>8</v>
      </c>
      <c r="U1252" s="191">
        <f ca="1">OP!$D$5+$S1252-1</f>
        <v>136</v>
      </c>
      <c r="V1252" s="191" t="str">
        <f t="shared" si="771"/>
        <v/>
      </c>
      <c r="W1252" s="350">
        <f ca="1">IF(Q1252&lt;&gt;1,0,VLOOKUP(OP!$C$55,PVFB,$S1252+2,0))</f>
        <v>0</v>
      </c>
      <c r="X1252" s="473" t="str">
        <f t="shared" ca="1" si="784"/>
        <v/>
      </c>
      <c r="Y1252" s="348">
        <f t="shared" ca="1" si="785"/>
        <v>0</v>
      </c>
      <c r="Z1252" s="348">
        <f t="shared" ca="1" si="786"/>
        <v>8012</v>
      </c>
      <c r="AA1252" s="348">
        <f ca="1">IF(Q1252&lt;&gt;1,0,VLOOKUP(OP!$C$55,PVFB,$S1252+2,0))</f>
        <v>0</v>
      </c>
      <c r="AB1252" s="488" t="str">
        <f ca="1">IF(AND(S1252&lt;OP!$C$24,$U1252&lt;15),0,IF(AND($U1252&lt;15,$T1252=12),ROUND(VLOOKUP($S1252,DOWN16,5,0),3),IF($T1252=12,ROUND(($Z1252/10000)*$AA1252,3)+IF(AND($P$7="購買增額繳清保險",T1252=12,U1252=110),VLOOKUP(S1252,$B$10:$H$121,7,0),0),"")))</f>
        <v/>
      </c>
      <c r="AC1252" s="350" t="str">
        <f ca="1">IF(AND(S1252&lt;OP!$C$24,$U1252&lt;15),0,IF(AND($U1252&lt;16,$T1252=12),VLOOKUP($S1252,DOWN16,4,0),IF($T1252=12,ROUND(VLOOKUP(OP!$C$55,_DIE2,$S1252+1,0)*(Z1252/10000),0)+IF(AND($P$7="購買增額繳清保險",T1252=12,U1252=110),VLOOKUP(S1252,$B$10:$H$121,7,0),0),"")))</f>
        <v/>
      </c>
      <c r="AD1252" s="347"/>
      <c r="AE1252" s="350" t="str">
        <f t="shared" ca="1" si="761"/>
        <v/>
      </c>
      <c r="AF1252" s="351" t="str">
        <f t="shared" ca="1" si="762"/>
        <v/>
      </c>
      <c r="AG1252" s="340"/>
      <c r="AH1252" s="340"/>
      <c r="AI1252" s="340"/>
      <c r="AJ1252" s="340"/>
      <c r="AK1252" s="340"/>
      <c r="AL1252" s="340"/>
      <c r="AM1252" s="340"/>
      <c r="AN1252" s="340"/>
      <c r="AO1252" s="340"/>
      <c r="AP1252" s="340"/>
      <c r="AQ1252" s="340"/>
      <c r="AR1252" s="340"/>
      <c r="AS1252" s="340"/>
      <c r="AT1252" s="340"/>
      <c r="AU1252" s="340"/>
      <c r="AV1252" s="340"/>
      <c r="AY1252" s="340"/>
      <c r="AZ1252" s="465">
        <f t="shared" ca="1" si="772"/>
        <v>7.3698599999999999E-5</v>
      </c>
      <c r="BA1252" s="464">
        <f t="shared" ca="1" si="773"/>
        <v>0</v>
      </c>
      <c r="BB1252" s="465">
        <f t="shared" ca="1" si="773"/>
        <v>7.3698599999999999E-5</v>
      </c>
      <c r="BC1252" s="466">
        <f t="shared" ca="1" si="774"/>
        <v>80721</v>
      </c>
      <c r="BD1252" s="467">
        <f t="shared" ca="1" si="787"/>
        <v>80722</v>
      </c>
      <c r="BE1252" s="467">
        <f t="shared" ca="1" si="775"/>
        <v>80751</v>
      </c>
      <c r="BF1252" s="468">
        <f ca="1">IF(計算!$BC1252&lt;OP!$C$3,0,BD1252-BC1252)</f>
        <v>1</v>
      </c>
      <c r="BG1252" s="468">
        <f ca="1">IF($BE1252&gt;DATE(YEAR($BD$9)+OP!$C$57,MONTH($BD$9),DAY($BD$9)),0,$BE1252-$BD1252+1)</f>
        <v>0</v>
      </c>
      <c r="BH1252" s="469">
        <f t="shared" ca="1" si="776"/>
        <v>1</v>
      </c>
      <c r="BI1252" t="str">
        <f t="shared" si="792"/>
        <v/>
      </c>
      <c r="BJ1252">
        <v>7</v>
      </c>
      <c r="BN1252" s="468">
        <f t="shared" si="788"/>
        <v>104</v>
      </c>
      <c r="BO1252" s="468">
        <f t="shared" si="789"/>
        <v>7</v>
      </c>
      <c r="BP1252" s="467">
        <f t="shared" ca="1" si="777"/>
        <v>80722</v>
      </c>
      <c r="BQ1252" s="475">
        <f t="shared" ca="1" si="791"/>
        <v>136</v>
      </c>
      <c r="BR1252" s="475" t="str">
        <f t="shared" si="790"/>
        <v/>
      </c>
      <c r="BS1252" s="471" t="str">
        <f t="shared" si="778"/>
        <v/>
      </c>
      <c r="BT1252" s="472" t="str">
        <f t="shared" si="793"/>
        <v/>
      </c>
      <c r="BU1252" s="472">
        <f t="shared" ca="1" si="779"/>
        <v>0</v>
      </c>
      <c r="BV1252" s="472">
        <f t="shared" ca="1" si="779"/>
        <v>0</v>
      </c>
      <c r="BW1252" s="472"/>
      <c r="BX1252" s="473">
        <f t="shared" ca="1" si="780"/>
        <v>2818601.5320589701</v>
      </c>
      <c r="BY1252" s="473">
        <f t="shared" si="781"/>
        <v>0</v>
      </c>
      <c r="BZ1252" s="473">
        <f t="shared" ca="1" si="763"/>
        <v>207.72698687100001</v>
      </c>
      <c r="CA1252" s="476">
        <f t="shared" ca="1" si="782"/>
        <v>0</v>
      </c>
      <c r="CB1252" s="494">
        <f ca="1">IF(OR($Q1251&lt;&gt;1,OP!$D$5+$BN1252-1&lt;16,$BN1252-1&lt;1),0,ROUND(ROUND(ROUND(((VLOOKUP($BN1252-1,MORE_PV,5,0)/10000)*VLOOKUP($BN1252,MORE_PV,$CB$5,0)),3)*VLOOKUP($BN1252,more1,5,0),0)/$R1251,0))</f>
        <v>0</v>
      </c>
      <c r="CC1252" s="473">
        <f t="shared" ca="1" si="783"/>
        <v>0</v>
      </c>
      <c r="CD1252" s="477"/>
    </row>
    <row r="1253" spans="2:82" ht="16.5" hidden="1">
      <c r="B1253" s="80"/>
      <c r="C1253" s="80"/>
      <c r="D1253" s="80"/>
      <c r="E1253" s="80"/>
      <c r="F1253" s="80"/>
      <c r="G1253" s="80"/>
      <c r="H1253" s="80"/>
      <c r="I1253" s="80"/>
      <c r="J1253" s="192">
        <f t="shared" si="764"/>
        <v>104</v>
      </c>
      <c r="K1253" s="192">
        <f t="shared" si="765"/>
        <v>9</v>
      </c>
      <c r="L1253" s="192" t="str">
        <f t="shared" si="760"/>
        <v/>
      </c>
      <c r="M1253" s="216" t="str">
        <f t="shared" ca="1" si="766"/>
        <v/>
      </c>
      <c r="N1253" s="216"/>
      <c r="O1253" s="216"/>
      <c r="P1253" s="216"/>
      <c r="Q1253" s="456">
        <f t="shared" ca="1" si="767"/>
        <v>1</v>
      </c>
      <c r="R1253" s="450">
        <f t="shared" ca="1" si="768"/>
        <v>12</v>
      </c>
      <c r="S1253" s="191">
        <f t="shared" si="769"/>
        <v>104</v>
      </c>
      <c r="T1253" s="191">
        <f t="shared" si="770"/>
        <v>9</v>
      </c>
      <c r="U1253" s="191">
        <f ca="1">OP!$D$5+$S1253-1</f>
        <v>136</v>
      </c>
      <c r="V1253" s="191" t="str">
        <f t="shared" si="771"/>
        <v/>
      </c>
      <c r="W1253" s="350">
        <f ca="1">IF(Q1253&lt;&gt;1,0,VLOOKUP(OP!$C$55,PVFB,$S1253+2,0))</f>
        <v>0</v>
      </c>
      <c r="X1253" s="473" t="str">
        <f t="shared" ca="1" si="784"/>
        <v/>
      </c>
      <c r="Y1253" s="348">
        <f t="shared" ca="1" si="785"/>
        <v>0</v>
      </c>
      <c r="Z1253" s="348">
        <f t="shared" ca="1" si="786"/>
        <v>8012</v>
      </c>
      <c r="AA1253" s="348">
        <f ca="1">IF(Q1253&lt;&gt;1,0,VLOOKUP(OP!$C$55,PVFB,$S1253+2,0))</f>
        <v>0</v>
      </c>
      <c r="AB1253" s="488" t="str">
        <f ca="1">IF(AND(S1253&lt;OP!$C$24,$U1253&lt;15),0,IF(AND($U1253&lt;15,$T1253=12),ROUND(VLOOKUP($S1253,DOWN16,5,0),3),IF($T1253=12,ROUND(($Z1253/10000)*$AA1253,3)+IF(AND($P$7="購買增額繳清保險",T1253=12,U1253=110),VLOOKUP(S1253,$B$10:$H$121,7,0),0),"")))</f>
        <v/>
      </c>
      <c r="AC1253" s="350" t="str">
        <f ca="1">IF(AND(S1253&lt;OP!$C$24,$U1253&lt;15),0,IF(AND($U1253&lt;16,$T1253=12),VLOOKUP($S1253,DOWN16,4,0),IF($T1253=12,ROUND(VLOOKUP(OP!$C$55,_DIE2,$S1253+1,0)*(Z1253/10000),0)+IF(AND($P$7="購買增額繳清保險",T1253=12,U1253=110),VLOOKUP(S1253,$B$10:$H$121,7,0),0),"")))</f>
        <v/>
      </c>
      <c r="AD1253" s="347"/>
      <c r="AE1253" s="350" t="str">
        <f t="shared" ca="1" si="761"/>
        <v/>
      </c>
      <c r="AF1253" s="351" t="str">
        <f t="shared" ca="1" si="762"/>
        <v/>
      </c>
      <c r="AG1253" s="340"/>
      <c r="AH1253" s="340"/>
      <c r="AI1253" s="340"/>
      <c r="AJ1253" s="340"/>
      <c r="AK1253" s="340"/>
      <c r="AL1253" s="340"/>
      <c r="AM1253" s="340"/>
      <c r="AN1253" s="340"/>
      <c r="AO1253" s="340"/>
      <c r="AP1253" s="340"/>
      <c r="AQ1253" s="340"/>
      <c r="AR1253" s="340"/>
      <c r="AS1253" s="340"/>
      <c r="AT1253" s="340"/>
      <c r="AU1253" s="340"/>
      <c r="AV1253" s="340"/>
      <c r="AY1253" s="340"/>
      <c r="AZ1253" s="465">
        <f t="shared" ca="1" si="772"/>
        <v>7.3698599999999999E-5</v>
      </c>
      <c r="BA1253" s="464">
        <f t="shared" ca="1" si="773"/>
        <v>0</v>
      </c>
      <c r="BB1253" s="465">
        <f t="shared" ca="1" si="773"/>
        <v>7.3698599999999999E-5</v>
      </c>
      <c r="BC1253" s="466">
        <f t="shared" ca="1" si="774"/>
        <v>80752</v>
      </c>
      <c r="BD1253" s="467">
        <f t="shared" ca="1" si="787"/>
        <v>80753</v>
      </c>
      <c r="BE1253" s="467">
        <f t="shared" ca="1" si="775"/>
        <v>80779</v>
      </c>
      <c r="BF1253" s="468">
        <f ca="1">IF(計算!$BC1253&lt;OP!$C$3,0,BD1253-BC1253)</f>
        <v>1</v>
      </c>
      <c r="BG1253" s="468">
        <f ca="1">IF($BE1253&gt;DATE(YEAR($BD$9)+OP!$C$57,MONTH($BD$9),DAY($BD$9)),0,$BE1253-$BD1253+1)</f>
        <v>0</v>
      </c>
      <c r="BH1253" s="469">
        <f t="shared" ca="1" si="776"/>
        <v>1</v>
      </c>
      <c r="BI1253" t="str">
        <f t="shared" si="792"/>
        <v/>
      </c>
      <c r="BJ1253">
        <v>8</v>
      </c>
      <c r="BN1253" s="468">
        <f t="shared" si="788"/>
        <v>104</v>
      </c>
      <c r="BO1253" s="468">
        <f t="shared" si="789"/>
        <v>8</v>
      </c>
      <c r="BP1253" s="467">
        <f t="shared" ca="1" si="777"/>
        <v>80753</v>
      </c>
      <c r="BQ1253" s="475">
        <f t="shared" ca="1" si="791"/>
        <v>136</v>
      </c>
      <c r="BR1253" s="475" t="str">
        <f t="shared" si="790"/>
        <v/>
      </c>
      <c r="BS1253" s="471" t="str">
        <f t="shared" si="778"/>
        <v/>
      </c>
      <c r="BT1253" s="472" t="str">
        <f t="shared" si="793"/>
        <v/>
      </c>
      <c r="BU1253" s="472">
        <f t="shared" ca="1" si="779"/>
        <v>0</v>
      </c>
      <c r="BV1253" s="472">
        <f t="shared" ca="1" si="779"/>
        <v>0</v>
      </c>
      <c r="BW1253" s="472"/>
      <c r="BX1253" s="473">
        <f t="shared" ca="1" si="780"/>
        <v>2818809.2590458398</v>
      </c>
      <c r="BY1253" s="473">
        <f t="shared" si="781"/>
        <v>0</v>
      </c>
      <c r="BZ1253" s="473">
        <f t="shared" ca="1" si="763"/>
        <v>207.74229605900001</v>
      </c>
      <c r="CA1253" s="476">
        <f t="shared" ca="1" si="782"/>
        <v>0</v>
      </c>
      <c r="CB1253" s="494">
        <f ca="1">IF(OR($Q1252&lt;&gt;1,OP!$D$5+$BN1253-1&lt;16,$BN1253-1&lt;1),0,ROUND(ROUND(ROUND(((VLOOKUP($BN1253-1,MORE_PV,5,0)/10000)*VLOOKUP($BN1253,MORE_PV,$CB$5,0)),3)*VLOOKUP($BN1253,more1,5,0),0)/$R1252,0))</f>
        <v>0</v>
      </c>
      <c r="CC1253" s="473">
        <f t="shared" ca="1" si="783"/>
        <v>0</v>
      </c>
      <c r="CD1253" s="477"/>
    </row>
    <row r="1254" spans="2:82" ht="16.5" hidden="1">
      <c r="B1254" s="80"/>
      <c r="C1254" s="80"/>
      <c r="D1254" s="80"/>
      <c r="E1254" s="80"/>
      <c r="F1254" s="80"/>
      <c r="G1254" s="80"/>
      <c r="H1254" s="80"/>
      <c r="I1254" s="80"/>
      <c r="J1254" s="192">
        <f t="shared" si="764"/>
        <v>104</v>
      </c>
      <c r="K1254" s="192">
        <f t="shared" si="765"/>
        <v>10</v>
      </c>
      <c r="L1254" s="192" t="str">
        <f t="shared" si="760"/>
        <v/>
      </c>
      <c r="M1254" s="216" t="str">
        <f t="shared" ca="1" si="766"/>
        <v/>
      </c>
      <c r="N1254" s="216"/>
      <c r="O1254" s="216"/>
      <c r="P1254" s="216"/>
      <c r="Q1254" s="456">
        <f t="shared" ca="1" si="767"/>
        <v>1</v>
      </c>
      <c r="R1254" s="450">
        <f t="shared" ca="1" si="768"/>
        <v>12</v>
      </c>
      <c r="S1254" s="191">
        <f t="shared" si="769"/>
        <v>104</v>
      </c>
      <c r="T1254" s="191">
        <f t="shared" si="770"/>
        <v>10</v>
      </c>
      <c r="U1254" s="191">
        <f ca="1">OP!$D$5+$S1254-1</f>
        <v>136</v>
      </c>
      <c r="V1254" s="191" t="str">
        <f t="shared" si="771"/>
        <v/>
      </c>
      <c r="W1254" s="350">
        <f ca="1">IF(Q1254&lt;&gt;1,0,VLOOKUP(OP!$C$55,PVFB,$S1254+2,0))</f>
        <v>0</v>
      </c>
      <c r="X1254" s="473" t="str">
        <f t="shared" ca="1" si="784"/>
        <v/>
      </c>
      <c r="Y1254" s="348">
        <f t="shared" ca="1" si="785"/>
        <v>0</v>
      </c>
      <c r="Z1254" s="348">
        <f t="shared" ca="1" si="786"/>
        <v>8012</v>
      </c>
      <c r="AA1254" s="348">
        <f ca="1">IF(Q1254&lt;&gt;1,0,VLOOKUP(OP!$C$55,PVFB,$S1254+2,0))</f>
        <v>0</v>
      </c>
      <c r="AB1254" s="488" t="str">
        <f ca="1">IF(AND(S1254&lt;OP!$C$24,$U1254&lt;15),0,IF(AND($U1254&lt;15,$T1254=12),ROUND(VLOOKUP($S1254,DOWN16,5,0),3),IF($T1254=12,ROUND(($Z1254/10000)*$AA1254,3)+IF(AND($P$7="購買增額繳清保險",T1254=12,U1254=110),VLOOKUP(S1254,$B$10:$H$121,7,0),0),"")))</f>
        <v/>
      </c>
      <c r="AC1254" s="350" t="str">
        <f ca="1">IF(AND(S1254&lt;OP!$C$24,$U1254&lt;15),0,IF(AND($U1254&lt;16,$T1254=12),VLOOKUP($S1254,DOWN16,4,0),IF($T1254=12,ROUND(VLOOKUP(OP!$C$55,_DIE2,$S1254+1,0)*(Z1254/10000),0)+IF(AND($P$7="購買增額繳清保險",T1254=12,U1254=110),VLOOKUP(S1254,$B$10:$H$121,7,0),0),"")))</f>
        <v/>
      </c>
      <c r="AD1254" s="347"/>
      <c r="AE1254" s="350" t="str">
        <f t="shared" ca="1" si="761"/>
        <v/>
      </c>
      <c r="AF1254" s="351" t="str">
        <f t="shared" ca="1" si="762"/>
        <v/>
      </c>
      <c r="AG1254" s="340"/>
      <c r="AH1254" s="340"/>
      <c r="AI1254" s="340"/>
      <c r="AJ1254" s="340"/>
      <c r="AK1254" s="340"/>
      <c r="AL1254" s="340"/>
      <c r="AM1254" s="340"/>
      <c r="AN1254" s="340"/>
      <c r="AO1254" s="340"/>
      <c r="AP1254" s="340"/>
      <c r="AQ1254" s="340"/>
      <c r="AR1254" s="340"/>
      <c r="AS1254" s="340"/>
      <c r="AT1254" s="340"/>
      <c r="AU1254" s="340"/>
      <c r="AV1254" s="340"/>
      <c r="AY1254" s="340"/>
      <c r="AZ1254" s="465">
        <f t="shared" ca="1" si="772"/>
        <v>7.3698599999999999E-5</v>
      </c>
      <c r="BA1254" s="464">
        <f t="shared" ca="1" si="773"/>
        <v>0</v>
      </c>
      <c r="BB1254" s="465">
        <f t="shared" ca="1" si="773"/>
        <v>7.3698599999999999E-5</v>
      </c>
      <c r="BC1254" s="466">
        <f t="shared" ca="1" si="774"/>
        <v>80780</v>
      </c>
      <c r="BD1254" s="467">
        <f t="shared" ca="1" si="787"/>
        <v>80781</v>
      </c>
      <c r="BE1254" s="467">
        <f t="shared" ca="1" si="775"/>
        <v>80810</v>
      </c>
      <c r="BF1254" s="468">
        <f ca="1">IF(計算!$BC1254&lt;OP!$C$3,0,BD1254-BC1254)</f>
        <v>1</v>
      </c>
      <c r="BG1254" s="468">
        <f ca="1">IF($BE1254&gt;DATE(YEAR($BD$9)+OP!$C$57,MONTH($BD$9),DAY($BD$9)),0,$BE1254-$BD1254+1)</f>
        <v>0</v>
      </c>
      <c r="BH1254" s="469">
        <f t="shared" ca="1" si="776"/>
        <v>1</v>
      </c>
      <c r="BI1254" t="str">
        <f t="shared" si="792"/>
        <v/>
      </c>
      <c r="BJ1254">
        <v>9</v>
      </c>
      <c r="BN1254" s="468">
        <f t="shared" si="788"/>
        <v>104</v>
      </c>
      <c r="BO1254" s="468">
        <f t="shared" si="789"/>
        <v>9</v>
      </c>
      <c r="BP1254" s="467">
        <f t="shared" ca="1" si="777"/>
        <v>80781</v>
      </c>
      <c r="BQ1254" s="475">
        <f t="shared" ca="1" si="791"/>
        <v>136</v>
      </c>
      <c r="BR1254" s="475" t="str">
        <f t="shared" si="790"/>
        <v/>
      </c>
      <c r="BS1254" s="471" t="str">
        <f t="shared" si="778"/>
        <v/>
      </c>
      <c r="BT1254" s="472" t="str">
        <f t="shared" si="793"/>
        <v/>
      </c>
      <c r="BU1254" s="472">
        <f t="shared" ca="1" si="779"/>
        <v>0</v>
      </c>
      <c r="BV1254" s="472">
        <f t="shared" ca="1" si="779"/>
        <v>0</v>
      </c>
      <c r="BW1254" s="472"/>
      <c r="BX1254" s="473">
        <f t="shared" ca="1" si="780"/>
        <v>2819017.0013418999</v>
      </c>
      <c r="BY1254" s="473">
        <f t="shared" si="781"/>
        <v>0</v>
      </c>
      <c r="BZ1254" s="473">
        <f t="shared" ca="1" si="763"/>
        <v>207.75760637499999</v>
      </c>
      <c r="CA1254" s="476">
        <f t="shared" ca="1" si="782"/>
        <v>0</v>
      </c>
      <c r="CB1254" s="494">
        <f ca="1">IF(OR($Q1253&lt;&gt;1,OP!$D$5+$BN1254-1&lt;16,$BN1254-1&lt;1),0,ROUND(ROUND(ROUND(((VLOOKUP($BN1254-1,MORE_PV,5,0)/10000)*VLOOKUP($BN1254,MORE_PV,$CB$5,0)),3)*VLOOKUP($BN1254,more1,5,0),0)/$R1253,0))</f>
        <v>0</v>
      </c>
      <c r="CC1254" s="473">
        <f t="shared" ca="1" si="783"/>
        <v>0</v>
      </c>
      <c r="CD1254" s="477"/>
    </row>
    <row r="1255" spans="2:82" ht="16.5" hidden="1">
      <c r="B1255" s="80"/>
      <c r="C1255" s="80"/>
      <c r="D1255" s="80"/>
      <c r="E1255" s="80"/>
      <c r="F1255" s="80"/>
      <c r="G1255" s="80"/>
      <c r="H1255" s="80"/>
      <c r="I1255" s="80"/>
      <c r="J1255" s="192">
        <f t="shared" si="764"/>
        <v>104</v>
      </c>
      <c r="K1255" s="192">
        <f t="shared" si="765"/>
        <v>11</v>
      </c>
      <c r="L1255" s="192" t="str">
        <f t="shared" si="760"/>
        <v/>
      </c>
      <c r="M1255" s="216" t="str">
        <f t="shared" ca="1" si="766"/>
        <v/>
      </c>
      <c r="N1255" s="216"/>
      <c r="O1255" s="216"/>
      <c r="P1255" s="216"/>
      <c r="Q1255" s="456">
        <f t="shared" ca="1" si="767"/>
        <v>1</v>
      </c>
      <c r="R1255" s="450">
        <f t="shared" ca="1" si="768"/>
        <v>12</v>
      </c>
      <c r="S1255" s="191">
        <f t="shared" si="769"/>
        <v>104</v>
      </c>
      <c r="T1255" s="191">
        <f t="shared" si="770"/>
        <v>11</v>
      </c>
      <c r="U1255" s="191">
        <f ca="1">OP!$D$5+$S1255-1</f>
        <v>136</v>
      </c>
      <c r="V1255" s="191" t="str">
        <f t="shared" si="771"/>
        <v/>
      </c>
      <c r="W1255" s="350">
        <f ca="1">IF(Q1255&lt;&gt;1,0,VLOOKUP(OP!$C$55,PVFB,$S1255+2,0))</f>
        <v>0</v>
      </c>
      <c r="X1255" s="473" t="str">
        <f t="shared" ca="1" si="784"/>
        <v/>
      </c>
      <c r="Y1255" s="348">
        <f t="shared" ca="1" si="785"/>
        <v>0</v>
      </c>
      <c r="Z1255" s="348">
        <f t="shared" ca="1" si="786"/>
        <v>8012</v>
      </c>
      <c r="AA1255" s="348">
        <f ca="1">IF(Q1255&lt;&gt;1,0,VLOOKUP(OP!$C$55,PVFB,$S1255+2,0))</f>
        <v>0</v>
      </c>
      <c r="AB1255" s="488" t="str">
        <f ca="1">IF(AND(S1255&lt;OP!$C$24,$U1255&lt;15),0,IF(AND($U1255&lt;15,$T1255=12),ROUND(VLOOKUP($S1255,DOWN16,5,0),3),IF($T1255=12,ROUND(($Z1255/10000)*$AA1255,3)+IF(AND($P$7="購買增額繳清保險",T1255=12,U1255=110),VLOOKUP(S1255,$B$10:$H$121,7,0),0),"")))</f>
        <v/>
      </c>
      <c r="AC1255" s="350" t="str">
        <f ca="1">IF(AND(S1255&lt;OP!$C$24,$U1255&lt;15),0,IF(AND($U1255&lt;16,$T1255=12),VLOOKUP($S1255,DOWN16,4,0),IF($T1255=12,ROUND(VLOOKUP(OP!$C$55,_DIE2,$S1255+1,0)*(Z1255/10000),0)+IF(AND($P$7="購買增額繳清保險",T1255=12,U1255=110),VLOOKUP(S1255,$B$10:$H$121,7,0),0),"")))</f>
        <v/>
      </c>
      <c r="AD1255" s="347"/>
      <c r="AE1255" s="350" t="str">
        <f t="shared" ca="1" si="761"/>
        <v/>
      </c>
      <c r="AF1255" s="351" t="str">
        <f t="shared" ca="1" si="762"/>
        <v/>
      </c>
      <c r="AG1255" s="340"/>
      <c r="AH1255" s="340"/>
      <c r="AI1255" s="340"/>
      <c r="AJ1255" s="340"/>
      <c r="AK1255" s="340"/>
      <c r="AL1255" s="340"/>
      <c r="AM1255" s="340"/>
      <c r="AN1255" s="340"/>
      <c r="AO1255" s="340"/>
      <c r="AP1255" s="340"/>
      <c r="AQ1255" s="340"/>
      <c r="AR1255" s="340"/>
      <c r="AS1255" s="340"/>
      <c r="AT1255" s="340"/>
      <c r="AU1255" s="340"/>
      <c r="AV1255" s="340"/>
      <c r="AY1255" s="340"/>
      <c r="AZ1255" s="465">
        <f t="shared" ca="1" si="772"/>
        <v>7.3698599999999999E-5</v>
      </c>
      <c r="BA1255" s="464">
        <f t="shared" ca="1" si="773"/>
        <v>0</v>
      </c>
      <c r="BB1255" s="465">
        <f t="shared" ca="1" si="773"/>
        <v>7.3698599999999999E-5</v>
      </c>
      <c r="BC1255" s="466">
        <f t="shared" ca="1" si="774"/>
        <v>80811</v>
      </c>
      <c r="BD1255" s="467">
        <f t="shared" ca="1" si="787"/>
        <v>80812</v>
      </c>
      <c r="BE1255" s="467">
        <f t="shared" ca="1" si="775"/>
        <v>80840</v>
      </c>
      <c r="BF1255" s="468">
        <f ca="1">IF(計算!$BC1255&lt;OP!$C$3,0,BD1255-BC1255)</f>
        <v>1</v>
      </c>
      <c r="BG1255" s="468">
        <f ca="1">IF($BE1255&gt;DATE(YEAR($BD$9)+OP!$C$57,MONTH($BD$9),DAY($BD$9)),0,$BE1255-$BD1255+1)</f>
        <v>0</v>
      </c>
      <c r="BH1255" s="469">
        <f t="shared" ca="1" si="776"/>
        <v>1</v>
      </c>
      <c r="BI1255" t="str">
        <f t="shared" si="792"/>
        <v/>
      </c>
      <c r="BJ1255">
        <v>10</v>
      </c>
      <c r="BN1255" s="468">
        <f t="shared" si="788"/>
        <v>104</v>
      </c>
      <c r="BO1255" s="468">
        <f t="shared" si="789"/>
        <v>10</v>
      </c>
      <c r="BP1255" s="467">
        <f t="shared" ca="1" si="777"/>
        <v>80812</v>
      </c>
      <c r="BQ1255" s="475">
        <f t="shared" ca="1" si="791"/>
        <v>136</v>
      </c>
      <c r="BR1255" s="475" t="str">
        <f t="shared" si="790"/>
        <v/>
      </c>
      <c r="BS1255" s="471" t="str">
        <f t="shared" si="778"/>
        <v/>
      </c>
      <c r="BT1255" s="472" t="str">
        <f t="shared" si="793"/>
        <v/>
      </c>
      <c r="BU1255" s="472">
        <f t="shared" ca="1" si="779"/>
        <v>0</v>
      </c>
      <c r="BV1255" s="472">
        <f t="shared" ca="1" si="779"/>
        <v>0</v>
      </c>
      <c r="BW1255" s="472"/>
      <c r="BX1255" s="473">
        <f t="shared" ca="1" si="780"/>
        <v>2819224.7589482702</v>
      </c>
      <c r="BY1255" s="473">
        <f t="shared" si="781"/>
        <v>0</v>
      </c>
      <c r="BZ1255" s="473">
        <f t="shared" ca="1" si="763"/>
        <v>207.77291782</v>
      </c>
      <c r="CA1255" s="476">
        <f t="shared" ca="1" si="782"/>
        <v>0</v>
      </c>
      <c r="CB1255" s="494">
        <f ca="1">IF(OR($Q1254&lt;&gt;1,OP!$D$5+$BN1255-1&lt;16,$BN1255-1&lt;1),0,ROUND(ROUND(ROUND(((VLOOKUP($BN1255-1,MORE_PV,5,0)/10000)*VLOOKUP($BN1255,MORE_PV,$CB$5,0)),3)*VLOOKUP($BN1255,more1,5,0),0)/$R1254,0))</f>
        <v>0</v>
      </c>
      <c r="CC1255" s="473">
        <f t="shared" ca="1" si="783"/>
        <v>0</v>
      </c>
      <c r="CD1255" s="477"/>
    </row>
    <row r="1256" spans="2:82" ht="16.5" hidden="1">
      <c r="B1256" s="80"/>
      <c r="C1256" s="80"/>
      <c r="D1256" s="80"/>
      <c r="E1256" s="80"/>
      <c r="F1256" s="80"/>
      <c r="G1256" s="80"/>
      <c r="H1256" s="80"/>
      <c r="I1256" s="80"/>
      <c r="J1256" s="192">
        <f t="shared" si="764"/>
        <v>104</v>
      </c>
      <c r="K1256" s="192">
        <f t="shared" si="765"/>
        <v>12</v>
      </c>
      <c r="L1256" s="192">
        <f t="shared" si="760"/>
        <v>104</v>
      </c>
      <c r="M1256" s="216">
        <f t="shared" ca="1" si="766"/>
        <v>2819847</v>
      </c>
      <c r="N1256" s="216"/>
      <c r="O1256" s="216"/>
      <c r="P1256" s="216"/>
      <c r="Q1256" s="456">
        <f t="shared" ca="1" si="767"/>
        <v>1</v>
      </c>
      <c r="R1256" s="450">
        <f t="shared" ca="1" si="768"/>
        <v>12</v>
      </c>
      <c r="S1256" s="191">
        <f t="shared" si="769"/>
        <v>104</v>
      </c>
      <c r="T1256" s="191">
        <f t="shared" si="770"/>
        <v>12</v>
      </c>
      <c r="U1256" s="191">
        <f ca="1">OP!$D$5+$S1256-1</f>
        <v>136</v>
      </c>
      <c r="V1256" s="191">
        <f t="shared" si="771"/>
        <v>104</v>
      </c>
      <c r="W1256" s="350">
        <f ca="1">IF(Q1256&lt;&gt;1,0,VLOOKUP(OP!$C$55,PVFB,$S1256+2,0))</f>
        <v>0</v>
      </c>
      <c r="X1256" s="473">
        <f t="shared" ca="1" si="784"/>
        <v>0</v>
      </c>
      <c r="Y1256" s="348">
        <f t="shared" ca="1" si="785"/>
        <v>0</v>
      </c>
      <c r="Z1256" s="348">
        <f t="shared" ca="1" si="786"/>
        <v>8012</v>
      </c>
      <c r="AA1256" s="348">
        <f ca="1">IF(Q1256&lt;&gt;1,0,VLOOKUP(OP!$C$55,PVFB,$S1256+2,0))</f>
        <v>0</v>
      </c>
      <c r="AB1256" s="488">
        <f ca="1">IF(AND(S1256&lt;OP!$C$24,$U1256&lt;15),0,IF(AND($U1256&lt;15,$T1256=12),ROUND(VLOOKUP($S1256,DOWN16,5,0),3),IF($T1256=12,ROUND(($Z1256/10000)*$AA1256,3)+IF(AND($P$7="購買增額繳清保險",T1256=12,U1256=110),VLOOKUP(S1256,$B$10:$H$121,7,0),0),"")))</f>
        <v>0</v>
      </c>
      <c r="AC1256" s="350">
        <f ca="1">IF(AND(S1256&lt;OP!$C$24,$U1256&lt;15),0,IF(AND($U1256&lt;16,$T1256=12),VLOOKUP($S1256,DOWN16,4,0),IF($T1256=12,ROUND(VLOOKUP(OP!$C$55,_DIE2,$S1256+1,0)*(Z1256/10000),0)+IF(AND($P$7="購買增額繳清保險",T1256=12,U1256=110),VLOOKUP(S1256,$B$10:$H$121,7,0),0),"")))</f>
        <v>0</v>
      </c>
      <c r="AD1256" s="347"/>
      <c r="AE1256" s="350" t="str">
        <f t="shared" ca="1" si="761"/>
        <v/>
      </c>
      <c r="AF1256" s="351" t="str">
        <f t="shared" ca="1" si="762"/>
        <v/>
      </c>
      <c r="AG1256" s="340"/>
      <c r="AH1256" s="340"/>
      <c r="AI1256" s="340"/>
      <c r="AJ1256" s="340"/>
      <c r="AK1256" s="340"/>
      <c r="AL1256" s="340"/>
      <c r="AM1256" s="340"/>
      <c r="AN1256" s="340"/>
      <c r="AO1256" s="340"/>
      <c r="AP1256" s="340"/>
      <c r="AQ1256" s="340"/>
      <c r="AR1256" s="340"/>
      <c r="AS1256" s="340"/>
      <c r="AT1256" s="340"/>
      <c r="AU1256" s="340"/>
      <c r="AV1256" s="340"/>
      <c r="AY1256" s="340"/>
      <c r="AZ1256" s="465">
        <f t="shared" ca="1" si="772"/>
        <v>7.3698599999999999E-5</v>
      </c>
      <c r="BA1256" s="464">
        <f t="shared" ca="1" si="773"/>
        <v>0</v>
      </c>
      <c r="BB1256" s="465">
        <f t="shared" ca="1" si="773"/>
        <v>7.3698599999999999E-5</v>
      </c>
      <c r="BC1256" s="466">
        <f t="shared" ca="1" si="774"/>
        <v>80841</v>
      </c>
      <c r="BD1256" s="467">
        <f t="shared" ca="1" si="787"/>
        <v>80842</v>
      </c>
      <c r="BE1256" s="467">
        <f t="shared" ca="1" si="775"/>
        <v>80871</v>
      </c>
      <c r="BF1256" s="468">
        <f ca="1">IF(計算!$BC1256&lt;OP!$C$3,0,BD1256-BC1256)</f>
        <v>1</v>
      </c>
      <c r="BG1256" s="468">
        <f ca="1">IF($BE1256&gt;DATE(YEAR($BD$9)+OP!$C$57,MONTH($BD$9),DAY($BD$9)),0,$BE1256-$BD1256+1)</f>
        <v>0</v>
      </c>
      <c r="BH1256" s="469">
        <f t="shared" ca="1" si="776"/>
        <v>1</v>
      </c>
      <c r="BI1256" t="str">
        <f t="shared" si="792"/>
        <v/>
      </c>
      <c r="BJ1256">
        <v>11</v>
      </c>
      <c r="BN1256" s="468">
        <f t="shared" si="788"/>
        <v>104</v>
      </c>
      <c r="BO1256" s="468">
        <f t="shared" si="789"/>
        <v>11</v>
      </c>
      <c r="BP1256" s="467">
        <f t="shared" ca="1" si="777"/>
        <v>80842</v>
      </c>
      <c r="BQ1256" s="475">
        <f t="shared" ca="1" si="791"/>
        <v>136</v>
      </c>
      <c r="BR1256" s="475" t="str">
        <f t="shared" si="790"/>
        <v/>
      </c>
      <c r="BS1256" s="471" t="str">
        <f t="shared" si="778"/>
        <v/>
      </c>
      <c r="BT1256" s="472" t="str">
        <f t="shared" si="793"/>
        <v/>
      </c>
      <c r="BU1256" s="472">
        <f t="shared" ca="1" si="779"/>
        <v>0</v>
      </c>
      <c r="BV1256" s="472">
        <f t="shared" ca="1" si="779"/>
        <v>0</v>
      </c>
      <c r="BW1256" s="472"/>
      <c r="BX1256" s="473">
        <f t="shared" ca="1" si="780"/>
        <v>2819432.5318660899</v>
      </c>
      <c r="BY1256" s="473">
        <f t="shared" si="781"/>
        <v>0</v>
      </c>
      <c r="BZ1256" s="473">
        <f t="shared" ca="1" si="763"/>
        <v>207.78823039299999</v>
      </c>
      <c r="CA1256" s="476">
        <f t="shared" ca="1" si="782"/>
        <v>0</v>
      </c>
      <c r="CB1256" s="494">
        <f ca="1">IF(OR($Q1255&lt;&gt;1,OP!$D$5+$BN1256-1&lt;16,$BN1256-1&lt;1),0,ROUND(ROUND(ROUND(((VLOOKUP($BN1256-1,MORE_PV,5,0)/10000)*VLOOKUP($BN1256,MORE_PV,$CB$5,0)),3)*VLOOKUP($BN1256,more1,5,0),0)/$R1255,0))</f>
        <v>0</v>
      </c>
      <c r="CC1256" s="473">
        <f t="shared" ca="1" si="783"/>
        <v>0</v>
      </c>
      <c r="CD1256" s="477"/>
    </row>
    <row r="1257" spans="2:82" ht="16.5" hidden="1">
      <c r="B1257" s="80"/>
      <c r="C1257" s="80"/>
      <c r="D1257" s="80"/>
      <c r="E1257" s="80"/>
      <c r="F1257" s="80"/>
      <c r="G1257" s="80"/>
      <c r="H1257" s="80"/>
      <c r="I1257" s="80"/>
      <c r="J1257" s="192">
        <f t="shared" si="764"/>
        <v>105</v>
      </c>
      <c r="K1257" s="192">
        <f t="shared" si="765"/>
        <v>1</v>
      </c>
      <c r="L1257" s="192" t="str">
        <f t="shared" si="760"/>
        <v/>
      </c>
      <c r="M1257" s="216" t="str">
        <f t="shared" ca="1" si="766"/>
        <v/>
      </c>
      <c r="N1257" s="216"/>
      <c r="O1257" s="216"/>
      <c r="P1257" s="216"/>
      <c r="Q1257" s="456">
        <f t="shared" ca="1" si="767"/>
        <v>1</v>
      </c>
      <c r="R1257" s="450">
        <f t="shared" ca="1" si="768"/>
        <v>12</v>
      </c>
      <c r="S1257" s="191">
        <f t="shared" si="769"/>
        <v>105</v>
      </c>
      <c r="T1257" s="191">
        <f t="shared" si="770"/>
        <v>1</v>
      </c>
      <c r="U1257" s="191">
        <f ca="1">OP!$D$5+$S1257-1</f>
        <v>137</v>
      </c>
      <c r="V1257" s="191" t="str">
        <f t="shared" si="771"/>
        <v/>
      </c>
      <c r="W1257" s="350">
        <f ca="1">IF(Q1257&lt;&gt;1,0,VLOOKUP(OP!$C$55,PVFB,$S1257+2,0))</f>
        <v>0</v>
      </c>
      <c r="X1257" s="473" t="str">
        <f t="shared" ca="1" si="784"/>
        <v/>
      </c>
      <c r="Y1257" s="348">
        <f t="shared" ca="1" si="785"/>
        <v>0</v>
      </c>
      <c r="Z1257" s="348">
        <f t="shared" ca="1" si="786"/>
        <v>8012</v>
      </c>
      <c r="AA1257" s="348">
        <f ca="1">IF(Q1257&lt;&gt;1,0,VLOOKUP(OP!$C$55,PVFB,$S1257+2,0))</f>
        <v>0</v>
      </c>
      <c r="AB1257" s="488" t="str">
        <f ca="1">IF(AND(S1257&lt;OP!$C$24,$U1257&lt;15),0,IF(AND($U1257&lt;15,$T1257=12),ROUND(VLOOKUP($S1257,DOWN16,5,0),3),IF($T1257=12,ROUND(($Z1257/10000)*$AA1257,3)+IF(AND($P$7="購買增額繳清保險",T1257=12,U1257=110),VLOOKUP(S1257,$B$10:$H$121,7,0),0),"")))</f>
        <v/>
      </c>
      <c r="AC1257" s="350" t="str">
        <f ca="1">IF(AND(S1257&lt;OP!$C$24,$U1257&lt;15),0,IF(AND($U1257&lt;16,$T1257=12),VLOOKUP($S1257,DOWN16,4,0),IF($T1257=12,ROUND(VLOOKUP(OP!$C$55,_DIE2,$S1257+1,0)*(Z1257/10000),0)+IF(AND($P$7="購買增額繳清保險",T1257=12,U1257=110),VLOOKUP(S1257,$B$10:$H$121,7,0),0),"")))</f>
        <v/>
      </c>
      <c r="AD1257" s="347"/>
      <c r="AE1257" s="350" t="str">
        <f t="shared" ca="1" si="761"/>
        <v/>
      </c>
      <c r="AF1257" s="351" t="str">
        <f t="shared" ca="1" si="762"/>
        <v/>
      </c>
      <c r="AG1257" s="340"/>
      <c r="AH1257" s="340"/>
      <c r="AI1257" s="340"/>
      <c r="AJ1257" s="340"/>
      <c r="AK1257" s="340"/>
      <c r="AL1257" s="340"/>
      <c r="AM1257" s="340"/>
      <c r="AN1257" s="340"/>
      <c r="AO1257" s="340"/>
      <c r="AP1257" s="340"/>
      <c r="AQ1257" s="340"/>
      <c r="AR1257" s="340"/>
      <c r="AS1257" s="340"/>
      <c r="AT1257" s="340"/>
      <c r="AU1257" s="340"/>
      <c r="AV1257" s="340"/>
      <c r="AY1257" s="340"/>
      <c r="AZ1257" s="465">
        <f t="shared" ca="1" si="772"/>
        <v>7.3698599999999999E-5</v>
      </c>
      <c r="BA1257" s="464">
        <f t="shared" ca="1" si="773"/>
        <v>0</v>
      </c>
      <c r="BB1257" s="465">
        <f t="shared" ca="1" si="773"/>
        <v>7.3698599999999999E-5</v>
      </c>
      <c r="BC1257" s="466">
        <f t="shared" ca="1" si="774"/>
        <v>80872</v>
      </c>
      <c r="BD1257" s="467">
        <f t="shared" ca="1" si="787"/>
        <v>80873</v>
      </c>
      <c r="BE1257" s="467">
        <f t="shared" ca="1" si="775"/>
        <v>80901</v>
      </c>
      <c r="BF1257" s="468">
        <f ca="1">IF(計算!$BC1257&lt;OP!$C$3,0,BD1257-BC1257)</f>
        <v>1</v>
      </c>
      <c r="BG1257" s="468">
        <f ca="1">IF($BE1257&gt;DATE(YEAR($BD$9)+OP!$C$57,MONTH($BD$9),DAY($BD$9)),0,$BE1257-$BD1257+1)</f>
        <v>0</v>
      </c>
      <c r="BH1257" s="469">
        <f t="shared" ca="1" si="776"/>
        <v>1</v>
      </c>
      <c r="BI1257">
        <f t="shared" ca="1" si="792"/>
        <v>365</v>
      </c>
      <c r="BJ1257">
        <v>12</v>
      </c>
      <c r="BN1257" s="468">
        <f t="shared" si="788"/>
        <v>104</v>
      </c>
      <c r="BO1257" s="468">
        <f t="shared" si="789"/>
        <v>12</v>
      </c>
      <c r="BP1257" s="467">
        <f t="shared" ca="1" si="777"/>
        <v>80873</v>
      </c>
      <c r="BQ1257" s="475">
        <f t="shared" ca="1" si="791"/>
        <v>136</v>
      </c>
      <c r="BR1257" s="475">
        <f t="shared" si="790"/>
        <v>104</v>
      </c>
      <c r="BS1257" s="471">
        <f t="shared" ca="1" si="778"/>
        <v>0</v>
      </c>
      <c r="BT1257" s="472">
        <f t="shared" ca="1" si="793"/>
        <v>2819847</v>
      </c>
      <c r="BU1257" s="472">
        <f t="shared" ca="1" si="779"/>
        <v>0</v>
      </c>
      <c r="BV1257" s="472">
        <f t="shared" ca="1" si="779"/>
        <v>0</v>
      </c>
      <c r="BW1257" s="472">
        <f ca="1">ROUND(SUM(BY1257,BZ1245:BZ1256),0)</f>
        <v>2493</v>
      </c>
      <c r="BX1257" s="473">
        <f t="shared" ca="1" si="780"/>
        <v>2819848.1236405801</v>
      </c>
      <c r="BY1257" s="473">
        <f t="shared" ca="1" si="781"/>
        <v>207.80354409500001</v>
      </c>
      <c r="BZ1257" s="473">
        <f t="shared" ca="1" si="763"/>
        <v>0</v>
      </c>
      <c r="CA1257" s="476">
        <f t="shared" ca="1" si="782"/>
        <v>0</v>
      </c>
      <c r="CB1257" s="494">
        <f ca="1">IF(OR($Q1256&lt;&gt;1,OP!$D$5+$BN1257-1&lt;16,$BN1257-1&lt;1),0,ROUND(ROUND(ROUND(((VLOOKUP($BN1257-1,MORE_PV,5,0)/10000)*VLOOKUP($BN1257,MORE_PV,$CB$5,0)),3)*VLOOKUP($BN1257,more1,5,0),0)/$R1256,0))</f>
        <v>0</v>
      </c>
      <c r="CC1257" s="473">
        <f t="shared" ca="1" si="783"/>
        <v>0</v>
      </c>
      <c r="CD1257" s="477"/>
    </row>
    <row r="1258" spans="2:82" ht="16.5" hidden="1">
      <c r="B1258" s="80"/>
      <c r="C1258" s="80"/>
      <c r="D1258" s="80"/>
      <c r="E1258" s="80"/>
      <c r="F1258" s="80"/>
      <c r="G1258" s="80"/>
      <c r="H1258" s="80"/>
      <c r="I1258" s="80"/>
      <c r="J1258" s="192">
        <f t="shared" si="764"/>
        <v>105</v>
      </c>
      <c r="K1258" s="192">
        <f t="shared" si="765"/>
        <v>2</v>
      </c>
      <c r="L1258" s="192" t="str">
        <f t="shared" si="760"/>
        <v/>
      </c>
      <c r="M1258" s="216" t="str">
        <f t="shared" ca="1" si="766"/>
        <v/>
      </c>
      <c r="N1258" s="216"/>
      <c r="O1258" s="216"/>
      <c r="P1258" s="216"/>
      <c r="Q1258" s="456">
        <f t="shared" ca="1" si="767"/>
        <v>1</v>
      </c>
      <c r="R1258" s="450">
        <f t="shared" ca="1" si="768"/>
        <v>12</v>
      </c>
      <c r="S1258" s="191">
        <f t="shared" si="769"/>
        <v>105</v>
      </c>
      <c r="T1258" s="191">
        <f t="shared" si="770"/>
        <v>2</v>
      </c>
      <c r="U1258" s="191">
        <f ca="1">OP!$D$5+$S1258-1</f>
        <v>137</v>
      </c>
      <c r="V1258" s="191" t="str">
        <f t="shared" si="771"/>
        <v/>
      </c>
      <c r="W1258" s="350">
        <f ca="1">IF(Q1258&lt;&gt;1,0,VLOOKUP(OP!$C$55,PVFB,$S1258+2,0))</f>
        <v>0</v>
      </c>
      <c r="X1258" s="473" t="str">
        <f t="shared" ca="1" si="784"/>
        <v/>
      </c>
      <c r="Y1258" s="348">
        <f t="shared" ca="1" si="785"/>
        <v>0</v>
      </c>
      <c r="Z1258" s="348">
        <f t="shared" ca="1" si="786"/>
        <v>8012</v>
      </c>
      <c r="AA1258" s="348">
        <f ca="1">IF(Q1258&lt;&gt;1,0,VLOOKUP(OP!$C$55,PVFB,$S1258+2,0))</f>
        <v>0</v>
      </c>
      <c r="AB1258" s="488" t="str">
        <f ca="1">IF(AND(S1258&lt;OP!$C$24,$U1258&lt;15),0,IF(AND($U1258&lt;15,$T1258=12),ROUND(VLOOKUP($S1258,DOWN16,5,0),3),IF($T1258=12,ROUND(($Z1258/10000)*$AA1258,3)+IF(AND($P$7="購買增額繳清保險",T1258=12,U1258=110),VLOOKUP(S1258,$B$10:$H$121,7,0),0),"")))</f>
        <v/>
      </c>
      <c r="AC1258" s="350" t="str">
        <f ca="1">IF(AND(S1258&lt;OP!$C$24,$U1258&lt;15),0,IF(AND($U1258&lt;16,$T1258=12),VLOOKUP($S1258,DOWN16,4,0),IF($T1258=12,ROUND(VLOOKUP(OP!$C$55,_DIE2,$S1258+1,0)*(Z1258/10000),0)+IF(AND($P$7="購買增額繳清保險",T1258=12,U1258=110),VLOOKUP(S1258,$B$10:$H$121,7,0),0),"")))</f>
        <v/>
      </c>
      <c r="AD1258" s="347"/>
      <c r="AE1258" s="350" t="str">
        <f t="shared" ca="1" si="761"/>
        <v/>
      </c>
      <c r="AF1258" s="351" t="str">
        <f t="shared" ca="1" si="762"/>
        <v/>
      </c>
      <c r="AG1258" s="340"/>
      <c r="AH1258" s="340"/>
      <c r="AI1258" s="340"/>
      <c r="AJ1258" s="340"/>
      <c r="AK1258" s="340"/>
      <c r="AL1258" s="340"/>
      <c r="AM1258" s="340"/>
      <c r="AN1258" s="340"/>
      <c r="AO1258" s="340"/>
      <c r="AP1258" s="340"/>
      <c r="AQ1258" s="340"/>
      <c r="AR1258" s="340"/>
      <c r="AS1258" s="340"/>
      <c r="AT1258" s="340"/>
      <c r="AU1258" s="340"/>
      <c r="AV1258" s="340"/>
      <c r="AY1258" s="340"/>
      <c r="AZ1258" s="465">
        <f t="shared" ca="1" si="772"/>
        <v>7.3698599999999999E-5</v>
      </c>
      <c r="BA1258" s="464">
        <f t="shared" ca="1" si="773"/>
        <v>0</v>
      </c>
      <c r="BB1258" s="465">
        <f t="shared" ca="1" si="773"/>
        <v>7.3698599999999999E-5</v>
      </c>
      <c r="BC1258" s="466">
        <f t="shared" ca="1" si="774"/>
        <v>80902</v>
      </c>
      <c r="BD1258" s="467">
        <f t="shared" ca="1" si="787"/>
        <v>80903</v>
      </c>
      <c r="BE1258" s="467">
        <f t="shared" ca="1" si="775"/>
        <v>80932</v>
      </c>
      <c r="BF1258" s="468">
        <f ca="1">IF(計算!$BC1258&lt;OP!$C$3,0,BD1258-BC1258)</f>
        <v>1</v>
      </c>
      <c r="BG1258" s="468">
        <f ca="1">IF($BE1258&gt;DATE(YEAR($BD$9)+OP!$C$57,MONTH($BD$9),DAY($BD$9)),0,$BE1258-$BD1258+1)</f>
        <v>0</v>
      </c>
      <c r="BH1258" s="469">
        <f t="shared" ca="1" si="776"/>
        <v>1</v>
      </c>
      <c r="BI1258" t="str">
        <f t="shared" si="792"/>
        <v/>
      </c>
      <c r="BJ1258">
        <v>1</v>
      </c>
      <c r="BN1258" s="468">
        <f t="shared" si="788"/>
        <v>105</v>
      </c>
      <c r="BO1258" s="468">
        <f t="shared" si="789"/>
        <v>1</v>
      </c>
      <c r="BP1258" s="467">
        <f t="shared" ca="1" si="777"/>
        <v>80903</v>
      </c>
      <c r="BQ1258" s="475">
        <f t="shared" ca="1" si="791"/>
        <v>137</v>
      </c>
      <c r="BR1258" s="475" t="str">
        <f t="shared" si="790"/>
        <v/>
      </c>
      <c r="BS1258" s="471" t="str">
        <f t="shared" si="778"/>
        <v/>
      </c>
      <c r="BT1258" s="472" t="str">
        <f t="shared" si="793"/>
        <v/>
      </c>
      <c r="BU1258" s="472">
        <f t="shared" ca="1" si="779"/>
        <v>0</v>
      </c>
      <c r="BV1258" s="472">
        <f t="shared" ca="1" si="779"/>
        <v>0</v>
      </c>
      <c r="BW1258" s="472"/>
      <c r="BX1258" s="473">
        <f t="shared" ca="1" si="780"/>
        <v>2819848.1236405801</v>
      </c>
      <c r="BY1258" s="473">
        <f t="shared" si="781"/>
        <v>0</v>
      </c>
      <c r="BZ1258" s="473">
        <f t="shared" ca="1" si="763"/>
        <v>207.818858925</v>
      </c>
      <c r="CA1258" s="476">
        <f t="shared" ca="1" si="782"/>
        <v>0</v>
      </c>
      <c r="CB1258" s="494">
        <f ca="1">IF(OR($Q1257&lt;&gt;1,OP!$D$5+$BN1258-1&lt;16,$BN1258-1&lt;1),0,ROUND(ROUND(ROUND(((VLOOKUP($BN1258-1,MORE_PV,5,0)/10000)*VLOOKUP($BN1258,MORE_PV,$CB$5,0)),3)*VLOOKUP($BN1258,more1,5,0),0)/$R1257,0))</f>
        <v>0</v>
      </c>
      <c r="CC1258" s="473">
        <f t="shared" ca="1" si="783"/>
        <v>0</v>
      </c>
      <c r="CD1258" s="477"/>
    </row>
    <row r="1259" spans="2:82" ht="16.5" hidden="1">
      <c r="B1259" s="80"/>
      <c r="C1259" s="80"/>
      <c r="D1259" s="80"/>
      <c r="E1259" s="80"/>
      <c r="F1259" s="80"/>
      <c r="G1259" s="80"/>
      <c r="H1259" s="80"/>
      <c r="I1259" s="80"/>
      <c r="J1259" s="192">
        <f t="shared" si="764"/>
        <v>105</v>
      </c>
      <c r="K1259" s="192">
        <f t="shared" si="765"/>
        <v>3</v>
      </c>
      <c r="L1259" s="192" t="str">
        <f t="shared" si="760"/>
        <v/>
      </c>
      <c r="M1259" s="216" t="str">
        <f t="shared" ca="1" si="766"/>
        <v/>
      </c>
      <c r="N1259" s="216"/>
      <c r="O1259" s="216"/>
      <c r="P1259" s="216"/>
      <c r="Q1259" s="456">
        <f t="shared" ca="1" si="767"/>
        <v>1</v>
      </c>
      <c r="R1259" s="450">
        <f t="shared" ca="1" si="768"/>
        <v>12</v>
      </c>
      <c r="S1259" s="191">
        <f t="shared" si="769"/>
        <v>105</v>
      </c>
      <c r="T1259" s="191">
        <f t="shared" si="770"/>
        <v>3</v>
      </c>
      <c r="U1259" s="191">
        <f ca="1">OP!$D$5+$S1259-1</f>
        <v>137</v>
      </c>
      <c r="V1259" s="191" t="str">
        <f t="shared" si="771"/>
        <v/>
      </c>
      <c r="W1259" s="350">
        <f ca="1">IF(Q1259&lt;&gt;1,0,VLOOKUP(OP!$C$55,PVFB,$S1259+2,0))</f>
        <v>0</v>
      </c>
      <c r="X1259" s="473" t="str">
        <f t="shared" ca="1" si="784"/>
        <v/>
      </c>
      <c r="Y1259" s="348">
        <f t="shared" ca="1" si="785"/>
        <v>0</v>
      </c>
      <c r="Z1259" s="348">
        <f t="shared" ca="1" si="786"/>
        <v>8012</v>
      </c>
      <c r="AA1259" s="348">
        <f ca="1">IF(Q1259&lt;&gt;1,0,VLOOKUP(OP!$C$55,PVFB,$S1259+2,0))</f>
        <v>0</v>
      </c>
      <c r="AB1259" s="488" t="str">
        <f ca="1">IF(AND(S1259&lt;OP!$C$24,$U1259&lt;15),0,IF(AND($U1259&lt;15,$T1259=12),ROUND(VLOOKUP($S1259,DOWN16,5,0),3),IF($T1259=12,ROUND(($Z1259/10000)*$AA1259,3)+IF(AND($P$7="購買增額繳清保險",T1259=12,U1259=110),VLOOKUP(S1259,$B$10:$H$121,7,0),0),"")))</f>
        <v/>
      </c>
      <c r="AC1259" s="350" t="str">
        <f ca="1">IF(AND(S1259&lt;OP!$C$24,$U1259&lt;15),0,IF(AND($U1259&lt;16,$T1259=12),VLOOKUP($S1259,DOWN16,4,0),IF($T1259=12,ROUND(VLOOKUP(OP!$C$55,_DIE2,$S1259+1,0)*(Z1259/10000),0)+IF(AND($P$7="購買增額繳清保險",T1259=12,U1259=110),VLOOKUP(S1259,$B$10:$H$121,7,0),0),"")))</f>
        <v/>
      </c>
      <c r="AD1259" s="347"/>
      <c r="AE1259" s="350" t="str">
        <f t="shared" ca="1" si="761"/>
        <v/>
      </c>
      <c r="AF1259" s="351" t="str">
        <f t="shared" ca="1" si="762"/>
        <v/>
      </c>
      <c r="AG1259" s="340"/>
      <c r="AH1259" s="340"/>
      <c r="AI1259" s="340"/>
      <c r="AJ1259" s="340"/>
      <c r="AK1259" s="340"/>
      <c r="AL1259" s="340"/>
      <c r="AM1259" s="340"/>
      <c r="AN1259" s="340"/>
      <c r="AO1259" s="340"/>
      <c r="AP1259" s="340"/>
      <c r="AQ1259" s="340"/>
      <c r="AR1259" s="340"/>
      <c r="AS1259" s="340"/>
      <c r="AT1259" s="340"/>
      <c r="AU1259" s="340"/>
      <c r="AV1259" s="340"/>
      <c r="AY1259" s="340"/>
      <c r="AZ1259" s="465">
        <f t="shared" ca="1" si="772"/>
        <v>7.3698599999999999E-5</v>
      </c>
      <c r="BA1259" s="464">
        <f t="shared" ca="1" si="773"/>
        <v>0</v>
      </c>
      <c r="BB1259" s="465">
        <f t="shared" ca="1" si="773"/>
        <v>7.3698599999999999E-5</v>
      </c>
      <c r="BC1259" s="466">
        <f t="shared" ca="1" si="774"/>
        <v>80933</v>
      </c>
      <c r="BD1259" s="467">
        <f t="shared" ca="1" si="787"/>
        <v>80934</v>
      </c>
      <c r="BE1259" s="467">
        <f t="shared" ca="1" si="775"/>
        <v>80963</v>
      </c>
      <c r="BF1259" s="468">
        <f ca="1">IF(計算!$BC1259&lt;OP!$C$3,0,BD1259-BC1259)</f>
        <v>1</v>
      </c>
      <c r="BG1259" s="468">
        <f ca="1">IF($BE1259&gt;DATE(YEAR($BD$9)+OP!$C$57,MONTH($BD$9),DAY($BD$9)),0,$BE1259-$BD1259+1)</f>
        <v>0</v>
      </c>
      <c r="BH1259" s="469">
        <f t="shared" ca="1" si="776"/>
        <v>1</v>
      </c>
      <c r="BI1259" t="str">
        <f t="shared" si="792"/>
        <v/>
      </c>
      <c r="BJ1259">
        <v>2</v>
      </c>
      <c r="BN1259" s="468">
        <f t="shared" si="788"/>
        <v>105</v>
      </c>
      <c r="BO1259" s="468">
        <f t="shared" si="789"/>
        <v>2</v>
      </c>
      <c r="BP1259" s="467">
        <f t="shared" ca="1" si="777"/>
        <v>80934</v>
      </c>
      <c r="BQ1259" s="475">
        <f t="shared" ca="1" si="791"/>
        <v>137</v>
      </c>
      <c r="BR1259" s="475" t="str">
        <f t="shared" si="790"/>
        <v/>
      </c>
      <c r="BS1259" s="471" t="str">
        <f t="shared" si="778"/>
        <v/>
      </c>
      <c r="BT1259" s="472" t="str">
        <f t="shared" si="793"/>
        <v/>
      </c>
      <c r="BU1259" s="472">
        <f t="shared" ca="1" si="779"/>
        <v>0</v>
      </c>
      <c r="BV1259" s="472">
        <f t="shared" ca="1" si="779"/>
        <v>0</v>
      </c>
      <c r="BW1259" s="472"/>
      <c r="BX1259" s="473">
        <f t="shared" ca="1" si="780"/>
        <v>2820055.9424994998</v>
      </c>
      <c r="BY1259" s="473">
        <f t="shared" si="781"/>
        <v>0</v>
      </c>
      <c r="BZ1259" s="473">
        <f t="shared" ca="1" si="763"/>
        <v>207.83417488399999</v>
      </c>
      <c r="CA1259" s="476">
        <f t="shared" ca="1" si="782"/>
        <v>0</v>
      </c>
      <c r="CB1259" s="494">
        <f ca="1">IF(OR($Q1258&lt;&gt;1,OP!$D$5+$BN1259-1&lt;16,$BN1259-1&lt;1),0,ROUND(ROUND(ROUND(((VLOOKUP($BN1259-1,MORE_PV,5,0)/10000)*VLOOKUP($BN1259,MORE_PV,$CB$5,0)),3)*VLOOKUP($BN1259,more1,5,0),0)/$R1258,0))</f>
        <v>0</v>
      </c>
      <c r="CC1259" s="473">
        <f t="shared" ca="1" si="783"/>
        <v>0</v>
      </c>
      <c r="CD1259" s="477"/>
    </row>
    <row r="1260" spans="2:82" ht="16.5" hidden="1">
      <c r="B1260" s="80"/>
      <c r="C1260" s="80"/>
      <c r="D1260" s="80"/>
      <c r="E1260" s="80"/>
      <c r="F1260" s="80"/>
      <c r="G1260" s="80"/>
      <c r="H1260" s="80"/>
      <c r="I1260" s="80"/>
      <c r="J1260" s="192">
        <f t="shared" si="764"/>
        <v>105</v>
      </c>
      <c r="K1260" s="192">
        <f t="shared" si="765"/>
        <v>4</v>
      </c>
      <c r="L1260" s="192" t="str">
        <f t="shared" si="760"/>
        <v/>
      </c>
      <c r="M1260" s="216" t="str">
        <f t="shared" ca="1" si="766"/>
        <v/>
      </c>
      <c r="N1260" s="216"/>
      <c r="O1260" s="216"/>
      <c r="P1260" s="216"/>
      <c r="Q1260" s="456">
        <f t="shared" ca="1" si="767"/>
        <v>1</v>
      </c>
      <c r="R1260" s="450">
        <f t="shared" ca="1" si="768"/>
        <v>12</v>
      </c>
      <c r="S1260" s="191">
        <f t="shared" si="769"/>
        <v>105</v>
      </c>
      <c r="T1260" s="191">
        <f t="shared" si="770"/>
        <v>4</v>
      </c>
      <c r="U1260" s="191">
        <f ca="1">OP!$D$5+$S1260-1</f>
        <v>137</v>
      </c>
      <c r="V1260" s="191" t="str">
        <f t="shared" si="771"/>
        <v/>
      </c>
      <c r="W1260" s="350">
        <f ca="1">IF(Q1260&lt;&gt;1,0,VLOOKUP(OP!$C$55,PVFB,$S1260+2,0))</f>
        <v>0</v>
      </c>
      <c r="X1260" s="473" t="str">
        <f t="shared" ca="1" si="784"/>
        <v/>
      </c>
      <c r="Y1260" s="348">
        <f t="shared" ca="1" si="785"/>
        <v>0</v>
      </c>
      <c r="Z1260" s="348">
        <f t="shared" ca="1" si="786"/>
        <v>8012</v>
      </c>
      <c r="AA1260" s="348">
        <f ca="1">IF(Q1260&lt;&gt;1,0,VLOOKUP(OP!$C$55,PVFB,$S1260+2,0))</f>
        <v>0</v>
      </c>
      <c r="AB1260" s="488" t="str">
        <f ca="1">IF(AND(S1260&lt;OP!$C$24,$U1260&lt;15),0,IF(AND($U1260&lt;15,$T1260=12),ROUND(VLOOKUP($S1260,DOWN16,5,0),3),IF($T1260=12,ROUND(($Z1260/10000)*$AA1260,3)+IF(AND($P$7="購買增額繳清保險",T1260=12,U1260=110),VLOOKUP(S1260,$B$10:$H$121,7,0),0),"")))</f>
        <v/>
      </c>
      <c r="AC1260" s="350" t="str">
        <f ca="1">IF(AND(S1260&lt;OP!$C$24,$U1260&lt;15),0,IF(AND($U1260&lt;16,$T1260=12),VLOOKUP($S1260,DOWN16,4,0),IF($T1260=12,ROUND(VLOOKUP(OP!$C$55,_DIE2,$S1260+1,0)*(Z1260/10000),0)+IF(AND($P$7="購買增額繳清保險",T1260=12,U1260=110),VLOOKUP(S1260,$B$10:$H$121,7,0),0),"")))</f>
        <v/>
      </c>
      <c r="AD1260" s="347"/>
      <c r="AE1260" s="350" t="str">
        <f t="shared" ca="1" si="761"/>
        <v/>
      </c>
      <c r="AF1260" s="351" t="str">
        <f t="shared" ca="1" si="762"/>
        <v/>
      </c>
      <c r="AG1260" s="340"/>
      <c r="AH1260" s="340"/>
      <c r="AI1260" s="340"/>
      <c r="AJ1260" s="340"/>
      <c r="AK1260" s="340"/>
      <c r="AL1260" s="340"/>
      <c r="AM1260" s="340"/>
      <c r="AN1260" s="340"/>
      <c r="AO1260" s="340"/>
      <c r="AP1260" s="340"/>
      <c r="AQ1260" s="340"/>
      <c r="AR1260" s="340"/>
      <c r="AS1260" s="340"/>
      <c r="AT1260" s="340"/>
      <c r="AU1260" s="340"/>
      <c r="AV1260" s="340"/>
      <c r="AY1260" s="340"/>
      <c r="AZ1260" s="465">
        <f t="shared" ca="1" si="772"/>
        <v>7.3698599999999999E-5</v>
      </c>
      <c r="BA1260" s="464">
        <f t="shared" ca="1" si="773"/>
        <v>0</v>
      </c>
      <c r="BB1260" s="465">
        <f t="shared" ca="1" si="773"/>
        <v>7.3698599999999999E-5</v>
      </c>
      <c r="BC1260" s="466">
        <f t="shared" ca="1" si="774"/>
        <v>80964</v>
      </c>
      <c r="BD1260" s="467">
        <f t="shared" ca="1" si="787"/>
        <v>80965</v>
      </c>
      <c r="BE1260" s="467">
        <f t="shared" ca="1" si="775"/>
        <v>80993</v>
      </c>
      <c r="BF1260" s="468">
        <f ca="1">IF(計算!$BC1260&lt;OP!$C$3,0,BD1260-BC1260)</f>
        <v>1</v>
      </c>
      <c r="BG1260" s="468">
        <f ca="1">IF($BE1260&gt;DATE(YEAR($BD$9)+OP!$C$57,MONTH($BD$9),DAY($BD$9)),0,$BE1260-$BD1260+1)</f>
        <v>0</v>
      </c>
      <c r="BH1260" s="469">
        <f t="shared" ca="1" si="776"/>
        <v>1</v>
      </c>
      <c r="BI1260" t="str">
        <f t="shared" si="792"/>
        <v/>
      </c>
      <c r="BJ1260">
        <v>3</v>
      </c>
      <c r="BN1260" s="468">
        <f t="shared" si="788"/>
        <v>105</v>
      </c>
      <c r="BO1260" s="468">
        <f t="shared" si="789"/>
        <v>3</v>
      </c>
      <c r="BP1260" s="467">
        <f t="shared" ca="1" si="777"/>
        <v>80965</v>
      </c>
      <c r="BQ1260" s="475">
        <f t="shared" ca="1" si="791"/>
        <v>137</v>
      </c>
      <c r="BR1260" s="475" t="str">
        <f t="shared" si="790"/>
        <v/>
      </c>
      <c r="BS1260" s="471" t="str">
        <f t="shared" si="778"/>
        <v/>
      </c>
      <c r="BT1260" s="472" t="str">
        <f t="shared" si="793"/>
        <v/>
      </c>
      <c r="BU1260" s="472">
        <f t="shared" ca="1" si="779"/>
        <v>0</v>
      </c>
      <c r="BV1260" s="472">
        <f t="shared" ca="1" si="779"/>
        <v>0</v>
      </c>
      <c r="BW1260" s="472"/>
      <c r="BX1260" s="473">
        <f t="shared" ca="1" si="780"/>
        <v>2820263.7766743801</v>
      </c>
      <c r="BY1260" s="473">
        <f t="shared" si="781"/>
        <v>0</v>
      </c>
      <c r="BZ1260" s="473">
        <f t="shared" ca="1" si="763"/>
        <v>207.84949197200001</v>
      </c>
      <c r="CA1260" s="476">
        <f t="shared" ca="1" si="782"/>
        <v>0</v>
      </c>
      <c r="CB1260" s="494">
        <f ca="1">IF(OR($Q1259&lt;&gt;1,OP!$D$5+$BN1260-1&lt;16,$BN1260-1&lt;1),0,ROUND(ROUND(ROUND(((VLOOKUP($BN1260-1,MORE_PV,5,0)/10000)*VLOOKUP($BN1260,MORE_PV,$CB$5,0)),3)*VLOOKUP($BN1260,more1,5,0),0)/$R1259,0))</f>
        <v>0</v>
      </c>
      <c r="CC1260" s="473">
        <f t="shared" ca="1" si="783"/>
        <v>0</v>
      </c>
      <c r="CD1260" s="477"/>
    </row>
    <row r="1261" spans="2:82" ht="16.5" hidden="1">
      <c r="B1261" s="80"/>
      <c r="C1261" s="80"/>
      <c r="D1261" s="80"/>
      <c r="E1261" s="80"/>
      <c r="F1261" s="80"/>
      <c r="G1261" s="80"/>
      <c r="H1261" s="80"/>
      <c r="I1261" s="80"/>
      <c r="J1261" s="192">
        <f t="shared" si="764"/>
        <v>105</v>
      </c>
      <c r="K1261" s="192">
        <f t="shared" si="765"/>
        <v>5</v>
      </c>
      <c r="L1261" s="192" t="str">
        <f t="shared" si="760"/>
        <v/>
      </c>
      <c r="M1261" s="216" t="str">
        <f t="shared" ca="1" si="766"/>
        <v/>
      </c>
      <c r="N1261" s="216"/>
      <c r="O1261" s="216"/>
      <c r="P1261" s="216"/>
      <c r="Q1261" s="456">
        <f t="shared" ca="1" si="767"/>
        <v>1</v>
      </c>
      <c r="R1261" s="450">
        <f t="shared" ca="1" si="768"/>
        <v>12</v>
      </c>
      <c r="S1261" s="191">
        <f t="shared" si="769"/>
        <v>105</v>
      </c>
      <c r="T1261" s="191">
        <f t="shared" si="770"/>
        <v>5</v>
      </c>
      <c r="U1261" s="191">
        <f ca="1">OP!$D$5+$S1261-1</f>
        <v>137</v>
      </c>
      <c r="V1261" s="191" t="str">
        <f t="shared" si="771"/>
        <v/>
      </c>
      <c r="W1261" s="350">
        <f ca="1">IF(Q1261&lt;&gt;1,0,VLOOKUP(OP!$C$55,PVFB,$S1261+2,0))</f>
        <v>0</v>
      </c>
      <c r="X1261" s="473" t="str">
        <f t="shared" ca="1" si="784"/>
        <v/>
      </c>
      <c r="Y1261" s="348">
        <f t="shared" ca="1" si="785"/>
        <v>0</v>
      </c>
      <c r="Z1261" s="348">
        <f t="shared" ca="1" si="786"/>
        <v>8012</v>
      </c>
      <c r="AA1261" s="348">
        <f ca="1">IF(Q1261&lt;&gt;1,0,VLOOKUP(OP!$C$55,PVFB,$S1261+2,0))</f>
        <v>0</v>
      </c>
      <c r="AB1261" s="488" t="str">
        <f ca="1">IF(AND(S1261&lt;OP!$C$24,$U1261&lt;15),0,IF(AND($U1261&lt;15,$T1261=12),ROUND(VLOOKUP($S1261,DOWN16,5,0),3),IF($T1261=12,ROUND(($Z1261/10000)*$AA1261,3)+IF(AND($P$7="購買增額繳清保險",T1261=12,U1261=110),VLOOKUP(S1261,$B$10:$H$121,7,0),0),"")))</f>
        <v/>
      </c>
      <c r="AC1261" s="350" t="str">
        <f ca="1">IF(AND(S1261&lt;OP!$C$24,$U1261&lt;15),0,IF(AND($U1261&lt;16,$T1261=12),VLOOKUP($S1261,DOWN16,4,0),IF($T1261=12,ROUND(VLOOKUP(OP!$C$55,_DIE2,$S1261+1,0)*(Z1261/10000),0)+IF(AND($P$7="購買增額繳清保險",T1261=12,U1261=110),VLOOKUP(S1261,$B$10:$H$121,7,0),0),"")))</f>
        <v/>
      </c>
      <c r="AD1261" s="347"/>
      <c r="AE1261" s="350" t="str">
        <f t="shared" ca="1" si="761"/>
        <v/>
      </c>
      <c r="AF1261" s="351" t="str">
        <f t="shared" ca="1" si="762"/>
        <v/>
      </c>
      <c r="AG1261" s="340"/>
      <c r="AH1261" s="340"/>
      <c r="AI1261" s="340"/>
      <c r="AJ1261" s="340"/>
      <c r="AK1261" s="340"/>
      <c r="AL1261" s="340"/>
      <c r="AM1261" s="340"/>
      <c r="AN1261" s="340"/>
      <c r="AO1261" s="340"/>
      <c r="AP1261" s="340"/>
      <c r="AQ1261" s="340"/>
      <c r="AR1261" s="340"/>
      <c r="AS1261" s="340"/>
      <c r="AT1261" s="340"/>
      <c r="AU1261" s="340"/>
      <c r="AV1261" s="340"/>
      <c r="AY1261" s="340"/>
      <c r="AZ1261" s="465">
        <f t="shared" ca="1" si="772"/>
        <v>7.3698599999999999E-5</v>
      </c>
      <c r="BA1261" s="464">
        <f t="shared" ca="1" si="773"/>
        <v>0</v>
      </c>
      <c r="BB1261" s="465">
        <f t="shared" ca="1" si="773"/>
        <v>7.3698599999999999E-5</v>
      </c>
      <c r="BC1261" s="466">
        <f t="shared" ca="1" si="774"/>
        <v>80994</v>
      </c>
      <c r="BD1261" s="467">
        <f t="shared" ca="1" si="787"/>
        <v>80995</v>
      </c>
      <c r="BE1261" s="467">
        <f t="shared" ca="1" si="775"/>
        <v>81024</v>
      </c>
      <c r="BF1261" s="468">
        <f ca="1">IF(計算!$BC1261&lt;OP!$C$3,0,BD1261-BC1261)</f>
        <v>1</v>
      </c>
      <c r="BG1261" s="468">
        <f ca="1">IF($BE1261&gt;DATE(YEAR($BD$9)+OP!$C$57,MONTH($BD$9),DAY($BD$9)),0,$BE1261-$BD1261+1)</f>
        <v>0</v>
      </c>
      <c r="BH1261" s="469">
        <f t="shared" ca="1" si="776"/>
        <v>1</v>
      </c>
      <c r="BI1261" t="str">
        <f t="shared" si="792"/>
        <v/>
      </c>
      <c r="BJ1261">
        <v>4</v>
      </c>
      <c r="BN1261" s="468">
        <f t="shared" si="788"/>
        <v>105</v>
      </c>
      <c r="BO1261" s="468">
        <f t="shared" si="789"/>
        <v>4</v>
      </c>
      <c r="BP1261" s="467">
        <f t="shared" ca="1" si="777"/>
        <v>80995</v>
      </c>
      <c r="BQ1261" s="475">
        <f t="shared" ca="1" si="791"/>
        <v>137</v>
      </c>
      <c r="BR1261" s="475" t="str">
        <f t="shared" si="790"/>
        <v/>
      </c>
      <c r="BS1261" s="471" t="str">
        <f t="shared" si="778"/>
        <v/>
      </c>
      <c r="BT1261" s="472" t="str">
        <f t="shared" si="793"/>
        <v/>
      </c>
      <c r="BU1261" s="472">
        <f t="shared" ca="1" si="779"/>
        <v>0</v>
      </c>
      <c r="BV1261" s="472">
        <f t="shared" ca="1" si="779"/>
        <v>0</v>
      </c>
      <c r="BW1261" s="472"/>
      <c r="BX1261" s="473">
        <f t="shared" ca="1" si="780"/>
        <v>2820471.6261663502</v>
      </c>
      <c r="BY1261" s="473">
        <f t="shared" si="781"/>
        <v>0</v>
      </c>
      <c r="BZ1261" s="473">
        <f t="shared" ca="1" si="763"/>
        <v>207.86481018800001</v>
      </c>
      <c r="CA1261" s="476">
        <f t="shared" ca="1" si="782"/>
        <v>0</v>
      </c>
      <c r="CB1261" s="494">
        <f ca="1">IF(OR($Q1260&lt;&gt;1,OP!$D$5+$BN1261-1&lt;16,$BN1261-1&lt;1),0,ROUND(ROUND(ROUND(((VLOOKUP($BN1261-1,MORE_PV,5,0)/10000)*VLOOKUP($BN1261,MORE_PV,$CB$5,0)),3)*VLOOKUP($BN1261,more1,5,0),0)/$R1260,0))</f>
        <v>0</v>
      </c>
      <c r="CC1261" s="473">
        <f t="shared" ca="1" si="783"/>
        <v>0</v>
      </c>
      <c r="CD1261" s="477"/>
    </row>
    <row r="1262" spans="2:82" ht="16.5" hidden="1">
      <c r="B1262" s="80"/>
      <c r="C1262" s="80"/>
      <c r="D1262" s="80"/>
      <c r="E1262" s="80"/>
      <c r="F1262" s="80"/>
      <c r="G1262" s="80"/>
      <c r="H1262" s="80"/>
      <c r="I1262" s="80"/>
      <c r="J1262" s="192">
        <f t="shared" si="764"/>
        <v>105</v>
      </c>
      <c r="K1262" s="192">
        <f t="shared" si="765"/>
        <v>6</v>
      </c>
      <c r="L1262" s="192" t="str">
        <f t="shared" si="760"/>
        <v/>
      </c>
      <c r="M1262" s="216" t="str">
        <f t="shared" ca="1" si="766"/>
        <v/>
      </c>
      <c r="N1262" s="216"/>
      <c r="O1262" s="216"/>
      <c r="P1262" s="216"/>
      <c r="Q1262" s="456">
        <f t="shared" ca="1" si="767"/>
        <v>1</v>
      </c>
      <c r="R1262" s="450">
        <f t="shared" ca="1" si="768"/>
        <v>12</v>
      </c>
      <c r="S1262" s="191">
        <f t="shared" si="769"/>
        <v>105</v>
      </c>
      <c r="T1262" s="191">
        <f t="shared" si="770"/>
        <v>6</v>
      </c>
      <c r="U1262" s="191">
        <f ca="1">OP!$D$5+$S1262-1</f>
        <v>137</v>
      </c>
      <c r="V1262" s="191" t="str">
        <f t="shared" si="771"/>
        <v/>
      </c>
      <c r="W1262" s="350">
        <f ca="1">IF(Q1262&lt;&gt;1,0,VLOOKUP(OP!$C$55,PVFB,$S1262+2,0))</f>
        <v>0</v>
      </c>
      <c r="X1262" s="473" t="str">
        <f t="shared" ca="1" si="784"/>
        <v/>
      </c>
      <c r="Y1262" s="348">
        <f t="shared" ca="1" si="785"/>
        <v>0</v>
      </c>
      <c r="Z1262" s="348">
        <f t="shared" ca="1" si="786"/>
        <v>8012</v>
      </c>
      <c r="AA1262" s="348">
        <f ca="1">IF(Q1262&lt;&gt;1,0,VLOOKUP(OP!$C$55,PVFB,$S1262+2,0))</f>
        <v>0</v>
      </c>
      <c r="AB1262" s="488" t="str">
        <f ca="1">IF(AND(S1262&lt;OP!$C$24,$U1262&lt;15),0,IF(AND($U1262&lt;15,$T1262=12),ROUND(VLOOKUP($S1262,DOWN16,5,0),3),IF($T1262=12,ROUND(($Z1262/10000)*$AA1262,3)+IF(AND($P$7="購買增額繳清保險",T1262=12,U1262=110),VLOOKUP(S1262,$B$10:$H$121,7,0),0),"")))</f>
        <v/>
      </c>
      <c r="AC1262" s="350" t="str">
        <f ca="1">IF(AND(S1262&lt;OP!$C$24,$U1262&lt;15),0,IF(AND($U1262&lt;16,$T1262=12),VLOOKUP($S1262,DOWN16,4,0),IF($T1262=12,ROUND(VLOOKUP(OP!$C$55,_DIE2,$S1262+1,0)*(Z1262/10000),0)+IF(AND($P$7="購買增額繳清保險",T1262=12,U1262=110),VLOOKUP(S1262,$B$10:$H$121,7,0),0),"")))</f>
        <v/>
      </c>
      <c r="AD1262" s="347"/>
      <c r="AE1262" s="350" t="str">
        <f t="shared" ca="1" si="761"/>
        <v/>
      </c>
      <c r="AF1262" s="351" t="str">
        <f t="shared" ca="1" si="762"/>
        <v/>
      </c>
      <c r="AG1262" s="340"/>
      <c r="AH1262" s="340"/>
      <c r="AI1262" s="340"/>
      <c r="AJ1262" s="340"/>
      <c r="AK1262" s="340"/>
      <c r="AL1262" s="340"/>
      <c r="AM1262" s="340"/>
      <c r="AN1262" s="340"/>
      <c r="AO1262" s="340"/>
      <c r="AP1262" s="340"/>
      <c r="AQ1262" s="340"/>
      <c r="AR1262" s="340"/>
      <c r="AS1262" s="340"/>
      <c r="AT1262" s="340"/>
      <c r="AU1262" s="340"/>
      <c r="AV1262" s="340"/>
      <c r="AY1262" s="340"/>
      <c r="AZ1262" s="465">
        <f t="shared" ca="1" si="772"/>
        <v>7.3698599999999999E-5</v>
      </c>
      <c r="BA1262" s="464">
        <f t="shared" ca="1" si="773"/>
        <v>0</v>
      </c>
      <c r="BB1262" s="465">
        <f t="shared" ca="1" si="773"/>
        <v>7.3698599999999999E-5</v>
      </c>
      <c r="BC1262" s="466">
        <f t="shared" ca="1" si="774"/>
        <v>81025</v>
      </c>
      <c r="BD1262" s="467">
        <f t="shared" ca="1" si="787"/>
        <v>81026</v>
      </c>
      <c r="BE1262" s="467">
        <f t="shared" ca="1" si="775"/>
        <v>81054</v>
      </c>
      <c r="BF1262" s="468">
        <f ca="1">IF(計算!$BC1262&lt;OP!$C$3,0,BD1262-BC1262)</f>
        <v>1</v>
      </c>
      <c r="BG1262" s="468">
        <f ca="1">IF($BE1262&gt;DATE(YEAR($BD$9)+OP!$C$57,MONTH($BD$9),DAY($BD$9)),0,$BE1262-$BD1262+1)</f>
        <v>0</v>
      </c>
      <c r="BH1262" s="469">
        <f t="shared" ca="1" si="776"/>
        <v>1</v>
      </c>
      <c r="BI1262" t="str">
        <f t="shared" si="792"/>
        <v/>
      </c>
      <c r="BJ1262">
        <v>5</v>
      </c>
      <c r="BN1262" s="468">
        <f t="shared" si="788"/>
        <v>105</v>
      </c>
      <c r="BO1262" s="468">
        <f t="shared" si="789"/>
        <v>5</v>
      </c>
      <c r="BP1262" s="467">
        <f t="shared" ca="1" si="777"/>
        <v>81026</v>
      </c>
      <c r="BQ1262" s="475">
        <f t="shared" ca="1" si="791"/>
        <v>137</v>
      </c>
      <c r="BR1262" s="475" t="str">
        <f t="shared" si="790"/>
        <v/>
      </c>
      <c r="BS1262" s="471" t="str">
        <f t="shared" si="778"/>
        <v/>
      </c>
      <c r="BT1262" s="472" t="str">
        <f t="shared" si="793"/>
        <v/>
      </c>
      <c r="BU1262" s="472">
        <f t="shared" ca="1" si="779"/>
        <v>0</v>
      </c>
      <c r="BV1262" s="472">
        <f t="shared" ca="1" si="779"/>
        <v>0</v>
      </c>
      <c r="BW1262" s="472"/>
      <c r="BX1262" s="473">
        <f t="shared" ca="1" si="780"/>
        <v>2820679.4909765399</v>
      </c>
      <c r="BY1262" s="473">
        <f t="shared" si="781"/>
        <v>0</v>
      </c>
      <c r="BZ1262" s="473">
        <f t="shared" ca="1" si="763"/>
        <v>207.88012953399999</v>
      </c>
      <c r="CA1262" s="476">
        <f t="shared" ca="1" si="782"/>
        <v>0</v>
      </c>
      <c r="CB1262" s="494">
        <f ca="1">IF(OR($Q1261&lt;&gt;1,OP!$D$5+$BN1262-1&lt;16,$BN1262-1&lt;1),0,ROUND(ROUND(ROUND(((VLOOKUP($BN1262-1,MORE_PV,5,0)/10000)*VLOOKUP($BN1262,MORE_PV,$CB$5,0)),3)*VLOOKUP($BN1262,more1,5,0),0)/$R1261,0))</f>
        <v>0</v>
      </c>
      <c r="CC1262" s="473">
        <f t="shared" ca="1" si="783"/>
        <v>0</v>
      </c>
      <c r="CD1262" s="477"/>
    </row>
    <row r="1263" spans="2:82" ht="16.5" hidden="1">
      <c r="B1263" s="80"/>
      <c r="C1263" s="80"/>
      <c r="D1263" s="80"/>
      <c r="E1263" s="80"/>
      <c r="F1263" s="80"/>
      <c r="G1263" s="80"/>
      <c r="H1263" s="80"/>
      <c r="I1263" s="80"/>
      <c r="J1263" s="192">
        <f t="shared" si="764"/>
        <v>105</v>
      </c>
      <c r="K1263" s="192">
        <f t="shared" si="765"/>
        <v>7</v>
      </c>
      <c r="L1263" s="192" t="str">
        <f t="shared" si="760"/>
        <v/>
      </c>
      <c r="M1263" s="216" t="str">
        <f t="shared" ca="1" si="766"/>
        <v/>
      </c>
      <c r="N1263" s="216"/>
      <c r="O1263" s="216"/>
      <c r="P1263" s="216"/>
      <c r="Q1263" s="456">
        <f t="shared" ca="1" si="767"/>
        <v>1</v>
      </c>
      <c r="R1263" s="450">
        <f t="shared" ca="1" si="768"/>
        <v>12</v>
      </c>
      <c r="S1263" s="191">
        <f t="shared" si="769"/>
        <v>105</v>
      </c>
      <c r="T1263" s="191">
        <f t="shared" si="770"/>
        <v>7</v>
      </c>
      <c r="U1263" s="191">
        <f ca="1">OP!$D$5+$S1263-1</f>
        <v>137</v>
      </c>
      <c r="V1263" s="191" t="str">
        <f t="shared" si="771"/>
        <v/>
      </c>
      <c r="W1263" s="350">
        <f ca="1">IF(Q1263&lt;&gt;1,0,VLOOKUP(OP!$C$55,PVFB,$S1263+2,0))</f>
        <v>0</v>
      </c>
      <c r="X1263" s="473" t="str">
        <f t="shared" ca="1" si="784"/>
        <v/>
      </c>
      <c r="Y1263" s="348">
        <f t="shared" ca="1" si="785"/>
        <v>0</v>
      </c>
      <c r="Z1263" s="348">
        <f t="shared" ca="1" si="786"/>
        <v>8012</v>
      </c>
      <c r="AA1263" s="348">
        <f ca="1">IF(Q1263&lt;&gt;1,0,VLOOKUP(OP!$C$55,PVFB,$S1263+2,0))</f>
        <v>0</v>
      </c>
      <c r="AB1263" s="488" t="str">
        <f ca="1">IF(AND(S1263&lt;OP!$C$24,$U1263&lt;15),0,IF(AND($U1263&lt;15,$T1263=12),ROUND(VLOOKUP($S1263,DOWN16,5,0),3),IF($T1263=12,ROUND(($Z1263/10000)*$AA1263,3)+IF(AND($P$7="購買增額繳清保險",T1263=12,U1263=110),VLOOKUP(S1263,$B$10:$H$121,7,0),0),"")))</f>
        <v/>
      </c>
      <c r="AC1263" s="350" t="str">
        <f ca="1">IF(AND(S1263&lt;OP!$C$24,$U1263&lt;15),0,IF(AND($U1263&lt;16,$T1263=12),VLOOKUP($S1263,DOWN16,4,0),IF($T1263=12,ROUND(VLOOKUP(OP!$C$55,_DIE2,$S1263+1,0)*(Z1263/10000),0)+IF(AND($P$7="購買增額繳清保險",T1263=12,U1263=110),VLOOKUP(S1263,$B$10:$H$121,7,0),0),"")))</f>
        <v/>
      </c>
      <c r="AD1263" s="347"/>
      <c r="AE1263" s="350" t="str">
        <f t="shared" ca="1" si="761"/>
        <v/>
      </c>
      <c r="AF1263" s="351" t="str">
        <f t="shared" ca="1" si="762"/>
        <v/>
      </c>
      <c r="AG1263" s="340"/>
      <c r="AH1263" s="340"/>
      <c r="AI1263" s="340"/>
      <c r="AJ1263" s="340"/>
      <c r="AK1263" s="340"/>
      <c r="AL1263" s="340"/>
      <c r="AM1263" s="340"/>
      <c r="AN1263" s="340"/>
      <c r="AO1263" s="340"/>
      <c r="AP1263" s="340"/>
      <c r="AQ1263" s="340"/>
      <c r="AR1263" s="340"/>
      <c r="AS1263" s="340"/>
      <c r="AT1263" s="340"/>
      <c r="AU1263" s="340"/>
      <c r="AV1263" s="340"/>
      <c r="AY1263" s="340"/>
      <c r="AZ1263" s="465">
        <f t="shared" ca="1" si="772"/>
        <v>7.3698599999999999E-5</v>
      </c>
      <c r="BA1263" s="464">
        <f t="shared" ca="1" si="773"/>
        <v>0</v>
      </c>
      <c r="BB1263" s="465">
        <f t="shared" ca="1" si="773"/>
        <v>7.3698599999999999E-5</v>
      </c>
      <c r="BC1263" s="466">
        <f t="shared" ca="1" si="774"/>
        <v>81055</v>
      </c>
      <c r="BD1263" s="467">
        <f t="shared" ca="1" si="787"/>
        <v>81056</v>
      </c>
      <c r="BE1263" s="467">
        <f t="shared" ca="1" si="775"/>
        <v>81085</v>
      </c>
      <c r="BF1263" s="468">
        <f ca="1">IF(計算!$BC1263&lt;OP!$C$3,0,BD1263-BC1263)</f>
        <v>1</v>
      </c>
      <c r="BG1263" s="468">
        <f ca="1">IF($BE1263&gt;DATE(YEAR($BD$9)+OP!$C$57,MONTH($BD$9),DAY($BD$9)),0,$BE1263-$BD1263+1)</f>
        <v>0</v>
      </c>
      <c r="BH1263" s="469">
        <f t="shared" ca="1" si="776"/>
        <v>1</v>
      </c>
      <c r="BI1263" t="str">
        <f t="shared" si="792"/>
        <v/>
      </c>
      <c r="BJ1263">
        <v>6</v>
      </c>
      <c r="BN1263" s="468">
        <f t="shared" si="788"/>
        <v>105</v>
      </c>
      <c r="BO1263" s="468">
        <f t="shared" si="789"/>
        <v>6</v>
      </c>
      <c r="BP1263" s="467">
        <f t="shared" ca="1" si="777"/>
        <v>81056</v>
      </c>
      <c r="BQ1263" s="475">
        <f t="shared" ca="1" si="791"/>
        <v>137</v>
      </c>
      <c r="BR1263" s="475" t="str">
        <f t="shared" si="790"/>
        <v/>
      </c>
      <c r="BS1263" s="471" t="str">
        <f t="shared" si="778"/>
        <v/>
      </c>
      <c r="BT1263" s="472" t="str">
        <f t="shared" si="793"/>
        <v/>
      </c>
      <c r="BU1263" s="472">
        <f t="shared" ca="1" si="779"/>
        <v>0</v>
      </c>
      <c r="BV1263" s="472">
        <f t="shared" ca="1" si="779"/>
        <v>0</v>
      </c>
      <c r="BW1263" s="472"/>
      <c r="BX1263" s="473">
        <f t="shared" ca="1" si="780"/>
        <v>2820887.37110607</v>
      </c>
      <c r="BY1263" s="473">
        <f t="shared" si="781"/>
        <v>0</v>
      </c>
      <c r="BZ1263" s="473">
        <f t="shared" ca="1" si="763"/>
        <v>207.89545000800001</v>
      </c>
      <c r="CA1263" s="476">
        <f t="shared" ca="1" si="782"/>
        <v>0</v>
      </c>
      <c r="CB1263" s="494">
        <f ca="1">IF(OR($Q1262&lt;&gt;1,OP!$D$5+$BN1263-1&lt;16,$BN1263-1&lt;1),0,ROUND(ROUND(ROUND(((VLOOKUP($BN1263-1,MORE_PV,5,0)/10000)*VLOOKUP($BN1263,MORE_PV,$CB$5,0)),3)*VLOOKUP($BN1263,more1,5,0),0)/$R1262,0))</f>
        <v>0</v>
      </c>
      <c r="CC1263" s="473">
        <f t="shared" ca="1" si="783"/>
        <v>0</v>
      </c>
      <c r="CD1263" s="477"/>
    </row>
    <row r="1264" spans="2:82" ht="16.5" hidden="1">
      <c r="B1264" s="80"/>
      <c r="C1264" s="80"/>
      <c r="D1264" s="80"/>
      <c r="E1264" s="80"/>
      <c r="F1264" s="80"/>
      <c r="G1264" s="80"/>
      <c r="H1264" s="80"/>
      <c r="I1264" s="80"/>
      <c r="J1264" s="192">
        <f t="shared" si="764"/>
        <v>105</v>
      </c>
      <c r="K1264" s="192">
        <f t="shared" si="765"/>
        <v>8</v>
      </c>
      <c r="L1264" s="192" t="str">
        <f t="shared" si="760"/>
        <v/>
      </c>
      <c r="M1264" s="216" t="str">
        <f t="shared" ca="1" si="766"/>
        <v/>
      </c>
      <c r="N1264" s="216"/>
      <c r="O1264" s="216"/>
      <c r="P1264" s="216"/>
      <c r="Q1264" s="456">
        <f t="shared" ca="1" si="767"/>
        <v>1</v>
      </c>
      <c r="R1264" s="450">
        <f t="shared" ca="1" si="768"/>
        <v>12</v>
      </c>
      <c r="S1264" s="191">
        <f t="shared" si="769"/>
        <v>105</v>
      </c>
      <c r="T1264" s="191">
        <f t="shared" si="770"/>
        <v>8</v>
      </c>
      <c r="U1264" s="191">
        <f ca="1">OP!$D$5+$S1264-1</f>
        <v>137</v>
      </c>
      <c r="V1264" s="191" t="str">
        <f t="shared" si="771"/>
        <v/>
      </c>
      <c r="W1264" s="350">
        <f ca="1">IF(Q1264&lt;&gt;1,0,VLOOKUP(OP!$C$55,PVFB,$S1264+2,0))</f>
        <v>0</v>
      </c>
      <c r="X1264" s="473" t="str">
        <f t="shared" ca="1" si="784"/>
        <v/>
      </c>
      <c r="Y1264" s="348">
        <f t="shared" ca="1" si="785"/>
        <v>0</v>
      </c>
      <c r="Z1264" s="348">
        <f t="shared" ca="1" si="786"/>
        <v>8012</v>
      </c>
      <c r="AA1264" s="348">
        <f ca="1">IF(Q1264&lt;&gt;1,0,VLOOKUP(OP!$C$55,PVFB,$S1264+2,0))</f>
        <v>0</v>
      </c>
      <c r="AB1264" s="488" t="str">
        <f ca="1">IF(AND(S1264&lt;OP!$C$24,$U1264&lt;15),0,IF(AND($U1264&lt;15,$T1264=12),ROUND(VLOOKUP($S1264,DOWN16,5,0),3),IF($T1264=12,ROUND(($Z1264/10000)*$AA1264,3)+IF(AND($P$7="購買增額繳清保險",T1264=12,U1264=110),VLOOKUP(S1264,$B$10:$H$121,7,0),0),"")))</f>
        <v/>
      </c>
      <c r="AC1264" s="350" t="str">
        <f ca="1">IF(AND(S1264&lt;OP!$C$24,$U1264&lt;15),0,IF(AND($U1264&lt;16,$T1264=12),VLOOKUP($S1264,DOWN16,4,0),IF($T1264=12,ROUND(VLOOKUP(OP!$C$55,_DIE2,$S1264+1,0)*(Z1264/10000),0)+IF(AND($P$7="購買增額繳清保險",T1264=12,U1264=110),VLOOKUP(S1264,$B$10:$H$121,7,0),0),"")))</f>
        <v/>
      </c>
      <c r="AD1264" s="347"/>
      <c r="AE1264" s="350" t="str">
        <f t="shared" ca="1" si="761"/>
        <v/>
      </c>
      <c r="AF1264" s="351" t="str">
        <f t="shared" ca="1" si="762"/>
        <v/>
      </c>
      <c r="AG1264" s="340"/>
      <c r="AH1264" s="340"/>
      <c r="AI1264" s="340"/>
      <c r="AJ1264" s="340"/>
      <c r="AK1264" s="340"/>
      <c r="AL1264" s="340"/>
      <c r="AM1264" s="340"/>
      <c r="AN1264" s="340"/>
      <c r="AO1264" s="340"/>
      <c r="AP1264" s="340"/>
      <c r="AQ1264" s="340"/>
      <c r="AR1264" s="340"/>
      <c r="AS1264" s="340"/>
      <c r="AT1264" s="340"/>
      <c r="AU1264" s="340"/>
      <c r="AV1264" s="340"/>
      <c r="AY1264" s="340"/>
      <c r="AZ1264" s="465">
        <f t="shared" ca="1" si="772"/>
        <v>7.3698599999999999E-5</v>
      </c>
      <c r="BA1264" s="464">
        <f t="shared" ca="1" si="773"/>
        <v>0</v>
      </c>
      <c r="BB1264" s="465">
        <f t="shared" ca="1" si="773"/>
        <v>7.3698599999999999E-5</v>
      </c>
      <c r="BC1264" s="466">
        <f t="shared" ca="1" si="774"/>
        <v>81086</v>
      </c>
      <c r="BD1264" s="467">
        <f t="shared" ca="1" si="787"/>
        <v>81087</v>
      </c>
      <c r="BE1264" s="467">
        <f t="shared" ca="1" si="775"/>
        <v>81116</v>
      </c>
      <c r="BF1264" s="468">
        <f ca="1">IF(計算!$BC1264&lt;OP!$C$3,0,BD1264-BC1264)</f>
        <v>1</v>
      </c>
      <c r="BG1264" s="468">
        <f ca="1">IF($BE1264&gt;DATE(YEAR($BD$9)+OP!$C$57,MONTH($BD$9),DAY($BD$9)),0,$BE1264-$BD1264+1)</f>
        <v>0</v>
      </c>
      <c r="BH1264" s="469">
        <f t="shared" ca="1" si="776"/>
        <v>1</v>
      </c>
      <c r="BI1264" t="str">
        <f t="shared" si="792"/>
        <v/>
      </c>
      <c r="BJ1264">
        <v>7</v>
      </c>
      <c r="BN1264" s="468">
        <f t="shared" si="788"/>
        <v>105</v>
      </c>
      <c r="BO1264" s="468">
        <f t="shared" si="789"/>
        <v>7</v>
      </c>
      <c r="BP1264" s="467">
        <f t="shared" ca="1" si="777"/>
        <v>81087</v>
      </c>
      <c r="BQ1264" s="475">
        <f t="shared" ca="1" si="791"/>
        <v>137</v>
      </c>
      <c r="BR1264" s="475" t="str">
        <f t="shared" si="790"/>
        <v/>
      </c>
      <c r="BS1264" s="471" t="str">
        <f t="shared" si="778"/>
        <v/>
      </c>
      <c r="BT1264" s="472" t="str">
        <f t="shared" si="793"/>
        <v/>
      </c>
      <c r="BU1264" s="472">
        <f t="shared" ca="1" si="779"/>
        <v>0</v>
      </c>
      <c r="BV1264" s="472">
        <f t="shared" ca="1" si="779"/>
        <v>0</v>
      </c>
      <c r="BW1264" s="472"/>
      <c r="BX1264" s="473">
        <f t="shared" ca="1" si="780"/>
        <v>2821095.26655608</v>
      </c>
      <c r="BY1264" s="473">
        <f t="shared" si="781"/>
        <v>0</v>
      </c>
      <c r="BZ1264" s="473">
        <f t="shared" ca="1" si="763"/>
        <v>207.91077161199999</v>
      </c>
      <c r="CA1264" s="476">
        <f t="shared" ca="1" si="782"/>
        <v>0</v>
      </c>
      <c r="CB1264" s="494">
        <f ca="1">IF(OR($Q1263&lt;&gt;1,OP!$D$5+$BN1264-1&lt;16,$BN1264-1&lt;1),0,ROUND(ROUND(ROUND(((VLOOKUP($BN1264-1,MORE_PV,5,0)/10000)*VLOOKUP($BN1264,MORE_PV,$CB$5,0)),3)*VLOOKUP($BN1264,more1,5,0),0)/$R1263,0))</f>
        <v>0</v>
      </c>
      <c r="CC1264" s="473">
        <f t="shared" ca="1" si="783"/>
        <v>0</v>
      </c>
      <c r="CD1264" s="477"/>
    </row>
    <row r="1265" spans="2:82" ht="16.5" hidden="1">
      <c r="B1265" s="80"/>
      <c r="C1265" s="80"/>
      <c r="D1265" s="80"/>
      <c r="E1265" s="80"/>
      <c r="F1265" s="80"/>
      <c r="G1265" s="80"/>
      <c r="H1265" s="80"/>
      <c r="I1265" s="80"/>
      <c r="J1265" s="192">
        <f t="shared" si="764"/>
        <v>105</v>
      </c>
      <c r="K1265" s="192">
        <f t="shared" si="765"/>
        <v>9</v>
      </c>
      <c r="L1265" s="192" t="str">
        <f t="shared" si="760"/>
        <v/>
      </c>
      <c r="M1265" s="216" t="str">
        <f t="shared" ca="1" si="766"/>
        <v/>
      </c>
      <c r="N1265" s="216"/>
      <c r="O1265" s="216"/>
      <c r="P1265" s="216"/>
      <c r="Q1265" s="456">
        <f t="shared" ca="1" si="767"/>
        <v>1</v>
      </c>
      <c r="R1265" s="450">
        <f t="shared" ca="1" si="768"/>
        <v>12</v>
      </c>
      <c r="S1265" s="191">
        <f t="shared" si="769"/>
        <v>105</v>
      </c>
      <c r="T1265" s="191">
        <f t="shared" si="770"/>
        <v>9</v>
      </c>
      <c r="U1265" s="191">
        <f ca="1">OP!$D$5+$S1265-1</f>
        <v>137</v>
      </c>
      <c r="V1265" s="191" t="str">
        <f t="shared" si="771"/>
        <v/>
      </c>
      <c r="W1265" s="350">
        <f ca="1">IF(Q1265&lt;&gt;1,0,VLOOKUP(OP!$C$55,PVFB,$S1265+2,0))</f>
        <v>0</v>
      </c>
      <c r="X1265" s="473" t="str">
        <f t="shared" ca="1" si="784"/>
        <v/>
      </c>
      <c r="Y1265" s="348">
        <f t="shared" ca="1" si="785"/>
        <v>0</v>
      </c>
      <c r="Z1265" s="348">
        <f t="shared" ca="1" si="786"/>
        <v>8012</v>
      </c>
      <c r="AA1265" s="348">
        <f ca="1">IF(Q1265&lt;&gt;1,0,VLOOKUP(OP!$C$55,PVFB,$S1265+2,0))</f>
        <v>0</v>
      </c>
      <c r="AB1265" s="488" t="str">
        <f ca="1">IF(AND(S1265&lt;OP!$C$24,$U1265&lt;15),0,IF(AND($U1265&lt;15,$T1265=12),ROUND(VLOOKUP($S1265,DOWN16,5,0),3),IF($T1265=12,ROUND(($Z1265/10000)*$AA1265,3)+IF(AND($P$7="購買增額繳清保險",T1265=12,U1265=110),VLOOKUP(S1265,$B$10:$H$121,7,0),0),"")))</f>
        <v/>
      </c>
      <c r="AC1265" s="350" t="str">
        <f ca="1">IF(AND(S1265&lt;OP!$C$24,$U1265&lt;15),0,IF(AND($U1265&lt;16,$T1265=12),VLOOKUP($S1265,DOWN16,4,0),IF($T1265=12,ROUND(VLOOKUP(OP!$C$55,_DIE2,$S1265+1,0)*(Z1265/10000),0)+IF(AND($P$7="購買增額繳清保險",T1265=12,U1265=110),VLOOKUP(S1265,$B$10:$H$121,7,0),0),"")))</f>
        <v/>
      </c>
      <c r="AD1265" s="347"/>
      <c r="AE1265" s="350" t="str">
        <f t="shared" ca="1" si="761"/>
        <v/>
      </c>
      <c r="AF1265" s="351" t="str">
        <f t="shared" ca="1" si="762"/>
        <v/>
      </c>
      <c r="AG1265" s="340"/>
      <c r="AH1265" s="340"/>
      <c r="AI1265" s="340"/>
      <c r="AJ1265" s="340"/>
      <c r="AK1265" s="340"/>
      <c r="AL1265" s="340"/>
      <c r="AM1265" s="340"/>
      <c r="AN1265" s="340"/>
      <c r="AO1265" s="340"/>
      <c r="AP1265" s="340"/>
      <c r="AQ1265" s="340"/>
      <c r="AR1265" s="340"/>
      <c r="AS1265" s="340"/>
      <c r="AT1265" s="340"/>
      <c r="AU1265" s="340"/>
      <c r="AV1265" s="340"/>
      <c r="AY1265" s="340"/>
      <c r="AZ1265" s="465">
        <f t="shared" ca="1" si="772"/>
        <v>7.3698599999999999E-5</v>
      </c>
      <c r="BA1265" s="464">
        <f t="shared" ca="1" si="773"/>
        <v>0</v>
      </c>
      <c r="BB1265" s="465">
        <f t="shared" ca="1" si="773"/>
        <v>7.3698599999999999E-5</v>
      </c>
      <c r="BC1265" s="466">
        <f t="shared" ca="1" si="774"/>
        <v>81117</v>
      </c>
      <c r="BD1265" s="467">
        <f t="shared" ca="1" si="787"/>
        <v>81118</v>
      </c>
      <c r="BE1265" s="467">
        <f t="shared" ca="1" si="775"/>
        <v>81144</v>
      </c>
      <c r="BF1265" s="468">
        <f ca="1">IF(計算!$BC1265&lt;OP!$C$3,0,BD1265-BC1265)</f>
        <v>1</v>
      </c>
      <c r="BG1265" s="468">
        <f ca="1">IF($BE1265&gt;DATE(YEAR($BD$9)+OP!$C$57,MONTH($BD$9),DAY($BD$9)),0,$BE1265-$BD1265+1)</f>
        <v>0</v>
      </c>
      <c r="BH1265" s="469">
        <f t="shared" ca="1" si="776"/>
        <v>1</v>
      </c>
      <c r="BI1265" t="str">
        <f t="shared" si="792"/>
        <v/>
      </c>
      <c r="BJ1265">
        <v>8</v>
      </c>
      <c r="BN1265" s="468">
        <f t="shared" si="788"/>
        <v>105</v>
      </c>
      <c r="BO1265" s="468">
        <f t="shared" si="789"/>
        <v>8</v>
      </c>
      <c r="BP1265" s="467">
        <f t="shared" ca="1" si="777"/>
        <v>81118</v>
      </c>
      <c r="BQ1265" s="475">
        <f t="shared" ca="1" si="791"/>
        <v>137</v>
      </c>
      <c r="BR1265" s="475" t="str">
        <f t="shared" si="790"/>
        <v/>
      </c>
      <c r="BS1265" s="471" t="str">
        <f t="shared" si="778"/>
        <v/>
      </c>
      <c r="BT1265" s="472" t="str">
        <f t="shared" si="793"/>
        <v/>
      </c>
      <c r="BU1265" s="472">
        <f t="shared" ca="1" si="779"/>
        <v>0</v>
      </c>
      <c r="BV1265" s="472">
        <f t="shared" ca="1" si="779"/>
        <v>0</v>
      </c>
      <c r="BW1265" s="472"/>
      <c r="BX1265" s="473">
        <f t="shared" ca="1" si="780"/>
        <v>2821303.1773276902</v>
      </c>
      <c r="BY1265" s="473">
        <f t="shared" si="781"/>
        <v>0</v>
      </c>
      <c r="BZ1265" s="473">
        <f t="shared" ca="1" si="763"/>
        <v>207.926094345</v>
      </c>
      <c r="CA1265" s="476">
        <f t="shared" ca="1" si="782"/>
        <v>0</v>
      </c>
      <c r="CB1265" s="494">
        <f ca="1">IF(OR($Q1264&lt;&gt;1,OP!$D$5+$BN1265-1&lt;16,$BN1265-1&lt;1),0,ROUND(ROUND(ROUND(((VLOOKUP($BN1265-1,MORE_PV,5,0)/10000)*VLOOKUP($BN1265,MORE_PV,$CB$5,0)),3)*VLOOKUP($BN1265,more1,5,0),0)/$R1264,0))</f>
        <v>0</v>
      </c>
      <c r="CC1265" s="473">
        <f t="shared" ca="1" si="783"/>
        <v>0</v>
      </c>
      <c r="CD1265" s="477"/>
    </row>
    <row r="1266" spans="2:82" ht="16.5" hidden="1">
      <c r="B1266" s="80"/>
      <c r="C1266" s="80"/>
      <c r="D1266" s="80"/>
      <c r="E1266" s="80"/>
      <c r="F1266" s="80"/>
      <c r="G1266" s="80"/>
      <c r="H1266" s="80"/>
      <c r="I1266" s="80"/>
      <c r="J1266" s="192">
        <f t="shared" si="764"/>
        <v>105</v>
      </c>
      <c r="K1266" s="192">
        <f t="shared" si="765"/>
        <v>10</v>
      </c>
      <c r="L1266" s="192" t="str">
        <f t="shared" si="760"/>
        <v/>
      </c>
      <c r="M1266" s="216" t="str">
        <f t="shared" ca="1" si="766"/>
        <v/>
      </c>
      <c r="N1266" s="216"/>
      <c r="O1266" s="216"/>
      <c r="P1266" s="216"/>
      <c r="Q1266" s="456">
        <f t="shared" ca="1" si="767"/>
        <v>1</v>
      </c>
      <c r="R1266" s="450">
        <f t="shared" ca="1" si="768"/>
        <v>12</v>
      </c>
      <c r="S1266" s="191">
        <f t="shared" si="769"/>
        <v>105</v>
      </c>
      <c r="T1266" s="191">
        <f t="shared" si="770"/>
        <v>10</v>
      </c>
      <c r="U1266" s="191">
        <f ca="1">OP!$D$5+$S1266-1</f>
        <v>137</v>
      </c>
      <c r="V1266" s="191" t="str">
        <f t="shared" si="771"/>
        <v/>
      </c>
      <c r="W1266" s="350">
        <f ca="1">IF(Q1266&lt;&gt;1,0,VLOOKUP(OP!$C$55,PVFB,$S1266+2,0))</f>
        <v>0</v>
      </c>
      <c r="X1266" s="473" t="str">
        <f t="shared" ca="1" si="784"/>
        <v/>
      </c>
      <c r="Y1266" s="348">
        <f t="shared" ca="1" si="785"/>
        <v>0</v>
      </c>
      <c r="Z1266" s="348">
        <f t="shared" ca="1" si="786"/>
        <v>8012</v>
      </c>
      <c r="AA1266" s="348">
        <f ca="1">IF(Q1266&lt;&gt;1,0,VLOOKUP(OP!$C$55,PVFB,$S1266+2,0))</f>
        <v>0</v>
      </c>
      <c r="AB1266" s="488" t="str">
        <f ca="1">IF(AND(S1266&lt;OP!$C$24,$U1266&lt;15),0,IF(AND($U1266&lt;15,$T1266=12),ROUND(VLOOKUP($S1266,DOWN16,5,0),3),IF($T1266=12,ROUND(($Z1266/10000)*$AA1266,3)+IF(AND($P$7="購買增額繳清保險",T1266=12,U1266=110),VLOOKUP(S1266,$B$10:$H$121,7,0),0),"")))</f>
        <v/>
      </c>
      <c r="AC1266" s="350" t="str">
        <f ca="1">IF(AND(S1266&lt;OP!$C$24,$U1266&lt;15),0,IF(AND($U1266&lt;16,$T1266=12),VLOOKUP($S1266,DOWN16,4,0),IF($T1266=12,ROUND(VLOOKUP(OP!$C$55,_DIE2,$S1266+1,0)*(Z1266/10000),0)+IF(AND($P$7="購買增額繳清保險",T1266=12,U1266=110),VLOOKUP(S1266,$B$10:$H$121,7,0),0),"")))</f>
        <v/>
      </c>
      <c r="AD1266" s="347"/>
      <c r="AE1266" s="350" t="str">
        <f t="shared" ca="1" si="761"/>
        <v/>
      </c>
      <c r="AF1266" s="351" t="str">
        <f t="shared" ca="1" si="762"/>
        <v/>
      </c>
      <c r="AG1266" s="340"/>
      <c r="AH1266" s="340"/>
      <c r="AI1266" s="340"/>
      <c r="AJ1266" s="340"/>
      <c r="AK1266" s="340"/>
      <c r="AL1266" s="340"/>
      <c r="AM1266" s="340"/>
      <c r="AN1266" s="340"/>
      <c r="AO1266" s="340"/>
      <c r="AP1266" s="340"/>
      <c r="AQ1266" s="340"/>
      <c r="AR1266" s="340"/>
      <c r="AS1266" s="340"/>
      <c r="AT1266" s="340"/>
      <c r="AU1266" s="340"/>
      <c r="AV1266" s="340"/>
      <c r="AY1266" s="340"/>
      <c r="AZ1266" s="465">
        <f t="shared" ca="1" si="772"/>
        <v>7.3698599999999999E-5</v>
      </c>
      <c r="BA1266" s="464">
        <f t="shared" ca="1" si="773"/>
        <v>0</v>
      </c>
      <c r="BB1266" s="465">
        <f t="shared" ca="1" si="773"/>
        <v>7.3698599999999999E-5</v>
      </c>
      <c r="BC1266" s="466">
        <f t="shared" ca="1" si="774"/>
        <v>81145</v>
      </c>
      <c r="BD1266" s="467">
        <f t="shared" ca="1" si="787"/>
        <v>81146</v>
      </c>
      <c r="BE1266" s="467">
        <f t="shared" ca="1" si="775"/>
        <v>81175</v>
      </c>
      <c r="BF1266" s="468">
        <f ca="1">IF(計算!$BC1266&lt;OP!$C$3,0,BD1266-BC1266)</f>
        <v>1</v>
      </c>
      <c r="BG1266" s="468">
        <f ca="1">IF($BE1266&gt;DATE(YEAR($BD$9)+OP!$C$57,MONTH($BD$9),DAY($BD$9)),0,$BE1266-$BD1266+1)</f>
        <v>0</v>
      </c>
      <c r="BH1266" s="469">
        <f t="shared" ca="1" si="776"/>
        <v>1</v>
      </c>
      <c r="BI1266" t="str">
        <f t="shared" si="792"/>
        <v/>
      </c>
      <c r="BJ1266">
        <v>9</v>
      </c>
      <c r="BN1266" s="468">
        <f t="shared" si="788"/>
        <v>105</v>
      </c>
      <c r="BO1266" s="468">
        <f t="shared" si="789"/>
        <v>9</v>
      </c>
      <c r="BP1266" s="467">
        <f t="shared" ca="1" si="777"/>
        <v>81146</v>
      </c>
      <c r="BQ1266" s="475">
        <f t="shared" ca="1" si="791"/>
        <v>137</v>
      </c>
      <c r="BR1266" s="475" t="str">
        <f t="shared" si="790"/>
        <v/>
      </c>
      <c r="BS1266" s="471" t="str">
        <f t="shared" si="778"/>
        <v/>
      </c>
      <c r="BT1266" s="472" t="str">
        <f t="shared" si="793"/>
        <v/>
      </c>
      <c r="BU1266" s="472">
        <f t="shared" ca="1" si="779"/>
        <v>0</v>
      </c>
      <c r="BV1266" s="472">
        <f t="shared" ca="1" si="779"/>
        <v>0</v>
      </c>
      <c r="BW1266" s="472"/>
      <c r="BX1266" s="473">
        <f t="shared" ca="1" si="780"/>
        <v>2821511.1034220299</v>
      </c>
      <c r="BY1266" s="473">
        <f t="shared" si="781"/>
        <v>0</v>
      </c>
      <c r="BZ1266" s="473">
        <f t="shared" ca="1" si="763"/>
        <v>207.941418207</v>
      </c>
      <c r="CA1266" s="476">
        <f t="shared" ca="1" si="782"/>
        <v>0</v>
      </c>
      <c r="CB1266" s="494">
        <f ca="1">IF(OR($Q1265&lt;&gt;1,OP!$D$5+$BN1266-1&lt;16,$BN1266-1&lt;1),0,ROUND(ROUND(ROUND(((VLOOKUP($BN1266-1,MORE_PV,5,0)/10000)*VLOOKUP($BN1266,MORE_PV,$CB$5,0)),3)*VLOOKUP($BN1266,more1,5,0),0)/$R1265,0))</f>
        <v>0</v>
      </c>
      <c r="CC1266" s="473">
        <f t="shared" ca="1" si="783"/>
        <v>0</v>
      </c>
      <c r="CD1266" s="477"/>
    </row>
    <row r="1267" spans="2:82" ht="16.5" hidden="1">
      <c r="B1267" s="80"/>
      <c r="C1267" s="80"/>
      <c r="D1267" s="80"/>
      <c r="E1267" s="80"/>
      <c r="F1267" s="80"/>
      <c r="G1267" s="80"/>
      <c r="H1267" s="80"/>
      <c r="I1267" s="80"/>
      <c r="J1267" s="192">
        <f t="shared" si="764"/>
        <v>105</v>
      </c>
      <c r="K1267" s="192">
        <f t="shared" si="765"/>
        <v>11</v>
      </c>
      <c r="L1267" s="192" t="str">
        <f t="shared" si="760"/>
        <v/>
      </c>
      <c r="M1267" s="216" t="str">
        <f t="shared" ca="1" si="766"/>
        <v/>
      </c>
      <c r="N1267" s="216"/>
      <c r="O1267" s="216"/>
      <c r="P1267" s="216"/>
      <c r="Q1267" s="456">
        <f t="shared" ca="1" si="767"/>
        <v>1</v>
      </c>
      <c r="R1267" s="450">
        <f t="shared" ca="1" si="768"/>
        <v>12</v>
      </c>
      <c r="S1267" s="191">
        <f t="shared" si="769"/>
        <v>105</v>
      </c>
      <c r="T1267" s="191">
        <f t="shared" si="770"/>
        <v>11</v>
      </c>
      <c r="U1267" s="191">
        <f ca="1">OP!$D$5+$S1267-1</f>
        <v>137</v>
      </c>
      <c r="V1267" s="191" t="str">
        <f t="shared" si="771"/>
        <v/>
      </c>
      <c r="W1267" s="350">
        <f ca="1">IF(Q1267&lt;&gt;1,0,VLOOKUP(OP!$C$55,PVFB,$S1267+2,0))</f>
        <v>0</v>
      </c>
      <c r="X1267" s="473" t="str">
        <f t="shared" ca="1" si="784"/>
        <v/>
      </c>
      <c r="Y1267" s="348">
        <f t="shared" ca="1" si="785"/>
        <v>0</v>
      </c>
      <c r="Z1267" s="348">
        <f t="shared" ca="1" si="786"/>
        <v>8012</v>
      </c>
      <c r="AA1267" s="348">
        <f ca="1">IF(Q1267&lt;&gt;1,0,VLOOKUP(OP!$C$55,PVFB,$S1267+2,0))</f>
        <v>0</v>
      </c>
      <c r="AB1267" s="488" t="str">
        <f ca="1">IF(AND(S1267&lt;OP!$C$24,$U1267&lt;15),0,IF(AND($U1267&lt;15,$T1267=12),ROUND(VLOOKUP($S1267,DOWN16,5,0),3),IF($T1267=12,ROUND(($Z1267/10000)*$AA1267,3)+IF(AND($P$7="購買增額繳清保險",T1267=12,U1267=110),VLOOKUP(S1267,$B$10:$H$121,7,0),0),"")))</f>
        <v/>
      </c>
      <c r="AC1267" s="350" t="str">
        <f ca="1">IF(AND(S1267&lt;OP!$C$24,$U1267&lt;15),0,IF(AND($U1267&lt;16,$T1267=12),VLOOKUP($S1267,DOWN16,4,0),IF($T1267=12,ROUND(VLOOKUP(OP!$C$55,_DIE2,$S1267+1,0)*(Z1267/10000),0)+IF(AND($P$7="購買增額繳清保險",T1267=12,U1267=110),VLOOKUP(S1267,$B$10:$H$121,7,0),0),"")))</f>
        <v/>
      </c>
      <c r="AD1267" s="347"/>
      <c r="AE1267" s="350" t="str">
        <f t="shared" ca="1" si="761"/>
        <v/>
      </c>
      <c r="AF1267" s="351" t="str">
        <f t="shared" ca="1" si="762"/>
        <v/>
      </c>
      <c r="AG1267" s="340"/>
      <c r="AH1267" s="340"/>
      <c r="AI1267" s="340"/>
      <c r="AJ1267" s="340"/>
      <c r="AK1267" s="340"/>
      <c r="AL1267" s="340"/>
      <c r="AM1267" s="340"/>
      <c r="AN1267" s="340"/>
      <c r="AO1267" s="340"/>
      <c r="AP1267" s="340"/>
      <c r="AQ1267" s="340"/>
      <c r="AR1267" s="340"/>
      <c r="AS1267" s="340"/>
      <c r="AT1267" s="340"/>
      <c r="AU1267" s="340"/>
      <c r="AV1267" s="340"/>
      <c r="AY1267" s="340"/>
      <c r="AZ1267" s="465">
        <f t="shared" ca="1" si="772"/>
        <v>7.3698599999999999E-5</v>
      </c>
      <c r="BA1267" s="464">
        <f t="shared" ca="1" si="773"/>
        <v>0</v>
      </c>
      <c r="BB1267" s="465">
        <f t="shared" ca="1" si="773"/>
        <v>7.3698599999999999E-5</v>
      </c>
      <c r="BC1267" s="466">
        <f t="shared" ca="1" si="774"/>
        <v>81176</v>
      </c>
      <c r="BD1267" s="467">
        <f t="shared" ca="1" si="787"/>
        <v>81177</v>
      </c>
      <c r="BE1267" s="467">
        <f t="shared" ca="1" si="775"/>
        <v>81205</v>
      </c>
      <c r="BF1267" s="468">
        <f ca="1">IF(計算!$BC1267&lt;OP!$C$3,0,BD1267-BC1267)</f>
        <v>1</v>
      </c>
      <c r="BG1267" s="468">
        <f ca="1">IF($BE1267&gt;DATE(YEAR($BD$9)+OP!$C$57,MONTH($BD$9),DAY($BD$9)),0,$BE1267-$BD1267+1)</f>
        <v>0</v>
      </c>
      <c r="BH1267" s="469">
        <f t="shared" ca="1" si="776"/>
        <v>1</v>
      </c>
      <c r="BI1267" t="str">
        <f t="shared" si="792"/>
        <v/>
      </c>
      <c r="BJ1267">
        <v>10</v>
      </c>
      <c r="BN1267" s="468">
        <f t="shared" si="788"/>
        <v>105</v>
      </c>
      <c r="BO1267" s="468">
        <f t="shared" si="789"/>
        <v>10</v>
      </c>
      <c r="BP1267" s="467">
        <f t="shared" ca="1" si="777"/>
        <v>81177</v>
      </c>
      <c r="BQ1267" s="475">
        <f t="shared" ca="1" si="791"/>
        <v>137</v>
      </c>
      <c r="BR1267" s="475" t="str">
        <f t="shared" si="790"/>
        <v/>
      </c>
      <c r="BS1267" s="471" t="str">
        <f t="shared" si="778"/>
        <v/>
      </c>
      <c r="BT1267" s="472" t="str">
        <f t="shared" si="793"/>
        <v/>
      </c>
      <c r="BU1267" s="472">
        <f t="shared" ca="1" si="779"/>
        <v>0</v>
      </c>
      <c r="BV1267" s="472">
        <f t="shared" ca="1" si="779"/>
        <v>0</v>
      </c>
      <c r="BW1267" s="472"/>
      <c r="BX1267" s="473">
        <f t="shared" ca="1" si="780"/>
        <v>2821719.0448402399</v>
      </c>
      <c r="BY1267" s="473">
        <f t="shared" si="781"/>
        <v>0</v>
      </c>
      <c r="BZ1267" s="473">
        <f t="shared" ca="1" si="763"/>
        <v>207.956743198</v>
      </c>
      <c r="CA1267" s="476">
        <f t="shared" ca="1" si="782"/>
        <v>0</v>
      </c>
      <c r="CB1267" s="494">
        <f ca="1">IF(OR($Q1266&lt;&gt;1,OP!$D$5+$BN1267-1&lt;16,$BN1267-1&lt;1),0,ROUND(ROUND(ROUND(((VLOOKUP($BN1267-1,MORE_PV,5,0)/10000)*VLOOKUP($BN1267,MORE_PV,$CB$5,0)),3)*VLOOKUP($BN1267,more1,5,0),0)/$R1266,0))</f>
        <v>0</v>
      </c>
      <c r="CC1267" s="473">
        <f t="shared" ca="1" si="783"/>
        <v>0</v>
      </c>
      <c r="CD1267" s="477"/>
    </row>
    <row r="1268" spans="2:82" ht="16.5" hidden="1">
      <c r="B1268" s="80"/>
      <c r="C1268" s="80"/>
      <c r="D1268" s="80"/>
      <c r="E1268" s="80"/>
      <c r="F1268" s="80"/>
      <c r="G1268" s="80"/>
      <c r="H1268" s="80"/>
      <c r="I1268" s="80"/>
      <c r="J1268" s="192">
        <f t="shared" si="764"/>
        <v>105</v>
      </c>
      <c r="K1268" s="192">
        <f t="shared" si="765"/>
        <v>12</v>
      </c>
      <c r="L1268" s="192">
        <f t="shared" si="760"/>
        <v>105</v>
      </c>
      <c r="M1268" s="216">
        <f t="shared" ca="1" si="766"/>
        <v>2822342</v>
      </c>
      <c r="N1268" s="216"/>
      <c r="O1268" s="216"/>
      <c r="P1268" s="216"/>
      <c r="Q1268" s="456">
        <f t="shared" ca="1" si="767"/>
        <v>1</v>
      </c>
      <c r="R1268" s="450">
        <f t="shared" ca="1" si="768"/>
        <v>12</v>
      </c>
      <c r="S1268" s="191">
        <f t="shared" si="769"/>
        <v>105</v>
      </c>
      <c r="T1268" s="191">
        <f t="shared" si="770"/>
        <v>12</v>
      </c>
      <c r="U1268" s="191">
        <f ca="1">OP!$D$5+$S1268-1</f>
        <v>137</v>
      </c>
      <c r="V1268" s="191">
        <f t="shared" si="771"/>
        <v>105</v>
      </c>
      <c r="W1268" s="350">
        <f ca="1">IF(Q1268&lt;&gt;1,0,VLOOKUP(OP!$C$55,PVFB,$S1268+2,0))</f>
        <v>0</v>
      </c>
      <c r="X1268" s="473">
        <f t="shared" ca="1" si="784"/>
        <v>0</v>
      </c>
      <c r="Y1268" s="348">
        <f t="shared" ca="1" si="785"/>
        <v>0</v>
      </c>
      <c r="Z1268" s="348">
        <f t="shared" ca="1" si="786"/>
        <v>8012</v>
      </c>
      <c r="AA1268" s="348">
        <f ca="1">IF(Q1268&lt;&gt;1,0,VLOOKUP(OP!$C$55,PVFB,$S1268+2,0))</f>
        <v>0</v>
      </c>
      <c r="AB1268" s="488">
        <f ca="1">IF(AND(S1268&lt;OP!$C$24,$U1268&lt;15),0,IF(AND($U1268&lt;15,$T1268=12),ROUND(VLOOKUP($S1268,DOWN16,5,0),3),IF($T1268=12,ROUND(($Z1268/10000)*$AA1268,3)+IF(AND($P$7="購買增額繳清保險",T1268=12,U1268=110),VLOOKUP(S1268,$B$10:$H$121,7,0),0),"")))</f>
        <v>0</v>
      </c>
      <c r="AC1268" s="350">
        <f ca="1">IF(AND(S1268&lt;OP!$C$24,$U1268&lt;15),0,IF(AND($U1268&lt;16,$T1268=12),VLOOKUP($S1268,DOWN16,4,0),IF($T1268=12,ROUND(VLOOKUP(OP!$C$55,_DIE2,$S1268+1,0)*(Z1268/10000),0)+IF(AND($P$7="購買增額繳清保險",T1268=12,U1268=110),VLOOKUP(S1268,$B$10:$H$121,7,0),0),"")))</f>
        <v>0</v>
      </c>
      <c r="AD1268" s="347"/>
      <c r="AE1268" s="350" t="str">
        <f t="shared" ca="1" si="761"/>
        <v/>
      </c>
      <c r="AF1268" s="351" t="str">
        <f t="shared" ca="1" si="762"/>
        <v/>
      </c>
      <c r="AG1268" s="340"/>
      <c r="AH1268" s="340"/>
      <c r="AI1268" s="340"/>
      <c r="AJ1268" s="340"/>
      <c r="AK1268" s="340"/>
      <c r="AL1268" s="340"/>
      <c r="AM1268" s="340"/>
      <c r="AN1268" s="340"/>
      <c r="AO1268" s="340"/>
      <c r="AP1268" s="340"/>
      <c r="AQ1268" s="340"/>
      <c r="AR1268" s="340"/>
      <c r="AS1268" s="340"/>
      <c r="AT1268" s="340"/>
      <c r="AU1268" s="340"/>
      <c r="AV1268" s="340"/>
      <c r="AY1268" s="340"/>
      <c r="AZ1268" s="465">
        <f t="shared" ca="1" si="772"/>
        <v>7.3698599999999999E-5</v>
      </c>
      <c r="BA1268" s="464">
        <f t="shared" ca="1" si="773"/>
        <v>0</v>
      </c>
      <c r="BB1268" s="465">
        <f t="shared" ca="1" si="773"/>
        <v>7.3698599999999999E-5</v>
      </c>
      <c r="BC1268" s="466">
        <f t="shared" ca="1" si="774"/>
        <v>81206</v>
      </c>
      <c r="BD1268" s="467">
        <f t="shared" ca="1" si="787"/>
        <v>81207</v>
      </c>
      <c r="BE1268" s="467">
        <f t="shared" ca="1" si="775"/>
        <v>81236</v>
      </c>
      <c r="BF1268" s="468">
        <f ca="1">IF(計算!$BC1268&lt;OP!$C$3,0,BD1268-BC1268)</f>
        <v>1</v>
      </c>
      <c r="BG1268" s="468">
        <f ca="1">IF($BE1268&gt;DATE(YEAR($BD$9)+OP!$C$57,MONTH($BD$9),DAY($BD$9)),0,$BE1268-$BD1268+1)</f>
        <v>0</v>
      </c>
      <c r="BH1268" s="469">
        <f t="shared" ca="1" si="776"/>
        <v>1</v>
      </c>
      <c r="BI1268" t="str">
        <f t="shared" si="792"/>
        <v/>
      </c>
      <c r="BJ1268">
        <v>11</v>
      </c>
      <c r="BN1268" s="468">
        <f t="shared" si="788"/>
        <v>105</v>
      </c>
      <c r="BO1268" s="468">
        <f t="shared" si="789"/>
        <v>11</v>
      </c>
      <c r="BP1268" s="467">
        <f t="shared" ca="1" si="777"/>
        <v>81207</v>
      </c>
      <c r="BQ1268" s="475">
        <f t="shared" ca="1" si="791"/>
        <v>137</v>
      </c>
      <c r="BR1268" s="475" t="str">
        <f t="shared" si="790"/>
        <v/>
      </c>
      <c r="BS1268" s="471" t="str">
        <f t="shared" si="778"/>
        <v/>
      </c>
      <c r="BT1268" s="472" t="str">
        <f t="shared" si="793"/>
        <v/>
      </c>
      <c r="BU1268" s="472">
        <f t="shared" ca="1" si="779"/>
        <v>0</v>
      </c>
      <c r="BV1268" s="472">
        <f t="shared" ca="1" si="779"/>
        <v>0</v>
      </c>
      <c r="BW1268" s="472"/>
      <c r="BX1268" s="473">
        <f t="shared" ca="1" si="780"/>
        <v>2821927.0015834402</v>
      </c>
      <c r="BY1268" s="473">
        <f t="shared" si="781"/>
        <v>0</v>
      </c>
      <c r="BZ1268" s="473">
        <f t="shared" ca="1" si="763"/>
        <v>207.97206931900001</v>
      </c>
      <c r="CA1268" s="476">
        <f t="shared" ca="1" si="782"/>
        <v>0</v>
      </c>
      <c r="CB1268" s="494">
        <f ca="1">IF(OR($Q1267&lt;&gt;1,OP!$D$5+$BN1268-1&lt;16,$BN1268-1&lt;1),0,ROUND(ROUND(ROUND(((VLOOKUP($BN1268-1,MORE_PV,5,0)/10000)*VLOOKUP($BN1268,MORE_PV,$CB$5,0)),3)*VLOOKUP($BN1268,more1,5,0),0)/$R1267,0))</f>
        <v>0</v>
      </c>
      <c r="CC1268" s="473">
        <f t="shared" ca="1" si="783"/>
        <v>0</v>
      </c>
      <c r="CD1268" s="477"/>
    </row>
    <row r="1269" spans="2:82" ht="16.5" hidden="1">
      <c r="B1269" s="80"/>
      <c r="C1269" s="80"/>
      <c r="D1269" s="80"/>
      <c r="E1269" s="80"/>
      <c r="F1269" s="80"/>
      <c r="G1269" s="80"/>
      <c r="H1269" s="80"/>
      <c r="I1269" s="80"/>
      <c r="J1269" s="192">
        <f t="shared" si="764"/>
        <v>106</v>
      </c>
      <c r="K1269" s="192">
        <f t="shared" si="765"/>
        <v>1</v>
      </c>
      <c r="L1269" s="192" t="str">
        <f t="shared" si="760"/>
        <v/>
      </c>
      <c r="M1269" s="216" t="str">
        <f t="shared" ca="1" si="766"/>
        <v/>
      </c>
      <c r="N1269" s="216"/>
      <c r="O1269" s="216"/>
      <c r="P1269" s="216"/>
      <c r="Q1269" s="456">
        <f t="shared" ca="1" si="767"/>
        <v>1</v>
      </c>
      <c r="R1269" s="450">
        <f t="shared" ca="1" si="768"/>
        <v>12</v>
      </c>
      <c r="S1269" s="191">
        <f t="shared" si="769"/>
        <v>106</v>
      </c>
      <c r="T1269" s="191">
        <f t="shared" si="770"/>
        <v>1</v>
      </c>
      <c r="U1269" s="191">
        <f ca="1">OP!$D$5+$S1269-1</f>
        <v>138</v>
      </c>
      <c r="V1269" s="191" t="str">
        <f t="shared" si="771"/>
        <v/>
      </c>
      <c r="W1269" s="350">
        <f ca="1">IF(Q1269&lt;&gt;1,0,VLOOKUP(OP!$C$55,PVFB,$S1269+2,0))</f>
        <v>0</v>
      </c>
      <c r="X1269" s="473" t="str">
        <f t="shared" ca="1" si="784"/>
        <v/>
      </c>
      <c r="Y1269" s="348">
        <f t="shared" ca="1" si="785"/>
        <v>0</v>
      </c>
      <c r="Z1269" s="348">
        <f t="shared" ca="1" si="786"/>
        <v>8012</v>
      </c>
      <c r="AA1269" s="348">
        <f ca="1">IF(Q1269&lt;&gt;1,0,VLOOKUP(OP!$C$55,PVFB,$S1269+2,0))</f>
        <v>0</v>
      </c>
      <c r="AB1269" s="488" t="str">
        <f ca="1">IF(AND(S1269&lt;OP!$C$24,$U1269&lt;15),0,IF(AND($U1269&lt;15,$T1269=12),ROUND(VLOOKUP($S1269,DOWN16,5,0),3),IF($T1269=12,ROUND(($Z1269/10000)*$AA1269,3)+IF(AND($P$7="購買增額繳清保險",T1269=12,U1269=110),VLOOKUP(S1269,$B$10:$H$121,7,0),0),"")))</f>
        <v/>
      </c>
      <c r="AC1269" s="350" t="str">
        <f ca="1">IF(AND(S1269&lt;OP!$C$24,$U1269&lt;15),0,IF(AND($U1269&lt;16,$T1269=12),VLOOKUP($S1269,DOWN16,4,0),IF($T1269=12,ROUND(VLOOKUP(OP!$C$55,_DIE2,$S1269+1,0)*(Z1269/10000),0)+IF(AND($P$7="購買增額繳清保險",T1269=12,U1269=110),VLOOKUP(S1269,$B$10:$H$121,7,0),0),"")))</f>
        <v/>
      </c>
      <c r="AD1269" s="347"/>
      <c r="AE1269" s="350" t="str">
        <f t="shared" ca="1" si="761"/>
        <v/>
      </c>
      <c r="AF1269" s="351" t="str">
        <f t="shared" ca="1" si="762"/>
        <v/>
      </c>
      <c r="AG1269" s="340"/>
      <c r="AH1269" s="340"/>
      <c r="AI1269" s="340"/>
      <c r="AJ1269" s="340"/>
      <c r="AK1269" s="340"/>
      <c r="AL1269" s="340"/>
      <c r="AM1269" s="340"/>
      <c r="AN1269" s="340"/>
      <c r="AO1269" s="340"/>
      <c r="AP1269" s="340"/>
      <c r="AQ1269" s="340"/>
      <c r="AR1269" s="340"/>
      <c r="AS1269" s="340"/>
      <c r="AT1269" s="340"/>
      <c r="AU1269" s="340"/>
      <c r="AV1269" s="340"/>
      <c r="AY1269" s="340"/>
      <c r="AZ1269" s="465">
        <f t="shared" ca="1" si="772"/>
        <v>7.3698599999999999E-5</v>
      </c>
      <c r="BA1269" s="464">
        <f t="shared" ca="1" si="773"/>
        <v>0</v>
      </c>
      <c r="BB1269" s="465">
        <f t="shared" ca="1" si="773"/>
        <v>7.3698599999999999E-5</v>
      </c>
      <c r="BC1269" s="466">
        <f t="shared" ca="1" si="774"/>
        <v>81237</v>
      </c>
      <c r="BD1269" s="467">
        <f t="shared" ca="1" si="787"/>
        <v>81238</v>
      </c>
      <c r="BE1269" s="467">
        <f t="shared" ca="1" si="775"/>
        <v>81266</v>
      </c>
      <c r="BF1269" s="468">
        <f ca="1">IF(計算!$BC1269&lt;OP!$C$3,0,BD1269-BC1269)</f>
        <v>1</v>
      </c>
      <c r="BG1269" s="468">
        <f ca="1">IF($BE1269&gt;DATE(YEAR($BD$9)+OP!$C$57,MONTH($BD$9),DAY($BD$9)),0,$BE1269-$BD1269+1)</f>
        <v>0</v>
      </c>
      <c r="BH1269" s="469">
        <f t="shared" ca="1" si="776"/>
        <v>1</v>
      </c>
      <c r="BI1269">
        <f t="shared" ca="1" si="792"/>
        <v>365</v>
      </c>
      <c r="BJ1269">
        <v>12</v>
      </c>
      <c r="BN1269" s="468">
        <f t="shared" si="788"/>
        <v>105</v>
      </c>
      <c r="BO1269" s="468">
        <f t="shared" si="789"/>
        <v>12</v>
      </c>
      <c r="BP1269" s="467">
        <f t="shared" ca="1" si="777"/>
        <v>81238</v>
      </c>
      <c r="BQ1269" s="475">
        <f t="shared" ca="1" si="791"/>
        <v>137</v>
      </c>
      <c r="BR1269" s="475">
        <f t="shared" si="790"/>
        <v>105</v>
      </c>
      <c r="BS1269" s="471">
        <f t="shared" ca="1" si="778"/>
        <v>0</v>
      </c>
      <c r="BT1269" s="472">
        <f t="shared" ca="1" si="793"/>
        <v>2822342</v>
      </c>
      <c r="BU1269" s="472">
        <f t="shared" ca="1" si="779"/>
        <v>0</v>
      </c>
      <c r="BV1269" s="472">
        <f t="shared" ca="1" si="779"/>
        <v>0</v>
      </c>
      <c r="BW1269" s="472">
        <f ca="1">ROUND(SUM(BY1269,BZ1257:BZ1268),0)</f>
        <v>2495</v>
      </c>
      <c r="BX1269" s="473">
        <f t="shared" ca="1" si="780"/>
        <v>2822342.96104933</v>
      </c>
      <c r="BY1269" s="473">
        <f t="shared" ca="1" si="781"/>
        <v>207.987396569</v>
      </c>
      <c r="BZ1269" s="473">
        <f t="shared" ca="1" si="763"/>
        <v>0</v>
      </c>
      <c r="CA1269" s="476">
        <f t="shared" ca="1" si="782"/>
        <v>0</v>
      </c>
      <c r="CB1269" s="494">
        <f ca="1">IF(OR($Q1268&lt;&gt;1,OP!$D$5+$BN1269-1&lt;16,$BN1269-1&lt;1),0,ROUND(ROUND(ROUND(((VLOOKUP($BN1269-1,MORE_PV,5,0)/10000)*VLOOKUP($BN1269,MORE_PV,$CB$5,0)),3)*VLOOKUP($BN1269,more1,5,0),0)/$R1268,0))</f>
        <v>0</v>
      </c>
      <c r="CC1269" s="473">
        <f t="shared" ca="1" si="783"/>
        <v>0</v>
      </c>
      <c r="CD1269" s="477"/>
    </row>
    <row r="1270" spans="2:82" ht="16.5" hidden="1">
      <c r="B1270" s="80"/>
      <c r="C1270" s="80"/>
      <c r="D1270" s="80"/>
      <c r="E1270" s="80"/>
      <c r="F1270" s="80"/>
      <c r="G1270" s="80"/>
      <c r="H1270" s="80"/>
      <c r="I1270" s="80"/>
      <c r="J1270" s="192">
        <f t="shared" si="764"/>
        <v>106</v>
      </c>
      <c r="K1270" s="192">
        <f t="shared" si="765"/>
        <v>2</v>
      </c>
      <c r="L1270" s="192" t="str">
        <f t="shared" si="760"/>
        <v/>
      </c>
      <c r="M1270" s="216" t="str">
        <f t="shared" ca="1" si="766"/>
        <v/>
      </c>
      <c r="N1270" s="216"/>
      <c r="O1270" s="216"/>
      <c r="P1270" s="216"/>
      <c r="Q1270" s="456">
        <f t="shared" ca="1" si="767"/>
        <v>1</v>
      </c>
      <c r="R1270" s="450">
        <f t="shared" ca="1" si="768"/>
        <v>12</v>
      </c>
      <c r="S1270" s="191">
        <f t="shared" si="769"/>
        <v>106</v>
      </c>
      <c r="T1270" s="191">
        <f t="shared" si="770"/>
        <v>2</v>
      </c>
      <c r="U1270" s="191">
        <f ca="1">OP!$D$5+$S1270-1</f>
        <v>138</v>
      </c>
      <c r="V1270" s="191" t="str">
        <f t="shared" si="771"/>
        <v/>
      </c>
      <c r="W1270" s="350">
        <f ca="1">IF(Q1270&lt;&gt;1,0,VLOOKUP(OP!$C$55,PVFB,$S1270+2,0))</f>
        <v>0</v>
      </c>
      <c r="X1270" s="473" t="str">
        <f t="shared" ca="1" si="784"/>
        <v/>
      </c>
      <c r="Y1270" s="348">
        <f t="shared" ca="1" si="785"/>
        <v>0</v>
      </c>
      <c r="Z1270" s="348">
        <f t="shared" ca="1" si="786"/>
        <v>8012</v>
      </c>
      <c r="AA1270" s="348">
        <f ca="1">IF(Q1270&lt;&gt;1,0,VLOOKUP(OP!$C$55,PVFB,$S1270+2,0))</f>
        <v>0</v>
      </c>
      <c r="AB1270" s="488" t="str">
        <f ca="1">IF(AND(S1270&lt;OP!$C$24,$U1270&lt;15),0,IF(AND($U1270&lt;15,$T1270=12),ROUND(VLOOKUP($S1270,DOWN16,5,0),3),IF($T1270=12,ROUND(($Z1270/10000)*$AA1270,3)+IF(AND($P$7="購買增額繳清保險",T1270=12,U1270=110),VLOOKUP(S1270,$B$10:$H$121,7,0),0),"")))</f>
        <v/>
      </c>
      <c r="AC1270" s="350" t="str">
        <f ca="1">IF(AND(S1270&lt;OP!$C$24,$U1270&lt;15),0,IF(AND($U1270&lt;16,$T1270=12),VLOOKUP($S1270,DOWN16,4,0),IF($T1270=12,ROUND(VLOOKUP(OP!$C$55,_DIE2,$S1270+1,0)*(Z1270/10000),0)+IF(AND($P$7="購買增額繳清保險",T1270=12,U1270=110),VLOOKUP(S1270,$B$10:$H$121,7,0),0),"")))</f>
        <v/>
      </c>
      <c r="AD1270" s="347"/>
      <c r="AE1270" s="350" t="str">
        <f t="shared" ca="1" si="761"/>
        <v/>
      </c>
      <c r="AF1270" s="351" t="str">
        <f t="shared" ca="1" si="762"/>
        <v/>
      </c>
      <c r="AG1270" s="340"/>
      <c r="AH1270" s="340"/>
      <c r="AI1270" s="340"/>
      <c r="AJ1270" s="340"/>
      <c r="AK1270" s="340"/>
      <c r="AL1270" s="340"/>
      <c r="AM1270" s="340"/>
      <c r="AN1270" s="340"/>
      <c r="AO1270" s="340"/>
      <c r="AP1270" s="340"/>
      <c r="AQ1270" s="340"/>
      <c r="AR1270" s="340"/>
      <c r="AS1270" s="340"/>
      <c r="AT1270" s="340"/>
      <c r="AU1270" s="340"/>
      <c r="AV1270" s="340"/>
      <c r="AY1270" s="340"/>
      <c r="AZ1270" s="465">
        <f t="shared" ca="1" si="772"/>
        <v>7.3698599999999999E-5</v>
      </c>
      <c r="BA1270" s="464">
        <f t="shared" ca="1" si="773"/>
        <v>0</v>
      </c>
      <c r="BB1270" s="465">
        <f t="shared" ca="1" si="773"/>
        <v>7.3698599999999999E-5</v>
      </c>
      <c r="BC1270" s="466">
        <f t="shared" ca="1" si="774"/>
        <v>81267</v>
      </c>
      <c r="BD1270" s="467">
        <f t="shared" ca="1" si="787"/>
        <v>81268</v>
      </c>
      <c r="BE1270" s="467">
        <f t="shared" ca="1" si="775"/>
        <v>81297</v>
      </c>
      <c r="BF1270" s="468">
        <f ca="1">IF(計算!$BC1270&lt;OP!$C$3,0,BD1270-BC1270)</f>
        <v>1</v>
      </c>
      <c r="BG1270" s="468">
        <f ca="1">IF($BE1270&gt;DATE(YEAR($BD$9)+OP!$C$57,MONTH($BD$9),DAY($BD$9)),0,$BE1270-$BD1270+1)</f>
        <v>0</v>
      </c>
      <c r="BH1270" s="469">
        <f t="shared" ca="1" si="776"/>
        <v>1</v>
      </c>
      <c r="BI1270" t="str">
        <f t="shared" si="792"/>
        <v/>
      </c>
      <c r="BJ1270">
        <v>1</v>
      </c>
      <c r="BN1270" s="468">
        <f t="shared" si="788"/>
        <v>106</v>
      </c>
      <c r="BO1270" s="468">
        <f t="shared" si="789"/>
        <v>1</v>
      </c>
      <c r="BP1270" s="467">
        <f t="shared" ca="1" si="777"/>
        <v>81268</v>
      </c>
      <c r="BQ1270" s="475">
        <f t="shared" ca="1" si="791"/>
        <v>138</v>
      </c>
      <c r="BR1270" s="475" t="str">
        <f t="shared" si="790"/>
        <v/>
      </c>
      <c r="BS1270" s="471" t="str">
        <f t="shared" si="778"/>
        <v/>
      </c>
      <c r="BT1270" s="472" t="str">
        <f t="shared" si="793"/>
        <v/>
      </c>
      <c r="BU1270" s="472">
        <f t="shared" ca="1" si="779"/>
        <v>0</v>
      </c>
      <c r="BV1270" s="472">
        <f t="shared" ca="1" si="779"/>
        <v>0</v>
      </c>
      <c r="BW1270" s="472"/>
      <c r="BX1270" s="473">
        <f t="shared" ca="1" si="780"/>
        <v>2822342.96104933</v>
      </c>
      <c r="BY1270" s="473">
        <f t="shared" si="781"/>
        <v>0</v>
      </c>
      <c r="BZ1270" s="473">
        <f t="shared" ca="1" si="763"/>
        <v>208.002724949</v>
      </c>
      <c r="CA1270" s="476">
        <f t="shared" ca="1" si="782"/>
        <v>0</v>
      </c>
      <c r="CB1270" s="494">
        <f ca="1">IF(OR($Q1269&lt;&gt;1,OP!$D$5+$BN1270-1&lt;16,$BN1270-1&lt;1),0,ROUND(ROUND(ROUND(((VLOOKUP($BN1270-1,MORE_PV,5,0)/10000)*VLOOKUP($BN1270,MORE_PV,$CB$5,0)),3)*VLOOKUP($BN1270,more1,5,0),0)/$R1269,0))</f>
        <v>0</v>
      </c>
      <c r="CC1270" s="473">
        <f t="shared" ca="1" si="783"/>
        <v>0</v>
      </c>
      <c r="CD1270" s="477"/>
    </row>
    <row r="1271" spans="2:82" ht="16.5" hidden="1">
      <c r="B1271" s="80"/>
      <c r="C1271" s="80"/>
      <c r="D1271" s="80"/>
      <c r="E1271" s="80"/>
      <c r="F1271" s="80"/>
      <c r="G1271" s="80"/>
      <c r="H1271" s="80"/>
      <c r="I1271" s="80"/>
      <c r="J1271" s="192">
        <f t="shared" si="764"/>
        <v>106</v>
      </c>
      <c r="K1271" s="192">
        <f t="shared" si="765"/>
        <v>3</v>
      </c>
      <c r="L1271" s="192" t="str">
        <f t="shared" si="760"/>
        <v/>
      </c>
      <c r="M1271" s="216" t="str">
        <f t="shared" ca="1" si="766"/>
        <v/>
      </c>
      <c r="N1271" s="216"/>
      <c r="O1271" s="216"/>
      <c r="P1271" s="216"/>
      <c r="Q1271" s="456">
        <f t="shared" ca="1" si="767"/>
        <v>1</v>
      </c>
      <c r="R1271" s="450">
        <f t="shared" ca="1" si="768"/>
        <v>12</v>
      </c>
      <c r="S1271" s="191">
        <f t="shared" si="769"/>
        <v>106</v>
      </c>
      <c r="T1271" s="191">
        <f t="shared" si="770"/>
        <v>3</v>
      </c>
      <c r="U1271" s="191">
        <f ca="1">OP!$D$5+$S1271-1</f>
        <v>138</v>
      </c>
      <c r="V1271" s="191" t="str">
        <f t="shared" si="771"/>
        <v/>
      </c>
      <c r="W1271" s="350">
        <f ca="1">IF(Q1271&lt;&gt;1,0,VLOOKUP(OP!$C$55,PVFB,$S1271+2,0))</f>
        <v>0</v>
      </c>
      <c r="X1271" s="473" t="str">
        <f t="shared" ca="1" si="784"/>
        <v/>
      </c>
      <c r="Y1271" s="348">
        <f t="shared" ca="1" si="785"/>
        <v>0</v>
      </c>
      <c r="Z1271" s="348">
        <f t="shared" ca="1" si="786"/>
        <v>8012</v>
      </c>
      <c r="AA1271" s="348">
        <f ca="1">IF(Q1271&lt;&gt;1,0,VLOOKUP(OP!$C$55,PVFB,$S1271+2,0))</f>
        <v>0</v>
      </c>
      <c r="AB1271" s="488" t="str">
        <f ca="1">IF(AND(S1271&lt;OP!$C$24,$U1271&lt;15),0,IF(AND($U1271&lt;15,$T1271=12),ROUND(VLOOKUP($S1271,DOWN16,5,0),3),IF($T1271=12,ROUND(($Z1271/10000)*$AA1271,3)+IF(AND($P$7="購買增額繳清保險",T1271=12,U1271=110),VLOOKUP(S1271,$B$10:$H$121,7,0),0),"")))</f>
        <v/>
      </c>
      <c r="AC1271" s="350" t="str">
        <f ca="1">IF(AND(S1271&lt;OP!$C$24,$U1271&lt;15),0,IF(AND($U1271&lt;16,$T1271=12),VLOOKUP($S1271,DOWN16,4,0),IF($T1271=12,ROUND(VLOOKUP(OP!$C$55,_DIE2,$S1271+1,0)*(Z1271/10000),0)+IF(AND($P$7="購買增額繳清保險",T1271=12,U1271=110),VLOOKUP(S1271,$B$10:$H$121,7,0),0),"")))</f>
        <v/>
      </c>
      <c r="AD1271" s="347"/>
      <c r="AE1271" s="350" t="str">
        <f t="shared" ca="1" si="761"/>
        <v/>
      </c>
      <c r="AF1271" s="351" t="str">
        <f t="shared" ca="1" si="762"/>
        <v/>
      </c>
      <c r="AG1271" s="340"/>
      <c r="AH1271" s="340"/>
      <c r="AI1271" s="340"/>
      <c r="AJ1271" s="340"/>
      <c r="AK1271" s="340"/>
      <c r="AL1271" s="340"/>
      <c r="AM1271" s="340"/>
      <c r="AN1271" s="340"/>
      <c r="AO1271" s="340"/>
      <c r="AP1271" s="340"/>
      <c r="AQ1271" s="340"/>
      <c r="AR1271" s="340"/>
      <c r="AS1271" s="340"/>
      <c r="AT1271" s="340"/>
      <c r="AU1271" s="340"/>
      <c r="AV1271" s="340"/>
      <c r="AY1271" s="340"/>
      <c r="AZ1271" s="465">
        <f t="shared" ca="1" si="772"/>
        <v>7.3698599999999999E-5</v>
      </c>
      <c r="BA1271" s="464">
        <f t="shared" ca="1" si="773"/>
        <v>0</v>
      </c>
      <c r="BB1271" s="465">
        <f t="shared" ca="1" si="773"/>
        <v>7.3698599999999999E-5</v>
      </c>
      <c r="BC1271" s="466">
        <f t="shared" ca="1" si="774"/>
        <v>81298</v>
      </c>
      <c r="BD1271" s="467">
        <f t="shared" ca="1" si="787"/>
        <v>81299</v>
      </c>
      <c r="BE1271" s="467">
        <f t="shared" ca="1" si="775"/>
        <v>81328</v>
      </c>
      <c r="BF1271" s="468">
        <f ca="1">IF(計算!$BC1271&lt;OP!$C$3,0,BD1271-BC1271)</f>
        <v>1</v>
      </c>
      <c r="BG1271" s="468">
        <f ca="1">IF($BE1271&gt;DATE(YEAR($BD$9)+OP!$C$57,MONTH($BD$9),DAY($BD$9)),0,$BE1271-$BD1271+1)</f>
        <v>0</v>
      </c>
      <c r="BH1271" s="469">
        <f t="shared" ca="1" si="776"/>
        <v>1</v>
      </c>
      <c r="BI1271" t="str">
        <f t="shared" si="792"/>
        <v/>
      </c>
      <c r="BJ1271">
        <v>2</v>
      </c>
      <c r="BN1271" s="468">
        <f t="shared" si="788"/>
        <v>106</v>
      </c>
      <c r="BO1271" s="468">
        <f t="shared" si="789"/>
        <v>2</v>
      </c>
      <c r="BP1271" s="467">
        <f t="shared" ca="1" si="777"/>
        <v>81299</v>
      </c>
      <c r="BQ1271" s="475">
        <f t="shared" ca="1" si="791"/>
        <v>138</v>
      </c>
      <c r="BR1271" s="475" t="str">
        <f t="shared" si="790"/>
        <v/>
      </c>
      <c r="BS1271" s="471" t="str">
        <f t="shared" si="778"/>
        <v/>
      </c>
      <c r="BT1271" s="472" t="str">
        <f t="shared" si="793"/>
        <v/>
      </c>
      <c r="BU1271" s="472">
        <f t="shared" ca="1" si="779"/>
        <v>0</v>
      </c>
      <c r="BV1271" s="472">
        <f t="shared" ca="1" si="779"/>
        <v>0</v>
      </c>
      <c r="BW1271" s="472"/>
      <c r="BX1271" s="473">
        <f t="shared" ca="1" si="780"/>
        <v>2822550.9637742802</v>
      </c>
      <c r="BY1271" s="473">
        <f t="shared" si="781"/>
        <v>0</v>
      </c>
      <c r="BZ1271" s="473">
        <f t="shared" ca="1" si="763"/>
        <v>208.01805445900001</v>
      </c>
      <c r="CA1271" s="476">
        <f t="shared" ca="1" si="782"/>
        <v>0</v>
      </c>
      <c r="CB1271" s="494">
        <f ca="1">IF(OR($Q1270&lt;&gt;1,OP!$D$5+$BN1271-1&lt;16,$BN1271-1&lt;1),0,ROUND(ROUND(ROUND(((VLOOKUP($BN1271-1,MORE_PV,5,0)/10000)*VLOOKUP($BN1271,MORE_PV,$CB$5,0)),3)*VLOOKUP($BN1271,more1,5,0),0)/$R1270,0))</f>
        <v>0</v>
      </c>
      <c r="CC1271" s="473">
        <f t="shared" ca="1" si="783"/>
        <v>0</v>
      </c>
      <c r="CD1271" s="477"/>
    </row>
    <row r="1272" spans="2:82" ht="16.5" hidden="1">
      <c r="B1272" s="80"/>
      <c r="C1272" s="80"/>
      <c r="D1272" s="80"/>
      <c r="E1272" s="80"/>
      <c r="F1272" s="80"/>
      <c r="G1272" s="80"/>
      <c r="H1272" s="80"/>
      <c r="I1272" s="80"/>
      <c r="J1272" s="192">
        <f t="shared" si="764"/>
        <v>106</v>
      </c>
      <c r="K1272" s="192">
        <f t="shared" si="765"/>
        <v>4</v>
      </c>
      <c r="L1272" s="192" t="str">
        <f t="shared" si="760"/>
        <v/>
      </c>
      <c r="M1272" s="216" t="str">
        <f t="shared" ca="1" si="766"/>
        <v/>
      </c>
      <c r="N1272" s="216"/>
      <c r="O1272" s="216"/>
      <c r="P1272" s="216"/>
      <c r="Q1272" s="456">
        <f t="shared" ca="1" si="767"/>
        <v>1</v>
      </c>
      <c r="R1272" s="450">
        <f t="shared" ca="1" si="768"/>
        <v>12</v>
      </c>
      <c r="S1272" s="191">
        <f t="shared" si="769"/>
        <v>106</v>
      </c>
      <c r="T1272" s="191">
        <f t="shared" si="770"/>
        <v>4</v>
      </c>
      <c r="U1272" s="191">
        <f ca="1">OP!$D$5+$S1272-1</f>
        <v>138</v>
      </c>
      <c r="V1272" s="191" t="str">
        <f t="shared" si="771"/>
        <v/>
      </c>
      <c r="W1272" s="350">
        <f ca="1">IF(Q1272&lt;&gt;1,0,VLOOKUP(OP!$C$55,PVFB,$S1272+2,0))</f>
        <v>0</v>
      </c>
      <c r="X1272" s="473" t="str">
        <f t="shared" ca="1" si="784"/>
        <v/>
      </c>
      <c r="Y1272" s="348">
        <f t="shared" ca="1" si="785"/>
        <v>0</v>
      </c>
      <c r="Z1272" s="348">
        <f t="shared" ca="1" si="786"/>
        <v>8012</v>
      </c>
      <c r="AA1272" s="348">
        <f ca="1">IF(Q1272&lt;&gt;1,0,VLOOKUP(OP!$C$55,PVFB,$S1272+2,0))</f>
        <v>0</v>
      </c>
      <c r="AB1272" s="488" t="str">
        <f ca="1">IF(AND(S1272&lt;OP!$C$24,$U1272&lt;15),0,IF(AND($U1272&lt;15,$T1272=12),ROUND(VLOOKUP($S1272,DOWN16,5,0),3),IF($T1272=12,ROUND(($Z1272/10000)*$AA1272,3)+IF(AND($P$7="購買增額繳清保險",T1272=12,U1272=110),VLOOKUP(S1272,$B$10:$H$121,7,0),0),"")))</f>
        <v/>
      </c>
      <c r="AC1272" s="350" t="str">
        <f ca="1">IF(AND(S1272&lt;OP!$C$24,$U1272&lt;15),0,IF(AND($U1272&lt;16,$T1272=12),VLOOKUP($S1272,DOWN16,4,0),IF($T1272=12,ROUND(VLOOKUP(OP!$C$55,_DIE2,$S1272+1,0)*(Z1272/10000),0)+IF(AND($P$7="購買增額繳清保險",T1272=12,U1272=110),VLOOKUP(S1272,$B$10:$H$121,7,0),0),"")))</f>
        <v/>
      </c>
      <c r="AD1272" s="347"/>
      <c r="AE1272" s="350" t="str">
        <f t="shared" ca="1" si="761"/>
        <v/>
      </c>
      <c r="AF1272" s="351" t="str">
        <f t="shared" ca="1" si="762"/>
        <v/>
      </c>
      <c r="AG1272" s="340"/>
      <c r="AH1272" s="340"/>
      <c r="AI1272" s="340"/>
      <c r="AJ1272" s="340"/>
      <c r="AK1272" s="340"/>
      <c r="AL1272" s="340"/>
      <c r="AM1272" s="340"/>
      <c r="AN1272" s="340"/>
      <c r="AO1272" s="340"/>
      <c r="AP1272" s="340"/>
      <c r="AQ1272" s="340"/>
      <c r="AR1272" s="340"/>
      <c r="AS1272" s="340"/>
      <c r="AT1272" s="340"/>
      <c r="AU1272" s="340"/>
      <c r="AV1272" s="340"/>
      <c r="AY1272" s="340"/>
      <c r="AZ1272" s="465">
        <f t="shared" ca="1" si="772"/>
        <v>7.3698599999999999E-5</v>
      </c>
      <c r="BA1272" s="464">
        <f t="shared" ca="1" si="773"/>
        <v>0</v>
      </c>
      <c r="BB1272" s="465">
        <f t="shared" ca="1" si="773"/>
        <v>7.3698599999999999E-5</v>
      </c>
      <c r="BC1272" s="466">
        <f t="shared" ca="1" si="774"/>
        <v>81329</v>
      </c>
      <c r="BD1272" s="467">
        <f t="shared" ca="1" si="787"/>
        <v>81330</v>
      </c>
      <c r="BE1272" s="467">
        <f t="shared" ca="1" si="775"/>
        <v>81358</v>
      </c>
      <c r="BF1272" s="468">
        <f ca="1">IF(計算!$BC1272&lt;OP!$C$3,0,BD1272-BC1272)</f>
        <v>1</v>
      </c>
      <c r="BG1272" s="468">
        <f ca="1">IF($BE1272&gt;DATE(YEAR($BD$9)+OP!$C$57,MONTH($BD$9),DAY($BD$9)),0,$BE1272-$BD1272+1)</f>
        <v>0</v>
      </c>
      <c r="BH1272" s="469">
        <f t="shared" ca="1" si="776"/>
        <v>1</v>
      </c>
      <c r="BI1272" t="str">
        <f t="shared" si="792"/>
        <v/>
      </c>
      <c r="BJ1272">
        <v>3</v>
      </c>
      <c r="BN1272" s="468">
        <f t="shared" si="788"/>
        <v>106</v>
      </c>
      <c r="BO1272" s="468">
        <f t="shared" si="789"/>
        <v>3</v>
      </c>
      <c r="BP1272" s="467">
        <f t="shared" ca="1" si="777"/>
        <v>81330</v>
      </c>
      <c r="BQ1272" s="475">
        <f t="shared" ca="1" si="791"/>
        <v>138</v>
      </c>
      <c r="BR1272" s="475" t="str">
        <f t="shared" si="790"/>
        <v/>
      </c>
      <c r="BS1272" s="471" t="str">
        <f t="shared" si="778"/>
        <v/>
      </c>
      <c r="BT1272" s="472" t="str">
        <f t="shared" si="793"/>
        <v/>
      </c>
      <c r="BU1272" s="472">
        <f t="shared" ca="1" si="779"/>
        <v>0</v>
      </c>
      <c r="BV1272" s="472">
        <f t="shared" ca="1" si="779"/>
        <v>0</v>
      </c>
      <c r="BW1272" s="472"/>
      <c r="BX1272" s="473">
        <f t="shared" ca="1" si="780"/>
        <v>2822758.9818287399</v>
      </c>
      <c r="BY1272" s="473">
        <f t="shared" si="781"/>
        <v>0</v>
      </c>
      <c r="BZ1272" s="473">
        <f t="shared" ca="1" si="763"/>
        <v>208.033385098</v>
      </c>
      <c r="CA1272" s="476">
        <f t="shared" ca="1" si="782"/>
        <v>0</v>
      </c>
      <c r="CB1272" s="494">
        <f ca="1">IF(OR($Q1271&lt;&gt;1,OP!$D$5+$BN1272-1&lt;16,$BN1272-1&lt;1),0,ROUND(ROUND(ROUND(((VLOOKUP($BN1272-1,MORE_PV,5,0)/10000)*VLOOKUP($BN1272,MORE_PV,$CB$5,0)),3)*VLOOKUP($BN1272,more1,5,0),0)/$R1271,0))</f>
        <v>0</v>
      </c>
      <c r="CC1272" s="473">
        <f t="shared" ca="1" si="783"/>
        <v>0</v>
      </c>
      <c r="CD1272" s="477"/>
    </row>
    <row r="1273" spans="2:82" ht="16.5" hidden="1">
      <c r="B1273" s="80"/>
      <c r="C1273" s="80"/>
      <c r="D1273" s="80"/>
      <c r="E1273" s="80"/>
      <c r="F1273" s="80"/>
      <c r="G1273" s="80"/>
      <c r="H1273" s="80"/>
      <c r="I1273" s="80"/>
      <c r="J1273" s="192">
        <f t="shared" si="764"/>
        <v>106</v>
      </c>
      <c r="K1273" s="192">
        <f t="shared" si="765"/>
        <v>5</v>
      </c>
      <c r="L1273" s="192" t="str">
        <f t="shared" si="760"/>
        <v/>
      </c>
      <c r="M1273" s="216" t="str">
        <f t="shared" ca="1" si="766"/>
        <v/>
      </c>
      <c r="N1273" s="216"/>
      <c r="O1273" s="216"/>
      <c r="P1273" s="216"/>
      <c r="Q1273" s="456">
        <f t="shared" ca="1" si="767"/>
        <v>1</v>
      </c>
      <c r="R1273" s="450">
        <f t="shared" ca="1" si="768"/>
        <v>12</v>
      </c>
      <c r="S1273" s="191">
        <f t="shared" si="769"/>
        <v>106</v>
      </c>
      <c r="T1273" s="191">
        <f t="shared" si="770"/>
        <v>5</v>
      </c>
      <c r="U1273" s="191">
        <f ca="1">OP!$D$5+$S1273-1</f>
        <v>138</v>
      </c>
      <c r="V1273" s="191" t="str">
        <f t="shared" si="771"/>
        <v/>
      </c>
      <c r="W1273" s="350">
        <f ca="1">IF(Q1273&lt;&gt;1,0,VLOOKUP(OP!$C$55,PVFB,$S1273+2,0))</f>
        <v>0</v>
      </c>
      <c r="X1273" s="473" t="str">
        <f t="shared" ca="1" si="784"/>
        <v/>
      </c>
      <c r="Y1273" s="348">
        <f t="shared" ca="1" si="785"/>
        <v>0</v>
      </c>
      <c r="Z1273" s="348">
        <f t="shared" ca="1" si="786"/>
        <v>8012</v>
      </c>
      <c r="AA1273" s="348">
        <f ca="1">IF(Q1273&lt;&gt;1,0,VLOOKUP(OP!$C$55,PVFB,$S1273+2,0))</f>
        <v>0</v>
      </c>
      <c r="AB1273" s="488" t="str">
        <f ca="1">IF(AND(S1273&lt;OP!$C$24,$U1273&lt;15),0,IF(AND($U1273&lt;15,$T1273=12),ROUND(VLOOKUP($S1273,DOWN16,5,0),3),IF($T1273=12,ROUND(($Z1273/10000)*$AA1273,3)+IF(AND($P$7="購買增額繳清保險",T1273=12,U1273=110),VLOOKUP(S1273,$B$10:$H$121,7,0),0),"")))</f>
        <v/>
      </c>
      <c r="AC1273" s="350" t="str">
        <f ca="1">IF(AND(S1273&lt;OP!$C$24,$U1273&lt;15),0,IF(AND($U1273&lt;16,$T1273=12),VLOOKUP($S1273,DOWN16,4,0),IF($T1273=12,ROUND(VLOOKUP(OP!$C$55,_DIE2,$S1273+1,0)*(Z1273/10000),0)+IF(AND($P$7="購買增額繳清保險",T1273=12,U1273=110),VLOOKUP(S1273,$B$10:$H$121,7,0),0),"")))</f>
        <v/>
      </c>
      <c r="AD1273" s="347"/>
      <c r="AE1273" s="350" t="str">
        <f t="shared" ca="1" si="761"/>
        <v/>
      </c>
      <c r="AF1273" s="351" t="str">
        <f t="shared" ca="1" si="762"/>
        <v/>
      </c>
      <c r="AG1273" s="340"/>
      <c r="AH1273" s="340"/>
      <c r="AI1273" s="340"/>
      <c r="AJ1273" s="340"/>
      <c r="AK1273" s="340"/>
      <c r="AL1273" s="340"/>
      <c r="AM1273" s="340"/>
      <c r="AN1273" s="340"/>
      <c r="AO1273" s="340"/>
      <c r="AP1273" s="340"/>
      <c r="AQ1273" s="340"/>
      <c r="AR1273" s="340"/>
      <c r="AS1273" s="340"/>
      <c r="AT1273" s="340"/>
      <c r="AU1273" s="340"/>
      <c r="AV1273" s="340"/>
      <c r="AY1273" s="340"/>
      <c r="AZ1273" s="465">
        <f t="shared" ca="1" si="772"/>
        <v>7.3698599999999999E-5</v>
      </c>
      <c r="BA1273" s="464">
        <f t="shared" ca="1" si="773"/>
        <v>0</v>
      </c>
      <c r="BB1273" s="465">
        <f t="shared" ca="1" si="773"/>
        <v>7.3698599999999999E-5</v>
      </c>
      <c r="BC1273" s="466">
        <f t="shared" ca="1" si="774"/>
        <v>81359</v>
      </c>
      <c r="BD1273" s="467">
        <f t="shared" ca="1" si="787"/>
        <v>81360</v>
      </c>
      <c r="BE1273" s="467">
        <f t="shared" ca="1" si="775"/>
        <v>81389</v>
      </c>
      <c r="BF1273" s="468">
        <f ca="1">IF(計算!$BC1273&lt;OP!$C$3,0,BD1273-BC1273)</f>
        <v>1</v>
      </c>
      <c r="BG1273" s="468">
        <f ca="1">IF($BE1273&gt;DATE(YEAR($BD$9)+OP!$C$57,MONTH($BD$9),DAY($BD$9)),0,$BE1273-$BD1273+1)</f>
        <v>0</v>
      </c>
      <c r="BH1273" s="469">
        <f t="shared" ca="1" si="776"/>
        <v>1</v>
      </c>
      <c r="BI1273" t="str">
        <f t="shared" si="792"/>
        <v/>
      </c>
      <c r="BJ1273">
        <v>4</v>
      </c>
      <c r="BN1273" s="468">
        <f t="shared" si="788"/>
        <v>106</v>
      </c>
      <c r="BO1273" s="468">
        <f t="shared" si="789"/>
        <v>4</v>
      </c>
      <c r="BP1273" s="467">
        <f t="shared" ca="1" si="777"/>
        <v>81360</v>
      </c>
      <c r="BQ1273" s="475">
        <f t="shared" ca="1" si="791"/>
        <v>138</v>
      </c>
      <c r="BR1273" s="475" t="str">
        <f t="shared" si="790"/>
        <v/>
      </c>
      <c r="BS1273" s="471" t="str">
        <f t="shared" si="778"/>
        <v/>
      </c>
      <c r="BT1273" s="472" t="str">
        <f t="shared" si="793"/>
        <v/>
      </c>
      <c r="BU1273" s="472">
        <f t="shared" ca="1" si="779"/>
        <v>0</v>
      </c>
      <c r="BV1273" s="472">
        <f t="shared" ca="1" si="779"/>
        <v>0</v>
      </c>
      <c r="BW1273" s="472"/>
      <c r="BX1273" s="473">
        <f t="shared" ca="1" si="780"/>
        <v>2822967.0152138402</v>
      </c>
      <c r="BY1273" s="473">
        <f t="shared" si="781"/>
        <v>0</v>
      </c>
      <c r="BZ1273" s="473">
        <f t="shared" ca="1" si="763"/>
        <v>208.048716867</v>
      </c>
      <c r="CA1273" s="476">
        <f t="shared" ca="1" si="782"/>
        <v>0</v>
      </c>
      <c r="CB1273" s="494">
        <f ca="1">IF(OR($Q1272&lt;&gt;1,OP!$D$5+$BN1273-1&lt;16,$BN1273-1&lt;1),0,ROUND(ROUND(ROUND(((VLOOKUP($BN1273-1,MORE_PV,5,0)/10000)*VLOOKUP($BN1273,MORE_PV,$CB$5,0)),3)*VLOOKUP($BN1273,more1,5,0),0)/$R1272,0))</f>
        <v>0</v>
      </c>
      <c r="CC1273" s="473">
        <f t="shared" ca="1" si="783"/>
        <v>0</v>
      </c>
      <c r="CD1273" s="477"/>
    </row>
    <row r="1274" spans="2:82" ht="16.5" hidden="1">
      <c r="B1274" s="80"/>
      <c r="C1274" s="80"/>
      <c r="D1274" s="80"/>
      <c r="E1274" s="80"/>
      <c r="F1274" s="80"/>
      <c r="G1274" s="80"/>
      <c r="H1274" s="80"/>
      <c r="I1274" s="80"/>
      <c r="J1274" s="192">
        <f t="shared" si="764"/>
        <v>106</v>
      </c>
      <c r="K1274" s="192">
        <f t="shared" si="765"/>
        <v>6</v>
      </c>
      <c r="L1274" s="192" t="str">
        <f t="shared" si="760"/>
        <v/>
      </c>
      <c r="M1274" s="216" t="str">
        <f t="shared" ca="1" si="766"/>
        <v/>
      </c>
      <c r="N1274" s="216"/>
      <c r="O1274" s="216"/>
      <c r="P1274" s="216"/>
      <c r="Q1274" s="456">
        <f t="shared" ca="1" si="767"/>
        <v>1</v>
      </c>
      <c r="R1274" s="450">
        <f t="shared" ca="1" si="768"/>
        <v>12</v>
      </c>
      <c r="S1274" s="191">
        <f t="shared" si="769"/>
        <v>106</v>
      </c>
      <c r="T1274" s="191">
        <f t="shared" si="770"/>
        <v>6</v>
      </c>
      <c r="U1274" s="191">
        <f ca="1">OP!$D$5+$S1274-1</f>
        <v>138</v>
      </c>
      <c r="V1274" s="191" t="str">
        <f t="shared" si="771"/>
        <v/>
      </c>
      <c r="W1274" s="350">
        <f ca="1">IF(Q1274&lt;&gt;1,0,VLOOKUP(OP!$C$55,PVFB,$S1274+2,0))</f>
        <v>0</v>
      </c>
      <c r="X1274" s="473" t="str">
        <f t="shared" ca="1" si="784"/>
        <v/>
      </c>
      <c r="Y1274" s="348">
        <f t="shared" ca="1" si="785"/>
        <v>0</v>
      </c>
      <c r="Z1274" s="348">
        <f t="shared" ca="1" si="786"/>
        <v>8012</v>
      </c>
      <c r="AA1274" s="348">
        <f ca="1">IF(Q1274&lt;&gt;1,0,VLOOKUP(OP!$C$55,PVFB,$S1274+2,0))</f>
        <v>0</v>
      </c>
      <c r="AB1274" s="488" t="str">
        <f ca="1">IF(AND(S1274&lt;OP!$C$24,$U1274&lt;15),0,IF(AND($U1274&lt;15,$T1274=12),ROUND(VLOOKUP($S1274,DOWN16,5,0),3),IF($T1274=12,ROUND(($Z1274/10000)*$AA1274,3)+IF(AND($P$7="購買增額繳清保險",T1274=12,U1274=110),VLOOKUP(S1274,$B$10:$H$121,7,0),0),"")))</f>
        <v/>
      </c>
      <c r="AC1274" s="350" t="str">
        <f ca="1">IF(AND(S1274&lt;OP!$C$24,$U1274&lt;15),0,IF(AND($U1274&lt;16,$T1274=12),VLOOKUP($S1274,DOWN16,4,0),IF($T1274=12,ROUND(VLOOKUP(OP!$C$55,_DIE2,$S1274+1,0)*(Z1274/10000),0)+IF(AND($P$7="購買增額繳清保險",T1274=12,U1274=110),VLOOKUP(S1274,$B$10:$H$121,7,0),0),"")))</f>
        <v/>
      </c>
      <c r="AD1274" s="347"/>
      <c r="AE1274" s="350" t="str">
        <f t="shared" ca="1" si="761"/>
        <v/>
      </c>
      <c r="AF1274" s="351" t="str">
        <f t="shared" ca="1" si="762"/>
        <v/>
      </c>
      <c r="AG1274" s="340"/>
      <c r="AH1274" s="340"/>
      <c r="AI1274" s="340"/>
      <c r="AJ1274" s="340"/>
      <c r="AK1274" s="340"/>
      <c r="AL1274" s="340"/>
      <c r="AM1274" s="340"/>
      <c r="AN1274" s="340"/>
      <c r="AO1274" s="340"/>
      <c r="AP1274" s="340"/>
      <c r="AQ1274" s="340"/>
      <c r="AR1274" s="340"/>
      <c r="AS1274" s="340"/>
      <c r="AT1274" s="340"/>
      <c r="AU1274" s="340"/>
      <c r="AV1274" s="340"/>
      <c r="AY1274" s="340"/>
      <c r="AZ1274" s="465">
        <f t="shared" ca="1" si="772"/>
        <v>7.3698599999999999E-5</v>
      </c>
      <c r="BA1274" s="464">
        <f t="shared" ca="1" si="773"/>
        <v>0</v>
      </c>
      <c r="BB1274" s="465">
        <f t="shared" ca="1" si="773"/>
        <v>7.3698599999999999E-5</v>
      </c>
      <c r="BC1274" s="466">
        <f t="shared" ca="1" si="774"/>
        <v>81390</v>
      </c>
      <c r="BD1274" s="467">
        <f t="shared" ca="1" si="787"/>
        <v>81391</v>
      </c>
      <c r="BE1274" s="467">
        <f t="shared" ca="1" si="775"/>
        <v>81419</v>
      </c>
      <c r="BF1274" s="468">
        <f ca="1">IF(計算!$BC1274&lt;OP!$C$3,0,BD1274-BC1274)</f>
        <v>1</v>
      </c>
      <c r="BG1274" s="468">
        <f ca="1">IF($BE1274&gt;DATE(YEAR($BD$9)+OP!$C$57,MONTH($BD$9),DAY($BD$9)),0,$BE1274-$BD1274+1)</f>
        <v>0</v>
      </c>
      <c r="BH1274" s="469">
        <f t="shared" ca="1" si="776"/>
        <v>1</v>
      </c>
      <c r="BI1274" t="str">
        <f t="shared" si="792"/>
        <v/>
      </c>
      <c r="BJ1274">
        <v>5</v>
      </c>
      <c r="BN1274" s="468">
        <f t="shared" si="788"/>
        <v>106</v>
      </c>
      <c r="BO1274" s="468">
        <f t="shared" si="789"/>
        <v>5</v>
      </c>
      <c r="BP1274" s="467">
        <f t="shared" ca="1" si="777"/>
        <v>81391</v>
      </c>
      <c r="BQ1274" s="475">
        <f t="shared" ca="1" si="791"/>
        <v>138</v>
      </c>
      <c r="BR1274" s="475" t="str">
        <f t="shared" si="790"/>
        <v/>
      </c>
      <c r="BS1274" s="471" t="str">
        <f t="shared" si="778"/>
        <v/>
      </c>
      <c r="BT1274" s="472" t="str">
        <f t="shared" si="793"/>
        <v/>
      </c>
      <c r="BU1274" s="472">
        <f t="shared" ca="1" si="779"/>
        <v>0</v>
      </c>
      <c r="BV1274" s="472">
        <f t="shared" ca="1" si="779"/>
        <v>0</v>
      </c>
      <c r="BW1274" s="472"/>
      <c r="BX1274" s="473">
        <f t="shared" ca="1" si="780"/>
        <v>2823175.0639307098</v>
      </c>
      <c r="BY1274" s="473">
        <f t="shared" si="781"/>
        <v>0</v>
      </c>
      <c r="BZ1274" s="473">
        <f t="shared" ca="1" si="763"/>
        <v>208.064049767</v>
      </c>
      <c r="CA1274" s="476">
        <f t="shared" ca="1" si="782"/>
        <v>0</v>
      </c>
      <c r="CB1274" s="494">
        <f ca="1">IF(OR($Q1273&lt;&gt;1,OP!$D$5+$BN1274-1&lt;16,$BN1274-1&lt;1),0,ROUND(ROUND(ROUND(((VLOOKUP($BN1274-1,MORE_PV,5,0)/10000)*VLOOKUP($BN1274,MORE_PV,$CB$5,0)),3)*VLOOKUP($BN1274,more1,5,0),0)/$R1273,0))</f>
        <v>0</v>
      </c>
      <c r="CC1274" s="473">
        <f t="shared" ca="1" si="783"/>
        <v>0</v>
      </c>
      <c r="CD1274" s="477"/>
    </row>
    <row r="1275" spans="2:82" ht="16.5" hidden="1">
      <c r="B1275" s="80"/>
      <c r="C1275" s="80"/>
      <c r="D1275" s="80"/>
      <c r="E1275" s="80"/>
      <c r="F1275" s="80"/>
      <c r="G1275" s="80"/>
      <c r="H1275" s="80"/>
      <c r="I1275" s="80"/>
      <c r="J1275" s="192">
        <f t="shared" si="764"/>
        <v>106</v>
      </c>
      <c r="K1275" s="192">
        <f t="shared" si="765"/>
        <v>7</v>
      </c>
      <c r="L1275" s="192" t="str">
        <f t="shared" si="760"/>
        <v/>
      </c>
      <c r="M1275" s="216" t="str">
        <f t="shared" ca="1" si="766"/>
        <v/>
      </c>
      <c r="N1275" s="216"/>
      <c r="O1275" s="216"/>
      <c r="P1275" s="216"/>
      <c r="Q1275" s="456">
        <f t="shared" ca="1" si="767"/>
        <v>1</v>
      </c>
      <c r="R1275" s="450">
        <f t="shared" ca="1" si="768"/>
        <v>12</v>
      </c>
      <c r="S1275" s="191">
        <f t="shared" si="769"/>
        <v>106</v>
      </c>
      <c r="T1275" s="191">
        <f t="shared" si="770"/>
        <v>7</v>
      </c>
      <c r="U1275" s="191">
        <f ca="1">OP!$D$5+$S1275-1</f>
        <v>138</v>
      </c>
      <c r="V1275" s="191" t="str">
        <f t="shared" si="771"/>
        <v/>
      </c>
      <c r="W1275" s="350">
        <f ca="1">IF(Q1275&lt;&gt;1,0,VLOOKUP(OP!$C$55,PVFB,$S1275+2,0))</f>
        <v>0</v>
      </c>
      <c r="X1275" s="473" t="str">
        <f t="shared" ca="1" si="784"/>
        <v/>
      </c>
      <c r="Y1275" s="348">
        <f t="shared" ca="1" si="785"/>
        <v>0</v>
      </c>
      <c r="Z1275" s="348">
        <f t="shared" ca="1" si="786"/>
        <v>8012</v>
      </c>
      <c r="AA1275" s="348">
        <f ca="1">IF(Q1275&lt;&gt;1,0,VLOOKUP(OP!$C$55,PVFB,$S1275+2,0))</f>
        <v>0</v>
      </c>
      <c r="AB1275" s="488" t="str">
        <f ca="1">IF(AND(S1275&lt;OP!$C$24,$U1275&lt;15),0,IF(AND($U1275&lt;15,$T1275=12),ROUND(VLOOKUP($S1275,DOWN16,5,0),3),IF($T1275=12,ROUND(($Z1275/10000)*$AA1275,3)+IF(AND($P$7="購買增額繳清保險",T1275=12,U1275=110),VLOOKUP(S1275,$B$10:$H$121,7,0),0),"")))</f>
        <v/>
      </c>
      <c r="AC1275" s="350" t="str">
        <f ca="1">IF(AND(S1275&lt;OP!$C$24,$U1275&lt;15),0,IF(AND($U1275&lt;16,$T1275=12),VLOOKUP($S1275,DOWN16,4,0),IF($T1275=12,ROUND(VLOOKUP(OP!$C$55,_DIE2,$S1275+1,0)*(Z1275/10000),0)+IF(AND($P$7="購買增額繳清保險",T1275=12,U1275=110),VLOOKUP(S1275,$B$10:$H$121,7,0),0),"")))</f>
        <v/>
      </c>
      <c r="AD1275" s="347"/>
      <c r="AE1275" s="350" t="str">
        <f t="shared" ca="1" si="761"/>
        <v/>
      </c>
      <c r="AF1275" s="351" t="str">
        <f t="shared" ca="1" si="762"/>
        <v/>
      </c>
      <c r="AG1275" s="340"/>
      <c r="AH1275" s="340"/>
      <c r="AI1275" s="340"/>
      <c r="AJ1275" s="340"/>
      <c r="AK1275" s="340"/>
      <c r="AL1275" s="340"/>
      <c r="AM1275" s="340"/>
      <c r="AN1275" s="340"/>
      <c r="AO1275" s="340"/>
      <c r="AP1275" s="340"/>
      <c r="AQ1275" s="340"/>
      <c r="AR1275" s="340"/>
      <c r="AS1275" s="340"/>
      <c r="AT1275" s="340"/>
      <c r="AU1275" s="340"/>
      <c r="AV1275" s="340"/>
      <c r="AY1275" s="340"/>
      <c r="AZ1275" s="465">
        <f t="shared" ca="1" si="772"/>
        <v>7.3698599999999999E-5</v>
      </c>
      <c r="BA1275" s="464">
        <f t="shared" ca="1" si="773"/>
        <v>0</v>
      </c>
      <c r="BB1275" s="465">
        <f t="shared" ca="1" si="773"/>
        <v>7.3698599999999999E-5</v>
      </c>
      <c r="BC1275" s="466">
        <f t="shared" ca="1" si="774"/>
        <v>81420</v>
      </c>
      <c r="BD1275" s="467">
        <f t="shared" ca="1" si="787"/>
        <v>81421</v>
      </c>
      <c r="BE1275" s="467">
        <f t="shared" ca="1" si="775"/>
        <v>81450</v>
      </c>
      <c r="BF1275" s="468">
        <f ca="1">IF(計算!$BC1275&lt;OP!$C$3,0,BD1275-BC1275)</f>
        <v>1</v>
      </c>
      <c r="BG1275" s="468">
        <f ca="1">IF($BE1275&gt;DATE(YEAR($BD$9)+OP!$C$57,MONTH($BD$9),DAY($BD$9)),0,$BE1275-$BD1275+1)</f>
        <v>0</v>
      </c>
      <c r="BH1275" s="469">
        <f t="shared" ca="1" si="776"/>
        <v>1</v>
      </c>
      <c r="BI1275" t="str">
        <f t="shared" si="792"/>
        <v/>
      </c>
      <c r="BJ1275">
        <v>6</v>
      </c>
      <c r="BN1275" s="468">
        <f t="shared" si="788"/>
        <v>106</v>
      </c>
      <c r="BO1275" s="468">
        <f t="shared" si="789"/>
        <v>6</v>
      </c>
      <c r="BP1275" s="467">
        <f t="shared" ca="1" si="777"/>
        <v>81421</v>
      </c>
      <c r="BQ1275" s="475">
        <f t="shared" ca="1" si="791"/>
        <v>138</v>
      </c>
      <c r="BR1275" s="475" t="str">
        <f t="shared" si="790"/>
        <v/>
      </c>
      <c r="BS1275" s="471" t="str">
        <f t="shared" si="778"/>
        <v/>
      </c>
      <c r="BT1275" s="472" t="str">
        <f t="shared" si="793"/>
        <v/>
      </c>
      <c r="BU1275" s="472">
        <f t="shared" ca="1" si="779"/>
        <v>0</v>
      </c>
      <c r="BV1275" s="472">
        <f t="shared" ca="1" si="779"/>
        <v>0</v>
      </c>
      <c r="BW1275" s="472"/>
      <c r="BX1275" s="473">
        <f t="shared" ca="1" si="780"/>
        <v>2823383.12798048</v>
      </c>
      <c r="BY1275" s="473">
        <f t="shared" si="781"/>
        <v>0</v>
      </c>
      <c r="BZ1275" s="473">
        <f t="shared" ca="1" si="763"/>
        <v>208.079383796</v>
      </c>
      <c r="CA1275" s="476">
        <f t="shared" ca="1" si="782"/>
        <v>0</v>
      </c>
      <c r="CB1275" s="494">
        <f ca="1">IF(OR($Q1274&lt;&gt;1,OP!$D$5+$BN1275-1&lt;16,$BN1275-1&lt;1),0,ROUND(ROUND(ROUND(((VLOOKUP($BN1275-1,MORE_PV,5,0)/10000)*VLOOKUP($BN1275,MORE_PV,$CB$5,0)),3)*VLOOKUP($BN1275,more1,5,0),0)/$R1274,0))</f>
        <v>0</v>
      </c>
      <c r="CC1275" s="473">
        <f t="shared" ca="1" si="783"/>
        <v>0</v>
      </c>
      <c r="CD1275" s="477"/>
    </row>
    <row r="1276" spans="2:82" ht="16.5" hidden="1">
      <c r="B1276" s="80"/>
      <c r="C1276" s="80"/>
      <c r="D1276" s="80"/>
      <c r="E1276" s="80"/>
      <c r="F1276" s="80"/>
      <c r="G1276" s="80"/>
      <c r="H1276" s="80"/>
      <c r="I1276" s="80"/>
      <c r="J1276" s="192">
        <f t="shared" si="764"/>
        <v>106</v>
      </c>
      <c r="K1276" s="192">
        <f t="shared" si="765"/>
        <v>8</v>
      </c>
      <c r="L1276" s="192" t="str">
        <f t="shared" si="760"/>
        <v/>
      </c>
      <c r="M1276" s="216" t="str">
        <f t="shared" ca="1" si="766"/>
        <v/>
      </c>
      <c r="N1276" s="216"/>
      <c r="O1276" s="216"/>
      <c r="P1276" s="216"/>
      <c r="Q1276" s="456">
        <f t="shared" ca="1" si="767"/>
        <v>1</v>
      </c>
      <c r="R1276" s="450">
        <f t="shared" ca="1" si="768"/>
        <v>12</v>
      </c>
      <c r="S1276" s="191">
        <f t="shared" si="769"/>
        <v>106</v>
      </c>
      <c r="T1276" s="191">
        <f t="shared" si="770"/>
        <v>8</v>
      </c>
      <c r="U1276" s="191">
        <f ca="1">OP!$D$5+$S1276-1</f>
        <v>138</v>
      </c>
      <c r="V1276" s="191" t="str">
        <f t="shared" si="771"/>
        <v/>
      </c>
      <c r="W1276" s="350">
        <f ca="1">IF(Q1276&lt;&gt;1,0,VLOOKUP(OP!$C$55,PVFB,$S1276+2,0))</f>
        <v>0</v>
      </c>
      <c r="X1276" s="473" t="str">
        <f t="shared" ca="1" si="784"/>
        <v/>
      </c>
      <c r="Y1276" s="348">
        <f t="shared" ca="1" si="785"/>
        <v>0</v>
      </c>
      <c r="Z1276" s="348">
        <f t="shared" ca="1" si="786"/>
        <v>8012</v>
      </c>
      <c r="AA1276" s="348">
        <f ca="1">IF(Q1276&lt;&gt;1,0,VLOOKUP(OP!$C$55,PVFB,$S1276+2,0))</f>
        <v>0</v>
      </c>
      <c r="AB1276" s="488" t="str">
        <f ca="1">IF(AND(S1276&lt;OP!$C$24,$U1276&lt;15),0,IF(AND($U1276&lt;15,$T1276=12),ROUND(VLOOKUP($S1276,DOWN16,5,0),3),IF($T1276=12,ROUND(($Z1276/10000)*$AA1276,3)+IF(AND($P$7="購買增額繳清保險",T1276=12,U1276=110),VLOOKUP(S1276,$B$10:$H$121,7,0),0),"")))</f>
        <v/>
      </c>
      <c r="AC1276" s="350" t="str">
        <f ca="1">IF(AND(S1276&lt;OP!$C$24,$U1276&lt;15),0,IF(AND($U1276&lt;16,$T1276=12),VLOOKUP($S1276,DOWN16,4,0),IF($T1276=12,ROUND(VLOOKUP(OP!$C$55,_DIE2,$S1276+1,0)*(Z1276/10000),0)+IF(AND($P$7="購買增額繳清保險",T1276=12,U1276=110),VLOOKUP(S1276,$B$10:$H$121,7,0),0),"")))</f>
        <v/>
      </c>
      <c r="AD1276" s="347"/>
      <c r="AE1276" s="350" t="str">
        <f t="shared" ca="1" si="761"/>
        <v/>
      </c>
      <c r="AF1276" s="351" t="str">
        <f t="shared" ca="1" si="762"/>
        <v/>
      </c>
      <c r="AG1276" s="340"/>
      <c r="AH1276" s="340"/>
      <c r="AI1276" s="340"/>
      <c r="AJ1276" s="340"/>
      <c r="AK1276" s="340"/>
      <c r="AL1276" s="340"/>
      <c r="AM1276" s="340"/>
      <c r="AN1276" s="340"/>
      <c r="AO1276" s="340"/>
      <c r="AP1276" s="340"/>
      <c r="AQ1276" s="340"/>
      <c r="AR1276" s="340"/>
      <c r="AS1276" s="340"/>
      <c r="AT1276" s="340"/>
      <c r="AU1276" s="340"/>
      <c r="AV1276" s="340"/>
      <c r="AY1276" s="340"/>
      <c r="AZ1276" s="465">
        <f t="shared" ca="1" si="772"/>
        <v>7.3698599999999999E-5</v>
      </c>
      <c r="BA1276" s="464">
        <f t="shared" ca="1" si="773"/>
        <v>0</v>
      </c>
      <c r="BB1276" s="465">
        <f t="shared" ca="1" si="773"/>
        <v>7.3698599999999999E-5</v>
      </c>
      <c r="BC1276" s="466">
        <f t="shared" ca="1" si="774"/>
        <v>81451</v>
      </c>
      <c r="BD1276" s="467">
        <f t="shared" ca="1" si="787"/>
        <v>81452</v>
      </c>
      <c r="BE1276" s="467">
        <f t="shared" ca="1" si="775"/>
        <v>81481</v>
      </c>
      <c r="BF1276" s="468">
        <f ca="1">IF(計算!$BC1276&lt;OP!$C$3,0,BD1276-BC1276)</f>
        <v>1</v>
      </c>
      <c r="BG1276" s="468">
        <f ca="1">IF($BE1276&gt;DATE(YEAR($BD$9)+OP!$C$57,MONTH($BD$9),DAY($BD$9)),0,$BE1276-$BD1276+1)</f>
        <v>0</v>
      </c>
      <c r="BH1276" s="469">
        <f t="shared" ca="1" si="776"/>
        <v>1</v>
      </c>
      <c r="BI1276" t="str">
        <f t="shared" si="792"/>
        <v/>
      </c>
      <c r="BJ1276">
        <v>7</v>
      </c>
      <c r="BN1276" s="468">
        <f t="shared" si="788"/>
        <v>106</v>
      </c>
      <c r="BO1276" s="468">
        <f t="shared" si="789"/>
        <v>7</v>
      </c>
      <c r="BP1276" s="467">
        <f t="shared" ca="1" si="777"/>
        <v>81452</v>
      </c>
      <c r="BQ1276" s="475">
        <f t="shared" ca="1" si="791"/>
        <v>138</v>
      </c>
      <c r="BR1276" s="475" t="str">
        <f t="shared" si="790"/>
        <v/>
      </c>
      <c r="BS1276" s="471" t="str">
        <f t="shared" si="778"/>
        <v/>
      </c>
      <c r="BT1276" s="472" t="str">
        <f t="shared" si="793"/>
        <v/>
      </c>
      <c r="BU1276" s="472">
        <f t="shared" ca="1" si="779"/>
        <v>0</v>
      </c>
      <c r="BV1276" s="472">
        <f t="shared" ca="1" si="779"/>
        <v>0</v>
      </c>
      <c r="BW1276" s="472"/>
      <c r="BX1276" s="473">
        <f t="shared" ca="1" si="780"/>
        <v>2823591.2073642798</v>
      </c>
      <c r="BY1276" s="473">
        <f t="shared" si="781"/>
        <v>0</v>
      </c>
      <c r="BZ1276" s="473">
        <f t="shared" ca="1" si="763"/>
        <v>208.09471895499999</v>
      </c>
      <c r="CA1276" s="476">
        <f t="shared" ca="1" si="782"/>
        <v>0</v>
      </c>
      <c r="CB1276" s="494">
        <f ca="1">IF(OR($Q1275&lt;&gt;1,OP!$D$5+$BN1276-1&lt;16,$BN1276-1&lt;1),0,ROUND(ROUND(ROUND(((VLOOKUP($BN1276-1,MORE_PV,5,0)/10000)*VLOOKUP($BN1276,MORE_PV,$CB$5,0)),3)*VLOOKUP($BN1276,more1,5,0),0)/$R1275,0))</f>
        <v>0</v>
      </c>
      <c r="CC1276" s="473">
        <f t="shared" ca="1" si="783"/>
        <v>0</v>
      </c>
      <c r="CD1276" s="477"/>
    </row>
    <row r="1277" spans="2:82" ht="16.5" hidden="1">
      <c r="B1277" s="80"/>
      <c r="C1277" s="80"/>
      <c r="D1277" s="80"/>
      <c r="E1277" s="80"/>
      <c r="F1277" s="80"/>
      <c r="G1277" s="80"/>
      <c r="H1277" s="80"/>
      <c r="I1277" s="80"/>
      <c r="J1277" s="192">
        <f t="shared" si="764"/>
        <v>106</v>
      </c>
      <c r="K1277" s="192">
        <f t="shared" si="765"/>
        <v>9</v>
      </c>
      <c r="L1277" s="192" t="str">
        <f t="shared" si="760"/>
        <v/>
      </c>
      <c r="M1277" s="216" t="str">
        <f t="shared" ca="1" si="766"/>
        <v/>
      </c>
      <c r="N1277" s="216"/>
      <c r="O1277" s="216"/>
      <c r="P1277" s="216"/>
      <c r="Q1277" s="456">
        <f t="shared" ca="1" si="767"/>
        <v>1</v>
      </c>
      <c r="R1277" s="450">
        <f t="shared" ca="1" si="768"/>
        <v>12</v>
      </c>
      <c r="S1277" s="191">
        <f t="shared" si="769"/>
        <v>106</v>
      </c>
      <c r="T1277" s="191">
        <f t="shared" si="770"/>
        <v>9</v>
      </c>
      <c r="U1277" s="191">
        <f ca="1">OP!$D$5+$S1277-1</f>
        <v>138</v>
      </c>
      <c r="V1277" s="191" t="str">
        <f t="shared" si="771"/>
        <v/>
      </c>
      <c r="W1277" s="350">
        <f ca="1">IF(Q1277&lt;&gt;1,0,VLOOKUP(OP!$C$55,PVFB,$S1277+2,0))</f>
        <v>0</v>
      </c>
      <c r="X1277" s="473" t="str">
        <f t="shared" ca="1" si="784"/>
        <v/>
      </c>
      <c r="Y1277" s="348">
        <f t="shared" ca="1" si="785"/>
        <v>0</v>
      </c>
      <c r="Z1277" s="348">
        <f t="shared" ca="1" si="786"/>
        <v>8012</v>
      </c>
      <c r="AA1277" s="348">
        <f ca="1">IF(Q1277&lt;&gt;1,0,VLOOKUP(OP!$C$55,PVFB,$S1277+2,0))</f>
        <v>0</v>
      </c>
      <c r="AB1277" s="488" t="str">
        <f ca="1">IF(AND(S1277&lt;OP!$C$24,$U1277&lt;15),0,IF(AND($U1277&lt;15,$T1277=12),ROUND(VLOOKUP($S1277,DOWN16,5,0),3),IF($T1277=12,ROUND(($Z1277/10000)*$AA1277,3)+IF(AND($P$7="購買增額繳清保險",T1277=12,U1277=110),VLOOKUP(S1277,$B$10:$H$121,7,0),0),"")))</f>
        <v/>
      </c>
      <c r="AC1277" s="350" t="str">
        <f ca="1">IF(AND(S1277&lt;OP!$C$24,$U1277&lt;15),0,IF(AND($U1277&lt;16,$T1277=12),VLOOKUP($S1277,DOWN16,4,0),IF($T1277=12,ROUND(VLOOKUP(OP!$C$55,_DIE2,$S1277+1,0)*(Z1277/10000),0)+IF(AND($P$7="購買增額繳清保險",T1277=12,U1277=110),VLOOKUP(S1277,$B$10:$H$121,7,0),0),"")))</f>
        <v/>
      </c>
      <c r="AD1277" s="347"/>
      <c r="AE1277" s="350" t="str">
        <f t="shared" ca="1" si="761"/>
        <v/>
      </c>
      <c r="AF1277" s="351" t="str">
        <f t="shared" ca="1" si="762"/>
        <v/>
      </c>
      <c r="AG1277" s="340"/>
      <c r="AH1277" s="340"/>
      <c r="AI1277" s="340"/>
      <c r="AJ1277" s="340"/>
      <c r="AK1277" s="340"/>
      <c r="AL1277" s="340"/>
      <c r="AM1277" s="340"/>
      <c r="AN1277" s="340"/>
      <c r="AO1277" s="340"/>
      <c r="AP1277" s="340"/>
      <c r="AQ1277" s="340"/>
      <c r="AR1277" s="340"/>
      <c r="AS1277" s="340"/>
      <c r="AT1277" s="340"/>
      <c r="AU1277" s="340"/>
      <c r="AV1277" s="340"/>
      <c r="AY1277" s="340"/>
      <c r="AZ1277" s="465">
        <f t="shared" ca="1" si="772"/>
        <v>7.3698599999999999E-5</v>
      </c>
      <c r="BA1277" s="464">
        <f t="shared" ca="1" si="773"/>
        <v>0</v>
      </c>
      <c r="BB1277" s="465">
        <f t="shared" ca="1" si="773"/>
        <v>7.3698599999999999E-5</v>
      </c>
      <c r="BC1277" s="466">
        <f t="shared" ca="1" si="774"/>
        <v>81482</v>
      </c>
      <c r="BD1277" s="467">
        <f t="shared" ca="1" si="787"/>
        <v>81483</v>
      </c>
      <c r="BE1277" s="467">
        <f t="shared" ca="1" si="775"/>
        <v>81509</v>
      </c>
      <c r="BF1277" s="468">
        <f ca="1">IF(計算!$BC1277&lt;OP!$C$3,0,BD1277-BC1277)</f>
        <v>1</v>
      </c>
      <c r="BG1277" s="468">
        <f ca="1">IF($BE1277&gt;DATE(YEAR($BD$9)+OP!$C$57,MONTH($BD$9),DAY($BD$9)),0,$BE1277-$BD1277+1)</f>
        <v>0</v>
      </c>
      <c r="BH1277" s="469">
        <f t="shared" ca="1" si="776"/>
        <v>1</v>
      </c>
      <c r="BI1277" t="str">
        <f t="shared" si="792"/>
        <v/>
      </c>
      <c r="BJ1277">
        <v>8</v>
      </c>
      <c r="BN1277" s="468">
        <f t="shared" si="788"/>
        <v>106</v>
      </c>
      <c r="BO1277" s="468">
        <f t="shared" si="789"/>
        <v>8</v>
      </c>
      <c r="BP1277" s="467">
        <f t="shared" ca="1" si="777"/>
        <v>81483</v>
      </c>
      <c r="BQ1277" s="475">
        <f t="shared" ca="1" si="791"/>
        <v>138</v>
      </c>
      <c r="BR1277" s="475" t="str">
        <f t="shared" si="790"/>
        <v/>
      </c>
      <c r="BS1277" s="471" t="str">
        <f t="shared" si="778"/>
        <v/>
      </c>
      <c r="BT1277" s="472" t="str">
        <f t="shared" si="793"/>
        <v/>
      </c>
      <c r="BU1277" s="472">
        <f t="shared" ca="1" si="779"/>
        <v>0</v>
      </c>
      <c r="BV1277" s="472">
        <f t="shared" ca="1" si="779"/>
        <v>0</v>
      </c>
      <c r="BW1277" s="472"/>
      <c r="BX1277" s="473">
        <f t="shared" ca="1" si="780"/>
        <v>2823799.3020832301</v>
      </c>
      <c r="BY1277" s="473">
        <f t="shared" si="781"/>
        <v>0</v>
      </c>
      <c r="BZ1277" s="473">
        <f t="shared" ca="1" si="763"/>
        <v>208.11005524500001</v>
      </c>
      <c r="CA1277" s="476">
        <f t="shared" ca="1" si="782"/>
        <v>0</v>
      </c>
      <c r="CB1277" s="494">
        <f ca="1">IF(OR($Q1276&lt;&gt;1,OP!$D$5+$BN1277-1&lt;16,$BN1277-1&lt;1),0,ROUND(ROUND(ROUND(((VLOOKUP($BN1277-1,MORE_PV,5,0)/10000)*VLOOKUP($BN1277,MORE_PV,$CB$5,0)),3)*VLOOKUP($BN1277,more1,5,0),0)/$R1276,0))</f>
        <v>0</v>
      </c>
      <c r="CC1277" s="473">
        <f t="shared" ca="1" si="783"/>
        <v>0</v>
      </c>
      <c r="CD1277" s="477"/>
    </row>
    <row r="1278" spans="2:82" ht="16.5" hidden="1">
      <c r="B1278" s="80"/>
      <c r="C1278" s="80"/>
      <c r="D1278" s="80"/>
      <c r="E1278" s="80"/>
      <c r="F1278" s="80"/>
      <c r="G1278" s="80"/>
      <c r="H1278" s="80"/>
      <c r="I1278" s="80"/>
      <c r="J1278" s="192">
        <f t="shared" si="764"/>
        <v>106</v>
      </c>
      <c r="K1278" s="192">
        <f t="shared" si="765"/>
        <v>10</v>
      </c>
      <c r="L1278" s="192" t="str">
        <f t="shared" si="760"/>
        <v/>
      </c>
      <c r="M1278" s="216" t="str">
        <f t="shared" ca="1" si="766"/>
        <v/>
      </c>
      <c r="N1278" s="216"/>
      <c r="O1278" s="216"/>
      <c r="P1278" s="216"/>
      <c r="Q1278" s="456">
        <f t="shared" ca="1" si="767"/>
        <v>1</v>
      </c>
      <c r="R1278" s="450">
        <f t="shared" ca="1" si="768"/>
        <v>12</v>
      </c>
      <c r="S1278" s="191">
        <f t="shared" si="769"/>
        <v>106</v>
      </c>
      <c r="T1278" s="191">
        <f t="shared" si="770"/>
        <v>10</v>
      </c>
      <c r="U1278" s="191">
        <f ca="1">OP!$D$5+$S1278-1</f>
        <v>138</v>
      </c>
      <c r="V1278" s="191" t="str">
        <f t="shared" si="771"/>
        <v/>
      </c>
      <c r="W1278" s="350">
        <f ca="1">IF(Q1278&lt;&gt;1,0,VLOOKUP(OP!$C$55,PVFB,$S1278+2,0))</f>
        <v>0</v>
      </c>
      <c r="X1278" s="473" t="str">
        <f t="shared" ca="1" si="784"/>
        <v/>
      </c>
      <c r="Y1278" s="348">
        <f t="shared" ca="1" si="785"/>
        <v>0</v>
      </c>
      <c r="Z1278" s="348">
        <f t="shared" ca="1" si="786"/>
        <v>8012</v>
      </c>
      <c r="AA1278" s="348">
        <f ca="1">IF(Q1278&lt;&gt;1,0,VLOOKUP(OP!$C$55,PVFB,$S1278+2,0))</f>
        <v>0</v>
      </c>
      <c r="AB1278" s="488" t="str">
        <f ca="1">IF(AND(S1278&lt;OP!$C$24,$U1278&lt;15),0,IF(AND($U1278&lt;15,$T1278=12),ROUND(VLOOKUP($S1278,DOWN16,5,0),3),IF($T1278=12,ROUND(($Z1278/10000)*$AA1278,3)+IF(AND($P$7="購買增額繳清保險",T1278=12,U1278=110),VLOOKUP(S1278,$B$10:$H$121,7,0),0),"")))</f>
        <v/>
      </c>
      <c r="AC1278" s="350" t="str">
        <f ca="1">IF(AND(S1278&lt;OP!$C$24,$U1278&lt;15),0,IF(AND($U1278&lt;16,$T1278=12),VLOOKUP($S1278,DOWN16,4,0),IF($T1278=12,ROUND(VLOOKUP(OP!$C$55,_DIE2,$S1278+1,0)*(Z1278/10000),0)+IF(AND($P$7="購買增額繳清保險",T1278=12,U1278=110),VLOOKUP(S1278,$B$10:$H$121,7,0),0),"")))</f>
        <v/>
      </c>
      <c r="AD1278" s="347"/>
      <c r="AE1278" s="350" t="str">
        <f t="shared" ca="1" si="761"/>
        <v/>
      </c>
      <c r="AF1278" s="351" t="str">
        <f t="shared" ca="1" si="762"/>
        <v/>
      </c>
      <c r="AG1278" s="340"/>
      <c r="AH1278" s="340"/>
      <c r="AI1278" s="340"/>
      <c r="AJ1278" s="340"/>
      <c r="AK1278" s="340"/>
      <c r="AL1278" s="340"/>
      <c r="AM1278" s="340"/>
      <c r="AN1278" s="340"/>
      <c r="AO1278" s="340"/>
      <c r="AP1278" s="340"/>
      <c r="AQ1278" s="340"/>
      <c r="AR1278" s="340"/>
      <c r="AS1278" s="340"/>
      <c r="AT1278" s="340"/>
      <c r="AU1278" s="340"/>
      <c r="AV1278" s="340"/>
      <c r="AY1278" s="340"/>
      <c r="AZ1278" s="465">
        <f t="shared" ca="1" si="772"/>
        <v>7.3698599999999999E-5</v>
      </c>
      <c r="BA1278" s="464">
        <f t="shared" ca="1" si="773"/>
        <v>0</v>
      </c>
      <c r="BB1278" s="465">
        <f t="shared" ca="1" si="773"/>
        <v>7.3698599999999999E-5</v>
      </c>
      <c r="BC1278" s="466">
        <f t="shared" ca="1" si="774"/>
        <v>81510</v>
      </c>
      <c r="BD1278" s="467">
        <f t="shared" ca="1" si="787"/>
        <v>81511</v>
      </c>
      <c r="BE1278" s="467">
        <f t="shared" ca="1" si="775"/>
        <v>81540</v>
      </c>
      <c r="BF1278" s="468">
        <f ca="1">IF(計算!$BC1278&lt;OP!$C$3,0,BD1278-BC1278)</f>
        <v>1</v>
      </c>
      <c r="BG1278" s="468">
        <f ca="1">IF($BE1278&gt;DATE(YEAR($BD$9)+OP!$C$57,MONTH($BD$9),DAY($BD$9)),0,$BE1278-$BD1278+1)</f>
        <v>0</v>
      </c>
      <c r="BH1278" s="469">
        <f t="shared" ca="1" si="776"/>
        <v>1</v>
      </c>
      <c r="BI1278" t="str">
        <f t="shared" si="792"/>
        <v/>
      </c>
      <c r="BJ1278">
        <v>9</v>
      </c>
      <c r="BN1278" s="468">
        <f t="shared" si="788"/>
        <v>106</v>
      </c>
      <c r="BO1278" s="468">
        <f t="shared" si="789"/>
        <v>9</v>
      </c>
      <c r="BP1278" s="467">
        <f t="shared" ca="1" si="777"/>
        <v>81511</v>
      </c>
      <c r="BQ1278" s="475">
        <f t="shared" ca="1" si="791"/>
        <v>138</v>
      </c>
      <c r="BR1278" s="475" t="str">
        <f t="shared" si="790"/>
        <v/>
      </c>
      <c r="BS1278" s="471" t="str">
        <f t="shared" si="778"/>
        <v/>
      </c>
      <c r="BT1278" s="472" t="str">
        <f t="shared" si="793"/>
        <v/>
      </c>
      <c r="BU1278" s="472">
        <f t="shared" ca="1" si="779"/>
        <v>0</v>
      </c>
      <c r="BV1278" s="472">
        <f t="shared" ca="1" si="779"/>
        <v>0</v>
      </c>
      <c r="BW1278" s="472"/>
      <c r="BX1278" s="473">
        <f t="shared" ca="1" si="780"/>
        <v>2824007.4121384802</v>
      </c>
      <c r="BY1278" s="473">
        <f t="shared" si="781"/>
        <v>0</v>
      </c>
      <c r="BZ1278" s="473">
        <f t="shared" ca="1" si="763"/>
        <v>208.125392664</v>
      </c>
      <c r="CA1278" s="476">
        <f t="shared" ca="1" si="782"/>
        <v>0</v>
      </c>
      <c r="CB1278" s="494">
        <f ca="1">IF(OR($Q1277&lt;&gt;1,OP!$D$5+$BN1278-1&lt;16,$BN1278-1&lt;1),0,ROUND(ROUND(ROUND(((VLOOKUP($BN1278-1,MORE_PV,5,0)/10000)*VLOOKUP($BN1278,MORE_PV,$CB$5,0)),3)*VLOOKUP($BN1278,more1,5,0),0)/$R1277,0))</f>
        <v>0</v>
      </c>
      <c r="CC1278" s="473">
        <f t="shared" ca="1" si="783"/>
        <v>0</v>
      </c>
      <c r="CD1278" s="477"/>
    </row>
    <row r="1279" spans="2:82" ht="16.5" hidden="1">
      <c r="B1279" s="80"/>
      <c r="C1279" s="80"/>
      <c r="D1279" s="80"/>
      <c r="E1279" s="80"/>
      <c r="F1279" s="80"/>
      <c r="G1279" s="80"/>
      <c r="H1279" s="80"/>
      <c r="I1279" s="80"/>
      <c r="J1279" s="192">
        <f t="shared" si="764"/>
        <v>106</v>
      </c>
      <c r="K1279" s="192">
        <f t="shared" si="765"/>
        <v>11</v>
      </c>
      <c r="L1279" s="192" t="str">
        <f t="shared" si="760"/>
        <v/>
      </c>
      <c r="M1279" s="216" t="str">
        <f t="shared" ca="1" si="766"/>
        <v/>
      </c>
      <c r="N1279" s="216"/>
      <c r="O1279" s="216"/>
      <c r="P1279" s="216"/>
      <c r="Q1279" s="456">
        <f t="shared" ca="1" si="767"/>
        <v>1</v>
      </c>
      <c r="R1279" s="450">
        <f t="shared" ca="1" si="768"/>
        <v>12</v>
      </c>
      <c r="S1279" s="191">
        <f t="shared" si="769"/>
        <v>106</v>
      </c>
      <c r="T1279" s="191">
        <f t="shared" si="770"/>
        <v>11</v>
      </c>
      <c r="U1279" s="191">
        <f ca="1">OP!$D$5+$S1279-1</f>
        <v>138</v>
      </c>
      <c r="V1279" s="191" t="str">
        <f t="shared" si="771"/>
        <v/>
      </c>
      <c r="W1279" s="350">
        <f ca="1">IF(Q1279&lt;&gt;1,0,VLOOKUP(OP!$C$55,PVFB,$S1279+2,0))</f>
        <v>0</v>
      </c>
      <c r="X1279" s="473" t="str">
        <f t="shared" ca="1" si="784"/>
        <v/>
      </c>
      <c r="Y1279" s="348">
        <f t="shared" ca="1" si="785"/>
        <v>0</v>
      </c>
      <c r="Z1279" s="348">
        <f t="shared" ca="1" si="786"/>
        <v>8012</v>
      </c>
      <c r="AA1279" s="348">
        <f ca="1">IF(Q1279&lt;&gt;1,0,VLOOKUP(OP!$C$55,PVFB,$S1279+2,0))</f>
        <v>0</v>
      </c>
      <c r="AB1279" s="488" t="str">
        <f ca="1">IF(AND(S1279&lt;OP!$C$24,$U1279&lt;15),0,IF(AND($U1279&lt;15,$T1279=12),ROUND(VLOOKUP($S1279,DOWN16,5,0),3),IF($T1279=12,ROUND(($Z1279/10000)*$AA1279,3)+IF(AND($P$7="購買增額繳清保險",T1279=12,U1279=110),VLOOKUP(S1279,$B$10:$H$121,7,0),0),"")))</f>
        <v/>
      </c>
      <c r="AC1279" s="350" t="str">
        <f ca="1">IF(AND(S1279&lt;OP!$C$24,$U1279&lt;15),0,IF(AND($U1279&lt;16,$T1279=12),VLOOKUP($S1279,DOWN16,4,0),IF($T1279=12,ROUND(VLOOKUP(OP!$C$55,_DIE2,$S1279+1,0)*(Z1279/10000),0)+IF(AND($P$7="購買增額繳清保險",T1279=12,U1279=110),VLOOKUP(S1279,$B$10:$H$121,7,0),0),"")))</f>
        <v/>
      </c>
      <c r="AD1279" s="347"/>
      <c r="AE1279" s="350" t="str">
        <f t="shared" ca="1" si="761"/>
        <v/>
      </c>
      <c r="AF1279" s="351" t="str">
        <f t="shared" ca="1" si="762"/>
        <v/>
      </c>
      <c r="AG1279" s="340"/>
      <c r="AH1279" s="340"/>
      <c r="AI1279" s="340"/>
      <c r="AJ1279" s="340"/>
      <c r="AK1279" s="340"/>
      <c r="AL1279" s="340"/>
      <c r="AM1279" s="340"/>
      <c r="AN1279" s="340"/>
      <c r="AO1279" s="340"/>
      <c r="AP1279" s="340"/>
      <c r="AQ1279" s="340"/>
      <c r="AR1279" s="340"/>
      <c r="AS1279" s="340"/>
      <c r="AT1279" s="340"/>
      <c r="AU1279" s="340"/>
      <c r="AV1279" s="340"/>
      <c r="AY1279" s="340"/>
      <c r="AZ1279" s="465">
        <f t="shared" ca="1" si="772"/>
        <v>7.3698599999999999E-5</v>
      </c>
      <c r="BA1279" s="464">
        <f t="shared" ca="1" si="773"/>
        <v>0</v>
      </c>
      <c r="BB1279" s="465">
        <f t="shared" ca="1" si="773"/>
        <v>7.3698599999999999E-5</v>
      </c>
      <c r="BC1279" s="466">
        <f t="shared" ca="1" si="774"/>
        <v>81541</v>
      </c>
      <c r="BD1279" s="467">
        <f t="shared" ca="1" si="787"/>
        <v>81542</v>
      </c>
      <c r="BE1279" s="467">
        <f t="shared" ca="1" si="775"/>
        <v>81570</v>
      </c>
      <c r="BF1279" s="468">
        <f ca="1">IF(計算!$BC1279&lt;OP!$C$3,0,BD1279-BC1279)</f>
        <v>1</v>
      </c>
      <c r="BG1279" s="468">
        <f ca="1">IF($BE1279&gt;DATE(YEAR($BD$9)+OP!$C$57,MONTH($BD$9),DAY($BD$9)),0,$BE1279-$BD1279+1)</f>
        <v>0</v>
      </c>
      <c r="BH1279" s="469">
        <f t="shared" ca="1" si="776"/>
        <v>1</v>
      </c>
      <c r="BI1279" t="str">
        <f t="shared" si="792"/>
        <v/>
      </c>
      <c r="BJ1279">
        <v>10</v>
      </c>
      <c r="BN1279" s="468">
        <f t="shared" si="788"/>
        <v>106</v>
      </c>
      <c r="BO1279" s="468">
        <f t="shared" si="789"/>
        <v>10</v>
      </c>
      <c r="BP1279" s="467">
        <f t="shared" ca="1" si="777"/>
        <v>81542</v>
      </c>
      <c r="BQ1279" s="475">
        <f t="shared" ca="1" si="791"/>
        <v>138</v>
      </c>
      <c r="BR1279" s="475" t="str">
        <f t="shared" si="790"/>
        <v/>
      </c>
      <c r="BS1279" s="471" t="str">
        <f t="shared" si="778"/>
        <v/>
      </c>
      <c r="BT1279" s="472" t="str">
        <f t="shared" si="793"/>
        <v/>
      </c>
      <c r="BU1279" s="472">
        <f t="shared" ca="1" si="779"/>
        <v>0</v>
      </c>
      <c r="BV1279" s="472">
        <f t="shared" ca="1" si="779"/>
        <v>0</v>
      </c>
      <c r="BW1279" s="472"/>
      <c r="BX1279" s="473">
        <f t="shared" ca="1" si="780"/>
        <v>2824215.5375311398</v>
      </c>
      <c r="BY1279" s="473">
        <f t="shared" si="781"/>
        <v>0</v>
      </c>
      <c r="BZ1279" s="473">
        <f t="shared" ca="1" si="763"/>
        <v>208.140731214</v>
      </c>
      <c r="CA1279" s="476">
        <f t="shared" ca="1" si="782"/>
        <v>0</v>
      </c>
      <c r="CB1279" s="494">
        <f ca="1">IF(OR($Q1278&lt;&gt;1,OP!$D$5+$BN1279-1&lt;16,$BN1279-1&lt;1),0,ROUND(ROUND(ROUND(((VLOOKUP($BN1279-1,MORE_PV,5,0)/10000)*VLOOKUP($BN1279,MORE_PV,$CB$5,0)),3)*VLOOKUP($BN1279,more1,5,0),0)/$R1278,0))</f>
        <v>0</v>
      </c>
      <c r="CC1279" s="473">
        <f t="shared" ca="1" si="783"/>
        <v>0</v>
      </c>
      <c r="CD1279" s="477"/>
    </row>
    <row r="1280" spans="2:82" ht="16.5" hidden="1">
      <c r="B1280" s="80"/>
      <c r="C1280" s="80"/>
      <c r="D1280" s="80"/>
      <c r="E1280" s="80"/>
      <c r="F1280" s="80"/>
      <c r="G1280" s="80"/>
      <c r="H1280" s="80"/>
      <c r="I1280" s="80"/>
      <c r="J1280" s="192">
        <f t="shared" si="764"/>
        <v>106</v>
      </c>
      <c r="K1280" s="192">
        <f t="shared" si="765"/>
        <v>12</v>
      </c>
      <c r="L1280" s="192">
        <f t="shared" si="760"/>
        <v>106</v>
      </c>
      <c r="M1280" s="216">
        <f t="shared" ca="1" si="766"/>
        <v>2824839</v>
      </c>
      <c r="N1280" s="216"/>
      <c r="O1280" s="216"/>
      <c r="P1280" s="216"/>
      <c r="Q1280" s="456">
        <f t="shared" ca="1" si="767"/>
        <v>1</v>
      </c>
      <c r="R1280" s="450">
        <f t="shared" ca="1" si="768"/>
        <v>12</v>
      </c>
      <c r="S1280" s="191">
        <f t="shared" si="769"/>
        <v>106</v>
      </c>
      <c r="T1280" s="191">
        <f t="shared" si="770"/>
        <v>12</v>
      </c>
      <c r="U1280" s="191">
        <f ca="1">OP!$D$5+$S1280-1</f>
        <v>138</v>
      </c>
      <c r="V1280" s="191">
        <f t="shared" si="771"/>
        <v>106</v>
      </c>
      <c r="W1280" s="350">
        <f ca="1">IF(Q1280&lt;&gt;1,0,VLOOKUP(OP!$C$55,PVFB,$S1280+2,0))</f>
        <v>0</v>
      </c>
      <c r="X1280" s="473">
        <f t="shared" ca="1" si="784"/>
        <v>0</v>
      </c>
      <c r="Y1280" s="348">
        <f t="shared" ca="1" si="785"/>
        <v>0</v>
      </c>
      <c r="Z1280" s="348">
        <f t="shared" ca="1" si="786"/>
        <v>8012</v>
      </c>
      <c r="AA1280" s="348">
        <f ca="1">IF(Q1280&lt;&gt;1,0,VLOOKUP(OP!$C$55,PVFB,$S1280+2,0))</f>
        <v>0</v>
      </c>
      <c r="AB1280" s="488">
        <f ca="1">IF(AND(S1280&lt;OP!$C$24,$U1280&lt;15),0,IF(AND($U1280&lt;15,$T1280=12),ROUND(VLOOKUP($S1280,DOWN16,5,0),3),IF($T1280=12,ROUND(($Z1280/10000)*$AA1280,3)+IF(AND($P$7="購買增額繳清保險",T1280=12,U1280=110),VLOOKUP(S1280,$B$10:$H$121,7,0),0),"")))</f>
        <v>0</v>
      </c>
      <c r="AC1280" s="350">
        <f ca="1">IF(AND(S1280&lt;OP!$C$24,$U1280&lt;15),0,IF(AND($U1280&lt;16,$T1280=12),VLOOKUP($S1280,DOWN16,4,0),IF($T1280=12,ROUND(VLOOKUP(OP!$C$55,_DIE2,$S1280+1,0)*(Z1280/10000),0)+IF(AND($P$7="購買增額繳清保險",T1280=12,U1280=110),VLOOKUP(S1280,$B$10:$H$121,7,0),0),"")))</f>
        <v>0</v>
      </c>
      <c r="AD1280" s="347"/>
      <c r="AE1280" s="350" t="str">
        <f t="shared" ca="1" si="761"/>
        <v/>
      </c>
      <c r="AF1280" s="351" t="str">
        <f t="shared" ca="1" si="762"/>
        <v/>
      </c>
      <c r="AG1280" s="340"/>
      <c r="AH1280" s="340"/>
      <c r="AI1280" s="340"/>
      <c r="AJ1280" s="340"/>
      <c r="AK1280" s="340"/>
      <c r="AL1280" s="340"/>
      <c r="AM1280" s="340"/>
      <c r="AN1280" s="340"/>
      <c r="AO1280" s="340"/>
      <c r="AP1280" s="340"/>
      <c r="AQ1280" s="340"/>
      <c r="AR1280" s="340"/>
      <c r="AS1280" s="340"/>
      <c r="AT1280" s="340"/>
      <c r="AU1280" s="340"/>
      <c r="AV1280" s="340"/>
      <c r="AY1280" s="340"/>
      <c r="AZ1280" s="465">
        <f t="shared" ca="1" si="772"/>
        <v>7.3698599999999999E-5</v>
      </c>
      <c r="BA1280" s="464">
        <f t="shared" ca="1" si="773"/>
        <v>0</v>
      </c>
      <c r="BB1280" s="465">
        <f t="shared" ca="1" si="773"/>
        <v>7.3698599999999999E-5</v>
      </c>
      <c r="BC1280" s="466">
        <f t="shared" ca="1" si="774"/>
        <v>81571</v>
      </c>
      <c r="BD1280" s="467">
        <f t="shared" ca="1" si="787"/>
        <v>81572</v>
      </c>
      <c r="BE1280" s="467">
        <f t="shared" ca="1" si="775"/>
        <v>81601</v>
      </c>
      <c r="BF1280" s="468">
        <f ca="1">IF(計算!$BC1280&lt;OP!$C$3,0,BD1280-BC1280)</f>
        <v>1</v>
      </c>
      <c r="BG1280" s="468">
        <f ca="1">IF($BE1280&gt;DATE(YEAR($BD$9)+OP!$C$57,MONTH($BD$9),DAY($BD$9)),0,$BE1280-$BD1280+1)</f>
        <v>0</v>
      </c>
      <c r="BH1280" s="469">
        <f t="shared" ca="1" si="776"/>
        <v>1</v>
      </c>
      <c r="BI1280" t="str">
        <f t="shared" si="792"/>
        <v/>
      </c>
      <c r="BJ1280">
        <v>11</v>
      </c>
      <c r="BN1280" s="468">
        <f t="shared" si="788"/>
        <v>106</v>
      </c>
      <c r="BO1280" s="468">
        <f t="shared" si="789"/>
        <v>11</v>
      </c>
      <c r="BP1280" s="467">
        <f t="shared" ca="1" si="777"/>
        <v>81572</v>
      </c>
      <c r="BQ1280" s="475">
        <f t="shared" ca="1" si="791"/>
        <v>138</v>
      </c>
      <c r="BR1280" s="475" t="str">
        <f t="shared" si="790"/>
        <v/>
      </c>
      <c r="BS1280" s="471" t="str">
        <f t="shared" si="778"/>
        <v/>
      </c>
      <c r="BT1280" s="472" t="str">
        <f t="shared" si="793"/>
        <v/>
      </c>
      <c r="BU1280" s="472">
        <f t="shared" ca="1" si="779"/>
        <v>0</v>
      </c>
      <c r="BV1280" s="472">
        <f t="shared" ca="1" si="779"/>
        <v>0</v>
      </c>
      <c r="BW1280" s="472"/>
      <c r="BX1280" s="473">
        <f t="shared" ca="1" si="780"/>
        <v>2824423.6782623501</v>
      </c>
      <c r="BY1280" s="473">
        <f t="shared" si="781"/>
        <v>0</v>
      </c>
      <c r="BZ1280" s="473">
        <f t="shared" ca="1" si="763"/>
        <v>208.156070895</v>
      </c>
      <c r="CA1280" s="476">
        <f t="shared" ca="1" si="782"/>
        <v>0</v>
      </c>
      <c r="CB1280" s="494">
        <f ca="1">IF(OR($Q1279&lt;&gt;1,OP!$D$5+$BN1280-1&lt;16,$BN1280-1&lt;1),0,ROUND(ROUND(ROUND(((VLOOKUP($BN1280-1,MORE_PV,5,0)/10000)*VLOOKUP($BN1280,MORE_PV,$CB$5,0)),3)*VLOOKUP($BN1280,more1,5,0),0)/$R1279,0))</f>
        <v>0</v>
      </c>
      <c r="CC1280" s="473">
        <f t="shared" ca="1" si="783"/>
        <v>0</v>
      </c>
      <c r="CD1280" s="477"/>
    </row>
    <row r="1281" spans="2:82" ht="16.5" hidden="1">
      <c r="B1281" s="80"/>
      <c r="C1281" s="80"/>
      <c r="D1281" s="80"/>
      <c r="E1281" s="80"/>
      <c r="F1281" s="80"/>
      <c r="G1281" s="80"/>
      <c r="H1281" s="80"/>
      <c r="I1281" s="80"/>
      <c r="J1281" s="192">
        <f t="shared" si="764"/>
        <v>107</v>
      </c>
      <c r="K1281" s="192">
        <f t="shared" si="765"/>
        <v>1</v>
      </c>
      <c r="L1281" s="192" t="str">
        <f t="shared" si="760"/>
        <v/>
      </c>
      <c r="M1281" s="216" t="str">
        <f t="shared" ca="1" si="766"/>
        <v/>
      </c>
      <c r="N1281" s="216"/>
      <c r="O1281" s="216"/>
      <c r="P1281" s="216"/>
      <c r="Q1281" s="456">
        <f t="shared" ca="1" si="767"/>
        <v>1</v>
      </c>
      <c r="R1281" s="450">
        <f t="shared" ca="1" si="768"/>
        <v>12</v>
      </c>
      <c r="S1281" s="191">
        <f t="shared" si="769"/>
        <v>107</v>
      </c>
      <c r="T1281" s="191">
        <f t="shared" si="770"/>
        <v>1</v>
      </c>
      <c r="U1281" s="191">
        <f ca="1">OP!$D$5+$S1281-1</f>
        <v>139</v>
      </c>
      <c r="V1281" s="191" t="str">
        <f t="shared" si="771"/>
        <v/>
      </c>
      <c r="W1281" s="350">
        <f ca="1">IF(Q1281&lt;&gt;1,0,VLOOKUP(OP!$C$55,PVFB,$S1281+2,0))</f>
        <v>0</v>
      </c>
      <c r="X1281" s="473" t="str">
        <f t="shared" ca="1" si="784"/>
        <v/>
      </c>
      <c r="Y1281" s="348">
        <f t="shared" ca="1" si="785"/>
        <v>0</v>
      </c>
      <c r="Z1281" s="348">
        <f t="shared" ca="1" si="786"/>
        <v>8012</v>
      </c>
      <c r="AA1281" s="348">
        <f ca="1">IF(Q1281&lt;&gt;1,0,VLOOKUP(OP!$C$55,PVFB,$S1281+2,0))</f>
        <v>0</v>
      </c>
      <c r="AB1281" s="488" t="str">
        <f ca="1">IF(AND(S1281&lt;OP!$C$24,$U1281&lt;15),0,IF(AND($U1281&lt;15,$T1281=12),ROUND(VLOOKUP($S1281,DOWN16,5,0),3),IF($T1281=12,ROUND(($Z1281/10000)*$AA1281,3)+IF(AND($P$7="購買增額繳清保險",T1281=12,U1281=110),VLOOKUP(S1281,$B$10:$H$121,7,0),0),"")))</f>
        <v/>
      </c>
      <c r="AC1281" s="350" t="str">
        <f ca="1">IF(AND(S1281&lt;OP!$C$24,$U1281&lt;15),0,IF(AND($U1281&lt;16,$T1281=12),VLOOKUP($S1281,DOWN16,4,0),IF($T1281=12,ROUND(VLOOKUP(OP!$C$55,_DIE2,$S1281+1,0)*(Z1281/10000),0)+IF(AND($P$7="購買增額繳清保險",T1281=12,U1281=110),VLOOKUP(S1281,$B$10:$H$121,7,0),0),"")))</f>
        <v/>
      </c>
      <c r="AD1281" s="347"/>
      <c r="AE1281" s="350" t="str">
        <f t="shared" ca="1" si="761"/>
        <v/>
      </c>
      <c r="AF1281" s="351" t="str">
        <f t="shared" ca="1" si="762"/>
        <v/>
      </c>
      <c r="AG1281" s="340"/>
      <c r="AH1281" s="340"/>
      <c r="AI1281" s="340"/>
      <c r="AJ1281" s="340"/>
      <c r="AK1281" s="340"/>
      <c r="AL1281" s="340"/>
      <c r="AM1281" s="340"/>
      <c r="AN1281" s="340"/>
      <c r="AO1281" s="340"/>
      <c r="AP1281" s="340"/>
      <c r="AQ1281" s="340"/>
      <c r="AR1281" s="340"/>
      <c r="AS1281" s="340"/>
      <c r="AT1281" s="340"/>
      <c r="AU1281" s="340"/>
      <c r="AV1281" s="340"/>
      <c r="AY1281" s="340"/>
      <c r="AZ1281" s="465">
        <f t="shared" ca="1" si="772"/>
        <v>7.3698599999999999E-5</v>
      </c>
      <c r="BA1281" s="464">
        <f t="shared" ca="1" si="773"/>
        <v>0</v>
      </c>
      <c r="BB1281" s="465">
        <f t="shared" ca="1" si="773"/>
        <v>7.3698599999999999E-5</v>
      </c>
      <c r="BC1281" s="466">
        <f t="shared" ca="1" si="774"/>
        <v>81602</v>
      </c>
      <c r="BD1281" s="467">
        <f t="shared" ca="1" si="787"/>
        <v>81603</v>
      </c>
      <c r="BE1281" s="467">
        <f t="shared" ca="1" si="775"/>
        <v>81631</v>
      </c>
      <c r="BF1281" s="468">
        <f ca="1">IF(計算!$BC1281&lt;OP!$C$3,0,BD1281-BC1281)</f>
        <v>1</v>
      </c>
      <c r="BG1281" s="468">
        <f ca="1">IF($BE1281&gt;DATE(YEAR($BD$9)+OP!$C$57,MONTH($BD$9),DAY($BD$9)),0,$BE1281-$BD1281+1)</f>
        <v>0</v>
      </c>
      <c r="BH1281" s="469">
        <f t="shared" ca="1" si="776"/>
        <v>1</v>
      </c>
      <c r="BI1281">
        <f t="shared" ca="1" si="792"/>
        <v>365</v>
      </c>
      <c r="BJ1281">
        <v>12</v>
      </c>
      <c r="BN1281" s="468">
        <f t="shared" si="788"/>
        <v>106</v>
      </c>
      <c r="BO1281" s="468">
        <f t="shared" si="789"/>
        <v>12</v>
      </c>
      <c r="BP1281" s="467">
        <f t="shared" ca="1" si="777"/>
        <v>81603</v>
      </c>
      <c r="BQ1281" s="475">
        <f t="shared" ca="1" si="791"/>
        <v>138</v>
      </c>
      <c r="BR1281" s="475">
        <f t="shared" si="790"/>
        <v>106</v>
      </c>
      <c r="BS1281" s="471">
        <f t="shared" ca="1" si="778"/>
        <v>0</v>
      </c>
      <c r="BT1281" s="472">
        <f t="shared" ca="1" si="793"/>
        <v>2824839</v>
      </c>
      <c r="BU1281" s="472">
        <f t="shared" ca="1" si="779"/>
        <v>0</v>
      </c>
      <c r="BV1281" s="472">
        <f t="shared" ca="1" si="779"/>
        <v>0</v>
      </c>
      <c r="BW1281" s="472">
        <f ca="1">ROUND(SUM(BY1281,BZ1269:BZ1280),0)</f>
        <v>2497</v>
      </c>
      <c r="BX1281" s="473">
        <f t="shared" ca="1" si="780"/>
        <v>2824840.0057449499</v>
      </c>
      <c r="BY1281" s="473">
        <f t="shared" ca="1" si="781"/>
        <v>208.17141170599999</v>
      </c>
      <c r="BZ1281" s="473">
        <f t="shared" ca="1" si="763"/>
        <v>0</v>
      </c>
      <c r="CA1281" s="476">
        <f t="shared" ca="1" si="782"/>
        <v>0</v>
      </c>
      <c r="CB1281" s="494">
        <f ca="1">IF(OR($Q1280&lt;&gt;1,OP!$D$5+$BN1281-1&lt;16,$BN1281-1&lt;1),0,ROUND(ROUND(ROUND(((VLOOKUP($BN1281-1,MORE_PV,5,0)/10000)*VLOOKUP($BN1281,MORE_PV,$CB$5,0)),3)*VLOOKUP($BN1281,more1,5,0),0)/$R1280,0))</f>
        <v>0</v>
      </c>
      <c r="CC1281" s="473">
        <f t="shared" ca="1" si="783"/>
        <v>0</v>
      </c>
      <c r="CD1281" s="477"/>
    </row>
    <row r="1282" spans="2:82" ht="16.5" hidden="1">
      <c r="B1282" s="80"/>
      <c r="C1282" s="80"/>
      <c r="D1282" s="80"/>
      <c r="E1282" s="80"/>
      <c r="F1282" s="80"/>
      <c r="G1282" s="80"/>
      <c r="H1282" s="80"/>
      <c r="I1282" s="80"/>
      <c r="J1282" s="192">
        <f t="shared" si="764"/>
        <v>107</v>
      </c>
      <c r="K1282" s="192">
        <f t="shared" si="765"/>
        <v>2</v>
      </c>
      <c r="L1282" s="192" t="str">
        <f t="shared" si="760"/>
        <v/>
      </c>
      <c r="M1282" s="216" t="str">
        <f t="shared" ca="1" si="766"/>
        <v/>
      </c>
      <c r="N1282" s="216"/>
      <c r="O1282" s="216"/>
      <c r="P1282" s="216"/>
      <c r="Q1282" s="456">
        <f t="shared" ca="1" si="767"/>
        <v>1</v>
      </c>
      <c r="R1282" s="450">
        <f t="shared" ca="1" si="768"/>
        <v>12</v>
      </c>
      <c r="S1282" s="191">
        <f t="shared" si="769"/>
        <v>107</v>
      </c>
      <c r="T1282" s="191">
        <f t="shared" si="770"/>
        <v>2</v>
      </c>
      <c r="U1282" s="191">
        <f ca="1">OP!$D$5+$S1282-1</f>
        <v>139</v>
      </c>
      <c r="V1282" s="191" t="str">
        <f t="shared" si="771"/>
        <v/>
      </c>
      <c r="W1282" s="350">
        <f ca="1">IF(Q1282&lt;&gt;1,0,VLOOKUP(OP!$C$55,PVFB,$S1282+2,0))</f>
        <v>0</v>
      </c>
      <c r="X1282" s="473" t="str">
        <f t="shared" ca="1" si="784"/>
        <v/>
      </c>
      <c r="Y1282" s="348">
        <f t="shared" ca="1" si="785"/>
        <v>0</v>
      </c>
      <c r="Z1282" s="348">
        <f t="shared" ca="1" si="786"/>
        <v>8012</v>
      </c>
      <c r="AA1282" s="348">
        <f ca="1">IF(Q1282&lt;&gt;1,0,VLOOKUP(OP!$C$55,PVFB,$S1282+2,0))</f>
        <v>0</v>
      </c>
      <c r="AB1282" s="488" t="str">
        <f ca="1">IF(AND(S1282&lt;OP!$C$24,$U1282&lt;15),0,IF(AND($U1282&lt;15,$T1282=12),ROUND(VLOOKUP($S1282,DOWN16,5,0),3),IF($T1282=12,ROUND(($Z1282/10000)*$AA1282,3)+IF(AND($P$7="購買增額繳清保險",T1282=12,U1282=110),VLOOKUP(S1282,$B$10:$H$121,7,0),0),"")))</f>
        <v/>
      </c>
      <c r="AC1282" s="350" t="str">
        <f ca="1">IF(AND(S1282&lt;OP!$C$24,$U1282&lt;15),0,IF(AND($U1282&lt;16,$T1282=12),VLOOKUP($S1282,DOWN16,4,0),IF($T1282=12,ROUND(VLOOKUP(OP!$C$55,_DIE2,$S1282+1,0)*(Z1282/10000),0)+IF(AND($P$7="購買增額繳清保險",T1282=12,U1282=110),VLOOKUP(S1282,$B$10:$H$121,7,0),0),"")))</f>
        <v/>
      </c>
      <c r="AD1282" s="347"/>
      <c r="AE1282" s="350" t="str">
        <f t="shared" ca="1" si="761"/>
        <v/>
      </c>
      <c r="AF1282" s="351" t="str">
        <f t="shared" ca="1" si="762"/>
        <v/>
      </c>
      <c r="AG1282" s="340"/>
      <c r="AH1282" s="340"/>
      <c r="AI1282" s="340"/>
      <c r="AJ1282" s="340"/>
      <c r="AK1282" s="340"/>
      <c r="AL1282" s="340"/>
      <c r="AM1282" s="340"/>
      <c r="AN1282" s="340"/>
      <c r="AO1282" s="340"/>
      <c r="AP1282" s="340"/>
      <c r="AQ1282" s="340"/>
      <c r="AR1282" s="340"/>
      <c r="AS1282" s="340"/>
      <c r="AT1282" s="340"/>
      <c r="AU1282" s="340"/>
      <c r="AV1282" s="340"/>
      <c r="AY1282" s="340"/>
      <c r="AZ1282" s="465">
        <f t="shared" ca="1" si="772"/>
        <v>7.3698599999999999E-5</v>
      </c>
      <c r="BA1282" s="464">
        <f t="shared" ca="1" si="773"/>
        <v>0</v>
      </c>
      <c r="BB1282" s="465">
        <f t="shared" ca="1" si="773"/>
        <v>7.3698599999999999E-5</v>
      </c>
      <c r="BC1282" s="466">
        <f t="shared" ca="1" si="774"/>
        <v>81632</v>
      </c>
      <c r="BD1282" s="467">
        <f t="shared" ca="1" si="787"/>
        <v>81633</v>
      </c>
      <c r="BE1282" s="467">
        <f t="shared" ca="1" si="775"/>
        <v>81662</v>
      </c>
      <c r="BF1282" s="468">
        <f ca="1">IF(計算!$BC1282&lt;OP!$C$3,0,BD1282-BC1282)</f>
        <v>1</v>
      </c>
      <c r="BG1282" s="468">
        <f ca="1">IF($BE1282&gt;DATE(YEAR($BD$9)+OP!$C$57,MONTH($BD$9),DAY($BD$9)),0,$BE1282-$BD1282+1)</f>
        <v>0</v>
      </c>
      <c r="BH1282" s="469">
        <f t="shared" ca="1" si="776"/>
        <v>1</v>
      </c>
      <c r="BI1282" t="str">
        <f t="shared" si="792"/>
        <v/>
      </c>
      <c r="BJ1282">
        <v>1</v>
      </c>
      <c r="BN1282" s="468">
        <f t="shared" si="788"/>
        <v>107</v>
      </c>
      <c r="BO1282" s="468">
        <f t="shared" si="789"/>
        <v>1</v>
      </c>
      <c r="BP1282" s="467">
        <f t="shared" ca="1" si="777"/>
        <v>81633</v>
      </c>
      <c r="BQ1282" s="475">
        <f t="shared" ca="1" si="791"/>
        <v>139</v>
      </c>
      <c r="BR1282" s="475" t="str">
        <f t="shared" si="790"/>
        <v/>
      </c>
      <c r="BS1282" s="471" t="str">
        <f t="shared" si="778"/>
        <v/>
      </c>
      <c r="BT1282" s="472" t="str">
        <f t="shared" si="793"/>
        <v/>
      </c>
      <c r="BU1282" s="472">
        <f t="shared" ca="1" si="779"/>
        <v>0</v>
      </c>
      <c r="BV1282" s="472">
        <f t="shared" ca="1" si="779"/>
        <v>0</v>
      </c>
      <c r="BW1282" s="472"/>
      <c r="BX1282" s="473">
        <f t="shared" ca="1" si="780"/>
        <v>2824840.0057449499</v>
      </c>
      <c r="BY1282" s="473">
        <f t="shared" si="781"/>
        <v>0</v>
      </c>
      <c r="BZ1282" s="473">
        <f t="shared" ca="1" si="763"/>
        <v>208.18675364699999</v>
      </c>
      <c r="CA1282" s="476">
        <f t="shared" ca="1" si="782"/>
        <v>0</v>
      </c>
      <c r="CB1282" s="494">
        <f ca="1">IF(OR($Q1281&lt;&gt;1,OP!$D$5+$BN1282-1&lt;16,$BN1282-1&lt;1),0,ROUND(ROUND(ROUND(((VLOOKUP($BN1282-1,MORE_PV,5,0)/10000)*VLOOKUP($BN1282,MORE_PV,$CB$5,0)),3)*VLOOKUP($BN1282,more1,5,0),0)/$R1281,0))</f>
        <v>0</v>
      </c>
      <c r="CC1282" s="473">
        <f t="shared" ca="1" si="783"/>
        <v>0</v>
      </c>
      <c r="CD1282" s="477"/>
    </row>
    <row r="1283" spans="2:82" ht="16.5" hidden="1">
      <c r="B1283" s="80"/>
      <c r="C1283" s="80"/>
      <c r="D1283" s="80"/>
      <c r="E1283" s="80"/>
      <c r="F1283" s="80"/>
      <c r="G1283" s="80"/>
      <c r="H1283" s="80"/>
      <c r="I1283" s="80"/>
      <c r="J1283" s="192">
        <f t="shared" si="764"/>
        <v>107</v>
      </c>
      <c r="K1283" s="192">
        <f t="shared" si="765"/>
        <v>3</v>
      </c>
      <c r="L1283" s="192" t="str">
        <f t="shared" si="760"/>
        <v/>
      </c>
      <c r="M1283" s="216" t="str">
        <f t="shared" ca="1" si="766"/>
        <v/>
      </c>
      <c r="N1283" s="216"/>
      <c r="O1283" s="216"/>
      <c r="P1283" s="216"/>
      <c r="Q1283" s="456">
        <f t="shared" ca="1" si="767"/>
        <v>1</v>
      </c>
      <c r="R1283" s="450">
        <f t="shared" ca="1" si="768"/>
        <v>12</v>
      </c>
      <c r="S1283" s="191">
        <f t="shared" si="769"/>
        <v>107</v>
      </c>
      <c r="T1283" s="191">
        <f t="shared" si="770"/>
        <v>3</v>
      </c>
      <c r="U1283" s="191">
        <f ca="1">OP!$D$5+$S1283-1</f>
        <v>139</v>
      </c>
      <c r="V1283" s="191" t="str">
        <f t="shared" si="771"/>
        <v/>
      </c>
      <c r="W1283" s="350">
        <f ca="1">IF(Q1283&lt;&gt;1,0,VLOOKUP(OP!$C$55,PVFB,$S1283+2,0))</f>
        <v>0</v>
      </c>
      <c r="X1283" s="473" t="str">
        <f t="shared" ca="1" si="784"/>
        <v/>
      </c>
      <c r="Y1283" s="348">
        <f t="shared" ca="1" si="785"/>
        <v>0</v>
      </c>
      <c r="Z1283" s="348">
        <f t="shared" ca="1" si="786"/>
        <v>8012</v>
      </c>
      <c r="AA1283" s="348">
        <f ca="1">IF(Q1283&lt;&gt;1,0,VLOOKUP(OP!$C$55,PVFB,$S1283+2,0))</f>
        <v>0</v>
      </c>
      <c r="AB1283" s="488" t="str">
        <f ca="1">IF(AND(S1283&lt;OP!$C$24,$U1283&lt;15),0,IF(AND($U1283&lt;15,$T1283=12),ROUND(VLOOKUP($S1283,DOWN16,5,0),3),IF($T1283=12,ROUND(($Z1283/10000)*$AA1283,3)+IF(AND($P$7="購買增額繳清保險",T1283=12,U1283=110),VLOOKUP(S1283,$B$10:$H$121,7,0),0),"")))</f>
        <v/>
      </c>
      <c r="AC1283" s="350" t="str">
        <f ca="1">IF(AND(S1283&lt;OP!$C$24,$U1283&lt;15),0,IF(AND($U1283&lt;16,$T1283=12),VLOOKUP($S1283,DOWN16,4,0),IF($T1283=12,ROUND(VLOOKUP(OP!$C$55,_DIE2,$S1283+1,0)*(Z1283/10000),0)+IF(AND($P$7="購買增額繳清保險",T1283=12,U1283=110),VLOOKUP(S1283,$B$10:$H$121,7,0),0),"")))</f>
        <v/>
      </c>
      <c r="AD1283" s="347"/>
      <c r="AE1283" s="350" t="str">
        <f t="shared" ca="1" si="761"/>
        <v/>
      </c>
      <c r="AF1283" s="351" t="str">
        <f t="shared" ca="1" si="762"/>
        <v/>
      </c>
      <c r="AG1283" s="340"/>
      <c r="AH1283" s="340"/>
      <c r="AI1283" s="340"/>
      <c r="AJ1283" s="340"/>
      <c r="AK1283" s="340"/>
      <c r="AL1283" s="340"/>
      <c r="AM1283" s="340"/>
      <c r="AN1283" s="340"/>
      <c r="AO1283" s="340"/>
      <c r="AP1283" s="340"/>
      <c r="AQ1283" s="340"/>
      <c r="AR1283" s="340"/>
      <c r="AS1283" s="340"/>
      <c r="AT1283" s="340"/>
      <c r="AU1283" s="340"/>
      <c r="AV1283" s="340"/>
      <c r="AY1283" s="340"/>
      <c r="AZ1283" s="465">
        <f t="shared" ca="1" si="772"/>
        <v>7.3698599999999999E-5</v>
      </c>
      <c r="BA1283" s="464">
        <f t="shared" ca="1" si="773"/>
        <v>0</v>
      </c>
      <c r="BB1283" s="465">
        <f t="shared" ca="1" si="773"/>
        <v>7.3698599999999999E-5</v>
      </c>
      <c r="BC1283" s="466">
        <f t="shared" ca="1" si="774"/>
        <v>81663</v>
      </c>
      <c r="BD1283" s="467">
        <f t="shared" ca="1" si="787"/>
        <v>81664</v>
      </c>
      <c r="BE1283" s="467">
        <f t="shared" ca="1" si="775"/>
        <v>81693</v>
      </c>
      <c r="BF1283" s="468">
        <f ca="1">IF(計算!$BC1283&lt;OP!$C$3,0,BD1283-BC1283)</f>
        <v>1</v>
      </c>
      <c r="BG1283" s="468">
        <f ca="1">IF($BE1283&gt;DATE(YEAR($BD$9)+OP!$C$57,MONTH($BD$9),DAY($BD$9)),0,$BE1283-$BD1283+1)</f>
        <v>0</v>
      </c>
      <c r="BH1283" s="469">
        <f t="shared" ca="1" si="776"/>
        <v>1</v>
      </c>
      <c r="BI1283" t="str">
        <f t="shared" si="792"/>
        <v/>
      </c>
      <c r="BJ1283">
        <v>2</v>
      </c>
      <c r="BN1283" s="468">
        <f t="shared" si="788"/>
        <v>107</v>
      </c>
      <c r="BO1283" s="468">
        <f t="shared" si="789"/>
        <v>2</v>
      </c>
      <c r="BP1283" s="467">
        <f t="shared" ca="1" si="777"/>
        <v>81664</v>
      </c>
      <c r="BQ1283" s="475">
        <f t="shared" ca="1" si="791"/>
        <v>139</v>
      </c>
      <c r="BR1283" s="475" t="str">
        <f t="shared" si="790"/>
        <v/>
      </c>
      <c r="BS1283" s="471" t="str">
        <f t="shared" si="778"/>
        <v/>
      </c>
      <c r="BT1283" s="472" t="str">
        <f t="shared" si="793"/>
        <v/>
      </c>
      <c r="BU1283" s="472">
        <f t="shared" ca="1" si="779"/>
        <v>0</v>
      </c>
      <c r="BV1283" s="472">
        <f t="shared" ca="1" si="779"/>
        <v>0</v>
      </c>
      <c r="BW1283" s="472"/>
      <c r="BX1283" s="473">
        <f t="shared" ca="1" si="780"/>
        <v>2825048.1924986001</v>
      </c>
      <c r="BY1283" s="473">
        <f t="shared" si="781"/>
        <v>0</v>
      </c>
      <c r="BZ1283" s="473">
        <f t="shared" ca="1" si="763"/>
        <v>208.20209671999999</v>
      </c>
      <c r="CA1283" s="476">
        <f t="shared" ca="1" si="782"/>
        <v>0</v>
      </c>
      <c r="CB1283" s="494">
        <f ca="1">IF(OR($Q1282&lt;&gt;1,OP!$D$5+$BN1283-1&lt;16,$BN1283-1&lt;1),0,ROUND(ROUND(ROUND(((VLOOKUP($BN1283-1,MORE_PV,5,0)/10000)*VLOOKUP($BN1283,MORE_PV,$CB$5,0)),3)*VLOOKUP($BN1283,more1,5,0),0)/$R1282,0))</f>
        <v>0</v>
      </c>
      <c r="CC1283" s="473">
        <f t="shared" ca="1" si="783"/>
        <v>0</v>
      </c>
      <c r="CD1283" s="477"/>
    </row>
    <row r="1284" spans="2:82" ht="16.5" hidden="1">
      <c r="B1284" s="80"/>
      <c r="C1284" s="80"/>
      <c r="D1284" s="80"/>
      <c r="E1284" s="80"/>
      <c r="F1284" s="80"/>
      <c r="G1284" s="80"/>
      <c r="H1284" s="80"/>
      <c r="I1284" s="80"/>
      <c r="J1284" s="192">
        <f t="shared" si="764"/>
        <v>107</v>
      </c>
      <c r="K1284" s="192">
        <f t="shared" si="765"/>
        <v>4</v>
      </c>
      <c r="L1284" s="192" t="str">
        <f t="shared" si="760"/>
        <v/>
      </c>
      <c r="M1284" s="216" t="str">
        <f t="shared" ca="1" si="766"/>
        <v/>
      </c>
      <c r="N1284" s="216"/>
      <c r="O1284" s="216"/>
      <c r="P1284" s="216"/>
      <c r="Q1284" s="456">
        <f t="shared" ca="1" si="767"/>
        <v>1</v>
      </c>
      <c r="R1284" s="450">
        <f t="shared" ca="1" si="768"/>
        <v>12</v>
      </c>
      <c r="S1284" s="191">
        <f t="shared" si="769"/>
        <v>107</v>
      </c>
      <c r="T1284" s="191">
        <f t="shared" si="770"/>
        <v>4</v>
      </c>
      <c r="U1284" s="191">
        <f ca="1">OP!$D$5+$S1284-1</f>
        <v>139</v>
      </c>
      <c r="V1284" s="191" t="str">
        <f t="shared" si="771"/>
        <v/>
      </c>
      <c r="W1284" s="350">
        <f ca="1">IF(Q1284&lt;&gt;1,0,VLOOKUP(OP!$C$55,PVFB,$S1284+2,0))</f>
        <v>0</v>
      </c>
      <c r="X1284" s="473" t="str">
        <f t="shared" ca="1" si="784"/>
        <v/>
      </c>
      <c r="Y1284" s="348">
        <f t="shared" ca="1" si="785"/>
        <v>0</v>
      </c>
      <c r="Z1284" s="348">
        <f t="shared" ca="1" si="786"/>
        <v>8012</v>
      </c>
      <c r="AA1284" s="348">
        <f ca="1">IF(Q1284&lt;&gt;1,0,VLOOKUP(OP!$C$55,PVFB,$S1284+2,0))</f>
        <v>0</v>
      </c>
      <c r="AB1284" s="488" t="str">
        <f ca="1">IF(AND(S1284&lt;OP!$C$24,$U1284&lt;15),0,IF(AND($U1284&lt;15,$T1284=12),ROUND(VLOOKUP($S1284,DOWN16,5,0),3),IF($T1284=12,ROUND(($Z1284/10000)*$AA1284,3)+IF(AND($P$7="購買增額繳清保險",T1284=12,U1284=110),VLOOKUP(S1284,$B$10:$H$121,7,0),0),"")))</f>
        <v/>
      </c>
      <c r="AC1284" s="350" t="str">
        <f ca="1">IF(AND(S1284&lt;OP!$C$24,$U1284&lt;15),0,IF(AND($U1284&lt;16,$T1284=12),VLOOKUP($S1284,DOWN16,4,0),IF($T1284=12,ROUND(VLOOKUP(OP!$C$55,_DIE2,$S1284+1,0)*(Z1284/10000),0)+IF(AND($P$7="購買增額繳清保險",T1284=12,U1284=110),VLOOKUP(S1284,$B$10:$H$121,7,0),0),"")))</f>
        <v/>
      </c>
      <c r="AD1284" s="347"/>
      <c r="AE1284" s="350" t="str">
        <f t="shared" ca="1" si="761"/>
        <v/>
      </c>
      <c r="AF1284" s="351" t="str">
        <f t="shared" ca="1" si="762"/>
        <v/>
      </c>
      <c r="AG1284" s="340"/>
      <c r="AH1284" s="340"/>
      <c r="AI1284" s="340"/>
      <c r="AJ1284" s="340"/>
      <c r="AK1284" s="340"/>
      <c r="AL1284" s="340"/>
      <c r="AM1284" s="340"/>
      <c r="AN1284" s="340"/>
      <c r="AO1284" s="340"/>
      <c r="AP1284" s="340"/>
      <c r="AQ1284" s="340"/>
      <c r="AR1284" s="340"/>
      <c r="AS1284" s="340"/>
      <c r="AT1284" s="340"/>
      <c r="AU1284" s="340"/>
      <c r="AV1284" s="340"/>
      <c r="AY1284" s="340"/>
      <c r="AZ1284" s="465">
        <f t="shared" ca="1" si="772"/>
        <v>7.3698599999999999E-5</v>
      </c>
      <c r="BA1284" s="464">
        <f t="shared" ca="1" si="773"/>
        <v>0</v>
      </c>
      <c r="BB1284" s="465">
        <f t="shared" ca="1" si="773"/>
        <v>7.3698599999999999E-5</v>
      </c>
      <c r="BC1284" s="466">
        <f t="shared" ca="1" si="774"/>
        <v>81694</v>
      </c>
      <c r="BD1284" s="467">
        <f t="shared" ca="1" si="787"/>
        <v>81695</v>
      </c>
      <c r="BE1284" s="467">
        <f t="shared" ca="1" si="775"/>
        <v>81723</v>
      </c>
      <c r="BF1284" s="468">
        <f ca="1">IF(計算!$BC1284&lt;OP!$C$3,0,BD1284-BC1284)</f>
        <v>1</v>
      </c>
      <c r="BG1284" s="468">
        <f ca="1">IF($BE1284&gt;DATE(YEAR($BD$9)+OP!$C$57,MONTH($BD$9),DAY($BD$9)),0,$BE1284-$BD1284+1)</f>
        <v>0</v>
      </c>
      <c r="BH1284" s="469">
        <f t="shared" ca="1" si="776"/>
        <v>1</v>
      </c>
      <c r="BI1284" t="str">
        <f t="shared" si="792"/>
        <v/>
      </c>
      <c r="BJ1284">
        <v>3</v>
      </c>
      <c r="BN1284" s="468">
        <f t="shared" si="788"/>
        <v>107</v>
      </c>
      <c r="BO1284" s="468">
        <f t="shared" si="789"/>
        <v>3</v>
      </c>
      <c r="BP1284" s="467">
        <f t="shared" ca="1" si="777"/>
        <v>81695</v>
      </c>
      <c r="BQ1284" s="475">
        <f t="shared" ca="1" si="791"/>
        <v>139</v>
      </c>
      <c r="BR1284" s="475" t="str">
        <f t="shared" si="790"/>
        <v/>
      </c>
      <c r="BS1284" s="471" t="str">
        <f t="shared" si="778"/>
        <v/>
      </c>
      <c r="BT1284" s="472" t="str">
        <f t="shared" si="793"/>
        <v/>
      </c>
      <c r="BU1284" s="472">
        <f t="shared" ca="1" si="779"/>
        <v>0</v>
      </c>
      <c r="BV1284" s="472">
        <f t="shared" ca="1" si="779"/>
        <v>0</v>
      </c>
      <c r="BW1284" s="472"/>
      <c r="BX1284" s="473">
        <f t="shared" ca="1" si="780"/>
        <v>2825256.3945953199</v>
      </c>
      <c r="BY1284" s="473">
        <f t="shared" si="781"/>
        <v>0</v>
      </c>
      <c r="BZ1284" s="473">
        <f t="shared" ca="1" si="763"/>
        <v>208.217440923</v>
      </c>
      <c r="CA1284" s="476">
        <f t="shared" ca="1" si="782"/>
        <v>0</v>
      </c>
      <c r="CB1284" s="494">
        <f ca="1">IF(OR($Q1283&lt;&gt;1,OP!$D$5+$BN1284-1&lt;16,$BN1284-1&lt;1),0,ROUND(ROUND(ROUND(((VLOOKUP($BN1284-1,MORE_PV,5,0)/10000)*VLOOKUP($BN1284,MORE_PV,$CB$5,0)),3)*VLOOKUP($BN1284,more1,5,0),0)/$R1283,0))</f>
        <v>0</v>
      </c>
      <c r="CC1284" s="473">
        <f t="shared" ca="1" si="783"/>
        <v>0</v>
      </c>
      <c r="CD1284" s="477"/>
    </row>
    <row r="1285" spans="2:82" ht="16.5" hidden="1">
      <c r="B1285" s="80"/>
      <c r="C1285" s="80"/>
      <c r="D1285" s="80"/>
      <c r="E1285" s="80"/>
      <c r="F1285" s="80"/>
      <c r="G1285" s="80"/>
      <c r="H1285" s="80"/>
      <c r="I1285" s="80"/>
      <c r="J1285" s="192">
        <f t="shared" si="764"/>
        <v>107</v>
      </c>
      <c r="K1285" s="192">
        <f t="shared" si="765"/>
        <v>5</v>
      </c>
      <c r="L1285" s="192" t="str">
        <f t="shared" si="760"/>
        <v/>
      </c>
      <c r="M1285" s="216" t="str">
        <f t="shared" ca="1" si="766"/>
        <v/>
      </c>
      <c r="N1285" s="216"/>
      <c r="O1285" s="216"/>
      <c r="P1285" s="216"/>
      <c r="Q1285" s="456">
        <f t="shared" ca="1" si="767"/>
        <v>1</v>
      </c>
      <c r="R1285" s="450">
        <f t="shared" ca="1" si="768"/>
        <v>12</v>
      </c>
      <c r="S1285" s="191">
        <f t="shared" si="769"/>
        <v>107</v>
      </c>
      <c r="T1285" s="191">
        <f t="shared" si="770"/>
        <v>5</v>
      </c>
      <c r="U1285" s="191">
        <f ca="1">OP!$D$5+$S1285-1</f>
        <v>139</v>
      </c>
      <c r="V1285" s="191" t="str">
        <f t="shared" si="771"/>
        <v/>
      </c>
      <c r="W1285" s="350">
        <f ca="1">IF(Q1285&lt;&gt;1,0,VLOOKUP(OP!$C$55,PVFB,$S1285+2,0))</f>
        <v>0</v>
      </c>
      <c r="X1285" s="473" t="str">
        <f t="shared" ca="1" si="784"/>
        <v/>
      </c>
      <c r="Y1285" s="348">
        <f t="shared" ca="1" si="785"/>
        <v>0</v>
      </c>
      <c r="Z1285" s="348">
        <f t="shared" ca="1" si="786"/>
        <v>8012</v>
      </c>
      <c r="AA1285" s="348">
        <f ca="1">IF(Q1285&lt;&gt;1,0,VLOOKUP(OP!$C$55,PVFB,$S1285+2,0))</f>
        <v>0</v>
      </c>
      <c r="AB1285" s="488" t="str">
        <f ca="1">IF(AND(S1285&lt;OP!$C$24,$U1285&lt;15),0,IF(AND($U1285&lt;15,$T1285=12),ROUND(VLOOKUP($S1285,DOWN16,5,0),3),IF($T1285=12,ROUND(($Z1285/10000)*$AA1285,3)+IF(AND($P$7="購買增額繳清保險",T1285=12,U1285=110),VLOOKUP(S1285,$B$10:$H$121,7,0),0),"")))</f>
        <v/>
      </c>
      <c r="AC1285" s="350" t="str">
        <f ca="1">IF(AND(S1285&lt;OP!$C$24,$U1285&lt;15),0,IF(AND($U1285&lt;16,$T1285=12),VLOOKUP($S1285,DOWN16,4,0),IF($T1285=12,ROUND(VLOOKUP(OP!$C$55,_DIE2,$S1285+1,0)*(Z1285/10000),0)+IF(AND($P$7="購買增額繳清保險",T1285=12,U1285=110),VLOOKUP(S1285,$B$10:$H$121,7,0),0),"")))</f>
        <v/>
      </c>
      <c r="AD1285" s="347"/>
      <c r="AE1285" s="350" t="str">
        <f t="shared" ca="1" si="761"/>
        <v/>
      </c>
      <c r="AF1285" s="351" t="str">
        <f t="shared" ca="1" si="762"/>
        <v/>
      </c>
      <c r="AG1285" s="340"/>
      <c r="AH1285" s="340"/>
      <c r="AI1285" s="340"/>
      <c r="AJ1285" s="340"/>
      <c r="AK1285" s="340"/>
      <c r="AL1285" s="340"/>
      <c r="AM1285" s="340"/>
      <c r="AN1285" s="340"/>
      <c r="AO1285" s="340"/>
      <c r="AP1285" s="340"/>
      <c r="AQ1285" s="340"/>
      <c r="AR1285" s="340"/>
      <c r="AS1285" s="340"/>
      <c r="AT1285" s="340"/>
      <c r="AU1285" s="340"/>
      <c r="AV1285" s="340"/>
      <c r="AY1285" s="340"/>
      <c r="AZ1285" s="465">
        <f t="shared" ca="1" si="772"/>
        <v>7.3698599999999999E-5</v>
      </c>
      <c r="BA1285" s="464">
        <f t="shared" ca="1" si="773"/>
        <v>0</v>
      </c>
      <c r="BB1285" s="465">
        <f t="shared" ca="1" si="773"/>
        <v>7.3698599999999999E-5</v>
      </c>
      <c r="BC1285" s="466">
        <f t="shared" ca="1" si="774"/>
        <v>81724</v>
      </c>
      <c r="BD1285" s="467">
        <f t="shared" ca="1" si="787"/>
        <v>81725</v>
      </c>
      <c r="BE1285" s="467">
        <f t="shared" ca="1" si="775"/>
        <v>81754</v>
      </c>
      <c r="BF1285" s="468">
        <f ca="1">IF(計算!$BC1285&lt;OP!$C$3,0,BD1285-BC1285)</f>
        <v>1</v>
      </c>
      <c r="BG1285" s="468">
        <f ca="1">IF($BE1285&gt;DATE(YEAR($BD$9)+OP!$C$57,MONTH($BD$9),DAY($BD$9)),0,$BE1285-$BD1285+1)</f>
        <v>0</v>
      </c>
      <c r="BH1285" s="469">
        <f t="shared" ca="1" si="776"/>
        <v>1</v>
      </c>
      <c r="BI1285" t="str">
        <f t="shared" si="792"/>
        <v/>
      </c>
      <c r="BJ1285">
        <v>4</v>
      </c>
      <c r="BN1285" s="468">
        <f t="shared" si="788"/>
        <v>107</v>
      </c>
      <c r="BO1285" s="468">
        <f t="shared" si="789"/>
        <v>4</v>
      </c>
      <c r="BP1285" s="467">
        <f t="shared" ca="1" si="777"/>
        <v>81725</v>
      </c>
      <c r="BQ1285" s="475">
        <f t="shared" ca="1" si="791"/>
        <v>139</v>
      </c>
      <c r="BR1285" s="475" t="str">
        <f t="shared" si="790"/>
        <v/>
      </c>
      <c r="BS1285" s="471" t="str">
        <f t="shared" si="778"/>
        <v/>
      </c>
      <c r="BT1285" s="472" t="str">
        <f t="shared" si="793"/>
        <v/>
      </c>
      <c r="BU1285" s="472">
        <f t="shared" ca="1" si="779"/>
        <v>0</v>
      </c>
      <c r="BV1285" s="472">
        <f t="shared" ca="1" si="779"/>
        <v>0</v>
      </c>
      <c r="BW1285" s="472"/>
      <c r="BX1285" s="473">
        <f t="shared" ca="1" si="780"/>
        <v>2825464.6120362398</v>
      </c>
      <c r="BY1285" s="473">
        <f t="shared" si="781"/>
        <v>0</v>
      </c>
      <c r="BZ1285" s="473">
        <f t="shared" ca="1" si="763"/>
        <v>208.23278625699999</v>
      </c>
      <c r="CA1285" s="476">
        <f t="shared" ca="1" si="782"/>
        <v>0</v>
      </c>
      <c r="CB1285" s="494">
        <f ca="1">IF(OR($Q1284&lt;&gt;1,OP!$D$5+$BN1285-1&lt;16,$BN1285-1&lt;1),0,ROUND(ROUND(ROUND(((VLOOKUP($BN1285-1,MORE_PV,5,0)/10000)*VLOOKUP($BN1285,MORE_PV,$CB$5,0)),3)*VLOOKUP($BN1285,more1,5,0),0)/$R1284,0))</f>
        <v>0</v>
      </c>
      <c r="CC1285" s="473">
        <f t="shared" ca="1" si="783"/>
        <v>0</v>
      </c>
      <c r="CD1285" s="477"/>
    </row>
    <row r="1286" spans="2:82" ht="16.5" hidden="1">
      <c r="B1286" s="80"/>
      <c r="C1286" s="80"/>
      <c r="D1286" s="80"/>
      <c r="E1286" s="80"/>
      <c r="F1286" s="80"/>
      <c r="G1286" s="80"/>
      <c r="H1286" s="80"/>
      <c r="I1286" s="80"/>
      <c r="J1286" s="192">
        <f t="shared" si="764"/>
        <v>107</v>
      </c>
      <c r="K1286" s="192">
        <f t="shared" si="765"/>
        <v>6</v>
      </c>
      <c r="L1286" s="192" t="str">
        <f t="shared" si="760"/>
        <v/>
      </c>
      <c r="M1286" s="216" t="str">
        <f t="shared" ca="1" si="766"/>
        <v/>
      </c>
      <c r="N1286" s="216"/>
      <c r="O1286" s="216"/>
      <c r="P1286" s="216"/>
      <c r="Q1286" s="456">
        <f t="shared" ca="1" si="767"/>
        <v>1</v>
      </c>
      <c r="R1286" s="450">
        <f t="shared" ca="1" si="768"/>
        <v>12</v>
      </c>
      <c r="S1286" s="191">
        <f t="shared" si="769"/>
        <v>107</v>
      </c>
      <c r="T1286" s="191">
        <f t="shared" si="770"/>
        <v>6</v>
      </c>
      <c r="U1286" s="191">
        <f ca="1">OP!$D$5+$S1286-1</f>
        <v>139</v>
      </c>
      <c r="V1286" s="191" t="str">
        <f t="shared" si="771"/>
        <v/>
      </c>
      <c r="W1286" s="350">
        <f ca="1">IF(Q1286&lt;&gt;1,0,VLOOKUP(OP!$C$55,PVFB,$S1286+2,0))</f>
        <v>0</v>
      </c>
      <c r="X1286" s="473" t="str">
        <f t="shared" ca="1" si="784"/>
        <v/>
      </c>
      <c r="Y1286" s="348">
        <f t="shared" ca="1" si="785"/>
        <v>0</v>
      </c>
      <c r="Z1286" s="348">
        <f t="shared" ca="1" si="786"/>
        <v>8012</v>
      </c>
      <c r="AA1286" s="348">
        <f ca="1">IF(Q1286&lt;&gt;1,0,VLOOKUP(OP!$C$55,PVFB,$S1286+2,0))</f>
        <v>0</v>
      </c>
      <c r="AB1286" s="488" t="str">
        <f ca="1">IF(AND(S1286&lt;OP!$C$24,$U1286&lt;15),0,IF(AND($U1286&lt;15,$T1286=12),ROUND(VLOOKUP($S1286,DOWN16,5,0),3),IF($T1286=12,ROUND(($Z1286/10000)*$AA1286,3)+IF(AND($P$7="購買增額繳清保險",T1286=12,U1286=110),VLOOKUP(S1286,$B$10:$H$121,7,0),0),"")))</f>
        <v/>
      </c>
      <c r="AC1286" s="350" t="str">
        <f ca="1">IF(AND(S1286&lt;OP!$C$24,$U1286&lt;15),0,IF(AND($U1286&lt;16,$T1286=12),VLOOKUP($S1286,DOWN16,4,0),IF($T1286=12,ROUND(VLOOKUP(OP!$C$55,_DIE2,$S1286+1,0)*(Z1286/10000),0)+IF(AND($P$7="購買增額繳清保險",T1286=12,U1286=110),VLOOKUP(S1286,$B$10:$H$121,7,0),0),"")))</f>
        <v/>
      </c>
      <c r="AD1286" s="347"/>
      <c r="AE1286" s="350" t="str">
        <f t="shared" ca="1" si="761"/>
        <v/>
      </c>
      <c r="AF1286" s="351" t="str">
        <f t="shared" ca="1" si="762"/>
        <v/>
      </c>
      <c r="AG1286" s="340"/>
      <c r="AH1286" s="340"/>
      <c r="AI1286" s="340"/>
      <c r="AJ1286" s="340"/>
      <c r="AK1286" s="340"/>
      <c r="AL1286" s="340"/>
      <c r="AM1286" s="340"/>
      <c r="AN1286" s="340"/>
      <c r="AO1286" s="340"/>
      <c r="AP1286" s="340"/>
      <c r="AQ1286" s="340"/>
      <c r="AR1286" s="340"/>
      <c r="AS1286" s="340"/>
      <c r="AT1286" s="340"/>
      <c r="AU1286" s="340"/>
      <c r="AV1286" s="340"/>
      <c r="AY1286" s="340"/>
      <c r="AZ1286" s="465">
        <f t="shared" ca="1" si="772"/>
        <v>7.3698599999999999E-5</v>
      </c>
      <c r="BA1286" s="464">
        <f t="shared" ca="1" si="773"/>
        <v>0</v>
      </c>
      <c r="BB1286" s="465">
        <f t="shared" ca="1" si="773"/>
        <v>7.3698599999999999E-5</v>
      </c>
      <c r="BC1286" s="466">
        <f t="shared" ca="1" si="774"/>
        <v>81755</v>
      </c>
      <c r="BD1286" s="467">
        <f t="shared" ca="1" si="787"/>
        <v>81756</v>
      </c>
      <c r="BE1286" s="467">
        <f t="shared" ca="1" si="775"/>
        <v>81784</v>
      </c>
      <c r="BF1286" s="468">
        <f ca="1">IF(計算!$BC1286&lt;OP!$C$3,0,BD1286-BC1286)</f>
        <v>1</v>
      </c>
      <c r="BG1286" s="468">
        <f ca="1">IF($BE1286&gt;DATE(YEAR($BD$9)+OP!$C$57,MONTH($BD$9),DAY($BD$9)),0,$BE1286-$BD1286+1)</f>
        <v>0</v>
      </c>
      <c r="BH1286" s="469">
        <f t="shared" ca="1" si="776"/>
        <v>1</v>
      </c>
      <c r="BI1286" t="str">
        <f t="shared" si="792"/>
        <v/>
      </c>
      <c r="BJ1286">
        <v>5</v>
      </c>
      <c r="BN1286" s="468">
        <f t="shared" si="788"/>
        <v>107</v>
      </c>
      <c r="BO1286" s="468">
        <f t="shared" si="789"/>
        <v>5</v>
      </c>
      <c r="BP1286" s="467">
        <f t="shared" ca="1" si="777"/>
        <v>81756</v>
      </c>
      <c r="BQ1286" s="475">
        <f t="shared" ca="1" si="791"/>
        <v>139</v>
      </c>
      <c r="BR1286" s="475" t="str">
        <f t="shared" si="790"/>
        <v/>
      </c>
      <c r="BS1286" s="471" t="str">
        <f t="shared" si="778"/>
        <v/>
      </c>
      <c r="BT1286" s="472" t="str">
        <f t="shared" si="793"/>
        <v/>
      </c>
      <c r="BU1286" s="472">
        <f t="shared" ca="1" si="779"/>
        <v>0</v>
      </c>
      <c r="BV1286" s="472">
        <f t="shared" ca="1" si="779"/>
        <v>0</v>
      </c>
      <c r="BW1286" s="472"/>
      <c r="BX1286" s="473">
        <f t="shared" ca="1" si="780"/>
        <v>2825672.8448224999</v>
      </c>
      <c r="BY1286" s="473">
        <f t="shared" si="781"/>
        <v>0</v>
      </c>
      <c r="BZ1286" s="473">
        <f t="shared" ca="1" si="763"/>
        <v>208.24813272099999</v>
      </c>
      <c r="CA1286" s="476">
        <f t="shared" ca="1" si="782"/>
        <v>0</v>
      </c>
      <c r="CB1286" s="494">
        <f ca="1">IF(OR($Q1285&lt;&gt;1,OP!$D$5+$BN1286-1&lt;16,$BN1286-1&lt;1),0,ROUND(ROUND(ROUND(((VLOOKUP($BN1286-1,MORE_PV,5,0)/10000)*VLOOKUP($BN1286,MORE_PV,$CB$5,0)),3)*VLOOKUP($BN1286,more1,5,0),0)/$R1285,0))</f>
        <v>0</v>
      </c>
      <c r="CC1286" s="473">
        <f t="shared" ca="1" si="783"/>
        <v>0</v>
      </c>
      <c r="CD1286" s="477"/>
    </row>
    <row r="1287" spans="2:82" ht="16.5" hidden="1">
      <c r="B1287" s="80"/>
      <c r="C1287" s="80"/>
      <c r="D1287" s="80"/>
      <c r="E1287" s="80"/>
      <c r="F1287" s="80"/>
      <c r="G1287" s="80"/>
      <c r="H1287" s="80"/>
      <c r="I1287" s="80"/>
      <c r="J1287" s="192">
        <f t="shared" si="764"/>
        <v>107</v>
      </c>
      <c r="K1287" s="192">
        <f t="shared" si="765"/>
        <v>7</v>
      </c>
      <c r="L1287" s="192" t="str">
        <f t="shared" si="760"/>
        <v/>
      </c>
      <c r="M1287" s="216" t="str">
        <f t="shared" ca="1" si="766"/>
        <v/>
      </c>
      <c r="N1287" s="216"/>
      <c r="O1287" s="216"/>
      <c r="P1287" s="216"/>
      <c r="Q1287" s="456">
        <f t="shared" ca="1" si="767"/>
        <v>1</v>
      </c>
      <c r="R1287" s="450">
        <f t="shared" ca="1" si="768"/>
        <v>12</v>
      </c>
      <c r="S1287" s="191">
        <f t="shared" si="769"/>
        <v>107</v>
      </c>
      <c r="T1287" s="191">
        <f t="shared" si="770"/>
        <v>7</v>
      </c>
      <c r="U1287" s="191">
        <f ca="1">OP!$D$5+$S1287-1</f>
        <v>139</v>
      </c>
      <c r="V1287" s="191" t="str">
        <f t="shared" si="771"/>
        <v/>
      </c>
      <c r="W1287" s="350">
        <f ca="1">IF(Q1287&lt;&gt;1,0,VLOOKUP(OP!$C$55,PVFB,$S1287+2,0))</f>
        <v>0</v>
      </c>
      <c r="X1287" s="473" t="str">
        <f t="shared" ca="1" si="784"/>
        <v/>
      </c>
      <c r="Y1287" s="348">
        <f t="shared" ca="1" si="785"/>
        <v>0</v>
      </c>
      <c r="Z1287" s="348">
        <f t="shared" ca="1" si="786"/>
        <v>8012</v>
      </c>
      <c r="AA1287" s="348">
        <f ca="1">IF(Q1287&lt;&gt;1,0,VLOOKUP(OP!$C$55,PVFB,$S1287+2,0))</f>
        <v>0</v>
      </c>
      <c r="AB1287" s="488" t="str">
        <f ca="1">IF(AND(S1287&lt;OP!$C$24,$U1287&lt;15),0,IF(AND($U1287&lt;15,$T1287=12),ROUND(VLOOKUP($S1287,DOWN16,5,0),3),IF($T1287=12,ROUND(($Z1287/10000)*$AA1287,3)+IF(AND($P$7="購買增額繳清保險",T1287=12,U1287=110),VLOOKUP(S1287,$B$10:$H$121,7,0),0),"")))</f>
        <v/>
      </c>
      <c r="AC1287" s="350" t="str">
        <f ca="1">IF(AND(S1287&lt;OP!$C$24,$U1287&lt;15),0,IF(AND($U1287&lt;16,$T1287=12),VLOOKUP($S1287,DOWN16,4,0),IF($T1287=12,ROUND(VLOOKUP(OP!$C$55,_DIE2,$S1287+1,0)*(Z1287/10000),0)+IF(AND($P$7="購買增額繳清保險",T1287=12,U1287=110),VLOOKUP(S1287,$B$10:$H$121,7,0),0),"")))</f>
        <v/>
      </c>
      <c r="AD1287" s="347"/>
      <c r="AE1287" s="350" t="str">
        <f t="shared" ca="1" si="761"/>
        <v/>
      </c>
      <c r="AF1287" s="351" t="str">
        <f t="shared" ca="1" si="762"/>
        <v/>
      </c>
      <c r="AG1287" s="340"/>
      <c r="AH1287" s="340"/>
      <c r="AI1287" s="340"/>
      <c r="AJ1287" s="340"/>
      <c r="AK1287" s="340"/>
      <c r="AL1287" s="340"/>
      <c r="AM1287" s="340"/>
      <c r="AN1287" s="340"/>
      <c r="AO1287" s="340"/>
      <c r="AP1287" s="340"/>
      <c r="AQ1287" s="340"/>
      <c r="AR1287" s="340"/>
      <c r="AS1287" s="340"/>
      <c r="AT1287" s="340"/>
      <c r="AU1287" s="340"/>
      <c r="AV1287" s="340"/>
      <c r="AY1287" s="340"/>
      <c r="AZ1287" s="465">
        <f t="shared" ca="1" si="772"/>
        <v>7.3698599999999999E-5</v>
      </c>
      <c r="BA1287" s="464">
        <f t="shared" ca="1" si="773"/>
        <v>0</v>
      </c>
      <c r="BB1287" s="465">
        <f t="shared" ca="1" si="773"/>
        <v>7.3698599999999999E-5</v>
      </c>
      <c r="BC1287" s="466">
        <f t="shared" ca="1" si="774"/>
        <v>81785</v>
      </c>
      <c r="BD1287" s="467">
        <f t="shared" ca="1" si="787"/>
        <v>81786</v>
      </c>
      <c r="BE1287" s="467">
        <f t="shared" ca="1" si="775"/>
        <v>81815</v>
      </c>
      <c r="BF1287" s="468">
        <f ca="1">IF(計算!$BC1287&lt;OP!$C$3,0,BD1287-BC1287)</f>
        <v>1</v>
      </c>
      <c r="BG1287" s="468">
        <f ca="1">IF($BE1287&gt;DATE(YEAR($BD$9)+OP!$C$57,MONTH($BD$9),DAY($BD$9)),0,$BE1287-$BD1287+1)</f>
        <v>0</v>
      </c>
      <c r="BH1287" s="469">
        <f t="shared" ca="1" si="776"/>
        <v>1</v>
      </c>
      <c r="BI1287" t="str">
        <f t="shared" si="792"/>
        <v/>
      </c>
      <c r="BJ1287">
        <v>6</v>
      </c>
      <c r="BN1287" s="468">
        <f t="shared" si="788"/>
        <v>107</v>
      </c>
      <c r="BO1287" s="468">
        <f t="shared" si="789"/>
        <v>6</v>
      </c>
      <c r="BP1287" s="467">
        <f t="shared" ca="1" si="777"/>
        <v>81786</v>
      </c>
      <c r="BQ1287" s="475">
        <f t="shared" ca="1" si="791"/>
        <v>139</v>
      </c>
      <c r="BR1287" s="475" t="str">
        <f t="shared" si="790"/>
        <v/>
      </c>
      <c r="BS1287" s="471" t="str">
        <f t="shared" si="778"/>
        <v/>
      </c>
      <c r="BT1287" s="472" t="str">
        <f t="shared" si="793"/>
        <v/>
      </c>
      <c r="BU1287" s="472">
        <f t="shared" ca="1" si="779"/>
        <v>0</v>
      </c>
      <c r="BV1287" s="472">
        <f t="shared" ca="1" si="779"/>
        <v>0</v>
      </c>
      <c r="BW1287" s="472"/>
      <c r="BX1287" s="473">
        <f t="shared" ca="1" si="780"/>
        <v>2825881.09295522</v>
      </c>
      <c r="BY1287" s="473">
        <f t="shared" si="781"/>
        <v>0</v>
      </c>
      <c r="BZ1287" s="473">
        <f t="shared" ca="1" si="763"/>
        <v>208.26348031699999</v>
      </c>
      <c r="CA1287" s="476">
        <f t="shared" ca="1" si="782"/>
        <v>0</v>
      </c>
      <c r="CB1287" s="494">
        <f ca="1">IF(OR($Q1286&lt;&gt;1,OP!$D$5+$BN1287-1&lt;16,$BN1287-1&lt;1),0,ROUND(ROUND(ROUND(((VLOOKUP($BN1287-1,MORE_PV,5,0)/10000)*VLOOKUP($BN1287,MORE_PV,$CB$5,0)),3)*VLOOKUP($BN1287,more1,5,0),0)/$R1286,0))</f>
        <v>0</v>
      </c>
      <c r="CC1287" s="473">
        <f t="shared" ca="1" si="783"/>
        <v>0</v>
      </c>
      <c r="CD1287" s="477"/>
    </row>
    <row r="1288" spans="2:82" ht="16.5" hidden="1">
      <c r="B1288" s="80"/>
      <c r="C1288" s="80"/>
      <c r="D1288" s="80"/>
      <c r="E1288" s="80"/>
      <c r="F1288" s="80"/>
      <c r="G1288" s="80"/>
      <c r="H1288" s="80"/>
      <c r="I1288" s="80"/>
      <c r="J1288" s="192">
        <f t="shared" si="764"/>
        <v>107</v>
      </c>
      <c r="K1288" s="192">
        <f t="shared" si="765"/>
        <v>8</v>
      </c>
      <c r="L1288" s="192" t="str">
        <f t="shared" si="760"/>
        <v/>
      </c>
      <c r="M1288" s="216" t="str">
        <f t="shared" ca="1" si="766"/>
        <v/>
      </c>
      <c r="N1288" s="216"/>
      <c r="O1288" s="216"/>
      <c r="P1288" s="216"/>
      <c r="Q1288" s="456">
        <f t="shared" ca="1" si="767"/>
        <v>1</v>
      </c>
      <c r="R1288" s="450">
        <f t="shared" ca="1" si="768"/>
        <v>12</v>
      </c>
      <c r="S1288" s="191">
        <f t="shared" si="769"/>
        <v>107</v>
      </c>
      <c r="T1288" s="191">
        <f t="shared" si="770"/>
        <v>8</v>
      </c>
      <c r="U1288" s="191">
        <f ca="1">OP!$D$5+$S1288-1</f>
        <v>139</v>
      </c>
      <c r="V1288" s="191" t="str">
        <f t="shared" si="771"/>
        <v/>
      </c>
      <c r="W1288" s="350">
        <f ca="1">IF(Q1288&lt;&gt;1,0,VLOOKUP(OP!$C$55,PVFB,$S1288+2,0))</f>
        <v>0</v>
      </c>
      <c r="X1288" s="473" t="str">
        <f t="shared" ca="1" si="784"/>
        <v/>
      </c>
      <c r="Y1288" s="348">
        <f t="shared" ca="1" si="785"/>
        <v>0</v>
      </c>
      <c r="Z1288" s="348">
        <f t="shared" ca="1" si="786"/>
        <v>8012</v>
      </c>
      <c r="AA1288" s="348">
        <f ca="1">IF(Q1288&lt;&gt;1,0,VLOOKUP(OP!$C$55,PVFB,$S1288+2,0))</f>
        <v>0</v>
      </c>
      <c r="AB1288" s="488" t="str">
        <f ca="1">IF(AND(S1288&lt;OP!$C$24,$U1288&lt;15),0,IF(AND($U1288&lt;15,$T1288=12),ROUND(VLOOKUP($S1288,DOWN16,5,0),3),IF($T1288=12,ROUND(($Z1288/10000)*$AA1288,3)+IF(AND($P$7="購買增額繳清保險",T1288=12,U1288=110),VLOOKUP(S1288,$B$10:$H$121,7,0),0),"")))</f>
        <v/>
      </c>
      <c r="AC1288" s="350" t="str">
        <f ca="1">IF(AND(S1288&lt;OP!$C$24,$U1288&lt;15),0,IF(AND($U1288&lt;16,$T1288=12),VLOOKUP($S1288,DOWN16,4,0),IF($T1288=12,ROUND(VLOOKUP(OP!$C$55,_DIE2,$S1288+1,0)*(Z1288/10000),0)+IF(AND($P$7="購買增額繳清保險",T1288=12,U1288=110),VLOOKUP(S1288,$B$10:$H$121,7,0),0),"")))</f>
        <v/>
      </c>
      <c r="AD1288" s="347"/>
      <c r="AE1288" s="350" t="str">
        <f t="shared" ca="1" si="761"/>
        <v/>
      </c>
      <c r="AF1288" s="351" t="str">
        <f t="shared" ca="1" si="762"/>
        <v/>
      </c>
      <c r="AG1288" s="340"/>
      <c r="AH1288" s="340"/>
      <c r="AI1288" s="340"/>
      <c r="AJ1288" s="340"/>
      <c r="AK1288" s="340"/>
      <c r="AL1288" s="340"/>
      <c r="AM1288" s="340"/>
      <c r="AN1288" s="340"/>
      <c r="AO1288" s="340"/>
      <c r="AP1288" s="340"/>
      <c r="AQ1288" s="340"/>
      <c r="AR1288" s="340"/>
      <c r="AS1288" s="340"/>
      <c r="AT1288" s="340"/>
      <c r="AU1288" s="340"/>
      <c r="AV1288" s="340"/>
      <c r="AY1288" s="340"/>
      <c r="AZ1288" s="465">
        <f t="shared" ca="1" si="772"/>
        <v>7.3698599999999999E-5</v>
      </c>
      <c r="BA1288" s="464">
        <f t="shared" ca="1" si="773"/>
        <v>0</v>
      </c>
      <c r="BB1288" s="465">
        <f t="shared" ca="1" si="773"/>
        <v>7.3698599999999999E-5</v>
      </c>
      <c r="BC1288" s="466">
        <f t="shared" ca="1" si="774"/>
        <v>81816</v>
      </c>
      <c r="BD1288" s="467">
        <f t="shared" ca="1" si="787"/>
        <v>81817</v>
      </c>
      <c r="BE1288" s="467">
        <f t="shared" ca="1" si="775"/>
        <v>81846</v>
      </c>
      <c r="BF1288" s="468">
        <f ca="1">IF(計算!$BC1288&lt;OP!$C$3,0,BD1288-BC1288)</f>
        <v>1</v>
      </c>
      <c r="BG1288" s="468">
        <f ca="1">IF($BE1288&gt;DATE(YEAR($BD$9)+OP!$C$57,MONTH($BD$9),DAY($BD$9)),0,$BE1288-$BD1288+1)</f>
        <v>0</v>
      </c>
      <c r="BH1288" s="469">
        <f t="shared" ca="1" si="776"/>
        <v>1</v>
      </c>
      <c r="BI1288" t="str">
        <f t="shared" si="792"/>
        <v/>
      </c>
      <c r="BJ1288">
        <v>7</v>
      </c>
      <c r="BN1288" s="468">
        <f t="shared" si="788"/>
        <v>107</v>
      </c>
      <c r="BO1288" s="468">
        <f t="shared" si="789"/>
        <v>7</v>
      </c>
      <c r="BP1288" s="467">
        <f t="shared" ca="1" si="777"/>
        <v>81817</v>
      </c>
      <c r="BQ1288" s="475">
        <f t="shared" ca="1" si="791"/>
        <v>139</v>
      </c>
      <c r="BR1288" s="475" t="str">
        <f t="shared" si="790"/>
        <v/>
      </c>
      <c r="BS1288" s="471" t="str">
        <f t="shared" si="778"/>
        <v/>
      </c>
      <c r="BT1288" s="472" t="str">
        <f t="shared" si="793"/>
        <v/>
      </c>
      <c r="BU1288" s="472">
        <f t="shared" ca="1" si="779"/>
        <v>0</v>
      </c>
      <c r="BV1288" s="472">
        <f t="shared" ca="1" si="779"/>
        <v>0</v>
      </c>
      <c r="BW1288" s="472"/>
      <c r="BX1288" s="473">
        <f t="shared" ca="1" si="780"/>
        <v>2826089.3564355401</v>
      </c>
      <c r="BY1288" s="473">
        <f t="shared" si="781"/>
        <v>0</v>
      </c>
      <c r="BZ1288" s="473">
        <f t="shared" ca="1" si="763"/>
        <v>208.27882904399999</v>
      </c>
      <c r="CA1288" s="476">
        <f t="shared" ca="1" si="782"/>
        <v>0</v>
      </c>
      <c r="CB1288" s="494">
        <f ca="1">IF(OR($Q1287&lt;&gt;1,OP!$D$5+$BN1288-1&lt;16,$BN1288-1&lt;1),0,ROUND(ROUND(ROUND(((VLOOKUP($BN1288-1,MORE_PV,5,0)/10000)*VLOOKUP($BN1288,MORE_PV,$CB$5,0)),3)*VLOOKUP($BN1288,more1,5,0),0)/$R1287,0))</f>
        <v>0</v>
      </c>
      <c r="CC1288" s="473">
        <f t="shared" ca="1" si="783"/>
        <v>0</v>
      </c>
      <c r="CD1288" s="477"/>
    </row>
    <row r="1289" spans="2:82" ht="16.5" hidden="1">
      <c r="B1289" s="80"/>
      <c r="C1289" s="80"/>
      <c r="D1289" s="80"/>
      <c r="E1289" s="80"/>
      <c r="F1289" s="80"/>
      <c r="G1289" s="80"/>
      <c r="H1289" s="80"/>
      <c r="I1289" s="80"/>
      <c r="J1289" s="192">
        <f t="shared" si="764"/>
        <v>107</v>
      </c>
      <c r="K1289" s="192">
        <f t="shared" si="765"/>
        <v>9</v>
      </c>
      <c r="L1289" s="192" t="str">
        <f t="shared" ref="L1289:L1340" si="794">IF($K1289=12,$J1289,"")</f>
        <v/>
      </c>
      <c r="M1289" s="216" t="str">
        <f t="shared" ca="1" si="766"/>
        <v/>
      </c>
      <c r="N1289" s="216"/>
      <c r="O1289" s="216"/>
      <c r="P1289" s="216"/>
      <c r="Q1289" s="456">
        <f t="shared" ca="1" si="767"/>
        <v>1</v>
      </c>
      <c r="R1289" s="450">
        <f t="shared" ca="1" si="768"/>
        <v>12</v>
      </c>
      <c r="S1289" s="191">
        <f t="shared" si="769"/>
        <v>107</v>
      </c>
      <c r="T1289" s="191">
        <f t="shared" si="770"/>
        <v>9</v>
      </c>
      <c r="U1289" s="191">
        <f ca="1">OP!$D$5+$S1289-1</f>
        <v>139</v>
      </c>
      <c r="V1289" s="191" t="str">
        <f t="shared" si="771"/>
        <v/>
      </c>
      <c r="W1289" s="350">
        <f ca="1">IF(Q1289&lt;&gt;1,0,VLOOKUP(OP!$C$55,PVFB,$S1289+2,0))</f>
        <v>0</v>
      </c>
      <c r="X1289" s="473" t="str">
        <f t="shared" ca="1" si="784"/>
        <v/>
      </c>
      <c r="Y1289" s="348">
        <f t="shared" ca="1" si="785"/>
        <v>0</v>
      </c>
      <c r="Z1289" s="348">
        <f t="shared" ca="1" si="786"/>
        <v>8012</v>
      </c>
      <c r="AA1289" s="348">
        <f ca="1">IF(Q1289&lt;&gt;1,0,VLOOKUP(OP!$C$55,PVFB,$S1289+2,0))</f>
        <v>0</v>
      </c>
      <c r="AB1289" s="488" t="str">
        <f ca="1">IF(AND(S1289&lt;OP!$C$24,$U1289&lt;15),0,IF(AND($U1289&lt;15,$T1289=12),ROUND(VLOOKUP($S1289,DOWN16,5,0),3),IF($T1289=12,ROUND(($Z1289/10000)*$AA1289,3)+IF(AND($P$7="購買增額繳清保險",T1289=12,U1289=110),VLOOKUP(S1289,$B$10:$H$121,7,0),0),"")))</f>
        <v/>
      </c>
      <c r="AC1289" s="350" t="str">
        <f ca="1">IF(AND(S1289&lt;OP!$C$24,$U1289&lt;15),0,IF(AND($U1289&lt;16,$T1289=12),VLOOKUP($S1289,DOWN16,4,0),IF($T1289=12,ROUND(VLOOKUP(OP!$C$55,_DIE2,$S1289+1,0)*(Z1289/10000),0)+IF(AND($P$7="購買增額繳清保險",T1289=12,U1289=110),VLOOKUP(S1289,$B$10:$H$121,7,0),0),"")))</f>
        <v/>
      </c>
      <c r="AD1289" s="347"/>
      <c r="AE1289" s="350" t="str">
        <f t="shared" ref="AE1289:AE1340" ca="1" si="795">IF(AND($U$9&lt;16,$T1289=12),VLOOKUP($S1289,DOWN16,4,0),"")</f>
        <v/>
      </c>
      <c r="AF1289" s="351" t="str">
        <f t="shared" ref="AF1289:AF1340" ca="1" si="796">IF(AND($U$9&lt;16,$T1289=12),VLOOKUP($S1289,DOWN16,5,0),"")</f>
        <v/>
      </c>
      <c r="AG1289" s="340"/>
      <c r="AH1289" s="340"/>
      <c r="AI1289" s="340"/>
      <c r="AJ1289" s="340"/>
      <c r="AK1289" s="340"/>
      <c r="AL1289" s="340"/>
      <c r="AM1289" s="340"/>
      <c r="AN1289" s="340"/>
      <c r="AO1289" s="340"/>
      <c r="AP1289" s="340"/>
      <c r="AQ1289" s="340"/>
      <c r="AR1289" s="340"/>
      <c r="AS1289" s="340"/>
      <c r="AT1289" s="340"/>
      <c r="AU1289" s="340"/>
      <c r="AV1289" s="340"/>
      <c r="AY1289" s="340"/>
      <c r="AZ1289" s="465">
        <f t="shared" ca="1" si="772"/>
        <v>7.3698599999999999E-5</v>
      </c>
      <c r="BA1289" s="464">
        <f t="shared" ca="1" si="773"/>
        <v>0</v>
      </c>
      <c r="BB1289" s="465">
        <f t="shared" ca="1" si="773"/>
        <v>7.3698599999999999E-5</v>
      </c>
      <c r="BC1289" s="466">
        <f t="shared" ca="1" si="774"/>
        <v>81847</v>
      </c>
      <c r="BD1289" s="467">
        <f t="shared" ca="1" si="787"/>
        <v>81848</v>
      </c>
      <c r="BE1289" s="467">
        <f t="shared" ca="1" si="775"/>
        <v>81875</v>
      </c>
      <c r="BF1289" s="468">
        <f ca="1">IF(計算!$BC1289&lt;OP!$C$3,0,BD1289-BC1289)</f>
        <v>1</v>
      </c>
      <c r="BG1289" s="468">
        <f ca="1">IF($BE1289&gt;DATE(YEAR($BD$9)+OP!$C$57,MONTH($BD$9),DAY($BD$9)),0,$BE1289-$BD1289+1)</f>
        <v>0</v>
      </c>
      <c r="BH1289" s="469">
        <f t="shared" ca="1" si="776"/>
        <v>1</v>
      </c>
      <c r="BI1289" t="str">
        <f t="shared" si="792"/>
        <v/>
      </c>
      <c r="BJ1289">
        <v>8</v>
      </c>
      <c r="BN1289" s="468">
        <f t="shared" si="788"/>
        <v>107</v>
      </c>
      <c r="BO1289" s="468">
        <f t="shared" si="789"/>
        <v>8</v>
      </c>
      <c r="BP1289" s="467">
        <f t="shared" ca="1" si="777"/>
        <v>81848</v>
      </c>
      <c r="BQ1289" s="475">
        <f t="shared" ca="1" si="791"/>
        <v>139</v>
      </c>
      <c r="BR1289" s="475" t="str">
        <f t="shared" si="790"/>
        <v/>
      </c>
      <c r="BS1289" s="471" t="str">
        <f t="shared" si="778"/>
        <v/>
      </c>
      <c r="BT1289" s="472" t="str">
        <f t="shared" si="793"/>
        <v/>
      </c>
      <c r="BU1289" s="472">
        <f t="shared" ca="1" si="779"/>
        <v>0</v>
      </c>
      <c r="BV1289" s="472">
        <f t="shared" ca="1" si="779"/>
        <v>0</v>
      </c>
      <c r="BW1289" s="472"/>
      <c r="BX1289" s="473">
        <f t="shared" ca="1" si="780"/>
        <v>2826297.6352645801</v>
      </c>
      <c r="BY1289" s="473">
        <f t="shared" si="781"/>
        <v>0</v>
      </c>
      <c r="BZ1289" s="473">
        <f t="shared" ref="BZ1289:BZ1341" ca="1" si="797">ROUND(BX1289*IF(BO1289=12,$BA1289,$BB1289),$CB$6)</f>
        <v>208.294178902</v>
      </c>
      <c r="CA1289" s="476">
        <f t="shared" ca="1" si="782"/>
        <v>0</v>
      </c>
      <c r="CB1289" s="494">
        <f ca="1">IF(OR($Q1288&lt;&gt;1,OP!$D$5+$BN1289-1&lt;16,$BN1289-1&lt;1),0,ROUND(ROUND(ROUND(((VLOOKUP($BN1289-1,MORE_PV,5,0)/10000)*VLOOKUP($BN1289,MORE_PV,$CB$5,0)),3)*VLOOKUP($BN1289,more1,5,0),0)/$R1288,0))</f>
        <v>0</v>
      </c>
      <c r="CC1289" s="473">
        <f t="shared" ca="1" si="783"/>
        <v>0</v>
      </c>
      <c r="CD1289" s="477"/>
    </row>
    <row r="1290" spans="2:82" ht="16.5" hidden="1">
      <c r="B1290" s="80"/>
      <c r="C1290" s="80"/>
      <c r="D1290" s="80"/>
      <c r="E1290" s="80"/>
      <c r="F1290" s="80"/>
      <c r="G1290" s="80"/>
      <c r="H1290" s="80"/>
      <c r="I1290" s="80"/>
      <c r="J1290" s="192">
        <f t="shared" ref="J1290:J1340" si="798">IF(K1289=12,J1289+1,J1289)</f>
        <v>107</v>
      </c>
      <c r="K1290" s="192">
        <f t="shared" ref="K1290:K1340" si="799">IF(K1289=12,1,K1289+1)</f>
        <v>10</v>
      </c>
      <c r="L1290" s="192" t="str">
        <f t="shared" si="794"/>
        <v/>
      </c>
      <c r="M1290" s="216" t="str">
        <f t="shared" ref="M1290:M1340" ca="1" si="800">IF($Q1290=1,VLOOKUP(L1290,$BR$9:$BT$1341,3,0),0)</f>
        <v/>
      </c>
      <c r="N1290" s="216"/>
      <c r="O1290" s="216"/>
      <c r="P1290" s="216"/>
      <c r="Q1290" s="456">
        <f t="shared" ref="Q1290:Q1340" ca="1" si="801">IF(OR($U1290&gt;=$I$5,AND($G$5=1,$K1290=12),AND($G$5=2,OR($K1290=6,$K1290=12)),AND($G$5=4,OR($K1290=3,$K1290=6,$K1290=9,$K1290=12)),$G$5=12),1,"")</f>
        <v>1</v>
      </c>
      <c r="R1290" s="450">
        <f t="shared" ref="R1290:R1340" ca="1" si="802">IF($U1290&lt;$I$5,$G$5,$I$6)</f>
        <v>12</v>
      </c>
      <c r="S1290" s="191">
        <f t="shared" ref="S1290:S1340" si="803">IF(T1289=12,S1289+1,S1289)</f>
        <v>107</v>
      </c>
      <c r="T1290" s="191">
        <f t="shared" ref="T1290:T1340" si="804">IF(T1289=12,1,T1289+1)</f>
        <v>10</v>
      </c>
      <c r="U1290" s="191">
        <f ca="1">OP!$D$5+$S1290-1</f>
        <v>139</v>
      </c>
      <c r="V1290" s="191" t="str">
        <f t="shared" ref="V1290:V1340" si="805">IF($T1290=12,$S1290,"")</f>
        <v/>
      </c>
      <c r="W1290" s="350">
        <f ca="1">IF(Q1290&lt;&gt;1,0,VLOOKUP(OP!$C$55,PVFB,$S1290+2,0))</f>
        <v>0</v>
      </c>
      <c r="X1290" s="473" t="str">
        <f t="shared" ca="1" si="784"/>
        <v/>
      </c>
      <c r="Y1290" s="348">
        <f t="shared" ca="1" si="785"/>
        <v>0</v>
      </c>
      <c r="Z1290" s="348">
        <f t="shared" ca="1" si="786"/>
        <v>8012</v>
      </c>
      <c r="AA1290" s="348">
        <f ca="1">IF(Q1290&lt;&gt;1,0,VLOOKUP(OP!$C$55,PVFB,$S1290+2,0))</f>
        <v>0</v>
      </c>
      <c r="AB1290" s="488" t="str">
        <f ca="1">IF(AND(S1290&lt;OP!$C$24,$U1290&lt;15),0,IF(AND($U1290&lt;15,$T1290=12),ROUND(VLOOKUP($S1290,DOWN16,5,0),3),IF($T1290=12,ROUND(($Z1290/10000)*$AA1290,3)+IF(AND($P$7="購買增額繳清保險",T1290=12,U1290=110),VLOOKUP(S1290,$B$10:$H$121,7,0),0),"")))</f>
        <v/>
      </c>
      <c r="AC1290" s="350" t="str">
        <f ca="1">IF(AND(S1290&lt;OP!$C$24,$U1290&lt;15),0,IF(AND($U1290&lt;16,$T1290=12),VLOOKUP($S1290,DOWN16,4,0),IF($T1290=12,ROUND(VLOOKUP(OP!$C$55,_DIE2,$S1290+1,0)*(Z1290/10000),0)+IF(AND($P$7="購買增額繳清保險",T1290=12,U1290=110),VLOOKUP(S1290,$B$10:$H$121,7,0),0),"")))</f>
        <v/>
      </c>
      <c r="AD1290" s="347"/>
      <c r="AE1290" s="350" t="str">
        <f t="shared" ca="1" si="795"/>
        <v/>
      </c>
      <c r="AF1290" s="351" t="str">
        <f t="shared" ca="1" si="796"/>
        <v/>
      </c>
      <c r="AG1290" s="340"/>
      <c r="AH1290" s="340"/>
      <c r="AI1290" s="340"/>
      <c r="AJ1290" s="340"/>
      <c r="AK1290" s="340"/>
      <c r="AL1290" s="340"/>
      <c r="AM1290" s="340"/>
      <c r="AN1290" s="340"/>
      <c r="AO1290" s="340"/>
      <c r="AP1290" s="340"/>
      <c r="AQ1290" s="340"/>
      <c r="AR1290" s="340"/>
      <c r="AS1290" s="340"/>
      <c r="AT1290" s="340"/>
      <c r="AU1290" s="340"/>
      <c r="AV1290" s="340"/>
      <c r="AY1290" s="340"/>
      <c r="AZ1290" s="465">
        <f t="shared" ref="AZ1290:AZ1341" ca="1" si="806">ROUND(($G$3*BF1290/365),10)</f>
        <v>7.3698599999999999E-5</v>
      </c>
      <c r="BA1290" s="464">
        <f t="shared" ref="BA1290:BB1340" ca="1" si="807">ROUND(($G$3*BG1290/365),10)</f>
        <v>0</v>
      </c>
      <c r="BB1290" s="465">
        <f t="shared" ca="1" si="807"/>
        <v>7.3698599999999999E-5</v>
      </c>
      <c r="BC1290" s="466">
        <f t="shared" ref="BC1290:BC1341" ca="1" si="808">DATE(YEAR(BD1290),MONTH(BD1290),1)</f>
        <v>81876</v>
      </c>
      <c r="BD1290" s="467">
        <f t="shared" ca="1" si="787"/>
        <v>81877</v>
      </c>
      <c r="BE1290" s="467">
        <f t="shared" ref="BE1290:BE1341" ca="1" si="809">DATE(YEAR(BD1290),MONTH(BD1290),DAY(DATE(YEAR(BD1290),MONTH(BD1290)+1,0)))</f>
        <v>81906</v>
      </c>
      <c r="BF1290" s="468">
        <f ca="1">IF(計算!$BC1290&lt;OP!$C$3,0,BD1290-BC1290)</f>
        <v>1</v>
      </c>
      <c r="BG1290" s="468">
        <f ca="1">IF($BE1290&gt;DATE(YEAR($BD$9)+OP!$C$57,MONTH($BD$9),DAY($BD$9)),0,$BE1290-$BD1290+1)</f>
        <v>0</v>
      </c>
      <c r="BH1290" s="469">
        <f t="shared" ref="BH1290:BH1341" ca="1" si="810">BF1290+BG1290</f>
        <v>1</v>
      </c>
      <c r="BI1290" t="str">
        <f t="shared" si="792"/>
        <v/>
      </c>
      <c r="BJ1290">
        <v>9</v>
      </c>
      <c r="BN1290" s="468">
        <f t="shared" si="788"/>
        <v>107</v>
      </c>
      <c r="BO1290" s="468">
        <f t="shared" si="789"/>
        <v>9</v>
      </c>
      <c r="BP1290" s="467">
        <f t="shared" ref="BP1290:BP1341" ca="1" si="811">BD1290</f>
        <v>81877</v>
      </c>
      <c r="BQ1290" s="475">
        <f t="shared" ca="1" si="791"/>
        <v>139</v>
      </c>
      <c r="BR1290" s="475" t="str">
        <f t="shared" si="790"/>
        <v/>
      </c>
      <c r="BS1290" s="471" t="str">
        <f t="shared" ref="BS1290:BS1341" si="812">IF(BW1290&lt;&gt;"",ROUND(BU1290,0)+ROUND(BV1290,0),"")</f>
        <v/>
      </c>
      <c r="BT1290" s="472" t="str">
        <f t="shared" si="793"/>
        <v/>
      </c>
      <c r="BU1290" s="472">
        <f t="shared" ref="BU1290:BV1341" ca="1" si="813">ROUND(CA1290,0)</f>
        <v>0</v>
      </c>
      <c r="BV1290" s="472">
        <f t="shared" ca="1" si="813"/>
        <v>0</v>
      </c>
      <c r="BW1290" s="472"/>
      <c r="BX1290" s="473">
        <f t="shared" ref="BX1290:BX1341" ca="1" si="814">IF(BN1290&lt;=$P$4,0,ROUNDDOWN(IF($Q1289=1,CA1290+CB1290-CC1290,0)+BX1289+BY1290+BZ1289,VLOOKUP(LEN(ROUNDDOWN(IF($Q1289=1,CA1290+CB1290-CC1290,0)+BX1289+BY1290+BZ1289,0)),$BK$9:$BL$24,2,0)))</f>
        <v>2826505.92944348</v>
      </c>
      <c r="BY1290" s="473">
        <f t="shared" ref="BY1290:BY1341" si="815">IF(BO1290=12,ROUND((BX1289+BZ1289)*$AZ1290,$CB$6),0)</f>
        <v>0</v>
      </c>
      <c r="BZ1290" s="473">
        <f t="shared" ca="1" si="797"/>
        <v>208.309529892</v>
      </c>
      <c r="CA1290" s="476">
        <f t="shared" ref="CA1290:CA1341" ca="1" si="816">IF($Q1289=1,ROUND(VLOOKUP($BN1290,more1,3,0)*VLOOKUP($BN1290,more1,5,0)/$R1289,0),0)</f>
        <v>0</v>
      </c>
      <c r="CB1290" s="494">
        <f ca="1">IF(OR($Q1289&lt;&gt;1,OP!$D$5+$BN1290-1&lt;16,$BN1290-1&lt;1),0,ROUND(ROUND(ROUND(((VLOOKUP($BN1290-1,MORE_PV,5,0)/10000)*VLOOKUP($BN1290,MORE_PV,$CB$5,0)),3)*VLOOKUP($BN1290,more1,5,0),0)/$R1289,0))</f>
        <v>0</v>
      </c>
      <c r="CC1290" s="473">
        <f t="shared" ref="CC1290:CC1341" ca="1" si="817">IF(AND($BN1290=$P$4,$BO1290=12),$CA1290+$CB1290,IF(AND($BN1290&gt;$P$4,$Q1289=1,$G$6="現金給付",$CA1290+$CB1290&gt;=$P$3),$CA1290+$CB1290,0))</f>
        <v>0</v>
      </c>
      <c r="CD1290" s="477"/>
    </row>
    <row r="1291" spans="2:82" ht="16.5" hidden="1">
      <c r="B1291" s="80"/>
      <c r="C1291" s="80"/>
      <c r="D1291" s="80"/>
      <c r="E1291" s="80"/>
      <c r="F1291" s="80"/>
      <c r="G1291" s="80"/>
      <c r="H1291" s="80"/>
      <c r="I1291" s="80"/>
      <c r="J1291" s="192">
        <f t="shared" si="798"/>
        <v>107</v>
      </c>
      <c r="K1291" s="192">
        <f t="shared" si="799"/>
        <v>11</v>
      </c>
      <c r="L1291" s="192" t="str">
        <f t="shared" si="794"/>
        <v/>
      </c>
      <c r="M1291" s="216" t="str">
        <f t="shared" ca="1" si="800"/>
        <v/>
      </c>
      <c r="N1291" s="216"/>
      <c r="O1291" s="216"/>
      <c r="P1291" s="216"/>
      <c r="Q1291" s="456">
        <f t="shared" ca="1" si="801"/>
        <v>1</v>
      </c>
      <c r="R1291" s="450">
        <f t="shared" ca="1" si="802"/>
        <v>12</v>
      </c>
      <c r="S1291" s="191">
        <f t="shared" si="803"/>
        <v>107</v>
      </c>
      <c r="T1291" s="191">
        <f t="shared" si="804"/>
        <v>11</v>
      </c>
      <c r="U1291" s="191">
        <f ca="1">OP!$D$5+$S1291-1</f>
        <v>139</v>
      </c>
      <c r="V1291" s="191" t="str">
        <f t="shared" si="805"/>
        <v/>
      </c>
      <c r="W1291" s="350">
        <f ca="1">IF(Q1291&lt;&gt;1,0,VLOOKUP(OP!$C$55,PVFB,$S1291+2,0))</f>
        <v>0</v>
      </c>
      <c r="X1291" s="473" t="str">
        <f t="shared" ref="X1291:X1340" ca="1" si="818">IF(AND($U1291=15,$T1291=12),$CO1292,IF(AND($U1291&gt;15,$S1291&lt;=$P$4,$T1291=12),($BS1292)*$R1291,IF($Q1291=1,($BS1292),0)))</f>
        <v/>
      </c>
      <c r="Y1291" s="348">
        <f t="shared" ref="Y1291:Y1340" ca="1" si="819">IF(AND($P$7="購買增額繳清保險",U1291&gt;=110),0,IF(AND($U1291=15,$W1291&lt;&gt;0,$T1291=12),ROUND(($X1291)/($W1291/10000),0),IF(AND($S1291&lt;=$P$4,$W1291&lt;&gt;0,$T1291=12,$U1291&gt;15),ROUND(($X1291)/($W1291/10000),0),0)))</f>
        <v>0</v>
      </c>
      <c r="Z1291" s="348">
        <f t="shared" ref="Z1291:Z1340" ca="1" si="820">Z1290+Y1291</f>
        <v>8012</v>
      </c>
      <c r="AA1291" s="348">
        <f ca="1">IF(Q1291&lt;&gt;1,0,VLOOKUP(OP!$C$55,PVFB,$S1291+2,0))</f>
        <v>0</v>
      </c>
      <c r="AB1291" s="488" t="str">
        <f ca="1">IF(AND(S1291&lt;OP!$C$24,$U1291&lt;15),0,IF(AND($U1291&lt;15,$T1291=12),ROUND(VLOOKUP($S1291,DOWN16,5,0),3),IF($T1291=12,ROUND(($Z1291/10000)*$AA1291,3)+IF(AND($P$7="購買增額繳清保險",T1291=12,U1291=110),VLOOKUP(S1291,$B$10:$H$121,7,0),0),"")))</f>
        <v/>
      </c>
      <c r="AC1291" s="350" t="str">
        <f ca="1">IF(AND(S1291&lt;OP!$C$24,$U1291&lt;15),0,IF(AND($U1291&lt;16,$T1291=12),VLOOKUP($S1291,DOWN16,4,0),IF($T1291=12,ROUND(VLOOKUP(OP!$C$55,_DIE2,$S1291+1,0)*(Z1291/10000),0)+IF(AND($P$7="購買增額繳清保險",T1291=12,U1291=110),VLOOKUP(S1291,$B$10:$H$121,7,0),0),"")))</f>
        <v/>
      </c>
      <c r="AD1291" s="347"/>
      <c r="AE1291" s="350" t="str">
        <f t="shared" ca="1" si="795"/>
        <v/>
      </c>
      <c r="AF1291" s="351" t="str">
        <f t="shared" ca="1" si="796"/>
        <v/>
      </c>
      <c r="AG1291" s="340"/>
      <c r="AH1291" s="340"/>
      <c r="AI1291" s="340"/>
      <c r="AJ1291" s="340"/>
      <c r="AK1291" s="340"/>
      <c r="AL1291" s="340"/>
      <c r="AM1291" s="340"/>
      <c r="AN1291" s="340"/>
      <c r="AO1291" s="340"/>
      <c r="AP1291" s="340"/>
      <c r="AQ1291" s="340"/>
      <c r="AR1291" s="340"/>
      <c r="AS1291" s="340"/>
      <c r="AT1291" s="340"/>
      <c r="AU1291" s="340"/>
      <c r="AV1291" s="340"/>
      <c r="AY1291" s="340"/>
      <c r="AZ1291" s="465">
        <f t="shared" ca="1" si="806"/>
        <v>7.3698599999999999E-5</v>
      </c>
      <c r="BA1291" s="464">
        <f t="shared" ca="1" si="807"/>
        <v>0</v>
      </c>
      <c r="BB1291" s="465">
        <f t="shared" ca="1" si="807"/>
        <v>7.3698599999999999E-5</v>
      </c>
      <c r="BC1291" s="466">
        <f t="shared" ca="1" si="808"/>
        <v>81907</v>
      </c>
      <c r="BD1291" s="467">
        <f t="shared" ref="BD1291:BD1341" ca="1" si="821">DATE(YEAR(BD1290),MONTH(BD1290)+1,MIN(DAY($BD$9),DAY(DATE(YEAR(BD1290),MONTH(BD1290)+2,0))))</f>
        <v>81908</v>
      </c>
      <c r="BE1291" s="467">
        <f t="shared" ca="1" si="809"/>
        <v>81936</v>
      </c>
      <c r="BF1291" s="468">
        <f ca="1">IF(計算!$BC1291&lt;OP!$C$3,0,BD1291-BC1291)</f>
        <v>1</v>
      </c>
      <c r="BG1291" s="468">
        <f ca="1">IF($BE1291&gt;DATE(YEAR($BD$9)+OP!$C$57,MONTH($BD$9),DAY($BD$9)),0,$BE1291-$BD1291+1)</f>
        <v>0</v>
      </c>
      <c r="BH1291" s="469">
        <f t="shared" ca="1" si="810"/>
        <v>1</v>
      </c>
      <c r="BI1291" t="str">
        <f t="shared" si="792"/>
        <v/>
      </c>
      <c r="BJ1291">
        <v>10</v>
      </c>
      <c r="BN1291" s="468">
        <f t="shared" ref="BN1291:BN1341" si="822">IF(BO1290=12,BN1290+1,BN1290)</f>
        <v>107</v>
      </c>
      <c r="BO1291" s="468">
        <f t="shared" ref="BO1291:BO1341" si="823">IF(BO1290=12,1,BO1290+1)</f>
        <v>10</v>
      </c>
      <c r="BP1291" s="467">
        <f t="shared" ca="1" si="811"/>
        <v>81908</v>
      </c>
      <c r="BQ1291" s="475">
        <f t="shared" ca="1" si="791"/>
        <v>139</v>
      </c>
      <c r="BR1291" s="475" t="str">
        <f t="shared" ref="BR1291:BR1341" si="824">IF(BO1291=12,BN1291,"")</f>
        <v/>
      </c>
      <c r="BS1291" s="471" t="str">
        <f t="shared" si="812"/>
        <v/>
      </c>
      <c r="BT1291" s="472" t="str">
        <f t="shared" si="793"/>
        <v/>
      </c>
      <c r="BU1291" s="472">
        <f t="shared" ca="1" si="813"/>
        <v>0</v>
      </c>
      <c r="BV1291" s="472">
        <f t="shared" ca="1" si="813"/>
        <v>0</v>
      </c>
      <c r="BW1291" s="472"/>
      <c r="BX1291" s="473">
        <f t="shared" ca="1" si="814"/>
        <v>2826714.2389733698</v>
      </c>
      <c r="BY1291" s="473">
        <f t="shared" si="815"/>
        <v>0</v>
      </c>
      <c r="BZ1291" s="473">
        <f t="shared" ca="1" si="797"/>
        <v>208.32488201199999</v>
      </c>
      <c r="CA1291" s="476">
        <f t="shared" ca="1" si="816"/>
        <v>0</v>
      </c>
      <c r="CB1291" s="494">
        <f ca="1">IF(OR($Q1290&lt;&gt;1,OP!$D$5+$BN1291-1&lt;16,$BN1291-1&lt;1),0,ROUND(ROUND(ROUND(((VLOOKUP($BN1291-1,MORE_PV,5,0)/10000)*VLOOKUP($BN1291,MORE_PV,$CB$5,0)),3)*VLOOKUP($BN1291,more1,5,0),0)/$R1290,0))</f>
        <v>0</v>
      </c>
      <c r="CC1291" s="473">
        <f t="shared" ca="1" si="817"/>
        <v>0</v>
      </c>
      <c r="CD1291" s="477"/>
    </row>
    <row r="1292" spans="2:82" ht="16.5" hidden="1">
      <c r="B1292" s="80"/>
      <c r="C1292" s="80"/>
      <c r="D1292" s="80"/>
      <c r="E1292" s="80"/>
      <c r="F1292" s="80"/>
      <c r="G1292" s="80"/>
      <c r="H1292" s="80"/>
      <c r="I1292" s="80"/>
      <c r="J1292" s="192">
        <f t="shared" si="798"/>
        <v>107</v>
      </c>
      <c r="K1292" s="192">
        <f t="shared" si="799"/>
        <v>12</v>
      </c>
      <c r="L1292" s="192">
        <f t="shared" si="794"/>
        <v>107</v>
      </c>
      <c r="M1292" s="216">
        <f t="shared" ca="1" si="800"/>
        <v>2827338</v>
      </c>
      <c r="N1292" s="216"/>
      <c r="O1292" s="216"/>
      <c r="P1292" s="216"/>
      <c r="Q1292" s="456">
        <f t="shared" ca="1" si="801"/>
        <v>1</v>
      </c>
      <c r="R1292" s="450">
        <f t="shared" ca="1" si="802"/>
        <v>12</v>
      </c>
      <c r="S1292" s="191">
        <f t="shared" si="803"/>
        <v>107</v>
      </c>
      <c r="T1292" s="191">
        <f t="shared" si="804"/>
        <v>12</v>
      </c>
      <c r="U1292" s="191">
        <f ca="1">OP!$D$5+$S1292-1</f>
        <v>139</v>
      </c>
      <c r="V1292" s="191">
        <f t="shared" si="805"/>
        <v>107</v>
      </c>
      <c r="W1292" s="350">
        <f ca="1">IF(Q1292&lt;&gt;1,0,VLOOKUP(OP!$C$55,PVFB,$S1292+2,0))</f>
        <v>0</v>
      </c>
      <c r="X1292" s="473">
        <f t="shared" ca="1" si="818"/>
        <v>0</v>
      </c>
      <c r="Y1292" s="348">
        <f t="shared" ca="1" si="819"/>
        <v>0</v>
      </c>
      <c r="Z1292" s="348">
        <f t="shared" ca="1" si="820"/>
        <v>8012</v>
      </c>
      <c r="AA1292" s="348">
        <f ca="1">IF(Q1292&lt;&gt;1,0,VLOOKUP(OP!$C$55,PVFB,$S1292+2,0))</f>
        <v>0</v>
      </c>
      <c r="AB1292" s="488">
        <f ca="1">IF(AND(S1292&lt;OP!$C$24,$U1292&lt;15),0,IF(AND($U1292&lt;15,$T1292=12),ROUND(VLOOKUP($S1292,DOWN16,5,0),3),IF($T1292=12,ROUND(($Z1292/10000)*$AA1292,3)+IF(AND($P$7="購買增額繳清保險",T1292=12,U1292=110),VLOOKUP(S1292,$B$10:$H$121,7,0),0),"")))</f>
        <v>0</v>
      </c>
      <c r="AC1292" s="350">
        <f ca="1">IF(AND(S1292&lt;OP!$C$24,$U1292&lt;15),0,IF(AND($U1292&lt;16,$T1292=12),VLOOKUP($S1292,DOWN16,4,0),IF($T1292=12,ROUND(VLOOKUP(OP!$C$55,_DIE2,$S1292+1,0)*(Z1292/10000),0)+IF(AND($P$7="購買增額繳清保險",T1292=12,U1292=110),VLOOKUP(S1292,$B$10:$H$121,7,0),0),"")))</f>
        <v>0</v>
      </c>
      <c r="AD1292" s="347"/>
      <c r="AE1292" s="350" t="str">
        <f t="shared" ca="1" si="795"/>
        <v/>
      </c>
      <c r="AF1292" s="351" t="str">
        <f t="shared" ca="1" si="796"/>
        <v/>
      </c>
      <c r="AG1292" s="340"/>
      <c r="AH1292" s="340"/>
      <c r="AI1292" s="340"/>
      <c r="AJ1292" s="340"/>
      <c r="AK1292" s="340"/>
      <c r="AL1292" s="340"/>
      <c r="AM1292" s="340"/>
      <c r="AN1292" s="340"/>
      <c r="AO1292" s="340"/>
      <c r="AP1292" s="340"/>
      <c r="AQ1292" s="340"/>
      <c r="AR1292" s="340"/>
      <c r="AS1292" s="340"/>
      <c r="AT1292" s="340"/>
      <c r="AU1292" s="340"/>
      <c r="AV1292" s="340"/>
      <c r="AY1292" s="340"/>
      <c r="AZ1292" s="465">
        <f t="shared" ca="1" si="806"/>
        <v>7.3698599999999999E-5</v>
      </c>
      <c r="BA1292" s="464">
        <f t="shared" ca="1" si="807"/>
        <v>0</v>
      </c>
      <c r="BB1292" s="465">
        <f t="shared" ca="1" si="807"/>
        <v>7.3698599999999999E-5</v>
      </c>
      <c r="BC1292" s="466">
        <f t="shared" ca="1" si="808"/>
        <v>81937</v>
      </c>
      <c r="BD1292" s="467">
        <f t="shared" ca="1" si="821"/>
        <v>81938</v>
      </c>
      <c r="BE1292" s="467">
        <f t="shared" ca="1" si="809"/>
        <v>81967</v>
      </c>
      <c r="BF1292" s="468">
        <f ca="1">IF(計算!$BC1292&lt;OP!$C$3,0,BD1292-BC1292)</f>
        <v>1</v>
      </c>
      <c r="BG1292" s="468">
        <f ca="1">IF($BE1292&gt;DATE(YEAR($BD$9)+OP!$C$57,MONTH($BD$9),DAY($BD$9)),0,$BE1292-$BD1292+1)</f>
        <v>0</v>
      </c>
      <c r="BH1292" s="469">
        <f t="shared" ca="1" si="810"/>
        <v>1</v>
      </c>
      <c r="BI1292" t="str">
        <f t="shared" si="792"/>
        <v/>
      </c>
      <c r="BJ1292">
        <v>11</v>
      </c>
      <c r="BN1292" s="468">
        <f t="shared" si="822"/>
        <v>107</v>
      </c>
      <c r="BO1292" s="468">
        <f t="shared" si="823"/>
        <v>11</v>
      </c>
      <c r="BP1292" s="467">
        <f t="shared" ca="1" si="811"/>
        <v>81938</v>
      </c>
      <c r="BQ1292" s="475">
        <f t="shared" ref="BQ1292:BQ1340" ca="1" si="825">IF(BO1291=12,BQ1291+1,BQ1291)</f>
        <v>139</v>
      </c>
      <c r="BR1292" s="475" t="str">
        <f t="shared" si="824"/>
        <v/>
      </c>
      <c r="BS1292" s="471" t="str">
        <f t="shared" si="812"/>
        <v/>
      </c>
      <c r="BT1292" s="472" t="str">
        <f t="shared" si="793"/>
        <v/>
      </c>
      <c r="BU1292" s="472">
        <f t="shared" ca="1" si="813"/>
        <v>0</v>
      </c>
      <c r="BV1292" s="472">
        <f t="shared" ca="1" si="813"/>
        <v>0</v>
      </c>
      <c r="BW1292" s="472"/>
      <c r="BX1292" s="473">
        <f t="shared" ca="1" si="814"/>
        <v>2826922.5638553798</v>
      </c>
      <c r="BY1292" s="473">
        <f t="shared" si="815"/>
        <v>0</v>
      </c>
      <c r="BZ1292" s="473">
        <f t="shared" ca="1" si="797"/>
        <v>208.34023526499999</v>
      </c>
      <c r="CA1292" s="476">
        <f t="shared" ca="1" si="816"/>
        <v>0</v>
      </c>
      <c r="CB1292" s="494">
        <f ca="1">IF(OR($Q1291&lt;&gt;1,OP!$D$5+$BN1292-1&lt;16,$BN1292-1&lt;1),0,ROUND(ROUND(ROUND(((VLOOKUP($BN1292-1,MORE_PV,5,0)/10000)*VLOOKUP($BN1292,MORE_PV,$CB$5,0)),3)*VLOOKUP($BN1292,more1,5,0),0)/$R1291,0))</f>
        <v>0</v>
      </c>
      <c r="CC1292" s="473">
        <f t="shared" ca="1" si="817"/>
        <v>0</v>
      </c>
      <c r="CD1292" s="477"/>
    </row>
    <row r="1293" spans="2:82" ht="16.5" hidden="1">
      <c r="B1293" s="80"/>
      <c r="C1293" s="80"/>
      <c r="D1293" s="80"/>
      <c r="E1293" s="80"/>
      <c r="F1293" s="80"/>
      <c r="G1293" s="80"/>
      <c r="H1293" s="80"/>
      <c r="I1293" s="80"/>
      <c r="J1293" s="192">
        <f t="shared" si="798"/>
        <v>108</v>
      </c>
      <c r="K1293" s="192">
        <f t="shared" si="799"/>
        <v>1</v>
      </c>
      <c r="L1293" s="192" t="str">
        <f t="shared" si="794"/>
        <v/>
      </c>
      <c r="M1293" s="216" t="str">
        <f t="shared" ca="1" si="800"/>
        <v/>
      </c>
      <c r="N1293" s="216"/>
      <c r="O1293" s="216"/>
      <c r="P1293" s="216"/>
      <c r="Q1293" s="456">
        <f t="shared" ca="1" si="801"/>
        <v>1</v>
      </c>
      <c r="R1293" s="450">
        <f t="shared" ca="1" si="802"/>
        <v>12</v>
      </c>
      <c r="S1293" s="191">
        <f t="shared" si="803"/>
        <v>108</v>
      </c>
      <c r="T1293" s="191">
        <f t="shared" si="804"/>
        <v>1</v>
      </c>
      <c r="U1293" s="191">
        <f ca="1">OP!$D$5+$S1293-1</f>
        <v>140</v>
      </c>
      <c r="V1293" s="191" t="str">
        <f t="shared" si="805"/>
        <v/>
      </c>
      <c r="W1293" s="350">
        <f ca="1">IF(Q1293&lt;&gt;1,0,VLOOKUP(OP!$C$55,PVFB,$S1293+2,0))</f>
        <v>0</v>
      </c>
      <c r="X1293" s="473" t="str">
        <f t="shared" ca="1" si="818"/>
        <v/>
      </c>
      <c r="Y1293" s="348">
        <f t="shared" ca="1" si="819"/>
        <v>0</v>
      </c>
      <c r="Z1293" s="348">
        <f t="shared" ca="1" si="820"/>
        <v>8012</v>
      </c>
      <c r="AA1293" s="348">
        <f ca="1">IF(Q1293&lt;&gt;1,0,VLOOKUP(OP!$C$55,PVFB,$S1293+2,0))</f>
        <v>0</v>
      </c>
      <c r="AB1293" s="488" t="str">
        <f ca="1">IF(AND(S1293&lt;OP!$C$24,$U1293&lt;15),0,IF(AND($U1293&lt;15,$T1293=12),ROUND(VLOOKUP($S1293,DOWN16,5,0),3),IF($T1293=12,ROUND(($Z1293/10000)*$AA1293,3)+IF(AND($P$7="購買增額繳清保險",T1293=12,U1293=110),VLOOKUP(S1293,$B$10:$H$121,7,0),0),"")))</f>
        <v/>
      </c>
      <c r="AC1293" s="350" t="str">
        <f ca="1">IF(AND(S1293&lt;OP!$C$24,$U1293&lt;15),0,IF(AND($U1293&lt;16,$T1293=12),VLOOKUP($S1293,DOWN16,4,0),IF($T1293=12,ROUND(VLOOKUP(OP!$C$55,_DIE2,$S1293+1,0)*(Z1293/10000),0)+IF(AND($P$7="購買增額繳清保險",T1293=12,U1293=110),VLOOKUP(S1293,$B$10:$H$121,7,0),0),"")))</f>
        <v/>
      </c>
      <c r="AD1293" s="347"/>
      <c r="AE1293" s="350" t="str">
        <f t="shared" ca="1" si="795"/>
        <v/>
      </c>
      <c r="AF1293" s="351" t="str">
        <f t="shared" ca="1" si="796"/>
        <v/>
      </c>
      <c r="AG1293" s="340"/>
      <c r="AH1293" s="340"/>
      <c r="AI1293" s="340"/>
      <c r="AJ1293" s="340"/>
      <c r="AK1293" s="340"/>
      <c r="AL1293" s="340"/>
      <c r="AM1293" s="340"/>
      <c r="AN1293" s="340"/>
      <c r="AO1293" s="340"/>
      <c r="AP1293" s="340"/>
      <c r="AQ1293" s="340"/>
      <c r="AR1293" s="340"/>
      <c r="AS1293" s="340"/>
      <c r="AT1293" s="340"/>
      <c r="AU1293" s="340"/>
      <c r="AV1293" s="340"/>
      <c r="AY1293" s="340"/>
      <c r="AZ1293" s="465">
        <f t="shared" ca="1" si="806"/>
        <v>7.3698599999999999E-5</v>
      </c>
      <c r="BA1293" s="464">
        <f t="shared" ca="1" si="807"/>
        <v>0</v>
      </c>
      <c r="BB1293" s="465">
        <f t="shared" ca="1" si="807"/>
        <v>7.3698599999999999E-5</v>
      </c>
      <c r="BC1293" s="466">
        <f t="shared" ca="1" si="808"/>
        <v>81968</v>
      </c>
      <c r="BD1293" s="467">
        <f t="shared" ca="1" si="821"/>
        <v>81969</v>
      </c>
      <c r="BE1293" s="467">
        <f t="shared" ca="1" si="809"/>
        <v>81997</v>
      </c>
      <c r="BF1293" s="468">
        <f ca="1">IF(計算!$BC1293&lt;OP!$C$3,0,BD1293-BC1293)</f>
        <v>1</v>
      </c>
      <c r="BG1293" s="468">
        <f ca="1">IF($BE1293&gt;DATE(YEAR($BD$9)+OP!$C$57,MONTH($BD$9),DAY($BD$9)),0,$BE1293-$BD1293+1)</f>
        <v>0</v>
      </c>
      <c r="BH1293" s="469">
        <f t="shared" ca="1" si="810"/>
        <v>1</v>
      </c>
      <c r="BI1293">
        <f t="shared" ca="1" si="792"/>
        <v>366</v>
      </c>
      <c r="BJ1293">
        <v>12</v>
      </c>
      <c r="BN1293" s="468">
        <f t="shared" si="822"/>
        <v>107</v>
      </c>
      <c r="BO1293" s="468">
        <f t="shared" si="823"/>
        <v>12</v>
      </c>
      <c r="BP1293" s="467">
        <f t="shared" ca="1" si="811"/>
        <v>81969</v>
      </c>
      <c r="BQ1293" s="475">
        <f t="shared" ca="1" si="825"/>
        <v>139</v>
      </c>
      <c r="BR1293" s="475">
        <f t="shared" si="824"/>
        <v>107</v>
      </c>
      <c r="BS1293" s="471">
        <f t="shared" ca="1" si="812"/>
        <v>0</v>
      </c>
      <c r="BT1293" s="472">
        <f t="shared" ca="1" si="793"/>
        <v>2827338</v>
      </c>
      <c r="BU1293" s="472">
        <f t="shared" ca="1" si="813"/>
        <v>0</v>
      </c>
      <c r="BV1293" s="472">
        <f t="shared" ca="1" si="813"/>
        <v>0</v>
      </c>
      <c r="BW1293" s="472">
        <f ca="1">ROUND(SUM(BY1293,BZ1281:BZ1292),0)</f>
        <v>2499</v>
      </c>
      <c r="BX1293" s="473">
        <f t="shared" ca="1" si="814"/>
        <v>2827339.2596802898</v>
      </c>
      <c r="BY1293" s="473">
        <f t="shared" ca="1" si="815"/>
        <v>208.35558964800001</v>
      </c>
      <c r="BZ1293" s="473">
        <f t="shared" ca="1" si="797"/>
        <v>0</v>
      </c>
      <c r="CA1293" s="476">
        <f t="shared" ca="1" si="816"/>
        <v>0</v>
      </c>
      <c r="CB1293" s="494">
        <f ca="1">IF(OR($Q1292&lt;&gt;1,OP!$D$5+$BN1293-1&lt;16,$BN1293-1&lt;1),0,ROUND(ROUND(ROUND(((VLOOKUP($BN1293-1,MORE_PV,5,0)/10000)*VLOOKUP($BN1293,MORE_PV,$CB$5,0)),3)*VLOOKUP($BN1293,more1,5,0),0)/$R1292,0))</f>
        <v>0</v>
      </c>
      <c r="CC1293" s="473">
        <f t="shared" ca="1" si="817"/>
        <v>0</v>
      </c>
      <c r="CD1293" s="477"/>
    </row>
    <row r="1294" spans="2:82" ht="16.5" hidden="1">
      <c r="B1294" s="80"/>
      <c r="C1294" s="80"/>
      <c r="D1294" s="80"/>
      <c r="E1294" s="80"/>
      <c r="F1294" s="80"/>
      <c r="G1294" s="80"/>
      <c r="H1294" s="80"/>
      <c r="I1294" s="80"/>
      <c r="J1294" s="192">
        <f t="shared" si="798"/>
        <v>108</v>
      </c>
      <c r="K1294" s="192">
        <f t="shared" si="799"/>
        <v>2</v>
      </c>
      <c r="L1294" s="192" t="str">
        <f t="shared" si="794"/>
        <v/>
      </c>
      <c r="M1294" s="216" t="str">
        <f t="shared" ca="1" si="800"/>
        <v/>
      </c>
      <c r="N1294" s="216"/>
      <c r="O1294" s="216"/>
      <c r="P1294" s="216"/>
      <c r="Q1294" s="456">
        <f t="shared" ca="1" si="801"/>
        <v>1</v>
      </c>
      <c r="R1294" s="450">
        <f t="shared" ca="1" si="802"/>
        <v>12</v>
      </c>
      <c r="S1294" s="191">
        <f t="shared" si="803"/>
        <v>108</v>
      </c>
      <c r="T1294" s="191">
        <f t="shared" si="804"/>
        <v>2</v>
      </c>
      <c r="U1294" s="191">
        <f ca="1">OP!$D$5+$S1294-1</f>
        <v>140</v>
      </c>
      <c r="V1294" s="191" t="str">
        <f t="shared" si="805"/>
        <v/>
      </c>
      <c r="W1294" s="350">
        <f ca="1">IF(Q1294&lt;&gt;1,0,VLOOKUP(OP!$C$55,PVFB,$S1294+2,0))</f>
        <v>0</v>
      </c>
      <c r="X1294" s="473" t="str">
        <f t="shared" ca="1" si="818"/>
        <v/>
      </c>
      <c r="Y1294" s="348">
        <f t="shared" ca="1" si="819"/>
        <v>0</v>
      </c>
      <c r="Z1294" s="348">
        <f t="shared" ca="1" si="820"/>
        <v>8012</v>
      </c>
      <c r="AA1294" s="348">
        <f ca="1">IF(Q1294&lt;&gt;1,0,VLOOKUP(OP!$C$55,PVFB,$S1294+2,0))</f>
        <v>0</v>
      </c>
      <c r="AB1294" s="488" t="str">
        <f ca="1">IF(AND(S1294&lt;OP!$C$24,$U1294&lt;15),0,IF(AND($U1294&lt;15,$T1294=12),ROUND(VLOOKUP($S1294,DOWN16,5,0),3),IF($T1294=12,ROUND(($Z1294/10000)*$AA1294,3)+IF(AND($P$7="購買增額繳清保險",T1294=12,U1294=110),VLOOKUP(S1294,$B$10:$H$121,7,0),0),"")))</f>
        <v/>
      </c>
      <c r="AC1294" s="350" t="str">
        <f ca="1">IF(AND(S1294&lt;OP!$C$24,$U1294&lt;15),0,IF(AND($U1294&lt;16,$T1294=12),VLOOKUP($S1294,DOWN16,4,0),IF($T1294=12,ROUND(VLOOKUP(OP!$C$55,_DIE2,$S1294+1,0)*(Z1294/10000),0)+IF(AND($P$7="購買增額繳清保險",T1294=12,U1294=110),VLOOKUP(S1294,$B$10:$H$121,7,0),0),"")))</f>
        <v/>
      </c>
      <c r="AD1294" s="347"/>
      <c r="AE1294" s="350" t="str">
        <f t="shared" ca="1" si="795"/>
        <v/>
      </c>
      <c r="AF1294" s="351" t="str">
        <f t="shared" ca="1" si="796"/>
        <v/>
      </c>
      <c r="AG1294" s="340"/>
      <c r="AH1294" s="340"/>
      <c r="AI1294" s="340"/>
      <c r="AJ1294" s="340"/>
      <c r="AK1294" s="340"/>
      <c r="AL1294" s="340"/>
      <c r="AM1294" s="340"/>
      <c r="AN1294" s="340"/>
      <c r="AO1294" s="340"/>
      <c r="AP1294" s="340"/>
      <c r="AQ1294" s="340"/>
      <c r="AR1294" s="340"/>
      <c r="AS1294" s="340"/>
      <c r="AT1294" s="340"/>
      <c r="AU1294" s="340"/>
      <c r="AV1294" s="340"/>
      <c r="AY1294" s="340"/>
      <c r="AZ1294" s="465">
        <f t="shared" ca="1" si="806"/>
        <v>7.3698599999999999E-5</v>
      </c>
      <c r="BA1294" s="464">
        <f t="shared" ca="1" si="807"/>
        <v>0</v>
      </c>
      <c r="BB1294" s="465">
        <f t="shared" ca="1" si="807"/>
        <v>7.3698599999999999E-5</v>
      </c>
      <c r="BC1294" s="466">
        <f t="shared" ca="1" si="808"/>
        <v>81998</v>
      </c>
      <c r="BD1294" s="467">
        <f t="shared" ca="1" si="821"/>
        <v>81999</v>
      </c>
      <c r="BE1294" s="467">
        <f t="shared" ca="1" si="809"/>
        <v>82028</v>
      </c>
      <c r="BF1294" s="468">
        <f ca="1">IF(計算!$BC1294&lt;OP!$C$3,0,BD1294-BC1294)</f>
        <v>1</v>
      </c>
      <c r="BG1294" s="468">
        <f ca="1">IF($BE1294&gt;DATE(YEAR($BD$9)+OP!$C$57,MONTH($BD$9),DAY($BD$9)),0,$BE1294-$BD1294+1)</f>
        <v>0</v>
      </c>
      <c r="BH1294" s="469">
        <f t="shared" ca="1" si="810"/>
        <v>1</v>
      </c>
      <c r="BI1294" t="str">
        <f t="shared" si="792"/>
        <v/>
      </c>
      <c r="BJ1294">
        <v>1</v>
      </c>
      <c r="BN1294" s="468">
        <f t="shared" si="822"/>
        <v>108</v>
      </c>
      <c r="BO1294" s="468">
        <f t="shared" si="823"/>
        <v>1</v>
      </c>
      <c r="BP1294" s="467">
        <f t="shared" ca="1" si="811"/>
        <v>81999</v>
      </c>
      <c r="BQ1294" s="475">
        <f t="shared" ca="1" si="825"/>
        <v>140</v>
      </c>
      <c r="BR1294" s="475" t="str">
        <f t="shared" si="824"/>
        <v/>
      </c>
      <c r="BS1294" s="471" t="str">
        <f t="shared" si="812"/>
        <v/>
      </c>
      <c r="BT1294" s="472" t="str">
        <f t="shared" si="793"/>
        <v/>
      </c>
      <c r="BU1294" s="472">
        <f t="shared" ca="1" si="813"/>
        <v>0</v>
      </c>
      <c r="BV1294" s="472">
        <f t="shared" ca="1" si="813"/>
        <v>0</v>
      </c>
      <c r="BW1294" s="472"/>
      <c r="BX1294" s="473">
        <f t="shared" ca="1" si="814"/>
        <v>2827339.2596802898</v>
      </c>
      <c r="BY1294" s="473">
        <f t="shared" si="815"/>
        <v>0</v>
      </c>
      <c r="BZ1294" s="473">
        <f t="shared" ca="1" si="797"/>
        <v>208.37094516299999</v>
      </c>
      <c r="CA1294" s="476">
        <f t="shared" ca="1" si="816"/>
        <v>0</v>
      </c>
      <c r="CB1294" s="494">
        <f ca="1">IF(OR($Q1293&lt;&gt;1,OP!$D$5+$BN1294-1&lt;16,$BN1294-1&lt;1),0,ROUND(ROUND(ROUND(((VLOOKUP($BN1294-1,MORE_PV,5,0)/10000)*VLOOKUP($BN1294,MORE_PV,$CB$5,0)),3)*VLOOKUP($BN1294,more1,5,0),0)/$R1293,0))</f>
        <v>0</v>
      </c>
      <c r="CC1294" s="473">
        <f t="shared" ca="1" si="817"/>
        <v>0</v>
      </c>
      <c r="CD1294" s="477"/>
    </row>
    <row r="1295" spans="2:82" ht="16.5" hidden="1">
      <c r="B1295" s="80"/>
      <c r="C1295" s="80"/>
      <c r="D1295" s="80"/>
      <c r="E1295" s="80"/>
      <c r="F1295" s="80"/>
      <c r="G1295" s="80"/>
      <c r="H1295" s="80"/>
      <c r="I1295" s="80"/>
      <c r="J1295" s="192">
        <f t="shared" si="798"/>
        <v>108</v>
      </c>
      <c r="K1295" s="192">
        <f t="shared" si="799"/>
        <v>3</v>
      </c>
      <c r="L1295" s="192" t="str">
        <f t="shared" si="794"/>
        <v/>
      </c>
      <c r="M1295" s="216" t="str">
        <f t="shared" ca="1" si="800"/>
        <v/>
      </c>
      <c r="N1295" s="216"/>
      <c r="O1295" s="216"/>
      <c r="P1295" s="216"/>
      <c r="Q1295" s="456">
        <f t="shared" ca="1" si="801"/>
        <v>1</v>
      </c>
      <c r="R1295" s="450">
        <f t="shared" ca="1" si="802"/>
        <v>12</v>
      </c>
      <c r="S1295" s="191">
        <f t="shared" si="803"/>
        <v>108</v>
      </c>
      <c r="T1295" s="191">
        <f t="shared" si="804"/>
        <v>3</v>
      </c>
      <c r="U1295" s="191">
        <f ca="1">OP!$D$5+$S1295-1</f>
        <v>140</v>
      </c>
      <c r="V1295" s="191" t="str">
        <f t="shared" si="805"/>
        <v/>
      </c>
      <c r="W1295" s="350">
        <f ca="1">IF(Q1295&lt;&gt;1,0,VLOOKUP(OP!$C$55,PVFB,$S1295+2,0))</f>
        <v>0</v>
      </c>
      <c r="X1295" s="473" t="str">
        <f t="shared" ca="1" si="818"/>
        <v/>
      </c>
      <c r="Y1295" s="348">
        <f t="shared" ca="1" si="819"/>
        <v>0</v>
      </c>
      <c r="Z1295" s="348">
        <f t="shared" ca="1" si="820"/>
        <v>8012</v>
      </c>
      <c r="AA1295" s="348">
        <f ca="1">IF(Q1295&lt;&gt;1,0,VLOOKUP(OP!$C$55,PVFB,$S1295+2,0))</f>
        <v>0</v>
      </c>
      <c r="AB1295" s="488" t="str">
        <f ca="1">IF(AND(S1295&lt;OP!$C$24,$U1295&lt;15),0,IF(AND($U1295&lt;15,$T1295=12),ROUND(VLOOKUP($S1295,DOWN16,5,0),3),IF($T1295=12,ROUND(($Z1295/10000)*$AA1295,3)+IF(AND($P$7="購買增額繳清保險",T1295=12,U1295=110),VLOOKUP(S1295,$B$10:$H$121,7,0),0),"")))</f>
        <v/>
      </c>
      <c r="AC1295" s="350" t="str">
        <f ca="1">IF(AND(S1295&lt;OP!$C$24,$U1295&lt;15),0,IF(AND($U1295&lt;16,$T1295=12),VLOOKUP($S1295,DOWN16,4,0),IF($T1295=12,ROUND(VLOOKUP(OP!$C$55,_DIE2,$S1295+1,0)*(Z1295/10000),0)+IF(AND($P$7="購買增額繳清保險",T1295=12,U1295=110),VLOOKUP(S1295,$B$10:$H$121,7,0),0),"")))</f>
        <v/>
      </c>
      <c r="AD1295" s="347"/>
      <c r="AE1295" s="350" t="str">
        <f t="shared" ca="1" si="795"/>
        <v/>
      </c>
      <c r="AF1295" s="351" t="str">
        <f t="shared" ca="1" si="796"/>
        <v/>
      </c>
      <c r="AG1295" s="340"/>
      <c r="AH1295" s="340"/>
      <c r="AI1295" s="340"/>
      <c r="AJ1295" s="340"/>
      <c r="AK1295" s="340"/>
      <c r="AL1295" s="340"/>
      <c r="AM1295" s="340"/>
      <c r="AN1295" s="340"/>
      <c r="AO1295" s="340"/>
      <c r="AP1295" s="340"/>
      <c r="AQ1295" s="340"/>
      <c r="AR1295" s="340"/>
      <c r="AS1295" s="340"/>
      <c r="AT1295" s="340"/>
      <c r="AU1295" s="340"/>
      <c r="AV1295" s="340"/>
      <c r="AY1295" s="340"/>
      <c r="AZ1295" s="465">
        <f t="shared" ca="1" si="806"/>
        <v>7.3698599999999999E-5</v>
      </c>
      <c r="BA1295" s="464">
        <f t="shared" ca="1" si="807"/>
        <v>0</v>
      </c>
      <c r="BB1295" s="465">
        <f t="shared" ca="1" si="807"/>
        <v>7.3698599999999999E-5</v>
      </c>
      <c r="BC1295" s="466">
        <f t="shared" ca="1" si="808"/>
        <v>82029</v>
      </c>
      <c r="BD1295" s="467">
        <f t="shared" ca="1" si="821"/>
        <v>82030</v>
      </c>
      <c r="BE1295" s="467">
        <f t="shared" ca="1" si="809"/>
        <v>82059</v>
      </c>
      <c r="BF1295" s="468">
        <f ca="1">IF(計算!$BC1295&lt;OP!$C$3,0,BD1295-BC1295)</f>
        <v>1</v>
      </c>
      <c r="BG1295" s="468">
        <f ca="1">IF($BE1295&gt;DATE(YEAR($BD$9)+OP!$C$57,MONTH($BD$9),DAY($BD$9)),0,$BE1295-$BD1295+1)</f>
        <v>0</v>
      </c>
      <c r="BH1295" s="469">
        <f t="shared" ca="1" si="810"/>
        <v>1</v>
      </c>
      <c r="BI1295" t="str">
        <f t="shared" si="792"/>
        <v/>
      </c>
      <c r="BJ1295">
        <v>2</v>
      </c>
      <c r="BN1295" s="468">
        <f t="shared" si="822"/>
        <v>108</v>
      </c>
      <c r="BO1295" s="468">
        <f t="shared" si="823"/>
        <v>2</v>
      </c>
      <c r="BP1295" s="467">
        <f t="shared" ca="1" si="811"/>
        <v>82030</v>
      </c>
      <c r="BQ1295" s="475">
        <f t="shared" ca="1" si="825"/>
        <v>140</v>
      </c>
      <c r="BR1295" s="475" t="str">
        <f t="shared" si="824"/>
        <v/>
      </c>
      <c r="BS1295" s="471" t="str">
        <f t="shared" si="812"/>
        <v/>
      </c>
      <c r="BT1295" s="472" t="str">
        <f t="shared" si="793"/>
        <v/>
      </c>
      <c r="BU1295" s="472">
        <f t="shared" ca="1" si="813"/>
        <v>0</v>
      </c>
      <c r="BV1295" s="472">
        <f t="shared" ca="1" si="813"/>
        <v>0</v>
      </c>
      <c r="BW1295" s="472"/>
      <c r="BX1295" s="473">
        <f t="shared" ca="1" si="814"/>
        <v>2827547.6306254501</v>
      </c>
      <c r="BY1295" s="473">
        <f t="shared" si="815"/>
        <v>0</v>
      </c>
      <c r="BZ1295" s="473">
        <f t="shared" ca="1" si="797"/>
        <v>208.38630180999999</v>
      </c>
      <c r="CA1295" s="476">
        <f t="shared" ca="1" si="816"/>
        <v>0</v>
      </c>
      <c r="CB1295" s="494">
        <f ca="1">IF(OR($Q1294&lt;&gt;1,OP!$D$5+$BN1295-1&lt;16,$BN1295-1&lt;1),0,ROUND(ROUND(ROUND(((VLOOKUP($BN1295-1,MORE_PV,5,0)/10000)*VLOOKUP($BN1295,MORE_PV,$CB$5,0)),3)*VLOOKUP($BN1295,more1,5,0),0)/$R1294,0))</f>
        <v>0</v>
      </c>
      <c r="CC1295" s="473">
        <f t="shared" ca="1" si="817"/>
        <v>0</v>
      </c>
      <c r="CD1295" s="477"/>
    </row>
    <row r="1296" spans="2:82" ht="16.5" hidden="1">
      <c r="B1296" s="80"/>
      <c r="C1296" s="80"/>
      <c r="D1296" s="80"/>
      <c r="E1296" s="80"/>
      <c r="F1296" s="80"/>
      <c r="G1296" s="80"/>
      <c r="H1296" s="80"/>
      <c r="I1296" s="80"/>
      <c r="J1296" s="192">
        <f t="shared" si="798"/>
        <v>108</v>
      </c>
      <c r="K1296" s="192">
        <f t="shared" si="799"/>
        <v>4</v>
      </c>
      <c r="L1296" s="192" t="str">
        <f t="shared" si="794"/>
        <v/>
      </c>
      <c r="M1296" s="216" t="str">
        <f t="shared" ca="1" si="800"/>
        <v/>
      </c>
      <c r="N1296" s="216"/>
      <c r="O1296" s="216"/>
      <c r="P1296" s="216"/>
      <c r="Q1296" s="456">
        <f t="shared" ca="1" si="801"/>
        <v>1</v>
      </c>
      <c r="R1296" s="450">
        <f t="shared" ca="1" si="802"/>
        <v>12</v>
      </c>
      <c r="S1296" s="191">
        <f t="shared" si="803"/>
        <v>108</v>
      </c>
      <c r="T1296" s="191">
        <f t="shared" si="804"/>
        <v>4</v>
      </c>
      <c r="U1296" s="191">
        <f ca="1">OP!$D$5+$S1296-1</f>
        <v>140</v>
      </c>
      <c r="V1296" s="191" t="str">
        <f t="shared" si="805"/>
        <v/>
      </c>
      <c r="W1296" s="350">
        <f ca="1">IF(Q1296&lt;&gt;1,0,VLOOKUP(OP!$C$55,PVFB,$S1296+2,0))</f>
        <v>0</v>
      </c>
      <c r="X1296" s="473" t="str">
        <f t="shared" ca="1" si="818"/>
        <v/>
      </c>
      <c r="Y1296" s="348">
        <f t="shared" ca="1" si="819"/>
        <v>0</v>
      </c>
      <c r="Z1296" s="348">
        <f t="shared" ca="1" si="820"/>
        <v>8012</v>
      </c>
      <c r="AA1296" s="348">
        <f ca="1">IF(Q1296&lt;&gt;1,0,VLOOKUP(OP!$C$55,PVFB,$S1296+2,0))</f>
        <v>0</v>
      </c>
      <c r="AB1296" s="488" t="str">
        <f ca="1">IF(AND(S1296&lt;OP!$C$24,$U1296&lt;15),0,IF(AND($U1296&lt;15,$T1296=12),ROUND(VLOOKUP($S1296,DOWN16,5,0),3),IF($T1296=12,ROUND(($Z1296/10000)*$AA1296,3)+IF(AND($P$7="購買增額繳清保險",T1296=12,U1296=110),VLOOKUP(S1296,$B$10:$H$121,7,0),0),"")))</f>
        <v/>
      </c>
      <c r="AC1296" s="350" t="str">
        <f ca="1">IF(AND(S1296&lt;OP!$C$24,$U1296&lt;15),0,IF(AND($U1296&lt;16,$T1296=12),VLOOKUP($S1296,DOWN16,4,0),IF($T1296=12,ROUND(VLOOKUP(OP!$C$55,_DIE2,$S1296+1,0)*(Z1296/10000),0)+IF(AND($P$7="購買增額繳清保險",T1296=12,U1296=110),VLOOKUP(S1296,$B$10:$H$121,7,0),0),"")))</f>
        <v/>
      </c>
      <c r="AD1296" s="347"/>
      <c r="AE1296" s="350" t="str">
        <f t="shared" ca="1" si="795"/>
        <v/>
      </c>
      <c r="AF1296" s="351" t="str">
        <f t="shared" ca="1" si="796"/>
        <v/>
      </c>
      <c r="AG1296" s="340"/>
      <c r="AH1296" s="340"/>
      <c r="AI1296" s="340"/>
      <c r="AJ1296" s="340"/>
      <c r="AK1296" s="340"/>
      <c r="AL1296" s="340"/>
      <c r="AM1296" s="340"/>
      <c r="AN1296" s="340"/>
      <c r="AO1296" s="340"/>
      <c r="AP1296" s="340"/>
      <c r="AQ1296" s="340"/>
      <c r="AR1296" s="340"/>
      <c r="AS1296" s="340"/>
      <c r="AT1296" s="340"/>
      <c r="AU1296" s="340"/>
      <c r="AV1296" s="340"/>
      <c r="AY1296" s="340"/>
      <c r="AZ1296" s="465">
        <f t="shared" ca="1" si="806"/>
        <v>7.3698599999999999E-5</v>
      </c>
      <c r="BA1296" s="464">
        <f t="shared" ca="1" si="807"/>
        <v>0</v>
      </c>
      <c r="BB1296" s="465">
        <f t="shared" ca="1" si="807"/>
        <v>7.3698599999999999E-5</v>
      </c>
      <c r="BC1296" s="466">
        <f t="shared" ca="1" si="808"/>
        <v>82060</v>
      </c>
      <c r="BD1296" s="467">
        <f t="shared" ca="1" si="821"/>
        <v>82061</v>
      </c>
      <c r="BE1296" s="467">
        <f t="shared" ca="1" si="809"/>
        <v>82089</v>
      </c>
      <c r="BF1296" s="468">
        <f ca="1">IF(計算!$BC1296&lt;OP!$C$3,0,BD1296-BC1296)</f>
        <v>1</v>
      </c>
      <c r="BG1296" s="468">
        <f ca="1">IF($BE1296&gt;DATE(YEAR($BD$9)+OP!$C$57,MONTH($BD$9),DAY($BD$9)),0,$BE1296-$BD1296+1)</f>
        <v>0</v>
      </c>
      <c r="BH1296" s="469">
        <f t="shared" ca="1" si="810"/>
        <v>1</v>
      </c>
      <c r="BI1296" t="str">
        <f t="shared" si="792"/>
        <v/>
      </c>
      <c r="BJ1296">
        <v>3</v>
      </c>
      <c r="BN1296" s="468">
        <f t="shared" si="822"/>
        <v>108</v>
      </c>
      <c r="BO1296" s="468">
        <f t="shared" si="823"/>
        <v>3</v>
      </c>
      <c r="BP1296" s="467">
        <f t="shared" ca="1" si="811"/>
        <v>82061</v>
      </c>
      <c r="BQ1296" s="475">
        <f t="shared" ca="1" si="825"/>
        <v>140</v>
      </c>
      <c r="BR1296" s="475" t="str">
        <f t="shared" si="824"/>
        <v/>
      </c>
      <c r="BS1296" s="471" t="str">
        <f t="shared" si="812"/>
        <v/>
      </c>
      <c r="BT1296" s="472" t="str">
        <f t="shared" si="793"/>
        <v/>
      </c>
      <c r="BU1296" s="472">
        <f t="shared" ca="1" si="813"/>
        <v>0</v>
      </c>
      <c r="BV1296" s="472">
        <f t="shared" ca="1" si="813"/>
        <v>0</v>
      </c>
      <c r="BW1296" s="472"/>
      <c r="BX1296" s="473">
        <f t="shared" ca="1" si="814"/>
        <v>2827756.01692726</v>
      </c>
      <c r="BY1296" s="473">
        <f t="shared" si="815"/>
        <v>0</v>
      </c>
      <c r="BZ1296" s="473">
        <f t="shared" ca="1" si="797"/>
        <v>208.40165958899999</v>
      </c>
      <c r="CA1296" s="476">
        <f t="shared" ca="1" si="816"/>
        <v>0</v>
      </c>
      <c r="CB1296" s="494">
        <f ca="1">IF(OR($Q1295&lt;&gt;1,OP!$D$5+$BN1296-1&lt;16,$BN1296-1&lt;1),0,ROUND(ROUND(ROUND(((VLOOKUP($BN1296-1,MORE_PV,5,0)/10000)*VLOOKUP($BN1296,MORE_PV,$CB$5,0)),3)*VLOOKUP($BN1296,more1,5,0),0)/$R1295,0))</f>
        <v>0</v>
      </c>
      <c r="CC1296" s="473">
        <f t="shared" ca="1" si="817"/>
        <v>0</v>
      </c>
      <c r="CD1296" s="477"/>
    </row>
    <row r="1297" spans="2:82" ht="16.5" hidden="1">
      <c r="B1297" s="80"/>
      <c r="C1297" s="80"/>
      <c r="D1297" s="80"/>
      <c r="E1297" s="80"/>
      <c r="F1297" s="80"/>
      <c r="G1297" s="80"/>
      <c r="H1297" s="80"/>
      <c r="I1297" s="80"/>
      <c r="J1297" s="192">
        <f t="shared" si="798"/>
        <v>108</v>
      </c>
      <c r="K1297" s="192">
        <f t="shared" si="799"/>
        <v>5</v>
      </c>
      <c r="L1297" s="192" t="str">
        <f t="shared" si="794"/>
        <v/>
      </c>
      <c r="M1297" s="216" t="str">
        <f t="shared" ca="1" si="800"/>
        <v/>
      </c>
      <c r="N1297" s="216"/>
      <c r="O1297" s="216"/>
      <c r="P1297" s="216"/>
      <c r="Q1297" s="456">
        <f t="shared" ca="1" si="801"/>
        <v>1</v>
      </c>
      <c r="R1297" s="450">
        <f t="shared" ca="1" si="802"/>
        <v>12</v>
      </c>
      <c r="S1297" s="191">
        <f t="shared" si="803"/>
        <v>108</v>
      </c>
      <c r="T1297" s="191">
        <f t="shared" si="804"/>
        <v>5</v>
      </c>
      <c r="U1297" s="191">
        <f ca="1">OP!$D$5+$S1297-1</f>
        <v>140</v>
      </c>
      <c r="V1297" s="191" t="str">
        <f t="shared" si="805"/>
        <v/>
      </c>
      <c r="W1297" s="350">
        <f ca="1">IF(Q1297&lt;&gt;1,0,VLOOKUP(OP!$C$55,PVFB,$S1297+2,0))</f>
        <v>0</v>
      </c>
      <c r="X1297" s="473" t="str">
        <f t="shared" ca="1" si="818"/>
        <v/>
      </c>
      <c r="Y1297" s="348">
        <f t="shared" ca="1" si="819"/>
        <v>0</v>
      </c>
      <c r="Z1297" s="348">
        <f t="shared" ca="1" si="820"/>
        <v>8012</v>
      </c>
      <c r="AA1297" s="348">
        <f ca="1">IF(Q1297&lt;&gt;1,0,VLOOKUP(OP!$C$55,PVFB,$S1297+2,0))</f>
        <v>0</v>
      </c>
      <c r="AB1297" s="488" t="str">
        <f ca="1">IF(AND(S1297&lt;OP!$C$24,$U1297&lt;15),0,IF(AND($U1297&lt;15,$T1297=12),ROUND(VLOOKUP($S1297,DOWN16,5,0),3),IF($T1297=12,ROUND(($Z1297/10000)*$AA1297,3)+IF(AND($P$7="購買增額繳清保險",T1297=12,U1297=110),VLOOKUP(S1297,$B$10:$H$121,7,0),0),"")))</f>
        <v/>
      </c>
      <c r="AC1297" s="350" t="str">
        <f ca="1">IF(AND(S1297&lt;OP!$C$24,$U1297&lt;15),0,IF(AND($U1297&lt;16,$T1297=12),VLOOKUP($S1297,DOWN16,4,0),IF($T1297=12,ROUND(VLOOKUP(OP!$C$55,_DIE2,$S1297+1,0)*(Z1297/10000),0)+IF(AND($P$7="購買增額繳清保險",T1297=12,U1297=110),VLOOKUP(S1297,$B$10:$H$121,7,0),0),"")))</f>
        <v/>
      </c>
      <c r="AD1297" s="347"/>
      <c r="AE1297" s="350" t="str">
        <f t="shared" ca="1" si="795"/>
        <v/>
      </c>
      <c r="AF1297" s="351" t="str">
        <f t="shared" ca="1" si="796"/>
        <v/>
      </c>
      <c r="AG1297" s="340"/>
      <c r="AH1297" s="340"/>
      <c r="AI1297" s="340"/>
      <c r="AJ1297" s="340"/>
      <c r="AK1297" s="340"/>
      <c r="AL1297" s="340"/>
      <c r="AM1297" s="340"/>
      <c r="AN1297" s="340"/>
      <c r="AO1297" s="340"/>
      <c r="AP1297" s="340"/>
      <c r="AQ1297" s="340"/>
      <c r="AR1297" s="340"/>
      <c r="AS1297" s="340"/>
      <c r="AT1297" s="340"/>
      <c r="AU1297" s="340"/>
      <c r="AV1297" s="340"/>
      <c r="AY1297" s="340"/>
      <c r="AZ1297" s="465">
        <f t="shared" ca="1" si="806"/>
        <v>7.3698599999999999E-5</v>
      </c>
      <c r="BA1297" s="464">
        <f t="shared" ca="1" si="807"/>
        <v>0</v>
      </c>
      <c r="BB1297" s="465">
        <f t="shared" ca="1" si="807"/>
        <v>7.3698599999999999E-5</v>
      </c>
      <c r="BC1297" s="466">
        <f t="shared" ca="1" si="808"/>
        <v>82090</v>
      </c>
      <c r="BD1297" s="467">
        <f t="shared" ca="1" si="821"/>
        <v>82091</v>
      </c>
      <c r="BE1297" s="467">
        <f t="shared" ca="1" si="809"/>
        <v>82120</v>
      </c>
      <c r="BF1297" s="468">
        <f ca="1">IF(計算!$BC1297&lt;OP!$C$3,0,BD1297-BC1297)</f>
        <v>1</v>
      </c>
      <c r="BG1297" s="468">
        <f ca="1">IF($BE1297&gt;DATE(YEAR($BD$9)+OP!$C$57,MONTH($BD$9),DAY($BD$9)),0,$BE1297-$BD1297+1)</f>
        <v>0</v>
      </c>
      <c r="BH1297" s="469">
        <f t="shared" ca="1" si="810"/>
        <v>1</v>
      </c>
      <c r="BI1297" t="str">
        <f t="shared" si="792"/>
        <v/>
      </c>
      <c r="BJ1297">
        <v>4</v>
      </c>
      <c r="BN1297" s="468">
        <f t="shared" si="822"/>
        <v>108</v>
      </c>
      <c r="BO1297" s="468">
        <f t="shared" si="823"/>
        <v>4</v>
      </c>
      <c r="BP1297" s="467">
        <f t="shared" ca="1" si="811"/>
        <v>82091</v>
      </c>
      <c r="BQ1297" s="475">
        <f t="shared" ca="1" si="825"/>
        <v>140</v>
      </c>
      <c r="BR1297" s="475" t="str">
        <f t="shared" si="824"/>
        <v/>
      </c>
      <c r="BS1297" s="471" t="str">
        <f t="shared" si="812"/>
        <v/>
      </c>
      <c r="BT1297" s="472" t="str">
        <f t="shared" si="793"/>
        <v/>
      </c>
      <c r="BU1297" s="472">
        <f t="shared" ca="1" si="813"/>
        <v>0</v>
      </c>
      <c r="BV1297" s="472">
        <f t="shared" ca="1" si="813"/>
        <v>0</v>
      </c>
      <c r="BW1297" s="472"/>
      <c r="BX1297" s="473">
        <f t="shared" ca="1" si="814"/>
        <v>2827964.4185868502</v>
      </c>
      <c r="BY1297" s="473">
        <f t="shared" si="815"/>
        <v>0</v>
      </c>
      <c r="BZ1297" s="473">
        <f t="shared" ca="1" si="797"/>
        <v>208.41701850000001</v>
      </c>
      <c r="CA1297" s="476">
        <f t="shared" ca="1" si="816"/>
        <v>0</v>
      </c>
      <c r="CB1297" s="494">
        <f ca="1">IF(OR($Q1296&lt;&gt;1,OP!$D$5+$BN1297-1&lt;16,$BN1297-1&lt;1),0,ROUND(ROUND(ROUND(((VLOOKUP($BN1297-1,MORE_PV,5,0)/10000)*VLOOKUP($BN1297,MORE_PV,$CB$5,0)),3)*VLOOKUP($BN1297,more1,5,0),0)/$R1296,0))</f>
        <v>0</v>
      </c>
      <c r="CC1297" s="473">
        <f t="shared" ca="1" si="817"/>
        <v>0</v>
      </c>
      <c r="CD1297" s="477"/>
    </row>
    <row r="1298" spans="2:82" ht="16.5" hidden="1">
      <c r="B1298" s="80"/>
      <c r="C1298" s="80"/>
      <c r="D1298" s="80"/>
      <c r="E1298" s="80"/>
      <c r="F1298" s="80"/>
      <c r="G1298" s="80"/>
      <c r="H1298" s="80"/>
      <c r="I1298" s="80"/>
      <c r="J1298" s="192">
        <f t="shared" si="798"/>
        <v>108</v>
      </c>
      <c r="K1298" s="192">
        <f t="shared" si="799"/>
        <v>6</v>
      </c>
      <c r="L1298" s="192" t="str">
        <f t="shared" si="794"/>
        <v/>
      </c>
      <c r="M1298" s="216" t="str">
        <f t="shared" ca="1" si="800"/>
        <v/>
      </c>
      <c r="N1298" s="216"/>
      <c r="O1298" s="216"/>
      <c r="P1298" s="216"/>
      <c r="Q1298" s="456">
        <f t="shared" ca="1" si="801"/>
        <v>1</v>
      </c>
      <c r="R1298" s="450">
        <f t="shared" ca="1" si="802"/>
        <v>12</v>
      </c>
      <c r="S1298" s="191">
        <f t="shared" si="803"/>
        <v>108</v>
      </c>
      <c r="T1298" s="191">
        <f t="shared" si="804"/>
        <v>6</v>
      </c>
      <c r="U1298" s="191">
        <f ca="1">OP!$D$5+$S1298-1</f>
        <v>140</v>
      </c>
      <c r="V1298" s="191" t="str">
        <f t="shared" si="805"/>
        <v/>
      </c>
      <c r="W1298" s="350">
        <f ca="1">IF(Q1298&lt;&gt;1,0,VLOOKUP(OP!$C$55,PVFB,$S1298+2,0))</f>
        <v>0</v>
      </c>
      <c r="X1298" s="473" t="str">
        <f t="shared" ca="1" si="818"/>
        <v/>
      </c>
      <c r="Y1298" s="348">
        <f t="shared" ca="1" si="819"/>
        <v>0</v>
      </c>
      <c r="Z1298" s="348">
        <f t="shared" ca="1" si="820"/>
        <v>8012</v>
      </c>
      <c r="AA1298" s="348">
        <f ca="1">IF(Q1298&lt;&gt;1,0,VLOOKUP(OP!$C$55,PVFB,$S1298+2,0))</f>
        <v>0</v>
      </c>
      <c r="AB1298" s="488" t="str">
        <f ca="1">IF(AND(S1298&lt;OP!$C$24,$U1298&lt;15),0,IF(AND($U1298&lt;15,$T1298=12),ROUND(VLOOKUP($S1298,DOWN16,5,0),3),IF($T1298=12,ROUND(($Z1298/10000)*$AA1298,3)+IF(AND($P$7="購買增額繳清保險",T1298=12,U1298=110),VLOOKUP(S1298,$B$10:$H$121,7,0),0),"")))</f>
        <v/>
      </c>
      <c r="AC1298" s="350" t="str">
        <f ca="1">IF(AND(S1298&lt;OP!$C$24,$U1298&lt;15),0,IF(AND($U1298&lt;16,$T1298=12),VLOOKUP($S1298,DOWN16,4,0),IF($T1298=12,ROUND(VLOOKUP(OP!$C$55,_DIE2,$S1298+1,0)*(Z1298/10000),0)+IF(AND($P$7="購買增額繳清保險",T1298=12,U1298=110),VLOOKUP(S1298,$B$10:$H$121,7,0),0),"")))</f>
        <v/>
      </c>
      <c r="AD1298" s="347"/>
      <c r="AE1298" s="350" t="str">
        <f t="shared" ca="1" si="795"/>
        <v/>
      </c>
      <c r="AF1298" s="351" t="str">
        <f t="shared" ca="1" si="796"/>
        <v/>
      </c>
      <c r="AG1298" s="340"/>
      <c r="AH1298" s="340"/>
      <c r="AI1298" s="340"/>
      <c r="AJ1298" s="340"/>
      <c r="AK1298" s="340"/>
      <c r="AL1298" s="340"/>
      <c r="AM1298" s="340"/>
      <c r="AN1298" s="340"/>
      <c r="AO1298" s="340"/>
      <c r="AP1298" s="340"/>
      <c r="AQ1298" s="340"/>
      <c r="AR1298" s="340"/>
      <c r="AS1298" s="340"/>
      <c r="AT1298" s="340"/>
      <c r="AU1298" s="340"/>
      <c r="AV1298" s="340"/>
      <c r="AY1298" s="340"/>
      <c r="AZ1298" s="465">
        <f t="shared" ca="1" si="806"/>
        <v>7.3698599999999999E-5</v>
      </c>
      <c r="BA1298" s="464">
        <f t="shared" ca="1" si="807"/>
        <v>0</v>
      </c>
      <c r="BB1298" s="465">
        <f t="shared" ca="1" si="807"/>
        <v>7.3698599999999999E-5</v>
      </c>
      <c r="BC1298" s="466">
        <f t="shared" ca="1" si="808"/>
        <v>82121</v>
      </c>
      <c r="BD1298" s="467">
        <f t="shared" ca="1" si="821"/>
        <v>82122</v>
      </c>
      <c r="BE1298" s="467">
        <f t="shared" ca="1" si="809"/>
        <v>82150</v>
      </c>
      <c r="BF1298" s="468">
        <f ca="1">IF(計算!$BC1298&lt;OP!$C$3,0,BD1298-BC1298)</f>
        <v>1</v>
      </c>
      <c r="BG1298" s="468">
        <f ca="1">IF($BE1298&gt;DATE(YEAR($BD$9)+OP!$C$57,MONTH($BD$9),DAY($BD$9)),0,$BE1298-$BD1298+1)</f>
        <v>0</v>
      </c>
      <c r="BH1298" s="469">
        <f t="shared" ca="1" si="810"/>
        <v>1</v>
      </c>
      <c r="BI1298" t="str">
        <f t="shared" si="792"/>
        <v/>
      </c>
      <c r="BJ1298">
        <v>5</v>
      </c>
      <c r="BN1298" s="468">
        <f t="shared" si="822"/>
        <v>108</v>
      </c>
      <c r="BO1298" s="468">
        <f t="shared" si="823"/>
        <v>5</v>
      </c>
      <c r="BP1298" s="467">
        <f t="shared" ca="1" si="811"/>
        <v>82122</v>
      </c>
      <c r="BQ1298" s="475">
        <f t="shared" ca="1" si="825"/>
        <v>140</v>
      </c>
      <c r="BR1298" s="475" t="str">
        <f t="shared" si="824"/>
        <v/>
      </c>
      <c r="BS1298" s="471" t="str">
        <f t="shared" si="812"/>
        <v/>
      </c>
      <c r="BT1298" s="472" t="str">
        <f t="shared" si="793"/>
        <v/>
      </c>
      <c r="BU1298" s="472">
        <f t="shared" ca="1" si="813"/>
        <v>0</v>
      </c>
      <c r="BV1298" s="472">
        <f t="shared" ca="1" si="813"/>
        <v>0</v>
      </c>
      <c r="BW1298" s="472"/>
      <c r="BX1298" s="473">
        <f t="shared" ca="1" si="814"/>
        <v>2828172.8356053499</v>
      </c>
      <c r="BY1298" s="473">
        <f t="shared" si="815"/>
        <v>0</v>
      </c>
      <c r="BZ1298" s="473">
        <f t="shared" ca="1" si="797"/>
        <v>208.43237854200001</v>
      </c>
      <c r="CA1298" s="476">
        <f t="shared" ca="1" si="816"/>
        <v>0</v>
      </c>
      <c r="CB1298" s="494">
        <f ca="1">IF(OR($Q1297&lt;&gt;1,OP!$D$5+$BN1298-1&lt;16,$BN1298-1&lt;1),0,ROUND(ROUND(ROUND(((VLOOKUP($BN1298-1,MORE_PV,5,0)/10000)*VLOOKUP($BN1298,MORE_PV,$CB$5,0)),3)*VLOOKUP($BN1298,more1,5,0),0)/$R1297,0))</f>
        <v>0</v>
      </c>
      <c r="CC1298" s="473">
        <f t="shared" ca="1" si="817"/>
        <v>0</v>
      </c>
      <c r="CD1298" s="477"/>
    </row>
    <row r="1299" spans="2:82" ht="16.5" hidden="1">
      <c r="B1299" s="80"/>
      <c r="C1299" s="80"/>
      <c r="D1299" s="80"/>
      <c r="E1299" s="80"/>
      <c r="F1299" s="80"/>
      <c r="G1299" s="80"/>
      <c r="H1299" s="80"/>
      <c r="I1299" s="80"/>
      <c r="J1299" s="192">
        <f t="shared" si="798"/>
        <v>108</v>
      </c>
      <c r="K1299" s="192">
        <f t="shared" si="799"/>
        <v>7</v>
      </c>
      <c r="L1299" s="192" t="str">
        <f t="shared" si="794"/>
        <v/>
      </c>
      <c r="M1299" s="216" t="str">
        <f t="shared" ca="1" si="800"/>
        <v/>
      </c>
      <c r="N1299" s="216"/>
      <c r="O1299" s="216"/>
      <c r="P1299" s="216"/>
      <c r="Q1299" s="456">
        <f t="shared" ca="1" si="801"/>
        <v>1</v>
      </c>
      <c r="R1299" s="450">
        <f t="shared" ca="1" si="802"/>
        <v>12</v>
      </c>
      <c r="S1299" s="191">
        <f t="shared" si="803"/>
        <v>108</v>
      </c>
      <c r="T1299" s="191">
        <f t="shared" si="804"/>
        <v>7</v>
      </c>
      <c r="U1299" s="191">
        <f ca="1">OP!$D$5+$S1299-1</f>
        <v>140</v>
      </c>
      <c r="V1299" s="191" t="str">
        <f t="shared" si="805"/>
        <v/>
      </c>
      <c r="W1299" s="350">
        <f ca="1">IF(Q1299&lt;&gt;1,0,VLOOKUP(OP!$C$55,PVFB,$S1299+2,0))</f>
        <v>0</v>
      </c>
      <c r="X1299" s="473" t="str">
        <f t="shared" ca="1" si="818"/>
        <v/>
      </c>
      <c r="Y1299" s="348">
        <f t="shared" ca="1" si="819"/>
        <v>0</v>
      </c>
      <c r="Z1299" s="348">
        <f t="shared" ca="1" si="820"/>
        <v>8012</v>
      </c>
      <c r="AA1299" s="348">
        <f ca="1">IF(Q1299&lt;&gt;1,0,VLOOKUP(OP!$C$55,PVFB,$S1299+2,0))</f>
        <v>0</v>
      </c>
      <c r="AB1299" s="488" t="str">
        <f ca="1">IF(AND(S1299&lt;OP!$C$24,$U1299&lt;15),0,IF(AND($U1299&lt;15,$T1299=12),ROUND(VLOOKUP($S1299,DOWN16,5,0),3),IF($T1299=12,ROUND(($Z1299/10000)*$AA1299,3)+IF(AND($P$7="購買增額繳清保險",T1299=12,U1299=110),VLOOKUP(S1299,$B$10:$H$121,7,0),0),"")))</f>
        <v/>
      </c>
      <c r="AC1299" s="350" t="str">
        <f ca="1">IF(AND(S1299&lt;OP!$C$24,$U1299&lt;15),0,IF(AND($U1299&lt;16,$T1299=12),VLOOKUP($S1299,DOWN16,4,0),IF($T1299=12,ROUND(VLOOKUP(OP!$C$55,_DIE2,$S1299+1,0)*(Z1299/10000),0)+IF(AND($P$7="購買增額繳清保險",T1299=12,U1299=110),VLOOKUP(S1299,$B$10:$H$121,7,0),0),"")))</f>
        <v/>
      </c>
      <c r="AD1299" s="347"/>
      <c r="AE1299" s="350" t="str">
        <f t="shared" ca="1" si="795"/>
        <v/>
      </c>
      <c r="AF1299" s="351" t="str">
        <f t="shared" ca="1" si="796"/>
        <v/>
      </c>
      <c r="AG1299" s="340"/>
      <c r="AH1299" s="340"/>
      <c r="AI1299" s="340"/>
      <c r="AJ1299" s="340"/>
      <c r="AK1299" s="340"/>
      <c r="AL1299" s="340"/>
      <c r="AM1299" s="340"/>
      <c r="AN1299" s="340"/>
      <c r="AO1299" s="340"/>
      <c r="AP1299" s="340"/>
      <c r="AQ1299" s="340"/>
      <c r="AR1299" s="340"/>
      <c r="AS1299" s="340"/>
      <c r="AT1299" s="340"/>
      <c r="AU1299" s="340"/>
      <c r="AV1299" s="340"/>
      <c r="AY1299" s="340"/>
      <c r="AZ1299" s="465">
        <f t="shared" ca="1" si="806"/>
        <v>7.3698599999999999E-5</v>
      </c>
      <c r="BA1299" s="464">
        <f t="shared" ca="1" si="807"/>
        <v>0</v>
      </c>
      <c r="BB1299" s="465">
        <f t="shared" ca="1" si="807"/>
        <v>7.3698599999999999E-5</v>
      </c>
      <c r="BC1299" s="466">
        <f t="shared" ca="1" si="808"/>
        <v>82151</v>
      </c>
      <c r="BD1299" s="467">
        <f t="shared" ca="1" si="821"/>
        <v>82152</v>
      </c>
      <c r="BE1299" s="467">
        <f t="shared" ca="1" si="809"/>
        <v>82181</v>
      </c>
      <c r="BF1299" s="468">
        <f ca="1">IF(計算!$BC1299&lt;OP!$C$3,0,BD1299-BC1299)</f>
        <v>1</v>
      </c>
      <c r="BG1299" s="468">
        <f ca="1">IF($BE1299&gt;DATE(YEAR($BD$9)+OP!$C$57,MONTH($BD$9),DAY($BD$9)),0,$BE1299-$BD1299+1)</f>
        <v>0</v>
      </c>
      <c r="BH1299" s="469">
        <f t="shared" ca="1" si="810"/>
        <v>1</v>
      </c>
      <c r="BI1299" t="str">
        <f t="shared" si="792"/>
        <v/>
      </c>
      <c r="BJ1299">
        <v>6</v>
      </c>
      <c r="BN1299" s="468">
        <f t="shared" si="822"/>
        <v>108</v>
      </c>
      <c r="BO1299" s="468">
        <f t="shared" si="823"/>
        <v>6</v>
      </c>
      <c r="BP1299" s="467">
        <f t="shared" ca="1" si="811"/>
        <v>82152</v>
      </c>
      <c r="BQ1299" s="475">
        <f t="shared" ca="1" si="825"/>
        <v>140</v>
      </c>
      <c r="BR1299" s="475" t="str">
        <f t="shared" si="824"/>
        <v/>
      </c>
      <c r="BS1299" s="471" t="str">
        <f t="shared" si="812"/>
        <v/>
      </c>
      <c r="BT1299" s="472" t="str">
        <f t="shared" si="793"/>
        <v/>
      </c>
      <c r="BU1299" s="472">
        <f t="shared" ca="1" si="813"/>
        <v>0</v>
      </c>
      <c r="BV1299" s="472">
        <f t="shared" ca="1" si="813"/>
        <v>0</v>
      </c>
      <c r="BW1299" s="472"/>
      <c r="BX1299" s="473">
        <f t="shared" ca="1" si="814"/>
        <v>2828381.2679838901</v>
      </c>
      <c r="BY1299" s="473">
        <f t="shared" si="815"/>
        <v>0</v>
      </c>
      <c r="BZ1299" s="473">
        <f t="shared" ca="1" si="797"/>
        <v>208.44773971699999</v>
      </c>
      <c r="CA1299" s="476">
        <f t="shared" ca="1" si="816"/>
        <v>0</v>
      </c>
      <c r="CB1299" s="494">
        <f ca="1">IF(OR($Q1298&lt;&gt;1,OP!$D$5+$BN1299-1&lt;16,$BN1299-1&lt;1),0,ROUND(ROUND(ROUND(((VLOOKUP($BN1299-1,MORE_PV,5,0)/10000)*VLOOKUP($BN1299,MORE_PV,$CB$5,0)),3)*VLOOKUP($BN1299,more1,5,0),0)/$R1298,0))</f>
        <v>0</v>
      </c>
      <c r="CC1299" s="473">
        <f t="shared" ca="1" si="817"/>
        <v>0</v>
      </c>
      <c r="CD1299" s="477"/>
    </row>
    <row r="1300" spans="2:82" ht="16.5" hidden="1">
      <c r="B1300" s="80"/>
      <c r="C1300" s="80"/>
      <c r="D1300" s="80"/>
      <c r="E1300" s="80"/>
      <c r="F1300" s="80"/>
      <c r="G1300" s="80"/>
      <c r="H1300" s="80"/>
      <c r="I1300" s="80"/>
      <c r="J1300" s="192">
        <f t="shared" si="798"/>
        <v>108</v>
      </c>
      <c r="K1300" s="192">
        <f t="shared" si="799"/>
        <v>8</v>
      </c>
      <c r="L1300" s="192" t="str">
        <f t="shared" si="794"/>
        <v/>
      </c>
      <c r="M1300" s="216" t="str">
        <f t="shared" ca="1" si="800"/>
        <v/>
      </c>
      <c r="N1300" s="216"/>
      <c r="O1300" s="216"/>
      <c r="P1300" s="216"/>
      <c r="Q1300" s="456">
        <f t="shared" ca="1" si="801"/>
        <v>1</v>
      </c>
      <c r="R1300" s="450">
        <f t="shared" ca="1" si="802"/>
        <v>12</v>
      </c>
      <c r="S1300" s="191">
        <f t="shared" si="803"/>
        <v>108</v>
      </c>
      <c r="T1300" s="191">
        <f t="shared" si="804"/>
        <v>8</v>
      </c>
      <c r="U1300" s="191">
        <f ca="1">OP!$D$5+$S1300-1</f>
        <v>140</v>
      </c>
      <c r="V1300" s="191" t="str">
        <f t="shared" si="805"/>
        <v/>
      </c>
      <c r="W1300" s="350">
        <f ca="1">IF(Q1300&lt;&gt;1,0,VLOOKUP(OP!$C$55,PVFB,$S1300+2,0))</f>
        <v>0</v>
      </c>
      <c r="X1300" s="473" t="str">
        <f t="shared" ca="1" si="818"/>
        <v/>
      </c>
      <c r="Y1300" s="348">
        <f t="shared" ca="1" si="819"/>
        <v>0</v>
      </c>
      <c r="Z1300" s="348">
        <f t="shared" ca="1" si="820"/>
        <v>8012</v>
      </c>
      <c r="AA1300" s="348">
        <f ca="1">IF(Q1300&lt;&gt;1,0,VLOOKUP(OP!$C$55,PVFB,$S1300+2,0))</f>
        <v>0</v>
      </c>
      <c r="AB1300" s="488" t="str">
        <f ca="1">IF(AND(S1300&lt;OP!$C$24,$U1300&lt;15),0,IF(AND($U1300&lt;15,$T1300=12),ROUND(VLOOKUP($S1300,DOWN16,5,0),3),IF($T1300=12,ROUND(($Z1300/10000)*$AA1300,3)+IF(AND($P$7="購買增額繳清保險",T1300=12,U1300=110),VLOOKUP(S1300,$B$10:$H$121,7,0),0),"")))</f>
        <v/>
      </c>
      <c r="AC1300" s="350" t="str">
        <f ca="1">IF(AND(S1300&lt;OP!$C$24,$U1300&lt;15),0,IF(AND($U1300&lt;16,$T1300=12),VLOOKUP($S1300,DOWN16,4,0),IF($T1300=12,ROUND(VLOOKUP(OP!$C$55,_DIE2,$S1300+1,0)*(Z1300/10000),0)+IF(AND($P$7="購買增額繳清保險",T1300=12,U1300=110),VLOOKUP(S1300,$B$10:$H$121,7,0),0),"")))</f>
        <v/>
      </c>
      <c r="AD1300" s="347"/>
      <c r="AE1300" s="350" t="str">
        <f t="shared" ca="1" si="795"/>
        <v/>
      </c>
      <c r="AF1300" s="351" t="str">
        <f t="shared" ca="1" si="796"/>
        <v/>
      </c>
      <c r="AG1300" s="340"/>
      <c r="AH1300" s="340"/>
      <c r="AI1300" s="340"/>
      <c r="AJ1300" s="340"/>
      <c r="AK1300" s="340"/>
      <c r="AL1300" s="340"/>
      <c r="AM1300" s="340"/>
      <c r="AN1300" s="340"/>
      <c r="AO1300" s="340"/>
      <c r="AP1300" s="340"/>
      <c r="AQ1300" s="340"/>
      <c r="AR1300" s="340"/>
      <c r="AS1300" s="340"/>
      <c r="AT1300" s="340"/>
      <c r="AU1300" s="340"/>
      <c r="AV1300" s="340"/>
      <c r="AY1300" s="340"/>
      <c r="AZ1300" s="465">
        <f t="shared" ca="1" si="806"/>
        <v>7.3698599999999999E-5</v>
      </c>
      <c r="BA1300" s="464">
        <f t="shared" ca="1" si="807"/>
        <v>0</v>
      </c>
      <c r="BB1300" s="465">
        <f t="shared" ca="1" si="807"/>
        <v>7.3698599999999999E-5</v>
      </c>
      <c r="BC1300" s="466">
        <f t="shared" ca="1" si="808"/>
        <v>82182</v>
      </c>
      <c r="BD1300" s="467">
        <f t="shared" ca="1" si="821"/>
        <v>82183</v>
      </c>
      <c r="BE1300" s="467">
        <f t="shared" ca="1" si="809"/>
        <v>82212</v>
      </c>
      <c r="BF1300" s="468">
        <f ca="1">IF(計算!$BC1300&lt;OP!$C$3,0,BD1300-BC1300)</f>
        <v>1</v>
      </c>
      <c r="BG1300" s="468">
        <f ca="1">IF($BE1300&gt;DATE(YEAR($BD$9)+OP!$C$57,MONTH($BD$9),DAY($BD$9)),0,$BE1300-$BD1300+1)</f>
        <v>0</v>
      </c>
      <c r="BH1300" s="469">
        <f t="shared" ca="1" si="810"/>
        <v>1</v>
      </c>
      <c r="BI1300" t="str">
        <f t="shared" si="792"/>
        <v/>
      </c>
      <c r="BJ1300">
        <v>7</v>
      </c>
      <c r="BN1300" s="468">
        <f t="shared" si="822"/>
        <v>108</v>
      </c>
      <c r="BO1300" s="468">
        <f t="shared" si="823"/>
        <v>7</v>
      </c>
      <c r="BP1300" s="467">
        <f t="shared" ca="1" si="811"/>
        <v>82183</v>
      </c>
      <c r="BQ1300" s="475">
        <f t="shared" ca="1" si="825"/>
        <v>140</v>
      </c>
      <c r="BR1300" s="475" t="str">
        <f t="shared" si="824"/>
        <v/>
      </c>
      <c r="BS1300" s="471" t="str">
        <f t="shared" si="812"/>
        <v/>
      </c>
      <c r="BT1300" s="472" t="str">
        <f t="shared" si="793"/>
        <v/>
      </c>
      <c r="BU1300" s="472">
        <f t="shared" ca="1" si="813"/>
        <v>0</v>
      </c>
      <c r="BV1300" s="472">
        <f t="shared" ca="1" si="813"/>
        <v>0</v>
      </c>
      <c r="BW1300" s="472"/>
      <c r="BX1300" s="473">
        <f t="shared" ca="1" si="814"/>
        <v>2828589.71572361</v>
      </c>
      <c r="BY1300" s="473">
        <f t="shared" si="815"/>
        <v>0</v>
      </c>
      <c r="BZ1300" s="473">
        <f t="shared" ca="1" si="797"/>
        <v>208.463102023</v>
      </c>
      <c r="CA1300" s="476">
        <f t="shared" ca="1" si="816"/>
        <v>0</v>
      </c>
      <c r="CB1300" s="494">
        <f ca="1">IF(OR($Q1299&lt;&gt;1,OP!$D$5+$BN1300-1&lt;16,$BN1300-1&lt;1),0,ROUND(ROUND(ROUND(((VLOOKUP($BN1300-1,MORE_PV,5,0)/10000)*VLOOKUP($BN1300,MORE_PV,$CB$5,0)),3)*VLOOKUP($BN1300,more1,5,0),0)/$R1299,0))</f>
        <v>0</v>
      </c>
      <c r="CC1300" s="473">
        <f t="shared" ca="1" si="817"/>
        <v>0</v>
      </c>
      <c r="CD1300" s="477"/>
    </row>
    <row r="1301" spans="2:82" ht="16.5" hidden="1">
      <c r="B1301" s="80"/>
      <c r="C1301" s="80"/>
      <c r="D1301" s="80"/>
      <c r="E1301" s="80"/>
      <c r="F1301" s="80"/>
      <c r="G1301" s="80"/>
      <c r="H1301" s="80"/>
      <c r="I1301" s="80"/>
      <c r="J1301" s="192">
        <f t="shared" si="798"/>
        <v>108</v>
      </c>
      <c r="K1301" s="192">
        <f t="shared" si="799"/>
        <v>9</v>
      </c>
      <c r="L1301" s="192" t="str">
        <f t="shared" si="794"/>
        <v/>
      </c>
      <c r="M1301" s="216" t="str">
        <f t="shared" ca="1" si="800"/>
        <v/>
      </c>
      <c r="N1301" s="216"/>
      <c r="O1301" s="216"/>
      <c r="P1301" s="216"/>
      <c r="Q1301" s="456">
        <f t="shared" ca="1" si="801"/>
        <v>1</v>
      </c>
      <c r="R1301" s="450">
        <f t="shared" ca="1" si="802"/>
        <v>12</v>
      </c>
      <c r="S1301" s="191">
        <f t="shared" si="803"/>
        <v>108</v>
      </c>
      <c r="T1301" s="191">
        <f t="shared" si="804"/>
        <v>9</v>
      </c>
      <c r="U1301" s="191">
        <f ca="1">OP!$D$5+$S1301-1</f>
        <v>140</v>
      </c>
      <c r="V1301" s="191" t="str">
        <f t="shared" si="805"/>
        <v/>
      </c>
      <c r="W1301" s="350">
        <f ca="1">IF(Q1301&lt;&gt;1,0,VLOOKUP(OP!$C$55,PVFB,$S1301+2,0))</f>
        <v>0</v>
      </c>
      <c r="X1301" s="473" t="str">
        <f t="shared" ca="1" si="818"/>
        <v/>
      </c>
      <c r="Y1301" s="348">
        <f t="shared" ca="1" si="819"/>
        <v>0</v>
      </c>
      <c r="Z1301" s="348">
        <f t="shared" ca="1" si="820"/>
        <v>8012</v>
      </c>
      <c r="AA1301" s="348">
        <f ca="1">IF(Q1301&lt;&gt;1,0,VLOOKUP(OP!$C$55,PVFB,$S1301+2,0))</f>
        <v>0</v>
      </c>
      <c r="AB1301" s="488" t="str">
        <f ca="1">IF(AND(S1301&lt;OP!$C$24,$U1301&lt;15),0,IF(AND($U1301&lt;15,$T1301=12),ROUND(VLOOKUP($S1301,DOWN16,5,0),3),IF($T1301=12,ROUND(($Z1301/10000)*$AA1301,3)+IF(AND($P$7="購買增額繳清保險",T1301=12,U1301=110),VLOOKUP(S1301,$B$10:$H$121,7,0),0),"")))</f>
        <v/>
      </c>
      <c r="AC1301" s="350" t="str">
        <f ca="1">IF(AND(S1301&lt;OP!$C$24,$U1301&lt;15),0,IF(AND($U1301&lt;16,$T1301=12),VLOOKUP($S1301,DOWN16,4,0),IF($T1301=12,ROUND(VLOOKUP(OP!$C$55,_DIE2,$S1301+1,0)*(Z1301/10000),0)+IF(AND($P$7="購買增額繳清保險",T1301=12,U1301=110),VLOOKUP(S1301,$B$10:$H$121,7,0),0),"")))</f>
        <v/>
      </c>
      <c r="AD1301" s="347"/>
      <c r="AE1301" s="350" t="str">
        <f t="shared" ca="1" si="795"/>
        <v/>
      </c>
      <c r="AF1301" s="351" t="str">
        <f t="shared" ca="1" si="796"/>
        <v/>
      </c>
      <c r="AG1301" s="340"/>
      <c r="AH1301" s="340"/>
      <c r="AI1301" s="340"/>
      <c r="AJ1301" s="340"/>
      <c r="AK1301" s="340"/>
      <c r="AL1301" s="340"/>
      <c r="AM1301" s="340"/>
      <c r="AN1301" s="340"/>
      <c r="AO1301" s="340"/>
      <c r="AP1301" s="340"/>
      <c r="AQ1301" s="340"/>
      <c r="AR1301" s="340"/>
      <c r="AS1301" s="340"/>
      <c r="AT1301" s="340"/>
      <c r="AU1301" s="340"/>
      <c r="AV1301" s="340"/>
      <c r="AY1301" s="340"/>
      <c r="AZ1301" s="465">
        <f t="shared" ca="1" si="806"/>
        <v>7.3698599999999999E-5</v>
      </c>
      <c r="BA1301" s="464">
        <f t="shared" ca="1" si="807"/>
        <v>0</v>
      </c>
      <c r="BB1301" s="465">
        <f t="shared" ca="1" si="807"/>
        <v>7.3698599999999999E-5</v>
      </c>
      <c r="BC1301" s="466">
        <f t="shared" ca="1" si="808"/>
        <v>82213</v>
      </c>
      <c r="BD1301" s="467">
        <f t="shared" ca="1" si="821"/>
        <v>82214</v>
      </c>
      <c r="BE1301" s="467">
        <f t="shared" ca="1" si="809"/>
        <v>82240</v>
      </c>
      <c r="BF1301" s="468">
        <f ca="1">IF(計算!$BC1301&lt;OP!$C$3,0,BD1301-BC1301)</f>
        <v>1</v>
      </c>
      <c r="BG1301" s="468">
        <f ca="1">IF($BE1301&gt;DATE(YEAR($BD$9)+OP!$C$57,MONTH($BD$9),DAY($BD$9)),0,$BE1301-$BD1301+1)</f>
        <v>0</v>
      </c>
      <c r="BH1301" s="469">
        <f t="shared" ca="1" si="810"/>
        <v>1</v>
      </c>
      <c r="BI1301" t="str">
        <f t="shared" ref="BI1301:BI1341" si="826">IF(BJ1301=12,BD1301-BD1289,"")</f>
        <v/>
      </c>
      <c r="BJ1301">
        <v>8</v>
      </c>
      <c r="BN1301" s="468">
        <f t="shared" si="822"/>
        <v>108</v>
      </c>
      <c r="BO1301" s="468">
        <f t="shared" si="823"/>
        <v>8</v>
      </c>
      <c r="BP1301" s="467">
        <f t="shared" ca="1" si="811"/>
        <v>82214</v>
      </c>
      <c r="BQ1301" s="475">
        <f t="shared" ca="1" si="825"/>
        <v>140</v>
      </c>
      <c r="BR1301" s="475" t="str">
        <f t="shared" si="824"/>
        <v/>
      </c>
      <c r="BS1301" s="471" t="str">
        <f t="shared" si="812"/>
        <v/>
      </c>
      <c r="BT1301" s="472" t="str">
        <f t="shared" si="793"/>
        <v/>
      </c>
      <c r="BU1301" s="472">
        <f t="shared" ca="1" si="813"/>
        <v>0</v>
      </c>
      <c r="BV1301" s="472">
        <f t="shared" ca="1" si="813"/>
        <v>0</v>
      </c>
      <c r="BW1301" s="472"/>
      <c r="BX1301" s="473">
        <f t="shared" ca="1" si="814"/>
        <v>2828798.1788256299</v>
      </c>
      <c r="BY1301" s="473">
        <f t="shared" si="815"/>
        <v>0</v>
      </c>
      <c r="BZ1301" s="473">
        <f t="shared" ca="1" si="797"/>
        <v>208.478465462</v>
      </c>
      <c r="CA1301" s="476">
        <f t="shared" ca="1" si="816"/>
        <v>0</v>
      </c>
      <c r="CB1301" s="494">
        <f ca="1">IF(OR($Q1300&lt;&gt;1,OP!$D$5+$BN1301-1&lt;16,$BN1301-1&lt;1),0,ROUND(ROUND(ROUND(((VLOOKUP($BN1301-1,MORE_PV,5,0)/10000)*VLOOKUP($BN1301,MORE_PV,$CB$5,0)),3)*VLOOKUP($BN1301,more1,5,0),0)/$R1300,0))</f>
        <v>0</v>
      </c>
      <c r="CC1301" s="473">
        <f t="shared" ca="1" si="817"/>
        <v>0</v>
      </c>
      <c r="CD1301" s="477"/>
    </row>
    <row r="1302" spans="2:82" ht="16.5" hidden="1">
      <c r="B1302" s="80"/>
      <c r="C1302" s="80"/>
      <c r="D1302" s="80"/>
      <c r="E1302" s="80"/>
      <c r="F1302" s="80"/>
      <c r="G1302" s="80"/>
      <c r="H1302" s="80"/>
      <c r="I1302" s="80"/>
      <c r="J1302" s="192">
        <f t="shared" si="798"/>
        <v>108</v>
      </c>
      <c r="K1302" s="192">
        <f t="shared" si="799"/>
        <v>10</v>
      </c>
      <c r="L1302" s="192" t="str">
        <f t="shared" si="794"/>
        <v/>
      </c>
      <c r="M1302" s="216" t="str">
        <f t="shared" ca="1" si="800"/>
        <v/>
      </c>
      <c r="N1302" s="216"/>
      <c r="O1302" s="216"/>
      <c r="P1302" s="216"/>
      <c r="Q1302" s="456">
        <f t="shared" ca="1" si="801"/>
        <v>1</v>
      </c>
      <c r="R1302" s="450">
        <f t="shared" ca="1" si="802"/>
        <v>12</v>
      </c>
      <c r="S1302" s="191">
        <f t="shared" si="803"/>
        <v>108</v>
      </c>
      <c r="T1302" s="191">
        <f t="shared" si="804"/>
        <v>10</v>
      </c>
      <c r="U1302" s="191">
        <f ca="1">OP!$D$5+$S1302-1</f>
        <v>140</v>
      </c>
      <c r="V1302" s="191" t="str">
        <f t="shared" si="805"/>
        <v/>
      </c>
      <c r="W1302" s="350">
        <f ca="1">IF(Q1302&lt;&gt;1,0,VLOOKUP(OP!$C$55,PVFB,$S1302+2,0))</f>
        <v>0</v>
      </c>
      <c r="X1302" s="473" t="str">
        <f t="shared" ca="1" si="818"/>
        <v/>
      </c>
      <c r="Y1302" s="348">
        <f t="shared" ca="1" si="819"/>
        <v>0</v>
      </c>
      <c r="Z1302" s="348">
        <f t="shared" ca="1" si="820"/>
        <v>8012</v>
      </c>
      <c r="AA1302" s="348">
        <f ca="1">IF(Q1302&lt;&gt;1,0,VLOOKUP(OP!$C$55,PVFB,$S1302+2,0))</f>
        <v>0</v>
      </c>
      <c r="AB1302" s="488" t="str">
        <f ca="1">IF(AND(S1302&lt;OP!$C$24,$U1302&lt;15),0,IF(AND($U1302&lt;15,$T1302=12),ROUND(VLOOKUP($S1302,DOWN16,5,0),3),IF($T1302=12,ROUND(($Z1302/10000)*$AA1302,3)+IF(AND($P$7="購買增額繳清保險",T1302=12,U1302=110),VLOOKUP(S1302,$B$10:$H$121,7,0),0),"")))</f>
        <v/>
      </c>
      <c r="AC1302" s="350" t="str">
        <f ca="1">IF(AND(S1302&lt;OP!$C$24,$U1302&lt;15),0,IF(AND($U1302&lt;16,$T1302=12),VLOOKUP($S1302,DOWN16,4,0),IF($T1302=12,ROUND(VLOOKUP(OP!$C$55,_DIE2,$S1302+1,0)*(Z1302/10000),0)+IF(AND($P$7="購買增額繳清保險",T1302=12,U1302=110),VLOOKUP(S1302,$B$10:$H$121,7,0),0),"")))</f>
        <v/>
      </c>
      <c r="AD1302" s="347"/>
      <c r="AE1302" s="350" t="str">
        <f t="shared" ca="1" si="795"/>
        <v/>
      </c>
      <c r="AF1302" s="351" t="str">
        <f t="shared" ca="1" si="796"/>
        <v/>
      </c>
      <c r="AG1302" s="340"/>
      <c r="AH1302" s="340"/>
      <c r="AI1302" s="340"/>
      <c r="AJ1302" s="340"/>
      <c r="AK1302" s="340"/>
      <c r="AL1302" s="340"/>
      <c r="AM1302" s="340"/>
      <c r="AN1302" s="340"/>
      <c r="AO1302" s="340"/>
      <c r="AP1302" s="340"/>
      <c r="AQ1302" s="340"/>
      <c r="AR1302" s="340"/>
      <c r="AS1302" s="340"/>
      <c r="AT1302" s="340"/>
      <c r="AU1302" s="340"/>
      <c r="AV1302" s="340"/>
      <c r="AY1302" s="340"/>
      <c r="AZ1302" s="465">
        <f t="shared" ca="1" si="806"/>
        <v>7.3698599999999999E-5</v>
      </c>
      <c r="BA1302" s="464">
        <f t="shared" ca="1" si="807"/>
        <v>0</v>
      </c>
      <c r="BB1302" s="465">
        <f t="shared" ca="1" si="807"/>
        <v>7.3698599999999999E-5</v>
      </c>
      <c r="BC1302" s="466">
        <f t="shared" ca="1" si="808"/>
        <v>82241</v>
      </c>
      <c r="BD1302" s="467">
        <f t="shared" ca="1" si="821"/>
        <v>82242</v>
      </c>
      <c r="BE1302" s="467">
        <f t="shared" ca="1" si="809"/>
        <v>82271</v>
      </c>
      <c r="BF1302" s="468">
        <f ca="1">IF(計算!$BC1302&lt;OP!$C$3,0,BD1302-BC1302)</f>
        <v>1</v>
      </c>
      <c r="BG1302" s="468">
        <f ca="1">IF($BE1302&gt;DATE(YEAR($BD$9)+OP!$C$57,MONTH($BD$9),DAY($BD$9)),0,$BE1302-$BD1302+1)</f>
        <v>0</v>
      </c>
      <c r="BH1302" s="469">
        <f t="shared" ca="1" si="810"/>
        <v>1</v>
      </c>
      <c r="BI1302" t="str">
        <f t="shared" si="826"/>
        <v/>
      </c>
      <c r="BJ1302">
        <v>9</v>
      </c>
      <c r="BN1302" s="468">
        <f t="shared" si="822"/>
        <v>108</v>
      </c>
      <c r="BO1302" s="468">
        <f t="shared" si="823"/>
        <v>9</v>
      </c>
      <c r="BP1302" s="467">
        <f t="shared" ca="1" si="811"/>
        <v>82242</v>
      </c>
      <c r="BQ1302" s="475">
        <f t="shared" ca="1" si="825"/>
        <v>140</v>
      </c>
      <c r="BR1302" s="475" t="str">
        <f t="shared" si="824"/>
        <v/>
      </c>
      <c r="BS1302" s="471" t="str">
        <f t="shared" si="812"/>
        <v/>
      </c>
      <c r="BT1302" s="472" t="str">
        <f t="shared" ref="BT1302:BT1340" si="827">IF(BW1302&lt;&gt;"",IF(BN1302&gt;=$P$4+1,ROUND(BU1302,0)+ROUND(BV1302,0)+ROUND(BW1302,0)+BT1290,0),"")</f>
        <v/>
      </c>
      <c r="BU1302" s="472">
        <f t="shared" ca="1" si="813"/>
        <v>0</v>
      </c>
      <c r="BV1302" s="472">
        <f t="shared" ca="1" si="813"/>
        <v>0</v>
      </c>
      <c r="BW1302" s="472"/>
      <c r="BX1302" s="473">
        <f t="shared" ca="1" si="814"/>
        <v>2829006.6572910901</v>
      </c>
      <c r="BY1302" s="473">
        <f t="shared" si="815"/>
        <v>0</v>
      </c>
      <c r="BZ1302" s="473">
        <f t="shared" ca="1" si="797"/>
        <v>208.49383003299999</v>
      </c>
      <c r="CA1302" s="476">
        <f t="shared" ca="1" si="816"/>
        <v>0</v>
      </c>
      <c r="CB1302" s="494">
        <f ca="1">IF(OR($Q1301&lt;&gt;1,OP!$D$5+$BN1302-1&lt;16,$BN1302-1&lt;1),0,ROUND(ROUND(ROUND(((VLOOKUP($BN1302-1,MORE_PV,5,0)/10000)*VLOOKUP($BN1302,MORE_PV,$CB$5,0)),3)*VLOOKUP($BN1302,more1,5,0),0)/$R1301,0))</f>
        <v>0</v>
      </c>
      <c r="CC1302" s="473">
        <f t="shared" ca="1" si="817"/>
        <v>0</v>
      </c>
      <c r="CD1302" s="477"/>
    </row>
    <row r="1303" spans="2:82" ht="16.5" hidden="1">
      <c r="B1303" s="80"/>
      <c r="C1303" s="80"/>
      <c r="D1303" s="80"/>
      <c r="E1303" s="80"/>
      <c r="F1303" s="80"/>
      <c r="G1303" s="80"/>
      <c r="H1303" s="80"/>
      <c r="I1303" s="80"/>
      <c r="J1303" s="192">
        <f t="shared" si="798"/>
        <v>108</v>
      </c>
      <c r="K1303" s="192">
        <f t="shared" si="799"/>
        <v>11</v>
      </c>
      <c r="L1303" s="192" t="str">
        <f t="shared" si="794"/>
        <v/>
      </c>
      <c r="M1303" s="216" t="str">
        <f t="shared" ca="1" si="800"/>
        <v/>
      </c>
      <c r="N1303" s="216"/>
      <c r="O1303" s="216"/>
      <c r="P1303" s="216"/>
      <c r="Q1303" s="456">
        <f t="shared" ca="1" si="801"/>
        <v>1</v>
      </c>
      <c r="R1303" s="450">
        <f t="shared" ca="1" si="802"/>
        <v>12</v>
      </c>
      <c r="S1303" s="191">
        <f t="shared" si="803"/>
        <v>108</v>
      </c>
      <c r="T1303" s="191">
        <f t="shared" si="804"/>
        <v>11</v>
      </c>
      <c r="U1303" s="191">
        <f ca="1">OP!$D$5+$S1303-1</f>
        <v>140</v>
      </c>
      <c r="V1303" s="191" t="str">
        <f t="shared" si="805"/>
        <v/>
      </c>
      <c r="W1303" s="350">
        <f ca="1">IF(Q1303&lt;&gt;1,0,VLOOKUP(OP!$C$55,PVFB,$S1303+2,0))</f>
        <v>0</v>
      </c>
      <c r="X1303" s="473" t="str">
        <f t="shared" ca="1" si="818"/>
        <v/>
      </c>
      <c r="Y1303" s="348">
        <f t="shared" ca="1" si="819"/>
        <v>0</v>
      </c>
      <c r="Z1303" s="348">
        <f t="shared" ca="1" si="820"/>
        <v>8012</v>
      </c>
      <c r="AA1303" s="348">
        <f ca="1">IF(Q1303&lt;&gt;1,0,VLOOKUP(OP!$C$55,PVFB,$S1303+2,0))</f>
        <v>0</v>
      </c>
      <c r="AB1303" s="488" t="str">
        <f ca="1">IF(AND(S1303&lt;OP!$C$24,$U1303&lt;15),0,IF(AND($U1303&lt;15,$T1303=12),ROUND(VLOOKUP($S1303,DOWN16,5,0),3),IF($T1303=12,ROUND(($Z1303/10000)*$AA1303,3)+IF(AND($P$7="購買增額繳清保險",T1303=12,U1303=110),VLOOKUP(S1303,$B$10:$H$121,7,0),0),"")))</f>
        <v/>
      </c>
      <c r="AC1303" s="350" t="str">
        <f ca="1">IF(AND(S1303&lt;OP!$C$24,$U1303&lt;15),0,IF(AND($U1303&lt;16,$T1303=12),VLOOKUP($S1303,DOWN16,4,0),IF($T1303=12,ROUND(VLOOKUP(OP!$C$55,_DIE2,$S1303+1,0)*(Z1303/10000),0)+IF(AND($P$7="購買增額繳清保險",T1303=12,U1303=110),VLOOKUP(S1303,$B$10:$H$121,7,0),0),"")))</f>
        <v/>
      </c>
      <c r="AD1303" s="347"/>
      <c r="AE1303" s="350" t="str">
        <f t="shared" ca="1" si="795"/>
        <v/>
      </c>
      <c r="AF1303" s="351" t="str">
        <f t="shared" ca="1" si="796"/>
        <v/>
      </c>
      <c r="AG1303" s="340"/>
      <c r="AH1303" s="340"/>
      <c r="AI1303" s="340"/>
      <c r="AJ1303" s="340"/>
      <c r="AK1303" s="340"/>
      <c r="AL1303" s="340"/>
      <c r="AM1303" s="340"/>
      <c r="AN1303" s="340"/>
      <c r="AO1303" s="340"/>
      <c r="AP1303" s="340"/>
      <c r="AQ1303" s="340"/>
      <c r="AR1303" s="340"/>
      <c r="AS1303" s="340"/>
      <c r="AT1303" s="340"/>
      <c r="AU1303" s="340"/>
      <c r="AV1303" s="340"/>
      <c r="AY1303" s="340"/>
      <c r="AZ1303" s="465">
        <f t="shared" ca="1" si="806"/>
        <v>7.3698599999999999E-5</v>
      </c>
      <c r="BA1303" s="464">
        <f t="shared" ca="1" si="807"/>
        <v>0</v>
      </c>
      <c r="BB1303" s="465">
        <f t="shared" ca="1" si="807"/>
        <v>7.3698599999999999E-5</v>
      </c>
      <c r="BC1303" s="466">
        <f t="shared" ca="1" si="808"/>
        <v>82272</v>
      </c>
      <c r="BD1303" s="467">
        <f t="shared" ca="1" si="821"/>
        <v>82273</v>
      </c>
      <c r="BE1303" s="467">
        <f t="shared" ca="1" si="809"/>
        <v>82301</v>
      </c>
      <c r="BF1303" s="468">
        <f ca="1">IF(計算!$BC1303&lt;OP!$C$3,0,BD1303-BC1303)</f>
        <v>1</v>
      </c>
      <c r="BG1303" s="468">
        <f ca="1">IF($BE1303&gt;DATE(YEAR($BD$9)+OP!$C$57,MONTH($BD$9),DAY($BD$9)),0,$BE1303-$BD1303+1)</f>
        <v>0</v>
      </c>
      <c r="BH1303" s="469">
        <f t="shared" ca="1" si="810"/>
        <v>1</v>
      </c>
      <c r="BI1303" t="str">
        <f t="shared" si="826"/>
        <v/>
      </c>
      <c r="BJ1303">
        <v>10</v>
      </c>
      <c r="BN1303" s="468">
        <f t="shared" si="822"/>
        <v>108</v>
      </c>
      <c r="BO1303" s="468">
        <f t="shared" si="823"/>
        <v>10</v>
      </c>
      <c r="BP1303" s="467">
        <f t="shared" ca="1" si="811"/>
        <v>82273</v>
      </c>
      <c r="BQ1303" s="475">
        <f t="shared" ca="1" si="825"/>
        <v>140</v>
      </c>
      <c r="BR1303" s="475" t="str">
        <f t="shared" si="824"/>
        <v/>
      </c>
      <c r="BS1303" s="471" t="str">
        <f t="shared" si="812"/>
        <v/>
      </c>
      <c r="BT1303" s="472" t="str">
        <f t="shared" si="827"/>
        <v/>
      </c>
      <c r="BU1303" s="472">
        <f t="shared" ca="1" si="813"/>
        <v>0</v>
      </c>
      <c r="BV1303" s="472">
        <f t="shared" ca="1" si="813"/>
        <v>0</v>
      </c>
      <c r="BW1303" s="472"/>
      <c r="BX1303" s="473">
        <f t="shared" ca="1" si="814"/>
        <v>2829215.15112112</v>
      </c>
      <c r="BY1303" s="473">
        <f t="shared" si="815"/>
        <v>0</v>
      </c>
      <c r="BZ1303" s="473">
        <f t="shared" ca="1" si="797"/>
        <v>208.50919573600001</v>
      </c>
      <c r="CA1303" s="476">
        <f t="shared" ca="1" si="816"/>
        <v>0</v>
      </c>
      <c r="CB1303" s="494">
        <f ca="1">IF(OR($Q1302&lt;&gt;1,OP!$D$5+$BN1303-1&lt;16,$BN1303-1&lt;1),0,ROUND(ROUND(ROUND(((VLOOKUP($BN1303-1,MORE_PV,5,0)/10000)*VLOOKUP($BN1303,MORE_PV,$CB$5,0)),3)*VLOOKUP($BN1303,more1,5,0),0)/$R1302,0))</f>
        <v>0</v>
      </c>
      <c r="CC1303" s="473">
        <f t="shared" ca="1" si="817"/>
        <v>0</v>
      </c>
      <c r="CD1303" s="477"/>
    </row>
    <row r="1304" spans="2:82" ht="16.5" hidden="1">
      <c r="B1304" s="80"/>
      <c r="C1304" s="80"/>
      <c r="D1304" s="80"/>
      <c r="E1304" s="80"/>
      <c r="F1304" s="80"/>
      <c r="G1304" s="80"/>
      <c r="H1304" s="80"/>
      <c r="I1304" s="80"/>
      <c r="J1304" s="192">
        <f t="shared" si="798"/>
        <v>108</v>
      </c>
      <c r="K1304" s="192">
        <f t="shared" si="799"/>
        <v>12</v>
      </c>
      <c r="L1304" s="192">
        <f t="shared" si="794"/>
        <v>108</v>
      </c>
      <c r="M1304" s="216">
        <f t="shared" ca="1" si="800"/>
        <v>2829839</v>
      </c>
      <c r="N1304" s="216"/>
      <c r="O1304" s="216"/>
      <c r="P1304" s="216"/>
      <c r="Q1304" s="456">
        <f t="shared" ca="1" si="801"/>
        <v>1</v>
      </c>
      <c r="R1304" s="450">
        <f t="shared" ca="1" si="802"/>
        <v>12</v>
      </c>
      <c r="S1304" s="191">
        <f t="shared" si="803"/>
        <v>108</v>
      </c>
      <c r="T1304" s="191">
        <f t="shared" si="804"/>
        <v>12</v>
      </c>
      <c r="U1304" s="191">
        <f ca="1">OP!$D$5+$S1304-1</f>
        <v>140</v>
      </c>
      <c r="V1304" s="191">
        <f t="shared" si="805"/>
        <v>108</v>
      </c>
      <c r="W1304" s="350">
        <f ca="1">IF(Q1304&lt;&gt;1,0,VLOOKUP(OP!$C$55,PVFB,$S1304+2,0))</f>
        <v>0</v>
      </c>
      <c r="X1304" s="473">
        <f t="shared" ca="1" si="818"/>
        <v>0</v>
      </c>
      <c r="Y1304" s="348">
        <f t="shared" ca="1" si="819"/>
        <v>0</v>
      </c>
      <c r="Z1304" s="348">
        <f t="shared" ca="1" si="820"/>
        <v>8012</v>
      </c>
      <c r="AA1304" s="348">
        <f ca="1">IF(Q1304&lt;&gt;1,0,VLOOKUP(OP!$C$55,PVFB,$S1304+2,0))</f>
        <v>0</v>
      </c>
      <c r="AB1304" s="488">
        <f ca="1">IF(AND(S1304&lt;OP!$C$24,$U1304&lt;15),0,IF(AND($U1304&lt;15,$T1304=12),ROUND(VLOOKUP($S1304,DOWN16,5,0),3),IF($T1304=12,ROUND(($Z1304/10000)*$AA1304,3)+IF(AND($P$7="購買增額繳清保險",T1304=12,U1304=110),VLOOKUP(S1304,$B$10:$H$121,7,0),0),"")))</f>
        <v>0</v>
      </c>
      <c r="AC1304" s="350">
        <f ca="1">IF(AND(S1304&lt;OP!$C$24,$U1304&lt;15),0,IF(AND($U1304&lt;16,$T1304=12),VLOOKUP($S1304,DOWN16,4,0),IF($T1304=12,ROUND(VLOOKUP(OP!$C$55,_DIE2,$S1304+1,0)*(Z1304/10000),0)+IF(AND($P$7="購買增額繳清保險",T1304=12,U1304=110),VLOOKUP(S1304,$B$10:$H$121,7,0),0),"")))</f>
        <v>0</v>
      </c>
      <c r="AD1304" s="347"/>
      <c r="AE1304" s="350" t="str">
        <f t="shared" ca="1" si="795"/>
        <v/>
      </c>
      <c r="AF1304" s="351" t="str">
        <f t="shared" ca="1" si="796"/>
        <v/>
      </c>
      <c r="AG1304" s="340"/>
      <c r="AH1304" s="340"/>
      <c r="AI1304" s="340"/>
      <c r="AJ1304" s="340"/>
      <c r="AK1304" s="340"/>
      <c r="AL1304" s="340"/>
      <c r="AM1304" s="340"/>
      <c r="AN1304" s="340"/>
      <c r="AO1304" s="340"/>
      <c r="AP1304" s="340"/>
      <c r="AQ1304" s="340"/>
      <c r="AR1304" s="340"/>
      <c r="AS1304" s="340"/>
      <c r="AT1304" s="340"/>
      <c r="AU1304" s="340"/>
      <c r="AV1304" s="340"/>
      <c r="AY1304" s="340"/>
      <c r="AZ1304" s="465">
        <f t="shared" ca="1" si="806"/>
        <v>7.3698599999999999E-5</v>
      </c>
      <c r="BA1304" s="464">
        <f t="shared" ca="1" si="807"/>
        <v>0</v>
      </c>
      <c r="BB1304" s="465">
        <f t="shared" ca="1" si="807"/>
        <v>7.3698599999999999E-5</v>
      </c>
      <c r="BC1304" s="466">
        <f t="shared" ca="1" si="808"/>
        <v>82302</v>
      </c>
      <c r="BD1304" s="467">
        <f t="shared" ca="1" si="821"/>
        <v>82303</v>
      </c>
      <c r="BE1304" s="467">
        <f t="shared" ca="1" si="809"/>
        <v>82332</v>
      </c>
      <c r="BF1304" s="468">
        <f ca="1">IF(計算!$BC1304&lt;OP!$C$3,0,BD1304-BC1304)</f>
        <v>1</v>
      </c>
      <c r="BG1304" s="468">
        <f ca="1">IF($BE1304&gt;DATE(YEAR($BD$9)+OP!$C$57,MONTH($BD$9),DAY($BD$9)),0,$BE1304-$BD1304+1)</f>
        <v>0</v>
      </c>
      <c r="BH1304" s="469">
        <f t="shared" ca="1" si="810"/>
        <v>1</v>
      </c>
      <c r="BI1304" t="str">
        <f t="shared" si="826"/>
        <v/>
      </c>
      <c r="BJ1304">
        <v>11</v>
      </c>
      <c r="BN1304" s="468">
        <f t="shared" si="822"/>
        <v>108</v>
      </c>
      <c r="BO1304" s="468">
        <f t="shared" si="823"/>
        <v>11</v>
      </c>
      <c r="BP1304" s="467">
        <f t="shared" ca="1" si="811"/>
        <v>82303</v>
      </c>
      <c r="BQ1304" s="475">
        <f t="shared" ca="1" si="825"/>
        <v>140</v>
      </c>
      <c r="BR1304" s="475" t="str">
        <f t="shared" si="824"/>
        <v/>
      </c>
      <c r="BS1304" s="471" t="str">
        <f t="shared" si="812"/>
        <v/>
      </c>
      <c r="BT1304" s="472" t="str">
        <f t="shared" si="827"/>
        <v/>
      </c>
      <c r="BU1304" s="472">
        <f t="shared" ca="1" si="813"/>
        <v>0</v>
      </c>
      <c r="BV1304" s="472">
        <f t="shared" ca="1" si="813"/>
        <v>0</v>
      </c>
      <c r="BW1304" s="472"/>
      <c r="BX1304" s="473">
        <f t="shared" ca="1" si="814"/>
        <v>2829423.6603168598</v>
      </c>
      <c r="BY1304" s="473">
        <f t="shared" si="815"/>
        <v>0</v>
      </c>
      <c r="BZ1304" s="473">
        <f t="shared" ca="1" si="797"/>
        <v>208.52456257200001</v>
      </c>
      <c r="CA1304" s="476">
        <f t="shared" ca="1" si="816"/>
        <v>0</v>
      </c>
      <c r="CB1304" s="494">
        <f ca="1">IF(OR($Q1303&lt;&gt;1,OP!$D$5+$BN1304-1&lt;16,$BN1304-1&lt;1),0,ROUND(ROUND(ROUND(((VLOOKUP($BN1304-1,MORE_PV,5,0)/10000)*VLOOKUP($BN1304,MORE_PV,$CB$5,0)),3)*VLOOKUP($BN1304,more1,5,0),0)/$R1303,0))</f>
        <v>0</v>
      </c>
      <c r="CC1304" s="473">
        <f t="shared" ca="1" si="817"/>
        <v>0</v>
      </c>
      <c r="CD1304" s="477"/>
    </row>
    <row r="1305" spans="2:82" ht="16.5" hidden="1">
      <c r="B1305" s="80"/>
      <c r="C1305" s="80"/>
      <c r="D1305" s="80"/>
      <c r="E1305" s="80"/>
      <c r="F1305" s="80"/>
      <c r="G1305" s="80"/>
      <c r="H1305" s="80"/>
      <c r="I1305" s="80"/>
      <c r="J1305" s="192">
        <f t="shared" si="798"/>
        <v>109</v>
      </c>
      <c r="K1305" s="192">
        <f t="shared" si="799"/>
        <v>1</v>
      </c>
      <c r="L1305" s="192" t="str">
        <f t="shared" si="794"/>
        <v/>
      </c>
      <c r="M1305" s="216" t="str">
        <f t="shared" ca="1" si="800"/>
        <v/>
      </c>
      <c r="N1305" s="216"/>
      <c r="O1305" s="216"/>
      <c r="P1305" s="216"/>
      <c r="Q1305" s="456">
        <f t="shared" ca="1" si="801"/>
        <v>1</v>
      </c>
      <c r="R1305" s="450">
        <f t="shared" ca="1" si="802"/>
        <v>12</v>
      </c>
      <c r="S1305" s="191">
        <f t="shared" si="803"/>
        <v>109</v>
      </c>
      <c r="T1305" s="191">
        <f t="shared" si="804"/>
        <v>1</v>
      </c>
      <c r="U1305" s="191">
        <f ca="1">OP!$D$5+$S1305-1</f>
        <v>141</v>
      </c>
      <c r="V1305" s="191" t="str">
        <f t="shared" si="805"/>
        <v/>
      </c>
      <c r="W1305" s="350">
        <f ca="1">IF(Q1305&lt;&gt;1,0,VLOOKUP(OP!$C$55,PVFB,$S1305+2,0))</f>
        <v>0</v>
      </c>
      <c r="X1305" s="473" t="str">
        <f t="shared" ca="1" si="818"/>
        <v/>
      </c>
      <c r="Y1305" s="348">
        <f t="shared" ca="1" si="819"/>
        <v>0</v>
      </c>
      <c r="Z1305" s="348">
        <f t="shared" ca="1" si="820"/>
        <v>8012</v>
      </c>
      <c r="AA1305" s="348">
        <f ca="1">IF(Q1305&lt;&gt;1,0,VLOOKUP(OP!$C$55,PVFB,$S1305+2,0))</f>
        <v>0</v>
      </c>
      <c r="AB1305" s="488" t="str">
        <f ca="1">IF(AND(S1305&lt;OP!$C$24,$U1305&lt;15),0,IF(AND($U1305&lt;15,$T1305=12),ROUND(VLOOKUP($S1305,DOWN16,5,0),3),IF($T1305=12,ROUND(($Z1305/10000)*$AA1305,3)+IF(AND($P$7="購買增額繳清保險",T1305=12,U1305=110),VLOOKUP(S1305,$B$10:$H$121,7,0),0),"")))</f>
        <v/>
      </c>
      <c r="AC1305" s="350" t="str">
        <f ca="1">IF(AND(S1305&lt;OP!$C$24,$U1305&lt;15),0,IF(AND($U1305&lt;16,$T1305=12),VLOOKUP($S1305,DOWN16,4,0),IF($T1305=12,ROUND(VLOOKUP(OP!$C$55,_DIE2,$S1305+1,0)*(Z1305/10000),0)+IF(AND($P$7="購買增額繳清保險",T1305=12,U1305=110),VLOOKUP(S1305,$B$10:$H$121,7,0),0),"")))</f>
        <v/>
      </c>
      <c r="AD1305" s="347"/>
      <c r="AE1305" s="350" t="str">
        <f t="shared" ca="1" si="795"/>
        <v/>
      </c>
      <c r="AF1305" s="351" t="str">
        <f t="shared" ca="1" si="796"/>
        <v/>
      </c>
      <c r="AG1305" s="340"/>
      <c r="AH1305" s="340"/>
      <c r="AI1305" s="340"/>
      <c r="AJ1305" s="340"/>
      <c r="AK1305" s="340"/>
      <c r="AL1305" s="340"/>
      <c r="AM1305" s="340"/>
      <c r="AN1305" s="340"/>
      <c r="AO1305" s="340"/>
      <c r="AP1305" s="340"/>
      <c r="AQ1305" s="340"/>
      <c r="AR1305" s="340"/>
      <c r="AS1305" s="340"/>
      <c r="AT1305" s="340"/>
      <c r="AU1305" s="340"/>
      <c r="AV1305" s="340"/>
      <c r="AY1305" s="340"/>
      <c r="AZ1305" s="465">
        <f t="shared" ca="1" si="806"/>
        <v>7.3698599999999999E-5</v>
      </c>
      <c r="BA1305" s="464">
        <f t="shared" ca="1" si="807"/>
        <v>0</v>
      </c>
      <c r="BB1305" s="465">
        <f t="shared" ca="1" si="807"/>
        <v>7.3698599999999999E-5</v>
      </c>
      <c r="BC1305" s="466">
        <f t="shared" ca="1" si="808"/>
        <v>82333</v>
      </c>
      <c r="BD1305" s="467">
        <f t="shared" ca="1" si="821"/>
        <v>82334</v>
      </c>
      <c r="BE1305" s="467">
        <f t="shared" ca="1" si="809"/>
        <v>82362</v>
      </c>
      <c r="BF1305" s="468">
        <f ca="1">IF(計算!$BC1305&lt;OP!$C$3,0,BD1305-BC1305)</f>
        <v>1</v>
      </c>
      <c r="BG1305" s="468">
        <f ca="1">IF($BE1305&gt;DATE(YEAR($BD$9)+OP!$C$57,MONTH($BD$9),DAY($BD$9)),0,$BE1305-$BD1305+1)</f>
        <v>0</v>
      </c>
      <c r="BH1305" s="469">
        <f t="shared" ca="1" si="810"/>
        <v>1</v>
      </c>
      <c r="BI1305">
        <f t="shared" ca="1" si="826"/>
        <v>365</v>
      </c>
      <c r="BJ1305">
        <v>12</v>
      </c>
      <c r="BN1305" s="468">
        <f t="shared" si="822"/>
        <v>108</v>
      </c>
      <c r="BO1305" s="468">
        <f t="shared" si="823"/>
        <v>12</v>
      </c>
      <c r="BP1305" s="467">
        <f t="shared" ca="1" si="811"/>
        <v>82334</v>
      </c>
      <c r="BQ1305" s="475">
        <f t="shared" ca="1" si="825"/>
        <v>140</v>
      </c>
      <c r="BR1305" s="475">
        <f t="shared" si="824"/>
        <v>108</v>
      </c>
      <c r="BS1305" s="471">
        <f t="shared" ca="1" si="812"/>
        <v>0</v>
      </c>
      <c r="BT1305" s="472">
        <f t="shared" ca="1" si="827"/>
        <v>2829839</v>
      </c>
      <c r="BU1305" s="472">
        <f t="shared" ca="1" si="813"/>
        <v>0</v>
      </c>
      <c r="BV1305" s="472">
        <f t="shared" ca="1" si="813"/>
        <v>0</v>
      </c>
      <c r="BW1305" s="472">
        <f ca="1">ROUND(SUM(BY1305,BZ1293:BZ1304),0)</f>
        <v>2501</v>
      </c>
      <c r="BX1305" s="473">
        <f t="shared" ca="1" si="814"/>
        <v>2829840.7248099698</v>
      </c>
      <c r="BY1305" s="473">
        <f t="shared" ca="1" si="815"/>
        <v>208.53993054099999</v>
      </c>
      <c r="BZ1305" s="473">
        <f t="shared" ca="1" si="797"/>
        <v>0</v>
      </c>
      <c r="CA1305" s="476">
        <f t="shared" ca="1" si="816"/>
        <v>0</v>
      </c>
      <c r="CB1305" s="494">
        <f ca="1">IF(OR($Q1304&lt;&gt;1,OP!$D$5+$BN1305-1&lt;16,$BN1305-1&lt;1),0,ROUND(ROUND(ROUND(((VLOOKUP($BN1305-1,MORE_PV,5,0)/10000)*VLOOKUP($BN1305,MORE_PV,$CB$5,0)),3)*VLOOKUP($BN1305,more1,5,0),0)/$R1304,0))</f>
        <v>0</v>
      </c>
      <c r="CC1305" s="473">
        <f t="shared" ca="1" si="817"/>
        <v>0</v>
      </c>
      <c r="CD1305" s="477"/>
    </row>
    <row r="1306" spans="2:82" ht="16.5" hidden="1">
      <c r="B1306" s="80"/>
      <c r="C1306" s="80"/>
      <c r="D1306" s="80"/>
      <c r="E1306" s="80"/>
      <c r="F1306" s="80"/>
      <c r="G1306" s="80"/>
      <c r="H1306" s="80"/>
      <c r="I1306" s="80"/>
      <c r="J1306" s="192">
        <f t="shared" si="798"/>
        <v>109</v>
      </c>
      <c r="K1306" s="192">
        <f t="shared" si="799"/>
        <v>2</v>
      </c>
      <c r="L1306" s="192" t="str">
        <f t="shared" si="794"/>
        <v/>
      </c>
      <c r="M1306" s="216" t="str">
        <f t="shared" ca="1" si="800"/>
        <v/>
      </c>
      <c r="N1306" s="216"/>
      <c r="O1306" s="216"/>
      <c r="P1306" s="216"/>
      <c r="Q1306" s="456">
        <f t="shared" ca="1" si="801"/>
        <v>1</v>
      </c>
      <c r="R1306" s="450">
        <f t="shared" ca="1" si="802"/>
        <v>12</v>
      </c>
      <c r="S1306" s="191">
        <f t="shared" si="803"/>
        <v>109</v>
      </c>
      <c r="T1306" s="191">
        <f t="shared" si="804"/>
        <v>2</v>
      </c>
      <c r="U1306" s="191">
        <f ca="1">OP!$D$5+$S1306-1</f>
        <v>141</v>
      </c>
      <c r="V1306" s="191" t="str">
        <f t="shared" si="805"/>
        <v/>
      </c>
      <c r="W1306" s="350">
        <f ca="1">IF(Q1306&lt;&gt;1,0,VLOOKUP(OP!$C$55,PVFB,$S1306+2,0))</f>
        <v>0</v>
      </c>
      <c r="X1306" s="473" t="str">
        <f t="shared" ca="1" si="818"/>
        <v/>
      </c>
      <c r="Y1306" s="348">
        <f t="shared" ca="1" si="819"/>
        <v>0</v>
      </c>
      <c r="Z1306" s="348">
        <f t="shared" ca="1" si="820"/>
        <v>8012</v>
      </c>
      <c r="AA1306" s="348">
        <f ca="1">IF(Q1306&lt;&gt;1,0,VLOOKUP(OP!$C$55,PVFB,$S1306+2,0))</f>
        <v>0</v>
      </c>
      <c r="AB1306" s="488" t="str">
        <f ca="1">IF(AND(S1306&lt;OP!$C$24,$U1306&lt;15),0,IF(AND($U1306&lt;15,$T1306=12),ROUND(VLOOKUP($S1306,DOWN16,5,0),3),IF($T1306=12,ROUND(($Z1306/10000)*$AA1306,3)+IF(AND($P$7="購買增額繳清保險",T1306=12,U1306=110),VLOOKUP(S1306,$B$10:$H$121,7,0),0),"")))</f>
        <v/>
      </c>
      <c r="AC1306" s="350" t="str">
        <f ca="1">IF(AND(S1306&lt;OP!$C$24,$U1306&lt;15),0,IF(AND($U1306&lt;16,$T1306=12),VLOOKUP($S1306,DOWN16,4,0),IF($T1306=12,ROUND(VLOOKUP(OP!$C$55,_DIE2,$S1306+1,0)*(Z1306/10000),0)+IF(AND($P$7="購買增額繳清保險",T1306=12,U1306=110),VLOOKUP(S1306,$B$10:$H$121,7,0),0),"")))</f>
        <v/>
      </c>
      <c r="AD1306" s="347"/>
      <c r="AE1306" s="350" t="str">
        <f t="shared" ca="1" si="795"/>
        <v/>
      </c>
      <c r="AF1306" s="351" t="str">
        <f t="shared" ca="1" si="796"/>
        <v/>
      </c>
      <c r="AG1306" s="340"/>
      <c r="AH1306" s="340"/>
      <c r="AI1306" s="340"/>
      <c r="AJ1306" s="340"/>
      <c r="AK1306" s="340"/>
      <c r="AL1306" s="340"/>
      <c r="AM1306" s="340"/>
      <c r="AN1306" s="340"/>
      <c r="AO1306" s="340"/>
      <c r="AP1306" s="340"/>
      <c r="AQ1306" s="340"/>
      <c r="AR1306" s="340"/>
      <c r="AS1306" s="340"/>
      <c r="AT1306" s="340"/>
      <c r="AU1306" s="340"/>
      <c r="AV1306" s="340"/>
      <c r="AY1306" s="340"/>
      <c r="AZ1306" s="465">
        <f t="shared" ca="1" si="806"/>
        <v>7.3698599999999999E-5</v>
      </c>
      <c r="BA1306" s="464">
        <f t="shared" ca="1" si="807"/>
        <v>0</v>
      </c>
      <c r="BB1306" s="465">
        <f t="shared" ca="1" si="807"/>
        <v>7.3698599999999999E-5</v>
      </c>
      <c r="BC1306" s="466">
        <f t="shared" ca="1" si="808"/>
        <v>82363</v>
      </c>
      <c r="BD1306" s="467">
        <f t="shared" ca="1" si="821"/>
        <v>82364</v>
      </c>
      <c r="BE1306" s="467">
        <f t="shared" ca="1" si="809"/>
        <v>82393</v>
      </c>
      <c r="BF1306" s="468">
        <f ca="1">IF(計算!$BC1306&lt;OP!$C$3,0,BD1306-BC1306)</f>
        <v>1</v>
      </c>
      <c r="BG1306" s="468">
        <f ca="1">IF($BE1306&gt;DATE(YEAR($BD$9)+OP!$C$57,MONTH($BD$9),DAY($BD$9)),0,$BE1306-$BD1306+1)</f>
        <v>0</v>
      </c>
      <c r="BH1306" s="469">
        <f t="shared" ca="1" si="810"/>
        <v>1</v>
      </c>
      <c r="BI1306" t="str">
        <f t="shared" si="826"/>
        <v/>
      </c>
      <c r="BJ1306">
        <v>1</v>
      </c>
      <c r="BN1306" s="468">
        <f t="shared" si="822"/>
        <v>109</v>
      </c>
      <c r="BO1306" s="468">
        <f t="shared" si="823"/>
        <v>1</v>
      </c>
      <c r="BP1306" s="467">
        <f t="shared" ca="1" si="811"/>
        <v>82364</v>
      </c>
      <c r="BQ1306" s="475">
        <f t="shared" ca="1" si="825"/>
        <v>141</v>
      </c>
      <c r="BR1306" s="475" t="str">
        <f t="shared" si="824"/>
        <v/>
      </c>
      <c r="BS1306" s="471" t="str">
        <f t="shared" si="812"/>
        <v/>
      </c>
      <c r="BT1306" s="472" t="str">
        <f t="shared" si="827"/>
        <v/>
      </c>
      <c r="BU1306" s="472">
        <f t="shared" ca="1" si="813"/>
        <v>0</v>
      </c>
      <c r="BV1306" s="472">
        <f t="shared" ca="1" si="813"/>
        <v>0</v>
      </c>
      <c r="BW1306" s="472"/>
      <c r="BX1306" s="473">
        <f t="shared" ca="1" si="814"/>
        <v>2829840.7248099698</v>
      </c>
      <c r="BY1306" s="473">
        <f t="shared" si="815"/>
        <v>0</v>
      </c>
      <c r="BZ1306" s="473">
        <f t="shared" ca="1" si="797"/>
        <v>208.555299641</v>
      </c>
      <c r="CA1306" s="476">
        <f t="shared" ca="1" si="816"/>
        <v>0</v>
      </c>
      <c r="CB1306" s="494">
        <f ca="1">IF(OR($Q1305&lt;&gt;1,OP!$D$5+$BN1306-1&lt;16,$BN1306-1&lt;1),0,ROUND(ROUND(ROUND(((VLOOKUP($BN1306-1,MORE_PV,5,0)/10000)*VLOOKUP($BN1306,MORE_PV,$CB$5,0)),3)*VLOOKUP($BN1306,more1,5,0),0)/$R1305,0))</f>
        <v>0</v>
      </c>
      <c r="CC1306" s="473">
        <f t="shared" ca="1" si="817"/>
        <v>0</v>
      </c>
      <c r="CD1306" s="477"/>
    </row>
    <row r="1307" spans="2:82" ht="16.5" hidden="1">
      <c r="B1307" s="80"/>
      <c r="C1307" s="80"/>
      <c r="D1307" s="80"/>
      <c r="E1307" s="80"/>
      <c r="F1307" s="80"/>
      <c r="G1307" s="80"/>
      <c r="H1307" s="80"/>
      <c r="I1307" s="80"/>
      <c r="J1307" s="192">
        <f t="shared" si="798"/>
        <v>109</v>
      </c>
      <c r="K1307" s="192">
        <f t="shared" si="799"/>
        <v>3</v>
      </c>
      <c r="L1307" s="192" t="str">
        <f t="shared" si="794"/>
        <v/>
      </c>
      <c r="M1307" s="216" t="str">
        <f t="shared" ca="1" si="800"/>
        <v/>
      </c>
      <c r="N1307" s="216"/>
      <c r="O1307" s="216"/>
      <c r="P1307" s="216"/>
      <c r="Q1307" s="456">
        <f t="shared" ca="1" si="801"/>
        <v>1</v>
      </c>
      <c r="R1307" s="450">
        <f t="shared" ca="1" si="802"/>
        <v>12</v>
      </c>
      <c r="S1307" s="191">
        <f t="shared" si="803"/>
        <v>109</v>
      </c>
      <c r="T1307" s="191">
        <f t="shared" si="804"/>
        <v>3</v>
      </c>
      <c r="U1307" s="191">
        <f ca="1">OP!$D$5+$S1307-1</f>
        <v>141</v>
      </c>
      <c r="V1307" s="191" t="str">
        <f t="shared" si="805"/>
        <v/>
      </c>
      <c r="W1307" s="350">
        <f ca="1">IF(Q1307&lt;&gt;1,0,VLOOKUP(OP!$C$55,PVFB,$S1307+2,0))</f>
        <v>0</v>
      </c>
      <c r="X1307" s="473" t="str">
        <f t="shared" ca="1" si="818"/>
        <v/>
      </c>
      <c r="Y1307" s="348">
        <f t="shared" ca="1" si="819"/>
        <v>0</v>
      </c>
      <c r="Z1307" s="348">
        <f t="shared" ca="1" si="820"/>
        <v>8012</v>
      </c>
      <c r="AA1307" s="348">
        <f ca="1">IF(Q1307&lt;&gt;1,0,VLOOKUP(OP!$C$55,PVFB,$S1307+2,0))</f>
        <v>0</v>
      </c>
      <c r="AB1307" s="488" t="str">
        <f ca="1">IF(AND(S1307&lt;OP!$C$24,$U1307&lt;15),0,IF(AND($U1307&lt;15,$T1307=12),ROUND(VLOOKUP($S1307,DOWN16,5,0),3),IF($T1307=12,ROUND(($Z1307/10000)*$AA1307,3)+IF(AND($P$7="購買增額繳清保險",T1307=12,U1307=110),VLOOKUP(S1307,$B$10:$H$121,7,0),0),"")))</f>
        <v/>
      </c>
      <c r="AC1307" s="350" t="str">
        <f ca="1">IF(AND(S1307&lt;OP!$C$24,$U1307&lt;15),0,IF(AND($U1307&lt;16,$T1307=12),VLOOKUP($S1307,DOWN16,4,0),IF($T1307=12,ROUND(VLOOKUP(OP!$C$55,_DIE2,$S1307+1,0)*(Z1307/10000),0)+IF(AND($P$7="購買增額繳清保險",T1307=12,U1307=110),VLOOKUP(S1307,$B$10:$H$121,7,0),0),"")))</f>
        <v/>
      </c>
      <c r="AD1307" s="347"/>
      <c r="AE1307" s="350" t="str">
        <f t="shared" ca="1" si="795"/>
        <v/>
      </c>
      <c r="AF1307" s="351" t="str">
        <f t="shared" ca="1" si="796"/>
        <v/>
      </c>
      <c r="AG1307" s="340"/>
      <c r="AH1307" s="340"/>
      <c r="AI1307" s="340"/>
      <c r="AJ1307" s="340"/>
      <c r="AK1307" s="340"/>
      <c r="AL1307" s="340"/>
      <c r="AM1307" s="340"/>
      <c r="AN1307" s="340"/>
      <c r="AO1307" s="340"/>
      <c r="AP1307" s="340"/>
      <c r="AQ1307" s="340"/>
      <c r="AR1307" s="340"/>
      <c r="AS1307" s="340"/>
      <c r="AT1307" s="340"/>
      <c r="AU1307" s="340"/>
      <c r="AV1307" s="340"/>
      <c r="AY1307" s="340"/>
      <c r="AZ1307" s="465">
        <f t="shared" ca="1" si="806"/>
        <v>7.3698599999999999E-5</v>
      </c>
      <c r="BA1307" s="464">
        <f t="shared" ca="1" si="807"/>
        <v>0</v>
      </c>
      <c r="BB1307" s="465">
        <f t="shared" ca="1" si="807"/>
        <v>7.3698599999999999E-5</v>
      </c>
      <c r="BC1307" s="466">
        <f t="shared" ca="1" si="808"/>
        <v>82394</v>
      </c>
      <c r="BD1307" s="467">
        <f t="shared" ca="1" si="821"/>
        <v>82395</v>
      </c>
      <c r="BE1307" s="467">
        <f t="shared" ca="1" si="809"/>
        <v>82424</v>
      </c>
      <c r="BF1307" s="468">
        <f ca="1">IF(計算!$BC1307&lt;OP!$C$3,0,BD1307-BC1307)</f>
        <v>1</v>
      </c>
      <c r="BG1307" s="468">
        <f ca="1">IF($BE1307&gt;DATE(YEAR($BD$9)+OP!$C$57,MONTH($BD$9),DAY($BD$9)),0,$BE1307-$BD1307+1)</f>
        <v>0</v>
      </c>
      <c r="BH1307" s="469">
        <f t="shared" ca="1" si="810"/>
        <v>1</v>
      </c>
      <c r="BI1307" t="str">
        <f t="shared" si="826"/>
        <v/>
      </c>
      <c r="BJ1307">
        <v>2</v>
      </c>
      <c r="BN1307" s="468">
        <f t="shared" si="822"/>
        <v>109</v>
      </c>
      <c r="BO1307" s="468">
        <f t="shared" si="823"/>
        <v>2</v>
      </c>
      <c r="BP1307" s="467">
        <f t="shared" ca="1" si="811"/>
        <v>82395</v>
      </c>
      <c r="BQ1307" s="475">
        <f t="shared" ca="1" si="825"/>
        <v>141</v>
      </c>
      <c r="BR1307" s="475" t="str">
        <f t="shared" si="824"/>
        <v/>
      </c>
      <c r="BS1307" s="471" t="str">
        <f t="shared" si="812"/>
        <v/>
      </c>
      <c r="BT1307" s="472" t="str">
        <f t="shared" si="827"/>
        <v/>
      </c>
      <c r="BU1307" s="472">
        <f t="shared" ca="1" si="813"/>
        <v>0</v>
      </c>
      <c r="BV1307" s="472">
        <f t="shared" ca="1" si="813"/>
        <v>0</v>
      </c>
      <c r="BW1307" s="472"/>
      <c r="BX1307" s="473">
        <f t="shared" ca="1" si="814"/>
        <v>2830049.2801096099</v>
      </c>
      <c r="BY1307" s="473">
        <f t="shared" si="815"/>
        <v>0</v>
      </c>
      <c r="BZ1307" s="473">
        <f t="shared" ca="1" si="797"/>
        <v>208.57066987499999</v>
      </c>
      <c r="CA1307" s="476">
        <f t="shared" ca="1" si="816"/>
        <v>0</v>
      </c>
      <c r="CB1307" s="494">
        <f ca="1">IF(OR($Q1306&lt;&gt;1,OP!$D$5+$BN1307-1&lt;16,$BN1307-1&lt;1),0,ROUND(ROUND(ROUND(((VLOOKUP($BN1307-1,MORE_PV,5,0)/10000)*VLOOKUP($BN1307,MORE_PV,$CB$5,0)),3)*VLOOKUP($BN1307,more1,5,0),0)/$R1306,0))</f>
        <v>0</v>
      </c>
      <c r="CC1307" s="473">
        <f t="shared" ca="1" si="817"/>
        <v>0</v>
      </c>
      <c r="CD1307" s="477"/>
    </row>
    <row r="1308" spans="2:82" ht="16.5" hidden="1">
      <c r="B1308" s="80"/>
      <c r="C1308" s="80"/>
      <c r="D1308" s="80"/>
      <c r="E1308" s="80"/>
      <c r="F1308" s="80"/>
      <c r="G1308" s="80"/>
      <c r="H1308" s="80"/>
      <c r="I1308" s="80"/>
      <c r="J1308" s="192">
        <f t="shared" si="798"/>
        <v>109</v>
      </c>
      <c r="K1308" s="192">
        <f t="shared" si="799"/>
        <v>4</v>
      </c>
      <c r="L1308" s="192" t="str">
        <f t="shared" si="794"/>
        <v/>
      </c>
      <c r="M1308" s="216" t="str">
        <f t="shared" ca="1" si="800"/>
        <v/>
      </c>
      <c r="N1308" s="216"/>
      <c r="O1308" s="216"/>
      <c r="P1308" s="216"/>
      <c r="Q1308" s="456">
        <f t="shared" ca="1" si="801"/>
        <v>1</v>
      </c>
      <c r="R1308" s="450">
        <f t="shared" ca="1" si="802"/>
        <v>12</v>
      </c>
      <c r="S1308" s="191">
        <f t="shared" si="803"/>
        <v>109</v>
      </c>
      <c r="T1308" s="191">
        <f t="shared" si="804"/>
        <v>4</v>
      </c>
      <c r="U1308" s="191">
        <f ca="1">OP!$D$5+$S1308-1</f>
        <v>141</v>
      </c>
      <c r="V1308" s="191" t="str">
        <f t="shared" si="805"/>
        <v/>
      </c>
      <c r="W1308" s="350">
        <f ca="1">IF(Q1308&lt;&gt;1,0,VLOOKUP(OP!$C$55,PVFB,$S1308+2,0))</f>
        <v>0</v>
      </c>
      <c r="X1308" s="473" t="str">
        <f t="shared" ca="1" si="818"/>
        <v/>
      </c>
      <c r="Y1308" s="348">
        <f t="shared" ca="1" si="819"/>
        <v>0</v>
      </c>
      <c r="Z1308" s="348">
        <f t="shared" ca="1" si="820"/>
        <v>8012</v>
      </c>
      <c r="AA1308" s="348">
        <f ca="1">IF(Q1308&lt;&gt;1,0,VLOOKUP(OP!$C$55,PVFB,$S1308+2,0))</f>
        <v>0</v>
      </c>
      <c r="AB1308" s="488" t="str">
        <f ca="1">IF(AND(S1308&lt;OP!$C$24,$U1308&lt;15),0,IF(AND($U1308&lt;15,$T1308=12),ROUND(VLOOKUP($S1308,DOWN16,5,0),3),IF($T1308=12,ROUND(($Z1308/10000)*$AA1308,3)+IF(AND($P$7="購買增額繳清保險",T1308=12,U1308=110),VLOOKUP(S1308,$B$10:$H$121,7,0),0),"")))</f>
        <v/>
      </c>
      <c r="AC1308" s="350" t="str">
        <f ca="1">IF(AND(S1308&lt;OP!$C$24,$U1308&lt;15),0,IF(AND($U1308&lt;16,$T1308=12),VLOOKUP($S1308,DOWN16,4,0),IF($T1308=12,ROUND(VLOOKUP(OP!$C$55,_DIE2,$S1308+1,0)*(Z1308/10000),0)+IF(AND($P$7="購買增額繳清保險",T1308=12,U1308=110),VLOOKUP(S1308,$B$10:$H$121,7,0),0),"")))</f>
        <v/>
      </c>
      <c r="AD1308" s="347"/>
      <c r="AE1308" s="350" t="str">
        <f t="shared" ca="1" si="795"/>
        <v/>
      </c>
      <c r="AF1308" s="351" t="str">
        <f t="shared" ca="1" si="796"/>
        <v/>
      </c>
      <c r="AG1308" s="340"/>
      <c r="AH1308" s="340"/>
      <c r="AI1308" s="340"/>
      <c r="AJ1308" s="340"/>
      <c r="AK1308" s="340"/>
      <c r="AL1308" s="340"/>
      <c r="AM1308" s="340"/>
      <c r="AN1308" s="340"/>
      <c r="AO1308" s="340"/>
      <c r="AP1308" s="340"/>
      <c r="AQ1308" s="340"/>
      <c r="AR1308" s="340"/>
      <c r="AS1308" s="340"/>
      <c r="AT1308" s="340"/>
      <c r="AU1308" s="340"/>
      <c r="AV1308" s="340"/>
      <c r="AY1308" s="340"/>
      <c r="AZ1308" s="465">
        <f t="shared" ca="1" si="806"/>
        <v>7.3698599999999999E-5</v>
      </c>
      <c r="BA1308" s="464">
        <f t="shared" ca="1" si="807"/>
        <v>0</v>
      </c>
      <c r="BB1308" s="465">
        <f t="shared" ca="1" si="807"/>
        <v>7.3698599999999999E-5</v>
      </c>
      <c r="BC1308" s="466">
        <f t="shared" ca="1" si="808"/>
        <v>82425</v>
      </c>
      <c r="BD1308" s="467">
        <f t="shared" ca="1" si="821"/>
        <v>82426</v>
      </c>
      <c r="BE1308" s="467">
        <f t="shared" ca="1" si="809"/>
        <v>82454</v>
      </c>
      <c r="BF1308" s="468">
        <f ca="1">IF(計算!$BC1308&lt;OP!$C$3,0,BD1308-BC1308)</f>
        <v>1</v>
      </c>
      <c r="BG1308" s="468">
        <f ca="1">IF($BE1308&gt;DATE(YEAR($BD$9)+OP!$C$57,MONTH($BD$9),DAY($BD$9)),0,$BE1308-$BD1308+1)</f>
        <v>0</v>
      </c>
      <c r="BH1308" s="469">
        <f t="shared" ca="1" si="810"/>
        <v>1</v>
      </c>
      <c r="BI1308" t="str">
        <f t="shared" si="826"/>
        <v/>
      </c>
      <c r="BJ1308">
        <v>3</v>
      </c>
      <c r="BN1308" s="468">
        <f t="shared" si="822"/>
        <v>109</v>
      </c>
      <c r="BO1308" s="468">
        <f t="shared" si="823"/>
        <v>3</v>
      </c>
      <c r="BP1308" s="467">
        <f t="shared" ca="1" si="811"/>
        <v>82426</v>
      </c>
      <c r="BQ1308" s="475">
        <f t="shared" ca="1" si="825"/>
        <v>141</v>
      </c>
      <c r="BR1308" s="475" t="str">
        <f t="shared" si="824"/>
        <v/>
      </c>
      <c r="BS1308" s="471" t="str">
        <f t="shared" si="812"/>
        <v/>
      </c>
      <c r="BT1308" s="472" t="str">
        <f t="shared" si="827"/>
        <v/>
      </c>
      <c r="BU1308" s="472">
        <f t="shared" ca="1" si="813"/>
        <v>0</v>
      </c>
      <c r="BV1308" s="472">
        <f t="shared" ca="1" si="813"/>
        <v>0</v>
      </c>
      <c r="BW1308" s="472"/>
      <c r="BX1308" s="473">
        <f t="shared" ca="1" si="814"/>
        <v>2830257.8507794798</v>
      </c>
      <c r="BY1308" s="473">
        <f t="shared" si="815"/>
        <v>0</v>
      </c>
      <c r="BZ1308" s="473">
        <f t="shared" ca="1" si="797"/>
        <v>208.586041241</v>
      </c>
      <c r="CA1308" s="476">
        <f t="shared" ca="1" si="816"/>
        <v>0</v>
      </c>
      <c r="CB1308" s="494">
        <f ca="1">IF(OR($Q1307&lt;&gt;1,OP!$D$5+$BN1308-1&lt;16,$BN1308-1&lt;1),0,ROUND(ROUND(ROUND(((VLOOKUP($BN1308-1,MORE_PV,5,0)/10000)*VLOOKUP($BN1308,MORE_PV,$CB$5,0)),3)*VLOOKUP($BN1308,more1,5,0),0)/$R1307,0))</f>
        <v>0</v>
      </c>
      <c r="CC1308" s="473">
        <f t="shared" ca="1" si="817"/>
        <v>0</v>
      </c>
      <c r="CD1308" s="477"/>
    </row>
    <row r="1309" spans="2:82" ht="16.5" hidden="1">
      <c r="B1309" s="80"/>
      <c r="C1309" s="80"/>
      <c r="D1309" s="80"/>
      <c r="E1309" s="80"/>
      <c r="F1309" s="80"/>
      <c r="G1309" s="80"/>
      <c r="H1309" s="80"/>
      <c r="I1309" s="80"/>
      <c r="J1309" s="192">
        <f t="shared" si="798"/>
        <v>109</v>
      </c>
      <c r="K1309" s="192">
        <f t="shared" si="799"/>
        <v>5</v>
      </c>
      <c r="L1309" s="192" t="str">
        <f t="shared" si="794"/>
        <v/>
      </c>
      <c r="M1309" s="216" t="str">
        <f t="shared" ca="1" si="800"/>
        <v/>
      </c>
      <c r="N1309" s="216"/>
      <c r="O1309" s="216"/>
      <c r="P1309" s="216"/>
      <c r="Q1309" s="456">
        <f t="shared" ca="1" si="801"/>
        <v>1</v>
      </c>
      <c r="R1309" s="450">
        <f t="shared" ca="1" si="802"/>
        <v>12</v>
      </c>
      <c r="S1309" s="191">
        <f t="shared" si="803"/>
        <v>109</v>
      </c>
      <c r="T1309" s="191">
        <f t="shared" si="804"/>
        <v>5</v>
      </c>
      <c r="U1309" s="191">
        <f ca="1">OP!$D$5+$S1309-1</f>
        <v>141</v>
      </c>
      <c r="V1309" s="191" t="str">
        <f t="shared" si="805"/>
        <v/>
      </c>
      <c r="W1309" s="350">
        <f ca="1">IF(Q1309&lt;&gt;1,0,VLOOKUP(OP!$C$55,PVFB,$S1309+2,0))</f>
        <v>0</v>
      </c>
      <c r="X1309" s="473" t="str">
        <f t="shared" ca="1" si="818"/>
        <v/>
      </c>
      <c r="Y1309" s="348">
        <f t="shared" ca="1" si="819"/>
        <v>0</v>
      </c>
      <c r="Z1309" s="348">
        <f t="shared" ca="1" si="820"/>
        <v>8012</v>
      </c>
      <c r="AA1309" s="348">
        <f ca="1">IF(Q1309&lt;&gt;1,0,VLOOKUP(OP!$C$55,PVFB,$S1309+2,0))</f>
        <v>0</v>
      </c>
      <c r="AB1309" s="488" t="str">
        <f ca="1">IF(AND(S1309&lt;OP!$C$24,$U1309&lt;15),0,IF(AND($U1309&lt;15,$T1309=12),ROUND(VLOOKUP($S1309,DOWN16,5,0),3),IF($T1309=12,ROUND(($Z1309/10000)*$AA1309,3)+IF(AND($P$7="購買增額繳清保險",T1309=12,U1309=110),VLOOKUP(S1309,$B$10:$H$121,7,0),0),"")))</f>
        <v/>
      </c>
      <c r="AC1309" s="350" t="str">
        <f ca="1">IF(AND(S1309&lt;OP!$C$24,$U1309&lt;15),0,IF(AND($U1309&lt;16,$T1309=12),VLOOKUP($S1309,DOWN16,4,0),IF($T1309=12,ROUND(VLOOKUP(OP!$C$55,_DIE2,$S1309+1,0)*(Z1309/10000),0)+IF(AND($P$7="購買增額繳清保險",T1309=12,U1309=110),VLOOKUP(S1309,$B$10:$H$121,7,0),0),"")))</f>
        <v/>
      </c>
      <c r="AD1309" s="347"/>
      <c r="AE1309" s="350" t="str">
        <f t="shared" ca="1" si="795"/>
        <v/>
      </c>
      <c r="AF1309" s="351" t="str">
        <f t="shared" ca="1" si="796"/>
        <v/>
      </c>
      <c r="AG1309" s="340"/>
      <c r="AH1309" s="340"/>
      <c r="AI1309" s="340"/>
      <c r="AJ1309" s="340"/>
      <c r="AK1309" s="340"/>
      <c r="AL1309" s="340"/>
      <c r="AM1309" s="340"/>
      <c r="AN1309" s="340"/>
      <c r="AO1309" s="340"/>
      <c r="AP1309" s="340"/>
      <c r="AQ1309" s="340"/>
      <c r="AR1309" s="340"/>
      <c r="AS1309" s="340"/>
      <c r="AT1309" s="340"/>
      <c r="AU1309" s="340"/>
      <c r="AV1309" s="340"/>
      <c r="AY1309" s="340"/>
      <c r="AZ1309" s="465">
        <f t="shared" ca="1" si="806"/>
        <v>7.3698599999999999E-5</v>
      </c>
      <c r="BA1309" s="464">
        <f t="shared" ca="1" si="807"/>
        <v>0</v>
      </c>
      <c r="BB1309" s="465">
        <f t="shared" ca="1" si="807"/>
        <v>7.3698599999999999E-5</v>
      </c>
      <c r="BC1309" s="466">
        <f t="shared" ca="1" si="808"/>
        <v>82455</v>
      </c>
      <c r="BD1309" s="467">
        <f t="shared" ca="1" si="821"/>
        <v>82456</v>
      </c>
      <c r="BE1309" s="467">
        <f t="shared" ca="1" si="809"/>
        <v>82485</v>
      </c>
      <c r="BF1309" s="468">
        <f ca="1">IF(計算!$BC1309&lt;OP!$C$3,0,BD1309-BC1309)</f>
        <v>1</v>
      </c>
      <c r="BG1309" s="468">
        <f ca="1">IF($BE1309&gt;DATE(YEAR($BD$9)+OP!$C$57,MONTH($BD$9),DAY($BD$9)),0,$BE1309-$BD1309+1)</f>
        <v>0</v>
      </c>
      <c r="BH1309" s="469">
        <f t="shared" ca="1" si="810"/>
        <v>1</v>
      </c>
      <c r="BI1309" t="str">
        <f t="shared" si="826"/>
        <v/>
      </c>
      <c r="BJ1309">
        <v>4</v>
      </c>
      <c r="BN1309" s="468">
        <f t="shared" si="822"/>
        <v>109</v>
      </c>
      <c r="BO1309" s="468">
        <f t="shared" si="823"/>
        <v>4</v>
      </c>
      <c r="BP1309" s="467">
        <f t="shared" ca="1" si="811"/>
        <v>82456</v>
      </c>
      <c r="BQ1309" s="475">
        <f t="shared" ca="1" si="825"/>
        <v>141</v>
      </c>
      <c r="BR1309" s="475" t="str">
        <f t="shared" si="824"/>
        <v/>
      </c>
      <c r="BS1309" s="471" t="str">
        <f t="shared" si="812"/>
        <v/>
      </c>
      <c r="BT1309" s="472" t="str">
        <f t="shared" si="827"/>
        <v/>
      </c>
      <c r="BU1309" s="472">
        <f t="shared" ca="1" si="813"/>
        <v>0</v>
      </c>
      <c r="BV1309" s="472">
        <f t="shared" ca="1" si="813"/>
        <v>0</v>
      </c>
      <c r="BW1309" s="472"/>
      <c r="BX1309" s="473">
        <f t="shared" ca="1" si="814"/>
        <v>2830466.4368207199</v>
      </c>
      <c r="BY1309" s="473">
        <f t="shared" si="815"/>
        <v>0</v>
      </c>
      <c r="BZ1309" s="473">
        <f t="shared" ca="1" si="797"/>
        <v>208.60141374099999</v>
      </c>
      <c r="CA1309" s="476">
        <f t="shared" ca="1" si="816"/>
        <v>0</v>
      </c>
      <c r="CB1309" s="494">
        <f ca="1">IF(OR($Q1308&lt;&gt;1,OP!$D$5+$BN1309-1&lt;16,$BN1309-1&lt;1),0,ROUND(ROUND(ROUND(((VLOOKUP($BN1309-1,MORE_PV,5,0)/10000)*VLOOKUP($BN1309,MORE_PV,$CB$5,0)),3)*VLOOKUP($BN1309,more1,5,0),0)/$R1308,0))</f>
        <v>0</v>
      </c>
      <c r="CC1309" s="473">
        <f t="shared" ca="1" si="817"/>
        <v>0</v>
      </c>
      <c r="CD1309" s="477"/>
    </row>
    <row r="1310" spans="2:82" ht="16.5" hidden="1">
      <c r="B1310" s="80"/>
      <c r="C1310" s="80"/>
      <c r="D1310" s="80"/>
      <c r="E1310" s="80"/>
      <c r="F1310" s="80"/>
      <c r="G1310" s="80"/>
      <c r="H1310" s="80"/>
      <c r="I1310" s="80"/>
      <c r="J1310" s="192">
        <f t="shared" si="798"/>
        <v>109</v>
      </c>
      <c r="K1310" s="192">
        <f t="shared" si="799"/>
        <v>6</v>
      </c>
      <c r="L1310" s="192" t="str">
        <f t="shared" si="794"/>
        <v/>
      </c>
      <c r="M1310" s="216" t="str">
        <f t="shared" ca="1" si="800"/>
        <v/>
      </c>
      <c r="N1310" s="216"/>
      <c r="O1310" s="216"/>
      <c r="P1310" s="216"/>
      <c r="Q1310" s="456">
        <f t="shared" ca="1" si="801"/>
        <v>1</v>
      </c>
      <c r="R1310" s="450">
        <f t="shared" ca="1" si="802"/>
        <v>12</v>
      </c>
      <c r="S1310" s="191">
        <f t="shared" si="803"/>
        <v>109</v>
      </c>
      <c r="T1310" s="191">
        <f t="shared" si="804"/>
        <v>6</v>
      </c>
      <c r="U1310" s="191">
        <f ca="1">OP!$D$5+$S1310-1</f>
        <v>141</v>
      </c>
      <c r="V1310" s="191" t="str">
        <f t="shared" si="805"/>
        <v/>
      </c>
      <c r="W1310" s="350">
        <f ca="1">IF(Q1310&lt;&gt;1,0,VLOOKUP(OP!$C$55,PVFB,$S1310+2,0))</f>
        <v>0</v>
      </c>
      <c r="X1310" s="473" t="str">
        <f t="shared" ca="1" si="818"/>
        <v/>
      </c>
      <c r="Y1310" s="348">
        <f t="shared" ca="1" si="819"/>
        <v>0</v>
      </c>
      <c r="Z1310" s="348">
        <f t="shared" ca="1" si="820"/>
        <v>8012</v>
      </c>
      <c r="AA1310" s="348">
        <f ca="1">IF(Q1310&lt;&gt;1,0,VLOOKUP(OP!$C$55,PVFB,$S1310+2,0))</f>
        <v>0</v>
      </c>
      <c r="AB1310" s="488" t="str">
        <f ca="1">IF(AND(S1310&lt;OP!$C$24,$U1310&lt;15),0,IF(AND($U1310&lt;15,$T1310=12),ROUND(VLOOKUP($S1310,DOWN16,5,0),3),IF($T1310=12,ROUND(($Z1310/10000)*$AA1310,3)+IF(AND($P$7="購買增額繳清保險",T1310=12,U1310=110),VLOOKUP(S1310,$B$10:$H$121,7,0),0),"")))</f>
        <v/>
      </c>
      <c r="AC1310" s="350" t="str">
        <f ca="1">IF(AND(S1310&lt;OP!$C$24,$U1310&lt;15),0,IF(AND($U1310&lt;16,$T1310=12),VLOOKUP($S1310,DOWN16,4,0),IF($T1310=12,ROUND(VLOOKUP(OP!$C$55,_DIE2,$S1310+1,0)*(Z1310/10000),0)+IF(AND($P$7="購買增額繳清保險",T1310=12,U1310=110),VLOOKUP(S1310,$B$10:$H$121,7,0),0),"")))</f>
        <v/>
      </c>
      <c r="AD1310" s="347"/>
      <c r="AE1310" s="350" t="str">
        <f t="shared" ca="1" si="795"/>
        <v/>
      </c>
      <c r="AF1310" s="351" t="str">
        <f t="shared" ca="1" si="796"/>
        <v/>
      </c>
      <c r="AG1310" s="340"/>
      <c r="AH1310" s="340"/>
      <c r="AI1310" s="340"/>
      <c r="AJ1310" s="340"/>
      <c r="AK1310" s="340"/>
      <c r="AL1310" s="340"/>
      <c r="AM1310" s="340"/>
      <c r="AN1310" s="340"/>
      <c r="AO1310" s="340"/>
      <c r="AP1310" s="340"/>
      <c r="AQ1310" s="340"/>
      <c r="AR1310" s="340"/>
      <c r="AS1310" s="340"/>
      <c r="AT1310" s="340"/>
      <c r="AU1310" s="340"/>
      <c r="AV1310" s="340"/>
      <c r="AY1310" s="340"/>
      <c r="AZ1310" s="465">
        <f t="shared" ca="1" si="806"/>
        <v>7.3698599999999999E-5</v>
      </c>
      <c r="BA1310" s="464">
        <f t="shared" ca="1" si="807"/>
        <v>0</v>
      </c>
      <c r="BB1310" s="465">
        <f t="shared" ca="1" si="807"/>
        <v>7.3698599999999999E-5</v>
      </c>
      <c r="BC1310" s="466">
        <f t="shared" ca="1" si="808"/>
        <v>82486</v>
      </c>
      <c r="BD1310" s="467">
        <f t="shared" ca="1" si="821"/>
        <v>82487</v>
      </c>
      <c r="BE1310" s="467">
        <f t="shared" ca="1" si="809"/>
        <v>82515</v>
      </c>
      <c r="BF1310" s="468">
        <f ca="1">IF(計算!$BC1310&lt;OP!$C$3,0,BD1310-BC1310)</f>
        <v>1</v>
      </c>
      <c r="BG1310" s="468">
        <f ca="1">IF($BE1310&gt;DATE(YEAR($BD$9)+OP!$C$57,MONTH($BD$9),DAY($BD$9)),0,$BE1310-$BD1310+1)</f>
        <v>0</v>
      </c>
      <c r="BH1310" s="469">
        <f t="shared" ca="1" si="810"/>
        <v>1</v>
      </c>
      <c r="BI1310" t="str">
        <f t="shared" si="826"/>
        <v/>
      </c>
      <c r="BJ1310">
        <v>5</v>
      </c>
      <c r="BN1310" s="468">
        <f t="shared" si="822"/>
        <v>109</v>
      </c>
      <c r="BO1310" s="468">
        <f t="shared" si="823"/>
        <v>5</v>
      </c>
      <c r="BP1310" s="467">
        <f t="shared" ca="1" si="811"/>
        <v>82487</v>
      </c>
      <c r="BQ1310" s="475">
        <f t="shared" ca="1" si="825"/>
        <v>141</v>
      </c>
      <c r="BR1310" s="475" t="str">
        <f t="shared" si="824"/>
        <v/>
      </c>
      <c r="BS1310" s="471" t="str">
        <f t="shared" si="812"/>
        <v/>
      </c>
      <c r="BT1310" s="472" t="str">
        <f t="shared" si="827"/>
        <v/>
      </c>
      <c r="BU1310" s="472">
        <f t="shared" ca="1" si="813"/>
        <v>0</v>
      </c>
      <c r="BV1310" s="472">
        <f t="shared" ca="1" si="813"/>
        <v>0</v>
      </c>
      <c r="BW1310" s="472"/>
      <c r="BX1310" s="473">
        <f t="shared" ca="1" si="814"/>
        <v>2830675.0382344602</v>
      </c>
      <c r="BY1310" s="473">
        <f t="shared" si="815"/>
        <v>0</v>
      </c>
      <c r="BZ1310" s="473">
        <f t="shared" ca="1" si="797"/>
        <v>208.61678737299999</v>
      </c>
      <c r="CA1310" s="476">
        <f t="shared" ca="1" si="816"/>
        <v>0</v>
      </c>
      <c r="CB1310" s="494">
        <f ca="1">IF(OR($Q1309&lt;&gt;1,OP!$D$5+$BN1310-1&lt;16,$BN1310-1&lt;1),0,ROUND(ROUND(ROUND(((VLOOKUP($BN1310-1,MORE_PV,5,0)/10000)*VLOOKUP($BN1310,MORE_PV,$CB$5,0)),3)*VLOOKUP($BN1310,more1,5,0),0)/$R1309,0))</f>
        <v>0</v>
      </c>
      <c r="CC1310" s="473">
        <f t="shared" ca="1" si="817"/>
        <v>0</v>
      </c>
      <c r="CD1310" s="477"/>
    </row>
    <row r="1311" spans="2:82" ht="16.5" hidden="1">
      <c r="B1311" s="80"/>
      <c r="C1311" s="80"/>
      <c r="D1311" s="80"/>
      <c r="E1311" s="80"/>
      <c r="F1311" s="80"/>
      <c r="G1311" s="80"/>
      <c r="H1311" s="80"/>
      <c r="I1311" s="80"/>
      <c r="J1311" s="192">
        <f t="shared" si="798"/>
        <v>109</v>
      </c>
      <c r="K1311" s="192">
        <f t="shared" si="799"/>
        <v>7</v>
      </c>
      <c r="L1311" s="192" t="str">
        <f t="shared" si="794"/>
        <v/>
      </c>
      <c r="M1311" s="216" t="str">
        <f t="shared" ca="1" si="800"/>
        <v/>
      </c>
      <c r="N1311" s="216"/>
      <c r="O1311" s="216"/>
      <c r="P1311" s="216"/>
      <c r="Q1311" s="456">
        <f t="shared" ca="1" si="801"/>
        <v>1</v>
      </c>
      <c r="R1311" s="450">
        <f t="shared" ca="1" si="802"/>
        <v>12</v>
      </c>
      <c r="S1311" s="191">
        <f t="shared" si="803"/>
        <v>109</v>
      </c>
      <c r="T1311" s="191">
        <f t="shared" si="804"/>
        <v>7</v>
      </c>
      <c r="U1311" s="191">
        <f ca="1">OP!$D$5+$S1311-1</f>
        <v>141</v>
      </c>
      <c r="V1311" s="191" t="str">
        <f t="shared" si="805"/>
        <v/>
      </c>
      <c r="W1311" s="350">
        <f ca="1">IF(Q1311&lt;&gt;1,0,VLOOKUP(OP!$C$55,PVFB,$S1311+2,0))</f>
        <v>0</v>
      </c>
      <c r="X1311" s="473" t="str">
        <f t="shared" ca="1" si="818"/>
        <v/>
      </c>
      <c r="Y1311" s="348">
        <f t="shared" ca="1" si="819"/>
        <v>0</v>
      </c>
      <c r="Z1311" s="348">
        <f t="shared" ca="1" si="820"/>
        <v>8012</v>
      </c>
      <c r="AA1311" s="348">
        <f ca="1">IF(Q1311&lt;&gt;1,0,VLOOKUP(OP!$C$55,PVFB,$S1311+2,0))</f>
        <v>0</v>
      </c>
      <c r="AB1311" s="488" t="str">
        <f ca="1">IF(AND(S1311&lt;OP!$C$24,$U1311&lt;15),0,IF(AND($U1311&lt;15,$T1311=12),ROUND(VLOOKUP($S1311,DOWN16,5,0),3),IF($T1311=12,ROUND(($Z1311/10000)*$AA1311,3)+IF(AND($P$7="購買增額繳清保險",T1311=12,U1311=110),VLOOKUP(S1311,$B$10:$H$121,7,0),0),"")))</f>
        <v/>
      </c>
      <c r="AC1311" s="350" t="str">
        <f ca="1">IF(AND(S1311&lt;OP!$C$24,$U1311&lt;15),0,IF(AND($U1311&lt;16,$T1311=12),VLOOKUP($S1311,DOWN16,4,0),IF($T1311=12,ROUND(VLOOKUP(OP!$C$55,_DIE2,$S1311+1,0)*(Z1311/10000),0)+IF(AND($P$7="購買增額繳清保險",T1311=12,U1311=110),VLOOKUP(S1311,$B$10:$H$121,7,0),0),"")))</f>
        <v/>
      </c>
      <c r="AD1311" s="347"/>
      <c r="AE1311" s="350" t="str">
        <f t="shared" ca="1" si="795"/>
        <v/>
      </c>
      <c r="AF1311" s="351" t="str">
        <f t="shared" ca="1" si="796"/>
        <v/>
      </c>
      <c r="AG1311" s="340"/>
      <c r="AH1311" s="340"/>
      <c r="AI1311" s="340"/>
      <c r="AJ1311" s="340"/>
      <c r="AK1311" s="340"/>
      <c r="AL1311" s="340"/>
      <c r="AM1311" s="340"/>
      <c r="AN1311" s="340"/>
      <c r="AO1311" s="340"/>
      <c r="AP1311" s="340"/>
      <c r="AQ1311" s="340"/>
      <c r="AR1311" s="340"/>
      <c r="AS1311" s="340"/>
      <c r="AT1311" s="340"/>
      <c r="AU1311" s="340"/>
      <c r="AV1311" s="340"/>
      <c r="AY1311" s="340"/>
      <c r="AZ1311" s="465">
        <f t="shared" ca="1" si="806"/>
        <v>7.3698599999999999E-5</v>
      </c>
      <c r="BA1311" s="464">
        <f t="shared" ca="1" si="807"/>
        <v>0</v>
      </c>
      <c r="BB1311" s="465">
        <f t="shared" ca="1" si="807"/>
        <v>7.3698599999999999E-5</v>
      </c>
      <c r="BC1311" s="466">
        <f t="shared" ca="1" si="808"/>
        <v>82516</v>
      </c>
      <c r="BD1311" s="467">
        <f t="shared" ca="1" si="821"/>
        <v>82517</v>
      </c>
      <c r="BE1311" s="467">
        <f t="shared" ca="1" si="809"/>
        <v>82546</v>
      </c>
      <c r="BF1311" s="468">
        <f ca="1">IF(計算!$BC1311&lt;OP!$C$3,0,BD1311-BC1311)</f>
        <v>1</v>
      </c>
      <c r="BG1311" s="468">
        <f ca="1">IF($BE1311&gt;DATE(YEAR($BD$9)+OP!$C$57,MONTH($BD$9),DAY($BD$9)),0,$BE1311-$BD1311+1)</f>
        <v>0</v>
      </c>
      <c r="BH1311" s="469">
        <f t="shared" ca="1" si="810"/>
        <v>1</v>
      </c>
      <c r="BI1311" t="str">
        <f t="shared" si="826"/>
        <v/>
      </c>
      <c r="BJ1311">
        <v>6</v>
      </c>
      <c r="BN1311" s="468">
        <f t="shared" si="822"/>
        <v>109</v>
      </c>
      <c r="BO1311" s="468">
        <f t="shared" si="823"/>
        <v>6</v>
      </c>
      <c r="BP1311" s="467">
        <f t="shared" ca="1" si="811"/>
        <v>82517</v>
      </c>
      <c r="BQ1311" s="475">
        <f t="shared" ca="1" si="825"/>
        <v>141</v>
      </c>
      <c r="BR1311" s="475" t="str">
        <f t="shared" si="824"/>
        <v/>
      </c>
      <c r="BS1311" s="471" t="str">
        <f t="shared" si="812"/>
        <v/>
      </c>
      <c r="BT1311" s="472" t="str">
        <f t="shared" si="827"/>
        <v/>
      </c>
      <c r="BU1311" s="472">
        <f t="shared" ca="1" si="813"/>
        <v>0</v>
      </c>
      <c r="BV1311" s="472">
        <f t="shared" ca="1" si="813"/>
        <v>0</v>
      </c>
      <c r="BW1311" s="472"/>
      <c r="BX1311" s="473">
        <f t="shared" ca="1" si="814"/>
        <v>2830883.65502183</v>
      </c>
      <c r="BY1311" s="473">
        <f t="shared" si="815"/>
        <v>0</v>
      </c>
      <c r="BZ1311" s="473">
        <f t="shared" ca="1" si="797"/>
        <v>208.63216213800001</v>
      </c>
      <c r="CA1311" s="476">
        <f t="shared" ca="1" si="816"/>
        <v>0</v>
      </c>
      <c r="CB1311" s="494">
        <f ca="1">IF(OR($Q1310&lt;&gt;1,OP!$D$5+$BN1311-1&lt;16,$BN1311-1&lt;1),0,ROUND(ROUND(ROUND(((VLOOKUP($BN1311-1,MORE_PV,5,0)/10000)*VLOOKUP($BN1311,MORE_PV,$CB$5,0)),3)*VLOOKUP($BN1311,more1,5,0),0)/$R1310,0))</f>
        <v>0</v>
      </c>
      <c r="CC1311" s="473">
        <f t="shared" ca="1" si="817"/>
        <v>0</v>
      </c>
      <c r="CD1311" s="477"/>
    </row>
    <row r="1312" spans="2:82" ht="16.5" hidden="1">
      <c r="B1312" s="80"/>
      <c r="C1312" s="80"/>
      <c r="D1312" s="80"/>
      <c r="E1312" s="80"/>
      <c r="F1312" s="80"/>
      <c r="G1312" s="80"/>
      <c r="H1312" s="80"/>
      <c r="I1312" s="80"/>
      <c r="J1312" s="192">
        <f t="shared" si="798"/>
        <v>109</v>
      </c>
      <c r="K1312" s="192">
        <f t="shared" si="799"/>
        <v>8</v>
      </c>
      <c r="L1312" s="192" t="str">
        <f t="shared" si="794"/>
        <v/>
      </c>
      <c r="M1312" s="216" t="str">
        <f t="shared" ca="1" si="800"/>
        <v/>
      </c>
      <c r="N1312" s="216"/>
      <c r="O1312" s="216"/>
      <c r="P1312" s="216"/>
      <c r="Q1312" s="456">
        <f t="shared" ca="1" si="801"/>
        <v>1</v>
      </c>
      <c r="R1312" s="450">
        <f t="shared" ca="1" si="802"/>
        <v>12</v>
      </c>
      <c r="S1312" s="191">
        <f t="shared" si="803"/>
        <v>109</v>
      </c>
      <c r="T1312" s="191">
        <f t="shared" si="804"/>
        <v>8</v>
      </c>
      <c r="U1312" s="191">
        <f ca="1">OP!$D$5+$S1312-1</f>
        <v>141</v>
      </c>
      <c r="V1312" s="191" t="str">
        <f t="shared" si="805"/>
        <v/>
      </c>
      <c r="W1312" s="350">
        <f ca="1">IF(Q1312&lt;&gt;1,0,VLOOKUP(OP!$C$55,PVFB,$S1312+2,0))</f>
        <v>0</v>
      </c>
      <c r="X1312" s="473" t="str">
        <f t="shared" ca="1" si="818"/>
        <v/>
      </c>
      <c r="Y1312" s="348">
        <f t="shared" ca="1" si="819"/>
        <v>0</v>
      </c>
      <c r="Z1312" s="348">
        <f t="shared" ca="1" si="820"/>
        <v>8012</v>
      </c>
      <c r="AA1312" s="348">
        <f ca="1">IF(Q1312&lt;&gt;1,0,VLOOKUP(OP!$C$55,PVFB,$S1312+2,0))</f>
        <v>0</v>
      </c>
      <c r="AB1312" s="488" t="str">
        <f ca="1">IF(AND(S1312&lt;OP!$C$24,$U1312&lt;15),0,IF(AND($U1312&lt;15,$T1312=12),ROUND(VLOOKUP($S1312,DOWN16,5,0),3),IF($T1312=12,ROUND(($Z1312/10000)*$AA1312,3)+IF(AND($P$7="購買增額繳清保險",T1312=12,U1312=110),VLOOKUP(S1312,$B$10:$H$121,7,0),0),"")))</f>
        <v/>
      </c>
      <c r="AC1312" s="350" t="str">
        <f ca="1">IF(AND(S1312&lt;OP!$C$24,$U1312&lt;15),0,IF(AND($U1312&lt;16,$T1312=12),VLOOKUP($S1312,DOWN16,4,0),IF($T1312=12,ROUND(VLOOKUP(OP!$C$55,_DIE2,$S1312+1,0)*(Z1312/10000),0)+IF(AND($P$7="購買增額繳清保險",T1312=12,U1312=110),VLOOKUP(S1312,$B$10:$H$121,7,0),0),"")))</f>
        <v/>
      </c>
      <c r="AD1312" s="347"/>
      <c r="AE1312" s="350" t="str">
        <f t="shared" ca="1" si="795"/>
        <v/>
      </c>
      <c r="AF1312" s="351" t="str">
        <f t="shared" ca="1" si="796"/>
        <v/>
      </c>
      <c r="AG1312" s="340"/>
      <c r="AH1312" s="340"/>
      <c r="AI1312" s="340"/>
      <c r="AJ1312" s="340"/>
      <c r="AK1312" s="340"/>
      <c r="AL1312" s="340"/>
      <c r="AM1312" s="340"/>
      <c r="AN1312" s="340"/>
      <c r="AO1312" s="340"/>
      <c r="AP1312" s="340"/>
      <c r="AQ1312" s="340"/>
      <c r="AR1312" s="340"/>
      <c r="AS1312" s="340"/>
      <c r="AT1312" s="340"/>
      <c r="AU1312" s="340"/>
      <c r="AV1312" s="340"/>
      <c r="AY1312" s="340"/>
      <c r="AZ1312" s="465">
        <f t="shared" ca="1" si="806"/>
        <v>7.3698599999999999E-5</v>
      </c>
      <c r="BA1312" s="464">
        <f t="shared" ca="1" si="807"/>
        <v>0</v>
      </c>
      <c r="BB1312" s="465">
        <f t="shared" ca="1" si="807"/>
        <v>7.3698599999999999E-5</v>
      </c>
      <c r="BC1312" s="466">
        <f t="shared" ca="1" si="808"/>
        <v>82547</v>
      </c>
      <c r="BD1312" s="467">
        <f t="shared" ca="1" si="821"/>
        <v>82548</v>
      </c>
      <c r="BE1312" s="467">
        <f t="shared" ca="1" si="809"/>
        <v>82577</v>
      </c>
      <c r="BF1312" s="468">
        <f ca="1">IF(計算!$BC1312&lt;OP!$C$3,0,BD1312-BC1312)</f>
        <v>1</v>
      </c>
      <c r="BG1312" s="468">
        <f ca="1">IF($BE1312&gt;DATE(YEAR($BD$9)+OP!$C$57,MONTH($BD$9),DAY($BD$9)),0,$BE1312-$BD1312+1)</f>
        <v>0</v>
      </c>
      <c r="BH1312" s="469">
        <f t="shared" ca="1" si="810"/>
        <v>1</v>
      </c>
      <c r="BI1312" t="str">
        <f t="shared" si="826"/>
        <v/>
      </c>
      <c r="BJ1312">
        <v>7</v>
      </c>
      <c r="BN1312" s="468">
        <f t="shared" si="822"/>
        <v>109</v>
      </c>
      <c r="BO1312" s="468">
        <f t="shared" si="823"/>
        <v>7</v>
      </c>
      <c r="BP1312" s="467">
        <f t="shared" ca="1" si="811"/>
        <v>82548</v>
      </c>
      <c r="BQ1312" s="475">
        <f t="shared" ca="1" si="825"/>
        <v>141</v>
      </c>
      <c r="BR1312" s="475" t="str">
        <f t="shared" si="824"/>
        <v/>
      </c>
      <c r="BS1312" s="471" t="str">
        <f t="shared" si="812"/>
        <v/>
      </c>
      <c r="BT1312" s="472" t="str">
        <f t="shared" si="827"/>
        <v/>
      </c>
      <c r="BU1312" s="472">
        <f t="shared" ca="1" si="813"/>
        <v>0</v>
      </c>
      <c r="BV1312" s="472">
        <f t="shared" ca="1" si="813"/>
        <v>0</v>
      </c>
      <c r="BW1312" s="472"/>
      <c r="BX1312" s="473">
        <f t="shared" ca="1" si="814"/>
        <v>2831092.2871839702</v>
      </c>
      <c r="BY1312" s="473">
        <f t="shared" si="815"/>
        <v>0</v>
      </c>
      <c r="BZ1312" s="473">
        <f t="shared" ca="1" si="797"/>
        <v>208.64753803599999</v>
      </c>
      <c r="CA1312" s="476">
        <f t="shared" ca="1" si="816"/>
        <v>0</v>
      </c>
      <c r="CB1312" s="494">
        <f ca="1">IF(OR($Q1311&lt;&gt;1,OP!$D$5+$BN1312-1&lt;16,$BN1312-1&lt;1),0,ROUND(ROUND(ROUND(((VLOOKUP($BN1312-1,MORE_PV,5,0)/10000)*VLOOKUP($BN1312,MORE_PV,$CB$5,0)),3)*VLOOKUP($BN1312,more1,5,0),0)/$R1311,0))</f>
        <v>0</v>
      </c>
      <c r="CC1312" s="473">
        <f t="shared" ca="1" si="817"/>
        <v>0</v>
      </c>
      <c r="CD1312" s="477"/>
    </row>
    <row r="1313" spans="2:82" ht="16.5" hidden="1">
      <c r="B1313" s="80"/>
      <c r="C1313" s="80"/>
      <c r="D1313" s="80"/>
      <c r="E1313" s="80"/>
      <c r="F1313" s="80"/>
      <c r="G1313" s="80"/>
      <c r="H1313" s="80"/>
      <c r="I1313" s="80"/>
      <c r="J1313" s="192">
        <f t="shared" si="798"/>
        <v>109</v>
      </c>
      <c r="K1313" s="192">
        <f t="shared" si="799"/>
        <v>9</v>
      </c>
      <c r="L1313" s="192" t="str">
        <f t="shared" si="794"/>
        <v/>
      </c>
      <c r="M1313" s="216" t="str">
        <f t="shared" ca="1" si="800"/>
        <v/>
      </c>
      <c r="N1313" s="216"/>
      <c r="O1313" s="216"/>
      <c r="P1313" s="216"/>
      <c r="Q1313" s="456">
        <f t="shared" ca="1" si="801"/>
        <v>1</v>
      </c>
      <c r="R1313" s="450">
        <f t="shared" ca="1" si="802"/>
        <v>12</v>
      </c>
      <c r="S1313" s="191">
        <f t="shared" si="803"/>
        <v>109</v>
      </c>
      <c r="T1313" s="191">
        <f t="shared" si="804"/>
        <v>9</v>
      </c>
      <c r="U1313" s="191">
        <f ca="1">OP!$D$5+$S1313-1</f>
        <v>141</v>
      </c>
      <c r="V1313" s="191" t="str">
        <f t="shared" si="805"/>
        <v/>
      </c>
      <c r="W1313" s="350">
        <f ca="1">IF(Q1313&lt;&gt;1,0,VLOOKUP(OP!$C$55,PVFB,$S1313+2,0))</f>
        <v>0</v>
      </c>
      <c r="X1313" s="473" t="str">
        <f t="shared" ca="1" si="818"/>
        <v/>
      </c>
      <c r="Y1313" s="348">
        <f t="shared" ca="1" si="819"/>
        <v>0</v>
      </c>
      <c r="Z1313" s="348">
        <f t="shared" ca="1" si="820"/>
        <v>8012</v>
      </c>
      <c r="AA1313" s="348">
        <f ca="1">IF(Q1313&lt;&gt;1,0,VLOOKUP(OP!$C$55,PVFB,$S1313+2,0))</f>
        <v>0</v>
      </c>
      <c r="AB1313" s="488" t="str">
        <f ca="1">IF(AND(S1313&lt;OP!$C$24,$U1313&lt;15),0,IF(AND($U1313&lt;15,$T1313=12),ROUND(VLOOKUP($S1313,DOWN16,5,0),3),IF($T1313=12,ROUND(($Z1313/10000)*$AA1313,3)+IF(AND($P$7="購買增額繳清保險",T1313=12,U1313=110),VLOOKUP(S1313,$B$10:$H$121,7,0),0),"")))</f>
        <v/>
      </c>
      <c r="AC1313" s="350" t="str">
        <f ca="1">IF(AND(S1313&lt;OP!$C$24,$U1313&lt;15),0,IF(AND($U1313&lt;16,$T1313=12),VLOOKUP($S1313,DOWN16,4,0),IF($T1313=12,ROUND(VLOOKUP(OP!$C$55,_DIE2,$S1313+1,0)*(Z1313/10000),0)+IF(AND($P$7="購買增額繳清保險",T1313=12,U1313=110),VLOOKUP(S1313,$B$10:$H$121,7,0),0),"")))</f>
        <v/>
      </c>
      <c r="AD1313" s="347"/>
      <c r="AE1313" s="350" t="str">
        <f t="shared" ca="1" si="795"/>
        <v/>
      </c>
      <c r="AF1313" s="351" t="str">
        <f t="shared" ca="1" si="796"/>
        <v/>
      </c>
      <c r="AG1313" s="340"/>
      <c r="AH1313" s="340"/>
      <c r="AI1313" s="340"/>
      <c r="AJ1313" s="340"/>
      <c r="AK1313" s="340"/>
      <c r="AL1313" s="340"/>
      <c r="AM1313" s="340"/>
      <c r="AN1313" s="340"/>
      <c r="AO1313" s="340"/>
      <c r="AP1313" s="340"/>
      <c r="AQ1313" s="340"/>
      <c r="AR1313" s="340"/>
      <c r="AS1313" s="340"/>
      <c r="AT1313" s="340"/>
      <c r="AU1313" s="340"/>
      <c r="AV1313" s="340"/>
      <c r="AY1313" s="340"/>
      <c r="AZ1313" s="465">
        <f t="shared" ca="1" si="806"/>
        <v>7.3698599999999999E-5</v>
      </c>
      <c r="BA1313" s="464">
        <f t="shared" ca="1" si="807"/>
        <v>0</v>
      </c>
      <c r="BB1313" s="465">
        <f t="shared" ca="1" si="807"/>
        <v>7.3698599999999999E-5</v>
      </c>
      <c r="BC1313" s="466">
        <f t="shared" ca="1" si="808"/>
        <v>82578</v>
      </c>
      <c r="BD1313" s="467">
        <f t="shared" ca="1" si="821"/>
        <v>82579</v>
      </c>
      <c r="BE1313" s="467">
        <f t="shared" ca="1" si="809"/>
        <v>82605</v>
      </c>
      <c r="BF1313" s="468">
        <f ca="1">IF(計算!$BC1313&lt;OP!$C$3,0,BD1313-BC1313)</f>
        <v>1</v>
      </c>
      <c r="BG1313" s="468">
        <f ca="1">IF($BE1313&gt;DATE(YEAR($BD$9)+OP!$C$57,MONTH($BD$9),DAY($BD$9)),0,$BE1313-$BD1313+1)</f>
        <v>0</v>
      </c>
      <c r="BH1313" s="469">
        <f t="shared" ca="1" si="810"/>
        <v>1</v>
      </c>
      <c r="BI1313" t="str">
        <f t="shared" si="826"/>
        <v/>
      </c>
      <c r="BJ1313">
        <v>8</v>
      </c>
      <c r="BN1313" s="468">
        <f t="shared" si="822"/>
        <v>109</v>
      </c>
      <c r="BO1313" s="468">
        <f t="shared" si="823"/>
        <v>8</v>
      </c>
      <c r="BP1313" s="467">
        <f t="shared" ca="1" si="811"/>
        <v>82579</v>
      </c>
      <c r="BQ1313" s="475">
        <f t="shared" ca="1" si="825"/>
        <v>141</v>
      </c>
      <c r="BR1313" s="475" t="str">
        <f t="shared" si="824"/>
        <v/>
      </c>
      <c r="BS1313" s="471" t="str">
        <f t="shared" si="812"/>
        <v/>
      </c>
      <c r="BT1313" s="472" t="str">
        <f t="shared" si="827"/>
        <v/>
      </c>
      <c r="BU1313" s="472">
        <f t="shared" ca="1" si="813"/>
        <v>0</v>
      </c>
      <c r="BV1313" s="472">
        <f t="shared" ca="1" si="813"/>
        <v>0</v>
      </c>
      <c r="BW1313" s="472"/>
      <c r="BX1313" s="473">
        <f t="shared" ca="1" si="814"/>
        <v>2831300.93472201</v>
      </c>
      <c r="BY1313" s="473">
        <f t="shared" si="815"/>
        <v>0</v>
      </c>
      <c r="BZ1313" s="473">
        <f t="shared" ca="1" si="797"/>
        <v>208.66291506799999</v>
      </c>
      <c r="CA1313" s="476">
        <f t="shared" ca="1" si="816"/>
        <v>0</v>
      </c>
      <c r="CB1313" s="494">
        <f ca="1">IF(OR($Q1312&lt;&gt;1,OP!$D$5+$BN1313-1&lt;16,$BN1313-1&lt;1),0,ROUND(ROUND(ROUND(((VLOOKUP($BN1313-1,MORE_PV,5,0)/10000)*VLOOKUP($BN1313,MORE_PV,$CB$5,0)),3)*VLOOKUP($BN1313,more1,5,0),0)/$R1312,0))</f>
        <v>0</v>
      </c>
      <c r="CC1313" s="473">
        <f t="shared" ca="1" si="817"/>
        <v>0</v>
      </c>
      <c r="CD1313" s="477"/>
    </row>
    <row r="1314" spans="2:82" ht="16.5" hidden="1">
      <c r="B1314" s="80"/>
      <c r="C1314" s="80"/>
      <c r="D1314" s="80"/>
      <c r="E1314" s="80"/>
      <c r="F1314" s="80"/>
      <c r="G1314" s="80"/>
      <c r="H1314" s="80"/>
      <c r="I1314" s="80"/>
      <c r="J1314" s="192">
        <f t="shared" si="798"/>
        <v>109</v>
      </c>
      <c r="K1314" s="192">
        <f t="shared" si="799"/>
        <v>10</v>
      </c>
      <c r="L1314" s="192" t="str">
        <f t="shared" si="794"/>
        <v/>
      </c>
      <c r="M1314" s="216" t="str">
        <f t="shared" ca="1" si="800"/>
        <v/>
      </c>
      <c r="N1314" s="216"/>
      <c r="O1314" s="216"/>
      <c r="P1314" s="216"/>
      <c r="Q1314" s="456">
        <f t="shared" ca="1" si="801"/>
        <v>1</v>
      </c>
      <c r="R1314" s="450">
        <f t="shared" ca="1" si="802"/>
        <v>12</v>
      </c>
      <c r="S1314" s="191">
        <f t="shared" si="803"/>
        <v>109</v>
      </c>
      <c r="T1314" s="191">
        <f t="shared" si="804"/>
        <v>10</v>
      </c>
      <c r="U1314" s="191">
        <f ca="1">OP!$D$5+$S1314-1</f>
        <v>141</v>
      </c>
      <c r="V1314" s="191" t="str">
        <f t="shared" si="805"/>
        <v/>
      </c>
      <c r="W1314" s="350">
        <f ca="1">IF(Q1314&lt;&gt;1,0,VLOOKUP(OP!$C$55,PVFB,$S1314+2,0))</f>
        <v>0</v>
      </c>
      <c r="X1314" s="473" t="str">
        <f t="shared" ca="1" si="818"/>
        <v/>
      </c>
      <c r="Y1314" s="348">
        <f t="shared" ca="1" si="819"/>
        <v>0</v>
      </c>
      <c r="Z1314" s="348">
        <f t="shared" ca="1" si="820"/>
        <v>8012</v>
      </c>
      <c r="AA1314" s="348">
        <f ca="1">IF(Q1314&lt;&gt;1,0,VLOOKUP(OP!$C$55,PVFB,$S1314+2,0))</f>
        <v>0</v>
      </c>
      <c r="AB1314" s="488" t="str">
        <f ca="1">IF(AND(S1314&lt;OP!$C$24,$U1314&lt;15),0,IF(AND($U1314&lt;15,$T1314=12),ROUND(VLOOKUP($S1314,DOWN16,5,0),3),IF($T1314=12,ROUND(($Z1314/10000)*$AA1314,3)+IF(AND($P$7="購買增額繳清保險",T1314=12,U1314=110),VLOOKUP(S1314,$B$10:$H$121,7,0),0),"")))</f>
        <v/>
      </c>
      <c r="AC1314" s="350" t="str">
        <f ca="1">IF(AND(S1314&lt;OP!$C$24,$U1314&lt;15),0,IF(AND($U1314&lt;16,$T1314=12),VLOOKUP($S1314,DOWN16,4,0),IF($T1314=12,ROUND(VLOOKUP(OP!$C$55,_DIE2,$S1314+1,0)*(Z1314/10000),0)+IF(AND($P$7="購買增額繳清保險",T1314=12,U1314=110),VLOOKUP(S1314,$B$10:$H$121,7,0),0),"")))</f>
        <v/>
      </c>
      <c r="AD1314" s="347"/>
      <c r="AE1314" s="350" t="str">
        <f t="shared" ca="1" si="795"/>
        <v/>
      </c>
      <c r="AF1314" s="351" t="str">
        <f t="shared" ca="1" si="796"/>
        <v/>
      </c>
      <c r="AG1314" s="340"/>
      <c r="AH1314" s="340"/>
      <c r="AI1314" s="340"/>
      <c r="AJ1314" s="340"/>
      <c r="AK1314" s="340"/>
      <c r="AL1314" s="340"/>
      <c r="AM1314" s="340"/>
      <c r="AN1314" s="340"/>
      <c r="AO1314" s="340"/>
      <c r="AP1314" s="340"/>
      <c r="AQ1314" s="340"/>
      <c r="AR1314" s="340"/>
      <c r="AS1314" s="340"/>
      <c r="AT1314" s="340"/>
      <c r="AU1314" s="340"/>
      <c r="AV1314" s="340"/>
      <c r="AY1314" s="340"/>
      <c r="AZ1314" s="465">
        <f t="shared" ca="1" si="806"/>
        <v>7.3698599999999999E-5</v>
      </c>
      <c r="BA1314" s="464">
        <f t="shared" ca="1" si="807"/>
        <v>0</v>
      </c>
      <c r="BB1314" s="465">
        <f t="shared" ca="1" si="807"/>
        <v>7.3698599999999999E-5</v>
      </c>
      <c r="BC1314" s="466">
        <f t="shared" ca="1" si="808"/>
        <v>82606</v>
      </c>
      <c r="BD1314" s="467">
        <f t="shared" ca="1" si="821"/>
        <v>82607</v>
      </c>
      <c r="BE1314" s="467">
        <f t="shared" ca="1" si="809"/>
        <v>82636</v>
      </c>
      <c r="BF1314" s="468">
        <f ca="1">IF(計算!$BC1314&lt;OP!$C$3,0,BD1314-BC1314)</f>
        <v>1</v>
      </c>
      <c r="BG1314" s="468">
        <f ca="1">IF($BE1314&gt;DATE(YEAR($BD$9)+OP!$C$57,MONTH($BD$9),DAY($BD$9)),0,$BE1314-$BD1314+1)</f>
        <v>0</v>
      </c>
      <c r="BH1314" s="469">
        <f t="shared" ca="1" si="810"/>
        <v>1</v>
      </c>
      <c r="BI1314" t="str">
        <f t="shared" si="826"/>
        <v/>
      </c>
      <c r="BJ1314">
        <v>9</v>
      </c>
      <c r="BN1314" s="468">
        <f t="shared" si="822"/>
        <v>109</v>
      </c>
      <c r="BO1314" s="468">
        <f t="shared" si="823"/>
        <v>9</v>
      </c>
      <c r="BP1314" s="467">
        <f t="shared" ca="1" si="811"/>
        <v>82607</v>
      </c>
      <c r="BQ1314" s="475">
        <f t="shared" ca="1" si="825"/>
        <v>141</v>
      </c>
      <c r="BR1314" s="475" t="str">
        <f t="shared" si="824"/>
        <v/>
      </c>
      <c r="BS1314" s="471" t="str">
        <f t="shared" si="812"/>
        <v/>
      </c>
      <c r="BT1314" s="472" t="str">
        <f t="shared" si="827"/>
        <v/>
      </c>
      <c r="BU1314" s="472">
        <f t="shared" ca="1" si="813"/>
        <v>0</v>
      </c>
      <c r="BV1314" s="472">
        <f t="shared" ca="1" si="813"/>
        <v>0</v>
      </c>
      <c r="BW1314" s="472"/>
      <c r="BX1314" s="473">
        <f t="shared" ca="1" si="814"/>
        <v>2831509.5976370801</v>
      </c>
      <c r="BY1314" s="473">
        <f t="shared" si="815"/>
        <v>0</v>
      </c>
      <c r="BZ1314" s="473">
        <f t="shared" ca="1" si="797"/>
        <v>208.67829323199999</v>
      </c>
      <c r="CA1314" s="476">
        <f t="shared" ca="1" si="816"/>
        <v>0</v>
      </c>
      <c r="CB1314" s="494">
        <f ca="1">IF(OR($Q1313&lt;&gt;1,OP!$D$5+$BN1314-1&lt;16,$BN1314-1&lt;1),0,ROUND(ROUND(ROUND(((VLOOKUP($BN1314-1,MORE_PV,5,0)/10000)*VLOOKUP($BN1314,MORE_PV,$CB$5,0)),3)*VLOOKUP($BN1314,more1,5,0),0)/$R1313,0))</f>
        <v>0</v>
      </c>
      <c r="CC1314" s="473">
        <f t="shared" ca="1" si="817"/>
        <v>0</v>
      </c>
      <c r="CD1314" s="477"/>
    </row>
    <row r="1315" spans="2:82" ht="16.5" hidden="1">
      <c r="B1315" s="80"/>
      <c r="C1315" s="80"/>
      <c r="D1315" s="80"/>
      <c r="E1315" s="80"/>
      <c r="F1315" s="80"/>
      <c r="G1315" s="80"/>
      <c r="H1315" s="80"/>
      <c r="I1315" s="80"/>
      <c r="J1315" s="192">
        <f t="shared" si="798"/>
        <v>109</v>
      </c>
      <c r="K1315" s="192">
        <f t="shared" si="799"/>
        <v>11</v>
      </c>
      <c r="L1315" s="192" t="str">
        <f t="shared" si="794"/>
        <v/>
      </c>
      <c r="M1315" s="216" t="str">
        <f t="shared" ca="1" si="800"/>
        <v/>
      </c>
      <c r="N1315" s="216"/>
      <c r="O1315" s="216"/>
      <c r="P1315" s="216"/>
      <c r="Q1315" s="456">
        <f t="shared" ca="1" si="801"/>
        <v>1</v>
      </c>
      <c r="R1315" s="450">
        <f t="shared" ca="1" si="802"/>
        <v>12</v>
      </c>
      <c r="S1315" s="191">
        <f t="shared" si="803"/>
        <v>109</v>
      </c>
      <c r="T1315" s="191">
        <f t="shared" si="804"/>
        <v>11</v>
      </c>
      <c r="U1315" s="191">
        <f ca="1">OP!$D$5+$S1315-1</f>
        <v>141</v>
      </c>
      <c r="V1315" s="191" t="str">
        <f t="shared" si="805"/>
        <v/>
      </c>
      <c r="W1315" s="350">
        <f ca="1">IF(Q1315&lt;&gt;1,0,VLOOKUP(OP!$C$55,PVFB,$S1315+2,0))</f>
        <v>0</v>
      </c>
      <c r="X1315" s="473" t="str">
        <f t="shared" ca="1" si="818"/>
        <v/>
      </c>
      <c r="Y1315" s="348">
        <f t="shared" ca="1" si="819"/>
        <v>0</v>
      </c>
      <c r="Z1315" s="348">
        <f t="shared" ca="1" si="820"/>
        <v>8012</v>
      </c>
      <c r="AA1315" s="348">
        <f ca="1">IF(Q1315&lt;&gt;1,0,VLOOKUP(OP!$C$55,PVFB,$S1315+2,0))</f>
        <v>0</v>
      </c>
      <c r="AB1315" s="488" t="str">
        <f ca="1">IF(AND(S1315&lt;OP!$C$24,$U1315&lt;15),0,IF(AND($U1315&lt;15,$T1315=12),ROUND(VLOOKUP($S1315,DOWN16,5,0),3),IF($T1315=12,ROUND(($Z1315/10000)*$AA1315,3)+IF(AND($P$7="購買增額繳清保險",T1315=12,U1315=110),VLOOKUP(S1315,$B$10:$H$121,7,0),0),"")))</f>
        <v/>
      </c>
      <c r="AC1315" s="350" t="str">
        <f ca="1">IF(AND(S1315&lt;OP!$C$24,$U1315&lt;15),0,IF(AND($U1315&lt;16,$T1315=12),VLOOKUP($S1315,DOWN16,4,0),IF($T1315=12,ROUND(VLOOKUP(OP!$C$55,_DIE2,$S1315+1,0)*(Z1315/10000),0)+IF(AND($P$7="購買增額繳清保險",T1315=12,U1315=110),VLOOKUP(S1315,$B$10:$H$121,7,0),0),"")))</f>
        <v/>
      </c>
      <c r="AD1315" s="347"/>
      <c r="AE1315" s="350" t="str">
        <f t="shared" ca="1" si="795"/>
        <v/>
      </c>
      <c r="AF1315" s="351" t="str">
        <f t="shared" ca="1" si="796"/>
        <v/>
      </c>
      <c r="AG1315" s="340"/>
      <c r="AH1315" s="340"/>
      <c r="AI1315" s="340"/>
      <c r="AJ1315" s="340"/>
      <c r="AK1315" s="340"/>
      <c r="AL1315" s="340"/>
      <c r="AM1315" s="340"/>
      <c r="AN1315" s="340"/>
      <c r="AO1315" s="340"/>
      <c r="AP1315" s="340"/>
      <c r="AQ1315" s="340"/>
      <c r="AR1315" s="340"/>
      <c r="AS1315" s="340"/>
      <c r="AT1315" s="340"/>
      <c r="AU1315" s="340"/>
      <c r="AV1315" s="340"/>
      <c r="AY1315" s="340"/>
      <c r="AZ1315" s="465">
        <f t="shared" ca="1" si="806"/>
        <v>7.3698599999999999E-5</v>
      </c>
      <c r="BA1315" s="464">
        <f t="shared" ca="1" si="807"/>
        <v>0</v>
      </c>
      <c r="BB1315" s="465">
        <f t="shared" ca="1" si="807"/>
        <v>7.3698599999999999E-5</v>
      </c>
      <c r="BC1315" s="466">
        <f t="shared" ca="1" si="808"/>
        <v>82637</v>
      </c>
      <c r="BD1315" s="467">
        <f t="shared" ca="1" si="821"/>
        <v>82638</v>
      </c>
      <c r="BE1315" s="467">
        <f t="shared" ca="1" si="809"/>
        <v>82666</v>
      </c>
      <c r="BF1315" s="468">
        <f ca="1">IF(計算!$BC1315&lt;OP!$C$3,0,BD1315-BC1315)</f>
        <v>1</v>
      </c>
      <c r="BG1315" s="468">
        <f ca="1">IF($BE1315&gt;DATE(YEAR($BD$9)+OP!$C$57,MONTH($BD$9),DAY($BD$9)),0,$BE1315-$BD1315+1)</f>
        <v>0</v>
      </c>
      <c r="BH1315" s="469">
        <f t="shared" ca="1" si="810"/>
        <v>1</v>
      </c>
      <c r="BI1315" t="str">
        <f t="shared" si="826"/>
        <v/>
      </c>
      <c r="BJ1315">
        <v>10</v>
      </c>
      <c r="BN1315" s="468">
        <f t="shared" si="822"/>
        <v>109</v>
      </c>
      <c r="BO1315" s="468">
        <f t="shared" si="823"/>
        <v>10</v>
      </c>
      <c r="BP1315" s="467">
        <f t="shared" ca="1" si="811"/>
        <v>82638</v>
      </c>
      <c r="BQ1315" s="475">
        <f t="shared" ca="1" si="825"/>
        <v>141</v>
      </c>
      <c r="BR1315" s="475" t="str">
        <f t="shared" si="824"/>
        <v/>
      </c>
      <c r="BS1315" s="471" t="str">
        <f t="shared" si="812"/>
        <v/>
      </c>
      <c r="BT1315" s="472" t="str">
        <f t="shared" si="827"/>
        <v/>
      </c>
      <c r="BU1315" s="472">
        <f t="shared" ca="1" si="813"/>
        <v>0</v>
      </c>
      <c r="BV1315" s="472">
        <f t="shared" ca="1" si="813"/>
        <v>0</v>
      </c>
      <c r="BW1315" s="472"/>
      <c r="BX1315" s="473">
        <f t="shared" ca="1" si="814"/>
        <v>2831718.2759303101</v>
      </c>
      <c r="BY1315" s="473">
        <f t="shared" si="815"/>
        <v>0</v>
      </c>
      <c r="BZ1315" s="473">
        <f t="shared" ca="1" si="797"/>
        <v>208.69367252999999</v>
      </c>
      <c r="CA1315" s="476">
        <f t="shared" ca="1" si="816"/>
        <v>0</v>
      </c>
      <c r="CB1315" s="494">
        <f ca="1">IF(OR($Q1314&lt;&gt;1,OP!$D$5+$BN1315-1&lt;16,$BN1315-1&lt;1),0,ROUND(ROUND(ROUND(((VLOOKUP($BN1315-1,MORE_PV,5,0)/10000)*VLOOKUP($BN1315,MORE_PV,$CB$5,0)),3)*VLOOKUP($BN1315,more1,5,0),0)/$R1314,0))</f>
        <v>0</v>
      </c>
      <c r="CC1315" s="473">
        <f t="shared" ca="1" si="817"/>
        <v>0</v>
      </c>
      <c r="CD1315" s="477"/>
    </row>
    <row r="1316" spans="2:82" ht="16.5" hidden="1">
      <c r="B1316" s="80"/>
      <c r="C1316" s="80"/>
      <c r="D1316" s="80"/>
      <c r="E1316" s="80"/>
      <c r="F1316" s="80"/>
      <c r="G1316" s="80"/>
      <c r="H1316" s="80"/>
      <c r="I1316" s="80"/>
      <c r="J1316" s="192">
        <f t="shared" si="798"/>
        <v>109</v>
      </c>
      <c r="K1316" s="192">
        <f t="shared" si="799"/>
        <v>12</v>
      </c>
      <c r="L1316" s="192">
        <f t="shared" si="794"/>
        <v>109</v>
      </c>
      <c r="M1316" s="216">
        <f t="shared" ca="1" si="800"/>
        <v>2832343</v>
      </c>
      <c r="N1316" s="216"/>
      <c r="O1316" s="216"/>
      <c r="P1316" s="216"/>
      <c r="Q1316" s="456">
        <f t="shared" ca="1" si="801"/>
        <v>1</v>
      </c>
      <c r="R1316" s="450">
        <f t="shared" ca="1" si="802"/>
        <v>12</v>
      </c>
      <c r="S1316" s="191">
        <f t="shared" si="803"/>
        <v>109</v>
      </c>
      <c r="T1316" s="191">
        <f t="shared" si="804"/>
        <v>12</v>
      </c>
      <c r="U1316" s="191">
        <f ca="1">OP!$D$5+$S1316-1</f>
        <v>141</v>
      </c>
      <c r="V1316" s="191">
        <f t="shared" si="805"/>
        <v>109</v>
      </c>
      <c r="W1316" s="350">
        <f ca="1">IF(Q1316&lt;&gt;1,0,VLOOKUP(OP!$C$55,PVFB,$S1316+2,0))</f>
        <v>0</v>
      </c>
      <c r="X1316" s="473">
        <f t="shared" ca="1" si="818"/>
        <v>0</v>
      </c>
      <c r="Y1316" s="348">
        <f t="shared" ca="1" si="819"/>
        <v>0</v>
      </c>
      <c r="Z1316" s="348">
        <f t="shared" ca="1" si="820"/>
        <v>8012</v>
      </c>
      <c r="AA1316" s="348">
        <f ca="1">IF(Q1316&lt;&gt;1,0,VLOOKUP(OP!$C$55,PVFB,$S1316+2,0))</f>
        <v>0</v>
      </c>
      <c r="AB1316" s="488">
        <f ca="1">IF(AND(S1316&lt;OP!$C$24,$U1316&lt;15),0,IF(AND($U1316&lt;15,$T1316=12),ROUND(VLOOKUP($S1316,DOWN16,5,0),3),IF($T1316=12,ROUND(($Z1316/10000)*$AA1316,3)+IF(AND($P$7="購買增額繳清保險",T1316=12,U1316=110),VLOOKUP(S1316,$B$10:$H$121,7,0),0),"")))</f>
        <v>0</v>
      </c>
      <c r="AC1316" s="350">
        <f ca="1">IF(AND(S1316&lt;OP!$C$24,$U1316&lt;15),0,IF(AND($U1316&lt;16,$T1316=12),VLOOKUP($S1316,DOWN16,4,0),IF($T1316=12,ROUND(VLOOKUP(OP!$C$55,_DIE2,$S1316+1,0)*(Z1316/10000),0)+IF(AND($P$7="購買增額繳清保險",T1316=12,U1316=110),VLOOKUP(S1316,$B$10:$H$121,7,0),0),"")))</f>
        <v>0</v>
      </c>
      <c r="AD1316" s="347"/>
      <c r="AE1316" s="350" t="str">
        <f t="shared" ca="1" si="795"/>
        <v/>
      </c>
      <c r="AF1316" s="351" t="str">
        <f t="shared" ca="1" si="796"/>
        <v/>
      </c>
      <c r="AG1316" s="340"/>
      <c r="AH1316" s="340"/>
      <c r="AI1316" s="340"/>
      <c r="AJ1316" s="340"/>
      <c r="AK1316" s="340"/>
      <c r="AL1316" s="340"/>
      <c r="AM1316" s="340"/>
      <c r="AN1316" s="340"/>
      <c r="AO1316" s="340"/>
      <c r="AP1316" s="340"/>
      <c r="AQ1316" s="340"/>
      <c r="AR1316" s="340"/>
      <c r="AS1316" s="340"/>
      <c r="AT1316" s="340"/>
      <c r="AU1316" s="340"/>
      <c r="AV1316" s="340"/>
      <c r="AY1316" s="340"/>
      <c r="AZ1316" s="465">
        <f t="shared" ca="1" si="806"/>
        <v>7.3698599999999999E-5</v>
      </c>
      <c r="BA1316" s="464">
        <f t="shared" ca="1" si="807"/>
        <v>0</v>
      </c>
      <c r="BB1316" s="465">
        <f t="shared" ca="1" si="807"/>
        <v>7.3698599999999999E-5</v>
      </c>
      <c r="BC1316" s="466">
        <f t="shared" ca="1" si="808"/>
        <v>82667</v>
      </c>
      <c r="BD1316" s="467">
        <f t="shared" ca="1" si="821"/>
        <v>82668</v>
      </c>
      <c r="BE1316" s="467">
        <f t="shared" ca="1" si="809"/>
        <v>82697</v>
      </c>
      <c r="BF1316" s="468">
        <f ca="1">IF(計算!$BC1316&lt;OP!$C$3,0,BD1316-BC1316)</f>
        <v>1</v>
      </c>
      <c r="BG1316" s="468">
        <f ca="1">IF($BE1316&gt;DATE(YEAR($BD$9)+OP!$C$57,MONTH($BD$9),DAY($BD$9)),0,$BE1316-$BD1316+1)</f>
        <v>0</v>
      </c>
      <c r="BH1316" s="469">
        <f t="shared" ca="1" si="810"/>
        <v>1</v>
      </c>
      <c r="BI1316" t="str">
        <f t="shared" si="826"/>
        <v/>
      </c>
      <c r="BJ1316">
        <v>11</v>
      </c>
      <c r="BN1316" s="468">
        <f t="shared" si="822"/>
        <v>109</v>
      </c>
      <c r="BO1316" s="468">
        <f t="shared" si="823"/>
        <v>11</v>
      </c>
      <c r="BP1316" s="467">
        <f t="shared" ca="1" si="811"/>
        <v>82668</v>
      </c>
      <c r="BQ1316" s="475">
        <f t="shared" ca="1" si="825"/>
        <v>141</v>
      </c>
      <c r="BR1316" s="475" t="str">
        <f t="shared" si="824"/>
        <v/>
      </c>
      <c r="BS1316" s="471" t="str">
        <f t="shared" si="812"/>
        <v/>
      </c>
      <c r="BT1316" s="472" t="str">
        <f t="shared" si="827"/>
        <v/>
      </c>
      <c r="BU1316" s="472">
        <f t="shared" ca="1" si="813"/>
        <v>0</v>
      </c>
      <c r="BV1316" s="472">
        <f t="shared" ca="1" si="813"/>
        <v>0</v>
      </c>
      <c r="BW1316" s="472"/>
      <c r="BX1316" s="473">
        <f t="shared" ca="1" si="814"/>
        <v>2831926.96960284</v>
      </c>
      <c r="BY1316" s="473">
        <f t="shared" si="815"/>
        <v>0</v>
      </c>
      <c r="BZ1316" s="473">
        <f t="shared" ca="1" si="797"/>
        <v>208.70905296199999</v>
      </c>
      <c r="CA1316" s="476">
        <f t="shared" ca="1" si="816"/>
        <v>0</v>
      </c>
      <c r="CB1316" s="494">
        <f ca="1">IF(OR($Q1315&lt;&gt;1,OP!$D$5+$BN1316-1&lt;16,$BN1316-1&lt;1),0,ROUND(ROUND(ROUND(((VLOOKUP($BN1316-1,MORE_PV,5,0)/10000)*VLOOKUP($BN1316,MORE_PV,$CB$5,0)),3)*VLOOKUP($BN1316,more1,5,0),0)/$R1315,0))</f>
        <v>0</v>
      </c>
      <c r="CC1316" s="473">
        <f t="shared" ca="1" si="817"/>
        <v>0</v>
      </c>
      <c r="CD1316" s="477"/>
    </row>
    <row r="1317" spans="2:82" ht="16.5" hidden="1">
      <c r="B1317" s="80"/>
      <c r="C1317" s="80"/>
      <c r="D1317" s="80"/>
      <c r="E1317" s="80"/>
      <c r="F1317" s="80"/>
      <c r="G1317" s="80"/>
      <c r="H1317" s="80"/>
      <c r="I1317" s="80"/>
      <c r="J1317" s="192">
        <f t="shared" si="798"/>
        <v>110</v>
      </c>
      <c r="K1317" s="192">
        <f t="shared" si="799"/>
        <v>1</v>
      </c>
      <c r="L1317" s="192" t="str">
        <f t="shared" si="794"/>
        <v/>
      </c>
      <c r="M1317" s="216" t="str">
        <f t="shared" ca="1" si="800"/>
        <v/>
      </c>
      <c r="N1317" s="216"/>
      <c r="O1317" s="216"/>
      <c r="P1317" s="216"/>
      <c r="Q1317" s="456">
        <f t="shared" ca="1" si="801"/>
        <v>1</v>
      </c>
      <c r="R1317" s="450">
        <f t="shared" ca="1" si="802"/>
        <v>12</v>
      </c>
      <c r="S1317" s="191">
        <f t="shared" si="803"/>
        <v>110</v>
      </c>
      <c r="T1317" s="191">
        <f t="shared" si="804"/>
        <v>1</v>
      </c>
      <c r="U1317" s="191">
        <f ca="1">OP!$D$5+$S1317-1</f>
        <v>142</v>
      </c>
      <c r="V1317" s="191" t="str">
        <f t="shared" si="805"/>
        <v/>
      </c>
      <c r="W1317" s="350">
        <f ca="1">IF(Q1317&lt;&gt;1,0,VLOOKUP(OP!$C$55,PVFB,$S1317+2,0))</f>
        <v>0</v>
      </c>
      <c r="X1317" s="473" t="str">
        <f t="shared" ca="1" si="818"/>
        <v/>
      </c>
      <c r="Y1317" s="348">
        <f t="shared" ca="1" si="819"/>
        <v>0</v>
      </c>
      <c r="Z1317" s="348">
        <f t="shared" ca="1" si="820"/>
        <v>8012</v>
      </c>
      <c r="AA1317" s="348">
        <f ca="1">IF(Q1317&lt;&gt;1,0,VLOOKUP(OP!$C$55,PVFB,$S1317+2,0))</f>
        <v>0</v>
      </c>
      <c r="AB1317" s="488" t="str">
        <f ca="1">IF(AND(S1317&lt;OP!$C$24,$U1317&lt;15),0,IF(AND($U1317&lt;15,$T1317=12),ROUND(VLOOKUP($S1317,DOWN16,5,0),3),IF($T1317=12,ROUND(($Z1317/10000)*$AA1317,3)+IF(AND($P$7="購買增額繳清保險",T1317=12,U1317=110),VLOOKUP(S1317,$B$10:$H$121,7,0),0),"")))</f>
        <v/>
      </c>
      <c r="AC1317" s="350" t="str">
        <f ca="1">IF(AND(S1317&lt;OP!$C$24,$U1317&lt;15),0,IF(AND($U1317&lt;16,$T1317=12),VLOOKUP($S1317,DOWN16,4,0),IF($T1317=12,ROUND(VLOOKUP(OP!$C$55,_DIE2,$S1317+1,0)*(Z1317/10000),0)+IF(AND($P$7="購買增額繳清保險",T1317=12,U1317=110),VLOOKUP(S1317,$B$10:$H$121,7,0),0),"")))</f>
        <v/>
      </c>
      <c r="AD1317" s="347"/>
      <c r="AE1317" s="350" t="str">
        <f t="shared" ca="1" si="795"/>
        <v/>
      </c>
      <c r="AF1317" s="351" t="str">
        <f t="shared" ca="1" si="796"/>
        <v/>
      </c>
      <c r="AG1317" s="340"/>
      <c r="AH1317" s="340"/>
      <c r="AI1317" s="340"/>
      <c r="AJ1317" s="340"/>
      <c r="AK1317" s="340"/>
      <c r="AL1317" s="340"/>
      <c r="AM1317" s="340"/>
      <c r="AN1317" s="340"/>
      <c r="AO1317" s="340"/>
      <c r="AP1317" s="340"/>
      <c r="AQ1317" s="340"/>
      <c r="AR1317" s="340"/>
      <c r="AS1317" s="340"/>
      <c r="AT1317" s="340"/>
      <c r="AU1317" s="340"/>
      <c r="AV1317" s="340"/>
      <c r="AY1317" s="340"/>
      <c r="AZ1317" s="465">
        <f t="shared" ca="1" si="806"/>
        <v>7.3698599999999999E-5</v>
      </c>
      <c r="BA1317" s="464">
        <f t="shared" ca="1" si="807"/>
        <v>0</v>
      </c>
      <c r="BB1317" s="465">
        <f t="shared" ca="1" si="807"/>
        <v>7.3698599999999999E-5</v>
      </c>
      <c r="BC1317" s="466">
        <f t="shared" ca="1" si="808"/>
        <v>82698</v>
      </c>
      <c r="BD1317" s="467">
        <f t="shared" ca="1" si="821"/>
        <v>82699</v>
      </c>
      <c r="BE1317" s="467">
        <f t="shared" ca="1" si="809"/>
        <v>82727</v>
      </c>
      <c r="BF1317" s="468">
        <f ca="1">IF(計算!$BC1317&lt;OP!$C$3,0,BD1317-BC1317)</f>
        <v>1</v>
      </c>
      <c r="BG1317" s="468">
        <f ca="1">IF($BE1317&gt;DATE(YEAR($BD$9)+OP!$C$57,MONTH($BD$9),DAY($BD$9)),0,$BE1317-$BD1317+1)</f>
        <v>0</v>
      </c>
      <c r="BH1317" s="469">
        <f t="shared" ca="1" si="810"/>
        <v>1</v>
      </c>
      <c r="BI1317">
        <f t="shared" ca="1" si="826"/>
        <v>365</v>
      </c>
      <c r="BJ1317">
        <v>12</v>
      </c>
      <c r="BN1317" s="468">
        <f t="shared" si="822"/>
        <v>109</v>
      </c>
      <c r="BO1317" s="468">
        <f t="shared" si="823"/>
        <v>12</v>
      </c>
      <c r="BP1317" s="467">
        <f t="shared" ca="1" si="811"/>
        <v>82699</v>
      </c>
      <c r="BQ1317" s="475">
        <f t="shared" ca="1" si="825"/>
        <v>141</v>
      </c>
      <c r="BR1317" s="475">
        <f t="shared" si="824"/>
        <v>109</v>
      </c>
      <c r="BS1317" s="471">
        <f t="shared" ca="1" si="812"/>
        <v>0</v>
      </c>
      <c r="BT1317" s="472">
        <f t="shared" ca="1" si="827"/>
        <v>2832343</v>
      </c>
      <c r="BU1317" s="472">
        <f t="shared" ca="1" si="813"/>
        <v>0</v>
      </c>
      <c r="BV1317" s="472">
        <f t="shared" ca="1" si="813"/>
        <v>0</v>
      </c>
      <c r="BW1317" s="472">
        <f ca="1">ROUND(SUM(BY1317,BZ1305:BZ1316),0)</f>
        <v>2504</v>
      </c>
      <c r="BX1317" s="473">
        <f t="shared" ca="1" si="814"/>
        <v>2832344.4030903298</v>
      </c>
      <c r="BY1317" s="473">
        <f t="shared" ca="1" si="815"/>
        <v>208.724434527</v>
      </c>
      <c r="BZ1317" s="473">
        <f t="shared" ca="1" si="797"/>
        <v>0</v>
      </c>
      <c r="CA1317" s="476">
        <f t="shared" ca="1" si="816"/>
        <v>0</v>
      </c>
      <c r="CB1317" s="494">
        <f ca="1">IF(OR($Q1316&lt;&gt;1,OP!$D$5+$BN1317-1&lt;16,$BN1317-1&lt;1),0,ROUND(ROUND(ROUND(((VLOOKUP($BN1317-1,MORE_PV,5,0)/10000)*VLOOKUP($BN1317,MORE_PV,$CB$5,0)),3)*VLOOKUP($BN1317,more1,5,0),0)/$R1316,0))</f>
        <v>0</v>
      </c>
      <c r="CC1317" s="473">
        <f t="shared" ca="1" si="817"/>
        <v>0</v>
      </c>
      <c r="CD1317" s="477"/>
    </row>
    <row r="1318" spans="2:82" ht="16.5" hidden="1">
      <c r="B1318" s="80"/>
      <c r="C1318" s="80"/>
      <c r="D1318" s="80"/>
      <c r="E1318" s="80"/>
      <c r="F1318" s="80"/>
      <c r="G1318" s="80"/>
      <c r="H1318" s="80"/>
      <c r="I1318" s="80"/>
      <c r="J1318" s="192">
        <f t="shared" si="798"/>
        <v>110</v>
      </c>
      <c r="K1318" s="192">
        <f t="shared" si="799"/>
        <v>2</v>
      </c>
      <c r="L1318" s="192" t="str">
        <f t="shared" si="794"/>
        <v/>
      </c>
      <c r="M1318" s="216" t="str">
        <f t="shared" ca="1" si="800"/>
        <v/>
      </c>
      <c r="N1318" s="216"/>
      <c r="O1318" s="216"/>
      <c r="P1318" s="216"/>
      <c r="Q1318" s="456">
        <f t="shared" ca="1" si="801"/>
        <v>1</v>
      </c>
      <c r="R1318" s="450">
        <f t="shared" ca="1" si="802"/>
        <v>12</v>
      </c>
      <c r="S1318" s="191">
        <f t="shared" si="803"/>
        <v>110</v>
      </c>
      <c r="T1318" s="191">
        <f t="shared" si="804"/>
        <v>2</v>
      </c>
      <c r="U1318" s="191">
        <f ca="1">OP!$D$5+$S1318-1</f>
        <v>142</v>
      </c>
      <c r="V1318" s="191" t="str">
        <f t="shared" si="805"/>
        <v/>
      </c>
      <c r="W1318" s="350">
        <f ca="1">IF(Q1318&lt;&gt;1,0,VLOOKUP(OP!$C$55,PVFB,$S1318+2,0))</f>
        <v>0</v>
      </c>
      <c r="X1318" s="473" t="str">
        <f t="shared" ca="1" si="818"/>
        <v/>
      </c>
      <c r="Y1318" s="348">
        <f t="shared" ca="1" si="819"/>
        <v>0</v>
      </c>
      <c r="Z1318" s="348">
        <f t="shared" ca="1" si="820"/>
        <v>8012</v>
      </c>
      <c r="AA1318" s="348">
        <f ca="1">IF(Q1318&lt;&gt;1,0,VLOOKUP(OP!$C$55,PVFB,$S1318+2,0))</f>
        <v>0</v>
      </c>
      <c r="AB1318" s="488" t="str">
        <f ca="1">IF(AND(S1318&lt;OP!$C$24,$U1318&lt;15),0,IF(AND($U1318&lt;15,$T1318=12),ROUND(VLOOKUP($S1318,DOWN16,5,0),3),IF($T1318=12,ROUND(($Z1318/10000)*$AA1318,3)+IF(AND($P$7="購買增額繳清保險",T1318=12,U1318=110),VLOOKUP(S1318,$B$10:$H$121,7,0),0),"")))</f>
        <v/>
      </c>
      <c r="AC1318" s="350" t="str">
        <f ca="1">IF(AND(S1318&lt;OP!$C$24,$U1318&lt;15),0,IF(AND($U1318&lt;16,$T1318=12),VLOOKUP($S1318,DOWN16,4,0),IF($T1318=12,ROUND(VLOOKUP(OP!$C$55,_DIE2,$S1318+1,0)*(Z1318/10000),0)+IF(AND($P$7="購買增額繳清保險",T1318=12,U1318=110),VLOOKUP(S1318,$B$10:$H$121,7,0),0),"")))</f>
        <v/>
      </c>
      <c r="AD1318" s="347"/>
      <c r="AE1318" s="350" t="str">
        <f t="shared" ca="1" si="795"/>
        <v/>
      </c>
      <c r="AF1318" s="351" t="str">
        <f t="shared" ca="1" si="796"/>
        <v/>
      </c>
      <c r="AG1318" s="340"/>
      <c r="AH1318" s="340"/>
      <c r="AI1318" s="340"/>
      <c r="AJ1318" s="340"/>
      <c r="AK1318" s="340"/>
      <c r="AL1318" s="340"/>
      <c r="AM1318" s="340"/>
      <c r="AN1318" s="340"/>
      <c r="AO1318" s="340"/>
      <c r="AP1318" s="340"/>
      <c r="AQ1318" s="340"/>
      <c r="AR1318" s="340"/>
      <c r="AS1318" s="340"/>
      <c r="AT1318" s="340"/>
      <c r="AU1318" s="340"/>
      <c r="AV1318" s="340"/>
      <c r="AY1318" s="340"/>
      <c r="AZ1318" s="465">
        <f t="shared" ca="1" si="806"/>
        <v>7.3698599999999999E-5</v>
      </c>
      <c r="BA1318" s="464">
        <f t="shared" ca="1" si="807"/>
        <v>0</v>
      </c>
      <c r="BB1318" s="465">
        <f t="shared" ca="1" si="807"/>
        <v>7.3698599999999999E-5</v>
      </c>
      <c r="BC1318" s="466">
        <f t="shared" ca="1" si="808"/>
        <v>82728</v>
      </c>
      <c r="BD1318" s="467">
        <f t="shared" ca="1" si="821"/>
        <v>82729</v>
      </c>
      <c r="BE1318" s="467">
        <f t="shared" ca="1" si="809"/>
        <v>82758</v>
      </c>
      <c r="BF1318" s="468">
        <f ca="1">IF(計算!$BC1318&lt;OP!$C$3,0,BD1318-BC1318)</f>
        <v>1</v>
      </c>
      <c r="BG1318" s="468">
        <f ca="1">IF($BE1318&gt;DATE(YEAR($BD$9)+OP!$C$57,MONTH($BD$9),DAY($BD$9)),0,$BE1318-$BD1318+1)</f>
        <v>0</v>
      </c>
      <c r="BH1318" s="469">
        <f t="shared" ca="1" si="810"/>
        <v>1</v>
      </c>
      <c r="BI1318" t="str">
        <f t="shared" si="826"/>
        <v/>
      </c>
      <c r="BJ1318">
        <v>1</v>
      </c>
      <c r="BN1318" s="468">
        <f t="shared" si="822"/>
        <v>110</v>
      </c>
      <c r="BO1318" s="468">
        <f t="shared" si="823"/>
        <v>1</v>
      </c>
      <c r="BP1318" s="467">
        <f t="shared" ca="1" si="811"/>
        <v>82729</v>
      </c>
      <c r="BQ1318" s="475">
        <f t="shared" ca="1" si="825"/>
        <v>142</v>
      </c>
      <c r="BR1318" s="475" t="str">
        <f t="shared" si="824"/>
        <v/>
      </c>
      <c r="BS1318" s="471" t="str">
        <f t="shared" si="812"/>
        <v/>
      </c>
      <c r="BT1318" s="472" t="str">
        <f t="shared" si="827"/>
        <v/>
      </c>
      <c r="BU1318" s="472">
        <f t="shared" ca="1" si="813"/>
        <v>0</v>
      </c>
      <c r="BV1318" s="472">
        <f t="shared" ca="1" si="813"/>
        <v>0</v>
      </c>
      <c r="BW1318" s="472"/>
      <c r="BX1318" s="473">
        <f t="shared" ca="1" si="814"/>
        <v>2832344.4030903298</v>
      </c>
      <c r="BY1318" s="473">
        <f t="shared" si="815"/>
        <v>0</v>
      </c>
      <c r="BZ1318" s="473">
        <f t="shared" ca="1" si="797"/>
        <v>208.73981722600001</v>
      </c>
      <c r="CA1318" s="476">
        <f t="shared" ca="1" si="816"/>
        <v>0</v>
      </c>
      <c r="CB1318" s="494">
        <f ca="1">IF(OR($Q1317&lt;&gt;1,OP!$D$5+$BN1318-1&lt;16,$BN1318-1&lt;1),0,ROUND(ROUND(ROUND(((VLOOKUP($BN1318-1,MORE_PV,5,0)/10000)*VLOOKUP($BN1318,MORE_PV,$CB$5,0)),3)*VLOOKUP($BN1318,more1,5,0),0)/$R1317,0))</f>
        <v>0</v>
      </c>
      <c r="CC1318" s="473">
        <f t="shared" ca="1" si="817"/>
        <v>0</v>
      </c>
      <c r="CD1318" s="477"/>
    </row>
    <row r="1319" spans="2:82" ht="16.5" hidden="1">
      <c r="B1319" s="80"/>
      <c r="C1319" s="80"/>
      <c r="D1319" s="80"/>
      <c r="E1319" s="80"/>
      <c r="F1319" s="80"/>
      <c r="G1319" s="80"/>
      <c r="H1319" s="80"/>
      <c r="I1319" s="80"/>
      <c r="J1319" s="192">
        <f t="shared" si="798"/>
        <v>110</v>
      </c>
      <c r="K1319" s="192">
        <f t="shared" si="799"/>
        <v>3</v>
      </c>
      <c r="L1319" s="192" t="str">
        <f t="shared" si="794"/>
        <v/>
      </c>
      <c r="M1319" s="216" t="str">
        <f t="shared" ca="1" si="800"/>
        <v/>
      </c>
      <c r="N1319" s="216"/>
      <c r="O1319" s="216"/>
      <c r="P1319" s="216"/>
      <c r="Q1319" s="456">
        <f t="shared" ca="1" si="801"/>
        <v>1</v>
      </c>
      <c r="R1319" s="450">
        <f t="shared" ca="1" si="802"/>
        <v>12</v>
      </c>
      <c r="S1319" s="191">
        <f t="shared" si="803"/>
        <v>110</v>
      </c>
      <c r="T1319" s="191">
        <f t="shared" si="804"/>
        <v>3</v>
      </c>
      <c r="U1319" s="191">
        <f ca="1">OP!$D$5+$S1319-1</f>
        <v>142</v>
      </c>
      <c r="V1319" s="191" t="str">
        <f t="shared" si="805"/>
        <v/>
      </c>
      <c r="W1319" s="350">
        <f ca="1">IF(Q1319&lt;&gt;1,0,VLOOKUP(OP!$C$55,PVFB,$S1319+2,0))</f>
        <v>0</v>
      </c>
      <c r="X1319" s="473" t="str">
        <f t="shared" ca="1" si="818"/>
        <v/>
      </c>
      <c r="Y1319" s="348">
        <f t="shared" ca="1" si="819"/>
        <v>0</v>
      </c>
      <c r="Z1319" s="348">
        <f t="shared" ca="1" si="820"/>
        <v>8012</v>
      </c>
      <c r="AA1319" s="348">
        <f ca="1">IF(Q1319&lt;&gt;1,0,VLOOKUP(OP!$C$55,PVFB,$S1319+2,0))</f>
        <v>0</v>
      </c>
      <c r="AB1319" s="488" t="str">
        <f ca="1">IF(AND(S1319&lt;OP!$C$24,$U1319&lt;15),0,IF(AND($U1319&lt;15,$T1319=12),ROUND(VLOOKUP($S1319,DOWN16,5,0),3),IF($T1319=12,ROUND(($Z1319/10000)*$AA1319,3)+IF(AND($P$7="購買增額繳清保險",T1319=12,U1319=110),VLOOKUP(S1319,$B$10:$H$121,7,0),0),"")))</f>
        <v/>
      </c>
      <c r="AC1319" s="350" t="str">
        <f ca="1">IF(AND(S1319&lt;OP!$C$24,$U1319&lt;15),0,IF(AND($U1319&lt;16,$T1319=12),VLOOKUP($S1319,DOWN16,4,0),IF($T1319=12,ROUND(VLOOKUP(OP!$C$55,_DIE2,$S1319+1,0)*(Z1319/10000),0)+IF(AND($P$7="購買增額繳清保險",T1319=12,U1319=110),VLOOKUP(S1319,$B$10:$H$121,7,0),0),"")))</f>
        <v/>
      </c>
      <c r="AD1319" s="347"/>
      <c r="AE1319" s="350" t="str">
        <f t="shared" ca="1" si="795"/>
        <v/>
      </c>
      <c r="AF1319" s="351" t="str">
        <f t="shared" ca="1" si="796"/>
        <v/>
      </c>
      <c r="AG1319" s="340"/>
      <c r="AH1319" s="340"/>
      <c r="AI1319" s="340"/>
      <c r="AJ1319" s="340"/>
      <c r="AK1319" s="340"/>
      <c r="AL1319" s="340"/>
      <c r="AM1319" s="340"/>
      <c r="AN1319" s="340"/>
      <c r="AO1319" s="340"/>
      <c r="AP1319" s="340"/>
      <c r="AQ1319" s="340"/>
      <c r="AR1319" s="340"/>
      <c r="AS1319" s="340"/>
      <c r="AT1319" s="340"/>
      <c r="AU1319" s="340"/>
      <c r="AV1319" s="340"/>
      <c r="AY1319" s="340"/>
      <c r="AZ1319" s="465">
        <f t="shared" ca="1" si="806"/>
        <v>7.3698599999999999E-5</v>
      </c>
      <c r="BA1319" s="464">
        <f t="shared" ca="1" si="807"/>
        <v>0</v>
      </c>
      <c r="BB1319" s="465">
        <f t="shared" ca="1" si="807"/>
        <v>7.3698599999999999E-5</v>
      </c>
      <c r="BC1319" s="466">
        <f t="shared" ca="1" si="808"/>
        <v>82759</v>
      </c>
      <c r="BD1319" s="467">
        <f t="shared" ca="1" si="821"/>
        <v>82760</v>
      </c>
      <c r="BE1319" s="467">
        <f t="shared" ca="1" si="809"/>
        <v>82789</v>
      </c>
      <c r="BF1319" s="468">
        <f ca="1">IF(計算!$BC1319&lt;OP!$C$3,0,BD1319-BC1319)</f>
        <v>1</v>
      </c>
      <c r="BG1319" s="468">
        <f ca="1">IF($BE1319&gt;DATE(YEAR($BD$9)+OP!$C$57,MONTH($BD$9),DAY($BD$9)),0,$BE1319-$BD1319+1)</f>
        <v>0</v>
      </c>
      <c r="BH1319" s="469">
        <f t="shared" ca="1" si="810"/>
        <v>1</v>
      </c>
      <c r="BI1319" t="str">
        <f t="shared" si="826"/>
        <v/>
      </c>
      <c r="BJ1319">
        <v>2</v>
      </c>
      <c r="BN1319" s="468">
        <f t="shared" si="822"/>
        <v>110</v>
      </c>
      <c r="BO1319" s="468">
        <f t="shared" si="823"/>
        <v>2</v>
      </c>
      <c r="BP1319" s="467">
        <f t="shared" ca="1" si="811"/>
        <v>82760</v>
      </c>
      <c r="BQ1319" s="475">
        <f t="shared" ca="1" si="825"/>
        <v>142</v>
      </c>
      <c r="BR1319" s="475" t="str">
        <f t="shared" si="824"/>
        <v/>
      </c>
      <c r="BS1319" s="471" t="str">
        <f t="shared" si="812"/>
        <v/>
      </c>
      <c r="BT1319" s="472" t="str">
        <f t="shared" si="827"/>
        <v/>
      </c>
      <c r="BU1319" s="472">
        <f t="shared" ca="1" si="813"/>
        <v>0</v>
      </c>
      <c r="BV1319" s="472">
        <f t="shared" ca="1" si="813"/>
        <v>0</v>
      </c>
      <c r="BW1319" s="472"/>
      <c r="BX1319" s="473">
        <f t="shared" ca="1" si="814"/>
        <v>2832553.1429075599</v>
      </c>
      <c r="BY1319" s="473">
        <f t="shared" si="815"/>
        <v>0</v>
      </c>
      <c r="BZ1319" s="473">
        <f t="shared" ca="1" si="797"/>
        <v>208.75520105800001</v>
      </c>
      <c r="CA1319" s="476">
        <f t="shared" ca="1" si="816"/>
        <v>0</v>
      </c>
      <c r="CB1319" s="494">
        <f ca="1">IF(OR($Q1318&lt;&gt;1,OP!$D$5+$BN1319-1&lt;16,$BN1319-1&lt;1),0,ROUND(ROUND(ROUND(((VLOOKUP($BN1319-1,MORE_PV,5,0)/10000)*VLOOKUP($BN1319,MORE_PV,$CB$5,0)),3)*VLOOKUP($BN1319,more1,5,0),0)/$R1318,0))</f>
        <v>0</v>
      </c>
      <c r="CC1319" s="473">
        <f t="shared" ca="1" si="817"/>
        <v>0</v>
      </c>
      <c r="CD1319" s="477"/>
    </row>
    <row r="1320" spans="2:82" ht="16.5" hidden="1">
      <c r="B1320" s="80"/>
      <c r="C1320" s="80"/>
      <c r="D1320" s="80"/>
      <c r="E1320" s="80"/>
      <c r="F1320" s="80"/>
      <c r="G1320" s="80"/>
      <c r="H1320" s="80"/>
      <c r="I1320" s="80"/>
      <c r="J1320" s="192">
        <f t="shared" si="798"/>
        <v>110</v>
      </c>
      <c r="K1320" s="192">
        <f t="shared" si="799"/>
        <v>4</v>
      </c>
      <c r="L1320" s="192" t="str">
        <f t="shared" si="794"/>
        <v/>
      </c>
      <c r="M1320" s="216" t="str">
        <f t="shared" ca="1" si="800"/>
        <v/>
      </c>
      <c r="N1320" s="216"/>
      <c r="O1320" s="216"/>
      <c r="P1320" s="216"/>
      <c r="Q1320" s="456">
        <f t="shared" ca="1" si="801"/>
        <v>1</v>
      </c>
      <c r="R1320" s="450">
        <f t="shared" ca="1" si="802"/>
        <v>12</v>
      </c>
      <c r="S1320" s="191">
        <f t="shared" si="803"/>
        <v>110</v>
      </c>
      <c r="T1320" s="191">
        <f t="shared" si="804"/>
        <v>4</v>
      </c>
      <c r="U1320" s="191">
        <f ca="1">OP!$D$5+$S1320-1</f>
        <v>142</v>
      </c>
      <c r="V1320" s="191" t="str">
        <f t="shared" si="805"/>
        <v/>
      </c>
      <c r="W1320" s="350">
        <f ca="1">IF(Q1320&lt;&gt;1,0,VLOOKUP(OP!$C$55,PVFB,$S1320+2,0))</f>
        <v>0</v>
      </c>
      <c r="X1320" s="473" t="str">
        <f t="shared" ca="1" si="818"/>
        <v/>
      </c>
      <c r="Y1320" s="348">
        <f t="shared" ca="1" si="819"/>
        <v>0</v>
      </c>
      <c r="Z1320" s="348">
        <f t="shared" ca="1" si="820"/>
        <v>8012</v>
      </c>
      <c r="AA1320" s="348">
        <f ca="1">IF(Q1320&lt;&gt;1,0,VLOOKUP(OP!$C$55,PVFB,$S1320+2,0))</f>
        <v>0</v>
      </c>
      <c r="AB1320" s="488" t="str">
        <f ca="1">IF(AND(S1320&lt;OP!$C$24,$U1320&lt;15),0,IF(AND($U1320&lt;15,$T1320=12),ROUND(VLOOKUP($S1320,DOWN16,5,0),3),IF($T1320=12,ROUND(($Z1320/10000)*$AA1320,3)+IF(AND($P$7="購買增額繳清保險",T1320=12,U1320=110),VLOOKUP(S1320,$B$10:$H$121,7,0),0),"")))</f>
        <v/>
      </c>
      <c r="AC1320" s="350" t="str">
        <f ca="1">IF(AND(S1320&lt;OP!$C$24,$U1320&lt;15),0,IF(AND($U1320&lt;16,$T1320=12),VLOOKUP($S1320,DOWN16,4,0),IF($T1320=12,ROUND(VLOOKUP(OP!$C$55,_DIE2,$S1320+1,0)*(Z1320/10000),0)+IF(AND($P$7="購買增額繳清保險",T1320=12,U1320=110),VLOOKUP(S1320,$B$10:$H$121,7,0),0),"")))</f>
        <v/>
      </c>
      <c r="AD1320" s="347"/>
      <c r="AE1320" s="350" t="str">
        <f t="shared" ca="1" si="795"/>
        <v/>
      </c>
      <c r="AF1320" s="351" t="str">
        <f t="shared" ca="1" si="796"/>
        <v/>
      </c>
      <c r="AG1320" s="340"/>
      <c r="AH1320" s="340"/>
      <c r="AI1320" s="340"/>
      <c r="AJ1320" s="340"/>
      <c r="AK1320" s="340"/>
      <c r="AL1320" s="340"/>
      <c r="AM1320" s="340"/>
      <c r="AN1320" s="340"/>
      <c r="AO1320" s="340"/>
      <c r="AP1320" s="340"/>
      <c r="AQ1320" s="340"/>
      <c r="AR1320" s="340"/>
      <c r="AS1320" s="340"/>
      <c r="AT1320" s="340"/>
      <c r="AU1320" s="340"/>
      <c r="AV1320" s="340"/>
      <c r="AY1320" s="340"/>
      <c r="AZ1320" s="465">
        <f t="shared" ca="1" si="806"/>
        <v>7.3698599999999999E-5</v>
      </c>
      <c r="BA1320" s="464">
        <f t="shared" ca="1" si="807"/>
        <v>0</v>
      </c>
      <c r="BB1320" s="465">
        <f t="shared" ca="1" si="807"/>
        <v>7.3698599999999999E-5</v>
      </c>
      <c r="BC1320" s="466">
        <f t="shared" ca="1" si="808"/>
        <v>82790</v>
      </c>
      <c r="BD1320" s="467">
        <f t="shared" ca="1" si="821"/>
        <v>82791</v>
      </c>
      <c r="BE1320" s="467">
        <f t="shared" ca="1" si="809"/>
        <v>82819</v>
      </c>
      <c r="BF1320" s="468">
        <f ca="1">IF(計算!$BC1320&lt;OP!$C$3,0,BD1320-BC1320)</f>
        <v>1</v>
      </c>
      <c r="BG1320" s="468">
        <f ca="1">IF($BE1320&gt;DATE(YEAR($BD$9)+OP!$C$57,MONTH($BD$9),DAY($BD$9)),0,$BE1320-$BD1320+1)</f>
        <v>0</v>
      </c>
      <c r="BH1320" s="469">
        <f t="shared" ca="1" si="810"/>
        <v>1</v>
      </c>
      <c r="BI1320" t="str">
        <f t="shared" si="826"/>
        <v/>
      </c>
      <c r="BJ1320">
        <v>3</v>
      </c>
      <c r="BN1320" s="468">
        <f t="shared" si="822"/>
        <v>110</v>
      </c>
      <c r="BO1320" s="468">
        <f t="shared" si="823"/>
        <v>3</v>
      </c>
      <c r="BP1320" s="467">
        <f t="shared" ca="1" si="811"/>
        <v>82791</v>
      </c>
      <c r="BQ1320" s="475">
        <f t="shared" ca="1" si="825"/>
        <v>142</v>
      </c>
      <c r="BR1320" s="475" t="str">
        <f t="shared" si="824"/>
        <v/>
      </c>
      <c r="BS1320" s="471" t="str">
        <f t="shared" si="812"/>
        <v/>
      </c>
      <c r="BT1320" s="472" t="str">
        <f t="shared" si="827"/>
        <v/>
      </c>
      <c r="BU1320" s="472">
        <f t="shared" ca="1" si="813"/>
        <v>0</v>
      </c>
      <c r="BV1320" s="472">
        <f t="shared" ca="1" si="813"/>
        <v>0</v>
      </c>
      <c r="BW1320" s="472"/>
      <c r="BX1320" s="473">
        <f t="shared" ca="1" si="814"/>
        <v>2832761.8981086202</v>
      </c>
      <c r="BY1320" s="473">
        <f t="shared" si="815"/>
        <v>0</v>
      </c>
      <c r="BZ1320" s="473">
        <f t="shared" ca="1" si="797"/>
        <v>208.77058602400001</v>
      </c>
      <c r="CA1320" s="476">
        <f t="shared" ca="1" si="816"/>
        <v>0</v>
      </c>
      <c r="CB1320" s="494">
        <f ca="1">IF(OR($Q1319&lt;&gt;1,OP!$D$5+$BN1320-1&lt;16,$BN1320-1&lt;1),0,ROUND(ROUND(ROUND(((VLOOKUP($BN1320-1,MORE_PV,5,0)/10000)*VLOOKUP($BN1320,MORE_PV,$CB$5,0)),3)*VLOOKUP($BN1320,more1,5,0),0)/$R1319,0))</f>
        <v>0</v>
      </c>
      <c r="CC1320" s="473">
        <f t="shared" ca="1" si="817"/>
        <v>0</v>
      </c>
      <c r="CD1320" s="477"/>
    </row>
    <row r="1321" spans="2:82" ht="16.5" hidden="1">
      <c r="B1321" s="80"/>
      <c r="C1321" s="80"/>
      <c r="D1321" s="80"/>
      <c r="E1321" s="80"/>
      <c r="F1321" s="80"/>
      <c r="G1321" s="80"/>
      <c r="H1321" s="80"/>
      <c r="I1321" s="80"/>
      <c r="J1321" s="192">
        <f t="shared" si="798"/>
        <v>110</v>
      </c>
      <c r="K1321" s="192">
        <f t="shared" si="799"/>
        <v>5</v>
      </c>
      <c r="L1321" s="192" t="str">
        <f t="shared" si="794"/>
        <v/>
      </c>
      <c r="M1321" s="216" t="str">
        <f t="shared" ca="1" si="800"/>
        <v/>
      </c>
      <c r="N1321" s="216"/>
      <c r="O1321" s="216"/>
      <c r="P1321" s="216"/>
      <c r="Q1321" s="456">
        <f t="shared" ca="1" si="801"/>
        <v>1</v>
      </c>
      <c r="R1321" s="450">
        <f t="shared" ca="1" si="802"/>
        <v>12</v>
      </c>
      <c r="S1321" s="191">
        <f t="shared" si="803"/>
        <v>110</v>
      </c>
      <c r="T1321" s="191">
        <f t="shared" si="804"/>
        <v>5</v>
      </c>
      <c r="U1321" s="191">
        <f ca="1">OP!$D$5+$S1321-1</f>
        <v>142</v>
      </c>
      <c r="V1321" s="191" t="str">
        <f t="shared" si="805"/>
        <v/>
      </c>
      <c r="W1321" s="350">
        <f ca="1">IF(Q1321&lt;&gt;1,0,VLOOKUP(OP!$C$55,PVFB,$S1321+2,0))</f>
        <v>0</v>
      </c>
      <c r="X1321" s="473" t="str">
        <f t="shared" ca="1" si="818"/>
        <v/>
      </c>
      <c r="Y1321" s="348">
        <f t="shared" ca="1" si="819"/>
        <v>0</v>
      </c>
      <c r="Z1321" s="348">
        <f t="shared" ca="1" si="820"/>
        <v>8012</v>
      </c>
      <c r="AA1321" s="348">
        <f ca="1">IF(Q1321&lt;&gt;1,0,VLOOKUP(OP!$C$55,PVFB,$S1321+2,0))</f>
        <v>0</v>
      </c>
      <c r="AB1321" s="488" t="str">
        <f ca="1">IF(AND(S1321&lt;OP!$C$24,$U1321&lt;15),0,IF(AND($U1321&lt;15,$T1321=12),ROUND(VLOOKUP($S1321,DOWN16,5,0),3),IF($T1321=12,ROUND(($Z1321/10000)*$AA1321,3)+IF(AND($P$7="購買增額繳清保險",T1321=12,U1321=110),VLOOKUP(S1321,$B$10:$H$121,7,0),0),"")))</f>
        <v/>
      </c>
      <c r="AC1321" s="350" t="str">
        <f ca="1">IF(AND(S1321&lt;OP!$C$24,$U1321&lt;15),0,IF(AND($U1321&lt;16,$T1321=12),VLOOKUP($S1321,DOWN16,4,0),IF($T1321=12,ROUND(VLOOKUP(OP!$C$55,_DIE2,$S1321+1,0)*(Z1321/10000),0)+IF(AND($P$7="購買增額繳清保險",T1321=12,U1321=110),VLOOKUP(S1321,$B$10:$H$121,7,0),0),"")))</f>
        <v/>
      </c>
      <c r="AD1321" s="347"/>
      <c r="AE1321" s="350" t="str">
        <f t="shared" ca="1" si="795"/>
        <v/>
      </c>
      <c r="AF1321" s="351" t="str">
        <f t="shared" ca="1" si="796"/>
        <v/>
      </c>
      <c r="AG1321" s="340"/>
      <c r="AH1321" s="340"/>
      <c r="AI1321" s="340"/>
      <c r="AJ1321" s="340"/>
      <c r="AK1321" s="340"/>
      <c r="AL1321" s="340"/>
      <c r="AM1321" s="340"/>
      <c r="AN1321" s="340"/>
      <c r="AO1321" s="340"/>
      <c r="AP1321" s="340"/>
      <c r="AQ1321" s="340"/>
      <c r="AR1321" s="340"/>
      <c r="AS1321" s="340"/>
      <c r="AT1321" s="340"/>
      <c r="AU1321" s="340"/>
      <c r="AV1321" s="340"/>
      <c r="AY1321" s="340"/>
      <c r="AZ1321" s="465">
        <f t="shared" ca="1" si="806"/>
        <v>7.3698599999999999E-5</v>
      </c>
      <c r="BA1321" s="464">
        <f t="shared" ca="1" si="807"/>
        <v>0</v>
      </c>
      <c r="BB1321" s="465">
        <f t="shared" ca="1" si="807"/>
        <v>7.3698599999999999E-5</v>
      </c>
      <c r="BC1321" s="466">
        <f t="shared" ca="1" si="808"/>
        <v>82820</v>
      </c>
      <c r="BD1321" s="467">
        <f t="shared" ca="1" si="821"/>
        <v>82821</v>
      </c>
      <c r="BE1321" s="467">
        <f t="shared" ca="1" si="809"/>
        <v>82850</v>
      </c>
      <c r="BF1321" s="468">
        <f ca="1">IF(計算!$BC1321&lt;OP!$C$3,0,BD1321-BC1321)</f>
        <v>1</v>
      </c>
      <c r="BG1321" s="468">
        <f ca="1">IF($BE1321&gt;DATE(YEAR($BD$9)+OP!$C$57,MONTH($BD$9),DAY($BD$9)),0,$BE1321-$BD1321+1)</f>
        <v>0</v>
      </c>
      <c r="BH1321" s="469">
        <f t="shared" ca="1" si="810"/>
        <v>1</v>
      </c>
      <c r="BI1321" t="str">
        <f t="shared" si="826"/>
        <v/>
      </c>
      <c r="BJ1321">
        <v>4</v>
      </c>
      <c r="BN1321" s="468">
        <f t="shared" si="822"/>
        <v>110</v>
      </c>
      <c r="BO1321" s="468">
        <f t="shared" si="823"/>
        <v>4</v>
      </c>
      <c r="BP1321" s="467">
        <f t="shared" ca="1" si="811"/>
        <v>82821</v>
      </c>
      <c r="BQ1321" s="475">
        <f t="shared" ca="1" si="825"/>
        <v>142</v>
      </c>
      <c r="BR1321" s="475" t="str">
        <f t="shared" si="824"/>
        <v/>
      </c>
      <c r="BS1321" s="471" t="str">
        <f t="shared" si="812"/>
        <v/>
      </c>
      <c r="BT1321" s="472" t="str">
        <f t="shared" si="827"/>
        <v/>
      </c>
      <c r="BU1321" s="472">
        <f t="shared" ca="1" si="813"/>
        <v>0</v>
      </c>
      <c r="BV1321" s="472">
        <f t="shared" ca="1" si="813"/>
        <v>0</v>
      </c>
      <c r="BW1321" s="472"/>
      <c r="BX1321" s="473">
        <f t="shared" ca="1" si="814"/>
        <v>2832970.66869464</v>
      </c>
      <c r="BY1321" s="473">
        <f t="shared" si="815"/>
        <v>0</v>
      </c>
      <c r="BZ1321" s="473">
        <f t="shared" ca="1" si="797"/>
        <v>208.78597212400001</v>
      </c>
      <c r="CA1321" s="476">
        <f t="shared" ca="1" si="816"/>
        <v>0</v>
      </c>
      <c r="CB1321" s="494">
        <f ca="1">IF(OR($Q1320&lt;&gt;1,OP!$D$5+$BN1321-1&lt;16,$BN1321-1&lt;1),0,ROUND(ROUND(ROUND(((VLOOKUP($BN1321-1,MORE_PV,5,0)/10000)*VLOOKUP($BN1321,MORE_PV,$CB$5,0)),3)*VLOOKUP($BN1321,more1,5,0),0)/$R1320,0))</f>
        <v>0</v>
      </c>
      <c r="CC1321" s="473">
        <f t="shared" ca="1" si="817"/>
        <v>0</v>
      </c>
      <c r="CD1321" s="477"/>
    </row>
    <row r="1322" spans="2:82" ht="16.5" hidden="1">
      <c r="B1322" s="80"/>
      <c r="C1322" s="80"/>
      <c r="D1322" s="80"/>
      <c r="E1322" s="80"/>
      <c r="F1322" s="80"/>
      <c r="G1322" s="80"/>
      <c r="H1322" s="80"/>
      <c r="I1322" s="80"/>
      <c r="J1322" s="192">
        <f t="shared" si="798"/>
        <v>110</v>
      </c>
      <c r="K1322" s="192">
        <f t="shared" si="799"/>
        <v>6</v>
      </c>
      <c r="L1322" s="192" t="str">
        <f t="shared" si="794"/>
        <v/>
      </c>
      <c r="M1322" s="216" t="str">
        <f t="shared" ca="1" si="800"/>
        <v/>
      </c>
      <c r="N1322" s="216"/>
      <c r="O1322" s="216"/>
      <c r="P1322" s="216"/>
      <c r="Q1322" s="456">
        <f t="shared" ca="1" si="801"/>
        <v>1</v>
      </c>
      <c r="R1322" s="450">
        <f t="shared" ca="1" si="802"/>
        <v>12</v>
      </c>
      <c r="S1322" s="191">
        <f t="shared" si="803"/>
        <v>110</v>
      </c>
      <c r="T1322" s="191">
        <f t="shared" si="804"/>
        <v>6</v>
      </c>
      <c r="U1322" s="191">
        <f ca="1">OP!$D$5+$S1322-1</f>
        <v>142</v>
      </c>
      <c r="V1322" s="191" t="str">
        <f t="shared" si="805"/>
        <v/>
      </c>
      <c r="W1322" s="350">
        <f ca="1">IF(Q1322&lt;&gt;1,0,VLOOKUP(OP!$C$55,PVFB,$S1322+2,0))</f>
        <v>0</v>
      </c>
      <c r="X1322" s="473" t="str">
        <f t="shared" ca="1" si="818"/>
        <v/>
      </c>
      <c r="Y1322" s="348">
        <f t="shared" ca="1" si="819"/>
        <v>0</v>
      </c>
      <c r="Z1322" s="348">
        <f t="shared" ca="1" si="820"/>
        <v>8012</v>
      </c>
      <c r="AA1322" s="348">
        <f ca="1">IF(Q1322&lt;&gt;1,0,VLOOKUP(OP!$C$55,PVFB,$S1322+2,0))</f>
        <v>0</v>
      </c>
      <c r="AB1322" s="488" t="str">
        <f ca="1">IF(AND(S1322&lt;OP!$C$24,$U1322&lt;15),0,IF(AND($U1322&lt;15,$T1322=12),ROUND(VLOOKUP($S1322,DOWN16,5,0),3),IF($T1322=12,ROUND(($Z1322/10000)*$AA1322,3)+IF(AND($P$7="購買增額繳清保險",T1322=12,U1322=110),VLOOKUP(S1322,$B$10:$H$121,7,0),0),"")))</f>
        <v/>
      </c>
      <c r="AC1322" s="350" t="str">
        <f ca="1">IF(AND(S1322&lt;OP!$C$24,$U1322&lt;15),0,IF(AND($U1322&lt;16,$T1322=12),VLOOKUP($S1322,DOWN16,4,0),IF($T1322=12,ROUND(VLOOKUP(OP!$C$55,_DIE2,$S1322+1,0)*(Z1322/10000),0)+IF(AND($P$7="購買增額繳清保險",T1322=12,U1322=110),VLOOKUP(S1322,$B$10:$H$121,7,0),0),"")))</f>
        <v/>
      </c>
      <c r="AD1322" s="347"/>
      <c r="AE1322" s="350" t="str">
        <f t="shared" ca="1" si="795"/>
        <v/>
      </c>
      <c r="AF1322" s="351" t="str">
        <f t="shared" ca="1" si="796"/>
        <v/>
      </c>
      <c r="AG1322" s="340"/>
      <c r="AH1322" s="340"/>
      <c r="AI1322" s="340"/>
      <c r="AJ1322" s="340"/>
      <c r="AK1322" s="340"/>
      <c r="AL1322" s="340"/>
      <c r="AM1322" s="340"/>
      <c r="AN1322" s="340"/>
      <c r="AO1322" s="340"/>
      <c r="AP1322" s="340"/>
      <c r="AQ1322" s="340"/>
      <c r="AR1322" s="340"/>
      <c r="AS1322" s="340"/>
      <c r="AT1322" s="340"/>
      <c r="AU1322" s="340"/>
      <c r="AV1322" s="340"/>
      <c r="AY1322" s="340"/>
      <c r="AZ1322" s="465">
        <f t="shared" ca="1" si="806"/>
        <v>7.3698599999999999E-5</v>
      </c>
      <c r="BA1322" s="464">
        <f t="shared" ca="1" si="807"/>
        <v>0</v>
      </c>
      <c r="BB1322" s="465">
        <f t="shared" ca="1" si="807"/>
        <v>7.3698599999999999E-5</v>
      </c>
      <c r="BC1322" s="466">
        <f t="shared" ca="1" si="808"/>
        <v>82851</v>
      </c>
      <c r="BD1322" s="467">
        <f t="shared" ca="1" si="821"/>
        <v>82852</v>
      </c>
      <c r="BE1322" s="467">
        <f t="shared" ca="1" si="809"/>
        <v>82880</v>
      </c>
      <c r="BF1322" s="468">
        <f ca="1">IF(計算!$BC1322&lt;OP!$C$3,0,BD1322-BC1322)</f>
        <v>1</v>
      </c>
      <c r="BG1322" s="468">
        <f ca="1">IF($BE1322&gt;DATE(YEAR($BD$9)+OP!$C$57,MONTH($BD$9),DAY($BD$9)),0,$BE1322-$BD1322+1)</f>
        <v>0</v>
      </c>
      <c r="BH1322" s="469">
        <f t="shared" ca="1" si="810"/>
        <v>1</v>
      </c>
      <c r="BI1322" t="str">
        <f t="shared" si="826"/>
        <v/>
      </c>
      <c r="BJ1322">
        <v>5</v>
      </c>
      <c r="BN1322" s="468">
        <f t="shared" si="822"/>
        <v>110</v>
      </c>
      <c r="BO1322" s="468">
        <f t="shared" si="823"/>
        <v>5</v>
      </c>
      <c r="BP1322" s="467">
        <f t="shared" ca="1" si="811"/>
        <v>82852</v>
      </c>
      <c r="BQ1322" s="475">
        <f t="shared" ca="1" si="825"/>
        <v>142</v>
      </c>
      <c r="BR1322" s="475" t="str">
        <f t="shared" si="824"/>
        <v/>
      </c>
      <c r="BS1322" s="471" t="str">
        <f t="shared" si="812"/>
        <v/>
      </c>
      <c r="BT1322" s="472" t="str">
        <f t="shared" si="827"/>
        <v/>
      </c>
      <c r="BU1322" s="472">
        <f t="shared" ca="1" si="813"/>
        <v>0</v>
      </c>
      <c r="BV1322" s="472">
        <f t="shared" ca="1" si="813"/>
        <v>0</v>
      </c>
      <c r="BW1322" s="472"/>
      <c r="BX1322" s="473">
        <f t="shared" ca="1" si="814"/>
        <v>2833179.4546667598</v>
      </c>
      <c r="BY1322" s="473">
        <f t="shared" si="815"/>
        <v>0</v>
      </c>
      <c r="BZ1322" s="473">
        <f t="shared" ca="1" si="797"/>
        <v>208.80135935800001</v>
      </c>
      <c r="CA1322" s="476">
        <f t="shared" ca="1" si="816"/>
        <v>0</v>
      </c>
      <c r="CB1322" s="494">
        <f ca="1">IF(OR($Q1321&lt;&gt;1,OP!$D$5+$BN1322-1&lt;16,$BN1322-1&lt;1),0,ROUND(ROUND(ROUND(((VLOOKUP($BN1322-1,MORE_PV,5,0)/10000)*VLOOKUP($BN1322,MORE_PV,$CB$5,0)),3)*VLOOKUP($BN1322,more1,5,0),0)/$R1321,0))</f>
        <v>0</v>
      </c>
      <c r="CC1322" s="473">
        <f t="shared" ca="1" si="817"/>
        <v>0</v>
      </c>
      <c r="CD1322" s="477"/>
    </row>
    <row r="1323" spans="2:82" ht="16.5" hidden="1">
      <c r="B1323" s="80"/>
      <c r="C1323" s="80"/>
      <c r="D1323" s="80"/>
      <c r="E1323" s="80"/>
      <c r="F1323" s="80"/>
      <c r="G1323" s="80"/>
      <c r="H1323" s="80"/>
      <c r="I1323" s="80"/>
      <c r="J1323" s="192">
        <f t="shared" si="798"/>
        <v>110</v>
      </c>
      <c r="K1323" s="192">
        <f t="shared" si="799"/>
        <v>7</v>
      </c>
      <c r="L1323" s="192" t="str">
        <f t="shared" si="794"/>
        <v/>
      </c>
      <c r="M1323" s="216" t="str">
        <f t="shared" ca="1" si="800"/>
        <v/>
      </c>
      <c r="N1323" s="216"/>
      <c r="O1323" s="216"/>
      <c r="P1323" s="216"/>
      <c r="Q1323" s="456">
        <f t="shared" ca="1" si="801"/>
        <v>1</v>
      </c>
      <c r="R1323" s="450">
        <f t="shared" ca="1" si="802"/>
        <v>12</v>
      </c>
      <c r="S1323" s="191">
        <f t="shared" si="803"/>
        <v>110</v>
      </c>
      <c r="T1323" s="191">
        <f t="shared" si="804"/>
        <v>7</v>
      </c>
      <c r="U1323" s="191">
        <f ca="1">OP!$D$5+$S1323-1</f>
        <v>142</v>
      </c>
      <c r="V1323" s="191" t="str">
        <f t="shared" si="805"/>
        <v/>
      </c>
      <c r="W1323" s="350">
        <f ca="1">IF(Q1323&lt;&gt;1,0,VLOOKUP(OP!$C$55,PVFB,$S1323+2,0))</f>
        <v>0</v>
      </c>
      <c r="X1323" s="473" t="str">
        <f t="shared" ca="1" si="818"/>
        <v/>
      </c>
      <c r="Y1323" s="348">
        <f t="shared" ca="1" si="819"/>
        <v>0</v>
      </c>
      <c r="Z1323" s="348">
        <f t="shared" ca="1" si="820"/>
        <v>8012</v>
      </c>
      <c r="AA1323" s="348">
        <f ca="1">IF(Q1323&lt;&gt;1,0,VLOOKUP(OP!$C$55,PVFB,$S1323+2,0))</f>
        <v>0</v>
      </c>
      <c r="AB1323" s="488" t="str">
        <f ca="1">IF(AND(S1323&lt;OP!$C$24,$U1323&lt;15),0,IF(AND($U1323&lt;15,$T1323=12),ROUND(VLOOKUP($S1323,DOWN16,5,0),3),IF($T1323=12,ROUND(($Z1323/10000)*$AA1323,3)+IF(AND($P$7="購買增額繳清保險",T1323=12,U1323=110),VLOOKUP(S1323,$B$10:$H$121,7,0),0),"")))</f>
        <v/>
      </c>
      <c r="AC1323" s="350" t="str">
        <f ca="1">IF(AND(S1323&lt;OP!$C$24,$U1323&lt;15),0,IF(AND($U1323&lt;16,$T1323=12),VLOOKUP($S1323,DOWN16,4,0),IF($T1323=12,ROUND(VLOOKUP(OP!$C$55,_DIE2,$S1323+1,0)*(Z1323/10000),0)+IF(AND($P$7="購買增額繳清保險",T1323=12,U1323=110),VLOOKUP(S1323,$B$10:$H$121,7,0),0),"")))</f>
        <v/>
      </c>
      <c r="AD1323" s="347"/>
      <c r="AE1323" s="350" t="str">
        <f t="shared" ca="1" si="795"/>
        <v/>
      </c>
      <c r="AF1323" s="351" t="str">
        <f t="shared" ca="1" si="796"/>
        <v/>
      </c>
      <c r="AG1323" s="340"/>
      <c r="AH1323" s="340"/>
      <c r="AI1323" s="340"/>
      <c r="AJ1323" s="340"/>
      <c r="AK1323" s="340"/>
      <c r="AL1323" s="340"/>
      <c r="AM1323" s="340"/>
      <c r="AN1323" s="340"/>
      <c r="AO1323" s="340"/>
      <c r="AP1323" s="340"/>
      <c r="AQ1323" s="340"/>
      <c r="AR1323" s="340"/>
      <c r="AS1323" s="340"/>
      <c r="AT1323" s="340"/>
      <c r="AU1323" s="340"/>
      <c r="AV1323" s="340"/>
      <c r="AY1323" s="340"/>
      <c r="AZ1323" s="465">
        <f t="shared" ca="1" si="806"/>
        <v>7.3698599999999999E-5</v>
      </c>
      <c r="BA1323" s="464">
        <f t="shared" ca="1" si="807"/>
        <v>0</v>
      </c>
      <c r="BB1323" s="465">
        <f t="shared" ca="1" si="807"/>
        <v>7.3698599999999999E-5</v>
      </c>
      <c r="BC1323" s="466">
        <f t="shared" ca="1" si="808"/>
        <v>82881</v>
      </c>
      <c r="BD1323" s="467">
        <f t="shared" ca="1" si="821"/>
        <v>82882</v>
      </c>
      <c r="BE1323" s="467">
        <f t="shared" ca="1" si="809"/>
        <v>82911</v>
      </c>
      <c r="BF1323" s="468">
        <f ca="1">IF(計算!$BC1323&lt;OP!$C$3,0,BD1323-BC1323)</f>
        <v>1</v>
      </c>
      <c r="BG1323" s="468">
        <f ca="1">IF($BE1323&gt;DATE(YEAR($BD$9)+OP!$C$57,MONTH($BD$9),DAY($BD$9)),0,$BE1323-$BD1323+1)</f>
        <v>0</v>
      </c>
      <c r="BH1323" s="469">
        <f t="shared" ca="1" si="810"/>
        <v>1</v>
      </c>
      <c r="BI1323" t="str">
        <f t="shared" si="826"/>
        <v/>
      </c>
      <c r="BJ1323">
        <v>6</v>
      </c>
      <c r="BN1323" s="468">
        <f t="shared" si="822"/>
        <v>110</v>
      </c>
      <c r="BO1323" s="468">
        <f t="shared" si="823"/>
        <v>6</v>
      </c>
      <c r="BP1323" s="467">
        <f t="shared" ca="1" si="811"/>
        <v>82882</v>
      </c>
      <c r="BQ1323" s="475">
        <f t="shared" ca="1" si="825"/>
        <v>142</v>
      </c>
      <c r="BR1323" s="475" t="str">
        <f t="shared" si="824"/>
        <v/>
      </c>
      <c r="BS1323" s="471" t="str">
        <f t="shared" si="812"/>
        <v/>
      </c>
      <c r="BT1323" s="472" t="str">
        <f t="shared" si="827"/>
        <v/>
      </c>
      <c r="BU1323" s="472">
        <f t="shared" ca="1" si="813"/>
        <v>0</v>
      </c>
      <c r="BV1323" s="472">
        <f t="shared" ca="1" si="813"/>
        <v>0</v>
      </c>
      <c r="BW1323" s="472"/>
      <c r="BX1323" s="473">
        <f t="shared" ca="1" si="814"/>
        <v>2833388.2560261199</v>
      </c>
      <c r="BY1323" s="473">
        <f t="shared" si="815"/>
        <v>0</v>
      </c>
      <c r="BZ1323" s="473">
        <f t="shared" ca="1" si="797"/>
        <v>208.81674772599999</v>
      </c>
      <c r="CA1323" s="476">
        <f t="shared" ca="1" si="816"/>
        <v>0</v>
      </c>
      <c r="CB1323" s="494">
        <f ca="1">IF(OR($Q1322&lt;&gt;1,OP!$D$5+$BN1323-1&lt;16,$BN1323-1&lt;1),0,ROUND(ROUND(ROUND(((VLOOKUP($BN1323-1,MORE_PV,5,0)/10000)*VLOOKUP($BN1323,MORE_PV,$CB$5,0)),3)*VLOOKUP($BN1323,more1,5,0),0)/$R1322,0))</f>
        <v>0</v>
      </c>
      <c r="CC1323" s="473">
        <f t="shared" ca="1" si="817"/>
        <v>0</v>
      </c>
      <c r="CD1323" s="477"/>
    </row>
    <row r="1324" spans="2:82" ht="16.5" hidden="1">
      <c r="B1324" s="80"/>
      <c r="C1324" s="80"/>
      <c r="D1324" s="80"/>
      <c r="E1324" s="80"/>
      <c r="F1324" s="80"/>
      <c r="G1324" s="80"/>
      <c r="H1324" s="80"/>
      <c r="I1324" s="80"/>
      <c r="J1324" s="192">
        <f t="shared" si="798"/>
        <v>110</v>
      </c>
      <c r="K1324" s="192">
        <f t="shared" si="799"/>
        <v>8</v>
      </c>
      <c r="L1324" s="192" t="str">
        <f t="shared" si="794"/>
        <v/>
      </c>
      <c r="M1324" s="216" t="str">
        <f t="shared" ca="1" si="800"/>
        <v/>
      </c>
      <c r="N1324" s="216"/>
      <c r="O1324" s="216"/>
      <c r="P1324" s="216"/>
      <c r="Q1324" s="456">
        <f t="shared" ca="1" si="801"/>
        <v>1</v>
      </c>
      <c r="R1324" s="450">
        <f t="shared" ca="1" si="802"/>
        <v>12</v>
      </c>
      <c r="S1324" s="191">
        <f t="shared" si="803"/>
        <v>110</v>
      </c>
      <c r="T1324" s="191">
        <f t="shared" si="804"/>
        <v>8</v>
      </c>
      <c r="U1324" s="191">
        <f ca="1">OP!$D$5+$S1324-1</f>
        <v>142</v>
      </c>
      <c r="V1324" s="191" t="str">
        <f t="shared" si="805"/>
        <v/>
      </c>
      <c r="W1324" s="350">
        <f ca="1">IF(Q1324&lt;&gt;1,0,VLOOKUP(OP!$C$55,PVFB,$S1324+2,0))</f>
        <v>0</v>
      </c>
      <c r="X1324" s="473" t="str">
        <f t="shared" ca="1" si="818"/>
        <v/>
      </c>
      <c r="Y1324" s="348">
        <f t="shared" ca="1" si="819"/>
        <v>0</v>
      </c>
      <c r="Z1324" s="348">
        <f t="shared" ca="1" si="820"/>
        <v>8012</v>
      </c>
      <c r="AA1324" s="348">
        <f ca="1">IF(Q1324&lt;&gt;1,0,VLOOKUP(OP!$C$55,PVFB,$S1324+2,0))</f>
        <v>0</v>
      </c>
      <c r="AB1324" s="488" t="str">
        <f ca="1">IF(AND(S1324&lt;OP!$C$24,$U1324&lt;15),0,IF(AND($U1324&lt;15,$T1324=12),ROUND(VLOOKUP($S1324,DOWN16,5,0),3),IF($T1324=12,ROUND(($Z1324/10000)*$AA1324,3)+IF(AND($P$7="購買增額繳清保險",T1324=12,U1324=110),VLOOKUP(S1324,$B$10:$H$121,7,0),0),"")))</f>
        <v/>
      </c>
      <c r="AC1324" s="350" t="str">
        <f ca="1">IF(AND(S1324&lt;OP!$C$24,$U1324&lt;15),0,IF(AND($U1324&lt;16,$T1324=12),VLOOKUP($S1324,DOWN16,4,0),IF($T1324=12,ROUND(VLOOKUP(OP!$C$55,_DIE2,$S1324+1,0)*(Z1324/10000),0)+IF(AND($P$7="購買增額繳清保險",T1324=12,U1324=110),VLOOKUP(S1324,$B$10:$H$121,7,0),0),"")))</f>
        <v/>
      </c>
      <c r="AD1324" s="347"/>
      <c r="AE1324" s="350" t="str">
        <f t="shared" ca="1" si="795"/>
        <v/>
      </c>
      <c r="AF1324" s="351" t="str">
        <f t="shared" ca="1" si="796"/>
        <v/>
      </c>
      <c r="AG1324" s="340"/>
      <c r="AH1324" s="340"/>
      <c r="AI1324" s="340"/>
      <c r="AJ1324" s="340"/>
      <c r="AK1324" s="340"/>
      <c r="AL1324" s="340"/>
      <c r="AM1324" s="340"/>
      <c r="AN1324" s="340"/>
      <c r="AO1324" s="340"/>
      <c r="AP1324" s="340"/>
      <c r="AQ1324" s="340"/>
      <c r="AR1324" s="340"/>
      <c r="AS1324" s="340"/>
      <c r="AT1324" s="340"/>
      <c r="AU1324" s="340"/>
      <c r="AV1324" s="340"/>
      <c r="AY1324" s="340"/>
      <c r="AZ1324" s="465">
        <f t="shared" ca="1" si="806"/>
        <v>7.3698599999999999E-5</v>
      </c>
      <c r="BA1324" s="464">
        <f t="shared" ca="1" si="807"/>
        <v>0</v>
      </c>
      <c r="BB1324" s="465">
        <f t="shared" ca="1" si="807"/>
        <v>7.3698599999999999E-5</v>
      </c>
      <c r="BC1324" s="466">
        <f t="shared" ca="1" si="808"/>
        <v>82912</v>
      </c>
      <c r="BD1324" s="467">
        <f t="shared" ca="1" si="821"/>
        <v>82913</v>
      </c>
      <c r="BE1324" s="467">
        <f t="shared" ca="1" si="809"/>
        <v>82942</v>
      </c>
      <c r="BF1324" s="468">
        <f ca="1">IF(計算!$BC1324&lt;OP!$C$3,0,BD1324-BC1324)</f>
        <v>1</v>
      </c>
      <c r="BG1324" s="468">
        <f ca="1">IF($BE1324&gt;DATE(YEAR($BD$9)+OP!$C$57,MONTH($BD$9),DAY($BD$9)),0,$BE1324-$BD1324+1)</f>
        <v>0</v>
      </c>
      <c r="BH1324" s="469">
        <f t="shared" ca="1" si="810"/>
        <v>1</v>
      </c>
      <c r="BI1324" t="str">
        <f t="shared" si="826"/>
        <v/>
      </c>
      <c r="BJ1324">
        <v>7</v>
      </c>
      <c r="BN1324" s="468">
        <f t="shared" si="822"/>
        <v>110</v>
      </c>
      <c r="BO1324" s="468">
        <f t="shared" si="823"/>
        <v>7</v>
      </c>
      <c r="BP1324" s="467">
        <f t="shared" ca="1" si="811"/>
        <v>82913</v>
      </c>
      <c r="BQ1324" s="475">
        <f t="shared" ca="1" si="825"/>
        <v>142</v>
      </c>
      <c r="BR1324" s="475" t="str">
        <f t="shared" si="824"/>
        <v/>
      </c>
      <c r="BS1324" s="471" t="str">
        <f t="shared" si="812"/>
        <v/>
      </c>
      <c r="BT1324" s="472" t="str">
        <f t="shared" si="827"/>
        <v/>
      </c>
      <c r="BU1324" s="472">
        <f t="shared" ca="1" si="813"/>
        <v>0</v>
      </c>
      <c r="BV1324" s="472">
        <f t="shared" ca="1" si="813"/>
        <v>0</v>
      </c>
      <c r="BW1324" s="472"/>
      <c r="BX1324" s="473">
        <f t="shared" ca="1" si="814"/>
        <v>2833597.0727738501</v>
      </c>
      <c r="BY1324" s="473">
        <f t="shared" si="815"/>
        <v>0</v>
      </c>
      <c r="BZ1324" s="473">
        <f t="shared" ca="1" si="797"/>
        <v>208.83213722799999</v>
      </c>
      <c r="CA1324" s="476">
        <f t="shared" ca="1" si="816"/>
        <v>0</v>
      </c>
      <c r="CB1324" s="494">
        <f ca="1">IF(OR($Q1323&lt;&gt;1,OP!$D$5+$BN1324-1&lt;16,$BN1324-1&lt;1),0,ROUND(ROUND(ROUND(((VLOOKUP($BN1324-1,MORE_PV,5,0)/10000)*VLOOKUP($BN1324,MORE_PV,$CB$5,0)),3)*VLOOKUP($BN1324,more1,5,0),0)/$R1323,0))</f>
        <v>0</v>
      </c>
      <c r="CC1324" s="473">
        <f t="shared" ca="1" si="817"/>
        <v>0</v>
      </c>
      <c r="CD1324" s="477"/>
    </row>
    <row r="1325" spans="2:82" ht="16.5" hidden="1">
      <c r="B1325" s="80"/>
      <c r="C1325" s="80"/>
      <c r="D1325" s="80"/>
      <c r="E1325" s="80"/>
      <c r="F1325" s="80"/>
      <c r="G1325" s="80"/>
      <c r="H1325" s="80"/>
      <c r="I1325" s="80"/>
      <c r="J1325" s="192">
        <f t="shared" si="798"/>
        <v>110</v>
      </c>
      <c r="K1325" s="192">
        <f t="shared" si="799"/>
        <v>9</v>
      </c>
      <c r="L1325" s="192" t="str">
        <f t="shared" si="794"/>
        <v/>
      </c>
      <c r="M1325" s="216" t="str">
        <f t="shared" ca="1" si="800"/>
        <v/>
      </c>
      <c r="N1325" s="216"/>
      <c r="O1325" s="216"/>
      <c r="P1325" s="216"/>
      <c r="Q1325" s="456">
        <f t="shared" ca="1" si="801"/>
        <v>1</v>
      </c>
      <c r="R1325" s="450">
        <f t="shared" ca="1" si="802"/>
        <v>12</v>
      </c>
      <c r="S1325" s="191">
        <f t="shared" si="803"/>
        <v>110</v>
      </c>
      <c r="T1325" s="191">
        <f t="shared" si="804"/>
        <v>9</v>
      </c>
      <c r="U1325" s="191">
        <f ca="1">OP!$D$5+$S1325-1</f>
        <v>142</v>
      </c>
      <c r="V1325" s="191" t="str">
        <f t="shared" si="805"/>
        <v/>
      </c>
      <c r="W1325" s="350">
        <f ca="1">IF(Q1325&lt;&gt;1,0,VLOOKUP(OP!$C$55,PVFB,$S1325+2,0))</f>
        <v>0</v>
      </c>
      <c r="X1325" s="473" t="str">
        <f t="shared" ca="1" si="818"/>
        <v/>
      </c>
      <c r="Y1325" s="348">
        <f t="shared" ca="1" si="819"/>
        <v>0</v>
      </c>
      <c r="Z1325" s="348">
        <f t="shared" ca="1" si="820"/>
        <v>8012</v>
      </c>
      <c r="AA1325" s="348">
        <f ca="1">IF(Q1325&lt;&gt;1,0,VLOOKUP(OP!$C$55,PVFB,$S1325+2,0))</f>
        <v>0</v>
      </c>
      <c r="AB1325" s="488" t="str">
        <f ca="1">IF(AND(S1325&lt;OP!$C$24,$U1325&lt;15),0,IF(AND($U1325&lt;15,$T1325=12),ROUND(VLOOKUP($S1325,DOWN16,5,0),3),IF($T1325=12,ROUND(($Z1325/10000)*$AA1325,3)+IF(AND($P$7="購買增額繳清保險",T1325=12,U1325=110),VLOOKUP(S1325,$B$10:$H$121,7,0),0),"")))</f>
        <v/>
      </c>
      <c r="AC1325" s="350" t="str">
        <f ca="1">IF(AND(S1325&lt;OP!$C$24,$U1325&lt;15),0,IF(AND($U1325&lt;16,$T1325=12),VLOOKUP($S1325,DOWN16,4,0),IF($T1325=12,ROUND(VLOOKUP(OP!$C$55,_DIE2,$S1325+1,0)*(Z1325/10000),0)+IF(AND($P$7="購買增額繳清保險",T1325=12,U1325=110),VLOOKUP(S1325,$B$10:$H$121,7,0),0),"")))</f>
        <v/>
      </c>
      <c r="AD1325" s="347"/>
      <c r="AE1325" s="350" t="str">
        <f t="shared" ca="1" si="795"/>
        <v/>
      </c>
      <c r="AF1325" s="351" t="str">
        <f t="shared" ca="1" si="796"/>
        <v/>
      </c>
      <c r="AG1325" s="340"/>
      <c r="AH1325" s="340"/>
      <c r="AI1325" s="340"/>
      <c r="AJ1325" s="340"/>
      <c r="AK1325" s="340"/>
      <c r="AL1325" s="340"/>
      <c r="AM1325" s="340"/>
      <c r="AN1325" s="340"/>
      <c r="AO1325" s="340"/>
      <c r="AP1325" s="340"/>
      <c r="AQ1325" s="340"/>
      <c r="AR1325" s="340"/>
      <c r="AS1325" s="340"/>
      <c r="AT1325" s="340"/>
      <c r="AU1325" s="340"/>
      <c r="AV1325" s="340"/>
      <c r="AY1325" s="340"/>
      <c r="AZ1325" s="465">
        <f t="shared" ca="1" si="806"/>
        <v>7.3698599999999999E-5</v>
      </c>
      <c r="BA1325" s="464">
        <f t="shared" ca="1" si="807"/>
        <v>0</v>
      </c>
      <c r="BB1325" s="465">
        <f t="shared" ca="1" si="807"/>
        <v>7.3698599999999999E-5</v>
      </c>
      <c r="BC1325" s="466">
        <f t="shared" ca="1" si="808"/>
        <v>82943</v>
      </c>
      <c r="BD1325" s="467">
        <f t="shared" ca="1" si="821"/>
        <v>82944</v>
      </c>
      <c r="BE1325" s="467">
        <f t="shared" ca="1" si="809"/>
        <v>82970</v>
      </c>
      <c r="BF1325" s="468">
        <f ca="1">IF(計算!$BC1325&lt;OP!$C$3,0,BD1325-BC1325)</f>
        <v>1</v>
      </c>
      <c r="BG1325" s="468">
        <f ca="1">IF($BE1325&gt;DATE(YEAR($BD$9)+OP!$C$57,MONTH($BD$9),DAY($BD$9)),0,$BE1325-$BD1325+1)</f>
        <v>0</v>
      </c>
      <c r="BH1325" s="469">
        <f t="shared" ca="1" si="810"/>
        <v>1</v>
      </c>
      <c r="BI1325" t="str">
        <f t="shared" si="826"/>
        <v/>
      </c>
      <c r="BJ1325">
        <v>8</v>
      </c>
      <c r="BN1325" s="468">
        <f t="shared" si="822"/>
        <v>110</v>
      </c>
      <c r="BO1325" s="468">
        <f t="shared" si="823"/>
        <v>8</v>
      </c>
      <c r="BP1325" s="467">
        <f t="shared" ca="1" si="811"/>
        <v>82944</v>
      </c>
      <c r="BQ1325" s="475">
        <f t="shared" ca="1" si="825"/>
        <v>142</v>
      </c>
      <c r="BR1325" s="475" t="str">
        <f t="shared" si="824"/>
        <v/>
      </c>
      <c r="BS1325" s="471" t="str">
        <f t="shared" si="812"/>
        <v/>
      </c>
      <c r="BT1325" s="472" t="str">
        <f t="shared" si="827"/>
        <v/>
      </c>
      <c r="BU1325" s="472">
        <f t="shared" ca="1" si="813"/>
        <v>0</v>
      </c>
      <c r="BV1325" s="472">
        <f t="shared" ca="1" si="813"/>
        <v>0</v>
      </c>
      <c r="BW1325" s="472"/>
      <c r="BX1325" s="473">
        <f t="shared" ca="1" si="814"/>
        <v>2833805.9049110799</v>
      </c>
      <c r="BY1325" s="473">
        <f t="shared" si="815"/>
        <v>0</v>
      </c>
      <c r="BZ1325" s="473">
        <f t="shared" ca="1" si="797"/>
        <v>208.847527864</v>
      </c>
      <c r="CA1325" s="476">
        <f t="shared" ca="1" si="816"/>
        <v>0</v>
      </c>
      <c r="CB1325" s="494">
        <f ca="1">IF(OR($Q1324&lt;&gt;1,OP!$D$5+$BN1325-1&lt;16,$BN1325-1&lt;1),0,ROUND(ROUND(ROUND(((VLOOKUP($BN1325-1,MORE_PV,5,0)/10000)*VLOOKUP($BN1325,MORE_PV,$CB$5,0)),3)*VLOOKUP($BN1325,more1,5,0),0)/$R1324,0))</f>
        <v>0</v>
      </c>
      <c r="CC1325" s="473">
        <f t="shared" ca="1" si="817"/>
        <v>0</v>
      </c>
      <c r="CD1325" s="477"/>
    </row>
    <row r="1326" spans="2:82" ht="16.5" hidden="1">
      <c r="B1326" s="80"/>
      <c r="C1326" s="80"/>
      <c r="D1326" s="80"/>
      <c r="E1326" s="80"/>
      <c r="F1326" s="80"/>
      <c r="G1326" s="80"/>
      <c r="H1326" s="80"/>
      <c r="I1326" s="80"/>
      <c r="J1326" s="192">
        <f t="shared" si="798"/>
        <v>110</v>
      </c>
      <c r="K1326" s="192">
        <f t="shared" si="799"/>
        <v>10</v>
      </c>
      <c r="L1326" s="192" t="str">
        <f t="shared" si="794"/>
        <v/>
      </c>
      <c r="M1326" s="216" t="str">
        <f t="shared" ca="1" si="800"/>
        <v/>
      </c>
      <c r="N1326" s="216"/>
      <c r="O1326" s="216"/>
      <c r="P1326" s="216"/>
      <c r="Q1326" s="456">
        <f t="shared" ca="1" si="801"/>
        <v>1</v>
      </c>
      <c r="R1326" s="450">
        <f t="shared" ca="1" si="802"/>
        <v>12</v>
      </c>
      <c r="S1326" s="191">
        <f t="shared" si="803"/>
        <v>110</v>
      </c>
      <c r="T1326" s="191">
        <f t="shared" si="804"/>
        <v>10</v>
      </c>
      <c r="U1326" s="191">
        <f ca="1">OP!$D$5+$S1326-1</f>
        <v>142</v>
      </c>
      <c r="V1326" s="191" t="str">
        <f t="shared" si="805"/>
        <v/>
      </c>
      <c r="W1326" s="350">
        <f ca="1">IF(Q1326&lt;&gt;1,0,VLOOKUP(OP!$C$55,PVFB,$S1326+2,0))</f>
        <v>0</v>
      </c>
      <c r="X1326" s="473" t="str">
        <f t="shared" ca="1" si="818"/>
        <v/>
      </c>
      <c r="Y1326" s="348">
        <f t="shared" ca="1" si="819"/>
        <v>0</v>
      </c>
      <c r="Z1326" s="348">
        <f t="shared" ca="1" si="820"/>
        <v>8012</v>
      </c>
      <c r="AA1326" s="348">
        <f ca="1">IF(Q1326&lt;&gt;1,0,VLOOKUP(OP!$C$55,PVFB,$S1326+2,0))</f>
        <v>0</v>
      </c>
      <c r="AB1326" s="488" t="str">
        <f ca="1">IF(AND(S1326&lt;OP!$C$24,$U1326&lt;15),0,IF(AND($U1326&lt;15,$T1326=12),ROUND(VLOOKUP($S1326,DOWN16,5,0),3),IF($T1326=12,ROUND(($Z1326/10000)*$AA1326,3)+IF(AND($P$7="購買增額繳清保險",T1326=12,U1326=110),VLOOKUP(S1326,$B$10:$H$121,7,0),0),"")))</f>
        <v/>
      </c>
      <c r="AC1326" s="350" t="str">
        <f ca="1">IF(AND(S1326&lt;OP!$C$24,$U1326&lt;15),0,IF(AND($U1326&lt;16,$T1326=12),VLOOKUP($S1326,DOWN16,4,0),IF($T1326=12,ROUND(VLOOKUP(OP!$C$55,_DIE2,$S1326+1,0)*(Z1326/10000),0)+IF(AND($P$7="購買增額繳清保險",T1326=12,U1326=110),VLOOKUP(S1326,$B$10:$H$121,7,0),0),"")))</f>
        <v/>
      </c>
      <c r="AD1326" s="347"/>
      <c r="AE1326" s="350" t="str">
        <f t="shared" ca="1" si="795"/>
        <v/>
      </c>
      <c r="AF1326" s="351" t="str">
        <f t="shared" ca="1" si="796"/>
        <v/>
      </c>
      <c r="AG1326" s="340"/>
      <c r="AH1326" s="340"/>
      <c r="AI1326" s="340"/>
      <c r="AJ1326" s="340"/>
      <c r="AK1326" s="340"/>
      <c r="AL1326" s="340"/>
      <c r="AM1326" s="340"/>
      <c r="AN1326" s="340"/>
      <c r="AO1326" s="340"/>
      <c r="AP1326" s="340"/>
      <c r="AQ1326" s="340"/>
      <c r="AR1326" s="340"/>
      <c r="AS1326" s="340"/>
      <c r="AT1326" s="340"/>
      <c r="AU1326" s="340"/>
      <c r="AV1326" s="340"/>
      <c r="AY1326" s="340"/>
      <c r="AZ1326" s="465">
        <f t="shared" ca="1" si="806"/>
        <v>7.3698599999999999E-5</v>
      </c>
      <c r="BA1326" s="464">
        <f t="shared" ca="1" si="807"/>
        <v>0</v>
      </c>
      <c r="BB1326" s="465">
        <f t="shared" ca="1" si="807"/>
        <v>7.3698599999999999E-5</v>
      </c>
      <c r="BC1326" s="466">
        <f t="shared" ca="1" si="808"/>
        <v>82971</v>
      </c>
      <c r="BD1326" s="467">
        <f t="shared" ca="1" si="821"/>
        <v>82972</v>
      </c>
      <c r="BE1326" s="467">
        <f t="shared" ca="1" si="809"/>
        <v>83001</v>
      </c>
      <c r="BF1326" s="468">
        <f ca="1">IF(計算!$BC1326&lt;OP!$C$3,0,BD1326-BC1326)</f>
        <v>1</v>
      </c>
      <c r="BG1326" s="468">
        <f ca="1">IF($BE1326&gt;DATE(YEAR($BD$9)+OP!$C$57,MONTH($BD$9),DAY($BD$9)),0,$BE1326-$BD1326+1)</f>
        <v>0</v>
      </c>
      <c r="BH1326" s="469">
        <f t="shared" ca="1" si="810"/>
        <v>1</v>
      </c>
      <c r="BI1326" t="str">
        <f t="shared" si="826"/>
        <v/>
      </c>
      <c r="BJ1326">
        <v>9</v>
      </c>
      <c r="BN1326" s="468">
        <f t="shared" si="822"/>
        <v>110</v>
      </c>
      <c r="BO1326" s="468">
        <f t="shared" si="823"/>
        <v>9</v>
      </c>
      <c r="BP1326" s="467">
        <f t="shared" ca="1" si="811"/>
        <v>82972</v>
      </c>
      <c r="BQ1326" s="475">
        <f t="shared" ca="1" si="825"/>
        <v>142</v>
      </c>
      <c r="BR1326" s="475" t="str">
        <f t="shared" si="824"/>
        <v/>
      </c>
      <c r="BS1326" s="471" t="str">
        <f t="shared" si="812"/>
        <v/>
      </c>
      <c r="BT1326" s="472" t="str">
        <f t="shared" si="827"/>
        <v/>
      </c>
      <c r="BU1326" s="472">
        <f t="shared" ca="1" si="813"/>
        <v>0</v>
      </c>
      <c r="BV1326" s="472">
        <f t="shared" ca="1" si="813"/>
        <v>0</v>
      </c>
      <c r="BW1326" s="472"/>
      <c r="BX1326" s="473">
        <f t="shared" ca="1" si="814"/>
        <v>2834014.7524389401</v>
      </c>
      <c r="BY1326" s="473">
        <f t="shared" si="815"/>
        <v>0</v>
      </c>
      <c r="BZ1326" s="473">
        <f t="shared" ca="1" si="797"/>
        <v>208.86291963400001</v>
      </c>
      <c r="CA1326" s="476">
        <f t="shared" ca="1" si="816"/>
        <v>0</v>
      </c>
      <c r="CB1326" s="494">
        <f ca="1">IF(OR($Q1325&lt;&gt;1,OP!$D$5+$BN1326-1&lt;16,$BN1326-1&lt;1),0,ROUND(ROUND(ROUND(((VLOOKUP($BN1326-1,MORE_PV,5,0)/10000)*VLOOKUP($BN1326,MORE_PV,$CB$5,0)),3)*VLOOKUP($BN1326,more1,5,0),0)/$R1325,0))</f>
        <v>0</v>
      </c>
      <c r="CC1326" s="473">
        <f t="shared" ca="1" si="817"/>
        <v>0</v>
      </c>
      <c r="CD1326" s="477"/>
    </row>
    <row r="1327" spans="2:82" ht="16.5" hidden="1">
      <c r="B1327" s="80"/>
      <c r="C1327" s="80"/>
      <c r="D1327" s="80"/>
      <c r="E1327" s="80"/>
      <c r="F1327" s="80"/>
      <c r="G1327" s="80"/>
      <c r="H1327" s="80"/>
      <c r="I1327" s="80"/>
      <c r="J1327" s="192">
        <f t="shared" si="798"/>
        <v>110</v>
      </c>
      <c r="K1327" s="192">
        <f t="shared" si="799"/>
        <v>11</v>
      </c>
      <c r="L1327" s="192" t="str">
        <f t="shared" si="794"/>
        <v/>
      </c>
      <c r="M1327" s="216" t="str">
        <f t="shared" ca="1" si="800"/>
        <v/>
      </c>
      <c r="N1327" s="216"/>
      <c r="O1327" s="216"/>
      <c r="P1327" s="216"/>
      <c r="Q1327" s="456">
        <f t="shared" ca="1" si="801"/>
        <v>1</v>
      </c>
      <c r="R1327" s="450">
        <f t="shared" ca="1" si="802"/>
        <v>12</v>
      </c>
      <c r="S1327" s="191">
        <f t="shared" si="803"/>
        <v>110</v>
      </c>
      <c r="T1327" s="191">
        <f t="shared" si="804"/>
        <v>11</v>
      </c>
      <c r="U1327" s="191">
        <f ca="1">OP!$D$5+$S1327-1</f>
        <v>142</v>
      </c>
      <c r="V1327" s="191" t="str">
        <f t="shared" si="805"/>
        <v/>
      </c>
      <c r="W1327" s="350">
        <f ca="1">IF(Q1327&lt;&gt;1,0,VLOOKUP(OP!$C$55,PVFB,$S1327+2,0))</f>
        <v>0</v>
      </c>
      <c r="X1327" s="473" t="str">
        <f t="shared" ca="1" si="818"/>
        <v/>
      </c>
      <c r="Y1327" s="348">
        <f t="shared" ca="1" si="819"/>
        <v>0</v>
      </c>
      <c r="Z1327" s="348">
        <f t="shared" ca="1" si="820"/>
        <v>8012</v>
      </c>
      <c r="AA1327" s="348">
        <f ca="1">IF(Q1327&lt;&gt;1,0,VLOOKUP(OP!$C$55,PVFB,$S1327+2,0))</f>
        <v>0</v>
      </c>
      <c r="AB1327" s="488" t="str">
        <f ca="1">IF(AND(S1327&lt;OP!$C$24,$U1327&lt;15),0,IF(AND($U1327&lt;15,$T1327=12),ROUND(VLOOKUP($S1327,DOWN16,5,0),3),IF($T1327=12,ROUND(($Z1327/10000)*$AA1327,3)+IF(AND($P$7="購買增額繳清保險",T1327=12,U1327=110),VLOOKUP(S1327,$B$10:$H$121,7,0),0),"")))</f>
        <v/>
      </c>
      <c r="AC1327" s="350" t="str">
        <f ca="1">IF(AND(S1327&lt;OP!$C$24,$U1327&lt;15),0,IF(AND($U1327&lt;16,$T1327=12),VLOOKUP($S1327,DOWN16,4,0),IF($T1327=12,ROUND(VLOOKUP(OP!$C$55,_DIE2,$S1327+1,0)*(Z1327/10000),0)+IF(AND($P$7="購買增額繳清保險",T1327=12,U1327=110),VLOOKUP(S1327,$B$10:$H$121,7,0),0),"")))</f>
        <v/>
      </c>
      <c r="AD1327" s="347"/>
      <c r="AE1327" s="350" t="str">
        <f t="shared" ca="1" si="795"/>
        <v/>
      </c>
      <c r="AF1327" s="351" t="str">
        <f t="shared" ca="1" si="796"/>
        <v/>
      </c>
      <c r="AG1327" s="340"/>
      <c r="AH1327" s="340"/>
      <c r="AI1327" s="340"/>
      <c r="AJ1327" s="340"/>
      <c r="AK1327" s="340"/>
      <c r="AL1327" s="340"/>
      <c r="AM1327" s="340"/>
      <c r="AN1327" s="340"/>
      <c r="AO1327" s="340"/>
      <c r="AP1327" s="340"/>
      <c r="AQ1327" s="340"/>
      <c r="AR1327" s="340"/>
      <c r="AS1327" s="340"/>
      <c r="AT1327" s="340"/>
      <c r="AU1327" s="340"/>
      <c r="AV1327" s="340"/>
      <c r="AY1327" s="340"/>
      <c r="AZ1327" s="465">
        <f t="shared" ca="1" si="806"/>
        <v>7.3698599999999999E-5</v>
      </c>
      <c r="BA1327" s="464">
        <f t="shared" ca="1" si="807"/>
        <v>0</v>
      </c>
      <c r="BB1327" s="465">
        <f t="shared" ca="1" si="807"/>
        <v>7.3698599999999999E-5</v>
      </c>
      <c r="BC1327" s="466">
        <f t="shared" ca="1" si="808"/>
        <v>83002</v>
      </c>
      <c r="BD1327" s="467">
        <f t="shared" ca="1" si="821"/>
        <v>83003</v>
      </c>
      <c r="BE1327" s="467">
        <f t="shared" ca="1" si="809"/>
        <v>83031</v>
      </c>
      <c r="BF1327" s="468">
        <f ca="1">IF(計算!$BC1327&lt;OP!$C$3,0,BD1327-BC1327)</f>
        <v>1</v>
      </c>
      <c r="BG1327" s="468">
        <f ca="1">IF($BE1327&gt;DATE(YEAR($BD$9)+OP!$C$57,MONTH($BD$9),DAY($BD$9)),0,$BE1327-$BD1327+1)</f>
        <v>0</v>
      </c>
      <c r="BH1327" s="469">
        <f t="shared" ca="1" si="810"/>
        <v>1</v>
      </c>
      <c r="BI1327" t="str">
        <f t="shared" si="826"/>
        <v/>
      </c>
      <c r="BJ1327">
        <v>10</v>
      </c>
      <c r="BN1327" s="468">
        <f t="shared" si="822"/>
        <v>110</v>
      </c>
      <c r="BO1327" s="468">
        <f t="shared" si="823"/>
        <v>10</v>
      </c>
      <c r="BP1327" s="467">
        <f t="shared" ca="1" si="811"/>
        <v>83003</v>
      </c>
      <c r="BQ1327" s="475">
        <f t="shared" ca="1" si="825"/>
        <v>142</v>
      </c>
      <c r="BR1327" s="475" t="str">
        <f t="shared" si="824"/>
        <v/>
      </c>
      <c r="BS1327" s="471" t="str">
        <f t="shared" si="812"/>
        <v/>
      </c>
      <c r="BT1327" s="472" t="str">
        <f t="shared" si="827"/>
        <v/>
      </c>
      <c r="BU1327" s="472">
        <f t="shared" ca="1" si="813"/>
        <v>0</v>
      </c>
      <c r="BV1327" s="472">
        <f t="shared" ca="1" si="813"/>
        <v>0</v>
      </c>
      <c r="BW1327" s="472"/>
      <c r="BX1327" s="473">
        <f t="shared" ca="1" si="814"/>
        <v>2834223.6153585701</v>
      </c>
      <c r="BY1327" s="473">
        <f t="shared" si="815"/>
        <v>0</v>
      </c>
      <c r="BZ1327" s="473">
        <f t="shared" ca="1" si="797"/>
        <v>208.87831253900001</v>
      </c>
      <c r="CA1327" s="476">
        <f t="shared" ca="1" si="816"/>
        <v>0</v>
      </c>
      <c r="CB1327" s="494">
        <f ca="1">IF(OR($Q1326&lt;&gt;1,OP!$D$5+$BN1327-1&lt;16,$BN1327-1&lt;1),0,ROUND(ROUND(ROUND(((VLOOKUP($BN1327-1,MORE_PV,5,0)/10000)*VLOOKUP($BN1327,MORE_PV,$CB$5,0)),3)*VLOOKUP($BN1327,more1,5,0),0)/$R1326,0))</f>
        <v>0</v>
      </c>
      <c r="CC1327" s="473">
        <f t="shared" ca="1" si="817"/>
        <v>0</v>
      </c>
      <c r="CD1327" s="477"/>
    </row>
    <row r="1328" spans="2:82" ht="16.5" hidden="1">
      <c r="B1328" s="80"/>
      <c r="C1328" s="80"/>
      <c r="D1328" s="80"/>
      <c r="E1328" s="80"/>
      <c r="F1328" s="80"/>
      <c r="G1328" s="80"/>
      <c r="H1328" s="80"/>
      <c r="I1328" s="80"/>
      <c r="J1328" s="192">
        <f t="shared" si="798"/>
        <v>110</v>
      </c>
      <c r="K1328" s="192">
        <f t="shared" si="799"/>
        <v>12</v>
      </c>
      <c r="L1328" s="192">
        <f t="shared" si="794"/>
        <v>110</v>
      </c>
      <c r="M1328" s="216">
        <f t="shared" ca="1" si="800"/>
        <v>2834849</v>
      </c>
      <c r="N1328" s="216"/>
      <c r="O1328" s="216"/>
      <c r="P1328" s="216"/>
      <c r="Q1328" s="456">
        <f t="shared" ca="1" si="801"/>
        <v>1</v>
      </c>
      <c r="R1328" s="450">
        <f t="shared" ca="1" si="802"/>
        <v>12</v>
      </c>
      <c r="S1328" s="191">
        <f t="shared" si="803"/>
        <v>110</v>
      </c>
      <c r="T1328" s="191">
        <f t="shared" si="804"/>
        <v>12</v>
      </c>
      <c r="U1328" s="191">
        <f ca="1">OP!$D$5+$S1328-1</f>
        <v>142</v>
      </c>
      <c r="V1328" s="191">
        <f t="shared" si="805"/>
        <v>110</v>
      </c>
      <c r="W1328" s="350">
        <f ca="1">IF(Q1328&lt;&gt;1,0,VLOOKUP(OP!$C$55,PVFB,$S1328+2,0))</f>
        <v>0</v>
      </c>
      <c r="X1328" s="473">
        <f t="shared" ca="1" si="818"/>
        <v>0</v>
      </c>
      <c r="Y1328" s="348">
        <f t="shared" ca="1" si="819"/>
        <v>0</v>
      </c>
      <c r="Z1328" s="348">
        <f t="shared" ca="1" si="820"/>
        <v>8012</v>
      </c>
      <c r="AA1328" s="348">
        <f ca="1">IF(Q1328&lt;&gt;1,0,VLOOKUP(OP!$C$55,PVFB,$S1328+2,0))</f>
        <v>0</v>
      </c>
      <c r="AB1328" s="488">
        <f ca="1">IF(AND(S1328&lt;OP!$C$24,$U1328&lt;15),0,IF(AND($U1328&lt;15,$T1328=12),ROUND(VLOOKUP($S1328,DOWN16,5,0),3),IF($T1328=12,ROUND(($Z1328/10000)*$AA1328,3)+IF(AND($P$7="購買增額繳清保險",T1328=12,U1328=110),VLOOKUP(S1328,$B$10:$H$121,7,0),0),"")))</f>
        <v>0</v>
      </c>
      <c r="AC1328" s="350">
        <f ca="1">IF(AND(S1328&lt;OP!$C$24,$U1328&lt;15),0,IF(AND($U1328&lt;16,$T1328=12),VLOOKUP($S1328,DOWN16,4,0),IF($T1328=12,ROUND(VLOOKUP(OP!$C$55,_DIE2,$S1328+1,0)*(Z1328/10000),0)+IF(AND($P$7="購買增額繳清保險",T1328=12,U1328=110),VLOOKUP(S1328,$B$10:$H$121,7,0),0),"")))</f>
        <v>0</v>
      </c>
      <c r="AD1328" s="347"/>
      <c r="AE1328" s="350" t="str">
        <f t="shared" ca="1" si="795"/>
        <v/>
      </c>
      <c r="AF1328" s="351" t="str">
        <f t="shared" ca="1" si="796"/>
        <v/>
      </c>
      <c r="AG1328" s="340"/>
      <c r="AH1328" s="340"/>
      <c r="AI1328" s="340"/>
      <c r="AJ1328" s="340"/>
      <c r="AK1328" s="340"/>
      <c r="AL1328" s="340"/>
      <c r="AM1328" s="340"/>
      <c r="AN1328" s="340"/>
      <c r="AO1328" s="340"/>
      <c r="AP1328" s="340"/>
      <c r="AQ1328" s="340"/>
      <c r="AR1328" s="340"/>
      <c r="AS1328" s="340"/>
      <c r="AT1328" s="340"/>
      <c r="AU1328" s="340"/>
      <c r="AV1328" s="340"/>
      <c r="AY1328" s="340"/>
      <c r="AZ1328" s="465">
        <f t="shared" ca="1" si="806"/>
        <v>7.3698599999999999E-5</v>
      </c>
      <c r="BA1328" s="464">
        <f t="shared" ca="1" si="807"/>
        <v>0</v>
      </c>
      <c r="BB1328" s="465">
        <f t="shared" ca="1" si="807"/>
        <v>7.3698599999999999E-5</v>
      </c>
      <c r="BC1328" s="466">
        <f t="shared" ca="1" si="808"/>
        <v>83032</v>
      </c>
      <c r="BD1328" s="467">
        <f t="shared" ca="1" si="821"/>
        <v>83033</v>
      </c>
      <c r="BE1328" s="467">
        <f t="shared" ca="1" si="809"/>
        <v>83062</v>
      </c>
      <c r="BF1328" s="468">
        <f ca="1">IF(計算!$BC1328&lt;OP!$C$3,0,BD1328-BC1328)</f>
        <v>1</v>
      </c>
      <c r="BG1328" s="468">
        <f ca="1">IF($BE1328&gt;DATE(YEAR($BD$9)+OP!$C$57,MONTH($BD$9),DAY($BD$9)),0,$BE1328-$BD1328+1)</f>
        <v>0</v>
      </c>
      <c r="BH1328" s="469">
        <f t="shared" ca="1" si="810"/>
        <v>1</v>
      </c>
      <c r="BI1328" t="str">
        <f t="shared" si="826"/>
        <v/>
      </c>
      <c r="BJ1328">
        <v>11</v>
      </c>
      <c r="BN1328" s="468">
        <f t="shared" si="822"/>
        <v>110</v>
      </c>
      <c r="BO1328" s="468">
        <f t="shared" si="823"/>
        <v>11</v>
      </c>
      <c r="BP1328" s="467">
        <f t="shared" ca="1" si="811"/>
        <v>83033</v>
      </c>
      <c r="BQ1328" s="475">
        <f t="shared" ca="1" si="825"/>
        <v>142</v>
      </c>
      <c r="BR1328" s="475" t="str">
        <f t="shared" si="824"/>
        <v/>
      </c>
      <c r="BS1328" s="471" t="str">
        <f t="shared" si="812"/>
        <v/>
      </c>
      <c r="BT1328" s="472" t="str">
        <f t="shared" si="827"/>
        <v/>
      </c>
      <c r="BU1328" s="472">
        <f t="shared" ca="1" si="813"/>
        <v>0</v>
      </c>
      <c r="BV1328" s="472">
        <f t="shared" ca="1" si="813"/>
        <v>0</v>
      </c>
      <c r="BW1328" s="472"/>
      <c r="BX1328" s="473">
        <f t="shared" ca="1" si="814"/>
        <v>2834432.4936711099</v>
      </c>
      <c r="BY1328" s="473">
        <f t="shared" si="815"/>
        <v>0</v>
      </c>
      <c r="BZ1328" s="473">
        <f t="shared" ca="1" si="797"/>
        <v>208.89370657800001</v>
      </c>
      <c r="CA1328" s="476">
        <f t="shared" ca="1" si="816"/>
        <v>0</v>
      </c>
      <c r="CB1328" s="494">
        <f ca="1">IF(OR($Q1327&lt;&gt;1,OP!$D$5+$BN1328-1&lt;16,$BN1328-1&lt;1),0,ROUND(ROUND(ROUND(((VLOOKUP($BN1328-1,MORE_PV,5,0)/10000)*VLOOKUP($BN1328,MORE_PV,$CB$5,0)),3)*VLOOKUP($BN1328,more1,5,0),0)/$R1327,0))</f>
        <v>0</v>
      </c>
      <c r="CC1328" s="473">
        <f t="shared" ca="1" si="817"/>
        <v>0</v>
      </c>
      <c r="CD1328" s="477"/>
    </row>
    <row r="1329" spans="2:82" ht="16.5" hidden="1">
      <c r="B1329" s="80"/>
      <c r="C1329" s="80"/>
      <c r="D1329" s="80"/>
      <c r="E1329" s="80"/>
      <c r="F1329" s="80"/>
      <c r="G1329" s="80"/>
      <c r="H1329" s="80"/>
      <c r="I1329" s="80"/>
      <c r="J1329" s="192">
        <f t="shared" si="798"/>
        <v>111</v>
      </c>
      <c r="K1329" s="192">
        <f t="shared" si="799"/>
        <v>1</v>
      </c>
      <c r="L1329" s="192" t="str">
        <f t="shared" si="794"/>
        <v/>
      </c>
      <c r="M1329" s="216" t="str">
        <f t="shared" ca="1" si="800"/>
        <v/>
      </c>
      <c r="N1329" s="216"/>
      <c r="O1329" s="216"/>
      <c r="P1329" s="216"/>
      <c r="Q1329" s="456">
        <f t="shared" ca="1" si="801"/>
        <v>1</v>
      </c>
      <c r="R1329" s="450">
        <f t="shared" ca="1" si="802"/>
        <v>12</v>
      </c>
      <c r="S1329" s="191">
        <f t="shared" si="803"/>
        <v>111</v>
      </c>
      <c r="T1329" s="191">
        <f t="shared" si="804"/>
        <v>1</v>
      </c>
      <c r="U1329" s="191">
        <f ca="1">OP!$D$5+$S1329-1</f>
        <v>143</v>
      </c>
      <c r="V1329" s="191" t="str">
        <f t="shared" si="805"/>
        <v/>
      </c>
      <c r="W1329" s="350">
        <f ca="1">IF(Q1329&lt;&gt;1,0,VLOOKUP(OP!$C$55,PVFB,$S1329+2,0))</f>
        <v>0</v>
      </c>
      <c r="X1329" s="473" t="str">
        <f t="shared" ca="1" si="818"/>
        <v/>
      </c>
      <c r="Y1329" s="348">
        <f t="shared" ca="1" si="819"/>
        <v>0</v>
      </c>
      <c r="Z1329" s="348">
        <f t="shared" ca="1" si="820"/>
        <v>8012</v>
      </c>
      <c r="AA1329" s="348">
        <f ca="1">IF(Q1329&lt;&gt;1,0,VLOOKUP(OP!$C$55,PVFB,$S1329+2,0))</f>
        <v>0</v>
      </c>
      <c r="AB1329" s="488" t="str">
        <f ca="1">IF(AND(S1329&lt;OP!$C$24,$U1329&lt;15),0,IF(AND($U1329&lt;15,$T1329=12),ROUND(VLOOKUP($S1329,DOWN16,5,0),3),IF($T1329=12,ROUND(($Z1329/10000)*$AA1329,3)+IF(AND($P$7="購買增額繳清保險",T1329=12,U1329=110),VLOOKUP(S1329,$B$10:$H$121,7,0),0),"")))</f>
        <v/>
      </c>
      <c r="AC1329" s="350" t="str">
        <f ca="1">IF(AND(S1329&lt;OP!$C$24,$U1329&lt;15),0,IF(AND($U1329&lt;16,$T1329=12),VLOOKUP($S1329,DOWN16,4,0),IF($T1329=12,ROUND(VLOOKUP(OP!$C$55,_DIE2,$S1329+1,0)*(Z1329/10000),0)+IF(AND($P$7="購買增額繳清保險",T1329=12,U1329=110),VLOOKUP(S1329,$B$10:$H$121,7,0),0),"")))</f>
        <v/>
      </c>
      <c r="AD1329" s="347"/>
      <c r="AE1329" s="350" t="str">
        <f t="shared" ca="1" si="795"/>
        <v/>
      </c>
      <c r="AF1329" s="351" t="str">
        <f t="shared" ca="1" si="796"/>
        <v/>
      </c>
      <c r="AG1329" s="340"/>
      <c r="AH1329" s="340"/>
      <c r="AI1329" s="340"/>
      <c r="AJ1329" s="340"/>
      <c r="AK1329" s="340"/>
      <c r="AL1329" s="340"/>
      <c r="AM1329" s="340"/>
      <c r="AN1329" s="340"/>
      <c r="AO1329" s="340"/>
      <c r="AP1329" s="340"/>
      <c r="AQ1329" s="340"/>
      <c r="AR1329" s="340"/>
      <c r="AS1329" s="340"/>
      <c r="AT1329" s="340"/>
      <c r="AU1329" s="340"/>
      <c r="AV1329" s="340"/>
      <c r="AY1329" s="340"/>
      <c r="AZ1329" s="465">
        <f t="shared" ca="1" si="806"/>
        <v>7.3698599999999999E-5</v>
      </c>
      <c r="BA1329" s="464">
        <f t="shared" ca="1" si="807"/>
        <v>0</v>
      </c>
      <c r="BB1329" s="465">
        <f t="shared" ca="1" si="807"/>
        <v>7.3698599999999999E-5</v>
      </c>
      <c r="BC1329" s="466">
        <f t="shared" ca="1" si="808"/>
        <v>83063</v>
      </c>
      <c r="BD1329" s="467">
        <f t="shared" ca="1" si="821"/>
        <v>83064</v>
      </c>
      <c r="BE1329" s="467">
        <f t="shared" ca="1" si="809"/>
        <v>83092</v>
      </c>
      <c r="BF1329" s="468">
        <f ca="1">IF(計算!$BC1329&lt;OP!$C$3,0,BD1329-BC1329)</f>
        <v>1</v>
      </c>
      <c r="BG1329" s="468">
        <f ca="1">IF($BE1329&gt;DATE(YEAR($BD$9)+OP!$C$57,MONTH($BD$9),DAY($BD$9)),0,$BE1329-$BD1329+1)</f>
        <v>0</v>
      </c>
      <c r="BH1329" s="469">
        <f t="shared" ca="1" si="810"/>
        <v>1</v>
      </c>
      <c r="BI1329">
        <f t="shared" ca="1" si="826"/>
        <v>365</v>
      </c>
      <c r="BJ1329">
        <v>12</v>
      </c>
      <c r="BN1329" s="468">
        <f t="shared" si="822"/>
        <v>110</v>
      </c>
      <c r="BO1329" s="468">
        <f t="shared" si="823"/>
        <v>12</v>
      </c>
      <c r="BP1329" s="467">
        <f t="shared" ca="1" si="811"/>
        <v>83064</v>
      </c>
      <c r="BQ1329" s="475">
        <f t="shared" ca="1" si="825"/>
        <v>142</v>
      </c>
      <c r="BR1329" s="475">
        <f t="shared" si="824"/>
        <v>110</v>
      </c>
      <c r="BS1329" s="471">
        <f ca="1">IF(BW1329&lt;&gt;"",ROUND(BU1329,0)+ROUND(BV1329,0),"")</f>
        <v>0</v>
      </c>
      <c r="BT1329" s="472">
        <f t="shared" ca="1" si="827"/>
        <v>2834849</v>
      </c>
      <c r="BU1329" s="472">
        <f t="shared" ca="1" si="813"/>
        <v>0</v>
      </c>
      <c r="BV1329" s="472">
        <f t="shared" ca="1" si="813"/>
        <v>0</v>
      </c>
      <c r="BW1329" s="472">
        <f ca="1">ROUND(SUM(BY1329,BZ1317:BZ1328),0)</f>
        <v>2506</v>
      </c>
      <c r="BX1329" s="473">
        <f t="shared" ca="1" si="814"/>
        <v>2834850.2964794398</v>
      </c>
      <c r="BY1329" s="473">
        <f t="shared" ca="1" si="815"/>
        <v>208.909101752</v>
      </c>
      <c r="BZ1329" s="473">
        <f t="shared" ca="1" si="797"/>
        <v>0</v>
      </c>
      <c r="CA1329" s="476">
        <f t="shared" ca="1" si="816"/>
        <v>0</v>
      </c>
      <c r="CB1329" s="494">
        <f ca="1">IF(OR($Q1328&lt;&gt;1,OP!$D$5+$BN1329-1&lt;16,$BN1329-1&lt;1),0,ROUND(ROUND(ROUND(((VLOOKUP($BN1329-1,MORE_PV,5,0)/10000)*VLOOKUP($BN1329,MORE_PV,$CB$5,0)),3)*VLOOKUP($BN1329,more1,5,0),0)/$R1328,0))</f>
        <v>0</v>
      </c>
      <c r="CC1329" s="473">
        <f t="shared" ca="1" si="817"/>
        <v>0</v>
      </c>
      <c r="CD1329" s="477"/>
    </row>
    <row r="1330" spans="2:82" ht="16.5" hidden="1">
      <c r="B1330" s="80"/>
      <c r="C1330" s="80"/>
      <c r="D1330" s="80"/>
      <c r="E1330" s="80"/>
      <c r="F1330" s="80"/>
      <c r="G1330" s="80"/>
      <c r="H1330" s="80"/>
      <c r="I1330" s="80"/>
      <c r="J1330" s="192">
        <f t="shared" si="798"/>
        <v>111</v>
      </c>
      <c r="K1330" s="192">
        <f t="shared" si="799"/>
        <v>2</v>
      </c>
      <c r="L1330" s="192" t="str">
        <f t="shared" si="794"/>
        <v/>
      </c>
      <c r="M1330" s="216" t="str">
        <f t="shared" ca="1" si="800"/>
        <v/>
      </c>
      <c r="N1330" s="216"/>
      <c r="O1330" s="216"/>
      <c r="P1330" s="216"/>
      <c r="Q1330" s="456">
        <f t="shared" ca="1" si="801"/>
        <v>1</v>
      </c>
      <c r="R1330" s="450">
        <f t="shared" ca="1" si="802"/>
        <v>12</v>
      </c>
      <c r="S1330" s="191">
        <f t="shared" si="803"/>
        <v>111</v>
      </c>
      <c r="T1330" s="191">
        <f t="shared" si="804"/>
        <v>2</v>
      </c>
      <c r="U1330" s="191">
        <f ca="1">OP!$D$5+$S1330-1</f>
        <v>143</v>
      </c>
      <c r="V1330" s="191" t="str">
        <f t="shared" si="805"/>
        <v/>
      </c>
      <c r="W1330" s="350">
        <f ca="1">IF(Q1330&lt;&gt;1,0,VLOOKUP(OP!$C$55,PVFB,$S1330+2,0))</f>
        <v>0</v>
      </c>
      <c r="X1330" s="473" t="str">
        <f t="shared" ca="1" si="818"/>
        <v/>
      </c>
      <c r="Y1330" s="348">
        <f t="shared" ca="1" si="819"/>
        <v>0</v>
      </c>
      <c r="Z1330" s="348">
        <f t="shared" ca="1" si="820"/>
        <v>8012</v>
      </c>
      <c r="AA1330" s="348">
        <f ca="1">IF(Q1330&lt;&gt;1,0,VLOOKUP(OP!$C$55,PVFB,$S1330+2,0))</f>
        <v>0</v>
      </c>
      <c r="AB1330" s="488" t="str">
        <f ca="1">IF(AND(S1330&lt;OP!$C$24,$U1330&lt;15),0,IF(AND($U1330&lt;15,$T1330=12),ROUND(VLOOKUP($S1330,DOWN16,5,0),3),IF($T1330=12,ROUND(($Z1330/10000)*$AA1330,3)+IF(AND($P$7="購買增額繳清保險",T1330=12,U1330=110),VLOOKUP(S1330,$B$10:$H$121,7,0),0),"")))</f>
        <v/>
      </c>
      <c r="AC1330" s="350" t="str">
        <f ca="1">IF(AND(S1330&lt;OP!$C$24,$U1330&lt;15),0,IF(AND($U1330&lt;16,$T1330=12),VLOOKUP($S1330,DOWN16,4,0),IF($T1330=12,ROUND(VLOOKUP(OP!$C$55,_DIE2,$S1330+1,0)*(Z1330/10000),0)+IF(AND($P$7="購買增額繳清保險",T1330=12,U1330=110),VLOOKUP(S1330,$B$10:$H$121,7,0),0),"")))</f>
        <v/>
      </c>
      <c r="AD1330" s="347"/>
      <c r="AE1330" s="350" t="str">
        <f t="shared" ca="1" si="795"/>
        <v/>
      </c>
      <c r="AF1330" s="351" t="str">
        <f t="shared" ca="1" si="796"/>
        <v/>
      </c>
      <c r="AG1330" s="340"/>
      <c r="AH1330" s="340"/>
      <c r="AI1330" s="340"/>
      <c r="AJ1330" s="340"/>
      <c r="AK1330" s="340"/>
      <c r="AL1330" s="340"/>
      <c r="AM1330" s="340"/>
      <c r="AN1330" s="340"/>
      <c r="AO1330" s="340"/>
      <c r="AP1330" s="340"/>
      <c r="AQ1330" s="340"/>
      <c r="AR1330" s="340"/>
      <c r="AS1330" s="340"/>
      <c r="AT1330" s="340"/>
      <c r="AU1330" s="340"/>
      <c r="AV1330" s="340"/>
      <c r="AY1330" s="340"/>
      <c r="AZ1330" s="465">
        <f t="shared" ca="1" si="806"/>
        <v>7.3698599999999999E-5</v>
      </c>
      <c r="BA1330" s="464">
        <f t="shared" ca="1" si="807"/>
        <v>0</v>
      </c>
      <c r="BB1330" s="465">
        <f t="shared" ca="1" si="807"/>
        <v>7.3698599999999999E-5</v>
      </c>
      <c r="BC1330" s="466">
        <f t="shared" ca="1" si="808"/>
        <v>83093</v>
      </c>
      <c r="BD1330" s="467">
        <f t="shared" ca="1" si="821"/>
        <v>83094</v>
      </c>
      <c r="BE1330" s="467">
        <f t="shared" ca="1" si="809"/>
        <v>83123</v>
      </c>
      <c r="BF1330" s="468">
        <f ca="1">IF(計算!$BC1330&lt;OP!$C$3,0,BD1330-BC1330)</f>
        <v>1</v>
      </c>
      <c r="BG1330" s="468">
        <f ca="1">IF($BE1330&gt;DATE(YEAR($BD$9)+OP!$C$57,MONTH($BD$9),DAY($BD$9)),0,$BE1330-$BD1330+1)</f>
        <v>0</v>
      </c>
      <c r="BH1330" s="469">
        <f t="shared" ca="1" si="810"/>
        <v>1</v>
      </c>
      <c r="BI1330" t="str">
        <f t="shared" si="826"/>
        <v/>
      </c>
      <c r="BJ1330">
        <v>1</v>
      </c>
      <c r="BN1330" s="468">
        <f t="shared" si="822"/>
        <v>111</v>
      </c>
      <c r="BO1330" s="468">
        <f t="shared" si="823"/>
        <v>1</v>
      </c>
      <c r="BP1330" s="467">
        <f t="shared" ca="1" si="811"/>
        <v>83094</v>
      </c>
      <c r="BQ1330" s="475">
        <f t="shared" ca="1" si="825"/>
        <v>143</v>
      </c>
      <c r="BR1330" s="475" t="str">
        <f t="shared" si="824"/>
        <v/>
      </c>
      <c r="BS1330" s="471" t="str">
        <f t="shared" si="812"/>
        <v/>
      </c>
      <c r="BT1330" s="472" t="str">
        <f t="shared" si="827"/>
        <v/>
      </c>
      <c r="BU1330" s="472">
        <f t="shared" ca="1" si="813"/>
        <v>0</v>
      </c>
      <c r="BV1330" s="472">
        <f t="shared" ca="1" si="813"/>
        <v>0</v>
      </c>
      <c r="BW1330" s="472"/>
      <c r="BX1330" s="473">
        <f t="shared" ca="1" si="814"/>
        <v>2834850.2964794398</v>
      </c>
      <c r="BY1330" s="473">
        <f t="shared" si="815"/>
        <v>0</v>
      </c>
      <c r="BZ1330" s="473">
        <f t="shared" ca="1" si="797"/>
        <v>208.92449805999999</v>
      </c>
      <c r="CA1330" s="476">
        <f t="shared" ca="1" si="816"/>
        <v>0</v>
      </c>
      <c r="CB1330" s="494">
        <f ca="1">IF(OR($Q1329&lt;&gt;1,OP!$D$5+$BN1330-1&lt;16,$BN1330-1&lt;1),0,ROUND(ROUND(ROUND(((VLOOKUP($BN1330-1,MORE_PV,5,0)/10000)*VLOOKUP($BN1330,MORE_PV,$CB$5,0)),3)*VLOOKUP($BN1330,more1,5,0),0)/$R1329,0))</f>
        <v>0</v>
      </c>
      <c r="CC1330" s="473">
        <f t="shared" ca="1" si="817"/>
        <v>0</v>
      </c>
      <c r="CD1330" s="477"/>
    </row>
    <row r="1331" spans="2:82" ht="16.5" hidden="1">
      <c r="B1331" s="80"/>
      <c r="C1331" s="80"/>
      <c r="D1331" s="80"/>
      <c r="E1331" s="80"/>
      <c r="F1331" s="80"/>
      <c r="G1331" s="80"/>
      <c r="H1331" s="80"/>
      <c r="I1331" s="80"/>
      <c r="J1331" s="192">
        <f t="shared" si="798"/>
        <v>111</v>
      </c>
      <c r="K1331" s="192">
        <f t="shared" si="799"/>
        <v>3</v>
      </c>
      <c r="L1331" s="192" t="str">
        <f t="shared" si="794"/>
        <v/>
      </c>
      <c r="M1331" s="216" t="str">
        <f t="shared" ca="1" si="800"/>
        <v/>
      </c>
      <c r="N1331" s="216"/>
      <c r="O1331" s="216"/>
      <c r="P1331" s="216"/>
      <c r="Q1331" s="456">
        <f t="shared" ca="1" si="801"/>
        <v>1</v>
      </c>
      <c r="R1331" s="450">
        <f t="shared" ca="1" si="802"/>
        <v>12</v>
      </c>
      <c r="S1331" s="191">
        <f t="shared" si="803"/>
        <v>111</v>
      </c>
      <c r="T1331" s="191">
        <f t="shared" si="804"/>
        <v>3</v>
      </c>
      <c r="U1331" s="191">
        <f ca="1">OP!$D$5+$S1331-1</f>
        <v>143</v>
      </c>
      <c r="V1331" s="191" t="str">
        <f t="shared" si="805"/>
        <v/>
      </c>
      <c r="W1331" s="350">
        <f ca="1">IF(Q1331&lt;&gt;1,0,VLOOKUP(OP!$C$55,PVFB,$S1331+2,0))</f>
        <v>0</v>
      </c>
      <c r="X1331" s="473" t="str">
        <f t="shared" ca="1" si="818"/>
        <v/>
      </c>
      <c r="Y1331" s="348">
        <f t="shared" ca="1" si="819"/>
        <v>0</v>
      </c>
      <c r="Z1331" s="348">
        <f t="shared" ca="1" si="820"/>
        <v>8012</v>
      </c>
      <c r="AA1331" s="348">
        <f ca="1">IF(Q1331&lt;&gt;1,0,VLOOKUP(OP!$C$55,PVFB,$S1331+2,0))</f>
        <v>0</v>
      </c>
      <c r="AB1331" s="488" t="str">
        <f ca="1">IF(AND(S1331&lt;OP!$C$24,$U1331&lt;15),0,IF(AND($U1331&lt;15,$T1331=12),ROUND(VLOOKUP($S1331,DOWN16,5,0),3),IF($T1331=12,ROUND(($Z1331/10000)*$AA1331,3)+IF(AND($P$7="購買增額繳清保險",T1331=12,U1331=110),VLOOKUP(S1331,$B$10:$H$121,7,0),0),"")))</f>
        <v/>
      </c>
      <c r="AC1331" s="350" t="str">
        <f ca="1">IF(AND(S1331&lt;OP!$C$24,$U1331&lt;15),0,IF(AND($U1331&lt;16,$T1331=12),VLOOKUP($S1331,DOWN16,4,0),IF($T1331=12,ROUND(VLOOKUP(OP!$C$55,_DIE2,$S1331+1,0)*(Z1331/10000),0)+IF(AND($P$7="購買增額繳清保險",T1331=12,U1331=110),VLOOKUP(S1331,$B$10:$H$121,7,0),0),"")))</f>
        <v/>
      </c>
      <c r="AD1331" s="347"/>
      <c r="AE1331" s="350" t="str">
        <f t="shared" ca="1" si="795"/>
        <v/>
      </c>
      <c r="AF1331" s="351" t="str">
        <f t="shared" ca="1" si="796"/>
        <v/>
      </c>
      <c r="AG1331" s="340"/>
      <c r="AH1331" s="340"/>
      <c r="AI1331" s="340"/>
      <c r="AJ1331" s="340"/>
      <c r="AK1331" s="340"/>
      <c r="AL1331" s="340"/>
      <c r="AM1331" s="340"/>
      <c r="AN1331" s="340"/>
      <c r="AO1331" s="340"/>
      <c r="AP1331" s="340"/>
      <c r="AQ1331" s="340"/>
      <c r="AR1331" s="340"/>
      <c r="AS1331" s="340"/>
      <c r="AT1331" s="340"/>
      <c r="AU1331" s="340"/>
      <c r="AV1331" s="340"/>
      <c r="AY1331" s="340"/>
      <c r="AZ1331" s="465">
        <f t="shared" ca="1" si="806"/>
        <v>7.3698599999999999E-5</v>
      </c>
      <c r="BA1331" s="464">
        <f t="shared" ca="1" si="807"/>
        <v>0</v>
      </c>
      <c r="BB1331" s="465">
        <f t="shared" ca="1" si="807"/>
        <v>7.3698599999999999E-5</v>
      </c>
      <c r="BC1331" s="466">
        <f t="shared" ca="1" si="808"/>
        <v>83124</v>
      </c>
      <c r="BD1331" s="467">
        <f t="shared" ca="1" si="821"/>
        <v>83125</v>
      </c>
      <c r="BE1331" s="467">
        <f t="shared" ca="1" si="809"/>
        <v>83154</v>
      </c>
      <c r="BF1331" s="468">
        <f ca="1">IF(計算!$BC1331&lt;OP!$C$3,0,BD1331-BC1331)</f>
        <v>1</v>
      </c>
      <c r="BG1331" s="468">
        <f ca="1">IF($BE1331&gt;DATE(YEAR($BD$9)+OP!$C$57,MONTH($BD$9),DAY($BD$9)),0,$BE1331-$BD1331+1)</f>
        <v>0</v>
      </c>
      <c r="BH1331" s="469">
        <f t="shared" ca="1" si="810"/>
        <v>1</v>
      </c>
      <c r="BI1331" t="str">
        <f t="shared" si="826"/>
        <v/>
      </c>
      <c r="BJ1331">
        <v>2</v>
      </c>
      <c r="BN1331" s="468">
        <f t="shared" si="822"/>
        <v>111</v>
      </c>
      <c r="BO1331" s="468">
        <f t="shared" si="823"/>
        <v>2</v>
      </c>
      <c r="BP1331" s="467">
        <f t="shared" ca="1" si="811"/>
        <v>83125</v>
      </c>
      <c r="BQ1331" s="475">
        <f t="shared" ca="1" si="825"/>
        <v>143</v>
      </c>
      <c r="BR1331" s="475" t="str">
        <f t="shared" si="824"/>
        <v/>
      </c>
      <c r="BS1331" s="471" t="str">
        <f t="shared" si="812"/>
        <v/>
      </c>
      <c r="BT1331" s="472" t="str">
        <f t="shared" si="827"/>
        <v/>
      </c>
      <c r="BU1331" s="472">
        <f t="shared" ca="1" si="813"/>
        <v>0</v>
      </c>
      <c r="BV1331" s="472">
        <f t="shared" ca="1" si="813"/>
        <v>0</v>
      </c>
      <c r="BW1331" s="472"/>
      <c r="BX1331" s="473">
        <f t="shared" ca="1" si="814"/>
        <v>2835059.2209775001</v>
      </c>
      <c r="BY1331" s="473">
        <f t="shared" si="815"/>
        <v>0</v>
      </c>
      <c r="BZ1331" s="473">
        <f t="shared" ca="1" si="797"/>
        <v>208.939895503</v>
      </c>
      <c r="CA1331" s="476">
        <f t="shared" ca="1" si="816"/>
        <v>0</v>
      </c>
      <c r="CB1331" s="494">
        <f ca="1">IF(OR($Q1330&lt;&gt;1,OP!$D$5+$BN1331-1&lt;16,$BN1331-1&lt;1),0,ROUND(ROUND(ROUND(((VLOOKUP($BN1331-1,MORE_PV,5,0)/10000)*VLOOKUP($BN1331,MORE_PV,$CB$5,0)),3)*VLOOKUP($BN1331,more1,5,0),0)/$R1330,0))</f>
        <v>0</v>
      </c>
      <c r="CC1331" s="473">
        <f t="shared" ca="1" si="817"/>
        <v>0</v>
      </c>
      <c r="CD1331" s="477"/>
    </row>
    <row r="1332" spans="2:82" ht="16.5" hidden="1">
      <c r="B1332" s="80"/>
      <c r="C1332" s="80"/>
      <c r="D1332" s="80"/>
      <c r="E1332" s="80"/>
      <c r="F1332" s="80"/>
      <c r="G1332" s="80"/>
      <c r="H1332" s="80"/>
      <c r="I1332" s="80"/>
      <c r="J1332" s="192">
        <f t="shared" si="798"/>
        <v>111</v>
      </c>
      <c r="K1332" s="192">
        <f t="shared" si="799"/>
        <v>4</v>
      </c>
      <c r="L1332" s="192" t="str">
        <f t="shared" si="794"/>
        <v/>
      </c>
      <c r="M1332" s="216" t="str">
        <f t="shared" ca="1" si="800"/>
        <v/>
      </c>
      <c r="N1332" s="216"/>
      <c r="O1332" s="216"/>
      <c r="P1332" s="216"/>
      <c r="Q1332" s="456">
        <f t="shared" ca="1" si="801"/>
        <v>1</v>
      </c>
      <c r="R1332" s="450">
        <f t="shared" ca="1" si="802"/>
        <v>12</v>
      </c>
      <c r="S1332" s="191">
        <f t="shared" si="803"/>
        <v>111</v>
      </c>
      <c r="T1332" s="191">
        <f t="shared" si="804"/>
        <v>4</v>
      </c>
      <c r="U1332" s="191">
        <f ca="1">OP!$D$5+$S1332-1</f>
        <v>143</v>
      </c>
      <c r="V1332" s="191" t="str">
        <f t="shared" si="805"/>
        <v/>
      </c>
      <c r="W1332" s="350">
        <f ca="1">IF(Q1332&lt;&gt;1,0,VLOOKUP(OP!$C$55,PVFB,$S1332+2,0))</f>
        <v>0</v>
      </c>
      <c r="X1332" s="473" t="str">
        <f t="shared" ca="1" si="818"/>
        <v/>
      </c>
      <c r="Y1332" s="348">
        <f t="shared" ca="1" si="819"/>
        <v>0</v>
      </c>
      <c r="Z1332" s="348">
        <f t="shared" ca="1" si="820"/>
        <v>8012</v>
      </c>
      <c r="AA1332" s="348">
        <f ca="1">IF(Q1332&lt;&gt;1,0,VLOOKUP(OP!$C$55,PVFB,$S1332+2,0))</f>
        <v>0</v>
      </c>
      <c r="AB1332" s="488" t="str">
        <f ca="1">IF(AND(S1332&lt;OP!$C$24,$U1332&lt;15),0,IF(AND($U1332&lt;15,$T1332=12),ROUND(VLOOKUP($S1332,DOWN16,5,0),3),IF($T1332=12,ROUND(($Z1332/10000)*$AA1332,3)+IF(AND($P$7="購買增額繳清保險",T1332=12,U1332=110),VLOOKUP(S1332,$B$10:$H$121,7,0),0),"")))</f>
        <v/>
      </c>
      <c r="AC1332" s="350" t="str">
        <f ca="1">IF(AND(S1332&lt;OP!$C$24,$U1332&lt;15),0,IF(AND($U1332&lt;16,$T1332=12),VLOOKUP($S1332,DOWN16,4,0),IF($T1332=12,ROUND(VLOOKUP(OP!$C$55,_DIE2,$S1332+1,0)*(Z1332/10000),0)+IF(AND($P$7="購買增額繳清保險",T1332=12,U1332=110),VLOOKUP(S1332,$B$10:$H$121,7,0),0),"")))</f>
        <v/>
      </c>
      <c r="AD1332" s="347"/>
      <c r="AE1332" s="350" t="str">
        <f t="shared" ca="1" si="795"/>
        <v/>
      </c>
      <c r="AF1332" s="351" t="str">
        <f t="shared" ca="1" si="796"/>
        <v/>
      </c>
      <c r="AG1332" s="340"/>
      <c r="AH1332" s="340"/>
      <c r="AI1332" s="340"/>
      <c r="AJ1332" s="340"/>
      <c r="AK1332" s="340"/>
      <c r="AL1332" s="340"/>
      <c r="AM1332" s="340"/>
      <c r="AN1332" s="340"/>
      <c r="AO1332" s="340"/>
      <c r="AP1332" s="340"/>
      <c r="AQ1332" s="340"/>
      <c r="AR1332" s="340"/>
      <c r="AS1332" s="340"/>
      <c r="AT1332" s="340"/>
      <c r="AU1332" s="340"/>
      <c r="AV1332" s="340"/>
      <c r="AY1332" s="340"/>
      <c r="AZ1332" s="465">
        <f t="shared" ca="1" si="806"/>
        <v>7.3698599999999999E-5</v>
      </c>
      <c r="BA1332" s="464">
        <f t="shared" ca="1" si="807"/>
        <v>0</v>
      </c>
      <c r="BB1332" s="465">
        <f t="shared" ca="1" si="807"/>
        <v>7.3698599999999999E-5</v>
      </c>
      <c r="BC1332" s="466">
        <f t="shared" ca="1" si="808"/>
        <v>83155</v>
      </c>
      <c r="BD1332" s="467">
        <f t="shared" ca="1" si="821"/>
        <v>83156</v>
      </c>
      <c r="BE1332" s="467">
        <f t="shared" ca="1" si="809"/>
        <v>83184</v>
      </c>
      <c r="BF1332" s="468">
        <f ca="1">IF(計算!$BC1332&lt;OP!$C$3,0,BD1332-BC1332)</f>
        <v>1</v>
      </c>
      <c r="BG1332" s="468">
        <f ca="1">IF($BE1332&gt;DATE(YEAR($BD$9)+OP!$C$57,MONTH($BD$9),DAY($BD$9)),0,$BE1332-$BD1332+1)</f>
        <v>0</v>
      </c>
      <c r="BH1332" s="469">
        <f t="shared" ca="1" si="810"/>
        <v>1</v>
      </c>
      <c r="BI1332" t="str">
        <f t="shared" si="826"/>
        <v/>
      </c>
      <c r="BJ1332">
        <v>3</v>
      </c>
      <c r="BN1332" s="468">
        <f t="shared" si="822"/>
        <v>111</v>
      </c>
      <c r="BO1332" s="468">
        <f t="shared" si="823"/>
        <v>3</v>
      </c>
      <c r="BP1332" s="467">
        <f t="shared" ca="1" si="811"/>
        <v>83156</v>
      </c>
      <c r="BQ1332" s="475">
        <f t="shared" ca="1" si="825"/>
        <v>143</v>
      </c>
      <c r="BR1332" s="475" t="str">
        <f t="shared" si="824"/>
        <v/>
      </c>
      <c r="BS1332" s="471" t="str">
        <f t="shared" si="812"/>
        <v/>
      </c>
      <c r="BT1332" s="472" t="str">
        <f t="shared" si="827"/>
        <v/>
      </c>
      <c r="BU1332" s="472">
        <f t="shared" ca="1" si="813"/>
        <v>0</v>
      </c>
      <c r="BV1332" s="472">
        <f t="shared" ca="1" si="813"/>
        <v>0</v>
      </c>
      <c r="BW1332" s="472"/>
      <c r="BX1332" s="473">
        <f t="shared" ca="1" si="814"/>
        <v>2835268.160873</v>
      </c>
      <c r="BY1332" s="473">
        <f t="shared" si="815"/>
        <v>0</v>
      </c>
      <c r="BZ1332" s="473">
        <f t="shared" ca="1" si="797"/>
        <v>208.95529408100001</v>
      </c>
      <c r="CA1332" s="476">
        <f t="shared" ca="1" si="816"/>
        <v>0</v>
      </c>
      <c r="CB1332" s="494">
        <f ca="1">IF(OR($Q1331&lt;&gt;1,OP!$D$5+$BN1332-1&lt;16,$BN1332-1&lt;1),0,ROUND(ROUND(ROUND(((VLOOKUP($BN1332-1,MORE_PV,5,0)/10000)*VLOOKUP($BN1332,MORE_PV,$CB$5,0)),3)*VLOOKUP($BN1332,more1,5,0),0)/$R1331,0))</f>
        <v>0</v>
      </c>
      <c r="CC1332" s="473">
        <f t="shared" ca="1" si="817"/>
        <v>0</v>
      </c>
      <c r="CD1332" s="477"/>
    </row>
    <row r="1333" spans="2:82" ht="16.5" hidden="1">
      <c r="B1333" s="80"/>
      <c r="C1333" s="80"/>
      <c r="D1333" s="80"/>
      <c r="E1333" s="80"/>
      <c r="F1333" s="80"/>
      <c r="G1333" s="80"/>
      <c r="H1333" s="80"/>
      <c r="I1333" s="80"/>
      <c r="J1333" s="192">
        <f t="shared" si="798"/>
        <v>111</v>
      </c>
      <c r="K1333" s="192">
        <f t="shared" si="799"/>
        <v>5</v>
      </c>
      <c r="L1333" s="192" t="str">
        <f t="shared" si="794"/>
        <v/>
      </c>
      <c r="M1333" s="216" t="str">
        <f t="shared" ca="1" si="800"/>
        <v/>
      </c>
      <c r="N1333" s="216"/>
      <c r="O1333" s="216"/>
      <c r="P1333" s="216"/>
      <c r="Q1333" s="456">
        <f t="shared" ca="1" si="801"/>
        <v>1</v>
      </c>
      <c r="R1333" s="450">
        <f t="shared" ca="1" si="802"/>
        <v>12</v>
      </c>
      <c r="S1333" s="191">
        <f t="shared" si="803"/>
        <v>111</v>
      </c>
      <c r="T1333" s="191">
        <f t="shared" si="804"/>
        <v>5</v>
      </c>
      <c r="U1333" s="191">
        <f ca="1">OP!$D$5+$S1333-1</f>
        <v>143</v>
      </c>
      <c r="V1333" s="191" t="str">
        <f t="shared" si="805"/>
        <v/>
      </c>
      <c r="W1333" s="350">
        <f ca="1">IF(Q1333&lt;&gt;1,0,VLOOKUP(OP!$C$55,PVFB,$S1333+2,0))</f>
        <v>0</v>
      </c>
      <c r="X1333" s="473" t="str">
        <f t="shared" ca="1" si="818"/>
        <v/>
      </c>
      <c r="Y1333" s="348">
        <f t="shared" ca="1" si="819"/>
        <v>0</v>
      </c>
      <c r="Z1333" s="348">
        <f t="shared" ca="1" si="820"/>
        <v>8012</v>
      </c>
      <c r="AA1333" s="348">
        <f ca="1">IF(Q1333&lt;&gt;1,0,VLOOKUP(OP!$C$55,PVFB,$S1333+2,0))</f>
        <v>0</v>
      </c>
      <c r="AB1333" s="488" t="str">
        <f ca="1">IF(AND(S1333&lt;OP!$C$24,$U1333&lt;15),0,IF(AND($U1333&lt;15,$T1333=12),ROUND(VLOOKUP($S1333,DOWN16,5,0),3),IF($T1333=12,ROUND(($Z1333/10000)*$AA1333,3)+IF(AND($P$7="購買增額繳清保險",T1333=12,U1333=110),VLOOKUP(S1333,$B$10:$H$121,7,0),0),"")))</f>
        <v/>
      </c>
      <c r="AC1333" s="350" t="str">
        <f ca="1">IF(AND(S1333&lt;OP!$C$24,$U1333&lt;15),0,IF(AND($U1333&lt;16,$T1333=12),VLOOKUP($S1333,DOWN16,4,0),IF($T1333=12,ROUND(VLOOKUP(OP!$C$55,_DIE2,$S1333+1,0)*(Z1333/10000),0)+IF(AND($P$7="購買增額繳清保險",T1333=12,U1333=110),VLOOKUP(S1333,$B$10:$H$121,7,0),0),"")))</f>
        <v/>
      </c>
      <c r="AD1333" s="347"/>
      <c r="AE1333" s="350" t="str">
        <f t="shared" ca="1" si="795"/>
        <v/>
      </c>
      <c r="AF1333" s="351" t="str">
        <f t="shared" ca="1" si="796"/>
        <v/>
      </c>
      <c r="AG1333" s="340"/>
      <c r="AH1333" s="340"/>
      <c r="AI1333" s="340"/>
      <c r="AJ1333" s="340"/>
      <c r="AK1333" s="340"/>
      <c r="AL1333" s="340"/>
      <c r="AM1333" s="340"/>
      <c r="AN1333" s="340"/>
      <c r="AO1333" s="340"/>
      <c r="AP1333" s="340"/>
      <c r="AQ1333" s="340"/>
      <c r="AR1333" s="340"/>
      <c r="AS1333" s="340"/>
      <c r="AT1333" s="340"/>
      <c r="AU1333" s="340"/>
      <c r="AV1333" s="340"/>
      <c r="AY1333" s="340"/>
      <c r="AZ1333" s="465">
        <f t="shared" ca="1" si="806"/>
        <v>7.3698599999999999E-5</v>
      </c>
      <c r="BA1333" s="464">
        <f t="shared" ca="1" si="807"/>
        <v>0</v>
      </c>
      <c r="BB1333" s="465">
        <f t="shared" ca="1" si="807"/>
        <v>7.3698599999999999E-5</v>
      </c>
      <c r="BC1333" s="466">
        <f t="shared" ca="1" si="808"/>
        <v>83185</v>
      </c>
      <c r="BD1333" s="467">
        <f t="shared" ca="1" si="821"/>
        <v>83186</v>
      </c>
      <c r="BE1333" s="467">
        <f t="shared" ca="1" si="809"/>
        <v>83215</v>
      </c>
      <c r="BF1333" s="468">
        <f ca="1">IF(計算!$BC1333&lt;OP!$C$3,0,BD1333-BC1333)</f>
        <v>1</v>
      </c>
      <c r="BG1333" s="468">
        <f ca="1">IF($BE1333&gt;DATE(YEAR($BD$9)+OP!$C$57,MONTH($BD$9),DAY($BD$9)),0,$BE1333-$BD1333+1)</f>
        <v>0</v>
      </c>
      <c r="BH1333" s="469">
        <f t="shared" ca="1" si="810"/>
        <v>1</v>
      </c>
      <c r="BI1333" t="str">
        <f t="shared" si="826"/>
        <v/>
      </c>
      <c r="BJ1333">
        <v>4</v>
      </c>
      <c r="BN1333" s="468">
        <f t="shared" si="822"/>
        <v>111</v>
      </c>
      <c r="BO1333" s="468">
        <f t="shared" si="823"/>
        <v>4</v>
      </c>
      <c r="BP1333" s="467">
        <f t="shared" ca="1" si="811"/>
        <v>83186</v>
      </c>
      <c r="BQ1333" s="475">
        <f t="shared" ca="1" si="825"/>
        <v>143</v>
      </c>
      <c r="BR1333" s="475" t="str">
        <f t="shared" si="824"/>
        <v/>
      </c>
      <c r="BS1333" s="471" t="str">
        <f t="shared" si="812"/>
        <v/>
      </c>
      <c r="BT1333" s="472" t="str">
        <f t="shared" si="827"/>
        <v/>
      </c>
      <c r="BU1333" s="472">
        <f t="shared" ca="1" si="813"/>
        <v>0</v>
      </c>
      <c r="BV1333" s="472">
        <f t="shared" ca="1" si="813"/>
        <v>0</v>
      </c>
      <c r="BW1333" s="472"/>
      <c r="BX1333" s="473">
        <f t="shared" ca="1" si="814"/>
        <v>2835477.1161670801</v>
      </c>
      <c r="BY1333" s="473">
        <f t="shared" si="815"/>
        <v>0</v>
      </c>
      <c r="BZ1333" s="473">
        <f t="shared" ca="1" si="797"/>
        <v>208.970693794</v>
      </c>
      <c r="CA1333" s="476">
        <f t="shared" ca="1" si="816"/>
        <v>0</v>
      </c>
      <c r="CB1333" s="494">
        <f ca="1">IF(OR($Q1332&lt;&gt;1,OP!$D$5+$BN1333-1&lt;16,$BN1333-1&lt;1),0,ROUND(ROUND(ROUND(((VLOOKUP($BN1333-1,MORE_PV,5,0)/10000)*VLOOKUP($BN1333,MORE_PV,$CB$5,0)),3)*VLOOKUP($BN1333,more1,5,0),0)/$R1332,0))</f>
        <v>0</v>
      </c>
      <c r="CC1333" s="473">
        <f t="shared" ca="1" si="817"/>
        <v>0</v>
      </c>
      <c r="CD1333" s="477"/>
    </row>
    <row r="1334" spans="2:82" ht="16.5" hidden="1">
      <c r="B1334" s="80"/>
      <c r="C1334" s="80"/>
      <c r="D1334" s="80"/>
      <c r="E1334" s="80"/>
      <c r="F1334" s="80"/>
      <c r="G1334" s="80"/>
      <c r="H1334" s="80"/>
      <c r="I1334" s="80"/>
      <c r="J1334" s="192">
        <f t="shared" si="798"/>
        <v>111</v>
      </c>
      <c r="K1334" s="192">
        <f t="shared" si="799"/>
        <v>6</v>
      </c>
      <c r="L1334" s="192" t="str">
        <f t="shared" si="794"/>
        <v/>
      </c>
      <c r="M1334" s="216" t="str">
        <f t="shared" ca="1" si="800"/>
        <v/>
      </c>
      <c r="N1334" s="216"/>
      <c r="O1334" s="216"/>
      <c r="P1334" s="216"/>
      <c r="Q1334" s="456">
        <f t="shared" ca="1" si="801"/>
        <v>1</v>
      </c>
      <c r="R1334" s="450">
        <f t="shared" ca="1" si="802"/>
        <v>12</v>
      </c>
      <c r="S1334" s="191">
        <f t="shared" si="803"/>
        <v>111</v>
      </c>
      <c r="T1334" s="191">
        <f t="shared" si="804"/>
        <v>6</v>
      </c>
      <c r="U1334" s="191">
        <f ca="1">OP!$D$5+$S1334-1</f>
        <v>143</v>
      </c>
      <c r="V1334" s="191" t="str">
        <f t="shared" si="805"/>
        <v/>
      </c>
      <c r="W1334" s="350">
        <f ca="1">IF(Q1334&lt;&gt;1,0,VLOOKUP(OP!$C$55,PVFB,$S1334+2,0))</f>
        <v>0</v>
      </c>
      <c r="X1334" s="473" t="str">
        <f t="shared" ca="1" si="818"/>
        <v/>
      </c>
      <c r="Y1334" s="348">
        <f t="shared" ca="1" si="819"/>
        <v>0</v>
      </c>
      <c r="Z1334" s="348">
        <f t="shared" ca="1" si="820"/>
        <v>8012</v>
      </c>
      <c r="AA1334" s="348">
        <f ca="1">IF(Q1334&lt;&gt;1,0,VLOOKUP(OP!$C$55,PVFB,$S1334+2,0))</f>
        <v>0</v>
      </c>
      <c r="AB1334" s="488" t="str">
        <f ca="1">IF(AND(S1334&lt;OP!$C$24,$U1334&lt;15),0,IF(AND($U1334&lt;15,$T1334=12),ROUND(VLOOKUP($S1334,DOWN16,5,0),3),IF($T1334=12,ROUND(($Z1334/10000)*$AA1334,3)+IF(AND($P$7="購買增額繳清保險",T1334=12,U1334=110),VLOOKUP(S1334,$B$10:$H$121,7,0),0),"")))</f>
        <v/>
      </c>
      <c r="AC1334" s="350" t="str">
        <f ca="1">IF(AND(S1334&lt;OP!$C$24,$U1334&lt;15),0,IF(AND($U1334&lt;16,$T1334=12),VLOOKUP($S1334,DOWN16,4,0),IF($T1334=12,ROUND(VLOOKUP(OP!$C$55,_DIE2,$S1334+1,0)*(Z1334/10000),0)+IF(AND($P$7="購買增額繳清保險",T1334=12,U1334=110),VLOOKUP(S1334,$B$10:$H$121,7,0),0),"")))</f>
        <v/>
      </c>
      <c r="AD1334" s="347"/>
      <c r="AE1334" s="350" t="str">
        <f t="shared" ca="1" si="795"/>
        <v/>
      </c>
      <c r="AF1334" s="351" t="str">
        <f t="shared" ca="1" si="796"/>
        <v/>
      </c>
      <c r="AG1334" s="340"/>
      <c r="AH1334" s="340"/>
      <c r="AI1334" s="340"/>
      <c r="AJ1334" s="340"/>
      <c r="AK1334" s="340"/>
      <c r="AL1334" s="340"/>
      <c r="AM1334" s="340"/>
      <c r="AN1334" s="340"/>
      <c r="AO1334" s="340"/>
      <c r="AP1334" s="340"/>
      <c r="AQ1334" s="340"/>
      <c r="AR1334" s="340"/>
      <c r="AS1334" s="340"/>
      <c r="AT1334" s="340"/>
      <c r="AU1334" s="340"/>
      <c r="AV1334" s="340"/>
      <c r="AY1334" s="340"/>
      <c r="AZ1334" s="465">
        <f t="shared" ca="1" si="806"/>
        <v>7.3698599999999999E-5</v>
      </c>
      <c r="BA1334" s="464">
        <f t="shared" ca="1" si="807"/>
        <v>0</v>
      </c>
      <c r="BB1334" s="465">
        <f t="shared" ca="1" si="807"/>
        <v>7.3698599999999999E-5</v>
      </c>
      <c r="BC1334" s="466">
        <f t="shared" ca="1" si="808"/>
        <v>83216</v>
      </c>
      <c r="BD1334" s="467">
        <f t="shared" ca="1" si="821"/>
        <v>83217</v>
      </c>
      <c r="BE1334" s="467">
        <f t="shared" ca="1" si="809"/>
        <v>83245</v>
      </c>
      <c r="BF1334" s="468">
        <f ca="1">IF(計算!$BC1334&lt;OP!$C$3,0,BD1334-BC1334)</f>
        <v>1</v>
      </c>
      <c r="BG1334" s="468">
        <f ca="1">IF($BE1334&gt;DATE(YEAR($BD$9)+OP!$C$57,MONTH($BD$9),DAY($BD$9)),0,$BE1334-$BD1334+1)</f>
        <v>0</v>
      </c>
      <c r="BH1334" s="469">
        <f t="shared" ca="1" si="810"/>
        <v>1</v>
      </c>
      <c r="BI1334" t="str">
        <f t="shared" si="826"/>
        <v/>
      </c>
      <c r="BJ1334">
        <v>5</v>
      </c>
      <c r="BN1334" s="468">
        <f t="shared" si="822"/>
        <v>111</v>
      </c>
      <c r="BO1334" s="468">
        <f t="shared" si="823"/>
        <v>5</v>
      </c>
      <c r="BP1334" s="467">
        <f t="shared" ca="1" si="811"/>
        <v>83217</v>
      </c>
      <c r="BQ1334" s="475">
        <f t="shared" ca="1" si="825"/>
        <v>143</v>
      </c>
      <c r="BR1334" s="475" t="str">
        <f t="shared" si="824"/>
        <v/>
      </c>
      <c r="BS1334" s="471" t="str">
        <f t="shared" si="812"/>
        <v/>
      </c>
      <c r="BT1334" s="472" t="str">
        <f t="shared" si="827"/>
        <v/>
      </c>
      <c r="BU1334" s="472">
        <f t="shared" ca="1" si="813"/>
        <v>0</v>
      </c>
      <c r="BV1334" s="472">
        <f t="shared" ca="1" si="813"/>
        <v>0</v>
      </c>
      <c r="BW1334" s="472"/>
      <c r="BX1334" s="473">
        <f t="shared" ca="1" si="814"/>
        <v>2835686.08686087</v>
      </c>
      <c r="BY1334" s="473">
        <f t="shared" si="815"/>
        <v>0</v>
      </c>
      <c r="BZ1334" s="473">
        <f t="shared" ca="1" si="797"/>
        <v>208.98609464099999</v>
      </c>
      <c r="CA1334" s="476">
        <f t="shared" ca="1" si="816"/>
        <v>0</v>
      </c>
      <c r="CB1334" s="494">
        <f ca="1">IF(OR($Q1333&lt;&gt;1,OP!$D$5+$BN1334-1&lt;16,$BN1334-1&lt;1),0,ROUND(ROUND(ROUND(((VLOOKUP($BN1334-1,MORE_PV,5,0)/10000)*VLOOKUP($BN1334,MORE_PV,$CB$5,0)),3)*VLOOKUP($BN1334,more1,5,0),0)/$R1333,0))</f>
        <v>0</v>
      </c>
      <c r="CC1334" s="473">
        <f t="shared" ca="1" si="817"/>
        <v>0</v>
      </c>
      <c r="CD1334" s="477"/>
    </row>
    <row r="1335" spans="2:82" ht="16.5" hidden="1">
      <c r="B1335" s="80"/>
      <c r="C1335" s="80"/>
      <c r="D1335" s="80"/>
      <c r="E1335" s="80"/>
      <c r="F1335" s="80"/>
      <c r="G1335" s="80"/>
      <c r="H1335" s="80"/>
      <c r="I1335" s="80"/>
      <c r="J1335" s="192">
        <f t="shared" si="798"/>
        <v>111</v>
      </c>
      <c r="K1335" s="192">
        <f t="shared" si="799"/>
        <v>7</v>
      </c>
      <c r="L1335" s="192" t="str">
        <f t="shared" si="794"/>
        <v/>
      </c>
      <c r="M1335" s="216" t="str">
        <f t="shared" ca="1" si="800"/>
        <v/>
      </c>
      <c r="N1335" s="216"/>
      <c r="O1335" s="216"/>
      <c r="P1335" s="216"/>
      <c r="Q1335" s="456">
        <f t="shared" ca="1" si="801"/>
        <v>1</v>
      </c>
      <c r="R1335" s="450">
        <f t="shared" ca="1" si="802"/>
        <v>12</v>
      </c>
      <c r="S1335" s="191">
        <f t="shared" si="803"/>
        <v>111</v>
      </c>
      <c r="T1335" s="191">
        <f t="shared" si="804"/>
        <v>7</v>
      </c>
      <c r="U1335" s="191">
        <f ca="1">OP!$D$5+$S1335-1</f>
        <v>143</v>
      </c>
      <c r="V1335" s="191" t="str">
        <f t="shared" si="805"/>
        <v/>
      </c>
      <c r="W1335" s="350">
        <f ca="1">IF(Q1335&lt;&gt;1,0,VLOOKUP(OP!$C$55,PVFB,$S1335+2,0))</f>
        <v>0</v>
      </c>
      <c r="X1335" s="473" t="str">
        <f t="shared" ca="1" si="818"/>
        <v/>
      </c>
      <c r="Y1335" s="348">
        <f t="shared" ca="1" si="819"/>
        <v>0</v>
      </c>
      <c r="Z1335" s="348">
        <f t="shared" ca="1" si="820"/>
        <v>8012</v>
      </c>
      <c r="AA1335" s="348">
        <f ca="1">IF(Q1335&lt;&gt;1,0,VLOOKUP(OP!$C$55,PVFB,$S1335+2,0))</f>
        <v>0</v>
      </c>
      <c r="AB1335" s="488" t="str">
        <f ca="1">IF(AND(S1335&lt;OP!$C$24,$U1335&lt;15),0,IF(AND($U1335&lt;15,$T1335=12),ROUND(VLOOKUP($S1335,DOWN16,5,0),3),IF($T1335=12,ROUND(($Z1335/10000)*$AA1335,3)+IF(AND($P$7="購買增額繳清保險",T1335=12,U1335=110),VLOOKUP(S1335,$B$10:$H$121,7,0),0),"")))</f>
        <v/>
      </c>
      <c r="AC1335" s="350" t="str">
        <f ca="1">IF(AND(S1335&lt;OP!$C$24,$U1335&lt;15),0,IF(AND($U1335&lt;16,$T1335=12),VLOOKUP($S1335,DOWN16,4,0),IF($T1335=12,ROUND(VLOOKUP(OP!$C$55,_DIE2,$S1335+1,0)*(Z1335/10000),0)+IF(AND($P$7="購買增額繳清保險",T1335=12,U1335=110),VLOOKUP(S1335,$B$10:$H$121,7,0),0),"")))</f>
        <v/>
      </c>
      <c r="AD1335" s="347"/>
      <c r="AE1335" s="350" t="str">
        <f t="shared" ca="1" si="795"/>
        <v/>
      </c>
      <c r="AF1335" s="351" t="str">
        <f t="shared" ca="1" si="796"/>
        <v/>
      </c>
      <c r="AG1335" s="340"/>
      <c r="AH1335" s="340"/>
      <c r="AI1335" s="340"/>
      <c r="AJ1335" s="340"/>
      <c r="AK1335" s="340"/>
      <c r="AL1335" s="340"/>
      <c r="AM1335" s="340"/>
      <c r="AN1335" s="340"/>
      <c r="AO1335" s="340"/>
      <c r="AP1335" s="340"/>
      <c r="AQ1335" s="340"/>
      <c r="AR1335" s="340"/>
      <c r="AS1335" s="340"/>
      <c r="AT1335" s="340"/>
      <c r="AU1335" s="340"/>
      <c r="AV1335" s="340"/>
      <c r="AY1335" s="340"/>
      <c r="AZ1335" s="465">
        <f t="shared" ca="1" si="806"/>
        <v>7.3698599999999999E-5</v>
      </c>
      <c r="BA1335" s="464">
        <f t="shared" ca="1" si="807"/>
        <v>0</v>
      </c>
      <c r="BB1335" s="465">
        <f t="shared" ca="1" si="807"/>
        <v>7.3698599999999999E-5</v>
      </c>
      <c r="BC1335" s="466">
        <f t="shared" ca="1" si="808"/>
        <v>83246</v>
      </c>
      <c r="BD1335" s="467">
        <f t="shared" ca="1" si="821"/>
        <v>83247</v>
      </c>
      <c r="BE1335" s="467">
        <f t="shared" ca="1" si="809"/>
        <v>83276</v>
      </c>
      <c r="BF1335" s="468">
        <f ca="1">IF(計算!$BC1335&lt;OP!$C$3,0,BD1335-BC1335)</f>
        <v>1</v>
      </c>
      <c r="BG1335" s="468">
        <f ca="1">IF($BE1335&gt;DATE(YEAR($BD$9)+OP!$C$57,MONTH($BD$9),DAY($BD$9)),0,$BE1335-$BD1335+1)</f>
        <v>0</v>
      </c>
      <c r="BH1335" s="469">
        <f t="shared" ca="1" si="810"/>
        <v>1</v>
      </c>
      <c r="BI1335" t="str">
        <f t="shared" si="826"/>
        <v/>
      </c>
      <c r="BJ1335">
        <v>6</v>
      </c>
      <c r="BN1335" s="468">
        <f t="shared" si="822"/>
        <v>111</v>
      </c>
      <c r="BO1335" s="468">
        <f t="shared" si="823"/>
        <v>6</v>
      </c>
      <c r="BP1335" s="467">
        <f t="shared" ca="1" si="811"/>
        <v>83247</v>
      </c>
      <c r="BQ1335" s="475">
        <f t="shared" ca="1" si="825"/>
        <v>143</v>
      </c>
      <c r="BR1335" s="475" t="str">
        <f t="shared" si="824"/>
        <v/>
      </c>
      <c r="BS1335" s="471" t="str">
        <f t="shared" si="812"/>
        <v/>
      </c>
      <c r="BT1335" s="472" t="str">
        <f t="shared" si="827"/>
        <v/>
      </c>
      <c r="BU1335" s="472">
        <f t="shared" ca="1" si="813"/>
        <v>0</v>
      </c>
      <c r="BV1335" s="472">
        <f t="shared" ca="1" si="813"/>
        <v>0</v>
      </c>
      <c r="BW1335" s="472"/>
      <c r="BX1335" s="473">
        <f t="shared" ca="1" si="814"/>
        <v>2835895.0729555101</v>
      </c>
      <c r="BY1335" s="473">
        <f t="shared" si="815"/>
        <v>0</v>
      </c>
      <c r="BZ1335" s="473">
        <f t="shared" ca="1" si="797"/>
        <v>209.001496624</v>
      </c>
      <c r="CA1335" s="476">
        <f t="shared" ca="1" si="816"/>
        <v>0</v>
      </c>
      <c r="CB1335" s="494">
        <f ca="1">IF(OR($Q1334&lt;&gt;1,OP!$D$5+$BN1335-1&lt;16,$BN1335-1&lt;1),0,ROUND(ROUND(ROUND(((VLOOKUP($BN1335-1,MORE_PV,5,0)/10000)*VLOOKUP($BN1335,MORE_PV,$CB$5,0)),3)*VLOOKUP($BN1335,more1,5,0),0)/$R1334,0))</f>
        <v>0</v>
      </c>
      <c r="CC1335" s="473">
        <f t="shared" ca="1" si="817"/>
        <v>0</v>
      </c>
      <c r="CD1335" s="477"/>
    </row>
    <row r="1336" spans="2:82" ht="16.5" hidden="1">
      <c r="B1336" s="80"/>
      <c r="C1336" s="80"/>
      <c r="D1336" s="80"/>
      <c r="E1336" s="80"/>
      <c r="F1336" s="80"/>
      <c r="G1336" s="80"/>
      <c r="H1336" s="80"/>
      <c r="I1336" s="80"/>
      <c r="J1336" s="192">
        <f t="shared" si="798"/>
        <v>111</v>
      </c>
      <c r="K1336" s="192">
        <f t="shared" si="799"/>
        <v>8</v>
      </c>
      <c r="L1336" s="192" t="str">
        <f t="shared" si="794"/>
        <v/>
      </c>
      <c r="M1336" s="216" t="str">
        <f t="shared" ca="1" si="800"/>
        <v/>
      </c>
      <c r="N1336" s="216"/>
      <c r="O1336" s="216"/>
      <c r="P1336" s="216"/>
      <c r="Q1336" s="456">
        <f t="shared" ca="1" si="801"/>
        <v>1</v>
      </c>
      <c r="R1336" s="450">
        <f t="shared" ca="1" si="802"/>
        <v>12</v>
      </c>
      <c r="S1336" s="191">
        <f t="shared" si="803"/>
        <v>111</v>
      </c>
      <c r="T1336" s="191">
        <f t="shared" si="804"/>
        <v>8</v>
      </c>
      <c r="U1336" s="191">
        <f ca="1">OP!$D$5+$S1336-1</f>
        <v>143</v>
      </c>
      <c r="V1336" s="191" t="str">
        <f t="shared" si="805"/>
        <v/>
      </c>
      <c r="W1336" s="350">
        <f ca="1">IF(Q1336&lt;&gt;1,0,VLOOKUP(OP!$C$55,PVFB,$S1336+2,0))</f>
        <v>0</v>
      </c>
      <c r="X1336" s="473" t="str">
        <f t="shared" ca="1" si="818"/>
        <v/>
      </c>
      <c r="Y1336" s="348">
        <f t="shared" ca="1" si="819"/>
        <v>0</v>
      </c>
      <c r="Z1336" s="348">
        <f t="shared" ca="1" si="820"/>
        <v>8012</v>
      </c>
      <c r="AA1336" s="348">
        <f ca="1">IF(Q1336&lt;&gt;1,0,VLOOKUP(OP!$C$55,PVFB,$S1336+2,0))</f>
        <v>0</v>
      </c>
      <c r="AB1336" s="488" t="str">
        <f ca="1">IF(AND(S1336&lt;OP!$C$24,$U1336&lt;15),0,IF(AND($U1336&lt;15,$T1336=12),ROUND(VLOOKUP($S1336,DOWN16,5,0),3),IF($T1336=12,ROUND(($Z1336/10000)*$AA1336,3)+IF(AND($P$7="購買增額繳清保險",T1336=12,U1336=110),VLOOKUP(S1336,$B$10:$H$121,7,0),0),"")))</f>
        <v/>
      </c>
      <c r="AC1336" s="350" t="str">
        <f ca="1">IF(AND(S1336&lt;OP!$C$24,$U1336&lt;15),0,IF(AND($U1336&lt;16,$T1336=12),VLOOKUP($S1336,DOWN16,4,0),IF($T1336=12,ROUND(VLOOKUP(OP!$C$55,_DIE2,$S1336+1,0)*(Z1336/10000),0)+IF(AND($P$7="購買增額繳清保險",T1336=12,U1336=110),VLOOKUP(S1336,$B$10:$H$121,7,0),0),"")))</f>
        <v/>
      </c>
      <c r="AD1336" s="347"/>
      <c r="AE1336" s="350" t="str">
        <f t="shared" ca="1" si="795"/>
        <v/>
      </c>
      <c r="AF1336" s="351" t="str">
        <f t="shared" ca="1" si="796"/>
        <v/>
      </c>
      <c r="AG1336" s="340"/>
      <c r="AH1336" s="340"/>
      <c r="AI1336" s="340"/>
      <c r="AJ1336" s="340"/>
      <c r="AK1336" s="340"/>
      <c r="AL1336" s="340"/>
      <c r="AM1336" s="340"/>
      <c r="AN1336" s="340"/>
      <c r="AO1336" s="340"/>
      <c r="AP1336" s="340"/>
      <c r="AQ1336" s="340"/>
      <c r="AR1336" s="340"/>
      <c r="AS1336" s="340"/>
      <c r="AT1336" s="340"/>
      <c r="AU1336" s="340"/>
      <c r="AV1336" s="340"/>
      <c r="AY1336" s="340"/>
      <c r="AZ1336" s="465">
        <f t="shared" ca="1" si="806"/>
        <v>7.3698599999999999E-5</v>
      </c>
      <c r="BA1336" s="464">
        <f t="shared" ca="1" si="807"/>
        <v>0</v>
      </c>
      <c r="BB1336" s="465">
        <f t="shared" ca="1" si="807"/>
        <v>7.3698599999999999E-5</v>
      </c>
      <c r="BC1336" s="466">
        <f t="shared" ca="1" si="808"/>
        <v>83277</v>
      </c>
      <c r="BD1336" s="467">
        <f t="shared" ca="1" si="821"/>
        <v>83278</v>
      </c>
      <c r="BE1336" s="467">
        <f t="shared" ca="1" si="809"/>
        <v>83307</v>
      </c>
      <c r="BF1336" s="468">
        <f ca="1">IF(計算!$BC1336&lt;OP!$C$3,0,BD1336-BC1336)</f>
        <v>1</v>
      </c>
      <c r="BG1336" s="468">
        <f ca="1">IF($BE1336&gt;DATE(YEAR($BD$9)+OP!$C$57,MONTH($BD$9),DAY($BD$9)),0,$BE1336-$BD1336+1)</f>
        <v>0</v>
      </c>
      <c r="BH1336" s="469">
        <f t="shared" ca="1" si="810"/>
        <v>1</v>
      </c>
      <c r="BI1336" t="str">
        <f t="shared" si="826"/>
        <v/>
      </c>
      <c r="BJ1336">
        <v>7</v>
      </c>
      <c r="BN1336" s="468">
        <f t="shared" si="822"/>
        <v>111</v>
      </c>
      <c r="BO1336" s="468">
        <f t="shared" si="823"/>
        <v>7</v>
      </c>
      <c r="BP1336" s="467">
        <f t="shared" ca="1" si="811"/>
        <v>83278</v>
      </c>
      <c r="BQ1336" s="475">
        <f t="shared" ca="1" si="825"/>
        <v>143</v>
      </c>
      <c r="BR1336" s="475" t="str">
        <f t="shared" si="824"/>
        <v/>
      </c>
      <c r="BS1336" s="471" t="str">
        <f t="shared" si="812"/>
        <v/>
      </c>
      <c r="BT1336" s="472" t="str">
        <f t="shared" si="827"/>
        <v/>
      </c>
      <c r="BU1336" s="472">
        <f t="shared" ca="1" si="813"/>
        <v>0</v>
      </c>
      <c r="BV1336" s="472">
        <f t="shared" ca="1" si="813"/>
        <v>0</v>
      </c>
      <c r="BW1336" s="472"/>
      <c r="BX1336" s="473">
        <f t="shared" ca="1" si="814"/>
        <v>2836104.0744521301</v>
      </c>
      <c r="BY1336" s="473">
        <f t="shared" si="815"/>
        <v>0</v>
      </c>
      <c r="BZ1336" s="473">
        <f t="shared" ca="1" si="797"/>
        <v>209.016899741</v>
      </c>
      <c r="CA1336" s="476">
        <f t="shared" ca="1" si="816"/>
        <v>0</v>
      </c>
      <c r="CB1336" s="494">
        <f ca="1">IF(OR($Q1335&lt;&gt;1,OP!$D$5+$BN1336-1&lt;16,$BN1336-1&lt;1),0,ROUND(ROUND(ROUND(((VLOOKUP($BN1336-1,MORE_PV,5,0)/10000)*VLOOKUP($BN1336,MORE_PV,$CB$5,0)),3)*VLOOKUP($BN1336,more1,5,0),0)/$R1335,0))</f>
        <v>0</v>
      </c>
      <c r="CC1336" s="473">
        <f t="shared" ca="1" si="817"/>
        <v>0</v>
      </c>
      <c r="CD1336" s="477"/>
    </row>
    <row r="1337" spans="2:82" ht="16.5" hidden="1">
      <c r="B1337" s="80"/>
      <c r="C1337" s="80"/>
      <c r="D1337" s="80"/>
      <c r="E1337" s="80"/>
      <c r="F1337" s="80"/>
      <c r="G1337" s="80"/>
      <c r="H1337" s="80"/>
      <c r="I1337" s="80"/>
      <c r="J1337" s="192">
        <f t="shared" si="798"/>
        <v>111</v>
      </c>
      <c r="K1337" s="192">
        <f t="shared" si="799"/>
        <v>9</v>
      </c>
      <c r="L1337" s="192" t="str">
        <f t="shared" si="794"/>
        <v/>
      </c>
      <c r="M1337" s="216" t="str">
        <f t="shared" ca="1" si="800"/>
        <v/>
      </c>
      <c r="N1337" s="216"/>
      <c r="O1337" s="216"/>
      <c r="P1337" s="216"/>
      <c r="Q1337" s="456">
        <f t="shared" ca="1" si="801"/>
        <v>1</v>
      </c>
      <c r="R1337" s="450">
        <f t="shared" ca="1" si="802"/>
        <v>12</v>
      </c>
      <c r="S1337" s="191">
        <f t="shared" si="803"/>
        <v>111</v>
      </c>
      <c r="T1337" s="191">
        <f t="shared" si="804"/>
        <v>9</v>
      </c>
      <c r="U1337" s="191">
        <f ca="1">OP!$D$5+$S1337-1</f>
        <v>143</v>
      </c>
      <c r="V1337" s="191" t="str">
        <f t="shared" si="805"/>
        <v/>
      </c>
      <c r="W1337" s="350">
        <f ca="1">IF(Q1337&lt;&gt;1,0,VLOOKUP(OP!$C$55,PVFB,$S1337+2,0))</f>
        <v>0</v>
      </c>
      <c r="X1337" s="473" t="str">
        <f t="shared" ca="1" si="818"/>
        <v/>
      </c>
      <c r="Y1337" s="348">
        <f t="shared" ca="1" si="819"/>
        <v>0</v>
      </c>
      <c r="Z1337" s="348">
        <f t="shared" ca="1" si="820"/>
        <v>8012</v>
      </c>
      <c r="AA1337" s="348">
        <f ca="1">IF(Q1337&lt;&gt;1,0,VLOOKUP(OP!$C$55,PVFB,$S1337+2,0))</f>
        <v>0</v>
      </c>
      <c r="AB1337" s="488" t="str">
        <f ca="1">IF(AND(S1337&lt;OP!$C$24,$U1337&lt;15),0,IF(AND($U1337&lt;15,$T1337=12),ROUND(VLOOKUP($S1337,DOWN16,5,0),3),IF($T1337=12,ROUND(($Z1337/10000)*$AA1337,3)+IF(AND($P$7="購買增額繳清保險",T1337=12,U1337=110),VLOOKUP(S1337,$B$10:$H$121,7,0),0),"")))</f>
        <v/>
      </c>
      <c r="AC1337" s="350" t="str">
        <f ca="1">IF(AND(S1337&lt;OP!$C$24,$U1337&lt;15),0,IF(AND($U1337&lt;16,$T1337=12),VLOOKUP($S1337,DOWN16,4,0),IF($T1337=12,ROUND(VLOOKUP(OP!$C$55,_DIE2,$S1337+1,0)*(Z1337/10000),0)+IF(AND($P$7="購買增額繳清保險",T1337=12,U1337=110),VLOOKUP(S1337,$B$10:$H$121,7,0),0),"")))</f>
        <v/>
      </c>
      <c r="AD1337" s="347"/>
      <c r="AE1337" s="350" t="str">
        <f t="shared" ca="1" si="795"/>
        <v/>
      </c>
      <c r="AF1337" s="351" t="str">
        <f t="shared" ca="1" si="796"/>
        <v/>
      </c>
      <c r="AG1337" s="340"/>
      <c r="AH1337" s="340"/>
      <c r="AI1337" s="340"/>
      <c r="AJ1337" s="340"/>
      <c r="AK1337" s="340"/>
      <c r="AL1337" s="340"/>
      <c r="AM1337" s="340"/>
      <c r="AN1337" s="340"/>
      <c r="AO1337" s="340"/>
      <c r="AP1337" s="340"/>
      <c r="AQ1337" s="340"/>
      <c r="AR1337" s="340"/>
      <c r="AS1337" s="340"/>
      <c r="AT1337" s="340"/>
      <c r="AU1337" s="340"/>
      <c r="AV1337" s="340"/>
      <c r="AY1337" s="340"/>
      <c r="AZ1337" s="465">
        <f t="shared" ca="1" si="806"/>
        <v>7.3698599999999999E-5</v>
      </c>
      <c r="BA1337" s="464">
        <f t="shared" ca="1" si="807"/>
        <v>0</v>
      </c>
      <c r="BB1337" s="465">
        <f t="shared" ca="1" si="807"/>
        <v>7.3698599999999999E-5</v>
      </c>
      <c r="BC1337" s="466">
        <f t="shared" ca="1" si="808"/>
        <v>83308</v>
      </c>
      <c r="BD1337" s="467">
        <f t="shared" ca="1" si="821"/>
        <v>83309</v>
      </c>
      <c r="BE1337" s="467">
        <f t="shared" ca="1" si="809"/>
        <v>83336</v>
      </c>
      <c r="BF1337" s="468">
        <f ca="1">IF(計算!$BC1337&lt;OP!$C$3,0,BD1337-BC1337)</f>
        <v>1</v>
      </c>
      <c r="BG1337" s="468">
        <f ca="1">IF($BE1337&gt;DATE(YEAR($BD$9)+OP!$C$57,MONTH($BD$9),DAY($BD$9)),0,$BE1337-$BD1337+1)</f>
        <v>0</v>
      </c>
      <c r="BH1337" s="469">
        <f t="shared" ca="1" si="810"/>
        <v>1</v>
      </c>
      <c r="BI1337" t="str">
        <f t="shared" si="826"/>
        <v/>
      </c>
      <c r="BJ1337">
        <v>8</v>
      </c>
      <c r="BN1337" s="468">
        <f t="shared" si="822"/>
        <v>111</v>
      </c>
      <c r="BO1337" s="468">
        <f t="shared" si="823"/>
        <v>8</v>
      </c>
      <c r="BP1337" s="467">
        <f t="shared" ca="1" si="811"/>
        <v>83309</v>
      </c>
      <c r="BQ1337" s="475">
        <f t="shared" ca="1" si="825"/>
        <v>143</v>
      </c>
      <c r="BR1337" s="475" t="str">
        <f t="shared" si="824"/>
        <v/>
      </c>
      <c r="BS1337" s="471" t="str">
        <f t="shared" si="812"/>
        <v/>
      </c>
      <c r="BT1337" s="472" t="str">
        <f t="shared" si="827"/>
        <v/>
      </c>
      <c r="BU1337" s="472">
        <f t="shared" ca="1" si="813"/>
        <v>0</v>
      </c>
      <c r="BV1337" s="472">
        <f t="shared" ca="1" si="813"/>
        <v>0</v>
      </c>
      <c r="BW1337" s="472"/>
      <c r="BX1337" s="473">
        <f t="shared" ca="1" si="814"/>
        <v>2836313.09135187</v>
      </c>
      <c r="BY1337" s="473">
        <f t="shared" si="815"/>
        <v>0</v>
      </c>
      <c r="BZ1337" s="473">
        <f t="shared" ca="1" si="797"/>
        <v>209.03230399399999</v>
      </c>
      <c r="CA1337" s="476">
        <f t="shared" ca="1" si="816"/>
        <v>0</v>
      </c>
      <c r="CB1337" s="494">
        <f ca="1">IF(OR($Q1336&lt;&gt;1,OP!$D$5+$BN1337-1&lt;16,$BN1337-1&lt;1),0,ROUND(ROUND(ROUND(((VLOOKUP($BN1337-1,MORE_PV,5,0)/10000)*VLOOKUP($BN1337,MORE_PV,$CB$5,0)),3)*VLOOKUP($BN1337,more1,5,0),0)/$R1336,0))</f>
        <v>0</v>
      </c>
      <c r="CC1337" s="473">
        <f t="shared" ca="1" si="817"/>
        <v>0</v>
      </c>
      <c r="CD1337" s="477"/>
    </row>
    <row r="1338" spans="2:82" ht="16.5" hidden="1">
      <c r="B1338" s="80"/>
      <c r="C1338" s="80"/>
      <c r="D1338" s="80"/>
      <c r="E1338" s="80"/>
      <c r="F1338" s="80"/>
      <c r="G1338" s="80"/>
      <c r="H1338" s="80"/>
      <c r="I1338" s="80"/>
      <c r="J1338" s="192">
        <f t="shared" si="798"/>
        <v>111</v>
      </c>
      <c r="K1338" s="192">
        <f t="shared" si="799"/>
        <v>10</v>
      </c>
      <c r="L1338" s="192" t="str">
        <f t="shared" si="794"/>
        <v/>
      </c>
      <c r="M1338" s="216" t="str">
        <f t="shared" ca="1" si="800"/>
        <v/>
      </c>
      <c r="N1338" s="216"/>
      <c r="O1338" s="216"/>
      <c r="P1338" s="216"/>
      <c r="Q1338" s="456">
        <f t="shared" ca="1" si="801"/>
        <v>1</v>
      </c>
      <c r="R1338" s="450">
        <f t="shared" ca="1" si="802"/>
        <v>12</v>
      </c>
      <c r="S1338" s="191">
        <f t="shared" si="803"/>
        <v>111</v>
      </c>
      <c r="T1338" s="191">
        <f t="shared" si="804"/>
        <v>10</v>
      </c>
      <c r="U1338" s="191">
        <f ca="1">OP!$D$5+$S1338-1</f>
        <v>143</v>
      </c>
      <c r="V1338" s="191" t="str">
        <f t="shared" si="805"/>
        <v/>
      </c>
      <c r="W1338" s="350">
        <f ca="1">IF(Q1338&lt;&gt;1,0,VLOOKUP(OP!$C$55,PVFB,$S1338+2,0))</f>
        <v>0</v>
      </c>
      <c r="X1338" s="473" t="str">
        <f t="shared" ca="1" si="818"/>
        <v/>
      </c>
      <c r="Y1338" s="348">
        <f t="shared" ca="1" si="819"/>
        <v>0</v>
      </c>
      <c r="Z1338" s="348">
        <f t="shared" ca="1" si="820"/>
        <v>8012</v>
      </c>
      <c r="AA1338" s="348">
        <f ca="1">IF(Q1338&lt;&gt;1,0,VLOOKUP(OP!$C$55,PVFB,$S1338+2,0))</f>
        <v>0</v>
      </c>
      <c r="AB1338" s="488" t="str">
        <f ca="1">IF(AND(S1338&lt;OP!$C$24,$U1338&lt;15),0,IF(AND($U1338&lt;15,$T1338=12),ROUND(VLOOKUP($S1338,DOWN16,5,0),3),IF($T1338=12,ROUND(($Z1338/10000)*$AA1338,3)+IF(AND($P$7="購買增額繳清保險",T1338=12,U1338=110),VLOOKUP(S1338,$B$10:$H$121,7,0),0),"")))</f>
        <v/>
      </c>
      <c r="AC1338" s="350" t="str">
        <f ca="1">IF(AND(S1338&lt;OP!$C$24,$U1338&lt;15),0,IF(AND($U1338&lt;16,$T1338=12),VLOOKUP($S1338,DOWN16,4,0),IF($T1338=12,ROUND(VLOOKUP(OP!$C$55,_DIE2,$S1338+1,0)*(Z1338/10000),0)+IF(AND($P$7="購買增額繳清保險",T1338=12,U1338=110),VLOOKUP(S1338,$B$10:$H$121,7,0),0),"")))</f>
        <v/>
      </c>
      <c r="AD1338" s="347"/>
      <c r="AE1338" s="350" t="str">
        <f t="shared" ca="1" si="795"/>
        <v/>
      </c>
      <c r="AF1338" s="351" t="str">
        <f t="shared" ca="1" si="796"/>
        <v/>
      </c>
      <c r="AG1338" s="340"/>
      <c r="AH1338" s="340"/>
      <c r="AI1338" s="340"/>
      <c r="AJ1338" s="340"/>
      <c r="AK1338" s="340"/>
      <c r="AL1338" s="340"/>
      <c r="AM1338" s="340"/>
      <c r="AN1338" s="340"/>
      <c r="AO1338" s="340"/>
      <c r="AP1338" s="340"/>
      <c r="AQ1338" s="340"/>
      <c r="AR1338" s="340"/>
      <c r="AS1338" s="340"/>
      <c r="AT1338" s="340"/>
      <c r="AU1338" s="340"/>
      <c r="AV1338" s="340"/>
      <c r="AY1338" s="340"/>
      <c r="AZ1338" s="465">
        <f t="shared" ca="1" si="806"/>
        <v>7.3698599999999999E-5</v>
      </c>
      <c r="BA1338" s="464">
        <f t="shared" ca="1" si="807"/>
        <v>0</v>
      </c>
      <c r="BB1338" s="465">
        <f t="shared" ca="1" si="807"/>
        <v>7.3698599999999999E-5</v>
      </c>
      <c r="BC1338" s="466">
        <f t="shared" ca="1" si="808"/>
        <v>83337</v>
      </c>
      <c r="BD1338" s="467">
        <f t="shared" ca="1" si="821"/>
        <v>83338</v>
      </c>
      <c r="BE1338" s="467">
        <f t="shared" ca="1" si="809"/>
        <v>83367</v>
      </c>
      <c r="BF1338" s="468">
        <f ca="1">IF(計算!$BC1338&lt;OP!$C$3,0,BD1338-BC1338)</f>
        <v>1</v>
      </c>
      <c r="BG1338" s="468">
        <f ca="1">IF($BE1338&gt;DATE(YEAR($BD$9)+OP!$C$57,MONTH($BD$9),DAY($BD$9)),0,$BE1338-$BD1338+1)</f>
        <v>0</v>
      </c>
      <c r="BH1338" s="469">
        <f t="shared" ca="1" si="810"/>
        <v>1</v>
      </c>
      <c r="BI1338" t="str">
        <f t="shared" si="826"/>
        <v/>
      </c>
      <c r="BJ1338">
        <v>9</v>
      </c>
      <c r="BN1338" s="468">
        <f t="shared" si="822"/>
        <v>111</v>
      </c>
      <c r="BO1338" s="468">
        <f t="shared" si="823"/>
        <v>9</v>
      </c>
      <c r="BP1338" s="467">
        <f t="shared" ca="1" si="811"/>
        <v>83338</v>
      </c>
      <c r="BQ1338" s="475">
        <f t="shared" ca="1" si="825"/>
        <v>143</v>
      </c>
      <c r="BR1338" s="475" t="str">
        <f t="shared" si="824"/>
        <v/>
      </c>
      <c r="BS1338" s="471" t="str">
        <f t="shared" si="812"/>
        <v/>
      </c>
      <c r="BT1338" s="472" t="str">
        <f t="shared" si="827"/>
        <v/>
      </c>
      <c r="BU1338" s="472">
        <f t="shared" ca="1" si="813"/>
        <v>0</v>
      </c>
      <c r="BV1338" s="472">
        <f t="shared" ca="1" si="813"/>
        <v>0</v>
      </c>
      <c r="BW1338" s="472"/>
      <c r="BX1338" s="473">
        <f t="shared" ca="1" si="814"/>
        <v>2836522.1236558598</v>
      </c>
      <c r="BY1338" s="473">
        <f t="shared" si="815"/>
        <v>0</v>
      </c>
      <c r="BZ1338" s="473">
        <f t="shared" ca="1" si="797"/>
        <v>209.04770938199999</v>
      </c>
      <c r="CA1338" s="476">
        <f t="shared" ca="1" si="816"/>
        <v>0</v>
      </c>
      <c r="CB1338" s="494">
        <f ca="1">IF(OR($Q1337&lt;&gt;1,OP!$D$5+$BN1338-1&lt;16,$BN1338-1&lt;1),0,ROUND(ROUND(ROUND(((VLOOKUP($BN1338-1,MORE_PV,5,0)/10000)*VLOOKUP($BN1338,MORE_PV,$CB$5,0)),3)*VLOOKUP($BN1338,more1,5,0),0)/$R1337,0))</f>
        <v>0</v>
      </c>
      <c r="CC1338" s="473">
        <f t="shared" ca="1" si="817"/>
        <v>0</v>
      </c>
      <c r="CD1338" s="477"/>
    </row>
    <row r="1339" spans="2:82" ht="16.5" hidden="1">
      <c r="B1339" s="80"/>
      <c r="C1339" s="80"/>
      <c r="D1339" s="80"/>
      <c r="E1339" s="80"/>
      <c r="F1339" s="80"/>
      <c r="G1339" s="80"/>
      <c r="H1339" s="80"/>
      <c r="I1339" s="80"/>
      <c r="J1339" s="192">
        <f t="shared" si="798"/>
        <v>111</v>
      </c>
      <c r="K1339" s="192">
        <f t="shared" si="799"/>
        <v>11</v>
      </c>
      <c r="L1339" s="192" t="str">
        <f t="shared" si="794"/>
        <v/>
      </c>
      <c r="M1339" s="216" t="str">
        <f t="shared" ca="1" si="800"/>
        <v/>
      </c>
      <c r="N1339" s="216"/>
      <c r="O1339" s="216"/>
      <c r="P1339" s="216"/>
      <c r="Q1339" s="456">
        <f t="shared" ca="1" si="801"/>
        <v>1</v>
      </c>
      <c r="R1339" s="450">
        <f t="shared" ca="1" si="802"/>
        <v>12</v>
      </c>
      <c r="S1339" s="191">
        <f t="shared" si="803"/>
        <v>111</v>
      </c>
      <c r="T1339" s="191">
        <f t="shared" si="804"/>
        <v>11</v>
      </c>
      <c r="U1339" s="191">
        <f ca="1">OP!$D$5+$S1339-1</f>
        <v>143</v>
      </c>
      <c r="V1339" s="191" t="str">
        <f t="shared" si="805"/>
        <v/>
      </c>
      <c r="W1339" s="350">
        <f ca="1">IF(Q1339&lt;&gt;1,0,VLOOKUP(OP!$C$55,PVFB,$S1339+2,0))</f>
        <v>0</v>
      </c>
      <c r="X1339" s="473" t="str">
        <f t="shared" ca="1" si="818"/>
        <v/>
      </c>
      <c r="Y1339" s="348">
        <f t="shared" ca="1" si="819"/>
        <v>0</v>
      </c>
      <c r="Z1339" s="348">
        <f t="shared" ca="1" si="820"/>
        <v>8012</v>
      </c>
      <c r="AA1339" s="348">
        <f ca="1">IF(Q1339&lt;&gt;1,0,VLOOKUP(OP!$C$55,PVFB,$S1339+2,0))</f>
        <v>0</v>
      </c>
      <c r="AB1339" s="488" t="str">
        <f ca="1">IF(AND(S1339&lt;OP!$C$24,$U1339&lt;15),0,IF(AND($U1339&lt;15,$T1339=12),ROUND(VLOOKUP($S1339,DOWN16,5,0),3),IF($T1339=12,ROUND(($Z1339/10000)*$AA1339,3)+IF(AND($P$7="購買增額繳清保險",T1339=12,U1339=110),VLOOKUP(S1339,$B$10:$H$121,7,0),0),"")))</f>
        <v/>
      </c>
      <c r="AC1339" s="350" t="str">
        <f ca="1">IF(AND(S1339&lt;OP!$C$24,$U1339&lt;15),0,IF(AND($U1339&lt;16,$T1339=12),VLOOKUP($S1339,DOWN16,4,0),IF($T1339=12,ROUND(VLOOKUP(OP!$C$55,_DIE2,$S1339+1,0)*(Z1339/10000),0)+IF(AND($P$7="購買增額繳清保險",T1339=12,U1339=110),VLOOKUP(S1339,$B$10:$H$121,7,0),0),"")))</f>
        <v/>
      </c>
      <c r="AD1339" s="347"/>
      <c r="AE1339" s="350" t="str">
        <f t="shared" ca="1" si="795"/>
        <v/>
      </c>
      <c r="AF1339" s="351" t="str">
        <f t="shared" ca="1" si="796"/>
        <v/>
      </c>
      <c r="AG1339" s="340"/>
      <c r="AH1339" s="340"/>
      <c r="AI1339" s="340"/>
      <c r="AJ1339" s="340"/>
      <c r="AK1339" s="340"/>
      <c r="AL1339" s="340"/>
      <c r="AM1339" s="340"/>
      <c r="AN1339" s="340"/>
      <c r="AO1339" s="340"/>
      <c r="AP1339" s="340"/>
      <c r="AQ1339" s="340"/>
      <c r="AR1339" s="340"/>
      <c r="AS1339" s="340"/>
      <c r="AT1339" s="340"/>
      <c r="AU1339" s="340"/>
      <c r="AV1339" s="340"/>
      <c r="AY1339" s="340"/>
      <c r="AZ1339" s="465">
        <f t="shared" ca="1" si="806"/>
        <v>7.3698599999999999E-5</v>
      </c>
      <c r="BA1339" s="464">
        <f t="shared" ca="1" si="807"/>
        <v>0</v>
      </c>
      <c r="BB1339" s="465">
        <f t="shared" ca="1" si="807"/>
        <v>7.3698599999999999E-5</v>
      </c>
      <c r="BC1339" s="466">
        <f t="shared" ca="1" si="808"/>
        <v>83368</v>
      </c>
      <c r="BD1339" s="467">
        <f t="shared" ca="1" si="821"/>
        <v>83369</v>
      </c>
      <c r="BE1339" s="467">
        <f t="shared" ca="1" si="809"/>
        <v>83397</v>
      </c>
      <c r="BF1339" s="468">
        <f ca="1">IF(計算!$BC1339&lt;OP!$C$3,0,BD1339-BC1339)</f>
        <v>1</v>
      </c>
      <c r="BG1339" s="468">
        <f ca="1">IF($BE1339&gt;DATE(YEAR($BD$9)+OP!$C$57,MONTH($BD$9),DAY($BD$9)),0,$BE1339-$BD1339+1)</f>
        <v>0</v>
      </c>
      <c r="BH1339" s="469">
        <f t="shared" ca="1" si="810"/>
        <v>1</v>
      </c>
      <c r="BI1339" t="str">
        <f t="shared" si="826"/>
        <v/>
      </c>
      <c r="BJ1339">
        <v>10</v>
      </c>
      <c r="BN1339" s="468">
        <f t="shared" si="822"/>
        <v>111</v>
      </c>
      <c r="BO1339" s="468">
        <f t="shared" si="823"/>
        <v>10</v>
      </c>
      <c r="BP1339" s="467">
        <f t="shared" ca="1" si="811"/>
        <v>83369</v>
      </c>
      <c r="BQ1339" s="475">
        <f t="shared" ca="1" si="825"/>
        <v>143</v>
      </c>
      <c r="BR1339" s="475" t="str">
        <f t="shared" si="824"/>
        <v/>
      </c>
      <c r="BS1339" s="471" t="str">
        <f t="shared" si="812"/>
        <v/>
      </c>
      <c r="BT1339" s="472" t="str">
        <f t="shared" si="827"/>
        <v/>
      </c>
      <c r="BU1339" s="472">
        <f t="shared" ca="1" si="813"/>
        <v>0</v>
      </c>
      <c r="BV1339" s="472">
        <f t="shared" ca="1" si="813"/>
        <v>0</v>
      </c>
      <c r="BW1339" s="472"/>
      <c r="BX1339" s="473">
        <f t="shared" ca="1" si="814"/>
        <v>2836731.1713652401</v>
      </c>
      <c r="BY1339" s="473">
        <f t="shared" si="815"/>
        <v>0</v>
      </c>
      <c r="BZ1339" s="473">
        <f t="shared" ca="1" si="797"/>
        <v>209.06311590600001</v>
      </c>
      <c r="CA1339" s="476">
        <f t="shared" ca="1" si="816"/>
        <v>0</v>
      </c>
      <c r="CB1339" s="494">
        <f ca="1">IF(OR($Q1338&lt;&gt;1,OP!$D$5+$BN1339-1&lt;16,$BN1339-1&lt;1),0,ROUND(ROUND(ROUND(((VLOOKUP($BN1339-1,MORE_PV,5,0)/10000)*VLOOKUP($BN1339,MORE_PV,$CB$5,0)),3)*VLOOKUP($BN1339,more1,5,0),0)/$R1338,0))</f>
        <v>0</v>
      </c>
      <c r="CC1339" s="473">
        <f t="shared" ca="1" si="817"/>
        <v>0</v>
      </c>
      <c r="CD1339" s="477"/>
    </row>
    <row r="1340" spans="2:82" ht="16.5" hidden="1">
      <c r="B1340" s="80"/>
      <c r="C1340" s="80"/>
      <c r="D1340" s="80"/>
      <c r="E1340" s="80"/>
      <c r="F1340" s="80"/>
      <c r="G1340" s="80"/>
      <c r="H1340" s="80"/>
      <c r="I1340" s="80"/>
      <c r="J1340" s="192">
        <f t="shared" si="798"/>
        <v>111</v>
      </c>
      <c r="K1340" s="192">
        <f t="shared" si="799"/>
        <v>12</v>
      </c>
      <c r="L1340" s="192">
        <f t="shared" si="794"/>
        <v>111</v>
      </c>
      <c r="M1340" s="216">
        <f t="shared" ca="1" si="800"/>
        <v>2837357</v>
      </c>
      <c r="N1340" s="216"/>
      <c r="O1340" s="216"/>
      <c r="P1340" s="216"/>
      <c r="Q1340" s="456">
        <f t="shared" ca="1" si="801"/>
        <v>1</v>
      </c>
      <c r="R1340" s="450">
        <f t="shared" ca="1" si="802"/>
        <v>12</v>
      </c>
      <c r="S1340" s="191">
        <f t="shared" si="803"/>
        <v>111</v>
      </c>
      <c r="T1340" s="191">
        <f t="shared" si="804"/>
        <v>12</v>
      </c>
      <c r="U1340" s="191">
        <f ca="1">OP!$D$5+$S1340-1</f>
        <v>143</v>
      </c>
      <c r="V1340" s="191">
        <f t="shared" si="805"/>
        <v>111</v>
      </c>
      <c r="W1340" s="350">
        <f ca="1">IF(Q1340&lt;&gt;1,0,VLOOKUP(OP!$C$55,PVFB,$S1340+2,0))</f>
        <v>0</v>
      </c>
      <c r="X1340" s="473">
        <f t="shared" ca="1" si="818"/>
        <v>0</v>
      </c>
      <c r="Y1340" s="348">
        <f t="shared" ca="1" si="819"/>
        <v>0</v>
      </c>
      <c r="Z1340" s="348">
        <f t="shared" ca="1" si="820"/>
        <v>8012</v>
      </c>
      <c r="AA1340" s="348">
        <f ca="1">IF(Q1340&lt;&gt;1,0,VLOOKUP(OP!$C$55,PVFB,$S1340+2,0))</f>
        <v>0</v>
      </c>
      <c r="AB1340" s="488">
        <f ca="1">IF(AND(S1340&lt;OP!$C$24,$U1340&lt;15),0,IF(AND($U1340&lt;15,$T1340=12),ROUND(VLOOKUP($S1340,DOWN16,5,0),3),IF($T1340=12,ROUND(($Z1340/10000)*$AA1340,3)+IF(AND($P$7="購買增額繳清保險",T1340=12,U1340=110),VLOOKUP(S1340,$B$10:$H$121,7,0),0),"")))</f>
        <v>0</v>
      </c>
      <c r="AC1340" s="350">
        <f ca="1">IF(AND(S1340&lt;OP!$C$24,$U1340&lt;15),0,IF(AND($U1340&lt;16,$T1340=12),VLOOKUP($S1340,DOWN16,4,0),IF($T1340=12,ROUND(VLOOKUP(OP!$C$55,_DIE2,$S1340+1,0)*(Z1340/10000),0)+IF(AND($P$7="購買增額繳清保險",T1340=12,U1340=110),VLOOKUP(S1340,$B$10:$H$121,7,0),0),"")))</f>
        <v>0</v>
      </c>
      <c r="AD1340" s="347"/>
      <c r="AE1340" s="350" t="str">
        <f t="shared" ca="1" si="795"/>
        <v/>
      </c>
      <c r="AF1340" s="351" t="str">
        <f t="shared" ca="1" si="796"/>
        <v/>
      </c>
      <c r="AG1340" s="340"/>
      <c r="AH1340" s="340"/>
      <c r="AI1340" s="340"/>
      <c r="AJ1340" s="340"/>
      <c r="AK1340" s="340"/>
      <c r="AL1340" s="340"/>
      <c r="AM1340" s="340"/>
      <c r="AN1340" s="340"/>
      <c r="AO1340" s="340"/>
      <c r="AP1340" s="340"/>
      <c r="AQ1340" s="340"/>
      <c r="AR1340" s="340"/>
      <c r="AS1340" s="340"/>
      <c r="AT1340" s="340"/>
      <c r="AU1340" s="340"/>
      <c r="AV1340" s="340"/>
      <c r="AY1340" s="340"/>
      <c r="AZ1340" s="465">
        <f t="shared" ca="1" si="806"/>
        <v>7.3698599999999999E-5</v>
      </c>
      <c r="BA1340" s="464">
        <f t="shared" ca="1" si="807"/>
        <v>0</v>
      </c>
      <c r="BB1340" s="465">
        <f t="shared" ca="1" si="807"/>
        <v>7.3698599999999999E-5</v>
      </c>
      <c r="BC1340" s="466">
        <f t="shared" ca="1" si="808"/>
        <v>83398</v>
      </c>
      <c r="BD1340" s="467">
        <f t="shared" ca="1" si="821"/>
        <v>83399</v>
      </c>
      <c r="BE1340" s="467">
        <f t="shared" ca="1" si="809"/>
        <v>83428</v>
      </c>
      <c r="BF1340" s="468">
        <f ca="1">IF(計算!$BC1340&lt;OP!$C$3,0,BD1340-BC1340)</f>
        <v>1</v>
      </c>
      <c r="BG1340" s="468">
        <f ca="1">IF($BE1340&gt;DATE(YEAR($BD$9)+OP!$C$57,MONTH($BD$9),DAY($BD$9)),0,$BE1340-$BD1340+1)</f>
        <v>0</v>
      </c>
      <c r="BH1340" s="469">
        <f t="shared" ca="1" si="810"/>
        <v>1</v>
      </c>
      <c r="BI1340" t="str">
        <f t="shared" si="826"/>
        <v/>
      </c>
      <c r="BJ1340">
        <v>11</v>
      </c>
      <c r="BN1340" s="468">
        <f t="shared" si="822"/>
        <v>111</v>
      </c>
      <c r="BO1340" s="468">
        <f t="shared" si="823"/>
        <v>11</v>
      </c>
      <c r="BP1340" s="467">
        <f t="shared" ca="1" si="811"/>
        <v>83399</v>
      </c>
      <c r="BQ1340" s="475">
        <f t="shared" ca="1" si="825"/>
        <v>143</v>
      </c>
      <c r="BR1340" s="475" t="str">
        <f t="shared" si="824"/>
        <v/>
      </c>
      <c r="BS1340" s="471" t="str">
        <f t="shared" si="812"/>
        <v/>
      </c>
      <c r="BT1340" s="472" t="str">
        <f t="shared" si="827"/>
        <v/>
      </c>
      <c r="BU1340" s="472">
        <f t="shared" ca="1" si="813"/>
        <v>0</v>
      </c>
      <c r="BV1340" s="472">
        <f t="shared" ca="1" si="813"/>
        <v>0</v>
      </c>
      <c r="BW1340" s="472"/>
      <c r="BX1340" s="473">
        <f t="shared" ca="1" si="814"/>
        <v>2836940.2344811498</v>
      </c>
      <c r="BY1340" s="473">
        <f t="shared" si="815"/>
        <v>0</v>
      </c>
      <c r="BZ1340" s="473">
        <f t="shared" ca="1" si="797"/>
        <v>209.07852356500001</v>
      </c>
      <c r="CA1340" s="476">
        <f t="shared" ca="1" si="816"/>
        <v>0</v>
      </c>
      <c r="CB1340" s="494">
        <f ca="1">IF(OR($Q1339&lt;&gt;1,OP!$D$5+$BN1340-1&lt;16,$BN1340-1&lt;1),0,ROUND(ROUND(ROUND(((VLOOKUP($BN1340-1,MORE_PV,5,0)/10000)*VLOOKUP($BN1340,MORE_PV,$CB$5,0)),3)*VLOOKUP($BN1340,more1,5,0),0)/$R1339,0))</f>
        <v>0</v>
      </c>
      <c r="CC1340" s="473">
        <f t="shared" ca="1" si="817"/>
        <v>0</v>
      </c>
      <c r="CD1340" s="477"/>
    </row>
    <row r="1341" spans="2:82" ht="16.5" hidden="1">
      <c r="B1341" s="80"/>
      <c r="C1341" s="80"/>
      <c r="D1341" s="80"/>
      <c r="E1341" s="80"/>
      <c r="F1341" s="80"/>
      <c r="G1341" s="80"/>
      <c r="H1341" s="80"/>
      <c r="I1341" s="80"/>
      <c r="J1341" s="80"/>
      <c r="K1341" s="80"/>
      <c r="L1341" s="80"/>
      <c r="M1341" s="80"/>
      <c r="N1341" s="80"/>
      <c r="O1341" s="80"/>
      <c r="P1341" s="80"/>
      <c r="Q1341" s="80"/>
      <c r="R1341" s="80"/>
      <c r="S1341" s="340"/>
      <c r="T1341" s="340"/>
      <c r="U1341" s="340"/>
      <c r="V1341" s="340"/>
      <c r="W1341" s="340"/>
      <c r="X1341" s="340"/>
      <c r="Y1341" s="341"/>
      <c r="Z1341" s="341"/>
      <c r="AA1341" s="341"/>
      <c r="AB1341" s="340"/>
      <c r="AC1341" s="340"/>
      <c r="AD1341" s="340"/>
      <c r="AE1341" s="340"/>
      <c r="AF1341" s="340"/>
      <c r="AG1341" s="340"/>
      <c r="AH1341" s="340"/>
      <c r="AI1341" s="340"/>
      <c r="AJ1341" s="340"/>
      <c r="AK1341" s="340"/>
      <c r="AL1341" s="340"/>
      <c r="AM1341" s="340"/>
      <c r="AN1341" s="340"/>
      <c r="AO1341" s="340"/>
      <c r="AP1341" s="340"/>
      <c r="AQ1341" s="340"/>
      <c r="AR1341" s="340"/>
      <c r="AS1341" s="340"/>
      <c r="AT1341" s="340"/>
      <c r="AU1341" s="340"/>
      <c r="AV1341" s="340"/>
      <c r="AY1341" s="340"/>
      <c r="AZ1341" s="465">
        <f t="shared" ca="1" si="806"/>
        <v>7.3698599999999999E-5</v>
      </c>
      <c r="BA1341" s="464">
        <f ca="1">ROUND(($G$3*BG1341/365),10)</f>
        <v>0</v>
      </c>
      <c r="BB1341" s="465">
        <f ca="1">ROUND(($G$3*BH1341/365),10)</f>
        <v>7.3698599999999999E-5</v>
      </c>
      <c r="BC1341" s="466">
        <f t="shared" ca="1" si="808"/>
        <v>83429</v>
      </c>
      <c r="BD1341" s="467">
        <f t="shared" ca="1" si="821"/>
        <v>83430</v>
      </c>
      <c r="BE1341" s="467">
        <f t="shared" ca="1" si="809"/>
        <v>83458</v>
      </c>
      <c r="BF1341" s="468">
        <f ca="1">IF(計算!$BC1341&lt;OP!$C$3,0,BD1341-BC1341)</f>
        <v>1</v>
      </c>
      <c r="BG1341" s="467"/>
      <c r="BH1341" s="469">
        <f t="shared" ca="1" si="810"/>
        <v>1</v>
      </c>
      <c r="BI1341">
        <f t="shared" ca="1" si="826"/>
        <v>366</v>
      </c>
      <c r="BJ1341">
        <v>12</v>
      </c>
      <c r="BN1341" s="468">
        <f t="shared" si="822"/>
        <v>111</v>
      </c>
      <c r="BO1341" s="468">
        <f t="shared" si="823"/>
        <v>12</v>
      </c>
      <c r="BP1341" s="467">
        <f t="shared" ca="1" si="811"/>
        <v>83430</v>
      </c>
      <c r="BQ1341" s="467"/>
      <c r="BR1341" s="475">
        <f t="shared" si="824"/>
        <v>111</v>
      </c>
      <c r="BS1341" s="500">
        <f t="shared" ca="1" si="812"/>
        <v>0</v>
      </c>
      <c r="BT1341" s="472">
        <f ca="1">IF(BW1341&lt;&gt;"",IF(BN1341&gt;=$P$4+1,ROUND(BU1341,0)+ROUND(BV1341,0)+ROUND(BW1341,0)+BT1329,0),"")</f>
        <v>2837357</v>
      </c>
      <c r="BU1341" s="472">
        <f t="shared" ca="1" si="813"/>
        <v>0</v>
      </c>
      <c r="BV1341" s="472">
        <f t="shared" ca="1" si="813"/>
        <v>0</v>
      </c>
      <c r="BW1341" s="472">
        <f ca="1">ROUND(SUM(BY1341,BZ1329:BZ1340),0)</f>
        <v>2508</v>
      </c>
      <c r="BX1341" s="501">
        <f t="shared" ca="1" si="814"/>
        <v>2837358.4069370702</v>
      </c>
      <c r="BY1341" s="501">
        <f t="shared" ca="1" si="815"/>
        <v>209.09393235900001</v>
      </c>
      <c r="BZ1341" s="501">
        <f t="shared" ca="1" si="797"/>
        <v>0</v>
      </c>
      <c r="CA1341" s="502">
        <f t="shared" ca="1" si="816"/>
        <v>0</v>
      </c>
      <c r="CB1341" s="494">
        <f ca="1">IF(OR($Q1340&lt;&gt;1,OP!$D$5+$BN1341-1&lt;16,$BN1341-1&lt;1),0,ROUND(ROUND(ROUND(((VLOOKUP($BN1341-1,MORE_PV,5,0)/10000)*VLOOKUP($BN1341,MORE_PV,$CB$5,0)),3)*VLOOKUP($BN1341,more1,5,0),0)/$R1340,0))</f>
        <v>0</v>
      </c>
      <c r="CC1341" s="473">
        <f t="shared" ca="1" si="817"/>
        <v>0</v>
      </c>
    </row>
    <row r="1342" spans="2:82" ht="16.5" hidden="1">
      <c r="B1342" s="80"/>
      <c r="C1342" s="80"/>
      <c r="D1342" s="80"/>
      <c r="E1342" s="80"/>
      <c r="F1342" s="80"/>
      <c r="G1342" s="80"/>
      <c r="H1342" s="80"/>
      <c r="I1342" s="80"/>
      <c r="J1342" s="80"/>
      <c r="K1342" s="80"/>
      <c r="L1342" s="80"/>
      <c r="M1342" s="80"/>
      <c r="N1342" s="80"/>
      <c r="O1342" s="80"/>
      <c r="P1342" s="80"/>
      <c r="Q1342" s="80"/>
      <c r="R1342" s="80"/>
      <c r="S1342" s="340"/>
      <c r="T1342" s="340"/>
      <c r="U1342" s="340"/>
      <c r="V1342" s="340"/>
      <c r="W1342" s="340"/>
      <c r="X1342" s="340"/>
      <c r="Y1342" s="341"/>
      <c r="Z1342" s="341"/>
      <c r="AA1342" s="341"/>
      <c r="AB1342" s="340"/>
      <c r="AC1342" s="340"/>
      <c r="AD1342" s="340"/>
      <c r="AE1342" s="340"/>
      <c r="AF1342" s="340"/>
      <c r="AG1342" s="340"/>
      <c r="AH1342" s="340"/>
      <c r="AI1342" s="340"/>
      <c r="AJ1342" s="340"/>
      <c r="AK1342" s="340"/>
      <c r="AL1342" s="340"/>
      <c r="AM1342" s="340"/>
      <c r="AN1342" s="340"/>
      <c r="AO1342" s="340"/>
      <c r="AP1342" s="340"/>
      <c r="AQ1342" s="340"/>
      <c r="AR1342" s="340"/>
      <c r="AS1342" s="340"/>
      <c r="AT1342" s="340"/>
      <c r="AU1342" s="340"/>
      <c r="AV1342" s="340"/>
      <c r="AY1342" s="340"/>
    </row>
    <row r="1343" spans="2:82" ht="16.5" hidden="1">
      <c r="S1343" s="340"/>
      <c r="T1343" s="340"/>
      <c r="U1343" s="340"/>
      <c r="V1343" s="340"/>
      <c r="W1343" s="340"/>
      <c r="X1343" s="340"/>
      <c r="Y1343" s="341"/>
      <c r="Z1343" s="341"/>
      <c r="AA1343" s="341"/>
      <c r="AB1343" s="340"/>
      <c r="AC1343" s="340"/>
      <c r="AD1343" s="340"/>
      <c r="AE1343" s="340"/>
      <c r="AF1343" s="340"/>
      <c r="AG1343" s="340"/>
      <c r="AH1343" s="340"/>
      <c r="AI1343" s="340"/>
      <c r="AJ1343" s="340"/>
      <c r="AK1343" s="340"/>
      <c r="AL1343" s="340"/>
      <c r="AM1343" s="340"/>
      <c r="AN1343" s="340"/>
      <c r="AO1343" s="340"/>
      <c r="AP1343" s="340"/>
      <c r="AQ1343" s="340"/>
      <c r="AR1343" s="340"/>
      <c r="AS1343" s="340"/>
      <c r="AT1343" s="340"/>
      <c r="AU1343" s="340"/>
      <c r="AV1343" s="340"/>
      <c r="AY1343" s="340"/>
    </row>
    <row r="1344" spans="2:82" ht="16.5" hidden="1">
      <c r="S1344" s="340"/>
      <c r="T1344" s="340"/>
      <c r="U1344" s="340"/>
      <c r="V1344" s="340"/>
      <c r="W1344" s="340"/>
      <c r="X1344" s="340"/>
      <c r="Y1344" s="341"/>
      <c r="Z1344" s="341"/>
      <c r="AA1344" s="341"/>
      <c r="AB1344" s="340"/>
      <c r="AC1344" s="340"/>
      <c r="AD1344" s="340"/>
      <c r="AE1344" s="340"/>
      <c r="AF1344" s="340"/>
      <c r="AG1344" s="340"/>
      <c r="AH1344" s="340"/>
      <c r="AI1344" s="340"/>
      <c r="AJ1344" s="340"/>
      <c r="AK1344" s="340"/>
      <c r="AL1344" s="340"/>
      <c r="AM1344" s="340"/>
      <c r="AN1344" s="340"/>
      <c r="AO1344" s="340"/>
      <c r="AP1344" s="340"/>
      <c r="AQ1344" s="340"/>
      <c r="AR1344" s="340"/>
      <c r="AS1344" s="340"/>
      <c r="AT1344" s="340"/>
      <c r="AU1344" s="340"/>
      <c r="AV1344" s="340"/>
      <c r="AY1344" s="340"/>
    </row>
    <row r="1345" spans="19:51" ht="16.5" hidden="1">
      <c r="AY1345" s="340"/>
    </row>
    <row r="1346" spans="19:51" ht="16.5" hidden="1">
      <c r="AY1346" s="340"/>
    </row>
    <row r="1347" spans="19:51" ht="16.5" hidden="1">
      <c r="AY1347" s="340"/>
    </row>
    <row r="1348" spans="19:51" ht="16.5" hidden="1">
      <c r="AY1348" s="340"/>
    </row>
    <row r="1349" spans="19:51" ht="16.5" hidden="1">
      <c r="AY1349" s="340"/>
    </row>
    <row r="1350" spans="19:51" ht="16.5" hidden="1">
      <c r="AY1350" s="340"/>
    </row>
    <row r="1351" spans="19:51" ht="16.5" hidden="1">
      <c r="S1351" s="340"/>
      <c r="T1351" s="340"/>
      <c r="U1351" s="340"/>
      <c r="V1351" s="340"/>
      <c r="W1351" s="340"/>
      <c r="X1351" s="340"/>
      <c r="Y1351" s="341"/>
      <c r="Z1351" s="341"/>
      <c r="AA1351" s="341"/>
      <c r="AB1351" s="340"/>
      <c r="AC1351" s="340"/>
      <c r="AD1351" s="340"/>
      <c r="AE1351" s="340"/>
      <c r="AF1351" s="340"/>
      <c r="AG1351" s="340"/>
      <c r="AH1351" s="340"/>
      <c r="AI1351" s="340"/>
      <c r="AJ1351" s="340"/>
      <c r="AK1351" s="340"/>
      <c r="AL1351" s="340"/>
      <c r="AM1351" s="340"/>
      <c r="AN1351" s="340"/>
      <c r="AO1351" s="340"/>
      <c r="AP1351" s="340"/>
      <c r="AQ1351" s="340"/>
      <c r="AR1351" s="340"/>
      <c r="AS1351" s="340"/>
      <c r="AT1351" s="340"/>
      <c r="AU1351" s="340"/>
      <c r="AV1351" s="340"/>
      <c r="AW1351" s="340"/>
      <c r="AX1351" s="340"/>
      <c r="AY1351" s="340"/>
    </row>
    <row r="1352" spans="19:51" ht="16.5" hidden="1">
      <c r="S1352" s="340"/>
      <c r="T1352" s="340"/>
      <c r="U1352" s="340"/>
      <c r="V1352" s="340"/>
      <c r="W1352" s="340"/>
      <c r="X1352" s="340"/>
      <c r="Y1352" s="341"/>
      <c r="Z1352" s="341"/>
      <c r="AA1352" s="341"/>
      <c r="AB1352" s="340"/>
      <c r="AC1352" s="340"/>
      <c r="AD1352" s="340"/>
      <c r="AE1352" s="340"/>
      <c r="AF1352" s="340"/>
      <c r="AG1352" s="340"/>
      <c r="AH1352" s="340"/>
      <c r="AI1352" s="340"/>
      <c r="AJ1352" s="340"/>
      <c r="AK1352" s="340"/>
      <c r="AL1352" s="340"/>
      <c r="AM1352" s="340"/>
      <c r="AN1352" s="340"/>
      <c r="AO1352" s="340"/>
      <c r="AP1352" s="340"/>
      <c r="AQ1352" s="340"/>
      <c r="AR1352" s="340"/>
      <c r="AS1352" s="340"/>
      <c r="AT1352" s="340"/>
      <c r="AU1352" s="340"/>
      <c r="AV1352" s="340"/>
      <c r="AW1352" s="340"/>
      <c r="AX1352" s="340"/>
      <c r="AY1352" s="340"/>
    </row>
    <row r="1353" spans="19:51" ht="16.5" hidden="1">
      <c r="S1353" s="340"/>
      <c r="T1353" s="340"/>
      <c r="U1353" s="340"/>
      <c r="V1353" s="340"/>
      <c r="W1353" s="340"/>
      <c r="X1353" s="340"/>
      <c r="Y1353" s="341"/>
      <c r="Z1353" s="341"/>
      <c r="AA1353" s="341"/>
      <c r="AB1353" s="340"/>
      <c r="AC1353" s="340"/>
      <c r="AD1353" s="340"/>
      <c r="AE1353" s="340"/>
      <c r="AF1353" s="340"/>
      <c r="AG1353" s="340"/>
      <c r="AH1353" s="340"/>
      <c r="AI1353" s="340"/>
      <c r="AJ1353" s="340"/>
      <c r="AK1353" s="340"/>
      <c r="AL1353" s="340"/>
      <c r="AM1353" s="340"/>
      <c r="AN1353" s="340"/>
      <c r="AO1353" s="340"/>
      <c r="AP1353" s="340"/>
      <c r="AQ1353" s="340"/>
      <c r="AR1353" s="340"/>
      <c r="AS1353" s="340"/>
      <c r="AT1353" s="340"/>
      <c r="AU1353" s="340"/>
      <c r="AV1353" s="340"/>
      <c r="AW1353" s="340"/>
      <c r="AX1353" s="340"/>
      <c r="AY1353" s="340"/>
    </row>
    <row r="1354" spans="19:51" ht="16.5" hidden="1">
      <c r="S1354" s="340"/>
      <c r="T1354" s="340"/>
      <c r="U1354" s="340"/>
      <c r="V1354" s="340"/>
      <c r="W1354" s="340"/>
      <c r="X1354" s="340"/>
      <c r="Y1354" s="341"/>
      <c r="Z1354" s="341"/>
      <c r="AA1354" s="341"/>
      <c r="AB1354" s="340"/>
      <c r="AC1354" s="340"/>
      <c r="AD1354" s="340"/>
      <c r="AE1354" s="340"/>
      <c r="AF1354" s="340"/>
      <c r="AG1354" s="340"/>
      <c r="AH1354" s="340"/>
      <c r="AI1354" s="340"/>
      <c r="AJ1354" s="340"/>
      <c r="AK1354" s="340"/>
      <c r="AL1354" s="340"/>
      <c r="AM1354" s="340"/>
      <c r="AN1354" s="340"/>
      <c r="AO1354" s="340"/>
      <c r="AP1354" s="340"/>
      <c r="AQ1354" s="340"/>
      <c r="AR1354" s="340"/>
      <c r="AS1354" s="340"/>
      <c r="AT1354" s="340"/>
      <c r="AU1354" s="340"/>
      <c r="AV1354" s="340"/>
      <c r="AW1354" s="340"/>
      <c r="AX1354" s="340"/>
      <c r="AY1354" s="340"/>
    </row>
    <row r="1355" spans="19:51" ht="16.5" hidden="1">
      <c r="S1355" s="340"/>
      <c r="T1355" s="340"/>
      <c r="U1355" s="340"/>
      <c r="V1355" s="340"/>
      <c r="W1355" s="340"/>
      <c r="X1355" s="340"/>
      <c r="Y1355" s="341"/>
      <c r="Z1355" s="341"/>
      <c r="AA1355" s="341"/>
      <c r="AB1355" s="340"/>
      <c r="AC1355" s="340"/>
      <c r="AD1355" s="340"/>
      <c r="AE1355" s="340"/>
      <c r="AF1355" s="340"/>
      <c r="AG1355" s="340"/>
      <c r="AH1355" s="340"/>
      <c r="AI1355" s="340"/>
      <c r="AJ1355" s="340"/>
      <c r="AK1355" s="340"/>
      <c r="AL1355" s="340"/>
      <c r="AM1355" s="340"/>
      <c r="AN1355" s="340"/>
      <c r="AO1355" s="340"/>
      <c r="AP1355" s="340"/>
      <c r="AQ1355" s="340"/>
      <c r="AR1355" s="340"/>
      <c r="AS1355" s="340"/>
      <c r="AT1355" s="340"/>
      <c r="AU1355" s="340"/>
      <c r="AV1355" s="340"/>
      <c r="AW1355" s="340"/>
      <c r="AX1355" s="340"/>
      <c r="AY1355" s="340"/>
    </row>
    <row r="1356" spans="19:51" ht="16.5" hidden="1">
      <c r="S1356" s="340"/>
      <c r="T1356" s="340"/>
      <c r="U1356" s="340"/>
      <c r="V1356" s="340"/>
      <c r="W1356" s="340"/>
      <c r="X1356" s="340"/>
      <c r="Y1356" s="341"/>
      <c r="Z1356" s="341"/>
      <c r="AA1356" s="341"/>
      <c r="AB1356" s="340"/>
      <c r="AC1356" s="340"/>
      <c r="AD1356" s="340"/>
      <c r="AE1356" s="340"/>
      <c r="AF1356" s="340"/>
      <c r="AG1356" s="340"/>
      <c r="AH1356" s="340"/>
      <c r="AI1356" s="340"/>
      <c r="AJ1356" s="340"/>
      <c r="AK1356" s="340"/>
      <c r="AL1356" s="340"/>
      <c r="AM1356" s="340"/>
      <c r="AN1356" s="340"/>
      <c r="AO1356" s="340"/>
      <c r="AP1356" s="340"/>
      <c r="AQ1356" s="340"/>
      <c r="AR1356" s="340"/>
      <c r="AS1356" s="340"/>
      <c r="AT1356" s="340"/>
      <c r="AU1356" s="340"/>
      <c r="AV1356" s="340"/>
      <c r="AW1356" s="340"/>
      <c r="AX1356" s="340"/>
      <c r="AY1356" s="340"/>
    </row>
    <row r="1357" spans="19:51" ht="16.5" hidden="1">
      <c r="S1357" s="340"/>
      <c r="T1357" s="340"/>
      <c r="U1357" s="340"/>
      <c r="V1357" s="340"/>
      <c r="W1357" s="340"/>
      <c r="X1357" s="340"/>
      <c r="Y1357" s="341"/>
      <c r="Z1357" s="341"/>
      <c r="AA1357" s="341"/>
      <c r="AB1357" s="340"/>
      <c r="AC1357" s="340"/>
      <c r="AD1357" s="340"/>
      <c r="AE1357" s="340"/>
      <c r="AF1357" s="340"/>
      <c r="AG1357" s="340"/>
      <c r="AH1357" s="340"/>
      <c r="AI1357" s="340"/>
      <c r="AJ1357" s="340"/>
      <c r="AK1357" s="340"/>
      <c r="AL1357" s="340"/>
      <c r="AM1357" s="340"/>
      <c r="AN1357" s="340"/>
      <c r="AO1357" s="340"/>
      <c r="AP1357" s="340"/>
      <c r="AQ1357" s="340"/>
      <c r="AR1357" s="340"/>
      <c r="AS1357" s="340"/>
      <c r="AT1357" s="340"/>
      <c r="AU1357" s="340"/>
      <c r="AV1357" s="340"/>
      <c r="AW1357" s="340"/>
      <c r="AX1357" s="340"/>
      <c r="AY1357" s="340"/>
    </row>
    <row r="1358" spans="19:51" ht="16.5" hidden="1">
      <c r="S1358" s="340"/>
      <c r="T1358" s="340"/>
      <c r="U1358" s="340"/>
      <c r="V1358" s="340"/>
      <c r="W1358" s="340"/>
      <c r="X1358" s="340"/>
      <c r="Y1358" s="341"/>
      <c r="Z1358" s="341"/>
      <c r="AA1358" s="341"/>
      <c r="AB1358" s="340"/>
      <c r="AC1358" s="340"/>
      <c r="AD1358" s="340"/>
      <c r="AE1358" s="340"/>
      <c r="AF1358" s="340"/>
      <c r="AG1358" s="340"/>
      <c r="AH1358" s="340"/>
      <c r="AI1358" s="340"/>
      <c r="AJ1358" s="340"/>
      <c r="AK1358" s="340"/>
      <c r="AL1358" s="340"/>
      <c r="AM1358" s="340"/>
      <c r="AN1358" s="340"/>
      <c r="AO1358" s="340"/>
      <c r="AP1358" s="340"/>
      <c r="AQ1358" s="340"/>
      <c r="AR1358" s="340"/>
      <c r="AS1358" s="340"/>
      <c r="AT1358" s="340"/>
      <c r="AU1358" s="340"/>
      <c r="AV1358" s="340"/>
      <c r="AW1358" s="340"/>
      <c r="AX1358" s="340"/>
      <c r="AY1358" s="340"/>
    </row>
    <row r="1359" spans="19:51" ht="16.5" hidden="1">
      <c r="S1359" s="340"/>
      <c r="T1359" s="340"/>
      <c r="U1359" s="340"/>
      <c r="V1359" s="340"/>
      <c r="W1359" s="340"/>
      <c r="X1359" s="340"/>
      <c r="Y1359" s="341"/>
      <c r="Z1359" s="341"/>
      <c r="AA1359" s="341"/>
      <c r="AB1359" s="340"/>
      <c r="AC1359" s="340"/>
      <c r="AD1359" s="340"/>
      <c r="AE1359" s="340"/>
      <c r="AF1359" s="340"/>
      <c r="AG1359" s="340"/>
      <c r="AH1359" s="340"/>
      <c r="AI1359" s="340"/>
      <c r="AJ1359" s="340"/>
      <c r="AK1359" s="340"/>
      <c r="AL1359" s="340"/>
      <c r="AM1359" s="340"/>
      <c r="AN1359" s="340"/>
      <c r="AO1359" s="340"/>
      <c r="AP1359" s="340"/>
      <c r="AQ1359" s="340"/>
      <c r="AR1359" s="340"/>
      <c r="AS1359" s="340"/>
      <c r="AT1359" s="340"/>
      <c r="AU1359" s="340"/>
      <c r="AV1359" s="340"/>
      <c r="AW1359" s="340"/>
      <c r="AX1359" s="340"/>
      <c r="AY1359" s="340"/>
    </row>
    <row r="1360" spans="19:51" ht="16.5" hidden="1">
      <c r="S1360" s="340"/>
      <c r="T1360" s="340"/>
      <c r="U1360" s="340"/>
      <c r="V1360" s="340"/>
      <c r="W1360" s="340"/>
      <c r="X1360" s="340"/>
      <c r="Y1360" s="341"/>
      <c r="Z1360" s="341"/>
      <c r="AA1360" s="341"/>
      <c r="AB1360" s="340"/>
      <c r="AC1360" s="340"/>
      <c r="AD1360" s="340"/>
      <c r="AE1360" s="340"/>
      <c r="AF1360" s="340"/>
      <c r="AG1360" s="340"/>
      <c r="AH1360" s="340"/>
      <c r="AI1360" s="340"/>
      <c r="AJ1360" s="340"/>
      <c r="AK1360" s="340"/>
      <c r="AL1360" s="340"/>
      <c r="AM1360" s="340"/>
      <c r="AN1360" s="340"/>
      <c r="AO1360" s="340"/>
      <c r="AP1360" s="340"/>
      <c r="AQ1360" s="340"/>
      <c r="AR1360" s="340"/>
      <c r="AS1360" s="340"/>
      <c r="AT1360" s="340"/>
      <c r="AU1360" s="340"/>
      <c r="AV1360" s="340"/>
      <c r="AW1360" s="340"/>
      <c r="AX1360" s="340"/>
      <c r="AY1360" s="340"/>
    </row>
    <row r="1361" spans="19:51" ht="16.5" hidden="1">
      <c r="S1361" s="340"/>
      <c r="T1361" s="340"/>
      <c r="U1361" s="340"/>
      <c r="V1361" s="340"/>
      <c r="W1361" s="340"/>
      <c r="X1361" s="340"/>
      <c r="Y1361" s="341"/>
      <c r="Z1361" s="341"/>
      <c r="AA1361" s="341"/>
      <c r="AB1361" s="340"/>
      <c r="AC1361" s="340"/>
      <c r="AD1361" s="340"/>
      <c r="AE1361" s="340"/>
      <c r="AF1361" s="340"/>
      <c r="AG1361" s="340"/>
      <c r="AH1361" s="340"/>
      <c r="AI1361" s="340"/>
      <c r="AJ1361" s="340"/>
      <c r="AK1361" s="340"/>
      <c r="AL1361" s="340"/>
      <c r="AM1361" s="340"/>
      <c r="AN1361" s="340"/>
      <c r="AO1361" s="340"/>
      <c r="AP1361" s="340"/>
      <c r="AQ1361" s="340"/>
      <c r="AR1361" s="340"/>
      <c r="AS1361" s="340"/>
      <c r="AT1361" s="340"/>
      <c r="AU1361" s="340"/>
      <c r="AV1361" s="340"/>
      <c r="AW1361" s="340"/>
      <c r="AX1361" s="340"/>
      <c r="AY1361" s="340"/>
    </row>
    <row r="1362" spans="19:51" ht="16.5" hidden="1">
      <c r="S1362" s="340"/>
      <c r="T1362" s="340"/>
      <c r="U1362" s="340"/>
      <c r="V1362" s="340"/>
      <c r="W1362" s="340"/>
      <c r="X1362" s="340"/>
      <c r="Y1362" s="341"/>
      <c r="Z1362" s="341"/>
      <c r="AA1362" s="341"/>
      <c r="AB1362" s="340"/>
      <c r="AC1362" s="340"/>
      <c r="AD1362" s="340"/>
      <c r="AE1362" s="340"/>
      <c r="AF1362" s="340"/>
      <c r="AG1362" s="340"/>
      <c r="AH1362" s="340"/>
      <c r="AI1362" s="340"/>
      <c r="AJ1362" s="340"/>
      <c r="AK1362" s="340"/>
      <c r="AL1362" s="340"/>
      <c r="AM1362" s="340"/>
      <c r="AN1362" s="340"/>
      <c r="AO1362" s="340"/>
      <c r="AP1362" s="340"/>
      <c r="AQ1362" s="340"/>
      <c r="AR1362" s="340"/>
      <c r="AS1362" s="340"/>
      <c r="AT1362" s="340"/>
      <c r="AU1362" s="340"/>
      <c r="AV1362" s="340"/>
      <c r="AW1362" s="340"/>
      <c r="AX1362" s="340"/>
      <c r="AY1362" s="340"/>
    </row>
    <row r="1363" spans="19:51" ht="16.5" hidden="1">
      <c r="S1363" s="340"/>
      <c r="T1363" s="340"/>
      <c r="U1363" s="340"/>
      <c r="V1363" s="340"/>
      <c r="W1363" s="340"/>
      <c r="X1363" s="340"/>
      <c r="Y1363" s="341"/>
      <c r="Z1363" s="341"/>
      <c r="AA1363" s="341"/>
      <c r="AB1363" s="340"/>
      <c r="AC1363" s="340"/>
      <c r="AD1363" s="340"/>
      <c r="AE1363" s="340"/>
      <c r="AF1363" s="340"/>
      <c r="AG1363" s="340"/>
      <c r="AH1363" s="340"/>
      <c r="AI1363" s="340"/>
      <c r="AJ1363" s="340"/>
      <c r="AK1363" s="340"/>
      <c r="AL1363" s="340"/>
      <c r="AM1363" s="340"/>
      <c r="AN1363" s="340"/>
      <c r="AO1363" s="340"/>
      <c r="AP1363" s="340"/>
      <c r="AQ1363" s="340"/>
      <c r="AR1363" s="340"/>
      <c r="AS1363" s="340"/>
      <c r="AT1363" s="340"/>
      <c r="AU1363" s="340"/>
      <c r="AV1363" s="340"/>
      <c r="AW1363" s="340"/>
      <c r="AX1363" s="340"/>
      <c r="AY1363" s="340"/>
    </row>
    <row r="1364" spans="19:51" ht="16.5" hidden="1">
      <c r="S1364" s="340"/>
      <c r="T1364" s="340"/>
      <c r="U1364" s="340"/>
      <c r="V1364" s="340"/>
      <c r="W1364" s="340"/>
      <c r="X1364" s="340"/>
      <c r="Y1364" s="341"/>
      <c r="Z1364" s="341"/>
      <c r="AA1364" s="341"/>
      <c r="AB1364" s="340"/>
      <c r="AC1364" s="340"/>
      <c r="AD1364" s="340"/>
      <c r="AE1364" s="340"/>
      <c r="AF1364" s="340"/>
      <c r="AG1364" s="340"/>
      <c r="AH1364" s="340"/>
      <c r="AI1364" s="340"/>
      <c r="AJ1364" s="340"/>
      <c r="AK1364" s="340"/>
      <c r="AL1364" s="340"/>
      <c r="AM1364" s="340"/>
      <c r="AN1364" s="340"/>
      <c r="AO1364" s="340"/>
      <c r="AP1364" s="340"/>
      <c r="AQ1364" s="340"/>
      <c r="AR1364" s="340"/>
      <c r="AS1364" s="340"/>
      <c r="AT1364" s="340"/>
      <c r="AU1364" s="340"/>
      <c r="AV1364" s="340"/>
      <c r="AW1364" s="340"/>
      <c r="AX1364" s="340"/>
      <c r="AY1364" s="340"/>
    </row>
  </sheetData>
  <sheetProtection password="F4D4" sheet="1" objects="1" scenarios="1"/>
  <mergeCells count="1">
    <mergeCell ref="CV7:CX7"/>
  </mergeCells>
  <phoneticPr fontId="4" type="noConversion"/>
  <dataValidations disablePrompts="1" count="2">
    <dataValidation type="list" allowBlank="1" showInputMessage="1" showErrorMessage="1" sqref="G6">
      <formula1>"現金給付,儲存生息"</formula1>
    </dataValidation>
    <dataValidation type="list" allowBlank="1" showInputMessage="1" showErrorMessage="1" sqref="G4 H6">
      <formula1>"年,半,季,月"</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dimension ref="B1:Z137"/>
  <sheetViews>
    <sheetView topLeftCell="XFD1048576" workbookViewId="0"/>
  </sheetViews>
  <sheetFormatPr defaultColWidth="0" defaultRowHeight="14.25" zeroHeight="1"/>
  <cols>
    <col min="1" max="1" width="0" hidden="1" customWidth="1"/>
    <col min="2" max="3" width="6" hidden="1" customWidth="1"/>
    <col min="4" max="7" width="14.5" hidden="1" customWidth="1"/>
    <col min="8" max="9" width="12.83203125" hidden="1" customWidth="1"/>
    <col min="10" max="10" width="13.5" hidden="1" customWidth="1"/>
    <col min="11" max="11" width="17.33203125" hidden="1" customWidth="1"/>
    <col min="12" max="12" width="12.83203125" hidden="1" customWidth="1"/>
    <col min="13" max="13" width="10.83203125" hidden="1" customWidth="1"/>
    <col min="14" max="16" width="10" hidden="1" customWidth="1"/>
    <col min="17" max="17" width="16.6640625" hidden="1" customWidth="1"/>
    <col min="18" max="20" width="16" hidden="1" customWidth="1"/>
    <col min="21" max="22" width="12.83203125" hidden="1" customWidth="1"/>
    <col min="23" max="24" width="0" hidden="1" customWidth="1"/>
    <col min="25" max="25" width="23.6640625" hidden="1" customWidth="1"/>
    <col min="26" max="26" width="31" hidden="1" customWidth="1"/>
  </cols>
  <sheetData>
    <row r="1" spans="2:26" hidden="1">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s="783">
        <v>24</v>
      </c>
      <c r="Z1" s="783">
        <v>25</v>
      </c>
    </row>
    <row r="2" spans="2:26" ht="114" hidden="1" customHeight="1">
      <c r="D2" s="1023" t="s">
        <v>1111</v>
      </c>
      <c r="E2" s="1023"/>
      <c r="F2" s="1023"/>
      <c r="G2" s="1023"/>
      <c r="H2" s="1023"/>
      <c r="I2" s="1023"/>
      <c r="J2" s="1023"/>
      <c r="K2" s="1024" t="str">
        <f>"年度末
增值回饋分享金
(預估值)"&amp;IF(計算!$G$6="現金給付","
( C )","")&amp;"
1 ~ 6年 僅購買增額繳清保險
"&amp;"16歲前限儲存生息"</f>
        <v>年度末
增值回饋分享金
(預估值)
1 ~ 6年 僅購買增額繳清保險
16歲前限儲存生息</v>
      </c>
      <c r="L2" s="1025" t="str">
        <f>IF(計算!$G$6="現金給付","年度末
累積已領增值回饋分享金
(預估值)",IF(計算!$G$6="儲存生息","年度末
累積增值回饋分享金
( C )
(預估值)",""))</f>
        <v>年度末
累積增值回饋分享金
( C )
(預估值)</v>
      </c>
      <c r="M2" s="1025" t="str">
        <f>"年度末
增額繳清保險金額
(預估值)"</f>
        <v>年度末
增額繳清保險金額
(預估值)</v>
      </c>
      <c r="N2" s="1026" t="s">
        <v>1112</v>
      </c>
      <c r="O2" s="1026"/>
      <c r="P2" s="1026"/>
      <c r="Q2" s="1026"/>
      <c r="R2" s="1026"/>
      <c r="S2" s="1022" t="s">
        <v>1113</v>
      </c>
      <c r="T2" s="1022" t="s">
        <v>1114</v>
      </c>
      <c r="U2" s="1022" t="str">
        <f ca="1">"年度末
身故/完全殘廢時可領總金額
(預估值)"&amp;IF(計算!$G$6=計算!$P$5,"
A + D","
1~"&amp;計算!$P$4&amp;"年 A + D
"&amp;計算!$P$4+1&amp;"年後 A + C + D")</f>
        <v>年度末
身故/完全殘廢時可領總金額
(預估值)
1~6年 A + D
7年後 A + C + D</v>
      </c>
      <c r="V2" s="1022" t="str">
        <f ca="1">"年度末
解約時可領總金額
(預估值)"&amp;IF(計算!$G$6=計算!$P$5,"
B + E","
1~"&amp;計算!$P$4&amp;"年 B + E
"&amp;計算!$P$4+1&amp;"年後 B + C + E")</f>
        <v>年度末
解約時可領總金額
(預估值)
1~6年 B + E
7年後 B + C + E</v>
      </c>
      <c r="W2" s="422"/>
      <c r="X2" s="422"/>
      <c r="Y2" s="784" t="str">
        <f>"年度末
身故/完全殘廢時可領金額
(預估值)"</f>
        <v>年度末
身故/完全殘廢時可領金額
(預估值)</v>
      </c>
      <c r="Z2" s="700" t="s">
        <v>1284</v>
      </c>
    </row>
    <row r="3" spans="2:26" ht="78.75" hidden="1" customHeight="1">
      <c r="B3" s="686" t="s">
        <v>1078</v>
      </c>
      <c r="C3" s="686" t="s">
        <v>1115</v>
      </c>
      <c r="D3" s="687" t="s">
        <v>1116</v>
      </c>
      <c r="E3" s="687" t="s">
        <v>1117</v>
      </c>
      <c r="F3" s="687" t="s">
        <v>1113</v>
      </c>
      <c r="G3" s="687" t="s">
        <v>1114</v>
      </c>
      <c r="H3" s="687" t="s">
        <v>1118</v>
      </c>
      <c r="I3" s="687" t="s">
        <v>1082</v>
      </c>
      <c r="J3" s="687" t="s">
        <v>1119</v>
      </c>
      <c r="K3" s="1024"/>
      <c r="L3" s="1025"/>
      <c r="M3" s="1025"/>
      <c r="N3" s="688" t="str">
        <f>"年度末
保險金額
(預估值)"</f>
        <v>年度末
保險金額
(預估值)</v>
      </c>
      <c r="O3" s="688" t="s">
        <v>1113</v>
      </c>
      <c r="P3" s="688" t="s">
        <v>1114</v>
      </c>
      <c r="Q3" s="688" t="str">
        <f ca="1">"年度末
身故/完全殘廢保障
( D )(預估值)"&amp;IF(OP!$D$5&lt;15,"
16歲前無保額以現金給付累計年度回饋分享金顯示","")</f>
        <v>年度末
身故/完全殘廢保障
( D )(預估值)</v>
      </c>
      <c r="R3" s="688" t="str">
        <f ca="1">"年度末
解約金
( E )(預估值)"&amp;IF(OP!$D$5&lt;15,"
16歲前無保額以儲存生息累計年度回饋分享金顯示","")</f>
        <v>年度末
解約金
( E )(預估值)</v>
      </c>
      <c r="S3" s="1022"/>
      <c r="T3" s="1022"/>
      <c r="U3" s="1022"/>
      <c r="V3" s="1022"/>
      <c r="W3" s="422"/>
      <c r="X3" s="422"/>
      <c r="Y3" s="785" t="s">
        <v>1309</v>
      </c>
      <c r="Z3" s="785" t="str">
        <f>"分期給付(年)
給付"&amp;PY!$C$6&amp;"年
(預估值)"</f>
        <v>分期給付(年)
給付20年
(預估值)</v>
      </c>
    </row>
    <row r="4" spans="2:26" hidden="1">
      <c r="B4" s="689">
        <v>1</v>
      </c>
      <c r="C4" s="689">
        <f ca="1">IF(OP!$D$53=1,"",OP!$D$5)</f>
        <v>33</v>
      </c>
      <c r="D4" s="690">
        <f ca="1">IF(OR(OP!$D$53=1,AND(B4&gt;OP!$C$24)),"",OP!$C$51)</f>
        <v>166833</v>
      </c>
      <c r="E4" s="690">
        <f ca="1">IF(OR(OP!$D$53=1,B4=""),"",N(D4))</f>
        <v>166833</v>
      </c>
      <c r="F4" s="690" t="str">
        <f ca="1">IF(OR(OP!$D$53=1,$B4="",ISERROR(VLOOKUP(OP!$C$55,SRV,$B4+1,0))),"",ROUND(VLOOKUP(OP!$C$55,SRV,$B4+1,0)*OP!$C$28,0))</f>
        <v/>
      </c>
      <c r="G4" s="690" t="str">
        <f ca="1">IF(OR(OP!$D$53=1,$B4="",ISERROR(VLOOKUP(OP!$C$55,SRV,$B4+1,0))),"",N(F4))</f>
        <v/>
      </c>
      <c r="H4" s="690">
        <f ca="1">IF(OR(OP!$D$53=1,B4=""),"",ROUND(VLOOKUP(OP!$C$55,DIE,$B4+1,0)*OP!$C$28,0))</f>
        <v>180452</v>
      </c>
      <c r="I4" s="691">
        <f ca="1">IF(OR(OP!$D$53=1,B4=""),"",ROUND(VLOOKUP(OP!$C$55,CV,$B4+1,0)*OP!$C$28,0))</f>
        <v>79016</v>
      </c>
      <c r="J4" s="691">
        <f ca="1">IF(OR(OP!$D$53=1,B4=""),"",VLOOKUP(OP!$C$55,PA,$B4+1,0)*OP!$C$28)</f>
        <v>37604</v>
      </c>
      <c r="K4" s="690">
        <f ca="1">IF(OR(OP!$D$53=1,B4=""),"",VLOOKUP($B4,more1,7,0))</f>
        <v>727</v>
      </c>
      <c r="L4" s="690" t="str">
        <f ca="1">IF(OR(OP!$D$53=1,B4="",$B4&lt;=計算!$P$4),"",VLOOKUP($B4,more1,6,0))</f>
        <v/>
      </c>
      <c r="M4" s="690">
        <f ca="1">IF(OR(OP!$D$53=1,B4="",AND($B4&gt;=計算!$P$4,$C4&lt;15),ISERROR(VLOOKUP($B4,MORE_PV,4,0))),"",VLOOKUP($B4,MORE_PV,4,0))</f>
        <v>268</v>
      </c>
      <c r="N4" s="692">
        <f ca="1">IF(OR(OP!$D$53=1,B4="",$C4&lt;15,ISERROR(VLOOKUP($B4,MORE_PV,5,0))),"",VLOOKUP($B4,MORE_PV,5,0))</f>
        <v>268</v>
      </c>
      <c r="O4" s="692" t="str">
        <f ca="1">IF(OR(OP!$D$53=1,$B4="",ISERROR(VLOOKUP($B4-1,MORE_PV,9,0))),"",VLOOKUP($B4-1,MORE_PV,9,0))</f>
        <v/>
      </c>
      <c r="P4" s="692">
        <f ca="1">IF(OR(OP!$D$53=1,$B4="",ISERROR($O4)),0,N($O4))</f>
        <v>0</v>
      </c>
      <c r="Q4" s="692">
        <f ca="1">IF(OR(OP!$D$53=1,B4=""),"",ROUND(VLOOKUP($B4,MORE_PV,8,0),0))</f>
        <v>727</v>
      </c>
      <c r="R4" s="692">
        <f ca="1">IF(OR(OP!$D$53=1,B4=""),"",ROUND(VLOOKUP($B4,MORE_PV,7,0),0))</f>
        <v>727</v>
      </c>
      <c r="S4" s="692">
        <f ca="1">IF(OR(OP!$D$53=1,B4=""),"",N($F4)+N(O4))</f>
        <v>0</v>
      </c>
      <c r="T4" s="692">
        <f ca="1">IF(OR(OP!$D$53=1,$B4=""),0,N($S4))</f>
        <v>0</v>
      </c>
      <c r="U4" s="690">
        <f ca="1">IF(OR(OP!$D$53=1,B4=""),"",N($H4)+IF(AND($B4&gt;計算!$P$4,計算!$G$6="現金給付"),N($K4),IF(AND($B4&gt;計算!$P$4,計算!$G$6="儲存生息"),N($L4),0))+N($Q4))</f>
        <v>181179</v>
      </c>
      <c r="V4" s="690">
        <f ca="1">IF(OR(OP!$D$53=1,$B4=""),"",N($I4)+IF(AND($B4&gt;計算!$P$4,計算!$G$6="現金給付"),N($K4),IF(AND($B4&gt;計算!$P$4,計算!$G$6="儲存生息"),N($L4),0))+N(R4))</f>
        <v>79743</v>
      </c>
      <c r="W4" s="422"/>
      <c r="X4" s="422"/>
      <c r="Y4" s="786">
        <f ca="1">IF(OR(OP!$D$53=1,$B4=""),"",((($H4+$Q4)-IF(AND(計算!$G$6=計算!$P$5,$B4=OP!$C$57),$K4,0))*IF(OR($C4&lt;16,Z4=0,Z4=""),1,PYO))+IF(AND($B4&gt;計算!$P$4,計算!$G$6="現金給付"),N($K4),IF(AND($B4&gt;計算!$P$4,計算!$G$6="儲存生息"),N($L4),0))+IF(AND(計算!$G$6=計算!$P$5,$B4=OP!$C$57),$K4,0))</f>
        <v>181179</v>
      </c>
      <c r="Z4" s="786">
        <f ca="1">IF(OR(OP!$D$53=1,$B4=""),"",(($H4+Q4)-IF(AND(計算!$G$6="購買增額繳清保險",$B4=OP!$C$57),$K4,0))*IF(OR($C4&lt;16,($H4+$Q4)*PY!$C$4&lt;PY!$D$5,($H4+$Q4)*PY!$C$4*PYR&lt;PY!$C$5),0,PYY)*PYR)</f>
        <v>0</v>
      </c>
    </row>
    <row r="5" spans="2:26" hidden="1">
      <c r="B5" s="689">
        <v>2</v>
      </c>
      <c r="C5" s="689">
        <f ca="1">IF(OR(OP!$D$53=1,MAX($C4:C$4)&gt;=110),"",C4+(B5-B4))</f>
        <v>34</v>
      </c>
      <c r="D5" s="690">
        <f ca="1">IF(OR(OP!$D$53=1,AND(B5&gt;OP!$C$24)),"",OP!$C$52-IF($C5&lt;16,$K4,0))</f>
        <v>166833</v>
      </c>
      <c r="E5" s="690">
        <f ca="1">IF(OR(OP!$D$53=1,B5=""),"",N(E4)+N(D5))</f>
        <v>333666</v>
      </c>
      <c r="F5" s="690" t="str">
        <f ca="1">IF(OR(OP!$D$53=1,$B5="",ISERROR(VLOOKUP(OP!$C$55,SRV,$B5+1,0))),"",ROUND(VLOOKUP(OP!$C$55,SRV,$B5+1,0)*OP!$C$28,0))</f>
        <v/>
      </c>
      <c r="G5" s="690" t="str">
        <f ca="1">IF(OR(OP!$D$53=1,$B5="",ISERROR(VLOOKUP(OP!$C$55,SRV,$B5+1,0))),"",N(G4)+N(F5))</f>
        <v/>
      </c>
      <c r="H5" s="690">
        <f ca="1">IF(OR(OP!$D$53=1,B5=""),"",ROUND(VLOOKUP(OP!$C$55,DIE,$B5+1,0)*OP!$C$28,0))</f>
        <v>360903</v>
      </c>
      <c r="I5" s="691">
        <f ca="1">IF(OR(OP!$D$53=1,B5=""),"",ROUND(VLOOKUP(OP!$C$55,CV,$B5+1,0)*OP!$C$28,0))</f>
        <v>224502</v>
      </c>
      <c r="J5" s="691">
        <f ca="1">IF(OR(OP!$D$53=1,B5=""),"",VLOOKUP(OP!$C$55,PA,$B5+1,0)*OP!$C$28)</f>
        <v>100266</v>
      </c>
      <c r="K5" s="690">
        <f ca="1">IF(OR(OP!$D$53=1,B5=""),"",VLOOKUP($B5,more1,7,0))</f>
        <v>1941</v>
      </c>
      <c r="L5" s="690" t="str">
        <f ca="1">IF(OR(OP!$D$53=1,B5="",$B5&lt;=計算!$P$4),"",VLOOKUP($B5,more1,6,0))</f>
        <v/>
      </c>
      <c r="M5" s="690">
        <f ca="1">IF(OR(OP!$D$53=1,B5="",AND($B5&gt;=計算!$P$4,$C5&lt;15),ISERROR(VLOOKUP($B5,MORE_PV,4,0))),"",VLOOKUP($B5,MORE_PV,4,0))</f>
        <v>702</v>
      </c>
      <c r="N5" s="692">
        <f ca="1">IF(OR(OP!$D$53=1,B5="",$C5&lt;15,ISERROR(VLOOKUP($B5,MORE_PV,5,0))),"",VLOOKUP($B5,MORE_PV,5,0))</f>
        <v>970</v>
      </c>
      <c r="O5" s="692">
        <f ca="1">IF(OR(OP!$D$53=1,$B5="",ISERROR(VLOOKUP($B5-1,MORE_PV,9,0))),"",VLOOKUP($B5-1,MORE_PV,9,0))</f>
        <v>0</v>
      </c>
      <c r="P5" s="692">
        <f ca="1">IF(OR(OP!$D$53=1,$B5="",ISERROR($O5)),"",N($P4)+N($O5))</f>
        <v>0</v>
      </c>
      <c r="Q5" s="692">
        <f ca="1">IF(OR(OP!$D$53=1,B5=""),"",ROUND(VLOOKUP($B5,MORE_PV,8,0),0))</f>
        <v>2682</v>
      </c>
      <c r="R5" s="692">
        <f ca="1">IF(OR(OP!$D$53=1,B5=""),"",ROUND(VLOOKUP($B5,MORE_PV,7,0),0))</f>
        <v>2682</v>
      </c>
      <c r="S5" s="692">
        <f ca="1">IF(OR(OP!$D$53=1,B5=""),"",N($F5)+N(O5))</f>
        <v>0</v>
      </c>
      <c r="T5" s="692">
        <f ca="1">IF(OR(OP!$D$53=1,$B5=""),0,N(T4)+N($S5))</f>
        <v>0</v>
      </c>
      <c r="U5" s="690">
        <f ca="1">IF(OR(OP!$D$53=1,B5=""),"",N($H5)+IF(AND($B5&gt;計算!$P$4,計算!$G$6="現金給付"),N($K5),IF(AND($B5&gt;計算!$P$4,計算!$G$6="儲存生息"),N($L5),0))+N($Q5))</f>
        <v>363585</v>
      </c>
      <c r="V5" s="690">
        <f ca="1">IF(OR(OP!$D$53=1,$B5=""),"",N($I5)+IF(AND($B5&gt;計算!$P$4,計算!$G$6="現金給付"),N($K5),IF(AND($B5&gt;計算!$P$4,計算!$G$6="儲存生息"),N($L5),0))+N(R5))</f>
        <v>227184</v>
      </c>
      <c r="W5" s="422"/>
      <c r="X5" s="422"/>
      <c r="Y5" s="786">
        <f ca="1">IF(OR(OP!$D$53=1,$B5=""),"",((($H5+$Q5)-IF(AND(計算!$G$6=計算!$P$5,$B5=OP!$C$57),$K5,0))*IF(OR($C5&lt;16,Z5=0,Z5=""),1,PYO))+IF(AND($B5&gt;計算!$P$4,計算!$G$6="現金給付"),N($K5),IF(AND($B5&gt;計算!$P$4,計算!$G$6="儲存生息"),N($L5),0))+IF(AND(計算!$G$6=計算!$P$5,$B5=OP!$C$57),$K5,0))</f>
        <v>363585</v>
      </c>
      <c r="Z5" s="786">
        <f ca="1">IF(OR(OP!$D$53=1,$B5=""),"",(($H5+Q5)-IF(AND(計算!$G$6="購買增額繳清保險",$B5=OP!$C$57),$K5,0))*IF(OR($C5&lt;16,($H5+$Q5)*PY!$C$4&lt;PY!$D$5,($H5+$Q5)*PY!$C$4*PYR&lt;PY!$C$5),0,PYY)*PYR)</f>
        <v>0</v>
      </c>
    </row>
    <row r="6" spans="2:26" hidden="1">
      <c r="B6" s="689">
        <v>3</v>
      </c>
      <c r="C6" s="689">
        <f ca="1">IF(OR(OP!$D$53=1,MAX($C$4:C5)&gt;=110),"",C5+(B6-B5))</f>
        <v>35</v>
      </c>
      <c r="D6" s="690">
        <f ca="1">IF(OR(OP!$D$53=1,AND(B6&gt;OP!$C$24)),"",OP!$C$52-IF($C6&lt;16,$K5,0))</f>
        <v>166833</v>
      </c>
      <c r="E6" s="690">
        <f ca="1">IF(OR(OP!$D$53=1,B6=""),"",N(E5)+N(D6))</f>
        <v>500499</v>
      </c>
      <c r="F6" s="690" t="str">
        <f ca="1">IF(OR(OP!$D$53=1,$B6="",ISERROR(VLOOKUP(OP!$C$55,SRV,$B6+1,0))),"",ROUND(VLOOKUP(OP!$C$55,SRV,$B6+1,0)*OP!$C$28,0))</f>
        <v/>
      </c>
      <c r="G6" s="690" t="str">
        <f ca="1">IF(OR(OP!$D$53=1,$B6="",ISERROR(VLOOKUP(OP!$C$55,SRV,$B6+1,0))),"",N(G5)+N(F6))</f>
        <v/>
      </c>
      <c r="H6" s="690">
        <f ca="1">IF(OR(OP!$D$53=1,B6=""),"",ROUND(VLOOKUP(OP!$C$55,DIE,$B6+1,0)*OP!$C$28,0))</f>
        <v>541358</v>
      </c>
      <c r="I6" s="691">
        <f ca="1">IF(OR(OP!$D$53=1,B6=""),"",ROUND(VLOOKUP(OP!$C$55,CV,$B6+1,0)*OP!$C$28,0))</f>
        <v>390524</v>
      </c>
      <c r="J6" s="691">
        <f ca="1">IF(OR(OP!$D$53=1,B6=""),"",VLOOKUP(OP!$C$55,PA,$B6+1,0)*OP!$C$28)</f>
        <v>161704</v>
      </c>
      <c r="K6" s="690">
        <f ca="1">IF(OR(OP!$D$53=1,B6=""),"",VLOOKUP($B6,more1,7,0))</f>
        <v>3189</v>
      </c>
      <c r="L6" s="690" t="str">
        <f ca="1">IF(OR(OP!$D$53=1,B6="",$B6&lt;=計算!$P$4),"",VLOOKUP($B6,more1,6,0))</f>
        <v/>
      </c>
      <c r="M6" s="690">
        <f ca="1">IF(OR(OP!$D$53=1,B6="",AND($B6&gt;=計算!$P$4,$C6&lt;15),ISERROR(VLOOKUP($B6,MORE_PV,4,0))),"",VLOOKUP($B6,MORE_PV,4,0))</f>
        <v>1131</v>
      </c>
      <c r="N6" s="692">
        <f ca="1">IF(OR(OP!$D$53=1,B6="",$C6&lt;15,ISERROR(VLOOKUP($B6,MORE_PV,5,0))),"",VLOOKUP($B6,MORE_PV,5,0))</f>
        <v>2101</v>
      </c>
      <c r="O6" s="692">
        <f ca="1">IF(OR(OP!$D$53=1,$B6="",ISERROR(VLOOKUP($B6-1,MORE_PV,9,0))),"",VLOOKUP($B6-1,MORE_PV,9,0))</f>
        <v>0</v>
      </c>
      <c r="P6" s="692">
        <f ca="1">IF(OR(OP!$D$53=1,$B6="",ISERROR($O6)),"",N($P5)+N($O6))</f>
        <v>0</v>
      </c>
      <c r="Q6" s="692">
        <f ca="1">IF(OR(OP!$D$53=1,B6=""),"",ROUND(VLOOKUP($B6,MORE_PV,8,0),0))</f>
        <v>5926</v>
      </c>
      <c r="R6" s="692">
        <f ca="1">IF(OR(OP!$D$53=1,B6=""),"",ROUND(VLOOKUP($B6,MORE_PV,7,0),0))</f>
        <v>5926</v>
      </c>
      <c r="S6" s="692">
        <f ca="1">IF(OR(OP!$D$53=1,B6=""),"",N($F6)+N(O6))</f>
        <v>0</v>
      </c>
      <c r="T6" s="692">
        <f ca="1">IF(OR(OP!$D$53=1,$B6=""),0,N(T5)+N($S6))</f>
        <v>0</v>
      </c>
      <c r="U6" s="690">
        <f ca="1">IF(OR(OP!$D$53=1,B6=""),"",N($H6)+IF(AND($B6&gt;計算!$P$4,計算!$G$6="現金給付"),N($K6),IF(AND($B6&gt;計算!$P$4,計算!$G$6="儲存生息"),N($L6),0))+N($Q6))</f>
        <v>547284</v>
      </c>
      <c r="V6" s="690">
        <f ca="1">IF(OR(OP!$D$53=1,$B6=""),"",N($I6)+IF(AND($B6&gt;計算!$P$4,計算!$G$6="現金給付"),N($K6),IF(AND($B6&gt;計算!$P$4,計算!$G$6="儲存生息"),N($L6),0))+N(R6))</f>
        <v>396450</v>
      </c>
      <c r="W6" s="422"/>
      <c r="X6" s="422"/>
      <c r="Y6" s="786">
        <f ca="1">IF(OR(OP!$D$53=1,$B6=""),"",((($H6+$Q6)-IF(AND(計算!$G$6=計算!$P$5,$B6=OP!$C$57),$K6,0))*IF(OR($C6&lt;16,Z6=0,Z6=""),1,PYO))+IF(AND($B6&gt;計算!$P$4,計算!$G$6="現金給付"),N($K6),IF(AND($B6&gt;計算!$P$4,計算!$G$6="儲存生息"),N($L6),0))+IF(AND(計算!$G$6=計算!$P$5,$B6=OP!$C$57),$K6,0))</f>
        <v>547284</v>
      </c>
      <c r="Z6" s="786">
        <f ca="1">IF(OR(OP!$D$53=1,$B6=""),"",(($H6+Q6)-IF(AND(計算!$G$6="購買增額繳清保險",$B6=OP!$C$57),$K6,0))*IF(OR($C6&lt;16,($H6+$Q6)*PY!$C$4&lt;PY!$D$5,($H6+$Q6)*PY!$C$4*PYR&lt;PY!$C$5),0,PYY)*PYR)</f>
        <v>0</v>
      </c>
    </row>
    <row r="7" spans="2:26" hidden="1">
      <c r="B7" s="689">
        <v>4</v>
      </c>
      <c r="C7" s="689">
        <f ca="1">IF(OR(OP!$D$53=1,MAX($C$4:C6)&gt;=110),"",C6+(B7-B6))</f>
        <v>36</v>
      </c>
      <c r="D7" s="690">
        <f ca="1">IF(OR(OP!$D$53=1,AND(B7&gt;OP!$C$24)),"",OP!$C$52-IF($C7&lt;16,$K6,0))</f>
        <v>166833</v>
      </c>
      <c r="E7" s="690">
        <f ca="1">IF(OR(OP!$D$53=1,B7=""),"",N(E6)+N(D7))</f>
        <v>667332</v>
      </c>
      <c r="F7" s="690" t="str">
        <f ca="1">IF(OR(OP!$D$53=1,$B7="",ISERROR(VLOOKUP(OP!$C$55,SRV,$B7+1,0))),"",ROUND(VLOOKUP(OP!$C$55,SRV,$B7+1,0)*OP!$C$28,0))</f>
        <v/>
      </c>
      <c r="G7" s="690" t="str">
        <f ca="1">IF(OR(OP!$D$53=1,$B7="",ISERROR(VLOOKUP(OP!$C$55,SRV,$B7+1,0))),"",N(G6)+N(F7))</f>
        <v/>
      </c>
      <c r="H7" s="690">
        <f ca="1">IF(OR(OP!$D$53=1,B7=""),"",ROUND(VLOOKUP(OP!$C$55,DIE,$B7+1,0)*OP!$C$28,0))</f>
        <v>721810</v>
      </c>
      <c r="I7" s="691">
        <f ca="1">IF(OR(OP!$D$53=1,B7=""),"",ROUND(VLOOKUP(OP!$C$55,CV,$B7+1,0)*OP!$C$28,0))</f>
        <v>577592</v>
      </c>
      <c r="J7" s="691">
        <f ca="1">IF(OR(OP!$D$53=1,B7=""),"",VLOOKUP(OP!$C$55,PA,$B7+1,0)*OP!$C$28)</f>
        <v>221884</v>
      </c>
      <c r="K7" s="690">
        <f ca="1">IF(OR(OP!$D$53=1,B7=""),"",VLOOKUP($B7,more1,7,0))</f>
        <v>4470</v>
      </c>
      <c r="L7" s="690" t="str">
        <f ca="1">IF(OR(OP!$D$53=1,B7="",$B7&lt;=計算!$P$4),"",VLOOKUP($B7,more1,6,0))</f>
        <v/>
      </c>
      <c r="M7" s="690">
        <f ca="1">IF(OR(OP!$D$53=1,B7="",AND($B7&gt;=計算!$P$4,$C7&lt;15),ISERROR(VLOOKUP($B7,MORE_PV,4,0))),"",VLOOKUP($B7,MORE_PV,4,0))</f>
        <v>1554</v>
      </c>
      <c r="N7" s="692">
        <f ca="1">IF(OR(OP!$D$53=1,B7="",$C7&lt;15,ISERROR(VLOOKUP($B7,MORE_PV,5,0))),"",VLOOKUP($B7,MORE_PV,5,0))</f>
        <v>3655</v>
      </c>
      <c r="O7" s="692">
        <f ca="1">IF(OR(OP!$D$53=1,$B7="",ISERROR(VLOOKUP($B7-1,MORE_PV,9,0))),"",VLOOKUP($B7-1,MORE_PV,9,0))</f>
        <v>0</v>
      </c>
      <c r="P7" s="692">
        <f ca="1">IF(OR(OP!$D$53=1,$B7="",ISERROR($O7)),"",N($P6)+N($O7))</f>
        <v>0</v>
      </c>
      <c r="Q7" s="692">
        <f ca="1">IF(OR(OP!$D$53=1,B7=""),"",ROUND(VLOOKUP($B7,MORE_PV,8,0),0))</f>
        <v>10515</v>
      </c>
      <c r="R7" s="692">
        <f ca="1">IF(OR(OP!$D$53=1,B7=""),"",ROUND(VLOOKUP($B7,MORE_PV,7,0),0))</f>
        <v>10515</v>
      </c>
      <c r="S7" s="692">
        <f ca="1">IF(OR(OP!$D$53=1,B7=""),"",N($F7)+N(O7))</f>
        <v>0</v>
      </c>
      <c r="T7" s="692">
        <f ca="1">IF(OR(OP!$D$53=1,$B7=""),0,N(T6)+N($S7))</f>
        <v>0</v>
      </c>
      <c r="U7" s="690">
        <f ca="1">IF(OR(OP!$D$53=1,B7=""),"",N($H7)+IF(AND($B7&gt;計算!$P$4,計算!$G$6="現金給付"),N($K7),IF(AND($B7&gt;計算!$P$4,計算!$G$6="儲存生息"),N($L7),0))+N($Q7))</f>
        <v>732325</v>
      </c>
      <c r="V7" s="690">
        <f ca="1">IF(OR(OP!$D$53=1,$B7=""),"",N($I7)+IF(AND($B7&gt;計算!$P$4,計算!$G$6="現金給付"),N($K7),IF(AND($B7&gt;計算!$P$4,計算!$G$6="儲存生息"),N($L7),0))+N(R7))</f>
        <v>588107</v>
      </c>
      <c r="W7" s="422"/>
      <c r="X7" s="422"/>
      <c r="Y7" s="786">
        <f ca="1">IF(OR(OP!$D$53=1,$B7=""),"",((($H7+$Q7)-IF(AND(計算!$G$6=計算!$P$5,$B7=OP!$C$57),$K7,0))*IF(OR($C7&lt;16,Z7=0,Z7=""),1,PYO))+IF(AND($B7&gt;計算!$P$4,計算!$G$6="現金給付"),N($K7),IF(AND($B7&gt;計算!$P$4,計算!$G$6="儲存生息"),N($L7),0))+IF(AND(計算!$G$6=計算!$P$5,$B7=OP!$C$57),$K7,0))</f>
        <v>732325</v>
      </c>
      <c r="Z7" s="786">
        <f ca="1">IF(OR(OP!$D$53=1,$B7=""),"",(($H7+Q7)-IF(AND(計算!$G$6="購買增額繳清保險",$B7=OP!$C$57),$K7,0))*IF(OR($C7&lt;16,($H7+$Q7)*PY!$C$4&lt;PY!$D$5,($H7+$Q7)*PY!$C$4*PYR&lt;PY!$C$5),0,PYY)*PYR)</f>
        <v>0</v>
      </c>
    </row>
    <row r="8" spans="2:26" hidden="1">
      <c r="B8" s="689">
        <v>5</v>
      </c>
      <c r="C8" s="689">
        <f ca="1">IF(OR(OP!$D$53=1,MAX($C$4:C7)&gt;=110),"",C7+(B8-B7))</f>
        <v>37</v>
      </c>
      <c r="D8" s="690">
        <f ca="1">IF(OR(OP!$D$53=1,AND(B8&gt;OP!$C$24)),"",OP!$C$52-IF($C8&lt;16,$K7,0))</f>
        <v>166833</v>
      </c>
      <c r="E8" s="690">
        <f ca="1">IF(OR(OP!$D$53=1,B8=""),"",N(E7)+N(D8))</f>
        <v>834165</v>
      </c>
      <c r="F8" s="690" t="str">
        <f ca="1">IF(OR(OP!$D$53=1,$B8="",ISERROR(VLOOKUP(OP!$C$55,SRV,$B8+1,0))),"",ROUND(VLOOKUP(OP!$C$55,SRV,$B8+1,0)*OP!$C$28,0))</f>
        <v/>
      </c>
      <c r="G8" s="690" t="str">
        <f ca="1">IF(OR(OP!$D$53=1,$B8="",ISERROR(VLOOKUP(OP!$C$55,SRV,$B8+1,0))),"",N(G7)+N(F8))</f>
        <v/>
      </c>
      <c r="H8" s="690">
        <f ca="1">IF(OR(OP!$D$53=1,B8=""),"",ROUND(VLOOKUP(OP!$C$55,DIE,$B8+1,0)*OP!$C$28,0))</f>
        <v>902261</v>
      </c>
      <c r="I8" s="691">
        <f ca="1">IF(OR(OP!$D$53=1,B8=""),"",ROUND(VLOOKUP(OP!$C$55,CV,$B8+1,0)*OP!$C$28,0))</f>
        <v>786420</v>
      </c>
      <c r="J8" s="691">
        <f ca="1">IF(OR(OP!$D$53=1,B8=""),"",VLOOKUP(OP!$C$55,PA,$B8+1,0)*OP!$C$28)</f>
        <v>280942</v>
      </c>
      <c r="K8" s="690">
        <f ca="1">IF(OR(OP!$D$53=1,B8=""),"",VLOOKUP($B8,more1,7,0))</f>
        <v>5786</v>
      </c>
      <c r="L8" s="690" t="str">
        <f ca="1">IF(OR(OP!$D$53=1,B8="",$B8&lt;=計算!$P$4),"",VLOOKUP($B8,more1,6,0))</f>
        <v/>
      </c>
      <c r="M8" s="690">
        <f ca="1">IF(OR(OP!$D$53=1,B8="",AND($B8&gt;=計算!$P$4,$C8&lt;15),ISERROR(VLOOKUP($B8,MORE_PV,4,0))),"",VLOOKUP($B8,MORE_PV,4,0))</f>
        <v>1972</v>
      </c>
      <c r="N8" s="692">
        <f ca="1">IF(OR(OP!$D$53=1,B8="",$C8&lt;15,ISERROR(VLOOKUP($B8,MORE_PV,5,0))),"",VLOOKUP($B8,MORE_PV,5,0))</f>
        <v>5627</v>
      </c>
      <c r="O8" s="692">
        <f ca="1">IF(OR(OP!$D$53=1,$B8="",ISERROR(VLOOKUP($B8-1,MORE_PV,9,0))),"",VLOOKUP($B8-1,MORE_PV,9,0))</f>
        <v>0</v>
      </c>
      <c r="P8" s="692">
        <f ca="1">IF(OR(OP!$D$53=1,$B8="",ISERROR($O8)),"",N($P7)+N($O8))</f>
        <v>0</v>
      </c>
      <c r="Q8" s="692">
        <f ca="1">IF(OR(OP!$D$53=1,B8=""),"",ROUND(VLOOKUP($B8,MORE_PV,8,0),0))</f>
        <v>16512</v>
      </c>
      <c r="R8" s="692">
        <f ca="1">IF(OR(OP!$D$53=1,B8=""),"",ROUND(VLOOKUP($B8,MORE_PV,7,0),0))</f>
        <v>16512</v>
      </c>
      <c r="S8" s="692">
        <f ca="1">IF(OR(OP!$D$53=1,B8=""),"",N($F8)+N(O8))</f>
        <v>0</v>
      </c>
      <c r="T8" s="692">
        <f ca="1">IF(OR(OP!$D$53=1,$B8=""),0,N(T7)+N($S8))</f>
        <v>0</v>
      </c>
      <c r="U8" s="690">
        <f ca="1">IF(OR(OP!$D$53=1,B8=""),"",N($H8)+IF(AND($B8&gt;計算!$P$4,計算!$G$6="現金給付"),N($K8),IF(AND($B8&gt;計算!$P$4,計算!$G$6="儲存生息"),N($L8),0))+N($Q8))</f>
        <v>918773</v>
      </c>
      <c r="V8" s="690">
        <f ca="1">IF(OR(OP!$D$53=1,$B8=""),"",N($I8)+IF(AND($B8&gt;計算!$P$4,計算!$G$6="現金給付"),N($K8),IF(AND($B8&gt;計算!$P$4,計算!$G$6="儲存生息"),N($L8),0))+N(R8))</f>
        <v>802932</v>
      </c>
      <c r="W8" s="422"/>
      <c r="X8" s="422"/>
      <c r="Y8" s="786">
        <f ca="1">IF(OR(OP!$D$53=1,$B8=""),"",((($H8+$Q8)-IF(AND(計算!$G$6=計算!$P$5,$B8=OP!$C$57),$K8,0))*IF(OR($C8&lt;16,Z8=0,Z8=""),1,PYO))+IF(AND($B8&gt;計算!$P$4,計算!$G$6="現金給付"),N($K8),IF(AND($B8&gt;計算!$P$4,計算!$G$6="儲存生息"),N($L8),0))+IF(AND(計算!$G$6=計算!$P$5,$B8=OP!$C$57),$K8,0))</f>
        <v>918773</v>
      </c>
      <c r="Z8" s="786">
        <f ca="1">IF(OR(OP!$D$53=1,$B8=""),"",(($H8+Q8)-IF(AND(計算!$G$6="購買增額繳清保險",$B8=OP!$C$57),$K8,0))*IF(OR($C8&lt;16,($H8+$Q8)*PY!$C$4&lt;PY!$D$5,($H8+$Q8)*PY!$C$4*PYR&lt;PY!$C$5),0,PYY)*PYR)</f>
        <v>0</v>
      </c>
    </row>
    <row r="9" spans="2:26" hidden="1">
      <c r="B9" s="689">
        <v>6</v>
      </c>
      <c r="C9" s="689">
        <f ca="1">IF(OR(OP!$D$53=1,MAX($C$4:C8)&gt;=110),"",C8+(B9-B8))</f>
        <v>38</v>
      </c>
      <c r="D9" s="690">
        <f ca="1">IF(OR(OP!$D$53=1,AND(B9&gt;OP!$C$24)),"",OP!$C$52-IF($C9&lt;16,$K8,0))</f>
        <v>166833</v>
      </c>
      <c r="E9" s="690">
        <f ca="1">IF(OR(OP!$D$53=1,B9=""),"",N(E8)+N(D9))</f>
        <v>1000998</v>
      </c>
      <c r="F9" s="690" t="str">
        <f ca="1">IF(OR(OP!$D$53=1,$B9="",ISERROR(VLOOKUP(OP!$C$55,SRV,$B9+1,0))),"",ROUND(VLOOKUP(OP!$C$55,SRV,$B9+1,0)*OP!$C$28,0))</f>
        <v/>
      </c>
      <c r="G9" s="690" t="str">
        <f ca="1">IF(OR(OP!$D$53=1,$B9="",ISERROR(VLOOKUP(OP!$C$55,SRV,$B9+1,0))),"",N(G8)+N(F9))</f>
        <v/>
      </c>
      <c r="H9" s="690">
        <f ca="1">IF(OR(OP!$D$53=1,B9=""),"",ROUND(VLOOKUP(OP!$C$55,DIE,$B9+1,0)*OP!$C$28,0))</f>
        <v>1082713</v>
      </c>
      <c r="I9" s="691">
        <f ca="1">IF(OR(OP!$D$53=1,B9=""),"",ROUND(VLOOKUP(OP!$C$55,CV,$B9+1,0)*OP!$C$28,0))</f>
        <v>1007318</v>
      </c>
      <c r="J9" s="691">
        <f ca="1">IF(OR(OP!$D$53=1,B9=""),"",VLOOKUP(OP!$C$55,PA,$B9+1,0)*OP!$C$28)</f>
        <v>0</v>
      </c>
      <c r="K9" s="690">
        <f ca="1">IF(OR(OP!$D$53=1,B9=""),"",VLOOKUP($B9,more1,7,0))</f>
        <v>7137</v>
      </c>
      <c r="L9" s="690" t="str">
        <f ca="1">IF(OR(OP!$D$53=1,B9="",$B9&lt;=計算!$P$4),"",VLOOKUP($B9,more1,6,0))</f>
        <v/>
      </c>
      <c r="M9" s="690">
        <f ca="1">IF(OR(OP!$D$53=1,B9="",AND($B9&gt;=計算!$P$4,$C9&lt;15),ISERROR(VLOOKUP($B9,MORE_PV,4,0))),"",VLOOKUP($B9,MORE_PV,4,0))</f>
        <v>2385</v>
      </c>
      <c r="N9" s="692">
        <f ca="1">IF(OR(OP!$D$53=1,B9="",$C9&lt;15,ISERROR(VLOOKUP($B9,MORE_PV,5,0))),"",VLOOKUP($B9,MORE_PV,5,0))</f>
        <v>8012</v>
      </c>
      <c r="O9" s="692">
        <f ca="1">IF(OR(OP!$D$53=1,$B9="",ISERROR(VLOOKUP($B9-1,MORE_PV,9,0))),"",VLOOKUP($B9-1,MORE_PV,9,0))</f>
        <v>0</v>
      </c>
      <c r="P9" s="692">
        <f ca="1">IF(OR(OP!$D$53=1,$B9="",ISERROR($O9)),"",N($P8)+N($O9))</f>
        <v>0</v>
      </c>
      <c r="Q9" s="692">
        <f ca="1">IF(OR(OP!$D$53=1,B9=""),"",ROUND(VLOOKUP($B9,MORE_PV,8,0),0))</f>
        <v>25514</v>
      </c>
      <c r="R9" s="692">
        <f ca="1">IF(OR(OP!$D$53=1,B9=""),"",ROUND(VLOOKUP($B9,MORE_PV,7,0),0))</f>
        <v>23977</v>
      </c>
      <c r="S9" s="692">
        <f ca="1">IF(OR(OP!$D$53=1,B9=""),"",N($F9)+N(O9))</f>
        <v>0</v>
      </c>
      <c r="T9" s="692">
        <f ca="1">IF(OR(OP!$D$53=1,$B9=""),0,N(T8)+N($S9))</f>
        <v>0</v>
      </c>
      <c r="U9" s="690">
        <f ca="1">IF(OR(OP!$D$53=1,B9=""),"",N($H9)+IF(AND($B9&gt;計算!$P$4,計算!$G$6="現金給付"),N($K9),IF(AND($B9&gt;計算!$P$4,計算!$G$6="儲存生息"),N($L9),0))+N($Q9))</f>
        <v>1108227</v>
      </c>
      <c r="V9" s="690">
        <f ca="1">IF(OR(OP!$D$53=1,$B9=""),"",N($I9)+IF(AND($B9&gt;計算!$P$4,計算!$G$6="現金給付"),N($K9),IF(AND($B9&gt;計算!$P$4,計算!$G$6="儲存生息"),N($L9),0))+N(R9))</f>
        <v>1031295</v>
      </c>
      <c r="W9" s="422"/>
      <c r="X9" s="422"/>
      <c r="Y9" s="786">
        <f ca="1">IF(OR(OP!$D$53=1,$B9=""),"",((($H9+$Q9)-IF(AND(計算!$G$6=計算!$P$5,$B9=OP!$C$57),$K9,0))*IF(OR($C9&lt;16,Z9=0,Z9=""),1,PYO))+IF(AND($B9&gt;計算!$P$4,計算!$G$6="現金給付"),N($K9),IF(AND($B9&gt;計算!$P$4,計算!$G$6="儲存生息"),N($L9),0))+IF(AND(計算!$G$6=計算!$P$5,$B9=OP!$C$57),$K9,0))</f>
        <v>1108227</v>
      </c>
      <c r="Z9" s="786">
        <f ca="1">IF(OR(OP!$D$53=1,$B9=""),"",(($H9+Q9)-IF(AND(計算!$G$6="購買增額繳清保險",$B9=OP!$C$57),$K9,0))*IF(OR($C9&lt;16,($H9+$Q9)*PY!$C$4&lt;PY!$D$5,($H9+$Q9)*PY!$C$4*PYR&lt;PY!$C$5),0,PYY)*PYR)</f>
        <v>0</v>
      </c>
    </row>
    <row r="10" spans="2:26" hidden="1">
      <c r="B10" s="689">
        <v>7</v>
      </c>
      <c r="C10" s="689">
        <f ca="1">IF(OR(OP!$D$53=1,MAX($C$4:C9)&gt;=110),"",C9+(B10-B9))</f>
        <v>39</v>
      </c>
      <c r="D10" s="690" t="str">
        <f ca="1">IF(OR(OP!$D$53=1,AND(B10&gt;OP!$C$24)),"",OP!$C$52-IF($C10&lt;16,$K9,0))</f>
        <v/>
      </c>
      <c r="E10" s="690">
        <f ca="1">IF(OR(OP!$D$53=1,B10=""),"",N(E9)+N(D10))</f>
        <v>1000998</v>
      </c>
      <c r="F10" s="690" t="str">
        <f ca="1">IF(OR(OP!$D$53=1,$B10="",ISERROR(VLOOKUP(OP!$C$55,SRV,$B10+1,0))),"",ROUND(VLOOKUP(OP!$C$55,SRV,$B10+1,0)*OP!$C$28,0))</f>
        <v/>
      </c>
      <c r="G10" s="690" t="str">
        <f ca="1">IF(OR(OP!$D$53=1,$B10="",ISERROR(VLOOKUP(OP!$C$55,SRV,$B10+1,0))),"",N(G9)+N(F10))</f>
        <v/>
      </c>
      <c r="H10" s="690">
        <f ca="1">IF(OR(OP!$D$53=1,B10=""),"",ROUND(VLOOKUP(OP!$C$55,DIE,$B10+1,0)*OP!$C$28,0))</f>
        <v>1082713</v>
      </c>
      <c r="I10" s="691">
        <f ca="1">IF(OR(OP!$D$53=1,B10=""),"",ROUND(VLOOKUP(OP!$C$55,CV,$B10+1,0)*OP!$C$28,0))</f>
        <v>1037748</v>
      </c>
      <c r="J10" s="691">
        <f ca="1">IF(OR(OP!$D$53=1,B10=""),"",VLOOKUP(OP!$C$55,PA,$B10+1,0)*OP!$C$28)</f>
        <v>0</v>
      </c>
      <c r="K10" s="690">
        <f ca="1">IF(OR(OP!$D$53=1,B10=""),"",VLOOKUP($B10,more1,7,0))</f>
        <v>7329</v>
      </c>
      <c r="L10" s="690">
        <f ca="1">IF(OR(OP!$D$53=1,B10="",$B10&lt;=計算!$P$4),"",VLOOKUP($B10,more1,6,0))</f>
        <v>7329</v>
      </c>
      <c r="M10" s="690">
        <f ca="1">IF(OR(OP!$D$53=1,B10="",AND($B10&gt;=計算!$P$4,$C10&lt;15),ISERROR(VLOOKUP($B10,MORE_PV,4,0))),"",VLOOKUP($B10,MORE_PV,4,0))</f>
        <v>0</v>
      </c>
      <c r="N10" s="692">
        <f ca="1">IF(OR(OP!$D$53=1,B10="",$C10&lt;15,ISERROR(VLOOKUP($B10,MORE_PV,5,0))),"",VLOOKUP($B10,MORE_PV,5,0))</f>
        <v>8012</v>
      </c>
      <c r="O10" s="692">
        <f ca="1">IF(OR(OP!$D$53=1,$B10="",ISERROR(VLOOKUP($B10-1,MORE_PV,9,0))),"",VLOOKUP($B10-1,MORE_PV,9,0))</f>
        <v>0</v>
      </c>
      <c r="P10" s="692">
        <f ca="1">IF(OR(OP!$D$53=1,$B10="",ISERROR($O10)),"",N($P9)+N($O10))</f>
        <v>0</v>
      </c>
      <c r="Q10" s="692">
        <f ca="1">IF(OR(OP!$D$53=1,B10=""),"",ROUND(VLOOKUP($B10,MORE_PV,8,0),0))</f>
        <v>25514</v>
      </c>
      <c r="R10" s="692">
        <f ca="1">IF(OR(OP!$D$53=1,B10=""),"",ROUND(VLOOKUP($B10,MORE_PV,7,0),0))</f>
        <v>24454</v>
      </c>
      <c r="S10" s="692">
        <f ca="1">IF(OR(OP!$D$53=1,B10=""),"",N($F10)+N(O10))</f>
        <v>0</v>
      </c>
      <c r="T10" s="692">
        <f ca="1">IF(OR(OP!$D$53=1,$B10=""),0,N(T9)+N($S10))</f>
        <v>0</v>
      </c>
      <c r="U10" s="690">
        <f ca="1">IF(OR(OP!$D$53=1,B10=""),"",N($H10)+IF(AND($B10&gt;計算!$P$4,計算!$G$6="現金給付"),N($K10),IF(AND($B10&gt;計算!$P$4,計算!$G$6="儲存生息"),N($L10),0))+N($Q10))</f>
        <v>1115556</v>
      </c>
      <c r="V10" s="690">
        <f ca="1">IF(OR(OP!$D$53=1,$B10=""),"",N($I10)+IF(AND($B10&gt;計算!$P$4,計算!$G$6="現金給付"),N($K10),IF(AND($B10&gt;計算!$P$4,計算!$G$6="儲存生息"),N($L10),0))+N(R10))</f>
        <v>1069531</v>
      </c>
      <c r="W10" s="422"/>
      <c r="X10" s="422"/>
      <c r="Y10" s="786">
        <f ca="1">IF(OR(OP!$D$53=1,$B10=""),"",((($H10+$Q10)-IF(AND(計算!$G$6=計算!$P$5,$B10=OP!$C$57),$K10,0))*IF(OR($C10&lt;16,Z10=0,Z10=""),1,PYO))+IF(AND($B10&gt;計算!$P$4,計算!$G$6="現金給付"),N($K10),IF(AND($B10&gt;計算!$P$4,計算!$G$6="儲存生息"),N($L10),0))+IF(AND(計算!$G$6=計算!$P$5,$B10=OP!$C$57),$K10,0))</f>
        <v>1115556</v>
      </c>
      <c r="Z10" s="786">
        <f ca="1">IF(OR(OP!$D$53=1,$B10=""),"",(($H10+Q10)-IF(AND(計算!$G$6="購買增額繳清保險",$B10=OP!$C$57),$K10,0))*IF(OR($C10&lt;16,($H10+$Q10)*PY!$C$4&lt;PY!$D$5,($H10+$Q10)*PY!$C$4*PYR&lt;PY!$C$5),0,PYY)*PYR)</f>
        <v>0</v>
      </c>
    </row>
    <row r="11" spans="2:26" hidden="1">
      <c r="B11" s="689">
        <v>8</v>
      </c>
      <c r="C11" s="689">
        <f ca="1">IF(OR(OP!$D$53=1,MAX($C$4:C10)&gt;=110),"",C10+(B11-B10))</f>
        <v>40</v>
      </c>
      <c r="D11" s="690" t="str">
        <f ca="1">IF(OR(OP!$D$53=1,AND(B11&gt;OP!$C$24)),"",OP!$C$52-IF($C11&lt;16,$K10,0))</f>
        <v/>
      </c>
      <c r="E11" s="690">
        <f ca="1">IF(OR(OP!$D$53=1,B11=""),"",N(E10)+N(D11))</f>
        <v>1000998</v>
      </c>
      <c r="F11" s="690" t="str">
        <f ca="1">IF(OR(OP!$D$53=1,$B11="",ISERROR(VLOOKUP(OP!$C$55,SRV,$B11+1,0))),"",ROUND(VLOOKUP(OP!$C$55,SRV,$B11+1,0)*OP!$C$28,0))</f>
        <v/>
      </c>
      <c r="G11" s="690" t="str">
        <f ca="1">IF(OR(OP!$D$53=1,$B11="",ISERROR(VLOOKUP(OP!$C$55,SRV,$B11+1,0))),"",N(G10)+N(F11))</f>
        <v/>
      </c>
      <c r="H11" s="690">
        <f ca="1">IF(OR(OP!$D$53=1,B11=""),"",ROUND(VLOOKUP(OP!$C$55,DIE,$B11+1,0)*OP!$C$28,0))</f>
        <v>1082713</v>
      </c>
      <c r="I11" s="691">
        <f ca="1">IF(OR(OP!$D$53=1,B11=""),"",ROUND(VLOOKUP(OP!$C$55,CV,$B11+1,0)*OP!$C$28,0))</f>
        <v>1058420</v>
      </c>
      <c r="J11" s="691">
        <f ca="1">IF(OR(OP!$D$53=1,B11=""),"",VLOOKUP(OP!$C$55,PA,$B11+1,0)*OP!$C$28)</f>
        <v>0</v>
      </c>
      <c r="K11" s="690">
        <f ca="1">IF(OR(OP!$D$53=1,B11=""),"",VLOOKUP($B11,more1,7,0))</f>
        <v>7475</v>
      </c>
      <c r="L11" s="690">
        <f ca="1">IF(OR(OP!$D$53=1,B11="",$B11&lt;=計算!$P$4),"",VLOOKUP($B11,more1,6,0))</f>
        <v>15004</v>
      </c>
      <c r="M11" s="690">
        <f ca="1">IF(OR(OP!$D$53=1,B11="",AND($B11&gt;=計算!$P$4,$C11&lt;15),ISERROR(VLOOKUP($B11,MORE_PV,4,0))),"",VLOOKUP($B11,MORE_PV,4,0))</f>
        <v>0</v>
      </c>
      <c r="N11" s="692">
        <f ca="1">IF(OR(OP!$D$53=1,B11="",$C11&lt;15,ISERROR(VLOOKUP($B11,MORE_PV,5,0))),"",VLOOKUP($B11,MORE_PV,5,0))</f>
        <v>8012</v>
      </c>
      <c r="O11" s="692">
        <f ca="1">IF(OR(OP!$D$53=1,$B11="",ISERROR(VLOOKUP($B11-1,MORE_PV,9,0))),"",VLOOKUP($B11-1,MORE_PV,9,0))</f>
        <v>0</v>
      </c>
      <c r="P11" s="692">
        <f ca="1">IF(OR(OP!$D$53=1,$B11="",ISERROR($O11)),"",N($P10)+N($O11))</f>
        <v>0</v>
      </c>
      <c r="Q11" s="692">
        <f ca="1">IF(OR(OP!$D$53=1,B11=""),"",ROUND(VLOOKUP($B11,MORE_PV,8,0),0))</f>
        <v>25514</v>
      </c>
      <c r="R11" s="692">
        <f ca="1">IF(OR(OP!$D$53=1,B11=""),"",ROUND(VLOOKUP($B11,MORE_PV,7,0),0))</f>
        <v>24941</v>
      </c>
      <c r="S11" s="692">
        <f ca="1">IF(OR(OP!$D$53=1,B11=""),"",N($F11)+N(O11))</f>
        <v>0</v>
      </c>
      <c r="T11" s="692">
        <f ca="1">IF(OR(OP!$D$53=1,$B11=""),0,N(T10)+N($S11))</f>
        <v>0</v>
      </c>
      <c r="U11" s="690">
        <f ca="1">IF(OR(OP!$D$53=1,B11=""),"",N($H11)+IF(AND($B11&gt;計算!$P$4,計算!$G$6="現金給付"),N($K11),IF(AND($B11&gt;計算!$P$4,計算!$G$6="儲存生息"),N($L11),0))+N($Q11))</f>
        <v>1123231</v>
      </c>
      <c r="V11" s="690">
        <f ca="1">IF(OR(OP!$D$53=1,$B11=""),"",N($I11)+IF(AND($B11&gt;計算!$P$4,計算!$G$6="現金給付"),N($K11),IF(AND($B11&gt;計算!$P$4,計算!$G$6="儲存生息"),N($L11),0))+N(R11))</f>
        <v>1098365</v>
      </c>
      <c r="W11" s="422"/>
      <c r="X11" s="422"/>
      <c r="Y11" s="786">
        <f ca="1">IF(OR(OP!$D$53=1,$B11=""),"",((($H11+$Q11)-IF(AND(計算!$G$6=計算!$P$5,$B11=OP!$C$57),$K11,0))*IF(OR($C11&lt;16,Z11=0,Z11=""),1,PYO))+IF(AND($B11&gt;計算!$P$4,計算!$G$6="現金給付"),N($K11),IF(AND($B11&gt;計算!$P$4,計算!$G$6="儲存生息"),N($L11),0))+IF(AND(計算!$G$6=計算!$P$5,$B11=OP!$C$57),$K11,0))</f>
        <v>1123231</v>
      </c>
      <c r="Z11" s="786">
        <f ca="1">IF(OR(OP!$D$53=1,$B11=""),"",(($H11+Q11)-IF(AND(計算!$G$6="購買增額繳清保險",$B11=OP!$C$57),$K11,0))*IF(OR($C11&lt;16,($H11+$Q11)*PY!$C$4&lt;PY!$D$5,($H11+$Q11)*PY!$C$4*PYR&lt;PY!$C$5),0,PYY)*PYR)</f>
        <v>0</v>
      </c>
    </row>
    <row r="12" spans="2:26" hidden="1">
      <c r="B12" s="689">
        <v>9</v>
      </c>
      <c r="C12" s="689">
        <f ca="1">IF(OR(OP!$D$53=1,MAX($C$4:C11)&gt;=110),"",C11+(B12-B11))</f>
        <v>41</v>
      </c>
      <c r="D12" s="690" t="str">
        <f ca="1">IF(OR(OP!$D$53=1,AND(B12&gt;OP!$C$24)),"",OP!$C$52-IF($C12&lt;16,$K11,0))</f>
        <v/>
      </c>
      <c r="E12" s="690">
        <f ca="1">IF(OR(OP!$D$53=1,B12=""),"",N(E11)+N(D12))</f>
        <v>1000998</v>
      </c>
      <c r="F12" s="690" t="str">
        <f ca="1">IF(OR(OP!$D$53=1,$B12="",ISERROR(VLOOKUP(OP!$C$55,SRV,$B12+1,0))),"",ROUND(VLOOKUP(OP!$C$55,SRV,$B12+1,0)*OP!$C$28,0))</f>
        <v/>
      </c>
      <c r="G12" s="690" t="str">
        <f ca="1">IF(OR(OP!$D$53=1,$B12="",ISERROR(VLOOKUP(OP!$C$55,SRV,$B12+1,0))),"",N(G11)+N(F12))</f>
        <v/>
      </c>
      <c r="H12" s="690">
        <f ca="1">IF(OR(OP!$D$53=1,B12=""),"",ROUND(VLOOKUP(OP!$C$55,DIE,$B12+1,0)*OP!$C$28,0))</f>
        <v>1082713</v>
      </c>
      <c r="I12" s="691">
        <f ca="1">IF(OR(OP!$D$53=1,B12=""),"",ROUND(VLOOKUP(OP!$C$55,CV,$B12+1,0)*OP!$C$28,0))</f>
        <v>1079534</v>
      </c>
      <c r="J12" s="691">
        <f ca="1">IF(OR(OP!$D$53=1,B12=""),"",VLOOKUP(OP!$C$55,PA,$B12+1,0)*OP!$C$28)</f>
        <v>0</v>
      </c>
      <c r="K12" s="690">
        <f ca="1">IF(OR(OP!$D$53=1,B12=""),"",VLOOKUP($B12,more1,7,0))</f>
        <v>7625</v>
      </c>
      <c r="L12" s="690">
        <f ca="1">IF(OR(OP!$D$53=1,B12="",$B12&lt;=計算!$P$4),"",VLOOKUP($B12,more1,6,0))</f>
        <v>23038</v>
      </c>
      <c r="M12" s="690">
        <f ca="1">IF(OR(OP!$D$53=1,B12="",AND($B12&gt;=計算!$P$4,$C12&lt;15),ISERROR(VLOOKUP($B12,MORE_PV,4,0))),"",VLOOKUP($B12,MORE_PV,4,0))</f>
        <v>0</v>
      </c>
      <c r="N12" s="692">
        <f ca="1">IF(OR(OP!$D$53=1,B12="",$C12&lt;15,ISERROR(VLOOKUP($B12,MORE_PV,5,0))),"",VLOOKUP($B12,MORE_PV,5,0))</f>
        <v>8012</v>
      </c>
      <c r="O12" s="692">
        <f ca="1">IF(OR(OP!$D$53=1,$B12="",ISERROR(VLOOKUP($B12-1,MORE_PV,9,0))),"",VLOOKUP($B12-1,MORE_PV,9,0))</f>
        <v>0</v>
      </c>
      <c r="P12" s="692">
        <f ca="1">IF(OR(OP!$D$53=1,$B12="",ISERROR($O12)),"",N($P11)+N($O12))</f>
        <v>0</v>
      </c>
      <c r="Q12" s="692">
        <f ca="1">IF(OR(OP!$D$53=1,B12=""),"",ROUND(VLOOKUP($B12,MORE_PV,8,0),0))</f>
        <v>25514</v>
      </c>
      <c r="R12" s="692">
        <f ca="1">IF(OR(OP!$D$53=1,B12=""),"",ROUND(VLOOKUP($B12,MORE_PV,7,0),0))</f>
        <v>25439</v>
      </c>
      <c r="S12" s="692">
        <f ca="1">IF(OR(OP!$D$53=1,B12=""),"",N($F12)+N(O12))</f>
        <v>0</v>
      </c>
      <c r="T12" s="692">
        <f ca="1">IF(OR(OP!$D$53=1,$B12=""),0,N(T11)+N($S12))</f>
        <v>0</v>
      </c>
      <c r="U12" s="690">
        <f ca="1">IF(OR(OP!$D$53=1,B12=""),"",N($H12)+IF(AND($B12&gt;計算!$P$4,計算!$G$6="現金給付"),N($K12),IF(AND($B12&gt;計算!$P$4,計算!$G$6="儲存生息"),N($L12),0))+N($Q12))</f>
        <v>1131265</v>
      </c>
      <c r="V12" s="690">
        <f ca="1">IF(OR(OP!$D$53=1,$B12=""),"",N($I12)+IF(AND($B12&gt;計算!$P$4,計算!$G$6="現金給付"),N($K12),IF(AND($B12&gt;計算!$P$4,計算!$G$6="儲存生息"),N($L12),0))+N(R12))</f>
        <v>1128011</v>
      </c>
      <c r="W12" s="422"/>
      <c r="X12" s="422"/>
      <c r="Y12" s="786">
        <f ca="1">IF(OR(OP!$D$53=1,$B12=""),"",((($H12+$Q12)-IF(AND(計算!$G$6=計算!$P$5,$B12=OP!$C$57),$K12,0))*IF(OR($C12&lt;16,Z12=0,Z12=""),1,PYO))+IF(AND($B12&gt;計算!$P$4,計算!$G$6="現金給付"),N($K12),IF(AND($B12&gt;計算!$P$4,計算!$G$6="儲存生息"),N($L12),0))+IF(AND(計算!$G$6=計算!$P$5,$B12=OP!$C$57),$K12,0))</f>
        <v>1131265</v>
      </c>
      <c r="Z12" s="786">
        <f ca="1">IF(OR(OP!$D$53=1,$B12=""),"",(($H12+Q12)-IF(AND(計算!$G$6="購買增額繳清保險",$B12=OP!$C$57),$K12,0))*IF(OR($C12&lt;16,($H12+$Q12)*PY!$C$4&lt;PY!$D$5,($H12+$Q12)*PY!$C$4*PYR&lt;PY!$C$5),0,PYY)*PYR)</f>
        <v>0</v>
      </c>
    </row>
    <row r="13" spans="2:26" hidden="1">
      <c r="B13" s="689">
        <v>10</v>
      </c>
      <c r="C13" s="689">
        <f ca="1">IF(OR(OP!$D$53=1,MAX($C$4:C12)&gt;=110),"",C12+(B13-B12))</f>
        <v>42</v>
      </c>
      <c r="D13" s="690" t="str">
        <f ca="1">IF(OR(OP!$D$53=1,AND(B13&gt;OP!$C$24)),"",OP!$C$52-IF($C13&lt;16,$K12,0))</f>
        <v/>
      </c>
      <c r="E13" s="690">
        <f ca="1">IF(OR(OP!$D$53=1,B13=""),"",N(E12)+N(D13))</f>
        <v>1000998</v>
      </c>
      <c r="F13" s="690" t="str">
        <f ca="1">IF(OR(OP!$D$53=1,$B13="",ISERROR(VLOOKUP(OP!$C$55,SRV,$B13+1,0))),"",ROUND(VLOOKUP(OP!$C$55,SRV,$B13+1,0)*OP!$C$28,0))</f>
        <v/>
      </c>
      <c r="G13" s="690" t="str">
        <f ca="1">IF(OR(OP!$D$53=1,$B13="",ISERROR(VLOOKUP(OP!$C$55,SRV,$B13+1,0))),"",N(G12)+N(F13))</f>
        <v/>
      </c>
      <c r="H13" s="690">
        <f ca="1">IF(OR(OP!$D$53=1,B13=""),"",ROUND(VLOOKUP(OP!$C$55,DIE,$B13+1,0)*OP!$C$28,0))</f>
        <v>1101124</v>
      </c>
      <c r="I13" s="691">
        <f ca="1">IF(OR(OP!$D$53=1,B13=""),"",ROUND(VLOOKUP(OP!$C$55,CV,$B13+1,0)*OP!$C$28,0))</f>
        <v>1101124</v>
      </c>
      <c r="J13" s="691">
        <f ca="1">IF(OR(OP!$D$53=1,B13=""),"",VLOOKUP(OP!$C$55,PA,$B13+1,0)*OP!$C$28)</f>
        <v>0</v>
      </c>
      <c r="K13" s="690">
        <f ca="1">IF(OR(OP!$D$53=1,B13=""),"",VLOOKUP($B13,more1,7,0))</f>
        <v>7777</v>
      </c>
      <c r="L13" s="690">
        <f ca="1">IF(OR(OP!$D$53=1,B13="",$B13&lt;=計算!$P$4),"",VLOOKUP($B13,more1,6,0))</f>
        <v>31442</v>
      </c>
      <c r="M13" s="690">
        <f ca="1">IF(OR(OP!$D$53=1,B13="",AND($B13&gt;=計算!$P$4,$C13&lt;15),ISERROR(VLOOKUP($B13,MORE_PV,4,0))),"",VLOOKUP($B13,MORE_PV,4,0))</f>
        <v>0</v>
      </c>
      <c r="N13" s="692">
        <f ca="1">IF(OR(OP!$D$53=1,B13="",$C13&lt;15,ISERROR(VLOOKUP($B13,MORE_PV,5,0))),"",VLOOKUP($B13,MORE_PV,5,0))</f>
        <v>8012</v>
      </c>
      <c r="O13" s="692">
        <f ca="1">IF(OR(OP!$D$53=1,$B13="",ISERROR(VLOOKUP($B13-1,MORE_PV,9,0))),"",VLOOKUP($B13-1,MORE_PV,9,0))</f>
        <v>0</v>
      </c>
      <c r="P13" s="692">
        <f ca="1">IF(OR(OP!$D$53=1,$B13="",ISERROR($O13)),"",N($P12)+N($O13))</f>
        <v>0</v>
      </c>
      <c r="Q13" s="692">
        <f ca="1">IF(OR(OP!$D$53=1,B13=""),"",ROUND(VLOOKUP($B13,MORE_PV,8,0),0))</f>
        <v>25948</v>
      </c>
      <c r="R13" s="692">
        <f ca="1">IF(OR(OP!$D$53=1,B13=""),"",ROUND(VLOOKUP($B13,MORE_PV,7,0),0))</f>
        <v>25948</v>
      </c>
      <c r="S13" s="692">
        <f ca="1">IF(OR(OP!$D$53=1,B13=""),"",N($F13)+N(O13))</f>
        <v>0</v>
      </c>
      <c r="T13" s="692">
        <f ca="1">IF(OR(OP!$D$53=1,$B13=""),0,N(T12)+N($S13))</f>
        <v>0</v>
      </c>
      <c r="U13" s="690">
        <f ca="1">IF(OR(OP!$D$53=1,B13=""),"",N($H13)+IF(AND($B13&gt;計算!$P$4,計算!$G$6="現金給付"),N($K13),IF(AND($B13&gt;計算!$P$4,計算!$G$6="儲存生息"),N($L13),0))+N($Q13))</f>
        <v>1158514</v>
      </c>
      <c r="V13" s="690">
        <f ca="1">IF(OR(OP!$D$53=1,$B13=""),"",N($I13)+IF(AND($B13&gt;計算!$P$4,計算!$G$6="現金給付"),N($K13),IF(AND($B13&gt;計算!$P$4,計算!$G$6="儲存生息"),N($L13),0))+N(R13))</f>
        <v>1158514</v>
      </c>
      <c r="W13" s="422"/>
      <c r="X13" s="422"/>
      <c r="Y13" s="786">
        <f ca="1">IF(OR(OP!$D$53=1,$B13=""),"",((($H13+$Q13)-IF(AND(計算!$G$6=計算!$P$5,$B13=OP!$C$57),$K13,0))*IF(OR($C13&lt;16,Z13=0,Z13=""),1,PYO))+IF(AND($B13&gt;計算!$P$4,計算!$G$6="現金給付"),N($K13),IF(AND($B13&gt;計算!$P$4,計算!$G$6="儲存生息"),N($L13),0))+IF(AND(計算!$G$6=計算!$P$5,$B13=OP!$C$57),$K13,0))</f>
        <v>1158514</v>
      </c>
      <c r="Z13" s="786">
        <f ca="1">IF(OR(OP!$D$53=1,$B13=""),"",(($H13+Q13)-IF(AND(計算!$G$6="購買增額繳清保險",$B13=OP!$C$57),$K13,0))*IF(OR($C13&lt;16,($H13+$Q13)*PY!$C$4&lt;PY!$D$5,($H13+$Q13)*PY!$C$4*PYR&lt;PY!$C$5),0,PYY)*PYR)</f>
        <v>0</v>
      </c>
    </row>
    <row r="14" spans="2:26" hidden="1">
      <c r="B14" s="689">
        <v>11</v>
      </c>
      <c r="C14" s="689">
        <f ca="1">IF(OR(OP!$D$53=1,MAX($C$4:C13)&gt;=110),"",C13+(B14-B13))</f>
        <v>43</v>
      </c>
      <c r="D14" s="690" t="str">
        <f ca="1">IF(OR(OP!$D$53=1,AND(B14&gt;OP!$C$24)),"",OP!$C$52-IF($C14&lt;16,$K13,0))</f>
        <v/>
      </c>
      <c r="E14" s="690">
        <f ca="1">IF(OR(OP!$D$53=1,B14=""),"",N(E13)+N(D14))</f>
        <v>1000998</v>
      </c>
      <c r="F14" s="690" t="str">
        <f ca="1">IF(OR(OP!$D$53=1,$B14="",ISERROR(VLOOKUP(OP!$C$55,SRV,$B14+1,0))),"",ROUND(VLOOKUP(OP!$C$55,SRV,$B14+1,0)*OP!$C$28,0))</f>
        <v/>
      </c>
      <c r="G14" s="690" t="str">
        <f ca="1">IF(OR(OP!$D$53=1,$B14="",ISERROR(VLOOKUP(OP!$C$55,SRV,$B14+1,0))),"",N(G13)+N(F14))</f>
        <v/>
      </c>
      <c r="H14" s="690">
        <f ca="1">IF(OR(OP!$D$53=1,B14=""),"",ROUND(VLOOKUP(OP!$C$55,DIE,$B14+1,0)*OP!$C$28,0))</f>
        <v>1123156</v>
      </c>
      <c r="I14" s="691">
        <f ca="1">IF(OR(OP!$D$53=1,B14=""),"",ROUND(VLOOKUP(OP!$C$55,CV,$B14+1,0)*OP!$C$28,0))</f>
        <v>1123156</v>
      </c>
      <c r="J14" s="691">
        <f ca="1">IF(OR(OP!$D$53=1,B14=""),"",VLOOKUP(OP!$C$55,PA,$B14+1,0)*OP!$C$28)</f>
        <v>0</v>
      </c>
      <c r="K14" s="690">
        <f ca="1">IF(OR(OP!$D$53=1,B14=""),"",VLOOKUP($B14,more1,7,0))</f>
        <v>7933</v>
      </c>
      <c r="L14" s="690">
        <f ca="1">IF(OR(OP!$D$53=1,B14="",$B14&lt;=計算!$P$4),"",VLOOKUP($B14,more1,6,0))</f>
        <v>40234</v>
      </c>
      <c r="M14" s="690">
        <f ca="1">IF(OR(OP!$D$53=1,B14="",AND($B14&gt;=計算!$P$4,$C14&lt;15),ISERROR(VLOOKUP($B14,MORE_PV,4,0))),"",VLOOKUP($B14,MORE_PV,4,0))</f>
        <v>0</v>
      </c>
      <c r="N14" s="692">
        <f ca="1">IF(OR(OP!$D$53=1,B14="",$C14&lt;15,ISERROR(VLOOKUP($B14,MORE_PV,5,0))),"",VLOOKUP($B14,MORE_PV,5,0))</f>
        <v>8012</v>
      </c>
      <c r="O14" s="692">
        <f ca="1">IF(OR(OP!$D$53=1,$B14="",ISERROR(VLOOKUP($B14-1,MORE_PV,9,0))),"",VLOOKUP($B14-1,MORE_PV,9,0))</f>
        <v>0</v>
      </c>
      <c r="P14" s="692">
        <f ca="1">IF(OR(OP!$D$53=1,$B14="",ISERROR($O14)),"",N($P13)+N($O14))</f>
        <v>0</v>
      </c>
      <c r="Q14" s="692">
        <f ca="1">IF(OR(OP!$D$53=1,B14=""),"",ROUND(VLOOKUP($B14,MORE_PV,8,0),0))</f>
        <v>26467</v>
      </c>
      <c r="R14" s="692">
        <f ca="1">IF(OR(OP!$D$53=1,B14=""),"",ROUND(VLOOKUP($B14,MORE_PV,7,0),0))</f>
        <v>26467</v>
      </c>
      <c r="S14" s="692">
        <f ca="1">IF(OR(OP!$D$53=1,B14=""),"",N($F14)+N(O14))</f>
        <v>0</v>
      </c>
      <c r="T14" s="692">
        <f ca="1">IF(OR(OP!$D$53=1,$B14=""),0,N(T13)+N($S14))</f>
        <v>0</v>
      </c>
      <c r="U14" s="690">
        <f ca="1">IF(OR(OP!$D$53=1,B14=""),"",N($H14)+IF(AND($B14&gt;計算!$P$4,計算!$G$6="現金給付"),N($K14),IF(AND($B14&gt;計算!$P$4,計算!$G$6="儲存生息"),N($L14),0))+N($Q14))</f>
        <v>1189857</v>
      </c>
      <c r="V14" s="690">
        <f ca="1">IF(OR(OP!$D$53=1,$B14=""),"",N($I14)+IF(AND($B14&gt;計算!$P$4,計算!$G$6="現金給付"),N($K14),IF(AND($B14&gt;計算!$P$4,計算!$G$6="儲存生息"),N($L14),0))+N(R14))</f>
        <v>1189857</v>
      </c>
      <c r="W14" s="422"/>
      <c r="X14" s="422"/>
      <c r="Y14" s="786">
        <f ca="1">IF(OR(OP!$D$53=1,$B14=""),"",((($H14+$Q14)-IF(AND(計算!$G$6=計算!$P$5,$B14=OP!$C$57),$K14,0))*IF(OR($C14&lt;16,Z14=0,Z14=""),1,PYO))+IF(AND($B14&gt;計算!$P$4,計算!$G$6="現金給付"),N($K14),IF(AND($B14&gt;計算!$P$4,計算!$G$6="儲存生息"),N($L14),0))+IF(AND(計算!$G$6=計算!$P$5,$B14=OP!$C$57),$K14,0))</f>
        <v>1189857</v>
      </c>
      <c r="Z14" s="786">
        <f ca="1">IF(OR(OP!$D$53=1,$B14=""),"",(($H14+Q14)-IF(AND(計算!$G$6="購買增額繳清保險",$B14=OP!$C$57),$K14,0))*IF(OR($C14&lt;16,($H14+$Q14)*PY!$C$4&lt;PY!$D$5,($H14+$Q14)*PY!$C$4*PYR&lt;PY!$C$5),0,PYY)*PYR)</f>
        <v>0</v>
      </c>
    </row>
    <row r="15" spans="2:26" hidden="1">
      <c r="B15" s="689">
        <v>12</v>
      </c>
      <c r="C15" s="689">
        <f ca="1">IF(OR(OP!$D$53=1,MAX($C$4:C14)&gt;=110),"",C14+(B15-B14))</f>
        <v>44</v>
      </c>
      <c r="D15" s="690" t="str">
        <f ca="1">IF(OR(OP!$D$53=1,AND(B15&gt;OP!$C$24)),"",OP!$C$52-IF($C15&lt;16,$K14,0))</f>
        <v/>
      </c>
      <c r="E15" s="690">
        <f ca="1">IF(OR(OP!$D$53=1,B15=""),"",N(E14)+N(D15))</f>
        <v>1000998</v>
      </c>
      <c r="F15" s="690" t="str">
        <f ca="1">IF(OR(OP!$D$53=1,$B15="",ISERROR(VLOOKUP(OP!$C$55,SRV,$B15+1,0))),"",ROUND(VLOOKUP(OP!$C$55,SRV,$B15+1,0)*OP!$C$28,0))</f>
        <v/>
      </c>
      <c r="G15" s="690" t="str">
        <f ca="1">IF(OR(OP!$D$53=1,$B15="",ISERROR(VLOOKUP(OP!$C$55,SRV,$B15+1,0))),"",N(G14)+N(F15))</f>
        <v/>
      </c>
      <c r="H15" s="690">
        <f ca="1">IF(OR(OP!$D$53=1,B15=""),"",ROUND(VLOOKUP(OP!$C$55,DIE,$B15+1,0)*OP!$C$28,0))</f>
        <v>1145630</v>
      </c>
      <c r="I15" s="691">
        <f ca="1">IF(OR(OP!$D$53=1,B15=""),"",ROUND(VLOOKUP(OP!$C$55,CV,$B15+1,0)*OP!$C$28,0))</f>
        <v>1145630</v>
      </c>
      <c r="J15" s="691">
        <f ca="1">IF(OR(OP!$D$53=1,B15=""),"",VLOOKUP(OP!$C$55,PA,$B15+1,0)*OP!$C$28)</f>
        <v>0</v>
      </c>
      <c r="K15" s="690">
        <f ca="1">IF(OR(OP!$D$53=1,B15=""),"",VLOOKUP($B15,more1,7,0))</f>
        <v>8091</v>
      </c>
      <c r="L15" s="690">
        <f ca="1">IF(OR(OP!$D$53=1,B15="",$B15&lt;=計算!$P$4),"",VLOOKUP($B15,more1,6,0))</f>
        <v>49421</v>
      </c>
      <c r="M15" s="690">
        <f ca="1">IF(OR(OP!$D$53=1,B15="",AND($B15&gt;=計算!$P$4,$C15&lt;15),ISERROR(VLOOKUP($B15,MORE_PV,4,0))),"",VLOOKUP($B15,MORE_PV,4,0))</f>
        <v>0</v>
      </c>
      <c r="N15" s="692">
        <f ca="1">IF(OR(OP!$D$53=1,B15="",$C15&lt;15,ISERROR(VLOOKUP($B15,MORE_PV,5,0))),"",VLOOKUP($B15,MORE_PV,5,0))</f>
        <v>8012</v>
      </c>
      <c r="O15" s="692">
        <f ca="1">IF(OR(OP!$D$53=1,$B15="",ISERROR(VLOOKUP($B15-1,MORE_PV,9,0))),"",VLOOKUP($B15-1,MORE_PV,9,0))</f>
        <v>0</v>
      </c>
      <c r="P15" s="692">
        <f ca="1">IF(OR(OP!$D$53=1,$B15="",ISERROR($O15)),"",N($P14)+N($O15))</f>
        <v>0</v>
      </c>
      <c r="Q15" s="692">
        <f ca="1">IF(OR(OP!$D$53=1,B15=""),"",ROUND(VLOOKUP($B15,MORE_PV,8,0),0))</f>
        <v>26996</v>
      </c>
      <c r="R15" s="692">
        <f ca="1">IF(OR(OP!$D$53=1,B15=""),"",ROUND(VLOOKUP($B15,MORE_PV,7,0),0))</f>
        <v>26996</v>
      </c>
      <c r="S15" s="692">
        <f ca="1">IF(OR(OP!$D$53=1,B15=""),"",N($F15)+N(O15))</f>
        <v>0</v>
      </c>
      <c r="T15" s="692">
        <f ca="1">IF(OR(OP!$D$53=1,$B15=""),0,N(T14)+N($S15))</f>
        <v>0</v>
      </c>
      <c r="U15" s="690">
        <f ca="1">IF(OR(OP!$D$53=1,B15=""),"",N($H15)+IF(AND($B15&gt;計算!$P$4,計算!$G$6="現金給付"),N($K15),IF(AND($B15&gt;計算!$P$4,計算!$G$6="儲存生息"),N($L15),0))+N($Q15))</f>
        <v>1222047</v>
      </c>
      <c r="V15" s="690">
        <f ca="1">IF(OR(OP!$D$53=1,$B15=""),"",N($I15)+IF(AND($B15&gt;計算!$P$4,計算!$G$6="現金給付"),N($K15),IF(AND($B15&gt;計算!$P$4,計算!$G$6="儲存生息"),N($L15),0))+N(R15))</f>
        <v>1222047</v>
      </c>
      <c r="W15" s="422"/>
      <c r="X15" s="422"/>
      <c r="Y15" s="786">
        <f ca="1">IF(OR(OP!$D$53=1,$B15=""),"",((($H15+$Q15)-IF(AND(計算!$G$6=計算!$P$5,$B15=OP!$C$57),$K15,0))*IF(OR($C15&lt;16,Z15=0,Z15=""),1,PYO))+IF(AND($B15&gt;計算!$P$4,計算!$G$6="現金給付"),N($K15),IF(AND($B15&gt;計算!$P$4,計算!$G$6="儲存生息"),N($L15),0))+IF(AND(計算!$G$6=計算!$P$5,$B15=OP!$C$57),$K15,0))</f>
        <v>1222047</v>
      </c>
      <c r="Z15" s="786">
        <f ca="1">IF(OR(OP!$D$53=1,$B15=""),"",(($H15+Q15)-IF(AND(計算!$G$6="購買增額繳清保險",$B15=OP!$C$57),$K15,0))*IF(OR($C15&lt;16,($H15+$Q15)*PY!$C$4&lt;PY!$D$5,($H15+$Q15)*PY!$C$4*PYR&lt;PY!$C$5),0,PYY)*PYR)</f>
        <v>0</v>
      </c>
    </row>
    <row r="16" spans="2:26" hidden="1">
      <c r="B16" s="689">
        <v>13</v>
      </c>
      <c r="C16" s="689">
        <f ca="1">IF(OR(OP!$D$53=1,MAX($C$4:C15)&gt;=110),"",C15+(B16-B15))</f>
        <v>45</v>
      </c>
      <c r="D16" s="690" t="str">
        <f ca="1">IF(OR(OP!$D$53=1,AND(B16&gt;OP!$C$24)),"",OP!$C$52-IF($C16&lt;16,$K15,0))</f>
        <v/>
      </c>
      <c r="E16" s="690">
        <f ca="1">IF(OR(OP!$D$53=1,B16=""),"",N(E15)+N(D16))</f>
        <v>1000998</v>
      </c>
      <c r="F16" s="690" t="str">
        <f ca="1">IF(OR(OP!$D$53=1,$B16="",ISERROR(VLOOKUP(OP!$C$55,SRV,$B16+1,0))),"",ROUND(VLOOKUP(OP!$C$55,SRV,$B16+1,0)*OP!$C$28,0))</f>
        <v/>
      </c>
      <c r="G16" s="690" t="str">
        <f ca="1">IF(OR(OP!$D$53=1,$B16="",ISERROR(VLOOKUP(OP!$C$55,SRV,$B16+1,0))),"",N(G15)+N(F16))</f>
        <v/>
      </c>
      <c r="H16" s="690">
        <f ca="1">IF(OR(OP!$D$53=1,B16=""),"",ROUND(VLOOKUP(OP!$C$55,DIE,$B16+1,0)*OP!$C$28,0))</f>
        <v>1168546</v>
      </c>
      <c r="I16" s="691">
        <f ca="1">IF(OR(OP!$D$53=1,B16=""),"",ROUND(VLOOKUP(OP!$C$55,CV,$B16+1,0)*OP!$C$28,0))</f>
        <v>1168546</v>
      </c>
      <c r="J16" s="691">
        <f ca="1">IF(OR(OP!$D$53=1,B16=""),"",VLOOKUP(OP!$C$55,PA,$B16+1,0)*OP!$C$28)</f>
        <v>0</v>
      </c>
      <c r="K16" s="690">
        <f ca="1">IF(OR(OP!$D$53=1,B16=""),"",VLOOKUP($B16,more1,7,0))</f>
        <v>8253</v>
      </c>
      <c r="L16" s="690">
        <f ca="1">IF(OR(OP!$D$53=1,B16="",$B16&lt;=計算!$P$4),"",VLOOKUP($B16,more1,6,0))</f>
        <v>59020</v>
      </c>
      <c r="M16" s="690">
        <f ca="1">IF(OR(OP!$D$53=1,B16="",AND($B16&gt;=計算!$P$4,$C16&lt;15),ISERROR(VLOOKUP($B16,MORE_PV,4,0))),"",VLOOKUP($B16,MORE_PV,4,0))</f>
        <v>0</v>
      </c>
      <c r="N16" s="692">
        <f ca="1">IF(OR(OP!$D$53=1,B16="",$C16&lt;15,ISERROR(VLOOKUP($B16,MORE_PV,5,0))),"",VLOOKUP($B16,MORE_PV,5,0))</f>
        <v>8012</v>
      </c>
      <c r="O16" s="692">
        <f ca="1">IF(OR(OP!$D$53=1,$B16="",ISERROR(VLOOKUP($B16-1,MORE_PV,9,0))),"",VLOOKUP($B16-1,MORE_PV,9,0))</f>
        <v>0</v>
      </c>
      <c r="P16" s="692">
        <f ca="1">IF(OR(OP!$D$53=1,$B16="",ISERROR($O16)),"",N($P15)+N($O16))</f>
        <v>0</v>
      </c>
      <c r="Q16" s="692">
        <f ca="1">IF(OR(OP!$D$53=1,B16=""),"",ROUND(VLOOKUP($B16,MORE_PV,8,0),0))</f>
        <v>27536</v>
      </c>
      <c r="R16" s="692">
        <f ca="1">IF(OR(OP!$D$53=1,B16=""),"",ROUND(VLOOKUP($B16,MORE_PV,7,0),0))</f>
        <v>27536</v>
      </c>
      <c r="S16" s="692">
        <f ca="1">IF(OR(OP!$D$53=1,B16=""),"",N($F16)+N(O16))</f>
        <v>0</v>
      </c>
      <c r="T16" s="692">
        <f ca="1">IF(OR(OP!$D$53=1,$B16=""),0,N(T15)+N($S16))</f>
        <v>0</v>
      </c>
      <c r="U16" s="690">
        <f ca="1">IF(OR(OP!$D$53=1,B16=""),"",N($H16)+IF(AND($B16&gt;計算!$P$4,計算!$G$6="現金給付"),N($K16),IF(AND($B16&gt;計算!$P$4,計算!$G$6="儲存生息"),N($L16),0))+N($Q16))</f>
        <v>1255102</v>
      </c>
      <c r="V16" s="690">
        <f ca="1">IF(OR(OP!$D$53=1,$B16=""),"",N($I16)+IF(AND($B16&gt;計算!$P$4,計算!$G$6="現金給付"),N($K16),IF(AND($B16&gt;計算!$P$4,計算!$G$6="儲存生息"),N($L16),0))+N(R16))</f>
        <v>1255102</v>
      </c>
      <c r="W16" s="422"/>
      <c r="X16" s="422"/>
      <c r="Y16" s="786">
        <f ca="1">IF(OR(OP!$D$53=1,$B16=""),"",((($H16+$Q16)-IF(AND(計算!$G$6=計算!$P$5,$B16=OP!$C$57),$K16,0))*IF(OR($C16&lt;16,Z16=0,Z16=""),1,PYO))+IF(AND($B16&gt;計算!$P$4,計算!$G$6="現金給付"),N($K16),IF(AND($B16&gt;計算!$P$4,計算!$G$6="儲存生息"),N($L16),0))+IF(AND(計算!$G$6=計算!$P$5,$B16=OP!$C$57),$K16,0))</f>
        <v>1255102</v>
      </c>
      <c r="Z16" s="786">
        <f ca="1">IF(OR(OP!$D$53=1,$B16=""),"",(($H16+Q16)-IF(AND(計算!$G$6="購買增額繳清保險",$B16=OP!$C$57),$K16,0))*IF(OR($C16&lt;16,($H16+$Q16)*PY!$C$4&lt;PY!$D$5,($H16+$Q16)*PY!$C$4*PYR&lt;PY!$C$5),0,PYY)*PYR)</f>
        <v>0</v>
      </c>
    </row>
    <row r="17" spans="2:26" hidden="1">
      <c r="B17" s="689">
        <v>14</v>
      </c>
      <c r="C17" s="689">
        <f ca="1">IF(OR(OP!$D$53=1,MAX($C$4:C16)&gt;=110),"",C16+(B17-B16))</f>
        <v>46</v>
      </c>
      <c r="D17" s="690" t="str">
        <f ca="1">IF(OR(OP!$D$53=1,AND(B17&gt;OP!$C$24)),"",OP!$C$52-IF($C17&lt;16,$K16,0))</f>
        <v/>
      </c>
      <c r="E17" s="690">
        <f ca="1">IF(OR(OP!$D$53=1,B17=""),"",N(E16)+N(D17))</f>
        <v>1000998</v>
      </c>
      <c r="F17" s="690" t="str">
        <f ca="1">IF(OR(OP!$D$53=1,$B17="",ISERROR(VLOOKUP(OP!$C$55,SRV,$B17+1,0))),"",ROUND(VLOOKUP(OP!$C$55,SRV,$B17+1,0)*OP!$C$28,0))</f>
        <v/>
      </c>
      <c r="G17" s="690" t="str">
        <f ca="1">IF(OR(OP!$D$53=1,$B17="",ISERROR(VLOOKUP(OP!$C$55,SRV,$B17+1,0))),"",N(G16)+N(F17))</f>
        <v/>
      </c>
      <c r="H17" s="690">
        <f ca="1">IF(OR(OP!$D$53=1,B17=""),"",ROUND(VLOOKUP(OP!$C$55,DIE,$B17+1,0)*OP!$C$28,0))</f>
        <v>1191904</v>
      </c>
      <c r="I17" s="691">
        <f ca="1">IF(OR(OP!$D$53=1,B17=""),"",ROUND(VLOOKUP(OP!$C$55,CV,$B17+1,0)*OP!$C$28,0))</f>
        <v>1191904</v>
      </c>
      <c r="J17" s="691">
        <f ca="1">IF(OR(OP!$D$53=1,B17=""),"",VLOOKUP(OP!$C$55,PA,$B17+1,0)*OP!$C$28)</f>
        <v>0</v>
      </c>
      <c r="K17" s="690">
        <f ca="1">IF(OR(OP!$D$53=1,B17=""),"",VLOOKUP($B17,more1,7,0))</f>
        <v>8418</v>
      </c>
      <c r="L17" s="690">
        <f ca="1">IF(OR(OP!$D$53=1,B17="",$B17&lt;=計算!$P$4),"",VLOOKUP($B17,more1,6,0))</f>
        <v>69045</v>
      </c>
      <c r="M17" s="690">
        <f ca="1">IF(OR(OP!$D$53=1,B17="",AND($B17&gt;=計算!$P$4,$C17&lt;15),ISERROR(VLOOKUP($B17,MORE_PV,4,0))),"",VLOOKUP($B17,MORE_PV,4,0))</f>
        <v>0</v>
      </c>
      <c r="N17" s="692">
        <f ca="1">IF(OR(OP!$D$53=1,B17="",$C17&lt;15,ISERROR(VLOOKUP($B17,MORE_PV,5,0))),"",VLOOKUP($B17,MORE_PV,5,0))</f>
        <v>8012</v>
      </c>
      <c r="O17" s="692">
        <f ca="1">IF(OR(OP!$D$53=1,$B17="",ISERROR(VLOOKUP($B17-1,MORE_PV,9,0))),"",VLOOKUP($B17-1,MORE_PV,9,0))</f>
        <v>0</v>
      </c>
      <c r="P17" s="692">
        <f ca="1">IF(OR(OP!$D$53=1,$B17="",ISERROR($O17)),"",N($P16)+N($O17))</f>
        <v>0</v>
      </c>
      <c r="Q17" s="692">
        <f ca="1">IF(OR(OP!$D$53=1,B17=""),"",ROUND(VLOOKUP($B17,MORE_PV,8,0),0))</f>
        <v>28087</v>
      </c>
      <c r="R17" s="692">
        <f ca="1">IF(OR(OP!$D$53=1,B17=""),"",ROUND(VLOOKUP($B17,MORE_PV,7,0),0))</f>
        <v>28087</v>
      </c>
      <c r="S17" s="692">
        <f ca="1">IF(OR(OP!$D$53=1,B17=""),"",N($F17)+N(O17))</f>
        <v>0</v>
      </c>
      <c r="T17" s="692">
        <f ca="1">IF(OR(OP!$D$53=1,$B17=""),0,N(T16)+N($S17))</f>
        <v>0</v>
      </c>
      <c r="U17" s="690">
        <f ca="1">IF(OR(OP!$D$53=1,B17=""),"",N($H17)+IF(AND($B17&gt;計算!$P$4,計算!$G$6="現金給付"),N($K17),IF(AND($B17&gt;計算!$P$4,計算!$G$6="儲存生息"),N($L17),0))+N($Q17))</f>
        <v>1289036</v>
      </c>
      <c r="V17" s="690">
        <f ca="1">IF(OR(OP!$D$53=1,$B17=""),"",N($I17)+IF(AND($B17&gt;計算!$P$4,計算!$G$6="現金給付"),N($K17),IF(AND($B17&gt;計算!$P$4,計算!$G$6="儲存生息"),N($L17),0))+N(R17))</f>
        <v>1289036</v>
      </c>
      <c r="W17" s="422"/>
      <c r="X17" s="422"/>
      <c r="Y17" s="786">
        <f ca="1">IF(OR(OP!$D$53=1,$B17=""),"",((($H17+$Q17)-IF(AND(計算!$G$6=計算!$P$5,$B17=OP!$C$57),$K17,0))*IF(OR($C17&lt;16,Z17=0,Z17=""),1,PYO))+IF(AND($B17&gt;計算!$P$4,計算!$G$6="現金給付"),N($K17),IF(AND($B17&gt;計算!$P$4,計算!$G$6="儲存生息"),N($L17),0))+IF(AND(計算!$G$6=計算!$P$5,$B17=OP!$C$57),$K17,0))</f>
        <v>1289036</v>
      </c>
      <c r="Z17" s="786">
        <f ca="1">IF(OR(OP!$D$53=1,$B17=""),"",(($H17+Q17)-IF(AND(計算!$G$6="購買增額繳清保險",$B17=OP!$C$57),$K17,0))*IF(OR($C17&lt;16,($H17+$Q17)*PY!$C$4&lt;PY!$D$5,($H17+$Q17)*PY!$C$4*PYR&lt;PY!$C$5),0,PYY)*PYR)</f>
        <v>0</v>
      </c>
    </row>
    <row r="18" spans="2:26" hidden="1">
      <c r="B18" s="689">
        <v>15</v>
      </c>
      <c r="C18" s="689">
        <f ca="1">IF(OR(OP!$D$53=1,MAX($C$4:C17)&gt;=110),"",C17+(B18-B17))</f>
        <v>47</v>
      </c>
      <c r="D18" s="690" t="str">
        <f ca="1">IF(OR(OP!$D$53=1,AND(B18&gt;OP!$C$24)),"",OP!$C$52-IF($C18&lt;16,$K17,0))</f>
        <v/>
      </c>
      <c r="E18" s="690">
        <f ca="1">IF(OR(OP!$D$53=1,B18=""),"",N(E17)+N(D18))</f>
        <v>1000998</v>
      </c>
      <c r="F18" s="690" t="str">
        <f ca="1">IF(OR(OP!$D$53=1,$B18="",ISERROR(VLOOKUP(OP!$C$55,SRV,$B18+1,0))),"",ROUND(VLOOKUP(OP!$C$55,SRV,$B18+1,0)*OP!$C$28,0))</f>
        <v/>
      </c>
      <c r="G18" s="690" t="str">
        <f ca="1">IF(OR(OP!$D$53=1,$B18="",ISERROR(VLOOKUP(OP!$C$55,SRV,$B18+1,0))),"",N(G17)+N(F18))</f>
        <v/>
      </c>
      <c r="H18" s="690">
        <f ca="1">IF(OR(OP!$D$53=1,B18=""),"",ROUND(VLOOKUP(OP!$C$55,DIE,$B18+1,0)*OP!$C$28,0))</f>
        <v>1215738</v>
      </c>
      <c r="I18" s="691">
        <f ca="1">IF(OR(OP!$D$53=1,B18=""),"",ROUND(VLOOKUP(OP!$C$55,CV,$B18+1,0)*OP!$C$28,0))</f>
        <v>1215738</v>
      </c>
      <c r="J18" s="691">
        <f ca="1">IF(OR(OP!$D$53=1,B18=""),"",VLOOKUP(OP!$C$55,PA,$B18+1,0)*OP!$C$28)</f>
        <v>0</v>
      </c>
      <c r="K18" s="690">
        <f ca="1">IF(OR(OP!$D$53=1,B18=""),"",VLOOKUP($B18,more1,7,0))</f>
        <v>8587</v>
      </c>
      <c r="L18" s="690">
        <f ca="1">IF(OR(OP!$D$53=1,B18="",$B18&lt;=計算!$P$4),"",VLOOKUP($B18,more1,6,0))</f>
        <v>79518</v>
      </c>
      <c r="M18" s="690">
        <f ca="1">IF(OR(OP!$D$53=1,B18="",AND($B18&gt;=計算!$P$4,$C18&lt;15),ISERROR(VLOOKUP($B18,MORE_PV,4,0))),"",VLOOKUP($B18,MORE_PV,4,0))</f>
        <v>0</v>
      </c>
      <c r="N18" s="692">
        <f ca="1">IF(OR(OP!$D$53=1,B18="",$C18&lt;15,ISERROR(VLOOKUP($B18,MORE_PV,5,0))),"",VLOOKUP($B18,MORE_PV,5,0))</f>
        <v>8012</v>
      </c>
      <c r="O18" s="692">
        <f ca="1">IF(OR(OP!$D$53=1,$B18="",ISERROR(VLOOKUP($B18-1,MORE_PV,9,0))),"",VLOOKUP($B18-1,MORE_PV,9,0))</f>
        <v>0</v>
      </c>
      <c r="P18" s="692">
        <f ca="1">IF(OR(OP!$D$53=1,$B18="",ISERROR($O18)),"",N($P17)+N($O18))</f>
        <v>0</v>
      </c>
      <c r="Q18" s="692">
        <f ca="1">IF(OR(OP!$D$53=1,B18=""),"",ROUND(VLOOKUP($B18,MORE_PV,8,0),0))</f>
        <v>28649</v>
      </c>
      <c r="R18" s="692">
        <f ca="1">IF(OR(OP!$D$53=1,B18=""),"",ROUND(VLOOKUP($B18,MORE_PV,7,0),0))</f>
        <v>28649</v>
      </c>
      <c r="S18" s="692">
        <f ca="1">IF(OR(OP!$D$53=1,B18=""),"",N($F18)+N(O18))</f>
        <v>0</v>
      </c>
      <c r="T18" s="692">
        <f ca="1">IF(OR(OP!$D$53=1,$B18=""),0,N(T17)+N($S18))</f>
        <v>0</v>
      </c>
      <c r="U18" s="690">
        <f ca="1">IF(OR(OP!$D$53=1,B18=""),"",N($H18)+IF(AND($B18&gt;計算!$P$4,計算!$G$6="現金給付"),N($K18),IF(AND($B18&gt;計算!$P$4,計算!$G$6="儲存生息"),N($L18),0))+N($Q18))</f>
        <v>1323905</v>
      </c>
      <c r="V18" s="690">
        <f ca="1">IF(OR(OP!$D$53=1,$B18=""),"",N($I18)+IF(AND($B18&gt;計算!$P$4,計算!$G$6="現金給付"),N($K18),IF(AND($B18&gt;計算!$P$4,計算!$G$6="儲存生息"),N($L18),0))+N(R18))</f>
        <v>1323905</v>
      </c>
      <c r="W18" s="422"/>
      <c r="X18" s="422"/>
      <c r="Y18" s="786">
        <f ca="1">IF(OR(OP!$D$53=1,$B18=""),"",((($H18+$Q18)-IF(AND(計算!$G$6=計算!$P$5,$B18=OP!$C$57),$K18,0))*IF(OR($C18&lt;16,Z18=0,Z18=""),1,PYO))+IF(AND($B18&gt;計算!$P$4,計算!$G$6="現金給付"),N($K18),IF(AND($B18&gt;計算!$P$4,計算!$G$6="儲存生息"),N($L18),0))+IF(AND(計算!$G$6=計算!$P$5,$B18=OP!$C$57),$K18,0))</f>
        <v>1323905</v>
      </c>
      <c r="Z18" s="786">
        <f ca="1">IF(OR(OP!$D$53=1,$B18=""),"",(($H18+Q18)-IF(AND(計算!$G$6="購買增額繳清保險",$B18=OP!$C$57),$K18,0))*IF(OR($C18&lt;16,($H18+$Q18)*PY!$C$4&lt;PY!$D$5,($H18+$Q18)*PY!$C$4*PYR&lt;PY!$C$5),0,PYY)*PYR)</f>
        <v>0</v>
      </c>
    </row>
    <row r="19" spans="2:26" hidden="1">
      <c r="B19" s="689">
        <v>16</v>
      </c>
      <c r="C19" s="689">
        <f ca="1">IF(OR(OP!$D$53=1,MAX($C$4:C18)&gt;=110),"",C18+(B19-B18))</f>
        <v>48</v>
      </c>
      <c r="D19" s="690" t="str">
        <f ca="1">IF(OR(OP!$D$53=1,AND(B19&gt;OP!$C$24)),"",OP!$C$52-IF($C19&lt;16,$K18,0))</f>
        <v/>
      </c>
      <c r="E19" s="690">
        <f ca="1">IF(OR(OP!$D$53=1,B19=""),"",N(E18)+N(D19))</f>
        <v>1000998</v>
      </c>
      <c r="F19" s="690" t="str">
        <f ca="1">IF(OR(OP!$D$53=1,$B19="",ISERROR(VLOOKUP(OP!$C$55,SRV,$B19+1,0))),"",ROUND(VLOOKUP(OP!$C$55,SRV,$B19+1,0)*OP!$C$28,0))</f>
        <v/>
      </c>
      <c r="G19" s="690" t="str">
        <f ca="1">IF(OR(OP!$D$53=1,$B19="",ISERROR(VLOOKUP(OP!$C$55,SRV,$B19+1,0))),"",N(G18)+N(F19))</f>
        <v/>
      </c>
      <c r="H19" s="690">
        <f ca="1">IF(OR(OP!$D$53=1,B19=""),"",ROUND(VLOOKUP(OP!$C$55,DIE,$B19+1,0)*OP!$C$28,0))</f>
        <v>1240048</v>
      </c>
      <c r="I19" s="691">
        <f ca="1">IF(OR(OP!$D$53=1,B19=""),"",ROUND(VLOOKUP(OP!$C$55,CV,$B19+1,0)*OP!$C$28,0))</f>
        <v>1240048</v>
      </c>
      <c r="J19" s="691">
        <f ca="1">IF(OR(OP!$D$53=1,B19=""),"",VLOOKUP(OP!$C$55,PA,$B19+1,0)*OP!$C$28)</f>
        <v>0</v>
      </c>
      <c r="K19" s="690">
        <f ca="1">IF(OR(OP!$D$53=1,B19=""),"",VLOOKUP($B19,more1,7,0))</f>
        <v>8758</v>
      </c>
      <c r="L19" s="690">
        <f ca="1">IF(OR(OP!$D$53=1,B19="",$B19&lt;=計算!$P$4),"",VLOOKUP($B19,more1,6,0))</f>
        <v>90442</v>
      </c>
      <c r="M19" s="690">
        <f ca="1">IF(OR(OP!$D$53=1,B19="",AND($B19&gt;=計算!$P$4,$C19&lt;15),ISERROR(VLOOKUP($B19,MORE_PV,4,0))),"",VLOOKUP($B19,MORE_PV,4,0))</f>
        <v>0</v>
      </c>
      <c r="N19" s="692">
        <f ca="1">IF(OR(OP!$D$53=1,B19="",$C19&lt;15,ISERROR(VLOOKUP($B19,MORE_PV,5,0))),"",VLOOKUP($B19,MORE_PV,5,0))</f>
        <v>8012</v>
      </c>
      <c r="O19" s="692">
        <f ca="1">IF(OR(OP!$D$53=1,$B19="",ISERROR(VLOOKUP($B19-1,MORE_PV,9,0))),"",VLOOKUP($B19-1,MORE_PV,9,0))</f>
        <v>0</v>
      </c>
      <c r="P19" s="692">
        <f ca="1">IF(OR(OP!$D$53=1,$B19="",ISERROR($O19)),"",N($P18)+N($O19))</f>
        <v>0</v>
      </c>
      <c r="Q19" s="692">
        <f ca="1">IF(OR(OP!$D$53=1,B19=""),"",ROUND(VLOOKUP($B19,MORE_PV,8,0),0))</f>
        <v>29221</v>
      </c>
      <c r="R19" s="692">
        <f ca="1">IF(OR(OP!$D$53=1,B19=""),"",ROUND(VLOOKUP($B19,MORE_PV,7,0),0))</f>
        <v>29221</v>
      </c>
      <c r="S19" s="692">
        <f ca="1">IF(OR(OP!$D$53=1,B19=""),"",N($F19)+N(O19))</f>
        <v>0</v>
      </c>
      <c r="T19" s="692">
        <f ca="1">IF(OR(OP!$D$53=1,$B19=""),0,N(T18)+N($S19))</f>
        <v>0</v>
      </c>
      <c r="U19" s="690">
        <f ca="1">IF(OR(OP!$D$53=1,B19=""),"",N($H19)+IF(AND($B19&gt;計算!$P$4,計算!$G$6="現金給付"),N($K19),IF(AND($B19&gt;計算!$P$4,計算!$G$6="儲存生息"),N($L19),0))+N($Q19))</f>
        <v>1359711</v>
      </c>
      <c r="V19" s="690">
        <f ca="1">IF(OR(OP!$D$53=1,$B19=""),"",N($I19)+IF(AND($B19&gt;計算!$P$4,計算!$G$6="現金給付"),N($K19),IF(AND($B19&gt;計算!$P$4,計算!$G$6="儲存生息"),N($L19),0))+N(R19))</f>
        <v>1359711</v>
      </c>
      <c r="W19" s="422"/>
      <c r="X19" s="422"/>
      <c r="Y19" s="786">
        <f ca="1">IF(OR(OP!$D$53=1,$B19=""),"",((($H19+$Q19)-IF(AND(計算!$G$6=計算!$P$5,$B19=OP!$C$57),$K19,0))*IF(OR($C19&lt;16,Z19=0,Z19=""),1,PYO))+IF(AND($B19&gt;計算!$P$4,計算!$G$6="現金給付"),N($K19),IF(AND($B19&gt;計算!$P$4,計算!$G$6="儲存生息"),N($L19),0))+IF(AND(計算!$G$6=計算!$P$5,$B19=OP!$C$57),$K19,0))</f>
        <v>1359711</v>
      </c>
      <c r="Z19" s="786">
        <f ca="1">IF(OR(OP!$D$53=1,$B19=""),"",(($H19+Q19)-IF(AND(計算!$G$6="購買增額繳清保險",$B19=OP!$C$57),$K19,0))*IF(OR($C19&lt;16,($H19+$Q19)*PY!$C$4&lt;PY!$D$5,($H19+$Q19)*PY!$C$4*PYR&lt;PY!$C$5),0,PYY)*PYR)</f>
        <v>0</v>
      </c>
    </row>
    <row r="20" spans="2:26" hidden="1">
      <c r="B20" s="689">
        <v>17</v>
      </c>
      <c r="C20" s="689">
        <f ca="1">IF(OR(OP!$D$53=1,MAX($C$4:C19)&gt;=110),"",C19+(B20-B19))</f>
        <v>49</v>
      </c>
      <c r="D20" s="690" t="str">
        <f ca="1">IF(OR(OP!$D$53=1,AND(B20&gt;OP!$C$24)),"",OP!$C$52-IF($C20&lt;16,$K19,0))</f>
        <v/>
      </c>
      <c r="E20" s="690">
        <f ca="1">IF(OR(OP!$D$53=1,B20=""),"",N(E19)+N(D20))</f>
        <v>1000998</v>
      </c>
      <c r="F20" s="690" t="str">
        <f ca="1">IF(OR(OP!$D$53=1,$B20="",ISERROR(VLOOKUP(OP!$C$55,SRV,$B20+1,0))),"",ROUND(VLOOKUP(OP!$C$55,SRV,$B20+1,0)*OP!$C$28,0))</f>
        <v/>
      </c>
      <c r="G20" s="690" t="str">
        <f ca="1">IF(OR(OP!$D$53=1,$B20="",ISERROR(VLOOKUP(OP!$C$55,SRV,$B20+1,0))),"",N(G19)+N(F20))</f>
        <v/>
      </c>
      <c r="H20" s="690">
        <f ca="1">IF(OR(OP!$D$53=1,B20=""),"",ROUND(VLOOKUP(OP!$C$55,DIE,$B20+1,0)*OP!$C$28,0))</f>
        <v>1264868</v>
      </c>
      <c r="I20" s="691">
        <f ca="1">IF(OR(OP!$D$53=1,B20=""),"",ROUND(VLOOKUP(OP!$C$55,CV,$B20+1,0)*OP!$C$28,0))</f>
        <v>1264868</v>
      </c>
      <c r="J20" s="691">
        <f ca="1">IF(OR(OP!$D$53=1,B20=""),"",VLOOKUP(OP!$C$55,PA,$B20+1,0)*OP!$C$28)</f>
        <v>0</v>
      </c>
      <c r="K20" s="690">
        <f ca="1">IF(OR(OP!$D$53=1,B20=""),"",VLOOKUP($B20,more1,7,0))</f>
        <v>8934</v>
      </c>
      <c r="L20" s="690">
        <f ca="1">IF(OR(OP!$D$53=1,B20="",$B20&lt;=計算!$P$4),"",VLOOKUP($B20,more1,6,0))</f>
        <v>101839</v>
      </c>
      <c r="M20" s="690">
        <f ca="1">IF(OR(OP!$D$53=1,B20="",AND($B20&gt;=計算!$P$4,$C20&lt;15),ISERROR(VLOOKUP($B20,MORE_PV,4,0))),"",VLOOKUP($B20,MORE_PV,4,0))</f>
        <v>0</v>
      </c>
      <c r="N20" s="692">
        <f ca="1">IF(OR(OP!$D$53=1,B20="",$C20&lt;15,ISERROR(VLOOKUP($B20,MORE_PV,5,0))),"",VLOOKUP($B20,MORE_PV,5,0))</f>
        <v>8012</v>
      </c>
      <c r="O20" s="692">
        <f ca="1">IF(OR(OP!$D$53=1,$B20="",ISERROR(VLOOKUP($B20-1,MORE_PV,9,0))),"",VLOOKUP($B20-1,MORE_PV,9,0))</f>
        <v>0</v>
      </c>
      <c r="P20" s="692">
        <f ca="1">IF(OR(OP!$D$53=1,$B20="",ISERROR($O20)),"",N($P19)+N($O20))</f>
        <v>0</v>
      </c>
      <c r="Q20" s="692">
        <f ca="1">IF(OR(OP!$D$53=1,B20=""),"",ROUND(VLOOKUP($B20,MORE_PV,8,0),0))</f>
        <v>29806</v>
      </c>
      <c r="R20" s="692">
        <f ca="1">IF(OR(OP!$D$53=1,B20=""),"",ROUND(VLOOKUP($B20,MORE_PV,7,0),0))</f>
        <v>29806</v>
      </c>
      <c r="S20" s="692">
        <f ca="1">IF(OR(OP!$D$53=1,B20=""),"",N($F20)+N(O20))</f>
        <v>0</v>
      </c>
      <c r="T20" s="692">
        <f ca="1">IF(OR(OP!$D$53=1,$B20=""),0,N(T19)+N($S20))</f>
        <v>0</v>
      </c>
      <c r="U20" s="690">
        <f ca="1">IF(OR(OP!$D$53=1,B20=""),"",N($H20)+IF(AND($B20&gt;計算!$P$4,計算!$G$6="現金給付"),N($K20),IF(AND($B20&gt;計算!$P$4,計算!$G$6="儲存生息"),N($L20),0))+N($Q20))</f>
        <v>1396513</v>
      </c>
      <c r="V20" s="690">
        <f ca="1">IF(OR(OP!$D$53=1,$B20=""),"",N($I20)+IF(AND($B20&gt;計算!$P$4,計算!$G$6="現金給付"),N($K20),IF(AND($B20&gt;計算!$P$4,計算!$G$6="儲存生息"),N($L20),0))+N(R20))</f>
        <v>1396513</v>
      </c>
      <c r="W20" s="422"/>
      <c r="X20" s="422"/>
      <c r="Y20" s="786">
        <f ca="1">IF(OR(OP!$D$53=1,$B20=""),"",((($H20+$Q20)-IF(AND(計算!$G$6=計算!$P$5,$B20=OP!$C$57),$K20,0))*IF(OR($C20&lt;16,Z20=0,Z20=""),1,PYO))+IF(AND($B20&gt;計算!$P$4,計算!$G$6="現金給付"),N($K20),IF(AND($B20&gt;計算!$P$4,計算!$G$6="儲存生息"),N($L20),0))+IF(AND(計算!$G$6=計算!$P$5,$B20=OP!$C$57),$K20,0))</f>
        <v>1396513</v>
      </c>
      <c r="Z20" s="786">
        <f ca="1">IF(OR(OP!$D$53=1,$B20=""),"",(($H20+Q20)-IF(AND(計算!$G$6="購買增額繳清保險",$B20=OP!$C$57),$K20,0))*IF(OR($C20&lt;16,($H20+$Q20)*PY!$C$4&lt;PY!$D$5,($H20+$Q20)*PY!$C$4*PYR&lt;PY!$C$5),0,PYY)*PYR)</f>
        <v>0</v>
      </c>
    </row>
    <row r="21" spans="2:26" hidden="1">
      <c r="B21" s="689">
        <v>18</v>
      </c>
      <c r="C21" s="689">
        <f ca="1">IF(OR(OP!$D$53=1,MAX($C$4:C20)&gt;=110),"",C20+(B21-B20))</f>
        <v>50</v>
      </c>
      <c r="D21" s="690" t="str">
        <f ca="1">IF(OR(OP!$D$53=1,AND(B21&gt;OP!$C$24)),"",OP!$C$52-IF($C21&lt;16,$K20,0))</f>
        <v/>
      </c>
      <c r="E21" s="690">
        <f ca="1">IF(OR(OP!$D$53=1,B21=""),"",N(E20)+N(D21))</f>
        <v>1000998</v>
      </c>
      <c r="F21" s="690" t="str">
        <f ca="1">IF(OR(OP!$D$53=1,$B21="",ISERROR(VLOOKUP(OP!$C$55,SRV,$B21+1,0))),"",ROUND(VLOOKUP(OP!$C$55,SRV,$B21+1,0)*OP!$C$28,0))</f>
        <v/>
      </c>
      <c r="G21" s="690" t="str">
        <f ca="1">IF(OR(OP!$D$53=1,$B21="",ISERROR(VLOOKUP(OP!$C$55,SRV,$B21+1,0))),"",N(G20)+N(F21))</f>
        <v/>
      </c>
      <c r="H21" s="690">
        <f ca="1">IF(OR(OP!$D$53=1,B21=""),"",ROUND(VLOOKUP(OP!$C$55,DIE,$B21+1,0)*OP!$C$28,0))</f>
        <v>1290164</v>
      </c>
      <c r="I21" s="691">
        <f ca="1">IF(OR(OP!$D$53=1,B21=""),"",ROUND(VLOOKUP(OP!$C$55,CV,$B21+1,0)*OP!$C$28,0))</f>
        <v>1290164</v>
      </c>
      <c r="J21" s="691">
        <f ca="1">IF(OR(OP!$D$53=1,B21=""),"",VLOOKUP(OP!$C$55,PA,$B21+1,0)*OP!$C$28)</f>
        <v>0</v>
      </c>
      <c r="K21" s="690">
        <f ca="1">IF(OR(OP!$D$53=1,B21=""),"",VLOOKUP($B21,more1,7,0))</f>
        <v>9112</v>
      </c>
      <c r="L21" s="690">
        <f ca="1">IF(OR(OP!$D$53=1,B21="",$B21&lt;=計算!$P$4),"",VLOOKUP($B21,more1,6,0))</f>
        <v>113724</v>
      </c>
      <c r="M21" s="690">
        <f ca="1">IF(OR(OP!$D$53=1,B21="",AND($B21&gt;=計算!$P$4,$C21&lt;15),ISERROR(VLOOKUP($B21,MORE_PV,4,0))),"",VLOOKUP($B21,MORE_PV,4,0))</f>
        <v>0</v>
      </c>
      <c r="N21" s="692">
        <f ca="1">IF(OR(OP!$D$53=1,B21="",$C21&lt;15,ISERROR(VLOOKUP($B21,MORE_PV,5,0))),"",VLOOKUP($B21,MORE_PV,5,0))</f>
        <v>8012</v>
      </c>
      <c r="O21" s="692">
        <f ca="1">IF(OR(OP!$D$53=1,$B21="",ISERROR(VLOOKUP($B21-1,MORE_PV,9,0))),"",VLOOKUP($B21-1,MORE_PV,9,0))</f>
        <v>0</v>
      </c>
      <c r="P21" s="692">
        <f ca="1">IF(OR(OP!$D$53=1,$B21="",ISERROR($O21)),"",N($P20)+N($O21))</f>
        <v>0</v>
      </c>
      <c r="Q21" s="692">
        <f ca="1">IF(OR(OP!$D$53=1,B21=""),"",ROUND(VLOOKUP($B21,MORE_PV,8,0),0))</f>
        <v>30402</v>
      </c>
      <c r="R21" s="692">
        <f ca="1">IF(OR(OP!$D$53=1,B21=""),"",ROUND(VLOOKUP($B21,MORE_PV,7,0),0))</f>
        <v>30402</v>
      </c>
      <c r="S21" s="692">
        <f ca="1">IF(OR(OP!$D$53=1,B21=""),"",N($F21)+N(O21))</f>
        <v>0</v>
      </c>
      <c r="T21" s="692">
        <f ca="1">IF(OR(OP!$D$53=1,$B21=""),0,N(T20)+N($S21))</f>
        <v>0</v>
      </c>
      <c r="U21" s="690">
        <f ca="1">IF(OR(OP!$D$53=1,B21=""),"",N($H21)+IF(AND($B21&gt;計算!$P$4,計算!$G$6="現金給付"),N($K21),IF(AND($B21&gt;計算!$P$4,計算!$G$6="儲存生息"),N($L21),0))+N($Q21))</f>
        <v>1434290</v>
      </c>
      <c r="V21" s="690">
        <f ca="1">IF(OR(OP!$D$53=1,$B21=""),"",N($I21)+IF(AND($B21&gt;計算!$P$4,計算!$G$6="現金給付"),N($K21),IF(AND($B21&gt;計算!$P$4,計算!$G$6="儲存生息"),N($L21),0))+N(R21))</f>
        <v>1434290</v>
      </c>
      <c r="W21" s="422"/>
      <c r="X21" s="422"/>
      <c r="Y21" s="786">
        <f ca="1">IF(OR(OP!$D$53=1,$B21=""),"",((($H21+$Q21)-IF(AND(計算!$G$6=計算!$P$5,$B21=OP!$C$57),$K21,0))*IF(OR($C21&lt;16,Z21=0,Z21=""),1,PYO))+IF(AND($B21&gt;計算!$P$4,計算!$G$6="現金給付"),N($K21),IF(AND($B21&gt;計算!$P$4,計算!$G$6="儲存生息"),N($L21),0))+IF(AND(計算!$G$6=計算!$P$5,$B21=OP!$C$57),$K21,0))</f>
        <v>1434290</v>
      </c>
      <c r="Z21" s="786">
        <f ca="1">IF(OR(OP!$D$53=1,$B21=""),"",(($H21+Q21)-IF(AND(計算!$G$6="購買增額繳清保險",$B21=OP!$C$57),$K21,0))*IF(OR($C21&lt;16,($H21+$Q21)*PY!$C$4&lt;PY!$D$5,($H21+$Q21)*PY!$C$4*PYR&lt;PY!$C$5),0,PYY)*PYR)</f>
        <v>0</v>
      </c>
    </row>
    <row r="22" spans="2:26" hidden="1">
      <c r="B22" s="689">
        <v>19</v>
      </c>
      <c r="C22" s="689">
        <f ca="1">IF(OR(OP!$D$53=1,MAX($C$4:C21)&gt;=110),"",C21+(B22-B21))</f>
        <v>51</v>
      </c>
      <c r="D22" s="690" t="str">
        <f ca="1">IF(OR(OP!$D$53=1,AND(B22&gt;OP!$C$24)),"",OP!$C$52-IF($C22&lt;16,$K21,0))</f>
        <v/>
      </c>
      <c r="E22" s="690">
        <f ca="1">IF(OR(OP!$D$53=1,B22=""),"",N(E21)+N(D22))</f>
        <v>1000998</v>
      </c>
      <c r="F22" s="690" t="str">
        <f ca="1">IF(OR(OP!$D$53=1,$B22="",ISERROR(VLOOKUP(OP!$C$55,SRV,$B22+1,0))),"",ROUND(VLOOKUP(OP!$C$55,SRV,$B22+1,0)*OP!$C$28,0))</f>
        <v/>
      </c>
      <c r="G22" s="690" t="str">
        <f ca="1">IF(OR(OP!$D$53=1,$B22="",ISERROR(VLOOKUP(OP!$C$55,SRV,$B22+1,0))),"",N(G21)+N(F22))</f>
        <v/>
      </c>
      <c r="H22" s="690">
        <f ca="1">IF(OR(OP!$D$53=1,B22=""),"",ROUND(VLOOKUP(OP!$C$55,DIE,$B22+1,0)*OP!$C$28,0))</f>
        <v>1315970</v>
      </c>
      <c r="I22" s="691">
        <f ca="1">IF(OR(OP!$D$53=1,B22=""),"",ROUND(VLOOKUP(OP!$C$55,CV,$B22+1,0)*OP!$C$28,0))</f>
        <v>1315970</v>
      </c>
      <c r="J22" s="691">
        <f ca="1">IF(OR(OP!$D$53=1,B22=""),"",VLOOKUP(OP!$C$55,PA,$B22+1,0)*OP!$C$28)</f>
        <v>0</v>
      </c>
      <c r="K22" s="690">
        <f ca="1">IF(OR(OP!$D$53=1,B22=""),"",VLOOKUP($B22,more1,7,0))</f>
        <v>9294</v>
      </c>
      <c r="L22" s="690">
        <f ca="1">IF(OR(OP!$D$53=1,B22="",$B22&lt;=計算!$P$4),"",VLOOKUP($B22,more1,6,0))</f>
        <v>126124</v>
      </c>
      <c r="M22" s="690">
        <f ca="1">IF(OR(OP!$D$53=1,B22="",AND($B22&gt;=計算!$P$4,$C22&lt;15),ISERROR(VLOOKUP($B22,MORE_PV,4,0))),"",VLOOKUP($B22,MORE_PV,4,0))</f>
        <v>0</v>
      </c>
      <c r="N22" s="692">
        <f ca="1">IF(OR(OP!$D$53=1,B22="",$C22&lt;15,ISERROR(VLOOKUP($B22,MORE_PV,5,0))),"",VLOOKUP($B22,MORE_PV,5,0))</f>
        <v>8012</v>
      </c>
      <c r="O22" s="692">
        <f ca="1">IF(OR(OP!$D$53=1,$B22="",ISERROR(VLOOKUP($B22-1,MORE_PV,9,0))),"",VLOOKUP($B22-1,MORE_PV,9,0))</f>
        <v>0</v>
      </c>
      <c r="P22" s="692">
        <f ca="1">IF(OR(OP!$D$53=1,$B22="",ISERROR($O22)),"",N($P21)+N($O22))</f>
        <v>0</v>
      </c>
      <c r="Q22" s="692">
        <f ca="1">IF(OR(OP!$D$53=1,B22=""),"",ROUND(VLOOKUP($B22,MORE_PV,8,0),0))</f>
        <v>31010</v>
      </c>
      <c r="R22" s="692">
        <f ca="1">IF(OR(OP!$D$53=1,B22=""),"",ROUND(VLOOKUP($B22,MORE_PV,7,0),0))</f>
        <v>31010</v>
      </c>
      <c r="S22" s="692">
        <f ca="1">IF(OR(OP!$D$53=1,B22=""),"",N($F22)+N(O22))</f>
        <v>0</v>
      </c>
      <c r="T22" s="692">
        <f ca="1">IF(OR(OP!$D$53=1,$B22=""),0,N(T21)+N($S22))</f>
        <v>0</v>
      </c>
      <c r="U22" s="690">
        <f ca="1">IF(OR(OP!$D$53=1,B22=""),"",N($H22)+IF(AND($B22&gt;計算!$P$4,計算!$G$6="現金給付"),N($K22),IF(AND($B22&gt;計算!$P$4,計算!$G$6="儲存生息"),N($L22),0))+N($Q22))</f>
        <v>1473104</v>
      </c>
      <c r="V22" s="690">
        <f ca="1">IF(OR(OP!$D$53=1,$B22=""),"",N($I22)+IF(AND($B22&gt;計算!$P$4,計算!$G$6="現金給付"),N($K22),IF(AND($B22&gt;計算!$P$4,計算!$G$6="儲存生息"),N($L22),0))+N(R22))</f>
        <v>1473104</v>
      </c>
      <c r="W22" s="422"/>
      <c r="X22" s="422"/>
      <c r="Y22" s="786">
        <f ca="1">IF(OR(OP!$D$53=1,$B22=""),"",((($H22+$Q22)-IF(AND(計算!$G$6=計算!$P$5,$B22=OP!$C$57),$K22,0))*IF(OR($C22&lt;16,Z22=0,Z22=""),1,PYO))+IF(AND($B22&gt;計算!$P$4,計算!$G$6="現金給付"),N($K22),IF(AND($B22&gt;計算!$P$4,計算!$G$6="儲存生息"),N($L22),0))+IF(AND(計算!$G$6=計算!$P$5,$B22=OP!$C$57),$K22,0))</f>
        <v>1473104</v>
      </c>
      <c r="Z22" s="786">
        <f ca="1">IF(OR(OP!$D$53=1,$B22=""),"",(($H22+Q22)-IF(AND(計算!$G$6="購買增額繳清保險",$B22=OP!$C$57),$K22,0))*IF(OR($C22&lt;16,($H22+$Q22)*PY!$C$4&lt;PY!$D$5,($H22+$Q22)*PY!$C$4*PYR&lt;PY!$C$5),0,PYY)*PYR)</f>
        <v>0</v>
      </c>
    </row>
    <row r="23" spans="2:26" hidden="1">
      <c r="B23" s="689">
        <v>20</v>
      </c>
      <c r="C23" s="689">
        <f ca="1">IF(OR(OP!$D$53=1,MAX($C$4:C22)&gt;=110),"",C22+(B23-B22))</f>
        <v>52</v>
      </c>
      <c r="D23" s="690" t="str">
        <f ca="1">IF(OR(OP!$D$53=1,AND(B23&gt;OP!$C$24)),"",OP!$C$52-IF($C23&lt;16,$K22,0))</f>
        <v/>
      </c>
      <c r="E23" s="690">
        <f ca="1">IF(OR(OP!$D$53=1,B23=""),"",N(E22)+N(D23))</f>
        <v>1000998</v>
      </c>
      <c r="F23" s="690" t="str">
        <f ca="1">IF(OR(OP!$D$53=1,$B23="",ISERROR(VLOOKUP(OP!$C$55,SRV,$B23+1,0))),"",ROUND(VLOOKUP(OP!$C$55,SRV,$B23+1,0)*OP!$C$28,0))</f>
        <v/>
      </c>
      <c r="G23" s="690" t="str">
        <f ca="1">IF(OR(OP!$D$53=1,$B23="",ISERROR(VLOOKUP(OP!$C$55,SRV,$B23+1,0))),"",N(G22)+N(F23))</f>
        <v/>
      </c>
      <c r="H23" s="690">
        <f ca="1">IF(OR(OP!$D$53=1,B23=""),"",ROUND(VLOOKUP(OP!$C$55,DIE,$B23+1,0)*OP!$C$28,0))</f>
        <v>1342286</v>
      </c>
      <c r="I23" s="691">
        <f ca="1">IF(OR(OP!$D$53=1,B23=""),"",ROUND(VLOOKUP(OP!$C$55,CV,$B23+1,0)*OP!$C$28,0))</f>
        <v>1342286</v>
      </c>
      <c r="J23" s="691">
        <f ca="1">IF(OR(OP!$D$53=1,B23=""),"",VLOOKUP(OP!$C$55,PA,$B23+1,0)*OP!$C$28)</f>
        <v>0</v>
      </c>
      <c r="K23" s="690">
        <f ca="1">IF(OR(OP!$D$53=1,B23=""),"",VLOOKUP($B23,more1,7,0))</f>
        <v>9480</v>
      </c>
      <c r="L23" s="690">
        <f ca="1">IF(OR(OP!$D$53=1,B23="",$B23&lt;=計算!$P$4),"",VLOOKUP($B23,more1,6,0))</f>
        <v>139039</v>
      </c>
      <c r="M23" s="690">
        <f ca="1">IF(OR(OP!$D$53=1,B23="",AND($B23&gt;=計算!$P$4,$C23&lt;15),ISERROR(VLOOKUP($B23,MORE_PV,4,0))),"",VLOOKUP($B23,MORE_PV,4,0))</f>
        <v>0</v>
      </c>
      <c r="N23" s="692">
        <f ca="1">IF(OR(OP!$D$53=1,B23="",$C23&lt;15,ISERROR(VLOOKUP($B23,MORE_PV,5,0))),"",VLOOKUP($B23,MORE_PV,5,0))</f>
        <v>8012</v>
      </c>
      <c r="O23" s="692">
        <f ca="1">IF(OR(OP!$D$53=1,$B23="",ISERROR(VLOOKUP($B23-1,MORE_PV,9,0))),"",VLOOKUP($B23-1,MORE_PV,9,0))</f>
        <v>0</v>
      </c>
      <c r="P23" s="692">
        <f ca="1">IF(OR(OP!$D$53=1,$B23="",ISERROR($O23)),"",N($P22)+N($O23))</f>
        <v>0</v>
      </c>
      <c r="Q23" s="692">
        <f ca="1">IF(OR(OP!$D$53=1,B23=""),"",ROUND(VLOOKUP($B23,MORE_PV,8,0),0))</f>
        <v>31631</v>
      </c>
      <c r="R23" s="692">
        <f ca="1">IF(OR(OP!$D$53=1,B23=""),"",ROUND(VLOOKUP($B23,MORE_PV,7,0),0))</f>
        <v>31631</v>
      </c>
      <c r="S23" s="692">
        <f ca="1">IF(OR(OP!$D$53=1,B23=""),"",N($F23)+N(O23))</f>
        <v>0</v>
      </c>
      <c r="T23" s="692">
        <f ca="1">IF(OR(OP!$D$53=1,$B23=""),0,N(T22)+N($S23))</f>
        <v>0</v>
      </c>
      <c r="U23" s="690">
        <f ca="1">IF(OR(OP!$D$53=1,B23=""),"",N($H23)+IF(AND($B23&gt;計算!$P$4,計算!$G$6="現金給付"),N($K23),IF(AND($B23&gt;計算!$P$4,計算!$G$6="儲存生息"),N($L23),0))+N($Q23))</f>
        <v>1512956</v>
      </c>
      <c r="V23" s="690">
        <f ca="1">IF(OR(OP!$D$53=1,$B23=""),"",N($I23)+IF(AND($B23&gt;計算!$P$4,計算!$G$6="現金給付"),N($K23),IF(AND($B23&gt;計算!$P$4,計算!$G$6="儲存生息"),N($L23),0))+N(R23))</f>
        <v>1512956</v>
      </c>
      <c r="W23" s="422"/>
      <c r="X23" s="422"/>
      <c r="Y23" s="786">
        <f ca="1">IF(OR(OP!$D$53=1,$B23=""),"",((($H23+$Q23)-IF(AND(計算!$G$6=計算!$P$5,$B23=OP!$C$57),$K23,0))*IF(OR($C23&lt;16,Z23=0,Z23=""),1,PYO))+IF(AND($B23&gt;計算!$P$4,計算!$G$6="現金給付"),N($K23),IF(AND($B23&gt;計算!$P$4,計算!$G$6="儲存生息"),N($L23),0))+IF(AND(計算!$G$6=計算!$P$5,$B23=OP!$C$57),$K23,0))</f>
        <v>1512956</v>
      </c>
      <c r="Z23" s="786">
        <f ca="1">IF(OR(OP!$D$53=1,$B23=""),"",(($H23+Q23)-IF(AND(計算!$G$6="購買增額繳清保險",$B23=OP!$C$57),$K23,0))*IF(OR($C23&lt;16,($H23+$Q23)*PY!$C$4&lt;PY!$D$5,($H23+$Q23)*PY!$C$4*PYR&lt;PY!$C$5),0,PYY)*PYR)</f>
        <v>0</v>
      </c>
    </row>
    <row r="24" spans="2:26" hidden="1">
      <c r="B24" s="693">
        <f ca="1">IF(OR(C23&gt;=110,C23=""),"",IF(C23+1&gt;110,111-$C$19,B23+1))</f>
        <v>21</v>
      </c>
      <c r="C24" s="689">
        <f ca="1">IF(OR(OP!$D$53=1,MAX($C$4:C23)&gt;=110),"",C23+(B24-B23))</f>
        <v>53</v>
      </c>
      <c r="D24" s="690" t="str">
        <f ca="1">IF(OR(OP!$D$53=1,AND(B24&gt;OP!$C$24)),"",OP!$C$52-IF($C24&lt;16,$K23,0))</f>
        <v/>
      </c>
      <c r="E24" s="690">
        <f ca="1">IF(OR(OP!$D$53=1,B24=""),"",N(E23)+N(D24))</f>
        <v>1000998</v>
      </c>
      <c r="F24" s="690" t="str">
        <f ca="1">IF(OR(OP!$D$53=1,$B24="",ISERROR(VLOOKUP(OP!$C$55,SRV,$B24+1,0))),"",ROUND(VLOOKUP(OP!$C$55,SRV,$B24+1,0)*OP!$C$28,0))</f>
        <v/>
      </c>
      <c r="G24" s="690" t="str">
        <f ca="1">IF(OR(OP!$D$53=1,$B24="",ISERROR(VLOOKUP(OP!$C$55,SRV,$B24+1,0))),"",N(G23)+N(F24))</f>
        <v/>
      </c>
      <c r="H24" s="690">
        <f ca="1">IF(OR(OP!$D$53=1,B24=""),"",ROUND(VLOOKUP(OP!$C$55,DIE,$B24+1,0)*OP!$C$28,0))</f>
        <v>1369112</v>
      </c>
      <c r="I24" s="691">
        <f ca="1">IF(OR(OP!$D$53=1,B24=""),"",ROUND(VLOOKUP(OP!$C$55,CV,$B24+1,0)*OP!$C$28,0))</f>
        <v>1369112</v>
      </c>
      <c r="J24" s="691">
        <f ca="1">IF(OR(OP!$D$53=1,B24=""),"",VLOOKUP(OP!$C$55,PA,$B24+1,0)*OP!$C$28)</f>
        <v>0</v>
      </c>
      <c r="K24" s="690">
        <f ca="1">IF(OR(OP!$D$53=1,B24=""),"",VLOOKUP($B24,more1,7,0))</f>
        <v>9670</v>
      </c>
      <c r="L24" s="690">
        <f ca="1">IF(OR(OP!$D$53=1,B24="",$B24&lt;=計算!$P$4),"",VLOOKUP($B24,more1,6,0))</f>
        <v>152496</v>
      </c>
      <c r="M24" s="690">
        <f ca="1">IF(OR(OP!$D$53=1,B24="",AND($B24&gt;=計算!$P$4,$C24&lt;15),ISERROR(VLOOKUP($B24,MORE_PV,4,0))),"",VLOOKUP($B24,MORE_PV,4,0))</f>
        <v>0</v>
      </c>
      <c r="N24" s="692">
        <f ca="1">IF(OR(OP!$D$53=1,B24="",$C24&lt;15,ISERROR(VLOOKUP($B24,MORE_PV,5,0))),"",VLOOKUP($B24,MORE_PV,5,0))</f>
        <v>8012</v>
      </c>
      <c r="O24" s="692">
        <f ca="1">IF(OR(OP!$D$53=1,$B24="",ISERROR(VLOOKUP($B24-1,MORE_PV,9,0))),"",VLOOKUP($B24-1,MORE_PV,9,0))</f>
        <v>0</v>
      </c>
      <c r="P24" s="692">
        <f ca="1">IF(OR(OP!$D$53=1,$B24="",ISERROR($O24)),"",N($P23)+N($O24))</f>
        <v>0</v>
      </c>
      <c r="Q24" s="692">
        <f ca="1">IF(OR(OP!$D$53=1,B24=""),"",ROUND(VLOOKUP($B24,MORE_PV,8,0),0))</f>
        <v>32263</v>
      </c>
      <c r="R24" s="692">
        <f ca="1">IF(OR(OP!$D$53=1,B24=""),"",ROUND(VLOOKUP($B24,MORE_PV,7,0),0))</f>
        <v>32263</v>
      </c>
      <c r="S24" s="692">
        <f ca="1">IF(OR(OP!$D$53=1,B24=""),"",N($F24)+N(O24))</f>
        <v>0</v>
      </c>
      <c r="T24" s="692">
        <f ca="1">IF(OR(OP!$D$53=1,$B24=""),0,N(T23)+N($S24))</f>
        <v>0</v>
      </c>
      <c r="U24" s="690">
        <f ca="1">IF(OR(OP!$D$53=1,B24=""),"",N($H24)+IF(AND($B24&gt;計算!$P$4,計算!$G$6="現金給付"),N($K24),IF(AND($B24&gt;計算!$P$4,計算!$G$6="儲存生息"),N($L24),0))+N($Q24))</f>
        <v>1553871</v>
      </c>
      <c r="V24" s="690">
        <f ca="1">IF(OR(OP!$D$53=1,$B24=""),"",N($I24)+IF(AND($B24&gt;計算!$P$4,計算!$G$6="現金給付"),N($K24),IF(AND($B24&gt;計算!$P$4,計算!$G$6="儲存生息"),N($L24),0))+N(R24))</f>
        <v>1553871</v>
      </c>
      <c r="W24" s="422"/>
      <c r="X24" s="422"/>
      <c r="Y24" s="786">
        <f ca="1">IF(OR(OP!$D$53=1,$B24=""),"",((($H24+$Q24)-IF(AND(計算!$G$6=計算!$P$5,$B24=OP!$C$57),$K24,0))*IF(OR($C24&lt;16,Z24=0,Z24=""),1,PYO))+IF(AND($B24&gt;計算!$P$4,計算!$G$6="現金給付"),N($K24),IF(AND($B24&gt;計算!$P$4,計算!$G$6="儲存生息"),N($L24),0))+IF(AND(計算!$G$6=計算!$P$5,$B24=OP!$C$57),$K24,0))</f>
        <v>1553871</v>
      </c>
      <c r="Z24" s="786">
        <f ca="1">IF(OR(OP!$D$53=1,$B24=""),"",(($H24+Q24)-IF(AND(計算!$G$6="購買增額繳清保險",$B24=OP!$C$57),$K24,0))*IF(OR($C24&lt;16,($H24+$Q24)*PY!$C$4&lt;PY!$D$5,($H24+$Q24)*PY!$C$4*PYR&lt;PY!$C$5),0,PYY)*PYR)</f>
        <v>0</v>
      </c>
    </row>
    <row r="25" spans="2:26" hidden="1">
      <c r="B25" s="693">
        <f t="shared" ref="B25:B33" ca="1" si="0">IF(OR(C24&gt;=110,C24=""),"",IF(C24+1&gt;110,111-$C$19,B24+1))</f>
        <v>22</v>
      </c>
      <c r="C25" s="689">
        <f ca="1">IF(OR(OP!$D$53=1,MAX($C$4:C24)&gt;=110),"",C24+(B25-B24))</f>
        <v>54</v>
      </c>
      <c r="D25" s="690" t="str">
        <f ca="1">IF(OR(OP!$D$53=1,AND(B25&gt;OP!$C$24)),"",OP!$C$52-IF($C25&lt;16,$K24,0))</f>
        <v/>
      </c>
      <c r="E25" s="690">
        <f ca="1">IF(OR(OP!$D$53=1,B25=""),"",N(E24)+N(D25))</f>
        <v>1000998</v>
      </c>
      <c r="F25" s="690" t="str">
        <f ca="1">IF(OR(OP!$D$53=1,$B25="",ISERROR(VLOOKUP(OP!$C$55,SRV,$B25+1,0))),"",ROUND(VLOOKUP(OP!$C$55,SRV,$B25+1,0)*OP!$C$28,0))</f>
        <v/>
      </c>
      <c r="G25" s="690" t="str">
        <f ca="1">IF(OR(OP!$D$53=1,$B25="",ISERROR(VLOOKUP(OP!$C$55,SRV,$B25+1,0))),"",N(G24)+N(F25))</f>
        <v/>
      </c>
      <c r="H25" s="690">
        <f ca="1">IF(OR(OP!$D$53=1,B25=""),"",ROUND(VLOOKUP(OP!$C$55,DIE,$B25+1,0)*OP!$C$28,0))</f>
        <v>1396516</v>
      </c>
      <c r="I25" s="691">
        <f ca="1">IF(OR(OP!$D$53=1,B25=""),"",ROUND(VLOOKUP(OP!$C$55,CV,$B25+1,0)*OP!$C$28,0))</f>
        <v>1396516</v>
      </c>
      <c r="J25" s="691">
        <f ca="1">IF(OR(OP!$D$53=1,B25=""),"",VLOOKUP(OP!$C$55,PA,$B25+1,0)*OP!$C$28)</f>
        <v>0</v>
      </c>
      <c r="K25" s="690">
        <f ca="1">IF(OR(OP!$D$53=1,B25=""),"",VLOOKUP($B25,more1,7,0))</f>
        <v>9863</v>
      </c>
      <c r="L25" s="690">
        <f ca="1">IF(OR(OP!$D$53=1,B25="",$B25&lt;=計算!$P$4),"",VLOOKUP($B25,more1,6,0))</f>
        <v>166512</v>
      </c>
      <c r="M25" s="690">
        <f ca="1">IF(OR(OP!$D$53=1,B25="",AND($B25&gt;=計算!$P$4,$C25&lt;15),ISERROR(VLOOKUP($B25,MORE_PV,4,0))),"",VLOOKUP($B25,MORE_PV,4,0))</f>
        <v>0</v>
      </c>
      <c r="N25" s="692">
        <f ca="1">IF(OR(OP!$D$53=1,B25="",$C25&lt;15,ISERROR(VLOOKUP($B25,MORE_PV,5,0))),"",VLOOKUP($B25,MORE_PV,5,0))</f>
        <v>8012</v>
      </c>
      <c r="O25" s="692">
        <f ca="1">IF(OR(OP!$D$53=1,$B25="",ISERROR(VLOOKUP($B25-1,MORE_PV,9,0))),"",VLOOKUP($B25-1,MORE_PV,9,0))</f>
        <v>0</v>
      </c>
      <c r="P25" s="692">
        <f ca="1">IF(OR(OP!$D$53=1,$B25="",ISERROR($O25)),"",N($P24)+N($O25))</f>
        <v>0</v>
      </c>
      <c r="Q25" s="692">
        <f ca="1">IF(OR(OP!$D$53=1,B25=""),"",ROUND(VLOOKUP($B25,MORE_PV,8,0),0))</f>
        <v>32908</v>
      </c>
      <c r="R25" s="692">
        <f ca="1">IF(OR(OP!$D$53=1,B25=""),"",ROUND(VLOOKUP($B25,MORE_PV,7,0),0))</f>
        <v>32908</v>
      </c>
      <c r="S25" s="692">
        <f ca="1">IF(OR(OP!$D$53=1,B25=""),"",N($F25)+N(O25))</f>
        <v>0</v>
      </c>
      <c r="T25" s="692">
        <f ca="1">IF(OR(OP!$D$53=1,$B25=""),0,N(T24)+N($S25))</f>
        <v>0</v>
      </c>
      <c r="U25" s="690">
        <f ca="1">IF(OR(OP!$D$53=1,B25=""),"",N($H25)+IF(AND($B25&gt;計算!$P$4,計算!$G$6="現金給付"),N($K25),IF(AND($B25&gt;計算!$P$4,計算!$G$6="儲存生息"),N($L25),0))+N($Q25))</f>
        <v>1595936</v>
      </c>
      <c r="V25" s="690">
        <f ca="1">IF(OR(OP!$D$53=1,$B25=""),"",N($I25)+IF(AND($B25&gt;計算!$P$4,計算!$G$6="現金給付"),N($K25),IF(AND($B25&gt;計算!$P$4,計算!$G$6="儲存生息"),N($L25),0))+N(R25))</f>
        <v>1595936</v>
      </c>
      <c r="W25" s="422"/>
      <c r="X25" s="422"/>
      <c r="Y25" s="786">
        <f ca="1">IF(OR(OP!$D$53=1,$B25=""),"",((($H25+$Q25)-IF(AND(計算!$G$6=計算!$P$5,$B25=OP!$C$57),$K25,0))*IF(OR($C25&lt;16,Z25=0,Z25=""),1,PYO))+IF(AND($B25&gt;計算!$P$4,計算!$G$6="現金給付"),N($K25),IF(AND($B25&gt;計算!$P$4,計算!$G$6="儲存生息"),N($L25),0))+IF(AND(計算!$G$6=計算!$P$5,$B25=OP!$C$57),$K25,0))</f>
        <v>1595936</v>
      </c>
      <c r="Z25" s="786">
        <f ca="1">IF(OR(OP!$D$53=1,$B25=""),"",(($H25+Q25)-IF(AND(計算!$G$6="購買增額繳清保險",$B25=OP!$C$57),$K25,0))*IF(OR($C25&lt;16,($H25+$Q25)*PY!$C$4&lt;PY!$D$5,($H25+$Q25)*PY!$C$4*PYR&lt;PY!$C$5),0,PYY)*PYR)</f>
        <v>0</v>
      </c>
    </row>
    <row r="26" spans="2:26" hidden="1">
      <c r="B26" s="693">
        <f t="shared" ca="1" si="0"/>
        <v>23</v>
      </c>
      <c r="C26" s="689">
        <f ca="1">IF(OR(OP!$D$53=1,MAX($C$4:C25)&gt;=110),"",C25+(B26-B25))</f>
        <v>55</v>
      </c>
      <c r="D26" s="690" t="str">
        <f ca="1">IF(OR(OP!$D$53=1,AND(B26&gt;OP!$C$24)),"",OP!$C$52-IF($C26&lt;16,$K25,0))</f>
        <v/>
      </c>
      <c r="E26" s="690">
        <f ca="1">IF(OR(OP!$D$53=1,B26=""),"",N(E25)+N(D26))</f>
        <v>1000998</v>
      </c>
      <c r="F26" s="690" t="str">
        <f ca="1">IF(OR(OP!$D$53=1,$B26="",ISERROR(VLOOKUP(OP!$C$55,SRV,$B26+1,0))),"",ROUND(VLOOKUP(OP!$C$55,SRV,$B26+1,0)*OP!$C$28,0))</f>
        <v/>
      </c>
      <c r="G26" s="690" t="str">
        <f ca="1">IF(OR(OP!$D$53=1,$B26="",ISERROR(VLOOKUP(OP!$C$55,SRV,$B26+1,0))),"",N(G25)+N(F26))</f>
        <v/>
      </c>
      <c r="H26" s="690">
        <f ca="1">IF(OR(OP!$D$53=1,B26=""),"",ROUND(VLOOKUP(OP!$C$55,DIE,$B26+1,0)*OP!$C$28,0))</f>
        <v>1424430</v>
      </c>
      <c r="I26" s="691">
        <f ca="1">IF(OR(OP!$D$53=1,B26=""),"",ROUND(VLOOKUP(OP!$C$55,CV,$B26+1,0)*OP!$C$28,0))</f>
        <v>1424430</v>
      </c>
      <c r="J26" s="691">
        <f ca="1">IF(OR(OP!$D$53=1,B26=""),"",VLOOKUP(OP!$C$55,PA,$B26+1,0)*OP!$C$28)</f>
        <v>0</v>
      </c>
      <c r="K26" s="690">
        <f ca="1">IF(OR(OP!$D$53=1,B26=""),"",VLOOKUP($B26,more1,7,0))</f>
        <v>10061</v>
      </c>
      <c r="L26" s="690">
        <f ca="1">IF(OR(OP!$D$53=1,B26="",$B26&lt;=計算!$P$4),"",VLOOKUP($B26,more1,6,0))</f>
        <v>181120</v>
      </c>
      <c r="M26" s="690">
        <f ca="1">IF(OR(OP!$D$53=1,B26="",AND($B26&gt;=計算!$P$4,$C26&lt;15),ISERROR(VLOOKUP($B26,MORE_PV,4,0))),"",VLOOKUP($B26,MORE_PV,4,0))</f>
        <v>0</v>
      </c>
      <c r="N26" s="692">
        <f ca="1">IF(OR(OP!$D$53=1,B26="",$C26&lt;15,ISERROR(VLOOKUP($B26,MORE_PV,5,0))),"",VLOOKUP($B26,MORE_PV,5,0))</f>
        <v>8012</v>
      </c>
      <c r="O26" s="692">
        <f ca="1">IF(OR(OP!$D$53=1,$B26="",ISERROR(VLOOKUP($B26-1,MORE_PV,9,0))),"",VLOOKUP($B26-1,MORE_PV,9,0))</f>
        <v>0</v>
      </c>
      <c r="P26" s="692">
        <f ca="1">IF(OR(OP!$D$53=1,$B26="",ISERROR($O26)),"",N($P25)+N($O26))</f>
        <v>0</v>
      </c>
      <c r="Q26" s="692">
        <f ca="1">IF(OR(OP!$D$53=1,B26=""),"",ROUND(VLOOKUP($B26,MORE_PV,8,0),0))</f>
        <v>33566</v>
      </c>
      <c r="R26" s="692">
        <f ca="1">IF(OR(OP!$D$53=1,B26=""),"",ROUND(VLOOKUP($B26,MORE_PV,7,0),0))</f>
        <v>33566</v>
      </c>
      <c r="S26" s="692">
        <f ca="1">IF(OR(OP!$D$53=1,B26=""),"",N($F26)+N(O26))</f>
        <v>0</v>
      </c>
      <c r="T26" s="692">
        <f ca="1">IF(OR(OP!$D$53=1,$B26=""),0,N(T25)+N($S26))</f>
        <v>0</v>
      </c>
      <c r="U26" s="690">
        <f ca="1">IF(OR(OP!$D$53=1,B26=""),"",N($H26)+IF(AND($B26&gt;計算!$P$4,計算!$G$6="現金給付"),N($K26),IF(AND($B26&gt;計算!$P$4,計算!$G$6="儲存生息"),N($L26),0))+N($Q26))</f>
        <v>1639116</v>
      </c>
      <c r="V26" s="690">
        <f ca="1">IF(OR(OP!$D$53=1,$B26=""),"",N($I26)+IF(AND($B26&gt;計算!$P$4,計算!$G$6="現金給付"),N($K26),IF(AND($B26&gt;計算!$P$4,計算!$G$6="儲存生息"),N($L26),0))+N(R26))</f>
        <v>1639116</v>
      </c>
      <c r="W26" s="422"/>
      <c r="X26" s="422"/>
      <c r="Y26" s="786">
        <f ca="1">IF(OR(OP!$D$53=1,$B26=""),"",((($H26+$Q26)-IF(AND(計算!$G$6=計算!$P$5,$B26=OP!$C$57),$K26,0))*IF(OR($C26&lt;16,Z26=0,Z26=""),1,PYO))+IF(AND($B26&gt;計算!$P$4,計算!$G$6="現金給付"),N($K26),IF(AND($B26&gt;計算!$P$4,計算!$G$6="儲存生息"),N($L26),0))+IF(AND(計算!$G$6=計算!$P$5,$B26=OP!$C$57),$K26,0))</f>
        <v>1639116</v>
      </c>
      <c r="Z26" s="786">
        <f ca="1">IF(OR(OP!$D$53=1,$B26=""),"",(($H26+Q26)-IF(AND(計算!$G$6="購買增額繳清保險",$B26=OP!$C$57),$K26,0))*IF(OR($C26&lt;16,($H26+$Q26)*PY!$C$4&lt;PY!$D$5,($H26+$Q26)*PY!$C$4*PYR&lt;PY!$C$5),0,PYY)*PYR)</f>
        <v>0</v>
      </c>
    </row>
    <row r="27" spans="2:26" hidden="1">
      <c r="B27" s="693">
        <f t="shared" ca="1" si="0"/>
        <v>24</v>
      </c>
      <c r="C27" s="689">
        <f ca="1">IF(OR(OP!$D$53=1,MAX($C$4:C26)&gt;=110),"",C26+(B27-B26))</f>
        <v>56</v>
      </c>
      <c r="D27" s="690" t="str">
        <f ca="1">IF(OR(OP!$D$53=1,AND(B27&gt;OP!$C$24)),"",OP!$C$52-IF($C27&lt;16,$K26,0))</f>
        <v/>
      </c>
      <c r="E27" s="690">
        <f ca="1">IF(OR(OP!$D$53=1,B27=""),"",N(E26)+N(D27))</f>
        <v>1000998</v>
      </c>
      <c r="F27" s="690" t="str">
        <f ca="1">IF(OR(OP!$D$53=1,$B27="",ISERROR(VLOOKUP(OP!$C$55,SRV,$B27+1,0))),"",ROUND(VLOOKUP(OP!$C$55,SRV,$B27+1,0)*OP!$C$28,0))</f>
        <v/>
      </c>
      <c r="G27" s="690" t="str">
        <f ca="1">IF(OR(OP!$D$53=1,$B27="",ISERROR(VLOOKUP(OP!$C$55,SRV,$B27+1,0))),"",N(G26)+N(F27))</f>
        <v/>
      </c>
      <c r="H27" s="690">
        <f ca="1">IF(OR(OP!$D$53=1,B27=""),"",ROUND(VLOOKUP(OP!$C$55,DIE,$B27+1,0)*OP!$C$28,0))</f>
        <v>1452922</v>
      </c>
      <c r="I27" s="691">
        <f ca="1">IF(OR(OP!$D$53=1,B27=""),"",ROUND(VLOOKUP(OP!$C$55,CV,$B27+1,0)*OP!$C$28,0))</f>
        <v>1452922</v>
      </c>
      <c r="J27" s="691">
        <f ca="1">IF(OR(OP!$D$53=1,B27=""),"",VLOOKUP(OP!$C$55,PA,$B27+1,0)*OP!$C$28)</f>
        <v>0</v>
      </c>
      <c r="K27" s="690">
        <f ca="1">IF(OR(OP!$D$53=1,B27=""),"",VLOOKUP($B27,more1,7,0))</f>
        <v>10261</v>
      </c>
      <c r="L27" s="690">
        <f ca="1">IF(OR(OP!$D$53=1,B27="",$B27&lt;=計算!$P$4),"",VLOOKUP($B27,more1,6,0))</f>
        <v>196314</v>
      </c>
      <c r="M27" s="690">
        <f ca="1">IF(OR(OP!$D$53=1,B27="",AND($B27&gt;=計算!$P$4,$C27&lt;15),ISERROR(VLOOKUP($B27,MORE_PV,4,0))),"",VLOOKUP($B27,MORE_PV,4,0))</f>
        <v>0</v>
      </c>
      <c r="N27" s="692">
        <f ca="1">IF(OR(OP!$D$53=1,B27="",$C27&lt;15,ISERROR(VLOOKUP($B27,MORE_PV,5,0))),"",VLOOKUP($B27,MORE_PV,5,0))</f>
        <v>8012</v>
      </c>
      <c r="O27" s="692">
        <f ca="1">IF(OR(OP!$D$53=1,$B27="",ISERROR(VLOOKUP($B27-1,MORE_PV,9,0))),"",VLOOKUP($B27-1,MORE_PV,9,0))</f>
        <v>0</v>
      </c>
      <c r="P27" s="692">
        <f ca="1">IF(OR(OP!$D$53=1,$B27="",ISERROR($O27)),"",N($P26)+N($O27))</f>
        <v>0</v>
      </c>
      <c r="Q27" s="692">
        <f ca="1">IF(OR(OP!$D$53=1,B27=""),"",ROUND(VLOOKUP($B27,MORE_PV,8,0),0))</f>
        <v>34238</v>
      </c>
      <c r="R27" s="692">
        <f ca="1">IF(OR(OP!$D$53=1,B27=""),"",ROUND(VLOOKUP($B27,MORE_PV,7,0),0))</f>
        <v>34238</v>
      </c>
      <c r="S27" s="692">
        <f ca="1">IF(OR(OP!$D$53=1,B27=""),"",N($F27)+N(O27))</f>
        <v>0</v>
      </c>
      <c r="T27" s="692">
        <f ca="1">IF(OR(OP!$D$53=1,$B27=""),0,N(T26)+N($S27))</f>
        <v>0</v>
      </c>
      <c r="U27" s="690">
        <f ca="1">IF(OR(OP!$D$53=1,B27=""),"",N($H27)+IF(AND($B27&gt;計算!$P$4,計算!$G$6="現金給付"),N($K27),IF(AND($B27&gt;計算!$P$4,計算!$G$6="儲存生息"),N($L27),0))+N($Q27))</f>
        <v>1683474</v>
      </c>
      <c r="V27" s="690">
        <f ca="1">IF(OR(OP!$D$53=1,$B27=""),"",N($I27)+IF(AND($B27&gt;計算!$P$4,計算!$G$6="現金給付"),N($K27),IF(AND($B27&gt;計算!$P$4,計算!$G$6="儲存生息"),N($L27),0))+N(R27))</f>
        <v>1683474</v>
      </c>
      <c r="W27" s="422"/>
      <c r="X27" s="422"/>
      <c r="Y27" s="786">
        <f ca="1">IF(OR(OP!$D$53=1,$B27=""),"",((($H27+$Q27)-IF(AND(計算!$G$6=計算!$P$5,$B27=OP!$C$57),$K27,0))*IF(OR($C27&lt;16,Z27=0,Z27=""),1,PYO))+IF(AND($B27&gt;計算!$P$4,計算!$G$6="現金給付"),N($K27),IF(AND($B27&gt;計算!$P$4,計算!$G$6="儲存生息"),N($L27),0))+IF(AND(計算!$G$6=計算!$P$5,$B27=OP!$C$57),$K27,0))</f>
        <v>1683474</v>
      </c>
      <c r="Z27" s="786">
        <f ca="1">IF(OR(OP!$D$53=1,$B27=""),"",(($H27+Q27)-IF(AND(計算!$G$6="購買增額繳清保險",$B27=OP!$C$57),$K27,0))*IF(OR($C27&lt;16,($H27+$Q27)*PY!$C$4&lt;PY!$D$5,($H27+$Q27)*PY!$C$4*PYR&lt;PY!$C$5),0,PYY)*PYR)</f>
        <v>0</v>
      </c>
    </row>
    <row r="28" spans="2:26" hidden="1">
      <c r="B28" s="693">
        <f t="shared" ca="1" si="0"/>
        <v>25</v>
      </c>
      <c r="C28" s="689">
        <f ca="1">IF(OR(OP!$D$53=1,MAX($C$4:C27)&gt;=110),"",C27+(B28-B27))</f>
        <v>57</v>
      </c>
      <c r="D28" s="690" t="str">
        <f ca="1">IF(OR(OP!$D$53=1,AND(B28&gt;OP!$C$24)),"",OP!$C$52-IF($C28&lt;16,$K27,0))</f>
        <v/>
      </c>
      <c r="E28" s="690">
        <f ca="1">IF(OR(OP!$D$53=1,B28=""),"",N(E27)+N(D28))</f>
        <v>1000998</v>
      </c>
      <c r="F28" s="690" t="str">
        <f ca="1">IF(OR(OP!$D$53=1,$B28="",ISERROR(VLOOKUP(OP!$C$55,SRV,$B28+1,0))),"",ROUND(VLOOKUP(OP!$C$55,SRV,$B28+1,0)*OP!$C$28,0))</f>
        <v/>
      </c>
      <c r="G28" s="690" t="str">
        <f ca="1">IF(OR(OP!$D$53=1,$B28="",ISERROR(VLOOKUP(OP!$C$55,SRV,$B28+1,0))),"",N(G27)+N(F28))</f>
        <v/>
      </c>
      <c r="H28" s="690">
        <f ca="1">IF(OR(OP!$D$53=1,B28=""),"",ROUND(VLOOKUP(OP!$C$55,DIE,$B28+1,0)*OP!$C$28,0))</f>
        <v>1481992</v>
      </c>
      <c r="I28" s="691">
        <f ca="1">IF(OR(OP!$D$53=1,B28=""),"",ROUND(VLOOKUP(OP!$C$55,CV,$B28+1,0)*OP!$C$28,0))</f>
        <v>1481992</v>
      </c>
      <c r="J28" s="691">
        <f ca="1">IF(OR(OP!$D$53=1,B28=""),"",VLOOKUP(OP!$C$55,PA,$B28+1,0)*OP!$C$28)</f>
        <v>0</v>
      </c>
      <c r="K28" s="690">
        <f ca="1">IF(OR(OP!$D$53=1,B28=""),"",VLOOKUP($B28,more1,7,0))</f>
        <v>10467</v>
      </c>
      <c r="L28" s="690">
        <f ca="1">IF(OR(OP!$D$53=1,B28="",$B28&lt;=計算!$P$4),"",VLOOKUP($B28,more1,6,0))</f>
        <v>212127</v>
      </c>
      <c r="M28" s="690">
        <f ca="1">IF(OR(OP!$D$53=1,B28="",AND($B28&gt;=計算!$P$4,$C28&lt;15),ISERROR(VLOOKUP($B28,MORE_PV,4,0))),"",VLOOKUP($B28,MORE_PV,4,0))</f>
        <v>0</v>
      </c>
      <c r="N28" s="692">
        <f ca="1">IF(OR(OP!$D$53=1,B28="",$C28&lt;15,ISERROR(VLOOKUP($B28,MORE_PV,5,0))),"",VLOOKUP($B28,MORE_PV,5,0))</f>
        <v>8012</v>
      </c>
      <c r="O28" s="692">
        <f ca="1">IF(OR(OP!$D$53=1,$B28="",ISERROR(VLOOKUP($B28-1,MORE_PV,9,0))),"",VLOOKUP($B28-1,MORE_PV,9,0))</f>
        <v>0</v>
      </c>
      <c r="P28" s="692">
        <f ca="1">IF(OR(OP!$D$53=1,$B28="",ISERROR($O28)),"",N($P27)+N($O28))</f>
        <v>0</v>
      </c>
      <c r="Q28" s="692">
        <f ca="1">IF(OR(OP!$D$53=1,B28=""),"",ROUND(VLOOKUP($B28,MORE_PV,8,0),0))</f>
        <v>34923</v>
      </c>
      <c r="R28" s="692">
        <f ca="1">IF(OR(OP!$D$53=1,B28=""),"",ROUND(VLOOKUP($B28,MORE_PV,7,0),0))</f>
        <v>34923</v>
      </c>
      <c r="S28" s="692">
        <f ca="1">IF(OR(OP!$D$53=1,B28=""),"",N($F28)+N(O28))</f>
        <v>0</v>
      </c>
      <c r="T28" s="692">
        <f ca="1">IF(OR(OP!$D$53=1,$B28=""),0,N(T27)+N($S28))</f>
        <v>0</v>
      </c>
      <c r="U28" s="690">
        <f ca="1">IF(OR(OP!$D$53=1,B28=""),"",N($H28)+IF(AND($B28&gt;計算!$P$4,計算!$G$6="現金給付"),N($K28),IF(AND($B28&gt;計算!$P$4,計算!$G$6="儲存生息"),N($L28),0))+N($Q28))</f>
        <v>1729042</v>
      </c>
      <c r="V28" s="690">
        <f ca="1">IF(OR(OP!$D$53=1,$B28=""),"",N($I28)+IF(AND($B28&gt;計算!$P$4,計算!$G$6="現金給付"),N($K28),IF(AND($B28&gt;計算!$P$4,計算!$G$6="儲存生息"),N($L28),0))+N(R28))</f>
        <v>1729042</v>
      </c>
      <c r="W28" s="422"/>
      <c r="X28" s="422"/>
      <c r="Y28" s="786">
        <f ca="1">IF(OR(OP!$D$53=1,$B28=""),"",((($H28+$Q28)-IF(AND(計算!$G$6=計算!$P$5,$B28=OP!$C$57),$K28,0))*IF(OR($C28&lt;16,Z28=0,Z28=""),1,PYO))+IF(AND($B28&gt;計算!$P$4,計算!$G$6="現金給付"),N($K28),IF(AND($B28&gt;計算!$P$4,計算!$G$6="儲存生息"),N($L28),0))+IF(AND(計算!$G$6=計算!$P$5,$B28=OP!$C$57),$K28,0))</f>
        <v>1729042</v>
      </c>
      <c r="Z28" s="786">
        <f ca="1">IF(OR(OP!$D$53=1,$B28=""),"",(($H28+Q28)-IF(AND(計算!$G$6="購買增額繳清保險",$B28=OP!$C$57),$K28,0))*IF(OR($C28&lt;16,($H28+$Q28)*PY!$C$4&lt;PY!$D$5,($H28+$Q28)*PY!$C$4*PYR&lt;PY!$C$5),0,PYY)*PYR)</f>
        <v>0</v>
      </c>
    </row>
    <row r="29" spans="2:26" hidden="1">
      <c r="B29" s="693">
        <f t="shared" ca="1" si="0"/>
        <v>26</v>
      </c>
      <c r="C29" s="689">
        <f ca="1">IF(OR(OP!$D$53=1,MAX($C$4:C28)&gt;=110),"",C28+(B29-B28))</f>
        <v>58</v>
      </c>
      <c r="D29" s="690" t="str">
        <f ca="1">IF(OR(OP!$D$53=1,AND(B29&gt;OP!$C$24)),"",OP!$C$52-IF($C29&lt;16,$K28,0))</f>
        <v/>
      </c>
      <c r="E29" s="690">
        <f ca="1">IF(OR(OP!$D$53=1,B29=""),"",N(E28)+N(D29))</f>
        <v>1000998</v>
      </c>
      <c r="F29" s="690" t="str">
        <f ca="1">IF(OR(OP!$D$53=1,$B29="",ISERROR(VLOOKUP(OP!$C$55,SRV,$B29+1,0))),"",ROUND(VLOOKUP(OP!$C$55,SRV,$B29+1,0)*OP!$C$28,0))</f>
        <v/>
      </c>
      <c r="G29" s="690" t="str">
        <f ca="1">IF(OR(OP!$D$53=1,$B29="",ISERROR(VLOOKUP(OP!$C$55,SRV,$B29+1,0))),"",N(G28)+N(F29))</f>
        <v/>
      </c>
      <c r="H29" s="690">
        <f ca="1">IF(OR(OP!$D$53=1,B29=""),"",ROUND(VLOOKUP(OP!$C$55,DIE,$B29+1,0)*OP!$C$28,0))</f>
        <v>1511606</v>
      </c>
      <c r="I29" s="691">
        <f ca="1">IF(OR(OP!$D$53=1,B29=""),"",ROUND(VLOOKUP(OP!$C$55,CV,$B29+1,0)*OP!$C$28,0))</f>
        <v>1511606</v>
      </c>
      <c r="J29" s="691">
        <f ca="1">IF(OR(OP!$D$53=1,B29=""),"",VLOOKUP(OP!$C$55,PA,$B29+1,0)*OP!$C$28)</f>
        <v>0</v>
      </c>
      <c r="K29" s="690">
        <f ca="1">IF(OR(OP!$D$53=1,B29=""),"",VLOOKUP($B29,more1,7,0))</f>
        <v>10676</v>
      </c>
      <c r="L29" s="690">
        <f ca="1">IF(OR(OP!$D$53=1,B29="",$B29&lt;=計算!$P$4),"",VLOOKUP($B29,more1,6,0))</f>
        <v>228580</v>
      </c>
      <c r="M29" s="690">
        <f ca="1">IF(OR(OP!$D$53=1,B29="",AND($B29&gt;=計算!$P$4,$C29&lt;15),ISERROR(VLOOKUP($B29,MORE_PV,4,0))),"",VLOOKUP($B29,MORE_PV,4,0))</f>
        <v>0</v>
      </c>
      <c r="N29" s="692">
        <f ca="1">IF(OR(OP!$D$53=1,B29="",$C29&lt;15,ISERROR(VLOOKUP($B29,MORE_PV,5,0))),"",VLOOKUP($B29,MORE_PV,5,0))</f>
        <v>8012</v>
      </c>
      <c r="O29" s="692">
        <f ca="1">IF(OR(OP!$D$53=1,$B29="",ISERROR(VLOOKUP($B29-1,MORE_PV,9,0))),"",VLOOKUP($B29-1,MORE_PV,9,0))</f>
        <v>0</v>
      </c>
      <c r="P29" s="692">
        <f ca="1">IF(OR(OP!$D$53=1,$B29="",ISERROR($O29)),"",N($P28)+N($O29))</f>
        <v>0</v>
      </c>
      <c r="Q29" s="692">
        <f ca="1">IF(OR(OP!$D$53=1,B29=""),"",ROUND(VLOOKUP($B29,MORE_PV,8,0),0))</f>
        <v>35621</v>
      </c>
      <c r="R29" s="692">
        <f ca="1">IF(OR(OP!$D$53=1,B29=""),"",ROUND(VLOOKUP($B29,MORE_PV,7,0),0))</f>
        <v>35621</v>
      </c>
      <c r="S29" s="692">
        <f ca="1">IF(OR(OP!$D$53=1,B29=""),"",N($F29)+N(O29))</f>
        <v>0</v>
      </c>
      <c r="T29" s="692">
        <f ca="1">IF(OR(OP!$D$53=1,$B29=""),0,N(T28)+N($S29))</f>
        <v>0</v>
      </c>
      <c r="U29" s="690">
        <f ca="1">IF(OR(OP!$D$53=1,B29=""),"",N($H29)+IF(AND($B29&gt;計算!$P$4,計算!$G$6="現金給付"),N($K29),IF(AND($B29&gt;計算!$P$4,計算!$G$6="儲存生息"),N($L29),0))+N($Q29))</f>
        <v>1775807</v>
      </c>
      <c r="V29" s="690">
        <f ca="1">IF(OR(OP!$D$53=1,$B29=""),"",N($I29)+IF(AND($B29&gt;計算!$P$4,計算!$G$6="現金給付"),N($K29),IF(AND($B29&gt;計算!$P$4,計算!$G$6="儲存生息"),N($L29),0))+N(R29))</f>
        <v>1775807</v>
      </c>
      <c r="W29" s="422"/>
      <c r="X29" s="422"/>
      <c r="Y29" s="786">
        <f ca="1">IF(OR(OP!$D$53=1,$B29=""),"",((($H29+$Q29)-IF(AND(計算!$G$6=計算!$P$5,$B29=OP!$C$57),$K29,0))*IF(OR($C29&lt;16,Z29=0,Z29=""),1,PYO))+IF(AND($B29&gt;計算!$P$4,計算!$G$6="現金給付"),N($K29),IF(AND($B29&gt;計算!$P$4,計算!$G$6="儲存生息"),N($L29),0))+IF(AND(計算!$G$6=計算!$P$5,$B29=OP!$C$57),$K29,0))</f>
        <v>1775807</v>
      </c>
      <c r="Z29" s="786">
        <f ca="1">IF(OR(OP!$D$53=1,$B29=""),"",(($H29+Q29)-IF(AND(計算!$G$6="購買增額繳清保險",$B29=OP!$C$57),$K29,0))*IF(OR($C29&lt;16,($H29+$Q29)*PY!$C$4&lt;PY!$D$5,($H29+$Q29)*PY!$C$4*PYR&lt;PY!$C$5),0,PYY)*PYR)</f>
        <v>0</v>
      </c>
    </row>
    <row r="30" spans="2:26" hidden="1">
      <c r="B30" s="693">
        <f t="shared" ca="1" si="0"/>
        <v>27</v>
      </c>
      <c r="C30" s="689">
        <f ca="1">IF(OR(OP!$D$53=1,MAX($C$4:C29)&gt;=110),"",C29+(B30-B29))</f>
        <v>59</v>
      </c>
      <c r="D30" s="690" t="str">
        <f ca="1">IF(OR(OP!$D$53=1,AND(B30&gt;OP!$C$24)),"",OP!$C$52-IF($C30&lt;16,$K29,0))</f>
        <v/>
      </c>
      <c r="E30" s="690">
        <f ca="1">IF(OR(OP!$D$53=1,B30=""),"",N(E29)+N(D30))</f>
        <v>1000998</v>
      </c>
      <c r="F30" s="690" t="str">
        <f ca="1">IF(OR(OP!$D$53=1,$B30="",ISERROR(VLOOKUP(OP!$C$55,SRV,$B30+1,0))),"",ROUND(VLOOKUP(OP!$C$55,SRV,$B30+1,0)*OP!$C$28,0))</f>
        <v/>
      </c>
      <c r="G30" s="690" t="str">
        <f ca="1">IF(OR(OP!$D$53=1,$B30="",ISERROR(VLOOKUP(OP!$C$55,SRV,$B30+1,0))),"",N(G29)+N(F30))</f>
        <v/>
      </c>
      <c r="H30" s="690">
        <f ca="1">IF(OR(OP!$D$53=1,B30=""),"",ROUND(VLOOKUP(OP!$C$55,DIE,$B30+1,0)*OP!$C$28,0))</f>
        <v>1541832</v>
      </c>
      <c r="I30" s="691">
        <f ca="1">IF(OR(OP!$D$53=1,B30=""),"",ROUND(VLOOKUP(OP!$C$55,CV,$B30+1,0)*OP!$C$28,0))</f>
        <v>1541832</v>
      </c>
      <c r="J30" s="691">
        <f ca="1">IF(OR(OP!$D$53=1,B30=""),"",VLOOKUP(OP!$C$55,PA,$B30+1,0)*OP!$C$28)</f>
        <v>0</v>
      </c>
      <c r="K30" s="690">
        <f ca="1">IF(OR(OP!$D$53=1,B30=""),"",VLOOKUP($B30,more1,7,0))</f>
        <v>10890</v>
      </c>
      <c r="L30" s="690">
        <f ca="1">IF(OR(OP!$D$53=1,B30="",$B30&lt;=計算!$P$4),"",VLOOKUP($B30,more1,6,0))</f>
        <v>245712</v>
      </c>
      <c r="M30" s="690">
        <f ca="1">IF(OR(OP!$D$53=1,B30="",AND($B30&gt;=計算!$P$4,$C30&lt;15),ISERROR(VLOOKUP($B30,MORE_PV,4,0))),"",VLOOKUP($B30,MORE_PV,4,0))</f>
        <v>0</v>
      </c>
      <c r="N30" s="692">
        <f ca="1">IF(OR(OP!$D$53=1,B30="",$C30&lt;15,ISERROR(VLOOKUP($B30,MORE_PV,5,0))),"",VLOOKUP($B30,MORE_PV,5,0))</f>
        <v>8012</v>
      </c>
      <c r="O30" s="692">
        <f ca="1">IF(OR(OP!$D$53=1,$B30="",ISERROR(VLOOKUP($B30-1,MORE_PV,9,0))),"",VLOOKUP($B30-1,MORE_PV,9,0))</f>
        <v>0</v>
      </c>
      <c r="P30" s="692">
        <f ca="1">IF(OR(OP!$D$53=1,$B30="",ISERROR($O30)),"",N($P29)+N($O30))</f>
        <v>0</v>
      </c>
      <c r="Q30" s="692">
        <f ca="1">IF(OR(OP!$D$53=1,B30=""),"",ROUND(VLOOKUP($B30,MORE_PV,8,0),0))</f>
        <v>36333</v>
      </c>
      <c r="R30" s="692">
        <f ca="1">IF(OR(OP!$D$53=1,B30=""),"",ROUND(VLOOKUP($B30,MORE_PV,7,0),0))</f>
        <v>36333</v>
      </c>
      <c r="S30" s="692">
        <f ca="1">IF(OR(OP!$D$53=1,B30=""),"",N($F30)+N(O30))</f>
        <v>0</v>
      </c>
      <c r="T30" s="692">
        <f ca="1">IF(OR(OP!$D$53=1,$B30=""),0,N(T29)+N($S30))</f>
        <v>0</v>
      </c>
      <c r="U30" s="690">
        <f ca="1">IF(OR(OP!$D$53=1,B30=""),"",N($H30)+IF(AND($B30&gt;計算!$P$4,計算!$G$6="現金給付"),N($K30),IF(AND($B30&gt;計算!$P$4,計算!$G$6="儲存生息"),N($L30),0))+N($Q30))</f>
        <v>1823877</v>
      </c>
      <c r="V30" s="690">
        <f ca="1">IF(OR(OP!$D$53=1,$B30=""),"",N($I30)+IF(AND($B30&gt;計算!$P$4,計算!$G$6="現金給付"),N($K30),IF(AND($B30&gt;計算!$P$4,計算!$G$6="儲存生息"),N($L30),0))+N(R30))</f>
        <v>1823877</v>
      </c>
      <c r="W30" s="422"/>
      <c r="X30" s="422"/>
      <c r="Y30" s="786">
        <f ca="1">IF(OR(OP!$D$53=1,$B30=""),"",((($H30+$Q30)-IF(AND(計算!$G$6=計算!$P$5,$B30=OP!$C$57),$K30,0))*IF(OR($C30&lt;16,Z30=0,Z30=""),1,PYO))+IF(AND($B30&gt;計算!$P$4,計算!$G$6="現金給付"),N($K30),IF(AND($B30&gt;計算!$P$4,計算!$G$6="儲存生息"),N($L30),0))+IF(AND(計算!$G$6=計算!$P$5,$B30=OP!$C$57),$K30,0))</f>
        <v>1823877</v>
      </c>
      <c r="Z30" s="786">
        <f ca="1">IF(OR(OP!$D$53=1,$B30=""),"",(($H30+Q30)-IF(AND(計算!$G$6="購買增額繳清保險",$B30=OP!$C$57),$K30,0))*IF(OR($C30&lt;16,($H30+$Q30)*PY!$C$4&lt;PY!$D$5,($H30+$Q30)*PY!$C$4*PYR&lt;PY!$C$5),0,PYY)*PYR)</f>
        <v>0</v>
      </c>
    </row>
    <row r="31" spans="2:26" hidden="1">
      <c r="B31" s="693">
        <f t="shared" ca="1" si="0"/>
        <v>28</v>
      </c>
      <c r="C31" s="689">
        <f ca="1">IF(OR(OP!$D$53=1,MAX($C$4:C30)&gt;=110),"",C30+(B31-B30))</f>
        <v>60</v>
      </c>
      <c r="D31" s="690" t="str">
        <f ca="1">IF(OR(OP!$D$53=1,AND(B31&gt;OP!$C$24)),"",OP!$C$52-IF($C31&lt;16,$K30,0))</f>
        <v/>
      </c>
      <c r="E31" s="690">
        <f ca="1">IF(OR(OP!$D$53=1,B31=""),"",N(E30)+N(D31))</f>
        <v>1000998</v>
      </c>
      <c r="F31" s="690" t="str">
        <f ca="1">IF(OR(OP!$D$53=1,$B31="",ISERROR(VLOOKUP(OP!$C$55,SRV,$B31+1,0))),"",ROUND(VLOOKUP(OP!$C$55,SRV,$B31+1,0)*OP!$C$28,0))</f>
        <v/>
      </c>
      <c r="G31" s="690" t="str">
        <f ca="1">IF(OR(OP!$D$53=1,$B31="",ISERROR(VLOOKUP(OP!$C$55,SRV,$B31+1,0))),"",N(G30)+N(F31))</f>
        <v/>
      </c>
      <c r="H31" s="690">
        <f ca="1">IF(OR(OP!$D$53=1,B31=""),"",ROUND(VLOOKUP(OP!$C$55,DIE,$B31+1,0)*OP!$C$28,0))</f>
        <v>1572670</v>
      </c>
      <c r="I31" s="691">
        <f ca="1">IF(OR(OP!$D$53=1,B31=""),"",ROUND(VLOOKUP(OP!$C$55,CV,$B31+1,0)*OP!$C$28,0))</f>
        <v>1572670</v>
      </c>
      <c r="J31" s="691">
        <f ca="1">IF(OR(OP!$D$53=1,B31=""),"",VLOOKUP(OP!$C$55,PA,$B31+1,0)*OP!$C$28)</f>
        <v>0</v>
      </c>
      <c r="K31" s="690">
        <f ca="1">IF(OR(OP!$D$53=1,B31=""),"",VLOOKUP($B31,more1,7,0))</f>
        <v>11107</v>
      </c>
      <c r="L31" s="690">
        <f ca="1">IF(OR(OP!$D$53=1,B31="",$B31&lt;=計算!$P$4),"",VLOOKUP($B31,more1,6,0))</f>
        <v>263511</v>
      </c>
      <c r="M31" s="690">
        <f ca="1">IF(OR(OP!$D$53=1,B31="",AND($B31&gt;=計算!$P$4,$C31&lt;15),ISERROR(VLOOKUP($B31,MORE_PV,4,0))),"",VLOOKUP($B31,MORE_PV,4,0))</f>
        <v>0</v>
      </c>
      <c r="N31" s="692">
        <f ca="1">IF(OR(OP!$D$53=1,B31="",$C31&lt;15,ISERROR(VLOOKUP($B31,MORE_PV,5,0))),"",VLOOKUP($B31,MORE_PV,5,0))</f>
        <v>8012</v>
      </c>
      <c r="O31" s="692">
        <f ca="1">IF(OR(OP!$D$53=1,$B31="",ISERROR(VLOOKUP($B31-1,MORE_PV,9,0))),"",VLOOKUP($B31-1,MORE_PV,9,0))</f>
        <v>0</v>
      </c>
      <c r="P31" s="692">
        <f ca="1">IF(OR(OP!$D$53=1,$B31="",ISERROR($O31)),"",N($P30)+N($O31))</f>
        <v>0</v>
      </c>
      <c r="Q31" s="692">
        <f ca="1">IF(OR(OP!$D$53=1,B31=""),"",ROUND(VLOOKUP($B31,MORE_PV,8,0),0))</f>
        <v>37060</v>
      </c>
      <c r="R31" s="692">
        <f ca="1">IF(OR(OP!$D$53=1,B31=""),"",ROUND(VLOOKUP($B31,MORE_PV,7,0),0))</f>
        <v>37060</v>
      </c>
      <c r="S31" s="692">
        <f ca="1">IF(OR(OP!$D$53=1,B31=""),"",N($F31)+N(O31))</f>
        <v>0</v>
      </c>
      <c r="T31" s="692">
        <f ca="1">IF(OR(OP!$D$53=1,$B31=""),0,N(T30)+N($S31))</f>
        <v>0</v>
      </c>
      <c r="U31" s="690">
        <f ca="1">IF(OR(OP!$D$53=1,B31=""),"",N($H31)+IF(AND($B31&gt;計算!$P$4,計算!$G$6="現金給付"),N($K31),IF(AND($B31&gt;計算!$P$4,計算!$G$6="儲存生息"),N($L31),0))+N($Q31))</f>
        <v>1873241</v>
      </c>
      <c r="V31" s="690">
        <f ca="1">IF(OR(OP!$D$53=1,$B31=""),"",N($I31)+IF(AND($B31&gt;計算!$P$4,計算!$G$6="現金給付"),N($K31),IF(AND($B31&gt;計算!$P$4,計算!$G$6="儲存生息"),N($L31),0))+N(R31))</f>
        <v>1873241</v>
      </c>
      <c r="W31" s="422"/>
      <c r="X31" s="422"/>
      <c r="Y31" s="786">
        <f ca="1">IF(OR(OP!$D$53=1,$B31=""),"",((($H31+$Q31)-IF(AND(計算!$G$6=計算!$P$5,$B31=OP!$C$57),$K31,0))*IF(OR($C31&lt;16,Z31=0,Z31=""),1,PYO))+IF(AND($B31&gt;計算!$P$4,計算!$G$6="現金給付"),N($K31),IF(AND($B31&gt;計算!$P$4,計算!$G$6="儲存生息"),N($L31),0))+IF(AND(計算!$G$6=計算!$P$5,$B31=OP!$C$57),$K31,0))</f>
        <v>1873241</v>
      </c>
      <c r="Z31" s="786">
        <f ca="1">IF(OR(OP!$D$53=1,$B31=""),"",(($H31+Q31)-IF(AND(計算!$G$6="購買增額繳清保險",$B31=OP!$C$57),$K31,0))*IF(OR($C31&lt;16,($H31+$Q31)*PY!$C$4&lt;PY!$D$5,($H31+$Q31)*PY!$C$4*PYR&lt;PY!$C$5),0,PYY)*PYR)</f>
        <v>0</v>
      </c>
    </row>
    <row r="32" spans="2:26" hidden="1">
      <c r="B32" s="693">
        <f t="shared" ca="1" si="0"/>
        <v>29</v>
      </c>
      <c r="C32" s="689">
        <f ca="1">IF(OR(OP!$D$53=1,MAX($C$4:C31)&gt;=110),"",C31+(B32-B31))</f>
        <v>61</v>
      </c>
      <c r="D32" s="690" t="str">
        <f ca="1">IF(OR(OP!$D$53=1,AND(B32&gt;OP!$C$24)),"",OP!$C$52-IF($C32&lt;16,$K31,0))</f>
        <v/>
      </c>
      <c r="E32" s="690">
        <f ca="1">IF(OR(OP!$D$53=1,B32=""),"",N(E31)+N(D32))</f>
        <v>1000998</v>
      </c>
      <c r="F32" s="690" t="str">
        <f ca="1">IF(OR(OP!$D$53=1,$B32="",ISERROR(VLOOKUP(OP!$C$55,SRV,$B32+1,0))),"",ROUND(VLOOKUP(OP!$C$55,SRV,$B32+1,0)*OP!$C$28,0))</f>
        <v/>
      </c>
      <c r="G32" s="690" t="str">
        <f ca="1">IF(OR(OP!$D$53=1,$B32="",ISERROR(VLOOKUP(OP!$C$55,SRV,$B32+1,0))),"",N(G31)+N(F32))</f>
        <v/>
      </c>
      <c r="H32" s="690">
        <f ca="1">IF(OR(OP!$D$53=1,B32=""),"",ROUND(VLOOKUP(OP!$C$55,DIE,$B32+1,0)*OP!$C$28,0))</f>
        <v>1604120</v>
      </c>
      <c r="I32" s="691">
        <f ca="1">IF(OR(OP!$D$53=1,B32=""),"",ROUND(VLOOKUP(OP!$C$55,CV,$B32+1,0)*OP!$C$28,0))</f>
        <v>1604120</v>
      </c>
      <c r="J32" s="691">
        <f ca="1">IF(OR(OP!$D$53=1,B32=""),"",VLOOKUP(OP!$C$55,PA,$B32+1,0)*OP!$C$28)</f>
        <v>0</v>
      </c>
      <c r="K32" s="690">
        <f ca="1">IF(OR(OP!$D$53=1,B32=""),"",VLOOKUP($B32,more1,7,0))</f>
        <v>11329</v>
      </c>
      <c r="L32" s="690">
        <f ca="1">IF(OR(OP!$D$53=1,B32="",$B32&lt;=計算!$P$4),"",VLOOKUP($B32,more1,6,0))</f>
        <v>282017</v>
      </c>
      <c r="M32" s="690">
        <f ca="1">IF(OR(OP!$D$53=1,B32="",AND($B32&gt;=計算!$P$4,$C32&lt;15),ISERROR(VLOOKUP($B32,MORE_PV,4,0))),"",VLOOKUP($B32,MORE_PV,4,0))</f>
        <v>0</v>
      </c>
      <c r="N32" s="692">
        <f ca="1">IF(OR(OP!$D$53=1,B32="",$C32&lt;15,ISERROR(VLOOKUP($B32,MORE_PV,5,0))),"",VLOOKUP($B32,MORE_PV,5,0))</f>
        <v>8012</v>
      </c>
      <c r="O32" s="692">
        <f ca="1">IF(OR(OP!$D$53=1,$B32="",ISERROR(VLOOKUP($B32-1,MORE_PV,9,0))),"",VLOOKUP($B32-1,MORE_PV,9,0))</f>
        <v>0</v>
      </c>
      <c r="P32" s="692">
        <f ca="1">IF(OR(OP!$D$53=1,$B32="",ISERROR($O32)),"",N($P31)+N($O32))</f>
        <v>0</v>
      </c>
      <c r="Q32" s="692">
        <f ca="1">IF(OR(OP!$D$53=1,B32=""),"",ROUND(VLOOKUP($B32,MORE_PV,8,0),0))</f>
        <v>37801</v>
      </c>
      <c r="R32" s="692">
        <f ca="1">IF(OR(OP!$D$53=1,B32=""),"",ROUND(VLOOKUP($B32,MORE_PV,7,0),0))</f>
        <v>37801</v>
      </c>
      <c r="S32" s="692">
        <f ca="1">IF(OR(OP!$D$53=1,B32=""),"",N($F32)+N(O32))</f>
        <v>0</v>
      </c>
      <c r="T32" s="692">
        <f ca="1">IF(OR(OP!$D$53=1,$B32=""),0,N(T31)+N($S32))</f>
        <v>0</v>
      </c>
      <c r="U32" s="690">
        <f ca="1">IF(OR(OP!$D$53=1,B32=""),"",N($H32)+IF(AND($B32&gt;計算!$P$4,計算!$G$6="現金給付"),N($K32),IF(AND($B32&gt;計算!$P$4,計算!$G$6="儲存生息"),N($L32),0))+N($Q32))</f>
        <v>1923938</v>
      </c>
      <c r="V32" s="690">
        <f ca="1">IF(OR(OP!$D$53=1,$B32=""),"",N($I32)+IF(AND($B32&gt;計算!$P$4,計算!$G$6="現金給付"),N($K32),IF(AND($B32&gt;計算!$P$4,計算!$G$6="儲存生息"),N($L32),0))+N(R32))</f>
        <v>1923938</v>
      </c>
      <c r="W32" s="422"/>
      <c r="X32" s="422"/>
      <c r="Y32" s="786">
        <f ca="1">IF(OR(OP!$D$53=1,$B32=""),"",((($H32+$Q32)-IF(AND(計算!$G$6=計算!$P$5,$B32=OP!$C$57),$K32,0))*IF(OR($C32&lt;16,Z32=0,Z32=""),1,PYO))+IF(AND($B32&gt;計算!$P$4,計算!$G$6="現金給付"),N($K32),IF(AND($B32&gt;計算!$P$4,計算!$G$6="儲存生息"),N($L32),0))+IF(AND(計算!$G$6=計算!$P$5,$B32=OP!$C$57),$K32,0))</f>
        <v>1923938</v>
      </c>
      <c r="Z32" s="786">
        <f ca="1">IF(OR(OP!$D$53=1,$B32=""),"",(($H32+Q32)-IF(AND(計算!$G$6="購買增額繳清保險",$B32=OP!$C$57),$K32,0))*IF(OR($C32&lt;16,($H32+$Q32)*PY!$C$4&lt;PY!$D$5,($H32+$Q32)*PY!$C$4*PYR&lt;PY!$C$5),0,PYY)*PYR)</f>
        <v>0</v>
      </c>
    </row>
    <row r="33" spans="2:26" hidden="1">
      <c r="B33" s="693">
        <f t="shared" ca="1" si="0"/>
        <v>30</v>
      </c>
      <c r="C33" s="689">
        <f ca="1">IF(OR(OP!$D$53=1,MAX($C$4:C32)&gt;=110),"",C32+(B33-B32))</f>
        <v>62</v>
      </c>
      <c r="D33" s="690" t="str">
        <f ca="1">IF(OR(OP!$D$53=1,AND(B33&gt;OP!$C$24)),"",OP!$C$52-IF($C33&lt;16,$K32,0))</f>
        <v/>
      </c>
      <c r="E33" s="690">
        <f ca="1">IF(OR(OP!$D$53=1,B33=""),"",N(E32)+N(D33))</f>
        <v>1000998</v>
      </c>
      <c r="F33" s="690" t="str">
        <f ca="1">IF(OR(OP!$D$53=1,$B33="",ISERROR(VLOOKUP(OP!$C$55,SRV,$B33+1,0))),"",ROUND(VLOOKUP(OP!$C$55,SRV,$B33+1,0)*OP!$C$28,0))</f>
        <v/>
      </c>
      <c r="G33" s="690" t="str">
        <f ca="1">IF(OR(OP!$D$53=1,$B33="",ISERROR(VLOOKUP(OP!$C$55,SRV,$B33+1,0))),"",N(G32)+N(F33))</f>
        <v/>
      </c>
      <c r="H33" s="690">
        <f ca="1">IF(OR(OP!$D$53=1,B33=""),"",ROUND(VLOOKUP(OP!$C$55,DIE,$B33+1,0)*OP!$C$28,0))</f>
        <v>1636216</v>
      </c>
      <c r="I33" s="691">
        <f ca="1">IF(OR(OP!$D$53=1,B33=""),"",ROUND(VLOOKUP(OP!$C$55,CV,$B33+1,0)*OP!$C$28,0))</f>
        <v>1636216</v>
      </c>
      <c r="J33" s="691">
        <f ca="1">IF(OR(OP!$D$53=1,B33=""),"",VLOOKUP(OP!$C$55,PA,$B33+1,0)*OP!$C$28)</f>
        <v>0</v>
      </c>
      <c r="K33" s="690">
        <f ca="1">IF(OR(OP!$D$53=1,B33=""),"",VLOOKUP($B33,more1,7,0))</f>
        <v>11556</v>
      </c>
      <c r="L33" s="690">
        <f ca="1">IF(OR(OP!$D$53=1,B33="",$B33&lt;=計算!$P$4),"",VLOOKUP($B33,more1,6,0))</f>
        <v>301253</v>
      </c>
      <c r="M33" s="690">
        <f ca="1">IF(OR(OP!$D$53=1,B33="",AND($B33&gt;=計算!$P$4,$C33&lt;15),ISERROR(VLOOKUP($B33,MORE_PV,4,0))),"",VLOOKUP($B33,MORE_PV,4,0))</f>
        <v>0</v>
      </c>
      <c r="N33" s="692">
        <f ca="1">IF(OR(OP!$D$53=1,B33="",$C33&lt;15,ISERROR(VLOOKUP($B33,MORE_PV,5,0))),"",VLOOKUP($B33,MORE_PV,5,0))</f>
        <v>8012</v>
      </c>
      <c r="O33" s="692">
        <f ca="1">IF(OR(OP!$D$53=1,$B33="",ISERROR(VLOOKUP($B33-1,MORE_PV,9,0))),"",VLOOKUP($B33-1,MORE_PV,9,0))</f>
        <v>0</v>
      </c>
      <c r="P33" s="692">
        <f ca="1">IF(OR(OP!$D$53=1,$B33="",ISERROR($O33)),"",N($P32)+N($O33))</f>
        <v>0</v>
      </c>
      <c r="Q33" s="692">
        <f ca="1">IF(OR(OP!$D$53=1,B33=""),"",ROUND(VLOOKUP($B33,MORE_PV,8,0),0))</f>
        <v>38557</v>
      </c>
      <c r="R33" s="692">
        <f ca="1">IF(OR(OP!$D$53=1,B33=""),"",ROUND(VLOOKUP($B33,MORE_PV,7,0),0))</f>
        <v>38557</v>
      </c>
      <c r="S33" s="692">
        <f ca="1">IF(OR(OP!$D$53=1,B33=""),"",N($F33)+N(O33))</f>
        <v>0</v>
      </c>
      <c r="T33" s="692">
        <f ca="1">IF(OR(OP!$D$53=1,$B33=""),0,N(T32)+N($S33))</f>
        <v>0</v>
      </c>
      <c r="U33" s="690">
        <f ca="1">IF(OR(OP!$D$53=1,B33=""),"",N($H33)+IF(AND($B33&gt;計算!$P$4,計算!$G$6="現金給付"),N($K33),IF(AND($B33&gt;計算!$P$4,計算!$G$6="儲存生息"),N($L33),0))+N($Q33))</f>
        <v>1976026</v>
      </c>
      <c r="V33" s="690">
        <f ca="1">IF(OR(OP!$D$53=1,$B33=""),"",N($I33)+IF(AND($B33&gt;計算!$P$4,計算!$G$6="現金給付"),N($K33),IF(AND($B33&gt;計算!$P$4,計算!$G$6="儲存生息"),N($L33),0))+N(R33))</f>
        <v>1976026</v>
      </c>
      <c r="W33" s="422"/>
      <c r="X33" s="422"/>
      <c r="Y33" s="786">
        <f ca="1">IF(OR(OP!$D$53=1,$B33=""),"",((($H33+$Q33)-IF(AND(計算!$G$6=計算!$P$5,$B33=OP!$C$57),$K33,0))*IF(OR($C33&lt;16,Z33=0,Z33=""),1,PYO))+IF(AND($B33&gt;計算!$P$4,計算!$G$6="現金給付"),N($K33),IF(AND($B33&gt;計算!$P$4,計算!$G$6="儲存生息"),N($L33),0))+IF(AND(計算!$G$6=計算!$P$5,$B33=OP!$C$57),$K33,0))</f>
        <v>1641071.4000000001</v>
      </c>
      <c r="Z33" s="786">
        <f ca="1">IF(OR(OP!$D$53=1,$B33=""),"",(($H33+Q33)-IF(AND(計算!$G$6="購買增額繳清保險",$B33=OP!$C$57),$K33,0))*IF(OR($C33&lt;16,($H33+$Q33)*PY!$C$4&lt;PY!$D$5,($H33+$Q33)*PY!$C$4*PYR&lt;PY!$C$5),0,PYY)*PYR)</f>
        <v>20083.062800950349</v>
      </c>
    </row>
    <row r="34" spans="2:26" hidden="1">
      <c r="B34" s="693">
        <f ca="1">IF(OR(C33&gt;=110,C33=""),"",IF(C33+1&gt;110,111-$C$19,B33+1))</f>
        <v>31</v>
      </c>
      <c r="C34" s="689">
        <f ca="1">IF(OR(OP!$D$53=1,MAX($C$4:C33)&gt;=110),"",C33+(B34-B33))</f>
        <v>63</v>
      </c>
      <c r="D34" s="690" t="str">
        <f ca="1">IF(OR(OP!$D$53=1,AND(B34&gt;OP!$C$24)),"",OP!$C$52-IF($C34&lt;16,$K33,0))</f>
        <v/>
      </c>
      <c r="E34" s="690">
        <f ca="1">IF(OR(OP!$D$53=1,B34=""),"",N(E33)+N(D34))</f>
        <v>1000998</v>
      </c>
      <c r="F34" s="690" t="str">
        <f ca="1">IF(OR(OP!$D$53=1,$B34="",ISERROR(VLOOKUP(OP!$C$55,SRV,$B34+1,0))),"",ROUND(VLOOKUP(OP!$C$55,SRV,$B34+1,0)*OP!$C$28,0))</f>
        <v/>
      </c>
      <c r="G34" s="690" t="str">
        <f ca="1">IF(OR(OP!$D$53=1,$B34="",ISERROR(VLOOKUP(OP!$C$55,SRV,$B34+1,0))),"",N(G33)+N(F34))</f>
        <v/>
      </c>
      <c r="H34" s="690">
        <f ca="1">IF(OR(OP!$D$53=1,B34=""),"",ROUND(VLOOKUP(OP!$C$55,DIE,$B34+1,0)*OP!$C$28,0))</f>
        <v>1668924</v>
      </c>
      <c r="I34" s="691">
        <f ca="1">IF(OR(OP!$D$53=1,B34=""),"",ROUND(VLOOKUP(OP!$C$55,CV,$B34+1,0)*OP!$C$28,0))</f>
        <v>1668924</v>
      </c>
      <c r="J34" s="691">
        <f ca="1">IF(OR(OP!$D$53=1,B34=""),"",VLOOKUP(OP!$C$55,PA,$B34+1,0)*OP!$C$28)</f>
        <v>0</v>
      </c>
      <c r="K34" s="690">
        <f ca="1">IF(OR(OP!$D$53=1,B34=""),"",VLOOKUP($B34,more1,7,0))</f>
        <v>11787</v>
      </c>
      <c r="L34" s="690">
        <f ca="1">IF(OR(OP!$D$53=1,B34="",$B34&lt;=計算!$P$4),"",VLOOKUP($B34,more1,6,0))</f>
        <v>321267</v>
      </c>
      <c r="M34" s="690">
        <f ca="1">IF(OR(OP!$D$53=1,B34="",AND($B34&gt;=計算!$P$4,$C34&lt;15),ISERROR(VLOOKUP($B34,MORE_PV,4,0))),"",VLOOKUP($B34,MORE_PV,4,0))</f>
        <v>0</v>
      </c>
      <c r="N34" s="692">
        <f ca="1">IF(OR(OP!$D$53=1,B34="",$C34&lt;15,ISERROR(VLOOKUP($B34,MORE_PV,5,0))),"",VLOOKUP($B34,MORE_PV,5,0))</f>
        <v>8012</v>
      </c>
      <c r="O34" s="692">
        <f ca="1">IF(OR(OP!$D$53=1,$B34="",ISERROR(VLOOKUP($B34-1,MORE_PV,9,0))),"",VLOOKUP($B34-1,MORE_PV,9,0))</f>
        <v>0</v>
      </c>
      <c r="P34" s="692">
        <f ca="1">IF(OR(OP!$D$53=1,$B34="",ISERROR($O34)),"",N($P33)+N($O34))</f>
        <v>0</v>
      </c>
      <c r="Q34" s="692">
        <f ca="1">IF(OR(OP!$D$53=1,B34=""),"",ROUND(VLOOKUP($B34,MORE_PV,8,0),0))</f>
        <v>39328</v>
      </c>
      <c r="R34" s="692">
        <f ca="1">IF(OR(OP!$D$53=1,B34=""),"",ROUND(VLOOKUP($B34,MORE_PV,7,0),0))</f>
        <v>39328</v>
      </c>
      <c r="S34" s="692">
        <f ca="1">IF(OR(OP!$D$53=1,B34=""),"",N($F34)+N(O34))</f>
        <v>0</v>
      </c>
      <c r="T34" s="692">
        <f ca="1">IF(OR(OP!$D$53=1,$B34=""),0,N(T33)+N($S34))</f>
        <v>0</v>
      </c>
      <c r="U34" s="690">
        <f ca="1">IF(OR(OP!$D$53=1,B34=""),"",N($H34)+IF(AND($B34&gt;計算!$P$4,計算!$G$6="現金給付"),N($K34),IF(AND($B34&gt;計算!$P$4,計算!$G$6="儲存生息"),N($L34),0))+N($Q34))</f>
        <v>2029519</v>
      </c>
      <c r="V34" s="690">
        <f ca="1">IF(OR(OP!$D$53=1,$B34=""),"",N($I34)+IF(AND($B34&gt;計算!$P$4,計算!$G$6="現金給付"),N($K34),IF(AND($B34&gt;計算!$P$4,計算!$G$6="儲存生息"),N($L34),0))+N(R34))</f>
        <v>2029519</v>
      </c>
      <c r="W34" s="422"/>
      <c r="X34" s="422"/>
      <c r="Y34" s="786">
        <f ca="1">IF(OR(OP!$D$53=1,$B34=""),"",((($H34+$Q34)-IF(AND(計算!$G$6=計算!$P$5,$B34=OP!$C$57),$K34,0))*IF(OR($C34&lt;16,Z34=0,Z34=""),1,PYO))+IF(AND($B34&gt;計算!$P$4,計算!$G$6="現金給付"),N($K34),IF(AND($B34&gt;計算!$P$4,計算!$G$6="儲存生息"),N($L34),0))+IF(AND(計算!$G$6=計算!$P$5,$B34=OP!$C$57),$K34,0))</f>
        <v>1687868.6</v>
      </c>
      <c r="Z34" s="786">
        <f ca="1">IF(OR(OP!$D$53=1,$B34=""),"",(($H34+Q34)-IF(AND(計算!$G$6="購買增額繳清保險",$B34=OP!$C$57),$K34,0))*IF(OR($C34&lt;16,($H34+$Q34)*PY!$C$4&lt;PY!$D$5,($H34+$Q34)*PY!$C$4*PYR&lt;PY!$C$5),0,PYY)*PYR)</f>
        <v>20484.526676659483</v>
      </c>
    </row>
    <row r="35" spans="2:26" hidden="1">
      <c r="B35" s="693">
        <f ca="1">IF(OR(C34&gt;=110,C34=""),"",IF(C34+1&gt;110,111-$C$19,B34+1))</f>
        <v>32</v>
      </c>
      <c r="C35" s="689">
        <f ca="1">IF(OR(OP!$D$53=1,MAX($C$4:C34)&gt;=110),"",C34+(B35-B34))</f>
        <v>64</v>
      </c>
      <c r="D35" s="690" t="str">
        <f ca="1">IF(OR(OP!$D$53=1,AND(B35&gt;OP!$C$24)),"",OP!$C$52-IF($C35&lt;16,$K34,0))</f>
        <v/>
      </c>
      <c r="E35" s="690">
        <f ca="1">IF(OR(OP!$D$53=1,B35=""),"",N(E34)+N(D35))</f>
        <v>1000998</v>
      </c>
      <c r="F35" s="690" t="str">
        <f ca="1">IF(OR(OP!$D$53=1,$B35="",ISERROR(VLOOKUP(OP!$C$55,SRV,$B35+1,0))),"",ROUND(VLOOKUP(OP!$C$55,SRV,$B35+1,0)*OP!$C$28,0))</f>
        <v/>
      </c>
      <c r="G35" s="690" t="str">
        <f ca="1">IF(OR(OP!$D$53=1,$B35="",ISERROR(VLOOKUP(OP!$C$55,SRV,$B35+1,0))),"",N(G34)+N(F35))</f>
        <v/>
      </c>
      <c r="H35" s="690">
        <f ca="1">IF(OR(OP!$D$53=1,B35=""),"",ROUND(VLOOKUP(OP!$C$55,DIE,$B35+1,0)*OP!$C$28,0))</f>
        <v>1702312</v>
      </c>
      <c r="I35" s="691">
        <f ca="1">IF(OR(OP!$D$53=1,B35=""),"",ROUND(VLOOKUP(OP!$C$55,CV,$B35+1,0)*OP!$C$28,0))</f>
        <v>1702312</v>
      </c>
      <c r="J35" s="691">
        <f ca="1">IF(OR(OP!$D$53=1,B35=""),"",VLOOKUP(OP!$C$55,PA,$B35+1,0)*OP!$C$28)</f>
        <v>0</v>
      </c>
      <c r="K35" s="690">
        <f ca="1">IF(OR(OP!$D$53=1,B35=""),"",VLOOKUP($B35,more1,7,0))</f>
        <v>12023</v>
      </c>
      <c r="L35" s="690">
        <f ca="1">IF(OR(OP!$D$53=1,B35="",$B35&lt;=計算!$P$4),"",VLOOKUP($B35,more1,6,0))</f>
        <v>342039</v>
      </c>
      <c r="M35" s="690">
        <f ca="1">IF(OR(OP!$D$53=1,B35="",AND($B35&gt;=計算!$P$4,$C35&lt;15),ISERROR(VLOOKUP($B35,MORE_PV,4,0))),"",VLOOKUP($B35,MORE_PV,4,0))</f>
        <v>0</v>
      </c>
      <c r="N35" s="692">
        <f ca="1">IF(OR(OP!$D$53=1,B35="",$C35&lt;15,ISERROR(VLOOKUP($B35,MORE_PV,5,0))),"",VLOOKUP($B35,MORE_PV,5,0))</f>
        <v>8012</v>
      </c>
      <c r="O35" s="692">
        <f ca="1">IF(OR(OP!$D$53=1,$B35="",ISERROR(VLOOKUP($B35-1,MORE_PV,9,0))),"",VLOOKUP($B35-1,MORE_PV,9,0))</f>
        <v>0</v>
      </c>
      <c r="P35" s="692">
        <f ca="1">IF(OR(OP!$D$53=1,$B35="",ISERROR($O35)),"",N($P34)+N($O35))</f>
        <v>0</v>
      </c>
      <c r="Q35" s="692">
        <f ca="1">IF(OR(OP!$D$53=1,B35=""),"",ROUND(VLOOKUP($B35,MORE_PV,8,0),0))</f>
        <v>40114</v>
      </c>
      <c r="R35" s="692">
        <f ca="1">IF(OR(OP!$D$53=1,B35=""),"",ROUND(VLOOKUP($B35,MORE_PV,7,0),0))</f>
        <v>40114</v>
      </c>
      <c r="S35" s="692">
        <f ca="1">IF(OR(OP!$D$53=1,B35=""),"",N($F35)+N(O35))</f>
        <v>0</v>
      </c>
      <c r="T35" s="692">
        <f ca="1">IF(OR(OP!$D$53=1,$B35=""),0,N(T34)+N($S35))</f>
        <v>0</v>
      </c>
      <c r="U35" s="690">
        <f ca="1">IF(OR(OP!$D$53=1,B35=""),"",N($H35)+IF(AND($B35&gt;計算!$P$4,計算!$G$6="現金給付"),N($K35),IF(AND($B35&gt;計算!$P$4,計算!$G$6="儲存生息"),N($L35),0))+N($Q35))</f>
        <v>2084465</v>
      </c>
      <c r="V35" s="690">
        <f ca="1">IF(OR(OP!$D$53=1,$B35=""),"",N($I35)+IF(AND($B35&gt;計算!$P$4,計算!$G$6="現金給付"),N($K35),IF(AND($B35&gt;計算!$P$4,計算!$G$6="儲存生息"),N($L35),0))+N(R35))</f>
        <v>2084465</v>
      </c>
      <c r="W35" s="422"/>
      <c r="X35" s="422"/>
      <c r="Y35" s="786">
        <f ca="1">IF(OR(OP!$D$53=1,$B35=""),"",((($H35+$Q35)-IF(AND(計算!$G$6=計算!$P$5,$B35=OP!$C$57),$K35,0))*IF(OR($C35&lt;16,Z35=0,Z35=""),1,PYO))+IF(AND($B35&gt;計算!$P$4,計算!$G$6="現金給付"),N($K35),IF(AND($B35&gt;計算!$P$4,計算!$G$6="儲存生息"),N($L35),0))+IF(AND(計算!$G$6=計算!$P$5,$B35=OP!$C$57),$K35,0))</f>
        <v>1735979.8</v>
      </c>
      <c r="Z35" s="786">
        <f ca="1">IF(OR(OP!$D$53=1,$B35=""),"",(($H35+Q35)-IF(AND(計算!$G$6="購買增額繳清保險",$B35=OP!$C$57),$K35,0))*IF(OR($C35&lt;16,($H35+$Q35)*PY!$C$4&lt;PY!$D$5,($H35+$Q35)*PY!$C$4*PYR&lt;PY!$C$5),0,PYY)*PYR)</f>
        <v>20894.324654152359</v>
      </c>
    </row>
    <row r="36" spans="2:26" hidden="1">
      <c r="B36" s="693">
        <f ca="1">IF(OR(C35&gt;=110,C35=""),"",IF(C35+1&gt;110,111-$C$19,B35+1))</f>
        <v>33</v>
      </c>
      <c r="C36" s="689">
        <f ca="1">IF(OR(OP!$D$53=1,MAX($C$4:C35)&gt;=110),"",C35+(B36-B35))</f>
        <v>65</v>
      </c>
      <c r="D36" s="690" t="str">
        <f ca="1">IF(OR(OP!$D$53=1,AND(B36&gt;OP!$C$24)),"",OP!$C$52-IF($C36&lt;16,$K35,0))</f>
        <v/>
      </c>
      <c r="E36" s="690">
        <f ca="1">IF(OR(OP!$D$53=1,B36=""),"",N(E35)+N(D36))</f>
        <v>1000998</v>
      </c>
      <c r="F36" s="690" t="str">
        <f ca="1">IF(OR(OP!$D$53=1,$B36="",ISERROR(VLOOKUP(OP!$C$55,SRV,$B36+1,0))),"",ROUND(VLOOKUP(OP!$C$55,SRV,$B36+1,0)*OP!$C$28,0))</f>
        <v/>
      </c>
      <c r="G36" s="690" t="str">
        <f ca="1">IF(OR(OP!$D$53=1,$B36="",ISERROR(VLOOKUP(OP!$C$55,SRV,$B36+1,0))),"",N(G35)+N(F36))</f>
        <v/>
      </c>
      <c r="H36" s="690">
        <f ca="1">IF(OR(OP!$D$53=1,B36=""),"",ROUND(VLOOKUP(OP!$C$55,DIE,$B36+1,0)*OP!$C$28,0))</f>
        <v>1736346</v>
      </c>
      <c r="I36" s="691">
        <f ca="1">IF(OR(OP!$D$53=1,B36=""),"",ROUND(VLOOKUP(OP!$C$55,CV,$B36+1,0)*OP!$C$28,0))</f>
        <v>1736346</v>
      </c>
      <c r="J36" s="691">
        <f ca="1">IF(OR(OP!$D$53=1,B36=""),"",VLOOKUP(OP!$C$55,PA,$B36+1,0)*OP!$C$28)</f>
        <v>0</v>
      </c>
      <c r="K36" s="690">
        <f ca="1">IF(OR(OP!$D$53=1,B36=""),"",VLOOKUP($B36,more1,7,0))</f>
        <v>12263</v>
      </c>
      <c r="L36" s="690">
        <f ca="1">IF(OR(OP!$D$53=1,B36="",$B36&lt;=計算!$P$4),"",VLOOKUP($B36,more1,6,0))</f>
        <v>363617</v>
      </c>
      <c r="M36" s="690">
        <f ca="1">IF(OR(OP!$D$53=1,B36="",AND($B36&gt;=計算!$P$4,$C36&lt;15),ISERROR(VLOOKUP($B36,MORE_PV,4,0))),"",VLOOKUP($B36,MORE_PV,4,0))</f>
        <v>0</v>
      </c>
      <c r="N36" s="692">
        <f ca="1">IF(OR(OP!$D$53=1,B36="",$C36&lt;15,ISERROR(VLOOKUP($B36,MORE_PV,5,0))),"",VLOOKUP($B36,MORE_PV,5,0))</f>
        <v>8012</v>
      </c>
      <c r="O36" s="692">
        <f ca="1">IF(OR(OP!$D$53=1,$B36="",ISERROR(VLOOKUP($B36-1,MORE_PV,9,0))),"",VLOOKUP($B36-1,MORE_PV,9,0))</f>
        <v>0</v>
      </c>
      <c r="P36" s="692">
        <f ca="1">IF(OR(OP!$D$53=1,$B36="",ISERROR($O36)),"",N($P35)+N($O36))</f>
        <v>0</v>
      </c>
      <c r="Q36" s="692">
        <f ca="1">IF(OR(OP!$D$53=1,B36=""),"",ROUND(VLOOKUP($B36,MORE_PV,8,0),0))</f>
        <v>40916</v>
      </c>
      <c r="R36" s="692">
        <f ca="1">IF(OR(OP!$D$53=1,B36=""),"",ROUND(VLOOKUP($B36,MORE_PV,7,0),0))</f>
        <v>40916</v>
      </c>
      <c r="S36" s="692">
        <f ca="1">IF(OR(OP!$D$53=1,B36=""),"",N($F36)+N(O36))</f>
        <v>0</v>
      </c>
      <c r="T36" s="692">
        <f ca="1">IF(OR(OP!$D$53=1,$B36=""),0,N(T35)+N($S36))</f>
        <v>0</v>
      </c>
      <c r="U36" s="690">
        <f ca="1">IF(OR(OP!$D$53=1,B36=""),"",N($H36)+IF(AND($B36&gt;計算!$P$4,計算!$G$6="現金給付"),N($K36),IF(AND($B36&gt;計算!$P$4,計算!$G$6="儲存生息"),N($L36),0))+N($Q36))</f>
        <v>2140879</v>
      </c>
      <c r="V36" s="690">
        <f ca="1">IF(OR(OP!$D$53=1,$B36=""),"",N($I36)+IF(AND($B36&gt;計算!$P$4,計算!$G$6="現金給付"),N($K36),IF(AND($B36&gt;計算!$P$4,計算!$G$6="儲存生息"),N($L36),0))+N(R36))</f>
        <v>2140879</v>
      </c>
      <c r="W36" s="422"/>
      <c r="X36" s="422"/>
      <c r="Y36" s="786">
        <f ca="1">IF(OR(OP!$D$53=1,$B36=""),"",((($H36+$Q36)-IF(AND(計算!$G$6=計算!$P$5,$B36=OP!$C$57),$K36,0))*IF(OR($C36&lt;16,Z36=0,Z36=""),1,PYO))+IF(AND($B36&gt;計算!$P$4,計算!$G$6="現金給付"),N($K36),IF(AND($B36&gt;計算!$P$4,計算!$G$6="儲存生息"),N($L36),0))+IF(AND(計算!$G$6=計算!$P$5,$B36=OP!$C$57),$K36,0))</f>
        <v>1785426.6</v>
      </c>
      <c r="Z36" s="786">
        <f ca="1">IF(OR(OP!$D$53=1,$B36=""),"",(($H36+Q36)-IF(AND(計算!$G$6="購買增額繳清保險",$B36=OP!$C$57),$K36,0))*IF(OR($C36&lt;16,($H36+$Q36)*PY!$C$4&lt;PY!$D$5,($H36+$Q36)*PY!$C$4*PYR&lt;PY!$C$5),0,PYY)*PYR)</f>
        <v>21312.061013488168</v>
      </c>
    </row>
    <row r="37" spans="2:26" hidden="1">
      <c r="B37" s="693">
        <f ca="1">IF(OR(C36&gt;=110,C36=""),"",IF(C36+1&gt;110,111-$C$19,B36+1))</f>
        <v>34</v>
      </c>
      <c r="C37" s="689">
        <f ca="1">IF(OR(OP!$D$53=1,MAX($C$4:C36)&gt;=110),"",C36+(B37-B36))</f>
        <v>66</v>
      </c>
      <c r="D37" s="690" t="str">
        <f ca="1">IF(OR(OP!$D$53=1,AND(B37&gt;OP!$C$24)),"",OP!$C$52-IF($C37&lt;16,$K36,0))</f>
        <v/>
      </c>
      <c r="E37" s="690">
        <f ca="1">IF(OR(OP!$D$53=1,B37=""),"",N(E36)+N(D37))</f>
        <v>1000998</v>
      </c>
      <c r="F37" s="690" t="str">
        <f ca="1">IF(OR(OP!$D$53=1,$B37="",ISERROR(VLOOKUP(OP!$C$55,SRV,$B37+1,0))),"",ROUND(VLOOKUP(OP!$C$55,SRV,$B37+1,0)*OP!$C$28,0))</f>
        <v/>
      </c>
      <c r="G37" s="690" t="str">
        <f ca="1">IF(OR(OP!$D$53=1,$B37="",ISERROR(VLOOKUP(OP!$C$55,SRV,$B37+1,0))),"",N(G36)+N(F37))</f>
        <v/>
      </c>
      <c r="H37" s="690">
        <f ca="1">IF(OR(OP!$D$53=1,B37=""),"",ROUND(VLOOKUP(OP!$C$55,DIE,$B37+1,0)*OP!$C$28,0))</f>
        <v>1771094</v>
      </c>
      <c r="I37" s="691">
        <f ca="1">IF(OR(OP!$D$53=1,B37=""),"",ROUND(VLOOKUP(OP!$C$55,CV,$B37+1,0)*OP!$C$28,0))</f>
        <v>1771094</v>
      </c>
      <c r="J37" s="691">
        <f ca="1">IF(OR(OP!$D$53=1,B37=""),"",VLOOKUP(OP!$C$55,PA,$B37+1,0)*OP!$C$28)</f>
        <v>0</v>
      </c>
      <c r="K37" s="690">
        <f ca="1">IF(OR(OP!$D$53=1,B37=""),"",VLOOKUP($B37,more1,7,0))</f>
        <v>12509</v>
      </c>
      <c r="L37" s="690">
        <f ca="1">IF(OR(OP!$D$53=1,B37="",$B37&lt;=計算!$P$4),"",VLOOKUP($B37,more1,6,0))</f>
        <v>386029</v>
      </c>
      <c r="M37" s="690">
        <f ca="1">IF(OR(OP!$D$53=1,B37="",AND($B37&gt;=計算!$P$4,$C37&lt;15),ISERROR(VLOOKUP($B37,MORE_PV,4,0))),"",VLOOKUP($B37,MORE_PV,4,0))</f>
        <v>0</v>
      </c>
      <c r="N37" s="692">
        <f ca="1">IF(OR(OP!$D$53=1,B37="",$C37&lt;15,ISERROR(VLOOKUP($B37,MORE_PV,5,0))),"",VLOOKUP($B37,MORE_PV,5,0))</f>
        <v>8012</v>
      </c>
      <c r="O37" s="692">
        <f ca="1">IF(OR(OP!$D$53=1,$B37="",ISERROR(VLOOKUP($B37-1,MORE_PV,9,0))),"",VLOOKUP($B37-1,MORE_PV,9,0))</f>
        <v>0</v>
      </c>
      <c r="P37" s="692">
        <f ca="1">IF(OR(OP!$D$53=1,$B37="",ISERROR($O37)),"",N($P36)+N($O37))</f>
        <v>0</v>
      </c>
      <c r="Q37" s="692">
        <f ca="1">IF(OR(OP!$D$53=1,B37=""),"",ROUND(VLOOKUP($B37,MORE_PV,8,0),0))</f>
        <v>41735</v>
      </c>
      <c r="R37" s="692">
        <f ca="1">IF(OR(OP!$D$53=1,B37=""),"",ROUND(VLOOKUP($B37,MORE_PV,7,0),0))</f>
        <v>41735</v>
      </c>
      <c r="S37" s="692">
        <f ca="1">IF(OR(OP!$D$53=1,B37=""),"",N($F37)+N(O37))</f>
        <v>0</v>
      </c>
      <c r="T37" s="692">
        <f ca="1">IF(OR(OP!$D$53=1,$B37=""),0,N(T36)+N($S37))</f>
        <v>0</v>
      </c>
      <c r="U37" s="690">
        <f ca="1">IF(OR(OP!$D$53=1,B37=""),"",N($H37)+IF(AND($B37&gt;計算!$P$4,計算!$G$6="現金給付"),N($K37),IF(AND($B37&gt;計算!$P$4,計算!$G$6="儲存生息"),N($L37),0))+N($Q37))</f>
        <v>2198858</v>
      </c>
      <c r="V37" s="690">
        <f ca="1">IF(OR(OP!$D$53=1,$B37=""),"",N($I37)+IF(AND($B37&gt;計算!$P$4,計算!$G$6="現金給付"),N($K37),IF(AND($B37&gt;計算!$P$4,計算!$G$6="儲存生息"),N($L37),0))+N(R37))</f>
        <v>2198858</v>
      </c>
      <c r="W37" s="422"/>
      <c r="X37" s="422"/>
      <c r="Y37" s="786">
        <f ca="1">IF(OR(OP!$D$53=1,$B37=""),"",((($H37+$Q37)-IF(AND(計算!$G$6=計算!$P$5,$B37=OP!$C$57),$K37,0))*IF(OR($C37&lt;16,Z37=0,Z37=""),1,PYO))+IF(AND($B37&gt;計算!$P$4,計算!$G$6="現金給付"),N($K37),IF(AND($B37&gt;計算!$P$4,計算!$G$6="儲存生息"),N($L37),0))+IF(AND(計算!$G$6=計算!$P$5,$B37=OP!$C$57),$K37,0))</f>
        <v>1836292.2000000002</v>
      </c>
      <c r="Z37" s="786">
        <f ca="1">IF(OR(OP!$D$53=1,$B37=""),"",(($H37+Q37)-IF(AND(計算!$G$6="購買增額繳清保險",$B37=OP!$C$57),$K37,0))*IF(OR($C37&lt;16,($H37+$Q37)*PY!$C$4&lt;PY!$D$5,($H37+$Q37)*PY!$C$4*PYR&lt;PY!$C$5),0,PYY)*PYR)</f>
        <v>21738.5631690886</v>
      </c>
    </row>
    <row r="38" spans="2:26" hidden="1">
      <c r="B38" s="693">
        <f ca="1">IF(OR(C37&gt;=110,C37=""),"",IF(C37+1&gt;110,111-$C$19,B37+1))</f>
        <v>35</v>
      </c>
      <c r="C38" s="689">
        <f ca="1">IF(OR(OP!$D$53=1,MAX($C$4:C37)&gt;=110),"",C37+(B38-B37))</f>
        <v>67</v>
      </c>
      <c r="D38" s="690" t="str">
        <f ca="1">IF(OR(OP!$D$53=1,AND(B38&gt;OP!$C$24)),"",OP!$C$52-IF($C38&lt;16,$K37,0))</f>
        <v/>
      </c>
      <c r="E38" s="690">
        <f ca="1">IF(OR(OP!$D$53=1,B38=""),"",N(E37)+N(D38))</f>
        <v>1000998</v>
      </c>
      <c r="F38" s="690" t="str">
        <f ca="1">IF(OR(OP!$D$53=1,$B38="",ISERROR(VLOOKUP(OP!$C$55,SRV,$B38+1,0))),"",ROUND(VLOOKUP(OP!$C$55,SRV,$B38+1,0)*OP!$C$28,0))</f>
        <v/>
      </c>
      <c r="G38" s="690" t="str">
        <f ca="1">IF(OR(OP!$D$53=1,$B38="",ISERROR(VLOOKUP(OP!$C$55,SRV,$B38+1,0))),"",N(G37)+N(F38))</f>
        <v/>
      </c>
      <c r="H38" s="690">
        <f ca="1">IF(OR(OP!$D$53=1,B38=""),"",ROUND(VLOOKUP(OP!$C$55,DIE,$B38+1,0)*OP!$C$28,0))</f>
        <v>1806522</v>
      </c>
      <c r="I38" s="691">
        <f ca="1">IF(OR(OP!$D$53=1,B38=""),"",ROUND(VLOOKUP(OP!$C$55,CV,$B38+1,0)*OP!$C$28,0))</f>
        <v>1806522</v>
      </c>
      <c r="J38" s="691">
        <f ca="1">IF(OR(OP!$D$53=1,B38=""),"",VLOOKUP(OP!$C$55,PA,$B38+1,0)*OP!$C$28)</f>
        <v>0</v>
      </c>
      <c r="K38" s="690">
        <f ca="1">IF(OR(OP!$D$53=1,B38=""),"",VLOOKUP($B38,more1,7,0))</f>
        <v>12759</v>
      </c>
      <c r="L38" s="690">
        <f ca="1">IF(OR(OP!$D$53=1,B38="",$B38&lt;=計算!$P$4),"",VLOOKUP($B38,more1,6,0))</f>
        <v>409330</v>
      </c>
      <c r="M38" s="690">
        <f ca="1">IF(OR(OP!$D$53=1,B38="",AND($B38&gt;=計算!$P$4,$C38&lt;15),ISERROR(VLOOKUP($B38,MORE_PV,4,0))),"",VLOOKUP($B38,MORE_PV,4,0))</f>
        <v>0</v>
      </c>
      <c r="N38" s="692">
        <f ca="1">IF(OR(OP!$D$53=1,B38="",$C38&lt;15,ISERROR(VLOOKUP($B38,MORE_PV,5,0))),"",VLOOKUP($B38,MORE_PV,5,0))</f>
        <v>8012</v>
      </c>
      <c r="O38" s="692">
        <f ca="1">IF(OR(OP!$D$53=1,$B38="",ISERROR(VLOOKUP($B38-1,MORE_PV,9,0))),"",VLOOKUP($B38-1,MORE_PV,9,0))</f>
        <v>0</v>
      </c>
      <c r="P38" s="692">
        <f ca="1">IF(OR(OP!$D$53=1,$B38="",ISERROR($O38)),"",N($P37)+N($O38))</f>
        <v>0</v>
      </c>
      <c r="Q38" s="692">
        <f ca="1">IF(OR(OP!$D$53=1,B38=""),"",ROUND(VLOOKUP($B38,MORE_PV,8,0),0))</f>
        <v>42570</v>
      </c>
      <c r="R38" s="692">
        <f ca="1">IF(OR(OP!$D$53=1,B38=""),"",ROUND(VLOOKUP($B38,MORE_PV,7,0),0))</f>
        <v>42570</v>
      </c>
      <c r="S38" s="692">
        <f ca="1">IF(OR(OP!$D$53=1,B38=""),"",N($F38)+N(O38))</f>
        <v>0</v>
      </c>
      <c r="T38" s="692">
        <f ca="1">IF(OR(OP!$D$53=1,$B38=""),0,N(T37)+N($S38))</f>
        <v>0</v>
      </c>
      <c r="U38" s="690">
        <f ca="1">IF(OR(OP!$D$53=1,B38=""),"",N($H38)+IF(AND($B38&gt;計算!$P$4,計算!$G$6="現金給付"),N($K38),IF(AND($B38&gt;計算!$P$4,計算!$G$6="儲存生息"),N($L38),0))+N($Q38))</f>
        <v>2258422</v>
      </c>
      <c r="V38" s="690">
        <f ca="1">IF(OR(OP!$D$53=1,$B38=""),"",N($I38)+IF(AND($B38&gt;計算!$P$4,計算!$G$6="現金給付"),N($K38),IF(AND($B38&gt;計算!$P$4,計算!$G$6="儲存生息"),N($L38),0))+N(R38))</f>
        <v>2258422</v>
      </c>
      <c r="W38" s="422"/>
      <c r="X38" s="422"/>
      <c r="Y38" s="786">
        <f ca="1">IF(OR(OP!$D$53=1,$B38=""),"",((($H38+$Q38)-IF(AND(計算!$G$6=計算!$P$5,$B38=OP!$C$57),$K38,0))*IF(OR($C38&lt;16,Z38=0,Z38=""),1,PYO))+IF(AND($B38&gt;計算!$P$4,計算!$G$6="現金給付"),N($K38),IF(AND($B38&gt;計算!$P$4,計算!$G$6="儲存生息"),N($L38),0))+IF(AND(計算!$G$6=計算!$P$5,$B38=OP!$C$57),$K38,0))</f>
        <v>1888603.6</v>
      </c>
      <c r="Z38" s="786">
        <f ca="1">IF(OR(OP!$D$53=1,$B38=""),"",(($H38+Q38)-IF(AND(計算!$G$6="購買增額繳清保險",$B38=OP!$C$57),$K38,0))*IF(OR($C38&lt;16,($H38+$Q38)*PY!$C$4&lt;PY!$D$5,($H38+$Q38)*PY!$C$4*PYR&lt;PY!$C$5),0,PYY)*PYR)</f>
        <v>22173.411417986128</v>
      </c>
    </row>
    <row r="39" spans="2:26" hidden="1">
      <c r="B39" s="693">
        <f t="shared" ref="B39:B102" ca="1" si="1">IF(OR(C38&gt;=110,C38=""),"",IF(C38+1&gt;110,111-$C$19,B38+1))</f>
        <v>36</v>
      </c>
      <c r="C39" s="689">
        <f ca="1">IF(OR(OP!$D$53=1,MAX($C$4:C38)&gt;=110),"",C38+(B39-B38))</f>
        <v>68</v>
      </c>
      <c r="D39" s="690" t="str">
        <f ca="1">IF(OR(OP!$D$53=1,AND(B39&gt;OP!$C$24)),"",OP!$C$52-IF($C39&lt;16,$K38,0))</f>
        <v/>
      </c>
      <c r="E39" s="690">
        <f ca="1">IF(OR(OP!$D$53=1,B39=""),"",N(E38)+N(D39))</f>
        <v>1000998</v>
      </c>
      <c r="F39" s="690" t="str">
        <f ca="1">IF(OR(OP!$D$53=1,$B39="",ISERROR(VLOOKUP(OP!$C$55,SRV,$B39+1,0))),"",ROUND(VLOOKUP(OP!$C$55,SRV,$B39+1,0)*OP!$C$28,0))</f>
        <v/>
      </c>
      <c r="G39" s="690" t="str">
        <f ca="1">IF(OR(OP!$D$53=1,$B39="",ISERROR(VLOOKUP(OP!$C$55,SRV,$B39+1,0))),"",N(G38)+N(F39))</f>
        <v/>
      </c>
      <c r="H39" s="690">
        <f ca="1">IF(OR(OP!$D$53=1,B39=""),"",ROUND(VLOOKUP(OP!$C$55,DIE,$B39+1,0)*OP!$C$28,0))</f>
        <v>1842630</v>
      </c>
      <c r="I39" s="691">
        <f ca="1">IF(OR(OP!$D$53=1,B39=""),"",ROUND(VLOOKUP(OP!$C$55,CV,$B39+1,0)*OP!$C$28,0))</f>
        <v>1842630</v>
      </c>
      <c r="J39" s="691">
        <f ca="1">IF(OR(OP!$D$53=1,B39=""),"",VLOOKUP(OP!$C$55,PA,$B39+1,0)*OP!$C$28)</f>
        <v>0</v>
      </c>
      <c r="K39" s="690">
        <f ca="1">IF(OR(OP!$D$53=1,B39=""),"",VLOOKUP($B39,more1,7,0))</f>
        <v>13014</v>
      </c>
      <c r="L39" s="690">
        <f ca="1">IF(OR(OP!$D$53=1,B39="",$B39&lt;=計算!$P$4),"",VLOOKUP($B39,more1,6,0))</f>
        <v>433492</v>
      </c>
      <c r="M39" s="690">
        <f ca="1">IF(OR(OP!$D$53=1,B39="",AND($B39&gt;=計算!$P$4,$C39&lt;15),ISERROR(VLOOKUP($B39,MORE_PV,4,0))),"",VLOOKUP($B39,MORE_PV,4,0))</f>
        <v>0</v>
      </c>
      <c r="N39" s="692">
        <f ca="1">IF(OR(OP!$D$53=1,B39="",$C39&lt;15,ISERROR(VLOOKUP($B39,MORE_PV,5,0))),"",VLOOKUP($B39,MORE_PV,5,0))</f>
        <v>8012</v>
      </c>
      <c r="O39" s="692">
        <f ca="1">IF(OR(OP!$D$53=1,$B39="",ISERROR(VLOOKUP($B39-1,MORE_PV,9,0))),"",VLOOKUP($B39-1,MORE_PV,9,0))</f>
        <v>0</v>
      </c>
      <c r="P39" s="692">
        <f ca="1">IF(OR(OP!$D$53=1,$B39="",ISERROR($O39)),"",N($P38)+N($O39))</f>
        <v>0</v>
      </c>
      <c r="Q39" s="692">
        <f ca="1">IF(OR(OP!$D$53=1,B39=""),"",ROUND(VLOOKUP($B39,MORE_PV,8,0),0))</f>
        <v>43421</v>
      </c>
      <c r="R39" s="692">
        <f ca="1">IF(OR(OP!$D$53=1,B39=""),"",ROUND(VLOOKUP($B39,MORE_PV,7,0),0))</f>
        <v>43421</v>
      </c>
      <c r="S39" s="692">
        <f ca="1">IF(OR(OP!$D$53=1,B39=""),"",N($F39)+N(O39))</f>
        <v>0</v>
      </c>
      <c r="T39" s="692">
        <f ca="1">IF(OR(OP!$D$53=1,$B39=""),0,N(T38)+N($S39))</f>
        <v>0</v>
      </c>
      <c r="U39" s="690">
        <f ca="1">IF(OR(OP!$D$53=1,B39=""),"",N($H39)+IF(AND($B39&gt;計算!$P$4,計算!$G$6="現金給付"),N($K39),IF(AND($B39&gt;計算!$P$4,計算!$G$6="儲存生息"),N($L39),0))+N($Q39))</f>
        <v>2319543</v>
      </c>
      <c r="V39" s="690">
        <f ca="1">IF(OR(OP!$D$53=1,$B39=""),"",N($I39)+IF(AND($B39&gt;計算!$P$4,計算!$G$6="現金給付"),N($K39),IF(AND($B39&gt;計算!$P$4,計算!$G$6="儲存生息"),N($L39),0))+N(R39))</f>
        <v>2319543</v>
      </c>
      <c r="W39" s="422"/>
      <c r="X39" s="422"/>
      <c r="Y39" s="786">
        <f ca="1">IF(OR(OP!$D$53=1,$B39=""),"",((($H39+$Q39)-IF(AND(計算!$G$6=計算!$P$5,$B39=OP!$C$57),$K39,0))*IF(OR($C39&lt;16,Z39=0,Z39=""),1,PYO))+IF(AND($B39&gt;計算!$P$4,計算!$G$6="現金給付"),N($K39),IF(AND($B39&gt;計算!$P$4,計算!$G$6="儲存生息"),N($L39),0))+IF(AND(計算!$G$6=計算!$P$5,$B39=OP!$C$57),$K39,0))</f>
        <v>1942332.8</v>
      </c>
      <c r="Z39" s="786">
        <f ca="1">IF(OR(OP!$D$53=1,$B39=""),"",(($H39+Q39)-IF(AND(計算!$G$6="購買增額繳清保險",$B39=OP!$C$57),$K39,0))*IF(OR($C39&lt;16,($H39+$Q39)*PY!$C$4&lt;PY!$D$5,($H39+$Q39)*PY!$C$4*PYR&lt;PY!$C$5),0,PYY)*PYR)</f>
        <v>22616.605760180755</v>
      </c>
    </row>
    <row r="40" spans="2:26" hidden="1">
      <c r="B40" s="693">
        <f t="shared" ca="1" si="1"/>
        <v>37</v>
      </c>
      <c r="C40" s="689">
        <f ca="1">IF(OR(OP!$D$53=1,MAX($C$4:C39)&gt;=110),"",C39+(B40-B39))</f>
        <v>69</v>
      </c>
      <c r="D40" s="690" t="str">
        <f ca="1">IF(OR(OP!$D$53=1,AND(B40&gt;OP!$C$24)),"",OP!$C$52-IF($C40&lt;16,$K39,0))</f>
        <v/>
      </c>
      <c r="E40" s="690">
        <f ca="1">IF(OR(OP!$D$53=1,B40=""),"",N(E39)+N(D40))</f>
        <v>1000998</v>
      </c>
      <c r="F40" s="690" t="str">
        <f ca="1">IF(OR(OP!$D$53=1,$B40="",ISERROR(VLOOKUP(OP!$C$55,SRV,$B40+1,0))),"",ROUND(VLOOKUP(OP!$C$55,SRV,$B40+1,0)*OP!$C$28,0))</f>
        <v/>
      </c>
      <c r="G40" s="690" t="str">
        <f ca="1">IF(OR(OP!$D$53=1,$B40="",ISERROR(VLOOKUP(OP!$C$55,SRV,$B40+1,0))),"",N(G39)+N(F40))</f>
        <v/>
      </c>
      <c r="H40" s="690">
        <f ca="1">IF(OR(OP!$D$53=1,B40=""),"",ROUND(VLOOKUP(OP!$C$55,DIE,$B40+1,0)*OP!$C$28,0))</f>
        <v>1879486</v>
      </c>
      <c r="I40" s="691">
        <f ca="1">IF(OR(OP!$D$53=1,B40=""),"",ROUND(VLOOKUP(OP!$C$55,CV,$B40+1,0)*OP!$C$28,0))</f>
        <v>1879486</v>
      </c>
      <c r="J40" s="691">
        <f ca="1">IF(OR(OP!$D$53=1,B40=""),"",VLOOKUP(OP!$C$55,PA,$B40+1,0)*OP!$C$28)</f>
        <v>0</v>
      </c>
      <c r="K40" s="690">
        <f ca="1">IF(OR(OP!$D$53=1,B40=""),"",VLOOKUP($B40,more1,7,0))</f>
        <v>13274</v>
      </c>
      <c r="L40" s="690">
        <f ca="1">IF(OR(OP!$D$53=1,B40="",$B40&lt;=計算!$P$4),"",VLOOKUP($B40,more1,6,0))</f>
        <v>458572</v>
      </c>
      <c r="M40" s="690">
        <f ca="1">IF(OR(OP!$D$53=1,B40="",AND($B40&gt;=計算!$P$4,$C40&lt;15),ISERROR(VLOOKUP($B40,MORE_PV,4,0))),"",VLOOKUP($B40,MORE_PV,4,0))</f>
        <v>0</v>
      </c>
      <c r="N40" s="692">
        <f ca="1">IF(OR(OP!$D$53=1,B40="",$C40&lt;15,ISERROR(VLOOKUP($B40,MORE_PV,5,0))),"",VLOOKUP($B40,MORE_PV,5,0))</f>
        <v>8012</v>
      </c>
      <c r="O40" s="692">
        <f ca="1">IF(OR(OP!$D$53=1,$B40="",ISERROR(VLOOKUP($B40-1,MORE_PV,9,0))),"",VLOOKUP($B40-1,MORE_PV,9,0))</f>
        <v>0</v>
      </c>
      <c r="P40" s="692">
        <f ca="1">IF(OR(OP!$D$53=1,$B40="",ISERROR($O40)),"",N($P39)+N($O40))</f>
        <v>0</v>
      </c>
      <c r="Q40" s="692">
        <f ca="1">IF(OR(OP!$D$53=1,B40=""),"",ROUND(VLOOKUP($B40,MORE_PV,8,0),0))</f>
        <v>44290</v>
      </c>
      <c r="R40" s="692">
        <f ca="1">IF(OR(OP!$D$53=1,B40=""),"",ROUND(VLOOKUP($B40,MORE_PV,7,0),0))</f>
        <v>44290</v>
      </c>
      <c r="S40" s="692">
        <f ca="1">IF(OR(OP!$D$53=1,B40=""),"",N($F40)+N(O40))</f>
        <v>0</v>
      </c>
      <c r="T40" s="692">
        <f ca="1">IF(OR(OP!$D$53=1,$B40=""),0,N(T39)+N($S40))</f>
        <v>0</v>
      </c>
      <c r="U40" s="690">
        <f ca="1">IF(OR(OP!$D$53=1,B40=""),"",N($H40)+IF(AND($B40&gt;計算!$P$4,計算!$G$6="現金給付"),N($K40),IF(AND($B40&gt;計算!$P$4,計算!$G$6="儲存生息"),N($L40),0))+N($Q40))</f>
        <v>2382348</v>
      </c>
      <c r="V40" s="690">
        <f ca="1">IF(OR(OP!$D$53=1,$B40=""),"",N($I40)+IF(AND($B40&gt;計算!$P$4,計算!$G$6="現金給付"),N($K40),IF(AND($B40&gt;計算!$P$4,計算!$G$6="儲存生息"),N($L40),0))+N(R40))</f>
        <v>2382348</v>
      </c>
      <c r="W40" s="422"/>
      <c r="X40" s="422"/>
      <c r="Y40" s="786">
        <f ca="1">IF(OR(OP!$D$53=1,$B40=""),"",((($H40+$Q40)-IF(AND(計算!$G$6=計算!$P$5,$B40=OP!$C$57),$K40,0))*IF(OR($C40&lt;16,Z40=0,Z40=""),1,PYO))+IF(AND($B40&gt;計算!$P$4,計算!$G$6="現金給付"),N($K40),IF(AND($B40&gt;計算!$P$4,計算!$G$6="儲存生息"),N($L40),0))+IF(AND(計算!$G$6=計算!$P$5,$B40=OP!$C$57),$K40,0))</f>
        <v>1997592.8</v>
      </c>
      <c r="Z40" s="786">
        <f ca="1">IF(OR(OP!$D$53=1,$B40=""),"",(($H40+Q40)-IF(AND(計算!$G$6="購買增額繳清保險",$B40=OP!$C$57),$K40,0))*IF(OR($C40&lt;16,($H40+$Q40)*PY!$C$4&lt;PY!$D$5,($H40+$Q40)*PY!$C$4*PYR&lt;PY!$C$5),0,PYY)*PYR)</f>
        <v>23068.985601607536</v>
      </c>
    </row>
    <row r="41" spans="2:26" hidden="1">
      <c r="B41" s="693">
        <f t="shared" ca="1" si="1"/>
        <v>38</v>
      </c>
      <c r="C41" s="689">
        <f ca="1">IF(OR(OP!$D$53=1,MAX($C$4:C40)&gt;=110),"",C40+(B41-B40))</f>
        <v>70</v>
      </c>
      <c r="D41" s="690" t="str">
        <f ca="1">IF(OR(OP!$D$53=1,AND(B41&gt;OP!$C$24)),"",OP!$C$52-IF($C41&lt;16,$K40,0))</f>
        <v/>
      </c>
      <c r="E41" s="690">
        <f ca="1">IF(OR(OP!$D$53=1,B41=""),"",N(E40)+N(D41))</f>
        <v>1000998</v>
      </c>
      <c r="F41" s="690" t="str">
        <f ca="1">IF(OR(OP!$D$53=1,$B41="",ISERROR(VLOOKUP(OP!$C$55,SRV,$B41+1,0))),"",ROUND(VLOOKUP(OP!$C$55,SRV,$B41+1,0)*OP!$C$28,0))</f>
        <v/>
      </c>
      <c r="G41" s="690" t="str">
        <f ca="1">IF(OR(OP!$D$53=1,$B41="",ISERROR(VLOOKUP(OP!$C$55,SRV,$B41+1,0))),"",N(G40)+N(F41))</f>
        <v/>
      </c>
      <c r="H41" s="690">
        <f ca="1">IF(OR(OP!$D$53=1,B41=""),"",ROUND(VLOOKUP(OP!$C$55,DIE,$B41+1,0)*OP!$C$28,0))</f>
        <v>1917090</v>
      </c>
      <c r="I41" s="691">
        <f ca="1">IF(OR(OP!$D$53=1,B41=""),"",ROUND(VLOOKUP(OP!$C$55,CV,$B41+1,0)*OP!$C$28,0))</f>
        <v>1917090</v>
      </c>
      <c r="J41" s="691">
        <f ca="1">IF(OR(OP!$D$53=1,B41=""),"",VLOOKUP(OP!$C$55,PA,$B41+1,0)*OP!$C$28)</f>
        <v>0</v>
      </c>
      <c r="K41" s="690">
        <f ca="1">IF(OR(OP!$D$53=1,B41=""),"",VLOOKUP($B41,more1,7,0))</f>
        <v>13540</v>
      </c>
      <c r="L41" s="690">
        <f ca="1">IF(OR(OP!$D$53=1,B41="",$B41&lt;=計算!$P$4),"",VLOOKUP($B41,more1,6,0))</f>
        <v>484601</v>
      </c>
      <c r="M41" s="690">
        <f ca="1">IF(OR(OP!$D$53=1,B41="",AND($B41&gt;=計算!$P$4,$C41&lt;15),ISERROR(VLOOKUP($B41,MORE_PV,4,0))),"",VLOOKUP($B41,MORE_PV,4,0))</f>
        <v>0</v>
      </c>
      <c r="N41" s="692">
        <f ca="1">IF(OR(OP!$D$53=1,B41="",$C41&lt;15,ISERROR(VLOOKUP($B41,MORE_PV,5,0))),"",VLOOKUP($B41,MORE_PV,5,0))</f>
        <v>8012</v>
      </c>
      <c r="O41" s="692">
        <f ca="1">IF(OR(OP!$D$53=1,$B41="",ISERROR(VLOOKUP($B41-1,MORE_PV,9,0))),"",VLOOKUP($B41-1,MORE_PV,9,0))</f>
        <v>0</v>
      </c>
      <c r="P41" s="692">
        <f ca="1">IF(OR(OP!$D$53=1,$B41="",ISERROR($O41)),"",N($P40)+N($O41))</f>
        <v>0</v>
      </c>
      <c r="Q41" s="692">
        <f ca="1">IF(OR(OP!$D$53=1,B41=""),"",ROUND(VLOOKUP($B41,MORE_PV,8,0),0))</f>
        <v>45176</v>
      </c>
      <c r="R41" s="692">
        <f ca="1">IF(OR(OP!$D$53=1,B41=""),"",ROUND(VLOOKUP($B41,MORE_PV,7,0),0))</f>
        <v>45176</v>
      </c>
      <c r="S41" s="692">
        <f ca="1">IF(OR(OP!$D$53=1,B41=""),"",N($F41)+N(O41))</f>
        <v>0</v>
      </c>
      <c r="T41" s="692">
        <f ca="1">IF(OR(OP!$D$53=1,$B41=""),0,N(T40)+N($S41))</f>
        <v>0</v>
      </c>
      <c r="U41" s="690">
        <f ca="1">IF(OR(OP!$D$53=1,B41=""),"",N($H41)+IF(AND($B41&gt;計算!$P$4,計算!$G$6="現金給付"),N($K41),IF(AND($B41&gt;計算!$P$4,計算!$G$6="儲存生息"),N($L41),0))+N($Q41))</f>
        <v>2446867</v>
      </c>
      <c r="V41" s="690">
        <f ca="1">IF(OR(OP!$D$53=1,$B41=""),"",N($I41)+IF(AND($B41&gt;計算!$P$4,計算!$G$6="現金給付"),N($K41),IF(AND($B41&gt;計算!$P$4,計算!$G$6="儲存生息"),N($L41),0))+N(R41))</f>
        <v>2446867</v>
      </c>
      <c r="W41" s="422"/>
      <c r="X41" s="422"/>
      <c r="Y41" s="786">
        <f ca="1">IF(OR(OP!$D$53=1,$B41=""),"",((($H41+$Q41)-IF(AND(計算!$G$6=計算!$P$5,$B41=OP!$C$57),$K41,0))*IF(OR($C41&lt;16,Z41=0,Z41=""),1,PYO))+IF(AND($B41&gt;計算!$P$4,計算!$G$6="現金給付"),N($K41),IF(AND($B41&gt;計算!$P$4,計算!$G$6="儲存生息"),N($L41),0))+IF(AND(計算!$G$6=計算!$P$5,$B41=OP!$C$57),$K41,0))</f>
        <v>2054413.8</v>
      </c>
      <c r="Z41" s="786">
        <f ca="1">IF(OR(OP!$D$53=1,$B41=""),"",(($H41+Q41)-IF(AND(計算!$G$6="購買增額繳清保險",$B41=OP!$C$57),$K41,0))*IF(OR($C41&lt;16,($H41+$Q41)*PY!$C$4&lt;PY!$D$5,($H41+$Q41)*PY!$C$4*PYR&lt;PY!$C$5),0,PYY)*PYR)</f>
        <v>23530.538950753107</v>
      </c>
    </row>
    <row r="42" spans="2:26" hidden="1">
      <c r="B42" s="693">
        <f t="shared" ca="1" si="1"/>
        <v>39</v>
      </c>
      <c r="C42" s="689">
        <f ca="1">IF(OR(OP!$D$53=1,MAX($C$4:C41)&gt;=110),"",C41+(B42-B41))</f>
        <v>71</v>
      </c>
      <c r="D42" s="690" t="str">
        <f ca="1">IF(OR(OP!$D$53=1,AND(B42&gt;OP!$C$24)),"",OP!$C$52-IF($C42&lt;16,$K41,0))</f>
        <v/>
      </c>
      <c r="E42" s="690">
        <f ca="1">IF(OR(OP!$D$53=1,B42=""),"",N(E41)+N(D42))</f>
        <v>1000998</v>
      </c>
      <c r="F42" s="690" t="str">
        <f ca="1">IF(OR(OP!$D$53=1,$B42="",ISERROR(VLOOKUP(OP!$C$55,SRV,$B42+1,0))),"",ROUND(VLOOKUP(OP!$C$55,SRV,$B42+1,0)*OP!$C$28,0))</f>
        <v/>
      </c>
      <c r="G42" s="690" t="str">
        <f ca="1">IF(OR(OP!$D$53=1,$B42="",ISERROR(VLOOKUP(OP!$C$55,SRV,$B42+1,0))),"",N(G41)+N(F42))</f>
        <v/>
      </c>
      <c r="H42" s="690">
        <f ca="1">IF(OR(OP!$D$53=1,B42=""),"",ROUND(VLOOKUP(OP!$C$55,DIE,$B42+1,0)*OP!$C$28,0))</f>
        <v>1955408</v>
      </c>
      <c r="I42" s="691">
        <f ca="1">IF(OR(OP!$D$53=1,B42=""),"",ROUND(VLOOKUP(OP!$C$55,CV,$B42+1,0)*OP!$C$28,0))</f>
        <v>1955408</v>
      </c>
      <c r="J42" s="691">
        <f ca="1">IF(OR(OP!$D$53=1,B42=""),"",VLOOKUP(OP!$C$55,PA,$B42+1,0)*OP!$C$28)</f>
        <v>0</v>
      </c>
      <c r="K42" s="690">
        <f ca="1">IF(OR(OP!$D$53=1,B42=""),"",VLOOKUP($B42,more1,7,0))</f>
        <v>13810</v>
      </c>
      <c r="L42" s="690">
        <f ca="1">IF(OR(OP!$D$53=1,B42="",$B42&lt;=計算!$P$4),"",VLOOKUP($B42,more1,6,0))</f>
        <v>511645</v>
      </c>
      <c r="M42" s="690">
        <f ca="1">IF(OR(OP!$D$53=1,B42="",AND($B42&gt;=計算!$P$4,$C42&lt;15),ISERROR(VLOOKUP($B42,MORE_PV,4,0))),"",VLOOKUP($B42,MORE_PV,4,0))</f>
        <v>0</v>
      </c>
      <c r="N42" s="692">
        <f ca="1">IF(OR(OP!$D$53=1,B42="",$C42&lt;15,ISERROR(VLOOKUP($B42,MORE_PV,5,0))),"",VLOOKUP($B42,MORE_PV,5,0))</f>
        <v>8012</v>
      </c>
      <c r="O42" s="692">
        <f ca="1">IF(OR(OP!$D$53=1,$B42="",ISERROR(VLOOKUP($B42-1,MORE_PV,9,0))),"",VLOOKUP($B42-1,MORE_PV,9,0))</f>
        <v>0</v>
      </c>
      <c r="P42" s="692">
        <f ca="1">IF(OR(OP!$D$53=1,$B42="",ISERROR($O42)),"",N($P41)+N($O42))</f>
        <v>0</v>
      </c>
      <c r="Q42" s="692">
        <f ca="1">IF(OR(OP!$D$53=1,B42=""),"",ROUND(VLOOKUP($B42,MORE_PV,8,0),0))</f>
        <v>46079</v>
      </c>
      <c r="R42" s="692">
        <f ca="1">IF(OR(OP!$D$53=1,B42=""),"",ROUND(VLOOKUP($B42,MORE_PV,7,0),0))</f>
        <v>46079</v>
      </c>
      <c r="S42" s="692">
        <f ca="1">IF(OR(OP!$D$53=1,B42=""),"",N($F42)+N(O42))</f>
        <v>0</v>
      </c>
      <c r="T42" s="692">
        <f ca="1">IF(OR(OP!$D$53=1,$B42=""),0,N(T41)+N($S42))</f>
        <v>0</v>
      </c>
      <c r="U42" s="690">
        <f ca="1">IF(OR(OP!$D$53=1,B42=""),"",N($H42)+IF(AND($B42&gt;計算!$P$4,計算!$G$6="現金給付"),N($K42),IF(AND($B42&gt;計算!$P$4,計算!$G$6="儲存生息"),N($L42),0))+N($Q42))</f>
        <v>2513132</v>
      </c>
      <c r="V42" s="690">
        <f ca="1">IF(OR(OP!$D$53=1,$B42=""),"",N($I42)+IF(AND($B42&gt;計算!$P$4,計算!$G$6="現金給付"),N($K42),IF(AND($B42&gt;計算!$P$4,計算!$G$6="儲存生息"),N($L42),0))+N(R42))</f>
        <v>2513132</v>
      </c>
      <c r="W42" s="422"/>
      <c r="X42" s="422"/>
      <c r="Y42" s="786">
        <f ca="1">IF(OR(OP!$D$53=1,$B42=""),"",((($H42+$Q42)-IF(AND(計算!$G$6=計算!$P$5,$B42=OP!$C$57),$K42,0))*IF(OR($C42&lt;16,Z42=0,Z42=""),1,PYO))+IF(AND($B42&gt;計算!$P$4,計算!$G$6="現金給付"),N($K42),IF(AND($B42&gt;計算!$P$4,計算!$G$6="儲存生息"),N($L42),0))+IF(AND(計算!$G$6=計算!$P$5,$B42=OP!$C$57),$K42,0))</f>
        <v>2112834.6</v>
      </c>
      <c r="Z42" s="786">
        <f ca="1">IF(OR(OP!$D$53=1,$B42=""),"",(($H42+Q42)-IF(AND(計算!$G$6="購買增額繳清保險",$B42=OP!$C$57),$K42,0))*IF(OR($C42&lt;16,($H42+$Q42)*PY!$C$4&lt;PY!$D$5,($H42+$Q42)*PY!$C$4*PYR&lt;PY!$C$5),0,PYY)*PYR)</f>
        <v>24000.858096163305</v>
      </c>
    </row>
    <row r="43" spans="2:26" hidden="1">
      <c r="B43" s="693">
        <f t="shared" ca="1" si="1"/>
        <v>40</v>
      </c>
      <c r="C43" s="689">
        <f ca="1">IF(OR(OP!$D$53=1,MAX($C$4:C42)&gt;=110),"",C42+(B43-B42))</f>
        <v>72</v>
      </c>
      <c r="D43" s="690" t="str">
        <f ca="1">IF(OR(OP!$D$53=1,AND(B43&gt;OP!$C$24)),"",OP!$C$52-IF($C43&lt;16,$K42,0))</f>
        <v/>
      </c>
      <c r="E43" s="690">
        <f ca="1">IF(OR(OP!$D$53=1,B43=""),"",N(E42)+N(D43))</f>
        <v>1000998</v>
      </c>
      <c r="F43" s="690" t="str">
        <f ca="1">IF(OR(OP!$D$53=1,$B43="",ISERROR(VLOOKUP(OP!$C$55,SRV,$B43+1,0))),"",ROUND(VLOOKUP(OP!$C$55,SRV,$B43+1,0)*OP!$C$28,0))</f>
        <v/>
      </c>
      <c r="G43" s="690" t="str">
        <f ca="1">IF(OR(OP!$D$53=1,$B43="",ISERROR(VLOOKUP(OP!$C$55,SRV,$B43+1,0))),"",N(G42)+N(F43))</f>
        <v/>
      </c>
      <c r="H43" s="690">
        <f ca="1">IF(OR(OP!$D$53=1,B43=""),"",ROUND(VLOOKUP(OP!$C$55,DIE,$B43+1,0)*OP!$C$28,0))</f>
        <v>1994508</v>
      </c>
      <c r="I43" s="691">
        <f ca="1">IF(OR(OP!$D$53=1,B43=""),"",ROUND(VLOOKUP(OP!$C$55,CV,$B43+1,0)*OP!$C$28,0))</f>
        <v>1994508</v>
      </c>
      <c r="J43" s="691">
        <f ca="1">IF(OR(OP!$D$53=1,B43=""),"",VLOOKUP(OP!$C$55,PA,$B43+1,0)*OP!$C$28)</f>
        <v>0</v>
      </c>
      <c r="K43" s="690">
        <f ca="1">IF(OR(OP!$D$53=1,B43=""),"",VLOOKUP($B43,more1,7,0))</f>
        <v>14086</v>
      </c>
      <c r="L43" s="690">
        <f ca="1">IF(OR(OP!$D$53=1,B43="",$B43&lt;=計算!$P$4),"",VLOOKUP($B43,more1,6,0))</f>
        <v>539665</v>
      </c>
      <c r="M43" s="690">
        <f ca="1">IF(OR(OP!$D$53=1,B43="",AND($B43&gt;=計算!$P$4,$C43&lt;15),ISERROR(VLOOKUP($B43,MORE_PV,4,0))),"",VLOOKUP($B43,MORE_PV,4,0))</f>
        <v>0</v>
      </c>
      <c r="N43" s="692">
        <f ca="1">IF(OR(OP!$D$53=1,B43="",$C43&lt;15,ISERROR(VLOOKUP($B43,MORE_PV,5,0))),"",VLOOKUP($B43,MORE_PV,5,0))</f>
        <v>8012</v>
      </c>
      <c r="O43" s="692">
        <f ca="1">IF(OR(OP!$D$53=1,$B43="",ISERROR(VLOOKUP($B43-1,MORE_PV,9,0))),"",VLOOKUP($B43-1,MORE_PV,9,0))</f>
        <v>0</v>
      </c>
      <c r="P43" s="692">
        <f ca="1">IF(OR(OP!$D$53=1,$B43="",ISERROR($O43)),"",N($P42)+N($O43))</f>
        <v>0</v>
      </c>
      <c r="Q43" s="692">
        <f ca="1">IF(OR(OP!$D$53=1,B43=""),"",ROUND(VLOOKUP($B43,MORE_PV,8,0),0))</f>
        <v>47000</v>
      </c>
      <c r="R43" s="692">
        <f ca="1">IF(OR(OP!$D$53=1,B43=""),"",ROUND(VLOOKUP($B43,MORE_PV,7,0),0))</f>
        <v>47000</v>
      </c>
      <c r="S43" s="692">
        <f ca="1">IF(OR(OP!$D$53=1,B43=""),"",N($F43)+N(O43))</f>
        <v>0</v>
      </c>
      <c r="T43" s="692">
        <f ca="1">IF(OR(OP!$D$53=1,$B43=""),0,N(T42)+N($S43))</f>
        <v>0</v>
      </c>
      <c r="U43" s="690">
        <f ca="1">IF(OR(OP!$D$53=1,B43=""),"",N($H43)+IF(AND($B43&gt;計算!$P$4,計算!$G$6="現金給付"),N($K43),IF(AND($B43&gt;計算!$P$4,計算!$G$6="儲存生息"),N($L43),0))+N($Q43))</f>
        <v>2581173</v>
      </c>
      <c r="V43" s="690">
        <f ca="1">IF(OR(OP!$D$53=1,$B43=""),"",N($I43)+IF(AND($B43&gt;計算!$P$4,計算!$G$6="現金給付"),N($K43),IF(AND($B43&gt;計算!$P$4,計算!$G$6="儲存生息"),N($L43),0))+N(R43))</f>
        <v>2581173</v>
      </c>
      <c r="W43" s="422"/>
      <c r="X43" s="422"/>
      <c r="Y43" s="786">
        <f ca="1">IF(OR(OP!$D$53=1,$B43=""),"",((($H43+$Q43)-IF(AND(計算!$G$6=計算!$P$5,$B43=OP!$C$57),$K43,0))*IF(OR($C43&lt;16,Z43=0,Z43=""),1,PYO))+IF(AND($B43&gt;計算!$P$4,計算!$G$6="現金給付"),N($K43),IF(AND($B43&gt;計算!$P$4,計算!$G$6="儲存生息"),N($L43),0))+IF(AND(計算!$G$6=計算!$P$5,$B43=OP!$C$57),$K43,0))</f>
        <v>2172871.4000000004</v>
      </c>
      <c r="Z43" s="786">
        <f ca="1">IF(OR(OP!$D$53=1,$B43=""),"",(($H43+Q43)-IF(AND(計算!$G$6="購買增額繳清保險",$B43=OP!$C$57),$K43,0))*IF(OR($C43&lt;16,($H43+$Q43)*PY!$C$4&lt;PY!$D$5,($H43+$Q43)*PY!$C$4*PYR&lt;PY!$C$5),0,PYY)*PYR)</f>
        <v>24480.770452259825</v>
      </c>
    </row>
    <row r="44" spans="2:26" hidden="1">
      <c r="B44" s="693">
        <f t="shared" ca="1" si="1"/>
        <v>41</v>
      </c>
      <c r="C44" s="689">
        <f ca="1">IF(OR(OP!$D$53=1,MAX($C$4:C43)&gt;=110),"",C43+(B44-B43))</f>
        <v>73</v>
      </c>
      <c r="D44" s="690" t="str">
        <f ca="1">IF(OR(OP!$D$53=1,AND(B44&gt;OP!$C$24)),"",OP!$C$52-IF($C44&lt;16,$K43,0))</f>
        <v/>
      </c>
      <c r="E44" s="690">
        <f ca="1">IF(OR(OP!$D$53=1,B44=""),"",N(E43)+N(D44))</f>
        <v>1000998</v>
      </c>
      <c r="F44" s="690" t="str">
        <f ca="1">IF(OR(OP!$D$53=1,$B44="",ISERROR(VLOOKUP(OP!$C$55,SRV,$B44+1,0))),"",ROUND(VLOOKUP(OP!$C$55,SRV,$B44+1,0)*OP!$C$28,0))</f>
        <v/>
      </c>
      <c r="G44" s="690" t="str">
        <f ca="1">IF(OR(OP!$D$53=1,$B44="",ISERROR(VLOOKUP(OP!$C$55,SRV,$B44+1,0))),"",N(G43)+N(F44))</f>
        <v/>
      </c>
      <c r="H44" s="690">
        <f ca="1">IF(OR(OP!$D$53=1,B44=""),"",ROUND(VLOOKUP(OP!$C$55,DIE,$B44+1,0)*OP!$C$28,0))</f>
        <v>2034390</v>
      </c>
      <c r="I44" s="691">
        <f ca="1">IF(OR(OP!$D$53=1,B44=""),"",ROUND(VLOOKUP(OP!$C$55,CV,$B44+1,0)*OP!$C$28,0))</f>
        <v>2034390</v>
      </c>
      <c r="J44" s="691">
        <f ca="1">IF(OR(OP!$D$53=1,B44=""),"",VLOOKUP(OP!$C$55,PA,$B44+1,0)*OP!$C$28)</f>
        <v>0</v>
      </c>
      <c r="K44" s="690">
        <f ca="1">IF(OR(OP!$D$53=1,B44=""),"",VLOOKUP($B44,more1,7,0))</f>
        <v>14368</v>
      </c>
      <c r="L44" s="690">
        <f ca="1">IF(OR(OP!$D$53=1,B44="",$B44&lt;=計算!$P$4),"",VLOOKUP($B44,more1,6,0))</f>
        <v>568730</v>
      </c>
      <c r="M44" s="690">
        <f ca="1">IF(OR(OP!$D$53=1,B44="",AND($B44&gt;=計算!$P$4,$C44&lt;15),ISERROR(VLOOKUP($B44,MORE_PV,4,0))),"",VLOOKUP($B44,MORE_PV,4,0))</f>
        <v>0</v>
      </c>
      <c r="N44" s="692">
        <f ca="1">IF(OR(OP!$D$53=1,B44="",$C44&lt;15,ISERROR(VLOOKUP($B44,MORE_PV,5,0))),"",VLOOKUP($B44,MORE_PV,5,0))</f>
        <v>8012</v>
      </c>
      <c r="O44" s="692">
        <f ca="1">IF(OR(OP!$D$53=1,$B44="",ISERROR(VLOOKUP($B44-1,MORE_PV,9,0))),"",VLOOKUP($B44-1,MORE_PV,9,0))</f>
        <v>0</v>
      </c>
      <c r="P44" s="692">
        <f ca="1">IF(OR(OP!$D$53=1,$B44="",ISERROR($O44)),"",N($P43)+N($O44))</f>
        <v>0</v>
      </c>
      <c r="Q44" s="692">
        <f ca="1">IF(OR(OP!$D$53=1,B44=""),"",ROUND(VLOOKUP($B44,MORE_PV,8,0),0))</f>
        <v>47940</v>
      </c>
      <c r="R44" s="692">
        <f ca="1">IF(OR(OP!$D$53=1,B44=""),"",ROUND(VLOOKUP($B44,MORE_PV,7,0),0))</f>
        <v>47940</v>
      </c>
      <c r="S44" s="692">
        <f ca="1">IF(OR(OP!$D$53=1,B44=""),"",N($F44)+N(O44))</f>
        <v>0</v>
      </c>
      <c r="T44" s="692">
        <f ca="1">IF(OR(OP!$D$53=1,$B44=""),0,N(T43)+N($S44))</f>
        <v>0</v>
      </c>
      <c r="U44" s="690">
        <f ca="1">IF(OR(OP!$D$53=1,B44=""),"",N($H44)+IF(AND($B44&gt;計算!$P$4,計算!$G$6="現金給付"),N($K44),IF(AND($B44&gt;計算!$P$4,計算!$G$6="儲存生息"),N($L44),0))+N($Q44))</f>
        <v>2651060</v>
      </c>
      <c r="V44" s="690">
        <f ca="1">IF(OR(OP!$D$53=1,$B44=""),"",N($I44)+IF(AND($B44&gt;計算!$P$4,計算!$G$6="現金給付"),N($K44),IF(AND($B44&gt;計算!$P$4,計算!$G$6="儲存生息"),N($L44),0))+N(R44))</f>
        <v>2651060</v>
      </c>
      <c r="W44" s="422"/>
      <c r="X44" s="422"/>
      <c r="Y44" s="786">
        <f ca="1">IF(OR(OP!$D$53=1,$B44=""),"",((($H44+$Q44)-IF(AND(計算!$G$6=計算!$P$5,$B44=OP!$C$57),$K44,0))*IF(OR($C44&lt;16,Z44=0,Z44=""),1,PYO))+IF(AND($B44&gt;計算!$P$4,計算!$G$6="現金給付"),N($K44),IF(AND($B44&gt;計算!$P$4,計算!$G$6="儲存生息"),N($L44),0))+IF(AND(計算!$G$6=計算!$P$5,$B44=OP!$C$57),$K44,0))</f>
        <v>2234594</v>
      </c>
      <c r="Z44" s="786">
        <f ca="1">IF(OR(OP!$D$53=1,$B44=""),"",(($H44+Q44)-IF(AND(計算!$G$6="購買增額繳清保險",$B44=OP!$C$57),$K44,0))*IF(OR($C44&lt;16,($H44+$Q44)*PY!$C$4&lt;PY!$D$5,($H44+$Q44)*PY!$C$4*PYR&lt;PY!$C$5),0,PYY)*PYR)</f>
        <v>24970.288010556018</v>
      </c>
    </row>
    <row r="45" spans="2:26" hidden="1">
      <c r="B45" s="693">
        <f t="shared" ca="1" si="1"/>
        <v>42</v>
      </c>
      <c r="C45" s="689">
        <f ca="1">IF(OR(OP!$D$53=1,MAX($C$4:C44)&gt;=110),"",C44+(B45-B44))</f>
        <v>74</v>
      </c>
      <c r="D45" s="690" t="str">
        <f ca="1">IF(OR(OP!$D$53=1,AND(B45&gt;OP!$C$24)),"",OP!$C$52-IF($C45&lt;16,$K44,0))</f>
        <v/>
      </c>
      <c r="E45" s="690">
        <f ca="1">IF(OR(OP!$D$53=1,B45=""),"",N(E44)+N(D45))</f>
        <v>1000998</v>
      </c>
      <c r="F45" s="690" t="str">
        <f ca="1">IF(OR(OP!$D$53=1,$B45="",ISERROR(VLOOKUP(OP!$C$55,SRV,$B45+1,0))),"",ROUND(VLOOKUP(OP!$C$55,SRV,$B45+1,0)*OP!$C$28,0))</f>
        <v/>
      </c>
      <c r="G45" s="690" t="str">
        <f ca="1">IF(OR(OP!$D$53=1,$B45="",ISERROR(VLOOKUP(OP!$C$55,SRV,$B45+1,0))),"",N(G44)+N(F45))</f>
        <v/>
      </c>
      <c r="H45" s="690">
        <f ca="1">IF(OR(OP!$D$53=1,B45=""),"",ROUND(VLOOKUP(OP!$C$55,DIE,$B45+1,0)*OP!$C$28,0))</f>
        <v>2075088</v>
      </c>
      <c r="I45" s="691">
        <f ca="1">IF(OR(OP!$D$53=1,B45=""),"",ROUND(VLOOKUP(OP!$C$55,CV,$B45+1,0)*OP!$C$28,0))</f>
        <v>2075088</v>
      </c>
      <c r="J45" s="691">
        <f ca="1">IF(OR(OP!$D$53=1,B45=""),"",VLOOKUP(OP!$C$55,PA,$B45+1,0)*OP!$C$28)</f>
        <v>0</v>
      </c>
      <c r="K45" s="690">
        <f ca="1">IF(OR(OP!$D$53=1,B45=""),"",VLOOKUP($B45,more1,7,0))</f>
        <v>14655</v>
      </c>
      <c r="L45" s="690">
        <f ca="1">IF(OR(OP!$D$53=1,B45="",$B45&lt;=計算!$P$4),"",VLOOKUP($B45,more1,6,0))</f>
        <v>598874</v>
      </c>
      <c r="M45" s="690">
        <f ca="1">IF(OR(OP!$D$53=1,B45="",AND($B45&gt;=計算!$P$4,$C45&lt;15),ISERROR(VLOOKUP($B45,MORE_PV,4,0))),"",VLOOKUP($B45,MORE_PV,4,0))</f>
        <v>0</v>
      </c>
      <c r="N45" s="692">
        <f ca="1">IF(OR(OP!$D$53=1,B45="",$C45&lt;15,ISERROR(VLOOKUP($B45,MORE_PV,5,0))),"",VLOOKUP($B45,MORE_PV,5,0))</f>
        <v>8012</v>
      </c>
      <c r="O45" s="692">
        <f ca="1">IF(OR(OP!$D$53=1,$B45="",ISERROR(VLOOKUP($B45-1,MORE_PV,9,0))),"",VLOOKUP($B45-1,MORE_PV,9,0))</f>
        <v>0</v>
      </c>
      <c r="P45" s="692">
        <f ca="1">IF(OR(OP!$D$53=1,$B45="",ISERROR($O45)),"",N($P44)+N($O45))</f>
        <v>0</v>
      </c>
      <c r="Q45" s="692">
        <f ca="1">IF(OR(OP!$D$53=1,B45=""),"",ROUND(VLOOKUP($B45,MORE_PV,8,0),0))</f>
        <v>48899</v>
      </c>
      <c r="R45" s="692">
        <f ca="1">IF(OR(OP!$D$53=1,B45=""),"",ROUND(VLOOKUP($B45,MORE_PV,7,0),0))</f>
        <v>48899</v>
      </c>
      <c r="S45" s="692">
        <f ca="1">IF(OR(OP!$D$53=1,B45=""),"",N($F45)+N(O45))</f>
        <v>0</v>
      </c>
      <c r="T45" s="692">
        <f ca="1">IF(OR(OP!$D$53=1,$B45=""),0,N(T44)+N($S45))</f>
        <v>0</v>
      </c>
      <c r="U45" s="690">
        <f ca="1">IF(OR(OP!$D$53=1,B45=""),"",N($H45)+IF(AND($B45&gt;計算!$P$4,計算!$G$6="現金給付"),N($K45),IF(AND($B45&gt;計算!$P$4,計算!$G$6="儲存生息"),N($L45),0))+N($Q45))</f>
        <v>2722861</v>
      </c>
      <c r="V45" s="690">
        <f ca="1">IF(OR(OP!$D$53=1,$B45=""),"",N($I45)+IF(AND($B45&gt;計算!$P$4,計算!$G$6="現金給付"),N($K45),IF(AND($B45&gt;計算!$P$4,計算!$G$6="儲存生息"),N($L45),0))+N(R45))</f>
        <v>2722861</v>
      </c>
      <c r="W45" s="422"/>
      <c r="X45" s="422"/>
      <c r="Y45" s="786">
        <f ca="1">IF(OR(OP!$D$53=1,$B45=""),"",((($H45+$Q45)-IF(AND(計算!$G$6=計算!$P$5,$B45=OP!$C$57),$K45,0))*IF(OR($C45&lt;16,Z45=0,Z45=""),1,PYO))+IF(AND($B45&gt;計算!$P$4,計算!$G$6="現金給付"),N($K45),IF(AND($B45&gt;計算!$P$4,計算!$G$6="儲存生息"),N($L45),0))+IF(AND(計算!$G$6=計算!$P$5,$B45=OP!$C$57),$K45,0))</f>
        <v>2298063.6</v>
      </c>
      <c r="Z45" s="786">
        <f ca="1">IF(OR(OP!$D$53=1,$B45=""),"",(($H45+Q45)-IF(AND(計算!$G$6="購買增額繳清保險",$B45=OP!$C$57),$K45,0))*IF(OR($C45&lt;16,($H45+$Q45)*PY!$C$4&lt;PY!$D$5,($H45+$Q45)*PY!$C$4*PYR&lt;PY!$C$5),0,PYY)*PYR)</f>
        <v>25469.818482506063</v>
      </c>
    </row>
    <row r="46" spans="2:26" hidden="1">
      <c r="B46" s="693">
        <f t="shared" ca="1" si="1"/>
        <v>43</v>
      </c>
      <c r="C46" s="689">
        <f ca="1">IF(OR(OP!$D$53=1,MAX($C$4:C45)&gt;=110),"",C45+(B46-B45))</f>
        <v>75</v>
      </c>
      <c r="D46" s="690" t="str">
        <f ca="1">IF(OR(OP!$D$53=1,AND(B46&gt;OP!$C$24)),"",OP!$C$52-IF($C46&lt;16,$K45,0))</f>
        <v/>
      </c>
      <c r="E46" s="690">
        <f ca="1">IF(OR(OP!$D$53=1,B46=""),"",N(E45)+N(D46))</f>
        <v>1000998</v>
      </c>
      <c r="F46" s="690" t="str">
        <f ca="1">IF(OR(OP!$D$53=1,$B46="",ISERROR(VLOOKUP(OP!$C$55,SRV,$B46+1,0))),"",ROUND(VLOOKUP(OP!$C$55,SRV,$B46+1,0)*OP!$C$28,0))</f>
        <v/>
      </c>
      <c r="G46" s="690" t="str">
        <f ca="1">IF(OR(OP!$D$53=1,$B46="",ISERROR(VLOOKUP(OP!$C$55,SRV,$B46+1,0))),"",N(G45)+N(F46))</f>
        <v/>
      </c>
      <c r="H46" s="690">
        <f ca="1">IF(OR(OP!$D$53=1,B46=""),"",ROUND(VLOOKUP(OP!$C$55,DIE,$B46+1,0)*OP!$C$28,0))</f>
        <v>2116364</v>
      </c>
      <c r="I46" s="691">
        <f ca="1">IF(OR(OP!$D$53=1,B46=""),"",ROUND(VLOOKUP(OP!$C$55,CV,$B46+1,0)*OP!$C$28,0))</f>
        <v>2116364</v>
      </c>
      <c r="J46" s="691">
        <f ca="1">IF(OR(OP!$D$53=1,B46=""),"",VLOOKUP(OP!$C$55,PA,$B46+1,0)*OP!$C$28)</f>
        <v>0</v>
      </c>
      <c r="K46" s="690">
        <f ca="1">IF(OR(OP!$D$53=1,B46=""),"",VLOOKUP($B46,more1,7,0))</f>
        <v>14947</v>
      </c>
      <c r="L46" s="690">
        <f ca="1">IF(OR(OP!$D$53=1,B46="",$B46&lt;=計算!$P$4),"",VLOOKUP($B46,more1,6,0))</f>
        <v>630176</v>
      </c>
      <c r="M46" s="690">
        <f ca="1">IF(OR(OP!$D$53=1,B46="",AND($B46&gt;=計算!$P$4,$C46&lt;15),ISERROR(VLOOKUP($B46,MORE_PV,4,0))),"",VLOOKUP($B46,MORE_PV,4,0))</f>
        <v>0</v>
      </c>
      <c r="N46" s="692">
        <f ca="1">IF(OR(OP!$D$53=1,B46="",$C46&lt;15,ISERROR(VLOOKUP($B46,MORE_PV,5,0))),"",VLOOKUP($B46,MORE_PV,5,0))</f>
        <v>8012</v>
      </c>
      <c r="O46" s="692">
        <f ca="1">IF(OR(OP!$D$53=1,$B46="",ISERROR(VLOOKUP($B46-1,MORE_PV,9,0))),"",VLOOKUP($B46-1,MORE_PV,9,0))</f>
        <v>0</v>
      </c>
      <c r="P46" s="692">
        <f ca="1">IF(OR(OP!$D$53=1,$B46="",ISERROR($O46)),"",N($P45)+N($O46))</f>
        <v>0</v>
      </c>
      <c r="Q46" s="692">
        <f ca="1">IF(OR(OP!$D$53=1,B46=""),"",ROUND(VLOOKUP($B46,MORE_PV,8,0),0))</f>
        <v>49871</v>
      </c>
      <c r="R46" s="692">
        <f ca="1">IF(OR(OP!$D$53=1,B46=""),"",ROUND(VLOOKUP($B46,MORE_PV,7,0),0))</f>
        <v>49871</v>
      </c>
      <c r="S46" s="692">
        <f ca="1">IF(OR(OP!$D$53=1,B46=""),"",N($F46)+N(O46))</f>
        <v>0</v>
      </c>
      <c r="T46" s="692">
        <f ca="1">IF(OR(OP!$D$53=1,$B46=""),0,N(T45)+N($S46))</f>
        <v>0</v>
      </c>
      <c r="U46" s="690">
        <f ca="1">IF(OR(OP!$D$53=1,B46=""),"",N($H46)+IF(AND($B46&gt;計算!$P$4,計算!$G$6="現金給付"),N($K46),IF(AND($B46&gt;計算!$P$4,計算!$G$6="儲存生息"),N($L46),0))+N($Q46))</f>
        <v>2796411</v>
      </c>
      <c r="V46" s="690">
        <f ca="1">IF(OR(OP!$D$53=1,$B46=""),"",N($I46)+IF(AND($B46&gt;計算!$P$4,計算!$G$6="現金給付"),N($K46),IF(AND($B46&gt;計算!$P$4,計算!$G$6="儲存生息"),N($L46),0))+N(R46))</f>
        <v>2796411</v>
      </c>
      <c r="W46" s="422"/>
      <c r="X46" s="422"/>
      <c r="Y46" s="786">
        <f ca="1">IF(OR(OP!$D$53=1,$B46=""),"",((($H46+$Q46)-IF(AND(計算!$G$6=計算!$P$5,$B46=OP!$C$57),$K46,0))*IF(OR($C46&lt;16,Z46=0,Z46=""),1,PYO))+IF(AND($B46&gt;計算!$P$4,計算!$G$6="現金給付"),N($K46),IF(AND($B46&gt;計算!$P$4,計算!$G$6="儲存生息"),N($L46),0))+IF(AND(計算!$G$6=計算!$P$5,$B46=OP!$C$57),$K46,0))</f>
        <v>2363164</v>
      </c>
      <c r="Z46" s="786">
        <f ca="1">IF(OR(OP!$D$53=1,$B46=""),"",(($H46+Q46)-IF(AND(計算!$G$6="購買增額繳清保險",$B46=OP!$C$57),$K46,0))*IF(OR($C46&lt;16,($H46+$Q46)*PY!$C$4&lt;PY!$D$5,($H46+$Q46)*PY!$C$4*PYR&lt;PY!$C$5),0,PYY)*PYR)</f>
        <v>25976.435938850624</v>
      </c>
    </row>
    <row r="47" spans="2:26" hidden="1">
      <c r="B47" s="693">
        <f t="shared" ca="1" si="1"/>
        <v>44</v>
      </c>
      <c r="C47" s="689">
        <f ca="1">IF(OR(OP!$D$53=1,MAX($C$4:C46)&gt;=110),"",C46+(B47-B46))</f>
        <v>76</v>
      </c>
      <c r="D47" s="690" t="str">
        <f ca="1">IF(OR(OP!$D$53=1,AND(B47&gt;OP!$C$24)),"",OP!$C$52-IF($C47&lt;16,$K46,0))</f>
        <v/>
      </c>
      <c r="E47" s="690">
        <f ca="1">IF(OR(OP!$D$53=1,B47=""),"",N(E46)+N(D47))</f>
        <v>1000998</v>
      </c>
      <c r="F47" s="690" t="str">
        <f ca="1">IF(OR(OP!$D$53=1,$B47="",ISERROR(VLOOKUP(OP!$C$55,SRV,$B47+1,0))),"",ROUND(VLOOKUP(OP!$C$55,SRV,$B47+1,0)*OP!$C$28,0))</f>
        <v/>
      </c>
      <c r="G47" s="690" t="str">
        <f ca="1">IF(OR(OP!$D$53=1,$B47="",ISERROR(VLOOKUP(OP!$C$55,SRV,$B47+1,0))),"",N(G46)+N(F47))</f>
        <v/>
      </c>
      <c r="H47" s="690">
        <f ca="1">IF(OR(OP!$D$53=1,B47=""),"",ROUND(VLOOKUP(OP!$C$55,DIE,$B47+1,0)*OP!$C$28,0))</f>
        <v>2158184</v>
      </c>
      <c r="I47" s="691">
        <f ca="1">IF(OR(OP!$D$53=1,B47=""),"",ROUND(VLOOKUP(OP!$C$55,CV,$B47+1,0)*OP!$C$28,0))</f>
        <v>2158184</v>
      </c>
      <c r="J47" s="691">
        <f ca="1">IF(OR(OP!$D$53=1,B47=""),"",VLOOKUP(OP!$C$55,PA,$B47+1,0)*OP!$C$28)</f>
        <v>0</v>
      </c>
      <c r="K47" s="690">
        <f ca="1">IF(OR(OP!$D$53=1,B47=""),"",VLOOKUP($B47,more1,7,0))</f>
        <v>15242</v>
      </c>
      <c r="L47" s="690">
        <f ca="1">IF(OR(OP!$D$53=1,B47="",$B47&lt;=計算!$P$4),"",VLOOKUP($B47,more1,6,0))</f>
        <v>662580</v>
      </c>
      <c r="M47" s="690">
        <f ca="1">IF(OR(OP!$D$53=1,B47="",AND($B47&gt;=計算!$P$4,$C47&lt;15),ISERROR(VLOOKUP($B47,MORE_PV,4,0))),"",VLOOKUP($B47,MORE_PV,4,0))</f>
        <v>0</v>
      </c>
      <c r="N47" s="692">
        <f ca="1">IF(OR(OP!$D$53=1,B47="",$C47&lt;15,ISERROR(VLOOKUP($B47,MORE_PV,5,0))),"",VLOOKUP($B47,MORE_PV,5,0))</f>
        <v>8012</v>
      </c>
      <c r="O47" s="692">
        <f ca="1">IF(OR(OP!$D$53=1,$B47="",ISERROR(VLOOKUP($B47-1,MORE_PV,9,0))),"",VLOOKUP($B47-1,MORE_PV,9,0))</f>
        <v>0</v>
      </c>
      <c r="P47" s="692">
        <f ca="1">IF(OR(OP!$D$53=1,$B47="",ISERROR($O47)),"",N($P46)+N($O47))</f>
        <v>0</v>
      </c>
      <c r="Q47" s="692">
        <f ca="1">IF(OR(OP!$D$53=1,B47=""),"",ROUND(VLOOKUP($B47,MORE_PV,8,0),0))</f>
        <v>50857</v>
      </c>
      <c r="R47" s="692">
        <f ca="1">IF(OR(OP!$D$53=1,B47=""),"",ROUND(VLOOKUP($B47,MORE_PV,7,0),0))</f>
        <v>50857</v>
      </c>
      <c r="S47" s="692">
        <f ca="1">IF(OR(OP!$D$53=1,B47=""),"",N($F47)+N(O47))</f>
        <v>0</v>
      </c>
      <c r="T47" s="692">
        <f ca="1">IF(OR(OP!$D$53=1,$B47=""),0,N(T46)+N($S47))</f>
        <v>0</v>
      </c>
      <c r="U47" s="690">
        <f ca="1">IF(OR(OP!$D$53=1,B47=""),"",N($H47)+IF(AND($B47&gt;計算!$P$4,計算!$G$6="現金給付"),N($K47),IF(AND($B47&gt;計算!$P$4,計算!$G$6="儲存生息"),N($L47),0))+N($Q47))</f>
        <v>2871621</v>
      </c>
      <c r="V47" s="690">
        <f ca="1">IF(OR(OP!$D$53=1,$B47=""),"",N($I47)+IF(AND($B47&gt;計算!$P$4,計算!$G$6="現金給付"),N($K47),IF(AND($B47&gt;計算!$P$4,計算!$G$6="儲存生息"),N($L47),0))+N(R47))</f>
        <v>2871621</v>
      </c>
      <c r="W47" s="422"/>
      <c r="X47" s="422"/>
      <c r="Y47" s="786">
        <f ca="1">IF(OR(OP!$D$53=1,$B47=""),"",((($H47+$Q47)-IF(AND(計算!$G$6=計算!$P$5,$B47=OP!$C$57),$K47,0))*IF(OR($C47&lt;16,Z47=0,Z47=""),1,PYO))+IF(AND($B47&gt;計算!$P$4,計算!$G$6="現金給付"),N($K47),IF(AND($B47&gt;計算!$P$4,計算!$G$6="儲存生息"),N($L47),0))+IF(AND(計算!$G$6=計算!$P$5,$B47=OP!$C$57),$K47,0))</f>
        <v>2429812.7999999998</v>
      </c>
      <c r="Z47" s="786">
        <f ca="1">IF(OR(OP!$D$53=1,$B47=""),"",(($H47+Q47)-IF(AND(計算!$G$6="購買增額繳清保險",$B47=OP!$C$57),$K47,0))*IF(OR($C47&lt;16,($H47+$Q47)*PY!$C$4&lt;PY!$D$5,($H47+$Q47)*PY!$C$4*PYR&lt;PY!$C$5),0,PYY)*PYR)</f>
        <v>26489.744659648892</v>
      </c>
    </row>
    <row r="48" spans="2:26" hidden="1">
      <c r="B48" s="693">
        <f t="shared" ca="1" si="1"/>
        <v>45</v>
      </c>
      <c r="C48" s="689">
        <f ca="1">IF(OR(OP!$D$53=1,MAX($C$4:C47)&gt;=110),"",C47+(B48-B47))</f>
        <v>77</v>
      </c>
      <c r="D48" s="690" t="str">
        <f ca="1">IF(OR(OP!$D$53=1,AND(B48&gt;OP!$C$24)),"",OP!$C$52-IF($C48&lt;16,$K47,0))</f>
        <v/>
      </c>
      <c r="E48" s="690">
        <f ca="1">IF(OR(OP!$D$53=1,B48=""),"",N(E47)+N(D48))</f>
        <v>1000998</v>
      </c>
      <c r="F48" s="690" t="str">
        <f ca="1">IF(OR(OP!$D$53=1,$B48="",ISERROR(VLOOKUP(OP!$C$55,SRV,$B48+1,0))),"",ROUND(VLOOKUP(OP!$C$55,SRV,$B48+1,0)*OP!$C$28,0))</f>
        <v/>
      </c>
      <c r="G48" s="690" t="str">
        <f ca="1">IF(OR(OP!$D$53=1,$B48="",ISERROR(VLOOKUP(OP!$C$55,SRV,$B48+1,0))),"",N(G47)+N(F48))</f>
        <v/>
      </c>
      <c r="H48" s="690">
        <f ca="1">IF(OR(OP!$D$53=1,B48=""),"",ROUND(VLOOKUP(OP!$C$55,DIE,$B48+1,0)*OP!$C$28,0))</f>
        <v>2200514</v>
      </c>
      <c r="I48" s="691">
        <f ca="1">IF(OR(OP!$D$53=1,B48=""),"",ROUND(VLOOKUP(OP!$C$55,CV,$B48+1,0)*OP!$C$28,0))</f>
        <v>2200514</v>
      </c>
      <c r="J48" s="691">
        <f ca="1">IF(OR(OP!$D$53=1,B48=""),"",VLOOKUP(OP!$C$55,PA,$B48+1,0)*OP!$C$28)</f>
        <v>0</v>
      </c>
      <c r="K48" s="690">
        <f ca="1">IF(OR(OP!$D$53=1,B48=""),"",VLOOKUP($B48,more1,7,0))</f>
        <v>15542</v>
      </c>
      <c r="L48" s="690">
        <f ca="1">IF(OR(OP!$D$53=1,B48="",$B48&lt;=計算!$P$4),"",VLOOKUP($B48,more1,6,0))</f>
        <v>696167</v>
      </c>
      <c r="M48" s="690">
        <f ca="1">IF(OR(OP!$D$53=1,B48="",AND($B48&gt;=計算!$P$4,$C48&lt;15),ISERROR(VLOOKUP($B48,MORE_PV,4,0))),"",VLOOKUP($B48,MORE_PV,4,0))</f>
        <v>0</v>
      </c>
      <c r="N48" s="692">
        <f ca="1">IF(OR(OP!$D$53=1,B48="",$C48&lt;15,ISERROR(VLOOKUP($B48,MORE_PV,5,0))),"",VLOOKUP($B48,MORE_PV,5,0))</f>
        <v>8012</v>
      </c>
      <c r="O48" s="692">
        <f ca="1">IF(OR(OP!$D$53=1,$B48="",ISERROR(VLOOKUP($B48-1,MORE_PV,9,0))),"",VLOOKUP($B48-1,MORE_PV,9,0))</f>
        <v>0</v>
      </c>
      <c r="P48" s="692">
        <f ca="1">IF(OR(OP!$D$53=1,$B48="",ISERROR($O48)),"",N($P47)+N($O48))</f>
        <v>0</v>
      </c>
      <c r="Q48" s="692">
        <f ca="1">IF(OR(OP!$D$53=1,B48=""),"",ROUND(VLOOKUP($B48,MORE_PV,8,0),0))</f>
        <v>51854</v>
      </c>
      <c r="R48" s="692">
        <f ca="1">IF(OR(OP!$D$53=1,B48=""),"",ROUND(VLOOKUP($B48,MORE_PV,7,0),0))</f>
        <v>51854</v>
      </c>
      <c r="S48" s="692">
        <f ca="1">IF(OR(OP!$D$53=1,B48=""),"",N($F48)+N(O48))</f>
        <v>0</v>
      </c>
      <c r="T48" s="692">
        <f ca="1">IF(OR(OP!$D$53=1,$B48=""),0,N(T47)+N($S48))</f>
        <v>0</v>
      </c>
      <c r="U48" s="690">
        <f ca="1">IF(OR(OP!$D$53=1,B48=""),"",N($H48)+IF(AND($B48&gt;計算!$P$4,計算!$G$6="現金給付"),N($K48),IF(AND($B48&gt;計算!$P$4,計算!$G$6="儲存生息"),N($L48),0))+N($Q48))</f>
        <v>2948535</v>
      </c>
      <c r="V48" s="690">
        <f ca="1">IF(OR(OP!$D$53=1,$B48=""),"",N($I48)+IF(AND($B48&gt;計算!$P$4,計算!$G$6="現金給付"),N($K48),IF(AND($B48&gt;計算!$P$4,計算!$G$6="儲存生息"),N($L48),0))+N(R48))</f>
        <v>2948535</v>
      </c>
      <c r="W48" s="422"/>
      <c r="X48" s="422"/>
      <c r="Y48" s="786">
        <f ca="1">IF(OR(OP!$D$53=1,$B48=""),"",((($H48+$Q48)-IF(AND(計算!$G$6=計算!$P$5,$B48=OP!$C$57),$K48,0))*IF(OR($C48&lt;16,Z48=0,Z48=""),1,PYO))+IF(AND($B48&gt;計算!$P$4,計算!$G$6="現金給付"),N($K48),IF(AND($B48&gt;計算!$P$4,計算!$G$6="儲存生息"),N($L48),0))+IF(AND(計算!$G$6=計算!$P$5,$B48=OP!$C$57),$K48,0))</f>
        <v>2498061.4000000004</v>
      </c>
      <c r="Z48" s="786">
        <f ca="1">IF(OR(OP!$D$53=1,$B48=""),"",(($H48+Q48)-IF(AND(計算!$G$6="購買增額繳清保險",$B48=OP!$C$57),$K48,0))*IF(OR($C48&lt;16,($H48+$Q48)*PY!$C$4&lt;PY!$D$5,($H48+$Q48)*PY!$C$4*PYR&lt;PY!$C$5),0,PYY)*PYR)</f>
        <v>27009.300958906631</v>
      </c>
    </row>
    <row r="49" spans="2:26" hidden="1">
      <c r="B49" s="693">
        <f t="shared" ca="1" si="1"/>
        <v>46</v>
      </c>
      <c r="C49" s="689">
        <f ca="1">IF(OR(OP!$D$53=1,MAX($C$4:C48)&gt;=110),"",C48+(B49-B48))</f>
        <v>78</v>
      </c>
      <c r="D49" s="690" t="str">
        <f ca="1">IF(OR(OP!$D$53=1,AND(B49&gt;OP!$C$24)),"",OP!$C$52-IF($C49&lt;16,$K48,0))</f>
        <v/>
      </c>
      <c r="E49" s="690">
        <f ca="1">IF(OR(OP!$D$53=1,B49=""),"",N(E48)+N(D49))</f>
        <v>1000998</v>
      </c>
      <c r="F49" s="690" t="str">
        <f ca="1">IF(OR(OP!$D$53=1,$B49="",ISERROR(VLOOKUP(OP!$C$55,SRV,$B49+1,0))),"",ROUND(VLOOKUP(OP!$C$55,SRV,$B49+1,0)*OP!$C$28,0))</f>
        <v/>
      </c>
      <c r="G49" s="690" t="str">
        <f ca="1">IF(OR(OP!$D$53=1,$B49="",ISERROR(VLOOKUP(OP!$C$55,SRV,$B49+1,0))),"",N(G48)+N(F49))</f>
        <v/>
      </c>
      <c r="H49" s="690">
        <f ca="1">IF(OR(OP!$D$53=1,B49=""),"",ROUND(VLOOKUP(OP!$C$55,DIE,$B49+1,0)*OP!$C$28,0))</f>
        <v>2244000</v>
      </c>
      <c r="I49" s="691">
        <f ca="1">IF(OR(OP!$D$53=1,B49=""),"",ROUND(VLOOKUP(OP!$C$55,CV,$B49+1,0)*OP!$C$28,0))</f>
        <v>2243354</v>
      </c>
      <c r="J49" s="691">
        <f ca="1">IF(OR(OP!$D$53=1,B49=""),"",VLOOKUP(OP!$C$55,PA,$B49+1,0)*OP!$C$28)</f>
        <v>0</v>
      </c>
      <c r="K49" s="690">
        <f ca="1">IF(OR(OP!$D$53=1,B49=""),"",VLOOKUP($B49,more1,7,0))</f>
        <v>15844</v>
      </c>
      <c r="L49" s="690">
        <f ca="1">IF(OR(OP!$D$53=1,B49="",$B49&lt;=計算!$P$4),"",VLOOKUP($B49,more1,6,0))</f>
        <v>730971</v>
      </c>
      <c r="M49" s="690">
        <f ca="1">IF(OR(OP!$D$53=1,B49="",AND($B49&gt;=計算!$P$4,$C49&lt;15),ISERROR(VLOOKUP($B49,MORE_PV,4,0))),"",VLOOKUP($B49,MORE_PV,4,0))</f>
        <v>0</v>
      </c>
      <c r="N49" s="692">
        <f ca="1">IF(OR(OP!$D$53=1,B49="",$C49&lt;15,ISERROR(VLOOKUP($B49,MORE_PV,5,0))),"",VLOOKUP($B49,MORE_PV,5,0))</f>
        <v>8012</v>
      </c>
      <c r="O49" s="692">
        <f ca="1">IF(OR(OP!$D$53=1,$B49="",ISERROR(VLOOKUP($B49-1,MORE_PV,9,0))),"",VLOOKUP($B49-1,MORE_PV,9,0))</f>
        <v>0</v>
      </c>
      <c r="P49" s="692">
        <f ca="1">IF(OR(OP!$D$53=1,$B49="",ISERROR($O49)),"",N($P48)+N($O49))</f>
        <v>0</v>
      </c>
      <c r="Q49" s="692">
        <f ca="1">IF(OR(OP!$D$53=1,B49=""),"",ROUND(VLOOKUP($B49,MORE_PV,8,0),0))</f>
        <v>52879</v>
      </c>
      <c r="R49" s="692">
        <f ca="1">IF(OR(OP!$D$53=1,B49=""),"",ROUND(VLOOKUP($B49,MORE_PV,7,0),0))</f>
        <v>52864</v>
      </c>
      <c r="S49" s="692">
        <f ca="1">IF(OR(OP!$D$53=1,B49=""),"",N($F49)+N(O49))</f>
        <v>0</v>
      </c>
      <c r="T49" s="692">
        <f ca="1">IF(OR(OP!$D$53=1,$B49=""),0,N(T48)+N($S49))</f>
        <v>0</v>
      </c>
      <c r="U49" s="690">
        <f ca="1">IF(OR(OP!$D$53=1,B49=""),"",N($H49)+IF(AND($B49&gt;計算!$P$4,計算!$G$6="現金給付"),N($K49),IF(AND($B49&gt;計算!$P$4,計算!$G$6="儲存生息"),N($L49),0))+N($Q49))</f>
        <v>3027850</v>
      </c>
      <c r="V49" s="690">
        <f ca="1">IF(OR(OP!$D$53=1,$B49=""),"",N($I49)+IF(AND($B49&gt;計算!$P$4,計算!$G$6="現金給付"),N($K49),IF(AND($B49&gt;計算!$P$4,計算!$G$6="儲存生息"),N($L49),0))+N(R49))</f>
        <v>3027189</v>
      </c>
      <c r="W49" s="422"/>
      <c r="X49" s="422"/>
      <c r="Y49" s="786">
        <f ca="1">IF(OR(OP!$D$53=1,$B49=""),"",((($H49+$Q49)-IF(AND(計算!$G$6=計算!$P$5,$B49=OP!$C$57),$K49,0))*IF(OR($C49&lt;16,Z49=0,Z49=""),1,PYO))+IF(AND($B49&gt;計算!$P$4,計算!$G$6="現金給付"),N($K49),IF(AND($B49&gt;計算!$P$4,計算!$G$6="儲存生息"),N($L49),0))+IF(AND(計算!$G$6=計算!$P$5,$B49=OP!$C$57),$K49,0))</f>
        <v>2568474.2000000002</v>
      </c>
      <c r="Z49" s="786">
        <f ca="1">IF(OR(OP!$D$53=1,$B49=""),"",(($H49+Q49)-IF(AND(計算!$G$6="購買增額繳清保險",$B49=OP!$C$57),$K49,0))*IF(OR($C49&lt;16,($H49+$Q49)*PY!$C$4&lt;PY!$D$5,($H49+$Q49)*PY!$C$4*PYR&lt;PY!$C$5),0,PYY)*PYR)</f>
        <v>27543.055209980121</v>
      </c>
    </row>
    <row r="50" spans="2:26" hidden="1">
      <c r="B50" s="693">
        <f t="shared" ca="1" si="1"/>
        <v>47</v>
      </c>
      <c r="C50" s="689">
        <f ca="1">IF(OR(OP!$D$53=1,MAX($C$4:C49)&gt;=110),"",C49+(B50-B49))</f>
        <v>79</v>
      </c>
      <c r="D50" s="690" t="str">
        <f ca="1">IF(OR(OP!$D$53=1,AND(B50&gt;OP!$C$24)),"",OP!$C$52-IF($C50&lt;16,$K49,0))</f>
        <v/>
      </c>
      <c r="E50" s="690">
        <f ca="1">IF(OR(OP!$D$53=1,B50=""),"",N(E49)+N(D50))</f>
        <v>1000998</v>
      </c>
      <c r="F50" s="690" t="str">
        <f ca="1">IF(OR(OP!$D$53=1,$B50="",ISERROR(VLOOKUP(OP!$C$55,SRV,$B50+1,0))),"",ROUND(VLOOKUP(OP!$C$55,SRV,$B50+1,0)*OP!$C$28,0))</f>
        <v/>
      </c>
      <c r="G50" s="690" t="str">
        <f ca="1">IF(OR(OP!$D$53=1,$B50="",ISERROR(VLOOKUP(OP!$C$55,SRV,$B50+1,0))),"",N(G49)+N(F50))</f>
        <v/>
      </c>
      <c r="H50" s="690">
        <f ca="1">IF(OR(OP!$D$53=1,B50=""),"",ROUND(VLOOKUP(OP!$C$55,DIE,$B50+1,0)*OP!$C$28,0))</f>
        <v>2291600</v>
      </c>
      <c r="I50" s="691">
        <f ca="1">IF(OR(OP!$D$53=1,B50=""),"",ROUND(VLOOKUP(OP!$C$55,CV,$B50+1,0)*OP!$C$28,0))</f>
        <v>2286704</v>
      </c>
      <c r="J50" s="691">
        <f ca="1">IF(OR(OP!$D$53=1,B50=""),"",VLOOKUP(OP!$C$55,PA,$B50+1,0)*OP!$C$28)</f>
        <v>0</v>
      </c>
      <c r="K50" s="690">
        <f ca="1">IF(OR(OP!$D$53=1,B50=""),"",VLOOKUP($B50,more1,7,0))</f>
        <v>16150</v>
      </c>
      <c r="L50" s="690">
        <f ca="1">IF(OR(OP!$D$53=1,B50="",$B50&lt;=計算!$P$4),"",VLOOKUP($B50,more1,6,0))</f>
        <v>767084</v>
      </c>
      <c r="M50" s="690">
        <f ca="1">IF(OR(OP!$D$53=1,B50="",AND($B50&gt;=計算!$P$4,$C50&lt;15),ISERROR(VLOOKUP($B50,MORE_PV,4,0))),"",VLOOKUP($B50,MORE_PV,4,0))</f>
        <v>0</v>
      </c>
      <c r="N50" s="692">
        <f ca="1">IF(OR(OP!$D$53=1,B50="",$C50&lt;15,ISERROR(VLOOKUP($B50,MORE_PV,5,0))),"",VLOOKUP($B50,MORE_PV,5,0))</f>
        <v>8012</v>
      </c>
      <c r="O50" s="692">
        <f ca="1">IF(OR(OP!$D$53=1,$B50="",ISERROR(VLOOKUP($B50-1,MORE_PV,9,0))),"",VLOOKUP($B50-1,MORE_PV,9,0))</f>
        <v>0</v>
      </c>
      <c r="P50" s="692">
        <f ca="1">IF(OR(OP!$D$53=1,$B50="",ISERROR($O50)),"",N($P49)+N($O50))</f>
        <v>0</v>
      </c>
      <c r="Q50" s="692">
        <f ca="1">IF(OR(OP!$D$53=1,B50=""),"",ROUND(VLOOKUP($B50,MORE_PV,8,0),0))</f>
        <v>54001</v>
      </c>
      <c r="R50" s="692">
        <f ca="1">IF(OR(OP!$D$53=1,B50=""),"",ROUND(VLOOKUP($B50,MORE_PV,7,0),0))</f>
        <v>53886</v>
      </c>
      <c r="S50" s="692">
        <f ca="1">IF(OR(OP!$D$53=1,B50=""),"",N($F50)+N(O50))</f>
        <v>0</v>
      </c>
      <c r="T50" s="692">
        <f ca="1">IF(OR(OP!$D$53=1,$B50=""),0,N(T49)+N($S50))</f>
        <v>0</v>
      </c>
      <c r="U50" s="690">
        <f ca="1">IF(OR(OP!$D$53=1,B50=""),"",N($H50)+IF(AND($B50&gt;計算!$P$4,計算!$G$6="現金給付"),N($K50),IF(AND($B50&gt;計算!$P$4,計算!$G$6="儲存生息"),N($L50),0))+N($Q50))</f>
        <v>3112685</v>
      </c>
      <c r="V50" s="690">
        <f ca="1">IF(OR(OP!$D$53=1,$B50=""),"",N($I50)+IF(AND($B50&gt;計算!$P$4,計算!$G$6="現金給付"),N($K50),IF(AND($B50&gt;計算!$P$4,計算!$G$6="儲存生息"),N($L50),0))+N(R50))</f>
        <v>3107674</v>
      </c>
      <c r="W50" s="422"/>
      <c r="X50" s="422"/>
      <c r="Y50" s="786">
        <f ca="1">IF(OR(OP!$D$53=1,$B50=""),"",((($H50+$Q50)-IF(AND(計算!$G$6=計算!$P$5,$B50=OP!$C$57),$K50,0))*IF(OR($C50&lt;16,Z50=0,Z50=""),1,PYO))+IF(AND($B50&gt;計算!$P$4,計算!$G$6="現金給付"),N($K50),IF(AND($B50&gt;計算!$P$4,計算!$G$6="儲存生息"),N($L50),0))+IF(AND(計算!$G$6=計算!$P$5,$B50=OP!$C$57),$K50,0))</f>
        <v>2643564.7999999998</v>
      </c>
      <c r="Z50" s="786">
        <f ca="1">IF(OR(OP!$D$53=1,$B50=""),"",(($H50+Q50)-IF(AND(計算!$G$6="購買增額繳清保險",$B50=OP!$C$57),$K50,0))*IF(OR($C50&lt;16,($H50+$Q50)*PY!$C$4&lt;PY!$D$5,($H50+$Q50)*PY!$C$4*PYR&lt;PY!$C$5),0,PYY)*PYR)</f>
        <v>28127.305723803725</v>
      </c>
    </row>
    <row r="51" spans="2:26" hidden="1">
      <c r="B51" s="693">
        <f t="shared" ca="1" si="1"/>
        <v>48</v>
      </c>
      <c r="C51" s="689">
        <f ca="1">IF(OR(OP!$D$53=1,MAX($C$4:C50)&gt;=110),"",C50+(B51-B50))</f>
        <v>80</v>
      </c>
      <c r="D51" s="690" t="str">
        <f ca="1">IF(OR(OP!$D$53=1,AND(B51&gt;OP!$C$24)),"",OP!$C$52-IF($C51&lt;16,$K50,0))</f>
        <v/>
      </c>
      <c r="E51" s="690">
        <f ca="1">IF(OR(OP!$D$53=1,B51=""),"",N(E50)+N(D51))</f>
        <v>1000998</v>
      </c>
      <c r="F51" s="690" t="str">
        <f ca="1">IF(OR(OP!$D$53=1,$B51="",ISERROR(VLOOKUP(OP!$C$55,SRV,$B51+1,0))),"",ROUND(VLOOKUP(OP!$C$55,SRV,$B51+1,0)*OP!$C$28,0))</f>
        <v/>
      </c>
      <c r="G51" s="690" t="str">
        <f ca="1">IF(OR(OP!$D$53=1,$B51="",ISERROR(VLOOKUP(OP!$C$55,SRV,$B51+1,0))),"",N(G50)+N(F51))</f>
        <v/>
      </c>
      <c r="H51" s="690">
        <f ca="1">IF(OR(OP!$D$53=1,B51=""),"",ROUND(VLOOKUP(OP!$C$55,DIE,$B51+1,0)*OP!$C$28,0))</f>
        <v>2339200</v>
      </c>
      <c r="I51" s="691">
        <f ca="1">IF(OR(OP!$D$53=1,B51=""),"",ROUND(VLOOKUP(OP!$C$55,CV,$B51+1,0)*OP!$C$28,0))</f>
        <v>2330530</v>
      </c>
      <c r="J51" s="691">
        <f ca="1">IF(OR(OP!$D$53=1,B51=""),"",VLOOKUP(OP!$C$55,PA,$B51+1,0)*OP!$C$28)</f>
        <v>0</v>
      </c>
      <c r="K51" s="690">
        <f ca="1">IF(OR(OP!$D$53=1,B51=""),"",VLOOKUP($B51,more1,7,0))</f>
        <v>16460</v>
      </c>
      <c r="L51" s="690">
        <f ca="1">IF(OR(OP!$D$53=1,B51="",$B51&lt;=計算!$P$4),"",VLOOKUP($B51,more1,6,0))</f>
        <v>804435</v>
      </c>
      <c r="M51" s="690">
        <f ca="1">IF(OR(OP!$D$53=1,B51="",AND($B51&gt;=計算!$P$4,$C51&lt;15),ISERROR(VLOOKUP($B51,MORE_PV,4,0))),"",VLOOKUP($B51,MORE_PV,4,0))</f>
        <v>0</v>
      </c>
      <c r="N51" s="692">
        <f ca="1">IF(OR(OP!$D$53=1,B51="",$C51&lt;15,ISERROR(VLOOKUP($B51,MORE_PV,5,0))),"",VLOOKUP($B51,MORE_PV,5,0))</f>
        <v>8012</v>
      </c>
      <c r="O51" s="692">
        <f ca="1">IF(OR(OP!$D$53=1,$B51="",ISERROR(VLOOKUP($B51-1,MORE_PV,9,0))),"",VLOOKUP($B51-1,MORE_PV,9,0))</f>
        <v>0</v>
      </c>
      <c r="P51" s="692">
        <f ca="1">IF(OR(OP!$D$53=1,$B51="",ISERROR($O51)),"",N($P50)+N($O51))</f>
        <v>0</v>
      </c>
      <c r="Q51" s="692">
        <f ca="1">IF(OR(OP!$D$53=1,B51=""),"",ROUND(VLOOKUP($B51,MORE_PV,8,0),0))</f>
        <v>55123</v>
      </c>
      <c r="R51" s="692">
        <f ca="1">IF(OR(OP!$D$53=1,B51=""),"",ROUND(VLOOKUP($B51,MORE_PV,7,0),0))</f>
        <v>54918</v>
      </c>
      <c r="S51" s="692">
        <f ca="1">IF(OR(OP!$D$53=1,B51=""),"",N($F51)+N(O51))</f>
        <v>0</v>
      </c>
      <c r="T51" s="692">
        <f ca="1">IF(OR(OP!$D$53=1,$B51=""),0,N(T50)+N($S51))</f>
        <v>0</v>
      </c>
      <c r="U51" s="690">
        <f ca="1">IF(OR(OP!$D$53=1,B51=""),"",N($H51)+IF(AND($B51&gt;計算!$P$4,計算!$G$6="現金給付"),N($K51),IF(AND($B51&gt;計算!$P$4,計算!$G$6="儲存生息"),N($L51),0))+N($Q51))</f>
        <v>3198758</v>
      </c>
      <c r="V51" s="690">
        <f ca="1">IF(OR(OP!$D$53=1,$B51=""),"",N($I51)+IF(AND($B51&gt;計算!$P$4,計算!$G$6="現金給付"),N($K51),IF(AND($B51&gt;計算!$P$4,計算!$G$6="儲存生息"),N($L51),0))+N(R51))</f>
        <v>3189883</v>
      </c>
      <c r="W51" s="422"/>
      <c r="X51" s="422"/>
      <c r="Y51" s="786">
        <f ca="1">IF(OR(OP!$D$53=1,$B51=""),"",((($H51+$Q51)-IF(AND(計算!$G$6=計算!$P$5,$B51=OP!$C$57),$K51,0))*IF(OR($C51&lt;16,Z51=0,Z51=""),1,PYO))+IF(AND($B51&gt;計算!$P$4,計算!$G$6="現金給付"),N($K51),IF(AND($B51&gt;計算!$P$4,計算!$G$6="儲存生息"),N($L51),0))+IF(AND(計算!$G$6=計算!$P$5,$B51=OP!$C$57),$K51,0))</f>
        <v>2719893.4000000004</v>
      </c>
      <c r="Z51" s="786">
        <f ca="1">IF(OR(OP!$D$53=1,$B51=""),"",(($H51+Q51)-IF(AND(計算!$G$6="購買增額繳清保險",$B51=OP!$C$57),$K51,0))*IF(OR($C51&lt;16,($H51+$Q51)*PY!$C$4&lt;PY!$D$5,($H51+$Q51)*PY!$C$4*PYR&lt;PY!$C$5),0,PYY)*PYR)</f>
        <v>28711.55623762733</v>
      </c>
    </row>
    <row r="52" spans="2:26" hidden="1">
      <c r="B52" s="693">
        <f t="shared" ca="1" si="1"/>
        <v>49</v>
      </c>
      <c r="C52" s="689">
        <f ca="1">IF(OR(OP!$D$53=1,MAX($C$4:C51)&gt;=110),"",C51+(B52-B51))</f>
        <v>81</v>
      </c>
      <c r="D52" s="690" t="str">
        <f ca="1">IF(OR(OP!$D$53=1,AND(B52&gt;OP!$C$24)),"",OP!$C$52-IF($C52&lt;16,$K51,0))</f>
        <v/>
      </c>
      <c r="E52" s="690">
        <f ca="1">IF(OR(OP!$D$53=1,B52=""),"",N(E51)+N(D52))</f>
        <v>1000998</v>
      </c>
      <c r="F52" s="690" t="str">
        <f ca="1">IF(OR(OP!$D$53=1,$B52="",ISERROR(VLOOKUP(OP!$C$55,SRV,$B52+1,0))),"",ROUND(VLOOKUP(OP!$C$55,SRV,$B52+1,0)*OP!$C$28,0))</f>
        <v/>
      </c>
      <c r="G52" s="690" t="str">
        <f ca="1">IF(OR(OP!$D$53=1,$B52="",ISERROR(VLOOKUP(OP!$C$55,SRV,$B52+1,0))),"",N(G51)+N(F52))</f>
        <v/>
      </c>
      <c r="H52" s="690">
        <f ca="1">IF(OR(OP!$D$53=1,B52=""),"",ROUND(VLOOKUP(OP!$C$55,DIE,$B52+1,0)*OP!$C$28,0))</f>
        <v>2386800</v>
      </c>
      <c r="I52" s="691">
        <f ca="1">IF(OR(OP!$D$53=1,B52=""),"",ROUND(VLOOKUP(OP!$C$55,CV,$B52+1,0)*OP!$C$28,0))</f>
        <v>2374798</v>
      </c>
      <c r="J52" s="691">
        <f ca="1">IF(OR(OP!$D$53=1,B52=""),"",VLOOKUP(OP!$C$55,PA,$B52+1,0)*OP!$C$28)</f>
        <v>0</v>
      </c>
      <c r="K52" s="690">
        <f ca="1">IF(OR(OP!$D$53=1,B52=""),"",VLOOKUP($B52,more1,7,0))</f>
        <v>16772</v>
      </c>
      <c r="L52" s="690">
        <f ca="1">IF(OR(OP!$D$53=1,B52="",$B52&lt;=計算!$P$4),"",VLOOKUP($B52,more1,6,0))</f>
        <v>843115</v>
      </c>
      <c r="M52" s="690">
        <f ca="1">IF(OR(OP!$D$53=1,B52="",AND($B52&gt;=計算!$P$4,$C52&lt;15),ISERROR(VLOOKUP($B52,MORE_PV,4,0))),"",VLOOKUP($B52,MORE_PV,4,0))</f>
        <v>0</v>
      </c>
      <c r="N52" s="692">
        <f ca="1">IF(OR(OP!$D$53=1,B52="",$C52&lt;15,ISERROR(VLOOKUP($B52,MORE_PV,5,0))),"",VLOOKUP($B52,MORE_PV,5,0))</f>
        <v>8012</v>
      </c>
      <c r="O52" s="692">
        <f ca="1">IF(OR(OP!$D$53=1,$B52="",ISERROR(VLOOKUP($B52-1,MORE_PV,9,0))),"",VLOOKUP($B52-1,MORE_PV,9,0))</f>
        <v>0</v>
      </c>
      <c r="P52" s="692">
        <f ca="1">IF(OR(OP!$D$53=1,$B52="",ISERROR($O52)),"",N($P51)+N($O52))</f>
        <v>0</v>
      </c>
      <c r="Q52" s="692">
        <f ca="1">IF(OR(OP!$D$53=1,B52=""),"",ROUND(VLOOKUP($B52,MORE_PV,8,0),0))</f>
        <v>56244</v>
      </c>
      <c r="R52" s="692">
        <f ca="1">IF(OR(OP!$D$53=1,B52=""),"",ROUND(VLOOKUP($B52,MORE_PV,7,0),0))</f>
        <v>55961</v>
      </c>
      <c r="S52" s="692">
        <f ca="1">IF(OR(OP!$D$53=1,B52=""),"",N($F52)+N(O52))</f>
        <v>0</v>
      </c>
      <c r="T52" s="692">
        <f ca="1">IF(OR(OP!$D$53=1,$B52=""),0,N(T51)+N($S52))</f>
        <v>0</v>
      </c>
      <c r="U52" s="690">
        <f ca="1">IF(OR(OP!$D$53=1,B52=""),"",N($H52)+IF(AND($B52&gt;計算!$P$4,計算!$G$6="現金給付"),N($K52),IF(AND($B52&gt;計算!$P$4,計算!$G$6="儲存生息"),N($L52),0))+N($Q52))</f>
        <v>3286159</v>
      </c>
      <c r="V52" s="690">
        <f ca="1">IF(OR(OP!$D$53=1,$B52=""),"",N($I52)+IF(AND($B52&gt;計算!$P$4,計算!$G$6="現金給付"),N($K52),IF(AND($B52&gt;計算!$P$4,計算!$G$6="儲存生息"),N($L52),0))+N(R52))</f>
        <v>3273874</v>
      </c>
      <c r="W52" s="422"/>
      <c r="X52" s="422"/>
      <c r="Y52" s="786">
        <f ca="1">IF(OR(OP!$D$53=1,$B52=""),"",((($H52+$Q52)-IF(AND(計算!$G$6=計算!$P$5,$B52=OP!$C$57),$K52,0))*IF(OR($C52&lt;16,Z52=0,Z52=""),1,PYO))+IF(AND($B52&gt;計算!$P$4,計算!$G$6="現金給付"),N($K52),IF(AND($B52&gt;計算!$P$4,計算!$G$6="儲存生息"),N($L52),0))+IF(AND(計算!$G$6=計算!$P$5,$B52=OP!$C$57),$K52,0))</f>
        <v>2797550.2</v>
      </c>
      <c r="Z52" s="786">
        <f ca="1">IF(OR(OP!$D$53=1,$B52=""),"",(($H52+Q52)-IF(AND(計算!$G$6="購買增額繳清保險",$B52=OP!$C$57),$K52,0))*IF(OR($C52&lt;16,($H52+$Q52)*PY!$C$4&lt;PY!$D$5,($H52+$Q52)*PY!$C$4*PYR&lt;PY!$C$5),0,PYY)*PYR)</f>
        <v>29295.79475993758</v>
      </c>
    </row>
    <row r="53" spans="2:26" hidden="1">
      <c r="B53" s="693">
        <f t="shared" ca="1" si="1"/>
        <v>50</v>
      </c>
      <c r="C53" s="689">
        <f ca="1">IF(OR(OP!$D$53=1,MAX($C$4:C52)&gt;=110),"",C52+(B53-B52))</f>
        <v>82</v>
      </c>
      <c r="D53" s="690" t="str">
        <f ca="1">IF(OR(OP!$D$53=1,AND(B53&gt;OP!$C$24)),"",OP!$C$52-IF($C53&lt;16,$K52,0))</f>
        <v/>
      </c>
      <c r="E53" s="690">
        <f ca="1">IF(OR(OP!$D$53=1,B53=""),"",N(E52)+N(D53))</f>
        <v>1000998</v>
      </c>
      <c r="F53" s="690" t="str">
        <f ca="1">IF(OR(OP!$D$53=1,$B53="",ISERROR(VLOOKUP(OP!$C$55,SRV,$B53+1,0))),"",ROUND(VLOOKUP(OP!$C$55,SRV,$B53+1,0)*OP!$C$28,0))</f>
        <v/>
      </c>
      <c r="G53" s="690" t="str">
        <f ca="1">IF(OR(OP!$D$53=1,$B53="",ISERROR(VLOOKUP(OP!$C$55,SRV,$B53+1,0))),"",N(G52)+N(F53))</f>
        <v/>
      </c>
      <c r="H53" s="690">
        <f ca="1">IF(OR(OP!$D$53=1,B53=""),"",ROUND(VLOOKUP(OP!$C$55,DIE,$B53+1,0)*OP!$C$28,0))</f>
        <v>2434400</v>
      </c>
      <c r="I53" s="691">
        <f ca="1">IF(OR(OP!$D$53=1,B53=""),"",ROUND(VLOOKUP(OP!$C$55,CV,$B53+1,0)*OP!$C$28,0))</f>
        <v>2419508</v>
      </c>
      <c r="J53" s="691">
        <f ca="1">IF(OR(OP!$D$53=1,B53=""),"",VLOOKUP(OP!$C$55,PA,$B53+1,0)*OP!$C$28)</f>
        <v>0</v>
      </c>
      <c r="K53" s="690">
        <f ca="1">IF(OR(OP!$D$53=1,B53=""),"",VLOOKUP($B53,more1,7,0))</f>
        <v>17088</v>
      </c>
      <c r="L53" s="690">
        <f ca="1">IF(OR(OP!$D$53=1,B53="",$B53&lt;=計算!$P$4),"",VLOOKUP($B53,more1,6,0))</f>
        <v>883165</v>
      </c>
      <c r="M53" s="690">
        <f ca="1">IF(OR(OP!$D$53=1,B53="",AND($B53&gt;=計算!$P$4,$C53&lt;15),ISERROR(VLOOKUP($B53,MORE_PV,4,0))),"",VLOOKUP($B53,MORE_PV,4,0))</f>
        <v>0</v>
      </c>
      <c r="N53" s="692">
        <f ca="1">IF(OR(OP!$D$53=1,B53="",$C53&lt;15,ISERROR(VLOOKUP($B53,MORE_PV,5,0))),"",VLOOKUP($B53,MORE_PV,5,0))</f>
        <v>8012</v>
      </c>
      <c r="O53" s="692">
        <f ca="1">IF(OR(OP!$D$53=1,$B53="",ISERROR(VLOOKUP($B53-1,MORE_PV,9,0))),"",VLOOKUP($B53-1,MORE_PV,9,0))</f>
        <v>0</v>
      </c>
      <c r="P53" s="692">
        <f ca="1">IF(OR(OP!$D$53=1,$B53="",ISERROR($O53)),"",N($P52)+N($O53))</f>
        <v>0</v>
      </c>
      <c r="Q53" s="692">
        <f ca="1">IF(OR(OP!$D$53=1,B53=""),"",ROUND(VLOOKUP($B53,MORE_PV,8,0),0))</f>
        <v>57366</v>
      </c>
      <c r="R53" s="692">
        <f ca="1">IF(OR(OP!$D$53=1,B53=""),"",ROUND(VLOOKUP($B53,MORE_PV,7,0),0))</f>
        <v>57015</v>
      </c>
      <c r="S53" s="692">
        <f ca="1">IF(OR(OP!$D$53=1,B53=""),"",N($F53)+N(O53))</f>
        <v>0</v>
      </c>
      <c r="T53" s="692">
        <f ca="1">IF(OR(OP!$D$53=1,$B53=""),0,N(T52)+N($S53))</f>
        <v>0</v>
      </c>
      <c r="U53" s="690">
        <f ca="1">IF(OR(OP!$D$53=1,B53=""),"",N($H53)+IF(AND($B53&gt;計算!$P$4,計算!$G$6="現金給付"),N($K53),IF(AND($B53&gt;計算!$P$4,計算!$G$6="儲存生息"),N($L53),0))+N($Q53))</f>
        <v>3374931</v>
      </c>
      <c r="V53" s="690">
        <f ca="1">IF(OR(OP!$D$53=1,$B53=""),"",N($I53)+IF(AND($B53&gt;計算!$P$4,計算!$G$6="現金給付"),N($K53),IF(AND($B53&gt;計算!$P$4,計算!$G$6="儲存生息"),N($L53),0))+N(R53))</f>
        <v>3359688</v>
      </c>
      <c r="W53" s="422"/>
      <c r="X53" s="422"/>
      <c r="Y53" s="786">
        <f ca="1">IF(OR(OP!$D$53=1,$B53=""),"",((($H53+$Q53)-IF(AND(計算!$G$6=計算!$P$5,$B53=OP!$C$57),$K53,0))*IF(OR($C53&lt;16,Z53=0,Z53=""),1,PYO))+IF(AND($B53&gt;計算!$P$4,計算!$G$6="現金給付"),N($K53),IF(AND($B53&gt;計算!$P$4,計算!$G$6="儲存生息"),N($L53),0))+IF(AND(計算!$G$6=計算!$P$5,$B53=OP!$C$57),$K53,0))</f>
        <v>2876577.8</v>
      </c>
      <c r="Z53" s="786">
        <f ca="1">IF(OR(OP!$D$53=1,$B53=""),"",(($H53+Q53)-IF(AND(計算!$G$6="購買增額繳清保險",$B53=OP!$C$57),$K53,0))*IF(OR($C53&lt;16,($H53+$Q53)*PY!$C$4&lt;PY!$D$5,($H53+$Q53)*PY!$C$4*PYR&lt;PY!$C$5),0,PYY)*PYR)</f>
        <v>29880.045273761185</v>
      </c>
    </row>
    <row r="54" spans="2:26" hidden="1">
      <c r="B54" s="693">
        <f t="shared" ca="1" si="1"/>
        <v>51</v>
      </c>
      <c r="C54" s="689">
        <f ca="1">IF(OR(OP!$D$53=1,MAX($C$4:C53)&gt;=110),"",C53+(B54-B53))</f>
        <v>83</v>
      </c>
      <c r="D54" s="690" t="str">
        <f ca="1">IF(OR(OP!$D$53=1,AND(B54&gt;OP!$C$24)),"",OP!$C$52-IF($C54&lt;16,$K53,0))</f>
        <v/>
      </c>
      <c r="E54" s="690">
        <f ca="1">IF(OR(OP!$D$53=1,B54=""),"",N(E53)+N(D54))</f>
        <v>1000998</v>
      </c>
      <c r="F54" s="690" t="str">
        <f ca="1">IF(OR(OP!$D$53=1,$B54="",ISERROR(VLOOKUP(OP!$C$55,SRV,$B54+1,0))),"",ROUND(VLOOKUP(OP!$C$55,SRV,$B54+1,0)*OP!$C$28,0))</f>
        <v/>
      </c>
      <c r="G54" s="690" t="str">
        <f ca="1">IF(OR(OP!$D$53=1,$B54="",ISERROR(VLOOKUP(OP!$C$55,SRV,$B54+1,0))),"",N(G53)+N(F54))</f>
        <v/>
      </c>
      <c r="H54" s="690">
        <f ca="1">IF(OR(OP!$D$53=1,B54=""),"",ROUND(VLOOKUP(OP!$C$55,DIE,$B54+1,0)*OP!$C$28,0))</f>
        <v>2482000</v>
      </c>
      <c r="I54" s="691">
        <f ca="1">IF(OR(OP!$D$53=1,B54=""),"",ROUND(VLOOKUP(OP!$C$55,CV,$B54+1,0)*OP!$C$28,0))</f>
        <v>2464660</v>
      </c>
      <c r="J54" s="691">
        <f ca="1">IF(OR(OP!$D$53=1,B54=""),"",VLOOKUP(OP!$C$55,PA,$B54+1,0)*OP!$C$28)</f>
        <v>0</v>
      </c>
      <c r="K54" s="690">
        <f ca="1">IF(OR(OP!$D$53=1,B54=""),"",VLOOKUP($B54,more1,7,0))</f>
        <v>17407</v>
      </c>
      <c r="L54" s="690">
        <f ca="1">IF(OR(OP!$D$53=1,B54="",$B54&lt;=計算!$P$4),"",VLOOKUP($B54,more1,6,0))</f>
        <v>924691</v>
      </c>
      <c r="M54" s="690">
        <f ca="1">IF(OR(OP!$D$53=1,B54="",AND($B54&gt;=計算!$P$4,$C54&lt;15),ISERROR(VLOOKUP($B54,MORE_PV,4,0))),"",VLOOKUP($B54,MORE_PV,4,0))</f>
        <v>0</v>
      </c>
      <c r="N54" s="692">
        <f ca="1">IF(OR(OP!$D$53=1,B54="",$C54&lt;15,ISERROR(VLOOKUP($B54,MORE_PV,5,0))),"",VLOOKUP($B54,MORE_PV,5,0))</f>
        <v>8012</v>
      </c>
      <c r="O54" s="692">
        <f ca="1">IF(OR(OP!$D$53=1,$B54="",ISERROR(VLOOKUP($B54-1,MORE_PV,9,0))),"",VLOOKUP($B54-1,MORE_PV,9,0))</f>
        <v>0</v>
      </c>
      <c r="P54" s="692">
        <f ca="1">IF(OR(OP!$D$53=1,$B54="",ISERROR($O54)),"",N($P53)+N($O54))</f>
        <v>0</v>
      </c>
      <c r="Q54" s="692">
        <f ca="1">IF(OR(OP!$D$53=1,B54=""),"",ROUND(VLOOKUP($B54,MORE_PV,8,0),0))</f>
        <v>58488</v>
      </c>
      <c r="R54" s="692">
        <f ca="1">IF(OR(OP!$D$53=1,B54=""),"",ROUND(VLOOKUP($B54,MORE_PV,7,0),0))</f>
        <v>58079</v>
      </c>
      <c r="S54" s="692">
        <f ca="1">IF(OR(OP!$D$53=1,B54=""),"",N($F54)+N(O54))</f>
        <v>0</v>
      </c>
      <c r="T54" s="692">
        <f ca="1">IF(OR(OP!$D$53=1,$B54=""),0,N(T53)+N($S54))</f>
        <v>0</v>
      </c>
      <c r="U54" s="690">
        <f ca="1">IF(OR(OP!$D$53=1,B54=""),"",N($H54)+IF(AND($B54&gt;計算!$P$4,計算!$G$6="現金給付"),N($K54),IF(AND($B54&gt;計算!$P$4,計算!$G$6="儲存生息"),N($L54),0))+N($Q54))</f>
        <v>3465179</v>
      </c>
      <c r="V54" s="690">
        <f ca="1">IF(OR(OP!$D$53=1,$B54=""),"",N($I54)+IF(AND($B54&gt;計算!$P$4,計算!$G$6="現金給付"),N($K54),IF(AND($B54&gt;計算!$P$4,計算!$G$6="儲存生息"),N($L54),0))+N(R54))</f>
        <v>3447430</v>
      </c>
      <c r="W54" s="422"/>
      <c r="X54" s="422"/>
      <c r="Y54" s="786">
        <f ca="1">IF(OR(OP!$D$53=1,$B54=""),"",((($H54+$Q54)-IF(AND(計算!$G$6=計算!$P$5,$B54=OP!$C$57),$K54,0))*IF(OR($C54&lt;16,Z54=0,Z54=""),1,PYO))+IF(AND($B54&gt;計算!$P$4,計算!$G$6="現金給付"),N($K54),IF(AND($B54&gt;計算!$P$4,計算!$G$6="儲存生息"),N($L54),0))+IF(AND(計算!$G$6=計算!$P$5,$B54=OP!$C$57),$K54,0))</f>
        <v>2957081.4000000004</v>
      </c>
      <c r="Z54" s="786">
        <f ca="1">IF(OR(OP!$D$53=1,$B54=""),"",(($H54+Q54)-IF(AND(計算!$G$6="購買增額繳清保險",$B54=OP!$C$57),$K54,0))*IF(OR($C54&lt;16,($H54+$Q54)*PY!$C$4&lt;PY!$D$5,($H54+$Q54)*PY!$C$4*PYR&lt;PY!$C$5),0,PYY)*PYR)</f>
        <v>30464.295787584793</v>
      </c>
    </row>
    <row r="55" spans="2:26" hidden="1">
      <c r="B55" s="693">
        <f t="shared" ca="1" si="1"/>
        <v>52</v>
      </c>
      <c r="C55" s="689">
        <f ca="1">IF(OR(OP!$D$53=1,MAX($C$4:C54)&gt;=110),"",C54+(B55-B54))</f>
        <v>84</v>
      </c>
      <c r="D55" s="690" t="str">
        <f ca="1">IF(OR(OP!$D$53=1,AND(B55&gt;OP!$C$24)),"",OP!$C$52-IF($C55&lt;16,$K54,0))</f>
        <v/>
      </c>
      <c r="E55" s="690">
        <f ca="1">IF(OR(OP!$D$53=1,B55=""),"",N(E54)+N(D55))</f>
        <v>1000998</v>
      </c>
      <c r="F55" s="690" t="str">
        <f ca="1">IF(OR(OP!$D$53=1,$B55="",ISERROR(VLOOKUP(OP!$C$55,SRV,$B55+1,0))),"",ROUND(VLOOKUP(OP!$C$55,SRV,$B55+1,0)*OP!$C$28,0))</f>
        <v/>
      </c>
      <c r="G55" s="690" t="str">
        <f ca="1">IF(OR(OP!$D$53=1,$B55="",ISERROR(VLOOKUP(OP!$C$55,SRV,$B55+1,0))),"",N(G54)+N(F55))</f>
        <v/>
      </c>
      <c r="H55" s="690">
        <f ca="1">IF(OR(OP!$D$53=1,B55=""),"",ROUND(VLOOKUP(OP!$C$55,DIE,$B55+1,0)*OP!$C$28,0))</f>
        <v>2529600</v>
      </c>
      <c r="I55" s="691">
        <f ca="1">IF(OR(OP!$D$53=1,B55=""),"",ROUND(VLOOKUP(OP!$C$55,CV,$B55+1,0)*OP!$C$28,0))</f>
        <v>2510220</v>
      </c>
      <c r="J55" s="691">
        <f ca="1">IF(OR(OP!$D$53=1,B55=""),"",VLOOKUP(OP!$C$55,PA,$B55+1,0)*OP!$C$28)</f>
        <v>0</v>
      </c>
      <c r="K55" s="690">
        <f ca="1">IF(OR(OP!$D$53=1,B55=""),"",VLOOKUP($B55,more1,7,0))</f>
        <v>17729</v>
      </c>
      <c r="L55" s="690">
        <f ca="1">IF(OR(OP!$D$53=1,B55="",$B55&lt;=計算!$P$4),"",VLOOKUP($B55,more1,6,0))</f>
        <v>967603</v>
      </c>
      <c r="M55" s="690">
        <f ca="1">IF(OR(OP!$D$53=1,B55="",AND($B55&gt;=計算!$P$4,$C55&lt;15),ISERROR(VLOOKUP($B55,MORE_PV,4,0))),"",VLOOKUP($B55,MORE_PV,4,0))</f>
        <v>0</v>
      </c>
      <c r="N55" s="692">
        <f ca="1">IF(OR(OP!$D$53=1,B55="",$C55&lt;15,ISERROR(VLOOKUP($B55,MORE_PV,5,0))),"",VLOOKUP($B55,MORE_PV,5,0))</f>
        <v>8012</v>
      </c>
      <c r="O55" s="692">
        <f ca="1">IF(OR(OP!$D$53=1,$B55="",ISERROR(VLOOKUP($B55-1,MORE_PV,9,0))),"",VLOOKUP($B55-1,MORE_PV,9,0))</f>
        <v>0</v>
      </c>
      <c r="P55" s="692">
        <f ca="1">IF(OR(OP!$D$53=1,$B55="",ISERROR($O55)),"",N($P54)+N($O55))</f>
        <v>0</v>
      </c>
      <c r="Q55" s="692">
        <f ca="1">IF(OR(OP!$D$53=1,B55=""),"",ROUND(VLOOKUP($B55,MORE_PV,8,0),0))</f>
        <v>59609</v>
      </c>
      <c r="R55" s="692">
        <f ca="1">IF(OR(OP!$D$53=1,B55=""),"",ROUND(VLOOKUP($B55,MORE_PV,7,0),0))</f>
        <v>59153</v>
      </c>
      <c r="S55" s="692">
        <f ca="1">IF(OR(OP!$D$53=1,B55=""),"",N($F55)+N(O55))</f>
        <v>0</v>
      </c>
      <c r="T55" s="692">
        <f ca="1">IF(OR(OP!$D$53=1,$B55=""),0,N(T54)+N($S55))</f>
        <v>0</v>
      </c>
      <c r="U55" s="690">
        <f ca="1">IF(OR(OP!$D$53=1,B55=""),"",N($H55)+IF(AND($B55&gt;計算!$P$4,計算!$G$6="現金給付"),N($K55),IF(AND($B55&gt;計算!$P$4,計算!$G$6="儲存生息"),N($L55),0))+N($Q55))</f>
        <v>3556812</v>
      </c>
      <c r="V55" s="690">
        <f ca="1">IF(OR(OP!$D$53=1,$B55=""),"",N($I55)+IF(AND($B55&gt;計算!$P$4,計算!$G$6="現金給付"),N($K55),IF(AND($B55&gt;計算!$P$4,計算!$G$6="儲存生息"),N($L55),0))+N(R55))</f>
        <v>3536976</v>
      </c>
      <c r="W55" s="422"/>
      <c r="X55" s="422"/>
      <c r="Y55" s="786">
        <f ca="1">IF(OR(OP!$D$53=1,$B55=""),"",((($H55+$Q55)-IF(AND(計算!$G$6=計算!$P$5,$B55=OP!$C$57),$K55,0))*IF(OR($C55&lt;16,Z55=0,Z55=""),1,PYO))+IF(AND($B55&gt;計算!$P$4,計算!$G$6="現金給付"),N($K55),IF(AND($B55&gt;計算!$P$4,計算!$G$6="儲存生息"),N($L55),0))+IF(AND(計算!$G$6=計算!$P$5,$B55=OP!$C$57),$K55,0))</f>
        <v>3038970.2</v>
      </c>
      <c r="Z55" s="786">
        <f ca="1">IF(OR(OP!$D$53=1,$B55=""),"",(($H55+Q55)-IF(AND(計算!$G$6="購買增額繳清保險",$B55=OP!$C$57),$K55,0))*IF(OR($C55&lt;16,($H55+$Q55)*PY!$C$4&lt;PY!$D$5,($H55+$Q55)*PY!$C$4*PYR&lt;PY!$C$5),0,PYY)*PYR)</f>
        <v>31048.534309895043</v>
      </c>
    </row>
    <row r="56" spans="2:26" hidden="1">
      <c r="B56" s="693">
        <f t="shared" ca="1" si="1"/>
        <v>53</v>
      </c>
      <c r="C56" s="689">
        <f ca="1">IF(OR(OP!$D$53=1,MAX($C$4:C55)&gt;=110),"",C55+(B56-B55))</f>
        <v>85</v>
      </c>
      <c r="D56" s="690" t="str">
        <f ca="1">IF(OR(OP!$D$53=1,AND(B56&gt;OP!$C$24)),"",OP!$C$52-IF($C56&lt;16,$K55,0))</f>
        <v/>
      </c>
      <c r="E56" s="690">
        <f ca="1">IF(OR(OP!$D$53=1,B56=""),"",N(E55)+N(D56))</f>
        <v>1000998</v>
      </c>
      <c r="F56" s="690" t="str">
        <f ca="1">IF(OR(OP!$D$53=1,$B56="",ISERROR(VLOOKUP(OP!$C$55,SRV,$B56+1,0))),"",ROUND(VLOOKUP(OP!$C$55,SRV,$B56+1,0)*OP!$C$28,0))</f>
        <v/>
      </c>
      <c r="G56" s="690" t="str">
        <f ca="1">IF(OR(OP!$D$53=1,$B56="",ISERROR(VLOOKUP(OP!$C$55,SRV,$B56+1,0))),"",N(G55)+N(F56))</f>
        <v/>
      </c>
      <c r="H56" s="690">
        <f ca="1">IF(OR(OP!$D$53=1,B56=""),"",ROUND(VLOOKUP(OP!$C$55,DIE,$B56+1,0)*OP!$C$28,0))</f>
        <v>2577200</v>
      </c>
      <c r="I56" s="691">
        <f ca="1">IF(OR(OP!$D$53=1,B56=""),"",ROUND(VLOOKUP(OP!$C$55,CV,$B56+1,0)*OP!$C$28,0))</f>
        <v>2556188</v>
      </c>
      <c r="J56" s="691">
        <f ca="1">IF(OR(OP!$D$53=1,B56=""),"",VLOOKUP(OP!$C$55,PA,$B56+1,0)*OP!$C$28)</f>
        <v>0</v>
      </c>
      <c r="K56" s="690">
        <f ca="1">IF(OR(OP!$D$53=1,B56=""),"",VLOOKUP($B56,more1,7,0))</f>
        <v>18054</v>
      </c>
      <c r="L56" s="690">
        <f ca="1">IF(OR(OP!$D$53=1,B56="",$B56&lt;=計算!$P$4),"",VLOOKUP($B56,more1,6,0))</f>
        <v>1012009</v>
      </c>
      <c r="M56" s="690">
        <f ca="1">IF(OR(OP!$D$53=1,B56="",AND($B56&gt;=計算!$P$4,$C56&lt;15),ISERROR(VLOOKUP($B56,MORE_PV,4,0))),"",VLOOKUP($B56,MORE_PV,4,0))</f>
        <v>0</v>
      </c>
      <c r="N56" s="692">
        <f ca="1">IF(OR(OP!$D$53=1,B56="",$C56&lt;15,ISERROR(VLOOKUP($B56,MORE_PV,5,0))),"",VLOOKUP($B56,MORE_PV,5,0))</f>
        <v>8012</v>
      </c>
      <c r="O56" s="692">
        <f ca="1">IF(OR(OP!$D$53=1,$B56="",ISERROR(VLOOKUP($B56-1,MORE_PV,9,0))),"",VLOOKUP($B56-1,MORE_PV,9,0))</f>
        <v>0</v>
      </c>
      <c r="P56" s="692">
        <f ca="1">IF(OR(OP!$D$53=1,$B56="",ISERROR($O56)),"",N($P55)+N($O56))</f>
        <v>0</v>
      </c>
      <c r="Q56" s="692">
        <f ca="1">IF(OR(OP!$D$53=1,B56=""),"",ROUND(VLOOKUP($B56,MORE_PV,8,0),0))</f>
        <v>60731</v>
      </c>
      <c r="R56" s="692">
        <f ca="1">IF(OR(OP!$D$53=1,B56=""),"",ROUND(VLOOKUP($B56,MORE_PV,7,0),0))</f>
        <v>60236</v>
      </c>
      <c r="S56" s="692">
        <f ca="1">IF(OR(OP!$D$53=1,B56=""),"",N($F56)+N(O56))</f>
        <v>0</v>
      </c>
      <c r="T56" s="692">
        <f ca="1">IF(OR(OP!$D$53=1,$B56=""),0,N(T55)+N($S56))</f>
        <v>0</v>
      </c>
      <c r="U56" s="690">
        <f ca="1">IF(OR(OP!$D$53=1,B56=""),"",N($H56)+IF(AND($B56&gt;計算!$P$4,計算!$G$6="現金給付"),N($K56),IF(AND($B56&gt;計算!$P$4,計算!$G$6="儲存生息"),N($L56),0))+N($Q56))</f>
        <v>3649940</v>
      </c>
      <c r="V56" s="690">
        <f ca="1">IF(OR(OP!$D$53=1,$B56=""),"",N($I56)+IF(AND($B56&gt;計算!$P$4,計算!$G$6="現金給付"),N($K56),IF(AND($B56&gt;計算!$P$4,計算!$G$6="儲存生息"),N($L56),0))+N(R56))</f>
        <v>3628433</v>
      </c>
      <c r="W56" s="422"/>
      <c r="X56" s="422"/>
      <c r="Y56" s="786">
        <f ca="1">IF(OR(OP!$D$53=1,$B56=""),"",((($H56+$Q56)-IF(AND(計算!$G$6=計算!$P$5,$B56=OP!$C$57),$K56,0))*IF(OR($C56&lt;16,Z56=0,Z56=""),1,PYO))+IF(AND($B56&gt;計算!$P$4,計算!$G$6="現金給付"),N($K56),IF(AND($B56&gt;計算!$P$4,計算!$G$6="儲存生息"),N($L56),0))+IF(AND(計算!$G$6=計算!$P$5,$B56=OP!$C$57),$K56,0))</f>
        <v>3122353.8000000003</v>
      </c>
      <c r="Z56" s="786">
        <f ca="1">IF(OR(OP!$D$53=1,$B56=""),"",(($H56+Q56)-IF(AND(計算!$G$6="購買增額繳清保險",$B56=OP!$C$57),$K56,0))*IF(OR($C56&lt;16,($H56+$Q56)*PY!$C$4&lt;PY!$D$5,($H56+$Q56)*PY!$C$4*PYR&lt;PY!$C$5),0,PYY)*PYR)</f>
        <v>31632.784823718652</v>
      </c>
    </row>
    <row r="57" spans="2:26" hidden="1">
      <c r="B57" s="693">
        <f t="shared" ca="1" si="1"/>
        <v>54</v>
      </c>
      <c r="C57" s="689">
        <f ca="1">IF(OR(OP!$D$53=1,MAX($C$4:C56)&gt;=110),"",C56+(B57-B56))</f>
        <v>86</v>
      </c>
      <c r="D57" s="690" t="str">
        <f ca="1">IF(OR(OP!$D$53=1,AND(B57&gt;OP!$C$24)),"",OP!$C$52-IF($C57&lt;16,$K56,0))</f>
        <v/>
      </c>
      <c r="E57" s="690">
        <f ca="1">IF(OR(OP!$D$53=1,B57=""),"",N(E56)+N(D57))</f>
        <v>1000998</v>
      </c>
      <c r="F57" s="690" t="str">
        <f ca="1">IF(OR(OP!$D$53=1,$B57="",ISERROR(VLOOKUP(OP!$C$55,SRV,$B57+1,0))),"",ROUND(VLOOKUP(OP!$C$55,SRV,$B57+1,0)*OP!$C$28,0))</f>
        <v/>
      </c>
      <c r="G57" s="690" t="str">
        <f ca="1">IF(OR(OP!$D$53=1,$B57="",ISERROR(VLOOKUP(OP!$C$55,SRV,$B57+1,0))),"",N(G56)+N(F57))</f>
        <v/>
      </c>
      <c r="H57" s="690">
        <f ca="1">IF(OR(OP!$D$53=1,B57=""),"",ROUND(VLOOKUP(OP!$C$55,DIE,$B57+1,0)*OP!$C$28,0))</f>
        <v>2624800</v>
      </c>
      <c r="I57" s="691">
        <f ca="1">IF(OR(OP!$D$53=1,B57=""),"",ROUND(VLOOKUP(OP!$C$55,CV,$B57+1,0)*OP!$C$28,0))</f>
        <v>2602530</v>
      </c>
      <c r="J57" s="691">
        <f ca="1">IF(OR(OP!$D$53=1,B57=""),"",VLOOKUP(OP!$C$55,PA,$B57+1,0)*OP!$C$28)</f>
        <v>0</v>
      </c>
      <c r="K57" s="690">
        <f ca="1">IF(OR(OP!$D$53=1,B57=""),"",VLOOKUP($B57,more1,7,0))</f>
        <v>18380</v>
      </c>
      <c r="L57" s="690">
        <f ca="1">IF(OR(OP!$D$53=1,B57="",$B57&lt;=計算!$P$4),"",VLOOKUP($B57,more1,6,0))</f>
        <v>1057950</v>
      </c>
      <c r="M57" s="690">
        <f ca="1">IF(OR(OP!$D$53=1,B57="",AND($B57&gt;=計算!$P$4,$C57&lt;15),ISERROR(VLOOKUP($B57,MORE_PV,4,0))),"",VLOOKUP($B57,MORE_PV,4,0))</f>
        <v>0</v>
      </c>
      <c r="N57" s="692">
        <f ca="1">IF(OR(OP!$D$53=1,B57="",$C57&lt;15,ISERROR(VLOOKUP($B57,MORE_PV,5,0))),"",VLOOKUP($B57,MORE_PV,5,0))</f>
        <v>8012</v>
      </c>
      <c r="O57" s="692">
        <f ca="1">IF(OR(OP!$D$53=1,$B57="",ISERROR(VLOOKUP($B57-1,MORE_PV,9,0))),"",VLOOKUP($B57-1,MORE_PV,9,0))</f>
        <v>0</v>
      </c>
      <c r="P57" s="692">
        <f ca="1">IF(OR(OP!$D$53=1,$B57="",ISERROR($O57)),"",N($P56)+N($O57))</f>
        <v>0</v>
      </c>
      <c r="Q57" s="692">
        <f ca="1">IF(OR(OP!$D$53=1,B57=""),"",ROUND(VLOOKUP($B57,MORE_PV,8,0),0))</f>
        <v>61853</v>
      </c>
      <c r="R57" s="692">
        <f ca="1">IF(OR(OP!$D$53=1,B57=""),"",ROUND(VLOOKUP($B57,MORE_PV,7,0),0))</f>
        <v>61328</v>
      </c>
      <c r="S57" s="692">
        <f ca="1">IF(OR(OP!$D$53=1,B57=""),"",N($F57)+N(O57))</f>
        <v>0</v>
      </c>
      <c r="T57" s="692">
        <f ca="1">IF(OR(OP!$D$53=1,$B57=""),0,N(T56)+N($S57))</f>
        <v>0</v>
      </c>
      <c r="U57" s="690">
        <f ca="1">IF(OR(OP!$D$53=1,B57=""),"",N($H57)+IF(AND($B57&gt;計算!$P$4,計算!$G$6="現金給付"),N($K57),IF(AND($B57&gt;計算!$P$4,計算!$G$6="儲存生息"),N($L57),0))+N($Q57))</f>
        <v>3744603</v>
      </c>
      <c r="V57" s="690">
        <f ca="1">IF(OR(OP!$D$53=1,$B57=""),"",N($I57)+IF(AND($B57&gt;計算!$P$4,計算!$G$6="現金給付"),N($K57),IF(AND($B57&gt;計算!$P$4,計算!$G$6="儲存生息"),N($L57),0))+N(R57))</f>
        <v>3721808</v>
      </c>
      <c r="W57" s="422"/>
      <c r="X57" s="422"/>
      <c r="Y57" s="786">
        <f ca="1">IF(OR(OP!$D$53=1,$B57=""),"",((($H57+$Q57)-IF(AND(計算!$G$6=計算!$P$5,$B57=OP!$C$57),$K57,0))*IF(OR($C57&lt;16,Z57=0,Z57=""),1,PYO))+IF(AND($B57&gt;計算!$P$4,計算!$G$6="現金給付"),N($K57),IF(AND($B57&gt;計算!$P$4,計算!$G$6="儲存生息"),N($L57),0))+IF(AND(計算!$G$6=計算!$P$5,$B57=OP!$C$57),$K57,0))</f>
        <v>3207272.4</v>
      </c>
      <c r="Z57" s="786">
        <f ca="1">IF(OR(OP!$D$53=1,$B57=""),"",(($H57+Q57)-IF(AND(計算!$G$6="購買增額繳清保險",$B57=OP!$C$57),$K57,0))*IF(OR($C57&lt;16,($H57+$Q57)*PY!$C$4&lt;PY!$D$5,($H57+$Q57)*PY!$C$4*PYR&lt;PY!$C$5),0,PYY)*PYR)</f>
        <v>32217.035337542253</v>
      </c>
    </row>
    <row r="58" spans="2:26" hidden="1">
      <c r="B58" s="693">
        <f t="shared" ca="1" si="1"/>
        <v>55</v>
      </c>
      <c r="C58" s="689">
        <f ca="1">IF(OR(OP!$D$53=1,MAX($C$4:C57)&gt;=110),"",C57+(B58-B57))</f>
        <v>87</v>
      </c>
      <c r="D58" s="690" t="str">
        <f ca="1">IF(OR(OP!$D$53=1,AND(B58&gt;OP!$C$24)),"",OP!$C$52-IF($C58&lt;16,$K57,0))</f>
        <v/>
      </c>
      <c r="E58" s="690">
        <f ca="1">IF(OR(OP!$D$53=1,B58=""),"",N(E57)+N(D58))</f>
        <v>1000998</v>
      </c>
      <c r="F58" s="690" t="str">
        <f ca="1">IF(OR(OP!$D$53=1,$B58="",ISERROR(VLOOKUP(OP!$C$55,SRV,$B58+1,0))),"",ROUND(VLOOKUP(OP!$C$55,SRV,$B58+1,0)*OP!$C$28,0))</f>
        <v/>
      </c>
      <c r="G58" s="690" t="str">
        <f ca="1">IF(OR(OP!$D$53=1,$B58="",ISERROR(VLOOKUP(OP!$C$55,SRV,$B58+1,0))),"",N(G57)+N(F58))</f>
        <v/>
      </c>
      <c r="H58" s="690">
        <f ca="1">IF(OR(OP!$D$53=1,B58=""),"",ROUND(VLOOKUP(OP!$C$55,DIE,$B58+1,0)*OP!$C$28,0))</f>
        <v>2672400</v>
      </c>
      <c r="I58" s="691">
        <f ca="1">IF(OR(OP!$D$53=1,B58=""),"",ROUND(VLOOKUP(OP!$C$55,CV,$B58+1,0)*OP!$C$28,0))</f>
        <v>2649212</v>
      </c>
      <c r="J58" s="691">
        <f ca="1">IF(OR(OP!$D$53=1,B58=""),"",VLOOKUP(OP!$C$55,PA,$B58+1,0)*OP!$C$28)</f>
        <v>0</v>
      </c>
      <c r="K58" s="690">
        <f ca="1">IF(OR(OP!$D$53=1,B58=""),"",VLOOKUP($B58,more1,7,0))</f>
        <v>18711</v>
      </c>
      <c r="L58" s="690">
        <f ca="1">IF(OR(OP!$D$53=1,B58="",$B58&lt;=計算!$P$4),"",VLOOKUP($B58,more1,6,0))</f>
        <v>1105553</v>
      </c>
      <c r="M58" s="690">
        <f ca="1">IF(OR(OP!$D$53=1,B58="",AND($B58&gt;=計算!$P$4,$C58&lt;15),ISERROR(VLOOKUP($B58,MORE_PV,4,0))),"",VLOOKUP($B58,MORE_PV,4,0))</f>
        <v>0</v>
      </c>
      <c r="N58" s="692">
        <f ca="1">IF(OR(OP!$D$53=1,B58="",$C58&lt;15,ISERROR(VLOOKUP($B58,MORE_PV,5,0))),"",VLOOKUP($B58,MORE_PV,5,0))</f>
        <v>8012</v>
      </c>
      <c r="O58" s="692">
        <f ca="1">IF(OR(OP!$D$53=1,$B58="",ISERROR(VLOOKUP($B58-1,MORE_PV,9,0))),"",VLOOKUP($B58-1,MORE_PV,9,0))</f>
        <v>0</v>
      </c>
      <c r="P58" s="692">
        <f ca="1">IF(OR(OP!$D$53=1,$B58="",ISERROR($O58)),"",N($P57)+N($O58))</f>
        <v>0</v>
      </c>
      <c r="Q58" s="692">
        <f ca="1">IF(OR(OP!$D$53=1,B58=""),"",ROUND(VLOOKUP($B58,MORE_PV,8,0),0))</f>
        <v>62974</v>
      </c>
      <c r="R58" s="692">
        <f ca="1">IF(OR(OP!$D$53=1,B58=""),"",ROUND(VLOOKUP($B58,MORE_PV,7,0),0))</f>
        <v>62428</v>
      </c>
      <c r="S58" s="692">
        <f ca="1">IF(OR(OP!$D$53=1,B58=""),"",N($F58)+N(O58))</f>
        <v>0</v>
      </c>
      <c r="T58" s="692">
        <f ca="1">IF(OR(OP!$D$53=1,$B58=""),0,N(T57)+N($S58))</f>
        <v>0</v>
      </c>
      <c r="U58" s="690">
        <f ca="1">IF(OR(OP!$D$53=1,B58=""),"",N($H58)+IF(AND($B58&gt;計算!$P$4,計算!$G$6="現金給付"),N($K58),IF(AND($B58&gt;計算!$P$4,計算!$G$6="儲存生息"),N($L58),0))+N($Q58))</f>
        <v>3840927</v>
      </c>
      <c r="V58" s="690">
        <f ca="1">IF(OR(OP!$D$53=1,$B58=""),"",N($I58)+IF(AND($B58&gt;計算!$P$4,計算!$G$6="現金給付"),N($K58),IF(AND($B58&gt;計算!$P$4,計算!$G$6="儲存生息"),N($L58),0))+N(R58))</f>
        <v>3817193</v>
      </c>
      <c r="W58" s="422"/>
      <c r="X58" s="422"/>
      <c r="Y58" s="786">
        <f ca="1">IF(OR(OP!$D$53=1,$B58=""),"",((($H58+$Q58)-IF(AND(計算!$G$6=計算!$P$5,$B58=OP!$C$57),$K58,0))*IF(OR($C58&lt;16,Z58=0,Z58=""),1,PYO))+IF(AND($B58&gt;計算!$P$4,計算!$G$6="現金給付"),N($K58),IF(AND($B58&gt;計算!$P$4,計算!$G$6="儲存生息"),N($L58),0))+IF(AND(計算!$G$6=計算!$P$5,$B58=OP!$C$57),$K58,0))</f>
        <v>3293852.2</v>
      </c>
      <c r="Z58" s="786">
        <f ca="1">IF(OR(OP!$D$53=1,$B58=""),"",(($H58+Q58)-IF(AND(計算!$G$6="購買增額繳清保險",$B58=OP!$C$57),$K58,0))*IF(OR($C58&lt;16,($H58+$Q58)*PY!$C$4&lt;PY!$D$5,($H58+$Q58)*PY!$C$4*PYR&lt;PY!$C$5),0,PYY)*PYR)</f>
        <v>32801.273859852503</v>
      </c>
    </row>
    <row r="59" spans="2:26" hidden="1">
      <c r="B59" s="693">
        <f t="shared" ca="1" si="1"/>
        <v>56</v>
      </c>
      <c r="C59" s="689">
        <f ca="1">IF(OR(OP!$D$53=1,MAX($C$4:C58)&gt;=110),"",C58+(B59-B58))</f>
        <v>88</v>
      </c>
      <c r="D59" s="690" t="str">
        <f ca="1">IF(OR(OP!$D$53=1,AND(B59&gt;OP!$C$24)),"",OP!$C$52-IF($C59&lt;16,$K58,0))</f>
        <v/>
      </c>
      <c r="E59" s="690">
        <f ca="1">IF(OR(OP!$D$53=1,B59=""),"",N(E58)+N(D59))</f>
        <v>1000998</v>
      </c>
      <c r="F59" s="690" t="str">
        <f ca="1">IF(OR(OP!$D$53=1,$B59="",ISERROR(VLOOKUP(OP!$C$55,SRV,$B59+1,0))),"",ROUND(VLOOKUP(OP!$C$55,SRV,$B59+1,0)*OP!$C$28,0))</f>
        <v/>
      </c>
      <c r="G59" s="690" t="str">
        <f ca="1">IF(OR(OP!$D$53=1,$B59="",ISERROR(VLOOKUP(OP!$C$55,SRV,$B59+1,0))),"",N(G58)+N(F59))</f>
        <v/>
      </c>
      <c r="H59" s="690">
        <f ca="1">IF(OR(OP!$D$53=1,B59=""),"",ROUND(VLOOKUP(OP!$C$55,DIE,$B59+1,0)*OP!$C$28,0))</f>
        <v>2720000</v>
      </c>
      <c r="I59" s="691">
        <f ca="1">IF(OR(OP!$D$53=1,B59=""),"",ROUND(VLOOKUP(OP!$C$55,CV,$B59+1,0)*OP!$C$28,0))</f>
        <v>2696268</v>
      </c>
      <c r="J59" s="691">
        <f ca="1">IF(OR(OP!$D$53=1,B59=""),"",VLOOKUP(OP!$C$55,PA,$B59+1,0)*OP!$C$28)</f>
        <v>0</v>
      </c>
      <c r="K59" s="690">
        <f ca="1">IF(OR(OP!$D$53=1,B59=""),"",VLOOKUP($B59,more1,7,0))</f>
        <v>19042</v>
      </c>
      <c r="L59" s="690">
        <f ca="1">IF(OR(OP!$D$53=1,B59="",$B59&lt;=計算!$P$4),"",VLOOKUP($B59,more1,6,0))</f>
        <v>1154704</v>
      </c>
      <c r="M59" s="690">
        <f ca="1">IF(OR(OP!$D$53=1,B59="",AND($B59&gt;=計算!$P$4,$C59&lt;15),ISERROR(VLOOKUP($B59,MORE_PV,4,0))),"",VLOOKUP($B59,MORE_PV,4,0))</f>
        <v>0</v>
      </c>
      <c r="N59" s="692">
        <f ca="1">IF(OR(OP!$D$53=1,B59="",$C59&lt;15,ISERROR(VLOOKUP($B59,MORE_PV,5,0))),"",VLOOKUP($B59,MORE_PV,5,0))</f>
        <v>8012</v>
      </c>
      <c r="O59" s="692">
        <f ca="1">IF(OR(OP!$D$53=1,$B59="",ISERROR(VLOOKUP($B59-1,MORE_PV,9,0))),"",VLOOKUP($B59-1,MORE_PV,9,0))</f>
        <v>0</v>
      </c>
      <c r="P59" s="692">
        <f ca="1">IF(OR(OP!$D$53=1,$B59="",ISERROR($O59)),"",N($P58)+N($O59))</f>
        <v>0</v>
      </c>
      <c r="Q59" s="692">
        <f ca="1">IF(OR(OP!$D$53=1,B59=""),"",ROUND(VLOOKUP($B59,MORE_PV,8,0),0))</f>
        <v>64096</v>
      </c>
      <c r="R59" s="692">
        <f ca="1">IF(OR(OP!$D$53=1,B59=""),"",ROUND(VLOOKUP($B59,MORE_PV,7,0),0))</f>
        <v>63537</v>
      </c>
      <c r="S59" s="692">
        <f ca="1">IF(OR(OP!$D$53=1,B59=""),"",N($F59)+N(O59))</f>
        <v>0</v>
      </c>
      <c r="T59" s="692">
        <f ca="1">IF(OR(OP!$D$53=1,$B59=""),0,N(T58)+N($S59))</f>
        <v>0</v>
      </c>
      <c r="U59" s="690">
        <f ca="1">IF(OR(OP!$D$53=1,B59=""),"",N($H59)+IF(AND($B59&gt;計算!$P$4,計算!$G$6="現金給付"),N($K59),IF(AND($B59&gt;計算!$P$4,計算!$G$6="儲存生息"),N($L59),0))+N($Q59))</f>
        <v>3938800</v>
      </c>
      <c r="V59" s="690">
        <f ca="1">IF(OR(OP!$D$53=1,$B59=""),"",N($I59)+IF(AND($B59&gt;計算!$P$4,計算!$G$6="現金給付"),N($K59),IF(AND($B59&gt;計算!$P$4,計算!$G$6="儲存生息"),N($L59),0))+N(R59))</f>
        <v>3914509</v>
      </c>
      <c r="W59" s="422"/>
      <c r="X59" s="422"/>
      <c r="Y59" s="786">
        <f ca="1">IF(OR(OP!$D$53=1,$B59=""),"",((($H59+$Q59)-IF(AND(計算!$G$6=計算!$P$5,$B59=OP!$C$57),$K59,0))*IF(OR($C59&lt;16,Z59=0,Z59=""),1,PYO))+IF(AND($B59&gt;計算!$P$4,計算!$G$6="現金給付"),N($K59),IF(AND($B59&gt;計算!$P$4,計算!$G$6="儲存生息"),N($L59),0))+IF(AND(計算!$G$6=計算!$P$5,$B59=OP!$C$57),$K59,0))</f>
        <v>3381980.8000000003</v>
      </c>
      <c r="Z59" s="786">
        <f ca="1">IF(OR(OP!$D$53=1,$B59=""),"",(($H59+Q59)-IF(AND(計算!$G$6="購買增額繳清保險",$B59=OP!$C$57),$K59,0))*IF(OR($C59&lt;16,($H59+$Q59)*PY!$C$4&lt;PY!$D$5,($H59+$Q59)*PY!$C$4*PYR&lt;PY!$C$5),0,PYY)*PYR)</f>
        <v>33385.524373676111</v>
      </c>
    </row>
    <row r="60" spans="2:26" hidden="1">
      <c r="B60" s="693">
        <f t="shared" ca="1" si="1"/>
        <v>57</v>
      </c>
      <c r="C60" s="689">
        <f ca="1">IF(OR(OP!$D$53=1,MAX($C$4:C59)&gt;=110),"",C59+(B60-B59))</f>
        <v>89</v>
      </c>
      <c r="D60" s="690" t="str">
        <f ca="1">IF(OR(OP!$D$53=1,AND(B60&gt;OP!$C$24)),"",OP!$C$52-IF($C60&lt;16,$K59,0))</f>
        <v/>
      </c>
      <c r="E60" s="690">
        <f ca="1">IF(OR(OP!$D$53=1,B60=""),"",N(E59)+N(D60))</f>
        <v>1000998</v>
      </c>
      <c r="F60" s="690" t="str">
        <f ca="1">IF(OR(OP!$D$53=1,$B60="",ISERROR(VLOOKUP(OP!$C$55,SRV,$B60+1,0))),"",ROUND(VLOOKUP(OP!$C$55,SRV,$B60+1,0)*OP!$C$28,0))</f>
        <v/>
      </c>
      <c r="G60" s="690" t="str">
        <f ca="1">IF(OR(OP!$D$53=1,$B60="",ISERROR(VLOOKUP(OP!$C$55,SRV,$B60+1,0))),"",N(G59)+N(F60))</f>
        <v/>
      </c>
      <c r="H60" s="690">
        <f ca="1">IF(OR(OP!$D$53=1,B60=""),"",ROUND(VLOOKUP(OP!$C$55,DIE,$B60+1,0)*OP!$C$28,0))</f>
        <v>2767600</v>
      </c>
      <c r="I60" s="691">
        <f ca="1">IF(OR(OP!$D$53=1,B60=""),"",ROUND(VLOOKUP(OP!$C$55,CV,$B60+1,0)*OP!$C$28,0))</f>
        <v>2743664</v>
      </c>
      <c r="J60" s="691">
        <f ca="1">IF(OR(OP!$D$53=1,B60=""),"",VLOOKUP(OP!$C$55,PA,$B60+1,0)*OP!$C$28)</f>
        <v>0</v>
      </c>
      <c r="K60" s="690">
        <f ca="1">IF(OR(OP!$D$53=1,B60=""),"",VLOOKUP($B60,more1,7,0))</f>
        <v>19377</v>
      </c>
      <c r="L60" s="690">
        <f ca="1">IF(OR(OP!$D$53=1,B60="",$B60&lt;=計算!$P$4),"",VLOOKUP($B60,more1,6,0))</f>
        <v>1205529</v>
      </c>
      <c r="M60" s="690">
        <f ca="1">IF(OR(OP!$D$53=1,B60="",AND($B60&gt;=計算!$P$4,$C60&lt;15),ISERROR(VLOOKUP($B60,MORE_PV,4,0))),"",VLOOKUP($B60,MORE_PV,4,0))</f>
        <v>0</v>
      </c>
      <c r="N60" s="692">
        <f ca="1">IF(OR(OP!$D$53=1,B60="",$C60&lt;15,ISERROR(VLOOKUP($B60,MORE_PV,5,0))),"",VLOOKUP($B60,MORE_PV,5,0))</f>
        <v>8012</v>
      </c>
      <c r="O60" s="692">
        <f ca="1">IF(OR(OP!$D$53=1,$B60="",ISERROR(VLOOKUP($B60-1,MORE_PV,9,0))),"",VLOOKUP($B60-1,MORE_PV,9,0))</f>
        <v>0</v>
      </c>
      <c r="P60" s="692">
        <f ca="1">IF(OR(OP!$D$53=1,$B60="",ISERROR($O60)),"",N($P59)+N($O60))</f>
        <v>0</v>
      </c>
      <c r="Q60" s="692">
        <f ca="1">IF(OR(OP!$D$53=1,B60=""),"",ROUND(VLOOKUP($B60,MORE_PV,8,0),0))</f>
        <v>65218</v>
      </c>
      <c r="R60" s="692">
        <f ca="1">IF(OR(OP!$D$53=1,B60=""),"",ROUND(VLOOKUP($B60,MORE_PV,7,0),0))</f>
        <v>64654</v>
      </c>
      <c r="S60" s="692">
        <f ca="1">IF(OR(OP!$D$53=1,B60=""),"",N($F60)+N(O60))</f>
        <v>0</v>
      </c>
      <c r="T60" s="692">
        <f ca="1">IF(OR(OP!$D$53=1,$B60=""),0,N(T59)+N($S60))</f>
        <v>0</v>
      </c>
      <c r="U60" s="690">
        <f ca="1">IF(OR(OP!$D$53=1,B60=""),"",N($H60)+IF(AND($B60&gt;計算!$P$4,計算!$G$6="現金給付"),N($K60),IF(AND($B60&gt;計算!$P$4,計算!$G$6="儲存生息"),N($L60),0))+N($Q60))</f>
        <v>4038347</v>
      </c>
      <c r="V60" s="690">
        <f ca="1">IF(OR(OP!$D$53=1,$B60=""),"",N($I60)+IF(AND($B60&gt;計算!$P$4,計算!$G$6="現金給付"),N($K60),IF(AND($B60&gt;計算!$P$4,計算!$G$6="儲存生息"),N($L60),0))+N(R60))</f>
        <v>4013847</v>
      </c>
      <c r="W60" s="422"/>
      <c r="X60" s="422"/>
      <c r="Y60" s="786">
        <f ca="1">IF(OR(OP!$D$53=1,$B60=""),"",((($H60+$Q60)-IF(AND(計算!$G$6=計算!$P$5,$B60=OP!$C$57),$K60,0))*IF(OR($C60&lt;16,Z60=0,Z60=""),1,PYO))+IF(AND($B60&gt;計算!$P$4,計算!$G$6="現金給付"),N($K60),IF(AND($B60&gt;計算!$P$4,計算!$G$6="儲存生息"),N($L60),0))+IF(AND(計算!$G$6=計算!$P$5,$B60=OP!$C$57),$K60,0))</f>
        <v>3471783.4</v>
      </c>
      <c r="Z60" s="786">
        <f ca="1">IF(OR(OP!$D$53=1,$B60=""),"",(($H60+Q60)-IF(AND(計算!$G$6="購買增額繳清保險",$B60=OP!$C$57),$K60,0))*IF(OR($C60&lt;16,($H60+$Q60)*PY!$C$4&lt;PY!$D$5,($H60+$Q60)*PY!$C$4*PYR&lt;PY!$C$5),0,PYY)*PYR)</f>
        <v>33969.774887499712</v>
      </c>
    </row>
    <row r="61" spans="2:26" hidden="1">
      <c r="B61" s="693">
        <f t="shared" ca="1" si="1"/>
        <v>58</v>
      </c>
      <c r="C61" s="689">
        <f ca="1">IF(OR(OP!$D$53=1,MAX($C$4:C60)&gt;=110),"",C60+(B61-B60))</f>
        <v>90</v>
      </c>
      <c r="D61" s="690" t="str">
        <f ca="1">IF(OR(OP!$D$53=1,AND(B61&gt;OP!$C$24)),"",OP!$C$52-IF($C61&lt;16,$K60,0))</f>
        <v/>
      </c>
      <c r="E61" s="690">
        <f ca="1">IF(OR(OP!$D$53=1,B61=""),"",N(E60)+N(D61))</f>
        <v>1000998</v>
      </c>
      <c r="F61" s="690" t="str">
        <f ca="1">IF(OR(OP!$D$53=1,$B61="",ISERROR(VLOOKUP(OP!$C$55,SRV,$B61+1,0))),"",ROUND(VLOOKUP(OP!$C$55,SRV,$B61+1,0)*OP!$C$28,0))</f>
        <v/>
      </c>
      <c r="G61" s="690" t="str">
        <f ca="1">IF(OR(OP!$D$53=1,$B61="",ISERROR(VLOOKUP(OP!$C$55,SRV,$B61+1,0))),"",N(G60)+N(F61))</f>
        <v/>
      </c>
      <c r="H61" s="690">
        <f ca="1">IF(OR(OP!$D$53=1,B61=""),"",ROUND(VLOOKUP(OP!$C$55,DIE,$B61+1,0)*OP!$C$28,0))</f>
        <v>2815200</v>
      </c>
      <c r="I61" s="691">
        <f ca="1">IF(OR(OP!$D$53=1,B61=""),"",ROUND(VLOOKUP(OP!$C$55,CV,$B61+1,0)*OP!$C$28,0))</f>
        <v>2791298</v>
      </c>
      <c r="J61" s="691">
        <f ca="1">IF(OR(OP!$D$53=1,B61=""),"",VLOOKUP(OP!$C$55,PA,$B61+1,0)*OP!$C$28)</f>
        <v>0</v>
      </c>
      <c r="K61" s="690">
        <f ca="1">IF(OR(OP!$D$53=1,B61=""),"",VLOOKUP($B61,more1,7,0))</f>
        <v>19714</v>
      </c>
      <c r="L61" s="690">
        <f ca="1">IF(OR(OP!$D$53=1,B61="",$B61&lt;=計算!$P$4),"",VLOOKUP($B61,more1,6,0))</f>
        <v>1258075</v>
      </c>
      <c r="M61" s="690">
        <f ca="1">IF(OR(OP!$D$53=1,B61="",AND($B61&gt;=計算!$P$4,$C61&lt;15),ISERROR(VLOOKUP($B61,MORE_PV,4,0))),"",VLOOKUP($B61,MORE_PV,4,0))</f>
        <v>0</v>
      </c>
      <c r="N61" s="692">
        <f ca="1">IF(OR(OP!$D$53=1,B61="",$C61&lt;15,ISERROR(VLOOKUP($B61,MORE_PV,5,0))),"",VLOOKUP($B61,MORE_PV,5,0))</f>
        <v>8012</v>
      </c>
      <c r="O61" s="692">
        <f ca="1">IF(OR(OP!$D$53=1,$B61="",ISERROR(VLOOKUP($B61-1,MORE_PV,9,0))),"",VLOOKUP($B61-1,MORE_PV,9,0))</f>
        <v>0</v>
      </c>
      <c r="P61" s="692">
        <f ca="1">IF(OR(OP!$D$53=1,$B61="",ISERROR($O61)),"",N($P60)+N($O61))</f>
        <v>0</v>
      </c>
      <c r="Q61" s="692">
        <f ca="1">IF(OR(OP!$D$53=1,B61=""),"",ROUND(VLOOKUP($B61,MORE_PV,8,0),0))</f>
        <v>66339</v>
      </c>
      <c r="R61" s="692">
        <f ca="1">IF(OR(OP!$D$53=1,B61=""),"",ROUND(VLOOKUP($B61,MORE_PV,7,0),0))</f>
        <v>65776</v>
      </c>
      <c r="S61" s="692">
        <f ca="1">IF(OR(OP!$D$53=1,B61=""),"",N($F61)+N(O61))</f>
        <v>0</v>
      </c>
      <c r="T61" s="692">
        <f ca="1">IF(OR(OP!$D$53=1,$B61=""),0,N(T60)+N($S61))</f>
        <v>0</v>
      </c>
      <c r="U61" s="690">
        <f ca="1">IF(OR(OP!$D$53=1,B61=""),"",N($H61)+IF(AND($B61&gt;計算!$P$4,計算!$G$6="現金給付"),N($K61),IF(AND($B61&gt;計算!$P$4,計算!$G$6="儲存生息"),N($L61),0))+N($Q61))</f>
        <v>4139614</v>
      </c>
      <c r="V61" s="690">
        <f ca="1">IF(OR(OP!$D$53=1,$B61=""),"",N($I61)+IF(AND($B61&gt;計算!$P$4,計算!$G$6="現金給付"),N($K61),IF(AND($B61&gt;計算!$P$4,計算!$G$6="儲存生息"),N($L61),0))+N(R61))</f>
        <v>4115149</v>
      </c>
      <c r="W61" s="422"/>
      <c r="X61" s="422"/>
      <c r="Y61" s="786">
        <f ca="1">IF(OR(OP!$D$53=1,$B61=""),"",((($H61+$Q61)-IF(AND(計算!$G$6=計算!$P$5,$B61=OP!$C$57),$K61,0))*IF(OR($C61&lt;16,Z61=0,Z61=""),1,PYO))+IF(AND($B61&gt;計算!$P$4,計算!$G$6="現金給付"),N($K61),IF(AND($B61&gt;計算!$P$4,計算!$G$6="儲存生息"),N($L61),0))+IF(AND(計算!$G$6=計算!$P$5,$B61=OP!$C$57),$K61,0))</f>
        <v>3563306.2</v>
      </c>
      <c r="Z61" s="786">
        <f ca="1">IF(OR(OP!$D$53=1,$B61=""),"",(($H61+Q61)-IF(AND(計算!$G$6="購買增額繳清保險",$B61=OP!$C$57),$K61,0))*IF(OR($C61&lt;16,($H61+$Q61)*PY!$C$4&lt;PY!$D$5,($H61+$Q61)*PY!$C$4*PYR&lt;PY!$C$5),0,PYY)*PYR)</f>
        <v>34554.013409809966</v>
      </c>
    </row>
    <row r="62" spans="2:26" hidden="1">
      <c r="B62" s="693">
        <f t="shared" ca="1" si="1"/>
        <v>59</v>
      </c>
      <c r="C62" s="689">
        <f ca="1">IF(OR(OP!$D$53=1,MAX($C$4:C61)&gt;=110),"",C61+(B62-B61))</f>
        <v>91</v>
      </c>
      <c r="D62" s="690" t="str">
        <f ca="1">IF(OR(OP!$D$53=1,AND(B62&gt;OP!$C$24)),"",OP!$C$52-IF($C62&lt;16,$K61,0))</f>
        <v/>
      </c>
      <c r="E62" s="690">
        <f ca="1">IF(OR(OP!$D$53=1,B62=""),"",N(E61)+N(D62))</f>
        <v>1000998</v>
      </c>
      <c r="F62" s="690" t="str">
        <f ca="1">IF(OR(OP!$D$53=1,$B62="",ISERROR(VLOOKUP(OP!$C$55,SRV,$B62+1,0))),"",ROUND(VLOOKUP(OP!$C$55,SRV,$B62+1,0)*OP!$C$28,0))</f>
        <v/>
      </c>
      <c r="G62" s="690" t="str">
        <f ca="1">IF(OR(OP!$D$53=1,$B62="",ISERROR(VLOOKUP(OP!$C$55,SRV,$B62+1,0))),"",N(G61)+N(F62))</f>
        <v/>
      </c>
      <c r="H62" s="690">
        <f ca="1">IF(OR(OP!$D$53=1,B62=""),"",ROUND(VLOOKUP(OP!$C$55,DIE,$B62+1,0)*OP!$C$28,0))</f>
        <v>2862800</v>
      </c>
      <c r="I62" s="691">
        <f ca="1">IF(OR(OP!$D$53=1,B62=""),"",ROUND(VLOOKUP(OP!$C$55,CV,$B62+1,0)*OP!$C$28,0))</f>
        <v>2839136</v>
      </c>
      <c r="J62" s="691">
        <f ca="1">IF(OR(OP!$D$53=1,B62=""),"",VLOOKUP(OP!$C$55,PA,$B62+1,0)*OP!$C$28)</f>
        <v>0</v>
      </c>
      <c r="K62" s="690">
        <f ca="1">IF(OR(OP!$D$53=1,B62=""),"",VLOOKUP($B62,more1,7,0))</f>
        <v>20052</v>
      </c>
      <c r="L62" s="690">
        <f ca="1">IF(OR(OP!$D$53=1,B62="",$B62&lt;=計算!$P$4),"",VLOOKUP($B62,more1,6,0))</f>
        <v>1312485</v>
      </c>
      <c r="M62" s="690">
        <f ca="1">IF(OR(OP!$D$53=1,B62="",AND($B62&gt;=計算!$P$4,$C62&lt;15),ISERROR(VLOOKUP($B62,MORE_PV,4,0))),"",VLOOKUP($B62,MORE_PV,4,0))</f>
        <v>0</v>
      </c>
      <c r="N62" s="692">
        <f ca="1">IF(OR(OP!$D$53=1,B62="",$C62&lt;15,ISERROR(VLOOKUP($B62,MORE_PV,5,0))),"",VLOOKUP($B62,MORE_PV,5,0))</f>
        <v>8012</v>
      </c>
      <c r="O62" s="692">
        <f ca="1">IF(OR(OP!$D$53=1,$B62="",ISERROR(VLOOKUP($B62-1,MORE_PV,9,0))),"",VLOOKUP($B62-1,MORE_PV,9,0))</f>
        <v>0</v>
      </c>
      <c r="P62" s="692">
        <f ca="1">IF(OR(OP!$D$53=1,$B62="",ISERROR($O62)),"",N($P61)+N($O62))</f>
        <v>0</v>
      </c>
      <c r="Q62" s="692">
        <f ca="1">IF(OR(OP!$D$53=1,B62=""),"",ROUND(VLOOKUP($B62,MORE_PV,8,0),0))</f>
        <v>67461</v>
      </c>
      <c r="R62" s="692">
        <f ca="1">IF(OR(OP!$D$53=1,B62=""),"",ROUND(VLOOKUP($B62,MORE_PV,7,0),0))</f>
        <v>66903</v>
      </c>
      <c r="S62" s="692">
        <f ca="1">IF(OR(OP!$D$53=1,B62=""),"",N($F62)+N(O62))</f>
        <v>0</v>
      </c>
      <c r="T62" s="692">
        <f ca="1">IF(OR(OP!$D$53=1,$B62=""),0,N(T61)+N($S62))</f>
        <v>0</v>
      </c>
      <c r="U62" s="690">
        <f ca="1">IF(OR(OP!$D$53=1,B62=""),"",N($H62)+IF(AND($B62&gt;計算!$P$4,計算!$G$6="現金給付"),N($K62),IF(AND($B62&gt;計算!$P$4,計算!$G$6="儲存生息"),N($L62),0))+N($Q62))</f>
        <v>4242746</v>
      </c>
      <c r="V62" s="690">
        <f ca="1">IF(OR(OP!$D$53=1,$B62=""),"",N($I62)+IF(AND($B62&gt;計算!$P$4,計算!$G$6="現金給付"),N($K62),IF(AND($B62&gt;計算!$P$4,計算!$G$6="儲存生息"),N($L62),0))+N(R62))</f>
        <v>4218524</v>
      </c>
      <c r="W62" s="422"/>
      <c r="X62" s="422"/>
      <c r="Y62" s="786">
        <f ca="1">IF(OR(OP!$D$53=1,$B62=""),"",((($H62+$Q62)-IF(AND(計算!$G$6=計算!$P$5,$B62=OP!$C$57),$K62,0))*IF(OR($C62&lt;16,Z62=0,Z62=""),1,PYO))+IF(AND($B62&gt;計算!$P$4,計算!$G$6="現金給付"),N($K62),IF(AND($B62&gt;計算!$P$4,計算!$G$6="儲存生息"),N($L62),0))+IF(AND(計算!$G$6=計算!$P$5,$B62=OP!$C$57),$K62,0))</f>
        <v>3656693.8000000003</v>
      </c>
      <c r="Z62" s="786">
        <f ca="1">IF(OR(OP!$D$53=1,$B62=""),"",(($H62+Q62)-IF(AND(計算!$G$6="購買增額繳清保險",$B62=OP!$C$57),$K62,0))*IF(OR($C62&lt;16,($H62+$Q62)*PY!$C$4&lt;PY!$D$5,($H62+$Q62)*PY!$C$4*PYR&lt;PY!$C$5),0,PYY)*PYR)</f>
        <v>35138.263923633574</v>
      </c>
    </row>
    <row r="63" spans="2:26" hidden="1">
      <c r="B63" s="693">
        <f t="shared" ca="1" si="1"/>
        <v>60</v>
      </c>
      <c r="C63" s="689">
        <f ca="1">IF(OR(OP!$D$53=1,MAX($C$4:C62)&gt;=110),"",C62+(B63-B62))</f>
        <v>92</v>
      </c>
      <c r="D63" s="690" t="str">
        <f ca="1">IF(OR(OP!$D$53=1,AND(B63&gt;OP!$C$24)),"",OP!$C$52-IF($C63&lt;16,$K62,0))</f>
        <v/>
      </c>
      <c r="E63" s="690">
        <f ca="1">IF(OR(OP!$D$53=1,B63=""),"",N(E62)+N(D63))</f>
        <v>1000998</v>
      </c>
      <c r="F63" s="690" t="str">
        <f ca="1">IF(OR(OP!$D$53=1,$B63="",ISERROR(VLOOKUP(OP!$C$55,SRV,$B63+1,0))),"",ROUND(VLOOKUP(OP!$C$55,SRV,$B63+1,0)*OP!$C$28,0))</f>
        <v/>
      </c>
      <c r="G63" s="690" t="str">
        <f ca="1">IF(OR(OP!$D$53=1,$B63="",ISERROR(VLOOKUP(OP!$C$55,SRV,$B63+1,0))),"",N(G62)+N(F63))</f>
        <v/>
      </c>
      <c r="H63" s="690">
        <f ca="1">IF(OR(OP!$D$53=1,B63=""),"",ROUND(VLOOKUP(OP!$C$55,DIE,$B63+1,0)*OP!$C$28,0))</f>
        <v>2910400</v>
      </c>
      <c r="I63" s="691">
        <f ca="1">IF(OR(OP!$D$53=1,B63=""),"",ROUND(VLOOKUP(OP!$C$55,CV,$B63+1,0)*OP!$C$28,0))</f>
        <v>2887212</v>
      </c>
      <c r="J63" s="691">
        <f ca="1">IF(OR(OP!$D$53=1,B63=""),"",VLOOKUP(OP!$C$55,PA,$B63+1,0)*OP!$C$28)</f>
        <v>0</v>
      </c>
      <c r="K63" s="690">
        <f ca="1">IF(OR(OP!$D$53=1,B63=""),"",VLOOKUP($B63,more1,7,0))</f>
        <v>20391</v>
      </c>
      <c r="L63" s="690">
        <f ca="1">IF(OR(OP!$D$53=1,B63="",$B63&lt;=計算!$P$4),"",VLOOKUP($B63,more1,6,0))</f>
        <v>1368621</v>
      </c>
      <c r="M63" s="690">
        <f ca="1">IF(OR(OP!$D$53=1,B63="",AND($B63&gt;=計算!$P$4,$C63&lt;15),ISERROR(VLOOKUP($B63,MORE_PV,4,0))),"",VLOOKUP($B63,MORE_PV,4,0))</f>
        <v>0</v>
      </c>
      <c r="N63" s="692">
        <f ca="1">IF(OR(OP!$D$53=1,B63="",$C63&lt;15,ISERROR(VLOOKUP($B63,MORE_PV,5,0))),"",VLOOKUP($B63,MORE_PV,5,0))</f>
        <v>8012</v>
      </c>
      <c r="O63" s="692">
        <f ca="1">IF(OR(OP!$D$53=1,$B63="",ISERROR(VLOOKUP($B63-1,MORE_PV,9,0))),"",VLOOKUP($B63-1,MORE_PV,9,0))</f>
        <v>0</v>
      </c>
      <c r="P63" s="692">
        <f ca="1">IF(OR(OP!$D$53=1,$B63="",ISERROR($O63)),"",N($P62)+N($O63))</f>
        <v>0</v>
      </c>
      <c r="Q63" s="692">
        <f ca="1">IF(OR(OP!$D$53=1,B63=""),"",ROUND(VLOOKUP($B63,MORE_PV,8,0),0))</f>
        <v>68583</v>
      </c>
      <c r="R63" s="692">
        <f ca="1">IF(OR(OP!$D$53=1,B63=""),"",ROUND(VLOOKUP($B63,MORE_PV,7,0),0))</f>
        <v>68036</v>
      </c>
      <c r="S63" s="692">
        <f ca="1">IF(OR(OP!$D$53=1,B63=""),"",N($F63)+N(O63))</f>
        <v>0</v>
      </c>
      <c r="T63" s="692">
        <f ca="1">IF(OR(OP!$D$53=1,$B63=""),0,N(T62)+N($S63))</f>
        <v>0</v>
      </c>
      <c r="U63" s="690">
        <f ca="1">IF(OR(OP!$D$53=1,B63=""),"",N($H63)+IF(AND($B63&gt;計算!$P$4,計算!$G$6="現金給付"),N($K63),IF(AND($B63&gt;計算!$P$4,計算!$G$6="儲存生息"),N($L63),0))+N($Q63))</f>
        <v>4347604</v>
      </c>
      <c r="V63" s="690">
        <f ca="1">IF(OR(OP!$D$53=1,$B63=""),"",N($I63)+IF(AND($B63&gt;計算!$P$4,計算!$G$6="現金給付"),N($K63),IF(AND($B63&gt;計算!$P$4,計算!$G$6="儲存生息"),N($L63),0))+N(R63))</f>
        <v>4323869</v>
      </c>
      <c r="W63" s="422"/>
      <c r="X63" s="422"/>
      <c r="Y63" s="786">
        <f ca="1">IF(OR(OP!$D$53=1,$B63=""),"",((($H63+$Q63)-IF(AND(計算!$G$6=計算!$P$5,$B63=OP!$C$57),$K63,0))*IF(OR($C63&lt;16,Z63=0,Z63=""),1,PYO))+IF(AND($B63&gt;計算!$P$4,計算!$G$6="現金給付"),N($K63),IF(AND($B63&gt;計算!$P$4,計算!$G$6="儲存生息"),N($L63),0))+IF(AND(計算!$G$6=計算!$P$5,$B63=OP!$C$57),$K63,0))</f>
        <v>3751807.4</v>
      </c>
      <c r="Z63" s="786">
        <f ca="1">IF(OR(OP!$D$53=1,$B63=""),"",(($H63+Q63)-IF(AND(計算!$G$6="購買增額繳清保險",$B63=OP!$C$57),$K63,0))*IF(OR($C63&lt;16,($H63+$Q63)*PY!$C$4&lt;PY!$D$5,($H63+$Q63)*PY!$C$4*PYR&lt;PY!$C$5),0,PYY)*PYR)</f>
        <v>35722.514437457176</v>
      </c>
    </row>
    <row r="64" spans="2:26" hidden="1">
      <c r="B64" s="693">
        <f t="shared" ca="1" si="1"/>
        <v>61</v>
      </c>
      <c r="C64" s="689">
        <f ca="1">IF(OR(OP!$D$53=1,MAX($C$4:C63)&gt;=110),"",C63+(B64-B63))</f>
        <v>93</v>
      </c>
      <c r="D64" s="690" t="str">
        <f ca="1">IF(OR(OP!$D$53=1,AND(B64&gt;OP!$C$24)),"",OP!$C$52-IF($C64&lt;16,$K63,0))</f>
        <v/>
      </c>
      <c r="E64" s="690">
        <f ca="1">IF(OR(OP!$D$53=1,B64=""),"",N(E63)+N(D64))</f>
        <v>1000998</v>
      </c>
      <c r="F64" s="690" t="str">
        <f ca="1">IF(OR(OP!$D$53=1,$B64="",ISERROR(VLOOKUP(OP!$C$55,SRV,$B64+1,0))),"",ROUND(VLOOKUP(OP!$C$55,SRV,$B64+1,0)*OP!$C$28,0))</f>
        <v/>
      </c>
      <c r="G64" s="690" t="str">
        <f ca="1">IF(OR(OP!$D$53=1,$B64="",ISERROR(VLOOKUP(OP!$C$55,SRV,$B64+1,0))),"",N(G63)+N(F64))</f>
        <v/>
      </c>
      <c r="H64" s="690">
        <f ca="1">IF(OR(OP!$D$53=1,B64=""),"",ROUND(VLOOKUP(OP!$C$55,DIE,$B64+1,0)*OP!$C$28,0))</f>
        <v>2958000</v>
      </c>
      <c r="I64" s="691">
        <f ca="1">IF(OR(OP!$D$53=1,B64=""),"",ROUND(VLOOKUP(OP!$C$55,CV,$B64+1,0)*OP!$C$28,0))</f>
        <v>2935526</v>
      </c>
      <c r="J64" s="691">
        <f ca="1">IF(OR(OP!$D$53=1,B64=""),"",VLOOKUP(OP!$C$55,PA,$B64+1,0)*OP!$C$28)</f>
        <v>0</v>
      </c>
      <c r="K64" s="690">
        <f ca="1">IF(OR(OP!$D$53=1,B64=""),"",VLOOKUP($B64,more1,7,0))</f>
        <v>20732</v>
      </c>
      <c r="L64" s="690">
        <f ca="1">IF(OR(OP!$D$53=1,B64="",$B64&lt;=計算!$P$4),"",VLOOKUP($B64,more1,6,0))</f>
        <v>1426626</v>
      </c>
      <c r="M64" s="690">
        <f ca="1">IF(OR(OP!$D$53=1,B64="",AND($B64&gt;=計算!$P$4,$C64&lt;15),ISERROR(VLOOKUP($B64,MORE_PV,4,0))),"",VLOOKUP($B64,MORE_PV,4,0))</f>
        <v>0</v>
      </c>
      <c r="N64" s="692">
        <f ca="1">IF(OR(OP!$D$53=1,B64="",$C64&lt;15,ISERROR(VLOOKUP($B64,MORE_PV,5,0))),"",VLOOKUP($B64,MORE_PV,5,0))</f>
        <v>8012</v>
      </c>
      <c r="O64" s="692">
        <f ca="1">IF(OR(OP!$D$53=1,$B64="",ISERROR(VLOOKUP($B64-1,MORE_PV,9,0))),"",VLOOKUP($B64-1,MORE_PV,9,0))</f>
        <v>0</v>
      </c>
      <c r="P64" s="692">
        <f ca="1">IF(OR(OP!$D$53=1,$B64="",ISERROR($O64)),"",N($P63)+N($O64))</f>
        <v>0</v>
      </c>
      <c r="Q64" s="692">
        <f ca="1">IF(OR(OP!$D$53=1,B64=""),"",ROUND(VLOOKUP($B64,MORE_PV,8,0),0))</f>
        <v>69704</v>
      </c>
      <c r="R64" s="692">
        <f ca="1">IF(OR(OP!$D$53=1,B64=""),"",ROUND(VLOOKUP($B64,MORE_PV,7,0),0))</f>
        <v>69175</v>
      </c>
      <c r="S64" s="692">
        <f ca="1">IF(OR(OP!$D$53=1,B64=""),"",N($F64)+N(O64))</f>
        <v>0</v>
      </c>
      <c r="T64" s="692">
        <f ca="1">IF(OR(OP!$D$53=1,$B64=""),0,N(T63)+N($S64))</f>
        <v>0</v>
      </c>
      <c r="U64" s="690">
        <f ca="1">IF(OR(OP!$D$53=1,B64=""),"",N($H64)+IF(AND($B64&gt;計算!$P$4,計算!$G$6="現金給付"),N($K64),IF(AND($B64&gt;計算!$P$4,計算!$G$6="儲存生息"),N($L64),0))+N($Q64))</f>
        <v>4454330</v>
      </c>
      <c r="V64" s="690">
        <f ca="1">IF(OR(OP!$D$53=1,$B64=""),"",N($I64)+IF(AND($B64&gt;計算!$P$4,計算!$G$6="現金給付"),N($K64),IF(AND($B64&gt;計算!$P$4,計算!$G$6="儲存生息"),N($L64),0))+N(R64))</f>
        <v>4431327</v>
      </c>
      <c r="W64" s="422"/>
      <c r="X64" s="422"/>
      <c r="Y64" s="786">
        <f ca="1">IF(OR(OP!$D$53=1,$B64=""),"",((($H64+$Q64)-IF(AND(計算!$G$6=計算!$P$5,$B64=OP!$C$57),$K64,0))*IF(OR($C64&lt;16,Z64=0,Z64=""),1,PYO))+IF(AND($B64&gt;計算!$P$4,計算!$G$6="現金給付"),N($K64),IF(AND($B64&gt;計算!$P$4,計算!$G$6="儲存生息"),N($L64),0))+IF(AND(計算!$G$6=計算!$P$5,$B64=OP!$C$57),$K64,0))</f>
        <v>3848789.2</v>
      </c>
      <c r="Z64" s="786">
        <f ca="1">IF(OR(OP!$D$53=1,$B64=""),"",(($H64+Q64)-IF(AND(計算!$G$6="購買增額繳清保險",$B64=OP!$C$57),$K64,0))*IF(OR($C64&lt;16,($H64+$Q64)*PY!$C$4&lt;PY!$D$5,($H64+$Q64)*PY!$C$4*PYR&lt;PY!$C$5),0,PYY)*PYR)</f>
        <v>36306.752959767429</v>
      </c>
    </row>
    <row r="65" spans="2:26" hidden="1">
      <c r="B65" s="693">
        <f t="shared" ca="1" si="1"/>
        <v>62</v>
      </c>
      <c r="C65" s="689">
        <f ca="1">IF(OR(OP!$D$53=1,MAX($C$4:C64)&gt;=110),"",C64+(B65-B64))</f>
        <v>94</v>
      </c>
      <c r="D65" s="690" t="str">
        <f ca="1">IF(OR(OP!$D$53=1,AND(B65&gt;OP!$C$24)),"",OP!$C$52-IF($C65&lt;16,$K64,0))</f>
        <v/>
      </c>
      <c r="E65" s="690">
        <f ca="1">IF(OR(OP!$D$53=1,B65=""),"",N(E64)+N(D65))</f>
        <v>1000998</v>
      </c>
      <c r="F65" s="690" t="str">
        <f ca="1">IF(OR(OP!$D$53=1,$B65="",ISERROR(VLOOKUP(OP!$C$55,SRV,$B65+1,0))),"",ROUND(VLOOKUP(OP!$C$55,SRV,$B65+1,0)*OP!$C$28,0))</f>
        <v/>
      </c>
      <c r="G65" s="690" t="str">
        <f ca="1">IF(OR(OP!$D$53=1,$B65="",ISERROR(VLOOKUP(OP!$C$55,SRV,$B65+1,0))),"",N(G64)+N(F65))</f>
        <v/>
      </c>
      <c r="H65" s="690">
        <f ca="1">IF(OR(OP!$D$53=1,B65=""),"",ROUND(VLOOKUP(OP!$C$55,DIE,$B65+1,0)*OP!$C$28,0))</f>
        <v>3005600</v>
      </c>
      <c r="I65" s="691">
        <f ca="1">IF(OR(OP!$D$53=1,B65=""),"",ROUND(VLOOKUP(OP!$C$55,CV,$B65+1,0)*OP!$C$28,0))</f>
        <v>2984010</v>
      </c>
      <c r="J65" s="691">
        <f ca="1">IF(OR(OP!$D$53=1,B65=""),"",VLOOKUP(OP!$C$55,PA,$B65+1,0)*OP!$C$28)</f>
        <v>0</v>
      </c>
      <c r="K65" s="690">
        <f ca="1">IF(OR(OP!$D$53=1,B65=""),"",VLOOKUP($B65,more1,7,0))</f>
        <v>21075</v>
      </c>
      <c r="L65" s="690">
        <f ca="1">IF(OR(OP!$D$53=1,B65="",$B65&lt;=計算!$P$4),"",VLOOKUP($B65,more1,6,0))</f>
        <v>1486554</v>
      </c>
      <c r="M65" s="690">
        <f ca="1">IF(OR(OP!$D$53=1,B65="",AND($B65&gt;=計算!$P$4,$C65&lt;15),ISERROR(VLOOKUP($B65,MORE_PV,4,0))),"",VLOOKUP($B65,MORE_PV,4,0))</f>
        <v>0</v>
      </c>
      <c r="N65" s="692">
        <f ca="1">IF(OR(OP!$D$53=1,B65="",$C65&lt;15,ISERROR(VLOOKUP($B65,MORE_PV,5,0))),"",VLOOKUP($B65,MORE_PV,5,0))</f>
        <v>8012</v>
      </c>
      <c r="O65" s="692">
        <f ca="1">IF(OR(OP!$D$53=1,$B65="",ISERROR(VLOOKUP($B65-1,MORE_PV,9,0))),"",VLOOKUP($B65-1,MORE_PV,9,0))</f>
        <v>0</v>
      </c>
      <c r="P65" s="692">
        <f ca="1">IF(OR(OP!$D$53=1,$B65="",ISERROR($O65)),"",N($P64)+N($O65))</f>
        <v>0</v>
      </c>
      <c r="Q65" s="692">
        <f ca="1">IF(OR(OP!$D$53=1,B65=""),"",ROUND(VLOOKUP($B65,MORE_PV,8,0),0))</f>
        <v>70826</v>
      </c>
      <c r="R65" s="692">
        <f ca="1">IF(OR(OP!$D$53=1,B65=""),"",ROUND(VLOOKUP($B65,MORE_PV,7,0),0))</f>
        <v>70317</v>
      </c>
      <c r="S65" s="692">
        <f ca="1">IF(OR(OP!$D$53=1,B65=""),"",N($F65)+N(O65))</f>
        <v>0</v>
      </c>
      <c r="T65" s="692">
        <f ca="1">IF(OR(OP!$D$53=1,$B65=""),0,N(T64)+N($S65))</f>
        <v>0</v>
      </c>
      <c r="U65" s="690">
        <f ca="1">IF(OR(OP!$D$53=1,B65=""),"",N($H65)+IF(AND($B65&gt;計算!$P$4,計算!$G$6="現金給付"),N($K65),IF(AND($B65&gt;計算!$P$4,計算!$G$6="儲存生息"),N($L65),0))+N($Q65))</f>
        <v>4562980</v>
      </c>
      <c r="V65" s="690">
        <f ca="1">IF(OR(OP!$D$53=1,$B65=""),"",N($I65)+IF(AND($B65&gt;計算!$P$4,計算!$G$6="現金給付"),N($K65),IF(AND($B65&gt;計算!$P$4,計算!$G$6="儲存生息"),N($L65),0))+N(R65))</f>
        <v>4540881</v>
      </c>
      <c r="W65" s="422"/>
      <c r="X65" s="422"/>
      <c r="Y65" s="786">
        <f ca="1">IF(OR(OP!$D$53=1,$B65=""),"",((($H65+$Q65)-IF(AND(計算!$G$6=計算!$P$5,$B65=OP!$C$57),$K65,0))*IF(OR($C65&lt;16,Z65=0,Z65=""),1,PYO))+IF(AND($B65&gt;計算!$P$4,計算!$G$6="現金給付"),N($K65),IF(AND($B65&gt;計算!$P$4,計算!$G$6="儲存生息"),N($L65),0))+IF(AND(計算!$G$6=計算!$P$5,$B65=OP!$C$57),$K65,0))</f>
        <v>3947694.8000000003</v>
      </c>
      <c r="Z65" s="786">
        <f ca="1">IF(OR(OP!$D$53=1,$B65=""),"",(($H65+Q65)-IF(AND(計算!$G$6="購買增額繳清保險",$B65=OP!$C$57),$K65,0))*IF(OR($C65&lt;16,($H65+$Q65)*PY!$C$4&lt;PY!$D$5,($H65+$Q65)*PY!$C$4*PYR&lt;PY!$C$5),0,PYY)*PYR)</f>
        <v>36891.003473591038</v>
      </c>
    </row>
    <row r="66" spans="2:26" hidden="1">
      <c r="B66" s="693">
        <f t="shared" ca="1" si="1"/>
        <v>63</v>
      </c>
      <c r="C66" s="689">
        <f ca="1">IF(OR(OP!$D$53=1,MAX($C$4:C65)&gt;=110),"",C65+(B66-B65))</f>
        <v>95</v>
      </c>
      <c r="D66" s="690" t="str">
        <f ca="1">IF(OR(OP!$D$53=1,AND(B66&gt;OP!$C$24)),"",OP!$C$52-IF($C66&lt;16,$K65,0))</f>
        <v/>
      </c>
      <c r="E66" s="690">
        <f ca="1">IF(OR(OP!$D$53=1,B66=""),"",N(E65)+N(D66))</f>
        <v>1000998</v>
      </c>
      <c r="F66" s="690" t="str">
        <f ca="1">IF(OR(OP!$D$53=1,$B66="",ISERROR(VLOOKUP(OP!$C$55,SRV,$B66+1,0))),"",ROUND(VLOOKUP(OP!$C$55,SRV,$B66+1,0)*OP!$C$28,0))</f>
        <v/>
      </c>
      <c r="G66" s="690" t="str">
        <f ca="1">IF(OR(OP!$D$53=1,$B66="",ISERROR(VLOOKUP(OP!$C$55,SRV,$B66+1,0))),"",N(G65)+N(F66))</f>
        <v/>
      </c>
      <c r="H66" s="690">
        <f ca="1">IF(OR(OP!$D$53=1,B66=""),"",ROUND(VLOOKUP(OP!$C$55,DIE,$B66+1,0)*OP!$C$28,0))</f>
        <v>3053200</v>
      </c>
      <c r="I66" s="691">
        <f ca="1">IF(OR(OP!$D$53=1,B66=""),"",ROUND(VLOOKUP(OP!$C$55,CV,$B66+1,0)*OP!$C$28,0))</f>
        <v>3032664</v>
      </c>
      <c r="J66" s="691">
        <f ca="1">IF(OR(OP!$D$53=1,B66=""),"",VLOOKUP(OP!$C$55,PA,$B66+1,0)*OP!$C$28)</f>
        <v>0</v>
      </c>
      <c r="K66" s="690">
        <f ca="1">IF(OR(OP!$D$53=1,B66=""),"",VLOOKUP($B66,more1,7,0))</f>
        <v>21418</v>
      </c>
      <c r="L66" s="690">
        <f ca="1">IF(OR(OP!$D$53=1,B66="",$B66&lt;=計算!$P$4),"",VLOOKUP($B66,more1,6,0))</f>
        <v>1548570</v>
      </c>
      <c r="M66" s="690">
        <f ca="1">IF(OR(OP!$D$53=1,B66="",AND($B66&gt;=計算!$P$4,$C66&lt;15),ISERROR(VLOOKUP($B66,MORE_PV,4,0))),"",VLOOKUP($B66,MORE_PV,4,0))</f>
        <v>0</v>
      </c>
      <c r="N66" s="692">
        <f ca="1">IF(OR(OP!$D$53=1,B66="",$C66&lt;15,ISERROR(VLOOKUP($B66,MORE_PV,5,0))),"",VLOOKUP($B66,MORE_PV,5,0))</f>
        <v>8012</v>
      </c>
      <c r="O66" s="692">
        <f ca="1">IF(OR(OP!$D$53=1,$B66="",ISERROR(VLOOKUP($B66-1,MORE_PV,9,0))),"",VLOOKUP($B66-1,MORE_PV,9,0))</f>
        <v>0</v>
      </c>
      <c r="P66" s="692">
        <f ca="1">IF(OR(OP!$D$53=1,$B66="",ISERROR($O66)),"",N($P65)+N($O66))</f>
        <v>0</v>
      </c>
      <c r="Q66" s="692">
        <f ca="1">IF(OR(OP!$D$53=1,B66=""),"",ROUND(VLOOKUP($B66,MORE_PV,8,0),0))</f>
        <v>71948</v>
      </c>
      <c r="R66" s="692">
        <f ca="1">IF(OR(OP!$D$53=1,B66=""),"",ROUND(VLOOKUP($B66,MORE_PV,7,0),0))</f>
        <v>71464</v>
      </c>
      <c r="S66" s="692">
        <f ca="1">IF(OR(OP!$D$53=1,B66=""),"",N($F66)+N(O66))</f>
        <v>0</v>
      </c>
      <c r="T66" s="692">
        <f ca="1">IF(OR(OP!$D$53=1,$B66=""),0,N(T65)+N($S66))</f>
        <v>0</v>
      </c>
      <c r="U66" s="690">
        <f ca="1">IF(OR(OP!$D$53=1,B66=""),"",N($H66)+IF(AND($B66&gt;計算!$P$4,計算!$G$6="現金給付"),N($K66),IF(AND($B66&gt;計算!$P$4,計算!$G$6="儲存生息"),N($L66),0))+N($Q66))</f>
        <v>4673718</v>
      </c>
      <c r="V66" s="690">
        <f ca="1">IF(OR(OP!$D$53=1,$B66=""),"",N($I66)+IF(AND($B66&gt;計算!$P$4,計算!$G$6="現金給付"),N($K66),IF(AND($B66&gt;計算!$P$4,計算!$G$6="儲存生息"),N($L66),0))+N(R66))</f>
        <v>4652698</v>
      </c>
      <c r="W66" s="422"/>
      <c r="X66" s="422"/>
      <c r="Y66" s="786">
        <f ca="1">IF(OR(OP!$D$53=1,$B66=""),"",((($H66+$Q66)-IF(AND(計算!$G$6=計算!$P$5,$B66=OP!$C$57),$K66,0))*IF(OR($C66&lt;16,Z66=0,Z66=""),1,PYO))+IF(AND($B66&gt;計算!$P$4,計算!$G$6="現金給付"),N($K66),IF(AND($B66&gt;計算!$P$4,計算!$G$6="儲存生息"),N($L66),0))+IF(AND(計算!$G$6=計算!$P$5,$B66=OP!$C$57),$K66,0))</f>
        <v>4048688.4</v>
      </c>
      <c r="Z66" s="786">
        <f ca="1">IF(OR(OP!$D$53=1,$B66=""),"",(($H66+Q66)-IF(AND(計算!$G$6="購買增額繳清保險",$B66=OP!$C$57),$K66,0))*IF(OR($C66&lt;16,($H66+$Q66)*PY!$C$4&lt;PY!$D$5,($H66+$Q66)*PY!$C$4*PYR&lt;PY!$C$5),0,PYY)*PYR)</f>
        <v>37475.253987414631</v>
      </c>
    </row>
    <row r="67" spans="2:26" hidden="1">
      <c r="B67" s="693">
        <f t="shared" ca="1" si="1"/>
        <v>64</v>
      </c>
      <c r="C67" s="689">
        <f ca="1">IF(OR(OP!$D$53=1,MAX($C$4:C66)&gt;=110),"",C66+(B67-B66))</f>
        <v>96</v>
      </c>
      <c r="D67" s="690" t="str">
        <f ca="1">IF(OR(OP!$D$53=1,AND(B67&gt;OP!$C$24)),"",OP!$C$52-IF($C67&lt;16,$K66,0))</f>
        <v/>
      </c>
      <c r="E67" s="690">
        <f ca="1">IF(OR(OP!$D$53=1,B67=""),"",N(E66)+N(D67))</f>
        <v>1000998</v>
      </c>
      <c r="F67" s="690" t="str">
        <f ca="1">IF(OR(OP!$D$53=1,$B67="",ISERROR(VLOOKUP(OP!$C$55,SRV,$B67+1,0))),"",ROUND(VLOOKUP(OP!$C$55,SRV,$B67+1,0)*OP!$C$28,0))</f>
        <v/>
      </c>
      <c r="G67" s="690" t="str">
        <f ca="1">IF(OR(OP!$D$53=1,$B67="",ISERROR(VLOOKUP(OP!$C$55,SRV,$B67+1,0))),"",N(G66)+N(F67))</f>
        <v/>
      </c>
      <c r="H67" s="690">
        <f ca="1">IF(OR(OP!$D$53=1,B67=""),"",ROUND(VLOOKUP(OP!$C$55,DIE,$B67+1,0)*OP!$C$28,0))</f>
        <v>3100800</v>
      </c>
      <c r="I67" s="691">
        <f ca="1">IF(OR(OP!$D$53=1,B67=""),"",ROUND(VLOOKUP(OP!$C$55,CV,$B67+1,0)*OP!$C$28,0))</f>
        <v>3081488</v>
      </c>
      <c r="J67" s="691">
        <f ca="1">IF(OR(OP!$D$53=1,B67=""),"",VLOOKUP(OP!$C$55,PA,$B67+1,0)*OP!$C$28)</f>
        <v>0</v>
      </c>
      <c r="K67" s="690">
        <f ca="1">IF(OR(OP!$D$53=1,B67=""),"",VLOOKUP($B67,more1,7,0))</f>
        <v>21763</v>
      </c>
      <c r="L67" s="690">
        <f ca="1">IF(OR(OP!$D$53=1,B67="",$B67&lt;=計算!$P$4),"",VLOOKUP($B67,more1,6,0))</f>
        <v>1612507</v>
      </c>
      <c r="M67" s="690">
        <f ca="1">IF(OR(OP!$D$53=1,B67="",AND($B67&gt;=計算!$P$4,$C67&lt;15),ISERROR(VLOOKUP($B67,MORE_PV,4,0))),"",VLOOKUP($B67,MORE_PV,4,0))</f>
        <v>0</v>
      </c>
      <c r="N67" s="692">
        <f ca="1">IF(OR(OP!$D$53=1,B67="",$C67&lt;15,ISERROR(VLOOKUP($B67,MORE_PV,5,0))),"",VLOOKUP($B67,MORE_PV,5,0))</f>
        <v>8012</v>
      </c>
      <c r="O67" s="692">
        <f ca="1">IF(OR(OP!$D$53=1,$B67="",ISERROR(VLOOKUP($B67-1,MORE_PV,9,0))),"",VLOOKUP($B67-1,MORE_PV,9,0))</f>
        <v>0</v>
      </c>
      <c r="P67" s="692">
        <f ca="1">IF(OR(OP!$D$53=1,$B67="",ISERROR($O67)),"",N($P66)+N($O67))</f>
        <v>0</v>
      </c>
      <c r="Q67" s="692">
        <f ca="1">IF(OR(OP!$D$53=1,B67=""),"",ROUND(VLOOKUP($B67,MORE_PV,8,0),0))</f>
        <v>73069</v>
      </c>
      <c r="R67" s="692">
        <f ca="1">IF(OR(OP!$D$53=1,B67=""),"",ROUND(VLOOKUP($B67,MORE_PV,7,0),0))</f>
        <v>72614</v>
      </c>
      <c r="S67" s="692">
        <f ca="1">IF(OR(OP!$D$53=1,B67=""),"",N($F67)+N(O67))</f>
        <v>0</v>
      </c>
      <c r="T67" s="692">
        <f ca="1">IF(OR(OP!$D$53=1,$B67=""),0,N(T66)+N($S67))</f>
        <v>0</v>
      </c>
      <c r="U67" s="690">
        <f ca="1">IF(OR(OP!$D$53=1,B67=""),"",N($H67)+IF(AND($B67&gt;計算!$P$4,計算!$G$6="現金給付"),N($K67),IF(AND($B67&gt;計算!$P$4,計算!$G$6="儲存生息"),N($L67),0))+N($Q67))</f>
        <v>4786376</v>
      </c>
      <c r="V67" s="690">
        <f ca="1">IF(OR(OP!$D$53=1,$B67=""),"",N($I67)+IF(AND($B67&gt;計算!$P$4,計算!$G$6="現金給付"),N($K67),IF(AND($B67&gt;計算!$P$4,計算!$G$6="儲存生息"),N($L67),0))+N(R67))</f>
        <v>4766609</v>
      </c>
      <c r="W67" s="422"/>
      <c r="X67" s="422"/>
      <c r="Y67" s="786">
        <f ca="1">IF(OR(OP!$D$53=1,$B67=""),"",((($H67+$Q67)-IF(AND(計算!$G$6=計算!$P$5,$B67=OP!$C$57),$K67,0))*IF(OR($C67&lt;16,Z67=0,Z67=""),1,PYO))+IF(AND($B67&gt;計算!$P$4,計算!$G$6="現金給付"),N($K67),IF(AND($B67&gt;計算!$P$4,計算!$G$6="儲存生息"),N($L67),0))+IF(AND(計算!$G$6=計算!$P$5,$B67=OP!$C$57),$K67,0))</f>
        <v>4151602.2</v>
      </c>
      <c r="Z67" s="786">
        <f ca="1">IF(OR(OP!$D$53=1,$B67=""),"",(($H67+Q67)-IF(AND(計算!$G$6="購買增額繳清保險",$B67=OP!$C$57),$K67,0))*IF(OR($C67&lt;16,($H67+$Q67)*PY!$C$4&lt;PY!$D$5,($H67+$Q67)*PY!$C$4*PYR&lt;PY!$C$5),0,PYY)*PYR)</f>
        <v>38059.492509724885</v>
      </c>
    </row>
    <row r="68" spans="2:26" hidden="1">
      <c r="B68" s="693">
        <f t="shared" ca="1" si="1"/>
        <v>65</v>
      </c>
      <c r="C68" s="689">
        <f ca="1">IF(OR(OP!$D$53=1,MAX($C$4:C67)&gt;=110),"",C67+(B68-B67))</f>
        <v>97</v>
      </c>
      <c r="D68" s="690" t="str">
        <f ca="1">IF(OR(OP!$D$53=1,AND(B68&gt;OP!$C$24)),"",OP!$C$52-IF($C68&lt;16,$K67,0))</f>
        <v/>
      </c>
      <c r="E68" s="690">
        <f ca="1">IF(OR(OP!$D$53=1,B68=""),"",N(E67)+N(D68))</f>
        <v>1000998</v>
      </c>
      <c r="F68" s="690" t="str">
        <f ca="1">IF(OR(OP!$D$53=1,$B68="",ISERROR(VLOOKUP(OP!$C$55,SRV,$B68+1,0))),"",ROUND(VLOOKUP(OP!$C$55,SRV,$B68+1,0)*OP!$C$28,0))</f>
        <v/>
      </c>
      <c r="G68" s="690" t="str">
        <f ca="1">IF(OR(OP!$D$53=1,$B68="",ISERROR(VLOOKUP(OP!$C$55,SRV,$B68+1,0))),"",N(G67)+N(F68))</f>
        <v/>
      </c>
      <c r="H68" s="690">
        <f ca="1">IF(OR(OP!$D$53=1,B68=""),"",ROUND(VLOOKUP(OP!$C$55,DIE,$B68+1,0)*OP!$C$28,0))</f>
        <v>3148400</v>
      </c>
      <c r="I68" s="691">
        <f ca="1">IF(OR(OP!$D$53=1,B68=""),"",ROUND(VLOOKUP(OP!$C$55,CV,$B68+1,0)*OP!$C$28,0))</f>
        <v>3130448</v>
      </c>
      <c r="J68" s="691">
        <f ca="1">IF(OR(OP!$D$53=1,B68=""),"",VLOOKUP(OP!$C$55,PA,$B68+1,0)*OP!$C$28)</f>
        <v>0</v>
      </c>
      <c r="K68" s="690">
        <f ca="1">IF(OR(OP!$D$53=1,B68=""),"",VLOOKUP($B68,more1,7,0))</f>
        <v>22109</v>
      </c>
      <c r="L68" s="690">
        <f ca="1">IF(OR(OP!$D$53=1,B68="",$B68&lt;=計算!$P$4),"",VLOOKUP($B68,more1,6,0))</f>
        <v>1678531</v>
      </c>
      <c r="M68" s="690">
        <f ca="1">IF(OR(OP!$D$53=1,B68="",AND($B68&gt;=計算!$P$4,$C68&lt;15),ISERROR(VLOOKUP($B68,MORE_PV,4,0))),"",VLOOKUP($B68,MORE_PV,4,0))</f>
        <v>0</v>
      </c>
      <c r="N68" s="692">
        <f ca="1">IF(OR(OP!$D$53=1,B68="",$C68&lt;15,ISERROR(VLOOKUP($B68,MORE_PV,5,0))),"",VLOOKUP($B68,MORE_PV,5,0))</f>
        <v>8012</v>
      </c>
      <c r="O68" s="692">
        <f ca="1">IF(OR(OP!$D$53=1,$B68="",ISERROR(VLOOKUP($B68-1,MORE_PV,9,0))),"",VLOOKUP($B68-1,MORE_PV,9,0))</f>
        <v>0</v>
      </c>
      <c r="P68" s="692">
        <f ca="1">IF(OR(OP!$D$53=1,$B68="",ISERROR($O68)),"",N($P67)+N($O68))</f>
        <v>0</v>
      </c>
      <c r="Q68" s="692">
        <f ca="1">IF(OR(OP!$D$53=1,B68=""),"",ROUND(VLOOKUP($B68,MORE_PV,8,0),0))</f>
        <v>74191</v>
      </c>
      <c r="R68" s="692">
        <f ca="1">IF(OR(OP!$D$53=1,B68=""),"",ROUND(VLOOKUP($B68,MORE_PV,7,0),0))</f>
        <v>73768</v>
      </c>
      <c r="S68" s="692">
        <f ca="1">IF(OR(OP!$D$53=1,B68=""),"",N($F68)+N(O68))</f>
        <v>0</v>
      </c>
      <c r="T68" s="692">
        <f ca="1">IF(OR(OP!$D$53=1,$B68=""),0,N(T67)+N($S68))</f>
        <v>0</v>
      </c>
      <c r="U68" s="690">
        <f ca="1">IF(OR(OP!$D$53=1,B68=""),"",N($H68)+IF(AND($B68&gt;計算!$P$4,計算!$G$6="現金給付"),N($K68),IF(AND($B68&gt;計算!$P$4,計算!$G$6="儲存生息"),N($L68),0))+N($Q68))</f>
        <v>4901122</v>
      </c>
      <c r="V68" s="690">
        <f ca="1">IF(OR(OP!$D$53=1,$B68=""),"",N($I68)+IF(AND($B68&gt;計算!$P$4,計算!$G$6="現金給付"),N($K68),IF(AND($B68&gt;計算!$P$4,計算!$G$6="儲存生息"),N($L68),0))+N(R68))</f>
        <v>4882747</v>
      </c>
      <c r="W68" s="422"/>
      <c r="X68" s="422"/>
      <c r="Y68" s="786">
        <f ca="1">IF(OR(OP!$D$53=1,$B68=""),"",((($H68+$Q68)-IF(AND(計算!$G$6=計算!$P$5,$B68=OP!$C$57),$K68,0))*IF(OR($C68&lt;16,Z68=0,Z68=""),1,PYO))+IF(AND($B68&gt;計算!$P$4,計算!$G$6="現金給付"),N($K68),IF(AND($B68&gt;計算!$P$4,計算!$G$6="儲存生息"),N($L68),0))+IF(AND(計算!$G$6=計算!$P$5,$B68=OP!$C$57),$K68,0))</f>
        <v>4256603.8000000007</v>
      </c>
      <c r="Z68" s="786">
        <f ca="1">IF(OR(OP!$D$53=1,$B68=""),"",(($H68+Q68)-IF(AND(計算!$G$6="購買增額繳清保險",$B68=OP!$C$57),$K68,0))*IF(OR($C68&lt;16,($H68+$Q68)*PY!$C$4&lt;PY!$D$5,($H68+$Q68)*PY!$C$4*PYR&lt;PY!$C$5),0,PYY)*PYR)</f>
        <v>38643.743023548494</v>
      </c>
    </row>
    <row r="69" spans="2:26" hidden="1">
      <c r="B69" s="693">
        <f t="shared" ca="1" si="1"/>
        <v>66</v>
      </c>
      <c r="C69" s="689">
        <f ca="1">IF(OR(OP!$D$53=1,MAX($C$4:C68)&gt;=110),"",C68+(B69-B68))</f>
        <v>98</v>
      </c>
      <c r="D69" s="690" t="str">
        <f ca="1">IF(OR(OP!$D$53=1,AND(B69&gt;OP!$C$24)),"",OP!$C$52-IF($C69&lt;16,$K68,0))</f>
        <v/>
      </c>
      <c r="E69" s="690">
        <f ca="1">IF(OR(OP!$D$53=1,B69=""),"",N(E68)+N(D69))</f>
        <v>1000998</v>
      </c>
      <c r="F69" s="690" t="str">
        <f ca="1">IF(OR(OP!$D$53=1,$B69="",ISERROR(VLOOKUP(OP!$C$55,SRV,$B69+1,0))),"",ROUND(VLOOKUP(OP!$C$55,SRV,$B69+1,0)*OP!$C$28,0))</f>
        <v/>
      </c>
      <c r="G69" s="690" t="str">
        <f ca="1">IF(OR(OP!$D$53=1,$B69="",ISERROR(VLOOKUP(OP!$C$55,SRV,$B69+1,0))),"",N(G68)+N(F69))</f>
        <v/>
      </c>
      <c r="H69" s="690">
        <f ca="1">IF(OR(OP!$D$53=1,B69=""),"",ROUND(VLOOKUP(OP!$C$55,DIE,$B69+1,0)*OP!$C$28,0))</f>
        <v>3196000</v>
      </c>
      <c r="I69" s="691">
        <f ca="1">IF(OR(OP!$D$53=1,B69=""),"",ROUND(VLOOKUP(OP!$C$55,CV,$B69+1,0)*OP!$C$28,0))</f>
        <v>3179544</v>
      </c>
      <c r="J69" s="691">
        <f ca="1">IF(OR(OP!$D$53=1,B69=""),"",VLOOKUP(OP!$C$55,PA,$B69+1,0)*OP!$C$28)</f>
        <v>0</v>
      </c>
      <c r="K69" s="690">
        <f ca="1">IF(OR(OP!$D$53=1,B69=""),"",VLOOKUP($B69,more1,7,0))</f>
        <v>22456</v>
      </c>
      <c r="L69" s="690">
        <f ca="1">IF(OR(OP!$D$53=1,B69="",$B69&lt;=計算!$P$4),"",VLOOKUP($B69,more1,6,0))</f>
        <v>1746701</v>
      </c>
      <c r="M69" s="690">
        <f ca="1">IF(OR(OP!$D$53=1,B69="",AND($B69&gt;=計算!$P$4,$C69&lt;15),ISERROR(VLOOKUP($B69,MORE_PV,4,0))),"",VLOOKUP($B69,MORE_PV,4,0))</f>
        <v>0</v>
      </c>
      <c r="N69" s="692">
        <f ca="1">IF(OR(OP!$D$53=1,B69="",$C69&lt;15,ISERROR(VLOOKUP($B69,MORE_PV,5,0))),"",VLOOKUP($B69,MORE_PV,5,0))</f>
        <v>8012</v>
      </c>
      <c r="O69" s="692">
        <f ca="1">IF(OR(OP!$D$53=1,$B69="",ISERROR(VLOOKUP($B69-1,MORE_PV,9,0))),"",VLOOKUP($B69-1,MORE_PV,9,0))</f>
        <v>0</v>
      </c>
      <c r="P69" s="692">
        <f ca="1">IF(OR(OP!$D$53=1,$B69="",ISERROR($O69)),"",N($P68)+N($O69))</f>
        <v>0</v>
      </c>
      <c r="Q69" s="692">
        <f ca="1">IF(OR(OP!$D$53=1,B69=""),"",ROUND(VLOOKUP($B69,MORE_PV,8,0),0))</f>
        <v>75313</v>
      </c>
      <c r="R69" s="692">
        <f ca="1">IF(OR(OP!$D$53=1,B69=""),"",ROUND(VLOOKUP($B69,MORE_PV,7,0),0))</f>
        <v>74925</v>
      </c>
      <c r="S69" s="692">
        <f ca="1">IF(OR(OP!$D$53=1,B69=""),"",N($F69)+N(O69))</f>
        <v>0</v>
      </c>
      <c r="T69" s="692">
        <f ca="1">IF(OR(OP!$D$53=1,$B69=""),0,N(T68)+N($S69))</f>
        <v>0</v>
      </c>
      <c r="U69" s="690">
        <f ca="1">IF(OR(OP!$D$53=1,B69=""),"",N($H69)+IF(AND($B69&gt;計算!$P$4,計算!$G$6="現金給付"),N($K69),IF(AND($B69&gt;計算!$P$4,計算!$G$6="儲存生息"),N($L69),0))+N($Q69))</f>
        <v>5018014</v>
      </c>
      <c r="V69" s="690">
        <f ca="1">IF(OR(OP!$D$53=1,$B69=""),"",N($I69)+IF(AND($B69&gt;計算!$P$4,計算!$G$6="現金給付"),N($K69),IF(AND($B69&gt;計算!$P$4,計算!$G$6="儲存生息"),N($L69),0))+N(R69))</f>
        <v>5001170</v>
      </c>
      <c r="W69" s="422"/>
      <c r="X69" s="422"/>
      <c r="Y69" s="786">
        <f ca="1">IF(OR(OP!$D$53=1,$B69=""),"",((($H69+$Q69)-IF(AND(計算!$G$6=計算!$P$5,$B69=OP!$C$57),$K69,0))*IF(OR($C69&lt;16,Z69=0,Z69=""),1,PYO))+IF(AND($B69&gt;計算!$P$4,計算!$G$6="現金給付"),N($K69),IF(AND($B69&gt;計算!$P$4,計算!$G$6="儲存生息"),N($L69),0))+IF(AND(計算!$G$6=計算!$P$5,$B69=OP!$C$57),$K69,0))</f>
        <v>4363751.4000000004</v>
      </c>
      <c r="Z69" s="786">
        <f ca="1">IF(OR(OP!$D$53=1,$B69=""),"",(($H69+Q69)-IF(AND(計算!$G$6="購買增額繳清保險",$B69=OP!$C$57),$K69,0))*IF(OR($C69&lt;16,($H69+$Q69)*PY!$C$4&lt;PY!$D$5,($H69+$Q69)*PY!$C$4*PYR&lt;PY!$C$5),0,PYY)*PYR)</f>
        <v>39227.993537372102</v>
      </c>
    </row>
    <row r="70" spans="2:26" hidden="1">
      <c r="B70" s="693">
        <f t="shared" ca="1" si="1"/>
        <v>67</v>
      </c>
      <c r="C70" s="689">
        <f ca="1">IF(OR(OP!$D$53=1,MAX($C$4:C69)&gt;=110),"",C69+(B70-B69))</f>
        <v>99</v>
      </c>
      <c r="D70" s="690" t="str">
        <f ca="1">IF(OR(OP!$D$53=1,AND(B70&gt;OP!$C$24)),"",OP!$C$52-IF($C70&lt;16,$K69,0))</f>
        <v/>
      </c>
      <c r="E70" s="690">
        <f ca="1">IF(OR(OP!$D$53=1,B70=""),"",N(E69)+N(D70))</f>
        <v>1000998</v>
      </c>
      <c r="F70" s="690" t="str">
        <f ca="1">IF(OR(OP!$D$53=1,$B70="",ISERROR(VLOOKUP(OP!$C$55,SRV,$B70+1,0))),"",ROUND(VLOOKUP(OP!$C$55,SRV,$B70+1,0)*OP!$C$28,0))</f>
        <v/>
      </c>
      <c r="G70" s="690" t="str">
        <f ca="1">IF(OR(OP!$D$53=1,$B70="",ISERROR(VLOOKUP(OP!$C$55,SRV,$B70+1,0))),"",N(G69)+N(F70))</f>
        <v/>
      </c>
      <c r="H70" s="690">
        <f ca="1">IF(OR(OP!$D$53=1,B70=""),"",ROUND(VLOOKUP(OP!$C$55,DIE,$B70+1,0)*OP!$C$28,0))</f>
        <v>3243600</v>
      </c>
      <c r="I70" s="691">
        <f ca="1">IF(OR(OP!$D$53=1,B70=""),"",ROUND(VLOOKUP(OP!$C$55,CV,$B70+1,0)*OP!$C$28,0))</f>
        <v>3228742</v>
      </c>
      <c r="J70" s="691">
        <f ca="1">IF(OR(OP!$D$53=1,B70=""),"",VLOOKUP(OP!$C$55,PA,$B70+1,0)*OP!$C$28)</f>
        <v>0</v>
      </c>
      <c r="K70" s="690">
        <f ca="1">IF(OR(OP!$D$53=1,B70=""),"",VLOOKUP($B70,more1,7,0))</f>
        <v>22803</v>
      </c>
      <c r="L70" s="690">
        <f ca="1">IF(OR(OP!$D$53=1,B70="",$B70&lt;=計算!$P$4),"",VLOOKUP($B70,more1,6,0))</f>
        <v>1817206</v>
      </c>
      <c r="M70" s="690">
        <f ca="1">IF(OR(OP!$D$53=1,B70="",AND($B70&gt;=計算!$P$4,$C70&lt;15),ISERROR(VLOOKUP($B70,MORE_PV,4,0))),"",VLOOKUP($B70,MORE_PV,4,0))</f>
        <v>0</v>
      </c>
      <c r="N70" s="692">
        <f ca="1">IF(OR(OP!$D$53=1,B70="",$C70&lt;15,ISERROR(VLOOKUP($B70,MORE_PV,5,0))),"",VLOOKUP($B70,MORE_PV,5,0))</f>
        <v>8012</v>
      </c>
      <c r="O70" s="692">
        <f ca="1">IF(OR(OP!$D$53=1,$B70="",ISERROR(VLOOKUP($B70-1,MORE_PV,9,0))),"",VLOOKUP($B70-1,MORE_PV,9,0))</f>
        <v>0</v>
      </c>
      <c r="P70" s="692">
        <f ca="1">IF(OR(OP!$D$53=1,$B70="",ISERROR($O70)),"",N($P69)+N($O70))</f>
        <v>0</v>
      </c>
      <c r="Q70" s="692">
        <f ca="1">IF(OR(OP!$D$53=1,B70=""),"",ROUND(VLOOKUP($B70,MORE_PV,8,0),0))</f>
        <v>76434</v>
      </c>
      <c r="R70" s="692">
        <f ca="1">IF(OR(OP!$D$53=1,B70=""),"",ROUND(VLOOKUP($B70,MORE_PV,7,0),0))</f>
        <v>76084</v>
      </c>
      <c r="S70" s="692">
        <f ca="1">IF(OR(OP!$D$53=1,B70=""),"",N($F70)+N(O70))</f>
        <v>0</v>
      </c>
      <c r="T70" s="692">
        <f ca="1">IF(OR(OP!$D$53=1,$B70=""),0,N(T69)+N($S70))</f>
        <v>0</v>
      </c>
      <c r="U70" s="690">
        <f ca="1">IF(OR(OP!$D$53=1,B70=""),"",N($H70)+IF(AND($B70&gt;計算!$P$4,計算!$G$6="現金給付"),N($K70),IF(AND($B70&gt;計算!$P$4,計算!$G$6="儲存生息"),N($L70),0))+N($Q70))</f>
        <v>5137240</v>
      </c>
      <c r="V70" s="690">
        <f ca="1">IF(OR(OP!$D$53=1,$B70=""),"",N($I70)+IF(AND($B70&gt;計算!$P$4,計算!$G$6="現金給付"),N($K70),IF(AND($B70&gt;計算!$P$4,計算!$G$6="儲存生息"),N($L70),0))+N(R70))</f>
        <v>5122032</v>
      </c>
      <c r="W70" s="422"/>
      <c r="X70" s="422"/>
      <c r="Y70" s="786">
        <f ca="1">IF(OR(OP!$D$53=1,$B70=""),"",((($H70+$Q70)-IF(AND(計算!$G$6=計算!$P$5,$B70=OP!$C$57),$K70,0))*IF(OR($C70&lt;16,Z70=0,Z70=""),1,PYO))+IF(AND($B70&gt;計算!$P$4,計算!$G$6="現金給付"),N($K70),IF(AND($B70&gt;計算!$P$4,計算!$G$6="儲存生息"),N($L70),0))+IF(AND(計算!$G$6=計算!$P$5,$B70=OP!$C$57),$K70,0))</f>
        <v>4473233.2</v>
      </c>
      <c r="Z70" s="786">
        <f ca="1">IF(OR(OP!$D$53=1,$B70=""),"",(($H70+Q70)-IF(AND(計算!$G$6="購買增額繳清保險",$B70=OP!$C$57),$K70,0))*IF(OR($C70&lt;16,($H70+$Q70)*PY!$C$4&lt;PY!$D$5,($H70+$Q70)*PY!$C$4*PYR&lt;PY!$C$5),0,PYY)*PYR)</f>
        <v>39812.232059682348</v>
      </c>
    </row>
    <row r="71" spans="2:26" hidden="1">
      <c r="B71" s="693">
        <f t="shared" ca="1" si="1"/>
        <v>68</v>
      </c>
      <c r="C71" s="689">
        <f ca="1">IF(OR(OP!$D$53=1,MAX($C$4:C70)&gt;=110),"",C70+(B71-B70))</f>
        <v>100</v>
      </c>
      <c r="D71" s="690" t="str">
        <f ca="1">IF(OR(OP!$D$53=1,AND(B71&gt;OP!$C$24)),"",OP!$C$52-IF($C71&lt;16,$K70,0))</f>
        <v/>
      </c>
      <c r="E71" s="690">
        <f ca="1">IF(OR(OP!$D$53=1,B71=""),"",N(E70)+N(D71))</f>
        <v>1000998</v>
      </c>
      <c r="F71" s="690" t="str">
        <f ca="1">IF(OR(OP!$D$53=1,$B71="",ISERROR(VLOOKUP(OP!$C$55,SRV,$B71+1,0))),"",ROUND(VLOOKUP(OP!$C$55,SRV,$B71+1,0)*OP!$C$28,0))</f>
        <v/>
      </c>
      <c r="G71" s="690" t="str">
        <f ca="1">IF(OR(OP!$D$53=1,$B71="",ISERROR(VLOOKUP(OP!$C$55,SRV,$B71+1,0))),"",N(G70)+N(F71))</f>
        <v/>
      </c>
      <c r="H71" s="690">
        <f ca="1">IF(OR(OP!$D$53=1,B71=""),"",ROUND(VLOOKUP(OP!$C$55,DIE,$B71+1,0)*OP!$C$28,0))</f>
        <v>3291200</v>
      </c>
      <c r="I71" s="691">
        <f ca="1">IF(OR(OP!$D$53=1,B71=""),"",ROUND(VLOOKUP(OP!$C$55,CV,$B71+1,0)*OP!$C$28,0))</f>
        <v>3278042</v>
      </c>
      <c r="J71" s="691">
        <f ca="1">IF(OR(OP!$D$53=1,B71=""),"",VLOOKUP(OP!$C$55,PA,$B71+1,0)*OP!$C$28)</f>
        <v>0</v>
      </c>
      <c r="K71" s="690">
        <f ca="1">IF(OR(OP!$D$53=1,B71=""),"",VLOOKUP($B71,more1,7,0))</f>
        <v>23151</v>
      </c>
      <c r="L71" s="690">
        <f ca="1">IF(OR(OP!$D$53=1,B71="",$B71&lt;=計算!$P$4),"",VLOOKUP($B71,more1,6,0))</f>
        <v>1889847</v>
      </c>
      <c r="M71" s="690">
        <f ca="1">IF(OR(OP!$D$53=1,B71="",AND($B71&gt;=計算!$P$4,$C71&lt;15),ISERROR(VLOOKUP($B71,MORE_PV,4,0))),"",VLOOKUP($B71,MORE_PV,4,0))</f>
        <v>0</v>
      </c>
      <c r="N71" s="692">
        <f ca="1">IF(OR(OP!$D$53=1,B71="",$C71&lt;15,ISERROR(VLOOKUP($B71,MORE_PV,5,0))),"",VLOOKUP($B71,MORE_PV,5,0))</f>
        <v>8012</v>
      </c>
      <c r="O71" s="692">
        <f ca="1">IF(OR(OP!$D$53=1,$B71="",ISERROR(VLOOKUP($B71-1,MORE_PV,9,0))),"",VLOOKUP($B71-1,MORE_PV,9,0))</f>
        <v>0</v>
      </c>
      <c r="P71" s="692">
        <f ca="1">IF(OR(OP!$D$53=1,$B71="",ISERROR($O71)),"",N($P70)+N($O71))</f>
        <v>0</v>
      </c>
      <c r="Q71" s="692">
        <f ca="1">IF(OR(OP!$D$53=1,B71=""),"",ROUND(VLOOKUP($B71,MORE_PV,8,0),0))</f>
        <v>77556</v>
      </c>
      <c r="R71" s="692">
        <f ca="1">IF(OR(OP!$D$53=1,B71=""),"",ROUND(VLOOKUP($B71,MORE_PV,7,0),0))</f>
        <v>77246</v>
      </c>
      <c r="S71" s="692">
        <f ca="1">IF(OR(OP!$D$53=1,B71=""),"",N($F71)+N(O71))</f>
        <v>0</v>
      </c>
      <c r="T71" s="692">
        <f ca="1">IF(OR(OP!$D$53=1,$B71=""),0,N(T70)+N($S71))</f>
        <v>0</v>
      </c>
      <c r="U71" s="690">
        <f ca="1">IF(OR(OP!$D$53=1,B71=""),"",N($H71)+IF(AND($B71&gt;計算!$P$4,計算!$G$6="現金給付"),N($K71),IF(AND($B71&gt;計算!$P$4,計算!$G$6="儲存生息"),N($L71),0))+N($Q71))</f>
        <v>5258603</v>
      </c>
      <c r="V71" s="690">
        <f ca="1">IF(OR(OP!$D$53=1,$B71=""),"",N($I71)+IF(AND($B71&gt;計算!$P$4,計算!$G$6="現金給付"),N($K71),IF(AND($B71&gt;計算!$P$4,計算!$G$6="儲存生息"),N($L71),0))+N(R71))</f>
        <v>5245135</v>
      </c>
      <c r="W71" s="422"/>
      <c r="X71" s="422"/>
      <c r="Y71" s="786">
        <f ca="1">IF(OR(OP!$D$53=1,$B71=""),"",((($H71+$Q71)-IF(AND(計算!$G$6=計算!$P$5,$B71=OP!$C$57),$K71,0))*IF(OR($C71&lt;16,Z71=0,Z71=""),1,PYO))+IF(AND($B71&gt;計算!$P$4,計算!$G$6="現金給付"),N($K71),IF(AND($B71&gt;計算!$P$4,計算!$G$6="儲存生息"),N($L71),0))+IF(AND(計算!$G$6=計算!$P$5,$B71=OP!$C$57),$K71,0))</f>
        <v>4584851.8000000007</v>
      </c>
      <c r="Z71" s="786">
        <f ca="1">IF(OR(OP!$D$53=1,$B71=""),"",(($H71+Q71)-IF(AND(計算!$G$6="購買增額繳清保險",$B71=OP!$C$57),$K71,0))*IF(OR($C71&lt;16,($H71+$Q71)*PY!$C$4&lt;PY!$D$5,($H71+$Q71)*PY!$C$4*PYR&lt;PY!$C$5),0,PYY)*PYR)</f>
        <v>40396.482573505957</v>
      </c>
    </row>
    <row r="72" spans="2:26" hidden="1">
      <c r="B72" s="693">
        <f t="shared" ca="1" si="1"/>
        <v>69</v>
      </c>
      <c r="C72" s="689">
        <f ca="1">IF(OR(OP!$D$53=1,MAX($C$4:C71)&gt;=110),"",C71+(B72-B71))</f>
        <v>101</v>
      </c>
      <c r="D72" s="690" t="str">
        <f ca="1">IF(OR(OP!$D$53=1,AND(B72&gt;OP!$C$24)),"",OP!$C$52-IF($C72&lt;16,$K71,0))</f>
        <v/>
      </c>
      <c r="E72" s="690">
        <f ca="1">IF(OR(OP!$D$53=1,B72=""),"",N(E71)+N(D72))</f>
        <v>1000998</v>
      </c>
      <c r="F72" s="690" t="str">
        <f ca="1">IF(OR(OP!$D$53=1,$B72="",ISERROR(VLOOKUP(OP!$C$55,SRV,$B72+1,0))),"",ROUND(VLOOKUP(OP!$C$55,SRV,$B72+1,0)*OP!$C$28,0))</f>
        <v/>
      </c>
      <c r="G72" s="690" t="str">
        <f ca="1">IF(OR(OP!$D$53=1,$B72="",ISERROR(VLOOKUP(OP!$C$55,SRV,$B72+1,0))),"",N(G71)+N(F72))</f>
        <v/>
      </c>
      <c r="H72" s="690">
        <f ca="1">IF(OR(OP!$D$53=1,B72=""),"",ROUND(VLOOKUP(OP!$C$55,DIE,$B72+1,0)*OP!$C$28,0))</f>
        <v>3338800</v>
      </c>
      <c r="I72" s="691">
        <f ca="1">IF(OR(OP!$D$53=1,B72=""),"",ROUND(VLOOKUP(OP!$C$55,CV,$B72+1,0)*OP!$C$28,0))</f>
        <v>3327410</v>
      </c>
      <c r="J72" s="691">
        <f ca="1">IF(OR(OP!$D$53=1,B72=""),"",VLOOKUP(OP!$C$55,PA,$B72+1,0)*OP!$C$28)</f>
        <v>0</v>
      </c>
      <c r="K72" s="690">
        <f ca="1">IF(OR(OP!$D$53=1,B72=""),"",VLOOKUP($B72,more1,7,0))</f>
        <v>23500</v>
      </c>
      <c r="L72" s="690">
        <f ca="1">IF(OR(OP!$D$53=1,B72="",$B72&lt;=計算!$P$4),"",VLOOKUP($B72,more1,6,0))</f>
        <v>1964816</v>
      </c>
      <c r="M72" s="690">
        <f ca="1">IF(OR(OP!$D$53=1,B72="",AND($B72&gt;=計算!$P$4,$C72&lt;15),ISERROR(VLOOKUP($B72,MORE_PV,4,0))),"",VLOOKUP($B72,MORE_PV,4,0))</f>
        <v>0</v>
      </c>
      <c r="N72" s="692">
        <f ca="1">IF(OR(OP!$D$53=1,B72="",$C72&lt;15,ISERROR(VLOOKUP($B72,MORE_PV,5,0))),"",VLOOKUP($B72,MORE_PV,5,0))</f>
        <v>8012</v>
      </c>
      <c r="O72" s="692">
        <f ca="1">IF(OR(OP!$D$53=1,$B72="",ISERROR(VLOOKUP($B72-1,MORE_PV,9,0))),"",VLOOKUP($B72-1,MORE_PV,9,0))</f>
        <v>0</v>
      </c>
      <c r="P72" s="692">
        <f ca="1">IF(OR(OP!$D$53=1,$B72="",ISERROR($O72)),"",N($P71)+N($O72))</f>
        <v>0</v>
      </c>
      <c r="Q72" s="692">
        <f ca="1">IF(OR(OP!$D$53=1,B72=""),"",ROUND(VLOOKUP($B72,MORE_PV,8,0),0))</f>
        <v>78678</v>
      </c>
      <c r="R72" s="692">
        <f ca="1">IF(OR(OP!$D$53=1,B72=""),"",ROUND(VLOOKUP($B72,MORE_PV,7,0),0))</f>
        <v>78409</v>
      </c>
      <c r="S72" s="692">
        <f ca="1">IF(OR(OP!$D$53=1,B72=""),"",N($F72)+N(O72))</f>
        <v>0</v>
      </c>
      <c r="T72" s="692">
        <f ca="1">IF(OR(OP!$D$53=1,$B72=""),0,N(T71)+N($S72))</f>
        <v>0</v>
      </c>
      <c r="U72" s="690">
        <f ca="1">IF(OR(OP!$D$53=1,B72=""),"",N($H72)+IF(AND($B72&gt;計算!$P$4,計算!$G$6="現金給付"),N($K72),IF(AND($B72&gt;計算!$P$4,計算!$G$6="儲存生息"),N($L72),0))+N($Q72))</f>
        <v>5382294</v>
      </c>
      <c r="V72" s="690">
        <f ca="1">IF(OR(OP!$D$53=1,$B72=""),"",N($I72)+IF(AND($B72&gt;計算!$P$4,計算!$G$6="現金給付"),N($K72),IF(AND($B72&gt;計算!$P$4,計算!$G$6="儲存生息"),N($L72),0))+N(R72))</f>
        <v>5370635</v>
      </c>
      <c r="W72" s="422"/>
      <c r="X72" s="422"/>
      <c r="Y72" s="786">
        <f ca="1">IF(OR(OP!$D$53=1,$B72=""),"",((($H72+$Q72)-IF(AND(計算!$G$6=計算!$P$5,$B72=OP!$C$57),$K72,0))*IF(OR($C72&lt;16,Z72=0,Z72=""),1,PYO))+IF(AND($B72&gt;計算!$P$4,計算!$G$6="現金給付"),N($K72),IF(AND($B72&gt;計算!$P$4,計算!$G$6="儲存生息"),N($L72),0))+IF(AND(計算!$G$6=計算!$P$5,$B72=OP!$C$57),$K72,0))</f>
        <v>4698798.4000000004</v>
      </c>
      <c r="Z72" s="786">
        <f ca="1">IF(OR(OP!$D$53=1,$B72=""),"",(($H72+Q72)-IF(AND(計算!$G$6="購買增額繳清保險",$B72=OP!$C$57),$K72,0))*IF(OR($C72&lt;16,($H72+$Q72)*PY!$C$4&lt;PY!$D$5,($H72+$Q72)*PY!$C$4*PYR&lt;PY!$C$5),0,PYY)*PYR)</f>
        <v>40980.733087329565</v>
      </c>
    </row>
    <row r="73" spans="2:26" hidden="1">
      <c r="B73" s="693">
        <f t="shared" ca="1" si="1"/>
        <v>70</v>
      </c>
      <c r="C73" s="689">
        <f ca="1">IF(OR(OP!$D$53=1,MAX($C$4:C72)&gt;=110),"",C72+(B73-B72))</f>
        <v>102</v>
      </c>
      <c r="D73" s="690" t="str">
        <f ca="1">IF(OR(OP!$D$53=1,AND(B73&gt;OP!$C$24)),"",OP!$C$52-IF($C73&lt;16,$K72,0))</f>
        <v/>
      </c>
      <c r="E73" s="690">
        <f ca="1">IF(OR(OP!$D$53=1,B73=""),"",N(E72)+N(D73))</f>
        <v>1000998</v>
      </c>
      <c r="F73" s="690" t="str">
        <f ca="1">IF(OR(OP!$D$53=1,$B73="",ISERROR(VLOOKUP(OP!$C$55,SRV,$B73+1,0))),"",ROUND(VLOOKUP(OP!$C$55,SRV,$B73+1,0)*OP!$C$28,0))</f>
        <v/>
      </c>
      <c r="G73" s="690" t="str">
        <f ca="1">IF(OR(OP!$D$53=1,$B73="",ISERROR(VLOOKUP(OP!$C$55,SRV,$B73+1,0))),"",N(G72)+N(F73))</f>
        <v/>
      </c>
      <c r="H73" s="690">
        <f ca="1">IF(OR(OP!$D$53=1,B73=""),"",ROUND(VLOOKUP(OP!$C$55,DIE,$B73+1,0)*OP!$C$28,0))</f>
        <v>3386400</v>
      </c>
      <c r="I73" s="691">
        <f ca="1">IF(OR(OP!$D$53=1,B73=""),"",ROUND(VLOOKUP(OP!$C$55,CV,$B73+1,0)*OP!$C$28,0))</f>
        <v>3376846</v>
      </c>
      <c r="J73" s="691">
        <f ca="1">IF(OR(OP!$D$53=1,B73=""),"",VLOOKUP(OP!$C$55,PA,$B73+1,0)*OP!$C$28)</f>
        <v>0</v>
      </c>
      <c r="K73" s="690">
        <f ca="1">IF(OR(OP!$D$53=1,B73=""),"",VLOOKUP($B73,more1,7,0))</f>
        <v>23849</v>
      </c>
      <c r="L73" s="690">
        <f ca="1">IF(OR(OP!$D$53=1,B73="",$B73&lt;=計算!$P$4),"",VLOOKUP($B73,more1,6,0))</f>
        <v>2042175</v>
      </c>
      <c r="M73" s="690">
        <f ca="1">IF(OR(OP!$D$53=1,B73="",AND($B73&gt;=計算!$P$4,$C73&lt;15),ISERROR(VLOOKUP($B73,MORE_PV,4,0))),"",VLOOKUP($B73,MORE_PV,4,0))</f>
        <v>0</v>
      </c>
      <c r="N73" s="692">
        <f ca="1">IF(OR(OP!$D$53=1,B73="",$C73&lt;15,ISERROR(VLOOKUP($B73,MORE_PV,5,0))),"",VLOOKUP($B73,MORE_PV,5,0))</f>
        <v>8012</v>
      </c>
      <c r="O73" s="692">
        <f ca="1">IF(OR(OP!$D$53=1,$B73="",ISERROR(VLOOKUP($B73-1,MORE_PV,9,0))),"",VLOOKUP($B73-1,MORE_PV,9,0))</f>
        <v>0</v>
      </c>
      <c r="P73" s="692">
        <f ca="1">IF(OR(OP!$D$53=1,$B73="",ISERROR($O73)),"",N($P72)+N($O73))</f>
        <v>0</v>
      </c>
      <c r="Q73" s="692">
        <f ca="1">IF(OR(OP!$D$53=1,B73=""),"",ROUND(VLOOKUP($B73,MORE_PV,8,0),0))</f>
        <v>79800</v>
      </c>
      <c r="R73" s="692">
        <f ca="1">IF(OR(OP!$D$53=1,B73=""),"",ROUND(VLOOKUP($B73,MORE_PV,7,0),0))</f>
        <v>79574</v>
      </c>
      <c r="S73" s="692">
        <f ca="1">IF(OR(OP!$D$53=1,B73=""),"",N($F73)+N(O73))</f>
        <v>0</v>
      </c>
      <c r="T73" s="692">
        <f ca="1">IF(OR(OP!$D$53=1,$B73=""),0,N(T72)+N($S73))</f>
        <v>0</v>
      </c>
      <c r="U73" s="690">
        <f ca="1">IF(OR(OP!$D$53=1,B73=""),"",N($H73)+IF(AND($B73&gt;計算!$P$4,計算!$G$6="現金給付"),N($K73),IF(AND($B73&gt;計算!$P$4,計算!$G$6="儲存生息"),N($L73),0))+N($Q73))</f>
        <v>5508375</v>
      </c>
      <c r="V73" s="690">
        <f ca="1">IF(OR(OP!$D$53=1,$B73=""),"",N($I73)+IF(AND($B73&gt;計算!$P$4,計算!$G$6="現金給付"),N($K73),IF(AND($B73&gt;計算!$P$4,計算!$G$6="儲存生息"),N($L73),0))+N(R73))</f>
        <v>5498595</v>
      </c>
      <c r="W73" s="422"/>
      <c r="X73" s="422"/>
      <c r="Y73" s="786">
        <f ca="1">IF(OR(OP!$D$53=1,$B73=""),"",((($H73+$Q73)-IF(AND(計算!$G$6=計算!$P$5,$B73=OP!$C$57),$K73,0))*IF(OR($C73&lt;16,Z73=0,Z73=""),1,PYO))+IF(AND($B73&gt;計算!$P$4,計算!$G$6="現金給付"),N($K73),IF(AND($B73&gt;計算!$P$4,計算!$G$6="儲存生息"),N($L73),0))+IF(AND(計算!$G$6=計算!$P$5,$B73=OP!$C$57),$K73,0))</f>
        <v>4815135</v>
      </c>
      <c r="Z73" s="786">
        <f ca="1">IF(OR(OP!$D$53=1,$B73=""),"",(($H73+Q73)-IF(AND(計算!$G$6="購買增額繳清保險",$B73=OP!$C$57),$K73,0))*IF(OR($C73&lt;16,($H73+$Q73)*PY!$C$4&lt;PY!$D$5,($H73+$Q73)*PY!$C$4*PYR&lt;PY!$C$5),0,PYY)*PYR)</f>
        <v>41564.983601153166</v>
      </c>
    </row>
    <row r="74" spans="2:26" hidden="1">
      <c r="B74" s="693">
        <f t="shared" ca="1" si="1"/>
        <v>71</v>
      </c>
      <c r="C74" s="689">
        <f ca="1">IF(OR(OP!$D$53=1,MAX($C$4:C73)&gt;=110),"",C73+(B74-B73))</f>
        <v>103</v>
      </c>
      <c r="D74" s="690" t="str">
        <f ca="1">IF(OR(OP!$D$53=1,AND(B74&gt;OP!$C$24)),"",OP!$C$52-IF($C74&lt;16,$K73,0))</f>
        <v/>
      </c>
      <c r="E74" s="690">
        <f ca="1">IF(OR(OP!$D$53=1,B74=""),"",N(E73)+N(D74))</f>
        <v>1000998</v>
      </c>
      <c r="F74" s="690" t="str">
        <f ca="1">IF(OR(OP!$D$53=1,$B74="",ISERROR(VLOOKUP(OP!$C$55,SRV,$B74+1,0))),"",ROUND(VLOOKUP(OP!$C$55,SRV,$B74+1,0)*OP!$C$28,0))</f>
        <v/>
      </c>
      <c r="G74" s="690" t="str">
        <f ca="1">IF(OR(OP!$D$53=1,$B74="",ISERROR(VLOOKUP(OP!$C$55,SRV,$B74+1,0))),"",N(G73)+N(F74))</f>
        <v/>
      </c>
      <c r="H74" s="690">
        <f ca="1">IF(OR(OP!$D$53=1,B74=""),"",ROUND(VLOOKUP(OP!$C$55,DIE,$B74+1,0)*OP!$C$28,0))</f>
        <v>3434000</v>
      </c>
      <c r="I74" s="691">
        <f ca="1">IF(OR(OP!$D$53=1,B74=""),"",ROUND(VLOOKUP(OP!$C$55,CV,$B74+1,0)*OP!$C$28,0))</f>
        <v>3426316</v>
      </c>
      <c r="J74" s="691">
        <f ca="1">IF(OR(OP!$D$53=1,B74=""),"",VLOOKUP(OP!$C$55,PA,$B74+1,0)*OP!$C$28)</f>
        <v>0</v>
      </c>
      <c r="K74" s="690">
        <f ca="1">IF(OR(OP!$D$53=1,B74=""),"",VLOOKUP($B74,more1,7,0))</f>
        <v>24199</v>
      </c>
      <c r="L74" s="690">
        <f ca="1">IF(OR(OP!$D$53=1,B74="",$B74&lt;=計算!$P$4),"",VLOOKUP($B74,more1,6,0))</f>
        <v>2122145</v>
      </c>
      <c r="M74" s="690">
        <f ca="1">IF(OR(OP!$D$53=1,B74="",AND($B74&gt;=計算!$P$4,$C74&lt;15),ISERROR(VLOOKUP($B74,MORE_PV,4,0))),"",VLOOKUP($B74,MORE_PV,4,0))</f>
        <v>0</v>
      </c>
      <c r="N74" s="692">
        <f ca="1">IF(OR(OP!$D$53=1,B74="",$C74&lt;15,ISERROR(VLOOKUP($B74,MORE_PV,5,0))),"",VLOOKUP($B74,MORE_PV,5,0))</f>
        <v>8012</v>
      </c>
      <c r="O74" s="692">
        <f ca="1">IF(OR(OP!$D$53=1,$B74="",ISERROR(VLOOKUP($B74-1,MORE_PV,9,0))),"",VLOOKUP($B74-1,MORE_PV,9,0))</f>
        <v>0</v>
      </c>
      <c r="P74" s="692">
        <f ca="1">IF(OR(OP!$D$53=1,$B74="",ISERROR($O74)),"",N($P73)+N($O74))</f>
        <v>0</v>
      </c>
      <c r="Q74" s="692">
        <f ca="1">IF(OR(OP!$D$53=1,B74=""),"",ROUND(VLOOKUP($B74,MORE_PV,8,0),0))</f>
        <v>80921</v>
      </c>
      <c r="R74" s="692">
        <f ca="1">IF(OR(OP!$D$53=1,B74=""),"",ROUND(VLOOKUP($B74,MORE_PV,7,0),0))</f>
        <v>80740</v>
      </c>
      <c r="S74" s="692">
        <f ca="1">IF(OR(OP!$D$53=1,B74=""),"",N($F74)+N(O74))</f>
        <v>0</v>
      </c>
      <c r="T74" s="692">
        <f ca="1">IF(OR(OP!$D$53=1,$B74=""),0,N(T73)+N($S74))</f>
        <v>0</v>
      </c>
      <c r="U74" s="690">
        <f ca="1">IF(OR(OP!$D$53=1,B74=""),"",N($H74)+IF(AND($B74&gt;計算!$P$4,計算!$G$6="現金給付"),N($K74),IF(AND($B74&gt;計算!$P$4,計算!$G$6="儲存生息"),N($L74),0))+N($Q74))</f>
        <v>5637066</v>
      </c>
      <c r="V74" s="690">
        <f ca="1">IF(OR(OP!$D$53=1,$B74=""),"",N($I74)+IF(AND($B74&gt;計算!$P$4,計算!$G$6="現金給付"),N($K74),IF(AND($B74&gt;計算!$P$4,計算!$G$6="儲存生息"),N($L74),0))+N(R74))</f>
        <v>5629201</v>
      </c>
      <c r="W74" s="422"/>
      <c r="X74" s="422"/>
      <c r="Y74" s="786">
        <f ca="1">IF(OR(OP!$D$53=1,$B74=""),"",((($H74+$Q74)-IF(AND(計算!$G$6=計算!$P$5,$B74=OP!$C$57),$K74,0))*IF(OR($C74&lt;16,Z74=0,Z74=""),1,PYO))+IF(AND($B74&gt;計算!$P$4,計算!$G$6="現金給付"),N($K74),IF(AND($B74&gt;計算!$P$4,計算!$G$6="儲存生息"),N($L74),0))+IF(AND(計算!$G$6=計算!$P$5,$B74=OP!$C$57),$K74,0))</f>
        <v>4934081.8000000007</v>
      </c>
      <c r="Z74" s="786">
        <f ca="1">IF(OR(OP!$D$53=1,$B74=""),"",(($H74+Q74)-IF(AND(計算!$G$6="購買增額繳清保險",$B74=OP!$C$57),$K74,0))*IF(OR($C74&lt;16,($H74+$Q74)*PY!$C$4&lt;PY!$D$5,($H74+$Q74)*PY!$C$4*PYR&lt;PY!$C$5),0,PYY)*PYR)</f>
        <v>42149.22212346342</v>
      </c>
    </row>
    <row r="75" spans="2:26" hidden="1">
      <c r="B75" s="693">
        <f t="shared" ca="1" si="1"/>
        <v>72</v>
      </c>
      <c r="C75" s="689">
        <f ca="1">IF(OR(OP!$D$53=1,MAX($C$4:C74)&gt;=110),"",C74+(B75-B74))</f>
        <v>104</v>
      </c>
      <c r="D75" s="690" t="str">
        <f ca="1">IF(OR(OP!$D$53=1,AND(B75&gt;OP!$C$24)),"",OP!$C$52-IF($C75&lt;16,$K74,0))</f>
        <v/>
      </c>
      <c r="E75" s="690">
        <f ca="1">IF(OR(OP!$D$53=1,B75=""),"",N(E74)+N(D75))</f>
        <v>1000998</v>
      </c>
      <c r="F75" s="690" t="str">
        <f ca="1">IF(OR(OP!$D$53=1,$B75="",ISERROR(VLOOKUP(OP!$C$55,SRV,$B75+1,0))),"",ROUND(VLOOKUP(OP!$C$55,SRV,$B75+1,0)*OP!$C$28,0))</f>
        <v/>
      </c>
      <c r="G75" s="690" t="str">
        <f ca="1">IF(OR(OP!$D$53=1,$B75="",ISERROR(VLOOKUP(OP!$C$55,SRV,$B75+1,0))),"",N(G74)+N(F75))</f>
        <v/>
      </c>
      <c r="H75" s="690">
        <f ca="1">IF(OR(OP!$D$53=1,B75=""),"",ROUND(VLOOKUP(OP!$C$55,DIE,$B75+1,0)*OP!$C$28,0))</f>
        <v>3481600</v>
      </c>
      <c r="I75" s="691">
        <f ca="1">IF(OR(OP!$D$53=1,B75=""),"",ROUND(VLOOKUP(OP!$C$55,CV,$B75+1,0)*OP!$C$28,0))</f>
        <v>3475854</v>
      </c>
      <c r="J75" s="691">
        <f ca="1">IF(OR(OP!$D$53=1,B75=""),"",VLOOKUP(OP!$C$55,PA,$B75+1,0)*OP!$C$28)</f>
        <v>0</v>
      </c>
      <c r="K75" s="690">
        <f ca="1">IF(OR(OP!$D$53=1,B75=""),"",VLOOKUP($B75,more1,7,0))</f>
        <v>24548</v>
      </c>
      <c r="L75" s="690">
        <f ca="1">IF(OR(OP!$D$53=1,B75="",$B75&lt;=計算!$P$4),"",VLOOKUP($B75,more1,6,0))</f>
        <v>2204488</v>
      </c>
      <c r="M75" s="690">
        <f ca="1">IF(OR(OP!$D$53=1,B75="",AND($B75&gt;=計算!$P$4,$C75&lt;15),ISERROR(VLOOKUP($B75,MORE_PV,4,0))),"",VLOOKUP($B75,MORE_PV,4,0))</f>
        <v>0</v>
      </c>
      <c r="N75" s="692">
        <f ca="1">IF(OR(OP!$D$53=1,B75="",$C75&lt;15,ISERROR(VLOOKUP($B75,MORE_PV,5,0))),"",VLOOKUP($B75,MORE_PV,5,0))</f>
        <v>8012</v>
      </c>
      <c r="O75" s="692">
        <f ca="1">IF(OR(OP!$D$53=1,$B75="",ISERROR(VLOOKUP($B75-1,MORE_PV,9,0))),"",VLOOKUP($B75-1,MORE_PV,9,0))</f>
        <v>0</v>
      </c>
      <c r="P75" s="692">
        <f ca="1">IF(OR(OP!$D$53=1,$B75="",ISERROR($O75)),"",N($P74)+N($O75))</f>
        <v>0</v>
      </c>
      <c r="Q75" s="692">
        <f ca="1">IF(OR(OP!$D$53=1,B75=""),"",ROUND(VLOOKUP($B75,MORE_PV,8,0),0))</f>
        <v>82043</v>
      </c>
      <c r="R75" s="692">
        <f ca="1">IF(OR(OP!$D$53=1,B75=""),"",ROUND(VLOOKUP($B75,MORE_PV,7,0),0))</f>
        <v>81907</v>
      </c>
      <c r="S75" s="692">
        <f ca="1">IF(OR(OP!$D$53=1,B75=""),"",N($F75)+N(O75))</f>
        <v>0</v>
      </c>
      <c r="T75" s="692">
        <f ca="1">IF(OR(OP!$D$53=1,$B75=""),0,N(T74)+N($S75))</f>
        <v>0</v>
      </c>
      <c r="U75" s="690">
        <f ca="1">IF(OR(OP!$D$53=1,B75=""),"",N($H75)+IF(AND($B75&gt;計算!$P$4,計算!$G$6="現金給付"),N($K75),IF(AND($B75&gt;計算!$P$4,計算!$G$6="儲存生息"),N($L75),0))+N($Q75))</f>
        <v>5768131</v>
      </c>
      <c r="V75" s="690">
        <f ca="1">IF(OR(OP!$D$53=1,$B75=""),"",N($I75)+IF(AND($B75&gt;計算!$P$4,計算!$G$6="現金給付"),N($K75),IF(AND($B75&gt;計算!$P$4,計算!$G$6="儲存生息"),N($L75),0))+N(R75))</f>
        <v>5762249</v>
      </c>
      <c r="W75" s="422"/>
      <c r="X75" s="422"/>
      <c r="Y75" s="786">
        <f ca="1">IF(OR(OP!$D$53=1,$B75=""),"",((($H75+$Q75)-IF(AND(計算!$G$6=計算!$P$5,$B75=OP!$C$57),$K75,0))*IF(OR($C75&lt;16,Z75=0,Z75=""),1,PYO))+IF(AND($B75&gt;計算!$P$4,計算!$G$6="現金給付"),N($K75),IF(AND($B75&gt;計算!$P$4,計算!$G$6="儲存生息"),N($L75),0))+IF(AND(計算!$G$6=計算!$P$5,$B75=OP!$C$57),$K75,0))</f>
        <v>5055402.4000000004</v>
      </c>
      <c r="Z75" s="786">
        <f ca="1">IF(OR(OP!$D$53=1,$B75=""),"",(($H75+Q75)-IF(AND(計算!$G$6="購買增額繳清保險",$B75=OP!$C$57),$K75,0))*IF(OR($C75&lt;16,($H75+$Q75)*PY!$C$4&lt;PY!$D$5,($H75+$Q75)*PY!$C$4*PYR&lt;PY!$C$5),0,PYY)*PYR)</f>
        <v>42733.472637287028</v>
      </c>
    </row>
    <row r="76" spans="2:26" hidden="1">
      <c r="B76" s="693">
        <f t="shared" ca="1" si="1"/>
        <v>73</v>
      </c>
      <c r="C76" s="689">
        <f ca="1">IF(OR(OP!$D$53=1,MAX($C$4:C75)&gt;=110),"",C75+(B76-B75))</f>
        <v>105</v>
      </c>
      <c r="D76" s="690" t="str">
        <f ca="1">IF(OR(OP!$D$53=1,AND(B76&gt;OP!$C$24)),"",OP!$C$52-IF($C76&lt;16,$K75,0))</f>
        <v/>
      </c>
      <c r="E76" s="690">
        <f ca="1">IF(OR(OP!$D$53=1,B76=""),"",N(E75)+N(D76))</f>
        <v>1000998</v>
      </c>
      <c r="F76" s="690" t="str">
        <f ca="1">IF(OR(OP!$D$53=1,$B76="",ISERROR(VLOOKUP(OP!$C$55,SRV,$B76+1,0))),"",ROUND(VLOOKUP(OP!$C$55,SRV,$B76+1,0)*OP!$C$28,0))</f>
        <v/>
      </c>
      <c r="G76" s="690" t="str">
        <f ca="1">IF(OR(OP!$D$53=1,$B76="",ISERROR(VLOOKUP(OP!$C$55,SRV,$B76+1,0))),"",N(G75)+N(F76))</f>
        <v/>
      </c>
      <c r="H76" s="690">
        <f ca="1">IF(OR(OP!$D$53=1,B76=""),"",ROUND(VLOOKUP(OP!$C$55,DIE,$B76+1,0)*OP!$C$28,0))</f>
        <v>3529200</v>
      </c>
      <c r="I76" s="691">
        <f ca="1">IF(OR(OP!$D$53=1,B76=""),"",ROUND(VLOOKUP(OP!$C$55,CV,$B76+1,0)*OP!$C$28,0))</f>
        <v>3525426</v>
      </c>
      <c r="J76" s="691">
        <f ca="1">IF(OR(OP!$D$53=1,B76=""),"",VLOOKUP(OP!$C$55,PA,$B76+1,0)*OP!$C$28)</f>
        <v>0</v>
      </c>
      <c r="K76" s="690">
        <f ca="1">IF(OR(OP!$D$53=1,B76=""),"",VLOOKUP($B76,more1,7,0))</f>
        <v>24898</v>
      </c>
      <c r="L76" s="690">
        <f ca="1">IF(OR(OP!$D$53=1,B76="",$B76&lt;=計算!$P$4),"",VLOOKUP($B76,more1,6,0))</f>
        <v>2289424</v>
      </c>
      <c r="M76" s="690">
        <f ca="1">IF(OR(OP!$D$53=1,B76="",AND($B76&gt;=計算!$P$4,$C76&lt;15),ISERROR(VLOOKUP($B76,MORE_PV,4,0))),"",VLOOKUP($B76,MORE_PV,4,0))</f>
        <v>0</v>
      </c>
      <c r="N76" s="692">
        <f ca="1">IF(OR(OP!$D$53=1,B76="",$C76&lt;15,ISERROR(VLOOKUP($B76,MORE_PV,5,0))),"",VLOOKUP($B76,MORE_PV,5,0))</f>
        <v>8012</v>
      </c>
      <c r="O76" s="692">
        <f ca="1">IF(OR(OP!$D$53=1,$B76="",ISERROR(VLOOKUP($B76-1,MORE_PV,9,0))),"",VLOOKUP($B76-1,MORE_PV,9,0))</f>
        <v>0</v>
      </c>
      <c r="P76" s="692">
        <f ca="1">IF(OR(OP!$D$53=1,$B76="",ISERROR($O76)),"",N($P75)+N($O76))</f>
        <v>0</v>
      </c>
      <c r="Q76" s="692">
        <f ca="1">IF(OR(OP!$D$53=1,B76=""),"",ROUND(VLOOKUP($B76,MORE_PV,8,0),0))</f>
        <v>83165</v>
      </c>
      <c r="R76" s="692">
        <f ca="1">IF(OR(OP!$D$53=1,B76=""),"",ROUND(VLOOKUP($B76,MORE_PV,7,0),0))</f>
        <v>83076</v>
      </c>
      <c r="S76" s="692">
        <f ca="1">IF(OR(OP!$D$53=1,B76=""),"",N($F76)+N(O76))</f>
        <v>0</v>
      </c>
      <c r="T76" s="692">
        <f ca="1">IF(OR(OP!$D$53=1,$B76=""),0,N(T75)+N($S76))</f>
        <v>0</v>
      </c>
      <c r="U76" s="690">
        <f ca="1">IF(OR(OP!$D$53=1,B76=""),"",N($H76)+IF(AND($B76&gt;計算!$P$4,計算!$G$6="現金給付"),N($K76),IF(AND($B76&gt;計算!$P$4,計算!$G$6="儲存生息"),N($L76),0))+N($Q76))</f>
        <v>5901789</v>
      </c>
      <c r="V76" s="690">
        <f ca="1">IF(OR(OP!$D$53=1,$B76=""),"",N($I76)+IF(AND($B76&gt;計算!$P$4,計算!$G$6="現金給付"),N($K76),IF(AND($B76&gt;計算!$P$4,計算!$G$6="儲存生息"),N($L76),0))+N(R76))</f>
        <v>5897926</v>
      </c>
      <c r="W76" s="422"/>
      <c r="X76" s="422"/>
      <c r="Y76" s="786">
        <f ca="1">IF(OR(OP!$D$53=1,$B76=""),"",((($H76+$Q76)-IF(AND(計算!$G$6=計算!$P$5,$B76=OP!$C$57),$K76,0))*IF(OR($C76&lt;16,Z76=0,Z76=""),1,PYO))+IF(AND($B76&gt;計算!$P$4,計算!$G$6="現金給付"),N($K76),IF(AND($B76&gt;計算!$P$4,計算!$G$6="儲存生息"),N($L76),0))+IF(AND(計算!$G$6=計算!$P$5,$B76=OP!$C$57),$K76,0))</f>
        <v>5179316</v>
      </c>
      <c r="Z76" s="786">
        <f ca="1">IF(OR(OP!$D$53=1,$B76=""),"",(($H76+Q76)-IF(AND(計算!$G$6="購買增額繳清保險",$B76=OP!$C$57),$K76,0))*IF(OR($C76&lt;16,($H76+$Q76)*PY!$C$4&lt;PY!$D$5,($H76+$Q76)*PY!$C$4*PYR&lt;PY!$C$5),0,PYY)*PYR)</f>
        <v>43317.723151110629</v>
      </c>
    </row>
    <row r="77" spans="2:26" hidden="1">
      <c r="B77" s="693">
        <f t="shared" ca="1" si="1"/>
        <v>74</v>
      </c>
      <c r="C77" s="689">
        <f ca="1">IF(OR(OP!$D$53=1,MAX($C$4:C76)&gt;=110),"",C76+(B77-B76))</f>
        <v>106</v>
      </c>
      <c r="D77" s="690" t="str">
        <f ca="1">IF(OR(OP!$D$53=1,AND(B77&gt;OP!$C$24)),"",OP!$C$52-IF($C77&lt;16,$K76,0))</f>
        <v/>
      </c>
      <c r="E77" s="690">
        <f ca="1">IF(OR(OP!$D$53=1,B77=""),"",N(E76)+N(D77))</f>
        <v>1000998</v>
      </c>
      <c r="F77" s="690" t="str">
        <f ca="1">IF(OR(OP!$D$53=1,$B77="",ISERROR(VLOOKUP(OP!$C$55,SRV,$B77+1,0))),"",ROUND(VLOOKUP(OP!$C$55,SRV,$B77+1,0)*OP!$C$28,0))</f>
        <v/>
      </c>
      <c r="G77" s="690" t="str">
        <f ca="1">IF(OR(OP!$D$53=1,$B77="",ISERROR(VLOOKUP(OP!$C$55,SRV,$B77+1,0))),"",N(G76)+N(F77))</f>
        <v/>
      </c>
      <c r="H77" s="690">
        <f ca="1">IF(OR(OP!$D$53=1,B77=""),"",ROUND(VLOOKUP(OP!$C$55,DIE,$B77+1,0)*OP!$C$28,0))</f>
        <v>3576800</v>
      </c>
      <c r="I77" s="691">
        <f ca="1">IF(OR(OP!$D$53=1,B77=""),"",ROUND(VLOOKUP(OP!$C$55,CV,$B77+1,0)*OP!$C$28,0))</f>
        <v>3575100</v>
      </c>
      <c r="J77" s="691">
        <f ca="1">IF(OR(OP!$D$53=1,B77=""),"",VLOOKUP(OP!$C$55,PA,$B77+1,0)*OP!$C$28)</f>
        <v>0</v>
      </c>
      <c r="K77" s="690">
        <f ca="1">IF(OR(OP!$D$53=1,B77=""),"",VLOOKUP($B77,more1,7,0))</f>
        <v>25249</v>
      </c>
      <c r="L77" s="690">
        <f ca="1">IF(OR(OP!$D$53=1,B77="",$B77&lt;=計算!$P$4),"",VLOOKUP($B77,more1,6,0))</f>
        <v>2377024</v>
      </c>
      <c r="M77" s="690">
        <f ca="1">IF(OR(OP!$D$53=1,B77="",AND($B77&gt;=計算!$P$4,$C77&lt;15),ISERROR(VLOOKUP($B77,MORE_PV,4,0))),"",VLOOKUP($B77,MORE_PV,4,0))</f>
        <v>0</v>
      </c>
      <c r="N77" s="692">
        <f ca="1">IF(OR(OP!$D$53=1,B77="",$C77&lt;15,ISERROR(VLOOKUP($B77,MORE_PV,5,0))),"",VLOOKUP($B77,MORE_PV,5,0))</f>
        <v>8012</v>
      </c>
      <c r="O77" s="692">
        <f ca="1">IF(OR(OP!$D$53=1,$B77="",ISERROR(VLOOKUP($B77-1,MORE_PV,9,0))),"",VLOOKUP($B77-1,MORE_PV,9,0))</f>
        <v>0</v>
      </c>
      <c r="P77" s="692">
        <f ca="1">IF(OR(OP!$D$53=1,$B77="",ISERROR($O77)),"",N($P76)+N($O77))</f>
        <v>0</v>
      </c>
      <c r="Q77" s="692">
        <f ca="1">IF(OR(OP!$D$53=1,B77=""),"",ROUND(VLOOKUP($B77,MORE_PV,8,0),0))</f>
        <v>84286</v>
      </c>
      <c r="R77" s="692">
        <f ca="1">IF(OR(OP!$D$53=1,B77=""),"",ROUND(VLOOKUP($B77,MORE_PV,7,0),0))</f>
        <v>84246</v>
      </c>
      <c r="S77" s="692">
        <f ca="1">IF(OR(OP!$D$53=1,B77=""),"",N($F77)+N(O77))</f>
        <v>0</v>
      </c>
      <c r="T77" s="692">
        <f ca="1">IF(OR(OP!$D$53=1,$B77=""),0,N(T76)+N($S77))</f>
        <v>0</v>
      </c>
      <c r="U77" s="690">
        <f ca="1">IF(OR(OP!$D$53=1,B77=""),"",N($H77)+IF(AND($B77&gt;計算!$P$4,計算!$G$6="現金給付"),N($K77),IF(AND($B77&gt;計算!$P$4,計算!$G$6="儲存生息"),N($L77),0))+N($Q77))</f>
        <v>6038110</v>
      </c>
      <c r="V77" s="690">
        <f ca="1">IF(OR(OP!$D$53=1,$B77=""),"",N($I77)+IF(AND($B77&gt;計算!$P$4,計算!$G$6="現金給付"),N($K77),IF(AND($B77&gt;計算!$P$4,計算!$G$6="儲存生息"),N($L77),0))+N(R77))</f>
        <v>6036370</v>
      </c>
      <c r="W77" s="422"/>
      <c r="X77" s="422"/>
      <c r="Y77" s="786">
        <f ca="1">IF(OR(OP!$D$53=1,$B77=""),"",((($H77+$Q77)-IF(AND(計算!$G$6=計算!$P$5,$B77=OP!$C$57),$K77,0))*IF(OR($C77&lt;16,Z77=0,Z77=""),1,PYO))+IF(AND($B77&gt;計算!$P$4,計算!$G$6="現金給付"),N($K77),IF(AND($B77&gt;計算!$P$4,計算!$G$6="儲存生息"),N($L77),0))+IF(AND(計算!$G$6=計算!$P$5,$B77=OP!$C$57),$K77,0))</f>
        <v>5305892.8000000007</v>
      </c>
      <c r="Z77" s="786">
        <f ca="1">IF(OR(OP!$D$53=1,$B77=""),"",(($H77+Q77)-IF(AND(計算!$G$6="購買增額繳清保險",$B77=OP!$C$57),$K77,0))*IF(OR($C77&lt;16,($H77+$Q77)*PY!$C$4&lt;PY!$D$5,($H77+$Q77)*PY!$C$4*PYR&lt;PY!$C$5),0,PYY)*PYR)</f>
        <v>43901.961673420883</v>
      </c>
    </row>
    <row r="78" spans="2:26" hidden="1">
      <c r="B78" s="693">
        <f t="shared" ca="1" si="1"/>
        <v>75</v>
      </c>
      <c r="C78" s="689">
        <f ca="1">IF(OR(OP!$D$53=1,MAX($C$4:C77)&gt;=110),"",C77+(B78-B77))</f>
        <v>107</v>
      </c>
      <c r="D78" s="690" t="str">
        <f ca="1">IF(OR(OP!$D$53=1,AND(B78&gt;OP!$C$24)),"",OP!$C$52-IF($C78&lt;16,$K77,0))</f>
        <v/>
      </c>
      <c r="E78" s="690">
        <f ca="1">IF(OR(OP!$D$53=1,B78=""),"",N(E77)+N(D78))</f>
        <v>1000998</v>
      </c>
      <c r="F78" s="690" t="str">
        <f ca="1">IF(OR(OP!$D$53=1,$B78="",ISERROR(VLOOKUP(OP!$C$55,SRV,$B78+1,0))),"",ROUND(VLOOKUP(OP!$C$55,SRV,$B78+1,0)*OP!$C$28,0))</f>
        <v/>
      </c>
      <c r="G78" s="690" t="str">
        <f ca="1">IF(OR(OP!$D$53=1,$B78="",ISERROR(VLOOKUP(OP!$C$55,SRV,$B78+1,0))),"",N(G77)+N(F78))</f>
        <v/>
      </c>
      <c r="H78" s="690">
        <f ca="1">IF(OR(OP!$D$53=1,B78=""),"",ROUND(VLOOKUP(OP!$C$55,DIE,$B78+1,0)*OP!$C$28,0))</f>
        <v>3625046</v>
      </c>
      <c r="I78" s="691">
        <f ca="1">IF(OR(OP!$D$53=1,B78=""),"",ROUND(VLOOKUP(OP!$C$55,CV,$B78+1,0)*OP!$C$28,0))</f>
        <v>3625046</v>
      </c>
      <c r="J78" s="691">
        <f ca="1">IF(OR(OP!$D$53=1,B78=""),"",VLOOKUP(OP!$C$55,PA,$B78+1,0)*OP!$C$28)</f>
        <v>0</v>
      </c>
      <c r="K78" s="690">
        <f ca="1">IF(OR(OP!$D$53=1,B78=""),"",VLOOKUP($B78,more1,7,0))</f>
        <v>25602</v>
      </c>
      <c r="L78" s="690">
        <f ca="1">IF(OR(OP!$D$53=1,B78="",$B78&lt;=計算!$P$4),"",VLOOKUP($B78,more1,6,0))</f>
        <v>2467542</v>
      </c>
      <c r="M78" s="690">
        <f ca="1">IF(OR(OP!$D$53=1,B78="",AND($B78&gt;=計算!$P$4,$C78&lt;15),ISERROR(VLOOKUP($B78,MORE_PV,4,0))),"",VLOOKUP($B78,MORE_PV,4,0))</f>
        <v>0</v>
      </c>
      <c r="N78" s="692">
        <f ca="1">IF(OR(OP!$D$53=1,B78="",$C78&lt;15,ISERROR(VLOOKUP($B78,MORE_PV,5,0))),"",VLOOKUP($B78,MORE_PV,5,0))</f>
        <v>8012</v>
      </c>
      <c r="O78" s="692">
        <f ca="1">IF(OR(OP!$D$53=1,$B78="",ISERROR(VLOOKUP($B78-1,MORE_PV,9,0))),"",VLOOKUP($B78-1,MORE_PV,9,0))</f>
        <v>0</v>
      </c>
      <c r="P78" s="692">
        <f ca="1">IF(OR(OP!$D$53=1,$B78="",ISERROR($O78)),"",N($P77)+N($O78))</f>
        <v>0</v>
      </c>
      <c r="Q78" s="692">
        <f ca="1">IF(OR(OP!$D$53=1,B78=""),"",ROUND(VLOOKUP($B78,MORE_PV,8,0),0))</f>
        <v>85423</v>
      </c>
      <c r="R78" s="692">
        <f ca="1">IF(OR(OP!$D$53=1,B78=""),"",ROUND(VLOOKUP($B78,MORE_PV,7,0),0))</f>
        <v>85423</v>
      </c>
      <c r="S78" s="692">
        <f ca="1">IF(OR(OP!$D$53=1,B78=""),"",N($F78)+N(O78))</f>
        <v>0</v>
      </c>
      <c r="T78" s="692">
        <f ca="1">IF(OR(OP!$D$53=1,$B78=""),0,N(T77)+N($S78))</f>
        <v>0</v>
      </c>
      <c r="U78" s="690">
        <f ca="1">IF(OR(OP!$D$53=1,B78=""),"",N($H78)+IF(AND($B78&gt;計算!$P$4,計算!$G$6="現金給付"),N($K78),IF(AND($B78&gt;計算!$P$4,計算!$G$6="儲存生息"),N($L78),0))+N($Q78))</f>
        <v>6178011</v>
      </c>
      <c r="V78" s="690">
        <f ca="1">IF(OR(OP!$D$53=1,$B78=""),"",N($I78)+IF(AND($B78&gt;計算!$P$4,計算!$G$6="現金給付"),N($K78),IF(AND($B78&gt;計算!$P$4,計算!$G$6="儲存生息"),N($L78),0))+N(R78))</f>
        <v>6178011</v>
      </c>
      <c r="W78" s="422"/>
      <c r="X78" s="422"/>
      <c r="Y78" s="786">
        <f ca="1">IF(OR(OP!$D$53=1,$B78=""),"",((($H78+$Q78)-IF(AND(計算!$G$6=計算!$P$5,$B78=OP!$C$57),$K78,0))*IF(OR($C78&lt;16,Z78=0,Z78=""),1,PYO))+IF(AND($B78&gt;計算!$P$4,計算!$G$6="現金給付"),N($K78),IF(AND($B78&gt;計算!$P$4,計算!$G$6="儲存生息"),N($L78),0))+IF(AND(計算!$G$6=計算!$P$5,$B78=OP!$C$57),$K78,0))</f>
        <v>5435917.2000000002</v>
      </c>
      <c r="Z78" s="786">
        <f ca="1">IF(OR(OP!$D$53=1,$B78=""),"",(($H78+Q78)-IF(AND(計算!$G$6="購買增額繳清保險",$B78=OP!$C$57),$K78,0))*IF(OR($C78&lt;16,($H78+$Q78)*PY!$C$4&lt;PY!$D$5,($H78+$Q78)*PY!$C$4*PYR&lt;PY!$C$5),0,PYY)*PYR)</f>
        <v>44494.138577574056</v>
      </c>
    </row>
    <row r="79" spans="2:26" hidden="1">
      <c r="B79" s="693">
        <f t="shared" ca="1" si="1"/>
        <v>76</v>
      </c>
      <c r="C79" s="689">
        <f ca="1">IF(OR(OP!$D$53=1,MAX($C$4:C78)&gt;=110),"",C78+(B79-B78))</f>
        <v>108</v>
      </c>
      <c r="D79" s="690" t="str">
        <f ca="1">IF(OR(OP!$D$53=1,AND(B79&gt;OP!$C$24)),"",OP!$C$52-IF($C79&lt;16,$K78,0))</f>
        <v/>
      </c>
      <c r="E79" s="690">
        <f ca="1">IF(OR(OP!$D$53=1,B79=""),"",N(E78)+N(D79))</f>
        <v>1000998</v>
      </c>
      <c r="F79" s="690" t="str">
        <f ca="1">IF(OR(OP!$D$53=1,$B79="",ISERROR(VLOOKUP(OP!$C$55,SRV,$B79+1,0))),"",ROUND(VLOOKUP(OP!$C$55,SRV,$B79+1,0)*OP!$C$28,0))</f>
        <v/>
      </c>
      <c r="G79" s="690" t="str">
        <f ca="1">IF(OR(OP!$D$53=1,$B79="",ISERROR(VLOOKUP(OP!$C$55,SRV,$B79+1,0))),"",N(G78)+N(F79))</f>
        <v/>
      </c>
      <c r="H79" s="690">
        <f ca="1">IF(OR(OP!$D$53=1,B79=""),"",ROUND(VLOOKUP(OP!$C$55,DIE,$B79+1,0)*OP!$C$28,0))</f>
        <v>3675774</v>
      </c>
      <c r="I79" s="691">
        <f ca="1">IF(OR(OP!$D$53=1,B79=""),"",ROUND(VLOOKUP(OP!$C$55,CV,$B79+1,0)*OP!$C$28,0))</f>
        <v>3675774</v>
      </c>
      <c r="J79" s="691">
        <f ca="1">IF(OR(OP!$D$53=1,B79=""),"",VLOOKUP(OP!$C$55,PA,$B79+1,0)*OP!$C$28)</f>
        <v>0</v>
      </c>
      <c r="K79" s="690">
        <f ca="1">IF(OR(OP!$D$53=1,B79=""),"",VLOOKUP($B79,more1,7,0))</f>
        <v>25961</v>
      </c>
      <c r="L79" s="690">
        <f ca="1">IF(OR(OP!$D$53=1,B79="",$B79&lt;=計算!$P$4),"",VLOOKUP($B79,more1,6,0))</f>
        <v>2560705</v>
      </c>
      <c r="M79" s="690">
        <f ca="1">IF(OR(OP!$D$53=1,B79="",AND($B79&gt;=計算!$P$4,$C79&lt;15),ISERROR(VLOOKUP($B79,MORE_PV,4,0))),"",VLOOKUP($B79,MORE_PV,4,0))</f>
        <v>0</v>
      </c>
      <c r="N79" s="692">
        <f ca="1">IF(OR(OP!$D$53=1,B79="",$C79&lt;15,ISERROR(VLOOKUP($B79,MORE_PV,5,0))),"",VLOOKUP($B79,MORE_PV,5,0))</f>
        <v>8012</v>
      </c>
      <c r="O79" s="692">
        <f ca="1">IF(OR(OP!$D$53=1,$B79="",ISERROR(VLOOKUP($B79-1,MORE_PV,9,0))),"",VLOOKUP($B79-1,MORE_PV,9,0))</f>
        <v>0</v>
      </c>
      <c r="P79" s="692">
        <f ca="1">IF(OR(OP!$D$53=1,$B79="",ISERROR($O79)),"",N($P78)+N($O79))</f>
        <v>0</v>
      </c>
      <c r="Q79" s="692">
        <f ca="1">IF(OR(OP!$D$53=1,B79=""),"",ROUND(VLOOKUP($B79,MORE_PV,8,0),0))</f>
        <v>86619</v>
      </c>
      <c r="R79" s="692">
        <f ca="1">IF(OR(OP!$D$53=1,B79=""),"",ROUND(VLOOKUP($B79,MORE_PV,7,0),0))</f>
        <v>86619</v>
      </c>
      <c r="S79" s="692">
        <f ca="1">IF(OR(OP!$D$53=1,B79=""),"",N($F79)+N(O79))</f>
        <v>0</v>
      </c>
      <c r="T79" s="692">
        <f ca="1">IF(OR(OP!$D$53=1,$B79=""),0,N(T78)+N($S79))</f>
        <v>0</v>
      </c>
      <c r="U79" s="690">
        <f ca="1">IF(OR(OP!$D$53=1,B79=""),"",N($H79)+IF(AND($B79&gt;計算!$P$4,計算!$G$6="現金給付"),N($K79),IF(AND($B79&gt;計算!$P$4,計算!$G$6="儲存生息"),N($L79),0))+N($Q79))</f>
        <v>6323098</v>
      </c>
      <c r="V79" s="690">
        <f ca="1">IF(OR(OP!$D$53=1,$B79=""),"",N($I79)+IF(AND($B79&gt;計算!$P$4,計算!$G$6="現金給付"),N($K79),IF(AND($B79&gt;計算!$P$4,計算!$G$6="儲存生息"),N($L79),0))+N(R79))</f>
        <v>6323098</v>
      </c>
      <c r="W79" s="422"/>
      <c r="X79" s="422"/>
      <c r="Y79" s="786">
        <f ca="1">IF(OR(OP!$D$53=1,$B79=""),"",((($H79+$Q79)-IF(AND(計算!$G$6=計算!$P$5,$B79=OP!$C$57),$K79,0))*IF(OR($C79&lt;16,Z79=0,Z79=""),1,PYO))+IF(AND($B79&gt;計算!$P$4,計算!$G$6="現金給付"),N($K79),IF(AND($B79&gt;計算!$P$4,計算!$G$6="儲存生息"),N($L79),0))+IF(AND(計算!$G$6=計算!$P$5,$B79=OP!$C$57),$K79,0))</f>
        <v>5570619.4000000004</v>
      </c>
      <c r="Z79" s="786">
        <f ca="1">IF(OR(OP!$D$53=1,$B79=""),"",(($H79+Q79)-IF(AND(計算!$G$6="購買增額繳清保險",$B79=OP!$C$57),$K79,0))*IF(OR($C79&lt;16,($H79+$Q79)*PY!$C$4&lt;PY!$D$5,($H79+$Q79)*PY!$C$4*PYR&lt;PY!$C$5),0,PYY)*PYR)</f>
        <v>45116.785917169662</v>
      </c>
    </row>
    <row r="80" spans="2:26" hidden="1">
      <c r="B80" s="693">
        <f t="shared" ca="1" si="1"/>
        <v>77</v>
      </c>
      <c r="C80" s="689">
        <f ca="1">IF(OR(OP!$D$53=1,MAX($C$4:C79)&gt;=110),"",C79+(B80-B79))</f>
        <v>109</v>
      </c>
      <c r="D80" s="690" t="str">
        <f ca="1">IF(OR(OP!$D$53=1,AND(B80&gt;OP!$C$24)),"",OP!$C$52-IF($C80&lt;16,$K79,0))</f>
        <v/>
      </c>
      <c r="E80" s="690">
        <f ca="1">IF(OR(OP!$D$53=1,B80=""),"",N(E79)+N(D80))</f>
        <v>1000998</v>
      </c>
      <c r="F80" s="690" t="str">
        <f ca="1">IF(OR(OP!$D$53=1,$B80="",ISERROR(VLOOKUP(OP!$C$55,SRV,$B80+1,0))),"",ROUND(VLOOKUP(OP!$C$55,SRV,$B80+1,0)*OP!$C$28,0))</f>
        <v/>
      </c>
      <c r="G80" s="690" t="str">
        <f ca="1">IF(OR(OP!$D$53=1,$B80="",ISERROR(VLOOKUP(OP!$C$55,SRV,$B80+1,0))),"",N(G79)+N(F80))</f>
        <v/>
      </c>
      <c r="H80" s="690">
        <f ca="1">IF(OR(OP!$D$53=1,B80=""),"",ROUND(VLOOKUP(OP!$C$55,DIE,$B80+1,0)*OP!$C$28,0))</f>
        <v>3730072</v>
      </c>
      <c r="I80" s="691">
        <f ca="1">IF(OR(OP!$D$53=1,B80=""),"",ROUND(VLOOKUP(OP!$C$55,CV,$B80+1,0)*OP!$C$28,0))</f>
        <v>3730072</v>
      </c>
      <c r="J80" s="691">
        <f ca="1">IF(OR(OP!$D$53=1,B80=""),"",VLOOKUP(OP!$C$55,PA,$B80+1,0)*OP!$C$28)</f>
        <v>0</v>
      </c>
      <c r="K80" s="690">
        <f ca="1">IF(OR(OP!$D$53=1,B80=""),"",VLOOKUP($B80,more1,7,0))</f>
        <v>26343</v>
      </c>
      <c r="L80" s="690">
        <f ca="1">IF(OR(OP!$D$53=1,B80="",$B80&lt;=計算!$P$4),"",VLOOKUP($B80,more1,6,0))</f>
        <v>2656787</v>
      </c>
      <c r="M80" s="690">
        <f ca="1">IF(OR(OP!$D$53=1,B80="",AND($B80&gt;=計算!$P$4,$C80&lt;15),ISERROR(VLOOKUP($B80,MORE_PV,4,0))),"",VLOOKUP($B80,MORE_PV,4,0))</f>
        <v>0</v>
      </c>
      <c r="N80" s="692">
        <f ca="1">IF(OR(OP!$D$53=1,B80="",$C80&lt;15,ISERROR(VLOOKUP($B80,MORE_PV,5,0))),"",VLOOKUP($B80,MORE_PV,5,0))</f>
        <v>8012</v>
      </c>
      <c r="O80" s="692">
        <f ca="1">IF(OR(OP!$D$53=1,$B80="",ISERROR(VLOOKUP($B80-1,MORE_PV,9,0))),"",VLOOKUP($B80-1,MORE_PV,9,0))</f>
        <v>0</v>
      </c>
      <c r="P80" s="692">
        <f ca="1">IF(OR(OP!$D$53=1,$B80="",ISERROR($O80)),"",N($P79)+N($O80))</f>
        <v>0</v>
      </c>
      <c r="Q80" s="692">
        <f ca="1">IF(OR(OP!$D$53=1,B80=""),"",ROUND(VLOOKUP($B80,MORE_PV,8,0),0))</f>
        <v>87898</v>
      </c>
      <c r="R80" s="692">
        <f ca="1">IF(OR(OP!$D$53=1,B80=""),"",ROUND(VLOOKUP($B80,MORE_PV,7,0),0))</f>
        <v>87898</v>
      </c>
      <c r="S80" s="692">
        <f ca="1">IF(OR(OP!$D$53=1,B80=""),"",N($F80)+N(O80))</f>
        <v>0</v>
      </c>
      <c r="T80" s="692">
        <f ca="1">IF(OR(OP!$D$53=1,$B80=""),0,N(T79)+N($S80))</f>
        <v>0</v>
      </c>
      <c r="U80" s="690">
        <f ca="1">IF(OR(OP!$D$53=1,B80=""),"",N($H80)+IF(AND($B80&gt;計算!$P$4,計算!$G$6="現金給付"),N($K80),IF(AND($B80&gt;計算!$P$4,計算!$G$6="儲存生息"),N($L80),0))+N($Q80))</f>
        <v>6474757</v>
      </c>
      <c r="V80" s="690">
        <f ca="1">IF(OR(OP!$D$53=1,$B80=""),"",N($I80)+IF(AND($B80&gt;計算!$P$4,計算!$G$6="現金給付"),N($K80),IF(AND($B80&gt;計算!$P$4,計算!$G$6="儲存生息"),N($L80),0))+N(R80))</f>
        <v>6474757</v>
      </c>
      <c r="W80" s="422"/>
      <c r="X80" s="422"/>
      <c r="Y80" s="786">
        <f ca="1">IF(OR(OP!$D$53=1,$B80=""),"",((($H80+$Q80)-IF(AND(計算!$G$6=計算!$P$5,$B80=OP!$C$57),$K80,0))*IF(OR($C80&lt;16,Z80=0,Z80=""),1,PYO))+IF(AND($B80&gt;計算!$P$4,計算!$G$6="現金給付"),N($K80),IF(AND($B80&gt;計算!$P$4,計算!$G$6="儲存生息"),N($L80),0))+IF(AND(計算!$G$6=計算!$P$5,$B80=OP!$C$57),$K80,0))</f>
        <v>5711163</v>
      </c>
      <c r="Z80" s="786">
        <f ca="1">IF(OR(OP!$D$53=1,$B80=""),"",(($H80+Q80)-IF(AND(計算!$G$6="購買增額繳清保險",$B80=OP!$C$57),$K80,0))*IF(OR($C80&lt;16,($H80+$Q80)*PY!$C$4&lt;PY!$D$5,($H80+$Q80)*PY!$C$4*PYR&lt;PY!$C$5),0,PYY)*PYR)</f>
        <v>45783.238255061668</v>
      </c>
    </row>
    <row r="81" spans="2:26" hidden="1">
      <c r="B81" s="693">
        <f t="shared" ca="1" si="1"/>
        <v>78</v>
      </c>
      <c r="C81" s="689">
        <f ca="1">IF(OR(OP!$D$53=1,MAX($C$4:C80)&gt;=110),"",C80+(B81-B80))</f>
        <v>110</v>
      </c>
      <c r="D81" s="690" t="str">
        <f ca="1">IF(OR(OP!$D$53=1,AND(B81&gt;OP!$C$24)),"",OP!$C$52-IF($C81&lt;16,$K80,0))</f>
        <v/>
      </c>
      <c r="E81" s="690">
        <f ca="1">IF(OR(OP!$D$53=1,B81=""),"",N(E80)+N(D81))</f>
        <v>1000998</v>
      </c>
      <c r="F81" s="690" t="str">
        <f ca="1">IF(OR(OP!$D$53=1,$B81="",ISERROR(VLOOKUP(OP!$C$55,SRV,$B81+1,0))),"",ROUND(VLOOKUP(OP!$C$55,SRV,$B81+1,0)*OP!$C$28,0))</f>
        <v/>
      </c>
      <c r="G81" s="690" t="str">
        <f ca="1">IF(OR(OP!$D$53=1,$B81="",ISERROR(VLOOKUP(OP!$C$55,SRV,$B81+1,0))),"",N(G80)+N(F81))</f>
        <v/>
      </c>
      <c r="H81" s="690">
        <f ca="1">IF(OR(OP!$D$53=1,B81=""),"",ROUND(VLOOKUP(OP!$C$55,DIE,$B81+1,0)*OP!$C$28,0))</f>
        <v>3767200</v>
      </c>
      <c r="I81" s="691">
        <f ca="1">IF(OR(OP!$D$53=1,B81=""),"",ROUND(VLOOKUP(OP!$C$55,CV,$B81+1,0)*OP!$C$28,0))</f>
        <v>3767200</v>
      </c>
      <c r="J81" s="691">
        <f ca="1">IF(OR(OP!$D$53=1,B81=""),"",VLOOKUP(OP!$C$55,PA,$B81+1,0)*OP!$C$28)</f>
        <v>0</v>
      </c>
      <c r="K81" s="690">
        <f ca="1">IF(OR(OP!$D$53=1,B81=""),"",VLOOKUP($B81,more1,7,0))</f>
        <v>26607</v>
      </c>
      <c r="L81" s="690">
        <f ca="1">IF(OR(OP!$D$53=1,B81="",$B81&lt;=計算!$P$4),"",VLOOKUP($B81,more1,6,0))</f>
        <v>2755750</v>
      </c>
      <c r="M81" s="690">
        <f ca="1">IF(OR(OP!$D$53=1,B81="",AND($B81&gt;=計算!$P$4,$C81&lt;15),ISERROR(VLOOKUP($B81,MORE_PV,4,0))),"",VLOOKUP($B81,MORE_PV,4,0))</f>
        <v>0</v>
      </c>
      <c r="N81" s="692">
        <f ca="1">IF(OR(OP!$D$53=1,B81="",$C81&lt;15,ISERROR(VLOOKUP($B81,MORE_PV,5,0))),"",VLOOKUP($B81,MORE_PV,5,0))</f>
        <v>8012</v>
      </c>
      <c r="O81" s="692">
        <f ca="1">IF(OR(OP!$D$53=1,$B81="",ISERROR(VLOOKUP($B81-1,MORE_PV,9,0))),"",VLOOKUP($B81-1,MORE_PV,9,0))</f>
        <v>0</v>
      </c>
      <c r="P81" s="692">
        <f ca="1">IF(OR(OP!$D$53=1,$B81="",ISERROR($O81)),"",N($P80)+N($O81))</f>
        <v>0</v>
      </c>
      <c r="Q81" s="692">
        <f ca="1">IF(OR(OP!$D$53=1,B81=""),"",ROUND(VLOOKUP($B81,MORE_PV,8,0),0))</f>
        <v>88773</v>
      </c>
      <c r="R81" s="692">
        <f ca="1">IF(OR(OP!$D$53=1,B81=""),"",ROUND(VLOOKUP($B81,MORE_PV,7,0),0))</f>
        <v>88773</v>
      </c>
      <c r="S81" s="692">
        <f ca="1">IF(OR(OP!$D$53=1,B81=""),"",N($F81)+N(O81))</f>
        <v>0</v>
      </c>
      <c r="T81" s="692">
        <f ca="1">IF(OR(OP!$D$53=1,$B81=""),0,N(T80)+N($S81))</f>
        <v>0</v>
      </c>
      <c r="U81" s="690">
        <f ca="1">IF(OR(OP!$D$53=1,B81=""),"",N($H81)+IF(AND($B81&gt;計算!$P$4,計算!$G$6="現金給付"),N($K81),IF(AND($B81&gt;計算!$P$4,計算!$G$6="儲存生息"),N($L81),0))+N($Q81))</f>
        <v>6611723</v>
      </c>
      <c r="V81" s="690">
        <f ca="1">IF(OR(OP!$D$53=1,$B81=""),"",N($I81)+IF(AND($B81&gt;計算!$P$4,計算!$G$6="現金給付"),N($K81),IF(AND($B81&gt;計算!$P$4,計算!$G$6="儲存生息"),N($L81),0))+N(R81))</f>
        <v>6611723</v>
      </c>
      <c r="W81" s="422"/>
      <c r="X81" s="422"/>
      <c r="Y81" s="786">
        <f ca="1">IF(OR(OP!$D$53=1,$B81=""),"",((($H81+$Q81)-IF(AND(計算!$G$6=計算!$P$5,$B81=OP!$C$57),$K81,0))*IF(OR($C81&lt;16,Z81=0,Z81=""),1,PYO))+IF(AND($B81&gt;計算!$P$4,計算!$G$6="現金給付"),N($K81),IF(AND($B81&gt;計算!$P$4,計算!$G$6="儲存生息"),N($L81),0))+IF(AND(計算!$G$6=計算!$P$5,$B81=OP!$C$57),$K81,0))</f>
        <v>5840528.4000000004</v>
      </c>
      <c r="Z81" s="786">
        <f ca="1">IF(OR(OP!$D$53=1,$B81=""),"",(($H81+Q81)-IF(AND(計算!$G$6="購買增額繳清保險",$B81=OP!$C$57),$K81,0))*IF(OR($C81&lt;16,($H81+$Q81)*PY!$C$4&lt;PY!$D$5,($H81+$Q81)*PY!$C$4*PYR&lt;PY!$C$5),0,PYY)*PYR)</f>
        <v>46238.951737201947</v>
      </c>
    </row>
    <row r="82" spans="2:26" hidden="1">
      <c r="B82" s="693" t="str">
        <f t="shared" ca="1" si="1"/>
        <v/>
      </c>
      <c r="C82" s="689" t="str">
        <f ca="1">IF(OR(OP!$D$53=1,MAX($C$4:C81)&gt;=110),"",C81+(B82-B81))</f>
        <v/>
      </c>
      <c r="D82" s="690" t="str">
        <f ca="1">IF(OR(OP!$D$53=1,AND(B82&gt;OP!$C$24)),"",OP!$C$52-IF($C82&lt;16,$K81,0))</f>
        <v/>
      </c>
      <c r="E82" s="690" t="str">
        <f ca="1">IF(OR(OP!$D$53=1,B82=""),"",N(E81)+N(D82))</f>
        <v/>
      </c>
      <c r="F82" s="690" t="str">
        <f ca="1">IF(OR(OP!$D$53=1,$B82="",ISERROR(VLOOKUP(OP!$C$55,SRV,$B82+1,0))),"",ROUND(VLOOKUP(OP!$C$55,SRV,$B82+1,0)*OP!$C$28,0))</f>
        <v/>
      </c>
      <c r="G82" s="690" t="str">
        <f ca="1">IF(OR(OP!$D$53=1,$B82="",ISERROR(VLOOKUP(OP!$C$55,SRV,$B82+1,0))),"",N(G81)+N(F82))</f>
        <v/>
      </c>
      <c r="H82" s="690" t="str">
        <f ca="1">IF(OR(OP!$D$53=1,B82=""),"",ROUND(VLOOKUP(OP!$C$55,DIE,$B82+1,0)*OP!$C$28,0))</f>
        <v/>
      </c>
      <c r="I82" s="691" t="str">
        <f ca="1">IF(OR(OP!$D$53=1,B82=""),"",ROUND(VLOOKUP(OP!$C$55,CV,$B82+1,0)*OP!$C$28,0))</f>
        <v/>
      </c>
      <c r="J82" s="691" t="str">
        <f ca="1">IF(OR(OP!$D$53=1,B82=""),"",VLOOKUP(OP!$C$55,PA,$B82+1,0)*OP!$C$28)</f>
        <v/>
      </c>
      <c r="K82" s="690" t="str">
        <f ca="1">IF(OR(OP!$D$53=1,B82=""),"",VLOOKUP($B82,more1,7,0))</f>
        <v/>
      </c>
      <c r="L82" s="690" t="str">
        <f ca="1">IF(OR(OP!$D$53=1,B82="",$B82&lt;=計算!$P$4),"",VLOOKUP($B82,more1,6,0))</f>
        <v/>
      </c>
      <c r="M82" s="690" t="str">
        <f ca="1">IF(OR(OP!$D$53=1,B82="",AND($B82&gt;=計算!$P$4,$C82&lt;15),ISERROR(VLOOKUP($B82,MORE_PV,4,0))),"",VLOOKUP($B82,MORE_PV,4,0))</f>
        <v/>
      </c>
      <c r="N82" s="692" t="str">
        <f ca="1">IF(OR(OP!$D$53=1,B82="",$C82&lt;15,ISERROR(VLOOKUP($B82,MORE_PV,5,0))),"",VLOOKUP($B82,MORE_PV,5,0))</f>
        <v/>
      </c>
      <c r="O82" s="692" t="str">
        <f ca="1">IF(OR(OP!$D$53=1,$B82="",ISERROR(VLOOKUP($B82-1,MORE_PV,9,0))),"",VLOOKUP($B82-1,MORE_PV,9,0))</f>
        <v/>
      </c>
      <c r="P82" s="692" t="str">
        <f ca="1">IF(OR(OP!$D$53=1,$B82="",ISERROR($O82)),"",N($P81)+N($O82))</f>
        <v/>
      </c>
      <c r="Q82" s="692" t="str">
        <f ca="1">IF(OR(OP!$D$53=1,B82=""),"",ROUND(VLOOKUP($B82,MORE_PV,8,0),0))</f>
        <v/>
      </c>
      <c r="R82" s="692" t="str">
        <f ca="1">IF(OR(OP!$D$53=1,B82=""),"",ROUND(VLOOKUP($B82,MORE_PV,7,0),0))</f>
        <v/>
      </c>
      <c r="S82" s="692" t="str">
        <f ca="1">IF(OR(OP!$D$53=1,B82=""),"",N($F82)+N(O82))</f>
        <v/>
      </c>
      <c r="T82" s="692">
        <f ca="1">IF(OR(OP!$D$53=1,$B82=""),0,N(T81)+N($S82))</f>
        <v>0</v>
      </c>
      <c r="U82" s="690" t="str">
        <f ca="1">IF(OR(OP!$D$53=1,B82=""),"",N($H82)+IF(AND($B82&gt;計算!$P$4,計算!$G$6="現金給付"),N($K82),IF(AND($B82&gt;計算!$P$4,計算!$G$6="儲存生息"),N($L82),0))+N($Q82))</f>
        <v/>
      </c>
      <c r="V82" s="690" t="str">
        <f ca="1">IF(OR(OP!$D$53=1,$B82=""),"",N($I82)+IF(AND($B82&gt;計算!$P$4,計算!$G$6="現金給付"),N($K82),IF(AND($B82&gt;計算!$P$4,計算!$G$6="儲存生息"),N($L82),0))+N(R82))</f>
        <v/>
      </c>
      <c r="W82" s="422"/>
      <c r="X82" s="422"/>
      <c r="Y82" s="786" t="str">
        <f ca="1">IF(OR(OP!$D$53=1,$B82=""),"",((($H82+$Q82)-IF(AND(計算!$G$6=計算!$P$5,$B82=OP!$C$57),$K82,0))*IF(OR($C82&lt;16,Z82=0,Z82=""),1,PYO))+IF(AND($B82&gt;計算!$P$4,計算!$G$6="現金給付"),N($K82),IF(AND($B82&gt;計算!$P$4,計算!$G$6="儲存生息"),N($L82),0))+IF(AND(計算!$G$6=計算!$P$5,$B82=OP!$C$57),$K82,0))</f>
        <v/>
      </c>
      <c r="Z82" s="786" t="str">
        <f ca="1">IF(OR(OP!$D$53=1,$B82=""),"",(($H82+Q82)-IF(AND(計算!$G$6="購買增額繳清保險",$B82=OP!$C$57),$K82,0))*IF(OR($C82&lt;16,($H82+$Q82)*PY!$C$4&lt;PY!$D$5,($H82+$Q82)*PY!$C$4*PYR&lt;PY!$C$5),0,PYY)*PYR)</f>
        <v/>
      </c>
    </row>
    <row r="83" spans="2:26" hidden="1">
      <c r="B83" s="693" t="str">
        <f t="shared" ca="1" si="1"/>
        <v/>
      </c>
      <c r="C83" s="689" t="str">
        <f ca="1">IF(OR(OP!$D$53=1,MAX($C$4:C82)&gt;=110),"",C82+(B83-B82))</f>
        <v/>
      </c>
      <c r="D83" s="690" t="str">
        <f ca="1">IF(OR(OP!$D$53=1,AND(B83&gt;OP!$C$24)),"",OP!$C$52-IF($C83&lt;16,$K82,0))</f>
        <v/>
      </c>
      <c r="E83" s="690" t="str">
        <f ca="1">IF(OR(OP!$D$53=1,B83=""),"",N(E82)+N(D83))</f>
        <v/>
      </c>
      <c r="F83" s="690" t="str">
        <f ca="1">IF(OR(OP!$D$53=1,$B83="",ISERROR(VLOOKUP(OP!$C$55,SRV,$B83+1,0))),"",ROUND(VLOOKUP(OP!$C$55,SRV,$B83+1,0)*OP!$C$28,0))</f>
        <v/>
      </c>
      <c r="G83" s="690" t="str">
        <f ca="1">IF(OR(OP!$D$53=1,$B83="",ISERROR(VLOOKUP(OP!$C$55,SRV,$B83+1,0))),"",N(G82)+N(F83))</f>
        <v/>
      </c>
      <c r="H83" s="690" t="str">
        <f ca="1">IF(OR(OP!$D$53=1,B83=""),"",ROUND(VLOOKUP(OP!$C$55,DIE,$B83+1,0)*OP!$C$28,0))</f>
        <v/>
      </c>
      <c r="I83" s="691" t="str">
        <f ca="1">IF(OR(OP!$D$53=1,B83=""),"",ROUND(VLOOKUP(OP!$C$55,CV,$B83+1,0)*OP!$C$28,0))</f>
        <v/>
      </c>
      <c r="J83" s="691" t="str">
        <f ca="1">IF(OR(OP!$D$53=1,B83=""),"",VLOOKUP(OP!$C$55,PA,$B83+1,0)*OP!$C$28)</f>
        <v/>
      </c>
      <c r="K83" s="690" t="str">
        <f ca="1">IF(OR(OP!$D$53=1,B83=""),"",VLOOKUP($B83,more1,7,0))</f>
        <v/>
      </c>
      <c r="L83" s="690" t="str">
        <f ca="1">IF(OR(OP!$D$53=1,B83="",$B83&lt;=計算!$P$4),"",VLOOKUP($B83,more1,6,0))</f>
        <v/>
      </c>
      <c r="M83" s="690" t="str">
        <f ca="1">IF(OR(OP!$D$53=1,B83="",AND($B83&gt;=計算!$P$4,$C83&lt;15),ISERROR(VLOOKUP($B83,MORE_PV,4,0))),"",VLOOKUP($B83,MORE_PV,4,0))</f>
        <v/>
      </c>
      <c r="N83" s="692" t="str">
        <f ca="1">IF(OR(OP!$D$53=1,B83="",$C83&lt;15,ISERROR(VLOOKUP($B83,MORE_PV,5,0))),"",VLOOKUP($B83,MORE_PV,5,0))</f>
        <v/>
      </c>
      <c r="O83" s="692" t="str">
        <f ca="1">IF(OR(OP!$D$53=1,$B83="",ISERROR(VLOOKUP($B83-1,MORE_PV,9,0))),"",VLOOKUP($B83-1,MORE_PV,9,0))</f>
        <v/>
      </c>
      <c r="P83" s="692" t="str">
        <f ca="1">IF(OR(OP!$D$53=1,$B83="",ISERROR($O83)),"",N($P82)+N($O83))</f>
        <v/>
      </c>
      <c r="Q83" s="692" t="str">
        <f ca="1">IF(OR(OP!$D$53=1,B83=""),"",ROUND(VLOOKUP($B83,MORE_PV,8,0),0))</f>
        <v/>
      </c>
      <c r="R83" s="692" t="str">
        <f ca="1">IF(OR(OP!$D$53=1,B83=""),"",ROUND(VLOOKUP($B83,MORE_PV,7,0),0))</f>
        <v/>
      </c>
      <c r="S83" s="692" t="str">
        <f ca="1">IF(OR(OP!$D$53=1,B83=""),"",N($F83)+N(O83))</f>
        <v/>
      </c>
      <c r="T83" s="692">
        <f ca="1">IF(OR(OP!$D$53=1,$B83=""),0,N(T82)+N($S83))</f>
        <v>0</v>
      </c>
      <c r="U83" s="690" t="str">
        <f ca="1">IF(OR(OP!$D$53=1,B83=""),"",N($H83)+IF(AND($B83&gt;計算!$P$4,計算!$G$6="現金給付"),N($K83),IF(AND($B83&gt;計算!$P$4,計算!$G$6="儲存生息"),N($L83),0))+N($Q83))</f>
        <v/>
      </c>
      <c r="V83" s="690" t="str">
        <f ca="1">IF(OR(OP!$D$53=1,$B83=""),"",N($I83)+IF(AND($B83&gt;計算!$P$4,計算!$G$6="現金給付"),N($K83),IF(AND($B83&gt;計算!$P$4,計算!$G$6="儲存生息"),N($L83),0))+N(R83))</f>
        <v/>
      </c>
      <c r="W83" s="422"/>
      <c r="X83" s="422"/>
      <c r="Y83" s="786" t="str">
        <f ca="1">IF(OR(OP!$D$53=1,$B83=""),"",((($H83+$Q83)-IF(AND(計算!$G$6=計算!$P$5,$B83=OP!$C$57),$K83,0))*IF(OR($C83&lt;16,Z83=0,Z83=""),1,PYO))+IF(AND($B83&gt;計算!$P$4,計算!$G$6="現金給付"),N($K83),IF(AND($B83&gt;計算!$P$4,計算!$G$6="儲存生息"),N($L83),0))+IF(AND(計算!$G$6=計算!$P$5,$B83=OP!$C$57),$K83,0))</f>
        <v/>
      </c>
      <c r="Z83" s="786" t="str">
        <f ca="1">IF(OR(OP!$D$53=1,$B83=""),"",(($H83+Q83)-IF(AND(計算!$G$6="購買增額繳清保險",$B83=OP!$C$57),$K83,0))*IF(OR($C83&lt;16,($H83+$Q83)*PY!$C$4&lt;PY!$D$5,($H83+$Q83)*PY!$C$4*PYR&lt;PY!$C$5),0,PYY)*PYR)</f>
        <v/>
      </c>
    </row>
    <row r="84" spans="2:26" hidden="1">
      <c r="B84" s="693" t="str">
        <f t="shared" ca="1" si="1"/>
        <v/>
      </c>
      <c r="C84" s="689" t="str">
        <f ca="1">IF(OR(OP!$D$53=1,MAX($C$4:C83)&gt;=110),"",C83+(B84-B83))</f>
        <v/>
      </c>
      <c r="D84" s="690" t="str">
        <f ca="1">IF(OR(OP!$D$53=1,AND(B84&gt;OP!$C$24)),"",OP!$C$52-IF($C84&lt;16,$K83,0))</f>
        <v/>
      </c>
      <c r="E84" s="690" t="str">
        <f ca="1">IF(OR(OP!$D$53=1,B84=""),"",N(E83)+N(D84))</f>
        <v/>
      </c>
      <c r="F84" s="690" t="str">
        <f ca="1">IF(OR(OP!$D$53=1,$B84="",ISERROR(VLOOKUP(OP!$C$55,SRV,$B84+1,0))),"",ROUND(VLOOKUP(OP!$C$55,SRV,$B84+1,0)*OP!$C$28,0))</f>
        <v/>
      </c>
      <c r="G84" s="690" t="str">
        <f ca="1">IF(OR(OP!$D$53=1,$B84="",ISERROR(VLOOKUP(OP!$C$55,SRV,$B84+1,0))),"",N(G83)+N(F84))</f>
        <v/>
      </c>
      <c r="H84" s="690" t="str">
        <f ca="1">IF(OR(OP!$D$53=1,B84=""),"",ROUND(VLOOKUP(OP!$C$55,DIE,$B84+1,0)*OP!$C$28,0))</f>
        <v/>
      </c>
      <c r="I84" s="691" t="str">
        <f ca="1">IF(OR(OP!$D$53=1,B84=""),"",ROUND(VLOOKUP(OP!$C$55,CV,$B84+1,0)*OP!$C$28,0))</f>
        <v/>
      </c>
      <c r="J84" s="691" t="str">
        <f ca="1">IF(OR(OP!$D$53=1,B84=""),"",VLOOKUP(OP!$C$55,PA,$B84+1,0)*OP!$C$28)</f>
        <v/>
      </c>
      <c r="K84" s="690" t="str">
        <f ca="1">IF(OR(OP!$D$53=1,B84=""),"",VLOOKUP($B84,more1,7,0))</f>
        <v/>
      </c>
      <c r="L84" s="690" t="str">
        <f ca="1">IF(OR(OP!$D$53=1,B84="",$B84&lt;=計算!$P$4),"",VLOOKUP($B84,more1,6,0))</f>
        <v/>
      </c>
      <c r="M84" s="690" t="str">
        <f ca="1">IF(OR(OP!$D$53=1,B84="",AND($B84&gt;=計算!$P$4,$C84&lt;15),ISERROR(VLOOKUP($B84,MORE_PV,4,0))),"",VLOOKUP($B84,MORE_PV,4,0))</f>
        <v/>
      </c>
      <c r="N84" s="692" t="str">
        <f ca="1">IF(OR(OP!$D$53=1,B84="",$C84&lt;15,ISERROR(VLOOKUP($B84,MORE_PV,5,0))),"",VLOOKUP($B84,MORE_PV,5,0))</f>
        <v/>
      </c>
      <c r="O84" s="692" t="str">
        <f ca="1">IF(OR(OP!$D$53=1,$B84="",ISERROR(VLOOKUP($B84-1,MORE_PV,9,0))),"",VLOOKUP($B84-1,MORE_PV,9,0))</f>
        <v/>
      </c>
      <c r="P84" s="692" t="str">
        <f ca="1">IF(OR(OP!$D$53=1,$B84="",ISERROR($O84)),"",N($P83)+N($O84))</f>
        <v/>
      </c>
      <c r="Q84" s="692" t="str">
        <f ca="1">IF(OR(OP!$D$53=1,B84=""),"",ROUND(VLOOKUP($B84,MORE_PV,8,0),0))</f>
        <v/>
      </c>
      <c r="R84" s="692" t="str">
        <f ca="1">IF(OR(OP!$D$53=1,B84=""),"",ROUND(VLOOKUP($B84,MORE_PV,7,0),0))</f>
        <v/>
      </c>
      <c r="S84" s="692" t="str">
        <f ca="1">IF(OR(OP!$D$53=1,B84=""),"",N($F84)+N(O84))</f>
        <v/>
      </c>
      <c r="T84" s="692">
        <f ca="1">IF(OR(OP!$D$53=1,$B84=""),0,N(T83)+N($S84))</f>
        <v>0</v>
      </c>
      <c r="U84" s="690" t="str">
        <f ca="1">IF(OR(OP!$D$53=1,B84=""),"",N($H84)+IF(AND($B84&gt;計算!$P$4,計算!$G$6="現金給付"),N($K84),IF(AND($B84&gt;計算!$P$4,計算!$G$6="儲存生息"),N($L84),0))+N($Q84))</f>
        <v/>
      </c>
      <c r="V84" s="690" t="str">
        <f ca="1">IF(OR(OP!$D$53=1,$B84=""),"",N($I84)+IF(AND($B84&gt;計算!$P$4,計算!$G$6="現金給付"),N($K84),IF(AND($B84&gt;計算!$P$4,計算!$G$6="儲存生息"),N($L84),0))+N(R84))</f>
        <v/>
      </c>
      <c r="W84" s="422"/>
      <c r="X84" s="422"/>
      <c r="Y84" s="786" t="str">
        <f ca="1">IF(OR(OP!$D$53=1,$B84=""),"",((($H84+$Q84)-IF(AND(計算!$G$6=計算!$P$5,$B84=OP!$C$57),$K84,0))*IF(OR($C84&lt;16,Z84=0,Z84=""),1,PYO))+IF(AND($B84&gt;計算!$P$4,計算!$G$6="現金給付"),N($K84),IF(AND($B84&gt;計算!$P$4,計算!$G$6="儲存生息"),N($L84),0))+IF(AND(計算!$G$6=計算!$P$5,$B84=OP!$C$57),$K84,0))</f>
        <v/>
      </c>
      <c r="Z84" s="786" t="str">
        <f ca="1">IF(OR(OP!$D$53=1,$B84=""),"",(($H84+Q84)-IF(AND(計算!$G$6="購買增額繳清保險",$B84=OP!$C$57),$K84,0))*IF(OR($C84&lt;16,($H84+$Q84)*PY!$C$4&lt;PY!$D$5,($H84+$Q84)*PY!$C$4*PYR&lt;PY!$C$5),0,PYY)*PYR)</f>
        <v/>
      </c>
    </row>
    <row r="85" spans="2:26" hidden="1">
      <c r="B85" s="693" t="str">
        <f t="shared" ca="1" si="1"/>
        <v/>
      </c>
      <c r="C85" s="689" t="str">
        <f ca="1">IF(OR(OP!$D$53=1,MAX($C$4:C84)&gt;=110),"",C84+(B85-B84))</f>
        <v/>
      </c>
      <c r="D85" s="690" t="str">
        <f ca="1">IF(OR(OP!$D$53=1,AND(B85&gt;OP!$C$24)),"",OP!$C$52-IF($C85&lt;16,$K84,0))</f>
        <v/>
      </c>
      <c r="E85" s="690" t="str">
        <f ca="1">IF(OR(OP!$D$53=1,B85=""),"",N(E84)+N(D85))</f>
        <v/>
      </c>
      <c r="F85" s="690" t="str">
        <f ca="1">IF(OR(OP!$D$53=1,$B85="",ISERROR(VLOOKUP(OP!$C$55,SRV,$B85+1,0))),"",ROUND(VLOOKUP(OP!$C$55,SRV,$B85+1,0)*OP!$C$28,0))</f>
        <v/>
      </c>
      <c r="G85" s="690" t="str">
        <f ca="1">IF(OR(OP!$D$53=1,$B85="",ISERROR(VLOOKUP(OP!$C$55,SRV,$B85+1,0))),"",N(G84)+N(F85))</f>
        <v/>
      </c>
      <c r="H85" s="690" t="str">
        <f ca="1">IF(OR(OP!$D$53=1,B85=""),"",ROUND(VLOOKUP(OP!$C$55,DIE,$B85+1,0)*OP!$C$28,0))</f>
        <v/>
      </c>
      <c r="I85" s="691" t="str">
        <f ca="1">IF(OR(OP!$D$53=1,B85=""),"",ROUND(VLOOKUP(OP!$C$55,CV,$B85+1,0)*OP!$C$28,0))</f>
        <v/>
      </c>
      <c r="J85" s="691" t="str">
        <f ca="1">IF(OR(OP!$D$53=1,B85=""),"",VLOOKUP(OP!$C$55,PA,$B85+1,0)*OP!$C$28)</f>
        <v/>
      </c>
      <c r="K85" s="690" t="str">
        <f ca="1">IF(OR(OP!$D$53=1,B85=""),"",VLOOKUP($B85,more1,7,0))</f>
        <v/>
      </c>
      <c r="L85" s="690" t="str">
        <f ca="1">IF(OR(OP!$D$53=1,B85="",$B85&lt;=計算!$P$4),"",VLOOKUP($B85,more1,6,0))</f>
        <v/>
      </c>
      <c r="M85" s="690" t="str">
        <f ca="1">IF(OR(OP!$D$53=1,B85="",AND($B85&gt;=計算!$P$4,$C85&lt;15),ISERROR(VLOOKUP($B85,MORE_PV,4,0))),"",VLOOKUP($B85,MORE_PV,4,0))</f>
        <v/>
      </c>
      <c r="N85" s="692" t="str">
        <f ca="1">IF(OR(OP!$D$53=1,B85="",$C85&lt;15,ISERROR(VLOOKUP($B85,MORE_PV,5,0))),"",VLOOKUP($B85,MORE_PV,5,0))</f>
        <v/>
      </c>
      <c r="O85" s="692" t="str">
        <f ca="1">IF(OR(OP!$D$53=1,$B85="",ISERROR(VLOOKUP($B85-1,MORE_PV,9,0))),"",VLOOKUP($B85-1,MORE_PV,9,0))</f>
        <v/>
      </c>
      <c r="P85" s="692" t="str">
        <f ca="1">IF(OR(OP!$D$53=1,$B85="",ISERROR($O85)),"",N($P84)+N($O85))</f>
        <v/>
      </c>
      <c r="Q85" s="692" t="str">
        <f ca="1">IF(OR(OP!$D$53=1,B85=""),"",ROUND(VLOOKUP($B85,MORE_PV,8,0),0))</f>
        <v/>
      </c>
      <c r="R85" s="692" t="str">
        <f ca="1">IF(OR(OP!$D$53=1,B85=""),"",ROUND(VLOOKUP($B85,MORE_PV,7,0),0))</f>
        <v/>
      </c>
      <c r="S85" s="692" t="str">
        <f ca="1">IF(OR(OP!$D$53=1,B85=""),"",N($F85)+N(O85))</f>
        <v/>
      </c>
      <c r="T85" s="692">
        <f ca="1">IF(OR(OP!$D$53=1,$B85=""),0,N(T84)+N($S85))</f>
        <v>0</v>
      </c>
      <c r="U85" s="690" t="str">
        <f ca="1">IF(OR(OP!$D$53=1,B85=""),"",N($H85)+IF(AND($B85&gt;計算!$P$4,計算!$G$6="現金給付"),N($K85),IF(AND($B85&gt;計算!$P$4,計算!$G$6="儲存生息"),N($L85),0))+N($Q85))</f>
        <v/>
      </c>
      <c r="V85" s="690" t="str">
        <f ca="1">IF(OR(OP!$D$53=1,$B85=""),"",N($I85)+IF(AND($B85&gt;計算!$P$4,計算!$G$6="現金給付"),N($K85),IF(AND($B85&gt;計算!$P$4,計算!$G$6="儲存生息"),N($L85),0))+N(R85))</f>
        <v/>
      </c>
      <c r="W85" s="422"/>
      <c r="X85" s="422"/>
      <c r="Y85" s="786" t="str">
        <f ca="1">IF(OR(OP!$D$53=1,$B85=""),"",((($H85+$Q85)-IF(AND(計算!$G$6=計算!$P$5,$B85=OP!$C$57),$K85,0))*IF(OR($C85&lt;16,Z85=0,Z85=""),1,PYO))+IF(AND($B85&gt;計算!$P$4,計算!$G$6="現金給付"),N($K85),IF(AND($B85&gt;計算!$P$4,計算!$G$6="儲存生息"),N($L85),0))+IF(AND(計算!$G$6=計算!$P$5,$B85=OP!$C$57),$K85,0))</f>
        <v/>
      </c>
      <c r="Z85" s="786" t="str">
        <f ca="1">IF(OR(OP!$D$53=1,$B85=""),"",(($H85+Q85)-IF(AND(計算!$G$6="購買增額繳清保險",$B85=OP!$C$57),$K85,0))*IF(OR($C85&lt;16,($H85+$Q85)*PY!$C$4&lt;PY!$D$5,($H85+$Q85)*PY!$C$4*PYR&lt;PY!$C$5),0,PYY)*PYR)</f>
        <v/>
      </c>
    </row>
    <row r="86" spans="2:26" hidden="1">
      <c r="B86" s="693" t="str">
        <f t="shared" ca="1" si="1"/>
        <v/>
      </c>
      <c r="C86" s="689" t="str">
        <f ca="1">IF(OR(OP!$D$53=1,MAX($C$4:C85)&gt;=110),"",C85+(B86-B85))</f>
        <v/>
      </c>
      <c r="D86" s="690" t="str">
        <f ca="1">IF(OR(OP!$D$53=1,AND(B86&gt;OP!$C$24)),"",OP!$C$52-IF($C86&lt;16,$K85,0))</f>
        <v/>
      </c>
      <c r="E86" s="690" t="str">
        <f ca="1">IF(OR(OP!$D$53=1,B86=""),"",N(E85)+N(D86))</f>
        <v/>
      </c>
      <c r="F86" s="690" t="str">
        <f ca="1">IF(OR(OP!$D$53=1,$B86="",ISERROR(VLOOKUP(OP!$C$55,SRV,$B86+1,0))),"",ROUND(VLOOKUP(OP!$C$55,SRV,$B86+1,0)*OP!$C$28,0))</f>
        <v/>
      </c>
      <c r="G86" s="690" t="str">
        <f ca="1">IF(OR(OP!$D$53=1,$B86="",ISERROR(VLOOKUP(OP!$C$55,SRV,$B86+1,0))),"",N(G85)+N(F86))</f>
        <v/>
      </c>
      <c r="H86" s="690" t="str">
        <f ca="1">IF(OR(OP!$D$53=1,B86=""),"",ROUND(VLOOKUP(OP!$C$55,DIE,$B86+1,0)*OP!$C$28,0))</f>
        <v/>
      </c>
      <c r="I86" s="691" t="str">
        <f ca="1">IF(OR(OP!$D$53=1,B86=""),"",ROUND(VLOOKUP(OP!$C$55,CV,$B86+1,0)*OP!$C$28,0))</f>
        <v/>
      </c>
      <c r="J86" s="691" t="str">
        <f ca="1">IF(OR(OP!$D$53=1,B86=""),"",VLOOKUP(OP!$C$55,PA,$B86+1,0)*OP!$C$28)</f>
        <v/>
      </c>
      <c r="K86" s="690" t="str">
        <f ca="1">IF(OR(OP!$D$53=1,B86=""),"",VLOOKUP($B86,more1,7,0))</f>
        <v/>
      </c>
      <c r="L86" s="690" t="str">
        <f ca="1">IF(OR(OP!$D$53=1,B86="",$B86&lt;=計算!$P$4),"",VLOOKUP($B86,more1,6,0))</f>
        <v/>
      </c>
      <c r="M86" s="690" t="str">
        <f ca="1">IF(OR(OP!$D$53=1,B86="",AND($B86&gt;=計算!$P$4,$C86&lt;15),ISERROR(VLOOKUP($B86,MORE_PV,4,0))),"",VLOOKUP($B86,MORE_PV,4,0))</f>
        <v/>
      </c>
      <c r="N86" s="692" t="str">
        <f ca="1">IF(OR(OP!$D$53=1,B86="",$C86&lt;15,ISERROR(VLOOKUP($B86,MORE_PV,5,0))),"",VLOOKUP($B86,MORE_PV,5,0))</f>
        <v/>
      </c>
      <c r="O86" s="692" t="str">
        <f ca="1">IF(OR(OP!$D$53=1,$B86="",ISERROR(VLOOKUP($B86-1,MORE_PV,9,0))),"",VLOOKUP($B86-1,MORE_PV,9,0))</f>
        <v/>
      </c>
      <c r="P86" s="692" t="str">
        <f ca="1">IF(OR(OP!$D$53=1,$B86="",ISERROR($O86)),"",N($P85)+N($O86))</f>
        <v/>
      </c>
      <c r="Q86" s="692" t="str">
        <f ca="1">IF(OR(OP!$D$53=1,B86=""),"",ROUND(VLOOKUP($B86,MORE_PV,8,0),0))</f>
        <v/>
      </c>
      <c r="R86" s="692" t="str">
        <f ca="1">IF(OR(OP!$D$53=1,B86=""),"",ROUND(VLOOKUP($B86,MORE_PV,7,0),0))</f>
        <v/>
      </c>
      <c r="S86" s="692" t="str">
        <f ca="1">IF(OR(OP!$D$53=1,B86=""),"",N($F86)+N(O86))</f>
        <v/>
      </c>
      <c r="T86" s="692">
        <f ca="1">IF(OR(OP!$D$53=1,$B86=""),0,N(T85)+N($S86))</f>
        <v>0</v>
      </c>
      <c r="U86" s="690" t="str">
        <f ca="1">IF(OR(OP!$D$53=1,B86=""),"",N($H86)+IF(AND($B86&gt;計算!$P$4,計算!$G$6="現金給付"),N($K86),IF(AND($B86&gt;計算!$P$4,計算!$G$6="儲存生息"),N($L86),0))+N($Q86))</f>
        <v/>
      </c>
      <c r="V86" s="690" t="str">
        <f ca="1">IF(OR(OP!$D$53=1,$B86=""),"",N($I86)+IF(AND($B86&gt;計算!$P$4,計算!$G$6="現金給付"),N($K86),IF(AND($B86&gt;計算!$P$4,計算!$G$6="儲存生息"),N($L86),0))+N(R86))</f>
        <v/>
      </c>
      <c r="W86" s="422"/>
      <c r="X86" s="422"/>
      <c r="Y86" s="786" t="str">
        <f ca="1">IF(OR(OP!$D$53=1,$B86=""),"",((($H86+$Q86)-IF(AND(計算!$G$6=計算!$P$5,$B86=OP!$C$57),$K86,0))*IF(OR($C86&lt;16,Z86=0,Z86=""),1,PYO))+IF(AND($B86&gt;計算!$P$4,計算!$G$6="現金給付"),N($K86),IF(AND($B86&gt;計算!$P$4,計算!$G$6="儲存生息"),N($L86),0))+IF(AND(計算!$G$6=計算!$P$5,$B86=OP!$C$57),$K86,0))</f>
        <v/>
      </c>
      <c r="Z86" s="786" t="str">
        <f ca="1">IF(OR(OP!$D$53=1,$B86=""),"",(($H86+Q86)-IF(AND(計算!$G$6="購買增額繳清保險",$B86=OP!$C$57),$K86,0))*IF(OR($C86&lt;16,($H86+$Q86)*PY!$C$4&lt;PY!$D$5,($H86+$Q86)*PY!$C$4*PYR&lt;PY!$C$5),0,PYY)*PYR)</f>
        <v/>
      </c>
    </row>
    <row r="87" spans="2:26" hidden="1">
      <c r="B87" s="693" t="str">
        <f t="shared" ca="1" si="1"/>
        <v/>
      </c>
      <c r="C87" s="689" t="str">
        <f ca="1">IF(OR(OP!$D$53=1,MAX($C$4:C86)&gt;=110),"",C86+(B87-B86))</f>
        <v/>
      </c>
      <c r="D87" s="690" t="str">
        <f ca="1">IF(OR(OP!$D$53=1,AND(B87&gt;OP!$C$24)),"",OP!$C$52-IF($C87&lt;16,$K86,0))</f>
        <v/>
      </c>
      <c r="E87" s="690" t="str">
        <f ca="1">IF(OR(OP!$D$53=1,B87=""),"",N(E86)+N(D87))</f>
        <v/>
      </c>
      <c r="F87" s="690" t="str">
        <f ca="1">IF(OR(OP!$D$53=1,$B87="",ISERROR(VLOOKUP(OP!$C$55,SRV,$B87+1,0))),"",ROUND(VLOOKUP(OP!$C$55,SRV,$B87+1,0)*OP!$C$28,0))</f>
        <v/>
      </c>
      <c r="G87" s="690" t="str">
        <f ca="1">IF(OR(OP!$D$53=1,$B87="",ISERROR(VLOOKUP(OP!$C$55,SRV,$B87+1,0))),"",N(G86)+N(F87))</f>
        <v/>
      </c>
      <c r="H87" s="690" t="str">
        <f ca="1">IF(OR(OP!$D$53=1,B87=""),"",ROUND(VLOOKUP(OP!$C$55,DIE,$B87+1,0)*OP!$C$28,0))</f>
        <v/>
      </c>
      <c r="I87" s="691" t="str">
        <f ca="1">IF(OR(OP!$D$53=1,B87=""),"",ROUND(VLOOKUP(OP!$C$55,CV,$B87+1,0)*OP!$C$28,0))</f>
        <v/>
      </c>
      <c r="J87" s="691" t="str">
        <f ca="1">IF(OR(OP!$D$53=1,B87=""),"",VLOOKUP(OP!$C$55,PA,$B87+1,0)*OP!$C$28)</f>
        <v/>
      </c>
      <c r="K87" s="690" t="str">
        <f ca="1">IF(OR(OP!$D$53=1,B87=""),"",VLOOKUP($B87,more1,7,0))</f>
        <v/>
      </c>
      <c r="L87" s="690" t="str">
        <f ca="1">IF(OR(OP!$D$53=1,B87="",$B87&lt;=計算!$P$4),"",VLOOKUP($B87,more1,6,0))</f>
        <v/>
      </c>
      <c r="M87" s="690" t="str">
        <f ca="1">IF(OR(OP!$D$53=1,B87="",AND($B87&gt;=計算!$P$4,$C87&lt;15),ISERROR(VLOOKUP($B87,MORE_PV,4,0))),"",VLOOKUP($B87,MORE_PV,4,0))</f>
        <v/>
      </c>
      <c r="N87" s="692" t="str">
        <f ca="1">IF(OR(OP!$D$53=1,B87="",$C87&lt;15,ISERROR(VLOOKUP($B87,MORE_PV,5,0))),"",VLOOKUP($B87,MORE_PV,5,0))</f>
        <v/>
      </c>
      <c r="O87" s="692" t="str">
        <f ca="1">IF(OR(OP!$D$53=1,$B87="",ISERROR(VLOOKUP($B87-1,MORE_PV,9,0))),"",VLOOKUP($B87-1,MORE_PV,9,0))</f>
        <v/>
      </c>
      <c r="P87" s="692" t="str">
        <f ca="1">IF(OR(OP!$D$53=1,$B87="",ISERROR($O87)),"",N($P86)+N($O87))</f>
        <v/>
      </c>
      <c r="Q87" s="692" t="str">
        <f ca="1">IF(OR(OP!$D$53=1,B87=""),"",ROUND(VLOOKUP($B87,MORE_PV,8,0),0))</f>
        <v/>
      </c>
      <c r="R87" s="692" t="str">
        <f ca="1">IF(OR(OP!$D$53=1,B87=""),"",ROUND(VLOOKUP($B87,MORE_PV,7,0),0))</f>
        <v/>
      </c>
      <c r="S87" s="692" t="str">
        <f ca="1">IF(OR(OP!$D$53=1,B87=""),"",N($F87)+N(O87))</f>
        <v/>
      </c>
      <c r="T87" s="692">
        <f ca="1">IF(OR(OP!$D$53=1,$B87=""),0,N(T86)+N($S87))</f>
        <v>0</v>
      </c>
      <c r="U87" s="690" t="str">
        <f ca="1">IF(OR(OP!$D$53=1,B87=""),"",N($H87)+IF(AND($B87&gt;計算!$P$4,計算!$G$6="現金給付"),N($K87),IF(AND($B87&gt;計算!$P$4,計算!$G$6="儲存生息"),N($L87),0))+N($Q87))</f>
        <v/>
      </c>
      <c r="V87" s="690" t="str">
        <f ca="1">IF(OR(OP!$D$53=1,$B87=""),"",N($I87)+IF(AND($B87&gt;計算!$P$4,計算!$G$6="現金給付"),N($K87),IF(AND($B87&gt;計算!$P$4,計算!$G$6="儲存生息"),N($L87),0))+N(R87))</f>
        <v/>
      </c>
      <c r="W87" s="422"/>
      <c r="X87" s="422"/>
      <c r="Y87" s="786" t="str">
        <f ca="1">IF(OR(OP!$D$53=1,$B87=""),"",((($H87+$Q87)-IF(AND(計算!$G$6=計算!$P$5,$B87=OP!$C$57),$K87,0))*IF(OR($C87&lt;16,Z87=0,Z87=""),1,PYO))+IF(AND($B87&gt;計算!$P$4,計算!$G$6="現金給付"),N($K87),IF(AND($B87&gt;計算!$P$4,計算!$G$6="儲存生息"),N($L87),0))+IF(AND(計算!$G$6=計算!$P$5,$B87=OP!$C$57),$K87,0))</f>
        <v/>
      </c>
      <c r="Z87" s="786" t="str">
        <f ca="1">IF(OR(OP!$D$53=1,$B87=""),"",(($H87+Q87)-IF(AND(計算!$G$6="購買增額繳清保險",$B87=OP!$C$57),$K87,0))*IF(OR($C87&lt;16,($H87+$Q87)*PY!$C$4&lt;PY!$D$5,($H87+$Q87)*PY!$C$4*PYR&lt;PY!$C$5),0,PYY)*PYR)</f>
        <v/>
      </c>
    </row>
    <row r="88" spans="2:26" hidden="1">
      <c r="B88" s="693" t="str">
        <f t="shared" ca="1" si="1"/>
        <v/>
      </c>
      <c r="C88" s="689" t="str">
        <f ca="1">IF(OR(OP!$D$53=1,MAX($C$4:C87)&gt;=110),"",C87+(B88-B87))</f>
        <v/>
      </c>
      <c r="D88" s="690" t="str">
        <f ca="1">IF(OR(OP!$D$53=1,AND(B88&gt;OP!$C$24)),"",OP!$C$52-IF($C88&lt;16,$K87,0))</f>
        <v/>
      </c>
      <c r="E88" s="690" t="str">
        <f ca="1">IF(OR(OP!$D$53=1,B88=""),"",N(E87)+N(D88))</f>
        <v/>
      </c>
      <c r="F88" s="690" t="str">
        <f ca="1">IF(OR(OP!$D$53=1,$B88="",ISERROR(VLOOKUP(OP!$C$55,SRV,$B88+1,0))),"",ROUND(VLOOKUP(OP!$C$55,SRV,$B88+1,0)*OP!$C$28,0))</f>
        <v/>
      </c>
      <c r="G88" s="690" t="str">
        <f ca="1">IF(OR(OP!$D$53=1,$B88="",ISERROR(VLOOKUP(OP!$C$55,SRV,$B88+1,0))),"",N(G87)+N(F88))</f>
        <v/>
      </c>
      <c r="H88" s="690" t="str">
        <f ca="1">IF(OR(OP!$D$53=1,B88=""),"",ROUND(VLOOKUP(OP!$C$55,DIE,$B88+1,0)*OP!$C$28,0))</f>
        <v/>
      </c>
      <c r="I88" s="691" t="str">
        <f ca="1">IF(OR(OP!$D$53=1,B88=""),"",ROUND(VLOOKUP(OP!$C$55,CV,$B88+1,0)*OP!$C$28,0))</f>
        <v/>
      </c>
      <c r="J88" s="691" t="str">
        <f ca="1">IF(OR(OP!$D$53=1,B88=""),"",VLOOKUP(OP!$C$55,PA,$B88+1,0)*OP!$C$28)</f>
        <v/>
      </c>
      <c r="K88" s="690" t="str">
        <f ca="1">IF(OR(OP!$D$53=1,B88=""),"",VLOOKUP($B88,more1,7,0))</f>
        <v/>
      </c>
      <c r="L88" s="690" t="str">
        <f ca="1">IF(OR(OP!$D$53=1,B88="",$B88&lt;=計算!$P$4),"",VLOOKUP($B88,more1,6,0))</f>
        <v/>
      </c>
      <c r="M88" s="690" t="str">
        <f ca="1">IF(OR(OP!$D$53=1,B88="",AND($B88&gt;=計算!$P$4,$C88&lt;15),ISERROR(VLOOKUP($B88,MORE_PV,4,0))),"",VLOOKUP($B88,MORE_PV,4,0))</f>
        <v/>
      </c>
      <c r="N88" s="692" t="str">
        <f ca="1">IF(OR(OP!$D$53=1,B88="",$C88&lt;15,ISERROR(VLOOKUP($B88,MORE_PV,5,0))),"",VLOOKUP($B88,MORE_PV,5,0))</f>
        <v/>
      </c>
      <c r="O88" s="692" t="str">
        <f ca="1">IF(OR(OP!$D$53=1,$B88="",ISERROR(VLOOKUP($B88-1,MORE_PV,9,0))),"",VLOOKUP($B88-1,MORE_PV,9,0))</f>
        <v/>
      </c>
      <c r="P88" s="692" t="str">
        <f ca="1">IF(OR(OP!$D$53=1,$B88="",ISERROR($O88)),"",N($P87)+N($O88))</f>
        <v/>
      </c>
      <c r="Q88" s="692" t="str">
        <f ca="1">IF(OR(OP!$D$53=1,B88=""),"",ROUND(VLOOKUP($B88,MORE_PV,8,0),0))</f>
        <v/>
      </c>
      <c r="R88" s="692" t="str">
        <f ca="1">IF(OR(OP!$D$53=1,B88=""),"",ROUND(VLOOKUP($B88,MORE_PV,7,0),0))</f>
        <v/>
      </c>
      <c r="S88" s="692" t="str">
        <f ca="1">IF(OR(OP!$D$53=1,B88=""),"",N($F88)+N(O88))</f>
        <v/>
      </c>
      <c r="T88" s="692">
        <f ca="1">IF(OR(OP!$D$53=1,$B88=""),0,N(T87)+N($S88))</f>
        <v>0</v>
      </c>
      <c r="U88" s="690" t="str">
        <f ca="1">IF(OR(OP!$D$53=1,B88=""),"",N($H88)+IF(AND($B88&gt;計算!$P$4,計算!$G$6="現金給付"),N($K88),IF(AND($B88&gt;計算!$P$4,計算!$G$6="儲存生息"),N($L88),0))+N($Q88))</f>
        <v/>
      </c>
      <c r="V88" s="690" t="str">
        <f ca="1">IF(OR(OP!$D$53=1,$B88=""),"",N($I88)+IF(AND($B88&gt;計算!$P$4,計算!$G$6="現金給付"),N($K88),IF(AND($B88&gt;計算!$P$4,計算!$G$6="儲存生息"),N($L88),0))+N(R88))</f>
        <v/>
      </c>
      <c r="W88" s="422"/>
      <c r="X88" s="422"/>
      <c r="Y88" s="786" t="str">
        <f ca="1">IF(OR(OP!$D$53=1,$B88=""),"",((($H88+$Q88)-IF(AND(計算!$G$6=計算!$P$5,$B88=OP!$C$57),$K88,0))*IF(OR($C88&lt;16,Z88=0,Z88=""),1,PYO))+IF(AND($B88&gt;計算!$P$4,計算!$G$6="現金給付"),N($K88),IF(AND($B88&gt;計算!$P$4,計算!$G$6="儲存生息"),N($L88),0))+IF(AND(計算!$G$6=計算!$P$5,$B88=OP!$C$57),$K88,0))</f>
        <v/>
      </c>
      <c r="Z88" s="786" t="str">
        <f ca="1">IF(OR(OP!$D$53=1,$B88=""),"",(($H88+Q88)-IF(AND(計算!$G$6="購買增額繳清保險",$B88=OP!$C$57),$K88,0))*IF(OR($C88&lt;16,($H88+$Q88)*PY!$C$4&lt;PY!$D$5,($H88+$Q88)*PY!$C$4*PYR&lt;PY!$C$5),0,PYY)*PYR)</f>
        <v/>
      </c>
    </row>
    <row r="89" spans="2:26" hidden="1">
      <c r="B89" s="693" t="str">
        <f t="shared" ca="1" si="1"/>
        <v/>
      </c>
      <c r="C89" s="689" t="str">
        <f ca="1">IF(OR(OP!$D$53=1,MAX($C$4:C88)&gt;=110),"",C88+(B89-B88))</f>
        <v/>
      </c>
      <c r="D89" s="690" t="str">
        <f ca="1">IF(OR(OP!$D$53=1,AND(B89&gt;OP!$C$24)),"",OP!$C$52-IF($C89&lt;16,$K88,0))</f>
        <v/>
      </c>
      <c r="E89" s="690" t="str">
        <f ca="1">IF(OR(OP!$D$53=1,B89=""),"",N(E88)+N(D89))</f>
        <v/>
      </c>
      <c r="F89" s="690" t="str">
        <f ca="1">IF(OR(OP!$D$53=1,$B89="",ISERROR(VLOOKUP(OP!$C$55,SRV,$B89+1,0))),"",ROUND(VLOOKUP(OP!$C$55,SRV,$B89+1,0)*OP!$C$28,0))</f>
        <v/>
      </c>
      <c r="G89" s="690" t="str">
        <f ca="1">IF(OR(OP!$D$53=1,$B89="",ISERROR(VLOOKUP(OP!$C$55,SRV,$B89+1,0))),"",N(G88)+N(F89))</f>
        <v/>
      </c>
      <c r="H89" s="690" t="str">
        <f ca="1">IF(OR(OP!$D$53=1,B89=""),"",ROUND(VLOOKUP(OP!$C$55,DIE,$B89+1,0)*OP!$C$28,0))</f>
        <v/>
      </c>
      <c r="I89" s="691" t="str">
        <f ca="1">IF(OR(OP!$D$53=1,B89=""),"",ROUND(VLOOKUP(OP!$C$55,CV,$B89+1,0)*OP!$C$28,0))</f>
        <v/>
      </c>
      <c r="J89" s="691" t="str">
        <f ca="1">IF(OR(OP!$D$53=1,B89=""),"",VLOOKUP(OP!$C$55,PA,$B89+1,0)*OP!$C$28)</f>
        <v/>
      </c>
      <c r="K89" s="690" t="str">
        <f ca="1">IF(OR(OP!$D$53=1,B89=""),"",VLOOKUP($B89,more1,7,0))</f>
        <v/>
      </c>
      <c r="L89" s="690" t="str">
        <f ca="1">IF(OR(OP!$D$53=1,B89="",$B89&lt;=計算!$P$4),"",VLOOKUP($B89,more1,6,0))</f>
        <v/>
      </c>
      <c r="M89" s="690" t="str">
        <f ca="1">IF(OR(OP!$D$53=1,B89="",AND($B89&gt;=計算!$P$4,$C89&lt;15),ISERROR(VLOOKUP($B89,MORE_PV,4,0))),"",VLOOKUP($B89,MORE_PV,4,0))</f>
        <v/>
      </c>
      <c r="N89" s="692" t="str">
        <f ca="1">IF(OR(OP!$D$53=1,B89="",$C89&lt;15,ISERROR(VLOOKUP($B89,MORE_PV,5,0))),"",VLOOKUP($B89,MORE_PV,5,0))</f>
        <v/>
      </c>
      <c r="O89" s="692" t="str">
        <f ca="1">IF(OR(OP!$D$53=1,$B89="",ISERROR(VLOOKUP($B89-1,MORE_PV,9,0))),"",VLOOKUP($B89-1,MORE_PV,9,0))</f>
        <v/>
      </c>
      <c r="P89" s="692" t="str">
        <f ca="1">IF(OR(OP!$D$53=1,$B89="",ISERROR($O89)),"",N($P88)+N($O89))</f>
        <v/>
      </c>
      <c r="Q89" s="692" t="str">
        <f ca="1">IF(OR(OP!$D$53=1,B89=""),"",ROUND(VLOOKUP($B89,MORE_PV,8,0),0))</f>
        <v/>
      </c>
      <c r="R89" s="692" t="str">
        <f ca="1">IF(OR(OP!$D$53=1,B89=""),"",ROUND(VLOOKUP($B89,MORE_PV,7,0),0))</f>
        <v/>
      </c>
      <c r="S89" s="692" t="str">
        <f ca="1">IF(OR(OP!$D$53=1,B89=""),"",N($F89)+N(O89))</f>
        <v/>
      </c>
      <c r="T89" s="692">
        <f ca="1">IF(OR(OP!$D$53=1,$B89=""),0,N(T88)+N($S89))</f>
        <v>0</v>
      </c>
      <c r="U89" s="690" t="str">
        <f ca="1">IF(OR(OP!$D$53=1,B89=""),"",N($H89)+IF(AND($B89&gt;計算!$P$4,計算!$G$6="現金給付"),N($K89),IF(AND($B89&gt;計算!$P$4,計算!$G$6="儲存生息"),N($L89),0))+N($Q89))</f>
        <v/>
      </c>
      <c r="V89" s="690" t="str">
        <f ca="1">IF(OR(OP!$D$53=1,$B89=""),"",N($I89)+IF(AND($B89&gt;計算!$P$4,計算!$G$6="現金給付"),N($K89),IF(AND($B89&gt;計算!$P$4,計算!$G$6="儲存生息"),N($L89),0))+N(R89))</f>
        <v/>
      </c>
      <c r="W89" s="422"/>
      <c r="X89" s="422"/>
      <c r="Y89" s="786" t="str">
        <f ca="1">IF(OR(OP!$D$53=1,$B89=""),"",((($H89+$Q89)-IF(AND(計算!$G$6=計算!$P$5,$B89=OP!$C$57),$K89,0))*IF(OR($C89&lt;16,Z89=0,Z89=""),1,PYO))+IF(AND($B89&gt;計算!$P$4,計算!$G$6="現金給付"),N($K89),IF(AND($B89&gt;計算!$P$4,計算!$G$6="儲存生息"),N($L89),0))+IF(AND(計算!$G$6=計算!$P$5,$B89=OP!$C$57),$K89,0))</f>
        <v/>
      </c>
      <c r="Z89" s="786" t="str">
        <f ca="1">IF(OR(OP!$D$53=1,$B89=""),"",(($H89+Q89)-IF(AND(計算!$G$6="購買增額繳清保險",$B89=OP!$C$57),$K89,0))*IF(OR($C89&lt;16,($H89+$Q89)*PY!$C$4&lt;PY!$D$5,($H89+$Q89)*PY!$C$4*PYR&lt;PY!$C$5),0,PYY)*PYR)</f>
        <v/>
      </c>
    </row>
    <row r="90" spans="2:26" hidden="1">
      <c r="B90" s="693" t="str">
        <f t="shared" ca="1" si="1"/>
        <v/>
      </c>
      <c r="C90" s="689" t="str">
        <f ca="1">IF(OR(OP!$D$53=1,MAX($C$4:C89)&gt;=110),"",C89+(B90-B89))</f>
        <v/>
      </c>
      <c r="D90" s="690" t="str">
        <f ca="1">IF(OR(OP!$D$53=1,AND(B90&gt;OP!$C$24)),"",OP!$C$52-IF($C90&lt;16,$K89,0))</f>
        <v/>
      </c>
      <c r="E90" s="690" t="str">
        <f ca="1">IF(OR(OP!$D$53=1,B90=""),"",N(E89)+N(D90))</f>
        <v/>
      </c>
      <c r="F90" s="690" t="str">
        <f ca="1">IF(OR(OP!$D$53=1,$B90="",ISERROR(VLOOKUP(OP!$C$55,SRV,$B90+1,0))),"",ROUND(VLOOKUP(OP!$C$55,SRV,$B90+1,0)*OP!$C$28,0))</f>
        <v/>
      </c>
      <c r="G90" s="690" t="str">
        <f ca="1">IF(OR(OP!$D$53=1,$B90="",ISERROR(VLOOKUP(OP!$C$55,SRV,$B90+1,0))),"",N(G89)+N(F90))</f>
        <v/>
      </c>
      <c r="H90" s="690" t="str">
        <f ca="1">IF(OR(OP!$D$53=1,B90=""),"",ROUND(VLOOKUP(OP!$C$55,DIE,$B90+1,0)*OP!$C$28,0))</f>
        <v/>
      </c>
      <c r="I90" s="691" t="str">
        <f ca="1">IF(OR(OP!$D$53=1,B90=""),"",ROUND(VLOOKUP(OP!$C$55,CV,$B90+1,0)*OP!$C$28,0))</f>
        <v/>
      </c>
      <c r="J90" s="691" t="str">
        <f ca="1">IF(OR(OP!$D$53=1,B90=""),"",VLOOKUP(OP!$C$55,PA,$B90+1,0)*OP!$C$28)</f>
        <v/>
      </c>
      <c r="K90" s="690" t="str">
        <f ca="1">IF(OR(OP!$D$53=1,B90=""),"",VLOOKUP($B90,more1,7,0))</f>
        <v/>
      </c>
      <c r="L90" s="690" t="str">
        <f ca="1">IF(OR(OP!$D$53=1,B90="",$B90&lt;=計算!$P$4),"",VLOOKUP($B90,more1,6,0))</f>
        <v/>
      </c>
      <c r="M90" s="690" t="str">
        <f ca="1">IF(OR(OP!$D$53=1,B90="",AND($B90&gt;=計算!$P$4,$C90&lt;15),ISERROR(VLOOKUP($B90,MORE_PV,4,0))),"",VLOOKUP($B90,MORE_PV,4,0))</f>
        <v/>
      </c>
      <c r="N90" s="692" t="str">
        <f ca="1">IF(OR(OP!$D$53=1,B90="",$C90&lt;15,ISERROR(VLOOKUP($B90,MORE_PV,5,0))),"",VLOOKUP($B90,MORE_PV,5,0))</f>
        <v/>
      </c>
      <c r="O90" s="692" t="str">
        <f ca="1">IF(OR(OP!$D$53=1,$B90="",ISERROR(VLOOKUP($B90-1,MORE_PV,9,0))),"",VLOOKUP($B90-1,MORE_PV,9,0))</f>
        <v/>
      </c>
      <c r="P90" s="692" t="str">
        <f ca="1">IF(OR(OP!$D$53=1,$B90="",ISERROR($O90)),"",N($P89)+N($O90))</f>
        <v/>
      </c>
      <c r="Q90" s="692" t="str">
        <f ca="1">IF(OR(OP!$D$53=1,B90=""),"",ROUND(VLOOKUP($B90,MORE_PV,8,0),0))</f>
        <v/>
      </c>
      <c r="R90" s="692" t="str">
        <f ca="1">IF(OR(OP!$D$53=1,B90=""),"",ROUND(VLOOKUP($B90,MORE_PV,7,0),0))</f>
        <v/>
      </c>
      <c r="S90" s="692" t="str">
        <f ca="1">IF(OR(OP!$D$53=1,B90=""),"",N($F90)+N(O90))</f>
        <v/>
      </c>
      <c r="T90" s="692">
        <f ca="1">IF(OR(OP!$D$53=1,$B90=""),0,N(T89)+N($S90))</f>
        <v>0</v>
      </c>
      <c r="U90" s="690" t="str">
        <f ca="1">IF(OR(OP!$D$53=1,B90=""),"",N($H90)+IF(AND($B90&gt;計算!$P$4,計算!$G$6="現金給付"),N($K90),IF(AND($B90&gt;計算!$P$4,計算!$G$6="儲存生息"),N($L90),0))+N($Q90))</f>
        <v/>
      </c>
      <c r="V90" s="690" t="str">
        <f ca="1">IF(OR(OP!$D$53=1,$B90=""),"",N($I90)+IF(AND($B90&gt;計算!$P$4,計算!$G$6="現金給付"),N($K90),IF(AND($B90&gt;計算!$P$4,計算!$G$6="儲存生息"),N($L90),0))+N(R90))</f>
        <v/>
      </c>
      <c r="W90" s="422"/>
      <c r="X90" s="422"/>
      <c r="Y90" s="786" t="str">
        <f ca="1">IF(OR(OP!$D$53=1,$B90=""),"",((($H90+$Q90)-IF(AND(計算!$G$6=計算!$P$5,$B90=OP!$C$57),$K90,0))*IF(OR($C90&lt;16,Z90=0,Z90=""),1,PYO))+IF(AND($B90&gt;計算!$P$4,計算!$G$6="現金給付"),N($K90),IF(AND($B90&gt;計算!$P$4,計算!$G$6="儲存生息"),N($L90),0))+IF(AND(計算!$G$6=計算!$P$5,$B90=OP!$C$57),$K90,0))</f>
        <v/>
      </c>
      <c r="Z90" s="786" t="str">
        <f ca="1">IF(OR(OP!$D$53=1,$B90=""),"",(($H90+Q90)-IF(AND(計算!$G$6="購買增額繳清保險",$B90=OP!$C$57),$K90,0))*IF(OR($C90&lt;16,($H90+$Q90)*PY!$C$4&lt;PY!$D$5,($H90+$Q90)*PY!$C$4*PYR&lt;PY!$C$5),0,PYY)*PYR)</f>
        <v/>
      </c>
    </row>
    <row r="91" spans="2:26" hidden="1">
      <c r="B91" s="693" t="str">
        <f t="shared" ca="1" si="1"/>
        <v/>
      </c>
      <c r="C91" s="689" t="str">
        <f ca="1">IF(OR(OP!$D$53=1,MAX($C$4:C90)&gt;=110),"",C90+(B91-B90))</f>
        <v/>
      </c>
      <c r="D91" s="690" t="str">
        <f ca="1">IF(OR(OP!$D$53=1,AND(B91&gt;OP!$C$24)),"",OP!$C$52-IF($C91&lt;16,$K90,0))</f>
        <v/>
      </c>
      <c r="E91" s="690" t="str">
        <f ca="1">IF(OR(OP!$D$53=1,B91=""),"",N(E90)+N(D91))</f>
        <v/>
      </c>
      <c r="F91" s="690" t="str">
        <f ca="1">IF(OR(OP!$D$53=1,$B91="",ISERROR(VLOOKUP(OP!$C$55,SRV,$B91+1,0))),"",ROUND(VLOOKUP(OP!$C$55,SRV,$B91+1,0)*OP!$C$28,0))</f>
        <v/>
      </c>
      <c r="G91" s="690" t="str">
        <f ca="1">IF(OR(OP!$D$53=1,$B91="",ISERROR(VLOOKUP(OP!$C$55,SRV,$B91+1,0))),"",N(G90)+N(F91))</f>
        <v/>
      </c>
      <c r="H91" s="690" t="str">
        <f ca="1">IF(OR(OP!$D$53=1,B91=""),"",ROUND(VLOOKUP(OP!$C$55,DIE,$B91+1,0)*OP!$C$28,0))</f>
        <v/>
      </c>
      <c r="I91" s="691" t="str">
        <f ca="1">IF(OR(OP!$D$53=1,B91=""),"",ROUND(VLOOKUP(OP!$C$55,CV,$B91+1,0)*OP!$C$28,0))</f>
        <v/>
      </c>
      <c r="J91" s="691" t="str">
        <f ca="1">IF(OR(OP!$D$53=1,B91=""),"",VLOOKUP(OP!$C$55,PA,$B91+1,0)*OP!$C$28)</f>
        <v/>
      </c>
      <c r="K91" s="690" t="str">
        <f ca="1">IF(OR(OP!$D$53=1,B91=""),"",VLOOKUP($B91,more1,7,0))</f>
        <v/>
      </c>
      <c r="L91" s="690" t="str">
        <f ca="1">IF(OR(OP!$D$53=1,B91="",$B91&lt;=計算!$P$4),"",VLOOKUP($B91,more1,6,0))</f>
        <v/>
      </c>
      <c r="M91" s="690" t="str">
        <f ca="1">IF(OR(OP!$D$53=1,B91="",AND($B91&gt;=計算!$P$4,$C91&lt;15),ISERROR(VLOOKUP($B91,MORE_PV,4,0))),"",VLOOKUP($B91,MORE_PV,4,0))</f>
        <v/>
      </c>
      <c r="N91" s="692" t="str">
        <f ca="1">IF(OR(OP!$D$53=1,B91="",$C91&lt;15,ISERROR(VLOOKUP($B91,MORE_PV,5,0))),"",VLOOKUP($B91,MORE_PV,5,0))</f>
        <v/>
      </c>
      <c r="O91" s="692" t="str">
        <f ca="1">IF(OR(OP!$D$53=1,$B91="",ISERROR(VLOOKUP($B91-1,MORE_PV,9,0))),"",VLOOKUP($B91-1,MORE_PV,9,0))</f>
        <v/>
      </c>
      <c r="P91" s="692" t="str">
        <f ca="1">IF(OR(OP!$D$53=1,$B91="",ISERROR($O91)),"",N($P90)+N($O91))</f>
        <v/>
      </c>
      <c r="Q91" s="692" t="str">
        <f ca="1">IF(OR(OP!$D$53=1,B91=""),"",ROUND(VLOOKUP($B91,MORE_PV,8,0),0))</f>
        <v/>
      </c>
      <c r="R91" s="692" t="str">
        <f ca="1">IF(OR(OP!$D$53=1,B91=""),"",ROUND(VLOOKUP($B91,MORE_PV,7,0),0))</f>
        <v/>
      </c>
      <c r="S91" s="692" t="str">
        <f ca="1">IF(OR(OP!$D$53=1,B91=""),"",N($F91)+N(O91))</f>
        <v/>
      </c>
      <c r="T91" s="692">
        <f ca="1">IF(OR(OP!$D$53=1,$B91=""),0,N(T90)+N($S91))</f>
        <v>0</v>
      </c>
      <c r="U91" s="690" t="str">
        <f ca="1">IF(OR(OP!$D$53=1,B91=""),"",N($H91)+IF(AND($B91&gt;計算!$P$4,計算!$G$6="現金給付"),N($K91),IF(AND($B91&gt;計算!$P$4,計算!$G$6="儲存生息"),N($L91),0))+N($Q91))</f>
        <v/>
      </c>
      <c r="V91" s="690" t="str">
        <f ca="1">IF(OR(OP!$D$53=1,$B91=""),"",N($I91)+IF(AND($B91&gt;計算!$P$4,計算!$G$6="現金給付"),N($K91),IF(AND($B91&gt;計算!$P$4,計算!$G$6="儲存生息"),N($L91),0))+N(R91))</f>
        <v/>
      </c>
      <c r="W91" s="422"/>
      <c r="X91" s="422"/>
      <c r="Y91" s="786" t="str">
        <f ca="1">IF(OR(OP!$D$53=1,$B91=""),"",((($H91+$Q91)-IF(AND(計算!$G$6=計算!$P$5,$B91=OP!$C$57),$K91,0))*IF(OR($C91&lt;16,Z91=0,Z91=""),1,PYO))+IF(AND($B91&gt;計算!$P$4,計算!$G$6="現金給付"),N($K91),IF(AND($B91&gt;計算!$P$4,計算!$G$6="儲存生息"),N($L91),0))+IF(AND(計算!$G$6=計算!$P$5,$B91=OP!$C$57),$K91,0))</f>
        <v/>
      </c>
      <c r="Z91" s="786" t="str">
        <f ca="1">IF(OR(OP!$D$53=1,$B91=""),"",(($H91+Q91)-IF(AND(計算!$G$6="購買增額繳清保險",$B91=OP!$C$57),$K91,0))*IF(OR($C91&lt;16,($H91+$Q91)*PY!$C$4&lt;PY!$D$5,($H91+$Q91)*PY!$C$4*PYR&lt;PY!$C$5),0,PYY)*PYR)</f>
        <v/>
      </c>
    </row>
    <row r="92" spans="2:26" hidden="1">
      <c r="B92" s="693" t="str">
        <f t="shared" ca="1" si="1"/>
        <v/>
      </c>
      <c r="C92" s="689" t="str">
        <f ca="1">IF(OR(OP!$D$53=1,MAX($C$4:C91)&gt;=110),"",C91+(B92-B91))</f>
        <v/>
      </c>
      <c r="D92" s="690" t="str">
        <f ca="1">IF(OR(OP!$D$53=1,AND(B92&gt;OP!$C$24)),"",OP!$C$52-IF($C92&lt;16,$K91,0))</f>
        <v/>
      </c>
      <c r="E92" s="690" t="str">
        <f ca="1">IF(OR(OP!$D$53=1,B92=""),"",N(E91)+N(D92))</f>
        <v/>
      </c>
      <c r="F92" s="690" t="str">
        <f ca="1">IF(OR(OP!$D$53=1,$B92="",ISERROR(VLOOKUP(OP!$C$55,SRV,$B92+1,0))),"",ROUND(VLOOKUP(OP!$C$55,SRV,$B92+1,0)*OP!$C$28,0))</f>
        <v/>
      </c>
      <c r="G92" s="690" t="str">
        <f ca="1">IF(OR(OP!$D$53=1,$B92="",ISERROR(VLOOKUP(OP!$C$55,SRV,$B92+1,0))),"",N(G91)+N(F92))</f>
        <v/>
      </c>
      <c r="H92" s="690" t="str">
        <f ca="1">IF(OR(OP!$D$53=1,B92=""),"",ROUND(VLOOKUP(OP!$C$55,DIE,$B92+1,0)*OP!$C$28,0))</f>
        <v/>
      </c>
      <c r="I92" s="691" t="str">
        <f ca="1">IF(OR(OP!$D$53=1,B92=""),"",ROUND(VLOOKUP(OP!$C$55,CV,$B92+1,0)*OP!$C$28,0))</f>
        <v/>
      </c>
      <c r="J92" s="691" t="str">
        <f ca="1">IF(OR(OP!$D$53=1,B92=""),"",VLOOKUP(OP!$C$55,PA,$B92+1,0)*OP!$C$28)</f>
        <v/>
      </c>
      <c r="K92" s="690" t="str">
        <f ca="1">IF(OR(OP!$D$53=1,B92=""),"",VLOOKUP($B92,more1,7,0))</f>
        <v/>
      </c>
      <c r="L92" s="690" t="str">
        <f ca="1">IF(OR(OP!$D$53=1,B92="",$B92&lt;=計算!$P$4),"",VLOOKUP($B92,more1,6,0))</f>
        <v/>
      </c>
      <c r="M92" s="690" t="str">
        <f ca="1">IF(OR(OP!$D$53=1,B92="",AND($B92&gt;=計算!$P$4,$C92&lt;15),ISERROR(VLOOKUP($B92,MORE_PV,4,0))),"",VLOOKUP($B92,MORE_PV,4,0))</f>
        <v/>
      </c>
      <c r="N92" s="692" t="str">
        <f ca="1">IF(OR(OP!$D$53=1,B92="",$C92&lt;15,ISERROR(VLOOKUP($B92,MORE_PV,5,0))),"",VLOOKUP($B92,MORE_PV,5,0))</f>
        <v/>
      </c>
      <c r="O92" s="692" t="str">
        <f ca="1">IF(OR(OP!$D$53=1,$B92="",ISERROR(VLOOKUP($B92-1,MORE_PV,9,0))),"",VLOOKUP($B92-1,MORE_PV,9,0))</f>
        <v/>
      </c>
      <c r="P92" s="692" t="str">
        <f ca="1">IF(OR(OP!$D$53=1,$B92="",ISERROR($O92)),"",N($P91)+N($O92))</f>
        <v/>
      </c>
      <c r="Q92" s="692" t="str">
        <f ca="1">IF(OR(OP!$D$53=1,B92=""),"",ROUND(VLOOKUP($B92,MORE_PV,8,0),0))</f>
        <v/>
      </c>
      <c r="R92" s="692" t="str">
        <f ca="1">IF(OR(OP!$D$53=1,B92=""),"",ROUND(VLOOKUP($B92,MORE_PV,7,0),0))</f>
        <v/>
      </c>
      <c r="S92" s="692" t="str">
        <f ca="1">IF(OR(OP!$D$53=1,B92=""),"",N($F92)+N(O92))</f>
        <v/>
      </c>
      <c r="T92" s="692">
        <f ca="1">IF(OR(OP!$D$53=1,$B92=""),0,N(T91)+N($S92))</f>
        <v>0</v>
      </c>
      <c r="U92" s="690" t="str">
        <f ca="1">IF(OR(OP!$D$53=1,B92=""),"",N($H92)+IF(AND($B92&gt;計算!$P$4,計算!$G$6="現金給付"),N($K92),IF(AND($B92&gt;計算!$P$4,計算!$G$6="儲存生息"),N($L92),0))+N($Q92))</f>
        <v/>
      </c>
      <c r="V92" s="690" t="str">
        <f ca="1">IF(OR(OP!$D$53=1,$B92=""),"",N($I92)+IF(AND($B92&gt;計算!$P$4,計算!$G$6="現金給付"),N($K92),IF(AND($B92&gt;計算!$P$4,計算!$G$6="儲存生息"),N($L92),0))+N(R92))</f>
        <v/>
      </c>
      <c r="W92" s="422"/>
      <c r="X92" s="422"/>
      <c r="Y92" s="786" t="str">
        <f ca="1">IF(OR(OP!$D$53=1,$B92=""),"",((($H92+$Q92)-IF(AND(計算!$G$6=計算!$P$5,$B92=OP!$C$57),$K92,0))*IF(OR($C92&lt;16,Z92=0,Z92=""),1,PYO))+IF(AND($B92&gt;計算!$P$4,計算!$G$6="現金給付"),N($K92),IF(AND($B92&gt;計算!$P$4,計算!$G$6="儲存生息"),N($L92),0))+IF(AND(計算!$G$6=計算!$P$5,$B92=OP!$C$57),$K92,0))</f>
        <v/>
      </c>
      <c r="Z92" s="786" t="str">
        <f ca="1">IF(OR(OP!$D$53=1,$B92=""),"",(($H92+Q92)-IF(AND(計算!$G$6="購買增額繳清保險",$B92=OP!$C$57),$K92,0))*IF(OR($C92&lt;16,($H92+$Q92)*PY!$C$4&lt;PY!$D$5,($H92+$Q92)*PY!$C$4*PYR&lt;PY!$C$5),0,PYY)*PYR)</f>
        <v/>
      </c>
    </row>
    <row r="93" spans="2:26" hidden="1">
      <c r="B93" s="693" t="str">
        <f t="shared" ca="1" si="1"/>
        <v/>
      </c>
      <c r="C93" s="689" t="str">
        <f ca="1">IF(OR(OP!$D$53=1,MAX($C$4:C92)&gt;=110),"",C92+(B93-B92))</f>
        <v/>
      </c>
      <c r="D93" s="690" t="str">
        <f ca="1">IF(OR(OP!$D$53=1,AND(B93&gt;OP!$C$24)),"",OP!$C$52-IF($C93&lt;16,$K92,0))</f>
        <v/>
      </c>
      <c r="E93" s="690" t="str">
        <f ca="1">IF(OR(OP!$D$53=1,B93=""),"",N(E92)+N(D93))</f>
        <v/>
      </c>
      <c r="F93" s="690" t="str">
        <f ca="1">IF(OR(OP!$D$53=1,$B93="",ISERROR(VLOOKUP(OP!$C$55,SRV,$B93+1,0))),"",ROUND(VLOOKUP(OP!$C$55,SRV,$B93+1,0)*OP!$C$28,0))</f>
        <v/>
      </c>
      <c r="G93" s="690" t="str">
        <f ca="1">IF(OR(OP!$D$53=1,$B93="",ISERROR(VLOOKUP(OP!$C$55,SRV,$B93+1,0))),"",N(G92)+N(F93))</f>
        <v/>
      </c>
      <c r="H93" s="690" t="str">
        <f ca="1">IF(OR(OP!$D$53=1,B93=""),"",ROUND(VLOOKUP(OP!$C$55,DIE,$B93+1,0)*OP!$C$28,0))</f>
        <v/>
      </c>
      <c r="I93" s="691" t="str">
        <f ca="1">IF(OR(OP!$D$53=1,B93=""),"",ROUND(VLOOKUP(OP!$C$55,CV,$B93+1,0)*OP!$C$28,0))</f>
        <v/>
      </c>
      <c r="J93" s="691" t="str">
        <f ca="1">IF(OR(OP!$D$53=1,B93=""),"",VLOOKUP(OP!$C$55,PA,$B93+1,0)*OP!$C$28)</f>
        <v/>
      </c>
      <c r="K93" s="690" t="str">
        <f ca="1">IF(OR(OP!$D$53=1,B93=""),"",VLOOKUP($B93,more1,7,0))</f>
        <v/>
      </c>
      <c r="L93" s="690" t="str">
        <f ca="1">IF(OR(OP!$D$53=1,B93="",$B93&lt;=計算!$P$4),"",VLOOKUP($B93,more1,6,0))</f>
        <v/>
      </c>
      <c r="M93" s="690" t="str">
        <f ca="1">IF(OR(OP!$D$53=1,B93="",AND($B93&gt;=計算!$P$4,$C93&lt;15),ISERROR(VLOOKUP($B93,MORE_PV,4,0))),"",VLOOKUP($B93,MORE_PV,4,0))</f>
        <v/>
      </c>
      <c r="N93" s="692" t="str">
        <f ca="1">IF(OR(OP!$D$53=1,B93="",$C93&lt;15,ISERROR(VLOOKUP($B93,MORE_PV,5,0))),"",VLOOKUP($B93,MORE_PV,5,0))</f>
        <v/>
      </c>
      <c r="O93" s="692" t="str">
        <f ca="1">IF(OR(OP!$D$53=1,$B93="",ISERROR(VLOOKUP($B93-1,MORE_PV,9,0))),"",VLOOKUP($B93-1,MORE_PV,9,0))</f>
        <v/>
      </c>
      <c r="P93" s="692" t="str">
        <f ca="1">IF(OR(OP!$D$53=1,$B93="",ISERROR($O93)),"",N($P92)+N($O93))</f>
        <v/>
      </c>
      <c r="Q93" s="692" t="str">
        <f ca="1">IF(OR(OP!$D$53=1,B93=""),"",ROUND(VLOOKUP($B93,MORE_PV,8,0),0))</f>
        <v/>
      </c>
      <c r="R93" s="692" t="str">
        <f ca="1">IF(OR(OP!$D$53=1,B93=""),"",ROUND(VLOOKUP($B93,MORE_PV,7,0),0))</f>
        <v/>
      </c>
      <c r="S93" s="692" t="str">
        <f ca="1">IF(OR(OP!$D$53=1,B93=""),"",N($F93)+N(O93))</f>
        <v/>
      </c>
      <c r="T93" s="692">
        <f ca="1">IF(OR(OP!$D$53=1,$B93=""),0,N(T92)+N($S93))</f>
        <v>0</v>
      </c>
      <c r="U93" s="690" t="str">
        <f ca="1">IF(OR(OP!$D$53=1,B93=""),"",N($H93)+IF(AND($B93&gt;計算!$P$4,計算!$G$6="現金給付"),N($K93),IF(AND($B93&gt;計算!$P$4,計算!$G$6="儲存生息"),N($L93),0))+N($Q93))</f>
        <v/>
      </c>
      <c r="V93" s="690" t="str">
        <f ca="1">IF(OR(OP!$D$53=1,$B93=""),"",N($I93)+IF(AND($B93&gt;計算!$P$4,計算!$G$6="現金給付"),N($K93),IF(AND($B93&gt;計算!$P$4,計算!$G$6="儲存生息"),N($L93),0))+N(R93))</f>
        <v/>
      </c>
      <c r="W93" s="422"/>
      <c r="X93" s="422"/>
      <c r="Y93" s="786" t="str">
        <f ca="1">IF(OR(OP!$D$53=1,$B93=""),"",((($H93+$Q93)-IF(AND(計算!$G$6=計算!$P$5,$B93=OP!$C$57),$K93,0))*IF(OR($C93&lt;16,Z93=0,Z93=""),1,PYO))+IF(AND($B93&gt;計算!$P$4,計算!$G$6="現金給付"),N($K93),IF(AND($B93&gt;計算!$P$4,計算!$G$6="儲存生息"),N($L93),0))+IF(AND(計算!$G$6=計算!$P$5,$B93=OP!$C$57),$K93,0))</f>
        <v/>
      </c>
      <c r="Z93" s="786" t="str">
        <f ca="1">IF(OR(OP!$D$53=1,$B93=""),"",(($H93+Q93)-IF(AND(計算!$G$6="購買增額繳清保險",$B93=OP!$C$57),$K93,0))*IF(OR($C93&lt;16,($H93+$Q93)*PY!$C$4&lt;PY!$D$5,($H93+$Q93)*PY!$C$4*PYR&lt;PY!$C$5),0,PYY)*PYR)</f>
        <v/>
      </c>
    </row>
    <row r="94" spans="2:26" hidden="1">
      <c r="B94" s="693" t="str">
        <f t="shared" ca="1" si="1"/>
        <v/>
      </c>
      <c r="C94" s="689" t="str">
        <f ca="1">IF(OR(OP!$D$53=1,MAX($C$4:C93)&gt;=110),"",C93+(B94-B93))</f>
        <v/>
      </c>
      <c r="D94" s="690" t="str">
        <f ca="1">IF(OR(OP!$D$53=1,AND(B94&gt;OP!$C$24)),"",OP!$C$52-IF($C94&lt;16,$K93,0))</f>
        <v/>
      </c>
      <c r="E94" s="690" t="str">
        <f ca="1">IF(OR(OP!$D$53=1,B94=""),"",N(E93)+N(D94))</f>
        <v/>
      </c>
      <c r="F94" s="690" t="str">
        <f ca="1">IF(OR(OP!$D$53=1,$B94="",ISERROR(VLOOKUP(OP!$C$55,SRV,$B94+1,0))),"",ROUND(VLOOKUP(OP!$C$55,SRV,$B94+1,0)*OP!$C$28,0))</f>
        <v/>
      </c>
      <c r="G94" s="690" t="str">
        <f ca="1">IF(OR(OP!$D$53=1,$B94="",ISERROR(VLOOKUP(OP!$C$55,SRV,$B94+1,0))),"",N(G93)+N(F94))</f>
        <v/>
      </c>
      <c r="H94" s="690" t="str">
        <f ca="1">IF(OR(OP!$D$53=1,B94=""),"",ROUND(VLOOKUP(OP!$C$55,DIE,$B94+1,0)*OP!$C$28,0))</f>
        <v/>
      </c>
      <c r="I94" s="691" t="str">
        <f ca="1">IF(OR(OP!$D$53=1,B94=""),"",ROUND(VLOOKUP(OP!$C$55,CV,$B94+1,0)*OP!$C$28,0))</f>
        <v/>
      </c>
      <c r="J94" s="691" t="str">
        <f ca="1">IF(OR(OP!$D$53=1,B94=""),"",VLOOKUP(OP!$C$55,PA,$B94+1,0)*OP!$C$28)</f>
        <v/>
      </c>
      <c r="K94" s="690" t="str">
        <f ca="1">IF(OR(OP!$D$53=1,B94=""),"",VLOOKUP($B94,more1,7,0))</f>
        <v/>
      </c>
      <c r="L94" s="690" t="str">
        <f ca="1">IF(OR(OP!$D$53=1,B94="",$B94&lt;=計算!$P$4),"",VLOOKUP($B94,more1,6,0))</f>
        <v/>
      </c>
      <c r="M94" s="690" t="str">
        <f ca="1">IF(OR(OP!$D$53=1,B94="",AND($B94&gt;=計算!$P$4,$C94&lt;15),ISERROR(VLOOKUP($B94,MORE_PV,4,0))),"",VLOOKUP($B94,MORE_PV,4,0))</f>
        <v/>
      </c>
      <c r="N94" s="692" t="str">
        <f ca="1">IF(OR(OP!$D$53=1,B94="",$C94&lt;15,ISERROR(VLOOKUP($B94,MORE_PV,5,0))),"",VLOOKUP($B94,MORE_PV,5,0))</f>
        <v/>
      </c>
      <c r="O94" s="692" t="str">
        <f ca="1">IF(OR(OP!$D$53=1,$B94="",ISERROR(VLOOKUP($B94-1,MORE_PV,9,0))),"",VLOOKUP($B94-1,MORE_PV,9,0))</f>
        <v/>
      </c>
      <c r="P94" s="692" t="str">
        <f ca="1">IF(OR(OP!$D$53=1,$B94="",ISERROR($O94)),"",N($P93)+N($O94))</f>
        <v/>
      </c>
      <c r="Q94" s="692" t="str">
        <f ca="1">IF(OR(OP!$D$53=1,B94=""),"",ROUND(VLOOKUP($B94,MORE_PV,8,0),0))</f>
        <v/>
      </c>
      <c r="R94" s="692" t="str">
        <f ca="1">IF(OR(OP!$D$53=1,B94=""),"",ROUND(VLOOKUP($B94,MORE_PV,7,0),0))</f>
        <v/>
      </c>
      <c r="S94" s="692" t="str">
        <f ca="1">IF(OR(OP!$D$53=1,B94=""),"",N($F94)+N(O94))</f>
        <v/>
      </c>
      <c r="T94" s="692">
        <f ca="1">IF(OR(OP!$D$53=1,$B94=""),0,N(T93)+N($S94))</f>
        <v>0</v>
      </c>
      <c r="U94" s="690" t="str">
        <f ca="1">IF(OR(OP!$D$53=1,B94=""),"",N($H94)+IF(AND($B94&gt;計算!$P$4,計算!$G$6="現金給付"),N($K94),IF(AND($B94&gt;計算!$P$4,計算!$G$6="儲存生息"),N($L94),0))+N($Q94))</f>
        <v/>
      </c>
      <c r="V94" s="690" t="str">
        <f ca="1">IF(OR(OP!$D$53=1,$B94=""),"",N($I94)+IF(AND($B94&gt;計算!$P$4,計算!$G$6="現金給付"),N($K94),IF(AND($B94&gt;計算!$P$4,計算!$G$6="儲存生息"),N($L94),0))+N(R94))</f>
        <v/>
      </c>
      <c r="W94" s="422"/>
      <c r="X94" s="422"/>
      <c r="Y94" s="786" t="str">
        <f ca="1">IF(OR(OP!$D$53=1,$B94=""),"",((($H94+$Q94)-IF(AND(計算!$G$6=計算!$P$5,$B94=OP!$C$57),$K94,0))*IF(OR($C94&lt;16,Z94=0,Z94=""),1,PYO))+IF(AND($B94&gt;計算!$P$4,計算!$G$6="現金給付"),N($K94),IF(AND($B94&gt;計算!$P$4,計算!$G$6="儲存生息"),N($L94),0))+IF(AND(計算!$G$6=計算!$P$5,$B94=OP!$C$57),$K94,0))</f>
        <v/>
      </c>
      <c r="Z94" s="786" t="str">
        <f ca="1">IF(OR(OP!$D$53=1,$B94=""),"",(($H94+Q94)-IF(AND(計算!$G$6="購買增額繳清保險",$B94=OP!$C$57),$K94,0))*IF(OR($C94&lt;16,($H94+$Q94)*PY!$C$4&lt;PY!$D$5,($H94+$Q94)*PY!$C$4*PYR&lt;PY!$C$5),0,PYY)*PYR)</f>
        <v/>
      </c>
    </row>
    <row r="95" spans="2:26" hidden="1">
      <c r="B95" s="693" t="str">
        <f t="shared" ca="1" si="1"/>
        <v/>
      </c>
      <c r="C95" s="689" t="str">
        <f ca="1">IF(OR(OP!$D$53=1,MAX($C$4:C94)&gt;=110),"",C94+(B95-B94))</f>
        <v/>
      </c>
      <c r="D95" s="690" t="str">
        <f ca="1">IF(OR(OP!$D$53=1,AND(B95&gt;OP!$C$24)),"",OP!$C$52-IF($C95&lt;16,$K94,0))</f>
        <v/>
      </c>
      <c r="E95" s="690" t="str">
        <f ca="1">IF(OR(OP!$D$53=1,B95=""),"",N(E94)+N(D95))</f>
        <v/>
      </c>
      <c r="F95" s="690" t="str">
        <f ca="1">IF(OR(OP!$D$53=1,$B95="",ISERROR(VLOOKUP(OP!$C$55,SRV,$B95+1,0))),"",ROUND(VLOOKUP(OP!$C$55,SRV,$B95+1,0)*OP!$C$28,0))</f>
        <v/>
      </c>
      <c r="G95" s="690" t="str">
        <f ca="1">IF(OR(OP!$D$53=1,$B95="",ISERROR(VLOOKUP(OP!$C$55,SRV,$B95+1,0))),"",N(G94)+N(F95))</f>
        <v/>
      </c>
      <c r="H95" s="690" t="str">
        <f ca="1">IF(OR(OP!$D$53=1,B95=""),"",ROUND(VLOOKUP(OP!$C$55,DIE,$B95+1,0)*OP!$C$28,0))</f>
        <v/>
      </c>
      <c r="I95" s="691" t="str">
        <f ca="1">IF(OR(OP!$D$53=1,B95=""),"",ROUND(VLOOKUP(OP!$C$55,CV,$B95+1,0)*OP!$C$28,0))</f>
        <v/>
      </c>
      <c r="J95" s="691" t="str">
        <f ca="1">IF(OR(OP!$D$53=1,B95=""),"",VLOOKUP(OP!$C$55,PA,$B95+1,0)*OP!$C$28)</f>
        <v/>
      </c>
      <c r="K95" s="690" t="str">
        <f ca="1">IF(OR(OP!$D$53=1,B95=""),"",VLOOKUP($B95,more1,7,0))</f>
        <v/>
      </c>
      <c r="L95" s="690" t="str">
        <f ca="1">IF(OR(OP!$D$53=1,B95="",$B95&lt;=計算!$P$4),"",VLOOKUP($B95,more1,6,0))</f>
        <v/>
      </c>
      <c r="M95" s="690" t="str">
        <f ca="1">IF(OR(OP!$D$53=1,B95="",AND($B95&gt;=計算!$P$4,$C95&lt;15),ISERROR(VLOOKUP($B95,MORE_PV,4,0))),"",VLOOKUP($B95,MORE_PV,4,0))</f>
        <v/>
      </c>
      <c r="N95" s="692" t="str">
        <f ca="1">IF(OR(OP!$D$53=1,B95="",$C95&lt;15,ISERROR(VLOOKUP($B95,MORE_PV,5,0))),"",VLOOKUP($B95,MORE_PV,5,0))</f>
        <v/>
      </c>
      <c r="O95" s="692" t="str">
        <f ca="1">IF(OR(OP!$D$53=1,$B95="",ISERROR(VLOOKUP($B95-1,MORE_PV,9,0))),"",VLOOKUP($B95-1,MORE_PV,9,0))</f>
        <v/>
      </c>
      <c r="P95" s="692" t="str">
        <f ca="1">IF(OR(OP!$D$53=1,$B95="",ISERROR($O95)),"",N($P94)+N($O95))</f>
        <v/>
      </c>
      <c r="Q95" s="692" t="str">
        <f ca="1">IF(OR(OP!$D$53=1,B95=""),"",ROUND(VLOOKUP($B95,MORE_PV,8,0),0))</f>
        <v/>
      </c>
      <c r="R95" s="692" t="str">
        <f ca="1">IF(OR(OP!$D$53=1,B95=""),"",ROUND(VLOOKUP($B95,MORE_PV,7,0),0))</f>
        <v/>
      </c>
      <c r="S95" s="692" t="str">
        <f ca="1">IF(OR(OP!$D$53=1,B95=""),"",N($F95)+N(O95))</f>
        <v/>
      </c>
      <c r="T95" s="692">
        <f ca="1">IF(OR(OP!$D$53=1,$B95=""),0,N(T94)+N($S95))</f>
        <v>0</v>
      </c>
      <c r="U95" s="690" t="str">
        <f ca="1">IF(OR(OP!$D$53=1,B95=""),"",N($H95)+IF(AND($B95&gt;計算!$P$4,計算!$G$6="現金給付"),N($K95),IF(AND($B95&gt;計算!$P$4,計算!$G$6="儲存生息"),N($L95),0))+N($Q95))</f>
        <v/>
      </c>
      <c r="V95" s="690" t="str">
        <f ca="1">IF(OR(OP!$D$53=1,$B95=""),"",N($I95)+IF(AND($B95&gt;計算!$P$4,計算!$G$6="現金給付"),N($K95),IF(AND($B95&gt;計算!$P$4,計算!$G$6="儲存生息"),N($L95),0))+N(R95))</f>
        <v/>
      </c>
      <c r="W95" s="422"/>
      <c r="X95" s="422"/>
      <c r="Y95" s="786" t="str">
        <f ca="1">IF(OR(OP!$D$53=1,$B95=""),"",((($H95+$Q95)-IF(AND(計算!$G$6=計算!$P$5,$B95=OP!$C$57),$K95,0))*IF(OR($C95&lt;16,Z95=0,Z95=""),1,PYO))+IF(AND($B95&gt;計算!$P$4,計算!$G$6="現金給付"),N($K95),IF(AND($B95&gt;計算!$P$4,計算!$G$6="儲存生息"),N($L95),0))+IF(AND(計算!$G$6=計算!$P$5,$B95=OP!$C$57),$K95,0))</f>
        <v/>
      </c>
      <c r="Z95" s="786" t="str">
        <f ca="1">IF(OR(OP!$D$53=1,$B95=""),"",(($H95+Q95)-IF(AND(計算!$G$6="購買增額繳清保險",$B95=OP!$C$57),$K95,0))*IF(OR($C95&lt;16,($H95+$Q95)*PY!$C$4&lt;PY!$D$5,($H95+$Q95)*PY!$C$4*PYR&lt;PY!$C$5),0,PYY)*PYR)</f>
        <v/>
      </c>
    </row>
    <row r="96" spans="2:26" hidden="1">
      <c r="B96" s="693" t="str">
        <f t="shared" ca="1" si="1"/>
        <v/>
      </c>
      <c r="C96" s="689" t="str">
        <f ca="1">IF(OR(OP!$D$53=1,MAX($C$4:C95)&gt;=110),"",C95+(B96-B95))</f>
        <v/>
      </c>
      <c r="D96" s="690" t="str">
        <f ca="1">IF(OR(OP!$D$53=1,AND(B96&gt;OP!$C$24)),"",OP!$C$52-IF($C96&lt;16,$K95,0))</f>
        <v/>
      </c>
      <c r="E96" s="690" t="str">
        <f ca="1">IF(OR(OP!$D$53=1,B96=""),"",N(E95)+N(D96))</f>
        <v/>
      </c>
      <c r="F96" s="690" t="str">
        <f ca="1">IF(OR(OP!$D$53=1,$B96="",ISERROR(VLOOKUP(OP!$C$55,SRV,$B96+1,0))),"",ROUND(VLOOKUP(OP!$C$55,SRV,$B96+1,0)*OP!$C$28,0))</f>
        <v/>
      </c>
      <c r="G96" s="690" t="str">
        <f ca="1">IF(OR(OP!$D$53=1,$B96="",ISERROR(VLOOKUP(OP!$C$55,SRV,$B96+1,0))),"",N(G95)+N(F96))</f>
        <v/>
      </c>
      <c r="H96" s="690" t="str">
        <f ca="1">IF(OR(OP!$D$53=1,B96=""),"",ROUND(VLOOKUP(OP!$C$55,DIE,$B96+1,0)*OP!$C$28,0))</f>
        <v/>
      </c>
      <c r="I96" s="691" t="str">
        <f ca="1">IF(OR(OP!$D$53=1,B96=""),"",ROUND(VLOOKUP(OP!$C$55,CV,$B96+1,0)*OP!$C$28,0))</f>
        <v/>
      </c>
      <c r="J96" s="691" t="str">
        <f ca="1">IF(OR(OP!$D$53=1,B96=""),"",VLOOKUP(OP!$C$55,PA,$B96+1,0)*OP!$C$28)</f>
        <v/>
      </c>
      <c r="K96" s="690" t="str">
        <f ca="1">IF(OR(OP!$D$53=1,B96=""),"",VLOOKUP($B96,more1,7,0))</f>
        <v/>
      </c>
      <c r="L96" s="690" t="str">
        <f ca="1">IF(OR(OP!$D$53=1,B96="",$B96&lt;=計算!$P$4),"",VLOOKUP($B96,more1,6,0))</f>
        <v/>
      </c>
      <c r="M96" s="690" t="str">
        <f ca="1">IF(OR(OP!$D$53=1,B96="",AND($B96&gt;=計算!$P$4,$C96&lt;15),ISERROR(VLOOKUP($B96,MORE_PV,4,0))),"",VLOOKUP($B96,MORE_PV,4,0))</f>
        <v/>
      </c>
      <c r="N96" s="692" t="str">
        <f ca="1">IF(OR(OP!$D$53=1,B96="",$C96&lt;15,ISERROR(VLOOKUP($B96,MORE_PV,5,0))),"",VLOOKUP($B96,MORE_PV,5,0))</f>
        <v/>
      </c>
      <c r="O96" s="692" t="str">
        <f ca="1">IF(OR(OP!$D$53=1,$B96="",ISERROR(VLOOKUP($B96-1,MORE_PV,9,0))),"",VLOOKUP($B96-1,MORE_PV,9,0))</f>
        <v/>
      </c>
      <c r="P96" s="692" t="str">
        <f ca="1">IF(OR(OP!$D$53=1,$B96="",ISERROR($O96)),"",N($P95)+N($O96))</f>
        <v/>
      </c>
      <c r="Q96" s="692" t="str">
        <f ca="1">IF(OR(OP!$D$53=1,B96=""),"",ROUND(VLOOKUP($B96,MORE_PV,8,0),0))</f>
        <v/>
      </c>
      <c r="R96" s="692" t="str">
        <f ca="1">IF(OR(OP!$D$53=1,B96=""),"",ROUND(VLOOKUP($B96,MORE_PV,7,0),0))</f>
        <v/>
      </c>
      <c r="S96" s="692" t="str">
        <f ca="1">IF(OR(OP!$D$53=1,B96=""),"",N($F96)+N(O96))</f>
        <v/>
      </c>
      <c r="T96" s="692">
        <f ca="1">IF(OR(OP!$D$53=1,$B96=""),0,N(T95)+N($S96))</f>
        <v>0</v>
      </c>
      <c r="U96" s="690" t="str">
        <f ca="1">IF(OR(OP!$D$53=1,B96=""),"",N($H96)+IF(AND($B96&gt;計算!$P$4,計算!$G$6="現金給付"),N($K96),IF(AND($B96&gt;計算!$P$4,計算!$G$6="儲存生息"),N($L96),0))+N($Q96))</f>
        <v/>
      </c>
      <c r="V96" s="690" t="str">
        <f ca="1">IF(OR(OP!$D$53=1,$B96=""),"",N($I96)+IF(AND($B96&gt;計算!$P$4,計算!$G$6="現金給付"),N($K96),IF(AND($B96&gt;計算!$P$4,計算!$G$6="儲存生息"),N($L96),0))+N(R96))</f>
        <v/>
      </c>
      <c r="W96" s="422"/>
      <c r="X96" s="422"/>
      <c r="Y96" s="786" t="str">
        <f ca="1">IF(OR(OP!$D$53=1,$B96=""),"",((($H96+$Q96)-IF(AND(計算!$G$6=計算!$P$5,$B96=OP!$C$57),$K96,0))*IF(OR($C96&lt;16,Z96=0,Z96=""),1,PYO))+IF(AND($B96&gt;計算!$P$4,計算!$G$6="現金給付"),N($K96),IF(AND($B96&gt;計算!$P$4,計算!$G$6="儲存生息"),N($L96),0))+IF(AND(計算!$G$6=計算!$P$5,$B96=OP!$C$57),$K96,0))</f>
        <v/>
      </c>
      <c r="Z96" s="786" t="str">
        <f ca="1">IF(OR(OP!$D$53=1,$B96=""),"",(($H96+Q96)-IF(AND(計算!$G$6="購買增額繳清保險",$B96=OP!$C$57),$K96,0))*IF(OR($C96&lt;16,($H96+$Q96)*PY!$C$4&lt;PY!$D$5,($H96+$Q96)*PY!$C$4*PYR&lt;PY!$C$5),0,PYY)*PYR)</f>
        <v/>
      </c>
    </row>
    <row r="97" spans="2:26" hidden="1">
      <c r="B97" s="693" t="str">
        <f t="shared" ca="1" si="1"/>
        <v/>
      </c>
      <c r="C97" s="689" t="str">
        <f ca="1">IF(OR(OP!$D$53=1,MAX($C$4:C96)&gt;=110),"",C96+(B97-B96))</f>
        <v/>
      </c>
      <c r="D97" s="690" t="str">
        <f ca="1">IF(OR(OP!$D$53=1,AND(B97&gt;OP!$C$24)),"",OP!$C$52-IF($C97&lt;16,$K96,0))</f>
        <v/>
      </c>
      <c r="E97" s="690" t="str">
        <f ca="1">IF(OR(OP!$D$53=1,B97=""),"",N(E96)+N(D97))</f>
        <v/>
      </c>
      <c r="F97" s="690" t="str">
        <f ca="1">IF(OR(OP!$D$53=1,$B97="",ISERROR(VLOOKUP(OP!$C$55,SRV,$B97+1,0))),"",ROUND(VLOOKUP(OP!$C$55,SRV,$B97+1,0)*OP!$C$28,0))</f>
        <v/>
      </c>
      <c r="G97" s="690" t="str">
        <f ca="1">IF(OR(OP!$D$53=1,$B97="",ISERROR(VLOOKUP(OP!$C$55,SRV,$B97+1,0))),"",N(G96)+N(F97))</f>
        <v/>
      </c>
      <c r="H97" s="690" t="str">
        <f ca="1">IF(OR(OP!$D$53=1,B97=""),"",ROUND(VLOOKUP(OP!$C$55,DIE,$B97+1,0)*OP!$C$28,0))</f>
        <v/>
      </c>
      <c r="I97" s="691" t="str">
        <f ca="1">IF(OR(OP!$D$53=1,B97=""),"",ROUND(VLOOKUP(OP!$C$55,CV,$B97+1,0)*OP!$C$28,0))</f>
        <v/>
      </c>
      <c r="J97" s="691" t="str">
        <f ca="1">IF(OR(OP!$D$53=1,B97=""),"",VLOOKUP(OP!$C$55,PA,$B97+1,0)*OP!$C$28)</f>
        <v/>
      </c>
      <c r="K97" s="690" t="str">
        <f ca="1">IF(OR(OP!$D$53=1,B97=""),"",VLOOKUP($B97,more1,7,0))</f>
        <v/>
      </c>
      <c r="L97" s="690" t="str">
        <f ca="1">IF(OR(OP!$D$53=1,B97="",$B97&lt;=計算!$P$4),"",VLOOKUP($B97,more1,6,0))</f>
        <v/>
      </c>
      <c r="M97" s="690" t="str">
        <f ca="1">IF(OR(OP!$D$53=1,B97="",AND($B97&gt;=計算!$P$4,$C97&lt;15),ISERROR(VLOOKUP($B97,MORE_PV,4,0))),"",VLOOKUP($B97,MORE_PV,4,0))</f>
        <v/>
      </c>
      <c r="N97" s="692" t="str">
        <f ca="1">IF(OR(OP!$D$53=1,B97="",$C97&lt;15,ISERROR(VLOOKUP($B97,MORE_PV,5,0))),"",VLOOKUP($B97,MORE_PV,5,0))</f>
        <v/>
      </c>
      <c r="O97" s="692" t="str">
        <f ca="1">IF(OR(OP!$D$53=1,$B97="",ISERROR(VLOOKUP($B97-1,MORE_PV,9,0))),"",VLOOKUP($B97-1,MORE_PV,9,0))</f>
        <v/>
      </c>
      <c r="P97" s="692" t="str">
        <f ca="1">IF(OR(OP!$D$53=1,$B97="",ISERROR($O97)),"",N($P96)+N($O97))</f>
        <v/>
      </c>
      <c r="Q97" s="692" t="str">
        <f ca="1">IF(OR(OP!$D$53=1,B97=""),"",ROUND(VLOOKUP($B97,MORE_PV,8,0),0))</f>
        <v/>
      </c>
      <c r="R97" s="692" t="str">
        <f ca="1">IF(OR(OP!$D$53=1,B97=""),"",ROUND(VLOOKUP($B97,MORE_PV,7,0),0))</f>
        <v/>
      </c>
      <c r="S97" s="692" t="str">
        <f ca="1">IF(OR(OP!$D$53=1,B97=""),"",N($F97)+N(O97))</f>
        <v/>
      </c>
      <c r="T97" s="692">
        <f ca="1">IF(OR(OP!$D$53=1,$B97=""),0,N(T96)+N($S97))</f>
        <v>0</v>
      </c>
      <c r="U97" s="690" t="str">
        <f ca="1">IF(OR(OP!$D$53=1,B97=""),"",N($H97)+IF(AND($B97&gt;計算!$P$4,計算!$G$6="現金給付"),N($K97),IF(AND($B97&gt;計算!$P$4,計算!$G$6="儲存生息"),N($L97),0))+N($Q97))</f>
        <v/>
      </c>
      <c r="V97" s="690" t="str">
        <f ca="1">IF(OR(OP!$D$53=1,$B97=""),"",N($I97)+IF(AND($B97&gt;計算!$P$4,計算!$G$6="現金給付"),N($K97),IF(AND($B97&gt;計算!$P$4,計算!$G$6="儲存生息"),N($L97),0))+N(R97))</f>
        <v/>
      </c>
      <c r="W97" s="422"/>
      <c r="X97" s="422"/>
      <c r="Y97" s="786" t="str">
        <f ca="1">IF(OR(OP!$D$53=1,$B97=""),"",((($H97+$Q97)-IF(AND(計算!$G$6=計算!$P$5,$B97=OP!$C$57),$K97,0))*IF(OR($C97&lt;16,Z97=0,Z97=""),1,PYO))+IF(AND($B97&gt;計算!$P$4,計算!$G$6="現金給付"),N($K97),IF(AND($B97&gt;計算!$P$4,計算!$G$6="儲存生息"),N($L97),0))+IF(AND(計算!$G$6=計算!$P$5,$B97=OP!$C$57),$K97,0))</f>
        <v/>
      </c>
      <c r="Z97" s="786" t="str">
        <f ca="1">IF(OR(OP!$D$53=1,$B97=""),"",(($H97+Q97)-IF(AND(計算!$G$6="購買增額繳清保險",$B97=OP!$C$57),$K97,0))*IF(OR($C97&lt;16,($H97+$Q97)*PY!$C$4&lt;PY!$D$5,($H97+$Q97)*PY!$C$4*PYR&lt;PY!$C$5),0,PYY)*PYR)</f>
        <v/>
      </c>
    </row>
    <row r="98" spans="2:26" hidden="1">
      <c r="B98" s="693" t="str">
        <f t="shared" ca="1" si="1"/>
        <v/>
      </c>
      <c r="C98" s="689" t="str">
        <f ca="1">IF(OR(OP!$D$53=1,MAX($C$4:C97)&gt;=110),"",C97+(B98-B97))</f>
        <v/>
      </c>
      <c r="D98" s="690" t="str">
        <f ca="1">IF(OR(OP!$D$53=1,AND(B98&gt;OP!$C$24)),"",OP!$C$52-IF($C98&lt;16,$K97,0))</f>
        <v/>
      </c>
      <c r="E98" s="690" t="str">
        <f ca="1">IF(OR(OP!$D$53=1,B98=""),"",N(E97)+N(D98))</f>
        <v/>
      </c>
      <c r="F98" s="690" t="str">
        <f ca="1">IF(OR(OP!$D$53=1,$B98="",ISERROR(VLOOKUP(OP!$C$55,SRV,$B98+1,0))),"",ROUND(VLOOKUP(OP!$C$55,SRV,$B98+1,0)*OP!$C$28,0))</f>
        <v/>
      </c>
      <c r="G98" s="690" t="str">
        <f ca="1">IF(OR(OP!$D$53=1,$B98="",ISERROR(VLOOKUP(OP!$C$55,SRV,$B98+1,0))),"",N(G97)+N(F98))</f>
        <v/>
      </c>
      <c r="H98" s="690" t="str">
        <f ca="1">IF(OR(OP!$D$53=1,B98=""),"",ROUND(VLOOKUP(OP!$C$55,DIE,$B98+1,0)*OP!$C$28,0))</f>
        <v/>
      </c>
      <c r="I98" s="691" t="str">
        <f ca="1">IF(OR(OP!$D$53=1,B98=""),"",ROUND(VLOOKUP(OP!$C$55,CV,$B98+1,0)*OP!$C$28,0))</f>
        <v/>
      </c>
      <c r="J98" s="691" t="str">
        <f ca="1">IF(OR(OP!$D$53=1,B98=""),"",VLOOKUP(OP!$C$55,PA,$B98+1,0)*OP!$C$28)</f>
        <v/>
      </c>
      <c r="K98" s="690" t="str">
        <f ca="1">IF(OR(OP!$D$53=1,B98=""),"",VLOOKUP($B98,more1,7,0))</f>
        <v/>
      </c>
      <c r="L98" s="690" t="str">
        <f ca="1">IF(OR(OP!$D$53=1,B98="",$B98&lt;=計算!$P$4),"",VLOOKUP($B98,more1,6,0))</f>
        <v/>
      </c>
      <c r="M98" s="690" t="str">
        <f ca="1">IF(OR(OP!$D$53=1,B98="",AND($B98&gt;=計算!$P$4,$C98&lt;15),ISERROR(VLOOKUP($B98,MORE_PV,4,0))),"",VLOOKUP($B98,MORE_PV,4,0))</f>
        <v/>
      </c>
      <c r="N98" s="692" t="str">
        <f ca="1">IF(OR(OP!$D$53=1,B98="",$C98&lt;15,ISERROR(VLOOKUP($B98,MORE_PV,5,0))),"",VLOOKUP($B98,MORE_PV,5,0))</f>
        <v/>
      </c>
      <c r="O98" s="692" t="str">
        <f ca="1">IF(OR(OP!$D$53=1,$B98="",ISERROR(VLOOKUP($B98-1,MORE_PV,9,0))),"",VLOOKUP($B98-1,MORE_PV,9,0))</f>
        <v/>
      </c>
      <c r="P98" s="692" t="str">
        <f ca="1">IF(OR(OP!$D$53=1,$B98="",ISERROR($O98)),"",N($P97)+N($O98))</f>
        <v/>
      </c>
      <c r="Q98" s="692" t="str">
        <f ca="1">IF(OR(OP!$D$53=1,B98=""),"",ROUND(VLOOKUP($B98,MORE_PV,8,0),0))</f>
        <v/>
      </c>
      <c r="R98" s="692" t="str">
        <f ca="1">IF(OR(OP!$D$53=1,B98=""),"",ROUND(VLOOKUP($B98,MORE_PV,7,0),0))</f>
        <v/>
      </c>
      <c r="S98" s="692" t="str">
        <f ca="1">IF(OR(OP!$D$53=1,B98=""),"",N($F98)+N(O98))</f>
        <v/>
      </c>
      <c r="T98" s="692">
        <f ca="1">IF(OR(OP!$D$53=1,$B98=""),0,N(T97)+N($S98))</f>
        <v>0</v>
      </c>
      <c r="U98" s="690" t="str">
        <f ca="1">IF(OR(OP!$D$53=1,B98=""),"",N($H98)+IF(AND($B98&gt;計算!$P$4,計算!$G$6="現金給付"),N($K98),IF(AND($B98&gt;計算!$P$4,計算!$G$6="儲存生息"),N($L98),0))+N($Q98))</f>
        <v/>
      </c>
      <c r="V98" s="690" t="str">
        <f ca="1">IF(OR(OP!$D$53=1,$B98=""),"",N($I98)+IF(AND($B98&gt;計算!$P$4,計算!$G$6="現金給付"),N($K98),IF(AND($B98&gt;計算!$P$4,計算!$G$6="儲存生息"),N($L98),0))+N(R98))</f>
        <v/>
      </c>
      <c r="W98" s="422"/>
      <c r="X98" s="422"/>
      <c r="Y98" s="786" t="str">
        <f ca="1">IF(OR(OP!$D$53=1,$B98=""),"",((($H98+$Q98)-IF(AND(計算!$G$6=計算!$P$5,$B98=OP!$C$57),$K98,0))*IF(OR($C98&lt;16,Z98=0,Z98=""),1,PYO))+IF(AND($B98&gt;計算!$P$4,計算!$G$6="現金給付"),N($K98),IF(AND($B98&gt;計算!$P$4,計算!$G$6="儲存生息"),N($L98),0))+IF(AND(計算!$G$6=計算!$P$5,$B98=OP!$C$57),$K98,0))</f>
        <v/>
      </c>
      <c r="Z98" s="786" t="str">
        <f ca="1">IF(OR(OP!$D$53=1,$B98=""),"",(($H98+Q98)-IF(AND(計算!$G$6="購買增額繳清保險",$B98=OP!$C$57),$K98,0))*IF(OR($C98&lt;16,($H98+$Q98)*PY!$C$4&lt;PY!$D$5,($H98+$Q98)*PY!$C$4*PYR&lt;PY!$C$5),0,PYY)*PYR)</f>
        <v/>
      </c>
    </row>
    <row r="99" spans="2:26" hidden="1">
      <c r="B99" s="693" t="str">
        <f t="shared" ca="1" si="1"/>
        <v/>
      </c>
      <c r="C99" s="689" t="str">
        <f ca="1">IF(OR(OP!$D$53=1,MAX($C$4:C98)&gt;=110),"",C98+(B99-B98))</f>
        <v/>
      </c>
      <c r="D99" s="690" t="str">
        <f ca="1">IF(OR(OP!$D$53=1,AND(B99&gt;OP!$C$24)),"",OP!$C$52-IF($C99&lt;16,$K98,0))</f>
        <v/>
      </c>
      <c r="E99" s="690" t="str">
        <f ca="1">IF(OR(OP!$D$53=1,B99=""),"",N(E98)+N(D99))</f>
        <v/>
      </c>
      <c r="F99" s="690" t="str">
        <f ca="1">IF(OR(OP!$D$53=1,$B99="",ISERROR(VLOOKUP(OP!$C$55,SRV,$B99+1,0))),"",ROUND(VLOOKUP(OP!$C$55,SRV,$B99+1,0)*OP!$C$28,0))</f>
        <v/>
      </c>
      <c r="G99" s="690" t="str">
        <f ca="1">IF(OR(OP!$D$53=1,$B99="",ISERROR(VLOOKUP(OP!$C$55,SRV,$B99+1,0))),"",N(G98)+N(F99))</f>
        <v/>
      </c>
      <c r="H99" s="690" t="str">
        <f ca="1">IF(OR(OP!$D$53=1,B99=""),"",ROUND(VLOOKUP(OP!$C$55,DIE,$B99+1,0)*OP!$C$28,0))</f>
        <v/>
      </c>
      <c r="I99" s="691" t="str">
        <f ca="1">IF(OR(OP!$D$53=1,B99=""),"",ROUND(VLOOKUP(OP!$C$55,CV,$B99+1,0)*OP!$C$28,0))</f>
        <v/>
      </c>
      <c r="J99" s="691" t="str">
        <f ca="1">IF(OR(OP!$D$53=1,B99=""),"",VLOOKUP(OP!$C$55,PA,$B99+1,0)*OP!$C$28)</f>
        <v/>
      </c>
      <c r="K99" s="690" t="str">
        <f ca="1">IF(OR(OP!$D$53=1,B99=""),"",VLOOKUP($B99,more1,7,0))</f>
        <v/>
      </c>
      <c r="L99" s="690" t="str">
        <f ca="1">IF(OR(OP!$D$53=1,B99="",$B99&lt;=計算!$P$4),"",VLOOKUP($B99,more1,6,0))</f>
        <v/>
      </c>
      <c r="M99" s="690" t="str">
        <f ca="1">IF(OR(OP!$D$53=1,B99="",AND($B99&gt;=計算!$P$4,$C99&lt;15),ISERROR(VLOOKUP($B99,MORE_PV,4,0))),"",VLOOKUP($B99,MORE_PV,4,0))</f>
        <v/>
      </c>
      <c r="N99" s="692" t="str">
        <f ca="1">IF(OR(OP!$D$53=1,B99="",$C99&lt;15,ISERROR(VLOOKUP($B99,MORE_PV,5,0))),"",VLOOKUP($B99,MORE_PV,5,0))</f>
        <v/>
      </c>
      <c r="O99" s="692" t="str">
        <f ca="1">IF(OR(OP!$D$53=1,$B99="",ISERROR(VLOOKUP($B99-1,MORE_PV,9,0))),"",VLOOKUP($B99-1,MORE_PV,9,0))</f>
        <v/>
      </c>
      <c r="P99" s="692" t="str">
        <f ca="1">IF(OR(OP!$D$53=1,$B99="",ISERROR($O99)),"",N($P98)+N($O99))</f>
        <v/>
      </c>
      <c r="Q99" s="692" t="str">
        <f ca="1">IF(OR(OP!$D$53=1,B99=""),"",ROUND(VLOOKUP($B99,MORE_PV,8,0),0))</f>
        <v/>
      </c>
      <c r="R99" s="692" t="str">
        <f ca="1">IF(OR(OP!$D$53=1,B99=""),"",ROUND(VLOOKUP($B99,MORE_PV,7,0),0))</f>
        <v/>
      </c>
      <c r="S99" s="692" t="str">
        <f ca="1">IF(OR(OP!$D$53=1,B99=""),"",N($F99)+N(O99))</f>
        <v/>
      </c>
      <c r="T99" s="692">
        <f ca="1">IF(OR(OP!$D$53=1,$B99=""),0,N(T98)+N($S99))</f>
        <v>0</v>
      </c>
      <c r="U99" s="690" t="str">
        <f ca="1">IF(OR(OP!$D$53=1,B99=""),"",N($H99)+IF(AND($B99&gt;計算!$P$4,計算!$G$6="現金給付"),N($K99),IF(AND($B99&gt;計算!$P$4,計算!$G$6="儲存生息"),N($L99),0))+N($Q99))</f>
        <v/>
      </c>
      <c r="V99" s="690" t="str">
        <f ca="1">IF(OR(OP!$D$53=1,$B99=""),"",N($I99)+IF(AND($B99&gt;計算!$P$4,計算!$G$6="現金給付"),N($K99),IF(AND($B99&gt;計算!$P$4,計算!$G$6="儲存生息"),N($L99),0))+N(R99))</f>
        <v/>
      </c>
      <c r="W99" s="422"/>
      <c r="X99" s="422"/>
      <c r="Y99" s="786" t="str">
        <f ca="1">IF(OR(OP!$D$53=1,$B99=""),"",((($H99+$Q99)-IF(AND(計算!$G$6=計算!$P$5,$B99=OP!$C$57),$K99,0))*IF(OR($C99&lt;16,Z99=0,Z99=""),1,PYO))+IF(AND($B99&gt;計算!$P$4,計算!$G$6="現金給付"),N($K99),IF(AND($B99&gt;計算!$P$4,計算!$G$6="儲存生息"),N($L99),0))+IF(AND(計算!$G$6=計算!$P$5,$B99=OP!$C$57),$K99,0))</f>
        <v/>
      </c>
      <c r="Z99" s="786" t="str">
        <f ca="1">IF(OR(OP!$D$53=1,$B99=""),"",(($H99+Q99)-IF(AND(計算!$G$6="購買增額繳清保險",$B99=OP!$C$57),$K99,0))*IF(OR($C99&lt;16,($H99+$Q99)*PY!$C$4&lt;PY!$D$5,($H99+$Q99)*PY!$C$4*PYR&lt;PY!$C$5),0,PYY)*PYR)</f>
        <v/>
      </c>
    </row>
    <row r="100" spans="2:26" hidden="1">
      <c r="B100" s="693" t="str">
        <f t="shared" ca="1" si="1"/>
        <v/>
      </c>
      <c r="C100" s="689" t="str">
        <f ca="1">IF(OR(OP!$D$53=1,MAX($C$4:C99)&gt;=110),"",C99+(B100-B99))</f>
        <v/>
      </c>
      <c r="D100" s="690" t="str">
        <f ca="1">IF(OR(OP!$D$53=1,AND(B100&gt;OP!$C$24)),"",OP!$C$52-IF($C100&lt;16,$K99,0))</f>
        <v/>
      </c>
      <c r="E100" s="690" t="str">
        <f ca="1">IF(OR(OP!$D$53=1,B100=""),"",N(E99)+N(D100))</f>
        <v/>
      </c>
      <c r="F100" s="690" t="str">
        <f ca="1">IF(OR(OP!$D$53=1,$B100="",ISERROR(VLOOKUP(OP!$C$55,SRV,$B100+1,0))),"",ROUND(VLOOKUP(OP!$C$55,SRV,$B100+1,0)*OP!$C$28,0))</f>
        <v/>
      </c>
      <c r="G100" s="690" t="str">
        <f ca="1">IF(OR(OP!$D$53=1,$B100="",ISERROR(VLOOKUP(OP!$C$55,SRV,$B100+1,0))),"",N(G99)+N(F100))</f>
        <v/>
      </c>
      <c r="H100" s="690" t="str">
        <f ca="1">IF(OR(OP!$D$53=1,B100=""),"",ROUND(VLOOKUP(OP!$C$55,DIE,$B100+1,0)*OP!$C$28,0))</f>
        <v/>
      </c>
      <c r="I100" s="691" t="str">
        <f ca="1">IF(OR(OP!$D$53=1,B100=""),"",ROUND(VLOOKUP(OP!$C$55,CV,$B100+1,0)*OP!$C$28,0))</f>
        <v/>
      </c>
      <c r="J100" s="691" t="str">
        <f ca="1">IF(OR(OP!$D$53=1,B100=""),"",VLOOKUP(OP!$C$55,PA,$B100+1,0)*OP!$C$28)</f>
        <v/>
      </c>
      <c r="K100" s="690" t="str">
        <f ca="1">IF(OR(OP!$D$53=1,B100=""),"",VLOOKUP($B100,more1,7,0))</f>
        <v/>
      </c>
      <c r="L100" s="690" t="str">
        <f ca="1">IF(OR(OP!$D$53=1,B100="",$B100&lt;=計算!$P$4),"",VLOOKUP($B100,more1,6,0))</f>
        <v/>
      </c>
      <c r="M100" s="690" t="str">
        <f ca="1">IF(OR(OP!$D$53=1,B100="",AND($B100&gt;=計算!$P$4,$C100&lt;15),ISERROR(VLOOKUP($B100,MORE_PV,4,0))),"",VLOOKUP($B100,MORE_PV,4,0))</f>
        <v/>
      </c>
      <c r="N100" s="692" t="str">
        <f ca="1">IF(OR(OP!$D$53=1,B100="",$C100&lt;15,ISERROR(VLOOKUP($B100,MORE_PV,5,0))),"",VLOOKUP($B100,MORE_PV,5,0))</f>
        <v/>
      </c>
      <c r="O100" s="692" t="str">
        <f ca="1">IF(OR(OP!$D$53=1,$B100="",ISERROR(VLOOKUP($B100-1,MORE_PV,9,0))),"",VLOOKUP($B100-1,MORE_PV,9,0))</f>
        <v/>
      </c>
      <c r="P100" s="692" t="str">
        <f ca="1">IF(OR(OP!$D$53=1,$B100="",ISERROR($O100)),"",N($P99)+N($O100))</f>
        <v/>
      </c>
      <c r="Q100" s="692" t="str">
        <f ca="1">IF(OR(OP!$D$53=1,B100=""),"",ROUND(VLOOKUP($B100,MORE_PV,8,0),0))</f>
        <v/>
      </c>
      <c r="R100" s="692" t="str">
        <f ca="1">IF(OR(OP!$D$53=1,B100=""),"",ROUND(VLOOKUP($B100,MORE_PV,7,0),0))</f>
        <v/>
      </c>
      <c r="S100" s="692" t="str">
        <f ca="1">IF(OR(OP!$D$53=1,B100=""),"",N($F100)+N(O100))</f>
        <v/>
      </c>
      <c r="T100" s="692">
        <f ca="1">IF(OR(OP!$D$53=1,$B100=""),0,N(T99)+N($S100))</f>
        <v>0</v>
      </c>
      <c r="U100" s="690" t="str">
        <f ca="1">IF(OR(OP!$D$53=1,B100=""),"",N($H100)+IF(AND($B100&gt;計算!$P$4,計算!$G$6="現金給付"),N($K100),IF(AND($B100&gt;計算!$P$4,計算!$G$6="儲存生息"),N($L100),0))+N($Q100))</f>
        <v/>
      </c>
      <c r="V100" s="690" t="str">
        <f ca="1">IF(OR(OP!$D$53=1,$B100=""),"",N($I100)+IF(AND($B100&gt;計算!$P$4,計算!$G$6="現金給付"),N($K100),IF(AND($B100&gt;計算!$P$4,計算!$G$6="儲存生息"),N($L100),0))+N(R100))</f>
        <v/>
      </c>
      <c r="W100" s="422"/>
      <c r="X100" s="422"/>
      <c r="Y100" s="786" t="str">
        <f ca="1">IF(OR(OP!$D$53=1,$B100=""),"",((($H100+$Q100)-IF(AND(計算!$G$6=計算!$P$5,$B100=OP!$C$57),$K100,0))*IF(OR($C100&lt;16,Z100=0,Z100=""),1,PYO))+IF(AND($B100&gt;計算!$P$4,計算!$G$6="現金給付"),N($K100),IF(AND($B100&gt;計算!$P$4,計算!$G$6="儲存生息"),N($L100),0))+IF(AND(計算!$G$6=計算!$P$5,$B100=OP!$C$57),$K100,0))</f>
        <v/>
      </c>
      <c r="Z100" s="786" t="str">
        <f ca="1">IF(OR(OP!$D$53=1,$B100=""),"",(($H100+Q100)-IF(AND(計算!$G$6="購買增額繳清保險",$B100=OP!$C$57),$K100,0))*IF(OR($C100&lt;16,($H100+$Q100)*PY!$C$4&lt;PY!$D$5,($H100+$Q100)*PY!$C$4*PYR&lt;PY!$C$5),0,PYY)*PYR)</f>
        <v/>
      </c>
    </row>
    <row r="101" spans="2:26" hidden="1">
      <c r="B101" s="693" t="str">
        <f t="shared" ca="1" si="1"/>
        <v/>
      </c>
      <c r="C101" s="689" t="str">
        <f ca="1">IF(OR(OP!$D$53=1,MAX($C$4:C100)&gt;=110),"",C100+(B101-B100))</f>
        <v/>
      </c>
      <c r="D101" s="690" t="str">
        <f ca="1">IF(OR(OP!$D$53=1,AND(B101&gt;OP!$C$24)),"",OP!$C$52-IF($C101&lt;16,$K100,0))</f>
        <v/>
      </c>
      <c r="E101" s="690" t="str">
        <f ca="1">IF(OR(OP!$D$53=1,B101=""),"",N(E100)+N(D101))</f>
        <v/>
      </c>
      <c r="F101" s="690" t="str">
        <f ca="1">IF(OR(OP!$D$53=1,$B101="",ISERROR(VLOOKUP(OP!$C$55,SRV,$B101+1,0))),"",ROUND(VLOOKUP(OP!$C$55,SRV,$B101+1,0)*OP!$C$28,0))</f>
        <v/>
      </c>
      <c r="G101" s="690" t="str">
        <f ca="1">IF(OR(OP!$D$53=1,$B101="",ISERROR(VLOOKUP(OP!$C$55,SRV,$B101+1,0))),"",N(G100)+N(F101))</f>
        <v/>
      </c>
      <c r="H101" s="690" t="str">
        <f ca="1">IF(OR(OP!$D$53=1,B101=""),"",ROUND(VLOOKUP(OP!$C$55,DIE,$B101+1,0)*OP!$C$28,0))</f>
        <v/>
      </c>
      <c r="I101" s="691" t="str">
        <f ca="1">IF(OR(OP!$D$53=1,B101=""),"",ROUND(VLOOKUP(OP!$C$55,CV,$B101+1,0)*OP!$C$28,0))</f>
        <v/>
      </c>
      <c r="J101" s="691" t="str">
        <f ca="1">IF(OR(OP!$D$53=1,B101=""),"",VLOOKUP(OP!$C$55,PA,$B101+1,0)*OP!$C$28)</f>
        <v/>
      </c>
      <c r="K101" s="690" t="str">
        <f ca="1">IF(OR(OP!$D$53=1,B101=""),"",VLOOKUP($B101,more1,7,0))</f>
        <v/>
      </c>
      <c r="L101" s="690" t="str">
        <f ca="1">IF(OR(OP!$D$53=1,B101="",$B101&lt;=計算!$P$4),"",VLOOKUP($B101,more1,6,0))</f>
        <v/>
      </c>
      <c r="M101" s="690" t="str">
        <f ca="1">IF(OR(OP!$D$53=1,B101="",AND($B101&gt;=計算!$P$4,$C101&lt;15),ISERROR(VLOOKUP($B101,MORE_PV,4,0))),"",VLOOKUP($B101,MORE_PV,4,0))</f>
        <v/>
      </c>
      <c r="N101" s="692" t="str">
        <f ca="1">IF(OR(OP!$D$53=1,B101="",$C101&lt;15,ISERROR(VLOOKUP($B101,MORE_PV,5,0))),"",VLOOKUP($B101,MORE_PV,5,0))</f>
        <v/>
      </c>
      <c r="O101" s="692" t="str">
        <f ca="1">IF(OR(OP!$D$53=1,$B101="",ISERROR(VLOOKUP($B101-1,MORE_PV,9,0))),"",VLOOKUP($B101-1,MORE_PV,9,0))</f>
        <v/>
      </c>
      <c r="P101" s="692" t="str">
        <f ca="1">IF(OR(OP!$D$53=1,$B101="",ISERROR($O101)),"",N($P100)+N($O101))</f>
        <v/>
      </c>
      <c r="Q101" s="692" t="str">
        <f ca="1">IF(OR(OP!$D$53=1,B101=""),"",ROUND(VLOOKUP($B101,MORE_PV,8,0),0))</f>
        <v/>
      </c>
      <c r="R101" s="692" t="str">
        <f ca="1">IF(OR(OP!$D$53=1,B101=""),"",ROUND(VLOOKUP($B101,MORE_PV,7,0),0))</f>
        <v/>
      </c>
      <c r="S101" s="692" t="str">
        <f ca="1">IF(OR(OP!$D$53=1,B101=""),"",N($F101)+N(O101))</f>
        <v/>
      </c>
      <c r="T101" s="692">
        <f ca="1">IF(OR(OP!$D$53=1,$B101=""),0,N(T100)+N($S101))</f>
        <v>0</v>
      </c>
      <c r="U101" s="690" t="str">
        <f ca="1">IF(OR(OP!$D$53=1,B101=""),"",N($H101)+IF(AND($B101&gt;計算!$P$4,計算!$G$6="現金給付"),N($K101),IF(AND($B101&gt;計算!$P$4,計算!$G$6="儲存生息"),N($L101),0))+N($Q101))</f>
        <v/>
      </c>
      <c r="V101" s="690" t="str">
        <f ca="1">IF(OR(OP!$D$53=1,$B101=""),"",N($I101)+IF(AND($B101&gt;計算!$P$4,計算!$G$6="現金給付"),N($K101),IF(AND($B101&gt;計算!$P$4,計算!$G$6="儲存生息"),N($L101),0))+N(R101))</f>
        <v/>
      </c>
      <c r="W101" s="422"/>
      <c r="X101" s="422"/>
      <c r="Y101" s="786" t="str">
        <f ca="1">IF(OR(OP!$D$53=1,$B101=""),"",((($H101+$Q101)-IF(AND(計算!$G$6=計算!$P$5,$B101=OP!$C$57),$K101,0))*IF(OR($C101&lt;16,Z101=0,Z101=""),1,PYO))+IF(AND($B101&gt;計算!$P$4,計算!$G$6="現金給付"),N($K101),IF(AND($B101&gt;計算!$P$4,計算!$G$6="儲存生息"),N($L101),0))+IF(AND(計算!$G$6=計算!$P$5,$B101=OP!$C$57),$K101,0))</f>
        <v/>
      </c>
      <c r="Z101" s="786" t="str">
        <f ca="1">IF(OR(OP!$D$53=1,$B101=""),"",(($H101+Q101)-IF(AND(計算!$G$6="購買增額繳清保險",$B101=OP!$C$57),$K101,0))*IF(OR($C101&lt;16,($H101+$Q101)*PY!$C$4&lt;PY!$D$5,($H101+$Q101)*PY!$C$4*PYR&lt;PY!$C$5),0,PYY)*PYR)</f>
        <v/>
      </c>
    </row>
    <row r="102" spans="2:26" hidden="1">
      <c r="B102" s="693" t="str">
        <f t="shared" ca="1" si="1"/>
        <v/>
      </c>
      <c r="C102" s="689" t="str">
        <f ca="1">IF(OR(OP!$D$53=1,MAX($C$4:C101)&gt;=110),"",C101+(B102-B101))</f>
        <v/>
      </c>
      <c r="D102" s="690" t="str">
        <f ca="1">IF(OR(OP!$D$53=1,AND(B102&gt;OP!$C$24)),"",OP!$C$52-IF($C102&lt;16,$K101,0))</f>
        <v/>
      </c>
      <c r="E102" s="690" t="str">
        <f ca="1">IF(OR(OP!$D$53=1,B102=""),"",N(E101)+N(D102))</f>
        <v/>
      </c>
      <c r="F102" s="690" t="str">
        <f ca="1">IF(OR(OP!$D$53=1,$B102="",ISERROR(VLOOKUP(OP!$C$55,SRV,$B102+1,0))),"",ROUND(VLOOKUP(OP!$C$55,SRV,$B102+1,0)*OP!$C$28,0))</f>
        <v/>
      </c>
      <c r="G102" s="690" t="str">
        <f ca="1">IF(OR(OP!$D$53=1,$B102="",ISERROR(VLOOKUP(OP!$C$55,SRV,$B102+1,0))),"",N(G101)+N(F102))</f>
        <v/>
      </c>
      <c r="H102" s="690" t="str">
        <f ca="1">IF(OR(OP!$D$53=1,B102=""),"",ROUND(VLOOKUP(OP!$C$55,DIE,$B102+1,0)*OP!$C$28,0))</f>
        <v/>
      </c>
      <c r="I102" s="691" t="str">
        <f ca="1">IF(OR(OP!$D$53=1,B102=""),"",ROUND(VLOOKUP(OP!$C$55,CV,$B102+1,0)*OP!$C$28,0))</f>
        <v/>
      </c>
      <c r="J102" s="691" t="str">
        <f ca="1">IF(OR(OP!$D$53=1,B102=""),"",VLOOKUP(OP!$C$55,PA,$B102+1,0)*OP!$C$28)</f>
        <v/>
      </c>
      <c r="K102" s="690" t="str">
        <f ca="1">IF(OR(OP!$D$53=1,B102=""),"",VLOOKUP($B102,more1,7,0))</f>
        <v/>
      </c>
      <c r="L102" s="690" t="str">
        <f ca="1">IF(OR(OP!$D$53=1,B102="",$B102&lt;=計算!$P$4),"",VLOOKUP($B102,more1,6,0))</f>
        <v/>
      </c>
      <c r="M102" s="690" t="str">
        <f ca="1">IF(OR(OP!$D$53=1,B102="",AND($B102&gt;=計算!$P$4,$C102&lt;15),ISERROR(VLOOKUP($B102,MORE_PV,4,0))),"",VLOOKUP($B102,MORE_PV,4,0))</f>
        <v/>
      </c>
      <c r="N102" s="692" t="str">
        <f ca="1">IF(OR(OP!$D$53=1,B102="",$C102&lt;15,ISERROR(VLOOKUP($B102,MORE_PV,5,0))),"",VLOOKUP($B102,MORE_PV,5,0))</f>
        <v/>
      </c>
      <c r="O102" s="692" t="str">
        <f ca="1">IF(OR(OP!$D$53=1,$B102="",ISERROR(VLOOKUP($B102-1,MORE_PV,9,0))),"",VLOOKUP($B102-1,MORE_PV,9,0))</f>
        <v/>
      </c>
      <c r="P102" s="692" t="str">
        <f ca="1">IF(OR(OP!$D$53=1,$B102="",ISERROR($O102)),"",N($P101)+N($O102))</f>
        <v/>
      </c>
      <c r="Q102" s="692" t="str">
        <f ca="1">IF(OR(OP!$D$53=1,B102=""),"",ROUND(VLOOKUP($B102,MORE_PV,8,0),0))</f>
        <v/>
      </c>
      <c r="R102" s="692" t="str">
        <f ca="1">IF(OR(OP!$D$53=1,B102=""),"",ROUND(VLOOKUP($B102,MORE_PV,7,0),0))</f>
        <v/>
      </c>
      <c r="S102" s="692" t="str">
        <f ca="1">IF(OR(OP!$D$53=1,B102=""),"",N($F102)+N(O102))</f>
        <v/>
      </c>
      <c r="T102" s="692">
        <f ca="1">IF(OR(OP!$D$53=1,$B102=""),0,N(T101)+N($S102))</f>
        <v>0</v>
      </c>
      <c r="U102" s="690" t="str">
        <f ca="1">IF(OR(OP!$D$53=1,B102=""),"",N($H102)+IF(AND($B102&gt;計算!$P$4,計算!$G$6="現金給付"),N($K102),IF(AND($B102&gt;計算!$P$4,計算!$G$6="儲存生息"),N($L102),0))+N($Q102))</f>
        <v/>
      </c>
      <c r="V102" s="690" t="str">
        <f ca="1">IF(OR(OP!$D$53=1,$B102=""),"",N($I102)+IF(AND($B102&gt;計算!$P$4,計算!$G$6="現金給付"),N($K102),IF(AND($B102&gt;計算!$P$4,計算!$G$6="儲存生息"),N($L102),0))+N(R102))</f>
        <v/>
      </c>
      <c r="W102" s="422"/>
      <c r="X102" s="422"/>
      <c r="Y102" s="786" t="str">
        <f ca="1">IF(OR(OP!$D$53=1,$B102=""),"",((($H102+$Q102)-IF(AND(計算!$G$6=計算!$P$5,$B102=OP!$C$57),$K102,0))*IF(OR($C102&lt;16,Z102=0,Z102=""),1,PYO))+IF(AND($B102&gt;計算!$P$4,計算!$G$6="現金給付"),N($K102),IF(AND($B102&gt;計算!$P$4,計算!$G$6="儲存生息"),N($L102),0))+IF(AND(計算!$G$6=計算!$P$5,$B102=OP!$C$57),$K102,0))</f>
        <v/>
      </c>
      <c r="Z102" s="786" t="str">
        <f ca="1">IF(OR(OP!$D$53=1,$B102=""),"",(($H102+Q102)-IF(AND(計算!$G$6="購買增額繳清保險",$B102=OP!$C$57),$K102,0))*IF(OR($C102&lt;16,($H102+$Q102)*PY!$C$4&lt;PY!$D$5,($H102+$Q102)*PY!$C$4*PYR&lt;PY!$C$5),0,PYY)*PYR)</f>
        <v/>
      </c>
    </row>
    <row r="103" spans="2:26" hidden="1">
      <c r="B103" s="693" t="str">
        <f t="shared" ref="B103:B114" ca="1" si="2">IF(OR(C102&gt;=110,C102=""),"",IF(C102+1&gt;110,111-$C$19,B102+1))</f>
        <v/>
      </c>
      <c r="C103" s="689" t="str">
        <f ca="1">IF(OR(OP!$D$53=1,MAX($C$4:C102)&gt;=110),"",C102+(B103-B102))</f>
        <v/>
      </c>
      <c r="D103" s="690" t="str">
        <f ca="1">IF(OR(OP!$D$53=1,AND(B103&gt;OP!$C$24)),"",OP!$C$52-IF($C103&lt;16,$K102,0))</f>
        <v/>
      </c>
      <c r="E103" s="690" t="str">
        <f ca="1">IF(OR(OP!$D$53=1,B103=""),"",N(E102)+N(D103))</f>
        <v/>
      </c>
      <c r="F103" s="690" t="str">
        <f ca="1">IF(OR(OP!$D$53=1,$B103="",ISERROR(VLOOKUP(OP!$C$55,SRV,$B103+1,0))),"",ROUND(VLOOKUP(OP!$C$55,SRV,$B103+1,0)*OP!$C$28,0))</f>
        <v/>
      </c>
      <c r="G103" s="690" t="str">
        <f ca="1">IF(OR(OP!$D$53=1,$B103="",ISERROR(VLOOKUP(OP!$C$55,SRV,$B103+1,0))),"",N(G102)+N(F103))</f>
        <v/>
      </c>
      <c r="H103" s="690" t="str">
        <f ca="1">IF(OR(OP!$D$53=1,B103=""),"",ROUND(VLOOKUP(OP!$C$55,DIE,$B103+1,0)*OP!$C$28,0))</f>
        <v/>
      </c>
      <c r="I103" s="691" t="str">
        <f ca="1">IF(OR(OP!$D$53=1,B103=""),"",ROUND(VLOOKUP(OP!$C$55,CV,$B103+1,0)*OP!$C$28,0))</f>
        <v/>
      </c>
      <c r="J103" s="691" t="str">
        <f ca="1">IF(OR(OP!$D$53=1,B103=""),"",VLOOKUP(OP!$C$55,PA,$B103+1,0)*OP!$C$28)</f>
        <v/>
      </c>
      <c r="K103" s="690" t="str">
        <f ca="1">IF(OR(OP!$D$53=1,B103=""),"",VLOOKUP($B103,more1,7,0))</f>
        <v/>
      </c>
      <c r="L103" s="690" t="str">
        <f ca="1">IF(OR(OP!$D$53=1,B103="",$B103&lt;=計算!$P$4),"",VLOOKUP($B103,more1,6,0))</f>
        <v/>
      </c>
      <c r="M103" s="690" t="str">
        <f ca="1">IF(OR(OP!$D$53=1,B103="",AND($B103&gt;=計算!$P$4,$C103&lt;15),ISERROR(VLOOKUP($B103,MORE_PV,4,0))),"",VLOOKUP($B103,MORE_PV,4,0))</f>
        <v/>
      </c>
      <c r="N103" s="692" t="str">
        <f ca="1">IF(OR(OP!$D$53=1,B103="",$C103&lt;15,ISERROR(VLOOKUP($B103,MORE_PV,5,0))),"",VLOOKUP($B103,MORE_PV,5,0))</f>
        <v/>
      </c>
      <c r="O103" s="692" t="str">
        <f ca="1">IF(OR(OP!$D$53=1,$B103="",ISERROR(VLOOKUP($B103-1,MORE_PV,9,0))),"",VLOOKUP($B103-1,MORE_PV,9,0))</f>
        <v/>
      </c>
      <c r="P103" s="692" t="str">
        <f ca="1">IF(OR(OP!$D$53=1,$B103="",ISERROR($O103)),"",N($P102)+N($O103))</f>
        <v/>
      </c>
      <c r="Q103" s="692" t="str">
        <f ca="1">IF(OR(OP!$D$53=1,B103=""),"",ROUND(VLOOKUP($B103,MORE_PV,8,0),0))</f>
        <v/>
      </c>
      <c r="R103" s="692" t="str">
        <f ca="1">IF(OR(OP!$D$53=1,B103=""),"",ROUND(VLOOKUP($B103,MORE_PV,7,0),0))</f>
        <v/>
      </c>
      <c r="S103" s="692" t="str">
        <f ca="1">IF(OR(OP!$D$53=1,B103=""),"",N($F103)+N(O103))</f>
        <v/>
      </c>
      <c r="T103" s="692">
        <f ca="1">IF(OR(OP!$D$53=1,$B103=""),0,N(T102)+N($S103))</f>
        <v>0</v>
      </c>
      <c r="U103" s="690" t="str">
        <f ca="1">IF(OR(OP!$D$53=1,B103=""),"",N($H103)+IF(AND($B103&gt;計算!$P$4,計算!$G$6="現金給付"),N($K103),IF(AND($B103&gt;計算!$P$4,計算!$G$6="儲存生息"),N($L103),0))+N($Q103))</f>
        <v/>
      </c>
      <c r="V103" s="690" t="str">
        <f ca="1">IF(OR(OP!$D$53=1,$B103=""),"",N($I103)+IF(AND($B103&gt;計算!$P$4,計算!$G$6="現金給付"),N($K103),IF(AND($B103&gt;計算!$P$4,計算!$G$6="儲存生息"),N($L103),0))+N(R103))</f>
        <v/>
      </c>
      <c r="W103" s="422"/>
      <c r="X103" s="422"/>
      <c r="Y103" s="786" t="str">
        <f ca="1">IF(OR(OP!$D$53=1,$B103=""),"",((($H103+$Q103)-IF(AND(計算!$G$6=計算!$P$5,$B103=OP!$C$57),$K103,0))*IF(OR($C103&lt;16,Z103=0,Z103=""),1,PYO))+IF(AND($B103&gt;計算!$P$4,計算!$G$6="現金給付"),N($K103),IF(AND($B103&gt;計算!$P$4,計算!$G$6="儲存生息"),N($L103),0))+IF(AND(計算!$G$6=計算!$P$5,$B103=OP!$C$57),$K103,0))</f>
        <v/>
      </c>
      <c r="Z103" s="786" t="str">
        <f ca="1">IF(OR(OP!$D$53=1,$B103=""),"",(($H103+Q103)-IF(AND(計算!$G$6="購買增額繳清保險",$B103=OP!$C$57),$K103,0))*IF(OR($C103&lt;16,($H103+$Q103)*PY!$C$4&lt;PY!$D$5,($H103+$Q103)*PY!$C$4*PYR&lt;PY!$C$5),0,PYY)*PYR)</f>
        <v/>
      </c>
    </row>
    <row r="104" spans="2:26" hidden="1">
      <c r="B104" s="693" t="str">
        <f t="shared" ca="1" si="2"/>
        <v/>
      </c>
      <c r="C104" s="689" t="str">
        <f ca="1">IF(OR(OP!$D$53=1,MAX($C$4:C103)&gt;=110),"",C103+(B104-B103))</f>
        <v/>
      </c>
      <c r="D104" s="690" t="str">
        <f ca="1">IF(OR(OP!$D$53=1,AND(B104&gt;OP!$C$24)),"",OP!$C$52-IF($C104&lt;16,$K103,0))</f>
        <v/>
      </c>
      <c r="E104" s="690" t="str">
        <f ca="1">IF(OR(OP!$D$53=1,B104=""),"",N(E103)+N(D104))</f>
        <v/>
      </c>
      <c r="F104" s="690" t="str">
        <f ca="1">IF(OR(OP!$D$53=1,$B104="",ISERROR(VLOOKUP(OP!$C$55,SRV,$B104+1,0))),"",ROUND(VLOOKUP(OP!$C$55,SRV,$B104+1,0)*OP!$C$28,0))</f>
        <v/>
      </c>
      <c r="G104" s="690" t="str">
        <f ca="1">IF(OR(OP!$D$53=1,$B104="",ISERROR(VLOOKUP(OP!$C$55,SRV,$B104+1,0))),"",N(G103)+N(F104))</f>
        <v/>
      </c>
      <c r="H104" s="690" t="str">
        <f ca="1">IF(OR(OP!$D$53=1,B104=""),"",ROUND(VLOOKUP(OP!$C$55,DIE,$B104+1,0)*OP!$C$28,0))</f>
        <v/>
      </c>
      <c r="I104" s="691" t="str">
        <f ca="1">IF(OR(OP!$D$53=1,B104=""),"",ROUND(VLOOKUP(OP!$C$55,CV,$B104+1,0)*OP!$C$28,0))</f>
        <v/>
      </c>
      <c r="J104" s="691" t="str">
        <f ca="1">IF(OR(OP!$D$53=1,B104=""),"",VLOOKUP(OP!$C$55,PA,$B104+1,0)*OP!$C$28)</f>
        <v/>
      </c>
      <c r="K104" s="690" t="str">
        <f ca="1">IF(OR(OP!$D$53=1,B104=""),"",VLOOKUP($B104,more1,7,0))</f>
        <v/>
      </c>
      <c r="L104" s="690" t="str">
        <f ca="1">IF(OR(OP!$D$53=1,B104="",$B104&lt;=計算!$P$4),"",VLOOKUP($B104,more1,6,0))</f>
        <v/>
      </c>
      <c r="M104" s="690" t="str">
        <f ca="1">IF(OR(OP!$D$53=1,B104="",AND($B104&gt;=計算!$P$4,$C104&lt;15),ISERROR(VLOOKUP($B104,MORE_PV,4,0))),"",VLOOKUP($B104,MORE_PV,4,0))</f>
        <v/>
      </c>
      <c r="N104" s="692" t="str">
        <f ca="1">IF(OR(OP!$D$53=1,B104="",$C104&lt;15,ISERROR(VLOOKUP($B104,MORE_PV,5,0))),"",VLOOKUP($B104,MORE_PV,5,0))</f>
        <v/>
      </c>
      <c r="O104" s="692" t="str">
        <f ca="1">IF(OR(OP!$D$53=1,$B104="",ISERROR(VLOOKUP($B104-1,MORE_PV,9,0))),"",VLOOKUP($B104-1,MORE_PV,9,0))</f>
        <v/>
      </c>
      <c r="P104" s="692" t="str">
        <f ca="1">IF(OR(OP!$D$53=1,$B104="",ISERROR($O104)),"",N($P103)+N($O104))</f>
        <v/>
      </c>
      <c r="Q104" s="692" t="str">
        <f ca="1">IF(OR(OP!$D$53=1,B104=""),"",ROUND(VLOOKUP($B104,MORE_PV,8,0),0))</f>
        <v/>
      </c>
      <c r="R104" s="692" t="str">
        <f ca="1">IF(OR(OP!$D$53=1,B104=""),"",ROUND(VLOOKUP($B104,MORE_PV,7,0),0))</f>
        <v/>
      </c>
      <c r="S104" s="692" t="str">
        <f ca="1">IF(OR(OP!$D$53=1,B104=""),"",N($F104)+N(O104))</f>
        <v/>
      </c>
      <c r="T104" s="692">
        <f ca="1">IF(OR(OP!$D$53=1,$B104=""),0,N(T103)+N($S104))</f>
        <v>0</v>
      </c>
      <c r="U104" s="690" t="str">
        <f ca="1">IF(OR(OP!$D$53=1,B104=""),"",N($H104)+IF(AND($B104&gt;計算!$P$4,計算!$G$6="現金給付"),N($K104),IF(AND($B104&gt;計算!$P$4,計算!$G$6="儲存生息"),N($L104),0))+N($Q104))</f>
        <v/>
      </c>
      <c r="V104" s="690" t="str">
        <f ca="1">IF(OR(OP!$D$53=1,$B104=""),"",N($I104)+IF(AND($B104&gt;計算!$P$4,計算!$G$6="現金給付"),N($K104),IF(AND($B104&gt;計算!$P$4,計算!$G$6="儲存生息"),N($L104),0))+N(R104))</f>
        <v/>
      </c>
      <c r="W104" s="422"/>
      <c r="X104" s="422"/>
      <c r="Y104" s="786" t="str">
        <f ca="1">IF(OR(OP!$D$53=1,$B104=""),"",((($H104+$Q104)-IF(AND(計算!$G$6=計算!$P$5,$B104=OP!$C$57),$K104,0))*IF(OR($C104&lt;16,Z104=0,Z104=""),1,PYO))+IF(AND($B104&gt;計算!$P$4,計算!$G$6="現金給付"),N($K104),IF(AND($B104&gt;計算!$P$4,計算!$G$6="儲存生息"),N($L104),0))+IF(AND(計算!$G$6=計算!$P$5,$B104=OP!$C$57),$K104,0))</f>
        <v/>
      </c>
      <c r="Z104" s="786" t="str">
        <f ca="1">IF(OR(OP!$D$53=1,$B104=""),"",(($H104+Q104)-IF(AND(計算!$G$6="購買增額繳清保險",$B104=OP!$C$57),$K104,0))*IF(OR($C104&lt;16,($H104+$Q104)*PY!$C$4&lt;PY!$D$5,($H104+$Q104)*PY!$C$4*PYR&lt;PY!$C$5),0,PYY)*PYR)</f>
        <v/>
      </c>
    </row>
    <row r="105" spans="2:26" hidden="1">
      <c r="B105" s="693" t="str">
        <f t="shared" ca="1" si="2"/>
        <v/>
      </c>
      <c r="C105" s="689" t="str">
        <f ca="1">IF(OR(OP!$D$53=1,MAX($C$4:C104)&gt;=110),"",C104+(B105-B104))</f>
        <v/>
      </c>
      <c r="D105" s="690" t="str">
        <f ca="1">IF(OR(OP!$D$53=1,AND(B105&gt;OP!$C$24)),"",OP!$C$52-IF($C105&lt;16,$K104,0))</f>
        <v/>
      </c>
      <c r="E105" s="690" t="str">
        <f ca="1">IF(OR(OP!$D$53=1,B105=""),"",N(E104)+N(D105))</f>
        <v/>
      </c>
      <c r="F105" s="690" t="str">
        <f ca="1">IF(OR(OP!$D$53=1,$B105="",ISERROR(VLOOKUP(OP!$C$55,SRV,$B105+1,0))),"",ROUND(VLOOKUP(OP!$C$55,SRV,$B105+1,0)*OP!$C$28,0))</f>
        <v/>
      </c>
      <c r="G105" s="690" t="str">
        <f ca="1">IF(OR(OP!$D$53=1,$B105="",ISERROR(VLOOKUP(OP!$C$55,SRV,$B105+1,0))),"",N(G104)+N(F105))</f>
        <v/>
      </c>
      <c r="H105" s="690" t="str">
        <f ca="1">IF(OR(OP!$D$53=1,B105=""),"",ROUND(VLOOKUP(OP!$C$55,DIE,$B105+1,0)*OP!$C$28,0))</f>
        <v/>
      </c>
      <c r="I105" s="691" t="str">
        <f ca="1">IF(OR(OP!$D$53=1,B105=""),"",ROUND(VLOOKUP(OP!$C$55,CV,$B105+1,0)*OP!$C$28,0))</f>
        <v/>
      </c>
      <c r="J105" s="691" t="str">
        <f ca="1">IF(OR(OP!$D$53=1,B105=""),"",VLOOKUP(OP!$C$55,PA,$B105+1,0)*OP!$C$28)</f>
        <v/>
      </c>
      <c r="K105" s="690" t="str">
        <f ca="1">IF(OR(OP!$D$53=1,B105=""),"",VLOOKUP($B105,more1,7,0))</f>
        <v/>
      </c>
      <c r="L105" s="690" t="str">
        <f ca="1">IF(OR(OP!$D$53=1,B105="",$B105&lt;=計算!$P$4),"",VLOOKUP($B105,more1,6,0))</f>
        <v/>
      </c>
      <c r="M105" s="690" t="str">
        <f ca="1">IF(OR(OP!$D$53=1,B105="",AND($B105&gt;=計算!$P$4,$C105&lt;15),ISERROR(VLOOKUP($B105,MORE_PV,4,0))),"",VLOOKUP($B105,MORE_PV,4,0))</f>
        <v/>
      </c>
      <c r="N105" s="692" t="str">
        <f ca="1">IF(OR(OP!$D$53=1,B105="",$C105&lt;15,ISERROR(VLOOKUP($B105,MORE_PV,5,0))),"",VLOOKUP($B105,MORE_PV,5,0))</f>
        <v/>
      </c>
      <c r="O105" s="692" t="str">
        <f ca="1">IF(OR(OP!$D$53=1,$B105="",ISERROR(VLOOKUP($B105-1,MORE_PV,9,0))),"",VLOOKUP($B105-1,MORE_PV,9,0))</f>
        <v/>
      </c>
      <c r="P105" s="692" t="str">
        <f ca="1">IF(OR(OP!$D$53=1,$B105="",ISERROR($O105)),"",N($P104)+N($O105))</f>
        <v/>
      </c>
      <c r="Q105" s="692" t="str">
        <f ca="1">IF(OR(OP!$D$53=1,B105=""),"",ROUND(VLOOKUP($B105,MORE_PV,8,0),0))</f>
        <v/>
      </c>
      <c r="R105" s="692" t="str">
        <f ca="1">IF(OR(OP!$D$53=1,B105=""),"",ROUND(VLOOKUP($B105,MORE_PV,7,0),0))</f>
        <v/>
      </c>
      <c r="S105" s="692" t="str">
        <f ca="1">IF(OR(OP!$D$53=1,B105=""),"",N($F105)+N(O105))</f>
        <v/>
      </c>
      <c r="T105" s="692">
        <f ca="1">IF(OR(OP!$D$53=1,$B105=""),0,N(T104)+N($S105))</f>
        <v>0</v>
      </c>
      <c r="U105" s="690" t="str">
        <f ca="1">IF(OR(OP!$D$53=1,B105=""),"",N($H105)+IF(AND($B105&gt;計算!$P$4,計算!$G$6="現金給付"),N($K105),IF(AND($B105&gt;計算!$P$4,計算!$G$6="儲存生息"),N($L105),0))+N($Q105))</f>
        <v/>
      </c>
      <c r="V105" s="690" t="str">
        <f ca="1">IF(OR(OP!$D$53=1,$B105=""),"",N($I105)+IF(AND($B105&gt;計算!$P$4,計算!$G$6="現金給付"),N($K105),IF(AND($B105&gt;計算!$P$4,計算!$G$6="儲存生息"),N($L105),0))+N(R105))</f>
        <v/>
      </c>
      <c r="W105" s="422"/>
      <c r="X105" s="422"/>
      <c r="Y105" s="786" t="str">
        <f ca="1">IF(OR(OP!$D$53=1,$B105=""),"",((($H105+$Q105)-IF(AND(計算!$G$6=計算!$P$5,$B105=OP!$C$57),$K105,0))*IF(OR($C105&lt;16,Z105=0,Z105=""),1,PYO))+IF(AND($B105&gt;計算!$P$4,計算!$G$6="現金給付"),N($K105),IF(AND($B105&gt;計算!$P$4,計算!$G$6="儲存生息"),N($L105),0))+IF(AND(計算!$G$6=計算!$P$5,$B105=OP!$C$57),$K105,0))</f>
        <v/>
      </c>
      <c r="Z105" s="786" t="str">
        <f ca="1">IF(OR(OP!$D$53=1,$B105=""),"",(($H105+Q105)-IF(AND(計算!$G$6="購買增額繳清保險",$B105=OP!$C$57),$K105,0))*IF(OR($C105&lt;16,($H105+$Q105)*PY!$C$4&lt;PY!$D$5,($H105+$Q105)*PY!$C$4*PYR&lt;PY!$C$5),0,PYY)*PYR)</f>
        <v/>
      </c>
    </row>
    <row r="106" spans="2:26" hidden="1">
      <c r="B106" s="693" t="str">
        <f t="shared" ca="1" si="2"/>
        <v/>
      </c>
      <c r="C106" s="689" t="str">
        <f ca="1">IF(OR(OP!$D$53=1,MAX($C$4:C105)&gt;=110),"",C105+(B106-B105))</f>
        <v/>
      </c>
      <c r="D106" s="690" t="str">
        <f ca="1">IF(OR(OP!$D$53=1,AND(B106&gt;OP!$C$24)),"",OP!$C$52-IF($C106&lt;16,$K105,0))</f>
        <v/>
      </c>
      <c r="E106" s="690" t="str">
        <f ca="1">IF(OR(OP!$D$53=1,B106=""),"",N(E105)+N(D106))</f>
        <v/>
      </c>
      <c r="F106" s="690" t="str">
        <f ca="1">IF(OR(OP!$D$53=1,$B106="",ISERROR(VLOOKUP(OP!$C$55,SRV,$B106+1,0))),"",ROUND(VLOOKUP(OP!$C$55,SRV,$B106+1,0)*OP!$C$28,0))</f>
        <v/>
      </c>
      <c r="G106" s="690" t="str">
        <f ca="1">IF(OR(OP!$D$53=1,$B106="",ISERROR(VLOOKUP(OP!$C$55,SRV,$B106+1,0))),"",N(G105)+N(F106))</f>
        <v/>
      </c>
      <c r="H106" s="690" t="str">
        <f ca="1">IF(OR(OP!$D$53=1,B106=""),"",ROUND(VLOOKUP(OP!$C$55,DIE,$B106+1,0)*OP!$C$28,0))</f>
        <v/>
      </c>
      <c r="I106" s="691" t="str">
        <f ca="1">IF(OR(OP!$D$53=1,B106=""),"",ROUND(VLOOKUP(OP!$C$55,CV,$B106+1,0)*OP!$C$28,0))</f>
        <v/>
      </c>
      <c r="J106" s="691" t="str">
        <f ca="1">IF(OR(OP!$D$53=1,B106=""),"",VLOOKUP(OP!$C$55,PA,$B106+1,0)*OP!$C$28)</f>
        <v/>
      </c>
      <c r="K106" s="690" t="str">
        <f ca="1">IF(OR(OP!$D$53=1,B106=""),"",VLOOKUP($B106,more1,7,0))</f>
        <v/>
      </c>
      <c r="L106" s="690" t="str">
        <f ca="1">IF(OR(OP!$D$53=1,B106="",$B106&lt;=計算!$P$4),"",VLOOKUP($B106,more1,6,0))</f>
        <v/>
      </c>
      <c r="M106" s="690" t="str">
        <f ca="1">IF(OR(OP!$D$53=1,B106="",AND($B106&gt;=計算!$P$4,$C106&lt;15),ISERROR(VLOOKUP($B106,MORE_PV,4,0))),"",VLOOKUP($B106,MORE_PV,4,0))</f>
        <v/>
      </c>
      <c r="N106" s="692" t="str">
        <f ca="1">IF(OR(OP!$D$53=1,B106="",$C106&lt;15,ISERROR(VLOOKUP($B106,MORE_PV,5,0))),"",VLOOKUP($B106,MORE_PV,5,0))</f>
        <v/>
      </c>
      <c r="O106" s="692" t="str">
        <f ca="1">IF(OR(OP!$D$53=1,$B106="",ISERROR(VLOOKUP($B106-1,MORE_PV,9,0))),"",VLOOKUP($B106-1,MORE_PV,9,0))</f>
        <v/>
      </c>
      <c r="P106" s="692" t="str">
        <f ca="1">IF(OR(OP!$D$53=1,$B106="",ISERROR($O106)),"",N($P105)+N($O106))</f>
        <v/>
      </c>
      <c r="Q106" s="692" t="str">
        <f ca="1">IF(OR(OP!$D$53=1,B106=""),"",ROUND(VLOOKUP($B106,MORE_PV,8,0),0))</f>
        <v/>
      </c>
      <c r="R106" s="692" t="str">
        <f ca="1">IF(OR(OP!$D$53=1,B106=""),"",ROUND(VLOOKUP($B106,MORE_PV,7,0),0))</f>
        <v/>
      </c>
      <c r="S106" s="692" t="str">
        <f ca="1">IF(OR(OP!$D$53=1,B106=""),"",N($F106)+N(O106))</f>
        <v/>
      </c>
      <c r="T106" s="692">
        <f ca="1">IF(OR(OP!$D$53=1,$B106=""),0,N(T105)+N($S106))</f>
        <v>0</v>
      </c>
      <c r="U106" s="690" t="str">
        <f ca="1">IF(OR(OP!$D$53=1,B106=""),"",N($H106)+IF(AND($B106&gt;計算!$P$4,計算!$G$6="現金給付"),N($K106),IF(AND($B106&gt;計算!$P$4,計算!$G$6="儲存生息"),N($L106),0))+N($Q106))</f>
        <v/>
      </c>
      <c r="V106" s="690" t="str">
        <f ca="1">IF(OR(OP!$D$53=1,$B106=""),"",N($I106)+IF(AND($B106&gt;計算!$P$4,計算!$G$6="現金給付"),N($K106),IF(AND($B106&gt;計算!$P$4,計算!$G$6="儲存生息"),N($L106),0))+N(R106))</f>
        <v/>
      </c>
      <c r="W106" s="422"/>
      <c r="X106" s="422"/>
      <c r="Y106" s="786" t="str">
        <f ca="1">IF(OR(OP!$D$53=1,$B106=""),"",((($H106+$Q106)-IF(AND(計算!$G$6=計算!$P$5,$B106=OP!$C$57),$K106,0))*IF(OR($C106&lt;16,Z106=0,Z106=""),1,PYO))+IF(AND($B106&gt;計算!$P$4,計算!$G$6="現金給付"),N($K106),IF(AND($B106&gt;計算!$P$4,計算!$G$6="儲存生息"),N($L106),0))+IF(AND(計算!$G$6=計算!$P$5,$B106=OP!$C$57),$K106,0))</f>
        <v/>
      </c>
      <c r="Z106" s="786" t="str">
        <f ca="1">IF(OR(OP!$D$53=1,$B106=""),"",(($H106+Q106)-IF(AND(計算!$G$6="購買增額繳清保險",$B106=OP!$C$57),$K106,0))*IF(OR($C106&lt;16,($H106+$Q106)*PY!$C$4&lt;PY!$D$5,($H106+$Q106)*PY!$C$4*PYR&lt;PY!$C$5),0,PYY)*PYR)</f>
        <v/>
      </c>
    </row>
    <row r="107" spans="2:26" hidden="1">
      <c r="B107" s="693" t="str">
        <f t="shared" ca="1" si="2"/>
        <v/>
      </c>
      <c r="C107" s="689" t="str">
        <f ca="1">IF(OR(OP!$D$53=1,MAX($C$4:C106)&gt;=110),"",C106+(B107-B106))</f>
        <v/>
      </c>
      <c r="D107" s="690" t="str">
        <f ca="1">IF(OR(OP!$D$53=1,AND(B107&gt;OP!$C$24)),"",OP!$C$52-IF($C107&lt;16,$K106,0))</f>
        <v/>
      </c>
      <c r="E107" s="690" t="str">
        <f ca="1">IF(OR(OP!$D$53=1,B107=""),"",N(E106)+N(D107))</f>
        <v/>
      </c>
      <c r="F107" s="690" t="str">
        <f ca="1">IF(OR(OP!$D$53=1,$B107="",ISERROR(VLOOKUP(OP!$C$55,SRV,$B107+1,0))),"",ROUND(VLOOKUP(OP!$C$55,SRV,$B107+1,0)*OP!$C$28,0))</f>
        <v/>
      </c>
      <c r="G107" s="690" t="str">
        <f ca="1">IF(OR(OP!$D$53=1,$B107="",ISERROR(VLOOKUP(OP!$C$55,SRV,$B107+1,0))),"",N(G106)+N(F107))</f>
        <v/>
      </c>
      <c r="H107" s="690" t="str">
        <f ca="1">IF(OR(OP!$D$53=1,B107=""),"",ROUND(VLOOKUP(OP!$C$55,DIE,$B107+1,0)*OP!$C$28,0))</f>
        <v/>
      </c>
      <c r="I107" s="691" t="str">
        <f ca="1">IF(OR(OP!$D$53=1,B107=""),"",ROUND(VLOOKUP(OP!$C$55,CV,$B107+1,0)*OP!$C$28,0))</f>
        <v/>
      </c>
      <c r="J107" s="691" t="str">
        <f ca="1">IF(OR(OP!$D$53=1,B107=""),"",VLOOKUP(OP!$C$55,PA,$B107+1,0)*OP!$C$28)</f>
        <v/>
      </c>
      <c r="K107" s="690" t="str">
        <f ca="1">IF(OR(OP!$D$53=1,B107=""),"",VLOOKUP($B107,more1,7,0))</f>
        <v/>
      </c>
      <c r="L107" s="690" t="str">
        <f ca="1">IF(OR(OP!$D$53=1,B107="",$B107&lt;=計算!$P$4),"",VLOOKUP($B107,more1,6,0))</f>
        <v/>
      </c>
      <c r="M107" s="690" t="str">
        <f ca="1">IF(OR(OP!$D$53=1,B107="",AND($B107&gt;=計算!$P$4,$C107&lt;15),ISERROR(VLOOKUP($B107,MORE_PV,4,0))),"",VLOOKUP($B107,MORE_PV,4,0))</f>
        <v/>
      </c>
      <c r="N107" s="692" t="str">
        <f ca="1">IF(OR(OP!$D$53=1,B107="",$C107&lt;15,ISERROR(VLOOKUP($B107,MORE_PV,5,0))),"",VLOOKUP($B107,MORE_PV,5,0))</f>
        <v/>
      </c>
      <c r="O107" s="692" t="str">
        <f ca="1">IF(OR(OP!$D$53=1,$B107="",ISERROR(VLOOKUP($B107-1,MORE_PV,9,0))),"",VLOOKUP($B107-1,MORE_PV,9,0))</f>
        <v/>
      </c>
      <c r="P107" s="692" t="str">
        <f ca="1">IF(OR(OP!$D$53=1,$B107="",ISERROR($O107)),"",N($P106)+N($O107))</f>
        <v/>
      </c>
      <c r="Q107" s="692" t="str">
        <f ca="1">IF(OR(OP!$D$53=1,B107=""),"",ROUND(VLOOKUP($B107,MORE_PV,8,0),0))</f>
        <v/>
      </c>
      <c r="R107" s="692" t="str">
        <f ca="1">IF(OR(OP!$D$53=1,B107=""),"",ROUND(VLOOKUP($B107,MORE_PV,7,0),0))</f>
        <v/>
      </c>
      <c r="S107" s="692" t="str">
        <f ca="1">IF(OR(OP!$D$53=1,B107=""),"",N($F107)+N(O107))</f>
        <v/>
      </c>
      <c r="T107" s="692">
        <f ca="1">IF(OR(OP!$D$53=1,$B107=""),0,N(T106)+N($S107))</f>
        <v>0</v>
      </c>
      <c r="U107" s="690" t="str">
        <f ca="1">IF(OR(OP!$D$53=1,B107=""),"",N($H107)+IF(AND($B107&gt;計算!$P$4,計算!$G$6="現金給付"),N($K107),IF(AND($B107&gt;計算!$P$4,計算!$G$6="儲存生息"),N($L107),0))+N($Q107))</f>
        <v/>
      </c>
      <c r="V107" s="690" t="str">
        <f ca="1">IF(OR(OP!$D$53=1,$B107=""),"",N($I107)+IF(AND($B107&gt;計算!$P$4,計算!$G$6="現金給付"),N($K107),IF(AND($B107&gt;計算!$P$4,計算!$G$6="儲存生息"),N($L107),0))+N(R107))</f>
        <v/>
      </c>
      <c r="W107" s="422"/>
      <c r="X107" s="422"/>
      <c r="Y107" s="786" t="str">
        <f ca="1">IF(OR(OP!$D$53=1,$B107=""),"",((($H107+$Q107)-IF(AND(計算!$G$6=計算!$P$5,$B107=OP!$C$57),$K107,0))*IF(OR($C107&lt;16,Z107=0,Z107=""),1,PYO))+IF(AND($B107&gt;計算!$P$4,計算!$G$6="現金給付"),N($K107),IF(AND($B107&gt;計算!$P$4,計算!$G$6="儲存生息"),N($L107),0))+IF(AND(計算!$G$6=計算!$P$5,$B107=OP!$C$57),$K107,0))</f>
        <v/>
      </c>
      <c r="Z107" s="786" t="str">
        <f ca="1">IF(OR(OP!$D$53=1,$B107=""),"",(($H107+Q107)-IF(AND(計算!$G$6="購買增額繳清保險",$B107=OP!$C$57),$K107,0))*IF(OR($C107&lt;16,($H107+$Q107)*PY!$C$4&lt;PY!$D$5,($H107+$Q107)*PY!$C$4*PYR&lt;PY!$C$5),0,PYY)*PYR)</f>
        <v/>
      </c>
    </row>
    <row r="108" spans="2:26" hidden="1">
      <c r="B108" s="693" t="str">
        <f t="shared" ca="1" si="2"/>
        <v/>
      </c>
      <c r="C108" s="689" t="str">
        <f ca="1">IF(OR(OP!$D$53=1,MAX($C$4:C107)&gt;=110),"",C107+(B108-B107))</f>
        <v/>
      </c>
      <c r="D108" s="690" t="str">
        <f ca="1">IF(OR(OP!$D$53=1,AND(B108&gt;OP!$C$24)),"",OP!$C$52-IF($C108&lt;16,$K107,0))</f>
        <v/>
      </c>
      <c r="E108" s="690" t="str">
        <f ca="1">IF(OR(OP!$D$53=1,B108=""),"",N(E107)+N(D108))</f>
        <v/>
      </c>
      <c r="F108" s="690" t="str">
        <f ca="1">IF(OR(OP!$D$53=1,$B108="",ISERROR(VLOOKUP(OP!$C$55,SRV,$B108+1,0))),"",ROUND(VLOOKUP(OP!$C$55,SRV,$B108+1,0)*OP!$C$28,0))</f>
        <v/>
      </c>
      <c r="G108" s="690" t="str">
        <f ca="1">IF(OR(OP!$D$53=1,$B108="",ISERROR(VLOOKUP(OP!$C$55,SRV,$B108+1,0))),"",N(G107)+N(F108))</f>
        <v/>
      </c>
      <c r="H108" s="690" t="str">
        <f ca="1">IF(OR(OP!$D$53=1,B108=""),"",ROUND(VLOOKUP(OP!$C$55,DIE,$B108+1,0)*OP!$C$28,0))</f>
        <v/>
      </c>
      <c r="I108" s="691" t="str">
        <f ca="1">IF(OR(OP!$D$53=1,B108=""),"",ROUND(VLOOKUP(OP!$C$55,CV,$B108+1,0)*OP!$C$28,0))</f>
        <v/>
      </c>
      <c r="J108" s="691" t="str">
        <f ca="1">IF(OR(OP!$D$53=1,B108=""),"",VLOOKUP(OP!$C$55,PA,$B108+1,0)*OP!$C$28)</f>
        <v/>
      </c>
      <c r="K108" s="690" t="str">
        <f ca="1">IF(OR(OP!$D$53=1,B108=""),"",VLOOKUP($B108,more1,7,0))</f>
        <v/>
      </c>
      <c r="L108" s="690" t="str">
        <f ca="1">IF(OR(OP!$D$53=1,B108="",$B108&lt;=計算!$P$4),"",VLOOKUP($B108,more1,6,0))</f>
        <v/>
      </c>
      <c r="M108" s="690" t="str">
        <f ca="1">IF(OR(OP!$D$53=1,B108="",AND($B108&gt;=計算!$P$4,$C108&lt;15),ISERROR(VLOOKUP($B108,MORE_PV,4,0))),"",VLOOKUP($B108,MORE_PV,4,0))</f>
        <v/>
      </c>
      <c r="N108" s="692" t="str">
        <f ca="1">IF(OR(OP!$D$53=1,B108="",$C108&lt;15,ISERROR(VLOOKUP($B108,MORE_PV,5,0))),"",VLOOKUP($B108,MORE_PV,5,0))</f>
        <v/>
      </c>
      <c r="O108" s="692" t="str">
        <f ca="1">IF(OR(OP!$D$53=1,$B108="",ISERROR(VLOOKUP($B108-1,MORE_PV,9,0))),"",VLOOKUP($B108-1,MORE_PV,9,0))</f>
        <v/>
      </c>
      <c r="P108" s="692" t="str">
        <f ca="1">IF(OR(OP!$D$53=1,$B108="",ISERROR($O108)),"",N($P107)+N($O108))</f>
        <v/>
      </c>
      <c r="Q108" s="692" t="str">
        <f ca="1">IF(OR(OP!$D$53=1,B108=""),"",ROUND(VLOOKUP($B108,MORE_PV,8,0),0))</f>
        <v/>
      </c>
      <c r="R108" s="692" t="str">
        <f ca="1">IF(OR(OP!$D$53=1,B108=""),"",ROUND(VLOOKUP($B108,MORE_PV,7,0),0))</f>
        <v/>
      </c>
      <c r="S108" s="692" t="str">
        <f ca="1">IF(OR(OP!$D$53=1,B108=""),"",N($F108)+N(O108))</f>
        <v/>
      </c>
      <c r="T108" s="692">
        <f ca="1">IF(OR(OP!$D$53=1,$B108=""),0,N(T107)+N($S108))</f>
        <v>0</v>
      </c>
      <c r="U108" s="690" t="str">
        <f ca="1">IF(OR(OP!$D$53=1,B108=""),"",N($H108)+IF(AND($B108&gt;計算!$P$4,計算!$G$6="現金給付"),N($K108),IF(AND($B108&gt;計算!$P$4,計算!$G$6="儲存生息"),N($L108),0))+N($Q108))</f>
        <v/>
      </c>
      <c r="V108" s="690" t="str">
        <f ca="1">IF(OR(OP!$D$53=1,$B108=""),"",N($I108)+IF(AND($B108&gt;計算!$P$4,計算!$G$6="現金給付"),N($K108),IF(AND($B108&gt;計算!$P$4,計算!$G$6="儲存生息"),N($L108),0))+N(R108))</f>
        <v/>
      </c>
      <c r="W108" s="422"/>
      <c r="X108" s="422"/>
      <c r="Y108" s="786" t="str">
        <f ca="1">IF(OR(OP!$D$53=1,$B108=""),"",((($H108+$Q108)-IF(AND(計算!$G$6=計算!$P$5,$B108=OP!$C$57),$K108,0))*IF(OR($C108&lt;16,Z108=0,Z108=""),1,PYO))+IF(AND($B108&gt;計算!$P$4,計算!$G$6="現金給付"),N($K108),IF(AND($B108&gt;計算!$P$4,計算!$G$6="儲存生息"),N($L108),0))+IF(AND(計算!$G$6=計算!$P$5,$B108=OP!$C$57),$K108,0))</f>
        <v/>
      </c>
      <c r="Z108" s="786" t="str">
        <f ca="1">IF(OR(OP!$D$53=1,$B108=""),"",(($H108+Q108)-IF(AND(計算!$G$6="購買增額繳清保險",$B108=OP!$C$57),$K108,0))*IF(OR($C108&lt;16,($H108+$Q108)*PY!$C$4&lt;PY!$D$5,($H108+$Q108)*PY!$C$4*PYR&lt;PY!$C$5),0,PYY)*PYR)</f>
        <v/>
      </c>
    </row>
    <row r="109" spans="2:26" hidden="1">
      <c r="B109" s="693" t="str">
        <f t="shared" ca="1" si="2"/>
        <v/>
      </c>
      <c r="C109" s="689" t="str">
        <f ca="1">IF(OR(OP!$D$53=1,MAX($C$4:C108)&gt;=110),"",C108+(B109-B108))</f>
        <v/>
      </c>
      <c r="D109" s="690" t="str">
        <f ca="1">IF(OR(OP!$D$53=1,AND(B109&gt;OP!$C$24)),"",OP!$C$52-IF($C109&lt;16,$K108,0))</f>
        <v/>
      </c>
      <c r="E109" s="690" t="str">
        <f ca="1">IF(OR(OP!$D$53=1,B109=""),"",N(E108)+N(D109))</f>
        <v/>
      </c>
      <c r="F109" s="690" t="str">
        <f ca="1">IF(OR(OP!$D$53=1,$B109="",ISERROR(VLOOKUP(OP!$C$55,SRV,$B109+1,0))),"",ROUND(VLOOKUP(OP!$C$55,SRV,$B109+1,0)*OP!$C$28,0))</f>
        <v/>
      </c>
      <c r="G109" s="690" t="str">
        <f ca="1">IF(OR(OP!$D$53=1,$B109="",ISERROR(VLOOKUP(OP!$C$55,SRV,$B109+1,0))),"",N(G108)+N(F109))</f>
        <v/>
      </c>
      <c r="H109" s="690" t="str">
        <f ca="1">IF(OR(OP!$D$53=1,B109=""),"",ROUND(VLOOKUP(OP!$C$55,DIE,$B109+1,0)*OP!$C$28,0))</f>
        <v/>
      </c>
      <c r="I109" s="691" t="str">
        <f ca="1">IF(OR(OP!$D$53=1,B109=""),"",ROUND(VLOOKUP(OP!$C$55,CV,$B109+1,0)*OP!$C$28,0))</f>
        <v/>
      </c>
      <c r="J109" s="691" t="str">
        <f ca="1">IF(OR(OP!$D$53=1,B109=""),"",VLOOKUP(OP!$C$55,PA,$B109+1,0)*OP!$C$28)</f>
        <v/>
      </c>
      <c r="K109" s="690" t="str">
        <f ca="1">IF(OR(OP!$D$53=1,B109=""),"",VLOOKUP($B109,more1,7,0))</f>
        <v/>
      </c>
      <c r="L109" s="690" t="str">
        <f ca="1">IF(OR(OP!$D$53=1,B109="",$B109&lt;=計算!$P$4),"",VLOOKUP($B109,more1,6,0))</f>
        <v/>
      </c>
      <c r="M109" s="690" t="str">
        <f ca="1">IF(OR(OP!$D$53=1,B109="",AND($B109&gt;=計算!$P$4,$C109&lt;15),ISERROR(VLOOKUP($B109,MORE_PV,4,0))),"",VLOOKUP($B109,MORE_PV,4,0))</f>
        <v/>
      </c>
      <c r="N109" s="692" t="str">
        <f ca="1">IF(OR(OP!$D$53=1,B109="",$C109&lt;15,ISERROR(VLOOKUP($B109,MORE_PV,5,0))),"",VLOOKUP($B109,MORE_PV,5,0))</f>
        <v/>
      </c>
      <c r="O109" s="692" t="str">
        <f ca="1">IF(OR(OP!$D$53=1,$B109="",ISERROR(VLOOKUP($B109-1,MORE_PV,9,0))),"",VLOOKUP($B109-1,MORE_PV,9,0))</f>
        <v/>
      </c>
      <c r="P109" s="692" t="str">
        <f ca="1">IF(OR(OP!$D$53=1,$B109="",ISERROR($O109)),"",N($P108)+N($O109))</f>
        <v/>
      </c>
      <c r="Q109" s="692" t="str">
        <f ca="1">IF(OR(OP!$D$53=1,B109=""),"",ROUND(VLOOKUP($B109,MORE_PV,8,0),0))</f>
        <v/>
      </c>
      <c r="R109" s="692" t="str">
        <f ca="1">IF(OR(OP!$D$53=1,B109=""),"",ROUND(VLOOKUP($B109,MORE_PV,7,0),0))</f>
        <v/>
      </c>
      <c r="S109" s="692" t="str">
        <f ca="1">IF(OR(OP!$D$53=1,B109=""),"",N($F109)+N(O109))</f>
        <v/>
      </c>
      <c r="T109" s="692">
        <f ca="1">IF(OR(OP!$D$53=1,$B109=""),0,N(T108)+N($S109))</f>
        <v>0</v>
      </c>
      <c r="U109" s="690" t="str">
        <f ca="1">IF(OR(OP!$D$53=1,B109=""),"",N($H109)+IF(AND($B109&gt;計算!$P$4,計算!$G$6="現金給付"),N($K109),IF(AND($B109&gt;計算!$P$4,計算!$G$6="儲存生息"),N($L109),0))+N($Q109))</f>
        <v/>
      </c>
      <c r="V109" s="690" t="str">
        <f ca="1">IF(OR(OP!$D$53=1,$B109=""),"",N($I109)+IF(AND($B109&gt;計算!$P$4,計算!$G$6="現金給付"),N($K109),IF(AND($B109&gt;計算!$P$4,計算!$G$6="儲存生息"),N($L109),0))+N(R109))</f>
        <v/>
      </c>
      <c r="W109" s="422"/>
      <c r="X109" s="422"/>
      <c r="Y109" s="786" t="str">
        <f ca="1">IF(OR(OP!$D$53=1,$B109=""),"",((($H109+$Q109)-IF(AND(計算!$G$6=計算!$P$5,$B109=OP!$C$57),$K109,0))*IF(OR($C109&lt;16,Z109=0,Z109=""),1,PYO))+IF(AND($B109&gt;計算!$P$4,計算!$G$6="現金給付"),N($K109),IF(AND($B109&gt;計算!$P$4,計算!$G$6="儲存生息"),N($L109),0))+IF(AND(計算!$G$6=計算!$P$5,$B109=OP!$C$57),$K109,0))</f>
        <v/>
      </c>
      <c r="Z109" s="786" t="str">
        <f ca="1">IF(OR(OP!$D$53=1,$B109=""),"",(($H109+Q109)-IF(AND(計算!$G$6="購買增額繳清保險",$B109=OP!$C$57),$K109,0))*IF(OR($C109&lt;16,($H109+$Q109)*PY!$C$4&lt;PY!$D$5,($H109+$Q109)*PY!$C$4*PYR&lt;PY!$C$5),0,PYY)*PYR)</f>
        <v/>
      </c>
    </row>
    <row r="110" spans="2:26" hidden="1">
      <c r="B110" s="693" t="str">
        <f t="shared" ca="1" si="2"/>
        <v/>
      </c>
      <c r="C110" s="689" t="str">
        <f ca="1">IF(OR(OP!$D$53=1,MAX($C$4:C109)&gt;=110),"",C109+(B110-B109))</f>
        <v/>
      </c>
      <c r="D110" s="690" t="str">
        <f ca="1">IF(OR(OP!$D$53=1,AND(B110&gt;OP!$C$24)),"",OP!$C$52-IF($C110&lt;16,$K109,0))</f>
        <v/>
      </c>
      <c r="E110" s="690" t="str">
        <f ca="1">IF(OR(OP!$D$53=1,B110=""),"",N(E109)+N(D110))</f>
        <v/>
      </c>
      <c r="F110" s="690" t="str">
        <f ca="1">IF(OR(OP!$D$53=1,$B110="",ISERROR(VLOOKUP(OP!$C$55,SRV,$B110+1,0))),"",ROUND(VLOOKUP(OP!$C$55,SRV,$B110+1,0)*OP!$C$28,0))</f>
        <v/>
      </c>
      <c r="G110" s="690" t="str">
        <f ca="1">IF(OR(OP!$D$53=1,$B110="",ISERROR(VLOOKUP(OP!$C$55,SRV,$B110+1,0))),"",N(G109)+N(F110))</f>
        <v/>
      </c>
      <c r="H110" s="690" t="str">
        <f ca="1">IF(OR(OP!$D$53=1,B110=""),"",ROUND(VLOOKUP(OP!$C$55,DIE,$B110+1,0)*OP!$C$28,0))</f>
        <v/>
      </c>
      <c r="I110" s="691" t="str">
        <f ca="1">IF(OR(OP!$D$53=1,B110=""),"",ROUND(VLOOKUP(OP!$C$55,CV,$B110+1,0)*OP!$C$28,0))</f>
        <v/>
      </c>
      <c r="J110" s="691" t="str">
        <f ca="1">IF(OR(OP!$D$53=1,B110=""),"",VLOOKUP(OP!$C$55,PA,$B110+1,0)*OP!$C$28)</f>
        <v/>
      </c>
      <c r="K110" s="690" t="str">
        <f ca="1">IF(OR(OP!$D$53=1,B110=""),"",VLOOKUP($B110,more1,7,0))</f>
        <v/>
      </c>
      <c r="L110" s="690" t="str">
        <f ca="1">IF(OR(OP!$D$53=1,B110="",$B110&lt;=計算!$P$4),"",VLOOKUP($B110,more1,6,0))</f>
        <v/>
      </c>
      <c r="M110" s="690" t="str">
        <f ca="1">IF(OR(OP!$D$53=1,B110="",AND($B110&gt;=計算!$P$4,$C110&lt;15),ISERROR(VLOOKUP($B110,MORE_PV,4,0))),"",VLOOKUP($B110,MORE_PV,4,0))</f>
        <v/>
      </c>
      <c r="N110" s="692" t="str">
        <f ca="1">IF(OR(OP!$D$53=1,B110="",$C110&lt;15,ISERROR(VLOOKUP($B110,MORE_PV,5,0))),"",VLOOKUP($B110,MORE_PV,5,0))</f>
        <v/>
      </c>
      <c r="O110" s="692" t="str">
        <f ca="1">IF(OR(OP!$D$53=1,$B110="",ISERROR(VLOOKUP($B110-1,MORE_PV,9,0))),"",VLOOKUP($B110-1,MORE_PV,9,0))</f>
        <v/>
      </c>
      <c r="P110" s="692" t="str">
        <f ca="1">IF(OR(OP!$D$53=1,$B110="",ISERROR($O110)),"",N($P109)+N($O110))</f>
        <v/>
      </c>
      <c r="Q110" s="692" t="str">
        <f ca="1">IF(OR(OP!$D$53=1,B110=""),"",ROUND(VLOOKUP($B110,MORE_PV,8,0),0))</f>
        <v/>
      </c>
      <c r="R110" s="692" t="str">
        <f ca="1">IF(OR(OP!$D$53=1,B110=""),"",ROUND(VLOOKUP($B110,MORE_PV,7,0),0))</f>
        <v/>
      </c>
      <c r="S110" s="692" t="str">
        <f ca="1">IF(OR(OP!$D$53=1,B110=""),"",N($F110)+N(O110))</f>
        <v/>
      </c>
      <c r="T110" s="692">
        <f ca="1">IF(OR(OP!$D$53=1,$B110=""),0,N(T109)+N($S110))</f>
        <v>0</v>
      </c>
      <c r="U110" s="690" t="str">
        <f ca="1">IF(OR(OP!$D$53=1,B110=""),"",N($H110)+IF(AND($B110&gt;計算!$P$4,計算!$G$6="現金給付"),N($K110),IF(AND($B110&gt;計算!$P$4,計算!$G$6="儲存生息"),N($L110),0))+N($Q110))</f>
        <v/>
      </c>
      <c r="V110" s="690" t="str">
        <f ca="1">IF(OR(OP!$D$53=1,$B110=""),"",N($I110)+IF(AND($B110&gt;計算!$P$4,計算!$G$6="現金給付"),N($K110),IF(AND($B110&gt;計算!$P$4,計算!$G$6="儲存生息"),N($L110),0))+N(R110))</f>
        <v/>
      </c>
      <c r="W110" s="422"/>
      <c r="X110" s="422"/>
      <c r="Y110" s="786" t="str">
        <f ca="1">IF(OR(OP!$D$53=1,$B110=""),"",((($H110+$Q110)-IF(AND(計算!$G$6=計算!$P$5,$B110=OP!$C$57),$K110,0))*IF(OR($C110&lt;16,Z110=0,Z110=""),1,PYO))+IF(AND($B110&gt;計算!$P$4,計算!$G$6="現金給付"),N($K110),IF(AND($B110&gt;計算!$P$4,計算!$G$6="儲存生息"),N($L110),0))+IF(AND(計算!$G$6=計算!$P$5,$B110=OP!$C$57),$K110,0))</f>
        <v/>
      </c>
      <c r="Z110" s="786" t="str">
        <f ca="1">IF(OR(OP!$D$53=1,$B110=""),"",(($H110+Q110)-IF(AND(計算!$G$6="購買增額繳清保險",$B110=OP!$C$57),$K110,0))*IF(OR($C110&lt;16,($H110+$Q110)*PY!$C$4&lt;PY!$D$5,($H110+$Q110)*PY!$C$4*PYR&lt;PY!$C$5),0,PYY)*PYR)</f>
        <v/>
      </c>
    </row>
    <row r="111" spans="2:26" hidden="1">
      <c r="B111" s="693" t="str">
        <f t="shared" ca="1" si="2"/>
        <v/>
      </c>
      <c r="C111" s="689" t="str">
        <f ca="1">IF(OR(OP!$D$53=1,MAX($C$4:C110)&gt;=110),"",C110+(B111-B110))</f>
        <v/>
      </c>
      <c r="D111" s="690" t="str">
        <f ca="1">IF(OR(OP!$D$53=1,AND(B111&gt;OP!$C$24)),"",OP!$C$52-IF($C111&lt;16,$K110,0))</f>
        <v/>
      </c>
      <c r="E111" s="690" t="str">
        <f ca="1">IF(OR(OP!$D$53=1,B111=""),"",N(E110)+N(D111))</f>
        <v/>
      </c>
      <c r="F111" s="690" t="str">
        <f ca="1">IF(OR(OP!$D$53=1,$B111="",ISERROR(VLOOKUP(OP!$C$55,SRV,$B111+1,0))),"",ROUND(VLOOKUP(OP!$C$55,SRV,$B111+1,0)*OP!$C$28,0))</f>
        <v/>
      </c>
      <c r="G111" s="690" t="str">
        <f ca="1">IF(OR(OP!$D$53=1,$B111="",ISERROR(VLOOKUP(OP!$C$55,SRV,$B111+1,0))),"",N(G110)+N(F111))</f>
        <v/>
      </c>
      <c r="H111" s="690" t="str">
        <f ca="1">IF(OR(OP!$D$53=1,B111=""),"",ROUND(VLOOKUP(OP!$C$55,DIE,$B111+1,0)*OP!$C$28,0))</f>
        <v/>
      </c>
      <c r="I111" s="691" t="str">
        <f ca="1">IF(OR(OP!$D$53=1,B111=""),"",ROUND(VLOOKUP(OP!$C$55,CV,$B111+1,0)*OP!$C$28,0))</f>
        <v/>
      </c>
      <c r="J111" s="691" t="str">
        <f ca="1">IF(OR(OP!$D$53=1,B111=""),"",VLOOKUP(OP!$C$55,PA,$B111+1,0)*OP!$C$28)</f>
        <v/>
      </c>
      <c r="K111" s="690" t="str">
        <f ca="1">IF(OR(OP!$D$53=1,B111=""),"",VLOOKUP($B111,more1,7,0))</f>
        <v/>
      </c>
      <c r="L111" s="690" t="str">
        <f ca="1">IF(OR(OP!$D$53=1,B111="",$B111&lt;=計算!$P$4),"",VLOOKUP($B111,more1,6,0))</f>
        <v/>
      </c>
      <c r="M111" s="690" t="str">
        <f ca="1">IF(OR(OP!$D$53=1,B111="",AND($B111&gt;=計算!$P$4,$C111&lt;15),ISERROR(VLOOKUP($B111,MORE_PV,4,0))),"",VLOOKUP($B111,MORE_PV,4,0))</f>
        <v/>
      </c>
      <c r="N111" s="692" t="str">
        <f ca="1">IF(OR(OP!$D$53=1,B111="",$C111&lt;15,ISERROR(VLOOKUP($B111,MORE_PV,5,0))),"",VLOOKUP($B111,MORE_PV,5,0))</f>
        <v/>
      </c>
      <c r="O111" s="692" t="str">
        <f ca="1">IF(OR(OP!$D$53=1,$B111="",ISERROR(VLOOKUP($B111-1,MORE_PV,9,0))),"",VLOOKUP($B111-1,MORE_PV,9,0))</f>
        <v/>
      </c>
      <c r="P111" s="692" t="str">
        <f ca="1">IF(OR(OP!$D$53=1,$B111="",ISERROR($O111)),"",N($P110)+N($O111))</f>
        <v/>
      </c>
      <c r="Q111" s="692" t="str">
        <f ca="1">IF(OR(OP!$D$53=1,B111=""),"",ROUND(VLOOKUP($B111,MORE_PV,8,0),0))</f>
        <v/>
      </c>
      <c r="R111" s="692" t="str">
        <f ca="1">IF(OR(OP!$D$53=1,B111=""),"",ROUND(VLOOKUP($B111,MORE_PV,7,0),0))</f>
        <v/>
      </c>
      <c r="S111" s="692" t="str">
        <f ca="1">IF(OR(OP!$D$53=1,B111=""),"",N($F111)+N(O111))</f>
        <v/>
      </c>
      <c r="T111" s="692">
        <f ca="1">IF(OR(OP!$D$53=1,$B111=""),0,N(T110)+N($S111))</f>
        <v>0</v>
      </c>
      <c r="U111" s="690" t="str">
        <f ca="1">IF(OR(OP!$D$53=1,B111=""),"",N($H111)+IF(AND($B111&gt;計算!$P$4,計算!$G$6="現金給付"),N($K111),IF(AND($B111&gt;計算!$P$4,計算!$G$6="儲存生息"),N($L111),0))+N($Q111))</f>
        <v/>
      </c>
      <c r="V111" s="690" t="str">
        <f ca="1">IF(OR(OP!$D$53=1,$B111=""),"",N($I111)+IF(AND($B111&gt;計算!$P$4,計算!$G$6="現金給付"),N($K111),IF(AND($B111&gt;計算!$P$4,計算!$G$6="儲存生息"),N($L111),0))+N(R111))</f>
        <v/>
      </c>
      <c r="W111" s="422"/>
      <c r="X111" s="422"/>
      <c r="Y111" s="786" t="str">
        <f ca="1">IF(OR(OP!$D$53=1,$B111=""),"",((($H111+$Q111)-IF(AND(計算!$G$6=計算!$P$5,$B111=OP!$C$57),$K111,0))*IF(OR($C111&lt;16,Z111=0,Z111=""),1,PYO))+IF(AND($B111&gt;計算!$P$4,計算!$G$6="現金給付"),N($K111),IF(AND($B111&gt;計算!$P$4,計算!$G$6="儲存生息"),N($L111),0))+IF(AND(計算!$G$6=計算!$P$5,$B111=OP!$C$57),$K111,0))</f>
        <v/>
      </c>
      <c r="Z111" s="786" t="str">
        <f ca="1">IF(OR(OP!$D$53=1,$B111=""),"",(($H111+Q111)-IF(AND(計算!$G$6="購買增額繳清保險",$B111=OP!$C$57),$K111,0))*IF(OR($C111&lt;16,($H111+$Q111)*PY!$C$4&lt;PY!$D$5,($H111+$Q111)*PY!$C$4*PYR&lt;PY!$C$5),0,PYY)*PYR)</f>
        <v/>
      </c>
    </row>
    <row r="112" spans="2:26" hidden="1">
      <c r="B112" s="693" t="str">
        <f t="shared" ca="1" si="2"/>
        <v/>
      </c>
      <c r="C112" s="689" t="str">
        <f ca="1">IF(OR(OP!$D$53=1,MAX($C$4:C111)&gt;=110),"",C111+(B112-B111))</f>
        <v/>
      </c>
      <c r="D112" s="690" t="str">
        <f ca="1">IF(OR(OP!$D$53=1,AND(B112&gt;OP!$C$24)),"",OP!$C$52-IF($C112&lt;16,$K111,0))</f>
        <v/>
      </c>
      <c r="E112" s="690" t="str">
        <f ca="1">IF(OR(OP!$D$53=1,B112=""),"",N(E111)+N(D112))</f>
        <v/>
      </c>
      <c r="F112" s="690" t="str">
        <f ca="1">IF(OR(OP!$D$53=1,$B112="",ISERROR(VLOOKUP(OP!$C$55,SRV,$B112+1,0))),"",ROUND(VLOOKUP(OP!$C$55,SRV,$B112+1,0)*OP!$C$28,0))</f>
        <v/>
      </c>
      <c r="G112" s="690" t="str">
        <f ca="1">IF(OR(OP!$D$53=1,$B112="",ISERROR(VLOOKUP(OP!$C$55,SRV,$B112+1,0))),"",N(G111)+N(F112))</f>
        <v/>
      </c>
      <c r="H112" s="690" t="str">
        <f ca="1">IF(OR(OP!$D$53=1,B112=""),"",ROUND(VLOOKUP(OP!$C$55,DIE,$B112+1,0)*OP!$C$28,0))</f>
        <v/>
      </c>
      <c r="I112" s="691" t="str">
        <f ca="1">IF(OR(OP!$D$53=1,B112=""),"",ROUND(VLOOKUP(OP!$C$55,CV,$B112+1,0)*OP!$C$28,0))</f>
        <v/>
      </c>
      <c r="J112" s="691" t="str">
        <f ca="1">IF(OR(OP!$D$53=1,B112=""),"",VLOOKUP(OP!$C$55,PA,$B112+1,0)*OP!$C$28)</f>
        <v/>
      </c>
      <c r="K112" s="690" t="str">
        <f ca="1">IF(OR(OP!$D$53=1,B112=""),"",VLOOKUP($B112,more1,7,0))</f>
        <v/>
      </c>
      <c r="L112" s="690" t="str">
        <f ca="1">IF(OR(OP!$D$53=1,B112="",$B112&lt;=計算!$P$4),"",VLOOKUP($B112,more1,6,0))</f>
        <v/>
      </c>
      <c r="M112" s="690" t="str">
        <f ca="1">IF(OR(OP!$D$53=1,B112="",AND($B112&gt;=計算!$P$4,$C112&lt;15),ISERROR(VLOOKUP($B112,MORE_PV,4,0))),"",VLOOKUP($B112,MORE_PV,4,0))</f>
        <v/>
      </c>
      <c r="N112" s="692" t="str">
        <f ca="1">IF(OR(OP!$D$53=1,B112="",$C112&lt;15,ISERROR(VLOOKUP($B112,MORE_PV,5,0))),"",VLOOKUP($B112,MORE_PV,5,0))</f>
        <v/>
      </c>
      <c r="O112" s="692" t="str">
        <f ca="1">IF(OR(OP!$D$53=1,$B112="",ISERROR(VLOOKUP($B112-1,MORE_PV,9,0))),"",VLOOKUP($B112-1,MORE_PV,9,0))</f>
        <v/>
      </c>
      <c r="P112" s="692" t="str">
        <f ca="1">IF(OR(OP!$D$53=1,$B112="",ISERROR($O112)),"",N($P111)+N($O112))</f>
        <v/>
      </c>
      <c r="Q112" s="692" t="str">
        <f ca="1">IF(OR(OP!$D$53=1,B112=""),"",ROUND(VLOOKUP($B112,MORE_PV,8,0),0))</f>
        <v/>
      </c>
      <c r="R112" s="692" t="str">
        <f ca="1">IF(OR(OP!$D$53=1,B112=""),"",ROUND(VLOOKUP($B112,MORE_PV,7,0),0))</f>
        <v/>
      </c>
      <c r="S112" s="692" t="str">
        <f ca="1">IF(OR(OP!$D$53=1,B112=""),"",N($F112)+N(O112))</f>
        <v/>
      </c>
      <c r="T112" s="692">
        <f ca="1">IF(OR(OP!$D$53=1,$B112=""),0,N(T111)+N($S112))</f>
        <v>0</v>
      </c>
      <c r="U112" s="690" t="str">
        <f ca="1">IF(OR(OP!$D$53=1,B112=""),"",N($H112)+IF(AND($B112&gt;計算!$P$4,計算!$G$6="現金給付"),N($K112),IF(AND($B112&gt;計算!$P$4,計算!$G$6="儲存生息"),N($L112),0))+N($Q112))</f>
        <v/>
      </c>
      <c r="V112" s="690" t="str">
        <f ca="1">IF(OR(OP!$D$53=1,$B112=""),"",N($I112)+IF(AND($B112&gt;計算!$P$4,計算!$G$6="現金給付"),N($K112),IF(AND($B112&gt;計算!$P$4,計算!$G$6="儲存生息"),N($L112),0))+N(R112))</f>
        <v/>
      </c>
      <c r="W112" s="422"/>
      <c r="X112" s="422"/>
      <c r="Y112" s="786" t="str">
        <f ca="1">IF(OR(OP!$D$53=1,$B112=""),"",((($H112+$Q112)-IF(AND(計算!$G$6=計算!$P$5,$B112=OP!$C$57),$K112,0))*IF(OR($C112&lt;16,Z112=0,Z112=""),1,PYO))+IF(AND($B112&gt;計算!$P$4,計算!$G$6="現金給付"),N($K112),IF(AND($B112&gt;計算!$P$4,計算!$G$6="儲存生息"),N($L112),0))+IF(AND(計算!$G$6=計算!$P$5,$B112=OP!$C$57),$K112,0))</f>
        <v/>
      </c>
      <c r="Z112" s="786" t="str">
        <f ca="1">IF(OR(OP!$D$53=1,$B112=""),"",(($H112+Q112)-IF(AND(計算!$G$6="購買增額繳清保險",$B112=OP!$C$57),$K112,0))*IF(OR($C112&lt;16,($H112+$Q112)*PY!$C$4&lt;PY!$D$5,($H112+$Q112)*PY!$C$4*PYR&lt;PY!$C$5),0,PYY)*PYR)</f>
        <v/>
      </c>
    </row>
    <row r="113" spans="2:26" hidden="1">
      <c r="B113" s="693" t="str">
        <f t="shared" ca="1" si="2"/>
        <v/>
      </c>
      <c r="C113" s="689" t="str">
        <f ca="1">IF(OR(OP!$D$53=1,MAX($C$4:C112)&gt;=110),"",C112+(B113-B112))</f>
        <v/>
      </c>
      <c r="D113" s="690" t="str">
        <f ca="1">IF(OR(OP!$D$53=1,AND(B113&gt;OP!$C$24)),"",OP!$C$52-IF($C113&lt;16,$K112,0))</f>
        <v/>
      </c>
      <c r="E113" s="690" t="str">
        <f ca="1">IF(OR(OP!$D$53=1,B113=""),"",N(E112)+N(D113))</f>
        <v/>
      </c>
      <c r="F113" s="690" t="str">
        <f ca="1">IF(OR(OP!$D$53=1,$B113="",ISERROR(VLOOKUP(OP!$C$55,SRV,$B113+1,0))),"",ROUND(VLOOKUP(OP!$C$55,SRV,$B113+1,0)*OP!$C$28,0))</f>
        <v/>
      </c>
      <c r="G113" s="690" t="str">
        <f ca="1">IF(OR(OP!$D$53=1,$B113="",ISERROR(VLOOKUP(OP!$C$55,SRV,$B113+1,0))),"",N(G112)+N(F113))</f>
        <v/>
      </c>
      <c r="H113" s="690" t="str">
        <f ca="1">IF(OR(OP!$D$53=1,B113=""),"",ROUND(VLOOKUP(OP!$C$55,DIE,$B113+1,0)*OP!$C$28,0))</f>
        <v/>
      </c>
      <c r="I113" s="691" t="str">
        <f ca="1">IF(OR(OP!$D$53=1,B113=""),"",ROUND(VLOOKUP(OP!$C$55,CV,$B113+1,0)*OP!$C$28,0))</f>
        <v/>
      </c>
      <c r="J113" s="691" t="str">
        <f ca="1">IF(OR(OP!$D$53=1,B113=""),"",VLOOKUP(OP!$C$55,PA,$B113+1,0)*OP!$C$28)</f>
        <v/>
      </c>
      <c r="K113" s="690" t="str">
        <f ca="1">IF(OR(OP!$D$53=1,B113=""),"",VLOOKUP($B113,more1,7,0))</f>
        <v/>
      </c>
      <c r="L113" s="690" t="str">
        <f ca="1">IF(OR(OP!$D$53=1,B113="",$B113&lt;=計算!$P$4),"",VLOOKUP($B113,more1,6,0))</f>
        <v/>
      </c>
      <c r="M113" s="690" t="str">
        <f ca="1">IF(OR(OP!$D$53=1,B113="",AND($B113&gt;=計算!$P$4,$C113&lt;15),ISERROR(VLOOKUP($B113,MORE_PV,4,0))),"",VLOOKUP($B113,MORE_PV,4,0))</f>
        <v/>
      </c>
      <c r="N113" s="692" t="str">
        <f ca="1">IF(OR(OP!$D$53=1,B113="",$C113&lt;15,ISERROR(VLOOKUP($B113,MORE_PV,5,0))),"",VLOOKUP($B113,MORE_PV,5,0))</f>
        <v/>
      </c>
      <c r="O113" s="692" t="str">
        <f ca="1">IF(OR(OP!$D$53=1,$B113="",ISERROR(VLOOKUP($B113-1,MORE_PV,9,0))),"",VLOOKUP($B113-1,MORE_PV,9,0))</f>
        <v/>
      </c>
      <c r="P113" s="692" t="str">
        <f ca="1">IF(OR(OP!$D$53=1,$B113="",ISERROR($O113)),"",N($P112)+N($O113))</f>
        <v/>
      </c>
      <c r="Q113" s="692" t="str">
        <f ca="1">IF(OR(OP!$D$53=1,B113=""),"",ROUND(VLOOKUP($B113,MORE_PV,8,0),0))</f>
        <v/>
      </c>
      <c r="R113" s="692" t="str">
        <f ca="1">IF(OR(OP!$D$53=1,B113=""),"",ROUND(VLOOKUP($B113,MORE_PV,7,0),0))</f>
        <v/>
      </c>
      <c r="S113" s="692" t="str">
        <f ca="1">IF(OR(OP!$D$53=1,B113=""),"",N($F113)+N(O113))</f>
        <v/>
      </c>
      <c r="T113" s="692">
        <f ca="1">IF(OR(OP!$D$53=1,$B113=""),0,N(T112)+N($S113))</f>
        <v>0</v>
      </c>
      <c r="U113" s="690" t="str">
        <f ca="1">IF(OR(OP!$D$53=1,B113=""),"",N($H113)+IF(AND($B113&gt;計算!$P$4,計算!$G$6="現金給付"),N($K113),IF(AND($B113&gt;計算!$P$4,計算!$G$6="儲存生息"),N($L113),0))+N($Q113))</f>
        <v/>
      </c>
      <c r="V113" s="690" t="str">
        <f ca="1">IF(OR(OP!$D$53=1,$B113=""),"",N($I113)+IF(AND($B113&gt;計算!$P$4,計算!$G$6="現金給付"),N($K113),IF(AND($B113&gt;計算!$P$4,計算!$G$6="儲存生息"),N($L113),0))+N(R113))</f>
        <v/>
      </c>
      <c r="W113" s="422"/>
      <c r="X113" s="422"/>
      <c r="Y113" s="786" t="str">
        <f ca="1">IF(OR(OP!$D$53=1,$B113=""),"",((($H113+$Q113)-IF(AND(計算!$G$6=計算!$P$5,$B113=OP!$C$57),$K113,0))*IF(OR($C113&lt;16,Z113=0,Z113=""),1,PYO))+IF(AND($B113&gt;計算!$P$4,計算!$G$6="現金給付"),N($K113),IF(AND($B113&gt;計算!$P$4,計算!$G$6="儲存生息"),N($L113),0))+IF(AND(計算!$G$6=計算!$P$5,$B113=OP!$C$57),$K113,0))</f>
        <v/>
      </c>
      <c r="Z113" s="786" t="str">
        <f ca="1">IF(OR(OP!$D$53=1,$B113=""),"",(($H113+Q113)-IF(AND(計算!$G$6="購買增額繳清保險",$B113=OP!$C$57),$K113,0))*IF(OR($C113&lt;16,($H113+$Q113)*PY!$C$4&lt;PY!$D$5,($H113+$Q113)*PY!$C$4*PYR&lt;PY!$C$5),0,PYY)*PYR)</f>
        <v/>
      </c>
    </row>
    <row r="114" spans="2:26" hidden="1">
      <c r="B114" s="693" t="str">
        <f t="shared" ca="1" si="2"/>
        <v/>
      </c>
      <c r="C114" s="689" t="str">
        <f ca="1">IF(OR(OP!$D$53=1,MAX($C$4:C113)&gt;=110),"",C113+(B114-B113))</f>
        <v/>
      </c>
      <c r="D114" s="690" t="str">
        <f ca="1">IF(OR(OP!$D$53=1,AND(B114&gt;OP!$C$24)),"",OP!$C$52-IF($C114&lt;16,$K113,0))</f>
        <v/>
      </c>
      <c r="E114" s="690" t="str">
        <f ca="1">IF(OR(OP!$D$53=1,B114=""),"",N(E113)+N(D114))</f>
        <v/>
      </c>
      <c r="F114" s="690" t="str">
        <f ca="1">IF(OR(OP!$D$53=1,$B114="",ISERROR(VLOOKUP(OP!$C$55,SRV,$B114+1,0))),"",ROUND(VLOOKUP(OP!$C$55,SRV,$B114+1,0)*OP!$C$28,0))</f>
        <v/>
      </c>
      <c r="G114" s="690" t="str">
        <f ca="1">IF(OR(OP!$D$53=1,$B114="",ISERROR(VLOOKUP(OP!$C$55,SRV,$B114+1,0))),"",N(G113)+N(F114))</f>
        <v/>
      </c>
      <c r="H114" s="690" t="str">
        <f ca="1">IF(OR(OP!$D$53=1,B114=""),"",ROUND(VLOOKUP(OP!$C$55,DIE,$B114+1,0)*OP!$C$28,0))</f>
        <v/>
      </c>
      <c r="I114" s="691" t="str">
        <f ca="1">IF(OR(OP!$D$53=1,B114=""),"",ROUND(VLOOKUP(OP!$C$55,CV,$B114+1,0)*OP!$C$28,0))</f>
        <v/>
      </c>
      <c r="J114" s="691" t="str">
        <f ca="1">IF(OR(OP!$D$53=1,B114=""),"",VLOOKUP(OP!$C$55,PA,$B114+1,0)*OP!$C$28)</f>
        <v/>
      </c>
      <c r="K114" s="690" t="str">
        <f ca="1">IF(OR(OP!$D$53=1,B114=""),"",VLOOKUP($B114,more1,7,0))</f>
        <v/>
      </c>
      <c r="L114" s="690" t="str">
        <f ca="1">IF(OR(OP!$D$53=1,B114="",$B114&lt;=計算!$P$4),"",VLOOKUP($B114,more1,6,0))</f>
        <v/>
      </c>
      <c r="M114" s="690" t="str">
        <f ca="1">IF(OR(OP!$D$53=1,B114="",AND($B114&gt;=計算!$P$4,$C114&lt;15),ISERROR(VLOOKUP($B114,MORE_PV,4,0))),"",VLOOKUP($B114,MORE_PV,4,0))</f>
        <v/>
      </c>
      <c r="N114" s="692" t="str">
        <f ca="1">IF(OR(OP!$D$53=1,B114="",$C114&lt;15,ISERROR(VLOOKUP($B114,MORE_PV,5,0))),"",VLOOKUP($B114,MORE_PV,5,0))</f>
        <v/>
      </c>
      <c r="O114" s="692" t="str">
        <f ca="1">IF(OR(OP!$D$53=1,$B114="",ISERROR(VLOOKUP($B114-1,MORE_PV,9,0))),"",VLOOKUP($B114-1,MORE_PV,9,0))</f>
        <v/>
      </c>
      <c r="P114" s="692" t="str">
        <f ca="1">IF(OR(OP!$D$53=1,$B114="",ISERROR($O114)),"",N($P113)+N($O114))</f>
        <v/>
      </c>
      <c r="Q114" s="692" t="str">
        <f ca="1">IF(OR(OP!$D$53=1,B114=""),"",ROUND(VLOOKUP($B114,MORE_PV,8,0),0))</f>
        <v/>
      </c>
      <c r="R114" s="692" t="str">
        <f ca="1">IF(OR(OP!$D$53=1,B114=""),"",ROUND(VLOOKUP($B114,MORE_PV,7,0),0))</f>
        <v/>
      </c>
      <c r="S114" s="692" t="str">
        <f ca="1">IF(OR(OP!$D$53=1,B114=""),"",N($F114)+N(O114))</f>
        <v/>
      </c>
      <c r="T114" s="692">
        <f ca="1">IF(OR(OP!$D$53=1,$B114=""),0,N(T113)+N($S114))</f>
        <v>0</v>
      </c>
      <c r="U114" s="690" t="str">
        <f ca="1">IF(OR(OP!$D$53=1,B114=""),"",N($H114)+IF(AND($B114&gt;計算!$P$4,計算!$G$6="現金給付"),N($K114),IF(AND($B114&gt;計算!$P$4,計算!$G$6="儲存生息"),N($L114),0))+N($Q114))</f>
        <v/>
      </c>
      <c r="V114" s="690" t="str">
        <f ca="1">IF(OR(OP!$D$53=1,$B114=""),"",N($I114)+IF(AND($B114&gt;計算!$P$4,計算!$G$6="現金給付"),N($K114),IF(AND($B114&gt;計算!$P$4,計算!$G$6="儲存生息"),N($L114),0))+N(R114))</f>
        <v/>
      </c>
      <c r="W114" s="422"/>
      <c r="X114" s="422"/>
      <c r="Y114" s="786" t="str">
        <f ca="1">IF(OR(OP!$D$53=1,$B114=""),"",((($H114+$Q114)-IF(AND(計算!$G$6=計算!$P$5,$B114=OP!$C$57),$K114,0))*IF(OR($C114&lt;16,Z114=0,Z114=""),1,PYO))+IF(AND($B114&gt;計算!$P$4,計算!$G$6="現金給付"),N($K114),IF(AND($B114&gt;計算!$P$4,計算!$G$6="儲存生息"),N($L114),0))+IF(AND(計算!$G$6=計算!$P$5,$B114=OP!$C$57),$K114,0))</f>
        <v/>
      </c>
      <c r="Z114" s="786" t="str">
        <f ca="1">IF(OR(OP!$D$53=1,$B114=""),"",(($H114+Q114)-IF(AND(計算!$G$6="購買增額繳清保險",$B114=OP!$C$57),$K114,0))*IF(OR($C114&lt;16,($H114+$Q114)*PY!$C$4&lt;PY!$D$5,($H114+$Q114)*PY!$C$4*PYR&lt;PY!$C$5),0,PYY)*PYR)</f>
        <v/>
      </c>
    </row>
    <row r="115" spans="2:26" hidden="1">
      <c r="B115" s="694"/>
      <c r="C115" s="695"/>
      <c r="D115" s="696"/>
      <c r="E115" s="696"/>
      <c r="F115" s="696"/>
      <c r="G115" s="696"/>
      <c r="H115" s="696"/>
      <c r="I115" s="697"/>
    </row>
    <row r="116" spans="2:26" hidden="1">
      <c r="B116" s="694"/>
      <c r="C116" s="695"/>
      <c r="D116" s="696"/>
      <c r="E116" s="696"/>
      <c r="F116" s="696"/>
      <c r="G116" s="696"/>
      <c r="H116" s="696"/>
      <c r="I116" s="697"/>
    </row>
    <row r="117" spans="2:26" hidden="1">
      <c r="B117" s="694"/>
      <c r="C117" s="695"/>
      <c r="D117" s="696"/>
      <c r="E117" s="696"/>
      <c r="F117" s="696"/>
      <c r="G117" s="696"/>
      <c r="H117" s="696"/>
      <c r="I117" s="697"/>
    </row>
    <row r="118" spans="2:26" hidden="1">
      <c r="B118" s="694"/>
      <c r="C118" s="695"/>
      <c r="D118" s="696"/>
      <c r="E118" s="696"/>
      <c r="F118" s="696"/>
      <c r="G118" s="696"/>
      <c r="H118" s="696"/>
      <c r="I118" s="697"/>
    </row>
    <row r="119" spans="2:26" hidden="1">
      <c r="B119" s="694"/>
      <c r="C119" s="695">
        <v>2</v>
      </c>
      <c r="D119" s="698">
        <v>7</v>
      </c>
      <c r="E119" s="699">
        <v>8</v>
      </c>
      <c r="F119" s="698">
        <v>18</v>
      </c>
      <c r="G119" s="699">
        <v>13</v>
      </c>
      <c r="H119" s="698">
        <v>16</v>
      </c>
      <c r="I119" s="699">
        <v>17</v>
      </c>
      <c r="J119" s="698">
        <v>0</v>
      </c>
      <c r="K119" s="699">
        <v>0</v>
      </c>
      <c r="L119" s="698">
        <v>0</v>
      </c>
      <c r="M119" s="699">
        <v>0</v>
      </c>
      <c r="N119" s="698">
        <v>0</v>
      </c>
      <c r="O119" s="699">
        <v>0</v>
      </c>
      <c r="P119" s="698">
        <v>0</v>
      </c>
      <c r="Q119" s="699">
        <v>0</v>
      </c>
      <c r="R119" s="698">
        <v>0</v>
      </c>
      <c r="S119" s="699">
        <v>0</v>
      </c>
      <c r="T119" s="698">
        <v>0</v>
      </c>
    </row>
    <row r="120" spans="2:26" ht="57" hidden="1">
      <c r="B120" s="422" t="s">
        <v>79</v>
      </c>
      <c r="C120" s="700" t="str">
        <f t="shared" ref="C120:C137" si="3">VLOOKUP($B120,TOV,C$119,0)</f>
        <v>保險
年齡</v>
      </c>
      <c r="D120" s="700" t="str">
        <f t="shared" ref="D120:M129" si="4">IF(ISERROR(VLOOKUP($B120,TOV,D$119,0)),"",VLOOKUP($B120,TOV,D$119,0))</f>
        <v>年度末
身故/完全殘廢保障
( A )</v>
      </c>
      <c r="E120" s="700" t="str">
        <f t="shared" si="4"/>
        <v>年度末
解約金
( B )</v>
      </c>
      <c r="F120" s="700">
        <f t="shared" si="4"/>
        <v>0</v>
      </c>
      <c r="G120" s="700" t="str">
        <f t="shared" si="4"/>
        <v>年度末
保險金額
(預估值)</v>
      </c>
      <c r="H120" s="700" t="str">
        <f t="shared" ca="1" si="4"/>
        <v>年度末
身故/完全殘廢保障
( D )(預估值)</v>
      </c>
      <c r="I120" s="700" t="str">
        <f t="shared" ca="1" si="4"/>
        <v>年度末
解約金
( E )(預估值)</v>
      </c>
      <c r="J120" s="700" t="str">
        <f t="shared" si="4"/>
        <v/>
      </c>
      <c r="K120" s="700" t="str">
        <f t="shared" si="4"/>
        <v/>
      </c>
      <c r="L120" s="700" t="str">
        <f t="shared" si="4"/>
        <v/>
      </c>
      <c r="M120" s="700" t="str">
        <f t="shared" si="4"/>
        <v/>
      </c>
      <c r="N120" s="700" t="str">
        <f t="shared" ref="N120:T129" si="5">IF(ISERROR(VLOOKUP($B120,TOV,N$119,0)),"",VLOOKUP($B120,TOV,N$119,0))</f>
        <v/>
      </c>
      <c r="O120" s="700" t="str">
        <f t="shared" si="5"/>
        <v/>
      </c>
      <c r="P120" s="700" t="str">
        <f t="shared" si="5"/>
        <v/>
      </c>
      <c r="Q120" s="700" t="str">
        <f t="shared" si="5"/>
        <v/>
      </c>
      <c r="R120" s="700" t="str">
        <f t="shared" si="5"/>
        <v/>
      </c>
      <c r="S120" s="700" t="str">
        <f t="shared" si="5"/>
        <v/>
      </c>
      <c r="T120" s="700" t="str">
        <f t="shared" si="5"/>
        <v/>
      </c>
    </row>
    <row r="121" spans="2:26" hidden="1">
      <c r="B121" s="701">
        <v>1</v>
      </c>
      <c r="C121" s="422">
        <f t="shared" ca="1" si="3"/>
        <v>33</v>
      </c>
      <c r="D121" s="702">
        <f t="shared" ca="1" si="4"/>
        <v>180452</v>
      </c>
      <c r="E121" s="702">
        <f t="shared" ca="1" si="4"/>
        <v>79016</v>
      </c>
      <c r="F121" s="702">
        <f t="shared" ca="1" si="4"/>
        <v>0</v>
      </c>
      <c r="G121" s="702">
        <f ca="1">IF(ISERROR(VLOOKUP($B121,TOV,G$119,0)),"",VLOOKUP($B121,TOV,G$119,0))</f>
        <v>268</v>
      </c>
      <c r="H121" s="702">
        <f t="shared" ca="1" si="4"/>
        <v>727</v>
      </c>
      <c r="I121" s="702">
        <f t="shared" ca="1" si="4"/>
        <v>727</v>
      </c>
      <c r="J121" s="702" t="str">
        <f t="shared" si="4"/>
        <v/>
      </c>
      <c r="K121" s="702" t="str">
        <f t="shared" si="4"/>
        <v/>
      </c>
      <c r="L121" s="702" t="str">
        <f t="shared" si="4"/>
        <v/>
      </c>
      <c r="M121" s="702" t="str">
        <f t="shared" si="4"/>
        <v/>
      </c>
      <c r="N121" s="702" t="str">
        <f t="shared" si="5"/>
        <v/>
      </c>
      <c r="O121" s="702" t="str">
        <f t="shared" si="5"/>
        <v/>
      </c>
      <c r="P121" s="702" t="str">
        <f t="shared" si="5"/>
        <v/>
      </c>
      <c r="Q121" s="702" t="str">
        <f t="shared" si="5"/>
        <v/>
      </c>
      <c r="R121" s="702" t="str">
        <f t="shared" si="5"/>
        <v/>
      </c>
      <c r="S121" s="702" t="str">
        <f t="shared" si="5"/>
        <v/>
      </c>
      <c r="T121" s="702" t="str">
        <f t="shared" si="5"/>
        <v/>
      </c>
    </row>
    <row r="122" spans="2:26" hidden="1">
      <c r="B122" s="701">
        <v>2</v>
      </c>
      <c r="C122" s="422">
        <f t="shared" ca="1" si="3"/>
        <v>34</v>
      </c>
      <c r="D122" s="702">
        <f t="shared" ca="1" si="4"/>
        <v>360903</v>
      </c>
      <c r="E122" s="702">
        <f t="shared" ca="1" si="4"/>
        <v>224502</v>
      </c>
      <c r="F122" s="702">
        <f t="shared" ca="1" si="4"/>
        <v>0</v>
      </c>
      <c r="G122" s="702">
        <f t="shared" ca="1" si="4"/>
        <v>970</v>
      </c>
      <c r="H122" s="702">
        <f t="shared" ca="1" si="4"/>
        <v>2682</v>
      </c>
      <c r="I122" s="702">
        <f t="shared" ca="1" si="4"/>
        <v>2682</v>
      </c>
      <c r="J122" s="702" t="str">
        <f t="shared" si="4"/>
        <v/>
      </c>
      <c r="K122" s="702" t="str">
        <f t="shared" si="4"/>
        <v/>
      </c>
      <c r="L122" s="702" t="str">
        <f t="shared" si="4"/>
        <v/>
      </c>
      <c r="M122" s="702" t="str">
        <f t="shared" si="4"/>
        <v/>
      </c>
      <c r="N122" s="702" t="str">
        <f t="shared" si="5"/>
        <v/>
      </c>
      <c r="O122" s="702" t="str">
        <f t="shared" si="5"/>
        <v/>
      </c>
      <c r="P122" s="702" t="str">
        <f t="shared" si="5"/>
        <v/>
      </c>
      <c r="Q122" s="702" t="str">
        <f t="shared" si="5"/>
        <v/>
      </c>
      <c r="R122" s="702" t="str">
        <f t="shared" si="5"/>
        <v/>
      </c>
      <c r="S122" s="702" t="str">
        <f t="shared" si="5"/>
        <v/>
      </c>
      <c r="T122" s="702" t="str">
        <f t="shared" si="5"/>
        <v/>
      </c>
    </row>
    <row r="123" spans="2:26" hidden="1">
      <c r="B123" s="701">
        <v>3</v>
      </c>
      <c r="C123" s="422">
        <f t="shared" ca="1" si="3"/>
        <v>35</v>
      </c>
      <c r="D123" s="702">
        <f t="shared" ca="1" si="4"/>
        <v>541358</v>
      </c>
      <c r="E123" s="702">
        <f t="shared" ca="1" si="4"/>
        <v>390524</v>
      </c>
      <c r="F123" s="702">
        <f t="shared" ca="1" si="4"/>
        <v>0</v>
      </c>
      <c r="G123" s="702">
        <f t="shared" ca="1" si="4"/>
        <v>2101</v>
      </c>
      <c r="H123" s="702">
        <f t="shared" ca="1" si="4"/>
        <v>5926</v>
      </c>
      <c r="I123" s="702">
        <f t="shared" ca="1" si="4"/>
        <v>5926</v>
      </c>
      <c r="J123" s="702" t="str">
        <f t="shared" si="4"/>
        <v/>
      </c>
      <c r="K123" s="702" t="str">
        <f t="shared" si="4"/>
        <v/>
      </c>
      <c r="L123" s="702" t="str">
        <f t="shared" si="4"/>
        <v/>
      </c>
      <c r="M123" s="702" t="str">
        <f t="shared" si="4"/>
        <v/>
      </c>
      <c r="N123" s="702" t="str">
        <f t="shared" si="5"/>
        <v/>
      </c>
      <c r="O123" s="702" t="str">
        <f t="shared" si="5"/>
        <v/>
      </c>
      <c r="P123" s="702" t="str">
        <f t="shared" si="5"/>
        <v/>
      </c>
      <c r="Q123" s="702" t="str">
        <f t="shared" si="5"/>
        <v/>
      </c>
      <c r="R123" s="702" t="str">
        <f t="shared" si="5"/>
        <v/>
      </c>
      <c r="S123" s="702" t="str">
        <f t="shared" si="5"/>
        <v/>
      </c>
      <c r="T123" s="702" t="str">
        <f t="shared" si="5"/>
        <v/>
      </c>
    </row>
    <row r="124" spans="2:26" hidden="1">
      <c r="B124" s="701">
        <v>4</v>
      </c>
      <c r="C124" s="422">
        <f t="shared" ca="1" si="3"/>
        <v>36</v>
      </c>
      <c r="D124" s="702">
        <f t="shared" ca="1" si="4"/>
        <v>721810</v>
      </c>
      <c r="E124" s="702">
        <f t="shared" ca="1" si="4"/>
        <v>577592</v>
      </c>
      <c r="F124" s="702">
        <f t="shared" ca="1" si="4"/>
        <v>0</v>
      </c>
      <c r="G124" s="702">
        <f t="shared" ca="1" si="4"/>
        <v>3655</v>
      </c>
      <c r="H124" s="702">
        <f t="shared" ca="1" si="4"/>
        <v>10515</v>
      </c>
      <c r="I124" s="702">
        <f t="shared" ca="1" si="4"/>
        <v>10515</v>
      </c>
      <c r="J124" s="702" t="str">
        <f t="shared" si="4"/>
        <v/>
      </c>
      <c r="K124" s="702" t="str">
        <f t="shared" si="4"/>
        <v/>
      </c>
      <c r="L124" s="702" t="str">
        <f t="shared" si="4"/>
        <v/>
      </c>
      <c r="M124" s="702" t="str">
        <f t="shared" si="4"/>
        <v/>
      </c>
      <c r="N124" s="702" t="str">
        <f t="shared" si="5"/>
        <v/>
      </c>
      <c r="O124" s="702" t="str">
        <f t="shared" si="5"/>
        <v/>
      </c>
      <c r="P124" s="702" t="str">
        <f t="shared" si="5"/>
        <v/>
      </c>
      <c r="Q124" s="702" t="str">
        <f t="shared" si="5"/>
        <v/>
      </c>
      <c r="R124" s="702" t="str">
        <f t="shared" si="5"/>
        <v/>
      </c>
      <c r="S124" s="702" t="str">
        <f t="shared" si="5"/>
        <v/>
      </c>
      <c r="T124" s="702" t="str">
        <f t="shared" si="5"/>
        <v/>
      </c>
    </row>
    <row r="125" spans="2:26" hidden="1">
      <c r="B125" s="701">
        <v>5</v>
      </c>
      <c r="C125" s="422">
        <f t="shared" ca="1" si="3"/>
        <v>37</v>
      </c>
      <c r="D125" s="702">
        <f t="shared" ca="1" si="4"/>
        <v>902261</v>
      </c>
      <c r="E125" s="702">
        <f t="shared" ca="1" si="4"/>
        <v>786420</v>
      </c>
      <c r="F125" s="702">
        <f t="shared" ca="1" si="4"/>
        <v>0</v>
      </c>
      <c r="G125" s="702">
        <f t="shared" ca="1" si="4"/>
        <v>5627</v>
      </c>
      <c r="H125" s="702">
        <f t="shared" ca="1" si="4"/>
        <v>16512</v>
      </c>
      <c r="I125" s="702">
        <f t="shared" ca="1" si="4"/>
        <v>16512</v>
      </c>
      <c r="J125" s="702" t="str">
        <f t="shared" si="4"/>
        <v/>
      </c>
      <c r="K125" s="702" t="str">
        <f t="shared" si="4"/>
        <v/>
      </c>
      <c r="L125" s="702" t="str">
        <f t="shared" si="4"/>
        <v/>
      </c>
      <c r="M125" s="702" t="str">
        <f t="shared" si="4"/>
        <v/>
      </c>
      <c r="N125" s="702" t="str">
        <f t="shared" si="5"/>
        <v/>
      </c>
      <c r="O125" s="702" t="str">
        <f t="shared" si="5"/>
        <v/>
      </c>
      <c r="P125" s="702" t="str">
        <f t="shared" si="5"/>
        <v/>
      </c>
      <c r="Q125" s="702" t="str">
        <f t="shared" si="5"/>
        <v/>
      </c>
      <c r="R125" s="702" t="str">
        <f t="shared" si="5"/>
        <v/>
      </c>
      <c r="S125" s="702" t="str">
        <f t="shared" si="5"/>
        <v/>
      </c>
      <c r="T125" s="702" t="str">
        <f t="shared" si="5"/>
        <v/>
      </c>
    </row>
    <row r="126" spans="2:26" hidden="1">
      <c r="B126" s="701">
        <v>6</v>
      </c>
      <c r="C126" s="422">
        <f t="shared" ca="1" si="3"/>
        <v>38</v>
      </c>
      <c r="D126" s="702">
        <f t="shared" ca="1" si="4"/>
        <v>1082713</v>
      </c>
      <c r="E126" s="702">
        <f t="shared" ca="1" si="4"/>
        <v>1007318</v>
      </c>
      <c r="F126" s="702">
        <f t="shared" ca="1" si="4"/>
        <v>0</v>
      </c>
      <c r="G126" s="702">
        <f t="shared" ca="1" si="4"/>
        <v>8012</v>
      </c>
      <c r="H126" s="702">
        <f t="shared" ca="1" si="4"/>
        <v>25514</v>
      </c>
      <c r="I126" s="702">
        <f t="shared" ca="1" si="4"/>
        <v>23977</v>
      </c>
      <c r="J126" s="702" t="str">
        <f t="shared" si="4"/>
        <v/>
      </c>
      <c r="K126" s="702" t="str">
        <f t="shared" si="4"/>
        <v/>
      </c>
      <c r="L126" s="702" t="str">
        <f t="shared" si="4"/>
        <v/>
      </c>
      <c r="M126" s="702" t="str">
        <f t="shared" si="4"/>
        <v/>
      </c>
      <c r="N126" s="702" t="str">
        <f t="shared" si="5"/>
        <v/>
      </c>
      <c r="O126" s="702" t="str">
        <f t="shared" si="5"/>
        <v/>
      </c>
      <c r="P126" s="702" t="str">
        <f t="shared" si="5"/>
        <v/>
      </c>
      <c r="Q126" s="702" t="str">
        <f t="shared" si="5"/>
        <v/>
      </c>
      <c r="R126" s="702" t="str">
        <f t="shared" si="5"/>
        <v/>
      </c>
      <c r="S126" s="702" t="str">
        <f t="shared" si="5"/>
        <v/>
      </c>
      <c r="T126" s="702" t="str">
        <f t="shared" si="5"/>
        <v/>
      </c>
    </row>
    <row r="127" spans="2:26" hidden="1">
      <c r="B127" s="701">
        <v>7</v>
      </c>
      <c r="C127" s="422">
        <f t="shared" ca="1" si="3"/>
        <v>39</v>
      </c>
      <c r="D127" s="702">
        <f t="shared" ca="1" si="4"/>
        <v>1082713</v>
      </c>
      <c r="E127" s="702">
        <f t="shared" ca="1" si="4"/>
        <v>1037748</v>
      </c>
      <c r="F127" s="702">
        <f t="shared" ca="1" si="4"/>
        <v>0</v>
      </c>
      <c r="G127" s="702">
        <f t="shared" ca="1" si="4"/>
        <v>8012</v>
      </c>
      <c r="H127" s="702">
        <f t="shared" ca="1" si="4"/>
        <v>25514</v>
      </c>
      <c r="I127" s="702">
        <f t="shared" ca="1" si="4"/>
        <v>24454</v>
      </c>
      <c r="J127" s="702" t="str">
        <f t="shared" si="4"/>
        <v/>
      </c>
      <c r="K127" s="702" t="str">
        <f t="shared" si="4"/>
        <v/>
      </c>
      <c r="L127" s="702" t="str">
        <f t="shared" si="4"/>
        <v/>
      </c>
      <c r="M127" s="702" t="str">
        <f t="shared" si="4"/>
        <v/>
      </c>
      <c r="N127" s="702" t="str">
        <f t="shared" si="5"/>
        <v/>
      </c>
      <c r="O127" s="702" t="str">
        <f t="shared" si="5"/>
        <v/>
      </c>
      <c r="P127" s="702" t="str">
        <f t="shared" si="5"/>
        <v/>
      </c>
      <c r="Q127" s="702" t="str">
        <f t="shared" si="5"/>
        <v/>
      </c>
      <c r="R127" s="702" t="str">
        <f t="shared" si="5"/>
        <v/>
      </c>
      <c r="S127" s="702" t="str">
        <f t="shared" si="5"/>
        <v/>
      </c>
      <c r="T127" s="702" t="str">
        <f t="shared" si="5"/>
        <v/>
      </c>
    </row>
    <row r="128" spans="2:26" hidden="1">
      <c r="B128" s="701">
        <v>8</v>
      </c>
      <c r="C128" s="422">
        <f t="shared" ca="1" si="3"/>
        <v>40</v>
      </c>
      <c r="D128" s="702">
        <f t="shared" ca="1" si="4"/>
        <v>1082713</v>
      </c>
      <c r="E128" s="702">
        <f t="shared" ca="1" si="4"/>
        <v>1058420</v>
      </c>
      <c r="F128" s="702">
        <f t="shared" ca="1" si="4"/>
        <v>0</v>
      </c>
      <c r="G128" s="702">
        <f t="shared" ca="1" si="4"/>
        <v>8012</v>
      </c>
      <c r="H128" s="702">
        <f t="shared" ca="1" si="4"/>
        <v>25514</v>
      </c>
      <c r="I128" s="702">
        <f t="shared" ca="1" si="4"/>
        <v>24941</v>
      </c>
      <c r="J128" s="702" t="str">
        <f t="shared" si="4"/>
        <v/>
      </c>
      <c r="K128" s="702" t="str">
        <f t="shared" si="4"/>
        <v/>
      </c>
      <c r="L128" s="702" t="str">
        <f t="shared" si="4"/>
        <v/>
      </c>
      <c r="M128" s="702" t="str">
        <f t="shared" si="4"/>
        <v/>
      </c>
      <c r="N128" s="702" t="str">
        <f t="shared" si="5"/>
        <v/>
      </c>
      <c r="O128" s="702" t="str">
        <f t="shared" si="5"/>
        <v/>
      </c>
      <c r="P128" s="702" t="str">
        <f t="shared" si="5"/>
        <v/>
      </c>
      <c r="Q128" s="702" t="str">
        <f t="shared" si="5"/>
        <v/>
      </c>
      <c r="R128" s="702" t="str">
        <f t="shared" si="5"/>
        <v/>
      </c>
      <c r="S128" s="702" t="str">
        <f t="shared" si="5"/>
        <v/>
      </c>
      <c r="T128" s="702" t="str">
        <f t="shared" si="5"/>
        <v/>
      </c>
    </row>
    <row r="129" spans="2:20" hidden="1">
      <c r="B129" s="701">
        <v>9</v>
      </c>
      <c r="C129" s="422">
        <f t="shared" ca="1" si="3"/>
        <v>41</v>
      </c>
      <c r="D129" s="702">
        <f t="shared" ca="1" si="4"/>
        <v>1082713</v>
      </c>
      <c r="E129" s="702">
        <f t="shared" ca="1" si="4"/>
        <v>1079534</v>
      </c>
      <c r="F129" s="702">
        <f t="shared" ca="1" si="4"/>
        <v>0</v>
      </c>
      <c r="G129" s="702">
        <f t="shared" ca="1" si="4"/>
        <v>8012</v>
      </c>
      <c r="H129" s="702">
        <f t="shared" ca="1" si="4"/>
        <v>25514</v>
      </c>
      <c r="I129" s="702">
        <f t="shared" ca="1" si="4"/>
        <v>25439</v>
      </c>
      <c r="J129" s="702" t="str">
        <f t="shared" si="4"/>
        <v/>
      </c>
      <c r="K129" s="702" t="str">
        <f t="shared" si="4"/>
        <v/>
      </c>
      <c r="L129" s="702" t="str">
        <f t="shared" si="4"/>
        <v/>
      </c>
      <c r="M129" s="702" t="str">
        <f t="shared" si="4"/>
        <v/>
      </c>
      <c r="N129" s="702" t="str">
        <f t="shared" si="5"/>
        <v/>
      </c>
      <c r="O129" s="702" t="str">
        <f t="shared" si="5"/>
        <v/>
      </c>
      <c r="P129" s="702" t="str">
        <f t="shared" si="5"/>
        <v/>
      </c>
      <c r="Q129" s="702" t="str">
        <f t="shared" si="5"/>
        <v/>
      </c>
      <c r="R129" s="702" t="str">
        <f t="shared" si="5"/>
        <v/>
      </c>
      <c r="S129" s="702" t="str">
        <f t="shared" si="5"/>
        <v/>
      </c>
      <c r="T129" s="702" t="str">
        <f t="shared" si="5"/>
        <v/>
      </c>
    </row>
    <row r="130" spans="2:20" hidden="1">
      <c r="B130" s="701">
        <v>10</v>
      </c>
      <c r="C130" s="422">
        <f t="shared" ca="1" si="3"/>
        <v>42</v>
      </c>
      <c r="D130" s="702">
        <f t="shared" ref="D130:M137" ca="1" si="6">IF(ISERROR(VLOOKUP($B130,TOV,D$119,0)),"",VLOOKUP($B130,TOV,D$119,0))</f>
        <v>1101124</v>
      </c>
      <c r="E130" s="702">
        <f t="shared" ca="1" si="6"/>
        <v>1101124</v>
      </c>
      <c r="F130" s="702">
        <f t="shared" ca="1" si="6"/>
        <v>0</v>
      </c>
      <c r="G130" s="702">
        <f t="shared" ca="1" si="6"/>
        <v>8012</v>
      </c>
      <c r="H130" s="702">
        <f t="shared" ca="1" si="6"/>
        <v>25948</v>
      </c>
      <c r="I130" s="702">
        <f t="shared" ca="1" si="6"/>
        <v>25948</v>
      </c>
      <c r="J130" s="702" t="str">
        <f t="shared" si="6"/>
        <v/>
      </c>
      <c r="K130" s="702" t="str">
        <f t="shared" si="6"/>
        <v/>
      </c>
      <c r="L130" s="702" t="str">
        <f t="shared" si="6"/>
        <v/>
      </c>
      <c r="M130" s="702" t="str">
        <f t="shared" si="6"/>
        <v/>
      </c>
      <c r="N130" s="702" t="str">
        <f t="shared" ref="N130:T137" si="7">IF(ISERROR(VLOOKUP($B130,TOV,N$119,0)),"",VLOOKUP($B130,TOV,N$119,0))</f>
        <v/>
      </c>
      <c r="O130" s="702" t="str">
        <f t="shared" si="7"/>
        <v/>
      </c>
      <c r="P130" s="702" t="str">
        <f t="shared" si="7"/>
        <v/>
      </c>
      <c r="Q130" s="702" t="str">
        <f t="shared" si="7"/>
        <v/>
      </c>
      <c r="R130" s="702" t="str">
        <f t="shared" si="7"/>
        <v/>
      </c>
      <c r="S130" s="702" t="str">
        <f t="shared" si="7"/>
        <v/>
      </c>
      <c r="T130" s="702" t="str">
        <f t="shared" si="7"/>
        <v/>
      </c>
    </row>
    <row r="131" spans="2:20" hidden="1">
      <c r="B131" s="701">
        <v>20</v>
      </c>
      <c r="C131" s="422">
        <f t="shared" ca="1" si="3"/>
        <v>52</v>
      </c>
      <c r="D131" s="702">
        <f t="shared" ca="1" si="6"/>
        <v>1342286</v>
      </c>
      <c r="E131" s="702">
        <f t="shared" ca="1" si="6"/>
        <v>1342286</v>
      </c>
      <c r="F131" s="702">
        <f t="shared" ca="1" si="6"/>
        <v>0</v>
      </c>
      <c r="G131" s="702">
        <f t="shared" ca="1" si="6"/>
        <v>8012</v>
      </c>
      <c r="H131" s="702">
        <f t="shared" ca="1" si="6"/>
        <v>31631</v>
      </c>
      <c r="I131" s="702">
        <f t="shared" ca="1" si="6"/>
        <v>31631</v>
      </c>
      <c r="J131" s="702" t="str">
        <f t="shared" si="6"/>
        <v/>
      </c>
      <c r="K131" s="702" t="str">
        <f t="shared" si="6"/>
        <v/>
      </c>
      <c r="L131" s="702" t="str">
        <f t="shared" si="6"/>
        <v/>
      </c>
      <c r="M131" s="702" t="str">
        <f t="shared" si="6"/>
        <v/>
      </c>
      <c r="N131" s="702" t="str">
        <f t="shared" si="7"/>
        <v/>
      </c>
      <c r="O131" s="702" t="str">
        <f t="shared" si="7"/>
        <v/>
      </c>
      <c r="P131" s="702" t="str">
        <f t="shared" si="7"/>
        <v/>
      </c>
      <c r="Q131" s="702" t="str">
        <f t="shared" si="7"/>
        <v/>
      </c>
      <c r="R131" s="702" t="str">
        <f t="shared" si="7"/>
        <v/>
      </c>
      <c r="S131" s="702" t="str">
        <f t="shared" si="7"/>
        <v/>
      </c>
      <c r="T131" s="702" t="str">
        <f t="shared" si="7"/>
        <v/>
      </c>
    </row>
    <row r="132" spans="2:20" hidden="1">
      <c r="B132" s="701">
        <v>30</v>
      </c>
      <c r="C132" s="422">
        <f t="shared" ca="1" si="3"/>
        <v>62</v>
      </c>
      <c r="D132" s="702">
        <f t="shared" ca="1" si="6"/>
        <v>1636216</v>
      </c>
      <c r="E132" s="702">
        <f t="shared" ca="1" si="6"/>
        <v>1636216</v>
      </c>
      <c r="F132" s="702">
        <f t="shared" ca="1" si="6"/>
        <v>0</v>
      </c>
      <c r="G132" s="702">
        <f t="shared" ca="1" si="6"/>
        <v>8012</v>
      </c>
      <c r="H132" s="702">
        <f t="shared" ca="1" si="6"/>
        <v>38557</v>
      </c>
      <c r="I132" s="702">
        <f t="shared" ca="1" si="6"/>
        <v>38557</v>
      </c>
      <c r="J132" s="702" t="str">
        <f t="shared" ca="1" si="6"/>
        <v/>
      </c>
      <c r="K132" s="702" t="str">
        <f t="shared" ca="1" si="6"/>
        <v/>
      </c>
      <c r="L132" s="702" t="str">
        <f t="shared" ca="1" si="6"/>
        <v/>
      </c>
      <c r="M132" s="702" t="str">
        <f t="shared" ca="1" si="6"/>
        <v/>
      </c>
      <c r="N132" s="702" t="str">
        <f t="shared" ca="1" si="7"/>
        <v/>
      </c>
      <c r="O132" s="702" t="str">
        <f t="shared" ca="1" si="7"/>
        <v/>
      </c>
      <c r="P132" s="702" t="str">
        <f t="shared" ca="1" si="7"/>
        <v/>
      </c>
      <c r="Q132" s="702" t="str">
        <f t="shared" ca="1" si="7"/>
        <v/>
      </c>
      <c r="R132" s="702" t="str">
        <f t="shared" ca="1" si="7"/>
        <v/>
      </c>
      <c r="S132" s="702" t="str">
        <f t="shared" ca="1" si="7"/>
        <v/>
      </c>
      <c r="T132" s="702" t="str">
        <f t="shared" ca="1" si="7"/>
        <v/>
      </c>
    </row>
    <row r="133" spans="2:20" hidden="1">
      <c r="B133" s="701">
        <v>40</v>
      </c>
      <c r="C133" s="422">
        <f t="shared" ca="1" si="3"/>
        <v>72</v>
      </c>
      <c r="D133" s="702">
        <f t="shared" ca="1" si="6"/>
        <v>1994508</v>
      </c>
      <c r="E133" s="702">
        <f t="shared" ca="1" si="6"/>
        <v>1994508</v>
      </c>
      <c r="F133" s="702">
        <f t="shared" ca="1" si="6"/>
        <v>0</v>
      </c>
      <c r="G133" s="702">
        <f t="shared" ca="1" si="6"/>
        <v>8012</v>
      </c>
      <c r="H133" s="702">
        <f t="shared" ca="1" si="6"/>
        <v>47000</v>
      </c>
      <c r="I133" s="702">
        <f t="shared" ca="1" si="6"/>
        <v>47000</v>
      </c>
      <c r="J133" s="702" t="str">
        <f t="shared" ca="1" si="6"/>
        <v/>
      </c>
      <c r="K133" s="702" t="str">
        <f t="shared" ca="1" si="6"/>
        <v/>
      </c>
      <c r="L133" s="702" t="str">
        <f t="shared" ca="1" si="6"/>
        <v/>
      </c>
      <c r="M133" s="702" t="str">
        <f t="shared" ca="1" si="6"/>
        <v/>
      </c>
      <c r="N133" s="702" t="str">
        <f t="shared" ca="1" si="7"/>
        <v/>
      </c>
      <c r="O133" s="702" t="str">
        <f t="shared" ca="1" si="7"/>
        <v/>
      </c>
      <c r="P133" s="702" t="str">
        <f t="shared" ca="1" si="7"/>
        <v/>
      </c>
      <c r="Q133" s="702" t="str">
        <f t="shared" ca="1" si="7"/>
        <v/>
      </c>
      <c r="R133" s="702" t="str">
        <f t="shared" ca="1" si="7"/>
        <v/>
      </c>
      <c r="S133" s="702" t="str">
        <f t="shared" ca="1" si="7"/>
        <v/>
      </c>
      <c r="T133" s="702" t="str">
        <f t="shared" ca="1" si="7"/>
        <v/>
      </c>
    </row>
    <row r="134" spans="2:20" hidden="1">
      <c r="B134" s="701">
        <v>50</v>
      </c>
      <c r="C134" s="422">
        <f t="shared" ca="1" si="3"/>
        <v>82</v>
      </c>
      <c r="D134" s="702">
        <f t="shared" ca="1" si="6"/>
        <v>2434400</v>
      </c>
      <c r="E134" s="702">
        <f t="shared" ca="1" si="6"/>
        <v>2419508</v>
      </c>
      <c r="F134" s="702">
        <f t="shared" ca="1" si="6"/>
        <v>0</v>
      </c>
      <c r="G134" s="702">
        <f t="shared" ca="1" si="6"/>
        <v>8012</v>
      </c>
      <c r="H134" s="702">
        <f t="shared" ca="1" si="6"/>
        <v>57366</v>
      </c>
      <c r="I134" s="702">
        <f t="shared" ca="1" si="6"/>
        <v>57015</v>
      </c>
      <c r="J134" s="702" t="str">
        <f t="shared" ca="1" si="6"/>
        <v/>
      </c>
      <c r="K134" s="702" t="str">
        <f t="shared" ca="1" si="6"/>
        <v/>
      </c>
      <c r="L134" s="702" t="str">
        <f t="shared" ca="1" si="6"/>
        <v/>
      </c>
      <c r="M134" s="702" t="str">
        <f t="shared" ca="1" si="6"/>
        <v/>
      </c>
      <c r="N134" s="702" t="str">
        <f t="shared" ca="1" si="7"/>
        <v/>
      </c>
      <c r="O134" s="702" t="str">
        <f t="shared" ca="1" si="7"/>
        <v/>
      </c>
      <c r="P134" s="702" t="str">
        <f t="shared" ca="1" si="7"/>
        <v/>
      </c>
      <c r="Q134" s="702" t="str">
        <f t="shared" ca="1" si="7"/>
        <v/>
      </c>
      <c r="R134" s="702" t="str">
        <f t="shared" ca="1" si="7"/>
        <v/>
      </c>
      <c r="S134" s="702" t="str">
        <f t="shared" ca="1" si="7"/>
        <v/>
      </c>
      <c r="T134" s="702" t="str">
        <f t="shared" ca="1" si="7"/>
        <v/>
      </c>
    </row>
    <row r="135" spans="2:20" hidden="1">
      <c r="B135" s="701">
        <v>60</v>
      </c>
      <c r="C135" s="422">
        <f t="shared" ca="1" si="3"/>
        <v>92</v>
      </c>
      <c r="D135" s="702">
        <f t="shared" ca="1" si="6"/>
        <v>2910400</v>
      </c>
      <c r="E135" s="702">
        <f t="shared" ca="1" si="6"/>
        <v>2887212</v>
      </c>
      <c r="F135" s="702">
        <f t="shared" ca="1" si="6"/>
        <v>0</v>
      </c>
      <c r="G135" s="702">
        <f t="shared" ca="1" si="6"/>
        <v>8012</v>
      </c>
      <c r="H135" s="702">
        <f t="shared" ca="1" si="6"/>
        <v>68583</v>
      </c>
      <c r="I135" s="702">
        <f t="shared" ca="1" si="6"/>
        <v>68036</v>
      </c>
      <c r="J135" s="702" t="str">
        <f t="shared" ca="1" si="6"/>
        <v/>
      </c>
      <c r="K135" s="702" t="str">
        <f t="shared" ca="1" si="6"/>
        <v/>
      </c>
      <c r="L135" s="702" t="str">
        <f t="shared" ca="1" si="6"/>
        <v/>
      </c>
      <c r="M135" s="702" t="str">
        <f t="shared" ca="1" si="6"/>
        <v/>
      </c>
      <c r="N135" s="702" t="str">
        <f t="shared" ca="1" si="7"/>
        <v/>
      </c>
      <c r="O135" s="702" t="str">
        <f t="shared" ca="1" si="7"/>
        <v/>
      </c>
      <c r="P135" s="702" t="str">
        <f t="shared" ca="1" si="7"/>
        <v/>
      </c>
      <c r="Q135" s="702" t="str">
        <f t="shared" ca="1" si="7"/>
        <v/>
      </c>
      <c r="R135" s="702" t="str">
        <f t="shared" ca="1" si="7"/>
        <v/>
      </c>
      <c r="S135" s="702" t="str">
        <f t="shared" ca="1" si="7"/>
        <v/>
      </c>
      <c r="T135" s="702" t="str">
        <f t="shared" ca="1" si="7"/>
        <v/>
      </c>
    </row>
    <row r="136" spans="2:20" hidden="1">
      <c r="B136" s="701">
        <v>70</v>
      </c>
      <c r="C136" s="422">
        <f t="shared" ca="1" si="3"/>
        <v>102</v>
      </c>
      <c r="D136" s="702">
        <f t="shared" ca="1" si="6"/>
        <v>3386400</v>
      </c>
      <c r="E136" s="702">
        <f t="shared" ca="1" si="6"/>
        <v>3376846</v>
      </c>
      <c r="F136" s="702">
        <f t="shared" ca="1" si="6"/>
        <v>0</v>
      </c>
      <c r="G136" s="702">
        <f t="shared" ca="1" si="6"/>
        <v>8012</v>
      </c>
      <c r="H136" s="702">
        <f t="shared" ca="1" si="6"/>
        <v>79800</v>
      </c>
      <c r="I136" s="702">
        <f t="shared" ca="1" si="6"/>
        <v>79574</v>
      </c>
      <c r="J136" s="702" t="str">
        <f t="shared" ca="1" si="6"/>
        <v/>
      </c>
      <c r="K136" s="702" t="str">
        <f t="shared" ca="1" si="6"/>
        <v/>
      </c>
      <c r="L136" s="702" t="str">
        <f t="shared" ca="1" si="6"/>
        <v/>
      </c>
      <c r="M136" s="702" t="str">
        <f t="shared" ca="1" si="6"/>
        <v/>
      </c>
      <c r="N136" s="702" t="str">
        <f t="shared" ca="1" si="7"/>
        <v/>
      </c>
      <c r="O136" s="702" t="str">
        <f t="shared" ca="1" si="7"/>
        <v/>
      </c>
      <c r="P136" s="702" t="str">
        <f t="shared" ca="1" si="7"/>
        <v/>
      </c>
      <c r="Q136" s="702" t="str">
        <f t="shared" ca="1" si="7"/>
        <v/>
      </c>
      <c r="R136" s="702" t="str">
        <f t="shared" ca="1" si="7"/>
        <v/>
      </c>
      <c r="S136" s="702" t="str">
        <f t="shared" ca="1" si="7"/>
        <v/>
      </c>
      <c r="T136" s="702" t="str">
        <f t="shared" ca="1" si="7"/>
        <v/>
      </c>
    </row>
    <row r="137" spans="2:20" hidden="1">
      <c r="B137" s="701">
        <v>72</v>
      </c>
      <c r="C137" s="422">
        <f t="shared" ca="1" si="3"/>
        <v>104</v>
      </c>
      <c r="D137" s="702">
        <f t="shared" ca="1" si="6"/>
        <v>3481600</v>
      </c>
      <c r="E137" s="702">
        <f t="shared" ca="1" si="6"/>
        <v>3475854</v>
      </c>
      <c r="F137" s="702">
        <f t="shared" ca="1" si="6"/>
        <v>0</v>
      </c>
      <c r="G137" s="702">
        <f t="shared" ca="1" si="6"/>
        <v>8012</v>
      </c>
      <c r="H137" s="702">
        <f t="shared" ca="1" si="6"/>
        <v>82043</v>
      </c>
      <c r="I137" s="702">
        <f t="shared" ca="1" si="6"/>
        <v>81907</v>
      </c>
      <c r="J137" s="702" t="str">
        <f t="shared" ca="1" si="6"/>
        <v/>
      </c>
      <c r="K137" s="702" t="str">
        <f t="shared" ca="1" si="6"/>
        <v/>
      </c>
      <c r="L137" s="702" t="str">
        <f t="shared" ca="1" si="6"/>
        <v/>
      </c>
      <c r="M137" s="702" t="str">
        <f t="shared" ca="1" si="6"/>
        <v/>
      </c>
      <c r="N137" s="702" t="str">
        <f t="shared" ca="1" si="7"/>
        <v/>
      </c>
      <c r="O137" s="702" t="str">
        <f t="shared" ca="1" si="7"/>
        <v/>
      </c>
      <c r="P137" s="702" t="str">
        <f t="shared" ca="1" si="7"/>
        <v/>
      </c>
      <c r="Q137" s="702" t="str">
        <f t="shared" ca="1" si="7"/>
        <v/>
      </c>
      <c r="R137" s="702" t="str">
        <f t="shared" ca="1" si="7"/>
        <v/>
      </c>
      <c r="S137" s="702" t="str">
        <f t="shared" ca="1" si="7"/>
        <v/>
      </c>
      <c r="T137" s="702" t="str">
        <f t="shared" ca="1" si="7"/>
        <v/>
      </c>
    </row>
  </sheetData>
  <sheetProtection password="F4D4" sheet="1" objects="1" scenarios="1"/>
  <mergeCells count="9">
    <mergeCell ref="T2:T3"/>
    <mergeCell ref="U2:U3"/>
    <mergeCell ref="V2:V3"/>
    <mergeCell ref="D2:J2"/>
    <mergeCell ref="K2:K3"/>
    <mergeCell ref="L2:L3"/>
    <mergeCell ref="M2:M3"/>
    <mergeCell ref="N2:R2"/>
    <mergeCell ref="S2:S3"/>
  </mergeCells>
  <phoneticPr fontId="4" type="noConversion"/>
  <conditionalFormatting sqref="B24:B118">
    <cfRule type="expression" dxfId="63" priority="2" stopIfTrue="1">
      <formula>$A$52=1</formula>
    </cfRule>
  </conditionalFormatting>
  <conditionalFormatting sqref="B119">
    <cfRule type="expression" dxfId="62" priority="1" stopIfTrue="1">
      <formula>$A$52=1</formula>
    </cfRule>
  </conditionalFormatting>
  <dataValidations count="2">
    <dataValidation allowBlank="1" showInputMessage="1" showErrorMessage="1" prompt="=&quot;ㄧ次給付_x000a_(預估值)&quot;&amp;IF(計算!$G$6=計算!$P$5,&quot;_x000a_(A + D)X&quot;&amp;TEXT(PYO,&quot;0%&quot;),&quot;_x000a_1~&quot;&amp;計算!$P$4&amp;&quot;年 (A + D)X&quot;&amp;TEXT(PYO,&quot;0%&quot;)&amp;&quot;_x000a_&quot;&amp;計算!$P$4+1&amp;&quot;年後( A + D)&quot;&amp;TEXT(PYO,&quot;0%&quot;)&amp;&quot;+ C&quot;)" sqref="Y3"/>
    <dataValidation allowBlank="1" showInputMessage="1" showErrorMessage="1" prompt="=&quot;分期給付(年)_x000a_給付&quot;&amp;PY!$C$6&amp;&quot;年_x000a_(預估值)&quot;&amp;IF(計算!$G$6=計算!$P$5,&quot;_x000a_(A + D) X &quot;&amp;TEXT(PYY,&quot;0%&quot;),&quot;_x000a_1~&quot;&amp;計算!$P$4&amp;&quot;年 (A + D) X &quot;&amp;TEXT(PYY,&quot;0%&quot;)&amp;&quot;_x000a_&quot;&amp;計算!$P$4+1&amp;&quot;年後( A + D) X &quot;&amp;TEXT(PYY,&quot;0%&quot;)&amp;&quot;+ C&quot;)" sqref="Z3"/>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dimension ref="A1:W102"/>
  <sheetViews>
    <sheetView topLeftCell="XFD1048576" workbookViewId="0"/>
  </sheetViews>
  <sheetFormatPr defaultColWidth="0" defaultRowHeight="16.5" zeroHeight="1"/>
  <cols>
    <col min="1" max="3" width="0" style="710" hidden="1" customWidth="1"/>
    <col min="4" max="4" width="13.5" style="710" hidden="1" customWidth="1"/>
    <col min="5" max="9" width="0" style="710" hidden="1" customWidth="1"/>
    <col min="10" max="10" width="2.1640625" style="710" hidden="1" customWidth="1"/>
    <col min="11" max="11" width="18.5" style="710" hidden="1" customWidth="1"/>
    <col min="12" max="12" width="24.6640625" style="710" hidden="1" customWidth="1"/>
    <col min="13" max="13" width="0" style="710" hidden="1" customWidth="1"/>
    <col min="14" max="14" width="13.1640625" style="710" hidden="1" customWidth="1"/>
    <col min="15" max="16384" width="0" style="710" hidden="1"/>
  </cols>
  <sheetData>
    <row r="1" spans="1:23" hidden="1">
      <c r="A1" s="705"/>
      <c r="B1" s="706" t="str">
        <f>OP!$C$56</f>
        <v>6IWT</v>
      </c>
      <c r="C1" s="707" t="s">
        <v>1122</v>
      </c>
      <c r="D1" s="706" t="str">
        <f>IF(OP!$E$16=1,"足歲",IF(OP!$E$16=2,"保險年齡","錯誤"))</f>
        <v>保險年齡</v>
      </c>
      <c r="E1" s="707" t="s">
        <v>1122</v>
      </c>
      <c r="F1" s="708"/>
      <c r="G1" s="708"/>
      <c r="H1" s="708"/>
      <c r="I1" s="708"/>
      <c r="J1" s="709"/>
      <c r="K1" s="709"/>
      <c r="Q1" s="710">
        <v>6</v>
      </c>
      <c r="R1" s="710">
        <v>7</v>
      </c>
      <c r="S1" s="710">
        <v>8</v>
      </c>
      <c r="T1" s="710">
        <v>9</v>
      </c>
      <c r="U1" s="710">
        <v>10</v>
      </c>
      <c r="V1" s="710">
        <v>11</v>
      </c>
      <c r="W1" s="710">
        <v>12</v>
      </c>
    </row>
    <row r="2" spans="1:23" hidden="1">
      <c r="A2" s="705"/>
      <c r="B2" s="705"/>
      <c r="C2" s="711"/>
      <c r="D2" s="705"/>
      <c r="E2" s="711"/>
      <c r="F2" s="708"/>
      <c r="G2" s="708"/>
      <c r="H2" s="708"/>
      <c r="I2" s="708"/>
      <c r="J2" s="709"/>
      <c r="K2" s="709"/>
      <c r="L2" s="1027" t="s">
        <v>1123</v>
      </c>
      <c r="M2" s="1027"/>
      <c r="N2" s="1027"/>
      <c r="O2" s="710" t="s">
        <v>1124</v>
      </c>
      <c r="Q2" s="710">
        <v>106</v>
      </c>
    </row>
    <row r="3" spans="1:23" hidden="1">
      <c r="A3" s="705"/>
      <c r="B3" s="708"/>
      <c r="C3" s="712" t="s">
        <v>1125</v>
      </c>
      <c r="D3" s="713">
        <v>1</v>
      </c>
      <c r="E3" s="713">
        <v>2</v>
      </c>
      <c r="F3" s="713">
        <v>3</v>
      </c>
      <c r="G3" s="713">
        <v>1</v>
      </c>
      <c r="H3" s="713">
        <v>2</v>
      </c>
      <c r="I3" s="713">
        <v>3</v>
      </c>
      <c r="J3" s="708"/>
      <c r="K3" s="714" t="s">
        <v>1126</v>
      </c>
      <c r="L3" s="715" t="s">
        <v>1127</v>
      </c>
      <c r="M3" s="714" t="s">
        <v>1128</v>
      </c>
      <c r="N3" s="714" t="s">
        <v>1129</v>
      </c>
      <c r="O3" s="848" t="s">
        <v>320</v>
      </c>
      <c r="P3" s="848" t="s">
        <v>321</v>
      </c>
      <c r="Q3" s="848" t="s">
        <v>93</v>
      </c>
      <c r="R3" s="848" t="s">
        <v>94</v>
      </c>
      <c r="S3" s="848" t="s">
        <v>1130</v>
      </c>
      <c r="T3" s="848" t="s">
        <v>1131</v>
      </c>
      <c r="U3" s="848" t="s">
        <v>1132</v>
      </c>
      <c r="V3" s="848" t="s">
        <v>344</v>
      </c>
      <c r="W3" s="848" t="s">
        <v>1133</v>
      </c>
    </row>
    <row r="4" spans="1:23" ht="69" hidden="1">
      <c r="A4" s="705"/>
      <c r="B4" s="709"/>
      <c r="C4" s="716" t="s">
        <v>1134</v>
      </c>
      <c r="D4" s="717">
        <v>1</v>
      </c>
      <c r="E4" s="717">
        <v>1</v>
      </c>
      <c r="F4" s="717">
        <v>1</v>
      </c>
      <c r="G4" s="717">
        <v>2</v>
      </c>
      <c r="H4" s="717">
        <v>2</v>
      </c>
      <c r="I4" s="717">
        <v>2</v>
      </c>
      <c r="J4" s="708"/>
      <c r="K4" s="718" t="str">
        <f>IF($D$1="足歲","15足歲","")</f>
        <v/>
      </c>
      <c r="L4" s="719" t="str">
        <f t="shared" ref="L4:L67" si="0">IF(P4&lt;&gt;$B$1,"",P4&amp;Q4&amp;R4&amp;V4)</f>
        <v>6IWT1355</v>
      </c>
      <c r="M4" s="719">
        <f>IF(L4="","-",IF(ISERROR($R4*1),LEFT($R4,2)*1,$R4*1))</f>
        <v>35</v>
      </c>
      <c r="N4" s="720">
        <f>IF(L4="","",V4*1)</f>
        <v>5</v>
      </c>
      <c r="O4" s="849" t="s">
        <v>1383</v>
      </c>
      <c r="P4" s="849" t="s">
        <v>1384</v>
      </c>
      <c r="Q4" s="849" t="s">
        <v>96</v>
      </c>
      <c r="R4" s="849" t="s">
        <v>1058</v>
      </c>
      <c r="S4" s="850">
        <v>0</v>
      </c>
      <c r="T4" s="850">
        <v>0</v>
      </c>
      <c r="U4" s="850">
        <v>0</v>
      </c>
      <c r="V4" s="850">
        <v>5</v>
      </c>
      <c r="W4" s="849" t="s">
        <v>1385</v>
      </c>
    </row>
    <row r="5" spans="1:23" ht="69" hidden="1">
      <c r="A5" s="705"/>
      <c r="B5" s="721" t="s">
        <v>1135</v>
      </c>
      <c r="C5" s="722">
        <v>12</v>
      </c>
      <c r="D5" s="723">
        <f t="shared" ref="D5:I5" si="1">IF(SMALL($M:$M,D$3)=15,$K$4,SMALL($M:$M,D$3))</f>
        <v>5</v>
      </c>
      <c r="E5" s="723">
        <f t="shared" si="1"/>
        <v>35</v>
      </c>
      <c r="F5" s="723">
        <f t="shared" si="1"/>
        <v>65</v>
      </c>
      <c r="G5" s="723">
        <f t="shared" si="1"/>
        <v>5</v>
      </c>
      <c r="H5" s="723">
        <f t="shared" si="1"/>
        <v>35</v>
      </c>
      <c r="I5" s="723">
        <f t="shared" si="1"/>
        <v>65</v>
      </c>
      <c r="J5" s="708"/>
      <c r="K5" s="723"/>
      <c r="L5" s="717" t="str">
        <f t="shared" si="0"/>
        <v>6IWT13510</v>
      </c>
      <c r="M5" s="717" t="str">
        <f>IF(OR(L5="",COUNTIF($M$4:M4,IF(ISERROR($R5*1),LEFT($R5,2)*1,$R5*1))&gt;=1),"-",IF(ISERROR($R5*1),LEFT($R5,2)*1,$R5*1))</f>
        <v>-</v>
      </c>
      <c r="N5" s="717">
        <f>IF(OR(L5="",COUNTIF($N$4:N4,V5*1)&gt;=1),"-",V5*1)</f>
        <v>10</v>
      </c>
      <c r="O5" s="849" t="s">
        <v>1383</v>
      </c>
      <c r="P5" s="849" t="s">
        <v>1384</v>
      </c>
      <c r="Q5" s="849" t="s">
        <v>96</v>
      </c>
      <c r="R5" s="849" t="s">
        <v>1058</v>
      </c>
      <c r="S5" s="850">
        <v>0</v>
      </c>
      <c r="T5" s="850">
        <v>0</v>
      </c>
      <c r="U5" s="850">
        <v>0</v>
      </c>
      <c r="V5" s="850">
        <v>10</v>
      </c>
      <c r="W5" s="849" t="s">
        <v>1386</v>
      </c>
    </row>
    <row r="6" spans="1:23" ht="80.25" hidden="1">
      <c r="A6" s="705"/>
      <c r="B6" s="724" t="s">
        <v>1136</v>
      </c>
      <c r="C6" s="725" t="s">
        <v>1137</v>
      </c>
      <c r="D6" s="726" t="str">
        <f t="shared" ref="D6:I6" si="2">IF(OR(ISERROR($D5)),"",IF(N(D$5)=0,D$5&amp;IF(D$4=1,"男性",IF(D$4=2,"女性","")),D$5&amp;"歲"&amp;IF(D$4=1,"男性",IF(D$4=2,"女性",""))))</f>
        <v>5歲男性</v>
      </c>
      <c r="E6" s="726" t="str">
        <f t="shared" si="2"/>
        <v>35歲男性</v>
      </c>
      <c r="F6" s="726" t="str">
        <f t="shared" si="2"/>
        <v>65歲男性</v>
      </c>
      <c r="G6" s="726" t="str">
        <f t="shared" si="2"/>
        <v>5歲女性</v>
      </c>
      <c r="H6" s="726" t="str">
        <f t="shared" si="2"/>
        <v>35歲女性</v>
      </c>
      <c r="I6" s="726" t="str">
        <f t="shared" si="2"/>
        <v>65歲女性</v>
      </c>
      <c r="J6" s="708"/>
      <c r="K6" s="723"/>
      <c r="L6" s="717" t="str">
        <f t="shared" si="0"/>
        <v>6IWT13515</v>
      </c>
      <c r="M6" s="717" t="str">
        <f>IF(OR(L6="",COUNTIF($M$4:M5,IF(ISERROR($R6*1),LEFT($R6,2)*1,$R6*1))&gt;=1),"-",IF(ISERROR($R6*1),LEFT($R6,2)*1,$R6*1))</f>
        <v>-</v>
      </c>
      <c r="N6" s="717">
        <f>IF(OR(L6="",COUNTIF($N$4:N5,V6*1)&gt;=1),"-",V6*1)</f>
        <v>15</v>
      </c>
      <c r="O6" s="849" t="s">
        <v>1383</v>
      </c>
      <c r="P6" s="849" t="s">
        <v>1384</v>
      </c>
      <c r="Q6" s="849" t="s">
        <v>96</v>
      </c>
      <c r="R6" s="849" t="s">
        <v>1058</v>
      </c>
      <c r="S6" s="850">
        <v>0</v>
      </c>
      <c r="T6" s="850">
        <v>0</v>
      </c>
      <c r="U6" s="850">
        <v>0</v>
      </c>
      <c r="V6" s="850">
        <v>15</v>
      </c>
      <c r="W6" s="849" t="s">
        <v>1387</v>
      </c>
    </row>
    <row r="7" spans="1:23" ht="78.75" hidden="1">
      <c r="A7" s="705"/>
      <c r="B7" s="717">
        <v>1</v>
      </c>
      <c r="C7" s="726">
        <f t="shared" ref="C7:C14" si="3">IF(ISERROR(SMALL($N:$N,$B7)),"",SMALL($N:$N,$B7))</f>
        <v>5</v>
      </c>
      <c r="D7" s="727" t="str">
        <f t="shared" ref="D7:I14" si="4">IF(ISERROR(VLOOKUP($B$1&amp;D$4&amp;D$5&amp;$C7,$L:$W,$C$5,0)),"",VLOOKUP($B$1&amp;D$4&amp;D$5&amp;$C7,$L:$W,$C$5,0))</f>
        <v>89.30%</v>
      </c>
      <c r="E7" s="727" t="str">
        <f t="shared" si="4"/>
        <v>89.23%</v>
      </c>
      <c r="F7" s="727" t="str">
        <f t="shared" si="4"/>
        <v>88.20%</v>
      </c>
      <c r="G7" s="727" t="str">
        <f t="shared" si="4"/>
        <v>89.29%</v>
      </c>
      <c r="H7" s="727" t="str">
        <f t="shared" si="4"/>
        <v>89.27%</v>
      </c>
      <c r="I7" s="727" t="str">
        <f t="shared" si="4"/>
        <v>88.60%</v>
      </c>
      <c r="J7" s="708"/>
      <c r="K7" s="708"/>
      <c r="L7" s="717" t="str">
        <f t="shared" si="0"/>
        <v>6IWT13520</v>
      </c>
      <c r="M7" s="717" t="str">
        <f>IF(OR(L7="",COUNTIF($M$4:M6,IF(ISERROR($R7*1),LEFT($R7,2)*1,$R7*1))&gt;=1),"-",IF(ISERROR($R7*1),LEFT($R7,2)*1,$R7*1))</f>
        <v>-</v>
      </c>
      <c r="N7" s="717">
        <f>IF(OR(L7="",COUNTIF($N$4:N6,V7*1)&gt;=1),"-",V7*1)</f>
        <v>20</v>
      </c>
      <c r="O7" s="849" t="s">
        <v>1383</v>
      </c>
      <c r="P7" s="849" t="s">
        <v>1384</v>
      </c>
      <c r="Q7" s="849" t="s">
        <v>96</v>
      </c>
      <c r="R7" s="849" t="s">
        <v>1058</v>
      </c>
      <c r="S7" s="850">
        <v>0</v>
      </c>
      <c r="T7" s="850">
        <v>0</v>
      </c>
      <c r="U7" s="850">
        <v>0</v>
      </c>
      <c r="V7" s="850">
        <v>20</v>
      </c>
      <c r="W7" s="849" t="s">
        <v>1388</v>
      </c>
    </row>
    <row r="8" spans="1:23" ht="67.5" hidden="1">
      <c r="A8" s="705"/>
      <c r="B8" s="717">
        <v>2</v>
      </c>
      <c r="C8" s="726">
        <f t="shared" si="3"/>
        <v>10</v>
      </c>
      <c r="D8" s="727" t="str">
        <f t="shared" si="4"/>
        <v>98.92%</v>
      </c>
      <c r="E8" s="727" t="str">
        <f t="shared" si="4"/>
        <v>98.84%</v>
      </c>
      <c r="F8" s="727" t="str">
        <f t="shared" si="4"/>
        <v>97.49%</v>
      </c>
      <c r="G8" s="727" t="str">
        <f t="shared" si="4"/>
        <v>98.92%</v>
      </c>
      <c r="H8" s="727" t="str">
        <f t="shared" si="4"/>
        <v>98.89%</v>
      </c>
      <c r="I8" s="727" t="str">
        <f t="shared" si="4"/>
        <v>98.08%</v>
      </c>
      <c r="J8" s="708"/>
      <c r="K8" s="708"/>
      <c r="L8" s="717" t="str">
        <f t="shared" si="0"/>
        <v>6IWT155</v>
      </c>
      <c r="M8" s="717">
        <f>IF(OR(L8="",COUNTIF($M$4:M7,IF(ISERROR($R8*1),LEFT($R8,2)*1,$R8*1))&gt;=1),"-",IF(ISERROR($R8*1),LEFT($R8,2)*1,$R8*1))</f>
        <v>5</v>
      </c>
      <c r="N8" s="717" t="str">
        <f>IF(OR(L8="",COUNTIF($N$4:N7,V8*1)&gt;=1),"-",V8*1)</f>
        <v>-</v>
      </c>
      <c r="O8" s="849" t="s">
        <v>1383</v>
      </c>
      <c r="P8" s="849" t="s">
        <v>1384</v>
      </c>
      <c r="Q8" s="849" t="s">
        <v>96</v>
      </c>
      <c r="R8" s="849" t="s">
        <v>1057</v>
      </c>
      <c r="S8" s="850">
        <v>0</v>
      </c>
      <c r="T8" s="850">
        <v>0</v>
      </c>
      <c r="U8" s="850">
        <v>0</v>
      </c>
      <c r="V8" s="850">
        <v>5</v>
      </c>
      <c r="W8" s="849" t="s">
        <v>1389</v>
      </c>
    </row>
    <row r="9" spans="1:23" ht="67.5" hidden="1">
      <c r="A9" s="705"/>
      <c r="B9" s="717">
        <v>3</v>
      </c>
      <c r="C9" s="726">
        <f t="shared" si="3"/>
        <v>15</v>
      </c>
      <c r="D9" s="727" t="str">
        <f t="shared" si="4"/>
        <v>103.10%</v>
      </c>
      <c r="E9" s="727" t="str">
        <f t="shared" si="4"/>
        <v>103.02%</v>
      </c>
      <c r="F9" s="727" t="str">
        <f t="shared" si="4"/>
        <v>101.61%</v>
      </c>
      <c r="G9" s="727" t="str">
        <f t="shared" si="4"/>
        <v>103.10%</v>
      </c>
      <c r="H9" s="727" t="str">
        <f t="shared" si="4"/>
        <v>103.07%</v>
      </c>
      <c r="I9" s="727" t="str">
        <f t="shared" si="4"/>
        <v>102.22%</v>
      </c>
      <c r="J9" s="708"/>
      <c r="K9" s="708"/>
      <c r="L9" s="717" t="str">
        <f t="shared" si="0"/>
        <v>6IWT1510</v>
      </c>
      <c r="M9" s="717" t="str">
        <f>IF(OR(L9="",COUNTIF($M$4:M8,IF(ISERROR($R9*1),LEFT($R9,2)*1,$R9*1))&gt;=1),"-",IF(ISERROR($R9*1),LEFT($R9,2)*1,$R9*1))</f>
        <v>-</v>
      </c>
      <c r="N9" s="717" t="str">
        <f>IF(OR(L9="",COUNTIF($N$4:N8,V9*1)&gt;=1),"-",V9*1)</f>
        <v>-</v>
      </c>
      <c r="O9" s="849" t="s">
        <v>1383</v>
      </c>
      <c r="P9" s="849" t="s">
        <v>1384</v>
      </c>
      <c r="Q9" s="849" t="s">
        <v>96</v>
      </c>
      <c r="R9" s="849" t="s">
        <v>1057</v>
      </c>
      <c r="S9" s="850">
        <v>0</v>
      </c>
      <c r="T9" s="850">
        <v>0</v>
      </c>
      <c r="U9" s="850">
        <v>0</v>
      </c>
      <c r="V9" s="850">
        <v>10</v>
      </c>
      <c r="W9" s="849" t="s">
        <v>1390</v>
      </c>
    </row>
    <row r="10" spans="1:23" ht="78.75" hidden="1">
      <c r="A10" s="728"/>
      <c r="B10" s="717">
        <v>4</v>
      </c>
      <c r="C10" s="726">
        <f t="shared" si="3"/>
        <v>20</v>
      </c>
      <c r="D10" s="727" t="str">
        <f t="shared" si="4"/>
        <v>107.45%</v>
      </c>
      <c r="E10" s="727" t="str">
        <f t="shared" si="4"/>
        <v>107.36%</v>
      </c>
      <c r="F10" s="727" t="str">
        <f t="shared" si="4"/>
        <v>105.90%</v>
      </c>
      <c r="G10" s="727" t="str">
        <f t="shared" si="4"/>
        <v>107.45%</v>
      </c>
      <c r="H10" s="727" t="str">
        <f t="shared" si="4"/>
        <v>107.41%</v>
      </c>
      <c r="I10" s="727" t="str">
        <f t="shared" si="4"/>
        <v>106.53%</v>
      </c>
      <c r="J10" s="708"/>
      <c r="K10" s="708"/>
      <c r="L10" s="717" t="str">
        <f t="shared" si="0"/>
        <v>6IWT1515</v>
      </c>
      <c r="M10" s="717" t="str">
        <f>IF(OR(L10="",COUNTIF($M$4:M9,IF(ISERROR($R10*1),LEFT($R10,2)*1,$R10*1))&gt;=1),"-",IF(ISERROR($R10*1),LEFT($R10,2)*1,$R10*1))</f>
        <v>-</v>
      </c>
      <c r="N10" s="717" t="str">
        <f>IF(OR(L10="",COUNTIF($N$4:N9,V10*1)&gt;=1),"-",V10*1)</f>
        <v>-</v>
      </c>
      <c r="O10" s="849" t="s">
        <v>1383</v>
      </c>
      <c r="P10" s="849" t="s">
        <v>1384</v>
      </c>
      <c r="Q10" s="849" t="s">
        <v>96</v>
      </c>
      <c r="R10" s="849" t="s">
        <v>1057</v>
      </c>
      <c r="S10" s="850">
        <v>0</v>
      </c>
      <c r="T10" s="850">
        <v>0</v>
      </c>
      <c r="U10" s="850">
        <v>0</v>
      </c>
      <c r="V10" s="850">
        <v>15</v>
      </c>
      <c r="W10" s="849" t="s">
        <v>1391</v>
      </c>
    </row>
    <row r="11" spans="1:23" ht="78.75" hidden="1">
      <c r="A11" s="728"/>
      <c r="B11" s="717">
        <v>5</v>
      </c>
      <c r="C11" s="726" t="str">
        <f t="shared" si="3"/>
        <v/>
      </c>
      <c r="D11" s="727" t="str">
        <f t="shared" si="4"/>
        <v/>
      </c>
      <c r="E11" s="727" t="str">
        <f t="shared" si="4"/>
        <v/>
      </c>
      <c r="F11" s="727" t="str">
        <f t="shared" si="4"/>
        <v/>
      </c>
      <c r="G11" s="727" t="str">
        <f t="shared" si="4"/>
        <v/>
      </c>
      <c r="H11" s="727" t="str">
        <f t="shared" si="4"/>
        <v/>
      </c>
      <c r="I11" s="727" t="str">
        <f t="shared" si="4"/>
        <v/>
      </c>
      <c r="J11" s="708"/>
      <c r="K11" s="708"/>
      <c r="L11" s="717" t="str">
        <f t="shared" si="0"/>
        <v>6IWT1520</v>
      </c>
      <c r="M11" s="717" t="str">
        <f>IF(OR(L11="",COUNTIF($M$4:M10,IF(ISERROR($R11*1),LEFT($R11,2)*1,$R11*1))&gt;=1),"-",IF(ISERROR($R11*1),LEFT($R11,2)*1,$R11*1))</f>
        <v>-</v>
      </c>
      <c r="N11" s="717" t="str">
        <f>IF(OR(L11="",COUNTIF($N$4:N10,V11*1)&gt;=1),"-",V11*1)</f>
        <v>-</v>
      </c>
      <c r="O11" s="849" t="s">
        <v>1383</v>
      </c>
      <c r="P11" s="849" t="s">
        <v>1384</v>
      </c>
      <c r="Q11" s="849" t="s">
        <v>96</v>
      </c>
      <c r="R11" s="849" t="s">
        <v>1057</v>
      </c>
      <c r="S11" s="850">
        <v>0</v>
      </c>
      <c r="T11" s="850">
        <v>0</v>
      </c>
      <c r="U11" s="850">
        <v>0</v>
      </c>
      <c r="V11" s="850">
        <v>20</v>
      </c>
      <c r="W11" s="849" t="s">
        <v>1392</v>
      </c>
    </row>
    <row r="12" spans="1:23" ht="67.5" hidden="1">
      <c r="A12" s="728"/>
      <c r="B12" s="717">
        <v>6</v>
      </c>
      <c r="C12" s="726" t="str">
        <f t="shared" si="3"/>
        <v/>
      </c>
      <c r="D12" s="727" t="str">
        <f t="shared" si="4"/>
        <v/>
      </c>
      <c r="E12" s="727" t="str">
        <f t="shared" si="4"/>
        <v/>
      </c>
      <c r="F12" s="727" t="str">
        <f t="shared" si="4"/>
        <v/>
      </c>
      <c r="G12" s="727" t="str">
        <f t="shared" si="4"/>
        <v/>
      </c>
      <c r="H12" s="727" t="str">
        <f t="shared" si="4"/>
        <v/>
      </c>
      <c r="I12" s="727" t="str">
        <f t="shared" si="4"/>
        <v/>
      </c>
      <c r="J12" s="708"/>
      <c r="K12" s="708"/>
      <c r="L12" s="717" t="str">
        <f t="shared" si="0"/>
        <v>6IWT1655</v>
      </c>
      <c r="M12" s="717">
        <f>IF(OR(L12="",COUNTIF($M$4:M11,IF(ISERROR($R12*1),LEFT($R12,2)*1,$R12*1))&gt;=1),"-",IF(ISERROR($R12*1),LEFT($R12,2)*1,$R12*1))</f>
        <v>65</v>
      </c>
      <c r="N12" s="717" t="str">
        <f>IF(OR(L12="",COUNTIF($N$4:N11,V12*1)&gt;=1),"-",V12*1)</f>
        <v>-</v>
      </c>
      <c r="O12" s="849" t="s">
        <v>1383</v>
      </c>
      <c r="P12" s="849" t="s">
        <v>1384</v>
      </c>
      <c r="Q12" s="849" t="s">
        <v>96</v>
      </c>
      <c r="R12" s="849" t="s">
        <v>1059</v>
      </c>
      <c r="S12" s="850">
        <v>0</v>
      </c>
      <c r="T12" s="850">
        <v>0</v>
      </c>
      <c r="U12" s="850">
        <v>0</v>
      </c>
      <c r="V12" s="850">
        <v>5</v>
      </c>
      <c r="W12" s="849" t="s">
        <v>1393</v>
      </c>
    </row>
    <row r="13" spans="1:23" ht="67.5" hidden="1">
      <c r="A13" s="728"/>
      <c r="B13" s="717">
        <v>7</v>
      </c>
      <c r="C13" s="726" t="str">
        <f t="shared" si="3"/>
        <v/>
      </c>
      <c r="D13" s="727" t="str">
        <f t="shared" si="4"/>
        <v/>
      </c>
      <c r="E13" s="727" t="str">
        <f t="shared" si="4"/>
        <v/>
      </c>
      <c r="F13" s="727" t="str">
        <f t="shared" si="4"/>
        <v/>
      </c>
      <c r="G13" s="727" t="str">
        <f t="shared" si="4"/>
        <v/>
      </c>
      <c r="H13" s="727" t="str">
        <f t="shared" si="4"/>
        <v/>
      </c>
      <c r="I13" s="727" t="str">
        <f t="shared" si="4"/>
        <v/>
      </c>
      <c r="J13" s="708"/>
      <c r="K13" s="708"/>
      <c r="L13" s="717" t="str">
        <f t="shared" si="0"/>
        <v>6IWT16510</v>
      </c>
      <c r="M13" s="717" t="str">
        <f>IF(OR(L13="",COUNTIF($M$4:M12,IF(ISERROR($R13*1),LEFT($R13,2)*1,$R13*1))&gt;=1),"-",IF(ISERROR($R13*1),LEFT($R13,2)*1,$R13*1))</f>
        <v>-</v>
      </c>
      <c r="N13" s="717" t="str">
        <f>IF(OR(L13="",COUNTIF($N$4:N12,V13*1)&gt;=1),"-",V13*1)</f>
        <v>-</v>
      </c>
      <c r="O13" s="849" t="s">
        <v>1383</v>
      </c>
      <c r="P13" s="849" t="s">
        <v>1384</v>
      </c>
      <c r="Q13" s="849" t="s">
        <v>96</v>
      </c>
      <c r="R13" s="849" t="s">
        <v>1059</v>
      </c>
      <c r="S13" s="850">
        <v>0</v>
      </c>
      <c r="T13" s="850">
        <v>0</v>
      </c>
      <c r="U13" s="850">
        <v>0</v>
      </c>
      <c r="V13" s="850">
        <v>10</v>
      </c>
      <c r="W13" s="849" t="s">
        <v>1283</v>
      </c>
    </row>
    <row r="14" spans="1:23" ht="78.75" hidden="1">
      <c r="A14" s="729"/>
      <c r="B14" s="717">
        <v>8</v>
      </c>
      <c r="C14" s="726" t="str">
        <f t="shared" si="3"/>
        <v/>
      </c>
      <c r="D14" s="727" t="str">
        <f t="shared" si="4"/>
        <v/>
      </c>
      <c r="E14" s="727" t="str">
        <f t="shared" si="4"/>
        <v/>
      </c>
      <c r="F14" s="727" t="str">
        <f t="shared" si="4"/>
        <v/>
      </c>
      <c r="G14" s="727" t="str">
        <f t="shared" si="4"/>
        <v/>
      </c>
      <c r="H14" s="727" t="str">
        <f t="shared" si="4"/>
        <v/>
      </c>
      <c r="I14" s="727" t="str">
        <f t="shared" si="4"/>
        <v/>
      </c>
      <c r="J14" s="708"/>
      <c r="K14" s="708"/>
      <c r="L14" s="717" t="str">
        <f t="shared" si="0"/>
        <v>6IWT16515</v>
      </c>
      <c r="M14" s="717" t="str">
        <f>IF(OR(L14="",COUNTIF($M$4:M13,IF(ISERROR($R14*1),LEFT($R14,2)*1,$R14*1))&gt;=1),"-",IF(ISERROR($R14*1),LEFT($R14,2)*1,$R14*1))</f>
        <v>-</v>
      </c>
      <c r="N14" s="717" t="str">
        <f>IF(OR(L14="",COUNTIF($N$4:N13,V14*1)&gt;=1),"-",V14*1)</f>
        <v>-</v>
      </c>
      <c r="O14" s="849" t="s">
        <v>1383</v>
      </c>
      <c r="P14" s="849" t="s">
        <v>1384</v>
      </c>
      <c r="Q14" s="849" t="s">
        <v>96</v>
      </c>
      <c r="R14" s="849" t="s">
        <v>1059</v>
      </c>
      <c r="S14" s="850">
        <v>0</v>
      </c>
      <c r="T14" s="850">
        <v>0</v>
      </c>
      <c r="U14" s="850">
        <v>0</v>
      </c>
      <c r="V14" s="850">
        <v>15</v>
      </c>
      <c r="W14" s="849" t="s">
        <v>1394</v>
      </c>
    </row>
    <row r="15" spans="1:23" ht="78.75" hidden="1">
      <c r="A15" s="730"/>
      <c r="B15" s="705"/>
      <c r="C15" s="731" t="s">
        <v>1138</v>
      </c>
      <c r="D15" s="705"/>
      <c r="E15" s="705"/>
      <c r="F15" s="705"/>
      <c r="G15" s="728"/>
      <c r="H15" s="732"/>
      <c r="I15" s="732"/>
      <c r="J15" s="732"/>
      <c r="K15" s="732"/>
      <c r="L15" s="717" t="str">
        <f t="shared" si="0"/>
        <v>6IWT16520</v>
      </c>
      <c r="M15" s="717" t="str">
        <f>IF(OR(L15="",COUNTIF($M$4:M14,IF(ISERROR($R15*1),LEFT($R15,2)*1,$R15*1))&gt;=1),"-",IF(ISERROR($R15*1),LEFT($R15,2)*1,$R15*1))</f>
        <v>-</v>
      </c>
      <c r="N15" s="717" t="str">
        <f>IF(OR(L15="",COUNTIF($N$4:N14,V15*1)&gt;=1),"-",V15*1)</f>
        <v>-</v>
      </c>
      <c r="O15" s="849" t="s">
        <v>1383</v>
      </c>
      <c r="P15" s="849" t="s">
        <v>1384</v>
      </c>
      <c r="Q15" s="849" t="s">
        <v>96</v>
      </c>
      <c r="R15" s="849" t="s">
        <v>1059</v>
      </c>
      <c r="S15" s="850">
        <v>0</v>
      </c>
      <c r="T15" s="850">
        <v>0</v>
      </c>
      <c r="U15" s="850">
        <v>0</v>
      </c>
      <c r="V15" s="850">
        <v>20</v>
      </c>
      <c r="W15" s="849" t="s">
        <v>1395</v>
      </c>
    </row>
    <row r="16" spans="1:23" ht="67.5" hidden="1">
      <c r="A16" s="730"/>
      <c r="B16" s="705"/>
      <c r="C16" s="705"/>
      <c r="D16" s="705"/>
      <c r="E16" s="705"/>
      <c r="F16" s="705"/>
      <c r="G16" s="728"/>
      <c r="H16" s="732"/>
      <c r="I16" s="732"/>
      <c r="J16" s="732"/>
      <c r="K16" s="732"/>
      <c r="L16" s="717" t="str">
        <f t="shared" si="0"/>
        <v>6IWT2355</v>
      </c>
      <c r="M16" s="717" t="str">
        <f>IF(OR(L16="",COUNTIF($M$4:M15,IF(ISERROR($R16*1),LEFT($R16,2)*1,$R16*1))&gt;=1),"-",IF(ISERROR($R16*1),LEFT($R16,2)*1,$R16*1))</f>
        <v>-</v>
      </c>
      <c r="N16" s="717" t="str">
        <f>IF(OR(L16="",COUNTIF($N$4:N15,V16*1)&gt;=1),"-",V16*1)</f>
        <v>-</v>
      </c>
      <c r="O16" s="849" t="s">
        <v>1383</v>
      </c>
      <c r="P16" s="849" t="s">
        <v>1384</v>
      </c>
      <c r="Q16" s="849" t="s">
        <v>97</v>
      </c>
      <c r="R16" s="849" t="s">
        <v>1058</v>
      </c>
      <c r="S16" s="850">
        <v>0</v>
      </c>
      <c r="T16" s="850">
        <v>0</v>
      </c>
      <c r="U16" s="850">
        <v>0</v>
      </c>
      <c r="V16" s="850">
        <v>5</v>
      </c>
      <c r="W16" s="849" t="s">
        <v>1396</v>
      </c>
    </row>
    <row r="17" spans="1:23" ht="67.5" hidden="1">
      <c r="A17" s="730"/>
      <c r="B17" s="705"/>
      <c r="L17" s="717" t="str">
        <f t="shared" si="0"/>
        <v>6IWT23510</v>
      </c>
      <c r="M17" s="717" t="str">
        <f>IF(OR(L17="",COUNTIF($M$4:M16,IF(ISERROR($R17*1),LEFT($R17,2)*1,$R17*1))&gt;=1),"-",IF(ISERROR($R17*1),LEFT($R17,2)*1,$R17*1))</f>
        <v>-</v>
      </c>
      <c r="N17" s="717" t="str">
        <f>IF(OR(L17="",COUNTIF($N$4:N16,V17*1)&gt;=1),"-",V17*1)</f>
        <v>-</v>
      </c>
      <c r="O17" s="849" t="s">
        <v>1383</v>
      </c>
      <c r="P17" s="849" t="s">
        <v>1384</v>
      </c>
      <c r="Q17" s="849" t="s">
        <v>97</v>
      </c>
      <c r="R17" s="849" t="s">
        <v>1058</v>
      </c>
      <c r="S17" s="850">
        <v>0</v>
      </c>
      <c r="T17" s="850">
        <v>0</v>
      </c>
      <c r="U17" s="850">
        <v>0</v>
      </c>
      <c r="V17" s="850">
        <v>10</v>
      </c>
      <c r="W17" s="849" t="s">
        <v>1397</v>
      </c>
    </row>
    <row r="18" spans="1:23" ht="78.75" hidden="1">
      <c r="A18" s="730"/>
      <c r="B18" s="705"/>
      <c r="L18" s="717" t="str">
        <f t="shared" si="0"/>
        <v>6IWT23515</v>
      </c>
      <c r="M18" s="717" t="str">
        <f>IF(OR(L18="",COUNTIF($M$4:M17,IF(ISERROR($R18*1),LEFT($R18,2)*1,$R18*1))&gt;=1),"-",IF(ISERROR($R18*1),LEFT($R18,2)*1,$R18*1))</f>
        <v>-</v>
      </c>
      <c r="N18" s="717" t="str">
        <f>IF(OR(L18="",COUNTIF($N$4:N17,V18*1)&gt;=1),"-",V18*1)</f>
        <v>-</v>
      </c>
      <c r="O18" s="849" t="s">
        <v>1383</v>
      </c>
      <c r="P18" s="849" t="s">
        <v>1384</v>
      </c>
      <c r="Q18" s="849" t="s">
        <v>97</v>
      </c>
      <c r="R18" s="849" t="s">
        <v>1058</v>
      </c>
      <c r="S18" s="850">
        <v>0</v>
      </c>
      <c r="T18" s="850">
        <v>0</v>
      </c>
      <c r="U18" s="850">
        <v>0</v>
      </c>
      <c r="V18" s="850">
        <v>15</v>
      </c>
      <c r="W18" s="849" t="s">
        <v>1398</v>
      </c>
    </row>
    <row r="19" spans="1:23" ht="78.75" hidden="1">
      <c r="A19" s="730"/>
      <c r="B19" s="705"/>
      <c r="L19" s="717" t="str">
        <f t="shared" si="0"/>
        <v>6IWT23520</v>
      </c>
      <c r="M19" s="717" t="str">
        <f>IF(OR(L19="",COUNTIF($M$4:M18,IF(ISERROR($R19*1),LEFT($R19,2)*1,$R19*1))&gt;=1),"-",IF(ISERROR($R19*1),LEFT($R19,2)*1,$R19*1))</f>
        <v>-</v>
      </c>
      <c r="N19" s="717" t="str">
        <f>IF(OR(L19="",COUNTIF($N$4:N18,V19*1)&gt;=1),"-",V19*1)</f>
        <v>-</v>
      </c>
      <c r="O19" s="849" t="s">
        <v>1383</v>
      </c>
      <c r="P19" s="849" t="s">
        <v>1384</v>
      </c>
      <c r="Q19" s="849" t="s">
        <v>97</v>
      </c>
      <c r="R19" s="849" t="s">
        <v>1058</v>
      </c>
      <c r="S19" s="850">
        <v>0</v>
      </c>
      <c r="T19" s="850">
        <v>0</v>
      </c>
      <c r="U19" s="850">
        <v>0</v>
      </c>
      <c r="V19" s="850">
        <v>20</v>
      </c>
      <c r="W19" s="849" t="s">
        <v>1399</v>
      </c>
    </row>
    <row r="20" spans="1:23" ht="67.5" hidden="1">
      <c r="A20" s="730"/>
      <c r="B20" s="705"/>
      <c r="L20" s="717" t="str">
        <f t="shared" si="0"/>
        <v>6IWT255</v>
      </c>
      <c r="M20" s="717" t="str">
        <f>IF(OR(L20="",COUNTIF($M$4:M19,IF(ISERROR($R20*1),LEFT($R20,2)*1,$R20*1))&gt;=1),"-",IF(ISERROR($R20*1),LEFT($R20,2)*1,$R20*1))</f>
        <v>-</v>
      </c>
      <c r="N20" s="717" t="str">
        <f>IF(OR(L20="",COUNTIF($N$4:N19,V20*1)&gt;=1),"-",V20*1)</f>
        <v>-</v>
      </c>
      <c r="O20" s="849" t="s">
        <v>1383</v>
      </c>
      <c r="P20" s="849" t="s">
        <v>1384</v>
      </c>
      <c r="Q20" s="849" t="s">
        <v>97</v>
      </c>
      <c r="R20" s="849" t="s">
        <v>1057</v>
      </c>
      <c r="S20" s="850">
        <v>0</v>
      </c>
      <c r="T20" s="850">
        <v>0</v>
      </c>
      <c r="U20" s="850">
        <v>0</v>
      </c>
      <c r="V20" s="850">
        <v>5</v>
      </c>
      <c r="W20" s="849" t="s">
        <v>1400</v>
      </c>
    </row>
    <row r="21" spans="1:23" ht="67.5" hidden="1">
      <c r="A21" s="705"/>
      <c r="B21" s="705"/>
      <c r="L21" s="717" t="str">
        <f t="shared" si="0"/>
        <v>6IWT2510</v>
      </c>
      <c r="M21" s="717" t="str">
        <f>IF(OR(L21="",COUNTIF($M$4:M20,IF(ISERROR($R21*1),LEFT($R21,2)*1,$R21*1))&gt;=1),"-",IF(ISERROR($R21*1),LEFT($R21,2)*1,$R21*1))</f>
        <v>-</v>
      </c>
      <c r="N21" s="717" t="str">
        <f>IF(OR(L21="",COUNTIF($N$4:N20,V21*1)&gt;=1),"-",V21*1)</f>
        <v>-</v>
      </c>
      <c r="O21" s="849" t="s">
        <v>1383</v>
      </c>
      <c r="P21" s="849" t="s">
        <v>1384</v>
      </c>
      <c r="Q21" s="849" t="s">
        <v>97</v>
      </c>
      <c r="R21" s="849" t="s">
        <v>1057</v>
      </c>
      <c r="S21" s="850">
        <v>0</v>
      </c>
      <c r="T21" s="850">
        <v>0</v>
      </c>
      <c r="U21" s="850">
        <v>0</v>
      </c>
      <c r="V21" s="850">
        <v>10</v>
      </c>
      <c r="W21" s="849" t="s">
        <v>1390</v>
      </c>
    </row>
    <row r="22" spans="1:23" ht="78.75" hidden="1">
      <c r="A22" s="705"/>
      <c r="B22" s="705"/>
      <c r="L22" s="717" t="str">
        <f t="shared" si="0"/>
        <v>6IWT2515</v>
      </c>
      <c r="M22" s="717" t="str">
        <f>IF(OR(L22="",COUNTIF($M$4:M21,IF(ISERROR($R22*1),LEFT($R22,2)*1,$R22*1))&gt;=1),"-",IF(ISERROR($R22*1),LEFT($R22,2)*1,$R22*1))</f>
        <v>-</v>
      </c>
      <c r="N22" s="717" t="str">
        <f>IF(OR(L22="",COUNTIF($N$4:N21,V22*1)&gt;=1),"-",V22*1)</f>
        <v>-</v>
      </c>
      <c r="O22" s="849" t="s">
        <v>1383</v>
      </c>
      <c r="P22" s="849" t="s">
        <v>1384</v>
      </c>
      <c r="Q22" s="849" t="s">
        <v>97</v>
      </c>
      <c r="R22" s="849" t="s">
        <v>1057</v>
      </c>
      <c r="S22" s="850">
        <v>0</v>
      </c>
      <c r="T22" s="850">
        <v>0</v>
      </c>
      <c r="U22" s="850">
        <v>0</v>
      </c>
      <c r="V22" s="850">
        <v>15</v>
      </c>
      <c r="W22" s="849" t="s">
        <v>1391</v>
      </c>
    </row>
    <row r="23" spans="1:23" ht="78.75" hidden="1">
      <c r="A23" s="705"/>
      <c r="B23" s="705"/>
      <c r="L23" s="717" t="str">
        <f t="shared" si="0"/>
        <v>6IWT2520</v>
      </c>
      <c r="M23" s="717" t="str">
        <f>IF(OR(L23="",COUNTIF($M$4:M22,IF(ISERROR($R23*1),LEFT($R23,2)*1,$R23*1))&gt;=1),"-",IF(ISERROR($R23*1),LEFT($R23,2)*1,$R23*1))</f>
        <v>-</v>
      </c>
      <c r="N23" s="717" t="str">
        <f>IF(OR(L23="",COUNTIF($N$4:N22,V23*1)&gt;=1),"-",V23*1)</f>
        <v>-</v>
      </c>
      <c r="O23" s="849" t="s">
        <v>1383</v>
      </c>
      <c r="P23" s="849" t="s">
        <v>1384</v>
      </c>
      <c r="Q23" s="849" t="s">
        <v>97</v>
      </c>
      <c r="R23" s="849" t="s">
        <v>1057</v>
      </c>
      <c r="S23" s="850">
        <v>0</v>
      </c>
      <c r="T23" s="850">
        <v>0</v>
      </c>
      <c r="U23" s="850">
        <v>0</v>
      </c>
      <c r="V23" s="850">
        <v>20</v>
      </c>
      <c r="W23" s="849" t="s">
        <v>1392</v>
      </c>
    </row>
    <row r="24" spans="1:23" ht="67.5" hidden="1">
      <c r="A24" s="705"/>
      <c r="B24" s="705"/>
      <c r="L24" s="717" t="str">
        <f t="shared" si="0"/>
        <v>6IWT2655</v>
      </c>
      <c r="M24" s="717" t="str">
        <f>IF(OR(L24="",COUNTIF($M$4:M23,IF(ISERROR($R24*1),LEFT($R24,2)*1,$R24*1))&gt;=1),"-",IF(ISERROR($R24*1),LEFT($R24,2)*1,$R24*1))</f>
        <v>-</v>
      </c>
      <c r="N24" s="717" t="str">
        <f>IF(OR(L24="",COUNTIF($N$4:N23,V24*1)&gt;=1),"-",V24*1)</f>
        <v>-</v>
      </c>
      <c r="O24" s="849" t="s">
        <v>1383</v>
      </c>
      <c r="P24" s="849" t="s">
        <v>1384</v>
      </c>
      <c r="Q24" s="849" t="s">
        <v>97</v>
      </c>
      <c r="R24" s="849" t="s">
        <v>1059</v>
      </c>
      <c r="S24" s="850">
        <v>0</v>
      </c>
      <c r="T24" s="850">
        <v>0</v>
      </c>
      <c r="U24" s="850">
        <v>0</v>
      </c>
      <c r="V24" s="850">
        <v>5</v>
      </c>
      <c r="W24" s="849" t="s">
        <v>1401</v>
      </c>
    </row>
    <row r="25" spans="1:23" ht="67.5" hidden="1">
      <c r="A25" s="705"/>
      <c r="B25" s="705"/>
      <c r="L25" s="717" t="str">
        <f t="shared" si="0"/>
        <v>6IWT26510</v>
      </c>
      <c r="M25" s="717" t="str">
        <f>IF(OR(L25="",COUNTIF($M$4:M24,IF(ISERROR($R25*1),LEFT($R25,2)*1,$R25*1))&gt;=1),"-",IF(ISERROR($R25*1),LEFT($R25,2)*1,$R25*1))</f>
        <v>-</v>
      </c>
      <c r="N25" s="717" t="str">
        <f>IF(OR(L25="",COUNTIF($N$4:N24,V25*1)&gt;=1),"-",V25*1)</f>
        <v>-</v>
      </c>
      <c r="O25" s="849" t="s">
        <v>1383</v>
      </c>
      <c r="P25" s="849" t="s">
        <v>1384</v>
      </c>
      <c r="Q25" s="849" t="s">
        <v>97</v>
      </c>
      <c r="R25" s="849" t="s">
        <v>1059</v>
      </c>
      <c r="S25" s="850">
        <v>0</v>
      </c>
      <c r="T25" s="850">
        <v>0</v>
      </c>
      <c r="U25" s="850">
        <v>0</v>
      </c>
      <c r="V25" s="850">
        <v>10</v>
      </c>
      <c r="W25" s="849" t="s">
        <v>1402</v>
      </c>
    </row>
    <row r="26" spans="1:23" ht="78.75" hidden="1">
      <c r="A26" s="705"/>
      <c r="B26" s="705"/>
      <c r="L26" s="717" t="str">
        <f t="shared" si="0"/>
        <v>6IWT26515</v>
      </c>
      <c r="M26" s="717" t="str">
        <f>IF(OR(L26="",COUNTIF($M$4:M25,IF(ISERROR($R26*1),LEFT($R26,2)*1,$R26*1))&gt;=1),"-",IF(ISERROR($R26*1),LEFT($R26,2)*1,$R26*1))</f>
        <v>-</v>
      </c>
      <c r="N26" s="717" t="str">
        <f>IF(OR(L26="",COUNTIF($N$4:N25,V26*1)&gt;=1),"-",V26*1)</f>
        <v>-</v>
      </c>
      <c r="O26" s="849" t="s">
        <v>1383</v>
      </c>
      <c r="P26" s="849" t="s">
        <v>1384</v>
      </c>
      <c r="Q26" s="849" t="s">
        <v>97</v>
      </c>
      <c r="R26" s="849" t="s">
        <v>1059</v>
      </c>
      <c r="S26" s="850">
        <v>0</v>
      </c>
      <c r="T26" s="850">
        <v>0</v>
      </c>
      <c r="U26" s="850">
        <v>0</v>
      </c>
      <c r="V26" s="850">
        <v>15</v>
      </c>
      <c r="W26" s="849" t="s">
        <v>1403</v>
      </c>
    </row>
    <row r="27" spans="1:23" ht="78.75" hidden="1">
      <c r="A27" s="705"/>
      <c r="B27" s="705"/>
      <c r="L27" s="717" t="str">
        <f t="shared" si="0"/>
        <v>6IWT26520</v>
      </c>
      <c r="M27" s="717" t="str">
        <f>IF(OR(L27="",COUNTIF($M$4:M26,IF(ISERROR($R27*1),LEFT($R27,2)*1,$R27*1))&gt;=1),"-",IF(ISERROR($R27*1),LEFT($R27,2)*1,$R27*1))</f>
        <v>-</v>
      </c>
      <c r="N27" s="717" t="str">
        <f>IF(OR(L27="",COUNTIF($N$4:N26,V27*1)&gt;=1),"-",V27*1)</f>
        <v>-</v>
      </c>
      <c r="O27" s="849" t="s">
        <v>1383</v>
      </c>
      <c r="P27" s="849" t="s">
        <v>1384</v>
      </c>
      <c r="Q27" s="849" t="s">
        <v>97</v>
      </c>
      <c r="R27" s="849" t="s">
        <v>1059</v>
      </c>
      <c r="S27" s="850">
        <v>0</v>
      </c>
      <c r="T27" s="850">
        <v>0</v>
      </c>
      <c r="U27" s="850">
        <v>0</v>
      </c>
      <c r="V27" s="850">
        <v>20</v>
      </c>
      <c r="W27" s="849" t="s">
        <v>1404</v>
      </c>
    </row>
    <row r="28" spans="1:23" hidden="1">
      <c r="A28" s="705"/>
      <c r="B28" s="705"/>
      <c r="L28" s="717" t="str">
        <f t="shared" si="0"/>
        <v/>
      </c>
      <c r="M28" s="717" t="str">
        <f>IF(OR(L28="",COUNTIF($M$4:M27,IF(ISERROR($R28*1),LEFT($R28,2)*1,$R28*1))&gt;=1),"-",IF(ISERROR($R28*1),LEFT($R28,2)*1,$R28*1))</f>
        <v>-</v>
      </c>
      <c r="N28" s="717" t="str">
        <f>IF(OR(L28="",COUNTIF($N$4:N27,V28*1)&gt;=1),"-",V28*1)</f>
        <v>-</v>
      </c>
      <c r="O28" s="733"/>
      <c r="P28" s="733"/>
      <c r="Q28" s="733"/>
      <c r="R28" s="733"/>
      <c r="S28" s="734"/>
      <c r="T28" s="735"/>
      <c r="U28" s="782"/>
      <c r="V28" s="734"/>
      <c r="W28" s="733"/>
    </row>
    <row r="29" spans="1:23" hidden="1">
      <c r="A29" s="705"/>
      <c r="B29" s="705"/>
      <c r="L29" s="717" t="str">
        <f t="shared" si="0"/>
        <v/>
      </c>
      <c r="M29" s="717" t="str">
        <f>IF(OR(L29="",COUNTIF($M$4:M28,IF(ISERROR($R29*1),LEFT($R29,2)*1,$R29*1))&gt;=1),"-",IF(ISERROR($R29*1),LEFT($R29,2)*1,$R29*1))</f>
        <v>-</v>
      </c>
      <c r="N29" s="717" t="str">
        <f>IF(OR(L29="",COUNTIF($N$4:N28,V29*1)&gt;=1),"-",V29*1)</f>
        <v>-</v>
      </c>
      <c r="O29" s="733"/>
      <c r="P29" s="733"/>
      <c r="Q29" s="733"/>
      <c r="R29" s="733"/>
      <c r="S29" s="734"/>
      <c r="T29" s="735"/>
      <c r="U29" s="782"/>
      <c r="V29" s="734"/>
      <c r="W29" s="733"/>
    </row>
    <row r="30" spans="1:23" hidden="1">
      <c r="A30" s="705"/>
      <c r="B30" s="705"/>
      <c r="L30" s="717" t="str">
        <f t="shared" si="0"/>
        <v/>
      </c>
      <c r="M30" s="717" t="str">
        <f>IF(OR(L30="",COUNTIF($M$4:M29,IF(ISERROR($R30*1),LEFT($R30,2)*1,$R30*1))&gt;=1),"-",IF(ISERROR($R30*1),LEFT($R30,2)*1,$R30*1))</f>
        <v>-</v>
      </c>
      <c r="N30" s="717" t="str">
        <f>IF(OR(L30="",COUNTIF($N$4:N29,V30*1)&gt;=1),"-",V30*1)</f>
        <v>-</v>
      </c>
      <c r="O30" s="733"/>
      <c r="P30" s="733"/>
      <c r="Q30" s="733"/>
      <c r="R30" s="733"/>
      <c r="S30" s="734"/>
      <c r="T30" s="735"/>
      <c r="U30" s="782"/>
      <c r="V30" s="734"/>
      <c r="W30" s="733"/>
    </row>
    <row r="31" spans="1:23" hidden="1">
      <c r="A31" s="705"/>
      <c r="B31" s="705"/>
      <c r="L31" s="717" t="str">
        <f t="shared" si="0"/>
        <v/>
      </c>
      <c r="M31" s="717" t="str">
        <f>IF(OR(L31="",COUNTIF($M$4:M30,IF(ISERROR($R31*1),LEFT($R31,2)*1,$R31*1))&gt;=1),"-",IF(ISERROR($R31*1),LEFT($R31,2)*1,$R31*1))</f>
        <v>-</v>
      </c>
      <c r="N31" s="717" t="str">
        <f>IF(OR(L31="",COUNTIF($N$4:N30,V31*1)&gt;=1),"-",V31*1)</f>
        <v>-</v>
      </c>
      <c r="O31" s="733"/>
      <c r="P31" s="733"/>
      <c r="Q31" s="733"/>
      <c r="R31" s="733"/>
      <c r="S31" s="734"/>
      <c r="T31" s="735"/>
      <c r="U31" s="782"/>
      <c r="V31" s="734"/>
      <c r="W31" s="733"/>
    </row>
    <row r="32" spans="1:23" hidden="1">
      <c r="A32" s="705"/>
      <c r="B32" s="705"/>
      <c r="L32" s="717" t="str">
        <f t="shared" si="0"/>
        <v/>
      </c>
      <c r="M32" s="717" t="str">
        <f>IF(OR(L32="",COUNTIF($M$4:M31,IF(ISERROR($R32*1),LEFT($R32,2)*1,$R32*1))&gt;=1),"-",IF(ISERROR($R32*1),LEFT($R32,2)*1,$R32*1))</f>
        <v>-</v>
      </c>
      <c r="N32" s="717" t="str">
        <f>IF(OR(L32="",COUNTIF($N$4:N31,V32*1)&gt;=1),"-",V32*1)</f>
        <v>-</v>
      </c>
      <c r="O32" s="733"/>
      <c r="P32" s="733"/>
      <c r="Q32" s="733"/>
      <c r="R32" s="733"/>
      <c r="S32" s="734"/>
      <c r="T32" s="735"/>
      <c r="U32" s="782"/>
      <c r="V32" s="734"/>
      <c r="W32" s="733"/>
    </row>
    <row r="33" spans="1:23" hidden="1">
      <c r="A33" s="705"/>
      <c r="B33" s="705"/>
      <c r="L33" s="717" t="str">
        <f t="shared" si="0"/>
        <v/>
      </c>
      <c r="M33" s="717" t="str">
        <f>IF(OR(L33="",COUNTIF($M$4:M32,IF(ISERROR($R33*1),LEFT($R33,2)*1,$R33*1))&gt;=1),"-",IF(ISERROR($R33*1),LEFT($R33,2)*1,$R33*1))</f>
        <v>-</v>
      </c>
      <c r="N33" s="717" t="str">
        <f>IF(OR(L33="",COUNTIF($N$4:N32,V33*1)&gt;=1),"-",V33*1)</f>
        <v>-</v>
      </c>
      <c r="O33" s="733"/>
      <c r="P33" s="733"/>
      <c r="Q33" s="733"/>
      <c r="R33" s="733"/>
      <c r="S33" s="734"/>
      <c r="T33" s="735"/>
      <c r="U33" s="782"/>
      <c r="V33" s="734"/>
      <c r="W33" s="733"/>
    </row>
    <row r="34" spans="1:23" hidden="1">
      <c r="A34" s="705"/>
      <c r="B34" s="705"/>
      <c r="L34" s="717" t="str">
        <f t="shared" si="0"/>
        <v/>
      </c>
      <c r="M34" s="717" t="str">
        <f>IF(OR(L34="",COUNTIF($M$4:M33,IF(ISERROR($R34*1),LEFT($R34,2)*1,$R34*1))&gt;=1),"-",IF(ISERROR($R34*1),LEFT($R34,2)*1,$R34*1))</f>
        <v>-</v>
      </c>
      <c r="N34" s="717" t="str">
        <f>IF(OR(L34="",COUNTIF($N$4:N33,V34*1)&gt;=1),"-",V34*1)</f>
        <v>-</v>
      </c>
      <c r="O34" s="733"/>
      <c r="P34" s="733"/>
      <c r="Q34" s="733"/>
      <c r="R34" s="733"/>
      <c r="S34" s="734"/>
      <c r="T34" s="735"/>
      <c r="U34" s="782"/>
      <c r="V34" s="734"/>
      <c r="W34" s="733"/>
    </row>
    <row r="35" spans="1:23" hidden="1">
      <c r="A35" s="705"/>
      <c r="B35" s="705"/>
      <c r="L35" s="717" t="str">
        <f t="shared" si="0"/>
        <v/>
      </c>
      <c r="M35" s="717" t="str">
        <f>IF(OR(L35="",COUNTIF($M$4:M34,IF(ISERROR($R35*1),LEFT($R35,2)*1,$R35*1))&gt;=1),"-",IF(ISERROR($R35*1),LEFT($R35,2)*1,$R35*1))</f>
        <v>-</v>
      </c>
      <c r="N35" s="717" t="str">
        <f>IF(OR(L35="",COUNTIF($N$4:N34,V35*1)&gt;=1),"-",V35*1)</f>
        <v>-</v>
      </c>
      <c r="O35" s="733"/>
      <c r="P35" s="733"/>
      <c r="Q35" s="733"/>
      <c r="R35" s="733"/>
      <c r="S35" s="734"/>
      <c r="T35" s="735"/>
      <c r="U35" s="782"/>
      <c r="V35" s="734"/>
      <c r="W35" s="733"/>
    </row>
    <row r="36" spans="1:23" hidden="1">
      <c r="A36" s="705"/>
      <c r="B36" s="705"/>
      <c r="L36" s="717" t="str">
        <f t="shared" si="0"/>
        <v/>
      </c>
      <c r="M36" s="717" t="str">
        <f>IF(OR(L36="",COUNTIF($M$4:M35,IF(ISERROR($R36*1),LEFT($R36,2)*1,$R36*1))&gt;=1),"-",IF(ISERROR($R36*1),LEFT($R36,2)*1,$R36*1))</f>
        <v>-</v>
      </c>
      <c r="N36" s="717" t="str">
        <f>IF(OR(L36="",COUNTIF($N$4:N35,V36*1)&gt;=1),"-",V36*1)</f>
        <v>-</v>
      </c>
      <c r="O36" s="733"/>
      <c r="P36" s="733"/>
      <c r="Q36" s="733"/>
      <c r="R36" s="733"/>
      <c r="S36" s="734"/>
      <c r="T36" s="735"/>
      <c r="U36" s="782"/>
      <c r="V36" s="734"/>
      <c r="W36" s="733"/>
    </row>
    <row r="37" spans="1:23" hidden="1">
      <c r="A37" s="705"/>
      <c r="B37" s="705"/>
      <c r="L37" s="717" t="str">
        <f t="shared" si="0"/>
        <v/>
      </c>
      <c r="M37" s="717" t="str">
        <f>IF(OR(L37="",COUNTIF($M$4:M36,IF(ISERROR($R37*1),LEFT($R37,2)*1,$R37*1))&gt;=1),"-",IF(ISERROR($R37*1),LEFT($R37,2)*1,$R37*1))</f>
        <v>-</v>
      </c>
      <c r="N37" s="717" t="str">
        <f>IF(OR(L37="",COUNTIF($N$4:N36,V37*1)&gt;=1),"-",V37*1)</f>
        <v>-</v>
      </c>
      <c r="O37" s="733"/>
      <c r="P37" s="733"/>
      <c r="Q37" s="733"/>
      <c r="R37" s="733"/>
      <c r="S37" s="734"/>
      <c r="T37" s="735"/>
      <c r="U37" s="782"/>
      <c r="V37" s="734"/>
      <c r="W37" s="733"/>
    </row>
    <row r="38" spans="1:23" hidden="1">
      <c r="A38" s="705"/>
      <c r="B38" s="705"/>
      <c r="L38" s="717" t="str">
        <f t="shared" si="0"/>
        <v/>
      </c>
      <c r="M38" s="717" t="str">
        <f>IF(OR(L38="",COUNTIF($M$4:M37,IF(ISERROR($R38*1),LEFT($R38,2)*1,$R38*1))&gt;=1),"-",IF(ISERROR($R38*1),LEFT($R38,2)*1,$R38*1))</f>
        <v>-</v>
      </c>
      <c r="N38" s="717" t="str">
        <f>IF(OR(L38="",COUNTIF($N$4:N37,V38*1)&gt;=1),"-",V38*1)</f>
        <v>-</v>
      </c>
      <c r="O38" s="733"/>
      <c r="P38" s="733"/>
      <c r="Q38" s="733"/>
      <c r="R38" s="733"/>
      <c r="S38" s="734"/>
      <c r="T38" s="735"/>
      <c r="U38" s="782"/>
      <c r="V38" s="734"/>
      <c r="W38" s="733"/>
    </row>
    <row r="39" spans="1:23" hidden="1">
      <c r="A39" s="705"/>
      <c r="B39" s="705"/>
      <c r="L39" s="717" t="str">
        <f t="shared" si="0"/>
        <v/>
      </c>
      <c r="M39" s="717" t="str">
        <f>IF(OR(L39="",COUNTIF($M$4:M38,IF(ISERROR($R39*1),LEFT($R39,2)*1,$R39*1))&gt;=1),"-",IF(ISERROR($R39*1),LEFT($R39,2)*1,$R39*1))</f>
        <v>-</v>
      </c>
      <c r="N39" s="717" t="str">
        <f>IF(OR(L39="",COUNTIF($N$4:N38,V39*1)&gt;=1),"-",V39*1)</f>
        <v>-</v>
      </c>
      <c r="O39" s="733"/>
      <c r="P39" s="733"/>
      <c r="Q39" s="733"/>
      <c r="R39" s="733"/>
      <c r="S39" s="734"/>
      <c r="T39" s="735"/>
      <c r="U39" s="782"/>
      <c r="V39" s="734"/>
      <c r="W39" s="733"/>
    </row>
    <row r="40" spans="1:23" hidden="1">
      <c r="A40" s="705"/>
      <c r="B40" s="705"/>
      <c r="L40" s="717" t="str">
        <f t="shared" si="0"/>
        <v/>
      </c>
      <c r="M40" s="717" t="str">
        <f>IF(OR(L40="",COUNTIF($M$4:M39,IF(ISERROR($R40*1),LEFT($R40,2)*1,$R40*1))&gt;=1),"-",IF(ISERROR($R40*1),LEFT($R40,2)*1,$R40*1))</f>
        <v>-</v>
      </c>
      <c r="N40" s="717" t="str">
        <f>IF(OR(L40="",COUNTIF($N$4:N39,V40*1)&gt;=1),"-",V40*1)</f>
        <v>-</v>
      </c>
      <c r="O40" s="733"/>
      <c r="P40" s="733"/>
      <c r="Q40" s="733"/>
      <c r="R40" s="733"/>
      <c r="S40" s="734"/>
      <c r="T40" s="735"/>
      <c r="U40" s="782"/>
      <c r="V40" s="734"/>
      <c r="W40" s="733"/>
    </row>
    <row r="41" spans="1:23" hidden="1">
      <c r="A41" s="705"/>
      <c r="B41" s="705"/>
      <c r="L41" s="717" t="str">
        <f t="shared" si="0"/>
        <v/>
      </c>
      <c r="M41" s="717" t="str">
        <f>IF(OR(L41="",COUNTIF($M$4:M40,IF(ISERROR($R41*1),LEFT($R41,2)*1,$R41*1))&gt;=1),"-",IF(ISERROR($R41*1),LEFT($R41,2)*1,$R41*1))</f>
        <v>-</v>
      </c>
      <c r="N41" s="717" t="str">
        <f>IF(OR(L41="",COUNTIF($N$4:N40,V41*1)&gt;=1),"-",V41*1)</f>
        <v>-</v>
      </c>
      <c r="O41" s="733"/>
      <c r="P41" s="733"/>
      <c r="Q41" s="733"/>
      <c r="R41" s="733"/>
      <c r="S41" s="734"/>
      <c r="T41" s="735"/>
      <c r="U41" s="782"/>
      <c r="V41" s="734"/>
      <c r="W41" s="733"/>
    </row>
    <row r="42" spans="1:23" hidden="1">
      <c r="A42" s="705"/>
      <c r="B42" s="705"/>
      <c r="L42" s="717" t="str">
        <f t="shared" si="0"/>
        <v/>
      </c>
      <c r="M42" s="717" t="str">
        <f>IF(OR(L42="",COUNTIF($M$4:M41,IF(ISERROR($R42*1),LEFT($R42,2)*1,$R42*1))&gt;=1),"-",IF(ISERROR($R42*1),LEFT($R42,2)*1,$R42*1))</f>
        <v>-</v>
      </c>
      <c r="N42" s="717" t="str">
        <f>IF(OR(L42="",COUNTIF($N$4:N41,V42*1)&gt;=1),"-",V42*1)</f>
        <v>-</v>
      </c>
      <c r="O42" s="733"/>
      <c r="P42" s="733"/>
      <c r="Q42" s="733"/>
      <c r="R42" s="733"/>
      <c r="S42" s="734"/>
      <c r="T42" s="735"/>
      <c r="U42" s="782"/>
      <c r="V42" s="734"/>
      <c r="W42" s="733"/>
    </row>
    <row r="43" spans="1:23" hidden="1">
      <c r="L43" s="717" t="str">
        <f t="shared" si="0"/>
        <v/>
      </c>
      <c r="M43" s="717" t="str">
        <f>IF(OR(L43="",COUNTIF($M$4:M42,IF(ISERROR($R43*1),LEFT($R43,2)*1,$R43*1))&gt;=1),"-",IF(ISERROR($R43*1),LEFT($R43,2)*1,$R43*1))</f>
        <v>-</v>
      </c>
      <c r="N43" s="717" t="str">
        <f>IF(OR(L43="",COUNTIF($N$4:N42,V43*1)&gt;=1),"-",V43*1)</f>
        <v>-</v>
      </c>
      <c r="O43" s="733"/>
      <c r="P43" s="733"/>
      <c r="Q43" s="733"/>
      <c r="R43" s="733"/>
      <c r="S43" s="734"/>
      <c r="T43" s="735"/>
      <c r="U43" s="782"/>
      <c r="V43" s="734"/>
      <c r="W43" s="733"/>
    </row>
    <row r="44" spans="1:23" hidden="1">
      <c r="L44" s="717" t="str">
        <f t="shared" si="0"/>
        <v/>
      </c>
      <c r="M44" s="717" t="str">
        <f>IF(OR(L44="",COUNTIF($M$4:M43,IF(ISERROR($R44*1),LEFT($R44,2)*1,$R44*1))&gt;=1),"-",IF(ISERROR($R44*1),LEFT($R44,2)*1,$R44*1))</f>
        <v>-</v>
      </c>
      <c r="N44" s="717" t="str">
        <f>IF(OR(L44="",COUNTIF($N$4:N43,V44*1)&gt;=1),"-",V44*1)</f>
        <v>-</v>
      </c>
      <c r="O44" s="733"/>
      <c r="P44" s="733"/>
      <c r="Q44" s="733"/>
      <c r="R44" s="733"/>
      <c r="S44" s="734"/>
      <c r="T44" s="735"/>
      <c r="U44" s="782"/>
      <c r="V44" s="734"/>
      <c r="W44" s="733"/>
    </row>
    <row r="45" spans="1:23" hidden="1">
      <c r="L45" s="717" t="str">
        <f t="shared" si="0"/>
        <v/>
      </c>
      <c r="M45" s="717" t="str">
        <f>IF(OR(L45="",COUNTIF($M$4:M44,IF(ISERROR($R45*1),LEFT($R45,2)*1,$R45*1))&gt;=1),"-",IF(ISERROR($R45*1),LEFT($R45,2)*1,$R45*1))</f>
        <v>-</v>
      </c>
      <c r="N45" s="717" t="str">
        <f>IF(OR(L45="",COUNTIF($N$4:N44,V45*1)&gt;=1),"-",V45*1)</f>
        <v>-</v>
      </c>
      <c r="O45" s="733"/>
      <c r="P45" s="733"/>
      <c r="Q45" s="733"/>
      <c r="R45" s="733"/>
      <c r="S45" s="734"/>
      <c r="T45" s="735"/>
      <c r="U45" s="782"/>
      <c r="V45" s="734"/>
      <c r="W45" s="733"/>
    </row>
    <row r="46" spans="1:23" hidden="1">
      <c r="L46" s="717" t="str">
        <f t="shared" si="0"/>
        <v/>
      </c>
      <c r="M46" s="717" t="str">
        <f>IF(OR(L46="",COUNTIF($M$4:M45,IF(ISERROR($R46*1),LEFT($R46,2)*1,$R46*1))&gt;=1),"-",IF(ISERROR($R46*1),LEFT($R46,2)*1,$R46*1))</f>
        <v>-</v>
      </c>
      <c r="N46" s="717" t="str">
        <f>IF(OR(L46="",COUNTIF($N$4:N45,V46*1)&gt;=1),"-",V46*1)</f>
        <v>-</v>
      </c>
      <c r="O46" s="733"/>
      <c r="P46" s="733"/>
      <c r="Q46" s="733"/>
      <c r="R46" s="733"/>
      <c r="S46" s="734"/>
      <c r="T46" s="735"/>
      <c r="U46" s="782"/>
      <c r="V46" s="734"/>
      <c r="W46" s="733"/>
    </row>
    <row r="47" spans="1:23" hidden="1">
      <c r="L47" s="717" t="str">
        <f t="shared" si="0"/>
        <v/>
      </c>
      <c r="M47" s="717" t="str">
        <f>IF(OR(L47="",COUNTIF($M$4:M46,IF(ISERROR($R47*1),LEFT($R47,2)*1,$R47*1))&gt;=1),"-",IF(ISERROR($R47*1),LEFT($R47,2)*1,$R47*1))</f>
        <v>-</v>
      </c>
      <c r="N47" s="717" t="str">
        <f>IF(OR(L47="",COUNTIF($N$4:N46,V47*1)&gt;=1),"-",V47*1)</f>
        <v>-</v>
      </c>
      <c r="O47" s="733"/>
      <c r="P47" s="733"/>
      <c r="Q47" s="733"/>
      <c r="R47" s="733"/>
      <c r="S47" s="734"/>
      <c r="T47" s="735"/>
      <c r="U47" s="782"/>
      <c r="V47" s="734"/>
      <c r="W47" s="733"/>
    </row>
    <row r="48" spans="1:23" hidden="1">
      <c r="L48" s="717" t="str">
        <f t="shared" si="0"/>
        <v/>
      </c>
      <c r="M48" s="717" t="str">
        <f>IF(OR(L48="",COUNTIF($M$4:M47,IF(ISERROR($R48*1),LEFT($R48,2)*1,$R48*1))&gt;=1),"-",IF(ISERROR($R48*1),LEFT($R48,2)*1,$R48*1))</f>
        <v>-</v>
      </c>
      <c r="N48" s="717" t="str">
        <f>IF(OR(L48="",COUNTIF($N$4:N47,V48*1)&gt;=1),"-",V48*1)</f>
        <v>-</v>
      </c>
      <c r="O48" s="733"/>
      <c r="P48" s="733"/>
      <c r="Q48" s="733"/>
      <c r="R48" s="733"/>
      <c r="S48" s="734"/>
      <c r="T48" s="735"/>
      <c r="U48" s="782"/>
      <c r="V48" s="734"/>
      <c r="W48" s="733"/>
    </row>
    <row r="49" spans="12:23" hidden="1">
      <c r="L49" s="717" t="str">
        <f t="shared" si="0"/>
        <v/>
      </c>
      <c r="M49" s="717" t="str">
        <f>IF(OR(L49="",COUNTIF($M$4:M48,IF(ISERROR($R49*1),LEFT($R49,2)*1,$R49*1))&gt;=1),"-",IF(ISERROR($R49*1),LEFT($R49,2)*1,$R49*1))</f>
        <v>-</v>
      </c>
      <c r="N49" s="717" t="str">
        <f>IF(OR(L49="",COUNTIF($N$4:N48,V49*1)&gt;=1),"-",V49*1)</f>
        <v>-</v>
      </c>
      <c r="O49" s="733"/>
      <c r="P49" s="733"/>
      <c r="Q49" s="733"/>
      <c r="R49" s="733"/>
      <c r="S49" s="734"/>
      <c r="T49" s="735"/>
      <c r="U49" s="782"/>
      <c r="V49" s="734"/>
      <c r="W49" s="733"/>
    </row>
    <row r="50" spans="12:23" hidden="1">
      <c r="L50" s="717" t="str">
        <f t="shared" si="0"/>
        <v/>
      </c>
      <c r="M50" s="717" t="str">
        <f>IF(OR(L50="",COUNTIF($M$4:M49,IF(ISERROR($R50*1),LEFT($R50,2)*1,$R50*1))&gt;=1),"-",IF(ISERROR($R50*1),LEFT($R50,2)*1,$R50*1))</f>
        <v>-</v>
      </c>
      <c r="N50" s="717" t="str">
        <f>IF(OR(L50="",COUNTIF($N$4:N49,V50*1)&gt;=1),"-",V50*1)</f>
        <v>-</v>
      </c>
      <c r="O50" s="733"/>
      <c r="P50" s="733"/>
      <c r="Q50" s="733"/>
      <c r="R50" s="733"/>
      <c r="S50" s="734"/>
      <c r="T50" s="735"/>
      <c r="U50" s="782"/>
      <c r="V50" s="734"/>
      <c r="W50" s="733"/>
    </row>
    <row r="51" spans="12:23" hidden="1">
      <c r="L51" s="717" t="str">
        <f t="shared" si="0"/>
        <v/>
      </c>
      <c r="M51" s="717" t="str">
        <f>IF(OR(L51="",COUNTIF($M$4:M50,IF(ISERROR($R51*1),LEFT($R51,2)*1,$R51*1))&gt;=1),"-",IF(ISERROR($R51*1),LEFT($R51,2)*1,$R51*1))</f>
        <v>-</v>
      </c>
      <c r="N51" s="717" t="str">
        <f>IF(OR(L51="",COUNTIF($N$4:N50,V51*1)&gt;=1),"-",V51*1)</f>
        <v>-</v>
      </c>
      <c r="O51" s="733"/>
      <c r="P51" s="733"/>
      <c r="Q51" s="733"/>
      <c r="R51" s="733"/>
      <c r="S51" s="734"/>
      <c r="T51" s="735"/>
      <c r="U51" s="782"/>
      <c r="V51" s="734"/>
      <c r="W51" s="733"/>
    </row>
    <row r="52" spans="12:23" hidden="1">
      <c r="L52" s="717" t="str">
        <f t="shared" si="0"/>
        <v/>
      </c>
      <c r="M52" s="717" t="str">
        <f>IF(OR(L52="",COUNTIF($M$4:M51,IF(ISERROR($R52*1),LEFT($R52,2)*1,$R52*1))&gt;=1),"-",IF(ISERROR($R52*1),LEFT($R52,2)*1,$R52*1))</f>
        <v>-</v>
      </c>
      <c r="N52" s="717" t="str">
        <f>IF(OR(L52="",COUNTIF($N$4:N51,V52*1)&gt;=1),"-",V52*1)</f>
        <v>-</v>
      </c>
      <c r="O52" s="733"/>
      <c r="P52" s="733"/>
      <c r="Q52" s="733"/>
      <c r="R52" s="733"/>
      <c r="S52" s="734"/>
      <c r="T52" s="735"/>
      <c r="U52" s="782"/>
      <c r="V52" s="734"/>
      <c r="W52" s="733"/>
    </row>
    <row r="53" spans="12:23" hidden="1">
      <c r="L53" s="717" t="str">
        <f t="shared" si="0"/>
        <v/>
      </c>
      <c r="M53" s="717" t="str">
        <f>IF(OR(L53="",COUNTIF($M$4:M52,IF(ISERROR($R53*1),LEFT($R53,2)*1,$R53*1))&gt;=1),"-",IF(ISERROR($R53*1),LEFT($R53,2)*1,$R53*1))</f>
        <v>-</v>
      </c>
      <c r="N53" s="717" t="str">
        <f>IF(OR(L53="",COUNTIF($N$4:N52,V53*1)&gt;=1),"-",V53*1)</f>
        <v>-</v>
      </c>
      <c r="O53" s="733"/>
      <c r="P53" s="733"/>
      <c r="Q53" s="733"/>
      <c r="R53" s="733"/>
      <c r="S53" s="734"/>
      <c r="T53" s="735"/>
      <c r="U53" s="782"/>
      <c r="V53" s="734"/>
      <c r="W53" s="733"/>
    </row>
    <row r="54" spans="12:23" hidden="1">
      <c r="L54" s="717" t="str">
        <f t="shared" si="0"/>
        <v/>
      </c>
      <c r="M54" s="717" t="str">
        <f>IF(OR(L54="",COUNTIF($M$4:M53,IF(ISERROR($R54*1),LEFT($R54,2)*1,$R54*1))&gt;=1),"-",IF(ISERROR($R54*1),LEFT($R54,2)*1,$R54*1))</f>
        <v>-</v>
      </c>
      <c r="N54" s="717" t="str">
        <f>IF(OR(L54="",COUNTIF($N$4:N53,V54*1)&gt;=1),"-",V54*1)</f>
        <v>-</v>
      </c>
      <c r="O54" s="733"/>
      <c r="P54" s="733"/>
      <c r="Q54" s="733"/>
      <c r="R54" s="733"/>
      <c r="S54" s="734"/>
      <c r="T54" s="735"/>
      <c r="U54" s="782"/>
      <c r="V54" s="734"/>
      <c r="W54" s="733"/>
    </row>
    <row r="55" spans="12:23" hidden="1">
      <c r="L55" s="717" t="str">
        <f t="shared" si="0"/>
        <v/>
      </c>
      <c r="M55" s="717" t="str">
        <f>IF(OR(L55="",COUNTIF($M$4:M54,IF(ISERROR($R55*1),LEFT($R55,2)*1,$R55*1))&gt;=1),"-",IF(ISERROR($R55*1),LEFT($R55,2)*1,$R55*1))</f>
        <v>-</v>
      </c>
      <c r="N55" s="717" t="str">
        <f>IF(OR(L55="",COUNTIF($N$4:N54,V55*1)&gt;=1),"-",V55*1)</f>
        <v>-</v>
      </c>
      <c r="O55" s="733"/>
      <c r="P55" s="733"/>
      <c r="Q55" s="733"/>
      <c r="R55" s="733"/>
      <c r="S55" s="734"/>
      <c r="T55" s="735"/>
      <c r="U55" s="782"/>
      <c r="V55" s="734"/>
      <c r="W55" s="733"/>
    </row>
    <row r="56" spans="12:23" hidden="1">
      <c r="L56" s="717" t="str">
        <f t="shared" si="0"/>
        <v/>
      </c>
      <c r="M56" s="717" t="str">
        <f>IF(OR(L56="",COUNTIF($M$4:M55,IF(ISERROR($R56*1),LEFT($R56,2)*1,$R56*1))&gt;=1),"-",IF(ISERROR($R56*1),LEFT($R56,2)*1,$R56*1))</f>
        <v>-</v>
      </c>
      <c r="N56" s="717" t="str">
        <f>IF(OR(L56="",COUNTIF($N$4:N55,V56*1)&gt;=1),"-",V56*1)</f>
        <v>-</v>
      </c>
      <c r="O56" s="733"/>
      <c r="P56" s="733"/>
      <c r="Q56" s="733"/>
      <c r="R56" s="733"/>
      <c r="S56" s="734"/>
      <c r="T56" s="735"/>
      <c r="U56" s="782"/>
      <c r="V56" s="734"/>
      <c r="W56" s="733"/>
    </row>
    <row r="57" spans="12:23" hidden="1">
      <c r="L57" s="717" t="str">
        <f t="shared" si="0"/>
        <v/>
      </c>
      <c r="M57" s="717" t="str">
        <f>IF(OR(L57="",COUNTIF($M$4:M56,IF(ISERROR($R57*1),LEFT($R57,2)*1,$R57*1))&gt;=1),"-",IF(ISERROR($R57*1),LEFT($R57,2)*1,$R57*1))</f>
        <v>-</v>
      </c>
      <c r="N57" s="717" t="str">
        <f>IF(OR(L57="",COUNTIF($N$4:N56,V57*1)&gt;=1),"-",V57*1)</f>
        <v>-</v>
      </c>
      <c r="O57" s="733"/>
      <c r="P57" s="733"/>
      <c r="Q57" s="733"/>
      <c r="R57" s="733"/>
      <c r="S57" s="734"/>
      <c r="T57" s="735"/>
      <c r="U57" s="782"/>
      <c r="V57" s="734"/>
      <c r="W57" s="733"/>
    </row>
    <row r="58" spans="12:23" hidden="1">
      <c r="L58" s="717" t="str">
        <f t="shared" si="0"/>
        <v/>
      </c>
      <c r="M58" s="717" t="str">
        <f>IF(OR(L58="",COUNTIF($M$4:M57,IF(ISERROR($R58*1),LEFT($R58,2)*1,$R58*1))&gt;=1),"-",IF(ISERROR($R58*1),LEFT($R58,2)*1,$R58*1))</f>
        <v>-</v>
      </c>
      <c r="N58" s="717" t="str">
        <f>IF(OR(L58="",COUNTIF($N$4:N57,V58*1)&gt;=1),"-",V58*1)</f>
        <v>-</v>
      </c>
      <c r="O58" s="733"/>
      <c r="P58" s="733"/>
      <c r="Q58" s="733"/>
      <c r="R58" s="733"/>
      <c r="S58" s="734"/>
      <c r="T58" s="735"/>
      <c r="U58" s="782"/>
      <c r="V58" s="734"/>
      <c r="W58" s="733"/>
    </row>
    <row r="59" spans="12:23" hidden="1">
      <c r="L59" s="717" t="str">
        <f t="shared" si="0"/>
        <v/>
      </c>
      <c r="M59" s="717" t="str">
        <f>IF(OR(L59="",COUNTIF($M$4:M58,IF(ISERROR($R59*1),LEFT($R59,2)*1,$R59*1))&gt;=1),"-",IF(ISERROR($R59*1),LEFT($R59,2)*1,$R59*1))</f>
        <v>-</v>
      </c>
      <c r="N59" s="717" t="str">
        <f>IF(OR(L59="",COUNTIF($N$4:N58,V59*1)&gt;=1),"-",V59*1)</f>
        <v>-</v>
      </c>
      <c r="O59" s="733"/>
      <c r="P59" s="733"/>
      <c r="Q59" s="733"/>
      <c r="R59" s="733"/>
      <c r="S59" s="734"/>
      <c r="T59" s="735"/>
      <c r="U59" s="782"/>
      <c r="V59" s="734"/>
      <c r="W59" s="733"/>
    </row>
    <row r="60" spans="12:23" hidden="1">
      <c r="L60" s="717" t="str">
        <f t="shared" si="0"/>
        <v/>
      </c>
      <c r="M60" s="717" t="str">
        <f>IF(OR(L60="",COUNTIF($M$4:M59,IF(ISERROR($R60*1),LEFT($R60,2)*1,$R60*1))&gt;=1),"-",IF(ISERROR($R60*1),LEFT($R60,2)*1,$R60*1))</f>
        <v>-</v>
      </c>
      <c r="N60" s="717" t="str">
        <f>IF(OR(L60="",COUNTIF($N$4:N59,V60*1)&gt;=1),"-",V60*1)</f>
        <v>-</v>
      </c>
      <c r="O60" s="733"/>
      <c r="P60" s="733"/>
      <c r="Q60" s="733"/>
      <c r="R60" s="733"/>
      <c r="S60" s="734"/>
      <c r="T60" s="735"/>
      <c r="U60" s="782"/>
      <c r="V60" s="734"/>
      <c r="W60" s="733"/>
    </row>
    <row r="61" spans="12:23" hidden="1">
      <c r="L61" s="717" t="str">
        <f t="shared" si="0"/>
        <v/>
      </c>
      <c r="M61" s="717" t="str">
        <f>IF(OR(L61="",COUNTIF($M$4:M60,IF(ISERROR($R61*1),LEFT($R61,2)*1,$R61*1))&gt;=1),"-",IF(ISERROR($R61*1),LEFT($R61,2)*1,$R61*1))</f>
        <v>-</v>
      </c>
      <c r="N61" s="717" t="str">
        <f>IF(OR(L61="",COUNTIF($N$4:N60,V61*1)&gt;=1),"-",V61*1)</f>
        <v>-</v>
      </c>
      <c r="O61" s="733"/>
      <c r="P61" s="733"/>
      <c r="Q61" s="733"/>
      <c r="R61" s="733"/>
      <c r="S61" s="734"/>
      <c r="T61" s="735"/>
      <c r="U61" s="782"/>
      <c r="V61" s="734"/>
      <c r="W61" s="733"/>
    </row>
    <row r="62" spans="12:23" hidden="1">
      <c r="L62" s="717" t="str">
        <f t="shared" si="0"/>
        <v/>
      </c>
      <c r="M62" s="717" t="str">
        <f>IF(OR(L62="",COUNTIF($M$4:M61,IF(ISERROR($R62*1),LEFT($R62,2)*1,$R62*1))&gt;=1),"-",IF(ISERROR($R62*1),LEFT($R62,2)*1,$R62*1))</f>
        <v>-</v>
      </c>
      <c r="N62" s="717" t="str">
        <f>IF(OR(L62="",COUNTIF($N$4:N61,V62*1)&gt;=1),"-",V62*1)</f>
        <v>-</v>
      </c>
      <c r="O62" s="733"/>
      <c r="P62" s="733"/>
      <c r="Q62" s="733"/>
      <c r="R62" s="733"/>
      <c r="S62" s="734"/>
      <c r="T62" s="735"/>
      <c r="U62" s="782"/>
      <c r="V62" s="734"/>
      <c r="W62" s="733"/>
    </row>
    <row r="63" spans="12:23" hidden="1">
      <c r="L63" s="717" t="str">
        <f t="shared" si="0"/>
        <v/>
      </c>
      <c r="M63" s="717" t="str">
        <f>IF(OR(L63="",COUNTIF($M$4:M62,IF(ISERROR($R63*1),LEFT($R63,2)*1,$R63*1))&gt;=1),"-",IF(ISERROR($R63*1),LEFT($R63,2)*1,$R63*1))</f>
        <v>-</v>
      </c>
      <c r="N63" s="717" t="str">
        <f>IF(OR(L63="",COUNTIF($N$4:N62,V63*1)&gt;=1),"-",V63*1)</f>
        <v>-</v>
      </c>
      <c r="O63" s="733"/>
      <c r="P63" s="733"/>
      <c r="Q63" s="733"/>
      <c r="R63" s="733"/>
      <c r="S63" s="734"/>
      <c r="T63" s="735"/>
      <c r="U63" s="782"/>
      <c r="V63" s="734"/>
      <c r="W63" s="733"/>
    </row>
    <row r="64" spans="12:23" hidden="1">
      <c r="L64" s="717" t="str">
        <f t="shared" si="0"/>
        <v/>
      </c>
      <c r="M64" s="717" t="str">
        <f>IF(OR(L64="",COUNTIF($M$4:M63,IF(ISERROR($R64*1),LEFT($R64,2)*1,$R64*1))&gt;=1),"-",IF(ISERROR($R64*1),LEFT($R64,2)*1,$R64*1))</f>
        <v>-</v>
      </c>
      <c r="N64" s="717" t="str">
        <f>IF(OR(L64="",COUNTIF($N$4:N63,V64*1)&gt;=1),"-",V64*1)</f>
        <v>-</v>
      </c>
      <c r="O64" s="733"/>
      <c r="P64" s="733"/>
      <c r="Q64" s="733"/>
      <c r="R64" s="733"/>
      <c r="S64" s="734"/>
      <c r="T64" s="735"/>
      <c r="U64" s="782"/>
      <c r="V64" s="734"/>
      <c r="W64" s="733"/>
    </row>
    <row r="65" spans="12:23" hidden="1">
      <c r="L65" s="717" t="str">
        <f t="shared" si="0"/>
        <v/>
      </c>
      <c r="M65" s="717" t="str">
        <f>IF(OR(L65="",COUNTIF($M$4:M64,IF(ISERROR($R65*1),LEFT($R65,2)*1,$R65*1))&gt;=1),"-",IF(ISERROR($R65*1),LEFT($R65,2)*1,$R65*1))</f>
        <v>-</v>
      </c>
      <c r="N65" s="717" t="str">
        <f>IF(OR(L65="",COUNTIF($N$4:N64,V65*1)&gt;=1),"-",V65*1)</f>
        <v>-</v>
      </c>
      <c r="O65" s="733"/>
      <c r="P65" s="733"/>
      <c r="Q65" s="733"/>
      <c r="R65" s="733"/>
      <c r="S65" s="734"/>
      <c r="T65" s="735"/>
      <c r="U65" s="782"/>
      <c r="V65" s="734"/>
      <c r="W65" s="733"/>
    </row>
    <row r="66" spans="12:23" hidden="1">
      <c r="L66" s="717" t="str">
        <f t="shared" si="0"/>
        <v/>
      </c>
      <c r="M66" s="717" t="str">
        <f>IF(OR(L66="",COUNTIF($M$4:M65,IF(ISERROR($R66*1),LEFT($R66,2)*1,$R66*1))&gt;=1),"-",IF(ISERROR($R66*1),LEFT($R66,2)*1,$R66*1))</f>
        <v>-</v>
      </c>
      <c r="N66" s="717" t="str">
        <f>IF(OR(L66="",COUNTIF($N$4:N65,V66*1)&gt;=1),"-",V66*1)</f>
        <v>-</v>
      </c>
      <c r="O66" s="733"/>
      <c r="P66" s="733"/>
      <c r="Q66" s="733"/>
      <c r="R66" s="733"/>
      <c r="S66" s="734"/>
      <c r="T66" s="735"/>
      <c r="U66" s="782"/>
      <c r="V66" s="734"/>
      <c r="W66" s="733"/>
    </row>
    <row r="67" spans="12:23" hidden="1">
      <c r="L67" s="717" t="str">
        <f t="shared" si="0"/>
        <v/>
      </c>
      <c r="M67" s="717" t="str">
        <f>IF(OR(L67="",COUNTIF($M$4:M66,IF(ISERROR($R67*1),LEFT($R67,2)*1,$R67*1))&gt;=1),"-",IF(ISERROR($R67*1),LEFT($R67,2)*1,$R67*1))</f>
        <v>-</v>
      </c>
      <c r="N67" s="717" t="str">
        <f>IF(OR(L67="",COUNTIF($N$4:N66,V67*1)&gt;=1),"-",V67*1)</f>
        <v>-</v>
      </c>
      <c r="O67" s="733"/>
      <c r="P67" s="733"/>
      <c r="Q67" s="733"/>
      <c r="R67" s="733"/>
      <c r="S67" s="734"/>
      <c r="T67" s="735"/>
      <c r="U67" s="782"/>
      <c r="V67" s="734"/>
      <c r="W67" s="733"/>
    </row>
    <row r="68" spans="12:23" hidden="1">
      <c r="L68" s="717" t="str">
        <f t="shared" ref="L68:L102" si="5">IF(P68&lt;&gt;$B$1,"",P68&amp;Q68&amp;R68&amp;V68)</f>
        <v/>
      </c>
      <c r="M68" s="717" t="str">
        <f>IF(OR(L68="",COUNTIF($M$4:M67,IF(ISERROR($R68*1),LEFT($R68,2)*1,$R68*1))&gt;=1),"-",IF(ISERROR($R68*1),LEFT($R68,2)*1,$R68*1))</f>
        <v>-</v>
      </c>
      <c r="N68" s="717" t="str">
        <f>IF(OR(L68="",COUNTIF($N$4:N67,V68*1)&gt;=1),"-",V68*1)</f>
        <v>-</v>
      </c>
      <c r="O68" s="733"/>
      <c r="P68" s="733"/>
      <c r="Q68" s="733"/>
      <c r="R68" s="733"/>
      <c r="S68" s="734"/>
      <c r="T68" s="735"/>
      <c r="U68" s="782"/>
      <c r="V68" s="734"/>
      <c r="W68" s="733"/>
    </row>
    <row r="69" spans="12:23" hidden="1">
      <c r="L69" s="717" t="str">
        <f t="shared" si="5"/>
        <v/>
      </c>
      <c r="M69" s="717" t="str">
        <f>IF(OR(L69="",COUNTIF($M$4:M68,IF(ISERROR($R69*1),LEFT($R69,2)*1,$R69*1))&gt;=1),"-",IF(ISERROR($R69*1),LEFT($R69,2)*1,$R69*1))</f>
        <v>-</v>
      </c>
      <c r="N69" s="717" t="str">
        <f>IF(OR(L69="",COUNTIF($N$4:N68,V69*1)&gt;=1),"-",V69*1)</f>
        <v>-</v>
      </c>
      <c r="O69" s="733"/>
      <c r="P69" s="733"/>
      <c r="Q69" s="733"/>
      <c r="R69" s="733"/>
      <c r="S69" s="734"/>
      <c r="T69" s="735"/>
      <c r="U69" s="782"/>
      <c r="V69" s="734"/>
      <c r="W69" s="733"/>
    </row>
    <row r="70" spans="12:23" hidden="1">
      <c r="L70" s="717" t="str">
        <f t="shared" si="5"/>
        <v/>
      </c>
      <c r="M70" s="717" t="str">
        <f>IF(OR(L70="",COUNTIF($M$4:M69,IF(ISERROR($R70*1),LEFT($R70,2)*1,$R70*1))&gt;=1),"-",IF(ISERROR($R70*1),LEFT($R70,2)*1,$R70*1))</f>
        <v>-</v>
      </c>
      <c r="N70" s="717" t="str">
        <f>IF(OR(L70="",COUNTIF($N$4:N69,V70*1)&gt;=1),"-",V70*1)</f>
        <v>-</v>
      </c>
      <c r="O70" s="733"/>
      <c r="P70" s="733"/>
      <c r="Q70" s="733"/>
      <c r="R70" s="733"/>
      <c r="S70" s="734"/>
      <c r="T70" s="735"/>
      <c r="U70" s="782"/>
      <c r="V70" s="734"/>
      <c r="W70" s="733"/>
    </row>
    <row r="71" spans="12:23" hidden="1">
      <c r="L71" s="717" t="str">
        <f t="shared" si="5"/>
        <v/>
      </c>
      <c r="M71" s="717" t="str">
        <f>IF(OR(L71="",COUNTIF($M$4:M70,IF(ISERROR($R71*1),LEFT($R71,2)*1,$R71*1))&gt;=1),"-",IF(ISERROR($R71*1),LEFT($R71,2)*1,$R71*1))</f>
        <v>-</v>
      </c>
      <c r="N71" s="717" t="str">
        <f>IF(OR(L71="",COUNTIF($N$4:N70,V71*1)&gt;=1),"-",V71*1)</f>
        <v>-</v>
      </c>
      <c r="O71" s="733"/>
      <c r="P71" s="733"/>
      <c r="Q71" s="733"/>
      <c r="R71" s="733"/>
      <c r="S71" s="734"/>
      <c r="T71" s="735"/>
      <c r="U71" s="782"/>
      <c r="V71" s="734"/>
      <c r="W71" s="733"/>
    </row>
    <row r="72" spans="12:23" hidden="1">
      <c r="L72" s="717" t="str">
        <f t="shared" si="5"/>
        <v/>
      </c>
      <c r="M72" s="717" t="str">
        <f>IF(OR(L72="",COUNTIF($M$4:M71,IF(ISERROR($R72*1),LEFT($R72,2)*1,$R72*1))&gt;=1),"-",IF(ISERROR($R72*1),LEFT($R72,2)*1,$R72*1))</f>
        <v>-</v>
      </c>
      <c r="N72" s="717" t="str">
        <f>IF(OR(L72="",COUNTIF($N$4:N71,V72*1)&gt;=1),"-",V72*1)</f>
        <v>-</v>
      </c>
      <c r="O72" s="733"/>
      <c r="P72" s="733"/>
      <c r="Q72" s="733"/>
      <c r="R72" s="733"/>
      <c r="S72" s="734"/>
      <c r="T72" s="735"/>
      <c r="U72" s="782"/>
      <c r="V72" s="734"/>
      <c r="W72" s="733"/>
    </row>
    <row r="73" spans="12:23" hidden="1">
      <c r="L73" s="717" t="str">
        <f t="shared" si="5"/>
        <v/>
      </c>
      <c r="M73" s="717" t="str">
        <f>IF(OR(L73="",COUNTIF($M$4:M72,IF(ISERROR($R73*1),LEFT($R73,2)*1,$R73*1))&gt;=1),"-",IF(ISERROR($R73*1),LEFT($R73,2)*1,$R73*1))</f>
        <v>-</v>
      </c>
      <c r="N73" s="717" t="str">
        <f>IF(OR(L73="",COUNTIF($N$4:N72,V73*1)&gt;=1),"-",V73*1)</f>
        <v>-</v>
      </c>
      <c r="O73" s="733"/>
      <c r="P73" s="733"/>
      <c r="Q73" s="733"/>
      <c r="R73" s="733"/>
      <c r="S73" s="734"/>
      <c r="T73" s="735"/>
      <c r="U73" s="782"/>
      <c r="V73" s="734"/>
      <c r="W73" s="733"/>
    </row>
    <row r="74" spans="12:23" hidden="1">
      <c r="L74" s="717" t="str">
        <f t="shared" si="5"/>
        <v/>
      </c>
      <c r="M74" s="717" t="str">
        <f>IF(OR(L74="",COUNTIF($M$4:M73,IF(ISERROR($R74*1),LEFT($R74,2)*1,$R74*1))&gt;=1),"-",IF(ISERROR($R74*1),LEFT($R74,2)*1,$R74*1))</f>
        <v>-</v>
      </c>
      <c r="N74" s="717" t="str">
        <f>IF(OR(L74="",COUNTIF($N$4:N73,V74*1)&gt;=1),"-",V74*1)</f>
        <v>-</v>
      </c>
      <c r="O74" s="733"/>
      <c r="P74" s="733"/>
      <c r="Q74" s="733"/>
      <c r="R74" s="733"/>
      <c r="S74" s="734"/>
      <c r="T74" s="735"/>
      <c r="U74" s="782"/>
      <c r="V74" s="734"/>
      <c r="W74" s="733"/>
    </row>
    <row r="75" spans="12:23" hidden="1">
      <c r="L75" s="717" t="str">
        <f t="shared" si="5"/>
        <v/>
      </c>
      <c r="M75" s="717" t="str">
        <f>IF(OR(L75="",COUNTIF($M$4:M74,IF(ISERROR($R75*1),LEFT($R75,2)*1,$R75*1))&gt;=1),"-",IF(ISERROR($R75*1),LEFT($R75,2)*1,$R75*1))</f>
        <v>-</v>
      </c>
      <c r="N75" s="717" t="str">
        <f>IF(OR(L75="",COUNTIF($N$4:N74,V75*1)&gt;=1),"-",V75*1)</f>
        <v>-</v>
      </c>
      <c r="O75" s="733"/>
      <c r="P75" s="733"/>
      <c r="Q75" s="733"/>
      <c r="R75" s="733"/>
      <c r="S75" s="734"/>
      <c r="T75" s="735"/>
      <c r="U75" s="782"/>
      <c r="V75" s="734"/>
      <c r="W75" s="733"/>
    </row>
    <row r="76" spans="12:23" hidden="1">
      <c r="L76" s="717" t="str">
        <f t="shared" si="5"/>
        <v/>
      </c>
      <c r="M76" s="717" t="str">
        <f>IF(OR(L76="",COUNTIF($M$4:M75,IF(ISERROR($R76*1),LEFT($R76,2)*1,$R76*1))&gt;=1),"-",IF(ISERROR($R76*1),LEFT($R76,2)*1,$R76*1))</f>
        <v>-</v>
      </c>
      <c r="N76" s="717" t="str">
        <f>IF(OR(L76="",COUNTIF($N$4:N75,V76*1)&gt;=1),"-",V76*1)</f>
        <v>-</v>
      </c>
      <c r="O76" s="733"/>
      <c r="P76" s="733"/>
      <c r="Q76" s="733"/>
      <c r="R76" s="733"/>
      <c r="S76" s="734"/>
      <c r="T76" s="735"/>
      <c r="U76" s="734"/>
      <c r="V76" s="734"/>
      <c r="W76" s="733"/>
    </row>
    <row r="77" spans="12:23" hidden="1">
      <c r="L77" s="717" t="str">
        <f t="shared" si="5"/>
        <v/>
      </c>
      <c r="M77" s="717" t="str">
        <f>IF(OR(L77="",COUNTIF($M$4:M76,IF(ISERROR($R77*1),LEFT($R77,2)*1,$R77*1))&gt;=1),"-",IF(ISERROR($R77*1),LEFT($R77,2)*1,$R77*1))</f>
        <v>-</v>
      </c>
      <c r="N77" s="717" t="str">
        <f>IF(OR(L77="",COUNTIF($N$4:N76,V77*1)&gt;=1),"-",V77*1)</f>
        <v>-</v>
      </c>
      <c r="O77" s="733"/>
      <c r="P77" s="733"/>
      <c r="Q77" s="733"/>
      <c r="R77" s="733"/>
      <c r="S77" s="734"/>
      <c r="T77" s="735"/>
      <c r="U77" s="734"/>
      <c r="V77" s="734"/>
      <c r="W77" s="733"/>
    </row>
    <row r="78" spans="12:23" hidden="1">
      <c r="L78" s="717" t="str">
        <f t="shared" si="5"/>
        <v/>
      </c>
      <c r="M78" s="717" t="str">
        <f>IF(OR(L78="",COUNTIF($M$4:M77,IF(ISERROR($R78*1),LEFT($R78,2)*1,$R78*1))&gt;=1),"-",IF(ISERROR($R78*1),LEFT($R78,2)*1,$R78*1))</f>
        <v>-</v>
      </c>
      <c r="N78" s="717" t="str">
        <f>IF(OR(L78="",COUNTIF($N$4:N77,V78*1)&gt;=1),"-",V78*1)</f>
        <v>-</v>
      </c>
      <c r="O78" s="733"/>
      <c r="P78" s="733"/>
      <c r="Q78" s="733"/>
      <c r="R78" s="733"/>
      <c r="S78" s="734"/>
      <c r="T78" s="735"/>
      <c r="U78" s="734"/>
      <c r="V78" s="734"/>
      <c r="W78" s="733"/>
    </row>
    <row r="79" spans="12:23" hidden="1">
      <c r="L79" s="717" t="str">
        <f t="shared" si="5"/>
        <v/>
      </c>
      <c r="M79" s="717" t="str">
        <f>IF(OR(L79="",COUNTIF($M$4:M78,IF(ISERROR($R79*1),LEFT($R79,2)*1,$R79*1))&gt;=1),"-",IF(ISERROR($R79*1),LEFT($R79,2)*1,$R79*1))</f>
        <v>-</v>
      </c>
      <c r="N79" s="717" t="str">
        <f>IF(OR(L79="",COUNTIF($N$4:N78,V79*1)&gt;=1),"-",V79*1)</f>
        <v>-</v>
      </c>
      <c r="O79" s="733"/>
      <c r="P79" s="733"/>
      <c r="Q79" s="733"/>
      <c r="R79" s="733"/>
      <c r="S79" s="734"/>
      <c r="T79" s="735"/>
      <c r="U79" s="734"/>
      <c r="V79" s="734"/>
      <c r="W79" s="733"/>
    </row>
    <row r="80" spans="12:23" hidden="1">
      <c r="L80" s="717" t="str">
        <f t="shared" si="5"/>
        <v/>
      </c>
      <c r="M80" s="717" t="str">
        <f>IF(OR(L80="",COUNTIF($M$4:M79,IF(ISERROR($R80*1),LEFT($R80,2)*1,$R80*1))&gt;=1),"-",IF(ISERROR($R80*1),LEFT($R80,2)*1,$R80*1))</f>
        <v>-</v>
      </c>
      <c r="N80" s="717" t="str">
        <f>IF(OR(L80="",COUNTIF($N$4:N79,V80*1)&gt;=1),"-",V80*1)</f>
        <v>-</v>
      </c>
      <c r="O80" s="733"/>
      <c r="P80" s="733"/>
      <c r="Q80" s="733"/>
      <c r="R80" s="733"/>
      <c r="S80" s="734"/>
      <c r="T80" s="735"/>
      <c r="U80" s="734"/>
      <c r="V80" s="734"/>
      <c r="W80" s="733"/>
    </row>
    <row r="81" spans="12:23" hidden="1">
      <c r="L81" s="717" t="str">
        <f t="shared" si="5"/>
        <v/>
      </c>
      <c r="M81" s="717" t="str">
        <f>IF(OR(L81="",COUNTIF($M$4:M80,IF(ISERROR($R81*1),LEFT($R81,2)*1,$R81*1))&gt;=1),"-",IF(ISERROR($R81*1),LEFT($R81,2)*1,$R81*1))</f>
        <v>-</v>
      </c>
      <c r="N81" s="717" t="str">
        <f>IF(OR(L81="",COUNTIF($N$4:N80,V81*1)&gt;=1),"-",V81*1)</f>
        <v>-</v>
      </c>
      <c r="O81" s="733"/>
      <c r="P81" s="733"/>
      <c r="Q81" s="733"/>
      <c r="R81" s="733"/>
      <c r="S81" s="734"/>
      <c r="T81" s="735"/>
      <c r="U81" s="734"/>
      <c r="V81" s="734"/>
      <c r="W81" s="733"/>
    </row>
    <row r="82" spans="12:23" hidden="1">
      <c r="L82" s="717" t="str">
        <f t="shared" si="5"/>
        <v/>
      </c>
      <c r="M82" s="717" t="str">
        <f>IF(OR(L82="",COUNTIF($M$4:M81,IF(ISERROR($R82*1),LEFT($R82,2)*1,$R82*1))&gt;=1),"-",IF(ISERROR($R82*1),LEFT($R82,2)*1,$R82*1))</f>
        <v>-</v>
      </c>
      <c r="N82" s="717" t="str">
        <f>IF(OR(L82="",COUNTIF($N$4:N81,V82*1)&gt;=1),"-",V82*1)</f>
        <v>-</v>
      </c>
      <c r="O82" s="733"/>
      <c r="P82" s="733"/>
      <c r="Q82" s="733"/>
      <c r="R82" s="733"/>
      <c r="S82" s="734"/>
      <c r="T82" s="735"/>
      <c r="U82" s="734"/>
      <c r="V82" s="734"/>
      <c r="W82" s="733"/>
    </row>
    <row r="83" spans="12:23" hidden="1">
      <c r="L83" s="717" t="str">
        <f t="shared" si="5"/>
        <v/>
      </c>
      <c r="M83" s="717" t="str">
        <f>IF(OR(L83="",COUNTIF($M$4:M82,IF(ISERROR($R83*1),LEFT($R83,2)*1,$R83*1))&gt;=1),"-",IF(ISERROR($R83*1),LEFT($R83,2)*1,$R83*1))</f>
        <v>-</v>
      </c>
      <c r="N83" s="717" t="str">
        <f>IF(OR(L83="",COUNTIF($N$4:N82,V83*1)&gt;=1),"-",V83*1)</f>
        <v>-</v>
      </c>
      <c r="O83" s="733"/>
      <c r="P83" s="733"/>
      <c r="Q83" s="733"/>
      <c r="R83" s="733"/>
      <c r="S83" s="734"/>
      <c r="T83" s="735"/>
      <c r="U83" s="734"/>
      <c r="V83" s="734"/>
      <c r="W83" s="733"/>
    </row>
    <row r="84" spans="12:23" hidden="1">
      <c r="L84" s="717" t="str">
        <f t="shared" si="5"/>
        <v/>
      </c>
      <c r="M84" s="717" t="str">
        <f>IF(OR(L84="",COUNTIF($M$4:M83,IF(ISERROR($R84*1),LEFT($R84,2)*1,$R84*1))&gt;=1),"-",IF(ISERROR($R84*1),LEFT($R84,2)*1,$R84*1))</f>
        <v>-</v>
      </c>
      <c r="N84" s="717" t="str">
        <f>IF(OR(L84="",COUNTIF($N$4:N83,V84*1)&gt;=1),"-",V84*1)</f>
        <v>-</v>
      </c>
      <c r="O84" s="733"/>
      <c r="P84" s="733"/>
      <c r="Q84" s="733"/>
      <c r="R84" s="733"/>
      <c r="S84" s="734"/>
      <c r="T84" s="735"/>
      <c r="U84" s="734"/>
      <c r="V84" s="734"/>
      <c r="W84" s="733"/>
    </row>
    <row r="85" spans="12:23" hidden="1">
      <c r="L85" s="717" t="str">
        <f t="shared" si="5"/>
        <v/>
      </c>
      <c r="M85" s="717" t="str">
        <f>IF(OR(L85="",COUNTIF($M$4:M84,IF(ISERROR($R85*1),LEFT($R85,2)*1,$R85*1))&gt;=1),"-",IF(ISERROR($R85*1),LEFT($R85,2)*1,$R85*1))</f>
        <v>-</v>
      </c>
      <c r="N85" s="717" t="str">
        <f>IF(OR(L85="",COUNTIF($N$4:N84,V85*1)&gt;=1),"-",V85*1)</f>
        <v>-</v>
      </c>
      <c r="O85" s="733"/>
      <c r="P85" s="733"/>
      <c r="Q85" s="733"/>
      <c r="R85" s="733"/>
      <c r="S85" s="734"/>
      <c r="T85" s="735"/>
      <c r="U85" s="734"/>
      <c r="V85" s="734"/>
      <c r="W85" s="733"/>
    </row>
    <row r="86" spans="12:23" hidden="1">
      <c r="L86" s="717" t="str">
        <f t="shared" si="5"/>
        <v/>
      </c>
      <c r="M86" s="717" t="str">
        <f>IF(OR(L86="",COUNTIF($M$4:M85,IF(ISERROR($R86*1),LEFT($R86,2)*1,$R86*1))&gt;=1),"-",IF(ISERROR($R86*1),LEFT($R86,2)*1,$R86*1))</f>
        <v>-</v>
      </c>
      <c r="N86" s="717" t="str">
        <f>IF(OR(L86="",COUNTIF($N$4:N85,V86*1)&gt;=1),"-",V86*1)</f>
        <v>-</v>
      </c>
      <c r="O86" s="733"/>
      <c r="P86" s="733"/>
      <c r="Q86" s="733"/>
      <c r="R86" s="733"/>
      <c r="S86" s="734"/>
      <c r="T86" s="735"/>
      <c r="U86" s="734"/>
      <c r="V86" s="734"/>
      <c r="W86" s="733"/>
    </row>
    <row r="87" spans="12:23" hidden="1">
      <c r="L87" s="717" t="str">
        <f t="shared" si="5"/>
        <v/>
      </c>
      <c r="M87" s="717" t="str">
        <f>IF(OR(L87="",COUNTIF($M$4:M86,IF(ISERROR($R87*1),LEFT($R87,2)*1,$R87*1))&gt;=1),"-",IF(ISERROR($R87*1),LEFT($R87,2)*1,$R87*1))</f>
        <v>-</v>
      </c>
      <c r="N87" s="717" t="str">
        <f>IF(OR(L87="",COUNTIF($N$4:N86,V87*1)&gt;=1),"-",V87*1)</f>
        <v>-</v>
      </c>
      <c r="O87" s="733"/>
      <c r="P87" s="733"/>
      <c r="Q87" s="733"/>
      <c r="R87" s="733"/>
      <c r="S87" s="734"/>
      <c r="T87" s="735"/>
      <c r="U87" s="734"/>
      <c r="V87" s="734"/>
      <c r="W87" s="733"/>
    </row>
    <row r="88" spans="12:23" hidden="1">
      <c r="L88" s="717" t="str">
        <f t="shared" si="5"/>
        <v/>
      </c>
      <c r="M88" s="717" t="str">
        <f>IF(OR(L88="",COUNTIF($M$4:M87,IF(ISERROR($R88*1),LEFT($R88,2)*1,$R88*1))&gt;=1),"-",IF(ISERROR($R88*1),LEFT($R88,2)*1,$R88*1))</f>
        <v>-</v>
      </c>
      <c r="N88" s="717" t="str">
        <f>IF(OR(L88="",COUNTIF($N$4:N87,V88*1)&gt;=1),"-",V88*1)</f>
        <v>-</v>
      </c>
      <c r="O88" s="733"/>
      <c r="P88" s="733"/>
      <c r="Q88" s="733"/>
      <c r="R88" s="733"/>
      <c r="S88" s="734"/>
      <c r="T88" s="735"/>
      <c r="U88" s="734"/>
      <c r="V88" s="734"/>
      <c r="W88" s="733"/>
    </row>
    <row r="89" spans="12:23" hidden="1">
      <c r="L89" s="717" t="str">
        <f t="shared" si="5"/>
        <v/>
      </c>
      <c r="M89" s="717" t="str">
        <f>IF(OR(L89="",COUNTIF($M$4:M88,IF(ISERROR($R89*1),LEFT($R89,2)*1,$R89*1))&gt;=1),"-",IF(ISERROR($R89*1),LEFT($R89,2)*1,$R89*1))</f>
        <v>-</v>
      </c>
      <c r="N89" s="717" t="str">
        <f>IF(OR(L89="",COUNTIF($N$4:N88,V89*1)&gt;=1),"-",V89*1)</f>
        <v>-</v>
      </c>
      <c r="O89" s="733"/>
      <c r="P89" s="733"/>
      <c r="Q89" s="733"/>
      <c r="R89" s="733"/>
      <c r="S89" s="734"/>
      <c r="T89" s="735"/>
      <c r="U89" s="734"/>
      <c r="V89" s="734"/>
      <c r="W89" s="733"/>
    </row>
    <row r="90" spans="12:23" hidden="1">
      <c r="L90" s="717" t="str">
        <f t="shared" si="5"/>
        <v/>
      </c>
      <c r="M90" s="717" t="str">
        <f>IF(OR(L90="",COUNTIF($M$4:M89,IF(ISERROR($R90*1),LEFT($R90,2)*1,$R90*1))&gt;=1),"-",IF(ISERROR($R90*1),LEFT($R90,2)*1,$R90*1))</f>
        <v>-</v>
      </c>
      <c r="N90" s="717" t="str">
        <f>IF(OR(L90="",COUNTIF($N$4:N89,V90*1)&gt;=1),"-",V90*1)</f>
        <v>-</v>
      </c>
      <c r="O90" s="733"/>
      <c r="P90" s="733"/>
      <c r="Q90" s="733"/>
      <c r="R90" s="733"/>
      <c r="S90" s="734"/>
      <c r="T90" s="735"/>
      <c r="U90" s="734"/>
      <c r="V90" s="734"/>
      <c r="W90" s="733"/>
    </row>
    <row r="91" spans="12:23" hidden="1">
      <c r="L91" s="717" t="str">
        <f t="shared" si="5"/>
        <v/>
      </c>
      <c r="M91" s="717" t="str">
        <f>IF(OR(L91="",COUNTIF($M$4:M90,IF(ISERROR($R91*1),LEFT($R91,2)*1,$R91*1))&gt;=1),"-",IF(ISERROR($R91*1),LEFT($R91,2)*1,$R91*1))</f>
        <v>-</v>
      </c>
      <c r="N91" s="717" t="str">
        <f>IF(OR(L91="",COUNTIF($N$4:N90,V91*1)&gt;=1),"-",V91*1)</f>
        <v>-</v>
      </c>
      <c r="O91" s="733"/>
      <c r="P91" s="733"/>
      <c r="Q91" s="733"/>
      <c r="R91" s="733"/>
      <c r="S91" s="734"/>
      <c r="T91" s="735"/>
      <c r="U91" s="734"/>
      <c r="V91" s="734"/>
      <c r="W91" s="733"/>
    </row>
    <row r="92" spans="12:23" hidden="1">
      <c r="L92" s="717" t="str">
        <f t="shared" si="5"/>
        <v/>
      </c>
      <c r="M92" s="717" t="str">
        <f>IF(OR(L92="",COUNTIF($M$4:M91,IF(ISERROR($R92*1),LEFT($R92,2)*1,$R92*1))&gt;=1),"-",IF(ISERROR($R92*1),LEFT($R92,2)*1,$R92*1))</f>
        <v>-</v>
      </c>
      <c r="N92" s="717" t="str">
        <f>IF(OR(L92="",COUNTIF($N$4:N91,V92*1)&gt;=1),"-",V92*1)</f>
        <v>-</v>
      </c>
      <c r="O92" s="733"/>
      <c r="P92" s="733"/>
      <c r="Q92" s="733"/>
      <c r="R92" s="733"/>
      <c r="S92" s="734"/>
      <c r="T92" s="735"/>
      <c r="U92" s="734"/>
      <c r="V92" s="734"/>
      <c r="W92" s="733"/>
    </row>
    <row r="93" spans="12:23" hidden="1">
      <c r="L93" s="717" t="str">
        <f t="shared" si="5"/>
        <v/>
      </c>
      <c r="M93" s="717" t="str">
        <f>IF(OR(L93="",COUNTIF($M$4:M92,IF(ISERROR($R93*1),LEFT($R93,2)*1,$R93*1))&gt;=1),"-",IF(ISERROR($R93*1),LEFT($R93,2)*1,$R93*1))</f>
        <v>-</v>
      </c>
      <c r="N93" s="717" t="str">
        <f>IF(OR(L93="",COUNTIF($N$4:N92,V93*1)&gt;=1),"-",V93*1)</f>
        <v>-</v>
      </c>
      <c r="O93" s="733"/>
      <c r="P93" s="733"/>
      <c r="Q93" s="733"/>
      <c r="R93" s="733"/>
      <c r="S93" s="734"/>
      <c r="T93" s="735"/>
      <c r="U93" s="734"/>
      <c r="V93" s="734"/>
      <c r="W93" s="733"/>
    </row>
    <row r="94" spans="12:23" hidden="1">
      <c r="L94" s="717" t="str">
        <f t="shared" si="5"/>
        <v/>
      </c>
      <c r="M94" s="717" t="str">
        <f>IF(OR(L94="",COUNTIF($M$4:M93,IF(ISERROR($R94*1),LEFT($R94,2)*1,$R94*1))&gt;=1),"-",IF(ISERROR($R94*1),LEFT($R94,2)*1,$R94*1))</f>
        <v>-</v>
      </c>
      <c r="N94" s="717" t="str">
        <f>IF(OR(L94="",COUNTIF($N$4:N93,V94*1)&gt;=1),"-",V94*1)</f>
        <v>-</v>
      </c>
      <c r="O94" s="733"/>
      <c r="P94" s="733"/>
      <c r="Q94" s="733"/>
      <c r="R94" s="733"/>
      <c r="S94" s="734"/>
      <c r="T94" s="735"/>
      <c r="U94" s="734"/>
      <c r="V94" s="734"/>
      <c r="W94" s="733"/>
    </row>
    <row r="95" spans="12:23" hidden="1">
      <c r="L95" s="717" t="str">
        <f t="shared" si="5"/>
        <v/>
      </c>
      <c r="M95" s="717" t="str">
        <f>IF(OR(L95="",COUNTIF($M$4:M94,IF(ISERROR($R95*1),LEFT($R95,2)*1,$R95*1))&gt;=1),"-",IF(ISERROR($R95*1),LEFT($R95,2)*1,$R95*1))</f>
        <v>-</v>
      </c>
      <c r="N95" s="717" t="str">
        <f>IF(OR(L95="",COUNTIF($N$4:N94,V95*1)&gt;=1),"-",V95*1)</f>
        <v>-</v>
      </c>
      <c r="O95" s="733"/>
      <c r="P95" s="733"/>
      <c r="Q95" s="733"/>
      <c r="R95" s="733"/>
      <c r="S95" s="734"/>
      <c r="T95" s="735"/>
      <c r="U95" s="734"/>
      <c r="V95" s="734"/>
      <c r="W95" s="733"/>
    </row>
    <row r="96" spans="12:23" hidden="1">
      <c r="L96" s="717" t="str">
        <f t="shared" si="5"/>
        <v/>
      </c>
      <c r="M96" s="717" t="str">
        <f>IF(OR(L96="",COUNTIF($M$4:M95,IF(ISERROR($R96*1),LEFT($R96,2)*1,$R96*1))&gt;=1),"-",IF(ISERROR($R96*1),LEFT($R96,2)*1,$R96*1))</f>
        <v>-</v>
      </c>
      <c r="N96" s="717" t="str">
        <f>IF(OR(L96="",COUNTIF($N$4:N95,V96*1)&gt;=1),"-",V96*1)</f>
        <v>-</v>
      </c>
      <c r="O96" s="733"/>
      <c r="P96" s="733"/>
      <c r="Q96" s="733"/>
      <c r="R96" s="733"/>
      <c r="S96" s="734"/>
      <c r="T96" s="735"/>
      <c r="U96" s="734"/>
      <c r="V96" s="734"/>
      <c r="W96" s="733"/>
    </row>
    <row r="97" spans="12:23" hidden="1">
      <c r="L97" s="717" t="str">
        <f t="shared" si="5"/>
        <v/>
      </c>
      <c r="M97" s="717" t="str">
        <f>IF(OR(L97="",COUNTIF($M$4:M96,IF(ISERROR($R97*1),LEFT($R97,2)*1,$R97*1))&gt;=1),"-",IF(ISERROR($R97*1),LEFT($R97,2)*1,$R97*1))</f>
        <v>-</v>
      </c>
      <c r="N97" s="717" t="str">
        <f>IF(OR(L97="",COUNTIF($N$4:N96,V97*1)&gt;=1),"-",V97*1)</f>
        <v>-</v>
      </c>
      <c r="O97" s="733"/>
      <c r="P97" s="733"/>
      <c r="Q97" s="733"/>
      <c r="R97" s="733"/>
      <c r="S97" s="734"/>
      <c r="T97" s="735"/>
      <c r="U97" s="734"/>
      <c r="V97" s="734"/>
      <c r="W97" s="733"/>
    </row>
    <row r="98" spans="12:23" hidden="1">
      <c r="L98" s="717" t="str">
        <f t="shared" si="5"/>
        <v/>
      </c>
      <c r="M98" s="717" t="str">
        <f>IF(OR(L98="",COUNTIF($M$4:M97,IF(ISERROR($R98*1),LEFT($R98,2)*1,$R98*1))&gt;=1),"-",IF(ISERROR($R98*1),LEFT($R98,2)*1,$R98*1))</f>
        <v>-</v>
      </c>
      <c r="N98" s="717" t="str">
        <f>IF(OR(L98="",COUNTIF($N$4:N97,V98*1)&gt;=1),"-",V98*1)</f>
        <v>-</v>
      </c>
      <c r="O98" s="733"/>
      <c r="P98" s="733"/>
      <c r="Q98" s="733"/>
      <c r="R98" s="733"/>
      <c r="S98" s="734"/>
      <c r="T98" s="735"/>
      <c r="U98" s="734"/>
      <c r="V98" s="734"/>
      <c r="W98" s="733"/>
    </row>
    <row r="99" spans="12:23" hidden="1">
      <c r="L99" s="717" t="str">
        <f t="shared" si="5"/>
        <v/>
      </c>
      <c r="M99" s="717" t="str">
        <f>IF(OR(L99="",COUNTIF($M$4:M98,IF(ISERROR($R99*1),LEFT($R99,2)*1,$R99*1))&gt;=1),"-",IF(ISERROR($R99*1),LEFT($R99,2)*1,$R99*1))</f>
        <v>-</v>
      </c>
      <c r="N99" s="717" t="str">
        <f>IF(OR(L99="",COUNTIF($N$4:N98,V99*1)&gt;=1),"-",V99*1)</f>
        <v>-</v>
      </c>
      <c r="O99" s="733"/>
      <c r="P99" s="733"/>
      <c r="Q99" s="733"/>
      <c r="R99" s="733"/>
      <c r="S99" s="734"/>
      <c r="T99" s="735"/>
      <c r="U99" s="734"/>
      <c r="V99" s="734"/>
      <c r="W99" s="733"/>
    </row>
    <row r="100" spans="12:23" hidden="1">
      <c r="L100" s="717" t="str">
        <f t="shared" si="5"/>
        <v/>
      </c>
      <c r="M100" s="717" t="str">
        <f>IF(OR(L100="",COUNTIF($M$4:M99,IF(ISERROR($R100*1),LEFT($R100,2)*1,$R100*1))&gt;=1),"-",IF(ISERROR($R100*1),LEFT($R100,2)*1,$R100*1))</f>
        <v>-</v>
      </c>
      <c r="N100" s="717" t="str">
        <f>IF(OR(L100="",COUNTIF($N$4:N99,V100*1)&gt;=1),"-",V100*1)</f>
        <v>-</v>
      </c>
      <c r="O100" s="733"/>
      <c r="P100" s="733"/>
      <c r="Q100" s="733"/>
      <c r="R100" s="733"/>
      <c r="S100" s="734"/>
      <c r="T100" s="735"/>
      <c r="U100" s="734"/>
      <c r="V100" s="734"/>
      <c r="W100" s="733"/>
    </row>
    <row r="101" spans="12:23" hidden="1">
      <c r="L101" s="717" t="str">
        <f t="shared" si="5"/>
        <v/>
      </c>
      <c r="M101" s="717" t="str">
        <f>IF(OR(L101="",COUNTIF($M$4:M100,IF(ISERROR($R101*1),LEFT($R101,2)*1,$R101*1))&gt;=1),"-",IF(ISERROR($R101*1),LEFT($R101,2)*1,$R101*1))</f>
        <v>-</v>
      </c>
      <c r="N101" s="717" t="str">
        <f>IF(OR(L101="",COUNTIF($N$4:N100,V101*1)&gt;=1),"-",V101*1)</f>
        <v>-</v>
      </c>
      <c r="O101" s="733"/>
      <c r="P101" s="733"/>
      <c r="Q101" s="733"/>
      <c r="R101" s="733"/>
      <c r="S101" s="734"/>
      <c r="T101" s="735"/>
      <c r="U101" s="734"/>
      <c r="V101" s="734"/>
      <c r="W101" s="733"/>
    </row>
    <row r="102" spans="12:23" hidden="1">
      <c r="L102" s="717" t="str">
        <f t="shared" si="5"/>
        <v/>
      </c>
      <c r="M102" s="717" t="str">
        <f>IF(OR(L102="",COUNTIF($M$4:M101,IF(ISERROR($R102*1),LEFT($R102,2)*1,$R102*1))&gt;=1),"-",IF(ISERROR($R102*1),LEFT($R102,2)*1,$R102*1))</f>
        <v>-</v>
      </c>
      <c r="N102" s="717" t="str">
        <f>IF(OR(L102="",COUNTIF($N$4:N101,V102*1)&gt;=1),"-",V102*1)</f>
        <v>-</v>
      </c>
      <c r="O102" s="733"/>
      <c r="P102" s="733"/>
      <c r="Q102" s="733"/>
      <c r="R102" s="733"/>
      <c r="S102" s="734"/>
      <c r="T102" s="735"/>
      <c r="U102" s="734"/>
      <c r="V102" s="734"/>
      <c r="W102" s="733"/>
    </row>
  </sheetData>
  <sheetProtection password="F4D4" sheet="1" objects="1" scenarios="1"/>
  <mergeCells count="1">
    <mergeCell ref="L2:N2"/>
  </mergeCells>
  <phoneticPr fontId="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B2:G48"/>
  <sheetViews>
    <sheetView topLeftCell="XFD1048576" workbookViewId="0"/>
  </sheetViews>
  <sheetFormatPr defaultColWidth="0" defaultRowHeight="16.5" zeroHeight="1"/>
  <cols>
    <col min="1" max="1" width="9.33203125" style="738" hidden="1" customWidth="1"/>
    <col min="2" max="2" width="19.5" style="738" hidden="1" customWidth="1"/>
    <col min="3" max="3" width="25.1640625" style="738" hidden="1" customWidth="1"/>
    <col min="4" max="4" width="31.83203125" style="738" hidden="1" customWidth="1"/>
    <col min="5" max="6" width="9.33203125" style="738" hidden="1" customWidth="1"/>
    <col min="7" max="7" width="25.1640625" style="738" hidden="1" customWidth="1"/>
    <col min="8" max="16384" width="9.33203125" style="738" hidden="1"/>
  </cols>
  <sheetData>
    <row r="2" spans="2:7" hidden="1">
      <c r="B2" s="736" t="s">
        <v>1139</v>
      </c>
      <c r="C2" s="737">
        <v>10000</v>
      </c>
    </row>
    <row r="3" spans="2:7" hidden="1">
      <c r="C3" s="739" t="s">
        <v>1140</v>
      </c>
      <c r="D3" s="739" t="s">
        <v>1141</v>
      </c>
    </row>
    <row r="4" spans="2:7" hidden="1">
      <c r="B4" s="736" t="s">
        <v>1142</v>
      </c>
      <c r="C4" s="740">
        <f>MIN(1,ROUND(輸入頁!$G$25,2))</f>
        <v>0.2</v>
      </c>
      <c r="D4" s="741">
        <f>1-C4</f>
        <v>0.8</v>
      </c>
      <c r="F4" s="738" t="s">
        <v>1143</v>
      </c>
      <c r="G4" s="738">
        <v>1</v>
      </c>
    </row>
    <row r="5" spans="2:7" hidden="1">
      <c r="B5" s="736" t="s">
        <v>1144</v>
      </c>
      <c r="C5" s="742">
        <f>$C$38</f>
        <v>20000</v>
      </c>
      <c r="D5" s="743">
        <f>$D$38</f>
        <v>200000</v>
      </c>
      <c r="F5" s="738" t="s">
        <v>1145</v>
      </c>
      <c r="G5" s="738">
        <v>2</v>
      </c>
    </row>
    <row r="6" spans="2:7" hidden="1">
      <c r="B6" s="736" t="s">
        <v>1146</v>
      </c>
      <c r="C6" s="744">
        <f>輸入頁!$G$29</f>
        <v>20</v>
      </c>
      <c r="F6" s="738" t="s">
        <v>1147</v>
      </c>
      <c r="G6" s="738">
        <v>4</v>
      </c>
    </row>
    <row r="7" spans="2:7" hidden="1">
      <c r="B7" s="736" t="s">
        <v>1148</v>
      </c>
      <c r="C7" s="745">
        <f ca="1">$B$30</f>
        <v>0.02</v>
      </c>
      <c r="F7" s="738" t="s">
        <v>1149</v>
      </c>
      <c r="G7" s="738">
        <v>12</v>
      </c>
    </row>
    <row r="8" spans="2:7" hidden="1">
      <c r="B8" s="736" t="s">
        <v>1150</v>
      </c>
      <c r="C8" s="746" t="s">
        <v>764</v>
      </c>
      <c r="D8" s="736">
        <f>VLOOKUP($C$8,$F$4:$G$7,2,0)</f>
        <v>1</v>
      </c>
    </row>
    <row r="9" spans="2:7" hidden="1">
      <c r="B9" s="747"/>
      <c r="C9" s="748"/>
      <c r="D9" s="747"/>
    </row>
    <row r="10" spans="2:7" hidden="1">
      <c r="B10" s="738" t="s">
        <v>1151</v>
      </c>
      <c r="C10" s="749">
        <f ca="1">IF(C6=0,0,C2*(C7*(1/(1+C7)))/(1-(1/(1+C7))^C6))</f>
        <v>599.57566789500265</v>
      </c>
      <c r="D10" s="750" t="s">
        <v>1152</v>
      </c>
    </row>
    <row r="11" spans="2:7" hidden="1">
      <c r="C11" s="751">
        <f ca="1">C10/10000</f>
        <v>5.9957566789500268E-2</v>
      </c>
      <c r="D11" s="750" t="s">
        <v>1153</v>
      </c>
    </row>
    <row r="12" spans="2:7" hidden="1">
      <c r="B12" s="747"/>
      <c r="C12" s="748"/>
      <c r="D12" s="747"/>
    </row>
    <row r="13" spans="2:7" hidden="1">
      <c r="B13" s="747"/>
      <c r="C13" s="748"/>
      <c r="D13" s="747"/>
    </row>
    <row r="14" spans="2:7" hidden="1"/>
    <row r="15" spans="2:7" hidden="1">
      <c r="B15" s="738" t="s">
        <v>1154</v>
      </c>
    </row>
    <row r="16" spans="2:7" hidden="1">
      <c r="B16" s="736" t="s">
        <v>1155</v>
      </c>
      <c r="C16" s="752">
        <f ca="1">ROUND(PMT($C$7/$D$8,$C$6*$D$8,-$C$2*$C$4,,1),0)</f>
        <v>120</v>
      </c>
    </row>
    <row r="17" spans="2:5" hidden="1">
      <c r="B17" s="736" t="s">
        <v>1156</v>
      </c>
      <c r="C17" s="753">
        <f ca="1">C16*C6*D8</f>
        <v>2400</v>
      </c>
    </row>
    <row r="18" spans="2:5" hidden="1">
      <c r="B18" s="736" t="s">
        <v>1157</v>
      </c>
      <c r="C18" s="754">
        <f ca="1">PMT($C$7/$D$8,$C$6*$D$8,-$C$2,,1)/C2</f>
        <v>5.9957566789500379E-2</v>
      </c>
      <c r="D18" s="750" t="s">
        <v>1158</v>
      </c>
    </row>
    <row r="19" spans="2:5" hidden="1"/>
    <row r="20" spans="2:5" hidden="1">
      <c r="B20" s="738" t="s">
        <v>1159</v>
      </c>
    </row>
    <row r="21" spans="2:5" hidden="1">
      <c r="B21" s="736" t="s">
        <v>1155</v>
      </c>
      <c r="C21" s="755">
        <v>550</v>
      </c>
      <c r="D21" s="750" t="s">
        <v>1160</v>
      </c>
    </row>
    <row r="22" spans="2:5" hidden="1">
      <c r="B22" s="736" t="s">
        <v>1156</v>
      </c>
      <c r="C22" s="753">
        <f ca="1">C21*(($C$26*$D$8)+$C$27)</f>
        <v>12100</v>
      </c>
    </row>
    <row r="23" spans="2:5" hidden="1">
      <c r="B23" s="736" t="s">
        <v>1157</v>
      </c>
      <c r="C23" s="756">
        <f>$C$21/($C$2/$C$4)</f>
        <v>1.0999999999999999E-2</v>
      </c>
    </row>
    <row r="24" spans="2:5" hidden="1">
      <c r="B24" s="757" t="s">
        <v>1161</v>
      </c>
      <c r="C24" s="758">
        <f ca="1">NPER($C$7/$D$8,$C$21,-$C$2,0,1)</f>
        <v>22.261841350458667</v>
      </c>
    </row>
    <row r="25" spans="2:5" hidden="1">
      <c r="B25" s="757" t="s">
        <v>1162</v>
      </c>
      <c r="C25" s="759">
        <f ca="1">ROUND(C21*($C$24-ROUNDDOWN($C$24,0)),0)</f>
        <v>144</v>
      </c>
    </row>
    <row r="26" spans="2:5" hidden="1">
      <c r="B26" s="757" t="s">
        <v>1163</v>
      </c>
      <c r="C26" s="759">
        <f ca="1">ROUNDDOWN(ROUNDDOWN($C$24,0)/$D$8,0)</f>
        <v>22</v>
      </c>
      <c r="D26" s="750" t="s">
        <v>1164</v>
      </c>
    </row>
    <row r="27" spans="2:5" hidden="1">
      <c r="B27" s="757" t="str">
        <f>"給付"&amp;C8&amp;"次"</f>
        <v>給付年次</v>
      </c>
      <c r="C27" s="759">
        <f ca="1">ROUNDDOWN($C$24,0)-($C$26*$D$8)</f>
        <v>0</v>
      </c>
      <c r="D27" s="750" t="str">
        <f ca="1">"EX："&amp;$C$26&amp;" 年 "&amp;IF($C$27=0,"",C27&amp;" "&amp;$C$8)</f>
        <v xml:space="preserve">EX：22 年 </v>
      </c>
    </row>
    <row r="28" spans="2:5" hidden="1"/>
    <row r="29" spans="2:5" hidden="1">
      <c r="B29" s="736" t="s">
        <v>1314</v>
      </c>
      <c r="C29" s="739">
        <f>OP!$C$21</f>
        <v>1</v>
      </c>
      <c r="D29" s="822" t="s">
        <v>1315</v>
      </c>
      <c r="E29" s="738" t="s">
        <v>1316</v>
      </c>
    </row>
    <row r="30" spans="2:5" hidden="1">
      <c r="B30" s="760">
        <f ca="1">VLOOKUP(N(YEAR(TODAY())),$B$31:$D$35,$C$29+1,0)</f>
        <v>0.02</v>
      </c>
      <c r="C30" s="739" t="s">
        <v>1317</v>
      </c>
      <c r="D30" s="739" t="s">
        <v>1318</v>
      </c>
    </row>
    <row r="31" spans="2:5" hidden="1">
      <c r="B31" s="739">
        <v>2016</v>
      </c>
      <c r="C31" s="761">
        <v>0.02</v>
      </c>
      <c r="D31" s="761">
        <v>2.5000000000000001E-2</v>
      </c>
    </row>
    <row r="32" spans="2:5" hidden="1">
      <c r="B32" s="739">
        <v>2017</v>
      </c>
      <c r="C32" s="761">
        <v>0.02</v>
      </c>
      <c r="D32" s="761">
        <v>2.5000000000000001E-2</v>
      </c>
    </row>
    <row r="33" spans="2:6" hidden="1">
      <c r="B33" s="739"/>
      <c r="C33" s="739"/>
      <c r="D33" s="739"/>
    </row>
    <row r="34" spans="2:6" hidden="1">
      <c r="B34" s="739"/>
      <c r="C34" s="739"/>
      <c r="D34" s="739"/>
    </row>
    <row r="35" spans="2:6" hidden="1">
      <c r="B35" s="739"/>
      <c r="C35" s="739"/>
      <c r="D35" s="739"/>
    </row>
    <row r="36" spans="2:6" hidden="1"/>
    <row r="37" spans="2:6" hidden="1">
      <c r="B37" s="736" t="s">
        <v>1319</v>
      </c>
      <c r="C37" s="736" t="s">
        <v>1320</v>
      </c>
      <c r="D37" s="736" t="s">
        <v>1321</v>
      </c>
    </row>
    <row r="38" spans="2:6" hidden="1">
      <c r="B38" s="739">
        <f>OP!$C$21</f>
        <v>1</v>
      </c>
      <c r="C38" s="762">
        <f>VLOOKUP(B38,$B$39:$D$40,2,0)</f>
        <v>20000</v>
      </c>
      <c r="D38" s="762">
        <f>VLOOKUP(B38,$B$39:$D$40,3,0)</f>
        <v>200000</v>
      </c>
    </row>
    <row r="39" spans="2:6" hidden="1">
      <c r="B39" s="739">
        <v>2</v>
      </c>
      <c r="C39" s="763">
        <v>3000</v>
      </c>
      <c r="D39" s="763">
        <v>30000</v>
      </c>
      <c r="E39" s="823" t="str">
        <f>NUMBERSTRING(IF(C39/10000&lt;1,C39/1000,C39/10000),3)&amp;RIGHT(NUMBERSTRING(C39,2),1)</f>
        <v>三仟</v>
      </c>
      <c r="F39" s="823" t="str">
        <f>NUMBERSTRING(IF(D39/10000&lt;1,D39/1000,D39/10000),1)&amp;RIGHT(NUMBERSTRING(D39,2),1)</f>
        <v>三萬</v>
      </c>
    </row>
    <row r="40" spans="2:6" hidden="1">
      <c r="B40" s="739">
        <v>1</v>
      </c>
      <c r="C40" s="763">
        <v>20000</v>
      </c>
      <c r="D40" s="763">
        <v>200000</v>
      </c>
      <c r="E40" s="823" t="str">
        <f>NUMBERSTRING(IF(C40/10000&lt;1,C40/1000,C40/10000),3)&amp;RIGHT(NUMBERSTRING(C40,2),1)</f>
        <v>二萬</v>
      </c>
      <c r="F40" s="823" t="str">
        <f>NUMBERSTRING(IF(D40/10000&lt;1,D40/1000,D40/10000),1)&amp;RIGHT(NUMBERSTRING(D40,2),1)</f>
        <v>二十萬</v>
      </c>
    </row>
    <row r="41" spans="2:6" hidden="1">
      <c r="B41" s="739">
        <v>3</v>
      </c>
      <c r="C41" s="736"/>
      <c r="D41" s="736"/>
      <c r="E41" s="823" t="str">
        <f>NUMBERSTRING(IF(C41/10000&lt;1,C41/1000,C41/10000),3)&amp;RIGHT(NUMBERSTRING(C41,2),1)</f>
        <v>○零</v>
      </c>
      <c r="F41" s="823" t="str">
        <f>NUMBERSTRING(IF(D41/10000&lt;1,D41/1000,D41/10000),1)&amp;RIGHT(NUMBERSTRING(D41,2),1)</f>
        <v>○零</v>
      </c>
    </row>
    <row r="42" spans="2:6" hidden="1">
      <c r="B42" s="739">
        <v>4</v>
      </c>
      <c r="C42" s="736"/>
      <c r="D42" s="736"/>
      <c r="E42" s="823" t="str">
        <f>NUMBERSTRING(IF(C42/10000&lt;1,C42/1000,C42/10000),3)&amp;RIGHT(NUMBERSTRING(C42,2),1)</f>
        <v>○零</v>
      </c>
      <c r="F42" s="823" t="str">
        <f>NUMBERSTRING(IF(D42/10000&lt;1,D42/1000,D42/10000),1)&amp;RIGHT(NUMBERSTRING(D42,2),1)</f>
        <v>○零</v>
      </c>
    </row>
    <row r="43" spans="2:6" hidden="1">
      <c r="B43" s="824" t="str">
        <f>IF(OR(AND($D$29=$B$45,$C$29&lt;&gt;1),ISERROR(VLOOKUP($D$29,$B$45:$D$48,3,0))),"商品幣別設定錯誤",VLOOKUP($D$29,$B$45:$D$48,3,0))</f>
        <v>二十萬元或每年給付之分期定期保險金低於二萬元者，</v>
      </c>
      <c r="C43" s="824">
        <f>IF(OR(AND($D$29=$B$45,$C$29&lt;&gt;1),ISERROR(VLOOKUP($D$29,$B$45:$D$48,3,0))),1,0)</f>
        <v>0</v>
      </c>
    </row>
    <row r="44" spans="2:6" hidden="1"/>
    <row r="45" spans="2:6" hidden="1">
      <c r="B45" s="736" t="s">
        <v>1322</v>
      </c>
      <c r="C45" s="736">
        <v>1</v>
      </c>
      <c r="D45" s="736" t="str">
        <f>VLOOKUP($C$45,$B$39:$F$42,5,0)&amp;"元"&amp;"或每年給付之分期定期保險金低於"&amp;VLOOKUP($C$45,$B$39:$F$42,4,0)&amp;"元"&amp;"者，"</f>
        <v>二十萬元或每年給付之分期定期保險金低於二萬元者，</v>
      </c>
    </row>
    <row r="46" spans="2:6" hidden="1">
      <c r="B46" s="736" t="s">
        <v>1323</v>
      </c>
      <c r="C46" s="736">
        <v>2</v>
      </c>
      <c r="D46" s="736" t="str">
        <f>VLOOKUP($C$46,$B$39:$F$42,5,0)&amp;$B$46&amp;"或每年給付之分期定期保險金低於"&amp;VLOOKUP($C$46,$B$39:$F$42,4,0)&amp;$B$46&amp;"者，"</f>
        <v>三萬美元或每年給付之分期定期保險金低於三仟美元者，</v>
      </c>
    </row>
    <row r="47" spans="2:6" hidden="1">
      <c r="B47" s="736" t="s">
        <v>1324</v>
      </c>
      <c r="C47" s="736">
        <v>3</v>
      </c>
      <c r="D47" s="736" t="str">
        <f>VLOOKUP($C$47,$B$39:$F$42,5,0)&amp;$B$47&amp;"或每年給付之分期定期保險金低於"&amp;VLOOKUP($C$47,$B$39:$F$42,4,0)&amp;$B$47&amp;"者，"</f>
        <v>○零澳幣或每年給付之分期定期保險金低於○零澳幣者，</v>
      </c>
    </row>
    <row r="48" spans="2:6" hidden="1">
      <c r="B48" s="736" t="s">
        <v>1325</v>
      </c>
      <c r="C48" s="736">
        <v>4</v>
      </c>
      <c r="D48" s="736" t="str">
        <f>VLOOKUP($C$48,$B$39:$F$42,5,0)&amp;$B$48&amp;"或每年給付之分期定期保險金低於"&amp;VLOOKUP($C$48,$B$39:$F$42,4,0)&amp;$B$48&amp;"者，"</f>
        <v>○零人民幣或每年給付之分期定期保險金低於○零人民幣者，</v>
      </c>
    </row>
  </sheetData>
  <sheetProtection password="F4D4" sheet="1" objects="1" scenarios="1"/>
  <phoneticPr fontId="4" type="noConversion"/>
  <dataValidations count="2">
    <dataValidation type="list" allowBlank="1" showInputMessage="1" showErrorMessage="1" sqref="C8">
      <formula1>$F$4:$F$7</formula1>
    </dataValidation>
    <dataValidation type="list" allowBlank="1" showInputMessage="1" showErrorMessage="1" sqref="D29">
      <formula1>"新臺幣,美元,澳幣,人民幣"</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C207"/>
  <sheetViews>
    <sheetView topLeftCell="XFD1048576" zoomScaleNormal="100" workbookViewId="0"/>
  </sheetViews>
  <sheetFormatPr defaultColWidth="0" defaultRowHeight="16.5" zeroHeight="1"/>
  <cols>
    <col min="1" max="1" width="2.33203125" style="80" hidden="1" customWidth="1"/>
    <col min="2" max="2" width="35.6640625" style="79" hidden="1" customWidth="1"/>
    <col min="3" max="3" width="23.83203125" style="79" hidden="1" customWidth="1"/>
    <col min="4" max="4" width="18.5" style="80" hidden="1" customWidth="1"/>
    <col min="5" max="5" width="22.1640625" style="80" hidden="1" customWidth="1"/>
    <col min="6" max="6" width="13.6640625" style="80" hidden="1" customWidth="1"/>
    <col min="7" max="7" width="14" style="80" hidden="1" customWidth="1"/>
    <col min="8" max="8" width="20.83203125" style="80" hidden="1" customWidth="1"/>
    <col min="9" max="9" width="16.33203125" style="80" hidden="1" customWidth="1"/>
    <col min="10" max="11" width="16.83203125" style="80" hidden="1" customWidth="1"/>
    <col min="12" max="26" width="12" style="80" hidden="1" customWidth="1"/>
    <col min="27" max="27" width="14.5" style="80" hidden="1" customWidth="1"/>
    <col min="28" max="33" width="12" style="80" hidden="1" customWidth="1"/>
    <col min="34" max="35" width="17.5" style="80" hidden="1" customWidth="1"/>
    <col min="36" max="37" width="12" style="80" hidden="1" customWidth="1"/>
    <col min="38" max="38" width="34.33203125" style="80" hidden="1" customWidth="1"/>
    <col min="39" max="39" width="29" style="80" hidden="1" customWidth="1"/>
    <col min="40" max="43" width="12" style="80" hidden="1" customWidth="1"/>
    <col min="44" max="44" width="41" style="80" hidden="1" customWidth="1"/>
    <col min="45" max="45" width="41.1640625" style="80" hidden="1" customWidth="1"/>
    <col min="46" max="46" width="29.1640625" style="80" hidden="1" customWidth="1"/>
    <col min="47" max="48" width="12" style="80" hidden="1" customWidth="1"/>
    <col min="49" max="16384" width="9.33203125" style="80" hidden="1"/>
  </cols>
  <sheetData>
    <row r="1" spans="2:44" ht="16.5" hidden="1" customHeight="1">
      <c r="N1" s="85"/>
      <c r="AC1" s="184"/>
    </row>
    <row r="2" spans="2:44" ht="16.5" hidden="1" customHeight="1">
      <c r="B2" s="72" t="s">
        <v>322</v>
      </c>
      <c r="C2" s="72" t="s">
        <v>323</v>
      </c>
      <c r="D2" s="72" t="s">
        <v>324</v>
      </c>
      <c r="E2" s="72" t="s">
        <v>325</v>
      </c>
      <c r="H2" s="72" t="s">
        <v>326</v>
      </c>
      <c r="I2" s="72">
        <v>1</v>
      </c>
      <c r="J2" s="86">
        <v>1</v>
      </c>
      <c r="K2" s="86">
        <v>1</v>
      </c>
      <c r="N2" s="1"/>
      <c r="O2"/>
      <c r="P2" s="1"/>
      <c r="Q2" s="1"/>
      <c r="R2" s="1"/>
      <c r="S2" s="1"/>
      <c r="T2" s="1"/>
      <c r="U2" s="1"/>
      <c r="V2" s="1"/>
      <c r="W2" s="1"/>
      <c r="X2" s="1"/>
      <c r="Y2" s="80" t="s">
        <v>1056</v>
      </c>
      <c r="Z2" s="334" t="s">
        <v>1025</v>
      </c>
      <c r="AA2" s="334">
        <f>$C$21</f>
        <v>1</v>
      </c>
      <c r="AB2" s="524"/>
      <c r="AC2" s="525"/>
      <c r="AD2" s="171"/>
      <c r="AE2" s="171"/>
      <c r="AL2" s="324" t="str">
        <f>C69</f>
        <v>業務、服展、北富銀</v>
      </c>
    </row>
    <row r="3" spans="2:44" ht="16.5" hidden="1" customHeight="1">
      <c r="B3" s="72">
        <f>IF(C4=0,0,VALUE(MID(C4,IF(LEN(C4)=7,4,3),2)))</f>
        <v>3</v>
      </c>
      <c r="C3" s="73">
        <f ca="1">IF(TODAY()&lt;DATE(2017,1,1),DATE(2017,1,1),TODAY())</f>
        <v>42888</v>
      </c>
      <c r="D3" s="73">
        <f>IF(C4=0,0,DATE(LEFT(C4,IF(LEN(C4)=7,3,2))+1911,MID(C4,IF(LEN(C4)=7,4,3),2),RIGHT(C4,2)))</f>
        <v>30763</v>
      </c>
      <c r="E3" s="74">
        <f>IF(E4=1,0,IF(OR(B3=1,B3=3,B3=5,B3=7,B3=8,B3=10,B3=12),31,IF(OR(B3=4,B3=6,B3=9,B3=11),30,IF(AND(B3=2,YEAR(D3)/4=INT(YEAR(D3)/4),YEAR(D3)/400&lt;&gt;INT(YEAR(D3)/400)),29,28))))</f>
        <v>31</v>
      </c>
      <c r="F3" s="86">
        <f ca="1">YEAR(TODAY())-1911</f>
        <v>106</v>
      </c>
      <c r="H3" s="72" t="s">
        <v>327</v>
      </c>
      <c r="I3" s="72">
        <v>1</v>
      </c>
      <c r="J3" s="86">
        <v>1</v>
      </c>
      <c r="K3" s="86">
        <v>1</v>
      </c>
      <c r="N3" s="1"/>
      <c r="O3" s="33"/>
      <c r="P3" s="1"/>
      <c r="Q3" s="1"/>
      <c r="R3" s="1"/>
      <c r="S3" s="1"/>
      <c r="T3" s="1"/>
      <c r="U3" s="1"/>
      <c r="V3" s="1"/>
      <c r="W3" s="1"/>
      <c r="X3" s="1"/>
      <c r="Y3" s="1"/>
      <c r="Z3" s="334" t="s">
        <v>1026</v>
      </c>
      <c r="AA3" s="334">
        <f ca="1">$D$5</f>
        <v>33</v>
      </c>
      <c r="AB3" s="524"/>
      <c r="AC3" s="525"/>
      <c r="AL3" s="325" t="s">
        <v>757</v>
      </c>
      <c r="AM3" s="325" t="s">
        <v>758</v>
      </c>
      <c r="AN3" s="325" t="s">
        <v>759</v>
      </c>
      <c r="AO3" s="325"/>
      <c r="AP3" s="325" t="s">
        <v>761</v>
      </c>
      <c r="AQ3" s="325"/>
      <c r="AR3" s="325"/>
    </row>
    <row r="4" spans="2:44" ht="16.5" hidden="1" customHeight="1">
      <c r="B4" s="72" t="s">
        <v>324</v>
      </c>
      <c r="C4" s="75">
        <f>IF(C9=1,C10,IF(C9=2,VALUE(C11&amp;TEXT(C12,"00")&amp;TEXT(C13,"00")),""))</f>
        <v>730322</v>
      </c>
      <c r="D4" s="76">
        <f ca="1">DATE(YEAR(C3)-$C$15,MONTH(C3)-6,DAY(C3))</f>
        <v>15312</v>
      </c>
      <c r="E4" s="72" t="str">
        <f>IF(OR(B3&lt;1,B3&gt;12),1,"")</f>
        <v/>
      </c>
      <c r="F4" s="153">
        <f ca="1">YEAR(D4)-1911</f>
        <v>30</v>
      </c>
      <c r="H4" s="72" t="s">
        <v>0</v>
      </c>
      <c r="I4" s="72">
        <v>1</v>
      </c>
      <c r="J4" s="86">
        <v>1</v>
      </c>
      <c r="K4" s="86">
        <v>1</v>
      </c>
      <c r="N4" s="1"/>
      <c r="O4" s="152"/>
      <c r="P4" s="1"/>
      <c r="Q4" s="1"/>
      <c r="R4" s="1"/>
      <c r="S4" s="1"/>
      <c r="T4" s="1"/>
      <c r="U4" s="1"/>
      <c r="V4" s="1"/>
      <c r="W4" s="1"/>
      <c r="X4" s="1"/>
      <c r="Y4" s="1"/>
      <c r="Z4" s="334" t="s">
        <v>1027</v>
      </c>
      <c r="AA4" s="526">
        <f ca="1">$C$31</f>
        <v>170238</v>
      </c>
      <c r="AB4" s="524"/>
      <c r="AC4" s="525"/>
      <c r="AK4" s="327">
        <f>IF(OR($AL4="",COUNTIF($AL$3:$AR$3,$AL$2)=0),"",MAX($AK$3:AK3)+1)</f>
        <v>1</v>
      </c>
      <c r="AL4" s="327" t="s">
        <v>724</v>
      </c>
    </row>
    <row r="5" spans="2:44" ht="16.5" hidden="1" customHeight="1">
      <c r="B5" s="72" t="s">
        <v>1</v>
      </c>
      <c r="C5" s="77" t="s">
        <v>2</v>
      </c>
      <c r="D5" s="77">
        <f ca="1">IF(SUM(E6,D10:D13)&gt;=1,"生日格式錯誤",IF(D3&gt;C3,"被保險人未出生",IF(MONTH(C3)&lt;B3,IF(OR(MONTH(C3)+12-B3&gt;6,AND(MONTH(C3)+12-B3=6,DAY(C3)&gt;DAY(D3))),YEAR(C3)-1-YEAR(D3)+1,IF(OR(MONTH(C3)+12-B3&lt;6,AND(MONTH(C3)+12-B3=6,DAY(C3)&lt;=DAY(D3))),YEAR(C3)-1-YEAR(D3))),IF(OR(MONTH(C3)-B3&gt;6,AND(MONTH(C3)-B3=6,DAY(C3)&gt;DAY(D3))),YEAR(C3)-YEAR(D3)+1,IF(OR(MONTH(C3)-B3&lt;=6,AND(MONTH(C3)-B3=6,DAY(C3)&lt;=DAY(D3))),YEAR(C3)-YEAR(D3),)))))</f>
        <v>33</v>
      </c>
      <c r="E5" s="72" t="str">
        <f>IF(OR(VALUE(RIGHT(C4,2))&lt;1,VALUE(RIGHT(C4,2))&gt;E3),1,"")</f>
        <v/>
      </c>
      <c r="F5" s="86">
        <f ca="1">MONTH(D4)</f>
        <v>12</v>
      </c>
      <c r="H5" s="72" t="s">
        <v>3</v>
      </c>
      <c r="I5" s="72">
        <v>0.52</v>
      </c>
      <c r="J5" s="86">
        <v>0.5</v>
      </c>
      <c r="K5" s="86">
        <v>2</v>
      </c>
      <c r="N5" s="1"/>
      <c r="O5" s="152"/>
      <c r="P5" s="1"/>
      <c r="Q5" s="1"/>
      <c r="R5" s="1"/>
      <c r="S5" s="1"/>
      <c r="T5" s="1"/>
      <c r="U5" s="1"/>
      <c r="V5" s="1"/>
      <c r="W5" s="1"/>
      <c r="X5" s="1"/>
      <c r="Y5" s="1"/>
      <c r="Z5" s="334" t="s">
        <v>1028</v>
      </c>
      <c r="AA5" s="334">
        <f>IF($AA$2=2,$C$59,1)</f>
        <v>1</v>
      </c>
      <c r="AB5" s="524"/>
      <c r="AC5" s="525"/>
      <c r="AK5" s="327">
        <f>IF(OR($AL5="",COUNTIF($AL$3:$AR$3,$AL$2)=0),"",MAX($AK$3:AK4)+1)</f>
        <v>2</v>
      </c>
      <c r="AL5" s="327" t="s">
        <v>725</v>
      </c>
    </row>
    <row r="6" spans="2:44" ht="16.5" hidden="1" customHeight="1">
      <c r="B6" s="72"/>
      <c r="C6" s="77" t="s">
        <v>4</v>
      </c>
      <c r="D6" s="77">
        <f ca="1">IF(SUM(E6,D10:D13)&gt;=1,"生日格式錯誤",IF(D3&gt;C3,"被保險人未出生",DATEDIF(D3,C3,"y")))</f>
        <v>33</v>
      </c>
      <c r="E6" s="78" t="str">
        <f>IF(OR(E4=1,E5=1),1,"")</f>
        <v/>
      </c>
      <c r="F6" s="86">
        <f ca="1">DAY(D4)</f>
        <v>2</v>
      </c>
      <c r="H6" s="72" t="s">
        <v>5</v>
      </c>
      <c r="I6" s="72">
        <v>0.26200000000000001</v>
      </c>
      <c r="J6" s="86">
        <v>0.25</v>
      </c>
      <c r="K6" s="86">
        <v>4</v>
      </c>
      <c r="N6" s="1"/>
      <c r="O6" s="33"/>
      <c r="P6" s="1"/>
      <c r="Q6" s="1"/>
      <c r="R6" s="1"/>
      <c r="S6" s="1"/>
      <c r="T6" s="1"/>
      <c r="U6" s="1"/>
      <c r="V6" s="1"/>
      <c r="W6" s="1"/>
      <c r="X6" s="1"/>
      <c r="Y6" s="1"/>
      <c r="Z6" s="334" t="s">
        <v>1029</v>
      </c>
      <c r="AA6" s="334">
        <f>IF($AB$6="躉繳",1,2)</f>
        <v>2</v>
      </c>
      <c r="AB6" s="334" t="str">
        <f>$C$32</f>
        <v>年繳</v>
      </c>
      <c r="AC6" s="525"/>
      <c r="AK6" s="327">
        <f>IF(OR($AL6="",COUNTIF($AL$3:$AR$3,$AL$2)=0),"",MAX($AK$3:AK5)+1)</f>
        <v>3</v>
      </c>
      <c r="AL6" s="327" t="s">
        <v>726</v>
      </c>
    </row>
    <row r="7" spans="2:44" ht="16.5" hidden="1" customHeight="1">
      <c r="B7" s="90" t="s">
        <v>332</v>
      </c>
      <c r="C7" s="72">
        <f ca="1">(F4&amp;TEXT(F5,"00")&amp;TEXT(F6,"00"))*1</f>
        <v>301202</v>
      </c>
      <c r="D7" s="90" t="s">
        <v>333</v>
      </c>
      <c r="E7" s="86">
        <f ca="1">(YEAR(TODAY())-1911&amp;TEXT(MONTH(TODAY()),"00")&amp;TEXT(DAY(TODAY()),"00"))*1</f>
        <v>1060602</v>
      </c>
      <c r="H7" s="72" t="s">
        <v>6</v>
      </c>
      <c r="I7" s="72">
        <v>8.7999999999999995E-2</v>
      </c>
      <c r="J7" s="86">
        <v>8.3333329999999997E-2</v>
      </c>
      <c r="K7" s="86">
        <v>12</v>
      </c>
      <c r="N7" s="1"/>
      <c r="O7" s="33"/>
      <c r="P7" s="1"/>
      <c r="Q7" s="1"/>
      <c r="R7" s="1"/>
      <c r="S7" s="1"/>
      <c r="T7" s="1"/>
      <c r="U7" s="1"/>
      <c r="V7" s="1"/>
      <c r="W7" s="1"/>
      <c r="X7" s="1"/>
      <c r="Y7" s="1"/>
      <c r="Z7" s="525" t="s">
        <v>1030</v>
      </c>
      <c r="AA7" s="525" t="str">
        <f ca="1">IF($AA$8="","否","是")</f>
        <v>否</v>
      </c>
      <c r="AB7" s="525"/>
      <c r="AC7" s="525"/>
      <c r="AK7" s="327">
        <f>IF(OR($AL7="",COUNTIF($AL$3:$AR$3,$AL$2)=0),"",MAX($AK$3:AK6)+1)</f>
        <v>4</v>
      </c>
      <c r="AL7" s="327" t="s">
        <v>727</v>
      </c>
    </row>
    <row r="8" spans="2:44" ht="16.5" hidden="1" customHeight="1">
      <c r="K8" s="85" t="s">
        <v>523</v>
      </c>
      <c r="L8" s="85" t="s">
        <v>524</v>
      </c>
      <c r="M8" s="80">
        <f>COUNTA(L11:L12)</f>
        <v>2</v>
      </c>
      <c r="N8" s="1"/>
      <c r="O8" s="33"/>
      <c r="P8" s="1"/>
      <c r="Q8" s="1"/>
      <c r="R8" s="1"/>
      <c r="S8" s="1"/>
      <c r="T8" s="1"/>
      <c r="U8" s="1"/>
      <c r="V8" s="1"/>
      <c r="W8" s="1"/>
      <c r="X8" s="1"/>
      <c r="Y8" s="1"/>
      <c r="Z8" s="525" t="s">
        <v>1031</v>
      </c>
      <c r="AA8" s="334" t="str">
        <f ca="1">IF(ISERROR(VLOOKUP(1,$Z$11:$AA$13,2,0)),"",VLOOKUP(1,$Z$11:$AA$13,2,0))</f>
        <v/>
      </c>
      <c r="AB8" s="525"/>
      <c r="AC8" s="525"/>
      <c r="AK8" s="327">
        <f>IF(OR($AL8="",COUNTIF($AL$3:$AR$3,$AL$2)=0),"",MAX($AK$3:AK7)+1)</f>
        <v>5</v>
      </c>
      <c r="AL8" s="327" t="s">
        <v>728</v>
      </c>
    </row>
    <row r="9" spans="2:44" ht="16.5" hidden="1" customHeight="1">
      <c r="B9" s="79" t="s">
        <v>7</v>
      </c>
      <c r="C9" s="87">
        <v>1</v>
      </c>
      <c r="D9" s="79" t="s">
        <v>8</v>
      </c>
      <c r="H9" s="131" t="s">
        <v>525</v>
      </c>
      <c r="I9" s="131" t="s">
        <v>526</v>
      </c>
      <c r="J9" s="131" t="s">
        <v>527</v>
      </c>
      <c r="K9" s="86" t="str">
        <f>K10&amp;M10&amp;K11&amp;M11&amp;K12&amp;M12&amp;K13&amp;M13&amp;D47</f>
        <v>繳費方式 1%折扣及高保額 1.0%折扣</v>
      </c>
      <c r="L9" s="86" t="str">
        <f>"保費折扣"</f>
        <v>保費折扣</v>
      </c>
      <c r="M9" s="80" t="str">
        <f>L10&amp;M10&amp;L11&amp;M11&amp;L12&amp;M12&amp;L13&amp;"折扣"</f>
        <v>繳費方式及高保額折扣</v>
      </c>
      <c r="O9" s="152"/>
      <c r="P9" s="523"/>
      <c r="Q9" s="523"/>
      <c r="R9" s="523"/>
      <c r="S9" s="523"/>
      <c r="T9" s="523"/>
      <c r="U9" s="523"/>
      <c r="V9" s="523"/>
      <c r="W9" s="523"/>
      <c r="X9" s="523"/>
      <c r="Y9" s="523"/>
      <c r="Z9" s="525" t="s">
        <v>1032</v>
      </c>
      <c r="AA9" s="525"/>
      <c r="AB9" s="525"/>
      <c r="AC9" s="525"/>
      <c r="AK9" s="327">
        <f>IF(OR($AL9="",COUNTIF($AL$3:$AR$3,$AL$2)=0),"",MAX($AK$3:AK8)+1)</f>
        <v>6</v>
      </c>
      <c r="AL9" s="327" t="s">
        <v>729</v>
      </c>
    </row>
    <row r="10" spans="2:44" ht="16.5" hidden="1" customHeight="1">
      <c r="B10" s="79" t="s">
        <v>9</v>
      </c>
      <c r="C10" s="77">
        <f>輸入頁!$E$7</f>
        <v>730322</v>
      </c>
      <c r="D10" s="89" t="str">
        <f ca="1">IF(AND($C$9=1,OR(C10="",C10=0,LEN(C10)&lt;6,LEN(C10)&gt;IF(YEAR(TODAY())&gt;2010,7,6))),1,"")</f>
        <v/>
      </c>
      <c r="H10" s="164" t="s">
        <v>528</v>
      </c>
      <c r="I10" s="193">
        <f>$C$42</f>
        <v>0.01</v>
      </c>
      <c r="J10" s="193">
        <f>$C$44</f>
        <v>0.01</v>
      </c>
      <c r="K10" s="86" t="str">
        <f>IF(AND(I10&gt;0,J10&gt;0),""&amp;H10&amp;TEXT(I10," 0%")&amp;"折扣",IF(AND(I10&gt;0,J10=0),"首期"&amp;H10&amp;TEXT(I10," 0%")&amp;"折扣",IF(AND(I10=0,J10&gt;0),"續期"&amp;H10&amp;TEXT(J10," 0%")&amp;"折扣","")))</f>
        <v>繳費方式 1%折扣</v>
      </c>
      <c r="L10" s="86" t="str">
        <f>IF(SUM(I10:J10)&gt;0,H10,"")</f>
        <v>繳費方式</v>
      </c>
      <c r="M10" s="86" t="str">
        <f>IF(L10="","",IF(SUM(N11:N13)&gt;=2,"、",IF(SUM(N11:N13)=1,"及","")))</f>
        <v>及</v>
      </c>
      <c r="N10" s="80">
        <f>IF(L10&lt;&gt;"",1,0)</f>
        <v>1</v>
      </c>
      <c r="O10" s="33"/>
      <c r="P10" s="521"/>
      <c r="Q10" s="521"/>
      <c r="R10" s="521"/>
      <c r="S10" s="522"/>
      <c r="T10" s="521"/>
      <c r="U10" s="521"/>
      <c r="V10" s="521"/>
      <c r="W10" s="521"/>
      <c r="X10" s="521"/>
      <c r="Y10" s="521"/>
      <c r="Z10" s="525"/>
      <c r="AA10" s="525"/>
      <c r="AB10" s="525"/>
      <c r="AC10" s="525"/>
      <c r="AK10" s="327">
        <f>IF(OR($AL10="",COUNTIF($AL$3:$AR$3,$AL$2)=0),"",MAX($AK$3:AK9)+1)</f>
        <v>7</v>
      </c>
      <c r="AL10" s="327" t="s">
        <v>730</v>
      </c>
    </row>
    <row r="11" spans="2:44" ht="16.5" hidden="1" customHeight="1">
      <c r="B11" s="79" t="s">
        <v>10</v>
      </c>
      <c r="C11" s="77">
        <f>輸入頁!E6</f>
        <v>72</v>
      </c>
      <c r="D11" s="89" t="str">
        <f>IF(AND($C$9=2,OR(C11="",C11=0)),1,"")</f>
        <v/>
      </c>
      <c r="H11" s="131" t="s">
        <v>529</v>
      </c>
      <c r="I11" s="193">
        <f>$C$37</f>
        <v>0.01</v>
      </c>
      <c r="J11" s="193">
        <f>$C$37</f>
        <v>0.01</v>
      </c>
      <c r="K11" s="86" t="str">
        <f>IF(AND(I11&gt;0,J11&gt;0),""&amp;H11&amp;TEXT(I11," 0.0%")&amp;"折扣",IF(AND(I11&gt;0,J11=0),"首期"&amp;H11&amp;TEXT(I11," 0.0%")&amp;"折扣",IF(AND(I11=0,J11&gt;0),"續期"&amp;H11&amp;TEXT(J11," 0.0%")&amp;"折扣","")))</f>
        <v>高保額 1.0%折扣</v>
      </c>
      <c r="L11" s="86" t="str">
        <f>IF(SUM(I11:J11)&gt;0,H11,"")</f>
        <v>高保額</v>
      </c>
      <c r="M11" s="86" t="str">
        <f>IF(L11="","",IF(SUM(N12:N14)&gt;=2,"、",IF(SUM(N12:N14)=1,"及","")))</f>
        <v/>
      </c>
      <c r="N11" s="80">
        <f>IF(L11&lt;&gt;"",1,0)</f>
        <v>1</v>
      </c>
      <c r="O11" s="33"/>
      <c r="P11" s="521"/>
      <c r="Q11" s="521"/>
      <c r="R11" s="521"/>
      <c r="S11" s="522"/>
      <c r="T11" s="521"/>
      <c r="U11" s="521"/>
      <c r="V11" s="521"/>
      <c r="W11" s="521"/>
      <c r="X11" s="521"/>
      <c r="Y11" s="521"/>
      <c r="Z11" s="527" t="str">
        <f ca="1">IF(AND($AA$2=1,$AA$3&gt;=70,$AA$6&lt;&gt;1,$AA$4&gt;=100000),1,"")</f>
        <v/>
      </c>
      <c r="AA11" s="525" t="s">
        <v>1033</v>
      </c>
      <c r="AB11" s="525"/>
      <c r="AC11" s="525"/>
      <c r="AK11" s="327">
        <f>IF(OR($AL11="",COUNTIF($AL$3:$AR$3,$AL$2)=0),"",MAX($AK$3:AK10)+1)</f>
        <v>8</v>
      </c>
      <c r="AL11" s="327" t="s">
        <v>731</v>
      </c>
    </row>
    <row r="12" spans="2:44" ht="16.5" hidden="1" customHeight="1">
      <c r="C12" s="77">
        <f>輸入頁!H6</f>
        <v>9</v>
      </c>
      <c r="D12" s="89" t="str">
        <f>IF(AND($C$9=2,OR(C12="",C12&lt;1,C12&gt;12)),1,"")</f>
        <v/>
      </c>
      <c r="H12" s="131" t="s">
        <v>522</v>
      </c>
      <c r="I12" s="193">
        <f>$C$38</f>
        <v>0</v>
      </c>
      <c r="J12" s="193">
        <f>$C$39</f>
        <v>0</v>
      </c>
      <c r="K12" s="86" t="str">
        <f>IF(AND(I12&gt;0,J12&gt;0),""&amp;H12&amp;TEXT(I12," 0%")&amp;"折扣",IF(AND(I12&gt;0,J12=0),"首期"&amp;H12&amp;TEXT(I12," 0%")&amp;"折扣",IF(AND(I12=0,J12&gt;0),"續期"&amp;H12&amp;TEXT(J12," 0%")&amp;"折扣","")))</f>
        <v/>
      </c>
      <c r="L12" s="86" t="str">
        <f>IF(SUM(I12:J12)&gt;0,H12,"")</f>
        <v/>
      </c>
      <c r="M12" s="86" t="str">
        <f>IF(L12="","",IF(SUM(N13:N15)&gt;=2,"、",IF(SUM(N13:N15)=1,"及","")))</f>
        <v/>
      </c>
      <c r="N12" s="80">
        <f>IF(L12&lt;&gt;"",1,0)</f>
        <v>0</v>
      </c>
      <c r="O12"/>
      <c r="P12" s="521"/>
      <c r="Q12" s="521"/>
      <c r="R12" s="521"/>
      <c r="S12" s="522"/>
      <c r="T12" s="521"/>
      <c r="U12" s="521"/>
      <c r="V12" s="521"/>
      <c r="W12" s="521"/>
      <c r="X12" s="521"/>
      <c r="Y12" s="521"/>
      <c r="Z12" s="527" t="str">
        <f ca="1">IF(AND($AA$2=1,$AA$3&gt;=70,$AA$6=1,$AA$4&gt;=1000000),1,"")</f>
        <v/>
      </c>
      <c r="AA12" s="525" t="s">
        <v>1034</v>
      </c>
      <c r="AB12" s="525"/>
      <c r="AC12" s="525"/>
      <c r="AK12" s="327">
        <f>IF(OR($AL12="",COUNTIF($AL$3:$AR$3,$AL$2)=0),"",MAX($AK$3:AK11)+1)</f>
        <v>9</v>
      </c>
      <c r="AL12" s="327" t="s">
        <v>732</v>
      </c>
    </row>
    <row r="13" spans="2:44" ht="16.5" hidden="1" customHeight="1">
      <c r="C13" s="93">
        <f>輸入頁!J6</f>
        <v>29</v>
      </c>
      <c r="D13" s="94" t="str">
        <f>IF(AND($C$9=2,OR(C13="",C13&lt;1,C13&gt;E3)),1,"")</f>
        <v/>
      </c>
      <c r="H13" s="131" t="s">
        <v>535</v>
      </c>
      <c r="I13" s="193">
        <f>$C$40</f>
        <v>0</v>
      </c>
      <c r="J13" s="193">
        <f>$C$40</f>
        <v>0</v>
      </c>
      <c r="K13" s="86" t="str">
        <f>IF(AND(I13&gt;0,J13&gt;0),""&amp;H13&amp;TEXT(I13," 0%")&amp;"折扣",IF(AND(I13&gt;0,J13=0),"首期"&amp;H13&amp;TEXT(I13," 0%")&amp;"折扣",IF(AND(I13=0,J13&gt;0),"續期"&amp;H13&amp;TEXT(J13," 0%")&amp;"折扣","")))</f>
        <v/>
      </c>
      <c r="L13" s="86" t="str">
        <f>IF(SUM(I13:J13)&gt;0,H13,"")</f>
        <v/>
      </c>
      <c r="M13" s="86" t="str">
        <f>IF(L13="","",IF(SUM(N14:N16)&gt;=2,"、",IF(SUM(N14:N16)=1,"及","")))</f>
        <v/>
      </c>
      <c r="N13" s="80">
        <f>IF(L13&lt;&gt;"",1,0)</f>
        <v>0</v>
      </c>
      <c r="O13"/>
      <c r="P13" s="521"/>
      <c r="Q13" s="521"/>
      <c r="R13" s="521"/>
      <c r="S13" s="522"/>
      <c r="T13" s="521"/>
      <c r="U13" s="521"/>
      <c r="V13" s="521"/>
      <c r="W13" s="521"/>
      <c r="X13" s="521"/>
      <c r="Y13" s="521"/>
      <c r="Z13" s="527" t="str">
        <f ca="1">IF(AND($AA$13&lt;&gt;""),1,"")</f>
        <v/>
      </c>
      <c r="AA13" s="525" t="str">
        <f ca="1">IF(AND($AB$13="",$AC$13=""),"","外幣非投資型商品"&amp;$AB$13&amp;$AC$13)</f>
        <v/>
      </c>
      <c r="AB13" s="527" t="str">
        <f ca="1">IF(ISERROR(VLOOKUP(1,$Z$14:$AB$16,2,0)),"",VLOOKUP(1,$Z$14:$AB$16,2,0)&amp;VLOOKUP(1,$Z$14:$AB$16,3,0))</f>
        <v/>
      </c>
      <c r="AC13" s="527" t="str">
        <f ca="1">IF(ISERROR(VLOOKUP(2,$Z$14:$AB$16,2,0)),"",VLOOKUP(2,$Z$14:$AB$16,2,0)&amp;VLOOKUP(2,$Z$14:$AB$16,3,0))</f>
        <v/>
      </c>
      <c r="AK13" s="327">
        <f>IF(OR($AL13="",COUNTIF($AL$3:$AR$3,$AL$2)=0),"",MAX($AK$3:AK12)+1)</f>
        <v>10</v>
      </c>
      <c r="AL13" s="327" t="s">
        <v>733</v>
      </c>
    </row>
    <row r="14" spans="2:44" ht="16.5" hidden="1" customHeight="1">
      <c r="B14" s="95" t="s">
        <v>11</v>
      </c>
      <c r="C14" s="95"/>
      <c r="D14" s="96" t="str">
        <f ca="1">IF(SUM(E6,D10:D13)&gt;=1,"*日期空白或格式錯誤*","")</f>
        <v/>
      </c>
      <c r="H14" s="72"/>
      <c r="I14" s="91"/>
      <c r="J14" s="92"/>
      <c r="O14"/>
      <c r="P14" s="521"/>
      <c r="Q14" s="521"/>
      <c r="R14" s="521"/>
      <c r="S14" s="522"/>
      <c r="T14" s="521"/>
      <c r="U14" s="521"/>
      <c r="V14" s="521"/>
      <c r="W14" s="521"/>
      <c r="X14" s="521"/>
      <c r="Y14" s="521"/>
      <c r="Z14" s="528" t="str">
        <f ca="1">IF(AND($AA$2=2,$AA$3&gt;=70),1,"")</f>
        <v/>
      </c>
      <c r="AA14" s="525" t="s">
        <v>1035</v>
      </c>
      <c r="AB14" s="525" t="str">
        <f ca="1">IF(Z14="","",IF(MAX($Z$14:$Z$16)=1,"。","，"))</f>
        <v/>
      </c>
      <c r="AC14" s="525"/>
      <c r="AK14" s="327">
        <f>IF(OR($AL14="",COUNTIF($AL$3:$AR$3,$AL$2)=0),"",MAX($AK$3:AK13)+1)</f>
        <v>11</v>
      </c>
      <c r="AL14" s="327" t="s">
        <v>734</v>
      </c>
    </row>
    <row r="15" spans="2:44" ht="16.5" hidden="1" customHeight="1">
      <c r="B15" s="97" t="s">
        <v>12</v>
      </c>
      <c r="C15" s="87">
        <f>IF($C$22="",,VLOOKUP($C$24,$H$51:$J$55,3,FALSE))</f>
        <v>75</v>
      </c>
      <c r="D15" s="89" t="str">
        <f ca="1">IF(D5&gt;C15,1,"")</f>
        <v/>
      </c>
      <c r="H15" s="72"/>
      <c r="I15" s="91"/>
      <c r="J15" s="92"/>
      <c r="K15" s="80" t="s">
        <v>530</v>
      </c>
      <c r="O15"/>
      <c r="P15" s="521"/>
      <c r="Q15" s="521"/>
      <c r="R15" s="521"/>
      <c r="S15" s="522"/>
      <c r="T15" s="521"/>
      <c r="U15" s="521"/>
      <c r="V15" s="521"/>
      <c r="W15" s="521"/>
      <c r="X15" s="521"/>
      <c r="Y15" s="521"/>
      <c r="Z15" s="528" t="str">
        <f ca="1">IF(AND($AA$5=2,$AA$9&lt;&gt;1,$AA$4*$AA$5&gt;=300000),MAX($Z$14:$Z$14)+1,"")</f>
        <v/>
      </c>
      <c r="AA15" s="525" t="s">
        <v>1036</v>
      </c>
      <c r="AB15" s="525" t="str">
        <f ca="1">IF(Z15="","",IF(MAX($Z$14:$Z$15)&gt;=1,"。",""))</f>
        <v/>
      </c>
      <c r="AC15" s="525"/>
      <c r="AK15" s="327">
        <f>IF(OR($AL15="",COUNTIF($AL$3:$AR$3,$AL$2)=0),"",MAX($AK$3:AK14)+1)</f>
        <v>12</v>
      </c>
      <c r="AL15" s="327" t="s">
        <v>1120</v>
      </c>
    </row>
    <row r="16" spans="2:44" ht="16.5" hidden="1" customHeight="1">
      <c r="B16" s="98" t="str">
        <f>"最低承保"&amp;IF(E16=1,"(足歲)","(保險年齡)")</f>
        <v>最低承保(保險年齡)</v>
      </c>
      <c r="C16" s="87">
        <f>IF($C$22="",,VLOOKUP($C$24,$H$51:$J$55,2,FALSE))</f>
        <v>0</v>
      </c>
      <c r="D16" s="89" t="str">
        <f ca="1">IF(IF(E16=1,D6,IF(E16=2,D5,0))&lt;C16,1,"")</f>
        <v/>
      </c>
      <c r="E16" s="87">
        <v>2</v>
      </c>
      <c r="N16" s="1" t="str">
        <f>IF(O16="","",MAX($N$2:N15)+1)</f>
        <v/>
      </c>
      <c r="O16"/>
      <c r="P16" s="1"/>
      <c r="Q16" s="1"/>
      <c r="R16" s="1"/>
      <c r="S16" s="1"/>
      <c r="T16" s="1"/>
      <c r="U16" s="1"/>
      <c r="V16" s="1"/>
      <c r="W16" s="1"/>
      <c r="X16" s="1"/>
      <c r="Y16" s="1"/>
      <c r="Z16" s="528" t="str">
        <f ca="1">IF(AND($AA$2=2,$AA$6=1,$AA$4*$AA$5&gt;=1000000),MAX($Z$14:$Z$15)+1,"")</f>
        <v/>
      </c>
      <c r="AA16" s="525" t="s">
        <v>1037</v>
      </c>
      <c r="AB16" s="525" t="str">
        <f ca="1">IF(Z16="","",IF(MAX($Z$14:$Z$16)&gt;=1,"。",""))</f>
        <v/>
      </c>
      <c r="AC16" s="525"/>
      <c r="AD16" s="187"/>
      <c r="AE16" s="187"/>
      <c r="AK16" s="327">
        <f>IF(OR($AL16="",COUNTIF($AL$3:$AR$3,$AL$2)=0),"",MAX($AK$3:AK15)+1)</f>
        <v>13</v>
      </c>
      <c r="AL16" s="327" t="s">
        <v>1121</v>
      </c>
    </row>
    <row r="17" spans="2:55" ht="16.5" hidden="1" customHeight="1">
      <c r="B17" s="99" t="s">
        <v>13</v>
      </c>
      <c r="C17" s="95"/>
      <c r="D17" s="96" t="str">
        <f ca="1">IF(SUM(D15:D16)&gt;=1,"*年齡不符專案投保區間*","")</f>
        <v/>
      </c>
      <c r="H17" s="88" t="s">
        <v>941</v>
      </c>
      <c r="I17" s="433">
        <f>VLOOKUP($C$24,$H$18:$I$22,2,0)</f>
        <v>0.02</v>
      </c>
      <c r="J17" s="72"/>
      <c r="N17" s="1" t="str">
        <f>IF(O17="","",MAX($N$2:N16)+1)</f>
        <v/>
      </c>
      <c r="O17"/>
      <c r="P17" s="1"/>
      <c r="Q17" s="1"/>
      <c r="R17" s="1"/>
      <c r="S17" s="1"/>
      <c r="T17" s="1"/>
      <c r="U17" s="1"/>
      <c r="V17" s="1"/>
      <c r="W17" s="1"/>
      <c r="X17" s="1"/>
      <c r="Y17" s="1"/>
      <c r="Z17" s="1"/>
      <c r="AA17" s="187"/>
      <c r="AB17" s="187"/>
      <c r="AC17" s="187"/>
      <c r="AD17" s="187"/>
      <c r="AE17" s="187"/>
      <c r="AK17" s="327">
        <f>IF(OR($AL17="",COUNTIF($AL$3:$AR$3,$AL$2)=0),"",MAX($AK$3:AK16)+1)</f>
        <v>14</v>
      </c>
      <c r="AL17" s="327" t="s">
        <v>735</v>
      </c>
    </row>
    <row r="18" spans="2:55" ht="16.5" hidden="1" customHeight="1">
      <c r="B18" s="79" t="s">
        <v>14</v>
      </c>
      <c r="C18" s="100">
        <f>IF(輸入頁!$K$4="男",1,IF(輸入頁!$K$4="女",2,0))</f>
        <v>1</v>
      </c>
      <c r="D18" s="101" t="str">
        <f>IF(OR(C18="",C18&lt;=0,C18&gt;=3),1,"")</f>
        <v/>
      </c>
      <c r="H18" s="88"/>
      <c r="I18" s="432"/>
      <c r="J18" s="72"/>
      <c r="N18" s="1" t="str">
        <f>IF(O18="","",MAX($N$2:N17)+1)</f>
        <v/>
      </c>
      <c r="O18" s="32"/>
      <c r="P18" s="1"/>
      <c r="Q18" s="1"/>
      <c r="R18" s="1"/>
      <c r="S18" s="1"/>
      <c r="T18" s="1"/>
      <c r="U18" s="1"/>
      <c r="V18" s="1"/>
      <c r="W18" s="1"/>
      <c r="X18" s="1"/>
      <c r="Y18" s="1"/>
      <c r="Z18" s="1"/>
      <c r="AA18" s="187"/>
      <c r="AB18" s="187"/>
      <c r="AC18" s="187"/>
      <c r="AD18" s="187"/>
      <c r="AE18" s="187"/>
      <c r="AK18" s="327">
        <f>IF(OR($AL18="",COUNTIF($AL$3:$AR$3,$AL$2)=0),"",MAX($AK$3:AK17)+1)</f>
        <v>15</v>
      </c>
      <c r="AL18" s="327" t="s">
        <v>736</v>
      </c>
    </row>
    <row r="19" spans="2:55" ht="16.5" hidden="1" customHeight="1">
      <c r="B19" s="102" t="s">
        <v>15</v>
      </c>
      <c r="C19" s="102"/>
      <c r="D19" s="103" t="str">
        <f>IF(D18=1,"*性別輸入錯誤*","")</f>
        <v/>
      </c>
      <c r="H19" s="72"/>
      <c r="I19" s="432"/>
      <c r="J19" s="92"/>
      <c r="P19" s="361"/>
      <c r="T19" s="829" t="str">
        <f>IF($Q19&lt;&gt;$C$56,"",R19&amp;S19)</f>
        <v/>
      </c>
      <c r="AK19" s="327">
        <f>IF(OR($AL19="",COUNTIF($AL$3:$AR$3,$AL$2)=0),"",MAX($AK$3:AK18)+1)</f>
        <v>16</v>
      </c>
      <c r="AL19" s="327" t="s">
        <v>746</v>
      </c>
    </row>
    <row r="20" spans="2:55" ht="16.5" hidden="1" customHeight="1">
      <c r="B20" s="102" t="s">
        <v>16</v>
      </c>
      <c r="C20" s="102"/>
      <c r="D20" s="89" t="str">
        <f ca="1">IF(SUM(E6,D10:D13,D15,D16,D18)&gt;=1,1,"")</f>
        <v/>
      </c>
      <c r="H20" s="72">
        <v>6</v>
      </c>
      <c r="I20" s="432">
        <v>0.02</v>
      </c>
      <c r="J20" s="92"/>
      <c r="Q20" s="137"/>
      <c r="R20" s="137"/>
      <c r="S20" s="833"/>
      <c r="T20" s="833"/>
      <c r="U20" s="833"/>
      <c r="V20" s="833"/>
      <c r="W20" s="834"/>
      <c r="X20" s="833"/>
      <c r="Y20" s="833"/>
      <c r="Z20" s="833"/>
      <c r="AA20" s="833"/>
      <c r="AB20" s="833"/>
      <c r="AC20" s="833"/>
      <c r="AD20" s="833"/>
      <c r="AE20" s="833"/>
      <c r="AF20" s="833"/>
      <c r="AG20" s="833"/>
      <c r="AK20" s="327">
        <f>IF(OR($AL20="",COUNTIF($AL$3:$AR$3,$AL$2)=0),"",MAX($AK$3:AK19)+1)</f>
        <v>17</v>
      </c>
      <c r="AL20" s="327" t="s">
        <v>747</v>
      </c>
    </row>
    <row r="21" spans="2:55" ht="16.5" hidden="1" customHeight="1">
      <c r="B21" s="79" t="s">
        <v>17</v>
      </c>
      <c r="C21" s="87">
        <v>1</v>
      </c>
      <c r="D21" s="89" t="str">
        <f>IF(OR(C21="",C21&lt;=0,C21&gt;=3),1,"")</f>
        <v/>
      </c>
      <c r="H21" s="72"/>
      <c r="I21" s="432"/>
      <c r="J21" s="92"/>
      <c r="Q21" s="137"/>
      <c r="R21" s="137"/>
      <c r="S21" s="835"/>
      <c r="T21" s="835"/>
      <c r="U21" s="835"/>
      <c r="V21" s="835"/>
      <c r="W21" s="834"/>
      <c r="X21" s="835"/>
      <c r="Y21" s="835"/>
      <c r="Z21" s="835"/>
      <c r="AA21" s="835"/>
      <c r="AB21" s="835"/>
      <c r="AC21" s="835"/>
      <c r="AD21" s="835"/>
      <c r="AE21" s="835"/>
      <c r="AF21" s="835"/>
      <c r="AG21" s="835"/>
      <c r="AK21" s="327">
        <f>IF(OR($AL21="",COUNTIF($AL$3:$AR$3,$AL$2)=0),"",MAX($AK$3:AK20)+1)</f>
        <v>18</v>
      </c>
      <c r="AL21" s="327" t="s">
        <v>748</v>
      </c>
    </row>
    <row r="22" spans="2:55" ht="16.5" hidden="1" customHeight="1">
      <c r="B22" s="79" t="s">
        <v>18</v>
      </c>
      <c r="C22" s="104" t="str">
        <f>IF(RIGHT(輸入頁!$D$41,4)&lt;&gt;I60,"",RIGHT(輸入頁!$D$41,4))</f>
        <v>IWT</v>
      </c>
      <c r="D22" s="89" t="str">
        <f>IF(OR(C22="",C22=0,AND(C22&lt;&gt;K39,C22&lt;&gt;K40)),1,"")</f>
        <v/>
      </c>
      <c r="E22" s="85"/>
      <c r="F22" s="105"/>
      <c r="H22" s="72"/>
      <c r="I22" s="432"/>
      <c r="J22" s="92"/>
      <c r="Q22" s="137"/>
      <c r="R22" s="137"/>
      <c r="S22" s="835"/>
      <c r="T22" s="835"/>
      <c r="U22" s="835"/>
      <c r="V22" s="835"/>
      <c r="W22" s="834"/>
      <c r="X22" s="835"/>
      <c r="Y22" s="835"/>
      <c r="Z22" s="835"/>
      <c r="AA22" s="835"/>
      <c r="AB22" s="835"/>
      <c r="AC22" s="835"/>
      <c r="AD22" s="835"/>
      <c r="AE22" s="835"/>
      <c r="AF22" s="835"/>
      <c r="AG22" s="835"/>
      <c r="AK22" s="327">
        <f>IF(OR($AL22="",COUNTIF($AL$3:$AR$3,$AL$2)=0),"",MAX($AK$3:AK21)+1)</f>
        <v>19</v>
      </c>
      <c r="AL22" s="327" t="s">
        <v>749</v>
      </c>
    </row>
    <row r="23" spans="2:55" ht="16.5" hidden="1" customHeight="1">
      <c r="B23" s="106" t="s">
        <v>19</v>
      </c>
      <c r="C23" s="104" t="s">
        <v>1372</v>
      </c>
      <c r="D23" s="89"/>
      <c r="H23" s="72"/>
      <c r="I23" s="72"/>
      <c r="J23" s="92"/>
      <c r="Q23" s="137"/>
      <c r="R23" s="137"/>
      <c r="S23" s="835"/>
      <c r="T23" s="835"/>
      <c r="U23" s="835"/>
      <c r="V23" s="835"/>
      <c r="W23" s="834"/>
      <c r="X23" s="835"/>
      <c r="Y23" s="835"/>
      <c r="Z23" s="835"/>
      <c r="AA23" s="835"/>
      <c r="AB23" s="835"/>
      <c r="AC23" s="835"/>
      <c r="AD23" s="835"/>
      <c r="AE23" s="835"/>
      <c r="AF23" s="835"/>
      <c r="AG23" s="835"/>
      <c r="AK23" s="327">
        <f>IF(OR($AL23="",COUNTIF($AL$3:$AR$3,$AL$2)=0),"",MAX($AK$3:AK22)+1)</f>
        <v>20</v>
      </c>
      <c r="AL23" s="327" t="s">
        <v>737</v>
      </c>
    </row>
    <row r="24" spans="2:55" ht="16.5" hidden="1" customHeight="1">
      <c r="B24" s="79" t="s">
        <v>20</v>
      </c>
      <c r="C24" s="77">
        <f>IF($C$22="",,輸入頁!$D$39)</f>
        <v>6</v>
      </c>
      <c r="D24" s="89" t="str">
        <f>IF(OR(C24="",C24=0,ISERR(COUNTIF(H39:J39,C24))),1,"")</f>
        <v/>
      </c>
      <c r="Q24" s="137"/>
      <c r="R24" s="137"/>
      <c r="S24" s="835"/>
      <c r="T24" s="835"/>
      <c r="U24" s="835"/>
      <c r="V24" s="835"/>
      <c r="W24" s="834"/>
      <c r="X24" s="835"/>
      <c r="Y24" s="835"/>
      <c r="Z24" s="835"/>
      <c r="AA24" s="835"/>
      <c r="AB24" s="835"/>
      <c r="AC24" s="835"/>
      <c r="AD24" s="835"/>
      <c r="AE24" s="835"/>
      <c r="AF24" s="835"/>
      <c r="AG24" s="835"/>
      <c r="AK24" s="327">
        <f>IF(OR($AL24="",COUNTIF($AL$3:$AR$3,$AL$2)=0),"",MAX($AK$3:AK23)+1)</f>
        <v>21</v>
      </c>
      <c r="AL24" s="327" t="s">
        <v>738</v>
      </c>
    </row>
    <row r="25" spans="2:55" ht="16.5" hidden="1" customHeight="1">
      <c r="B25" s="102" t="s">
        <v>21</v>
      </c>
      <c r="C25" s="107"/>
      <c r="D25" s="96" t="str">
        <f>IF(SUM(D24)&gt;=1,"*年期選擇錯誤*","")</f>
        <v/>
      </c>
      <c r="E25" s="105"/>
      <c r="H25" s="88"/>
      <c r="I25" s="72"/>
      <c r="J25" s="72"/>
      <c r="Q25" s="137"/>
      <c r="R25" s="137"/>
      <c r="S25" s="835"/>
      <c r="T25" s="835"/>
      <c r="U25" s="835"/>
      <c r="V25" s="835"/>
      <c r="W25" s="834"/>
      <c r="X25" s="835"/>
      <c r="Y25" s="835"/>
      <c r="Z25" s="835"/>
      <c r="AA25" s="835"/>
      <c r="AB25" s="835"/>
      <c r="AC25" s="835"/>
      <c r="AD25" s="835"/>
      <c r="AE25" s="835"/>
      <c r="AF25" s="835"/>
      <c r="AG25" s="835"/>
      <c r="AK25" s="327">
        <f>IF(OR($AL25="",COUNTIF($AL$3:$AR$3,$AL$2)=0),"",MAX($AK$3:AK24)+1)</f>
        <v>22</v>
      </c>
      <c r="AL25" s="327" t="s">
        <v>750</v>
      </c>
    </row>
    <row r="26" spans="2:55" ht="18" hidden="1" customHeight="1">
      <c r="B26" s="108" t="s">
        <v>22</v>
      </c>
      <c r="C26" s="87">
        <f>IF($C$22="",,VLOOKUP($C$24,$H$62:$L$66,$H$60+1,FALSE))</f>
        <v>5</v>
      </c>
      <c r="D26" s="109"/>
      <c r="E26" s="105"/>
      <c r="H26" s="88"/>
      <c r="I26" s="72"/>
      <c r="J26" s="72"/>
      <c r="Q26" s="137"/>
      <c r="R26" s="137"/>
      <c r="S26" s="835"/>
      <c r="T26" s="835"/>
      <c r="U26" s="835"/>
      <c r="V26" s="835"/>
      <c r="W26" s="834"/>
      <c r="X26" s="835"/>
      <c r="Y26" s="835"/>
      <c r="Z26" s="835"/>
      <c r="AA26" s="835"/>
      <c r="AB26" s="835"/>
      <c r="AC26" s="835"/>
      <c r="AD26" s="835"/>
      <c r="AE26" s="835"/>
      <c r="AF26" s="835"/>
      <c r="AG26" s="835"/>
      <c r="AK26" s="327">
        <f>IF(OR($AL26="",COUNTIF($AL$3:$AR$3,$AL$2)=0),"",MAX($AK$3:AK25)+1)</f>
        <v>23</v>
      </c>
      <c r="AL26" s="327" t="s">
        <v>751</v>
      </c>
    </row>
    <row r="27" spans="2:55" ht="17.25" hidden="1" customHeight="1">
      <c r="B27" s="108" t="s">
        <v>23</v>
      </c>
      <c r="C27" s="87">
        <f ca="1">IF(OR($C$22="",D20=1),,VLOOKUP($C$24,$H$62:$L$66,$H$60+2,0))</f>
        <v>1700</v>
      </c>
      <c r="D27" s="110"/>
      <c r="E27" s="105"/>
      <c r="H27" s="72"/>
      <c r="I27" s="72"/>
      <c r="J27" s="92"/>
      <c r="Q27" s="137"/>
      <c r="R27" s="137"/>
      <c r="S27" s="835"/>
      <c r="T27" s="835"/>
      <c r="U27" s="835"/>
      <c r="V27" s="835"/>
      <c r="W27" s="834"/>
      <c r="X27" s="835"/>
      <c r="Y27" s="835"/>
      <c r="Z27" s="835"/>
      <c r="AA27" s="835"/>
      <c r="AB27" s="835"/>
      <c r="AC27" s="835"/>
      <c r="AD27" s="835"/>
      <c r="AE27" s="835"/>
      <c r="AF27" s="835"/>
      <c r="AG27" s="835"/>
      <c r="AK27" s="327">
        <f>IF(OR($AL27="",COUNTIF($AL$3:$AR$3,$AL$2)=0),"",MAX($AK$3:AK26)+1)</f>
        <v>24</v>
      </c>
      <c r="AL27" s="327" t="s">
        <v>739</v>
      </c>
    </row>
    <row r="28" spans="2:55" ht="16.5" hidden="1" customHeight="1">
      <c r="B28" s="79" t="s">
        <v>76</v>
      </c>
      <c r="C28" s="111">
        <f>ROUND(輸入頁!$J$39,0)</f>
        <v>34</v>
      </c>
      <c r="D28" s="89" t="str">
        <f ca="1">IF(OR(C28="",C28=0,C28&lt;C26,C28&gt;C27),1,"")</f>
        <v/>
      </c>
      <c r="H28" s="72"/>
      <c r="I28" s="72"/>
      <c r="J28" s="92"/>
      <c r="Q28" s="137"/>
      <c r="R28" s="137"/>
      <c r="S28" s="835"/>
      <c r="T28" s="835"/>
      <c r="U28" s="835"/>
      <c r="V28" s="835"/>
      <c r="W28" s="834"/>
      <c r="X28" s="835"/>
      <c r="Y28" s="835"/>
      <c r="Z28" s="835"/>
      <c r="AA28" s="835"/>
      <c r="AB28" s="835"/>
      <c r="AC28" s="835"/>
      <c r="AD28" s="835"/>
      <c r="AE28" s="835"/>
      <c r="AF28" s="835"/>
      <c r="AG28" s="835"/>
      <c r="AK28" s="327">
        <f>IF(OR($AL28="",COUNTIF($AL$3:$AR$3,$AL$2)=0),"",MAX($AK$3:AK27)+1)</f>
        <v>25</v>
      </c>
      <c r="AL28" s="327" t="s">
        <v>740</v>
      </c>
      <c r="AW28" s="179"/>
      <c r="AX28" s="179"/>
      <c r="AY28" s="179"/>
      <c r="AZ28" s="179"/>
      <c r="BA28" s="179"/>
      <c r="BB28" s="179"/>
      <c r="BC28" s="179"/>
    </row>
    <row r="29" spans="2:55" ht="16.5" hidden="1" customHeight="1">
      <c r="B29" s="102" t="s">
        <v>24</v>
      </c>
      <c r="C29" s="112"/>
      <c r="D29" s="96" t="str">
        <f ca="1">IF(SUM(D28)&gt;=1,"*保額錯誤*","")</f>
        <v/>
      </c>
      <c r="Q29" s="137"/>
      <c r="R29" s="137"/>
      <c r="S29" s="835"/>
      <c r="T29" s="835"/>
      <c r="U29" s="835"/>
      <c r="V29" s="835"/>
      <c r="W29" s="834"/>
      <c r="X29" s="835"/>
      <c r="Y29" s="835"/>
      <c r="Z29" s="835"/>
      <c r="AA29" s="835"/>
      <c r="AB29" s="835"/>
      <c r="AC29" s="835"/>
      <c r="AD29" s="835"/>
      <c r="AE29" s="835"/>
      <c r="AF29" s="835"/>
      <c r="AG29" s="835"/>
      <c r="AK29" s="327">
        <f>IF(OR($AL29="",COUNTIF($AL$3:$AR$3,$AL$2)=0),"",MAX($AK$3:AK28)+1)</f>
        <v>26</v>
      </c>
      <c r="AL29" s="327" t="s">
        <v>741</v>
      </c>
      <c r="AW29" s="180"/>
      <c r="AX29" s="180"/>
      <c r="AY29" s="180"/>
      <c r="AZ29" s="180"/>
      <c r="BA29" s="180"/>
      <c r="BB29" s="180"/>
      <c r="BC29" s="180"/>
    </row>
    <row r="30" spans="2:55" ht="17.25" hidden="1" customHeight="1" thickBot="1">
      <c r="B30" s="79" t="s">
        <v>77</v>
      </c>
      <c r="C30" s="113">
        <f ca="1">IF(OR(C18=0,C22=0,D28=1),0,IF(ISNA(VLOOKUP($C$55,GP,2,0)),0,VLOOKUP($C$55,GP,2,0)))</f>
        <v>5007</v>
      </c>
      <c r="D30" s="81"/>
      <c r="H30" s="114" t="s">
        <v>25</v>
      </c>
      <c r="I30" s="72" t="s">
        <v>26</v>
      </c>
      <c r="K30" s="85" t="s">
        <v>340</v>
      </c>
      <c r="L30" s="85" t="s">
        <v>341</v>
      </c>
      <c r="Q30" s="137"/>
      <c r="R30" s="137"/>
      <c r="S30" s="835"/>
      <c r="T30" s="835"/>
      <c r="U30" s="835"/>
      <c r="V30" s="835"/>
      <c r="W30" s="834"/>
      <c r="X30" s="835"/>
      <c r="Y30" s="835"/>
      <c r="Z30" s="835"/>
      <c r="AA30" s="835"/>
      <c r="AB30" s="835"/>
      <c r="AC30" s="835"/>
      <c r="AD30" s="835"/>
      <c r="AE30" s="835"/>
      <c r="AF30" s="835"/>
      <c r="AG30" s="835"/>
      <c r="AK30" s="327">
        <f>IF(OR($AL30="",COUNTIF($AL$3:$AR$3,$AL$2)=0),"",MAX($AK$3:AK29)+1)</f>
        <v>27</v>
      </c>
      <c r="AL30" s="327" t="s">
        <v>742</v>
      </c>
      <c r="AW30" s="180"/>
      <c r="AX30" s="180"/>
      <c r="AY30" s="180"/>
      <c r="AZ30" s="180"/>
      <c r="BA30" s="180"/>
      <c r="BB30" s="180"/>
      <c r="BC30" s="180"/>
    </row>
    <row r="31" spans="2:55" ht="17.25" hidden="1" customHeight="1" thickTop="1">
      <c r="B31" s="79" t="s">
        <v>27</v>
      </c>
      <c r="C31" s="115">
        <f ca="1">IF($C$21=1,ROUND(C28*C30,1),IF(C21=2,ROUND(C28*C30,1),""))</f>
        <v>170238</v>
      </c>
      <c r="D31" s="116"/>
      <c r="H31" s="117" t="s">
        <v>335</v>
      </c>
      <c r="I31" s="118">
        <v>0.01</v>
      </c>
      <c r="J31" s="85" t="s">
        <v>28</v>
      </c>
      <c r="K31" s="131" t="s">
        <v>335</v>
      </c>
      <c r="L31" s="131" t="s">
        <v>82</v>
      </c>
      <c r="Q31" s="137"/>
      <c r="R31" s="137"/>
      <c r="S31" s="835"/>
      <c r="T31" s="835"/>
      <c r="U31" s="835"/>
      <c r="V31" s="835"/>
      <c r="W31" s="834"/>
      <c r="X31" s="835"/>
      <c r="Y31" s="835"/>
      <c r="Z31" s="835"/>
      <c r="AA31" s="835"/>
      <c r="AB31" s="835"/>
      <c r="AC31" s="835"/>
      <c r="AD31" s="835"/>
      <c r="AE31" s="835"/>
      <c r="AF31" s="835"/>
      <c r="AG31" s="835"/>
      <c r="AK31" s="327">
        <f>IF(OR($AL31="",COUNTIF($AL$3:$AR$3,$AL$2)=0),"",MAX($AK$3:AK30)+1)</f>
        <v>28</v>
      </c>
      <c r="AL31" s="327" t="s">
        <v>743</v>
      </c>
      <c r="AW31" s="180"/>
      <c r="AX31" s="180"/>
      <c r="AY31" s="180"/>
      <c r="AZ31" s="180"/>
      <c r="BA31" s="180"/>
      <c r="BB31" s="180"/>
      <c r="BC31" s="180"/>
    </row>
    <row r="32" spans="2:55" ht="16.5" hidden="1" customHeight="1">
      <c r="B32" s="79" t="s">
        <v>25</v>
      </c>
      <c r="C32" s="87" t="str">
        <f>IF(輸入頁!$E$16="","",輸入頁!$E$16)</f>
        <v>年繳</v>
      </c>
      <c r="D32" s="89" t="str">
        <f>IF(OR(C32="",C32=0),1,"")</f>
        <v/>
      </c>
      <c r="H32" s="119" t="s">
        <v>556</v>
      </c>
      <c r="I32" s="118">
        <v>0.01</v>
      </c>
      <c r="J32" s="120" t="s">
        <v>29</v>
      </c>
      <c r="K32" s="131" t="s">
        <v>82</v>
      </c>
      <c r="L32" s="86" t="s">
        <v>81</v>
      </c>
      <c r="Q32" s="137"/>
      <c r="R32" s="137"/>
      <c r="S32" s="835"/>
      <c r="T32" s="835"/>
      <c r="U32" s="835"/>
      <c r="V32" s="835"/>
      <c r="W32" s="834"/>
      <c r="X32" s="835"/>
      <c r="Y32" s="835"/>
      <c r="Z32" s="835"/>
      <c r="AA32" s="835"/>
      <c r="AB32" s="835"/>
      <c r="AC32" s="835"/>
      <c r="AD32" s="835"/>
      <c r="AE32" s="835"/>
      <c r="AF32" s="835"/>
      <c r="AG32" s="835"/>
      <c r="AK32" s="327">
        <f>IF(OR($AL32="",COUNTIF($AL$3:$AR$3,$AL$2)=0),"",MAX($AK$3:AK31)+1)</f>
        <v>29</v>
      </c>
      <c r="AL32" s="327" t="s">
        <v>752</v>
      </c>
      <c r="AW32" s="180"/>
      <c r="AX32" s="180"/>
      <c r="AY32" s="180"/>
      <c r="AZ32" s="180"/>
      <c r="BA32" s="180"/>
      <c r="BB32" s="180"/>
      <c r="BC32" s="180"/>
    </row>
    <row r="33" spans="2:55" ht="16.5" hidden="1" customHeight="1">
      <c r="B33" s="79" t="s">
        <v>30</v>
      </c>
      <c r="C33" s="87">
        <v>1</v>
      </c>
      <c r="D33" s="89" t="str">
        <f>IF(OR(C33="",C33=0),1,"")</f>
        <v/>
      </c>
      <c r="H33" s="121" t="s">
        <v>81</v>
      </c>
      <c r="I33" s="118">
        <v>0.01</v>
      </c>
      <c r="K33" s="86" t="s">
        <v>81</v>
      </c>
      <c r="L33" s="86" t="s">
        <v>83</v>
      </c>
      <c r="M33" s="1"/>
      <c r="Q33" s="137"/>
      <c r="R33" s="137"/>
      <c r="S33" s="835"/>
      <c r="T33" s="835"/>
      <c r="U33" s="835"/>
      <c r="V33" s="835"/>
      <c r="W33" s="834"/>
      <c r="X33" s="835"/>
      <c r="Y33" s="835"/>
      <c r="Z33" s="835"/>
      <c r="AA33" s="835"/>
      <c r="AB33" s="835"/>
      <c r="AC33" s="835"/>
      <c r="AD33" s="835"/>
      <c r="AE33" s="835"/>
      <c r="AF33" s="835"/>
      <c r="AG33" s="835"/>
      <c r="AK33" s="327">
        <f>IF(OR($AL33="",COUNTIF($AL$3:$AR$3,$AL$2)=0),"",MAX($AK$3:AK32)+1)</f>
        <v>30</v>
      </c>
      <c r="AL33" s="327" t="s">
        <v>753</v>
      </c>
      <c r="AW33" s="180"/>
      <c r="AX33" s="180"/>
      <c r="AY33" s="180"/>
      <c r="AZ33" s="180"/>
      <c r="BA33" s="180"/>
      <c r="BB33" s="180"/>
      <c r="BC33" s="180"/>
    </row>
    <row r="34" spans="2:55" ht="16.5" hidden="1" customHeight="1">
      <c r="B34" s="79" t="s">
        <v>31</v>
      </c>
      <c r="C34" s="79">
        <f>IF(D32=1,,VLOOKUP(C32,H2:K7,1+C33,FALSE))</f>
        <v>1</v>
      </c>
      <c r="D34" s="122"/>
      <c r="H34" s="123" t="s">
        <v>83</v>
      </c>
      <c r="I34" s="118">
        <v>0</v>
      </c>
      <c r="J34" s="85" t="s">
        <v>32</v>
      </c>
      <c r="K34" s="86" t="s">
        <v>83</v>
      </c>
      <c r="L34" s="86" t="s">
        <v>84</v>
      </c>
      <c r="M34" s="1"/>
      <c r="Q34" s="137"/>
      <c r="R34" s="137"/>
      <c r="S34" s="835"/>
      <c r="T34" s="835"/>
      <c r="U34" s="835"/>
      <c r="V34" s="835"/>
      <c r="W34" s="834"/>
      <c r="X34" s="835"/>
      <c r="Y34" s="835"/>
      <c r="Z34" s="835"/>
      <c r="AA34" s="835"/>
      <c r="AB34" s="835"/>
      <c r="AC34" s="835"/>
      <c r="AD34" s="835"/>
      <c r="AE34" s="835"/>
      <c r="AF34" s="835"/>
      <c r="AG34" s="835"/>
      <c r="AK34" s="327">
        <f>IF(OR($AL34="",COUNTIF($AL$3:$AR$3,$AL$2)=0),"",MAX($AK$3:AK33)+1)</f>
        <v>31</v>
      </c>
      <c r="AL34" s="327" t="s">
        <v>744</v>
      </c>
      <c r="AW34" s="180"/>
      <c r="AX34" s="180"/>
      <c r="AY34" s="180"/>
      <c r="AZ34" s="180"/>
      <c r="BA34" s="180"/>
      <c r="BB34" s="180"/>
      <c r="BC34" s="180"/>
    </row>
    <row r="35" spans="2:55" ht="16.5" hidden="1" customHeight="1">
      <c r="B35" s="79" t="s">
        <v>33</v>
      </c>
      <c r="C35" s="115">
        <f ca="1">IF($C$21=1,ROUND(C31*C34,0),IF($C$21=2,ROUNDDOWN(C31*C34,0),""))</f>
        <v>170238</v>
      </c>
      <c r="D35" s="81"/>
      <c r="H35" s="124" t="s">
        <v>84</v>
      </c>
      <c r="I35" s="118">
        <v>0.01</v>
      </c>
      <c r="K35" s="131" t="s">
        <v>339</v>
      </c>
      <c r="L35" s="86"/>
      <c r="M35" s="1"/>
      <c r="Q35" s="137"/>
      <c r="R35" s="137"/>
      <c r="S35" s="835"/>
      <c r="T35" s="835"/>
      <c r="U35" s="835"/>
      <c r="V35" s="835"/>
      <c r="W35" s="834"/>
      <c r="X35" s="835"/>
      <c r="Y35" s="835"/>
      <c r="Z35" s="835"/>
      <c r="AA35" s="835"/>
      <c r="AB35" s="835"/>
      <c r="AC35" s="835"/>
      <c r="AD35" s="835"/>
      <c r="AE35" s="835"/>
      <c r="AF35" s="835"/>
      <c r="AG35" s="835"/>
      <c r="AK35" s="327">
        <f>IF(OR($AL35="",COUNTIF($AL$3:$AR$3,$AL$2)=0),"",MAX($AK$3:AK34)+1)</f>
        <v>32</v>
      </c>
      <c r="AL35" s="327" t="s">
        <v>754</v>
      </c>
    </row>
    <row r="36" spans="2:55" ht="17.25" hidden="1" customHeight="1" thickBot="1">
      <c r="B36" s="125" t="s">
        <v>34</v>
      </c>
      <c r="C36" s="126"/>
      <c r="D36" s="80" t="s">
        <v>35</v>
      </c>
      <c r="H36" s="207" t="s">
        <v>515</v>
      </c>
      <c r="I36" s="118">
        <v>0</v>
      </c>
      <c r="J36" s="120" t="s">
        <v>36</v>
      </c>
      <c r="K36" s="86"/>
      <c r="M36" s="1"/>
      <c r="Q36" s="137"/>
      <c r="R36" s="137"/>
      <c r="S36" s="835"/>
      <c r="T36" s="835"/>
      <c r="U36" s="835"/>
      <c r="V36" s="835"/>
      <c r="W36" s="834"/>
      <c r="X36" s="835"/>
      <c r="Y36" s="835"/>
      <c r="Z36" s="835"/>
      <c r="AA36" s="835"/>
      <c r="AB36" s="835"/>
      <c r="AC36" s="835"/>
      <c r="AD36" s="835"/>
      <c r="AE36" s="835"/>
      <c r="AF36" s="835"/>
      <c r="AG36" s="835"/>
      <c r="AK36" s="327">
        <f>IF(OR($AL36="",COUNTIF($AL$3:$AR$3,$AL$2)=0),"",MAX($AK$3:AK35)+1)</f>
        <v>33</v>
      </c>
      <c r="AL36" s="327" t="s">
        <v>755</v>
      </c>
    </row>
    <row r="37" spans="2:55" ht="17.25" hidden="1" customHeight="1" thickTop="1">
      <c r="B37" s="125" t="s">
        <v>37</v>
      </c>
      <c r="C37" s="126">
        <f>IF(AND($C$28&gt;=25,$C$28&lt;45),1%,IF(AND($C$28&gt;=45),2%,0))</f>
        <v>0.01</v>
      </c>
      <c r="D37" s="130" t="str">
        <f>IF(C37&gt;0,"本保件享有 "&amp;TEXT(C37,"0.0%")&amp;" 高保額折扣","")</f>
        <v>本保件享有 1.0% 高保額折扣</v>
      </c>
      <c r="M37" s="1"/>
      <c r="Q37" s="137"/>
      <c r="R37" s="137"/>
      <c r="S37" s="835"/>
      <c r="T37" s="835"/>
      <c r="U37" s="835"/>
      <c r="V37" s="835"/>
      <c r="W37" s="834"/>
      <c r="X37" s="835"/>
      <c r="Y37" s="835"/>
      <c r="Z37" s="835"/>
      <c r="AA37" s="835"/>
      <c r="AB37" s="835"/>
      <c r="AC37" s="835"/>
      <c r="AD37" s="835"/>
      <c r="AE37" s="835"/>
      <c r="AF37" s="835"/>
      <c r="AG37" s="835"/>
      <c r="AK37" s="327" t="str">
        <f>IF(OR($AL37="",COUNTIF($AL$3:$AR$3,$AL$2)=0),"",MAX($AK$3:AK36)+1)</f>
        <v/>
      </c>
      <c r="AL37" s="327"/>
    </row>
    <row r="38" spans="2:55" ht="16.5" hidden="1" customHeight="1">
      <c r="B38" s="208" t="s">
        <v>517</v>
      </c>
      <c r="C38" s="126">
        <f>IF(AND($E$38=2,OR(AND(C41=H31,OR(C43=H32,C43=H33,C43=H34,C43=H35)),$C$41=$H$32,$C$41=$H$33,$C$41=$H$34)),0%,0%)</f>
        <v>0</v>
      </c>
      <c r="D38" s="209" t="str">
        <f>IF(C38&gt;0,"本主約首期保費享有 "&amp;TEXT(C38,"0%")&amp;" 集體彙繳折扣","")</f>
        <v/>
      </c>
      <c r="E38" s="210">
        <f>IF(ISNA(VLOOKUP($I$42,$H$43:$I$48,2,0)),0,VLOOKUP($I$42,$H$43:$I$48,2,0))</f>
        <v>0</v>
      </c>
      <c r="H38" s="86" t="s">
        <v>20</v>
      </c>
      <c r="K38" s="90" t="s">
        <v>38</v>
      </c>
      <c r="Q38" s="137"/>
      <c r="R38" s="137"/>
      <c r="S38" s="835"/>
      <c r="T38" s="835"/>
      <c r="U38" s="835"/>
      <c r="V38" s="835"/>
      <c r="W38" s="834"/>
      <c r="X38" s="835"/>
      <c r="Y38" s="835"/>
      <c r="Z38" s="835"/>
      <c r="AA38" s="835"/>
      <c r="AB38" s="835"/>
      <c r="AC38" s="835"/>
      <c r="AD38" s="835"/>
      <c r="AE38" s="835"/>
      <c r="AF38" s="835"/>
      <c r="AG38" s="835"/>
      <c r="AK38" s="327" t="str">
        <f>IF(OR($AL38="",COUNTIF($AL$3:$AR$3,$AL$2)=0),"",MAX($AK$3:AK37)+1)</f>
        <v/>
      </c>
      <c r="AL38" s="327"/>
    </row>
    <row r="39" spans="2:55" ht="16.5" hidden="1" customHeight="1">
      <c r="B39" s="208" t="s">
        <v>518</v>
      </c>
      <c r="C39" s="126">
        <f>IF(AND($E$38=2,OR($C$43=$H$32,$C$43=$H$33,$C$43=$H$34,$C$43=$H$35)),0%,0%)</f>
        <v>0</v>
      </c>
      <c r="D39" s="209" t="str">
        <f>IF(C39&gt;0,"本主約續期保費享有 "&amp;TEXT(C39,"0%")&amp;" 集體彙繳折扣","")</f>
        <v/>
      </c>
      <c r="G39" s="85"/>
      <c r="H39" s="72"/>
      <c r="I39" s="127"/>
      <c r="J39" s="128">
        <v>6</v>
      </c>
      <c r="K39" s="90" t="s">
        <v>1371</v>
      </c>
      <c r="Q39" s="137"/>
      <c r="R39" s="137"/>
      <c r="S39" s="835"/>
      <c r="T39" s="835"/>
      <c r="U39" s="835"/>
      <c r="V39" s="835"/>
      <c r="W39" s="834"/>
      <c r="X39" s="835"/>
      <c r="Y39" s="835"/>
      <c r="Z39" s="835"/>
      <c r="AA39" s="835"/>
      <c r="AB39" s="835"/>
      <c r="AC39" s="835"/>
      <c r="AD39" s="835"/>
      <c r="AE39" s="835"/>
      <c r="AF39" s="835"/>
      <c r="AG39" s="835"/>
      <c r="AK39" s="327" t="str">
        <f>IF(OR($AL39="",COUNTIF($AL$3:$AR$3,$AL$2)=0),"",MAX($AK$3:AK38)+1)</f>
        <v/>
      </c>
      <c r="AL39" s="327"/>
    </row>
    <row r="40" spans="2:55" ht="16.5" hidden="1" customHeight="1">
      <c r="B40" s="208" t="s">
        <v>519</v>
      </c>
      <c r="C40" s="126">
        <f>IF(AND($E$38=1,C41=H32),0%,0%)</f>
        <v>0</v>
      </c>
      <c r="D40" s="209" t="str">
        <f>IF(C40&gt;0,"本主約保費享有 "&amp;TEXT(C40,"0%")&amp;H44&amp;"折扣","")</f>
        <v/>
      </c>
      <c r="G40" s="85"/>
      <c r="H40" s="72"/>
      <c r="I40" s="72"/>
      <c r="J40" s="128"/>
      <c r="K40" s="90"/>
      <c r="Q40" s="137"/>
      <c r="R40" s="137"/>
      <c r="S40" s="835"/>
      <c r="T40" s="835"/>
      <c r="U40" s="835"/>
      <c r="V40" s="835"/>
      <c r="W40" s="834"/>
      <c r="X40" s="835"/>
      <c r="Y40" s="835"/>
      <c r="Z40" s="835"/>
      <c r="AA40" s="835"/>
      <c r="AB40" s="835"/>
      <c r="AC40" s="835"/>
      <c r="AD40" s="835"/>
      <c r="AE40" s="835"/>
      <c r="AF40" s="835"/>
      <c r="AG40" s="835"/>
      <c r="AK40" s="327" t="str">
        <f>IF(OR($AL40="",COUNTIF($AL$3:$AR$3,$AL$2)=0),"",MAX($AK$3:AK39)+1)</f>
        <v/>
      </c>
      <c r="AL40" s="327"/>
    </row>
    <row r="41" spans="2:55" ht="16.5" hidden="1" customHeight="1">
      <c r="B41" s="125" t="s">
        <v>39</v>
      </c>
      <c r="C41" s="87" t="str">
        <f>輸入頁!Q16</f>
        <v>富邦信用卡</v>
      </c>
      <c r="D41" s="89"/>
      <c r="Q41" s="137"/>
      <c r="R41" s="137"/>
      <c r="S41" s="835"/>
      <c r="T41" s="835"/>
      <c r="U41" s="835"/>
      <c r="V41" s="835"/>
      <c r="W41" s="834"/>
      <c r="X41" s="835"/>
      <c r="Y41" s="835"/>
      <c r="Z41" s="835"/>
      <c r="AA41" s="835"/>
      <c r="AB41" s="835"/>
      <c r="AC41" s="835"/>
      <c r="AD41" s="835"/>
      <c r="AE41" s="835"/>
      <c r="AF41" s="835"/>
      <c r="AG41" s="835"/>
      <c r="AK41" s="327" t="str">
        <f>IF(OR($AL41="",COUNTIF($AL$3:$AR$3,$AL$2)=0),"",MAX($AK$3:AK40)+1)</f>
        <v/>
      </c>
      <c r="AL41" s="327"/>
    </row>
    <row r="42" spans="2:55" ht="16.5" hidden="1" customHeight="1">
      <c r="B42" s="79" t="s">
        <v>40</v>
      </c>
      <c r="C42" s="129">
        <f>IF(ISNA(VLOOKUP(C41,$H$30:$I$36,2,FALSE)),0,VLOOKUP(C41,$H$30:$I$36,2,FALSE))</f>
        <v>0.01</v>
      </c>
      <c r="D42" s="130" t="str">
        <f>IF(C42&gt;0,"-首期享有1%繳別折扣-","")</f>
        <v>-首期享有1%繳別折扣-</v>
      </c>
      <c r="H42" s="131" t="s">
        <v>520</v>
      </c>
      <c r="I42" s="86" t="str">
        <f>輸入頁!$E$35</f>
        <v>無</v>
      </c>
      <c r="Q42" s="137"/>
      <c r="R42" s="137"/>
      <c r="S42" s="835"/>
      <c r="T42" s="835"/>
      <c r="U42" s="835"/>
      <c r="V42" s="835"/>
      <c r="W42" s="834"/>
      <c r="X42" s="835"/>
      <c r="Y42" s="835"/>
      <c r="Z42" s="835"/>
      <c r="AA42" s="835"/>
      <c r="AB42" s="835"/>
      <c r="AC42" s="835"/>
      <c r="AD42" s="835"/>
      <c r="AE42" s="835"/>
      <c r="AF42" s="835"/>
      <c r="AG42" s="835"/>
      <c r="AK42" s="327" t="str">
        <f>IF(OR($AL42="",COUNTIF($AL$3:$AR$3,$AL$2)=0),"",MAX($AK$3:AK41)+1)</f>
        <v/>
      </c>
      <c r="AL42" s="327"/>
    </row>
    <row r="43" spans="2:55" ht="16.5" hidden="1" customHeight="1">
      <c r="B43" s="79" t="s">
        <v>41</v>
      </c>
      <c r="C43" s="87" t="str">
        <f>輸入頁!Q18</f>
        <v>富邦信用卡</v>
      </c>
      <c r="D43" s="89"/>
      <c r="H43" s="164" t="s">
        <v>521</v>
      </c>
      <c r="I43" s="86">
        <v>0</v>
      </c>
      <c r="Q43" s="137"/>
      <c r="R43" s="137"/>
      <c r="S43" s="835"/>
      <c r="T43" s="835"/>
      <c r="U43" s="835"/>
      <c r="V43" s="835"/>
      <c r="W43" s="834"/>
      <c r="X43" s="835"/>
      <c r="Y43" s="835"/>
      <c r="Z43" s="835"/>
      <c r="AA43" s="835"/>
      <c r="AB43" s="835"/>
      <c r="AC43" s="835"/>
      <c r="AD43" s="835"/>
      <c r="AE43" s="835"/>
      <c r="AF43" s="835"/>
      <c r="AG43" s="835"/>
      <c r="AK43" s="327" t="str">
        <f>IF(OR($AL43="",COUNTIF($AL$3:$AR$3,$AL$2)=0),"",MAX($AK$3:AK42)+1)</f>
        <v/>
      </c>
      <c r="AL43" s="327"/>
    </row>
    <row r="44" spans="2:55" ht="16.5" hidden="1" customHeight="1">
      <c r="B44" s="79" t="s">
        <v>42</v>
      </c>
      <c r="C44" s="129">
        <f>IF(ISNA(VLOOKUP(C43,$H$30:$I$36,2,FALSE)),0,VLOOKUP(C43,$H$30:$I$36,2,FALSE))</f>
        <v>0.01</v>
      </c>
      <c r="D44" s="130" t="str">
        <f>IF(C44&gt;0,"-續期享有1%繳別折扣-","")</f>
        <v>-續期享有1%繳別折扣-</v>
      </c>
      <c r="H44" s="131" t="s">
        <v>535</v>
      </c>
      <c r="I44" s="86">
        <v>1</v>
      </c>
      <c r="Q44" s="137"/>
      <c r="R44" s="137"/>
      <c r="S44" s="835"/>
      <c r="T44" s="835"/>
      <c r="U44" s="835"/>
      <c r="V44" s="835"/>
      <c r="W44" s="834"/>
      <c r="X44" s="835"/>
      <c r="Y44" s="835"/>
      <c r="Z44" s="835"/>
      <c r="AA44" s="835"/>
      <c r="AB44" s="835"/>
      <c r="AC44" s="835"/>
      <c r="AD44" s="835"/>
      <c r="AE44" s="835"/>
      <c r="AF44" s="835"/>
      <c r="AG44" s="835"/>
      <c r="AK44" s="327" t="str">
        <f>IF(OR($AL44="",COUNTIF($AL$3:$AR$3,$AL$2)=0),"",MAX($AK$3:AK43)+1)</f>
        <v/>
      </c>
      <c r="AL44" s="327"/>
    </row>
    <row r="45" spans="2:55" ht="16.5" hidden="1" customHeight="1">
      <c r="B45" s="79" t="s">
        <v>43</v>
      </c>
      <c r="C45" s="132">
        <v>0.03</v>
      </c>
      <c r="D45" s="89" t="str">
        <f>IF(OR(C45="",),1,"")</f>
        <v/>
      </c>
      <c r="H45" s="131" t="s">
        <v>522</v>
      </c>
      <c r="I45" s="86">
        <v>2</v>
      </c>
      <c r="Q45" s="137"/>
      <c r="R45" s="137"/>
      <c r="S45" s="835"/>
      <c r="T45" s="835"/>
      <c r="U45" s="835"/>
      <c r="V45" s="835"/>
      <c r="W45" s="834"/>
      <c r="X45" s="835"/>
      <c r="Y45" s="835"/>
      <c r="Z45" s="835"/>
      <c r="AA45" s="835"/>
      <c r="AB45" s="835"/>
      <c r="AC45" s="835"/>
      <c r="AD45" s="835"/>
      <c r="AE45" s="835"/>
      <c r="AF45" s="835"/>
      <c r="AG45" s="835"/>
      <c r="AK45" s="327" t="str">
        <f>IF(OR($AL45="",COUNTIF($AL$3:$AR$3,$AL$2)=0),"",MAX($AK$3:AK44)+1)</f>
        <v/>
      </c>
      <c r="AL45" s="327"/>
    </row>
    <row r="46" spans="2:55" ht="16.5" hidden="1" customHeight="1">
      <c r="B46" s="79" t="s">
        <v>44</v>
      </c>
      <c r="C46" s="133">
        <f>MIN(SUM(C36:C38,C40,C42),C45)</f>
        <v>0.02</v>
      </c>
      <c r="D46" s="134"/>
      <c r="H46" s="131"/>
      <c r="I46" s="86"/>
      <c r="Q46" s="137"/>
      <c r="R46" s="137"/>
      <c r="S46" s="835"/>
      <c r="T46" s="835"/>
      <c r="U46" s="835"/>
      <c r="V46" s="835"/>
      <c r="W46" s="834"/>
      <c r="X46" s="835"/>
      <c r="Y46" s="835"/>
      <c r="Z46" s="835"/>
      <c r="AA46" s="835"/>
      <c r="AB46" s="835"/>
      <c r="AC46" s="835"/>
      <c r="AD46" s="835"/>
      <c r="AE46" s="835"/>
      <c r="AF46" s="835"/>
      <c r="AG46" s="835"/>
      <c r="AL46" s="325" t="s">
        <v>745</v>
      </c>
      <c r="AM46" s="325" t="s">
        <v>760</v>
      </c>
      <c r="AN46" s="325" t="s">
        <v>1062</v>
      </c>
      <c r="AO46" s="325"/>
      <c r="AP46" s="325"/>
      <c r="AQ46" s="325"/>
      <c r="AR46" s="325"/>
    </row>
    <row r="47" spans="2:55" ht="16.5" hidden="1" customHeight="1">
      <c r="B47" s="79" t="s">
        <v>45</v>
      </c>
      <c r="C47" s="133">
        <f>MIN(SUM(C36:C37,C39,C40,C44),C45)</f>
        <v>0.02</v>
      </c>
      <c r="D47" s="81"/>
      <c r="H47" s="131"/>
      <c r="I47" s="86"/>
      <c r="Q47" s="137"/>
      <c r="R47" s="137"/>
      <c r="S47" s="835"/>
      <c r="T47" s="835"/>
      <c r="U47" s="835"/>
      <c r="V47" s="835"/>
      <c r="W47" s="834"/>
      <c r="X47" s="835"/>
      <c r="Y47" s="835"/>
      <c r="Z47" s="835"/>
      <c r="AA47" s="835"/>
      <c r="AB47" s="835"/>
      <c r="AC47" s="835"/>
      <c r="AD47" s="835"/>
      <c r="AE47" s="835"/>
      <c r="AF47" s="835"/>
      <c r="AG47" s="835"/>
      <c r="AK47" s="327" t="str">
        <f>IF(OR($AL47="",COUNTIF($AL$46:$AR$46,$AL$2)=0),"",MAX($AK$3:AK46)+1)</f>
        <v/>
      </c>
      <c r="AL47" s="327" t="s">
        <v>724</v>
      </c>
    </row>
    <row r="48" spans="2:55" ht="17.25" hidden="1" customHeight="1">
      <c r="B48" s="79" t="s">
        <v>46</v>
      </c>
      <c r="C48" s="113">
        <f ca="1">ROUND(C35*(1-C46),0)</f>
        <v>166833</v>
      </c>
      <c r="D48" s="96"/>
      <c r="H48" s="131"/>
      <c r="I48" s="86"/>
      <c r="Q48" s="137"/>
      <c r="R48" s="137"/>
      <c r="S48" s="835"/>
      <c r="T48" s="835"/>
      <c r="U48" s="835"/>
      <c r="V48" s="835"/>
      <c r="W48" s="834"/>
      <c r="X48" s="835"/>
      <c r="Y48" s="835"/>
      <c r="Z48" s="835"/>
      <c r="AA48" s="835"/>
      <c r="AB48" s="835"/>
      <c r="AC48" s="835"/>
      <c r="AD48" s="835"/>
      <c r="AE48" s="835"/>
      <c r="AF48" s="835"/>
      <c r="AG48" s="835"/>
      <c r="AK48" s="327" t="str">
        <f>IF(OR($AL48="",COUNTIF($AL$46:$AR$46,$AL$2)=0),"",MAX($AK$3:AK47)+1)</f>
        <v/>
      </c>
      <c r="AL48" s="327" t="s">
        <v>725</v>
      </c>
    </row>
    <row r="49" spans="2:38" ht="17.25" hidden="1" customHeight="1">
      <c r="B49" s="79" t="s">
        <v>47</v>
      </c>
      <c r="C49" s="113">
        <f ca="1">ROUND(C35*(1-C47),0)</f>
        <v>166833</v>
      </c>
      <c r="D49" s="96" t="str">
        <f>IF($C$50=12,"-月繳首期須繳 2個月 "&amp;TEXT($C$48*2,"#,##0 元-"),"")</f>
        <v/>
      </c>
      <c r="Q49" s="137"/>
      <c r="R49" s="137"/>
      <c r="S49" s="835"/>
      <c r="T49" s="835"/>
      <c r="U49" s="835"/>
      <c r="V49" s="835"/>
      <c r="W49" s="834"/>
      <c r="X49" s="835"/>
      <c r="Y49" s="835"/>
      <c r="Z49" s="835"/>
      <c r="AA49" s="835"/>
      <c r="AB49" s="835"/>
      <c r="AC49" s="835"/>
      <c r="AD49" s="835"/>
      <c r="AE49" s="835"/>
      <c r="AF49" s="835"/>
      <c r="AG49" s="835"/>
      <c r="AK49" s="327" t="str">
        <f>IF(OR($AL49="",COUNTIF($AL$46:$AR$46,$AL$2)=0),"",MAX($AK$3:AK48)+1)</f>
        <v/>
      </c>
      <c r="AL49" s="327" t="s">
        <v>726</v>
      </c>
    </row>
    <row r="50" spans="2:38" ht="16.5" hidden="1" customHeight="1">
      <c r="B50" s="79" t="s">
        <v>48</v>
      </c>
      <c r="C50" s="79">
        <f>IF(D32=1,,VLOOKUP(C32,H2:K7,4,FALSE))</f>
        <v>1</v>
      </c>
      <c r="D50" s="89"/>
      <c r="E50" s="85" t="s">
        <v>49</v>
      </c>
      <c r="H50" s="131" t="s">
        <v>20</v>
      </c>
      <c r="I50" s="131" t="s">
        <v>50</v>
      </c>
      <c r="J50" s="131" t="s">
        <v>51</v>
      </c>
      <c r="Q50" s="137"/>
      <c r="R50" s="137"/>
      <c r="S50" s="835"/>
      <c r="T50" s="835"/>
      <c r="U50" s="835"/>
      <c r="V50" s="835"/>
      <c r="W50" s="834"/>
      <c r="X50" s="835"/>
      <c r="Y50" s="835"/>
      <c r="Z50" s="835"/>
      <c r="AA50" s="835"/>
      <c r="AB50" s="835"/>
      <c r="AC50" s="835"/>
      <c r="AD50" s="835"/>
      <c r="AE50" s="835"/>
      <c r="AF50" s="835"/>
      <c r="AG50" s="835"/>
      <c r="AK50" s="327" t="str">
        <f>IF(OR($AL50="",COUNTIF($AL$46:$AR$46,$AL$2)=0),"",MAX($AK$3:AK49)+1)</f>
        <v/>
      </c>
      <c r="AL50" s="327" t="s">
        <v>727</v>
      </c>
    </row>
    <row r="51" spans="2:38" hidden="1">
      <c r="B51" s="79" t="s">
        <v>52</v>
      </c>
      <c r="C51" s="113">
        <f ca="1">IF(C50=12,C48*2+C49*10,C48*1+C49*(C50-1))</f>
        <v>166833</v>
      </c>
      <c r="D51" s="86" t="str">
        <f>IF(計算!G6=0,1,"")</f>
        <v/>
      </c>
      <c r="H51" s="72"/>
      <c r="I51" s="72"/>
      <c r="J51" s="72"/>
      <c r="Q51" s="137"/>
      <c r="R51" s="137"/>
      <c r="S51" s="137"/>
      <c r="T51" s="834"/>
      <c r="U51" s="137"/>
      <c r="V51" s="836"/>
      <c r="W51" s="836"/>
      <c r="X51" s="836"/>
      <c r="Y51" s="836"/>
      <c r="Z51" s="836"/>
      <c r="AA51" s="836"/>
      <c r="AB51" s="836"/>
      <c r="AC51" s="836"/>
      <c r="AD51" s="137"/>
      <c r="AE51" s="137"/>
      <c r="AF51" s="137"/>
      <c r="AG51" s="137"/>
      <c r="AK51" s="327" t="str">
        <f>IF(OR($AL51="",COUNTIF($AL$46:$AR$46,$AL$2)=0),"",MAX($AK$3:AK50)+1)</f>
        <v/>
      </c>
      <c r="AL51" s="327" t="s">
        <v>728</v>
      </c>
    </row>
    <row r="52" spans="2:38" hidden="1">
      <c r="B52" s="79" t="s">
        <v>53</v>
      </c>
      <c r="C52" s="113">
        <f ca="1">C49*C50</f>
        <v>166833</v>
      </c>
      <c r="D52" s="150">
        <v>41274</v>
      </c>
      <c r="H52" s="72"/>
      <c r="I52" s="72"/>
      <c r="J52" s="72"/>
      <c r="Q52" s="137"/>
      <c r="R52" s="137"/>
      <c r="S52" s="137"/>
      <c r="T52" s="834"/>
      <c r="U52" s="137"/>
      <c r="V52" s="836"/>
      <c r="W52" s="836"/>
      <c r="X52" s="836"/>
      <c r="Y52" s="836"/>
      <c r="Z52" s="836"/>
      <c r="AA52" s="836"/>
      <c r="AB52" s="836"/>
      <c r="AC52" s="836"/>
      <c r="AD52" s="137"/>
      <c r="AE52" s="137"/>
      <c r="AF52" s="137"/>
      <c r="AG52" s="137"/>
      <c r="AK52" s="327" t="str">
        <f>IF(OR($AL52="",COUNTIF($AL$46:$AR$46,$AL$2)=0),"",MAX($AK$3:AK51)+1)</f>
        <v/>
      </c>
      <c r="AL52" s="327" t="s">
        <v>729</v>
      </c>
    </row>
    <row r="53" spans="2:38" hidden="1">
      <c r="B53" s="135" t="s">
        <v>54</v>
      </c>
      <c r="C53" s="102"/>
      <c r="D53" s="89" t="str">
        <f ca="1">IF(SUM(D15:D16,D28,D32:D33,D40:D41,D43,D45,D50,D51,D64)&gt;=1,1,"")</f>
        <v/>
      </c>
      <c r="H53" s="72">
        <v>6</v>
      </c>
      <c r="I53" s="72">
        <v>0</v>
      </c>
      <c r="J53" s="72">
        <v>75</v>
      </c>
      <c r="Q53" s="137"/>
      <c r="R53" s="137"/>
      <c r="S53" s="137"/>
      <c r="T53" s="137"/>
      <c r="U53" s="137"/>
      <c r="V53" s="137"/>
      <c r="W53" s="834"/>
      <c r="X53" s="137"/>
      <c r="Y53" s="836"/>
      <c r="Z53" s="836"/>
      <c r="AA53" s="836"/>
      <c r="AB53" s="836"/>
      <c r="AC53" s="836"/>
      <c r="AD53" s="137"/>
      <c r="AE53" s="137"/>
      <c r="AF53" s="137"/>
      <c r="AG53" s="137"/>
      <c r="AK53" s="327" t="str">
        <f>IF(OR($AL53="",COUNTIF($AL$46:$AR$46,$AL$2)=0),"",MAX($AK$3:AK52)+1)</f>
        <v/>
      </c>
      <c r="AL53" s="327" t="s">
        <v>730</v>
      </c>
    </row>
    <row r="54" spans="2:38" hidden="1">
      <c r="B54" s="79" t="s">
        <v>55</v>
      </c>
      <c r="C54" s="136" t="s">
        <v>1373</v>
      </c>
      <c r="H54" s="72"/>
      <c r="I54" s="72"/>
      <c r="J54" s="72"/>
      <c r="Q54" s="137"/>
      <c r="R54" s="830"/>
      <c r="S54" s="830"/>
      <c r="T54" s="830"/>
      <c r="U54" s="830"/>
      <c r="V54" s="830"/>
      <c r="W54" s="830"/>
      <c r="X54" s="830"/>
      <c r="Y54" s="836"/>
      <c r="Z54" s="836"/>
      <c r="AA54" s="836"/>
      <c r="AB54" s="836"/>
      <c r="AC54" s="836"/>
      <c r="AD54" s="137"/>
      <c r="AE54" s="137"/>
      <c r="AF54" s="137"/>
      <c r="AG54" s="137"/>
      <c r="AK54" s="327" t="str">
        <f>IF(OR($AL54="",COUNTIF($AL$46:$AR$46,$AL$2)=0),"",MAX($AK$3:AK53)+1)</f>
        <v/>
      </c>
      <c r="AL54" s="327" t="s">
        <v>731</v>
      </c>
    </row>
    <row r="55" spans="2:38" hidden="1">
      <c r="B55" s="106" t="s">
        <v>85</v>
      </c>
      <c r="C55" s="79" t="str">
        <f ca="1">C22&amp;TEXT($C$24,"00")&amp;TEXT($C$18,"00")&amp;TEXT($D$5,"00")</f>
        <v>IWT060133</v>
      </c>
      <c r="D55" s="137" t="s">
        <v>56</v>
      </c>
      <c r="H55" s="72"/>
      <c r="I55" s="72"/>
      <c r="J55" s="72"/>
      <c r="Q55" s="830"/>
      <c r="R55" s="137"/>
      <c r="S55" s="137"/>
      <c r="T55" s="137"/>
      <c r="U55" s="137"/>
      <c r="V55" s="137"/>
      <c r="W55" s="137"/>
      <c r="X55" s="137"/>
      <c r="Y55" s="836"/>
      <c r="Z55" s="836"/>
      <c r="AA55" s="836"/>
      <c r="AB55" s="836"/>
      <c r="AC55" s="836"/>
      <c r="AD55" s="137"/>
      <c r="AE55" s="137"/>
      <c r="AF55" s="137"/>
      <c r="AG55" s="137"/>
      <c r="AK55" s="327" t="str">
        <f>IF(OR($AL55="",COUNTIF($AL$46:$AR$46,$AL$2)=0),"",MAX($AK$3:AK54)+1)</f>
        <v/>
      </c>
      <c r="AL55" s="327" t="s">
        <v>732</v>
      </c>
    </row>
    <row r="56" spans="2:38" ht="17.25" hidden="1" customHeight="1">
      <c r="B56" s="106" t="s">
        <v>57</v>
      </c>
      <c r="C56" s="79" t="str">
        <f>C24&amp;C22</f>
        <v>6IWT</v>
      </c>
      <c r="D56" s="138" t="s">
        <v>58</v>
      </c>
      <c r="H56" s="72"/>
      <c r="I56" s="72"/>
      <c r="J56" s="72"/>
      <c r="Q56" s="830"/>
      <c r="R56" s="830"/>
      <c r="S56" s="137"/>
      <c r="T56" s="137"/>
      <c r="U56" s="137"/>
      <c r="V56" s="137"/>
      <c r="W56" s="137"/>
      <c r="X56" s="137"/>
      <c r="Y56" s="137"/>
      <c r="Z56" s="137"/>
      <c r="AA56" s="137"/>
      <c r="AB56" s="137"/>
      <c r="AC56" s="137"/>
      <c r="AD56" s="137"/>
      <c r="AE56" s="137"/>
      <c r="AF56" s="137"/>
      <c r="AG56" s="137"/>
      <c r="AK56" s="327" t="str">
        <f>IF(OR($AL56="",COUNTIF($AL$46:$AR$46,$AL$2)=0),"",MAX($AK$3:AK55)+1)</f>
        <v/>
      </c>
      <c r="AL56" s="327" t="s">
        <v>733</v>
      </c>
    </row>
    <row r="57" spans="2:38" ht="17.25" hidden="1" customHeight="1">
      <c r="B57" s="106" t="s">
        <v>329</v>
      </c>
      <c r="C57" s="79">
        <f ca="1">110-D5+1</f>
        <v>78</v>
      </c>
      <c r="D57" s="137"/>
      <c r="H57" s="125"/>
      <c r="I57" s="125"/>
      <c r="J57" s="125"/>
      <c r="Q57" s="830"/>
      <c r="R57" s="831"/>
      <c r="S57" s="830"/>
      <c r="T57" s="830"/>
      <c r="U57" s="830"/>
      <c r="V57" s="830"/>
      <c r="W57" s="830"/>
      <c r="X57" s="830"/>
      <c r="Y57" s="137"/>
      <c r="Z57" s="137"/>
      <c r="AA57" s="137"/>
      <c r="AB57" s="137"/>
      <c r="AC57" s="137"/>
      <c r="AD57" s="137"/>
      <c r="AE57" s="137"/>
      <c r="AF57" s="137"/>
      <c r="AG57" s="137"/>
      <c r="AK57" s="327" t="str">
        <f>IF(OR($AL57="",COUNTIF($AL$46:$AR$46,$AL$2)=0),"",MAX($AK$3:AK56)+1)</f>
        <v/>
      </c>
      <c r="AL57" s="327" t="s">
        <v>734</v>
      </c>
    </row>
    <row r="58" spans="2:38" hidden="1">
      <c r="B58" s="106"/>
      <c r="C58" s="77"/>
      <c r="D58" s="147"/>
      <c r="H58" s="125"/>
      <c r="I58" s="125"/>
      <c r="J58" s="125"/>
      <c r="Q58" s="137"/>
      <c r="R58" s="830"/>
      <c r="S58" s="832"/>
      <c r="T58" s="832"/>
      <c r="U58" s="832"/>
      <c r="V58" s="832"/>
      <c r="W58" s="832"/>
      <c r="X58" s="832"/>
      <c r="Y58" s="137"/>
      <c r="Z58" s="137"/>
      <c r="AA58" s="137"/>
      <c r="AB58" s="137"/>
      <c r="AC58" s="137"/>
      <c r="AD58" s="137"/>
      <c r="AE58" s="137"/>
      <c r="AF58" s="137"/>
      <c r="AG58" s="137"/>
      <c r="AK58" s="327" t="str">
        <f>IF(OR($AL58="",COUNTIF($AL$46:$AR$46,$AL$2)=0),"",MAX($AK$3:AK57)+1)</f>
        <v/>
      </c>
      <c r="AL58" s="327" t="s">
        <v>1120</v>
      </c>
    </row>
    <row r="59" spans="2:38" hidden="1">
      <c r="B59" s="106"/>
      <c r="D59" s="140"/>
      <c r="Q59" s="137"/>
      <c r="R59" s="830"/>
      <c r="S59" s="832"/>
      <c r="T59" s="832"/>
      <c r="U59" s="832"/>
      <c r="V59" s="832"/>
      <c r="W59" s="832"/>
      <c r="X59" s="832"/>
      <c r="Y59" s="137"/>
      <c r="Z59" s="137"/>
      <c r="AA59" s="137"/>
      <c r="AB59" s="137"/>
      <c r="AC59" s="137"/>
      <c r="AD59" s="137"/>
      <c r="AE59" s="137"/>
      <c r="AF59" s="137"/>
      <c r="AG59" s="137"/>
      <c r="AK59" s="327" t="str">
        <f>IF(OR($AL59="",COUNTIF($AL$46:$AR$46,$AL$2)=0),"",MAX($AK$3:AK58)+1)</f>
        <v/>
      </c>
      <c r="AL59" s="327" t="s">
        <v>1121</v>
      </c>
    </row>
    <row r="60" spans="2:38" hidden="1">
      <c r="B60" s="106"/>
      <c r="H60" s="77">
        <f>IF(C22=I60,1,3)</f>
        <v>1</v>
      </c>
      <c r="I60" s="90" t="s">
        <v>1371</v>
      </c>
      <c r="J60" s="72">
        <f ca="1">VLOOKUP($D$5,$H$81:$I$161,2,0)</f>
        <v>1700</v>
      </c>
      <c r="K60" s="131"/>
      <c r="L60" s="86"/>
      <c r="Q60" s="137"/>
      <c r="R60" s="830"/>
      <c r="S60" s="832"/>
      <c r="T60" s="832"/>
      <c r="U60" s="832"/>
      <c r="V60" s="832"/>
      <c r="W60" s="832"/>
      <c r="X60" s="832"/>
      <c r="Y60" s="137"/>
      <c r="Z60" s="137"/>
      <c r="AA60" s="137"/>
      <c r="AB60" s="137"/>
      <c r="AC60" s="137"/>
      <c r="AD60" s="137"/>
      <c r="AE60" s="137"/>
      <c r="AF60" s="137"/>
      <c r="AG60" s="137"/>
      <c r="AK60" s="327" t="str">
        <f>IF(OR($AL60="",COUNTIF($AL$46:$AR$46,$AL$2)=0),"",MAX($AK$3:AK59)+1)</f>
        <v/>
      </c>
      <c r="AL60" s="327" t="s">
        <v>735</v>
      </c>
    </row>
    <row r="61" spans="2:38" hidden="1">
      <c r="B61" s="72" t="s">
        <v>1326</v>
      </c>
      <c r="C61" s="72">
        <f>輸入頁!$E$53</f>
        <v>200000</v>
      </c>
      <c r="H61" s="131" t="s">
        <v>76</v>
      </c>
      <c r="I61" s="131" t="s">
        <v>22</v>
      </c>
      <c r="J61" s="131" t="s">
        <v>23</v>
      </c>
      <c r="K61" s="131"/>
      <c r="L61" s="131"/>
      <c r="Q61" s="137"/>
      <c r="R61" s="830"/>
      <c r="S61" s="832"/>
      <c r="T61" s="832"/>
      <c r="U61" s="832"/>
      <c r="V61" s="832"/>
      <c r="W61" s="832"/>
      <c r="X61" s="832"/>
      <c r="Y61" s="137"/>
      <c r="Z61" s="137"/>
      <c r="AA61" s="137"/>
      <c r="AB61" s="137"/>
      <c r="AC61" s="137"/>
      <c r="AD61" s="137"/>
      <c r="AE61" s="137"/>
      <c r="AF61" s="137"/>
      <c r="AG61" s="137"/>
      <c r="AK61" s="327" t="str">
        <f>IF(OR($AL61="",COUNTIF($AL$46:$AR$46,$AL$2)=0),"",MAX($AK$3:AK60)+1)</f>
        <v/>
      </c>
      <c r="AL61" s="327" t="s">
        <v>736</v>
      </c>
    </row>
    <row r="62" spans="2:38" hidden="1">
      <c r="B62" s="72" t="s">
        <v>1327</v>
      </c>
      <c r="C62" s="72">
        <f ca="1">ROUNDDOWN(C61/C30,0)</f>
        <v>39</v>
      </c>
      <c r="H62" s="72"/>
      <c r="I62" s="72"/>
      <c r="J62" s="72"/>
      <c r="K62" s="72"/>
      <c r="L62" s="72"/>
      <c r="Q62" s="137"/>
      <c r="R62" s="830"/>
      <c r="S62" s="832"/>
      <c r="T62" s="832"/>
      <c r="U62" s="832"/>
      <c r="V62" s="832"/>
      <c r="W62" s="832"/>
      <c r="X62" s="832"/>
      <c r="Y62" s="137"/>
      <c r="Z62" s="137"/>
      <c r="AA62" s="137"/>
      <c r="AB62" s="137"/>
      <c r="AC62" s="137"/>
      <c r="AD62" s="137"/>
      <c r="AE62" s="137"/>
      <c r="AF62" s="137"/>
      <c r="AG62" s="137"/>
      <c r="AK62" s="327" t="str">
        <f>IF(OR($AL62="",COUNTIF($AL$46:$AR$46,$AL$2)=0),"",MAX($AK$3:AK61)+1)</f>
        <v/>
      </c>
      <c r="AL62" s="327" t="s">
        <v>746</v>
      </c>
    </row>
    <row r="63" spans="2:38" hidden="1">
      <c r="B63" s="72" t="s">
        <v>1328</v>
      </c>
      <c r="C63" s="72">
        <f ca="1">ROUNDDOWN((C61*(1+C46))/C30,0)</f>
        <v>40</v>
      </c>
      <c r="H63" s="72"/>
      <c r="I63" s="72"/>
      <c r="J63" s="72"/>
      <c r="K63" s="72"/>
      <c r="L63" s="72"/>
      <c r="Q63" s="137"/>
      <c r="R63" s="830"/>
      <c r="S63" s="832"/>
      <c r="T63" s="832"/>
      <c r="U63" s="832"/>
      <c r="V63" s="832"/>
      <c r="W63" s="832"/>
      <c r="X63" s="832"/>
      <c r="Y63" s="137"/>
      <c r="Z63" s="137"/>
      <c r="AA63" s="137"/>
      <c r="AB63" s="137"/>
      <c r="AC63" s="137"/>
      <c r="AD63" s="137"/>
      <c r="AE63" s="137"/>
      <c r="AF63" s="137"/>
      <c r="AG63" s="137"/>
      <c r="AK63" s="327" t="str">
        <f>IF(OR($AL63="",COUNTIF($AL$46:$AR$46,$AL$2)=0),"",MAX($AK$3:AK62)+1)</f>
        <v/>
      </c>
      <c r="AL63" s="327" t="s">
        <v>747</v>
      </c>
    </row>
    <row r="64" spans="2:38" ht="17.25" hidden="1" customHeight="1">
      <c r="B64" s="838" t="s">
        <v>1380</v>
      </c>
      <c r="C64" s="839">
        <f>輸入頁!$J$39</f>
        <v>34</v>
      </c>
      <c r="D64" s="840" t="str">
        <f>IF(ROUND($C$64,IF($C$21=2,1,0))&lt;&gt;$C$64,1,"")</f>
        <v/>
      </c>
      <c r="E64" s="840" t="str">
        <f>IF(D64=1,"保額輸入"&amp;C64&amp;"不符投保規則，請重新輸入","")</f>
        <v/>
      </c>
      <c r="H64" s="72">
        <v>6</v>
      </c>
      <c r="I64" s="72">
        <v>5</v>
      </c>
      <c r="J64" s="72">
        <f ca="1">VLOOKUP($D$5,$H$81:$I$161,2,0)</f>
        <v>1700</v>
      </c>
      <c r="K64" s="72"/>
      <c r="L64" s="72"/>
      <c r="Q64" s="137"/>
      <c r="R64" s="830"/>
      <c r="S64" s="832"/>
      <c r="T64" s="832"/>
      <c r="U64" s="832"/>
      <c r="V64" s="832"/>
      <c r="W64" s="832"/>
      <c r="X64" s="832"/>
      <c r="Y64" s="137"/>
      <c r="Z64" s="137"/>
      <c r="AA64" s="137"/>
      <c r="AB64" s="137"/>
      <c r="AC64" s="137"/>
      <c r="AD64" s="137"/>
      <c r="AE64" s="137"/>
      <c r="AF64" s="137"/>
      <c r="AG64" s="137"/>
      <c r="AK64" s="327" t="str">
        <f>IF(OR($AL64="",COUNTIF($AL$46:$AR$46,$AL$2)=0),"",MAX($AK$3:AK63)+1)</f>
        <v/>
      </c>
      <c r="AL64" s="327" t="s">
        <v>756</v>
      </c>
    </row>
    <row r="65" spans="2:38" ht="17.25" hidden="1" customHeight="1">
      <c r="H65" s="72"/>
      <c r="I65" s="72"/>
      <c r="J65" s="72"/>
      <c r="K65" s="72"/>
      <c r="L65" s="72"/>
      <c r="Q65" s="137"/>
      <c r="R65" s="830"/>
      <c r="S65" s="832"/>
      <c r="T65" s="832"/>
      <c r="U65" s="832"/>
      <c r="V65" s="832"/>
      <c r="W65" s="832"/>
      <c r="X65" s="832"/>
      <c r="Y65" s="137"/>
      <c r="Z65" s="137"/>
      <c r="AA65" s="137"/>
      <c r="AB65" s="137"/>
      <c r="AC65" s="137"/>
      <c r="AD65" s="137"/>
      <c r="AE65" s="137"/>
      <c r="AF65" s="137"/>
      <c r="AG65" s="137"/>
      <c r="AK65" s="327" t="str">
        <f>IF(OR($AL65="",COUNTIF($AL$46:$AR$46,$AL$2)=0),"",MAX($AK$3:AK64)+1)</f>
        <v/>
      </c>
      <c r="AL65" s="327" t="s">
        <v>737</v>
      </c>
    </row>
    <row r="66" spans="2:38" hidden="1">
      <c r="H66" s="72"/>
      <c r="I66" s="72"/>
      <c r="J66" s="72"/>
      <c r="K66" s="72"/>
      <c r="L66" s="72"/>
      <c r="N66" s="434"/>
      <c r="O66" s="434"/>
      <c r="AK66" s="327" t="str">
        <f>IF(OR($AL66="",COUNTIF($AL$46:$AR$46,$AL$2)=0),"",MAX($AK$3:AK65)+1)</f>
        <v/>
      </c>
      <c r="AL66" s="327" t="s">
        <v>738</v>
      </c>
    </row>
    <row r="67" spans="2:38" hidden="1">
      <c r="B67" s="441" t="s">
        <v>948</v>
      </c>
      <c r="C67" s="442">
        <v>42094</v>
      </c>
      <c r="H67" s="72"/>
      <c r="I67" s="72"/>
      <c r="J67" s="72"/>
      <c r="K67" s="72"/>
      <c r="L67" s="72"/>
      <c r="N67" s="105"/>
      <c r="O67" s="105"/>
      <c r="AK67" s="327" t="str">
        <f>IF(OR($AL67="",COUNTIF($AL$46:$AR$46,$AL$2)=0),"",MAX($AK$3:AK66)+1)</f>
        <v/>
      </c>
      <c r="AL67" s="327" t="s">
        <v>750</v>
      </c>
    </row>
    <row r="68" spans="2:38" hidden="1">
      <c r="B68" s="441">
        <v>2</v>
      </c>
      <c r="C68" s="441" t="str">
        <f ca="1">IF(AND(B68=1,TODAY()&gt;=C67),1,IF(AND(B68=2,TODAY()&lt;C67),1,""))</f>
        <v/>
      </c>
      <c r="H68" s="125"/>
      <c r="I68" s="125"/>
      <c r="J68" s="125"/>
      <c r="K68" s="125"/>
      <c r="L68" s="125"/>
      <c r="N68" s="105"/>
      <c r="O68" s="105"/>
      <c r="Q68" s="837"/>
      <c r="R68" s="837"/>
      <c r="S68" s="837"/>
      <c r="T68" s="837"/>
      <c r="U68" s="137"/>
      <c r="V68" s="837"/>
      <c r="W68" s="837"/>
      <c r="X68" s="837"/>
      <c r="Y68" s="837"/>
      <c r="Z68" s="837"/>
      <c r="AA68" s="837"/>
      <c r="AB68" s="837"/>
      <c r="AC68" s="837"/>
      <c r="AD68" s="837"/>
      <c r="AE68" s="837"/>
      <c r="AF68" s="836"/>
      <c r="AG68" s="836"/>
      <c r="AK68" s="327" t="str">
        <f>IF(OR($AL68="",COUNTIF($AL$46:$AR$46,$AL$2)=0),"",MAX($AK$3:AK67)+1)</f>
        <v/>
      </c>
      <c r="AL68" s="327" t="s">
        <v>751</v>
      </c>
    </row>
    <row r="69" spans="2:38" hidden="1">
      <c r="B69" s="90" t="s">
        <v>348</v>
      </c>
      <c r="C69" s="178" t="s">
        <v>1407</v>
      </c>
      <c r="Q69" s="836"/>
      <c r="R69" s="836"/>
      <c r="S69" s="836"/>
      <c r="T69" s="834"/>
      <c r="U69" s="137"/>
      <c r="V69" s="836"/>
      <c r="W69" s="836"/>
      <c r="X69" s="836"/>
      <c r="Y69" s="836"/>
      <c r="Z69" s="836"/>
      <c r="AA69" s="836"/>
      <c r="AB69" s="836"/>
      <c r="AC69" s="836"/>
      <c r="AD69" s="836"/>
      <c r="AE69" s="836"/>
      <c r="AF69" s="836"/>
      <c r="AG69" s="836"/>
      <c r="AK69" s="327" t="str">
        <f>IF(OR($AL69="",COUNTIF($AL$46:$AR$46,$AL$2)=0),"",MAX($AK$3:AK68)+1)</f>
        <v/>
      </c>
      <c r="AL69" s="327" t="s">
        <v>739</v>
      </c>
    </row>
    <row r="70" spans="2:38" s="184" customFormat="1" hidden="1">
      <c r="B70" s="108"/>
      <c r="C70" s="108"/>
      <c r="H70" s="85" t="s">
        <v>59</v>
      </c>
      <c r="I70" s="80"/>
      <c r="J70" s="80"/>
      <c r="K70" s="80"/>
      <c r="L70" s="80"/>
      <c r="M70" s="80"/>
      <c r="P70" s="80"/>
      <c r="Q70" s="836"/>
      <c r="R70" s="836"/>
      <c r="S70" s="836"/>
      <c r="T70" s="834"/>
      <c r="U70" s="137"/>
      <c r="V70" s="836"/>
      <c r="W70" s="836"/>
      <c r="X70" s="836"/>
      <c r="Y70" s="836"/>
      <c r="Z70" s="836"/>
      <c r="AA70" s="836"/>
      <c r="AB70" s="836"/>
      <c r="AC70" s="836"/>
      <c r="AD70" s="836"/>
      <c r="AE70" s="836"/>
      <c r="AF70" s="836"/>
      <c r="AG70" s="836"/>
      <c r="AK70" s="327" t="str">
        <f>IF(OR($AL70="",COUNTIF($AL$46:$AR$46,$AL$2)=0),"",MAX($AK$3:AK69)+1)</f>
        <v/>
      </c>
      <c r="AL70" s="327" t="s">
        <v>740</v>
      </c>
    </row>
    <row r="71" spans="2:38" s="184" customFormat="1" hidden="1">
      <c r="B71" s="529" t="s">
        <v>1038</v>
      </c>
      <c r="C71" s="529"/>
      <c r="D71" s="529"/>
      <c r="E71" s="529"/>
      <c r="H71" s="86">
        <v>1</v>
      </c>
      <c r="I71" s="86">
        <v>2</v>
      </c>
      <c r="J71" s="86">
        <v>3</v>
      </c>
      <c r="K71" s="86">
        <v>4</v>
      </c>
      <c r="L71" s="80"/>
      <c r="M71" s="80"/>
      <c r="P71" s="80"/>
      <c r="Q71" s="836"/>
      <c r="R71" s="836"/>
      <c r="S71" s="836"/>
      <c r="T71" s="834"/>
      <c r="U71" s="137"/>
      <c r="V71" s="836"/>
      <c r="W71" s="836"/>
      <c r="X71" s="836"/>
      <c r="Y71" s="836"/>
      <c r="Z71" s="836"/>
      <c r="AA71" s="836"/>
      <c r="AB71" s="836"/>
      <c r="AC71" s="836"/>
      <c r="AD71" s="836"/>
      <c r="AE71" s="836"/>
      <c r="AF71" s="836"/>
      <c r="AG71" s="836"/>
      <c r="AK71" s="327" t="str">
        <f>IF(OR($AL71="",COUNTIF($AL$46:$AR$46,$AL$2)=0),"",MAX($AK$3:AK70)+1)</f>
        <v/>
      </c>
      <c r="AL71" s="327" t="s">
        <v>741</v>
      </c>
    </row>
    <row r="72" spans="2:38" hidden="1">
      <c r="B72" s="529" t="s">
        <v>1039</v>
      </c>
      <c r="C72" s="530" t="str">
        <f>輸入頁!$E$4</f>
        <v>陳孔祥</v>
      </c>
      <c r="D72" s="529" t="s">
        <v>1040</v>
      </c>
      <c r="E72" s="531">
        <v>1</v>
      </c>
      <c r="H72" s="86">
        <v>2</v>
      </c>
      <c r="I72" s="86">
        <v>6</v>
      </c>
      <c r="J72" s="86">
        <v>7</v>
      </c>
      <c r="K72" s="86">
        <v>8</v>
      </c>
      <c r="Q72" s="836"/>
      <c r="R72" s="836"/>
      <c r="S72" s="836"/>
      <c r="T72" s="834"/>
      <c r="U72" s="137"/>
      <c r="V72" s="836"/>
      <c r="W72" s="836"/>
      <c r="X72" s="836"/>
      <c r="Y72" s="836"/>
      <c r="Z72" s="836"/>
      <c r="AA72" s="836"/>
      <c r="AB72" s="836"/>
      <c r="AC72" s="836"/>
      <c r="AD72" s="836"/>
      <c r="AE72" s="836"/>
      <c r="AF72" s="836"/>
      <c r="AG72" s="836"/>
      <c r="AK72" s="327" t="str">
        <f>IF(OR($AL72="",COUNTIF($AL$46:$AR$46,$AL$2)=0),"",MAX($AK$3:AK71)+1)</f>
        <v/>
      </c>
      <c r="AL72" s="327" t="s">
        <v>742</v>
      </c>
    </row>
    <row r="73" spans="2:38" hidden="1">
      <c r="B73" s="529" t="s">
        <v>1041</v>
      </c>
      <c r="C73" s="532" t="str">
        <f>IF(E72=0,C72,IF(OR(E73=1,C72="",C72=0)," ",IF(AND(E82=0),C74&amp;MID(C72,7,50),IF(LEN(C72)=1,C72,LEFT(C72,LEN(C72)-2)&amp;"○"&amp;RIGHT(C72,1)))))</f>
        <v>陳○祥</v>
      </c>
      <c r="D73" s="533" t="s">
        <v>1042</v>
      </c>
      <c r="E73" s="534"/>
      <c r="Q73" s="836"/>
      <c r="R73" s="836"/>
      <c r="S73" s="836"/>
      <c r="T73" s="834"/>
      <c r="U73" s="137"/>
      <c r="V73" s="836"/>
      <c r="W73" s="836"/>
      <c r="X73" s="836"/>
      <c r="Y73" s="836"/>
      <c r="Z73" s="836"/>
      <c r="AA73" s="836"/>
      <c r="AB73" s="836"/>
      <c r="AC73" s="836"/>
      <c r="AD73" s="836"/>
      <c r="AE73" s="836"/>
      <c r="AF73" s="836"/>
      <c r="AG73" s="836"/>
      <c r="AK73" s="327" t="str">
        <f>IF(OR($AL73="",COUNTIF($AL$46:$AR$46,$AL$2)=0),"",MAX($AK$3:AK72)+1)</f>
        <v/>
      </c>
      <c r="AL73" s="327" t="s">
        <v>743</v>
      </c>
    </row>
    <row r="74" spans="2:38" hidden="1">
      <c r="B74" s="533" t="str">
        <f>IF(OR(E73=1,C72="",C72=0),"",IF(AND(E82=0),LEN(C72),""))</f>
        <v/>
      </c>
      <c r="C74" s="535" t="str">
        <f>IF(OR(B74=""),"",IF(ISERROR(VLOOKUP(B74,B75:C80,2,0)),C80,VLOOKUP(B74,B75:C80,2,0)))</f>
        <v/>
      </c>
      <c r="D74" s="536" t="s">
        <v>1043</v>
      </c>
      <c r="E74" s="537">
        <f>IF(AND(ISNUMBER(C72),LEN(C72)=11),1,0)</f>
        <v>0</v>
      </c>
      <c r="H74" s="131"/>
      <c r="I74" s="139"/>
      <c r="J74" s="140"/>
      <c r="K74" s="140"/>
      <c r="L74" s="86"/>
      <c r="M74" s="105"/>
      <c r="Q74" s="836"/>
      <c r="R74" s="836"/>
      <c r="S74" s="836"/>
      <c r="T74" s="834"/>
      <c r="U74" s="137"/>
      <c r="V74" s="836"/>
      <c r="W74" s="836"/>
      <c r="X74" s="836"/>
      <c r="Y74" s="836"/>
      <c r="Z74" s="836"/>
      <c r="AA74" s="836"/>
      <c r="AB74" s="836"/>
      <c r="AC74" s="836"/>
      <c r="AD74" s="836"/>
      <c r="AE74" s="836"/>
      <c r="AF74" s="836"/>
      <c r="AG74" s="836"/>
      <c r="AK74" s="327" t="str">
        <f>IF(OR($AL74="",COUNTIF($AL$46:$AR$46,$AL$2)=0),"",MAX($AK$3:AK73)+1)</f>
        <v/>
      </c>
      <c r="AL74" s="327" t="s">
        <v>752</v>
      </c>
    </row>
    <row r="75" spans="2:38" hidden="1">
      <c r="B75" s="538">
        <v>1</v>
      </c>
      <c r="C75" s="538" t="s">
        <v>1044</v>
      </c>
      <c r="D75" s="536" t="s">
        <v>1045</v>
      </c>
      <c r="E75" s="537">
        <f>IF(AND(LEN(C72)=10,ISTEXT(LEFT(C72,1)),ISNUMBER(RIGHT(C72,1)*1)),1,0)</f>
        <v>0</v>
      </c>
      <c r="H75" s="131"/>
      <c r="I75" s="131"/>
      <c r="J75" s="131"/>
      <c r="K75" s="131"/>
      <c r="L75" s="131"/>
      <c r="M75" s="434"/>
      <c r="Q75" s="836"/>
      <c r="R75" s="836"/>
      <c r="S75" s="836"/>
      <c r="T75" s="834"/>
      <c r="U75" s="137"/>
      <c r="V75" s="836"/>
      <c r="W75" s="836"/>
      <c r="X75" s="836"/>
      <c r="Y75" s="836"/>
      <c r="Z75" s="836"/>
      <c r="AA75" s="836"/>
      <c r="AB75" s="836"/>
      <c r="AC75" s="836"/>
      <c r="AD75" s="836"/>
      <c r="AE75" s="836"/>
      <c r="AF75" s="836"/>
      <c r="AG75" s="836"/>
      <c r="AK75" s="327" t="str">
        <f>IF(OR($AL75="",COUNTIF($AL$46:$AR$46,$AL$2)=0),"",MAX($AK$3:AK74)+1)</f>
        <v/>
      </c>
      <c r="AL75" s="327" t="s">
        <v>753</v>
      </c>
    </row>
    <row r="76" spans="2:38" hidden="1">
      <c r="B76" s="538">
        <v>2</v>
      </c>
      <c r="C76" s="538" t="s">
        <v>1046</v>
      </c>
      <c r="D76" s="536" t="s">
        <v>1047</v>
      </c>
      <c r="E76" s="537">
        <f>IF(AND(ISNUMBER(C72),LEN(C72)=9),1,0)</f>
        <v>0</v>
      </c>
      <c r="H76" s="86"/>
      <c r="I76" s="86"/>
      <c r="J76" s="86"/>
      <c r="K76" s="86"/>
      <c r="L76" s="86"/>
      <c r="M76" s="105"/>
      <c r="Q76" s="836"/>
      <c r="R76" s="836"/>
      <c r="S76" s="836"/>
      <c r="T76" s="834"/>
      <c r="U76" s="137"/>
      <c r="V76" s="836"/>
      <c r="W76" s="836"/>
      <c r="X76" s="836"/>
      <c r="Y76" s="836"/>
      <c r="Z76" s="836"/>
      <c r="AA76" s="836"/>
      <c r="AB76" s="836"/>
      <c r="AC76" s="836"/>
      <c r="AD76" s="836"/>
      <c r="AE76" s="836"/>
      <c r="AF76" s="836"/>
      <c r="AG76" s="836"/>
      <c r="AK76" s="327" t="str">
        <f>IF(OR($AL76="",COUNTIF($AL$46:$AR$46,$AL$2)=0),"",MAX($AK$3:AK75)+1)</f>
        <v/>
      </c>
      <c r="AL76" s="327" t="s">
        <v>744</v>
      </c>
    </row>
    <row r="77" spans="2:38" hidden="1">
      <c r="B77" s="538">
        <v>3</v>
      </c>
      <c r="C77" s="538" t="s">
        <v>1048</v>
      </c>
      <c r="D77" s="537"/>
      <c r="E77" s="537"/>
      <c r="H77" s="86"/>
      <c r="I77" s="131"/>
      <c r="J77" s="86"/>
      <c r="K77" s="86"/>
      <c r="L77" s="86"/>
      <c r="M77" s="105"/>
      <c r="Q77" s="836"/>
      <c r="R77" s="836"/>
      <c r="S77" s="836"/>
      <c r="T77" s="834"/>
      <c r="U77" s="137"/>
      <c r="V77" s="836"/>
      <c r="W77" s="836"/>
      <c r="X77" s="836"/>
      <c r="Y77" s="836"/>
      <c r="Z77" s="836"/>
      <c r="AA77" s="836"/>
      <c r="AB77" s="836"/>
      <c r="AC77" s="836"/>
      <c r="AD77" s="836"/>
      <c r="AE77" s="836"/>
      <c r="AF77" s="836"/>
      <c r="AG77" s="836"/>
      <c r="AK77" s="327" t="str">
        <f>IF(OR($AL77="",COUNTIF($AL$46:$AR$46,$AL$2)=0),"",MAX($AK$3:AK76)+1)</f>
        <v/>
      </c>
      <c r="AL77" s="327" t="s">
        <v>754</v>
      </c>
    </row>
    <row r="78" spans="2:38" hidden="1">
      <c r="B78" s="538">
        <v>4</v>
      </c>
      <c r="C78" s="538" t="s">
        <v>1049</v>
      </c>
      <c r="D78" s="537"/>
      <c r="E78" s="537"/>
      <c r="Q78" s="836"/>
      <c r="R78" s="836"/>
      <c r="S78" s="836"/>
      <c r="T78" s="834"/>
      <c r="U78" s="137"/>
      <c r="V78" s="836"/>
      <c r="W78" s="836"/>
      <c r="X78" s="836"/>
      <c r="Y78" s="836"/>
      <c r="Z78" s="836"/>
      <c r="AA78" s="836"/>
      <c r="AB78" s="836"/>
      <c r="AC78" s="836"/>
      <c r="AD78" s="836"/>
      <c r="AE78" s="836"/>
      <c r="AF78" s="836"/>
      <c r="AG78" s="836"/>
      <c r="AK78" s="327" t="str">
        <f>IF(OR($AL78="",COUNTIF($AL$46:$AR$46,$AL$2)=0),"",MAX($AK$3:AK77)+1)</f>
        <v/>
      </c>
      <c r="AL78" s="327" t="s">
        <v>755</v>
      </c>
    </row>
    <row r="79" spans="2:38" hidden="1">
      <c r="B79" s="538">
        <v>5</v>
      </c>
      <c r="C79" s="538" t="s">
        <v>1050</v>
      </c>
      <c r="D79" s="537"/>
      <c r="E79" s="537"/>
      <c r="H79" s="184"/>
      <c r="I79" s="184"/>
      <c r="J79" s="184"/>
      <c r="K79" s="184"/>
      <c r="L79" s="185"/>
      <c r="M79" s="184"/>
      <c r="Q79" s="836"/>
      <c r="R79" s="836"/>
      <c r="S79" s="836"/>
      <c r="T79" s="834"/>
      <c r="U79" s="137"/>
      <c r="V79" s="836"/>
      <c r="W79" s="836"/>
      <c r="X79" s="836"/>
      <c r="Y79" s="836"/>
      <c r="Z79" s="836"/>
      <c r="AA79" s="836"/>
      <c r="AB79" s="836"/>
      <c r="AC79" s="836"/>
      <c r="AD79" s="836"/>
      <c r="AE79" s="836"/>
      <c r="AF79" s="836"/>
      <c r="AG79" s="836"/>
      <c r="AK79" s="327"/>
      <c r="AL79" s="327"/>
    </row>
    <row r="80" spans="2:38" hidden="1">
      <c r="B80" s="538">
        <v>6</v>
      </c>
      <c r="C80" s="538" t="s">
        <v>1051</v>
      </c>
      <c r="D80" s="537"/>
      <c r="E80" s="537"/>
      <c r="H80" s="184"/>
      <c r="I80" s="184" t="s">
        <v>1371</v>
      </c>
      <c r="J80" s="184"/>
      <c r="K80" s="184"/>
      <c r="L80" s="184"/>
      <c r="M80" s="184"/>
      <c r="Q80" s="836"/>
      <c r="R80" s="836"/>
      <c r="S80" s="836"/>
      <c r="T80" s="834"/>
      <c r="U80" s="137"/>
      <c r="V80" s="836"/>
      <c r="W80" s="836"/>
      <c r="X80" s="836"/>
      <c r="Y80" s="836"/>
      <c r="Z80" s="836"/>
      <c r="AA80" s="836"/>
      <c r="AB80" s="836"/>
      <c r="AC80" s="836"/>
      <c r="AD80" s="836"/>
      <c r="AE80" s="836"/>
      <c r="AF80" s="836"/>
      <c r="AG80" s="836"/>
      <c r="AK80" s="327"/>
      <c r="AL80" s="327"/>
    </row>
    <row r="81" spans="2:38" hidden="1">
      <c r="B81" s="539" t="s">
        <v>1052</v>
      </c>
      <c r="C81" s="540" t="str">
        <f>IF(OR(ISERROR(SEARCH(" ",C72)),CODE(C72)&gt;255),"",SEARCH(" ",C72))</f>
        <v/>
      </c>
      <c r="D81" s="537"/>
      <c r="E81" s="537"/>
      <c r="H81" s="86">
        <v>0</v>
      </c>
      <c r="I81" s="177">
        <v>600</v>
      </c>
      <c r="J81" s="86"/>
      <c r="Q81" s="836"/>
      <c r="R81" s="836"/>
      <c r="S81" s="836"/>
      <c r="T81" s="834"/>
      <c r="U81" s="137"/>
      <c r="V81" s="836"/>
      <c r="W81" s="836"/>
      <c r="X81" s="836"/>
      <c r="Y81" s="836"/>
      <c r="Z81" s="836"/>
      <c r="AA81" s="836"/>
      <c r="AB81" s="836"/>
      <c r="AC81" s="836"/>
      <c r="AD81" s="836"/>
      <c r="AE81" s="836"/>
      <c r="AF81" s="836"/>
      <c r="AG81" s="836"/>
      <c r="AK81" s="327"/>
      <c r="AL81" s="327"/>
    </row>
    <row r="82" spans="2:38" hidden="1">
      <c r="B82" s="539" t="s">
        <v>1053</v>
      </c>
      <c r="C82" s="540" t="str">
        <f>IF(OR(ISERROR(SEARCH(" ",C72)),CODE(C72)&gt;255),"",UPPER(LEFT(C72,1)&amp;"."&amp;MID(C72,C81+1,1)))</f>
        <v/>
      </c>
      <c r="D82" s="533" t="s">
        <v>1054</v>
      </c>
      <c r="E82" s="533">
        <f>IF(LEN(C72)*2=LENB(C72),1,0)</f>
        <v>1</v>
      </c>
      <c r="H82" s="86">
        <v>1</v>
      </c>
      <c r="I82" s="177">
        <v>600</v>
      </c>
      <c r="J82" s="86"/>
      <c r="Q82" s="836"/>
      <c r="R82" s="836"/>
      <c r="S82" s="836"/>
      <c r="T82" s="834"/>
      <c r="U82" s="137"/>
      <c r="V82" s="836"/>
      <c r="W82" s="836"/>
      <c r="X82" s="836"/>
      <c r="Y82" s="836"/>
      <c r="Z82" s="836"/>
      <c r="AA82" s="836"/>
      <c r="AB82" s="836"/>
      <c r="AC82" s="836"/>
      <c r="AD82" s="836"/>
      <c r="AE82" s="836"/>
      <c r="AF82" s="836"/>
      <c r="AG82" s="836"/>
      <c r="AK82" s="327"/>
      <c r="AL82" s="327"/>
    </row>
    <row r="83" spans="2:38" hidden="1">
      <c r="B83" s="108"/>
      <c r="C83" s="108"/>
      <c r="D83" s="184"/>
      <c r="E83" s="184"/>
      <c r="H83" s="86">
        <v>2</v>
      </c>
      <c r="I83" s="177">
        <v>600</v>
      </c>
      <c r="J83" s="86"/>
      <c r="Q83" s="836"/>
      <c r="R83" s="836"/>
      <c r="S83" s="836"/>
      <c r="T83" s="834"/>
      <c r="U83" s="137"/>
      <c r="V83" s="836"/>
      <c r="W83" s="836"/>
      <c r="X83" s="836"/>
      <c r="Y83" s="836"/>
      <c r="Z83" s="836"/>
      <c r="AA83" s="836"/>
      <c r="AB83" s="836"/>
      <c r="AC83" s="836"/>
      <c r="AD83" s="836"/>
      <c r="AE83" s="836"/>
      <c r="AF83" s="836"/>
      <c r="AG83" s="836"/>
      <c r="AK83" s="327"/>
      <c r="AL83" s="327"/>
    </row>
    <row r="84" spans="2:38" hidden="1">
      <c r="B84" s="108"/>
      <c r="C84" s="108"/>
      <c r="D84" s="184"/>
      <c r="E84" s="184"/>
      <c r="H84" s="86">
        <v>3</v>
      </c>
      <c r="I84" s="177">
        <v>600</v>
      </c>
      <c r="J84" s="86"/>
      <c r="Q84" s="836"/>
      <c r="R84" s="836"/>
      <c r="S84" s="836"/>
      <c r="T84" s="834"/>
      <c r="U84" s="137"/>
      <c r="V84" s="836"/>
      <c r="W84" s="836"/>
      <c r="X84" s="836"/>
      <c r="Y84" s="836"/>
      <c r="Z84" s="836"/>
      <c r="AA84" s="836"/>
      <c r="AB84" s="836"/>
      <c r="AC84" s="836"/>
      <c r="AD84" s="836"/>
      <c r="AE84" s="836"/>
      <c r="AF84" s="836"/>
      <c r="AG84" s="836"/>
      <c r="AK84" s="327"/>
      <c r="AL84" s="327"/>
    </row>
    <row r="85" spans="2:38" hidden="1">
      <c r="B85" s="108"/>
      <c r="C85" s="108"/>
      <c r="D85" s="184"/>
      <c r="E85" s="184"/>
      <c r="H85" s="86">
        <v>4</v>
      </c>
      <c r="I85" s="177">
        <v>600</v>
      </c>
      <c r="J85" s="86"/>
      <c r="Q85" s="836"/>
      <c r="R85" s="836"/>
      <c r="S85" s="836"/>
      <c r="T85" s="834"/>
      <c r="U85" s="137"/>
      <c r="V85" s="836"/>
      <c r="W85" s="836"/>
      <c r="X85" s="836"/>
      <c r="Y85" s="836"/>
      <c r="Z85" s="836"/>
      <c r="AA85" s="836"/>
      <c r="AB85" s="836"/>
      <c r="AC85" s="836"/>
      <c r="AD85" s="836"/>
      <c r="AE85" s="836"/>
      <c r="AF85" s="836"/>
      <c r="AG85" s="836"/>
      <c r="AK85" s="327"/>
      <c r="AL85" s="327"/>
    </row>
    <row r="86" spans="2:38" hidden="1">
      <c r="B86" s="108"/>
      <c r="C86" s="108"/>
      <c r="D86" s="185"/>
      <c r="E86" s="184"/>
      <c r="H86" s="86">
        <v>5</v>
      </c>
      <c r="I86" s="177">
        <v>600</v>
      </c>
      <c r="J86" s="86"/>
      <c r="Q86" s="836"/>
      <c r="R86" s="836"/>
      <c r="S86" s="836"/>
      <c r="T86" s="834"/>
      <c r="U86" s="137"/>
      <c r="V86" s="836"/>
      <c r="W86" s="836"/>
      <c r="X86" s="836"/>
      <c r="Y86" s="836"/>
      <c r="Z86" s="836"/>
      <c r="AA86" s="836"/>
      <c r="AB86" s="836"/>
      <c r="AC86" s="836"/>
      <c r="AD86" s="836"/>
      <c r="AE86" s="836"/>
      <c r="AF86" s="836"/>
      <c r="AG86" s="836"/>
      <c r="AK86" s="327"/>
      <c r="AL86" s="327"/>
    </row>
    <row r="87" spans="2:38" hidden="1">
      <c r="C87" s="171" t="s">
        <v>344</v>
      </c>
      <c r="D87" s="171" t="s">
        <v>345</v>
      </c>
      <c r="H87" s="86">
        <v>6</v>
      </c>
      <c r="I87" s="177">
        <v>600</v>
      </c>
      <c r="J87" s="86"/>
      <c r="Q87" s="836"/>
      <c r="R87" s="836"/>
      <c r="S87" s="836"/>
      <c r="T87" s="834"/>
      <c r="U87" s="137"/>
      <c r="V87" s="836"/>
      <c r="W87" s="836"/>
      <c r="X87" s="836"/>
      <c r="Y87" s="836"/>
      <c r="Z87" s="836"/>
      <c r="AA87" s="836"/>
      <c r="AB87" s="836"/>
      <c r="AC87" s="836"/>
      <c r="AD87" s="836"/>
      <c r="AE87" s="836"/>
      <c r="AF87" s="836"/>
      <c r="AG87" s="836"/>
      <c r="AK87" s="327"/>
      <c r="AL87" s="327"/>
    </row>
    <row r="88" spans="2:38" hidden="1">
      <c r="C88" s="334">
        <v>1</v>
      </c>
      <c r="D88" s="335"/>
      <c r="E88" s="435"/>
      <c r="H88" s="86">
        <v>7</v>
      </c>
      <c r="I88" s="177">
        <v>600</v>
      </c>
      <c r="J88" s="86"/>
      <c r="Q88" s="836"/>
      <c r="R88" s="836"/>
      <c r="S88" s="836"/>
      <c r="T88" s="834"/>
      <c r="U88" s="137"/>
      <c r="V88" s="836"/>
      <c r="W88" s="836"/>
      <c r="X88" s="836"/>
      <c r="Y88" s="836"/>
      <c r="Z88" s="836"/>
      <c r="AA88" s="836"/>
      <c r="AB88" s="836"/>
      <c r="AC88" s="836"/>
      <c r="AD88" s="836"/>
      <c r="AE88" s="836"/>
      <c r="AF88" s="836"/>
      <c r="AG88" s="836"/>
      <c r="AK88" s="327"/>
      <c r="AL88" s="327"/>
    </row>
    <row r="89" spans="2:38" hidden="1">
      <c r="C89" s="334">
        <v>2</v>
      </c>
      <c r="D89" s="335"/>
      <c r="E89" s="435"/>
      <c r="H89" s="86">
        <v>8</v>
      </c>
      <c r="I89" s="177">
        <v>600</v>
      </c>
      <c r="J89" s="86"/>
      <c r="Q89" s="836"/>
      <c r="R89" s="836"/>
      <c r="S89" s="836"/>
      <c r="T89" s="834"/>
      <c r="U89" s="137"/>
      <c r="V89" s="836"/>
      <c r="W89" s="836"/>
      <c r="X89" s="836"/>
      <c r="Y89" s="836"/>
      <c r="Z89" s="836"/>
      <c r="AA89" s="836"/>
      <c r="AB89" s="836"/>
      <c r="AC89" s="836"/>
      <c r="AD89" s="836"/>
      <c r="AE89" s="836"/>
      <c r="AF89" s="836"/>
      <c r="AG89" s="836"/>
      <c r="AK89" s="327"/>
      <c r="AL89" s="327"/>
    </row>
    <row r="90" spans="2:38" hidden="1">
      <c r="C90" s="334">
        <v>3</v>
      </c>
      <c r="D90" s="335"/>
      <c r="E90" s="435"/>
      <c r="H90" s="86">
        <v>9</v>
      </c>
      <c r="I90" s="177">
        <v>600</v>
      </c>
      <c r="J90" s="86"/>
      <c r="Q90" s="836"/>
      <c r="R90" s="836"/>
      <c r="S90" s="836"/>
      <c r="T90" s="834"/>
      <c r="U90" s="137"/>
      <c r="V90" s="836"/>
      <c r="W90" s="836"/>
      <c r="X90" s="836"/>
      <c r="Y90" s="836"/>
      <c r="Z90" s="836"/>
      <c r="AA90" s="836"/>
      <c r="AB90" s="836"/>
      <c r="AC90" s="836"/>
      <c r="AD90" s="836"/>
      <c r="AE90" s="836"/>
      <c r="AF90" s="836"/>
      <c r="AG90" s="836"/>
      <c r="AK90" s="327"/>
      <c r="AL90" s="327"/>
    </row>
    <row r="91" spans="2:38" hidden="1">
      <c r="C91" s="334">
        <v>4</v>
      </c>
      <c r="D91" s="335"/>
      <c r="E91" s="435"/>
      <c r="H91" s="86">
        <v>10</v>
      </c>
      <c r="I91" s="177">
        <v>600</v>
      </c>
      <c r="J91" s="86"/>
      <c r="Q91" s="836"/>
      <c r="R91" s="836"/>
      <c r="S91" s="836"/>
      <c r="T91" s="834"/>
      <c r="U91" s="137"/>
      <c r="V91" s="836"/>
      <c r="W91" s="836"/>
      <c r="X91" s="836"/>
      <c r="Y91" s="836"/>
      <c r="Z91" s="836"/>
      <c r="AA91" s="836"/>
      <c r="AB91" s="836"/>
      <c r="AC91" s="836"/>
      <c r="AD91" s="836"/>
      <c r="AE91" s="836"/>
      <c r="AF91" s="836"/>
      <c r="AG91" s="836"/>
    </row>
    <row r="92" spans="2:38" hidden="1">
      <c r="C92" s="334">
        <v>5</v>
      </c>
      <c r="D92" s="335"/>
      <c r="E92" s="435"/>
      <c r="H92" s="86">
        <v>11</v>
      </c>
      <c r="I92" s="177">
        <v>600</v>
      </c>
      <c r="J92" s="86"/>
      <c r="Q92" s="836"/>
      <c r="R92" s="836"/>
      <c r="S92" s="836"/>
      <c r="T92" s="834"/>
      <c r="U92" s="137"/>
      <c r="V92" s="836"/>
      <c r="W92" s="836"/>
      <c r="X92" s="836"/>
      <c r="Y92" s="836"/>
      <c r="Z92" s="836"/>
      <c r="AA92" s="836"/>
      <c r="AB92" s="836"/>
      <c r="AC92" s="836"/>
      <c r="AD92" s="836"/>
      <c r="AE92" s="836"/>
      <c r="AF92" s="836"/>
      <c r="AG92" s="836"/>
    </row>
    <row r="93" spans="2:38" hidden="1">
      <c r="C93" s="334">
        <v>6</v>
      </c>
      <c r="D93" s="335"/>
      <c r="E93" s="435"/>
      <c r="H93" s="86">
        <v>12</v>
      </c>
      <c r="I93" s="177">
        <v>600</v>
      </c>
      <c r="J93" s="86"/>
      <c r="Q93" s="836"/>
      <c r="R93" s="836"/>
      <c r="S93" s="836"/>
      <c r="T93" s="834"/>
      <c r="U93" s="137"/>
      <c r="V93" s="836"/>
      <c r="W93" s="836"/>
      <c r="X93" s="836"/>
      <c r="Y93" s="836"/>
      <c r="Z93" s="836"/>
      <c r="AA93" s="836"/>
      <c r="AB93" s="836"/>
      <c r="AC93" s="836"/>
      <c r="AD93" s="836"/>
      <c r="AE93" s="836"/>
      <c r="AF93" s="836"/>
      <c r="AG93" s="836"/>
    </row>
    <row r="94" spans="2:38" hidden="1">
      <c r="C94" s="334">
        <v>7</v>
      </c>
      <c r="D94" s="335"/>
      <c r="E94" s="435"/>
      <c r="H94" s="86">
        <v>13</v>
      </c>
      <c r="I94" s="177">
        <v>600</v>
      </c>
      <c r="J94" s="86"/>
      <c r="Q94" s="836"/>
      <c r="R94" s="836"/>
      <c r="S94" s="836"/>
      <c r="T94" s="834"/>
      <c r="U94" s="137"/>
      <c r="V94" s="836"/>
      <c r="W94" s="836"/>
      <c r="X94" s="836"/>
      <c r="Y94" s="836"/>
      <c r="Z94" s="836"/>
      <c r="AA94" s="836"/>
      <c r="AB94" s="836"/>
      <c r="AC94" s="836"/>
      <c r="AD94" s="836"/>
      <c r="AE94" s="836"/>
      <c r="AF94" s="836"/>
      <c r="AG94" s="836"/>
    </row>
    <row r="95" spans="2:38" hidden="1">
      <c r="C95" s="334">
        <v>8</v>
      </c>
      <c r="D95" s="335"/>
      <c r="E95" s="435"/>
      <c r="H95" s="86">
        <v>14</v>
      </c>
      <c r="I95" s="177">
        <v>600</v>
      </c>
      <c r="J95" s="86"/>
      <c r="Q95" s="836"/>
      <c r="R95" s="836"/>
      <c r="S95" s="836"/>
      <c r="T95" s="834"/>
      <c r="U95" s="137"/>
      <c r="V95" s="836"/>
      <c r="W95" s="836"/>
      <c r="X95" s="836"/>
      <c r="Y95" s="836"/>
      <c r="Z95" s="836"/>
      <c r="AA95" s="836"/>
      <c r="AB95" s="836"/>
      <c r="AC95" s="836"/>
      <c r="AD95" s="836"/>
      <c r="AE95" s="836"/>
      <c r="AF95" s="836"/>
      <c r="AG95" s="836"/>
    </row>
    <row r="96" spans="2:38" hidden="1">
      <c r="C96" s="334">
        <v>9</v>
      </c>
      <c r="D96" s="335"/>
      <c r="E96" s="435"/>
      <c r="H96" s="86">
        <v>15</v>
      </c>
      <c r="I96" s="177">
        <v>600</v>
      </c>
      <c r="J96" s="86"/>
      <c r="Q96" s="836"/>
      <c r="R96" s="836"/>
      <c r="S96" s="836"/>
      <c r="T96" s="834"/>
      <c r="U96" s="137"/>
      <c r="V96" s="836"/>
      <c r="W96" s="836"/>
      <c r="X96" s="836"/>
      <c r="Y96" s="836"/>
      <c r="Z96" s="836"/>
      <c r="AA96" s="836"/>
      <c r="AB96" s="836"/>
      <c r="AC96" s="836"/>
      <c r="AD96" s="836"/>
      <c r="AE96" s="836"/>
      <c r="AF96" s="836"/>
      <c r="AG96" s="836"/>
    </row>
    <row r="97" spans="3:33" hidden="1">
      <c r="C97" s="334">
        <v>10</v>
      </c>
      <c r="D97" s="335"/>
      <c r="E97" s="435"/>
      <c r="H97" s="86">
        <v>16</v>
      </c>
      <c r="I97" s="89">
        <v>1400</v>
      </c>
      <c r="J97" s="86"/>
      <c r="Q97" s="836"/>
      <c r="R97" s="836"/>
      <c r="S97" s="836"/>
      <c r="T97" s="834"/>
      <c r="U97" s="137"/>
      <c r="V97" s="836"/>
      <c r="W97" s="836"/>
      <c r="X97" s="836"/>
      <c r="Y97" s="836"/>
      <c r="Z97" s="836"/>
      <c r="AA97" s="836"/>
      <c r="AB97" s="836"/>
      <c r="AC97" s="836"/>
      <c r="AD97" s="836"/>
      <c r="AE97" s="836"/>
      <c r="AF97" s="836"/>
      <c r="AG97" s="137"/>
    </row>
    <row r="98" spans="3:33" hidden="1">
      <c r="C98" s="334">
        <v>11</v>
      </c>
      <c r="D98" s="335"/>
      <c r="E98" s="435"/>
      <c r="H98" s="86">
        <v>17</v>
      </c>
      <c r="I98" s="89">
        <v>1400</v>
      </c>
      <c r="J98" s="86"/>
      <c r="Q98" s="836"/>
      <c r="R98" s="836"/>
      <c r="S98" s="836"/>
      <c r="T98" s="834"/>
      <c r="U98" s="137"/>
      <c r="V98" s="836"/>
      <c r="W98" s="836"/>
      <c r="X98" s="836"/>
      <c r="Y98" s="836"/>
      <c r="Z98" s="836"/>
      <c r="AA98" s="836"/>
      <c r="AB98" s="836"/>
      <c r="AC98" s="836"/>
      <c r="AD98" s="836"/>
      <c r="AE98" s="836"/>
      <c r="AF98" s="137"/>
      <c r="AG98" s="137"/>
    </row>
    <row r="99" spans="3:33" hidden="1">
      <c r="C99" s="334">
        <v>12</v>
      </c>
      <c r="D99" s="335"/>
      <c r="E99" s="435"/>
      <c r="H99" s="86">
        <v>18</v>
      </c>
      <c r="I99" s="89">
        <v>1400</v>
      </c>
      <c r="J99" s="86"/>
      <c r="Q99" s="137"/>
      <c r="R99" s="137"/>
      <c r="S99" s="137"/>
      <c r="T99" s="137"/>
      <c r="U99" s="137"/>
      <c r="V99" s="137"/>
      <c r="W99" s="137"/>
      <c r="X99" s="137"/>
      <c r="Y99" s="137"/>
      <c r="Z99" s="137"/>
      <c r="AA99" s="137"/>
      <c r="AB99" s="137"/>
      <c r="AC99" s="137"/>
      <c r="AD99" s="137"/>
      <c r="AE99" s="137"/>
      <c r="AF99" s="137"/>
      <c r="AG99" s="137"/>
    </row>
    <row r="100" spans="3:33" hidden="1">
      <c r="C100" s="334">
        <v>13</v>
      </c>
      <c r="D100" s="335"/>
      <c r="E100" s="435"/>
      <c r="H100" s="86">
        <v>19</v>
      </c>
      <c r="I100" s="89">
        <v>1400</v>
      </c>
      <c r="J100" s="86"/>
      <c r="Q100" s="137"/>
      <c r="R100" s="137"/>
      <c r="S100" s="137"/>
      <c r="T100" s="137"/>
      <c r="U100" s="137"/>
      <c r="V100" s="137"/>
      <c r="W100" s="137"/>
      <c r="X100" s="137"/>
      <c r="Y100" s="137"/>
      <c r="Z100" s="137"/>
      <c r="AA100" s="137"/>
      <c r="AB100" s="137"/>
      <c r="AC100" s="137"/>
      <c r="AD100" s="137"/>
      <c r="AE100" s="137"/>
      <c r="AF100" s="137"/>
      <c r="AG100" s="137"/>
    </row>
    <row r="101" spans="3:33" hidden="1">
      <c r="C101" s="334">
        <v>14</v>
      </c>
      <c r="D101" s="335"/>
      <c r="E101" s="435"/>
      <c r="H101" s="86">
        <v>20</v>
      </c>
      <c r="I101" s="89">
        <v>1400</v>
      </c>
      <c r="J101" s="86"/>
      <c r="Q101" s="833"/>
      <c r="R101" s="833"/>
      <c r="S101" s="833"/>
      <c r="T101" s="833"/>
      <c r="U101" s="833"/>
      <c r="V101" s="833"/>
      <c r="W101" s="833"/>
      <c r="X101" s="833"/>
      <c r="Y101" s="833"/>
      <c r="Z101" s="833"/>
      <c r="AA101" s="833"/>
      <c r="AB101" s="833"/>
      <c r="AC101" s="833"/>
      <c r="AD101" s="833"/>
      <c r="AE101" s="137"/>
      <c r="AF101" s="137"/>
      <c r="AG101" s="137"/>
    </row>
    <row r="102" spans="3:33" hidden="1">
      <c r="C102" s="334">
        <v>15</v>
      </c>
      <c r="D102" s="335"/>
      <c r="E102" s="435"/>
      <c r="H102" s="86">
        <v>21</v>
      </c>
      <c r="I102" s="89">
        <v>1400</v>
      </c>
      <c r="J102" s="86"/>
      <c r="Q102" s="835"/>
      <c r="R102" s="835"/>
      <c r="S102" s="835"/>
      <c r="T102" s="835"/>
      <c r="U102" s="835"/>
      <c r="V102" s="835"/>
      <c r="W102" s="835"/>
      <c r="X102" s="835"/>
      <c r="Y102" s="835"/>
      <c r="Z102" s="835"/>
      <c r="AA102" s="835"/>
      <c r="AB102" s="835"/>
      <c r="AC102" s="835"/>
      <c r="AD102" s="835"/>
      <c r="AE102" s="137"/>
      <c r="AF102" s="137"/>
      <c r="AG102" s="137"/>
    </row>
    <row r="103" spans="3:33" hidden="1">
      <c r="C103" s="334">
        <v>16</v>
      </c>
      <c r="D103" s="335"/>
      <c r="E103" s="435"/>
      <c r="H103" s="86">
        <v>22</v>
      </c>
      <c r="I103" s="89">
        <v>1400</v>
      </c>
      <c r="J103" s="86"/>
      <c r="Q103" s="835"/>
      <c r="R103" s="835"/>
      <c r="S103" s="835"/>
      <c r="T103" s="835"/>
      <c r="U103" s="835"/>
      <c r="V103" s="835"/>
      <c r="W103" s="835"/>
      <c r="X103" s="835"/>
      <c r="Y103" s="835"/>
      <c r="Z103" s="835"/>
      <c r="AA103" s="835"/>
      <c r="AB103" s="835"/>
      <c r="AC103" s="835"/>
      <c r="AD103" s="835"/>
      <c r="AE103" s="137"/>
      <c r="AF103" s="137"/>
      <c r="AG103" s="137"/>
    </row>
    <row r="104" spans="3:33" hidden="1">
      <c r="C104" s="334">
        <v>17</v>
      </c>
      <c r="D104" s="335"/>
      <c r="E104" s="435"/>
      <c r="H104" s="86">
        <v>23</v>
      </c>
      <c r="I104" s="89">
        <v>1400</v>
      </c>
      <c r="J104" s="86"/>
      <c r="Q104" s="835"/>
      <c r="R104" s="835"/>
      <c r="S104" s="835"/>
      <c r="T104" s="835"/>
      <c r="U104" s="835"/>
      <c r="V104" s="835"/>
      <c r="W104" s="835"/>
      <c r="X104" s="835"/>
      <c r="Y104" s="835"/>
      <c r="Z104" s="835"/>
      <c r="AA104" s="835"/>
      <c r="AB104" s="835"/>
      <c r="AC104" s="835"/>
      <c r="AD104" s="835"/>
      <c r="AE104" s="137"/>
      <c r="AF104" s="137"/>
      <c r="AG104" s="137"/>
    </row>
    <row r="105" spans="3:33" hidden="1">
      <c r="C105" s="334">
        <v>18</v>
      </c>
      <c r="D105" s="335"/>
      <c r="E105" s="435"/>
      <c r="H105" s="86">
        <v>24</v>
      </c>
      <c r="I105" s="89">
        <v>1400</v>
      </c>
      <c r="J105" s="86"/>
      <c r="Q105" s="835"/>
      <c r="R105" s="835"/>
      <c r="S105" s="835"/>
      <c r="T105" s="835"/>
      <c r="U105" s="835"/>
      <c r="V105" s="835"/>
      <c r="W105" s="835"/>
      <c r="X105" s="835"/>
      <c r="Y105" s="835"/>
      <c r="Z105" s="835"/>
      <c r="AA105" s="835"/>
      <c r="AB105" s="835"/>
      <c r="AC105" s="835"/>
      <c r="AD105" s="835"/>
      <c r="AE105" s="137"/>
      <c r="AF105" s="137"/>
      <c r="AG105" s="137"/>
    </row>
    <row r="106" spans="3:33" hidden="1">
      <c r="C106" s="334">
        <v>19</v>
      </c>
      <c r="D106" s="335"/>
      <c r="E106" s="435"/>
      <c r="H106" s="86">
        <v>25</v>
      </c>
      <c r="I106" s="89">
        <v>1400</v>
      </c>
      <c r="J106" s="86"/>
      <c r="Q106" s="835"/>
      <c r="R106" s="835"/>
      <c r="S106" s="835"/>
      <c r="T106" s="835"/>
      <c r="U106" s="835"/>
      <c r="V106" s="835"/>
      <c r="W106" s="835"/>
      <c r="X106" s="835"/>
      <c r="Y106" s="835"/>
      <c r="Z106" s="835"/>
      <c r="AA106" s="835"/>
      <c r="AB106" s="835"/>
      <c r="AC106" s="835"/>
      <c r="AD106" s="835"/>
      <c r="AE106" s="137"/>
      <c r="AF106" s="137"/>
      <c r="AG106" s="137"/>
    </row>
    <row r="107" spans="3:33" hidden="1">
      <c r="C107" s="334">
        <v>20</v>
      </c>
      <c r="D107" s="335"/>
      <c r="E107" s="435"/>
      <c r="H107" s="86">
        <v>26</v>
      </c>
      <c r="I107" s="89">
        <v>1400</v>
      </c>
      <c r="J107" s="86"/>
      <c r="Q107" s="835"/>
      <c r="R107" s="835"/>
      <c r="S107" s="835"/>
      <c r="T107" s="835"/>
      <c r="U107" s="835"/>
      <c r="V107" s="835"/>
      <c r="W107" s="835"/>
      <c r="X107" s="835"/>
      <c r="Y107" s="835"/>
      <c r="Z107" s="835"/>
      <c r="AA107" s="835"/>
      <c r="AB107" s="835"/>
      <c r="AC107" s="835"/>
      <c r="AD107" s="835"/>
      <c r="AE107" s="137"/>
      <c r="AF107" s="137"/>
      <c r="AG107" s="137"/>
    </row>
    <row r="108" spans="3:33" hidden="1">
      <c r="C108" s="334">
        <v>21</v>
      </c>
      <c r="D108" s="335"/>
      <c r="E108" s="435"/>
      <c r="H108" s="86">
        <v>27</v>
      </c>
      <c r="I108" s="89">
        <v>1400</v>
      </c>
      <c r="J108" s="86"/>
      <c r="Q108" s="835"/>
      <c r="R108" s="835"/>
      <c r="S108" s="835"/>
      <c r="T108" s="835"/>
      <c r="U108" s="835"/>
      <c r="V108" s="835"/>
      <c r="W108" s="835"/>
      <c r="X108" s="835"/>
      <c r="Y108" s="835"/>
      <c r="Z108" s="835"/>
      <c r="AA108" s="835"/>
      <c r="AB108" s="835"/>
      <c r="AC108" s="835"/>
      <c r="AD108" s="835"/>
      <c r="AE108" s="137"/>
      <c r="AF108" s="137"/>
      <c r="AG108" s="137"/>
    </row>
    <row r="109" spans="3:33" hidden="1">
      <c r="C109" s="334">
        <v>22</v>
      </c>
      <c r="D109" s="335"/>
      <c r="E109" s="435"/>
      <c r="H109" s="86">
        <v>28</v>
      </c>
      <c r="I109" s="89">
        <v>1400</v>
      </c>
      <c r="J109" s="86"/>
      <c r="Q109" s="835"/>
      <c r="R109" s="835"/>
      <c r="S109" s="835"/>
      <c r="T109" s="835"/>
      <c r="U109" s="835"/>
      <c r="V109" s="835"/>
      <c r="W109" s="835"/>
      <c r="X109" s="835"/>
      <c r="Y109" s="835"/>
      <c r="Z109" s="835"/>
      <c r="AA109" s="835"/>
      <c r="AB109" s="835"/>
      <c r="AC109" s="835"/>
      <c r="AD109" s="835"/>
      <c r="AE109" s="137"/>
      <c r="AF109" s="137"/>
      <c r="AG109" s="137"/>
    </row>
    <row r="110" spans="3:33" hidden="1">
      <c r="C110" s="334">
        <v>23</v>
      </c>
      <c r="D110" s="335"/>
      <c r="E110" s="435"/>
      <c r="H110" s="86">
        <v>29</v>
      </c>
      <c r="I110" s="89">
        <v>1400</v>
      </c>
      <c r="J110" s="86"/>
      <c r="Q110" s="835"/>
      <c r="R110" s="835"/>
      <c r="S110" s="835"/>
      <c r="T110" s="835"/>
      <c r="U110" s="835"/>
      <c r="V110" s="835"/>
      <c r="W110" s="835"/>
      <c r="X110" s="835"/>
      <c r="Y110" s="835"/>
      <c r="Z110" s="835"/>
      <c r="AA110" s="835"/>
      <c r="AB110" s="835"/>
      <c r="AC110" s="835"/>
      <c r="AD110" s="835"/>
      <c r="AE110" s="137"/>
      <c r="AF110" s="137"/>
      <c r="AG110" s="137"/>
    </row>
    <row r="111" spans="3:33" hidden="1">
      <c r="C111" s="334">
        <v>24</v>
      </c>
      <c r="D111" s="335"/>
      <c r="E111" s="435"/>
      <c r="H111" s="86">
        <v>30</v>
      </c>
      <c r="I111" s="89">
        <v>1400</v>
      </c>
      <c r="J111" s="86"/>
      <c r="Q111" s="835"/>
      <c r="R111" s="835"/>
      <c r="S111" s="835"/>
      <c r="T111" s="835"/>
      <c r="U111" s="835"/>
      <c r="V111" s="835"/>
      <c r="W111" s="835"/>
      <c r="X111" s="835"/>
      <c r="Y111" s="835"/>
      <c r="Z111" s="835"/>
      <c r="AA111" s="835"/>
      <c r="AB111" s="835"/>
      <c r="AC111" s="835"/>
      <c r="AD111" s="835"/>
      <c r="AE111" s="137"/>
      <c r="AF111" s="137"/>
      <c r="AG111" s="137"/>
    </row>
    <row r="112" spans="3:33" hidden="1">
      <c r="C112" s="334">
        <v>25</v>
      </c>
      <c r="D112" s="335"/>
      <c r="E112" s="435"/>
      <c r="H112" s="86">
        <v>31</v>
      </c>
      <c r="I112" s="89">
        <v>1700</v>
      </c>
      <c r="J112" s="86"/>
      <c r="Q112" s="835"/>
      <c r="R112" s="835"/>
      <c r="S112" s="835"/>
      <c r="T112" s="835"/>
      <c r="U112" s="835"/>
      <c r="V112" s="835"/>
      <c r="W112" s="835"/>
      <c r="X112" s="835"/>
      <c r="Y112" s="835"/>
      <c r="Z112" s="835"/>
      <c r="AA112" s="835"/>
      <c r="AB112" s="835"/>
      <c r="AC112" s="835"/>
      <c r="AD112" s="835"/>
      <c r="AE112" s="137"/>
      <c r="AF112" s="137"/>
      <c r="AG112" s="137"/>
    </row>
    <row r="113" spans="3:33" hidden="1">
      <c r="C113" s="334">
        <v>26</v>
      </c>
      <c r="D113" s="335"/>
      <c r="E113" s="435"/>
      <c r="H113" s="86">
        <v>32</v>
      </c>
      <c r="I113" s="89">
        <v>1700</v>
      </c>
      <c r="J113" s="86"/>
      <c r="Q113" s="835"/>
      <c r="R113" s="835"/>
      <c r="S113" s="835"/>
      <c r="T113" s="835"/>
      <c r="U113" s="835"/>
      <c r="V113" s="835"/>
      <c r="W113" s="835"/>
      <c r="X113" s="835"/>
      <c r="Y113" s="835"/>
      <c r="Z113" s="835"/>
      <c r="AA113" s="835"/>
      <c r="AB113" s="835"/>
      <c r="AC113" s="835"/>
      <c r="AD113" s="835"/>
      <c r="AE113" s="137"/>
      <c r="AF113" s="137"/>
      <c r="AG113" s="137"/>
    </row>
    <row r="114" spans="3:33" hidden="1">
      <c r="C114" s="334">
        <v>27</v>
      </c>
      <c r="D114" s="335"/>
      <c r="E114" s="435"/>
      <c r="H114" s="86">
        <v>33</v>
      </c>
      <c r="I114" s="89">
        <v>1700</v>
      </c>
      <c r="J114" s="86"/>
      <c r="Q114" s="835"/>
      <c r="R114" s="835"/>
      <c r="S114" s="835"/>
      <c r="T114" s="835"/>
      <c r="U114" s="835"/>
      <c r="V114" s="835"/>
      <c r="W114" s="835"/>
      <c r="X114" s="835"/>
      <c r="Y114" s="835"/>
      <c r="Z114" s="835"/>
      <c r="AA114" s="835"/>
      <c r="AB114" s="835"/>
      <c r="AC114" s="835"/>
      <c r="AD114" s="835"/>
      <c r="AE114" s="137"/>
      <c r="AF114" s="137"/>
      <c r="AG114" s="137"/>
    </row>
    <row r="115" spans="3:33" hidden="1">
      <c r="C115" s="334">
        <v>28</v>
      </c>
      <c r="D115" s="335"/>
      <c r="E115" s="435"/>
      <c r="H115" s="86">
        <v>34</v>
      </c>
      <c r="I115" s="89">
        <v>1700</v>
      </c>
      <c r="J115" s="86"/>
      <c r="Q115" s="835"/>
      <c r="R115" s="835"/>
      <c r="S115" s="835"/>
      <c r="T115" s="835"/>
      <c r="U115" s="835"/>
      <c r="V115" s="835"/>
      <c r="W115" s="835"/>
      <c r="X115" s="835"/>
      <c r="Y115" s="835"/>
      <c r="Z115" s="835"/>
      <c r="AA115" s="835"/>
      <c r="AB115" s="835"/>
      <c r="AC115" s="835"/>
      <c r="AD115" s="835"/>
      <c r="AE115" s="137"/>
      <c r="AF115" s="137"/>
      <c r="AG115" s="137"/>
    </row>
    <row r="116" spans="3:33" hidden="1">
      <c r="C116" s="334">
        <v>29</v>
      </c>
      <c r="D116" s="335"/>
      <c r="E116" s="435"/>
      <c r="H116" s="86">
        <v>35</v>
      </c>
      <c r="I116" s="89">
        <v>1700</v>
      </c>
      <c r="J116" s="86"/>
      <c r="Q116" s="835"/>
      <c r="R116" s="835"/>
      <c r="S116" s="835"/>
      <c r="T116" s="835"/>
      <c r="U116" s="835"/>
      <c r="V116" s="835"/>
      <c r="W116" s="835"/>
      <c r="X116" s="835"/>
      <c r="Y116" s="835"/>
      <c r="Z116" s="835"/>
      <c r="AA116" s="835"/>
      <c r="AB116" s="835"/>
      <c r="AC116" s="835"/>
      <c r="AD116" s="835"/>
      <c r="AE116" s="137"/>
      <c r="AF116" s="137"/>
      <c r="AG116" s="137"/>
    </row>
    <row r="117" spans="3:33" hidden="1">
      <c r="C117" s="334">
        <v>30</v>
      </c>
      <c r="D117" s="335"/>
      <c r="E117" s="435"/>
      <c r="H117" s="86">
        <v>36</v>
      </c>
      <c r="I117" s="89">
        <v>1700</v>
      </c>
      <c r="J117" s="86"/>
      <c r="Q117" s="835"/>
      <c r="R117" s="835"/>
      <c r="S117" s="835"/>
      <c r="T117" s="835"/>
      <c r="U117" s="835"/>
      <c r="V117" s="835"/>
      <c r="W117" s="835"/>
      <c r="X117" s="835"/>
      <c r="Y117" s="835"/>
      <c r="Z117" s="835"/>
      <c r="AA117" s="835"/>
      <c r="AB117" s="835"/>
      <c r="AC117" s="835"/>
      <c r="AD117" s="835"/>
      <c r="AE117" s="137"/>
      <c r="AF117" s="137"/>
      <c r="AG117" s="137"/>
    </row>
    <row r="118" spans="3:33" hidden="1">
      <c r="C118" s="334">
        <v>31</v>
      </c>
      <c r="D118" s="335"/>
      <c r="E118" s="435"/>
      <c r="H118" s="86">
        <v>37</v>
      </c>
      <c r="I118" s="89">
        <v>1700</v>
      </c>
      <c r="J118" s="86"/>
      <c r="Q118" s="835"/>
      <c r="R118" s="835"/>
      <c r="S118" s="835"/>
      <c r="T118" s="835"/>
      <c r="U118" s="835"/>
      <c r="V118" s="835"/>
      <c r="W118" s="835"/>
      <c r="X118" s="835"/>
      <c r="Y118" s="835"/>
      <c r="Z118" s="835"/>
      <c r="AA118" s="835"/>
      <c r="AB118" s="835"/>
      <c r="AC118" s="835"/>
      <c r="AD118" s="835"/>
      <c r="AE118" s="137"/>
      <c r="AF118" s="137"/>
      <c r="AG118" s="137"/>
    </row>
    <row r="119" spans="3:33" hidden="1">
      <c r="C119" s="334">
        <v>32</v>
      </c>
      <c r="D119" s="335"/>
      <c r="E119" s="435"/>
      <c r="H119" s="86">
        <v>38</v>
      </c>
      <c r="I119" s="89">
        <v>1700</v>
      </c>
      <c r="J119" s="86"/>
      <c r="Q119" s="835"/>
      <c r="R119" s="835"/>
      <c r="S119" s="835"/>
      <c r="T119" s="835"/>
      <c r="U119" s="835"/>
      <c r="V119" s="835"/>
      <c r="W119" s="835"/>
      <c r="X119" s="835"/>
      <c r="Y119" s="835"/>
      <c r="Z119" s="835"/>
      <c r="AA119" s="835"/>
      <c r="AB119" s="835"/>
      <c r="AC119" s="835"/>
      <c r="AD119" s="835"/>
      <c r="AE119" s="137"/>
      <c r="AF119" s="137"/>
      <c r="AG119" s="137"/>
    </row>
    <row r="120" spans="3:33" hidden="1">
      <c r="C120" s="334">
        <v>33</v>
      </c>
      <c r="D120" s="335"/>
      <c r="E120" s="435"/>
      <c r="H120" s="86">
        <v>39</v>
      </c>
      <c r="I120" s="89">
        <v>1700</v>
      </c>
      <c r="J120" s="86"/>
      <c r="Q120" s="835"/>
      <c r="R120" s="835"/>
      <c r="S120" s="835"/>
      <c r="T120" s="835"/>
      <c r="U120" s="835"/>
      <c r="V120" s="835"/>
      <c r="W120" s="835"/>
      <c r="X120" s="835"/>
      <c r="Y120" s="835"/>
      <c r="Z120" s="835"/>
      <c r="AA120" s="835"/>
      <c r="AB120" s="835"/>
      <c r="AC120" s="835"/>
      <c r="AD120" s="835"/>
      <c r="AE120" s="137"/>
      <c r="AF120" s="137"/>
      <c r="AG120" s="137"/>
    </row>
    <row r="121" spans="3:33" hidden="1">
      <c r="C121" s="334">
        <v>34</v>
      </c>
      <c r="D121" s="335"/>
      <c r="E121" s="435"/>
      <c r="H121" s="86">
        <v>40</v>
      </c>
      <c r="I121" s="89">
        <v>1700</v>
      </c>
      <c r="J121" s="86"/>
      <c r="Q121" s="835"/>
      <c r="R121" s="835"/>
      <c r="S121" s="835"/>
      <c r="T121" s="835"/>
      <c r="U121" s="835"/>
      <c r="V121" s="835"/>
      <c r="W121" s="835"/>
      <c r="X121" s="835"/>
      <c r="Y121" s="835"/>
      <c r="Z121" s="835"/>
      <c r="AA121" s="835"/>
      <c r="AB121" s="835"/>
      <c r="AC121" s="835"/>
      <c r="AD121" s="835"/>
      <c r="AE121" s="137"/>
      <c r="AF121" s="137"/>
      <c r="AG121" s="137"/>
    </row>
    <row r="122" spans="3:33" hidden="1">
      <c r="C122" s="334">
        <v>35</v>
      </c>
      <c r="D122" s="335"/>
      <c r="E122" s="435"/>
      <c r="H122" s="86">
        <v>41</v>
      </c>
      <c r="I122" s="89">
        <v>2000</v>
      </c>
      <c r="J122" s="86"/>
      <c r="Q122" s="835"/>
      <c r="R122" s="835"/>
      <c r="S122" s="835"/>
      <c r="T122" s="835"/>
      <c r="U122" s="835"/>
      <c r="V122" s="835"/>
      <c r="W122" s="835"/>
      <c r="X122" s="835"/>
      <c r="Y122" s="835"/>
      <c r="Z122" s="835"/>
      <c r="AA122" s="835"/>
      <c r="AB122" s="835"/>
      <c r="AC122" s="835"/>
      <c r="AD122" s="835"/>
      <c r="AE122" s="137"/>
      <c r="AF122" s="137"/>
      <c r="AG122" s="137"/>
    </row>
    <row r="123" spans="3:33" hidden="1">
      <c r="C123" s="334">
        <v>36</v>
      </c>
      <c r="D123" s="335"/>
      <c r="E123" s="435"/>
      <c r="H123" s="86">
        <v>42</v>
      </c>
      <c r="I123" s="89">
        <v>2000</v>
      </c>
      <c r="J123" s="86"/>
      <c r="Q123" s="835"/>
      <c r="R123" s="835"/>
      <c r="S123" s="835"/>
      <c r="T123" s="835"/>
      <c r="U123" s="835"/>
      <c r="V123" s="835"/>
      <c r="W123" s="835"/>
      <c r="X123" s="835"/>
      <c r="Y123" s="835"/>
      <c r="Z123" s="835"/>
      <c r="AA123" s="835"/>
      <c r="AB123" s="835"/>
      <c r="AC123" s="835"/>
      <c r="AD123" s="835"/>
      <c r="AE123" s="137"/>
      <c r="AF123" s="137"/>
      <c r="AG123" s="137"/>
    </row>
    <row r="124" spans="3:33" hidden="1">
      <c r="C124" s="334">
        <v>37</v>
      </c>
      <c r="D124" s="335"/>
      <c r="E124" s="435"/>
      <c r="H124" s="86">
        <v>43</v>
      </c>
      <c r="I124" s="89">
        <v>2000</v>
      </c>
      <c r="J124" s="86"/>
      <c r="Q124" s="835"/>
      <c r="R124" s="835"/>
      <c r="S124" s="835"/>
      <c r="T124" s="835"/>
      <c r="U124" s="835"/>
      <c r="V124" s="835"/>
      <c r="W124" s="835"/>
      <c r="X124" s="835"/>
      <c r="Y124" s="835"/>
      <c r="Z124" s="835"/>
      <c r="AA124" s="835"/>
      <c r="AB124" s="835"/>
      <c r="AC124" s="835"/>
      <c r="AD124" s="835"/>
      <c r="AE124" s="137"/>
      <c r="AF124" s="137"/>
      <c r="AG124" s="137"/>
    </row>
    <row r="125" spans="3:33" hidden="1">
      <c r="C125" s="334">
        <v>38</v>
      </c>
      <c r="D125" s="335"/>
      <c r="E125" s="435"/>
      <c r="H125" s="86">
        <v>44</v>
      </c>
      <c r="I125" s="89">
        <v>2000</v>
      </c>
      <c r="J125" s="86"/>
      <c r="Q125" s="835"/>
      <c r="R125" s="835"/>
      <c r="S125" s="835"/>
      <c r="T125" s="835"/>
      <c r="U125" s="835"/>
      <c r="V125" s="835"/>
      <c r="W125" s="835"/>
      <c r="X125" s="835"/>
      <c r="Y125" s="835"/>
      <c r="Z125" s="835"/>
      <c r="AA125" s="835"/>
      <c r="AB125" s="835"/>
      <c r="AC125" s="835"/>
      <c r="AD125" s="835"/>
      <c r="AE125" s="137"/>
      <c r="AF125" s="137"/>
      <c r="AG125" s="137"/>
    </row>
    <row r="126" spans="3:33" hidden="1">
      <c r="C126" s="334">
        <v>39</v>
      </c>
      <c r="D126" s="335"/>
      <c r="E126" s="435"/>
      <c r="H126" s="86">
        <v>45</v>
      </c>
      <c r="I126" s="89">
        <v>2000</v>
      </c>
      <c r="J126" s="86"/>
      <c r="Q126" s="835"/>
      <c r="R126" s="835"/>
      <c r="S126" s="835"/>
      <c r="T126" s="835"/>
      <c r="U126" s="835"/>
      <c r="V126" s="835"/>
      <c r="W126" s="835"/>
      <c r="X126" s="835"/>
      <c r="Y126" s="835"/>
      <c r="Z126" s="835"/>
      <c r="AA126" s="835"/>
      <c r="AB126" s="835"/>
      <c r="AC126" s="835"/>
      <c r="AD126" s="835"/>
      <c r="AE126" s="137"/>
      <c r="AF126" s="137"/>
      <c r="AG126" s="137"/>
    </row>
    <row r="127" spans="3:33" hidden="1">
      <c r="C127" s="334">
        <v>40</v>
      </c>
      <c r="D127" s="335"/>
      <c r="E127" s="435"/>
      <c r="H127" s="86">
        <v>46</v>
      </c>
      <c r="I127" s="89">
        <v>2000</v>
      </c>
      <c r="J127" s="86"/>
      <c r="Q127" s="835"/>
      <c r="R127" s="835"/>
      <c r="S127" s="835"/>
      <c r="T127" s="835"/>
      <c r="U127" s="835"/>
      <c r="V127" s="835"/>
      <c r="W127" s="835"/>
      <c r="X127" s="835"/>
      <c r="Y127" s="835"/>
      <c r="Z127" s="835"/>
      <c r="AA127" s="835"/>
      <c r="AB127" s="835"/>
      <c r="AC127" s="835"/>
      <c r="AD127" s="835"/>
      <c r="AE127" s="137"/>
      <c r="AF127" s="137"/>
      <c r="AG127" s="137"/>
    </row>
    <row r="128" spans="3:33" hidden="1">
      <c r="C128" s="334">
        <v>41</v>
      </c>
      <c r="D128" s="335"/>
      <c r="E128" s="435"/>
      <c r="H128" s="86">
        <v>47</v>
      </c>
      <c r="I128" s="89">
        <v>2000</v>
      </c>
      <c r="J128" s="86"/>
      <c r="Q128" s="835"/>
      <c r="R128" s="835"/>
      <c r="S128" s="835"/>
      <c r="T128" s="835"/>
      <c r="U128" s="835"/>
      <c r="V128" s="835"/>
      <c r="W128" s="835"/>
      <c r="X128" s="835"/>
      <c r="Y128" s="835"/>
      <c r="Z128" s="835"/>
      <c r="AA128" s="835"/>
      <c r="AB128" s="835"/>
      <c r="AC128" s="835"/>
      <c r="AD128" s="835"/>
      <c r="AE128" s="137"/>
      <c r="AF128" s="137"/>
      <c r="AG128" s="137"/>
    </row>
    <row r="129" spans="3:33" hidden="1">
      <c r="C129" s="334">
        <v>42</v>
      </c>
      <c r="D129" s="335"/>
      <c r="E129" s="435"/>
      <c r="H129" s="86">
        <v>48</v>
      </c>
      <c r="I129" s="89">
        <v>2000</v>
      </c>
      <c r="J129" s="86"/>
      <c r="Q129" s="835"/>
      <c r="R129" s="835"/>
      <c r="S129" s="835"/>
      <c r="T129" s="835"/>
      <c r="U129" s="835"/>
      <c r="V129" s="835"/>
      <c r="W129" s="835"/>
      <c r="X129" s="835"/>
      <c r="Y129" s="835"/>
      <c r="Z129" s="835"/>
      <c r="AA129" s="835"/>
      <c r="AB129" s="835"/>
      <c r="AC129" s="835"/>
      <c r="AD129" s="835"/>
      <c r="AE129" s="137"/>
      <c r="AF129" s="137"/>
      <c r="AG129" s="137"/>
    </row>
    <row r="130" spans="3:33" hidden="1">
      <c r="C130" s="334">
        <v>43</v>
      </c>
      <c r="D130" s="335"/>
      <c r="E130" s="435"/>
      <c r="H130" s="86">
        <v>49</v>
      </c>
      <c r="I130" s="89">
        <v>2000</v>
      </c>
      <c r="J130" s="86"/>
      <c r="Q130" s="835"/>
      <c r="R130" s="835"/>
      <c r="S130" s="835"/>
      <c r="T130" s="835"/>
      <c r="U130" s="835"/>
      <c r="V130" s="835"/>
      <c r="W130" s="835"/>
      <c r="X130" s="835"/>
      <c r="Y130" s="835"/>
      <c r="Z130" s="835"/>
      <c r="AA130" s="835"/>
      <c r="AB130" s="835"/>
      <c r="AC130" s="835"/>
      <c r="AD130" s="835"/>
      <c r="AE130" s="137"/>
      <c r="AF130" s="137"/>
      <c r="AG130" s="137"/>
    </row>
    <row r="131" spans="3:33" hidden="1">
      <c r="C131" s="334">
        <v>44</v>
      </c>
      <c r="D131" s="335"/>
      <c r="E131" s="435"/>
      <c r="H131" s="86">
        <v>50</v>
      </c>
      <c r="I131" s="89">
        <v>2000</v>
      </c>
      <c r="J131" s="86"/>
      <c r="Q131" s="835"/>
      <c r="R131" s="835"/>
      <c r="S131" s="835"/>
      <c r="T131" s="835"/>
      <c r="U131" s="835"/>
      <c r="V131" s="835"/>
      <c r="W131" s="835"/>
      <c r="X131" s="835"/>
      <c r="Y131" s="835"/>
      <c r="Z131" s="835"/>
      <c r="AA131" s="835"/>
      <c r="AB131" s="835"/>
      <c r="AC131" s="835"/>
      <c r="AD131" s="835"/>
      <c r="AE131" s="137"/>
      <c r="AF131" s="137"/>
      <c r="AG131" s="137"/>
    </row>
    <row r="132" spans="3:33" hidden="1">
      <c r="C132" s="334">
        <v>45</v>
      </c>
      <c r="D132" s="335"/>
      <c r="E132" s="435"/>
      <c r="H132" s="86">
        <v>51</v>
      </c>
      <c r="I132" s="89">
        <v>2300</v>
      </c>
      <c r="J132" s="86"/>
    </row>
    <row r="133" spans="3:33" hidden="1">
      <c r="C133" s="334">
        <v>46</v>
      </c>
      <c r="D133" s="335"/>
      <c r="E133" s="435"/>
      <c r="H133" s="86">
        <v>52</v>
      </c>
      <c r="I133" s="89">
        <v>2300</v>
      </c>
      <c r="J133" s="86"/>
    </row>
    <row r="134" spans="3:33" hidden="1">
      <c r="C134" s="334">
        <v>47</v>
      </c>
      <c r="D134" s="335"/>
      <c r="E134" s="435"/>
      <c r="H134" s="86">
        <v>53</v>
      </c>
      <c r="I134" s="89">
        <v>2300</v>
      </c>
      <c r="J134" s="86"/>
    </row>
    <row r="135" spans="3:33" hidden="1">
      <c r="C135" s="334">
        <v>48</v>
      </c>
      <c r="D135" s="335"/>
      <c r="E135" s="435"/>
      <c r="H135" s="86">
        <v>54</v>
      </c>
      <c r="I135" s="89">
        <v>2300</v>
      </c>
      <c r="J135" s="86"/>
    </row>
    <row r="136" spans="3:33" hidden="1">
      <c r="C136" s="334">
        <v>49</v>
      </c>
      <c r="D136" s="335"/>
      <c r="E136" s="435"/>
      <c r="H136" s="86">
        <v>55</v>
      </c>
      <c r="I136" s="89">
        <v>2300</v>
      </c>
      <c r="J136" s="86"/>
    </row>
    <row r="137" spans="3:33" hidden="1">
      <c r="C137" s="334">
        <v>50</v>
      </c>
      <c r="D137" s="335"/>
      <c r="E137" s="435"/>
      <c r="H137" s="86">
        <v>56</v>
      </c>
      <c r="I137" s="89">
        <v>2300</v>
      </c>
      <c r="J137" s="86"/>
    </row>
    <row r="138" spans="3:33" hidden="1">
      <c r="C138" s="334">
        <v>51</v>
      </c>
      <c r="D138" s="335"/>
      <c r="E138" s="435"/>
      <c r="H138" s="86">
        <v>57</v>
      </c>
      <c r="I138" s="89">
        <v>2300</v>
      </c>
      <c r="J138" s="86"/>
    </row>
    <row r="139" spans="3:33" hidden="1">
      <c r="C139" s="334">
        <v>52</v>
      </c>
      <c r="D139" s="335"/>
      <c r="E139" s="435"/>
      <c r="H139" s="86">
        <v>58</v>
      </c>
      <c r="I139" s="89">
        <v>2300</v>
      </c>
      <c r="J139" s="86"/>
    </row>
    <row r="140" spans="3:33" hidden="1">
      <c r="C140" s="334">
        <v>53</v>
      </c>
      <c r="D140" s="335"/>
      <c r="E140" s="435"/>
      <c r="H140" s="86">
        <v>59</v>
      </c>
      <c r="I140" s="89">
        <v>2300</v>
      </c>
      <c r="J140" s="86"/>
    </row>
    <row r="141" spans="3:33" hidden="1">
      <c r="C141" s="334">
        <v>54</v>
      </c>
      <c r="D141" s="335"/>
      <c r="E141" s="435"/>
      <c r="H141" s="86">
        <v>60</v>
      </c>
      <c r="I141" s="89">
        <v>2300</v>
      </c>
      <c r="J141" s="86"/>
    </row>
    <row r="142" spans="3:33" hidden="1">
      <c r="C142" s="334">
        <v>55</v>
      </c>
      <c r="D142" s="335"/>
      <c r="E142" s="435"/>
      <c r="H142" s="86">
        <v>61</v>
      </c>
      <c r="I142" s="89">
        <v>2700</v>
      </c>
      <c r="J142" s="86"/>
    </row>
    <row r="143" spans="3:33" hidden="1">
      <c r="C143" s="334">
        <v>56</v>
      </c>
      <c r="D143" s="335"/>
      <c r="E143" s="435"/>
      <c r="H143" s="86">
        <v>62</v>
      </c>
      <c r="I143" s="89">
        <v>2700</v>
      </c>
      <c r="J143" s="86"/>
    </row>
    <row r="144" spans="3:33" hidden="1">
      <c r="C144" s="334">
        <v>57</v>
      </c>
      <c r="D144" s="335"/>
      <c r="E144" s="435"/>
      <c r="H144" s="86">
        <v>63</v>
      </c>
      <c r="I144" s="89">
        <v>2700</v>
      </c>
      <c r="J144" s="86"/>
    </row>
    <row r="145" spans="3:10" hidden="1">
      <c r="C145" s="334">
        <v>58</v>
      </c>
      <c r="D145" s="335"/>
      <c r="E145" s="435"/>
      <c r="H145" s="86">
        <v>64</v>
      </c>
      <c r="I145" s="89">
        <v>2700</v>
      </c>
      <c r="J145" s="86"/>
    </row>
    <row r="146" spans="3:10" hidden="1">
      <c r="C146" s="334">
        <v>59</v>
      </c>
      <c r="D146" s="335"/>
      <c r="E146" s="435"/>
      <c r="H146" s="86">
        <v>65</v>
      </c>
      <c r="I146" s="89">
        <v>2700</v>
      </c>
      <c r="J146" s="86"/>
    </row>
    <row r="147" spans="3:10" hidden="1">
      <c r="C147" s="334">
        <v>60</v>
      </c>
      <c r="D147" s="335"/>
      <c r="E147" s="435"/>
      <c r="H147" s="86">
        <v>66</v>
      </c>
      <c r="I147" s="89">
        <v>2700</v>
      </c>
      <c r="J147" s="86"/>
    </row>
    <row r="148" spans="3:10" hidden="1">
      <c r="C148" s="334">
        <v>61</v>
      </c>
      <c r="D148" s="335"/>
      <c r="E148" s="435"/>
      <c r="H148" s="86">
        <v>67</v>
      </c>
      <c r="I148" s="89">
        <v>2700</v>
      </c>
      <c r="J148" s="86"/>
    </row>
    <row r="149" spans="3:10" hidden="1">
      <c r="C149" s="334">
        <v>62</v>
      </c>
      <c r="D149" s="335"/>
      <c r="E149" s="435"/>
      <c r="H149" s="86">
        <v>68</v>
      </c>
      <c r="I149" s="89">
        <v>2700</v>
      </c>
      <c r="J149" s="86"/>
    </row>
    <row r="150" spans="3:10" hidden="1">
      <c r="C150" s="334">
        <v>63</v>
      </c>
      <c r="D150" s="335"/>
      <c r="E150" s="435"/>
      <c r="H150" s="86">
        <v>69</v>
      </c>
      <c r="I150" s="89">
        <v>2700</v>
      </c>
      <c r="J150" s="86"/>
    </row>
    <row r="151" spans="3:10" hidden="1">
      <c r="C151" s="334">
        <v>64</v>
      </c>
      <c r="D151" s="335"/>
      <c r="E151" s="435"/>
      <c r="H151" s="86">
        <v>70</v>
      </c>
      <c r="I151" s="89">
        <v>2700</v>
      </c>
      <c r="J151" s="86"/>
    </row>
    <row r="152" spans="3:10" hidden="1">
      <c r="C152" s="334">
        <v>65</v>
      </c>
      <c r="D152" s="335"/>
      <c r="E152" s="435"/>
      <c r="H152" s="86">
        <v>71</v>
      </c>
      <c r="I152" s="89">
        <v>3400</v>
      </c>
      <c r="J152" s="86"/>
    </row>
    <row r="153" spans="3:10" hidden="1">
      <c r="C153" s="334">
        <v>66</v>
      </c>
      <c r="D153" s="335"/>
      <c r="E153" s="435"/>
      <c r="H153" s="86">
        <v>72</v>
      </c>
      <c r="I153" s="89">
        <v>3400</v>
      </c>
      <c r="J153" s="86"/>
    </row>
    <row r="154" spans="3:10" hidden="1">
      <c r="C154" s="334">
        <v>67</v>
      </c>
      <c r="D154" s="335"/>
      <c r="E154" s="435"/>
      <c r="H154" s="86">
        <v>73</v>
      </c>
      <c r="I154" s="89">
        <v>3400</v>
      </c>
      <c r="J154" s="86"/>
    </row>
    <row r="155" spans="3:10" hidden="1">
      <c r="C155" s="334">
        <v>68</v>
      </c>
      <c r="D155" s="335"/>
      <c r="E155" s="435"/>
      <c r="H155" s="86">
        <v>74</v>
      </c>
      <c r="I155" s="89">
        <v>3400</v>
      </c>
      <c r="J155" s="86"/>
    </row>
    <row r="156" spans="3:10" hidden="1">
      <c r="C156" s="334">
        <v>69</v>
      </c>
      <c r="D156" s="335"/>
      <c r="E156" s="435"/>
      <c r="H156" s="86">
        <v>75</v>
      </c>
      <c r="I156" s="89">
        <v>3400</v>
      </c>
      <c r="J156" s="86"/>
    </row>
    <row r="157" spans="3:10" hidden="1">
      <c r="C157" s="334">
        <v>70</v>
      </c>
      <c r="D157" s="335"/>
      <c r="E157" s="435"/>
      <c r="H157" s="86">
        <v>76</v>
      </c>
      <c r="I157" s="89"/>
      <c r="J157" s="86"/>
    </row>
    <row r="158" spans="3:10" hidden="1">
      <c r="C158" s="334">
        <v>71</v>
      </c>
      <c r="D158" s="335"/>
      <c r="E158" s="435"/>
      <c r="H158" s="86">
        <v>77</v>
      </c>
      <c r="I158" s="89"/>
      <c r="J158" s="86"/>
    </row>
    <row r="159" spans="3:10" hidden="1">
      <c r="C159" s="334">
        <v>72</v>
      </c>
      <c r="D159" s="335"/>
      <c r="E159" s="435"/>
      <c r="H159" s="86">
        <v>78</v>
      </c>
      <c r="I159" s="89"/>
      <c r="J159" s="86"/>
    </row>
    <row r="160" spans="3:10" hidden="1">
      <c r="C160" s="334">
        <v>73</v>
      </c>
      <c r="D160" s="335"/>
      <c r="E160" s="435"/>
      <c r="H160" s="86">
        <v>79</v>
      </c>
      <c r="I160" s="89"/>
      <c r="J160" s="86"/>
    </row>
    <row r="161" spans="3:10" hidden="1">
      <c r="C161" s="334">
        <v>74</v>
      </c>
      <c r="D161" s="335"/>
      <c r="E161" s="435"/>
      <c r="H161" s="86">
        <v>80</v>
      </c>
      <c r="I161" s="89"/>
      <c r="J161" s="86"/>
    </row>
    <row r="162" spans="3:10" hidden="1">
      <c r="C162" s="334">
        <v>75</v>
      </c>
      <c r="D162" s="335"/>
      <c r="E162" s="435"/>
    </row>
    <row r="163" spans="3:10" hidden="1">
      <c r="C163" s="334">
        <v>76</v>
      </c>
      <c r="D163" s="335"/>
      <c r="E163" s="435"/>
    </row>
    <row r="164" spans="3:10" hidden="1">
      <c r="C164" s="334">
        <v>77</v>
      </c>
      <c r="D164" s="335"/>
      <c r="E164" s="435"/>
    </row>
    <row r="165" spans="3:10" hidden="1">
      <c r="C165" s="334">
        <v>78</v>
      </c>
      <c r="D165" s="335"/>
      <c r="E165" s="435"/>
    </row>
    <row r="166" spans="3:10" hidden="1">
      <c r="C166" s="334">
        <v>79</v>
      </c>
      <c r="D166" s="335"/>
      <c r="E166" s="435"/>
    </row>
    <row r="167" spans="3:10" hidden="1">
      <c r="C167" s="334">
        <v>80</v>
      </c>
      <c r="D167" s="335"/>
      <c r="E167" s="435"/>
    </row>
    <row r="168" spans="3:10" hidden="1">
      <c r="C168" s="334">
        <v>81</v>
      </c>
      <c r="D168" s="335"/>
      <c r="E168" s="435"/>
    </row>
    <row r="169" spans="3:10" hidden="1">
      <c r="C169" s="334">
        <v>82</v>
      </c>
      <c r="D169" s="335"/>
      <c r="E169" s="435"/>
    </row>
    <row r="170" spans="3:10" hidden="1">
      <c r="C170" s="334">
        <v>83</v>
      </c>
      <c r="D170" s="335"/>
      <c r="E170" s="435"/>
    </row>
    <row r="171" spans="3:10" hidden="1">
      <c r="C171" s="334">
        <v>84</v>
      </c>
      <c r="D171" s="335"/>
      <c r="E171" s="435"/>
    </row>
    <row r="172" spans="3:10" hidden="1">
      <c r="C172" s="334">
        <v>85</v>
      </c>
      <c r="D172" s="335"/>
      <c r="E172" s="435"/>
    </row>
    <row r="173" spans="3:10" hidden="1">
      <c r="C173" s="334">
        <v>86</v>
      </c>
      <c r="D173" s="335"/>
      <c r="E173" s="435"/>
    </row>
    <row r="174" spans="3:10" hidden="1">
      <c r="C174" s="334">
        <v>87</v>
      </c>
      <c r="D174" s="335"/>
      <c r="E174" s="435"/>
    </row>
    <row r="175" spans="3:10" hidden="1">
      <c r="C175" s="334">
        <v>88</v>
      </c>
      <c r="D175" s="335"/>
      <c r="E175" s="435"/>
    </row>
    <row r="176" spans="3:10" hidden="1">
      <c r="C176" s="334">
        <v>89</v>
      </c>
      <c r="D176" s="335"/>
      <c r="E176" s="435"/>
    </row>
    <row r="177" spans="3:5" hidden="1">
      <c r="C177" s="334">
        <v>90</v>
      </c>
      <c r="D177" s="335"/>
      <c r="E177" s="435"/>
    </row>
    <row r="178" spans="3:5" hidden="1">
      <c r="C178" s="334">
        <v>91</v>
      </c>
      <c r="D178" s="335"/>
      <c r="E178" s="435"/>
    </row>
    <row r="179" spans="3:5" hidden="1">
      <c r="C179" s="334">
        <v>92</v>
      </c>
      <c r="D179" s="335"/>
      <c r="E179" s="435"/>
    </row>
    <row r="180" spans="3:5" hidden="1">
      <c r="C180" s="334">
        <v>93</v>
      </c>
      <c r="D180" s="335"/>
      <c r="E180" s="435"/>
    </row>
    <row r="181" spans="3:5" hidden="1">
      <c r="C181" s="334">
        <v>94</v>
      </c>
      <c r="D181" s="335"/>
      <c r="E181" s="435"/>
    </row>
    <row r="182" spans="3:5" hidden="1">
      <c r="C182" s="334">
        <v>95</v>
      </c>
      <c r="D182" s="335"/>
      <c r="E182" s="435"/>
    </row>
    <row r="183" spans="3:5" hidden="1">
      <c r="C183" s="334">
        <v>96</v>
      </c>
      <c r="D183" s="335"/>
      <c r="E183" s="435"/>
    </row>
    <row r="184" spans="3:5" hidden="1">
      <c r="C184" s="334">
        <v>97</v>
      </c>
      <c r="D184" s="335"/>
      <c r="E184" s="435"/>
    </row>
    <row r="185" spans="3:5" hidden="1">
      <c r="C185" s="334">
        <v>98</v>
      </c>
      <c r="D185" s="335"/>
      <c r="E185" s="435"/>
    </row>
    <row r="186" spans="3:5" hidden="1">
      <c r="C186" s="334">
        <v>99</v>
      </c>
      <c r="D186" s="335"/>
      <c r="E186" s="435"/>
    </row>
    <row r="187" spans="3:5" hidden="1">
      <c r="C187" s="334">
        <v>100</v>
      </c>
      <c r="D187" s="335"/>
      <c r="E187" s="435"/>
    </row>
    <row r="188" spans="3:5" hidden="1">
      <c r="C188" s="334">
        <v>101</v>
      </c>
      <c r="D188" s="335"/>
      <c r="E188" s="435"/>
    </row>
    <row r="189" spans="3:5" hidden="1">
      <c r="C189" s="334">
        <v>102</v>
      </c>
      <c r="D189" s="335"/>
      <c r="E189" s="435"/>
    </row>
    <row r="190" spans="3:5" hidden="1">
      <c r="C190" s="334">
        <v>103</v>
      </c>
      <c r="D190" s="335"/>
      <c r="E190" s="435"/>
    </row>
    <row r="191" spans="3:5" hidden="1">
      <c r="C191" s="334">
        <v>104</v>
      </c>
      <c r="D191" s="335"/>
      <c r="E191" s="435"/>
    </row>
    <row r="192" spans="3:5" hidden="1">
      <c r="C192" s="334">
        <v>105</v>
      </c>
      <c r="D192" s="335"/>
      <c r="E192" s="435"/>
    </row>
    <row r="193" spans="3:5" hidden="1">
      <c r="C193" s="334">
        <v>106</v>
      </c>
      <c r="D193" s="335"/>
      <c r="E193" s="435"/>
    </row>
    <row r="194" spans="3:5" hidden="1">
      <c r="C194" s="334">
        <v>107</v>
      </c>
      <c r="D194" s="335"/>
      <c r="E194" s="435"/>
    </row>
    <row r="195" spans="3:5" hidden="1">
      <c r="C195" s="334">
        <v>108</v>
      </c>
      <c r="D195" s="335"/>
      <c r="E195" s="435"/>
    </row>
    <row r="196" spans="3:5" hidden="1">
      <c r="C196" s="334">
        <v>109</v>
      </c>
      <c r="D196" s="335"/>
      <c r="E196" s="435"/>
    </row>
    <row r="197" spans="3:5" hidden="1">
      <c r="C197" s="334">
        <v>110</v>
      </c>
      <c r="D197" s="335"/>
      <c r="E197" s="435"/>
    </row>
    <row r="198" spans="3:5" hidden="1">
      <c r="C198" s="334">
        <v>111</v>
      </c>
      <c r="D198" s="335"/>
      <c r="E198" s="435"/>
    </row>
    <row r="199" spans="3:5" hidden="1">
      <c r="C199" s="334" t="s">
        <v>942</v>
      </c>
      <c r="D199" s="335" t="s">
        <v>942</v>
      </c>
    </row>
    <row r="200" spans="3:5" hidden="1">
      <c r="C200" s="334" t="s">
        <v>942</v>
      </c>
      <c r="D200" s="335" t="s">
        <v>942</v>
      </c>
    </row>
    <row r="201" spans="3:5" hidden="1">
      <c r="C201" s="334" t="s">
        <v>942</v>
      </c>
      <c r="D201" s="335" t="s">
        <v>942</v>
      </c>
    </row>
    <row r="202" spans="3:5" hidden="1">
      <c r="C202" s="334" t="s">
        <v>942</v>
      </c>
      <c r="D202" s="335" t="s">
        <v>942</v>
      </c>
    </row>
    <row r="203" spans="3:5" hidden="1">
      <c r="C203" s="334" t="s">
        <v>942</v>
      </c>
      <c r="D203" s="335" t="s">
        <v>942</v>
      </c>
    </row>
    <row r="204" spans="3:5" hidden="1">
      <c r="C204" s="334" t="s">
        <v>942</v>
      </c>
      <c r="D204" s="335" t="s">
        <v>942</v>
      </c>
    </row>
    <row r="205" spans="3:5" hidden="1">
      <c r="C205" s="334" t="s">
        <v>942</v>
      </c>
      <c r="D205" s="335" t="s">
        <v>942</v>
      </c>
    </row>
    <row r="206" spans="3:5" hidden="1">
      <c r="C206" s="334" t="s">
        <v>942</v>
      </c>
      <c r="D206" s="335" t="s">
        <v>942</v>
      </c>
    </row>
    <row r="207" spans="3:5" hidden="1">
      <c r="C207" s="334" t="s">
        <v>942</v>
      </c>
      <c r="D207" s="335" t="s">
        <v>942</v>
      </c>
    </row>
  </sheetData>
  <sheetProtection password="F4D4" sheet="1" objects="1" scenarios="1"/>
  <phoneticPr fontId="4" type="noConversion"/>
  <conditionalFormatting sqref="O10:O11">
    <cfRule type="expression" dxfId="61" priority="1" stopIfTrue="1">
      <formula>$A$50=1</formula>
    </cfRule>
  </conditionalFormatting>
  <conditionalFormatting sqref="O6 O2:O3 O12:O13">
    <cfRule type="expression" dxfId="60" priority="2" stopIfTrue="1">
      <formula>$A$46=1</formula>
    </cfRule>
  </conditionalFormatting>
  <dataValidations count="10">
    <dataValidation type="list" allowBlank="1" showInputMessage="1" showErrorMessage="1" prompt="1.足歲_x000a_2.保險年齡" sqref="E16">
      <formula1>"1,2"</formula1>
    </dataValidation>
    <dataValidation allowBlank="1" showInputMessage="1" showErrorMessage="1" prompt="生日-月" sqref="B3"/>
    <dataValidation allowBlank="1" showInputMessage="1" showErrorMessage="1" prompt="生日月份最終日" sqref="E3"/>
    <dataValidation allowBlank="1" showInputMessage="1" showErrorMessage="1" prompt="月驗證" sqref="E4"/>
    <dataValidation allowBlank="1" showInputMessage="1" showErrorMessage="1" prompt="日驗證" sqref="E5"/>
    <dataValidation allowBlank="1" showInputMessage="1" showErrorMessage="1" prompt="1.男性 2.女性" sqref="C18"/>
    <dataValidation allowBlank="1" showInputMessage="1" showErrorMessage="1" prompt="台幣小數點下四捨五入，外幣小數點下1位四捨五入" sqref="C31"/>
    <dataValidation allowBlank="1" showInputMessage="1" showErrorMessage="1" prompt="台幣小數點下四捨五入，外幣小數點下捨去" sqref="C35"/>
    <dataValidation allowBlank="1" showInputMessage="1" showErrorMessage="1" prompt="0-不遮_x000a_1-遮" sqref="E72"/>
    <dataValidation type="list" allowBlank="1" showInputMessage="1" showErrorMessage="1" sqref="C69">
      <formula1>"業務、服展、北富銀,保經代,業務,業務、服展,北富銀,整銷,多元,錠嵂保經"</formula1>
    </dataValidation>
  </dataValidations>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T113"/>
  <sheetViews>
    <sheetView showGridLines="0" showRowColHeaders="0" topLeftCell="A15" workbookViewId="0">
      <selection activeCell="J39" sqref="J39:L39"/>
    </sheetView>
  </sheetViews>
  <sheetFormatPr defaultColWidth="0" defaultRowHeight="14.25" zeroHeight="1"/>
  <cols>
    <col min="1" max="1" width="2.33203125" customWidth="1"/>
    <col min="2" max="2" width="6.83203125" customWidth="1"/>
    <col min="3" max="3" width="10.33203125" customWidth="1"/>
    <col min="4" max="4" width="20" customWidth="1"/>
    <col min="5" max="11" width="5.83203125" customWidth="1"/>
    <col min="12" max="12" width="6.83203125" customWidth="1"/>
    <col min="13" max="18" width="13.83203125" customWidth="1"/>
    <col min="19" max="19" width="3.1640625" customWidth="1"/>
    <col min="20" max="20" width="2.33203125" customWidth="1"/>
  </cols>
  <sheetData>
    <row r="1" spans="1:20" s="6" customFormat="1" ht="7.5" customHeight="1">
      <c r="A1" s="2"/>
      <c r="B1" s="2"/>
      <c r="C1" s="2"/>
      <c r="D1" s="2"/>
      <c r="E1" s="2"/>
      <c r="F1" s="2"/>
      <c r="G1" s="2"/>
      <c r="H1" s="2"/>
      <c r="I1" s="2"/>
      <c r="J1" s="2"/>
      <c r="K1" s="2"/>
      <c r="L1" s="2"/>
      <c r="M1" s="2"/>
      <c r="N1" s="3"/>
      <c r="O1" s="3"/>
      <c r="P1" s="3"/>
      <c r="Q1" s="3"/>
      <c r="R1" s="3"/>
      <c r="S1" s="3"/>
      <c r="T1" s="3"/>
    </row>
    <row r="2" spans="1:20" s="6" customFormat="1" ht="32.25">
      <c r="A2" s="4" t="str">
        <f ca="1">OP!$D$53</f>
        <v/>
      </c>
      <c r="B2" s="1101" t="str">
        <f>OP!$C$23&amp;"專案試算表"</f>
        <v>富邦人壽好吉利利率變動型增額終身壽險專案試算表</v>
      </c>
      <c r="C2" s="1102"/>
      <c r="D2" s="1102"/>
      <c r="E2" s="1102"/>
      <c r="F2" s="1102"/>
      <c r="G2" s="1102"/>
      <c r="H2" s="1102"/>
      <c r="I2" s="1102"/>
      <c r="J2" s="1102"/>
      <c r="K2" s="1102"/>
      <c r="L2" s="1102"/>
      <c r="M2" s="1102"/>
      <c r="N2" s="1102"/>
      <c r="O2" s="1102"/>
      <c r="P2" s="1102"/>
      <c r="Q2" s="1102"/>
      <c r="R2" s="1102"/>
      <c r="S2" s="1102"/>
      <c r="T2" s="3"/>
    </row>
    <row r="3" spans="1:20" s="6" customFormat="1" ht="17.25" customHeight="1">
      <c r="A3" s="2"/>
      <c r="B3" s="363"/>
      <c r="C3" s="364" t="s">
        <v>331</v>
      </c>
      <c r="D3" s="365"/>
      <c r="E3" s="365"/>
      <c r="F3" s="365"/>
      <c r="G3" s="365"/>
      <c r="H3" s="365"/>
      <c r="I3" s="365"/>
      <c r="J3" s="365"/>
      <c r="K3" s="365"/>
      <c r="L3" s="365"/>
      <c r="M3" s="365"/>
      <c r="N3" s="365"/>
      <c r="O3" s="365"/>
      <c r="P3" s="365"/>
      <c r="Q3" s="365"/>
      <c r="R3" s="366"/>
      <c r="S3" s="367"/>
      <c r="T3" s="3"/>
    </row>
    <row r="4" spans="1:20" s="6" customFormat="1" ht="17.25" customHeight="1">
      <c r="A4" s="4"/>
      <c r="B4" s="368"/>
      <c r="C4" s="69"/>
      <c r="D4" s="84" t="s">
        <v>60</v>
      </c>
      <c r="E4" s="1091" t="s">
        <v>1423</v>
      </c>
      <c r="F4" s="1103"/>
      <c r="G4" s="1103"/>
      <c r="H4" s="1104"/>
      <c r="I4" s="39"/>
      <c r="J4" s="84" t="s">
        <v>61</v>
      </c>
      <c r="K4" s="1091" t="s">
        <v>1424</v>
      </c>
      <c r="L4" s="1104"/>
      <c r="M4" s="13"/>
      <c r="N4" s="83" t="s">
        <v>78</v>
      </c>
      <c r="O4" s="1105" t="str">
        <f ca="1">OP!$C$16&amp;"歲  ~  "&amp;OP!$C$15&amp;"歲 "&amp;"("&amp;IF(OP!$C$9=1,OP!$C$7,OP!F4&amp;" / "&amp;OP!F5&amp;" / "&amp;OP!F6)&amp;")"</f>
        <v>0歲  ~  75歲 (301202)</v>
      </c>
      <c r="P4" s="1106"/>
      <c r="Q4" s="66"/>
      <c r="R4" s="47"/>
      <c r="S4" s="369" t="str">
        <f ca="1">IF(OR(K4="",E6="",E16="",Q16="",Q18="",D41="",J39="",OR(J39&lt;J40,J39&gt;K40),A2=1),1,"")</f>
        <v/>
      </c>
      <c r="T4" s="2"/>
    </row>
    <row r="5" spans="1:20" s="6" customFormat="1" ht="6" customHeight="1">
      <c r="A5" s="4"/>
      <c r="B5" s="370"/>
      <c r="C5" s="69"/>
      <c r="D5" s="59"/>
      <c r="E5" s="47"/>
      <c r="F5" s="47"/>
      <c r="G5" s="47"/>
      <c r="H5" s="47"/>
      <c r="I5" s="47"/>
      <c r="J5" s="47"/>
      <c r="K5" s="47"/>
      <c r="L5" s="47"/>
      <c r="M5" s="47"/>
      <c r="N5" s="47"/>
      <c r="O5" s="47"/>
      <c r="P5" s="47"/>
      <c r="Q5" s="47"/>
      <c r="R5" s="47"/>
      <c r="S5" s="371"/>
      <c r="T5" s="2"/>
    </row>
    <row r="6" spans="1:20" s="6" customFormat="1" ht="17.25" hidden="1" customHeight="1" thickBot="1">
      <c r="A6" s="4"/>
      <c r="B6" s="370"/>
      <c r="C6" s="69"/>
      <c r="D6" s="84" t="s">
        <v>71</v>
      </c>
      <c r="E6" s="1111">
        <v>72</v>
      </c>
      <c r="F6" s="1112"/>
      <c r="G6" s="49" t="s">
        <v>72</v>
      </c>
      <c r="H6" s="230">
        <v>9</v>
      </c>
      <c r="I6" s="282" t="s">
        <v>73</v>
      </c>
      <c r="J6" s="231">
        <v>29</v>
      </c>
      <c r="K6" s="282" t="s">
        <v>74</v>
      </c>
      <c r="L6" s="155"/>
      <c r="M6" s="154"/>
      <c r="N6" s="38" t="s">
        <v>62</v>
      </c>
      <c r="O6" s="82">
        <f ca="1">IF(OR($E$6=""),"",OP!$D$5)</f>
        <v>33</v>
      </c>
      <c r="P6" s="40"/>
      <c r="Q6" s="38" t="s">
        <v>63</v>
      </c>
      <c r="R6" s="68">
        <f ca="1">IF(OR($E$6=""),"",OP!$D$6)</f>
        <v>33</v>
      </c>
      <c r="S6" s="371"/>
      <c r="T6" s="2"/>
    </row>
    <row r="7" spans="1:20" s="6" customFormat="1" ht="17.25" customHeight="1">
      <c r="A7" s="4" t="str">
        <f>OP!$E$6</f>
        <v/>
      </c>
      <c r="B7" s="370"/>
      <c r="C7" s="69"/>
      <c r="D7" s="84" t="s">
        <v>71</v>
      </c>
      <c r="E7" s="1113">
        <v>730322</v>
      </c>
      <c r="F7" s="1103"/>
      <c r="G7" s="1103"/>
      <c r="H7" s="1103"/>
      <c r="I7" s="1104"/>
      <c r="J7" s="48"/>
      <c r="K7" s="282"/>
      <c r="L7" s="155"/>
      <c r="M7" s="154"/>
      <c r="N7" s="84" t="s">
        <v>62</v>
      </c>
      <c r="O7" s="82">
        <f ca="1">IF(OR($E$6=""),"",OP!$D$5)</f>
        <v>33</v>
      </c>
      <c r="P7" s="40"/>
      <c r="Q7" s="84" t="s">
        <v>63</v>
      </c>
      <c r="R7" s="68">
        <f ca="1">IF(OR($E$6=""),"",OP!$D$6)</f>
        <v>33</v>
      </c>
      <c r="S7" s="371"/>
      <c r="T7" s="2"/>
    </row>
    <row r="8" spans="1:20" s="6" customFormat="1" ht="20.25">
      <c r="A8" s="4"/>
      <c r="B8" s="372"/>
      <c r="C8" s="373"/>
      <c r="D8" s="374"/>
      <c r="E8" s="1114" t="str">
        <f ca="1">IF(OP!$E$6=1,"生日日期錯誤",IF($A$2=1,"部分內容空白或錯誤",OP!$D$17))</f>
        <v/>
      </c>
      <c r="F8" s="1114"/>
      <c r="G8" s="1114"/>
      <c r="H8" s="1114"/>
      <c r="I8" s="1114"/>
      <c r="J8" s="375"/>
      <c r="K8" s="375"/>
      <c r="L8" s="375"/>
      <c r="M8" s="375"/>
      <c r="N8" s="374"/>
      <c r="O8" s="376"/>
      <c r="P8" s="376"/>
      <c r="Q8" s="374"/>
      <c r="R8" s="377"/>
      <c r="S8" s="378"/>
      <c r="T8" s="2"/>
    </row>
    <row r="9" spans="1:20" s="6" customFormat="1" ht="17.25" hidden="1" thickBot="1">
      <c r="A9" s="4"/>
      <c r="B9" s="283"/>
      <c r="C9" s="158"/>
      <c r="D9" s="159"/>
      <c r="E9" s="4">
        <f ca="1">IF(OP!$C$9=1,OP!$C$7,OP!$F$4)</f>
        <v>301202</v>
      </c>
      <c r="F9" s="4">
        <f ca="1">IF(OP!$C$9=1,OP!$E$7,OP!$F$3)</f>
        <v>1060602</v>
      </c>
      <c r="G9" s="4"/>
      <c r="H9" s="4"/>
      <c r="I9" s="160"/>
      <c r="J9" s="160">
        <f>OP!E3</f>
        <v>31</v>
      </c>
      <c r="K9" s="160"/>
      <c r="L9" s="48"/>
      <c r="M9" s="48"/>
      <c r="N9" s="62"/>
      <c r="O9" s="37"/>
      <c r="P9" s="48"/>
      <c r="Q9" s="161"/>
      <c r="R9" s="48"/>
      <c r="S9" s="284"/>
      <c r="T9" s="2"/>
    </row>
    <row r="10" spans="1:20" s="6" customFormat="1" ht="17.25" hidden="1" thickBot="1">
      <c r="A10" s="4"/>
      <c r="B10" s="285"/>
      <c r="C10" s="47"/>
      <c r="D10" s="47"/>
      <c r="E10" s="47"/>
      <c r="F10" s="47"/>
      <c r="G10" s="47"/>
      <c r="H10" s="47"/>
      <c r="I10" s="47"/>
      <c r="J10" s="47"/>
      <c r="K10" s="47"/>
      <c r="L10" s="47"/>
      <c r="M10" s="47"/>
      <c r="N10" s="47"/>
      <c r="O10" s="47"/>
      <c r="P10" s="47"/>
      <c r="Q10" s="47"/>
      <c r="R10" s="47"/>
      <c r="S10" s="281"/>
      <c r="T10" s="2"/>
    </row>
    <row r="11" spans="1:20" s="6" customFormat="1" ht="21.75" hidden="1" thickBot="1">
      <c r="A11" s="4"/>
      <c r="B11" s="1115" t="s">
        <v>89</v>
      </c>
      <c r="C11" s="1116"/>
      <c r="D11" s="39" t="str">
        <f>IF(O11="本人","同被保人","姓名：")</f>
        <v>同被保人</v>
      </c>
      <c r="E11" s="1117" t="s">
        <v>90</v>
      </c>
      <c r="F11" s="1118"/>
      <c r="G11" s="1118"/>
      <c r="H11" s="1110"/>
      <c r="I11" s="47"/>
      <c r="J11" s="39"/>
      <c r="K11" s="1107"/>
      <c r="L11" s="1108"/>
      <c r="M11" s="13"/>
      <c r="N11" s="58" t="s">
        <v>64</v>
      </c>
      <c r="O11" s="1109" t="s">
        <v>70</v>
      </c>
      <c r="P11" s="1110"/>
      <c r="Q11" s="1079"/>
      <c r="R11" s="1079"/>
      <c r="S11" s="281"/>
      <c r="T11" s="2"/>
    </row>
    <row r="12" spans="1:20" s="6" customFormat="1" ht="21" hidden="1" thickBot="1">
      <c r="A12" s="4"/>
      <c r="B12" s="280"/>
      <c r="C12" s="69"/>
      <c r="D12" s="47"/>
      <c r="E12" s="47"/>
      <c r="F12" s="47"/>
      <c r="G12" s="47"/>
      <c r="H12" s="47"/>
      <c r="I12" s="47"/>
      <c r="J12" s="47"/>
      <c r="K12" s="47"/>
      <c r="L12" s="47"/>
      <c r="M12" s="47"/>
      <c r="N12" s="47"/>
      <c r="O12" s="47"/>
      <c r="P12" s="47"/>
      <c r="Q12" s="47"/>
      <c r="R12" s="47"/>
      <c r="S12" s="281"/>
      <c r="T12" s="2"/>
    </row>
    <row r="13" spans="1:20" s="6" customFormat="1" ht="21" hidden="1" thickBot="1">
      <c r="A13" s="4"/>
      <c r="B13" s="280"/>
      <c r="C13" s="69"/>
      <c r="D13" s="39"/>
      <c r="E13" s="1080"/>
      <c r="F13" s="1080"/>
      <c r="G13" s="1080"/>
      <c r="H13" s="1080"/>
      <c r="I13" s="1081"/>
      <c r="J13" s="1081"/>
      <c r="K13" s="1081"/>
      <c r="L13" s="1081"/>
      <c r="M13" s="50"/>
      <c r="N13" s="39"/>
      <c r="O13" s="40"/>
      <c r="P13" s="40"/>
      <c r="Q13" s="37" t="s">
        <v>65</v>
      </c>
      <c r="R13" s="39"/>
      <c r="S13" s="281"/>
      <c r="T13" s="2"/>
    </row>
    <row r="14" spans="1:20" s="6" customFormat="1" ht="17.25" hidden="1" thickBot="1">
      <c r="A14" s="4"/>
      <c r="B14" s="285"/>
      <c r="C14" s="47"/>
      <c r="D14" s="47"/>
      <c r="E14" s="47"/>
      <c r="F14" s="47"/>
      <c r="G14" s="47"/>
      <c r="H14" s="47"/>
      <c r="I14" s="47"/>
      <c r="J14" s="47"/>
      <c r="K14" s="47"/>
      <c r="L14" s="47"/>
      <c r="M14" s="47"/>
      <c r="N14" s="47"/>
      <c r="O14" s="47"/>
      <c r="P14" s="47"/>
      <c r="Q14" s="47"/>
      <c r="R14" s="47"/>
      <c r="S14" s="281"/>
      <c r="T14" s="2"/>
    </row>
    <row r="15" spans="1:20" s="6" customFormat="1" ht="6" customHeight="1">
      <c r="A15" s="4"/>
      <c r="B15" s="379"/>
      <c r="C15" s="380"/>
      <c r="D15" s="380"/>
      <c r="E15" s="380"/>
      <c r="F15" s="380"/>
      <c r="G15" s="380"/>
      <c r="H15" s="380"/>
      <c r="I15" s="380"/>
      <c r="J15" s="380"/>
      <c r="K15" s="380"/>
      <c r="L15" s="380"/>
      <c r="M15" s="381"/>
      <c r="N15" s="380"/>
      <c r="O15" s="380"/>
      <c r="P15" s="380"/>
      <c r="Q15" s="380"/>
      <c r="R15" s="380"/>
      <c r="S15" s="382"/>
      <c r="T15" s="2"/>
    </row>
    <row r="16" spans="1:20" s="6" customFormat="1" ht="17.25" customHeight="1">
      <c r="A16" s="4"/>
      <c r="B16" s="1087" t="s">
        <v>87</v>
      </c>
      <c r="C16" s="1076"/>
      <c r="D16" s="1076"/>
      <c r="E16" s="1088" t="s">
        <v>944</v>
      </c>
      <c r="F16" s="1089"/>
      <c r="G16" s="1090"/>
      <c r="H16" s="1081" t="str">
        <f>OP!D49</f>
        <v/>
      </c>
      <c r="I16" s="1081"/>
      <c r="J16" s="1081"/>
      <c r="K16" s="1081"/>
      <c r="L16" s="1081"/>
      <c r="M16" s="1081"/>
      <c r="N16" s="62"/>
      <c r="O16" s="84" t="s">
        <v>88</v>
      </c>
      <c r="P16" s="331" t="s">
        <v>514</v>
      </c>
      <c r="Q16" s="1091" t="s">
        <v>1419</v>
      </c>
      <c r="R16" s="1092"/>
      <c r="S16" s="383"/>
      <c r="T16" s="2"/>
    </row>
    <row r="17" spans="1:20" s="6" customFormat="1" ht="6" customHeight="1">
      <c r="A17" s="4"/>
      <c r="B17" s="384"/>
      <c r="C17" s="39"/>
      <c r="D17" s="39"/>
      <c r="E17" s="38"/>
      <c r="F17" s="38"/>
      <c r="G17" s="38"/>
      <c r="H17" s="37"/>
      <c r="I17" s="37"/>
      <c r="J17" s="37"/>
      <c r="K17" s="37"/>
      <c r="L17" s="37"/>
      <c r="M17" s="37"/>
      <c r="N17" s="62"/>
      <c r="O17" s="38"/>
      <c r="P17" s="38"/>
      <c r="Q17" s="65"/>
      <c r="R17" s="65"/>
      <c r="S17" s="383"/>
      <c r="T17" s="2"/>
    </row>
    <row r="18" spans="1:20" s="6" customFormat="1" ht="17.25" customHeight="1">
      <c r="A18" s="4"/>
      <c r="B18" s="385"/>
      <c r="C18" s="158"/>
      <c r="D18" s="232" t="s">
        <v>1310</v>
      </c>
      <c r="E18" s="1084" t="s">
        <v>1422</v>
      </c>
      <c r="F18" s="1085"/>
      <c r="G18" s="1086"/>
      <c r="H18" s="362" t="s">
        <v>945</v>
      </c>
      <c r="I18" s="286"/>
      <c r="J18" s="286"/>
      <c r="K18" s="286"/>
      <c r="L18" s="286"/>
      <c r="M18" s="286"/>
      <c r="N18" s="286"/>
      <c r="O18" s="289"/>
      <c r="P18" s="332" t="s">
        <v>513</v>
      </c>
      <c r="Q18" s="1082" t="s">
        <v>1419</v>
      </c>
      <c r="R18" s="1083"/>
      <c r="S18" s="383"/>
      <c r="T18" s="2"/>
    </row>
    <row r="19" spans="1:20" s="6" customFormat="1" ht="6" customHeight="1">
      <c r="A19" s="4"/>
      <c r="B19" s="386"/>
      <c r="C19" s="39"/>
      <c r="D19" s="39"/>
      <c r="E19" s="279">
        <f ca="1">RDATA!$I$27</f>
        <v>2.69E-2</v>
      </c>
      <c r="F19" s="278"/>
      <c r="G19" s="278"/>
      <c r="H19" s="278"/>
      <c r="I19" s="158"/>
      <c r="J19" s="158"/>
      <c r="K19" s="158"/>
      <c r="L19" s="158"/>
      <c r="M19" s="158"/>
      <c r="N19" s="158"/>
      <c r="O19" s="158"/>
      <c r="P19" s="158"/>
      <c r="Q19" s="158"/>
      <c r="R19" s="158"/>
      <c r="S19" s="387"/>
      <c r="T19" s="2"/>
    </row>
    <row r="20" spans="1:20" s="6" customFormat="1" ht="17.25" customHeight="1">
      <c r="A20" s="4"/>
      <c r="B20" s="386"/>
      <c r="C20" s="39"/>
      <c r="D20" s="196" t="str">
        <f ca="1">YEAR(OP!$C$3)-1911&amp;" / "&amp;IF(OP!$C$3&lt;DATE(2013,6,1),6,MONTH(OP!$C$3))&amp;" 宣告利率："</f>
        <v>106 / 6 宣告利率：</v>
      </c>
      <c r="E20" s="1093">
        <f ca="1">RDATA!$I$2</f>
        <v>2.69E-2</v>
      </c>
      <c r="F20" s="1093"/>
      <c r="G20" s="1093"/>
      <c r="H20" s="287"/>
      <c r="I20" s="287"/>
      <c r="J20" s="212"/>
      <c r="K20" s="212"/>
      <c r="L20" s="212"/>
      <c r="M20" s="204"/>
      <c r="N20" s="212"/>
      <c r="O20" s="212"/>
      <c r="P20" s="212"/>
      <c r="Q20" s="212"/>
      <c r="R20" s="320" t="str">
        <f ca="1">IF($S$4=1,"",IF(OR(OP!$C$42&gt;0,OP!$C$44&gt;0),"本保件如符合本公司繳費方式折扣條件，","")&amp;IF(AND(OP!$C$42&gt;0,OP!$C$44&gt;0),"首、續期享有1%繳費方式折扣",IF(AND(OP!$C$42=0,OP!$C$44&gt;0),"續期享有1%繳費方式折扣",IF(AND(OP!$C$42&gt;0,OP!$C$44=0),"首期享有1%繳費方式折扣",""))))</f>
        <v>本保件如符合本公司繳費方式折扣條件，首、續期享有1%繳費方式折扣</v>
      </c>
      <c r="S20" s="388"/>
      <c r="T20" s="2"/>
    </row>
    <row r="21" spans="1:20" s="6" customFormat="1" ht="17.25" customHeight="1">
      <c r="A21" s="4"/>
      <c r="B21" s="386"/>
      <c r="C21" s="1078" t="str">
        <f ca="1">IF(RDATA!$H$1="","使用本試算表請確實確認宣告利率",RDATA!$H$1)</f>
        <v>使用本試算表請確實確認宣告利率</v>
      </c>
      <c r="D21" s="1078"/>
      <c r="E21" s="1078"/>
      <c r="F21" s="1078"/>
      <c r="G21" s="1078"/>
      <c r="H21" s="1078"/>
      <c r="I21" s="1078"/>
      <c r="J21" s="1078"/>
      <c r="K21" s="1078"/>
      <c r="L21" s="1078"/>
      <c r="M21" s="1078"/>
      <c r="N21" s="1078"/>
      <c r="O21" s="1078"/>
      <c r="P21" s="1078"/>
      <c r="Q21" s="1078"/>
      <c r="R21" s="1078"/>
      <c r="S21" s="389"/>
      <c r="T21" s="2"/>
    </row>
    <row r="22" spans="1:20" s="6" customFormat="1" ht="6" customHeight="1">
      <c r="A22" s="4"/>
      <c r="B22" s="379"/>
      <c r="C22" s="768"/>
      <c r="D22" s="769"/>
      <c r="E22" s="770"/>
      <c r="F22" s="770"/>
      <c r="G22" s="770"/>
      <c r="H22" s="770"/>
      <c r="I22" s="771"/>
      <c r="J22" s="771"/>
      <c r="K22" s="771"/>
      <c r="L22" s="771"/>
      <c r="M22" s="771"/>
      <c r="N22" s="771"/>
      <c r="O22" s="771"/>
      <c r="P22" s="771"/>
      <c r="Q22" s="771"/>
      <c r="R22" s="771"/>
      <c r="S22" s="772"/>
      <c r="T22" s="2"/>
    </row>
    <row r="23" spans="1:20" s="6" customFormat="1" ht="16.5">
      <c r="A23" s="4"/>
      <c r="B23" s="386"/>
      <c r="C23" s="773"/>
      <c r="D23" s="47"/>
      <c r="E23" s="47"/>
      <c r="F23" s="58" t="s">
        <v>1165</v>
      </c>
      <c r="G23" s="47"/>
      <c r="H23" s="47"/>
      <c r="I23" s="47"/>
      <c r="J23" s="47"/>
      <c r="K23" s="52"/>
      <c r="L23" s="47"/>
      <c r="M23" s="47"/>
      <c r="N23" s="41"/>
      <c r="O23" s="41"/>
      <c r="P23" s="41"/>
      <c r="Q23" s="41"/>
      <c r="R23" s="41"/>
      <c r="S23" s="765"/>
      <c r="T23" s="2"/>
    </row>
    <row r="24" spans="1:20" s="6" customFormat="1" ht="6" customHeight="1">
      <c r="A24" s="4"/>
      <c r="B24" s="386"/>
      <c r="C24" s="47"/>
      <c r="D24" s="47"/>
      <c r="E24" s="47"/>
      <c r="F24" s="47"/>
      <c r="G24" s="47"/>
      <c r="H24" s="47"/>
      <c r="I24" s="47"/>
      <c r="J24" s="47"/>
      <c r="K24" s="52"/>
      <c r="L24" s="47"/>
      <c r="M24" s="47"/>
      <c r="N24" s="41"/>
      <c r="O24" s="41"/>
      <c r="P24" s="41"/>
      <c r="Q24" s="41"/>
      <c r="R24" s="41"/>
      <c r="S24" s="765"/>
      <c r="T24" s="2"/>
    </row>
    <row r="25" spans="1:20" s="6" customFormat="1" ht="16.5">
      <c r="A25" s="4"/>
      <c r="B25" s="386"/>
      <c r="C25" s="47"/>
      <c r="D25" s="773"/>
      <c r="E25" s="47"/>
      <c r="F25" s="58" t="s">
        <v>1166</v>
      </c>
      <c r="G25" s="1065">
        <v>0.2</v>
      </c>
      <c r="H25" s="1065"/>
      <c r="I25" s="1065"/>
      <c r="J25" s="766" t="str">
        <f>"  0% ~ 100%"&amp;"       約定分期給付換算比例："&amp;TEXT(PY!$C$4,"0%")</f>
        <v xml:space="preserve">  0% ~ 100%       約定分期給付換算比例：20%</v>
      </c>
      <c r="K25" s="52"/>
      <c r="L25" s="47"/>
      <c r="M25" s="47"/>
      <c r="N25" s="41"/>
      <c r="O25" s="41"/>
      <c r="P25" s="41"/>
      <c r="Q25" s="41"/>
      <c r="R25" s="41"/>
      <c r="S25" s="765"/>
      <c r="T25" s="2"/>
    </row>
    <row r="26" spans="1:20" s="6" customFormat="1" ht="6" customHeight="1">
      <c r="A26" s="4"/>
      <c r="B26" s="386"/>
      <c r="C26" s="47"/>
      <c r="D26" s="47"/>
      <c r="E26" s="47"/>
      <c r="F26" s="47"/>
      <c r="G26" s="47"/>
      <c r="H26" s="47"/>
      <c r="I26" s="47"/>
      <c r="J26" s="47"/>
      <c r="K26" s="52"/>
      <c r="L26" s="47"/>
      <c r="M26" s="47"/>
      <c r="N26" s="41"/>
      <c r="O26" s="41"/>
      <c r="P26" s="41"/>
      <c r="Q26" s="41"/>
      <c r="R26" s="41"/>
      <c r="S26" s="765"/>
      <c r="T26" s="2"/>
    </row>
    <row r="27" spans="1:20" s="6" customFormat="1" ht="16.5">
      <c r="A27" s="4"/>
      <c r="B27" s="386"/>
      <c r="C27" s="47"/>
      <c r="D27" s="773"/>
      <c r="E27" s="47"/>
      <c r="F27" s="58" t="str">
        <f>IF(OR($G$25&lt;=0,$G$25="",$G$25&gt;1),"","假設分期定期保險金預定利率：")</f>
        <v>假設分期定期保險金預定利率：</v>
      </c>
      <c r="G27" s="1066">
        <f ca="1">IF(OR($G$25&lt;=0,$G$25="",$G$25&gt;1),"",PY!$C$7)</f>
        <v>0.02</v>
      </c>
      <c r="H27" s="1066"/>
      <c r="I27" s="1066"/>
      <c r="J27" s="767" t="str">
        <f>IF(OR($G$25&lt;=0,$G$25="",$G$25&gt;1),"","   計算分期給付金額之利率")</f>
        <v xml:space="preserve">   計算分期給付金額之利率</v>
      </c>
      <c r="K27" s="52"/>
      <c r="L27" s="47"/>
      <c r="M27" s="47"/>
      <c r="N27" s="41"/>
      <c r="O27" s="41"/>
      <c r="P27" s="41"/>
      <c r="Q27" s="41"/>
      <c r="R27" s="41"/>
      <c r="S27" s="765"/>
      <c r="T27" s="2"/>
    </row>
    <row r="28" spans="1:20" s="6" customFormat="1" ht="6" customHeight="1">
      <c r="A28" s="4"/>
      <c r="B28" s="386"/>
      <c r="C28" s="47"/>
      <c r="D28" s="47"/>
      <c r="E28" s="47"/>
      <c r="F28" s="47"/>
      <c r="G28" s="47"/>
      <c r="H28" s="47"/>
      <c r="I28" s="47"/>
      <c r="J28" s="47"/>
      <c r="K28" s="52"/>
      <c r="L28" s="47"/>
      <c r="M28" s="47"/>
      <c r="N28" s="41"/>
      <c r="O28" s="41"/>
      <c r="P28" s="41"/>
      <c r="Q28" s="41"/>
      <c r="R28" s="41"/>
      <c r="S28" s="765"/>
      <c r="T28" s="2"/>
    </row>
    <row r="29" spans="1:20" s="6" customFormat="1" ht="16.5">
      <c r="A29" s="4"/>
      <c r="B29" s="386"/>
      <c r="C29" s="47"/>
      <c r="D29" s="47"/>
      <c r="E29" s="47"/>
      <c r="F29" s="58" t="str">
        <f>IF(OR($G$25&lt;=0,$G$25="",$G$25&gt;1),"","分期定期保險金給付期間：")</f>
        <v>分期定期保險金給付期間：</v>
      </c>
      <c r="G29" s="1067">
        <v>20</v>
      </c>
      <c r="H29" s="1067"/>
      <c r="I29" s="1067"/>
      <c r="J29" s="47"/>
      <c r="K29" s="52"/>
      <c r="L29" s="47"/>
      <c r="M29" s="47"/>
      <c r="N29" s="41"/>
      <c r="O29" s="41"/>
      <c r="P29" s="41"/>
      <c r="Q29" s="41"/>
      <c r="R29" s="41"/>
      <c r="S29" s="765"/>
      <c r="T29" s="2"/>
    </row>
    <row r="30" spans="1:20" s="6" customFormat="1" ht="6" customHeight="1">
      <c r="A30" s="4"/>
      <c r="B30" s="390"/>
      <c r="C30" s="402"/>
      <c r="D30" s="774"/>
      <c r="E30" s="775"/>
      <c r="F30" s="775"/>
      <c r="G30" s="775"/>
      <c r="H30" s="775"/>
      <c r="I30" s="776"/>
      <c r="J30" s="776"/>
      <c r="K30" s="776"/>
      <c r="L30" s="776"/>
      <c r="M30" s="776"/>
      <c r="N30" s="776"/>
      <c r="O30" s="776"/>
      <c r="P30" s="776"/>
      <c r="Q30" s="776"/>
      <c r="R30" s="776"/>
      <c r="S30" s="777"/>
      <c r="T30" s="2"/>
    </row>
    <row r="31" spans="1:20" s="6" customFormat="1" ht="16.5" hidden="1">
      <c r="A31" s="4"/>
      <c r="B31" s="386"/>
      <c r="C31" s="39"/>
      <c r="D31" s="158"/>
      <c r="E31" s="181"/>
      <c r="F31" s="181"/>
      <c r="G31" s="181"/>
      <c r="H31" s="181"/>
      <c r="I31" s="195"/>
      <c r="J31" s="195"/>
      <c r="K31" s="195"/>
      <c r="L31" s="195"/>
      <c r="M31" s="195"/>
      <c r="N31" s="195"/>
      <c r="O31" s="195"/>
      <c r="P31" s="195"/>
      <c r="Q31" s="195"/>
      <c r="R31" s="195"/>
      <c r="S31" s="389"/>
      <c r="T31" s="2"/>
    </row>
    <row r="32" spans="1:20" s="6" customFormat="1" ht="16.5" hidden="1">
      <c r="A32" s="4"/>
      <c r="B32" s="386"/>
      <c r="C32" s="39"/>
      <c r="D32" s="158"/>
      <c r="E32" s="181"/>
      <c r="F32" s="181"/>
      <c r="G32" s="181"/>
      <c r="H32" s="181"/>
      <c r="I32" s="195"/>
      <c r="J32" s="195"/>
      <c r="K32" s="195"/>
      <c r="L32" s="195"/>
      <c r="M32" s="195"/>
      <c r="N32" s="195"/>
      <c r="O32" s="195"/>
      <c r="P32" s="195"/>
      <c r="Q32" s="195"/>
      <c r="R32" s="195"/>
      <c r="S32" s="389"/>
      <c r="T32" s="2"/>
    </row>
    <row r="33" spans="1:20" s="6" customFormat="1" ht="16.5" hidden="1">
      <c r="A33" s="4"/>
      <c r="B33" s="386"/>
      <c r="C33" s="39"/>
      <c r="D33" s="158"/>
      <c r="E33" s="181"/>
      <c r="F33" s="181"/>
      <c r="G33" s="181"/>
      <c r="H33" s="181"/>
      <c r="I33" s="195"/>
      <c r="J33" s="195"/>
      <c r="K33" s="195"/>
      <c r="L33" s="195"/>
      <c r="M33" s="195"/>
      <c r="N33" s="195"/>
      <c r="O33" s="195"/>
      <c r="P33" s="195"/>
      <c r="Q33" s="195"/>
      <c r="R33" s="195"/>
      <c r="S33" s="389"/>
      <c r="T33" s="2"/>
    </row>
    <row r="34" spans="1:20" s="6" customFormat="1" ht="17.25" hidden="1" thickBot="1">
      <c r="A34" s="4"/>
      <c r="B34" s="386"/>
      <c r="C34" s="39"/>
      <c r="D34" s="158"/>
      <c r="E34" s="181"/>
      <c r="F34" s="181"/>
      <c r="G34" s="181"/>
      <c r="H34" s="181"/>
      <c r="I34" s="195"/>
      <c r="J34" s="195"/>
      <c r="K34" s="195"/>
      <c r="L34" s="195"/>
      <c r="M34" s="195"/>
      <c r="N34" s="195"/>
      <c r="O34" s="195"/>
      <c r="P34" s="195"/>
      <c r="Q34" s="195"/>
      <c r="R34" s="195"/>
      <c r="S34" s="389"/>
      <c r="T34" s="2"/>
    </row>
    <row r="35" spans="1:20" s="6" customFormat="1" ht="17.25" hidden="1" customHeight="1" thickBot="1">
      <c r="A35" s="4"/>
      <c r="B35" s="386"/>
      <c r="C35" s="39"/>
      <c r="D35" s="49" t="s">
        <v>534</v>
      </c>
      <c r="E35" s="1070" t="s">
        <v>552</v>
      </c>
      <c r="F35" s="1071"/>
      <c r="G35" s="1071"/>
      <c r="H35" s="1071"/>
      <c r="I35" s="1071"/>
      <c r="J35" s="1072"/>
      <c r="K35" s="195"/>
      <c r="L35" s="211" t="str">
        <f>IF(OR(E35="無",E35=""),"",IF(AND(E35&lt;&gt;"無",OP!C41&lt;&gt;OP!H32),"員工轉帳件繳費方式限金融機構轉帳始享有保費折扣",PDSN1_&amp;"享有"&amp;OP!K9))</f>
        <v/>
      </c>
      <c r="M35" s="195"/>
      <c r="N35" s="195"/>
      <c r="O35" s="195"/>
      <c r="P35" s="195"/>
      <c r="Q35" s="195"/>
      <c r="R35" s="195"/>
      <c r="S35" s="389"/>
      <c r="T35" s="2"/>
    </row>
    <row r="36" spans="1:20" s="6" customFormat="1" ht="6" hidden="1" customHeight="1">
      <c r="A36" s="4"/>
      <c r="B36" s="390"/>
      <c r="C36" s="391"/>
      <c r="D36" s="391"/>
      <c r="E36" s="391"/>
      <c r="F36" s="391"/>
      <c r="G36" s="391"/>
      <c r="H36" s="391"/>
      <c r="I36" s="391"/>
      <c r="J36" s="391"/>
      <c r="K36" s="392"/>
      <c r="L36" s="391"/>
      <c r="M36" s="391"/>
      <c r="N36" s="393"/>
      <c r="O36" s="393"/>
      <c r="P36" s="393"/>
      <c r="Q36" s="393"/>
      <c r="R36" s="393"/>
      <c r="S36" s="394" t="str">
        <f>IF(OR(D41="",J39=""),1,"")</f>
        <v/>
      </c>
      <c r="T36" s="2"/>
    </row>
    <row r="37" spans="1:20" s="6" customFormat="1" ht="17.25" customHeight="1">
      <c r="A37" s="4"/>
      <c r="B37" s="395"/>
      <c r="C37" s="396" t="s">
        <v>574</v>
      </c>
      <c r="D37" s="1073" t="s">
        <v>943</v>
      </c>
      <c r="E37" s="1074"/>
      <c r="F37" s="1074"/>
      <c r="G37" s="1097" t="s">
        <v>576</v>
      </c>
      <c r="H37" s="1097"/>
      <c r="I37" s="1097"/>
      <c r="J37" s="1097"/>
      <c r="K37" s="1097"/>
      <c r="L37" s="1097"/>
      <c r="M37" s="397" t="s">
        <v>575</v>
      </c>
      <c r="N37" s="397"/>
      <c r="O37" s="398"/>
      <c r="P37" s="399" t="str">
        <f>OP!$C$32&amp;"保費："</f>
        <v>年繳保費：</v>
      </c>
      <c r="Q37" s="1098">
        <f ca="1">IF($A$2=1,"",OP!$C$35)</f>
        <v>170238</v>
      </c>
      <c r="R37" s="1098"/>
      <c r="S37" s="382"/>
      <c r="T37" s="2"/>
    </row>
    <row r="38" spans="1:20" s="6" customFormat="1" ht="6" customHeight="1">
      <c r="A38" s="4"/>
      <c r="B38" s="400"/>
      <c r="C38" s="59"/>
      <c r="D38" s="47"/>
      <c r="E38" s="47"/>
      <c r="F38" s="47"/>
      <c r="G38" s="47"/>
      <c r="H38" s="47"/>
      <c r="I38" s="47"/>
      <c r="J38" s="47"/>
      <c r="K38" s="52"/>
      <c r="L38" s="47"/>
      <c r="M38" s="47"/>
      <c r="N38" s="41"/>
      <c r="O38" s="41"/>
      <c r="P38" s="41"/>
      <c r="Q38" s="41"/>
      <c r="R38" s="41"/>
      <c r="S38" s="371"/>
      <c r="T38" s="2"/>
    </row>
    <row r="39" spans="1:20" s="6" customFormat="1" ht="17.25" customHeight="1">
      <c r="A39" s="4" t="str">
        <f ca="1">OP!D28</f>
        <v/>
      </c>
      <c r="B39" s="1075" t="s">
        <v>939</v>
      </c>
      <c r="C39" s="1076"/>
      <c r="D39" s="1061">
        <v>6</v>
      </c>
      <c r="E39" s="1061"/>
      <c r="F39" s="1061"/>
      <c r="G39" s="1077" t="s">
        <v>577</v>
      </c>
      <c r="H39" s="1077"/>
      <c r="I39" s="1077"/>
      <c r="J39" s="1094">
        <v>34</v>
      </c>
      <c r="K39" s="1095"/>
      <c r="L39" s="1096"/>
      <c r="M39" s="64" t="str">
        <f ca="1">IF(D41="","",TEXT($J$40,"#,##0")&amp;" ~ "&amp;TEXT($K$40,"#,##0"))</f>
        <v>5 ~ 1,700</v>
      </c>
      <c r="N39" s="1099" t="str">
        <f>IF(OP!$D$64=1,OP!$E$64,OP!$D$37&amp;OP!$D$40)</f>
        <v>本保件享有 1.0% 高保額折扣</v>
      </c>
      <c r="O39" s="1099"/>
      <c r="P39" s="1099"/>
      <c r="Q39" s="1099"/>
      <c r="R39" s="1099"/>
      <c r="S39" s="1100"/>
      <c r="T39" s="2"/>
    </row>
    <row r="40" spans="1:20" s="6" customFormat="1" ht="6" customHeight="1">
      <c r="A40" s="2"/>
      <c r="B40" s="400"/>
      <c r="C40" s="59"/>
      <c r="D40" s="47"/>
      <c r="E40" s="47"/>
      <c r="F40" s="47"/>
      <c r="G40" s="53"/>
      <c r="H40" s="53"/>
      <c r="I40" s="53"/>
      <c r="J40" s="54">
        <f>OP!$C$26</f>
        <v>5</v>
      </c>
      <c r="K40" s="13">
        <f ca="1">OP!$C$27</f>
        <v>1700</v>
      </c>
      <c r="L40" s="53"/>
      <c r="M40" s="41"/>
      <c r="N40" s="41"/>
      <c r="O40" s="41"/>
      <c r="P40" s="41"/>
      <c r="Q40" s="41"/>
      <c r="R40" s="41"/>
      <c r="S40" s="371"/>
      <c r="T40" s="2"/>
    </row>
    <row r="41" spans="1:20" s="6" customFormat="1" ht="17.25" customHeight="1">
      <c r="A41" s="2"/>
      <c r="B41" s="1075" t="s">
        <v>938</v>
      </c>
      <c r="C41" s="1076"/>
      <c r="D41" s="1061" t="s">
        <v>1370</v>
      </c>
      <c r="E41" s="1061"/>
      <c r="F41" s="1061"/>
      <c r="G41" s="53"/>
      <c r="H41" s="53"/>
      <c r="I41" s="53"/>
      <c r="J41" s="54"/>
      <c r="K41" s="13"/>
      <c r="L41" s="53"/>
      <c r="M41" s="41"/>
      <c r="N41" s="41"/>
      <c r="O41" s="41"/>
      <c r="P41" s="41"/>
      <c r="Q41" s="41"/>
      <c r="R41" s="41"/>
      <c r="S41" s="371"/>
      <c r="T41" s="2"/>
    </row>
    <row r="42" spans="1:20" s="6" customFormat="1" ht="6" customHeight="1">
      <c r="A42" s="2"/>
      <c r="B42" s="400"/>
      <c r="C42" s="59"/>
      <c r="D42" s="47"/>
      <c r="E42" s="47"/>
      <c r="F42" s="47"/>
      <c r="G42" s="53"/>
      <c r="H42" s="53"/>
      <c r="I42" s="53"/>
      <c r="J42" s="54"/>
      <c r="K42" s="13"/>
      <c r="L42" s="53"/>
      <c r="M42" s="41"/>
      <c r="N42" s="41"/>
      <c r="O42" s="41"/>
      <c r="P42" s="41"/>
      <c r="Q42" s="41"/>
      <c r="R42" s="41"/>
      <c r="S42" s="371"/>
      <c r="T42" s="2"/>
    </row>
    <row r="43" spans="1:20" s="6" customFormat="1" ht="17.25" customHeight="1">
      <c r="A43" s="4"/>
      <c r="B43" s="400"/>
      <c r="C43" s="61" t="str">
        <f ca="1">IF(OR(O6&gt;O4,D41="",M39="保額超過限制，請修正"),"","保障年期：")</f>
        <v>保障年期：</v>
      </c>
      <c r="D43" s="148" t="str">
        <f ca="1">IF(OR(O6&gt;O4,D41="",M39="保額超過限制，請修正"),"","終身（保險年齡屆滿一百一十歲）")</f>
        <v>終身（保險年齡屆滿一百一十歲）</v>
      </c>
      <c r="E43" s="148"/>
      <c r="F43" s="148"/>
      <c r="G43" s="148"/>
      <c r="H43" s="148"/>
      <c r="I43" s="148"/>
      <c r="J43" s="148"/>
      <c r="K43" s="148"/>
      <c r="L43" s="149"/>
      <c r="M43" s="47"/>
      <c r="N43" s="41"/>
      <c r="O43" s="287"/>
      <c r="P43" s="291" t="str">
        <f>IF(OP!$C$46&gt;0,"折扣後","")&amp;OP!$C$32&amp;"首期保費："</f>
        <v>折扣後年繳首期保費：</v>
      </c>
      <c r="Q43" s="1050">
        <f ca="1">IF(OR($A$2=1,P43=""),"",OP!C48)</f>
        <v>166833</v>
      </c>
      <c r="R43" s="1050"/>
      <c r="S43" s="371"/>
      <c r="T43" s="5"/>
    </row>
    <row r="44" spans="1:20" s="6" customFormat="1" ht="6" customHeight="1">
      <c r="A44" s="4"/>
      <c r="B44" s="386"/>
      <c r="C44" s="39"/>
      <c r="D44" s="48"/>
      <c r="E44" s="48"/>
      <c r="F44" s="48"/>
      <c r="G44" s="47"/>
      <c r="H44" s="47"/>
      <c r="I44" s="47"/>
      <c r="J44" s="47"/>
      <c r="K44" s="52"/>
      <c r="L44" s="47"/>
      <c r="M44" s="47"/>
      <c r="N44" s="41"/>
      <c r="O44" s="206"/>
      <c r="P44" s="290"/>
      <c r="Q44" s="290"/>
      <c r="R44" s="205"/>
      <c r="S44" s="371"/>
      <c r="T44" s="5"/>
    </row>
    <row r="45" spans="1:20" s="6" customFormat="1" ht="18" customHeight="1">
      <c r="A45" s="4"/>
      <c r="B45" s="386"/>
      <c r="C45" s="1068" t="str">
        <f ca="1">IF(OP!$D$6&lt;15,"※未滿15足歲同一被保險人累計本公司及產、壽險同業之壽險及傷害險
最高總保額為1,200萬。","")</f>
        <v/>
      </c>
      <c r="D45" s="1068"/>
      <c r="E45" s="1068"/>
      <c r="F45" s="1068"/>
      <c r="G45" s="1068"/>
      <c r="H45" s="1068"/>
      <c r="I45" s="1068"/>
      <c r="J45" s="1068"/>
      <c r="K45" s="1068"/>
      <c r="L45" s="1068"/>
      <c r="M45" s="1068"/>
      <c r="N45" s="212"/>
      <c r="O45" s="287"/>
      <c r="P45" s="333" t="str">
        <f>IF(OP!$C$47&gt;0,"折扣後","")&amp;OP!$C$32&amp;"續期保費："</f>
        <v>折扣後年繳續期保費：</v>
      </c>
      <c r="Q45" s="1050">
        <f ca="1">IF($A$2=1,"",OP!$C$49)</f>
        <v>166833</v>
      </c>
      <c r="R45" s="1050"/>
      <c r="S45" s="371"/>
      <c r="T45" s="5"/>
    </row>
    <row r="46" spans="1:20" s="6" customFormat="1" ht="24" customHeight="1">
      <c r="A46" s="4"/>
      <c r="B46" s="390"/>
      <c r="C46" s="1069"/>
      <c r="D46" s="1069"/>
      <c r="E46" s="1069"/>
      <c r="F46" s="1069"/>
      <c r="G46" s="1069"/>
      <c r="H46" s="1069"/>
      <c r="I46" s="1069"/>
      <c r="J46" s="1069"/>
      <c r="K46" s="1069"/>
      <c r="L46" s="1069"/>
      <c r="M46" s="1069"/>
      <c r="N46" s="401"/>
      <c r="O46" s="402"/>
      <c r="P46" s="402"/>
      <c r="Q46" s="402"/>
      <c r="R46" s="403"/>
      <c r="S46" s="378"/>
      <c r="T46" s="5"/>
    </row>
    <row r="47" spans="1:20" s="6" customFormat="1" ht="17.25" hidden="1" thickTop="1">
      <c r="A47" s="4"/>
      <c r="B47" s="285"/>
      <c r="C47" s="51" t="s">
        <v>67</v>
      </c>
      <c r="D47" s="55">
        <v>178</v>
      </c>
      <c r="E47" s="47"/>
      <c r="F47" s="47"/>
      <c r="G47" s="47"/>
      <c r="H47" s="47"/>
      <c r="I47" s="47"/>
      <c r="J47" s="47"/>
      <c r="K47" s="47"/>
      <c r="L47" s="47"/>
      <c r="M47" s="47"/>
      <c r="N47" s="41"/>
      <c r="O47" s="41"/>
      <c r="P47" s="41"/>
      <c r="Q47" s="41"/>
      <c r="R47" s="41"/>
      <c r="S47" s="281"/>
      <c r="T47" s="5"/>
    </row>
    <row r="48" spans="1:20" s="6" customFormat="1" ht="19.5" hidden="1" thickTop="1" thickBot="1">
      <c r="A48" s="4"/>
      <c r="B48" s="285"/>
      <c r="C48" s="49" t="s">
        <v>66</v>
      </c>
      <c r="D48" s="56">
        <v>100</v>
      </c>
      <c r="E48" s="57"/>
      <c r="F48" s="1053" t="s">
        <v>68</v>
      </c>
      <c r="G48" s="1053"/>
      <c r="H48" s="1053"/>
      <c r="I48" s="1062">
        <f>IF(OR(D47="",D48=""),"",D48/(D47/100)^2)</f>
        <v>31.561671506122963</v>
      </c>
      <c r="J48" s="1063"/>
      <c r="K48" s="1064"/>
      <c r="L48" s="42"/>
      <c r="M48" s="43"/>
      <c r="N48" s="57"/>
      <c r="O48" s="57"/>
      <c r="P48" s="57"/>
      <c r="Q48" s="44"/>
      <c r="R48" s="44"/>
      <c r="S48" s="288"/>
      <c r="T48" s="5"/>
    </row>
    <row r="49" spans="1:20" s="6" customFormat="1" ht="18.75" hidden="1" thickTop="1">
      <c r="A49" s="2"/>
      <c r="B49" s="285"/>
      <c r="C49" s="39"/>
      <c r="D49" s="39"/>
      <c r="E49" s="39"/>
      <c r="F49" s="39"/>
      <c r="G49" s="39"/>
      <c r="H49" s="39"/>
      <c r="I49" s="39"/>
      <c r="J49" s="39"/>
      <c r="K49" s="45"/>
      <c r="L49" s="45"/>
      <c r="M49" s="45"/>
      <c r="N49" s="39"/>
      <c r="O49" s="39"/>
      <c r="P49" s="39"/>
      <c r="Q49" s="45"/>
      <c r="R49" s="45"/>
      <c r="S49" s="288"/>
      <c r="T49" s="3"/>
    </row>
    <row r="50" spans="1:20" s="6" customFormat="1" ht="29.25" customHeight="1">
      <c r="A50" s="2"/>
      <c r="B50" s="404" t="str">
        <f>OP!$C$54</f>
        <v>V1.0-1060217</v>
      </c>
      <c r="C50" s="405"/>
      <c r="D50" s="406"/>
      <c r="E50" s="407"/>
      <c r="F50" s="408"/>
      <c r="G50" s="408"/>
      <c r="H50" s="408"/>
      <c r="I50" s="1057" t="s">
        <v>770</v>
      </c>
      <c r="J50" s="1058"/>
      <c r="K50" s="1058"/>
      <c r="L50" s="1059"/>
      <c r="M50" s="409"/>
      <c r="N50" s="409"/>
      <c r="O50" s="410" t="str">
        <f>OP!B69&amp;OP!C69</f>
        <v>適用通路：業務、服展、北富銀</v>
      </c>
      <c r="P50" s="411" t="s">
        <v>1061</v>
      </c>
      <c r="Q50" s="1060">
        <f ca="1">OP!$C$3</f>
        <v>42888</v>
      </c>
      <c r="R50" s="1060"/>
      <c r="S50" s="412"/>
      <c r="T50" s="3"/>
    </row>
    <row r="51" spans="1:20" s="6" customFormat="1" ht="4.5" customHeight="1">
      <c r="A51" s="2"/>
      <c r="B51" s="1051"/>
      <c r="C51" s="1052"/>
      <c r="D51" s="1052"/>
      <c r="E51" s="1052"/>
      <c r="F51" s="1052"/>
      <c r="G51" s="1052"/>
      <c r="H51" s="1052"/>
      <c r="I51" s="1052"/>
      <c r="J51" s="1052"/>
      <c r="K51" s="1052"/>
      <c r="L51" s="1052"/>
      <c r="M51" s="1052"/>
      <c r="N51" s="1052"/>
      <c r="O51" s="1052"/>
      <c r="P51" s="1052"/>
      <c r="Q51" s="1052"/>
      <c r="R51" s="1052"/>
      <c r="S51" s="1052"/>
      <c r="T51" s="3"/>
    </row>
    <row r="52" spans="1:20" ht="3.75" customHeight="1"/>
    <row r="53" spans="1:20" ht="19.5" hidden="1">
      <c r="B53" s="813"/>
      <c r="C53" s="6"/>
      <c r="D53" s="814" t="s">
        <v>1311</v>
      </c>
      <c r="E53" s="1054">
        <v>200000</v>
      </c>
      <c r="F53" s="1055"/>
      <c r="G53" s="1055"/>
      <c r="H53" s="1056"/>
      <c r="I53" s="815"/>
      <c r="J53" s="6"/>
      <c r="K53" s="816"/>
      <c r="L53" s="816"/>
      <c r="M53" s="817" t="s">
        <v>1312</v>
      </c>
      <c r="N53" s="818">
        <f ca="1">OP!$C$62</f>
        <v>39</v>
      </c>
      <c r="O53" s="819" t="s">
        <v>1313</v>
      </c>
      <c r="P53" s="820"/>
      <c r="Q53" s="821"/>
      <c r="R53" s="821"/>
      <c r="S53" s="54"/>
    </row>
    <row r="54" spans="1:20" hidden="1"/>
    <row r="55" spans="1:20" hidden="1"/>
    <row r="56" spans="1:20" hidden="1"/>
    <row r="57" spans="1:20" hidden="1"/>
    <row r="58" spans="1:20" hidden="1"/>
    <row r="59" spans="1:20" hidden="1"/>
    <row r="60" spans="1:20" hidden="1"/>
    <row r="61" spans="1:20" hidden="1"/>
    <row r="62" spans="1:20" ht="20.100000000000001" hidden="1" customHeight="1">
      <c r="C62" s="447" t="s">
        <v>961</v>
      </c>
    </row>
    <row r="63" spans="1:20" ht="20.100000000000001" hidden="1" customHeight="1">
      <c r="B63" s="446"/>
      <c r="D63" s="448" t="s">
        <v>949</v>
      </c>
    </row>
    <row r="64" spans="1:20" ht="20.100000000000001" hidden="1" customHeight="1">
      <c r="B64" s="446"/>
      <c r="D64" s="448" t="s">
        <v>950</v>
      </c>
      <c r="E64" s="1035"/>
      <c r="F64" s="1036"/>
      <c r="G64" s="1036"/>
      <c r="H64" s="1037"/>
    </row>
    <row r="65" spans="2:18" ht="20.100000000000001" hidden="1" customHeight="1">
      <c r="B65" s="446"/>
      <c r="D65" s="449"/>
    </row>
    <row r="66" spans="2:18" ht="20.100000000000001" hidden="1" customHeight="1">
      <c r="B66" s="446">
        <f>IF(E66="同被保險人",2,1)</f>
        <v>1</v>
      </c>
      <c r="D66" s="448" t="s">
        <v>951</v>
      </c>
      <c r="E66" s="1044" t="s">
        <v>959</v>
      </c>
      <c r="F66" s="1045"/>
      <c r="G66" s="1045"/>
      <c r="H66" s="1045"/>
      <c r="I66" s="1046"/>
    </row>
    <row r="67" spans="2:18" ht="20.100000000000001" hidden="1" customHeight="1">
      <c r="B67" s="446">
        <f>IF($B$66=1,E67,$E$4)</f>
        <v>0</v>
      </c>
      <c r="D67" s="448" t="str">
        <f>IF($B$66=1,"姓名：","")</f>
        <v>姓名：</v>
      </c>
      <c r="E67" s="1047"/>
      <c r="F67" s="1048"/>
      <c r="G67" s="1048"/>
      <c r="H67" s="1049"/>
    </row>
    <row r="68" spans="2:18" ht="20.100000000000001" hidden="1" customHeight="1">
      <c r="B68" s="446"/>
      <c r="D68" s="448" t="str">
        <f>IF($B$66=1,"出生年月日：","")</f>
        <v>出生年月日：</v>
      </c>
      <c r="E68" s="1047"/>
      <c r="F68" s="1048"/>
      <c r="G68" s="1048"/>
      <c r="H68" s="1049"/>
      <c r="N68" s="443"/>
    </row>
    <row r="69" spans="2:18" ht="20.100000000000001" hidden="1" customHeight="1">
      <c r="B69" s="446">
        <f>IF($B$66=1,E69,OP!$D$5)</f>
        <v>0</v>
      </c>
      <c r="D69" s="448" t="str">
        <f>IF($B$66=1,"年齡：","")</f>
        <v>年齡：</v>
      </c>
      <c r="E69" s="1047"/>
      <c r="F69" s="1048"/>
      <c r="G69" s="1048"/>
      <c r="H69" s="1049"/>
      <c r="N69" s="443"/>
    </row>
    <row r="70" spans="2:18" ht="20.100000000000001" hidden="1" customHeight="1">
      <c r="B70" s="446">
        <f>IF($B$66=1,E70,E64)</f>
        <v>0</v>
      </c>
      <c r="D70" s="448" t="str">
        <f>IF($B$66=1,"職業：","")</f>
        <v>職業：</v>
      </c>
      <c r="E70" s="1035"/>
      <c r="F70" s="1036"/>
      <c r="G70" s="1036"/>
      <c r="H70" s="1036"/>
      <c r="I70" s="1036"/>
      <c r="J70" s="1036"/>
      <c r="K70" s="1036"/>
      <c r="L70" s="1036"/>
      <c r="M70" s="1037"/>
    </row>
    <row r="71" spans="2:18" ht="20.100000000000001" hidden="1" customHeight="1">
      <c r="B71" s="446"/>
      <c r="D71" s="448" t="s">
        <v>952</v>
      </c>
      <c r="E71" s="1035"/>
      <c r="F71" s="1036"/>
      <c r="G71" s="1036"/>
      <c r="H71" s="1036"/>
      <c r="I71" s="1036"/>
      <c r="J71" s="1036"/>
      <c r="K71" s="1036"/>
      <c r="L71" s="1036"/>
      <c r="M71" s="1037"/>
    </row>
    <row r="72" spans="2:18" ht="20.100000000000001" hidden="1" customHeight="1">
      <c r="B72" s="446"/>
      <c r="D72" s="449"/>
    </row>
    <row r="73" spans="2:18" ht="20.100000000000001" hidden="1" customHeight="1">
      <c r="B73" s="446"/>
      <c r="D73" s="448" t="s">
        <v>953</v>
      </c>
      <c r="E73" s="1038"/>
      <c r="F73" s="1039"/>
      <c r="G73" s="1039"/>
      <c r="H73" s="1040"/>
    </row>
    <row r="74" spans="2:18" ht="20.100000000000001" hidden="1" customHeight="1">
      <c r="B74" s="446"/>
      <c r="D74" s="448" t="s">
        <v>954</v>
      </c>
      <c r="E74" s="1041"/>
      <c r="F74" s="1042"/>
      <c r="G74" s="1042"/>
      <c r="H74" s="1043"/>
    </row>
    <row r="75" spans="2:18" ht="8.25" hidden="1" customHeight="1"/>
    <row r="76" spans="2:18" ht="20.100000000000001" hidden="1" customHeight="1"/>
    <row r="77" spans="2:18" ht="20.100000000000001" hidden="1" customHeight="1">
      <c r="D77" s="443"/>
    </row>
    <row r="78" spans="2:18" ht="20.100000000000001" hidden="1" customHeight="1">
      <c r="D78" s="445" t="s">
        <v>955</v>
      </c>
      <c r="E78" s="1031"/>
      <c r="F78" s="1032"/>
      <c r="G78" s="1032"/>
      <c r="H78" s="1032"/>
      <c r="I78" s="1032"/>
      <c r="J78" s="1032"/>
      <c r="K78" s="1032"/>
      <c r="L78" s="1033"/>
      <c r="N78" s="72" t="s">
        <v>322</v>
      </c>
      <c r="O78" s="72" t="s">
        <v>323</v>
      </c>
      <c r="P78" s="72" t="s">
        <v>324</v>
      </c>
      <c r="Q78" s="72" t="s">
        <v>325</v>
      </c>
      <c r="R78" s="80"/>
    </row>
    <row r="79" spans="2:18" ht="20.100000000000001" hidden="1" customHeight="1">
      <c r="D79" s="445" t="s">
        <v>956</v>
      </c>
      <c r="E79" s="1028" t="str">
        <f>OP!C23</f>
        <v>富邦人壽好吉利利率變動型增額終身壽險</v>
      </c>
      <c r="F79" s="1029"/>
      <c r="G79" s="1029"/>
      <c r="H79" s="1029"/>
      <c r="I79" s="1029"/>
      <c r="J79" s="1029"/>
      <c r="K79" s="1029"/>
      <c r="L79" s="1030"/>
      <c r="N79" s="72">
        <f>IF(O80=0,0,VALUE(MID(O80,IF(LEN(O80)=7,4,3),2)))</f>
        <v>0</v>
      </c>
      <c r="O79" s="73">
        <f ca="1">OP!$C$3</f>
        <v>42888</v>
      </c>
      <c r="P79" s="73">
        <f>IF(O80=0,0,DATE(LEFT(O80,IF(LEN(O80)=7,3,2))+1911,MID(O80,IF(LEN(O80)=7,4,3),2),RIGHT(O80,2)))</f>
        <v>0</v>
      </c>
      <c r="Q79" s="74">
        <f>IF(Q80=1,0,IF(OR(N79=1,N79=3,N79=5,N79=7,N79=8,N79=10,N79=12),31,IF(OR(N79=4,N79=6,N79=9,N79=11),30,IF(AND(N79=2,YEAR(P79)/4=INT(YEAR(P79)/4),YEAR(P79)/400&lt;&gt;INT(YEAR(P79)/400)),29,28))))</f>
        <v>0</v>
      </c>
      <c r="R79" s="493">
        <f ca="1">YEAR(OP!$C$3)-1911</f>
        <v>106</v>
      </c>
    </row>
    <row r="80" spans="2:18" ht="20.100000000000001" hidden="1" customHeight="1">
      <c r="D80" s="445" t="s">
        <v>957</v>
      </c>
      <c r="E80" s="1031" t="s">
        <v>960</v>
      </c>
      <c r="F80" s="1032"/>
      <c r="G80" s="1032"/>
      <c r="H80" s="1032"/>
      <c r="I80" s="1032"/>
      <c r="J80" s="1032"/>
      <c r="K80" s="1032"/>
      <c r="L80" s="1033"/>
      <c r="N80" s="72" t="s">
        <v>324</v>
      </c>
      <c r="O80" s="75">
        <f>E68</f>
        <v>0</v>
      </c>
      <c r="P80" s="76">
        <f ca="1">DATE(YEAR(O79)-$C$15,MONTH(O79)-6,DAY(O79))</f>
        <v>42706</v>
      </c>
      <c r="Q80" s="72">
        <f>IF(OR(N79&lt;1,N79&gt;12),1,"")</f>
        <v>1</v>
      </c>
      <c r="R80" s="153">
        <f ca="1">YEAR(P80)-1911</f>
        <v>105</v>
      </c>
    </row>
    <row r="81" spans="4:18" ht="20.100000000000001" hidden="1" customHeight="1">
      <c r="D81" s="445" t="s">
        <v>958</v>
      </c>
      <c r="E81" s="1028" t="str">
        <f ca="1">TEXT(OP!$C$31,"#,##0 元")&amp;" / "&amp;IF(OP!$C$32=OP!$H$3,OP!$H$3,"繳費 "&amp;OP!$C$24&amp;"年")</f>
        <v>170,238 元 / 繳費 6年</v>
      </c>
      <c r="F81" s="1029"/>
      <c r="G81" s="1029"/>
      <c r="H81" s="1029"/>
      <c r="I81" s="1029"/>
      <c r="J81" s="1029"/>
      <c r="K81" s="1029"/>
      <c r="L81" s="1030"/>
      <c r="N81" s="72" t="s">
        <v>1</v>
      </c>
      <c r="O81" s="77" t="s">
        <v>2</v>
      </c>
      <c r="P81" s="77" t="str">
        <f>IF(SUM(Q82,F86:F89)&gt;=1,"生日格式錯誤",IF(P79&gt;O79,"被保險人未出生",IF(MONTH(O79)&lt;N79,IF(OR(MONTH(O79)+12-N79&gt;6,AND(MONTH(O79)+12-N79=6,DAY(O79)&gt;DAY(P79))),YEAR(O79)-1-YEAR(P79)+1,IF(OR(MONTH(O79)+12-N79&lt;6,AND(MONTH(O79)+12-N79=6,DAY(O79)&lt;=DAY(P79))),YEAR(O79)-1-YEAR(P79))),IF(OR(MONTH(O79)-N79&gt;6,AND(MONTH(O79)-N79=6,DAY(O79)&gt;DAY(P79))),YEAR(O79)-YEAR(P79)+1,IF(OR(MONTH(O79)-N79&lt;=6,AND(MONTH(O79)-N79=6,DAY(O79)&lt;=DAY(P79))),YEAR(O79)-YEAR(P79),)))))</f>
        <v>生日格式錯誤</v>
      </c>
      <c r="Q81" s="72">
        <f>IF(OR(VALUE(RIGHT(O80,2))&lt;1,VALUE(RIGHT(O80,2))&gt;Q79),1,"")</f>
        <v>1</v>
      </c>
      <c r="R81" s="86">
        <f ca="1">MONTH(P80)</f>
        <v>12</v>
      </c>
    </row>
    <row r="82" spans="4:18" ht="20.100000000000001" hidden="1" customHeight="1">
      <c r="D82" s="445"/>
      <c r="E82" s="1034"/>
      <c r="F82" s="1034"/>
      <c r="G82" s="1034"/>
      <c r="H82" s="1034"/>
      <c r="I82" s="1034"/>
      <c r="J82" s="1034"/>
      <c r="K82" s="1034"/>
      <c r="L82" s="1034"/>
      <c r="N82" s="72"/>
      <c r="O82" s="77" t="s">
        <v>4</v>
      </c>
      <c r="P82" s="77" t="str">
        <f>IF(SUM(Q82,F86:F89)&gt;=1,"生日格式錯誤",IF(P79&gt;O79,"被保險人未出生",DATEDIF(P79,O79,"y")))</f>
        <v>生日格式錯誤</v>
      </c>
      <c r="Q82" s="78">
        <f>IF(OR(Q80=1,Q81=1),1,"")</f>
        <v>1</v>
      </c>
      <c r="R82" s="86">
        <f ca="1">DAY(P80)</f>
        <v>2</v>
      </c>
    </row>
    <row r="83" spans="4:18" ht="20.100000000000001" hidden="1" customHeight="1">
      <c r="E83" s="444"/>
      <c r="F83" s="444"/>
    </row>
    <row r="84" spans="4:18" ht="20.100000000000001" hidden="1" customHeight="1"/>
    <row r="85" spans="4:18" ht="20.100000000000001" hidden="1" customHeight="1"/>
    <row r="86" spans="4:18" hidden="1"/>
    <row r="87" spans="4:18" hidden="1"/>
    <row r="88" spans="4:18" hidden="1"/>
    <row r="89" spans="4:18" hidden="1"/>
    <row r="90" spans="4:18" hidden="1"/>
    <row r="91" spans="4:18" hidden="1"/>
    <row r="92" spans="4:18" hidden="1"/>
    <row r="93" spans="4:18" hidden="1"/>
    <row r="94" spans="4:18" hidden="1"/>
    <row r="95" spans="4:18" hidden="1"/>
    <row r="96" spans="4: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sheetData>
  <sheetProtection password="F4D4" sheet="1" selectLockedCells="1"/>
  <mergeCells count="59">
    <mergeCell ref="B2:S2"/>
    <mergeCell ref="E4:H4"/>
    <mergeCell ref="K4:L4"/>
    <mergeCell ref="O4:P4"/>
    <mergeCell ref="K11:L11"/>
    <mergeCell ref="O11:P11"/>
    <mergeCell ref="E6:F6"/>
    <mergeCell ref="E7:I7"/>
    <mergeCell ref="E8:I8"/>
    <mergeCell ref="B11:C11"/>
    <mergeCell ref="E11:H11"/>
    <mergeCell ref="C21:R21"/>
    <mergeCell ref="Q43:R43"/>
    <mergeCell ref="Q11:R11"/>
    <mergeCell ref="E13:H13"/>
    <mergeCell ref="I13:L13"/>
    <mergeCell ref="Q18:R18"/>
    <mergeCell ref="E18:G18"/>
    <mergeCell ref="B16:D16"/>
    <mergeCell ref="E16:G16"/>
    <mergeCell ref="H16:M16"/>
    <mergeCell ref="Q16:R16"/>
    <mergeCell ref="E20:G20"/>
    <mergeCell ref="J39:L39"/>
    <mergeCell ref="G37:L37"/>
    <mergeCell ref="Q37:R37"/>
    <mergeCell ref="N39:S39"/>
    <mergeCell ref="D39:F39"/>
    <mergeCell ref="I48:K48"/>
    <mergeCell ref="G25:I25"/>
    <mergeCell ref="G27:I27"/>
    <mergeCell ref="G29:I29"/>
    <mergeCell ref="C45:M46"/>
    <mergeCell ref="E35:J35"/>
    <mergeCell ref="D37:F37"/>
    <mergeCell ref="B41:C41"/>
    <mergeCell ref="D41:F41"/>
    <mergeCell ref="G39:I39"/>
    <mergeCell ref="B39:C39"/>
    <mergeCell ref="Q45:R45"/>
    <mergeCell ref="E64:H64"/>
    <mergeCell ref="E68:H68"/>
    <mergeCell ref="E69:H69"/>
    <mergeCell ref="E70:M70"/>
    <mergeCell ref="B51:S51"/>
    <mergeCell ref="F48:H48"/>
    <mergeCell ref="E53:H53"/>
    <mergeCell ref="I50:L50"/>
    <mergeCell ref="Q50:R50"/>
    <mergeCell ref="E71:M71"/>
    <mergeCell ref="E73:H73"/>
    <mergeCell ref="E74:H74"/>
    <mergeCell ref="E66:I66"/>
    <mergeCell ref="E67:H67"/>
    <mergeCell ref="E79:L79"/>
    <mergeCell ref="E78:L78"/>
    <mergeCell ref="E80:L80"/>
    <mergeCell ref="E81:L81"/>
    <mergeCell ref="E82:L82"/>
  </mergeCells>
  <phoneticPr fontId="4" type="noConversion"/>
  <conditionalFormatting sqref="D41:F41 Q18:R18 Q16:R16">
    <cfRule type="cellIs" dxfId="59" priority="8" stopIfTrue="1" operator="equal">
      <formula>""</formula>
    </cfRule>
  </conditionalFormatting>
  <conditionalFormatting sqref="S9">
    <cfRule type="expression" dxfId="58" priority="9" stopIfTrue="1">
      <formula>#REF!&lt;14</formula>
    </cfRule>
  </conditionalFormatting>
  <conditionalFormatting sqref="Q11:R11">
    <cfRule type="expression" dxfId="57" priority="10" stopIfTrue="1">
      <formula>#REF!="其他(請說明)"</formula>
    </cfRule>
  </conditionalFormatting>
  <conditionalFormatting sqref="E13:H13">
    <cfRule type="expression" dxfId="56" priority="11" stopIfTrue="1">
      <formula>$O$11="本人"</formula>
    </cfRule>
    <cfRule type="expression" dxfId="55" priority="12" stopIfTrue="1">
      <formula>$A$11=1</formula>
    </cfRule>
  </conditionalFormatting>
  <conditionalFormatting sqref="G6">
    <cfRule type="expression" dxfId="54" priority="13" stopIfTrue="1">
      <formula>$A$6=1</formula>
    </cfRule>
    <cfRule type="cellIs" dxfId="53" priority="14" stopIfTrue="1" operator="equal">
      <formula>""</formula>
    </cfRule>
  </conditionalFormatting>
  <conditionalFormatting sqref="K4:L4">
    <cfRule type="expression" dxfId="52" priority="15" stopIfTrue="1">
      <formula>$A$4=1</formula>
    </cfRule>
    <cfRule type="cellIs" dxfId="51" priority="16" stopIfTrue="1" operator="equal">
      <formula>""</formula>
    </cfRule>
  </conditionalFormatting>
  <conditionalFormatting sqref="E16:G16">
    <cfRule type="expression" dxfId="50" priority="17" stopIfTrue="1">
      <formula>$A$16=1</formula>
    </cfRule>
    <cfRule type="cellIs" dxfId="49" priority="18" stopIfTrue="1" operator="equal">
      <formula>""</formula>
    </cfRule>
  </conditionalFormatting>
  <conditionalFormatting sqref="J39:L39">
    <cfRule type="expression" dxfId="48" priority="19" stopIfTrue="1">
      <formula>$A$39=1</formula>
    </cfRule>
    <cfRule type="cellIs" dxfId="47" priority="20" stopIfTrue="1" operator="equal">
      <formula>""</formula>
    </cfRule>
  </conditionalFormatting>
  <conditionalFormatting sqref="E11:H11 K11:L11">
    <cfRule type="expression" dxfId="46" priority="21" stopIfTrue="1">
      <formula>$O$11="本人"</formula>
    </cfRule>
  </conditionalFormatting>
  <conditionalFormatting sqref="D11">
    <cfRule type="expression" dxfId="45" priority="22" stopIfTrue="1">
      <formula>$O$11="本人"</formula>
    </cfRule>
  </conditionalFormatting>
  <conditionalFormatting sqref="E7:I7">
    <cfRule type="expression" dxfId="44" priority="28" stopIfTrue="1">
      <formula>$A$7=1</formula>
    </cfRule>
  </conditionalFormatting>
  <conditionalFormatting sqref="E4:H4">
    <cfRule type="cellIs" dxfId="43" priority="29" stopIfTrue="1" operator="equal">
      <formula>""</formula>
    </cfRule>
  </conditionalFormatting>
  <conditionalFormatting sqref="E20:G20">
    <cfRule type="expression" dxfId="42" priority="30" stopIfTrue="1">
      <formula>$E$20=""</formula>
    </cfRule>
  </conditionalFormatting>
  <conditionalFormatting sqref="E35:J35">
    <cfRule type="expression" dxfId="41" priority="31" stopIfTrue="1">
      <formula>$E$35=""</formula>
    </cfRule>
  </conditionalFormatting>
  <conditionalFormatting sqref="E18">
    <cfRule type="cellIs" dxfId="40" priority="7" stopIfTrue="1" operator="equal">
      <formula>""</formula>
    </cfRule>
  </conditionalFormatting>
  <conditionalFormatting sqref="D39:F39">
    <cfRule type="cellIs" dxfId="39" priority="6" stopIfTrue="1" operator="equal">
      <formula>""</formula>
    </cfRule>
  </conditionalFormatting>
  <conditionalFormatting sqref="E67:H69 E70:M70">
    <cfRule type="expression" dxfId="38" priority="5" stopIfTrue="1">
      <formula>$B$66=2</formula>
    </cfRule>
  </conditionalFormatting>
  <conditionalFormatting sqref="E67:H67">
    <cfRule type="expression" dxfId="37" priority="4" stopIfTrue="1">
      <formula>$B$66=2</formula>
    </cfRule>
  </conditionalFormatting>
  <conditionalFormatting sqref="E68:H69">
    <cfRule type="expression" dxfId="36" priority="3" stopIfTrue="1">
      <formula>$B$66=2</formula>
    </cfRule>
  </conditionalFormatting>
  <conditionalFormatting sqref="E70:M70">
    <cfRule type="expression" dxfId="35" priority="2" stopIfTrue="1">
      <formula>$B$66=2</formula>
    </cfRule>
  </conditionalFormatting>
  <conditionalFormatting sqref="G29:I29">
    <cfRule type="expression" dxfId="34" priority="1" stopIfTrue="1">
      <formula>OR($G$25&lt;=0,$G$25&gt;1,$G$25="")</formula>
    </cfRule>
  </conditionalFormatting>
  <dataValidations count="23">
    <dataValidation type="list" allowBlank="1" showInputMessage="1" showErrorMessage="1" sqref="E35:J35">
      <formula1>"無,員工轉帳件"</formula1>
    </dataValidation>
    <dataValidation type="decimal" allowBlank="1" showErrorMessage="1" sqref="E20:G20">
      <formula1>0</formula1>
      <formula2>MAXR</formula2>
    </dataValidation>
    <dataValidation allowBlank="1" showErrorMessage="1" promptTitle="6位數輸入生日" prompt="請以六位數輸入生日_x000a_EX_x000a_52年5月28日_x000a_→520528_x000a_48年9月1日_x000a_→480901" sqref="E6:G6"/>
    <dataValidation type="whole" allowBlank="1" showErrorMessage="1" promptTitle="6位數輸入生日" prompt="請以六位數輸入生日_x000a_EX_x000a_52年5月28日_x000a_→520528_x000a_48年9月1日_x000a_→480901" sqref="H6">
      <formula1>1</formula1>
      <formula2>12</formula2>
    </dataValidation>
    <dataValidation type="list" allowBlank="1" showInputMessage="1" showErrorMessage="1" sqref="O11:P11">
      <formula1>"本人,父母,配偶,子女"</formula1>
    </dataValidation>
    <dataValidation allowBlank="1" showInputMessage="1" showErrorMessage="1" errorTitle="繳別" error="繳別錯誤" sqref="Q17:R17"/>
    <dataValidation type="list" allowBlank="1" showInputMessage="1" showErrorMessage="1" errorTitle="繳別" error="繳別錯誤" sqref="Q18:R18">
      <formula1>"金融機構轉帳,富邦信用卡,一般信用卡,自行繳費"</formula1>
    </dataValidation>
    <dataValidation allowBlank="1" showInputMessage="1" showErrorMessage="1" errorTitle="性別" error="性別輸入錯誤" sqref="M4 K11:M11"/>
    <dataValidation type="list" allowBlank="1" showInputMessage="1" showErrorMessage="1" errorTitle="性別" error="性別輸入錯誤" sqref="K4:L4">
      <formula1>"男,女"</formula1>
    </dataValidation>
    <dataValidation allowBlank="1" showInputMessage="1" showErrorMessage="1" errorTitle="繳法" error="繳法錯誤" sqref="E17:G17"/>
    <dataValidation allowBlank="1" showInputMessage="1" showErrorMessage="1" promptTitle="日期輸入" prompt="以六或七位數輸入生日_x000a_EX_x000a_52年5月28日_x000a_→520528_x000a_48年9月1日_x000a_→480901" sqref="E7:I7"/>
    <dataValidation type="whole" allowBlank="1" showInputMessage="1" showErrorMessage="1" sqref="J6:J7">
      <formula1>1</formula1>
      <formula2>J9</formula2>
    </dataValidation>
    <dataValidation type="whole" allowBlank="1" showInputMessage="1" showErrorMessage="1" errorTitle="保額錯誤" error="請注意承保保額限制" sqref="J39:L39">
      <formula1>J40</formula1>
      <formula2>K40</formula2>
    </dataValidation>
    <dataValidation type="list" allowBlank="1" showInputMessage="1" showErrorMessage="1" errorTitle="繳法" error="繳法錯誤" sqref="E16:G16">
      <formula1>"年繳,半年繳,季繳,月繳"</formula1>
    </dataValidation>
    <dataValidation type="list" allowBlank="1" showInputMessage="1" showErrorMessage="1" sqref="Q16:R16">
      <formula1>"匯款,金融機構轉帳,富邦信用卡,一般信用卡,支票"</formula1>
    </dataValidation>
    <dataValidation type="list" allowBlank="1" showErrorMessage="1" errorTitle="保額錯誤" error="請確認並輸入正確保額" prompt="請確認輸入內容" sqref="E18:G18">
      <formula1>"現金給付,儲存生息,購買增額繳清保險"</formula1>
    </dataValidation>
    <dataValidation type="list" allowBlank="1" showInputMessage="1" showErrorMessage="1" sqref="E66:I66">
      <formula1>"與被保險人不同,同被保險人"</formula1>
    </dataValidation>
    <dataValidation allowBlank="1" showInputMessage="1" showErrorMessage="1" prompt="日驗證" sqref="Q81"/>
    <dataValidation allowBlank="1" showInputMessage="1" showErrorMessage="1" prompt="月驗證" sqref="Q80"/>
    <dataValidation allowBlank="1" showInputMessage="1" showErrorMessage="1" prompt="生日月份最終日" sqref="Q79"/>
    <dataValidation allowBlank="1" showInputMessage="1" showErrorMessage="1" prompt="生日-月" sqref="N79"/>
    <dataValidation type="list" allowBlank="1" showInputMessage="1" showErrorMessage="1" sqref="G29:I29">
      <formula1>"10,20"</formula1>
    </dataValidation>
    <dataValidation type="decimal" allowBlank="1" showInputMessage="1" showErrorMessage="1" sqref="G25:I25">
      <formula1>0</formula1>
      <formula2>1</formula2>
    </dataValidation>
  </dataValidations>
  <hyperlinks>
    <hyperlink ref="I50:L50" r:id="rId1" display="宣告利率網頁"/>
  </hyperlinks>
  <pageMargins left="0.75" right="0.75" top="1" bottom="1" header="0.5" footer="0.5"/>
  <pageSetup paperSize="9" scale="5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39997558519241921"/>
  </sheetPr>
  <dimension ref="A1:AF1095"/>
  <sheetViews>
    <sheetView showGridLines="0" showRowColHeaders="0" view="pageBreakPreview" zoomScale="130" zoomScaleNormal="130" zoomScaleSheetLayoutView="130" workbookViewId="0">
      <selection activeCell="B2" sqref="B2:U2"/>
    </sheetView>
  </sheetViews>
  <sheetFormatPr defaultColWidth="0" defaultRowHeight="14.25" zeroHeight="1"/>
  <cols>
    <col min="1" max="1" width="1.1640625" style="6" customWidth="1"/>
    <col min="2" max="2" width="5.1640625" style="6" customWidth="1"/>
    <col min="3" max="4" width="5.83203125" style="6" customWidth="1"/>
    <col min="5" max="5" width="8" style="6" customWidth="1"/>
    <col min="6" max="15" width="5.83203125" style="6" customWidth="1"/>
    <col min="16" max="16" width="4.5" style="6" customWidth="1"/>
    <col min="17" max="20" width="5.83203125" style="6" customWidth="1"/>
    <col min="21" max="21" width="5.5" style="6" customWidth="1"/>
    <col min="22" max="22" width="1.1640625" style="6" customWidth="1"/>
    <col min="23" max="23" width="5.83203125" style="6" customWidth="1"/>
    <col min="24" max="25" width="15.83203125" style="6" customWidth="1"/>
    <col min="26" max="26" width="1.5" style="6" customWidth="1"/>
    <col min="27" max="27" width="10" style="6" hidden="1" customWidth="1"/>
    <col min="28" max="32" width="9.33203125" style="6" hidden="1" customWidth="1"/>
    <col min="33" max="16384" width="0" style="6" hidden="1"/>
  </cols>
  <sheetData>
    <row r="1" spans="1:25" ht="3.95" customHeight="1"/>
    <row r="2" spans="1:25" ht="17.25" customHeight="1">
      <c r="A2" s="9" t="str">
        <f ca="1">OP!$D$53</f>
        <v/>
      </c>
      <c r="B2" s="1156" t="str">
        <f>輸入頁!B2</f>
        <v>富邦人壽好吉利利率變動型增額終身壽險專案試算表</v>
      </c>
      <c r="C2" s="1156"/>
      <c r="D2" s="1156"/>
      <c r="E2" s="1156"/>
      <c r="F2" s="1156"/>
      <c r="G2" s="1156"/>
      <c r="H2" s="1156"/>
      <c r="I2" s="1156"/>
      <c r="J2" s="1156"/>
      <c r="K2" s="1156"/>
      <c r="L2" s="1156"/>
      <c r="M2" s="1156"/>
      <c r="N2" s="1156"/>
      <c r="O2" s="1156"/>
      <c r="P2" s="1156"/>
      <c r="Q2" s="1156"/>
      <c r="R2" s="1156"/>
      <c r="S2" s="1156"/>
      <c r="T2" s="1156"/>
      <c r="U2" s="1156"/>
      <c r="W2" s="336"/>
      <c r="X2" s="336"/>
      <c r="Y2" s="336"/>
    </row>
    <row r="3" spans="1:25" ht="3" hidden="1" customHeight="1">
      <c r="A3" s="8"/>
    </row>
    <row r="4" spans="1:25" ht="12" customHeight="1">
      <c r="A4" s="8"/>
      <c r="B4" s="1157" t="s">
        <v>542</v>
      </c>
      <c r="C4" s="1157"/>
      <c r="D4" s="1163" t="str">
        <f>OP!$C$73</f>
        <v>陳○祥</v>
      </c>
      <c r="E4" s="1163"/>
      <c r="F4" s="1163"/>
      <c r="G4" s="1163"/>
      <c r="H4" s="1158"/>
      <c r="I4" s="1158"/>
      <c r="J4" s="1159" t="s">
        <v>543</v>
      </c>
      <c r="K4" s="1159"/>
      <c r="L4" s="1160">
        <f ca="1">輸入頁!O6</f>
        <v>33</v>
      </c>
      <c r="M4" s="1160"/>
      <c r="N4" s="1161" t="s">
        <v>544</v>
      </c>
      <c r="O4" s="1161"/>
      <c r="P4" s="323" t="str">
        <f>輸入頁!K4</f>
        <v>男</v>
      </c>
      <c r="Q4" s="1162" t="str">
        <f>OP!D49</f>
        <v/>
      </c>
      <c r="R4" s="1162"/>
      <c r="S4" s="1162"/>
      <c r="T4" s="1162"/>
      <c r="U4" s="1162"/>
    </row>
    <row r="5" spans="1:25" ht="12" customHeight="1">
      <c r="A5" s="8"/>
      <c r="B5" s="1150" t="s">
        <v>545</v>
      </c>
      <c r="C5" s="1150"/>
      <c r="D5" s="1150" t="s">
        <v>546</v>
      </c>
      <c r="E5" s="1150"/>
      <c r="F5" s="1150"/>
      <c r="G5" s="1150"/>
      <c r="H5" s="1150"/>
      <c r="I5" s="1150"/>
      <c r="J5" s="1150"/>
      <c r="K5" s="1150"/>
      <c r="L5" s="1150"/>
      <c r="M5" s="1150"/>
      <c r="N5" s="1150"/>
      <c r="O5" s="1150" t="s">
        <v>547</v>
      </c>
      <c r="P5" s="1150"/>
      <c r="Q5" s="1150" t="s">
        <v>548</v>
      </c>
      <c r="R5" s="1150"/>
      <c r="S5" s="1150" t="str">
        <f>OP!C32&amp;"保費/元"</f>
        <v>年繳保費/元</v>
      </c>
      <c r="T5" s="1150"/>
      <c r="U5" s="1150"/>
    </row>
    <row r="6" spans="1:25" ht="12" customHeight="1">
      <c r="A6" s="8">
        <v>1</v>
      </c>
      <c r="B6" s="1170" t="str">
        <f ca="1">IF($A$2=1,"",OP!$C$73)</f>
        <v>陳○祥</v>
      </c>
      <c r="C6" s="1171"/>
      <c r="D6" s="1165" t="str">
        <f ca="1">IF($A$2=1,"",OP!$C$23&amp;IF(OP!$C$24&gt;1,"(繳費"&amp;OP!$C$24&amp;"年)","(躉繳)"))</f>
        <v>富邦人壽好吉利利率變動型增額終身壽險(繳費6年)</v>
      </c>
      <c r="E6" s="1166"/>
      <c r="F6" s="1166"/>
      <c r="G6" s="1166"/>
      <c r="H6" s="1166"/>
      <c r="I6" s="1166"/>
      <c r="J6" s="1166"/>
      <c r="K6" s="1166"/>
      <c r="L6" s="1166"/>
      <c r="M6" s="1166"/>
      <c r="N6" s="1167"/>
      <c r="O6" s="1152" t="str">
        <f ca="1">IF($A$2=1,"",OP!$C$22)</f>
        <v>IWT</v>
      </c>
      <c r="P6" s="1152"/>
      <c r="Q6" s="1151">
        <f ca="1">IF($A$2=1,"",OP!$C$28)</f>
        <v>34</v>
      </c>
      <c r="R6" s="1151"/>
      <c r="S6" s="1169">
        <f ca="1">IF($A$2=1,"",OP!C35)</f>
        <v>170238</v>
      </c>
      <c r="T6" s="1169"/>
      <c r="U6" s="1169"/>
    </row>
    <row r="7" spans="1:25" s="319" customFormat="1" ht="12" customHeight="1">
      <c r="A7" s="46"/>
      <c r="B7" s="318" t="str">
        <f ca="1">IF(OR($A$2=1),"","本保件符合保費折扣條件："&amp;OP!K9)</f>
        <v>本保件符合保費折扣條件：繳費方式 1%折扣及高保額 1.0%折扣</v>
      </c>
      <c r="C7" s="248"/>
      <c r="D7" s="249"/>
      <c r="E7" s="249"/>
      <c r="F7" s="249"/>
      <c r="G7" s="249"/>
      <c r="H7" s="249"/>
      <c r="I7" s="249"/>
      <c r="J7" s="249"/>
      <c r="K7" s="249"/>
      <c r="L7" s="249"/>
      <c r="M7" s="250"/>
      <c r="N7" s="250"/>
      <c r="O7" s="251"/>
      <c r="P7" s="251"/>
      <c r="Q7" s="251"/>
      <c r="R7" s="252"/>
      <c r="S7" s="252"/>
      <c r="T7" s="252"/>
      <c r="U7" s="253"/>
    </row>
    <row r="8" spans="1:25" s="319" customFormat="1" ht="12" customHeight="1">
      <c r="A8" s="46"/>
      <c r="B8" s="162" t="str">
        <f ca="1">IF(OR($A$2=1,AND(OP!$C$46=0,OP!$C$47=0)),"","主約"&amp;輸入頁!$E$15&amp;"總保費 "&amp;TEXT(OP!$C$35,"#,##0 元")&amp;"，"&amp;IF(OP!$C$46&gt;0,"首期折扣後保費 "&amp;TEXT(OP!$C$48,"#,##0 元"),"首期保費 "&amp;TEXT(OP!$C$48,"#,##0 元"))&amp;"，"&amp;IF(OP!$C$47&gt;0,"續期折扣後保費 "&amp;TEXT(OP!$C$49,"#,##0 元 "),"續期保費 "&amp;TEXT(OP!$C$49,"#,##0 元 ")))</f>
        <v xml:space="preserve">主約總保費 170,238 元，首期折扣後保費 166,833 元，續期折扣後保費 166,833 元 </v>
      </c>
      <c r="C8" s="248"/>
      <c r="D8" s="249"/>
      <c r="E8" s="249"/>
      <c r="F8" s="249"/>
      <c r="G8" s="249"/>
      <c r="H8" s="249"/>
      <c r="I8" s="249"/>
      <c r="J8" s="249"/>
      <c r="K8" s="249"/>
      <c r="L8" s="249"/>
      <c r="M8" s="250"/>
      <c r="N8" s="250"/>
      <c r="O8" s="251"/>
      <c r="P8" s="251"/>
      <c r="Q8" s="251"/>
      <c r="R8" s="252"/>
      <c r="S8" s="252"/>
      <c r="T8" s="252"/>
      <c r="U8" s="163"/>
    </row>
    <row r="9" spans="1:25" ht="12.95" hidden="1" customHeight="1">
      <c r="A9" s="8"/>
      <c r="B9" s="1168"/>
      <c r="C9" s="1168"/>
      <c r="D9" s="1168"/>
      <c r="E9" s="1168"/>
      <c r="F9" s="1168"/>
      <c r="G9" s="1168"/>
      <c r="H9" s="1168"/>
      <c r="I9" s="1168"/>
      <c r="J9" s="1168"/>
      <c r="K9" s="1168"/>
      <c r="L9" s="1168"/>
      <c r="M9" s="1168"/>
      <c r="N9" s="1168"/>
      <c r="O9" s="1168"/>
      <c r="P9" s="1168"/>
      <c r="Q9" s="1168"/>
      <c r="R9" s="1168"/>
      <c r="S9" s="1168"/>
      <c r="T9" s="1168"/>
      <c r="U9" s="1168"/>
    </row>
    <row r="10" spans="1:25" ht="12.95" hidden="1" customHeight="1">
      <c r="A10" s="8"/>
      <c r="B10" s="10"/>
      <c r="C10" s="254"/>
      <c r="D10" s="254"/>
      <c r="E10" s="254"/>
      <c r="F10" s="254"/>
      <c r="G10" s="254"/>
      <c r="H10" s="254"/>
      <c r="I10" s="254"/>
      <c r="J10" s="254"/>
      <c r="K10" s="254"/>
      <c r="L10" s="254"/>
      <c r="M10" s="254"/>
      <c r="N10" s="254"/>
      <c r="O10" s="254"/>
      <c r="P10" s="254"/>
      <c r="Q10" s="254"/>
      <c r="R10" s="254"/>
      <c r="S10" s="255"/>
      <c r="T10" s="256"/>
      <c r="U10" s="256"/>
    </row>
    <row r="11" spans="1:25" ht="15.75" customHeight="1">
      <c r="B11" s="1164" t="s">
        <v>553</v>
      </c>
      <c r="C11" s="1164"/>
      <c r="D11" s="1164"/>
      <c r="E11" s="1164"/>
      <c r="F11" s="1164"/>
      <c r="G11" s="1164"/>
      <c r="H11" s="1164"/>
      <c r="I11" s="1164"/>
      <c r="J11" s="1164"/>
      <c r="K11" s="1164"/>
      <c r="L11" s="1164"/>
      <c r="M11" s="1164"/>
      <c r="N11" s="1164"/>
      <c r="O11" s="1164"/>
      <c r="P11" s="1164"/>
      <c r="Q11" s="1164"/>
      <c r="R11" s="1164"/>
      <c r="S11" s="1164"/>
      <c r="T11" s="1164"/>
      <c r="U11" s="1164"/>
      <c r="V11" s="7"/>
    </row>
    <row r="12" spans="1:25" ht="2.25" customHeight="1">
      <c r="B12" s="257"/>
      <c r="C12" s="226"/>
      <c r="D12" s="227"/>
      <c r="E12" s="227"/>
      <c r="F12" s="227"/>
      <c r="G12" s="227"/>
      <c r="H12" s="227"/>
      <c r="I12" s="227"/>
      <c r="J12" s="228"/>
      <c r="K12" s="10"/>
      <c r="L12" s="229"/>
      <c r="M12" s="229"/>
      <c r="N12" s="227"/>
      <c r="O12" s="227"/>
      <c r="P12" s="142"/>
      <c r="Q12" s="10"/>
      <c r="R12" s="143"/>
      <c r="S12" s="144"/>
      <c r="T12" s="145"/>
      <c r="U12" s="10"/>
      <c r="V12" s="7"/>
    </row>
    <row r="13" spans="1:25" ht="48" hidden="1" customHeight="1">
      <c r="B13" s="1145" t="s">
        <v>578</v>
      </c>
      <c r="C13" s="1146"/>
      <c r="D13" s="1146"/>
      <c r="E13" s="1147" t="s">
        <v>579</v>
      </c>
      <c r="F13" s="1148"/>
      <c r="G13" s="1148"/>
      <c r="H13" s="1148"/>
      <c r="I13" s="1148"/>
      <c r="J13" s="1148"/>
      <c r="K13" s="1148"/>
      <c r="L13" s="1148"/>
      <c r="M13" s="1148"/>
      <c r="N13" s="1148"/>
      <c r="O13" s="1148"/>
      <c r="P13" s="1148"/>
      <c r="Q13" s="1148"/>
      <c r="R13" s="1148"/>
      <c r="S13" s="1148"/>
      <c r="T13" s="1148"/>
      <c r="U13" s="1149"/>
      <c r="V13" s="7"/>
    </row>
    <row r="14" spans="1:25" ht="11.25" hidden="1" customHeight="1">
      <c r="B14" s="292"/>
      <c r="C14" s="293"/>
      <c r="D14" s="293"/>
      <c r="E14" s="293"/>
      <c r="F14" s="293"/>
      <c r="G14" s="293"/>
      <c r="H14" s="293"/>
      <c r="I14" s="293"/>
      <c r="J14" s="294"/>
      <c r="K14" s="295"/>
      <c r="L14" s="296"/>
      <c r="M14" s="296"/>
      <c r="N14" s="293"/>
      <c r="O14" s="293"/>
      <c r="P14" s="297"/>
      <c r="Q14" s="295"/>
      <c r="R14" s="298"/>
      <c r="S14" s="299"/>
      <c r="T14" s="300"/>
      <c r="U14" s="295"/>
      <c r="V14" s="7"/>
    </row>
    <row r="15" spans="1:25" ht="12" hidden="1" customHeight="1">
      <c r="B15" s="1172" t="str">
        <f ca="1">RDATA!$H$1</f>
        <v/>
      </c>
      <c r="C15" s="1172"/>
      <c r="D15" s="1172"/>
      <c r="E15" s="1172"/>
      <c r="F15" s="1172"/>
      <c r="G15" s="1172"/>
      <c r="H15" s="1172"/>
      <c r="I15" s="1172"/>
      <c r="J15" s="1172"/>
      <c r="K15" s="1172"/>
      <c r="L15" s="1172"/>
      <c r="M15" s="1172"/>
      <c r="N15" s="1172"/>
      <c r="O15" s="1172"/>
      <c r="P15" s="1172"/>
      <c r="Q15" s="1172"/>
      <c r="R15" s="1172"/>
      <c r="S15" s="1172"/>
      <c r="T15" s="1172"/>
      <c r="U15" s="1172"/>
      <c r="V15" s="7"/>
    </row>
    <row r="16" spans="1:25" ht="12" customHeight="1">
      <c r="B16" s="301"/>
      <c r="C16" s="302"/>
      <c r="D16" s="303"/>
      <c r="E16" s="303"/>
      <c r="F16" s="302"/>
      <c r="G16" s="302"/>
      <c r="H16" s="303"/>
      <c r="I16" s="303"/>
      <c r="J16" s="304"/>
      <c r="K16" s="304"/>
      <c r="L16" s="305"/>
      <c r="M16" s="305"/>
      <c r="N16" s="306"/>
      <c r="O16" s="306"/>
      <c r="P16" s="307"/>
      <c r="Q16" s="169"/>
      <c r="R16" s="308"/>
      <c r="S16" s="311"/>
      <c r="T16" s="309"/>
      <c r="U16" s="310" t="s">
        <v>549</v>
      </c>
      <c r="V16" s="7"/>
    </row>
    <row r="17" spans="2:25" s="17" customFormat="1" ht="77.25" customHeight="1">
      <c r="B17" s="841" t="s">
        <v>550</v>
      </c>
      <c r="C17" s="841" t="s">
        <v>551</v>
      </c>
      <c r="D17" s="1121" t="str">
        <f ca="1">"年度實繳保費
"&amp;IF(OP!$D$5&lt;16,"已扣除增值回饋分享金
(預估值)","")</f>
        <v xml:space="preserve">年度實繳保費
</v>
      </c>
      <c r="E17" s="1121"/>
      <c r="F17" s="1121"/>
      <c r="G17" s="1121" t="str">
        <f ca="1">"年度末
增值回饋分享金
(預估值)"
&amp;IF(OP!$D$5&lt;16,"
1~6年僅購買增額繳清保險金額
"&amp;"16歲前限抵繳保費後儲存生息","")</f>
        <v>年度末
增值回饋分享金
(預估值)</v>
      </c>
      <c r="H17" s="1121"/>
      <c r="I17" s="1121"/>
      <c r="J17" s="1121" t="str">
        <f ca="1">"累積實繳保費"&amp;IF(OP!$D$5&lt;16,"
已扣除增值回饋分享金
(預估值)","")</f>
        <v>累積實繳保費</v>
      </c>
      <c r="K17" s="1121"/>
      <c r="L17" s="1121"/>
      <c r="M17" s="1121" t="s">
        <v>946</v>
      </c>
      <c r="N17" s="1121"/>
      <c r="O17" s="1121"/>
      <c r="P17" s="1121" t="s">
        <v>894</v>
      </c>
      <c r="Q17" s="1121"/>
      <c r="R17" s="1121"/>
      <c r="S17" s="1173" t="s">
        <v>947</v>
      </c>
      <c r="T17" s="1174"/>
      <c r="U17" s="1175"/>
      <c r="V17" s="18"/>
      <c r="W17" s="357"/>
      <c r="X17" s="358"/>
      <c r="Y17" s="358"/>
    </row>
    <row r="18" spans="2:25" s="22" customFormat="1" ht="12" customHeight="1">
      <c r="B18" s="689">
        <v>1</v>
      </c>
      <c r="C18" s="689">
        <f ca="1">IF($A$2=1,"",輸入頁!O6)</f>
        <v>33</v>
      </c>
      <c r="D18" s="1119">
        <f t="shared" ref="D18:D49" ca="1" si="0">IF(OR($A$2=1,B18="",VLOOKUP($B18,TOV,3,0)=0),"",VLOOKUP($B18,TOV,3,0))</f>
        <v>166833</v>
      </c>
      <c r="E18" s="1119"/>
      <c r="F18" s="1119"/>
      <c r="G18" s="1119">
        <f t="shared" ref="G18:G49" ca="1" si="1">IF(OR($A$2=1,$B18="",VLOOKUP($B18,TOV,10,0)=0),"",VLOOKUP($B18,TOV,10,0))</f>
        <v>727</v>
      </c>
      <c r="H18" s="1119"/>
      <c r="I18" s="1119"/>
      <c r="J18" s="1119">
        <f t="shared" ref="J18:J49" ca="1" si="2">IF(OR($A$2=1,$B18="",VLOOKUP($B18,TOV,4,0)=0),"",VLOOKUP($B18,TOV,4,0))</f>
        <v>166833</v>
      </c>
      <c r="K18" s="1119"/>
      <c r="L18" s="1119"/>
      <c r="M18" s="1119">
        <f t="shared" ref="M18:M49" ca="1" si="3">IF(OR($A$2=1,$B18="",VLOOKUP($B18,TOV,7,0)=0),"",VLOOKUP($B18,TOV,7,0))</f>
        <v>180452</v>
      </c>
      <c r="N18" s="1119"/>
      <c r="O18" s="1119"/>
      <c r="P18" s="1119">
        <f t="shared" ref="P18:P49" ca="1" si="4">IF(OR($A$2=1,$B18="",VLOOKUP($B18,TOV,8,0)=0),"",VLOOKUP($B18,TOV,8,0))</f>
        <v>79016</v>
      </c>
      <c r="Q18" s="1119"/>
      <c r="R18" s="1119"/>
      <c r="S18" s="1119">
        <f t="shared" ref="S18:S49" ca="1" si="5">IF(OR($A$2=1,$B18="",VLOOKUP($B18,TOV,9,0)=0),"",VLOOKUP($B18,TOV,9,0))</f>
        <v>37604</v>
      </c>
      <c r="T18" s="1119"/>
      <c r="U18" s="1119"/>
      <c r="V18" s="23"/>
      <c r="W18" s="359"/>
      <c r="X18" s="360"/>
      <c r="Y18" s="360"/>
    </row>
    <row r="19" spans="2:25" s="22" customFormat="1" ht="12" customHeight="1">
      <c r="B19" s="689">
        <v>2</v>
      </c>
      <c r="C19" s="689">
        <f ca="1">IF(OR($A$2=1,MAX($C$18:C18)&gt;=110),"",C18+(B19-B18))</f>
        <v>34</v>
      </c>
      <c r="D19" s="1119">
        <f t="shared" ca="1" si="0"/>
        <v>166833</v>
      </c>
      <c r="E19" s="1119"/>
      <c r="F19" s="1119"/>
      <c r="G19" s="1119">
        <f t="shared" ca="1" si="1"/>
        <v>1941</v>
      </c>
      <c r="H19" s="1119"/>
      <c r="I19" s="1119"/>
      <c r="J19" s="1119">
        <f t="shared" ca="1" si="2"/>
        <v>333666</v>
      </c>
      <c r="K19" s="1119"/>
      <c r="L19" s="1119"/>
      <c r="M19" s="1119">
        <f t="shared" ca="1" si="3"/>
        <v>360903</v>
      </c>
      <c r="N19" s="1119"/>
      <c r="O19" s="1119"/>
      <c r="P19" s="1119">
        <f t="shared" ca="1" si="4"/>
        <v>224502</v>
      </c>
      <c r="Q19" s="1119"/>
      <c r="R19" s="1119"/>
      <c r="S19" s="1119">
        <f t="shared" ca="1" si="5"/>
        <v>100266</v>
      </c>
      <c r="T19" s="1119"/>
      <c r="U19" s="1119"/>
      <c r="V19" s="23"/>
      <c r="W19" s="359"/>
      <c r="X19" s="360"/>
      <c r="Y19" s="360"/>
    </row>
    <row r="20" spans="2:25" s="22" customFormat="1" ht="12" customHeight="1">
      <c r="B20" s="689">
        <v>3</v>
      </c>
      <c r="C20" s="689">
        <f ca="1">IF(OR($A$2=1,MAX($C$18:C19)&gt;=110),"",C19+(B20-B19))</f>
        <v>35</v>
      </c>
      <c r="D20" s="1119">
        <f t="shared" ca="1" si="0"/>
        <v>166833</v>
      </c>
      <c r="E20" s="1119"/>
      <c r="F20" s="1119"/>
      <c r="G20" s="1119">
        <f t="shared" ca="1" si="1"/>
        <v>3189</v>
      </c>
      <c r="H20" s="1119"/>
      <c r="I20" s="1119"/>
      <c r="J20" s="1119">
        <f t="shared" ca="1" si="2"/>
        <v>500499</v>
      </c>
      <c r="K20" s="1119"/>
      <c r="L20" s="1119"/>
      <c r="M20" s="1119">
        <f t="shared" ca="1" si="3"/>
        <v>541358</v>
      </c>
      <c r="N20" s="1119"/>
      <c r="O20" s="1119"/>
      <c r="P20" s="1119">
        <f t="shared" ca="1" si="4"/>
        <v>390524</v>
      </c>
      <c r="Q20" s="1119"/>
      <c r="R20" s="1119"/>
      <c r="S20" s="1119">
        <f t="shared" ca="1" si="5"/>
        <v>161704</v>
      </c>
      <c r="T20" s="1119"/>
      <c r="U20" s="1119"/>
      <c r="V20" s="23"/>
      <c r="W20" s="359"/>
      <c r="X20" s="360"/>
      <c r="Y20" s="360"/>
    </row>
    <row r="21" spans="2:25" s="22" customFormat="1" ht="12" customHeight="1">
      <c r="B21" s="689">
        <v>4</v>
      </c>
      <c r="C21" s="689">
        <f ca="1">IF(OR($A$2=1,MAX($C$18:C20)&gt;=110),"",C20+(B21-B20))</f>
        <v>36</v>
      </c>
      <c r="D21" s="1119">
        <f t="shared" ca="1" si="0"/>
        <v>166833</v>
      </c>
      <c r="E21" s="1119"/>
      <c r="F21" s="1119"/>
      <c r="G21" s="1119">
        <f t="shared" ca="1" si="1"/>
        <v>4470</v>
      </c>
      <c r="H21" s="1119"/>
      <c r="I21" s="1119"/>
      <c r="J21" s="1119">
        <f t="shared" ca="1" si="2"/>
        <v>667332</v>
      </c>
      <c r="K21" s="1119"/>
      <c r="L21" s="1119"/>
      <c r="M21" s="1119">
        <f t="shared" ca="1" si="3"/>
        <v>721810</v>
      </c>
      <c r="N21" s="1119"/>
      <c r="O21" s="1119"/>
      <c r="P21" s="1119">
        <f t="shared" ca="1" si="4"/>
        <v>577592</v>
      </c>
      <c r="Q21" s="1119"/>
      <c r="R21" s="1119"/>
      <c r="S21" s="1119">
        <f t="shared" ca="1" si="5"/>
        <v>221884</v>
      </c>
      <c r="T21" s="1119"/>
      <c r="U21" s="1119"/>
      <c r="V21" s="23"/>
      <c r="W21" s="359"/>
      <c r="X21" s="360"/>
      <c r="Y21" s="360"/>
    </row>
    <row r="22" spans="2:25" s="22" customFormat="1" ht="12" customHeight="1">
      <c r="B22" s="689">
        <v>5</v>
      </c>
      <c r="C22" s="689">
        <f ca="1">IF(OR($A$2=1,MAX($C$18:C21)&gt;=110),"",C21+(B22-B21))</f>
        <v>37</v>
      </c>
      <c r="D22" s="1119">
        <f t="shared" ca="1" si="0"/>
        <v>166833</v>
      </c>
      <c r="E22" s="1119"/>
      <c r="F22" s="1119"/>
      <c r="G22" s="1119">
        <f t="shared" ca="1" si="1"/>
        <v>5786</v>
      </c>
      <c r="H22" s="1119"/>
      <c r="I22" s="1119"/>
      <c r="J22" s="1119">
        <f t="shared" ca="1" si="2"/>
        <v>834165</v>
      </c>
      <c r="K22" s="1119"/>
      <c r="L22" s="1119"/>
      <c r="M22" s="1119">
        <f t="shared" ca="1" si="3"/>
        <v>902261</v>
      </c>
      <c r="N22" s="1119"/>
      <c r="O22" s="1119"/>
      <c r="P22" s="1119">
        <f t="shared" ca="1" si="4"/>
        <v>786420</v>
      </c>
      <c r="Q22" s="1119"/>
      <c r="R22" s="1119"/>
      <c r="S22" s="1119">
        <f t="shared" ca="1" si="5"/>
        <v>280942</v>
      </c>
      <c r="T22" s="1119"/>
      <c r="U22" s="1119"/>
      <c r="V22" s="23"/>
      <c r="W22" s="359"/>
      <c r="X22" s="360"/>
      <c r="Y22" s="360"/>
    </row>
    <row r="23" spans="2:25" s="22" customFormat="1" ht="12" customHeight="1">
      <c r="B23" s="689">
        <v>6</v>
      </c>
      <c r="C23" s="689">
        <f ca="1">IF(OR($A$2=1,MAX($C$18:C22)&gt;=110),"",C22+(B23-B22))</f>
        <v>38</v>
      </c>
      <c r="D23" s="1119">
        <f t="shared" ca="1" si="0"/>
        <v>166833</v>
      </c>
      <c r="E23" s="1119"/>
      <c r="F23" s="1119"/>
      <c r="G23" s="1119">
        <f t="shared" ca="1" si="1"/>
        <v>7137</v>
      </c>
      <c r="H23" s="1119"/>
      <c r="I23" s="1119"/>
      <c r="J23" s="1119">
        <f t="shared" ca="1" si="2"/>
        <v>1000998</v>
      </c>
      <c r="K23" s="1119"/>
      <c r="L23" s="1119"/>
      <c r="M23" s="1119">
        <f t="shared" ca="1" si="3"/>
        <v>1082713</v>
      </c>
      <c r="N23" s="1119"/>
      <c r="O23" s="1119"/>
      <c r="P23" s="1119">
        <f t="shared" ca="1" si="4"/>
        <v>1007318</v>
      </c>
      <c r="Q23" s="1119"/>
      <c r="R23" s="1119"/>
      <c r="S23" s="1119" t="str">
        <f t="shared" ca="1" si="5"/>
        <v/>
      </c>
      <c r="T23" s="1119"/>
      <c r="U23" s="1119"/>
      <c r="V23" s="23"/>
      <c r="W23" s="359"/>
      <c r="X23" s="360"/>
      <c r="Y23" s="360"/>
    </row>
    <row r="24" spans="2:25" s="22" customFormat="1" ht="12" customHeight="1">
      <c r="B24" s="689">
        <v>7</v>
      </c>
      <c r="C24" s="689">
        <f ca="1">IF(OR($A$2=1,MAX($C$18:C23)&gt;=110),"",C23+(B24-B23))</f>
        <v>39</v>
      </c>
      <c r="D24" s="1119" t="str">
        <f t="shared" ca="1" si="0"/>
        <v/>
      </c>
      <c r="E24" s="1119"/>
      <c r="F24" s="1119"/>
      <c r="G24" s="1119">
        <f t="shared" ca="1" si="1"/>
        <v>7329</v>
      </c>
      <c r="H24" s="1119"/>
      <c r="I24" s="1119"/>
      <c r="J24" s="1119">
        <f t="shared" ca="1" si="2"/>
        <v>1000998</v>
      </c>
      <c r="K24" s="1119"/>
      <c r="L24" s="1119"/>
      <c r="M24" s="1119">
        <f t="shared" ca="1" si="3"/>
        <v>1082713</v>
      </c>
      <c r="N24" s="1119"/>
      <c r="O24" s="1119"/>
      <c r="P24" s="1119">
        <f t="shared" ca="1" si="4"/>
        <v>1037748</v>
      </c>
      <c r="Q24" s="1119"/>
      <c r="R24" s="1119"/>
      <c r="S24" s="1119" t="str">
        <f t="shared" ca="1" si="5"/>
        <v/>
      </c>
      <c r="T24" s="1119"/>
      <c r="U24" s="1119"/>
      <c r="V24" s="23"/>
      <c r="W24" s="359"/>
      <c r="X24" s="360"/>
      <c r="Y24" s="360"/>
    </row>
    <row r="25" spans="2:25" s="22" customFormat="1" ht="12" customHeight="1">
      <c r="B25" s="689">
        <v>8</v>
      </c>
      <c r="C25" s="689">
        <f ca="1">IF(OR($A$2=1,MAX($C$18:C24)&gt;=110),"",C24+(B25-B24))</f>
        <v>40</v>
      </c>
      <c r="D25" s="1119" t="str">
        <f t="shared" ca="1" si="0"/>
        <v/>
      </c>
      <c r="E25" s="1119"/>
      <c r="F25" s="1119"/>
      <c r="G25" s="1119">
        <f t="shared" ca="1" si="1"/>
        <v>7475</v>
      </c>
      <c r="H25" s="1119"/>
      <c r="I25" s="1119"/>
      <c r="J25" s="1119">
        <f t="shared" ca="1" si="2"/>
        <v>1000998</v>
      </c>
      <c r="K25" s="1119"/>
      <c r="L25" s="1119"/>
      <c r="M25" s="1119">
        <f t="shared" ca="1" si="3"/>
        <v>1082713</v>
      </c>
      <c r="N25" s="1119"/>
      <c r="O25" s="1119"/>
      <c r="P25" s="1119">
        <f t="shared" ca="1" si="4"/>
        <v>1058420</v>
      </c>
      <c r="Q25" s="1119"/>
      <c r="R25" s="1119"/>
      <c r="S25" s="1119" t="str">
        <f t="shared" ca="1" si="5"/>
        <v/>
      </c>
      <c r="T25" s="1119"/>
      <c r="U25" s="1119"/>
      <c r="V25" s="23"/>
      <c r="W25" s="359"/>
      <c r="X25" s="360"/>
      <c r="Y25" s="360"/>
    </row>
    <row r="26" spans="2:25" s="22" customFormat="1" ht="12" customHeight="1">
      <c r="B26" s="689">
        <v>9</v>
      </c>
      <c r="C26" s="689">
        <f ca="1">IF(OR($A$2=1,MAX($C$18:C25)&gt;=110),"",C25+(B26-B25))</f>
        <v>41</v>
      </c>
      <c r="D26" s="1119" t="str">
        <f t="shared" ca="1" si="0"/>
        <v/>
      </c>
      <c r="E26" s="1119"/>
      <c r="F26" s="1119"/>
      <c r="G26" s="1119">
        <f t="shared" ca="1" si="1"/>
        <v>7625</v>
      </c>
      <c r="H26" s="1119"/>
      <c r="I26" s="1119"/>
      <c r="J26" s="1119">
        <f t="shared" ca="1" si="2"/>
        <v>1000998</v>
      </c>
      <c r="K26" s="1119"/>
      <c r="L26" s="1119"/>
      <c r="M26" s="1119">
        <f t="shared" ca="1" si="3"/>
        <v>1082713</v>
      </c>
      <c r="N26" s="1119"/>
      <c r="O26" s="1119"/>
      <c r="P26" s="1119">
        <f t="shared" ca="1" si="4"/>
        <v>1079534</v>
      </c>
      <c r="Q26" s="1119"/>
      <c r="R26" s="1119"/>
      <c r="S26" s="1119" t="str">
        <f t="shared" ca="1" si="5"/>
        <v/>
      </c>
      <c r="T26" s="1119"/>
      <c r="U26" s="1119"/>
      <c r="V26" s="23"/>
      <c r="W26" s="359"/>
      <c r="X26" s="360"/>
      <c r="Y26" s="360"/>
    </row>
    <row r="27" spans="2:25" s="22" customFormat="1" ht="12" customHeight="1">
      <c r="B27" s="689">
        <v>10</v>
      </c>
      <c r="C27" s="689">
        <f ca="1">IF(OR($A$2=1,MAX($C$18:C26)&gt;=110),"",C26+(B27-B26))</f>
        <v>42</v>
      </c>
      <c r="D27" s="1119" t="str">
        <f t="shared" ca="1" si="0"/>
        <v/>
      </c>
      <c r="E27" s="1119"/>
      <c r="F27" s="1119"/>
      <c r="G27" s="1119">
        <f t="shared" ca="1" si="1"/>
        <v>7777</v>
      </c>
      <c r="H27" s="1119"/>
      <c r="I27" s="1119"/>
      <c r="J27" s="1119">
        <f t="shared" ca="1" si="2"/>
        <v>1000998</v>
      </c>
      <c r="K27" s="1119"/>
      <c r="L27" s="1119"/>
      <c r="M27" s="1119">
        <f t="shared" ca="1" si="3"/>
        <v>1101124</v>
      </c>
      <c r="N27" s="1119"/>
      <c r="O27" s="1119"/>
      <c r="P27" s="1119">
        <f t="shared" ca="1" si="4"/>
        <v>1101124</v>
      </c>
      <c r="Q27" s="1119"/>
      <c r="R27" s="1119"/>
      <c r="S27" s="1119" t="str">
        <f t="shared" ca="1" si="5"/>
        <v/>
      </c>
      <c r="T27" s="1119"/>
      <c r="U27" s="1119"/>
      <c r="V27" s="23"/>
      <c r="W27" s="359"/>
      <c r="X27" s="360"/>
      <c r="Y27" s="360"/>
    </row>
    <row r="28" spans="2:25" s="22" customFormat="1" ht="12" customHeight="1">
      <c r="B28" s="689">
        <v>11</v>
      </c>
      <c r="C28" s="689">
        <f ca="1">IF(OR($A$2=1,MAX($C$18:C27)&gt;=110),"",C27+(B28-B27))</f>
        <v>43</v>
      </c>
      <c r="D28" s="1119" t="str">
        <f t="shared" ca="1" si="0"/>
        <v/>
      </c>
      <c r="E28" s="1119"/>
      <c r="F28" s="1119"/>
      <c r="G28" s="1119">
        <f t="shared" ca="1" si="1"/>
        <v>7933</v>
      </c>
      <c r="H28" s="1119"/>
      <c r="I28" s="1119"/>
      <c r="J28" s="1119">
        <f t="shared" ca="1" si="2"/>
        <v>1000998</v>
      </c>
      <c r="K28" s="1119"/>
      <c r="L28" s="1119"/>
      <c r="M28" s="1119">
        <f t="shared" ca="1" si="3"/>
        <v>1123156</v>
      </c>
      <c r="N28" s="1119"/>
      <c r="O28" s="1119"/>
      <c r="P28" s="1119">
        <f t="shared" ca="1" si="4"/>
        <v>1123156</v>
      </c>
      <c r="Q28" s="1119"/>
      <c r="R28" s="1119"/>
      <c r="S28" s="1119" t="str">
        <f t="shared" ca="1" si="5"/>
        <v/>
      </c>
      <c r="T28" s="1119"/>
      <c r="U28" s="1119"/>
      <c r="V28" s="23"/>
      <c r="W28" s="359"/>
      <c r="X28" s="360"/>
      <c r="Y28" s="360"/>
    </row>
    <row r="29" spans="2:25" s="22" customFormat="1" ht="12" customHeight="1">
      <c r="B29" s="689">
        <v>12</v>
      </c>
      <c r="C29" s="689">
        <f ca="1">IF(OR($A$2=1,MAX($C$18:C28)&gt;=110),"",C28+(B29-B28))</f>
        <v>44</v>
      </c>
      <c r="D29" s="1119" t="str">
        <f t="shared" ca="1" si="0"/>
        <v/>
      </c>
      <c r="E29" s="1119"/>
      <c r="F29" s="1119"/>
      <c r="G29" s="1119">
        <f t="shared" ca="1" si="1"/>
        <v>8091</v>
      </c>
      <c r="H29" s="1119"/>
      <c r="I29" s="1119"/>
      <c r="J29" s="1119">
        <f t="shared" ca="1" si="2"/>
        <v>1000998</v>
      </c>
      <c r="K29" s="1119"/>
      <c r="L29" s="1119"/>
      <c r="M29" s="1119">
        <f t="shared" ca="1" si="3"/>
        <v>1145630</v>
      </c>
      <c r="N29" s="1119"/>
      <c r="O29" s="1119"/>
      <c r="P29" s="1119">
        <f t="shared" ca="1" si="4"/>
        <v>1145630</v>
      </c>
      <c r="Q29" s="1119"/>
      <c r="R29" s="1119"/>
      <c r="S29" s="1119" t="str">
        <f t="shared" ca="1" si="5"/>
        <v/>
      </c>
      <c r="T29" s="1119"/>
      <c r="U29" s="1119"/>
      <c r="V29" s="23"/>
      <c r="W29" s="359"/>
      <c r="X29" s="360"/>
      <c r="Y29" s="360"/>
    </row>
    <row r="30" spans="2:25" s="22" customFormat="1" ht="12" customHeight="1">
      <c r="B30" s="689">
        <v>13</v>
      </c>
      <c r="C30" s="689">
        <f ca="1">IF(OR($A$2=1,MAX($C$18:C29)&gt;=110),"",C29+(B30-B29))</f>
        <v>45</v>
      </c>
      <c r="D30" s="1119" t="str">
        <f t="shared" ca="1" si="0"/>
        <v/>
      </c>
      <c r="E30" s="1119"/>
      <c r="F30" s="1119"/>
      <c r="G30" s="1119">
        <f t="shared" ca="1" si="1"/>
        <v>8253</v>
      </c>
      <c r="H30" s="1119"/>
      <c r="I30" s="1119"/>
      <c r="J30" s="1119">
        <f t="shared" ca="1" si="2"/>
        <v>1000998</v>
      </c>
      <c r="K30" s="1119"/>
      <c r="L30" s="1119"/>
      <c r="M30" s="1119">
        <f t="shared" ca="1" si="3"/>
        <v>1168546</v>
      </c>
      <c r="N30" s="1119"/>
      <c r="O30" s="1119"/>
      <c r="P30" s="1119">
        <f t="shared" ca="1" si="4"/>
        <v>1168546</v>
      </c>
      <c r="Q30" s="1119"/>
      <c r="R30" s="1119"/>
      <c r="S30" s="1119" t="str">
        <f t="shared" ca="1" si="5"/>
        <v/>
      </c>
      <c r="T30" s="1119"/>
      <c r="U30" s="1119"/>
      <c r="V30" s="23"/>
      <c r="W30" s="359"/>
      <c r="X30" s="360"/>
      <c r="Y30" s="360"/>
    </row>
    <row r="31" spans="2:25" s="22" customFormat="1" ht="12" customHeight="1">
      <c r="B31" s="689">
        <v>14</v>
      </c>
      <c r="C31" s="689">
        <f ca="1">IF(OR($A$2=1,MAX($C$18:C30)&gt;=110),"",C30+(B31-B30))</f>
        <v>46</v>
      </c>
      <c r="D31" s="1119" t="str">
        <f t="shared" ca="1" si="0"/>
        <v/>
      </c>
      <c r="E31" s="1119"/>
      <c r="F31" s="1119"/>
      <c r="G31" s="1119">
        <f t="shared" ca="1" si="1"/>
        <v>8418</v>
      </c>
      <c r="H31" s="1119"/>
      <c r="I31" s="1119"/>
      <c r="J31" s="1119">
        <f t="shared" ca="1" si="2"/>
        <v>1000998</v>
      </c>
      <c r="K31" s="1119"/>
      <c r="L31" s="1119"/>
      <c r="M31" s="1119">
        <f t="shared" ca="1" si="3"/>
        <v>1191904</v>
      </c>
      <c r="N31" s="1119"/>
      <c r="O31" s="1119"/>
      <c r="P31" s="1119">
        <f t="shared" ca="1" si="4"/>
        <v>1191904</v>
      </c>
      <c r="Q31" s="1119"/>
      <c r="R31" s="1119"/>
      <c r="S31" s="1119" t="str">
        <f t="shared" ca="1" si="5"/>
        <v/>
      </c>
      <c r="T31" s="1119"/>
      <c r="U31" s="1119"/>
      <c r="V31" s="23"/>
      <c r="W31" s="359"/>
      <c r="X31" s="360"/>
      <c r="Y31" s="360"/>
    </row>
    <row r="32" spans="2:25" s="22" customFormat="1" ht="12" customHeight="1">
      <c r="B32" s="689">
        <v>15</v>
      </c>
      <c r="C32" s="689">
        <f ca="1">IF(OR($A$2=1,MAX($C$18:C31)&gt;=110),"",C31+(B32-B31))</f>
        <v>47</v>
      </c>
      <c r="D32" s="1119" t="str">
        <f t="shared" ca="1" si="0"/>
        <v/>
      </c>
      <c r="E32" s="1119"/>
      <c r="F32" s="1119"/>
      <c r="G32" s="1119">
        <f t="shared" ca="1" si="1"/>
        <v>8587</v>
      </c>
      <c r="H32" s="1119"/>
      <c r="I32" s="1119"/>
      <c r="J32" s="1119">
        <f t="shared" ca="1" si="2"/>
        <v>1000998</v>
      </c>
      <c r="K32" s="1119"/>
      <c r="L32" s="1119"/>
      <c r="M32" s="1119">
        <f t="shared" ca="1" si="3"/>
        <v>1215738</v>
      </c>
      <c r="N32" s="1119"/>
      <c r="O32" s="1119"/>
      <c r="P32" s="1119">
        <f t="shared" ca="1" si="4"/>
        <v>1215738</v>
      </c>
      <c r="Q32" s="1119"/>
      <c r="R32" s="1119"/>
      <c r="S32" s="1119" t="str">
        <f t="shared" ca="1" si="5"/>
        <v/>
      </c>
      <c r="T32" s="1119"/>
      <c r="U32" s="1119"/>
      <c r="V32" s="23"/>
      <c r="W32" s="359"/>
      <c r="X32" s="360"/>
      <c r="Y32" s="360"/>
    </row>
    <row r="33" spans="2:25" s="22" customFormat="1" ht="12" customHeight="1">
      <c r="B33" s="689">
        <v>16</v>
      </c>
      <c r="C33" s="689">
        <f ca="1">IF(OR($A$2=1,MAX($C$18:C32)&gt;=110),"",C32+(B33-B32))</f>
        <v>48</v>
      </c>
      <c r="D33" s="1119" t="str">
        <f t="shared" ca="1" si="0"/>
        <v/>
      </c>
      <c r="E33" s="1119"/>
      <c r="F33" s="1119"/>
      <c r="G33" s="1119">
        <f t="shared" ca="1" si="1"/>
        <v>8758</v>
      </c>
      <c r="H33" s="1119"/>
      <c r="I33" s="1119"/>
      <c r="J33" s="1119">
        <f t="shared" ca="1" si="2"/>
        <v>1000998</v>
      </c>
      <c r="K33" s="1119"/>
      <c r="L33" s="1119"/>
      <c r="M33" s="1119">
        <f t="shared" ca="1" si="3"/>
        <v>1240048</v>
      </c>
      <c r="N33" s="1119"/>
      <c r="O33" s="1119"/>
      <c r="P33" s="1119">
        <f t="shared" ca="1" si="4"/>
        <v>1240048</v>
      </c>
      <c r="Q33" s="1119"/>
      <c r="R33" s="1119"/>
      <c r="S33" s="1119" t="str">
        <f t="shared" ca="1" si="5"/>
        <v/>
      </c>
      <c r="T33" s="1119"/>
      <c r="U33" s="1119"/>
      <c r="V33" s="23"/>
      <c r="W33" s="359"/>
      <c r="X33" s="360"/>
      <c r="Y33" s="360"/>
    </row>
    <row r="34" spans="2:25" s="22" customFormat="1" ht="12" customHeight="1">
      <c r="B34" s="689">
        <v>17</v>
      </c>
      <c r="C34" s="689">
        <f ca="1">IF(OR($A$2=1,MAX($C$18:C33)&gt;=110),"",C33+(B34-B33))</f>
        <v>49</v>
      </c>
      <c r="D34" s="1119" t="str">
        <f t="shared" ca="1" si="0"/>
        <v/>
      </c>
      <c r="E34" s="1119"/>
      <c r="F34" s="1119"/>
      <c r="G34" s="1119">
        <f t="shared" ca="1" si="1"/>
        <v>8934</v>
      </c>
      <c r="H34" s="1119"/>
      <c r="I34" s="1119"/>
      <c r="J34" s="1119">
        <f t="shared" ca="1" si="2"/>
        <v>1000998</v>
      </c>
      <c r="K34" s="1119"/>
      <c r="L34" s="1119"/>
      <c r="M34" s="1119">
        <f t="shared" ca="1" si="3"/>
        <v>1264868</v>
      </c>
      <c r="N34" s="1119"/>
      <c r="O34" s="1119"/>
      <c r="P34" s="1119">
        <f t="shared" ca="1" si="4"/>
        <v>1264868</v>
      </c>
      <c r="Q34" s="1119"/>
      <c r="R34" s="1119"/>
      <c r="S34" s="1119" t="str">
        <f t="shared" ca="1" si="5"/>
        <v/>
      </c>
      <c r="T34" s="1119"/>
      <c r="U34" s="1119"/>
      <c r="V34" s="23"/>
      <c r="W34" s="359"/>
      <c r="X34" s="360"/>
      <c r="Y34" s="360"/>
    </row>
    <row r="35" spans="2:25" s="22" customFormat="1" ht="12" customHeight="1">
      <c r="B35" s="689">
        <v>18</v>
      </c>
      <c r="C35" s="689">
        <f ca="1">IF(OR($A$2=1,MAX($C$18:C34)&gt;=110),"",C34+(B35-B34))</f>
        <v>50</v>
      </c>
      <c r="D35" s="1119" t="str">
        <f t="shared" ca="1" si="0"/>
        <v/>
      </c>
      <c r="E35" s="1119"/>
      <c r="F35" s="1119"/>
      <c r="G35" s="1119">
        <f t="shared" ca="1" si="1"/>
        <v>9112</v>
      </c>
      <c r="H35" s="1119"/>
      <c r="I35" s="1119"/>
      <c r="J35" s="1119">
        <f t="shared" ca="1" si="2"/>
        <v>1000998</v>
      </c>
      <c r="K35" s="1119"/>
      <c r="L35" s="1119"/>
      <c r="M35" s="1119">
        <f t="shared" ca="1" si="3"/>
        <v>1290164</v>
      </c>
      <c r="N35" s="1119"/>
      <c r="O35" s="1119"/>
      <c r="P35" s="1119">
        <f t="shared" ca="1" si="4"/>
        <v>1290164</v>
      </c>
      <c r="Q35" s="1119"/>
      <c r="R35" s="1119"/>
      <c r="S35" s="1119" t="str">
        <f t="shared" ca="1" si="5"/>
        <v/>
      </c>
      <c r="T35" s="1119"/>
      <c r="U35" s="1119"/>
      <c r="V35" s="23"/>
      <c r="W35" s="359"/>
      <c r="X35" s="360"/>
      <c r="Y35" s="360"/>
    </row>
    <row r="36" spans="2:25" s="22" customFormat="1" ht="12" customHeight="1">
      <c r="B36" s="689">
        <v>19</v>
      </c>
      <c r="C36" s="689">
        <f ca="1">IF(OR($A$2=1,MAX($C$18:C35)&gt;=110),"",C35+(B36-B35))</f>
        <v>51</v>
      </c>
      <c r="D36" s="1119" t="str">
        <f t="shared" ca="1" si="0"/>
        <v/>
      </c>
      <c r="E36" s="1119"/>
      <c r="F36" s="1119"/>
      <c r="G36" s="1119">
        <f t="shared" ca="1" si="1"/>
        <v>9294</v>
      </c>
      <c r="H36" s="1119"/>
      <c r="I36" s="1119"/>
      <c r="J36" s="1119">
        <f t="shared" ca="1" si="2"/>
        <v>1000998</v>
      </c>
      <c r="K36" s="1119"/>
      <c r="L36" s="1119"/>
      <c r="M36" s="1119">
        <f t="shared" ca="1" si="3"/>
        <v>1315970</v>
      </c>
      <c r="N36" s="1119"/>
      <c r="O36" s="1119"/>
      <c r="P36" s="1119">
        <f t="shared" ca="1" si="4"/>
        <v>1315970</v>
      </c>
      <c r="Q36" s="1119"/>
      <c r="R36" s="1119"/>
      <c r="S36" s="1119" t="str">
        <f t="shared" ca="1" si="5"/>
        <v/>
      </c>
      <c r="T36" s="1119"/>
      <c r="U36" s="1119"/>
      <c r="V36" s="23"/>
      <c r="W36" s="359"/>
      <c r="X36" s="360"/>
      <c r="Y36" s="360"/>
    </row>
    <row r="37" spans="2:25" s="22" customFormat="1" ht="12" customHeight="1">
      <c r="B37" s="689">
        <v>20</v>
      </c>
      <c r="C37" s="689">
        <f ca="1">IF(OR($A$2=1,MAX($C$18:C36)&gt;=110),"",C36+(B37-B36))</f>
        <v>52</v>
      </c>
      <c r="D37" s="1119" t="str">
        <f t="shared" ca="1" si="0"/>
        <v/>
      </c>
      <c r="E37" s="1119"/>
      <c r="F37" s="1119"/>
      <c r="G37" s="1119">
        <f t="shared" ca="1" si="1"/>
        <v>9480</v>
      </c>
      <c r="H37" s="1119"/>
      <c r="I37" s="1119"/>
      <c r="J37" s="1119">
        <f t="shared" ca="1" si="2"/>
        <v>1000998</v>
      </c>
      <c r="K37" s="1119"/>
      <c r="L37" s="1119"/>
      <c r="M37" s="1119">
        <f t="shared" ca="1" si="3"/>
        <v>1342286</v>
      </c>
      <c r="N37" s="1119"/>
      <c r="O37" s="1119"/>
      <c r="P37" s="1119">
        <f t="shared" ca="1" si="4"/>
        <v>1342286</v>
      </c>
      <c r="Q37" s="1119"/>
      <c r="R37" s="1119"/>
      <c r="S37" s="1119" t="str">
        <f t="shared" ca="1" si="5"/>
        <v/>
      </c>
      <c r="T37" s="1119"/>
      <c r="U37" s="1119"/>
      <c r="V37" s="23"/>
      <c r="W37" s="359"/>
      <c r="X37" s="360"/>
      <c r="Y37" s="360"/>
    </row>
    <row r="38" spans="2:25" s="22" customFormat="1" ht="12" customHeight="1">
      <c r="B38" s="693">
        <f ca="1">IF(OR(C37&gt;=110,C37=""),"",IF(C37+1&gt;110,111-$C$18,B37+1))</f>
        <v>21</v>
      </c>
      <c r="C38" s="689">
        <f ca="1">IF(OR($A$2=1,MAX($C$18:C37)&gt;=110),"",C37+(B38-B37))</f>
        <v>53</v>
      </c>
      <c r="D38" s="1119" t="str">
        <f t="shared" ca="1" si="0"/>
        <v/>
      </c>
      <c r="E38" s="1119"/>
      <c r="F38" s="1119"/>
      <c r="G38" s="1119">
        <f t="shared" ca="1" si="1"/>
        <v>9670</v>
      </c>
      <c r="H38" s="1119"/>
      <c r="I38" s="1119"/>
      <c r="J38" s="1119">
        <f t="shared" ca="1" si="2"/>
        <v>1000998</v>
      </c>
      <c r="K38" s="1119"/>
      <c r="L38" s="1119"/>
      <c r="M38" s="1119">
        <f t="shared" ca="1" si="3"/>
        <v>1369112</v>
      </c>
      <c r="N38" s="1119"/>
      <c r="O38" s="1119"/>
      <c r="P38" s="1119">
        <f t="shared" ca="1" si="4"/>
        <v>1369112</v>
      </c>
      <c r="Q38" s="1119"/>
      <c r="R38" s="1119"/>
      <c r="S38" s="1119" t="str">
        <f t="shared" ca="1" si="5"/>
        <v/>
      </c>
      <c r="T38" s="1119"/>
      <c r="U38" s="1119"/>
      <c r="V38" s="23"/>
      <c r="W38" s="359"/>
      <c r="X38" s="360"/>
      <c r="Y38" s="360"/>
    </row>
    <row r="39" spans="2:25" s="22" customFormat="1" ht="12" customHeight="1">
      <c r="B39" s="693">
        <f t="shared" ref="B39:B47" ca="1" si="6">IF(OR(C38&gt;=110,C38=""),"",IF(C38+1&gt;110,111-$C$18,B38+1))</f>
        <v>22</v>
      </c>
      <c r="C39" s="689">
        <f ca="1">IF(OR($A$2=1,MAX($C$18:C38)&gt;=110),"",C38+(B39-B38))</f>
        <v>54</v>
      </c>
      <c r="D39" s="1119" t="str">
        <f t="shared" ca="1" si="0"/>
        <v/>
      </c>
      <c r="E39" s="1119"/>
      <c r="F39" s="1119"/>
      <c r="G39" s="1119">
        <f t="shared" ca="1" si="1"/>
        <v>9863</v>
      </c>
      <c r="H39" s="1119"/>
      <c r="I39" s="1119"/>
      <c r="J39" s="1119">
        <f t="shared" ca="1" si="2"/>
        <v>1000998</v>
      </c>
      <c r="K39" s="1119"/>
      <c r="L39" s="1119"/>
      <c r="M39" s="1119">
        <f t="shared" ca="1" si="3"/>
        <v>1396516</v>
      </c>
      <c r="N39" s="1119"/>
      <c r="O39" s="1119"/>
      <c r="P39" s="1119">
        <f t="shared" ca="1" si="4"/>
        <v>1396516</v>
      </c>
      <c r="Q39" s="1119"/>
      <c r="R39" s="1119"/>
      <c r="S39" s="1119" t="str">
        <f t="shared" ca="1" si="5"/>
        <v/>
      </c>
      <c r="T39" s="1119"/>
      <c r="U39" s="1119"/>
      <c r="V39" s="23"/>
      <c r="W39" s="359"/>
      <c r="X39" s="360"/>
      <c r="Y39" s="360"/>
    </row>
    <row r="40" spans="2:25" s="22" customFormat="1" ht="12" customHeight="1">
      <c r="B40" s="693">
        <f t="shared" ca="1" si="6"/>
        <v>23</v>
      </c>
      <c r="C40" s="689">
        <f ca="1">IF(OR($A$2=1,MAX($C$18:C39)&gt;=110),"",C39+(B40-B39))</f>
        <v>55</v>
      </c>
      <c r="D40" s="1119" t="str">
        <f t="shared" ca="1" si="0"/>
        <v/>
      </c>
      <c r="E40" s="1119"/>
      <c r="F40" s="1119"/>
      <c r="G40" s="1119">
        <f t="shared" ca="1" si="1"/>
        <v>10061</v>
      </c>
      <c r="H40" s="1119"/>
      <c r="I40" s="1119"/>
      <c r="J40" s="1119">
        <f t="shared" ca="1" si="2"/>
        <v>1000998</v>
      </c>
      <c r="K40" s="1119"/>
      <c r="L40" s="1119"/>
      <c r="M40" s="1119">
        <f t="shared" ca="1" si="3"/>
        <v>1424430</v>
      </c>
      <c r="N40" s="1119"/>
      <c r="O40" s="1119"/>
      <c r="P40" s="1119">
        <f t="shared" ca="1" si="4"/>
        <v>1424430</v>
      </c>
      <c r="Q40" s="1119"/>
      <c r="R40" s="1119"/>
      <c r="S40" s="1119" t="str">
        <f t="shared" ca="1" si="5"/>
        <v/>
      </c>
      <c r="T40" s="1119"/>
      <c r="U40" s="1119"/>
      <c r="V40" s="23"/>
      <c r="W40" s="359"/>
      <c r="X40" s="360"/>
      <c r="Y40" s="360"/>
    </row>
    <row r="41" spans="2:25" s="22" customFormat="1" ht="12" customHeight="1">
      <c r="B41" s="693">
        <f t="shared" ca="1" si="6"/>
        <v>24</v>
      </c>
      <c r="C41" s="689">
        <f ca="1">IF(OR($A$2=1,MAX($C$18:C40)&gt;=110),"",C40+(B41-B40))</f>
        <v>56</v>
      </c>
      <c r="D41" s="1119" t="str">
        <f t="shared" ca="1" si="0"/>
        <v/>
      </c>
      <c r="E41" s="1119"/>
      <c r="F41" s="1119"/>
      <c r="G41" s="1119">
        <f t="shared" ca="1" si="1"/>
        <v>10261</v>
      </c>
      <c r="H41" s="1119"/>
      <c r="I41" s="1119"/>
      <c r="J41" s="1119">
        <f t="shared" ca="1" si="2"/>
        <v>1000998</v>
      </c>
      <c r="K41" s="1119"/>
      <c r="L41" s="1119"/>
      <c r="M41" s="1119">
        <f t="shared" ca="1" si="3"/>
        <v>1452922</v>
      </c>
      <c r="N41" s="1119"/>
      <c r="O41" s="1119"/>
      <c r="P41" s="1119">
        <f t="shared" ca="1" si="4"/>
        <v>1452922</v>
      </c>
      <c r="Q41" s="1119"/>
      <c r="R41" s="1119"/>
      <c r="S41" s="1119" t="str">
        <f t="shared" ca="1" si="5"/>
        <v/>
      </c>
      <c r="T41" s="1119"/>
      <c r="U41" s="1119"/>
      <c r="V41" s="23"/>
      <c r="W41" s="359"/>
      <c r="X41" s="360"/>
      <c r="Y41" s="360"/>
    </row>
    <row r="42" spans="2:25" s="22" customFormat="1" ht="12" customHeight="1">
      <c r="B42" s="693">
        <f t="shared" ca="1" si="6"/>
        <v>25</v>
      </c>
      <c r="C42" s="689">
        <f ca="1">IF(OR($A$2=1,MAX($C$18:C41)&gt;=110),"",C41+(B42-B41))</f>
        <v>57</v>
      </c>
      <c r="D42" s="1119" t="str">
        <f t="shared" ca="1" si="0"/>
        <v/>
      </c>
      <c r="E42" s="1119"/>
      <c r="F42" s="1119"/>
      <c r="G42" s="1119">
        <f t="shared" ca="1" si="1"/>
        <v>10467</v>
      </c>
      <c r="H42" s="1119"/>
      <c r="I42" s="1119"/>
      <c r="J42" s="1119">
        <f t="shared" ca="1" si="2"/>
        <v>1000998</v>
      </c>
      <c r="K42" s="1119"/>
      <c r="L42" s="1119"/>
      <c r="M42" s="1119">
        <f t="shared" ca="1" si="3"/>
        <v>1481992</v>
      </c>
      <c r="N42" s="1119"/>
      <c r="O42" s="1119"/>
      <c r="P42" s="1119">
        <f t="shared" ca="1" si="4"/>
        <v>1481992</v>
      </c>
      <c r="Q42" s="1119"/>
      <c r="R42" s="1119"/>
      <c r="S42" s="1119" t="str">
        <f t="shared" ca="1" si="5"/>
        <v/>
      </c>
      <c r="T42" s="1119"/>
      <c r="U42" s="1119"/>
      <c r="V42" s="23"/>
      <c r="W42" s="359"/>
      <c r="X42" s="360"/>
      <c r="Y42" s="360"/>
    </row>
    <row r="43" spans="2:25" s="22" customFormat="1" ht="12" customHeight="1">
      <c r="B43" s="693">
        <f t="shared" ca="1" si="6"/>
        <v>26</v>
      </c>
      <c r="C43" s="689">
        <f ca="1">IF(OR($A$2=1,MAX($C$18:C42)&gt;=110),"",C42+(B43-B42))</f>
        <v>58</v>
      </c>
      <c r="D43" s="1119" t="str">
        <f t="shared" ca="1" si="0"/>
        <v/>
      </c>
      <c r="E43" s="1119"/>
      <c r="F43" s="1119"/>
      <c r="G43" s="1119">
        <f t="shared" ca="1" si="1"/>
        <v>10676</v>
      </c>
      <c r="H43" s="1119"/>
      <c r="I43" s="1119"/>
      <c r="J43" s="1119">
        <f t="shared" ca="1" si="2"/>
        <v>1000998</v>
      </c>
      <c r="K43" s="1119"/>
      <c r="L43" s="1119"/>
      <c r="M43" s="1119">
        <f t="shared" ca="1" si="3"/>
        <v>1511606</v>
      </c>
      <c r="N43" s="1119"/>
      <c r="O43" s="1119"/>
      <c r="P43" s="1119">
        <f t="shared" ca="1" si="4"/>
        <v>1511606</v>
      </c>
      <c r="Q43" s="1119"/>
      <c r="R43" s="1119"/>
      <c r="S43" s="1119" t="str">
        <f t="shared" ca="1" si="5"/>
        <v/>
      </c>
      <c r="T43" s="1119"/>
      <c r="U43" s="1119"/>
      <c r="V43" s="23"/>
      <c r="W43" s="359"/>
      <c r="X43" s="360"/>
      <c r="Y43" s="360"/>
    </row>
    <row r="44" spans="2:25" s="22" customFormat="1" ht="12" customHeight="1">
      <c r="B44" s="693">
        <f t="shared" ca="1" si="6"/>
        <v>27</v>
      </c>
      <c r="C44" s="689">
        <f ca="1">IF(OR($A$2=1,MAX($C$18:C43)&gt;=110),"",C43+(B44-B43))</f>
        <v>59</v>
      </c>
      <c r="D44" s="1119" t="str">
        <f t="shared" ca="1" si="0"/>
        <v/>
      </c>
      <c r="E44" s="1119"/>
      <c r="F44" s="1119"/>
      <c r="G44" s="1119">
        <f t="shared" ca="1" si="1"/>
        <v>10890</v>
      </c>
      <c r="H44" s="1119"/>
      <c r="I44" s="1119"/>
      <c r="J44" s="1119">
        <f t="shared" ca="1" si="2"/>
        <v>1000998</v>
      </c>
      <c r="K44" s="1119"/>
      <c r="L44" s="1119"/>
      <c r="M44" s="1119">
        <f t="shared" ca="1" si="3"/>
        <v>1541832</v>
      </c>
      <c r="N44" s="1119"/>
      <c r="O44" s="1119"/>
      <c r="P44" s="1119">
        <f t="shared" ca="1" si="4"/>
        <v>1541832</v>
      </c>
      <c r="Q44" s="1119"/>
      <c r="R44" s="1119"/>
      <c r="S44" s="1119" t="str">
        <f t="shared" ca="1" si="5"/>
        <v/>
      </c>
      <c r="T44" s="1119"/>
      <c r="U44" s="1119"/>
      <c r="V44" s="23"/>
      <c r="W44" s="359"/>
      <c r="X44" s="360"/>
      <c r="Y44" s="360"/>
    </row>
    <row r="45" spans="2:25" s="22" customFormat="1" ht="12" customHeight="1">
      <c r="B45" s="693">
        <f t="shared" ca="1" si="6"/>
        <v>28</v>
      </c>
      <c r="C45" s="689">
        <f ca="1">IF(OR($A$2=1,MAX($C$18:C44)&gt;=110),"",C44+(B45-B44))</f>
        <v>60</v>
      </c>
      <c r="D45" s="1119" t="str">
        <f t="shared" ca="1" si="0"/>
        <v/>
      </c>
      <c r="E45" s="1119"/>
      <c r="F45" s="1119"/>
      <c r="G45" s="1119">
        <f t="shared" ca="1" si="1"/>
        <v>11107</v>
      </c>
      <c r="H45" s="1119"/>
      <c r="I45" s="1119"/>
      <c r="J45" s="1119">
        <f t="shared" ca="1" si="2"/>
        <v>1000998</v>
      </c>
      <c r="K45" s="1119"/>
      <c r="L45" s="1119"/>
      <c r="M45" s="1119">
        <f t="shared" ca="1" si="3"/>
        <v>1572670</v>
      </c>
      <c r="N45" s="1119"/>
      <c r="O45" s="1119"/>
      <c r="P45" s="1119">
        <f t="shared" ca="1" si="4"/>
        <v>1572670</v>
      </c>
      <c r="Q45" s="1119"/>
      <c r="R45" s="1119"/>
      <c r="S45" s="1119" t="str">
        <f t="shared" ca="1" si="5"/>
        <v/>
      </c>
      <c r="T45" s="1119"/>
      <c r="U45" s="1119"/>
      <c r="V45" s="23"/>
      <c r="W45" s="359"/>
      <c r="X45" s="360"/>
      <c r="Y45" s="360"/>
    </row>
    <row r="46" spans="2:25" s="22" customFormat="1" ht="12" customHeight="1">
      <c r="B46" s="693">
        <f t="shared" ca="1" si="6"/>
        <v>29</v>
      </c>
      <c r="C46" s="689">
        <f ca="1">IF(OR($A$2=1,MAX($C$18:C45)&gt;=110),"",C45+(B46-B45))</f>
        <v>61</v>
      </c>
      <c r="D46" s="1119" t="str">
        <f t="shared" ca="1" si="0"/>
        <v/>
      </c>
      <c r="E46" s="1119"/>
      <c r="F46" s="1119"/>
      <c r="G46" s="1119">
        <f t="shared" ca="1" si="1"/>
        <v>11329</v>
      </c>
      <c r="H46" s="1119"/>
      <c r="I46" s="1119"/>
      <c r="J46" s="1119">
        <f t="shared" ca="1" si="2"/>
        <v>1000998</v>
      </c>
      <c r="K46" s="1119"/>
      <c r="L46" s="1119"/>
      <c r="M46" s="1119">
        <f t="shared" ca="1" si="3"/>
        <v>1604120</v>
      </c>
      <c r="N46" s="1119"/>
      <c r="O46" s="1119"/>
      <c r="P46" s="1119">
        <f t="shared" ca="1" si="4"/>
        <v>1604120</v>
      </c>
      <c r="Q46" s="1119"/>
      <c r="R46" s="1119"/>
      <c r="S46" s="1119" t="str">
        <f t="shared" ca="1" si="5"/>
        <v/>
      </c>
      <c r="T46" s="1119"/>
      <c r="U46" s="1119"/>
      <c r="V46" s="23"/>
      <c r="W46" s="359"/>
      <c r="X46" s="360"/>
      <c r="Y46" s="360"/>
    </row>
    <row r="47" spans="2:25" s="22" customFormat="1" ht="12" customHeight="1">
      <c r="B47" s="693">
        <f t="shared" ca="1" si="6"/>
        <v>30</v>
      </c>
      <c r="C47" s="689">
        <f ca="1">IF(OR($A$2=1,MAX($C$18:C46)&gt;=110),"",C46+(B47-B46))</f>
        <v>62</v>
      </c>
      <c r="D47" s="1119" t="str">
        <f t="shared" ca="1" si="0"/>
        <v/>
      </c>
      <c r="E47" s="1119"/>
      <c r="F47" s="1119"/>
      <c r="G47" s="1119">
        <f t="shared" ca="1" si="1"/>
        <v>11556</v>
      </c>
      <c r="H47" s="1119"/>
      <c r="I47" s="1119"/>
      <c r="J47" s="1119">
        <f t="shared" ca="1" si="2"/>
        <v>1000998</v>
      </c>
      <c r="K47" s="1119"/>
      <c r="L47" s="1119"/>
      <c r="M47" s="1119">
        <f t="shared" ca="1" si="3"/>
        <v>1636216</v>
      </c>
      <c r="N47" s="1119"/>
      <c r="O47" s="1119"/>
      <c r="P47" s="1119">
        <f t="shared" ca="1" si="4"/>
        <v>1636216</v>
      </c>
      <c r="Q47" s="1119"/>
      <c r="R47" s="1119"/>
      <c r="S47" s="1119" t="str">
        <f t="shared" ca="1" si="5"/>
        <v/>
      </c>
      <c r="T47" s="1119"/>
      <c r="U47" s="1119"/>
      <c r="V47" s="23"/>
      <c r="W47" s="359"/>
      <c r="X47" s="360"/>
      <c r="Y47" s="360"/>
    </row>
    <row r="48" spans="2:25" s="22" customFormat="1" ht="12" customHeight="1">
      <c r="B48" s="693">
        <f ca="1">IF(OR(C47&gt;=110,C47=""),"",IF(C47+1&gt;110,111-$C$18,B47+1))</f>
        <v>31</v>
      </c>
      <c r="C48" s="689">
        <f ca="1">IF(OR($A$2=1,MAX($C$18:C47)&gt;=110),"",C47+(B48-B47))</f>
        <v>63</v>
      </c>
      <c r="D48" s="1119" t="str">
        <f t="shared" ca="1" si="0"/>
        <v/>
      </c>
      <c r="E48" s="1119"/>
      <c r="F48" s="1119"/>
      <c r="G48" s="1119">
        <f t="shared" ca="1" si="1"/>
        <v>11787</v>
      </c>
      <c r="H48" s="1119"/>
      <c r="I48" s="1119"/>
      <c r="J48" s="1119">
        <f t="shared" ca="1" si="2"/>
        <v>1000998</v>
      </c>
      <c r="K48" s="1119"/>
      <c r="L48" s="1119"/>
      <c r="M48" s="1119">
        <f t="shared" ca="1" si="3"/>
        <v>1668924</v>
      </c>
      <c r="N48" s="1119"/>
      <c r="O48" s="1119"/>
      <c r="P48" s="1119">
        <f t="shared" ca="1" si="4"/>
        <v>1668924</v>
      </c>
      <c r="Q48" s="1119"/>
      <c r="R48" s="1119"/>
      <c r="S48" s="1119" t="str">
        <f t="shared" ca="1" si="5"/>
        <v/>
      </c>
      <c r="T48" s="1119"/>
      <c r="U48" s="1119"/>
      <c r="V48" s="23"/>
      <c r="W48" s="359"/>
      <c r="X48" s="360"/>
      <c r="Y48" s="360"/>
    </row>
    <row r="49" spans="2:25" s="22" customFormat="1" ht="12" customHeight="1">
      <c r="B49" s="693">
        <f ca="1">IF(OR(C48&gt;=110,C48=""),"",IF(C48+1&gt;110,111-$C$18,B48+1))</f>
        <v>32</v>
      </c>
      <c r="C49" s="689">
        <f ca="1">IF(OR($A$2=1,MAX($C$18:C48)&gt;=110),"",C48+(B49-B48))</f>
        <v>64</v>
      </c>
      <c r="D49" s="1119" t="str">
        <f t="shared" ca="1" si="0"/>
        <v/>
      </c>
      <c r="E49" s="1119"/>
      <c r="F49" s="1119"/>
      <c r="G49" s="1119">
        <f t="shared" ca="1" si="1"/>
        <v>12023</v>
      </c>
      <c r="H49" s="1119"/>
      <c r="I49" s="1119"/>
      <c r="J49" s="1119">
        <f t="shared" ca="1" si="2"/>
        <v>1000998</v>
      </c>
      <c r="K49" s="1119"/>
      <c r="L49" s="1119"/>
      <c r="M49" s="1119">
        <f t="shared" ca="1" si="3"/>
        <v>1702312</v>
      </c>
      <c r="N49" s="1119"/>
      <c r="O49" s="1119"/>
      <c r="P49" s="1119">
        <f t="shared" ca="1" si="4"/>
        <v>1702312</v>
      </c>
      <c r="Q49" s="1119"/>
      <c r="R49" s="1119"/>
      <c r="S49" s="1119" t="str">
        <f t="shared" ca="1" si="5"/>
        <v/>
      </c>
      <c r="T49" s="1119"/>
      <c r="U49" s="1119"/>
      <c r="V49" s="23"/>
      <c r="W49" s="359"/>
      <c r="X49" s="360"/>
      <c r="Y49" s="360"/>
    </row>
    <row r="50" spans="2:25" s="22" customFormat="1" ht="12" customHeight="1">
      <c r="B50" s="693">
        <f ca="1">IF(OR(C49&gt;=110,C49=""),"",IF(C49+1&gt;110,111-$C$18,B49+1))</f>
        <v>33</v>
      </c>
      <c r="C50" s="689">
        <f ca="1">IF(OR($A$2=1,MAX($C$18:C49)&gt;=110),"",C49+(B50-B49))</f>
        <v>65</v>
      </c>
      <c r="D50" s="1119" t="str">
        <f t="shared" ref="D50:D72" ca="1" si="7">IF(OR($A$2=1,B50="",VLOOKUP($B50,TOV,3,0)=0),"",VLOOKUP($B50,TOV,3,0))</f>
        <v/>
      </c>
      <c r="E50" s="1119"/>
      <c r="F50" s="1119"/>
      <c r="G50" s="1119">
        <f t="shared" ref="G50:G72" ca="1" si="8">IF(OR($A$2=1,$B50="",VLOOKUP($B50,TOV,10,0)=0),"",VLOOKUP($B50,TOV,10,0))</f>
        <v>12263</v>
      </c>
      <c r="H50" s="1119"/>
      <c r="I50" s="1119"/>
      <c r="J50" s="1119">
        <f t="shared" ref="J50:J72" ca="1" si="9">IF(OR($A$2=1,$B50="",VLOOKUP($B50,TOV,4,0)=0),"",VLOOKUP($B50,TOV,4,0))</f>
        <v>1000998</v>
      </c>
      <c r="K50" s="1119"/>
      <c r="L50" s="1119"/>
      <c r="M50" s="1119">
        <f t="shared" ref="M50:M72" ca="1" si="10">IF(OR($A$2=1,$B50="",VLOOKUP($B50,TOV,7,0)=0),"",VLOOKUP($B50,TOV,7,0))</f>
        <v>1736346</v>
      </c>
      <c r="N50" s="1119"/>
      <c r="O50" s="1119"/>
      <c r="P50" s="1119">
        <f t="shared" ref="P50:P72" ca="1" si="11">IF(OR($A$2=1,$B50="",VLOOKUP($B50,TOV,8,0)=0),"",VLOOKUP($B50,TOV,8,0))</f>
        <v>1736346</v>
      </c>
      <c r="Q50" s="1119"/>
      <c r="R50" s="1119"/>
      <c r="S50" s="1119" t="str">
        <f t="shared" ref="S50:S72" ca="1" si="12">IF(OR($A$2=1,$B50="",VLOOKUP($B50,TOV,9,0)=0),"",VLOOKUP($B50,TOV,9,0))</f>
        <v/>
      </c>
      <c r="T50" s="1119"/>
      <c r="U50" s="1119"/>
      <c r="V50" s="23"/>
      <c r="W50" s="359"/>
      <c r="X50" s="360"/>
      <c r="Y50" s="360"/>
    </row>
    <row r="51" spans="2:25" s="22" customFormat="1" ht="12" customHeight="1">
      <c r="B51" s="693">
        <f ca="1">IF(OR(C50&gt;=110,C50=""),"",IF(C50+1&gt;110,111-$C$18,B50+1))</f>
        <v>34</v>
      </c>
      <c r="C51" s="689">
        <f ca="1">IF(OR($A$2=1,MAX($C$18:C50)&gt;=110),"",C50+(B51-B50))</f>
        <v>66</v>
      </c>
      <c r="D51" s="1119" t="str">
        <f t="shared" ca="1" si="7"/>
        <v/>
      </c>
      <c r="E51" s="1119"/>
      <c r="F51" s="1119"/>
      <c r="G51" s="1119">
        <f t="shared" ca="1" si="8"/>
        <v>12509</v>
      </c>
      <c r="H51" s="1119"/>
      <c r="I51" s="1119"/>
      <c r="J51" s="1119">
        <f t="shared" ca="1" si="9"/>
        <v>1000998</v>
      </c>
      <c r="K51" s="1119"/>
      <c r="L51" s="1119"/>
      <c r="M51" s="1119">
        <f t="shared" ca="1" si="10"/>
        <v>1771094</v>
      </c>
      <c r="N51" s="1119"/>
      <c r="O51" s="1119"/>
      <c r="P51" s="1119">
        <f t="shared" ca="1" si="11"/>
        <v>1771094</v>
      </c>
      <c r="Q51" s="1119"/>
      <c r="R51" s="1119"/>
      <c r="S51" s="1119" t="str">
        <f t="shared" ca="1" si="12"/>
        <v/>
      </c>
      <c r="T51" s="1119"/>
      <c r="U51" s="1119"/>
      <c r="V51" s="23"/>
      <c r="W51" s="359"/>
      <c r="X51" s="360"/>
      <c r="Y51" s="360"/>
    </row>
    <row r="52" spans="2:25" s="22" customFormat="1" ht="12" customHeight="1">
      <c r="B52" s="693">
        <f ca="1">IF(OR(C51&gt;=110,C51=""),"",IF(C51+1&gt;110,111-$C$18,B51+1))</f>
        <v>35</v>
      </c>
      <c r="C52" s="689">
        <f ca="1">IF(OR($A$2=1,MAX($C$18:C51)&gt;=110),"",C51+(B52-B51))</f>
        <v>67</v>
      </c>
      <c r="D52" s="1119" t="str">
        <f t="shared" ca="1" si="7"/>
        <v/>
      </c>
      <c r="E52" s="1119"/>
      <c r="F52" s="1119"/>
      <c r="G52" s="1119">
        <f t="shared" ca="1" si="8"/>
        <v>12759</v>
      </c>
      <c r="H52" s="1119"/>
      <c r="I52" s="1119"/>
      <c r="J52" s="1119">
        <f t="shared" ca="1" si="9"/>
        <v>1000998</v>
      </c>
      <c r="K52" s="1119"/>
      <c r="L52" s="1119"/>
      <c r="M52" s="1119">
        <f t="shared" ca="1" si="10"/>
        <v>1806522</v>
      </c>
      <c r="N52" s="1119"/>
      <c r="O52" s="1119"/>
      <c r="P52" s="1119">
        <f t="shared" ca="1" si="11"/>
        <v>1806522</v>
      </c>
      <c r="Q52" s="1119"/>
      <c r="R52" s="1119"/>
      <c r="S52" s="1119" t="str">
        <f t="shared" ca="1" si="12"/>
        <v/>
      </c>
      <c r="T52" s="1119"/>
      <c r="U52" s="1119"/>
      <c r="V52" s="23"/>
      <c r="W52" s="359"/>
      <c r="X52" s="360"/>
      <c r="Y52" s="360"/>
    </row>
    <row r="53" spans="2:25" s="22" customFormat="1" ht="12" customHeight="1">
      <c r="B53" s="693">
        <f t="shared" ref="B53:B58" ca="1" si="13">IF(OR(C52&gt;=110,C52=""),"",IF(C52+1&gt;110,111-$C$18,B52+1))</f>
        <v>36</v>
      </c>
      <c r="C53" s="689">
        <f ca="1">IF(OR($A$2=1,MAX($C$18:C52)&gt;=110),"",C52+(B53-B52))</f>
        <v>68</v>
      </c>
      <c r="D53" s="1119" t="str">
        <f t="shared" ca="1" si="7"/>
        <v/>
      </c>
      <c r="E53" s="1119"/>
      <c r="F53" s="1119"/>
      <c r="G53" s="1119">
        <f t="shared" ca="1" si="8"/>
        <v>13014</v>
      </c>
      <c r="H53" s="1119"/>
      <c r="I53" s="1119"/>
      <c r="J53" s="1119">
        <f t="shared" ca="1" si="9"/>
        <v>1000998</v>
      </c>
      <c r="K53" s="1119"/>
      <c r="L53" s="1119"/>
      <c r="M53" s="1119">
        <f t="shared" ca="1" si="10"/>
        <v>1842630</v>
      </c>
      <c r="N53" s="1119"/>
      <c r="O53" s="1119"/>
      <c r="P53" s="1119">
        <f t="shared" ca="1" si="11"/>
        <v>1842630</v>
      </c>
      <c r="Q53" s="1119"/>
      <c r="R53" s="1119"/>
      <c r="S53" s="1119" t="str">
        <f t="shared" ca="1" si="12"/>
        <v/>
      </c>
      <c r="T53" s="1119"/>
      <c r="U53" s="1119"/>
      <c r="V53" s="23"/>
      <c r="W53" s="359"/>
      <c r="X53" s="360"/>
      <c r="Y53" s="360"/>
    </row>
    <row r="54" spans="2:25" s="22" customFormat="1" ht="12" customHeight="1">
      <c r="B54" s="693">
        <f t="shared" ca="1" si="13"/>
        <v>37</v>
      </c>
      <c r="C54" s="689">
        <f ca="1">IF(OR($A$2=1,MAX($C$18:C53)&gt;=110),"",C53+(B54-B53))</f>
        <v>69</v>
      </c>
      <c r="D54" s="1119" t="str">
        <f t="shared" ca="1" si="7"/>
        <v/>
      </c>
      <c r="E54" s="1119"/>
      <c r="F54" s="1119"/>
      <c r="G54" s="1119">
        <f t="shared" ca="1" si="8"/>
        <v>13274</v>
      </c>
      <c r="H54" s="1119"/>
      <c r="I54" s="1119"/>
      <c r="J54" s="1119">
        <f t="shared" ca="1" si="9"/>
        <v>1000998</v>
      </c>
      <c r="K54" s="1119"/>
      <c r="L54" s="1119"/>
      <c r="M54" s="1119">
        <f t="shared" ca="1" si="10"/>
        <v>1879486</v>
      </c>
      <c r="N54" s="1119"/>
      <c r="O54" s="1119"/>
      <c r="P54" s="1119">
        <f t="shared" ca="1" si="11"/>
        <v>1879486</v>
      </c>
      <c r="Q54" s="1119"/>
      <c r="R54" s="1119"/>
      <c r="S54" s="1119" t="str">
        <f t="shared" ca="1" si="12"/>
        <v/>
      </c>
      <c r="T54" s="1119"/>
      <c r="U54" s="1119"/>
      <c r="V54" s="23"/>
      <c r="W54" s="359"/>
      <c r="X54" s="360"/>
      <c r="Y54" s="360"/>
    </row>
    <row r="55" spans="2:25" s="22" customFormat="1" ht="12" customHeight="1">
      <c r="B55" s="693">
        <f t="shared" ca="1" si="13"/>
        <v>38</v>
      </c>
      <c r="C55" s="689">
        <f ca="1">IF(OR($A$2=1,MAX($C$18:C54)&gt;=110),"",C54+(B55-B54))</f>
        <v>70</v>
      </c>
      <c r="D55" s="1119" t="str">
        <f t="shared" ca="1" si="7"/>
        <v/>
      </c>
      <c r="E55" s="1119"/>
      <c r="F55" s="1119"/>
      <c r="G55" s="1119">
        <f t="shared" ca="1" si="8"/>
        <v>13540</v>
      </c>
      <c r="H55" s="1119"/>
      <c r="I55" s="1119"/>
      <c r="J55" s="1119">
        <f t="shared" ca="1" si="9"/>
        <v>1000998</v>
      </c>
      <c r="K55" s="1119"/>
      <c r="L55" s="1119"/>
      <c r="M55" s="1119">
        <f t="shared" ca="1" si="10"/>
        <v>1917090</v>
      </c>
      <c r="N55" s="1119"/>
      <c r="O55" s="1119"/>
      <c r="P55" s="1119">
        <f t="shared" ca="1" si="11"/>
        <v>1917090</v>
      </c>
      <c r="Q55" s="1119"/>
      <c r="R55" s="1119"/>
      <c r="S55" s="1119" t="str">
        <f t="shared" ca="1" si="12"/>
        <v/>
      </c>
      <c r="T55" s="1119"/>
      <c r="U55" s="1119"/>
      <c r="V55" s="23"/>
      <c r="W55" s="359"/>
      <c r="X55" s="360"/>
      <c r="Y55" s="360"/>
    </row>
    <row r="56" spans="2:25" s="22" customFormat="1" ht="12" customHeight="1">
      <c r="B56" s="693">
        <f t="shared" ca="1" si="13"/>
        <v>39</v>
      </c>
      <c r="C56" s="689">
        <f ca="1">IF(OR($A$2=1,MAX($C$18:C55)&gt;=110),"",C55+(B56-B55))</f>
        <v>71</v>
      </c>
      <c r="D56" s="1119" t="str">
        <f t="shared" ca="1" si="7"/>
        <v/>
      </c>
      <c r="E56" s="1119"/>
      <c r="F56" s="1119"/>
      <c r="G56" s="1119">
        <f t="shared" ca="1" si="8"/>
        <v>13810</v>
      </c>
      <c r="H56" s="1119"/>
      <c r="I56" s="1119"/>
      <c r="J56" s="1119">
        <f t="shared" ca="1" si="9"/>
        <v>1000998</v>
      </c>
      <c r="K56" s="1119"/>
      <c r="L56" s="1119"/>
      <c r="M56" s="1119">
        <f t="shared" ca="1" si="10"/>
        <v>1955408</v>
      </c>
      <c r="N56" s="1119"/>
      <c r="O56" s="1119"/>
      <c r="P56" s="1119">
        <f t="shared" ca="1" si="11"/>
        <v>1955408</v>
      </c>
      <c r="Q56" s="1119"/>
      <c r="R56" s="1119"/>
      <c r="S56" s="1119" t="str">
        <f t="shared" ca="1" si="12"/>
        <v/>
      </c>
      <c r="T56" s="1119"/>
      <c r="U56" s="1119"/>
      <c r="V56" s="23"/>
      <c r="W56" s="359"/>
      <c r="X56" s="360"/>
      <c r="Y56" s="360"/>
    </row>
    <row r="57" spans="2:25" s="22" customFormat="1" ht="12" customHeight="1">
      <c r="B57" s="693">
        <f t="shared" ca="1" si="13"/>
        <v>40</v>
      </c>
      <c r="C57" s="689">
        <f ca="1">IF(OR($A$2=1,MAX($C$18:C56)&gt;=110),"",C56+(B57-B56))</f>
        <v>72</v>
      </c>
      <c r="D57" s="1119" t="str">
        <f t="shared" ca="1" si="7"/>
        <v/>
      </c>
      <c r="E57" s="1119"/>
      <c r="F57" s="1119"/>
      <c r="G57" s="1119">
        <f t="shared" ca="1" si="8"/>
        <v>14086</v>
      </c>
      <c r="H57" s="1119"/>
      <c r="I57" s="1119"/>
      <c r="J57" s="1119">
        <f t="shared" ca="1" si="9"/>
        <v>1000998</v>
      </c>
      <c r="K57" s="1119"/>
      <c r="L57" s="1119"/>
      <c r="M57" s="1119">
        <f t="shared" ca="1" si="10"/>
        <v>1994508</v>
      </c>
      <c r="N57" s="1119"/>
      <c r="O57" s="1119"/>
      <c r="P57" s="1119">
        <f t="shared" ca="1" si="11"/>
        <v>1994508</v>
      </c>
      <c r="Q57" s="1119"/>
      <c r="R57" s="1119"/>
      <c r="S57" s="1119" t="str">
        <f t="shared" ca="1" si="12"/>
        <v/>
      </c>
      <c r="T57" s="1119"/>
      <c r="U57" s="1119"/>
      <c r="V57" s="23"/>
      <c r="W57" s="359"/>
      <c r="X57" s="360"/>
      <c r="Y57" s="360"/>
    </row>
    <row r="58" spans="2:25" s="22" customFormat="1" ht="12" customHeight="1">
      <c r="B58" s="693">
        <f t="shared" ca="1" si="13"/>
        <v>41</v>
      </c>
      <c r="C58" s="689">
        <f ca="1">IF(OR($A$2=1,MAX($C$18:C57)&gt;=110),"",C57+(B58-B57))</f>
        <v>73</v>
      </c>
      <c r="D58" s="1119" t="str">
        <f t="shared" ca="1" si="7"/>
        <v/>
      </c>
      <c r="E58" s="1119"/>
      <c r="F58" s="1119"/>
      <c r="G58" s="1119">
        <f t="shared" ca="1" si="8"/>
        <v>14368</v>
      </c>
      <c r="H58" s="1119"/>
      <c r="I58" s="1119"/>
      <c r="J58" s="1119">
        <f t="shared" ca="1" si="9"/>
        <v>1000998</v>
      </c>
      <c r="K58" s="1119"/>
      <c r="L58" s="1119"/>
      <c r="M58" s="1119">
        <f t="shared" ca="1" si="10"/>
        <v>2034390</v>
      </c>
      <c r="N58" s="1119"/>
      <c r="O58" s="1119"/>
      <c r="P58" s="1119">
        <f t="shared" ca="1" si="11"/>
        <v>2034390</v>
      </c>
      <c r="Q58" s="1119"/>
      <c r="R58" s="1119"/>
      <c r="S58" s="1119" t="str">
        <f t="shared" ca="1" si="12"/>
        <v/>
      </c>
      <c r="T58" s="1119"/>
      <c r="U58" s="1119"/>
      <c r="V58" s="23"/>
      <c r="W58" s="359"/>
      <c r="X58" s="360"/>
      <c r="Y58" s="360"/>
    </row>
    <row r="59" spans="2:25" s="22" customFormat="1" ht="12" customHeight="1">
      <c r="B59" s="693">
        <f t="shared" ref="B59:B65" ca="1" si="14">IF(OR(C58&gt;=110,C58=""),"",IF(C58+1&gt;110,111-$C$18,B58+1))</f>
        <v>42</v>
      </c>
      <c r="C59" s="689">
        <f ca="1">IF(OR($A$2=1,MAX($C$18:C58)&gt;=110),"",C58+(B59-B58))</f>
        <v>74</v>
      </c>
      <c r="D59" s="1119" t="str">
        <f t="shared" ca="1" si="7"/>
        <v/>
      </c>
      <c r="E59" s="1119"/>
      <c r="F59" s="1119"/>
      <c r="G59" s="1119">
        <f t="shared" ca="1" si="8"/>
        <v>14655</v>
      </c>
      <c r="H59" s="1119"/>
      <c r="I59" s="1119"/>
      <c r="J59" s="1119">
        <f t="shared" ca="1" si="9"/>
        <v>1000998</v>
      </c>
      <c r="K59" s="1119"/>
      <c r="L59" s="1119"/>
      <c r="M59" s="1119">
        <f t="shared" ca="1" si="10"/>
        <v>2075088</v>
      </c>
      <c r="N59" s="1119"/>
      <c r="O59" s="1119"/>
      <c r="P59" s="1119">
        <f t="shared" ca="1" si="11"/>
        <v>2075088</v>
      </c>
      <c r="Q59" s="1119"/>
      <c r="R59" s="1119"/>
      <c r="S59" s="1119" t="str">
        <f t="shared" ca="1" si="12"/>
        <v/>
      </c>
      <c r="T59" s="1119"/>
      <c r="U59" s="1119"/>
      <c r="V59" s="23"/>
      <c r="W59" s="359"/>
      <c r="X59" s="360"/>
      <c r="Y59" s="360"/>
    </row>
    <row r="60" spans="2:25" s="22" customFormat="1" ht="12" customHeight="1">
      <c r="B60" s="693">
        <f t="shared" ca="1" si="14"/>
        <v>43</v>
      </c>
      <c r="C60" s="689">
        <f ca="1">IF(OR($A$2=1,MAX($C$18:C59)&gt;=110),"",C59+(B60-B59))</f>
        <v>75</v>
      </c>
      <c r="D60" s="1119" t="str">
        <f t="shared" ca="1" si="7"/>
        <v/>
      </c>
      <c r="E60" s="1119"/>
      <c r="F60" s="1119"/>
      <c r="G60" s="1119">
        <f t="shared" ca="1" si="8"/>
        <v>14947</v>
      </c>
      <c r="H60" s="1119"/>
      <c r="I60" s="1119"/>
      <c r="J60" s="1119">
        <f t="shared" ca="1" si="9"/>
        <v>1000998</v>
      </c>
      <c r="K60" s="1119"/>
      <c r="L60" s="1119"/>
      <c r="M60" s="1119">
        <f t="shared" ca="1" si="10"/>
        <v>2116364</v>
      </c>
      <c r="N60" s="1119"/>
      <c r="O60" s="1119"/>
      <c r="P60" s="1119">
        <f t="shared" ca="1" si="11"/>
        <v>2116364</v>
      </c>
      <c r="Q60" s="1119"/>
      <c r="R60" s="1119"/>
      <c r="S60" s="1119" t="str">
        <f t="shared" ca="1" si="12"/>
        <v/>
      </c>
      <c r="T60" s="1119"/>
      <c r="U60" s="1119"/>
      <c r="V60" s="23"/>
      <c r="W60" s="359"/>
      <c r="X60" s="360"/>
      <c r="Y60" s="360"/>
    </row>
    <row r="61" spans="2:25" s="22" customFormat="1" ht="12" customHeight="1">
      <c r="B61" s="693">
        <f t="shared" ca="1" si="14"/>
        <v>44</v>
      </c>
      <c r="C61" s="689">
        <f ca="1">IF(OR($A$2=1,MAX($C$18:C60)&gt;=110),"",C60+(B61-B60))</f>
        <v>76</v>
      </c>
      <c r="D61" s="1119" t="str">
        <f t="shared" ca="1" si="7"/>
        <v/>
      </c>
      <c r="E61" s="1119"/>
      <c r="F61" s="1119"/>
      <c r="G61" s="1119">
        <f t="shared" ca="1" si="8"/>
        <v>15242</v>
      </c>
      <c r="H61" s="1119"/>
      <c r="I61" s="1119"/>
      <c r="J61" s="1119">
        <f t="shared" ca="1" si="9"/>
        <v>1000998</v>
      </c>
      <c r="K61" s="1119"/>
      <c r="L61" s="1119"/>
      <c r="M61" s="1119">
        <f t="shared" ca="1" si="10"/>
        <v>2158184</v>
      </c>
      <c r="N61" s="1119"/>
      <c r="O61" s="1119"/>
      <c r="P61" s="1119">
        <f t="shared" ca="1" si="11"/>
        <v>2158184</v>
      </c>
      <c r="Q61" s="1119"/>
      <c r="R61" s="1119"/>
      <c r="S61" s="1119" t="str">
        <f t="shared" ca="1" si="12"/>
        <v/>
      </c>
      <c r="T61" s="1119"/>
      <c r="U61" s="1119"/>
      <c r="V61" s="23"/>
      <c r="W61" s="359"/>
      <c r="X61" s="360"/>
      <c r="Y61" s="360"/>
    </row>
    <row r="62" spans="2:25" s="22" customFormat="1" ht="12" customHeight="1">
      <c r="B62" s="693">
        <f t="shared" ca="1" si="14"/>
        <v>45</v>
      </c>
      <c r="C62" s="689">
        <f ca="1">IF(OR($A$2=1,MAX($C$18:C61)&gt;=110),"",C61+(B62-B61))</f>
        <v>77</v>
      </c>
      <c r="D62" s="1119" t="str">
        <f t="shared" ca="1" si="7"/>
        <v/>
      </c>
      <c r="E62" s="1119"/>
      <c r="F62" s="1119"/>
      <c r="G62" s="1119">
        <f t="shared" ca="1" si="8"/>
        <v>15542</v>
      </c>
      <c r="H62" s="1119"/>
      <c r="I62" s="1119"/>
      <c r="J62" s="1119">
        <f t="shared" ca="1" si="9"/>
        <v>1000998</v>
      </c>
      <c r="K62" s="1119"/>
      <c r="L62" s="1119"/>
      <c r="M62" s="1119">
        <f t="shared" ca="1" si="10"/>
        <v>2200514</v>
      </c>
      <c r="N62" s="1119"/>
      <c r="O62" s="1119"/>
      <c r="P62" s="1119">
        <f t="shared" ca="1" si="11"/>
        <v>2200514</v>
      </c>
      <c r="Q62" s="1119"/>
      <c r="R62" s="1119"/>
      <c r="S62" s="1119" t="str">
        <f t="shared" ca="1" si="12"/>
        <v/>
      </c>
      <c r="T62" s="1119"/>
      <c r="U62" s="1119"/>
      <c r="V62" s="23"/>
      <c r="W62" s="359"/>
      <c r="X62" s="360"/>
      <c r="Y62" s="360"/>
    </row>
    <row r="63" spans="2:25" s="22" customFormat="1" ht="12" customHeight="1">
      <c r="B63" s="693">
        <f t="shared" ca="1" si="14"/>
        <v>46</v>
      </c>
      <c r="C63" s="689">
        <f ca="1">IF(OR($A$2=1,MAX($C$18:C62)&gt;=110),"",C62+(B63-B62))</f>
        <v>78</v>
      </c>
      <c r="D63" s="1119" t="str">
        <f t="shared" ca="1" si="7"/>
        <v/>
      </c>
      <c r="E63" s="1119"/>
      <c r="F63" s="1119"/>
      <c r="G63" s="1119">
        <f t="shared" ca="1" si="8"/>
        <v>15844</v>
      </c>
      <c r="H63" s="1119"/>
      <c r="I63" s="1119"/>
      <c r="J63" s="1119">
        <f t="shared" ca="1" si="9"/>
        <v>1000998</v>
      </c>
      <c r="K63" s="1119"/>
      <c r="L63" s="1119"/>
      <c r="M63" s="1119">
        <f t="shared" ca="1" si="10"/>
        <v>2244000</v>
      </c>
      <c r="N63" s="1119"/>
      <c r="O63" s="1119"/>
      <c r="P63" s="1119">
        <f t="shared" ca="1" si="11"/>
        <v>2243354</v>
      </c>
      <c r="Q63" s="1119"/>
      <c r="R63" s="1119"/>
      <c r="S63" s="1119" t="str">
        <f t="shared" ca="1" si="12"/>
        <v/>
      </c>
      <c r="T63" s="1119"/>
      <c r="U63" s="1119"/>
      <c r="V63" s="23"/>
      <c r="W63" s="359"/>
      <c r="X63" s="360"/>
      <c r="Y63" s="360"/>
    </row>
    <row r="64" spans="2:25" s="22" customFormat="1" ht="12" customHeight="1">
      <c r="B64" s="693">
        <f t="shared" ca="1" si="14"/>
        <v>47</v>
      </c>
      <c r="C64" s="689">
        <f ca="1">IF(OR($A$2=1,MAX($C$18:C63)&gt;=110),"",C63+(B64-B63))</f>
        <v>79</v>
      </c>
      <c r="D64" s="1119" t="str">
        <f t="shared" ca="1" si="7"/>
        <v/>
      </c>
      <c r="E64" s="1119"/>
      <c r="F64" s="1119"/>
      <c r="G64" s="1119">
        <f t="shared" ca="1" si="8"/>
        <v>16150</v>
      </c>
      <c r="H64" s="1119"/>
      <c r="I64" s="1119"/>
      <c r="J64" s="1119">
        <f t="shared" ca="1" si="9"/>
        <v>1000998</v>
      </c>
      <c r="K64" s="1119"/>
      <c r="L64" s="1119"/>
      <c r="M64" s="1119">
        <f t="shared" ca="1" si="10"/>
        <v>2291600</v>
      </c>
      <c r="N64" s="1119"/>
      <c r="O64" s="1119"/>
      <c r="P64" s="1119">
        <f t="shared" ca="1" si="11"/>
        <v>2286704</v>
      </c>
      <c r="Q64" s="1119"/>
      <c r="R64" s="1119"/>
      <c r="S64" s="1119" t="str">
        <f t="shared" ca="1" si="12"/>
        <v/>
      </c>
      <c r="T64" s="1119"/>
      <c r="U64" s="1119"/>
      <c r="V64" s="23"/>
      <c r="W64" s="359"/>
      <c r="X64" s="360"/>
      <c r="Y64" s="360"/>
    </row>
    <row r="65" spans="1:25" s="22" customFormat="1" ht="12" customHeight="1">
      <c r="B65" s="693">
        <f t="shared" ca="1" si="14"/>
        <v>48</v>
      </c>
      <c r="C65" s="689">
        <f ca="1">IF(OR($A$2=1,MAX($C$18:C64)&gt;=110),"",C64+(B65-B64))</f>
        <v>80</v>
      </c>
      <c r="D65" s="1119" t="str">
        <f t="shared" ca="1" si="7"/>
        <v/>
      </c>
      <c r="E65" s="1119"/>
      <c r="F65" s="1119"/>
      <c r="G65" s="1119">
        <f t="shared" ca="1" si="8"/>
        <v>16460</v>
      </c>
      <c r="H65" s="1119"/>
      <c r="I65" s="1119"/>
      <c r="J65" s="1119">
        <f t="shared" ca="1" si="9"/>
        <v>1000998</v>
      </c>
      <c r="K65" s="1119"/>
      <c r="L65" s="1119"/>
      <c r="M65" s="1119">
        <f t="shared" ca="1" si="10"/>
        <v>2339200</v>
      </c>
      <c r="N65" s="1119"/>
      <c r="O65" s="1119"/>
      <c r="P65" s="1119">
        <f t="shared" ca="1" si="11"/>
        <v>2330530</v>
      </c>
      <c r="Q65" s="1119"/>
      <c r="R65" s="1119"/>
      <c r="S65" s="1119" t="str">
        <f t="shared" ca="1" si="12"/>
        <v/>
      </c>
      <c r="T65" s="1119"/>
      <c r="U65" s="1119"/>
      <c r="V65" s="23"/>
      <c r="W65" s="359"/>
      <c r="X65" s="360"/>
      <c r="Y65" s="360"/>
    </row>
    <row r="66" spans="1:25" s="22" customFormat="1" ht="12" customHeight="1">
      <c r="B66" s="693">
        <f t="shared" ref="B66:B72" ca="1" si="15">IF(OR(C65&gt;=110,C65=""),"",IF(C65+1&gt;110,111-$C$18,B65+1))</f>
        <v>49</v>
      </c>
      <c r="C66" s="689">
        <f ca="1">IF(OR($A$2=1,MAX($C$18:$C$65)&gt;=110),"",C65+(B66-B65))</f>
        <v>81</v>
      </c>
      <c r="D66" s="1119" t="str">
        <f t="shared" ca="1" si="7"/>
        <v/>
      </c>
      <c r="E66" s="1119"/>
      <c r="F66" s="1119"/>
      <c r="G66" s="1119">
        <f t="shared" ca="1" si="8"/>
        <v>16772</v>
      </c>
      <c r="H66" s="1119"/>
      <c r="I66" s="1119"/>
      <c r="J66" s="1119">
        <f t="shared" ca="1" si="9"/>
        <v>1000998</v>
      </c>
      <c r="K66" s="1119"/>
      <c r="L66" s="1119"/>
      <c r="M66" s="1119">
        <f t="shared" ca="1" si="10"/>
        <v>2386800</v>
      </c>
      <c r="N66" s="1119"/>
      <c r="O66" s="1119"/>
      <c r="P66" s="1119">
        <f t="shared" ca="1" si="11"/>
        <v>2374798</v>
      </c>
      <c r="Q66" s="1119"/>
      <c r="R66" s="1119"/>
      <c r="S66" s="1119" t="str">
        <f t="shared" ca="1" si="12"/>
        <v/>
      </c>
      <c r="T66" s="1119"/>
      <c r="U66" s="1119"/>
      <c r="V66" s="23"/>
      <c r="W66" s="359"/>
      <c r="X66" s="360"/>
      <c r="Y66" s="360"/>
    </row>
    <row r="67" spans="1:25" s="22" customFormat="1" ht="12" customHeight="1">
      <c r="B67" s="693">
        <f t="shared" ca="1" si="15"/>
        <v>50</v>
      </c>
      <c r="C67" s="689">
        <f ca="1">IF(OR($A$2=1,MAX($C$18:$C$65,$C$66:C66)&gt;=110),"",C66+(B67-B66))</f>
        <v>82</v>
      </c>
      <c r="D67" s="1119" t="str">
        <f t="shared" ca="1" si="7"/>
        <v/>
      </c>
      <c r="E67" s="1119"/>
      <c r="F67" s="1119"/>
      <c r="G67" s="1119">
        <f t="shared" ca="1" si="8"/>
        <v>17088</v>
      </c>
      <c r="H67" s="1119"/>
      <c r="I67" s="1119"/>
      <c r="J67" s="1119">
        <f t="shared" ca="1" si="9"/>
        <v>1000998</v>
      </c>
      <c r="K67" s="1119"/>
      <c r="L67" s="1119"/>
      <c r="M67" s="1119">
        <f t="shared" ca="1" si="10"/>
        <v>2434400</v>
      </c>
      <c r="N67" s="1119"/>
      <c r="O67" s="1119"/>
      <c r="P67" s="1119">
        <f t="shared" ca="1" si="11"/>
        <v>2419508</v>
      </c>
      <c r="Q67" s="1119"/>
      <c r="R67" s="1119"/>
      <c r="S67" s="1119" t="str">
        <f t="shared" ca="1" si="12"/>
        <v/>
      </c>
      <c r="T67" s="1119"/>
      <c r="U67" s="1119"/>
      <c r="V67" s="23"/>
      <c r="W67" s="359"/>
      <c r="X67" s="360"/>
      <c r="Y67" s="360"/>
    </row>
    <row r="68" spans="1:25" s="22" customFormat="1" ht="12" customHeight="1">
      <c r="B68" s="858">
        <f t="shared" ca="1" si="15"/>
        <v>51</v>
      </c>
      <c r="C68" s="689">
        <f ca="1">IF(OR($A$2=1,MAX($C$18:$C$65,$C$66:C67)&gt;=110),"",C67+(B68-B67))</f>
        <v>83</v>
      </c>
      <c r="D68" s="1119" t="str">
        <f t="shared" ca="1" si="7"/>
        <v/>
      </c>
      <c r="E68" s="1119"/>
      <c r="F68" s="1119"/>
      <c r="G68" s="1119">
        <f t="shared" ca="1" si="8"/>
        <v>17407</v>
      </c>
      <c r="H68" s="1119"/>
      <c r="I68" s="1119"/>
      <c r="J68" s="1119">
        <f t="shared" ca="1" si="9"/>
        <v>1000998</v>
      </c>
      <c r="K68" s="1119"/>
      <c r="L68" s="1119"/>
      <c r="M68" s="1119">
        <f t="shared" ca="1" si="10"/>
        <v>2482000</v>
      </c>
      <c r="N68" s="1119"/>
      <c r="O68" s="1119"/>
      <c r="P68" s="1119">
        <f t="shared" ca="1" si="11"/>
        <v>2464660</v>
      </c>
      <c r="Q68" s="1119"/>
      <c r="R68" s="1119"/>
      <c r="S68" s="1119" t="str">
        <f t="shared" ca="1" si="12"/>
        <v/>
      </c>
      <c r="T68" s="1119"/>
      <c r="U68" s="1119"/>
      <c r="V68" s="23"/>
      <c r="W68" s="359"/>
      <c r="X68" s="360"/>
      <c r="Y68" s="360"/>
    </row>
    <row r="69" spans="1:25" s="22" customFormat="1" ht="12" customHeight="1">
      <c r="B69" s="858">
        <f t="shared" ca="1" si="15"/>
        <v>52</v>
      </c>
      <c r="C69" s="689">
        <f ca="1">IF(OR($A$2=1,MAX($C$18:$C$65,$C$66:C68)&gt;=110),"",C68+(B69-B68))</f>
        <v>84</v>
      </c>
      <c r="D69" s="1119" t="str">
        <f t="shared" ca="1" si="7"/>
        <v/>
      </c>
      <c r="E69" s="1119"/>
      <c r="F69" s="1119"/>
      <c r="G69" s="1119">
        <f t="shared" ca="1" si="8"/>
        <v>17729</v>
      </c>
      <c r="H69" s="1119"/>
      <c r="I69" s="1119"/>
      <c r="J69" s="1119">
        <f t="shared" ca="1" si="9"/>
        <v>1000998</v>
      </c>
      <c r="K69" s="1119"/>
      <c r="L69" s="1119"/>
      <c r="M69" s="1119">
        <f t="shared" ca="1" si="10"/>
        <v>2529600</v>
      </c>
      <c r="N69" s="1119"/>
      <c r="O69" s="1119"/>
      <c r="P69" s="1119">
        <f t="shared" ca="1" si="11"/>
        <v>2510220</v>
      </c>
      <c r="Q69" s="1119"/>
      <c r="R69" s="1119"/>
      <c r="S69" s="1119" t="str">
        <f t="shared" ca="1" si="12"/>
        <v/>
      </c>
      <c r="T69" s="1119"/>
      <c r="U69" s="1119"/>
      <c r="V69" s="23"/>
      <c r="W69" s="359"/>
      <c r="X69" s="360"/>
      <c r="Y69" s="360"/>
    </row>
    <row r="70" spans="1:25" s="22" customFormat="1" ht="12" customHeight="1">
      <c r="B70" s="858">
        <f t="shared" ca="1" si="15"/>
        <v>53</v>
      </c>
      <c r="C70" s="689">
        <f ca="1">IF(OR($A$2=1,MAX($C$18:$C$65,$C$66:C69)&gt;=110),"",C69+(B70-B69))</f>
        <v>85</v>
      </c>
      <c r="D70" s="1119" t="str">
        <f t="shared" ca="1" si="7"/>
        <v/>
      </c>
      <c r="E70" s="1119"/>
      <c r="F70" s="1119"/>
      <c r="G70" s="1119">
        <f t="shared" ca="1" si="8"/>
        <v>18054</v>
      </c>
      <c r="H70" s="1119"/>
      <c r="I70" s="1119"/>
      <c r="J70" s="1119">
        <f t="shared" ca="1" si="9"/>
        <v>1000998</v>
      </c>
      <c r="K70" s="1119"/>
      <c r="L70" s="1119"/>
      <c r="M70" s="1119">
        <f t="shared" ca="1" si="10"/>
        <v>2577200</v>
      </c>
      <c r="N70" s="1119"/>
      <c r="O70" s="1119"/>
      <c r="P70" s="1119">
        <f t="shared" ca="1" si="11"/>
        <v>2556188</v>
      </c>
      <c r="Q70" s="1119"/>
      <c r="R70" s="1119"/>
      <c r="S70" s="1119" t="str">
        <f t="shared" ca="1" si="12"/>
        <v/>
      </c>
      <c r="T70" s="1119"/>
      <c r="U70" s="1119"/>
      <c r="V70" s="23"/>
      <c r="W70" s="359"/>
      <c r="X70" s="360"/>
      <c r="Y70" s="360"/>
    </row>
    <row r="71" spans="1:25" s="22" customFormat="1" ht="12" customHeight="1">
      <c r="B71" s="858">
        <f t="shared" ca="1" si="15"/>
        <v>54</v>
      </c>
      <c r="C71" s="689">
        <f ca="1">IF(OR($A$2=1,MAX($C$18:$C$65,$C$66:C70)&gt;=110),"",C70+(B71-B70))</f>
        <v>86</v>
      </c>
      <c r="D71" s="1119" t="str">
        <f t="shared" ca="1" si="7"/>
        <v/>
      </c>
      <c r="E71" s="1119"/>
      <c r="F71" s="1119"/>
      <c r="G71" s="1119">
        <f t="shared" ca="1" si="8"/>
        <v>18380</v>
      </c>
      <c r="H71" s="1119"/>
      <c r="I71" s="1119"/>
      <c r="J71" s="1119">
        <f t="shared" ca="1" si="9"/>
        <v>1000998</v>
      </c>
      <c r="K71" s="1119"/>
      <c r="L71" s="1119"/>
      <c r="M71" s="1119">
        <f t="shared" ca="1" si="10"/>
        <v>2624800</v>
      </c>
      <c r="N71" s="1119"/>
      <c r="O71" s="1119"/>
      <c r="P71" s="1119">
        <f t="shared" ca="1" si="11"/>
        <v>2602530</v>
      </c>
      <c r="Q71" s="1119"/>
      <c r="R71" s="1119"/>
      <c r="S71" s="1119" t="str">
        <f t="shared" ca="1" si="12"/>
        <v/>
      </c>
      <c r="T71" s="1119"/>
      <c r="U71" s="1119"/>
      <c r="V71" s="23"/>
      <c r="W71" s="359"/>
      <c r="X71" s="360"/>
      <c r="Y71" s="360"/>
    </row>
    <row r="72" spans="1:25" s="22" customFormat="1" ht="12" customHeight="1">
      <c r="B72" s="858">
        <f t="shared" ca="1" si="15"/>
        <v>55</v>
      </c>
      <c r="C72" s="689">
        <f ca="1">IF(OR($A$2=1,MAX($C$18:$C$65,$C$66:C71)&gt;=110),"",C71+(B72-B71))</f>
        <v>87</v>
      </c>
      <c r="D72" s="1119" t="str">
        <f t="shared" ca="1" si="7"/>
        <v/>
      </c>
      <c r="E72" s="1119"/>
      <c r="F72" s="1119"/>
      <c r="G72" s="1119">
        <f t="shared" ca="1" si="8"/>
        <v>18711</v>
      </c>
      <c r="H72" s="1119"/>
      <c r="I72" s="1119"/>
      <c r="J72" s="1119">
        <f t="shared" ca="1" si="9"/>
        <v>1000998</v>
      </c>
      <c r="K72" s="1119"/>
      <c r="L72" s="1119"/>
      <c r="M72" s="1119">
        <f t="shared" ca="1" si="10"/>
        <v>2672400</v>
      </c>
      <c r="N72" s="1119"/>
      <c r="O72" s="1119"/>
      <c r="P72" s="1119">
        <f t="shared" ca="1" si="11"/>
        <v>2649212</v>
      </c>
      <c r="Q72" s="1119"/>
      <c r="R72" s="1119"/>
      <c r="S72" s="1119" t="str">
        <f t="shared" ca="1" si="12"/>
        <v/>
      </c>
      <c r="T72" s="1119"/>
      <c r="U72" s="1119"/>
      <c r="V72" s="23"/>
      <c r="W72" s="359"/>
      <c r="X72" s="360"/>
      <c r="Y72" s="360"/>
    </row>
    <row r="73" spans="1:25" s="30" customFormat="1" ht="12" customHeight="1">
      <c r="A73" s="60">
        <v>0</v>
      </c>
      <c r="B73" s="1176" t="str">
        <f ca="1">IF(OR($A$2=1),"",IF(M79="","祝壽保險金："&amp;TEXT(VLOOKUP(OP!$C$55,EXP,OP!$C$57+1,0)*OP!$C$28,"#,##0 元 "),""))</f>
        <v/>
      </c>
      <c r="C73" s="1176"/>
      <c r="D73" s="1176"/>
      <c r="E73" s="1176"/>
      <c r="F73" s="1176"/>
      <c r="G73" s="1176"/>
      <c r="H73" s="1123"/>
      <c r="I73" s="1125"/>
      <c r="J73" s="1176"/>
      <c r="K73" s="1176"/>
      <c r="L73" s="1176"/>
      <c r="M73" s="1176"/>
      <c r="N73" s="1176"/>
      <c r="O73" s="1176"/>
      <c r="P73" s="1176"/>
      <c r="Q73" s="1176"/>
      <c r="R73" s="1176"/>
      <c r="S73" s="1176"/>
      <c r="T73" s="1176"/>
      <c r="U73" s="1176"/>
      <c r="V73" s="31"/>
    </row>
    <row r="74" spans="1:25" s="28" customFormat="1" ht="12" hidden="1" customHeight="1">
      <c r="A74" s="46"/>
      <c r="B74" s="166"/>
      <c r="C74" s="170"/>
      <c r="D74" s="258"/>
      <c r="E74" s="258"/>
      <c r="F74" s="259"/>
      <c r="G74" s="259"/>
      <c r="H74" s="259"/>
      <c r="I74" s="259"/>
      <c r="J74" s="260"/>
      <c r="K74" s="260"/>
      <c r="L74" s="261"/>
      <c r="M74" s="261"/>
      <c r="N74" s="261"/>
      <c r="O74" s="261"/>
      <c r="P74" s="261"/>
      <c r="Q74" s="261"/>
      <c r="R74" s="261"/>
      <c r="S74" s="261"/>
      <c r="T74" s="261"/>
      <c r="U74" s="261"/>
      <c r="V74" s="27"/>
    </row>
    <row r="75" spans="1:25" s="29" customFormat="1" ht="12" customHeight="1">
      <c r="A75" s="8"/>
      <c r="B75" s="1126" t="s">
        <v>539</v>
      </c>
      <c r="C75" s="1126"/>
      <c r="D75" s="1126"/>
      <c r="E75" s="1126"/>
      <c r="F75" s="1126"/>
      <c r="G75" s="1126"/>
      <c r="H75" s="1126"/>
      <c r="I75" s="1126"/>
      <c r="J75" s="1126"/>
      <c r="K75" s="1126"/>
      <c r="L75" s="1126"/>
      <c r="M75" s="1126"/>
      <c r="N75" s="1126"/>
      <c r="O75" s="1126"/>
      <c r="P75" s="1126"/>
      <c r="Q75" s="1126"/>
      <c r="R75" s="1126"/>
      <c r="S75" s="1126"/>
      <c r="T75" s="1126"/>
      <c r="U75" s="1126"/>
    </row>
    <row r="76" spans="1:25" ht="12" customHeight="1">
      <c r="A76" s="8"/>
      <c r="B76" s="234"/>
      <c r="C76" s="235"/>
      <c r="D76" s="235"/>
      <c r="E76" s="1127"/>
      <c r="F76" s="1128"/>
      <c r="G76" s="1128"/>
      <c r="H76" s="1128"/>
      <c r="I76" s="1128"/>
      <c r="J76" s="1128"/>
      <c r="K76" s="1128"/>
      <c r="L76" s="1128"/>
      <c r="M76" s="1128"/>
      <c r="N76" s="1128"/>
      <c r="O76" s="1128"/>
      <c r="P76" s="1128"/>
      <c r="R76" s="328"/>
      <c r="S76" s="328"/>
      <c r="T76" s="328"/>
      <c r="U76" s="329" t="str">
        <f ca="1">OP!$C$54&amp;" 試算日："&amp;TEXT(OP!$C$3,"EEMMDD")</f>
        <v>V1.0-1060217 試算日：1060602</v>
      </c>
    </row>
    <row r="77" spans="1:25" ht="12.75" customHeight="1">
      <c r="A77" s="8"/>
      <c r="B77" s="20"/>
      <c r="C77" s="16"/>
      <c r="D77" s="16"/>
      <c r="E77" s="16"/>
      <c r="F77" s="16"/>
      <c r="G77" s="16"/>
      <c r="H77" s="16"/>
      <c r="I77" s="16"/>
      <c r="J77" s="16"/>
      <c r="K77" s="16"/>
      <c r="L77" s="16"/>
      <c r="M77" s="16"/>
      <c r="N77" s="16"/>
      <c r="O77" s="16"/>
      <c r="P77" s="16"/>
      <c r="Q77" s="14"/>
      <c r="R77" s="15"/>
      <c r="S77" s="15"/>
      <c r="T77" s="36"/>
      <c r="U77" s="146" t="s">
        <v>549</v>
      </c>
    </row>
    <row r="78" spans="1:25" s="17" customFormat="1" ht="77.25" customHeight="1">
      <c r="B78" s="841" t="s">
        <v>79</v>
      </c>
      <c r="C78" s="841" t="s">
        <v>328</v>
      </c>
      <c r="D78" s="1121" t="str">
        <f ca="1">"年度實繳保費
"&amp;IF(OP!$D$5&lt;16,"已扣除增值回饋分享金
(預估值)","")</f>
        <v xml:space="preserve">年度實繳保費
</v>
      </c>
      <c r="E78" s="1121"/>
      <c r="F78" s="1121"/>
      <c r="G78" s="1121" t="str">
        <f ca="1">"年度末
增值回饋分享金
(預估值)"
&amp;IF(OP!$D$5&lt;16,"
1~6年僅購買增額繳清保險金額
"&amp;"16歲前限抵繳保費後儲存生息","")</f>
        <v>年度末
增值回饋分享金
(預估值)</v>
      </c>
      <c r="H78" s="1121"/>
      <c r="I78" s="1121"/>
      <c r="J78" s="1121" t="str">
        <f ca="1">"累積實繳保費"&amp;IF(OP!$D$5&lt;16,"
已扣除增值回饋分享金
(預估值)","")</f>
        <v>累積實繳保費</v>
      </c>
      <c r="K78" s="1121"/>
      <c r="L78" s="1121"/>
      <c r="M78" s="1121" t="s">
        <v>946</v>
      </c>
      <c r="N78" s="1121"/>
      <c r="O78" s="1121"/>
      <c r="P78" s="1121" t="s">
        <v>894</v>
      </c>
      <c r="Q78" s="1121"/>
      <c r="R78" s="1121"/>
      <c r="S78" s="1173" t="s">
        <v>947</v>
      </c>
      <c r="T78" s="1174"/>
      <c r="U78" s="1175"/>
      <c r="V78" s="18"/>
      <c r="W78" s="357"/>
      <c r="X78" s="358"/>
      <c r="Y78" s="358"/>
    </row>
    <row r="79" spans="1:25" s="22" customFormat="1" ht="12" customHeight="1">
      <c r="B79" s="858">
        <f ca="1">IF(OR(C72&gt;=110,C72=""),"",IF(C72+1&gt;110,111-$C$18,B72+1))</f>
        <v>56</v>
      </c>
      <c r="C79" s="689">
        <f ca="1">IF(OR($A$2=1,MAX($C$18:$C$72)&gt;=110),"",C72+(B79-B72))</f>
        <v>88</v>
      </c>
      <c r="D79" s="1119" t="str">
        <f t="shared" ref="D79:D110" ca="1" si="16">IF(OR($A$2=1,B79="",VLOOKUP($B79,TOV,3,0)=0),"",VLOOKUP($B79,TOV,3,0))</f>
        <v/>
      </c>
      <c r="E79" s="1119"/>
      <c r="F79" s="1119"/>
      <c r="G79" s="1119">
        <f t="shared" ref="G79:G110" ca="1" si="17">IF(OR($A$2=1,$B79="",VLOOKUP($B79,TOV,10,0)=0),"",VLOOKUP($B79,TOV,10,0))</f>
        <v>19042</v>
      </c>
      <c r="H79" s="1119"/>
      <c r="I79" s="1119"/>
      <c r="J79" s="1119">
        <f t="shared" ref="J79:J110" ca="1" si="18">IF(OR($A$2=1,$B79="",VLOOKUP($B79,TOV,4,0)=0),"",VLOOKUP($B79,TOV,4,0))</f>
        <v>1000998</v>
      </c>
      <c r="K79" s="1119"/>
      <c r="L79" s="1119"/>
      <c r="M79" s="1119">
        <f t="shared" ref="M79:M110" ca="1" si="19">IF(OR($A$2=1,$B79="",VLOOKUP($B79,TOV,7,0)=0),"",VLOOKUP($B79,TOV,7,0))</f>
        <v>2720000</v>
      </c>
      <c r="N79" s="1119"/>
      <c r="O79" s="1119"/>
      <c r="P79" s="1119">
        <f t="shared" ref="P79:P110" ca="1" si="20">IF(OR($A$2=1,$B79="",VLOOKUP($B79,TOV,8,0)=0),"",VLOOKUP($B79,TOV,8,0))</f>
        <v>2696268</v>
      </c>
      <c r="Q79" s="1119"/>
      <c r="R79" s="1119"/>
      <c r="S79" s="1119" t="str">
        <f t="shared" ref="S79:S110" ca="1" si="21">IF(OR($A$2=1,$B79="",VLOOKUP($B79,TOV,9,0)=0),"",VLOOKUP($B79,TOV,9,0))</f>
        <v/>
      </c>
      <c r="T79" s="1119"/>
      <c r="U79" s="1119"/>
      <c r="V79" s="23"/>
      <c r="W79" s="359"/>
      <c r="X79" s="360"/>
      <c r="Y79" s="360"/>
    </row>
    <row r="80" spans="1:25" s="22" customFormat="1" ht="12" customHeight="1">
      <c r="B80" s="858">
        <f t="shared" ref="B80:B88" ca="1" si="22">IF(OR(C79&gt;=110,C79=""),"",IF(C79+1&gt;110,111-$C$18,B79+1))</f>
        <v>57</v>
      </c>
      <c r="C80" s="689">
        <f ca="1">IF(OR($A$2=1,MAX($C$18:$C$72,$C$79:C79)&gt;=110),"",C79+(B80-B79))</f>
        <v>89</v>
      </c>
      <c r="D80" s="1119" t="str">
        <f t="shared" ca="1" si="16"/>
        <v/>
      </c>
      <c r="E80" s="1119"/>
      <c r="F80" s="1119"/>
      <c r="G80" s="1119">
        <f t="shared" ca="1" si="17"/>
        <v>19377</v>
      </c>
      <c r="H80" s="1119"/>
      <c r="I80" s="1119"/>
      <c r="J80" s="1119">
        <f t="shared" ca="1" si="18"/>
        <v>1000998</v>
      </c>
      <c r="K80" s="1119"/>
      <c r="L80" s="1119"/>
      <c r="M80" s="1119">
        <f t="shared" ca="1" si="19"/>
        <v>2767600</v>
      </c>
      <c r="N80" s="1119"/>
      <c r="O80" s="1119"/>
      <c r="P80" s="1119">
        <f t="shared" ca="1" si="20"/>
        <v>2743664</v>
      </c>
      <c r="Q80" s="1119"/>
      <c r="R80" s="1119"/>
      <c r="S80" s="1119" t="str">
        <f t="shared" ca="1" si="21"/>
        <v/>
      </c>
      <c r="T80" s="1119"/>
      <c r="U80" s="1119"/>
      <c r="V80" s="23"/>
      <c r="W80" s="359"/>
      <c r="X80" s="360"/>
      <c r="Y80" s="360"/>
    </row>
    <row r="81" spans="2:25" s="22" customFormat="1" ht="12" customHeight="1">
      <c r="B81" s="858">
        <f t="shared" ca="1" si="22"/>
        <v>58</v>
      </c>
      <c r="C81" s="689">
        <f ca="1">IF(OR($A$2=1,MAX($C$18:$C$72,$C$79:C80)&gt;=110),"",C80+(B81-B80))</f>
        <v>90</v>
      </c>
      <c r="D81" s="1119" t="str">
        <f t="shared" ca="1" si="16"/>
        <v/>
      </c>
      <c r="E81" s="1119"/>
      <c r="F81" s="1119"/>
      <c r="G81" s="1119">
        <f t="shared" ca="1" si="17"/>
        <v>19714</v>
      </c>
      <c r="H81" s="1119"/>
      <c r="I81" s="1119"/>
      <c r="J81" s="1119">
        <f t="shared" ca="1" si="18"/>
        <v>1000998</v>
      </c>
      <c r="K81" s="1119"/>
      <c r="L81" s="1119"/>
      <c r="M81" s="1119">
        <f t="shared" ca="1" si="19"/>
        <v>2815200</v>
      </c>
      <c r="N81" s="1119"/>
      <c r="O81" s="1119"/>
      <c r="P81" s="1119">
        <f t="shared" ca="1" si="20"/>
        <v>2791298</v>
      </c>
      <c r="Q81" s="1119"/>
      <c r="R81" s="1119"/>
      <c r="S81" s="1119" t="str">
        <f t="shared" ca="1" si="21"/>
        <v/>
      </c>
      <c r="T81" s="1119"/>
      <c r="U81" s="1119"/>
      <c r="V81" s="23"/>
      <c r="W81" s="359"/>
      <c r="X81" s="360"/>
      <c r="Y81" s="360"/>
    </row>
    <row r="82" spans="2:25" s="22" customFormat="1" ht="12" customHeight="1">
      <c r="B82" s="858">
        <f t="shared" ca="1" si="22"/>
        <v>59</v>
      </c>
      <c r="C82" s="689">
        <f ca="1">IF(OR($A$2=1,MAX($C$18:$C$72,$C$79:C81)&gt;=110),"",C81+(B82-B81))</f>
        <v>91</v>
      </c>
      <c r="D82" s="1119" t="str">
        <f t="shared" ca="1" si="16"/>
        <v/>
      </c>
      <c r="E82" s="1119"/>
      <c r="F82" s="1119"/>
      <c r="G82" s="1119">
        <f t="shared" ca="1" si="17"/>
        <v>20052</v>
      </c>
      <c r="H82" s="1119"/>
      <c r="I82" s="1119"/>
      <c r="J82" s="1119">
        <f t="shared" ca="1" si="18"/>
        <v>1000998</v>
      </c>
      <c r="K82" s="1119"/>
      <c r="L82" s="1119"/>
      <c r="M82" s="1119">
        <f t="shared" ca="1" si="19"/>
        <v>2862800</v>
      </c>
      <c r="N82" s="1119"/>
      <c r="O82" s="1119"/>
      <c r="P82" s="1119">
        <f t="shared" ca="1" si="20"/>
        <v>2839136</v>
      </c>
      <c r="Q82" s="1119"/>
      <c r="R82" s="1119"/>
      <c r="S82" s="1119" t="str">
        <f t="shared" ca="1" si="21"/>
        <v/>
      </c>
      <c r="T82" s="1119"/>
      <c r="U82" s="1119"/>
      <c r="V82" s="23"/>
      <c r="W82" s="359"/>
      <c r="X82" s="360"/>
      <c r="Y82" s="360"/>
    </row>
    <row r="83" spans="2:25" s="22" customFormat="1" ht="12" customHeight="1">
      <c r="B83" s="858">
        <f t="shared" ca="1" si="22"/>
        <v>60</v>
      </c>
      <c r="C83" s="689">
        <f ca="1">IF(OR($A$2=1,MAX($C$18:$C$72,$C$79:C82)&gt;=110),"",C82+(B83-B82))</f>
        <v>92</v>
      </c>
      <c r="D83" s="1119" t="str">
        <f t="shared" ca="1" si="16"/>
        <v/>
      </c>
      <c r="E83" s="1119"/>
      <c r="F83" s="1119"/>
      <c r="G83" s="1119">
        <f t="shared" ca="1" si="17"/>
        <v>20391</v>
      </c>
      <c r="H83" s="1119"/>
      <c r="I83" s="1119"/>
      <c r="J83" s="1119">
        <f t="shared" ca="1" si="18"/>
        <v>1000998</v>
      </c>
      <c r="K83" s="1119"/>
      <c r="L83" s="1119"/>
      <c r="M83" s="1119">
        <f t="shared" ca="1" si="19"/>
        <v>2910400</v>
      </c>
      <c r="N83" s="1119"/>
      <c r="O83" s="1119"/>
      <c r="P83" s="1119">
        <f t="shared" ca="1" si="20"/>
        <v>2887212</v>
      </c>
      <c r="Q83" s="1119"/>
      <c r="R83" s="1119"/>
      <c r="S83" s="1119" t="str">
        <f t="shared" ca="1" si="21"/>
        <v/>
      </c>
      <c r="T83" s="1119"/>
      <c r="U83" s="1119"/>
      <c r="V83" s="23"/>
      <c r="W83" s="359"/>
      <c r="X83" s="360"/>
      <c r="Y83" s="360"/>
    </row>
    <row r="84" spans="2:25" s="22" customFormat="1" ht="12" customHeight="1">
      <c r="B84" s="858">
        <f t="shared" ca="1" si="22"/>
        <v>61</v>
      </c>
      <c r="C84" s="689">
        <f ca="1">IF(OR($A$2=1,MAX($C$18:$C$72,$C$79:C83)&gt;=110),"",C83+(B84-B83))</f>
        <v>93</v>
      </c>
      <c r="D84" s="1119" t="str">
        <f t="shared" ca="1" si="16"/>
        <v/>
      </c>
      <c r="E84" s="1119"/>
      <c r="F84" s="1119"/>
      <c r="G84" s="1119">
        <f t="shared" ca="1" si="17"/>
        <v>20732</v>
      </c>
      <c r="H84" s="1119"/>
      <c r="I84" s="1119"/>
      <c r="J84" s="1119">
        <f t="shared" ca="1" si="18"/>
        <v>1000998</v>
      </c>
      <c r="K84" s="1119"/>
      <c r="L84" s="1119"/>
      <c r="M84" s="1119">
        <f t="shared" ca="1" si="19"/>
        <v>2958000</v>
      </c>
      <c r="N84" s="1119"/>
      <c r="O84" s="1119"/>
      <c r="P84" s="1119">
        <f t="shared" ca="1" si="20"/>
        <v>2935526</v>
      </c>
      <c r="Q84" s="1119"/>
      <c r="R84" s="1119"/>
      <c r="S84" s="1119" t="str">
        <f t="shared" ca="1" si="21"/>
        <v/>
      </c>
      <c r="T84" s="1119"/>
      <c r="U84" s="1119"/>
      <c r="V84" s="23"/>
      <c r="W84" s="359"/>
      <c r="X84" s="360"/>
      <c r="Y84" s="360"/>
    </row>
    <row r="85" spans="2:25" s="22" customFormat="1" ht="12" customHeight="1">
      <c r="B85" s="858">
        <f t="shared" ca="1" si="22"/>
        <v>62</v>
      </c>
      <c r="C85" s="689">
        <f ca="1">IF(OR($A$2=1,MAX($C$18:$C$72,$C$79:C84)&gt;=110),"",C84+(B85-B84))</f>
        <v>94</v>
      </c>
      <c r="D85" s="1119" t="str">
        <f t="shared" ca="1" si="16"/>
        <v/>
      </c>
      <c r="E85" s="1119"/>
      <c r="F85" s="1119"/>
      <c r="G85" s="1119">
        <f t="shared" ca="1" si="17"/>
        <v>21075</v>
      </c>
      <c r="H85" s="1119"/>
      <c r="I85" s="1119"/>
      <c r="J85" s="1119">
        <f t="shared" ca="1" si="18"/>
        <v>1000998</v>
      </c>
      <c r="K85" s="1119"/>
      <c r="L85" s="1119"/>
      <c r="M85" s="1119">
        <f t="shared" ca="1" si="19"/>
        <v>3005600</v>
      </c>
      <c r="N85" s="1119"/>
      <c r="O85" s="1119"/>
      <c r="P85" s="1119">
        <f t="shared" ca="1" si="20"/>
        <v>2984010</v>
      </c>
      <c r="Q85" s="1119"/>
      <c r="R85" s="1119"/>
      <c r="S85" s="1119" t="str">
        <f t="shared" ca="1" si="21"/>
        <v/>
      </c>
      <c r="T85" s="1119"/>
      <c r="U85" s="1119"/>
      <c r="V85" s="23"/>
      <c r="W85" s="359"/>
      <c r="X85" s="360"/>
      <c r="Y85" s="360"/>
    </row>
    <row r="86" spans="2:25" s="22" customFormat="1" ht="12" customHeight="1">
      <c r="B86" s="858">
        <f t="shared" ca="1" si="22"/>
        <v>63</v>
      </c>
      <c r="C86" s="689">
        <f ca="1">IF(OR($A$2=1,MAX($C$18:$C$72,$C$79:C85)&gt;=110),"",C85+(B86-B85))</f>
        <v>95</v>
      </c>
      <c r="D86" s="1119" t="str">
        <f t="shared" ca="1" si="16"/>
        <v/>
      </c>
      <c r="E86" s="1119"/>
      <c r="F86" s="1119"/>
      <c r="G86" s="1119">
        <f t="shared" ca="1" si="17"/>
        <v>21418</v>
      </c>
      <c r="H86" s="1119"/>
      <c r="I86" s="1119"/>
      <c r="J86" s="1119">
        <f t="shared" ca="1" si="18"/>
        <v>1000998</v>
      </c>
      <c r="K86" s="1119"/>
      <c r="L86" s="1119"/>
      <c r="M86" s="1119">
        <f t="shared" ca="1" si="19"/>
        <v>3053200</v>
      </c>
      <c r="N86" s="1119"/>
      <c r="O86" s="1119"/>
      <c r="P86" s="1119">
        <f t="shared" ca="1" si="20"/>
        <v>3032664</v>
      </c>
      <c r="Q86" s="1119"/>
      <c r="R86" s="1119"/>
      <c r="S86" s="1119" t="str">
        <f t="shared" ca="1" si="21"/>
        <v/>
      </c>
      <c r="T86" s="1119"/>
      <c r="U86" s="1119"/>
      <c r="V86" s="23"/>
      <c r="W86" s="359"/>
      <c r="X86" s="360"/>
      <c r="Y86" s="360"/>
    </row>
    <row r="87" spans="2:25" s="22" customFormat="1" ht="12" customHeight="1">
      <c r="B87" s="858">
        <f t="shared" ca="1" si="22"/>
        <v>64</v>
      </c>
      <c r="C87" s="689">
        <f ca="1">IF(OR($A$2=1,MAX($C$18:$C$72,$C$79:C86)&gt;=110),"",C86+(B87-B86))</f>
        <v>96</v>
      </c>
      <c r="D87" s="1119" t="str">
        <f t="shared" ca="1" si="16"/>
        <v/>
      </c>
      <c r="E87" s="1119"/>
      <c r="F87" s="1119"/>
      <c r="G87" s="1119">
        <f t="shared" ca="1" si="17"/>
        <v>21763</v>
      </c>
      <c r="H87" s="1119"/>
      <c r="I87" s="1119"/>
      <c r="J87" s="1119">
        <f t="shared" ca="1" si="18"/>
        <v>1000998</v>
      </c>
      <c r="K87" s="1119"/>
      <c r="L87" s="1119"/>
      <c r="M87" s="1119">
        <f t="shared" ca="1" si="19"/>
        <v>3100800</v>
      </c>
      <c r="N87" s="1119"/>
      <c r="O87" s="1119"/>
      <c r="P87" s="1119">
        <f t="shared" ca="1" si="20"/>
        <v>3081488</v>
      </c>
      <c r="Q87" s="1119"/>
      <c r="R87" s="1119"/>
      <c r="S87" s="1119" t="str">
        <f t="shared" ca="1" si="21"/>
        <v/>
      </c>
      <c r="T87" s="1119"/>
      <c r="U87" s="1119"/>
      <c r="V87" s="23"/>
      <c r="W87" s="359"/>
      <c r="X87" s="360"/>
      <c r="Y87" s="360"/>
    </row>
    <row r="88" spans="2:25" s="22" customFormat="1" ht="12" customHeight="1">
      <c r="B88" s="858">
        <f t="shared" ca="1" si="22"/>
        <v>65</v>
      </c>
      <c r="C88" s="689">
        <f ca="1">IF(OR($A$2=1,MAX($C$18:$C$72,$C$79:C87)&gt;=110),"",C87+(B88-B87))</f>
        <v>97</v>
      </c>
      <c r="D88" s="1119" t="str">
        <f t="shared" ca="1" si="16"/>
        <v/>
      </c>
      <c r="E88" s="1119"/>
      <c r="F88" s="1119"/>
      <c r="G88" s="1119">
        <f t="shared" ca="1" si="17"/>
        <v>22109</v>
      </c>
      <c r="H88" s="1119"/>
      <c r="I88" s="1119"/>
      <c r="J88" s="1119">
        <f t="shared" ca="1" si="18"/>
        <v>1000998</v>
      </c>
      <c r="K88" s="1119"/>
      <c r="L88" s="1119"/>
      <c r="M88" s="1119">
        <f t="shared" ca="1" si="19"/>
        <v>3148400</v>
      </c>
      <c r="N88" s="1119"/>
      <c r="O88" s="1119"/>
      <c r="P88" s="1119">
        <f t="shared" ca="1" si="20"/>
        <v>3130448</v>
      </c>
      <c r="Q88" s="1119"/>
      <c r="R88" s="1119"/>
      <c r="S88" s="1119" t="str">
        <f t="shared" ca="1" si="21"/>
        <v/>
      </c>
      <c r="T88" s="1119"/>
      <c r="U88" s="1119"/>
      <c r="V88" s="23"/>
      <c r="W88" s="359"/>
      <c r="X88" s="360"/>
      <c r="Y88" s="360"/>
    </row>
    <row r="89" spans="2:25" s="22" customFormat="1" ht="12" customHeight="1">
      <c r="B89" s="858">
        <f ca="1">IF(OR(C88&gt;=110,C88=""),"",IF(C88+1&gt;110,111-$C$18,B88+1))</f>
        <v>66</v>
      </c>
      <c r="C89" s="689">
        <f ca="1">IF(OR($A$2=1,MAX($C$18:$C$72,$C$79:C88)&gt;=110),"",C88+(B89-B88))</f>
        <v>98</v>
      </c>
      <c r="D89" s="1119" t="str">
        <f t="shared" ca="1" si="16"/>
        <v/>
      </c>
      <c r="E89" s="1119"/>
      <c r="F89" s="1119"/>
      <c r="G89" s="1119">
        <f t="shared" ca="1" si="17"/>
        <v>22456</v>
      </c>
      <c r="H89" s="1119"/>
      <c r="I89" s="1119"/>
      <c r="J89" s="1119">
        <f t="shared" ca="1" si="18"/>
        <v>1000998</v>
      </c>
      <c r="K89" s="1119"/>
      <c r="L89" s="1119"/>
      <c r="M89" s="1119">
        <f t="shared" ca="1" si="19"/>
        <v>3196000</v>
      </c>
      <c r="N89" s="1119"/>
      <c r="O89" s="1119"/>
      <c r="P89" s="1119">
        <f t="shared" ca="1" si="20"/>
        <v>3179544</v>
      </c>
      <c r="Q89" s="1119"/>
      <c r="R89" s="1119"/>
      <c r="S89" s="1119" t="str">
        <f t="shared" ca="1" si="21"/>
        <v/>
      </c>
      <c r="T89" s="1119"/>
      <c r="U89" s="1119"/>
      <c r="V89" s="23"/>
      <c r="W89" s="359"/>
      <c r="X89" s="360"/>
      <c r="Y89" s="360"/>
    </row>
    <row r="90" spans="2:25" s="22" customFormat="1" ht="12" customHeight="1">
      <c r="B90" s="858">
        <f ca="1">IF(OR(C89&gt;=110,C89=""),"",IF(C89+1&gt;110,111-$C$18,B89+1))</f>
        <v>67</v>
      </c>
      <c r="C90" s="689">
        <f ca="1">IF(OR($A$2=1,MAX($C$18:$C$72,$C$79:C89)&gt;=110),"",C89+(B90-B89))</f>
        <v>99</v>
      </c>
      <c r="D90" s="1119" t="str">
        <f t="shared" ca="1" si="16"/>
        <v/>
      </c>
      <c r="E90" s="1119"/>
      <c r="F90" s="1119"/>
      <c r="G90" s="1119">
        <f t="shared" ca="1" si="17"/>
        <v>22803</v>
      </c>
      <c r="H90" s="1119"/>
      <c r="I90" s="1119"/>
      <c r="J90" s="1119">
        <f t="shared" ca="1" si="18"/>
        <v>1000998</v>
      </c>
      <c r="K90" s="1119"/>
      <c r="L90" s="1119"/>
      <c r="M90" s="1119">
        <f t="shared" ca="1" si="19"/>
        <v>3243600</v>
      </c>
      <c r="N90" s="1119"/>
      <c r="O90" s="1119"/>
      <c r="P90" s="1119">
        <f t="shared" ca="1" si="20"/>
        <v>3228742</v>
      </c>
      <c r="Q90" s="1119"/>
      <c r="R90" s="1119"/>
      <c r="S90" s="1119" t="str">
        <f t="shared" ca="1" si="21"/>
        <v/>
      </c>
      <c r="T90" s="1119"/>
      <c r="U90" s="1119"/>
      <c r="V90" s="23"/>
      <c r="W90" s="359"/>
      <c r="X90" s="360"/>
      <c r="Y90" s="360"/>
    </row>
    <row r="91" spans="2:25" s="22" customFormat="1" ht="12" customHeight="1">
      <c r="B91" s="858">
        <f ca="1">IF(OR(C90&gt;=110,C90=""),"",IF(C90+1&gt;110,111-$C$18,B90+1))</f>
        <v>68</v>
      </c>
      <c r="C91" s="689">
        <f ca="1">IF(OR($A$2=1,MAX($C$18:$C$72,$C$79:C90)&gt;=110),"",C90+(B91-B90))</f>
        <v>100</v>
      </c>
      <c r="D91" s="1119" t="str">
        <f t="shared" ca="1" si="16"/>
        <v/>
      </c>
      <c r="E91" s="1119"/>
      <c r="F91" s="1119"/>
      <c r="G91" s="1119">
        <f t="shared" ca="1" si="17"/>
        <v>23151</v>
      </c>
      <c r="H91" s="1119"/>
      <c r="I91" s="1119"/>
      <c r="J91" s="1119">
        <f t="shared" ca="1" si="18"/>
        <v>1000998</v>
      </c>
      <c r="K91" s="1119"/>
      <c r="L91" s="1119"/>
      <c r="M91" s="1119">
        <f t="shared" ca="1" si="19"/>
        <v>3291200</v>
      </c>
      <c r="N91" s="1119"/>
      <c r="O91" s="1119"/>
      <c r="P91" s="1119">
        <f t="shared" ca="1" si="20"/>
        <v>3278042</v>
      </c>
      <c r="Q91" s="1119"/>
      <c r="R91" s="1119"/>
      <c r="S91" s="1119" t="str">
        <f t="shared" ca="1" si="21"/>
        <v/>
      </c>
      <c r="T91" s="1119"/>
      <c r="U91" s="1119"/>
      <c r="V91" s="23"/>
      <c r="W91" s="359"/>
      <c r="X91" s="360"/>
      <c r="Y91" s="360"/>
    </row>
    <row r="92" spans="2:25" s="22" customFormat="1" ht="12" customHeight="1">
      <c r="B92" s="858">
        <f t="shared" ref="B92:B100" ca="1" si="23">IF(OR(C91&gt;=110,C91=""),"",IF(C91+1&gt;110,111-$C$18,B91+1))</f>
        <v>69</v>
      </c>
      <c r="C92" s="689">
        <f ca="1">IF(OR($A$2=1,MAX($C$18:$C$72,$C$79:C91)&gt;=110),"",C91+(B92-B91))</f>
        <v>101</v>
      </c>
      <c r="D92" s="1119" t="str">
        <f t="shared" ca="1" si="16"/>
        <v/>
      </c>
      <c r="E92" s="1119"/>
      <c r="F92" s="1119"/>
      <c r="G92" s="1119">
        <f t="shared" ca="1" si="17"/>
        <v>23500</v>
      </c>
      <c r="H92" s="1119"/>
      <c r="I92" s="1119"/>
      <c r="J92" s="1119">
        <f t="shared" ca="1" si="18"/>
        <v>1000998</v>
      </c>
      <c r="K92" s="1119"/>
      <c r="L92" s="1119"/>
      <c r="M92" s="1119">
        <f t="shared" ca="1" si="19"/>
        <v>3338800</v>
      </c>
      <c r="N92" s="1119"/>
      <c r="O92" s="1119"/>
      <c r="P92" s="1119">
        <f t="shared" ca="1" si="20"/>
        <v>3327410</v>
      </c>
      <c r="Q92" s="1119"/>
      <c r="R92" s="1119"/>
      <c r="S92" s="1119" t="str">
        <f t="shared" ca="1" si="21"/>
        <v/>
      </c>
      <c r="T92" s="1119"/>
      <c r="U92" s="1119"/>
      <c r="V92" s="23"/>
      <c r="W92" s="359"/>
      <c r="X92" s="360"/>
      <c r="Y92" s="360"/>
    </row>
    <row r="93" spans="2:25" s="22" customFormat="1" ht="12" customHeight="1">
      <c r="B93" s="858">
        <f t="shared" ca="1" si="23"/>
        <v>70</v>
      </c>
      <c r="C93" s="689">
        <f ca="1">IF(OR($A$2=1,MAX($C$18:$C$72,$C$79:C92)&gt;=110),"",C92+(B93-B92))</f>
        <v>102</v>
      </c>
      <c r="D93" s="1119" t="str">
        <f t="shared" ca="1" si="16"/>
        <v/>
      </c>
      <c r="E93" s="1119"/>
      <c r="F93" s="1119"/>
      <c r="G93" s="1119">
        <f t="shared" ca="1" si="17"/>
        <v>23849</v>
      </c>
      <c r="H93" s="1119"/>
      <c r="I93" s="1119"/>
      <c r="J93" s="1119">
        <f t="shared" ca="1" si="18"/>
        <v>1000998</v>
      </c>
      <c r="K93" s="1119"/>
      <c r="L93" s="1119"/>
      <c r="M93" s="1119">
        <f t="shared" ca="1" si="19"/>
        <v>3386400</v>
      </c>
      <c r="N93" s="1119"/>
      <c r="O93" s="1119"/>
      <c r="P93" s="1119">
        <f t="shared" ca="1" si="20"/>
        <v>3376846</v>
      </c>
      <c r="Q93" s="1119"/>
      <c r="R93" s="1119"/>
      <c r="S93" s="1119" t="str">
        <f t="shared" ca="1" si="21"/>
        <v/>
      </c>
      <c r="T93" s="1119"/>
      <c r="U93" s="1119"/>
      <c r="V93" s="23"/>
      <c r="W93" s="359"/>
      <c r="X93" s="360"/>
      <c r="Y93" s="360"/>
    </row>
    <row r="94" spans="2:25" s="22" customFormat="1" ht="12" customHeight="1">
      <c r="B94" s="858">
        <f t="shared" ca="1" si="23"/>
        <v>71</v>
      </c>
      <c r="C94" s="689">
        <f ca="1">IF(OR($A$2=1,MAX($C$18:$C$72,$C$79:C93)&gt;=110),"",C93+(B94-B93))</f>
        <v>103</v>
      </c>
      <c r="D94" s="1119" t="str">
        <f t="shared" ca="1" si="16"/>
        <v/>
      </c>
      <c r="E94" s="1119"/>
      <c r="F94" s="1119"/>
      <c r="G94" s="1119">
        <f t="shared" ca="1" si="17"/>
        <v>24199</v>
      </c>
      <c r="H94" s="1119"/>
      <c r="I94" s="1119"/>
      <c r="J94" s="1119">
        <f t="shared" ca="1" si="18"/>
        <v>1000998</v>
      </c>
      <c r="K94" s="1119"/>
      <c r="L94" s="1119"/>
      <c r="M94" s="1119">
        <f t="shared" ca="1" si="19"/>
        <v>3434000</v>
      </c>
      <c r="N94" s="1119"/>
      <c r="O94" s="1119"/>
      <c r="P94" s="1119">
        <f t="shared" ca="1" si="20"/>
        <v>3426316</v>
      </c>
      <c r="Q94" s="1119"/>
      <c r="R94" s="1119"/>
      <c r="S94" s="1119" t="str">
        <f t="shared" ca="1" si="21"/>
        <v/>
      </c>
      <c r="T94" s="1119"/>
      <c r="U94" s="1119"/>
      <c r="V94" s="23"/>
      <c r="W94" s="359"/>
      <c r="X94" s="360"/>
      <c r="Y94" s="360"/>
    </row>
    <row r="95" spans="2:25" s="22" customFormat="1" ht="12" customHeight="1">
      <c r="B95" s="858">
        <f t="shared" ca="1" si="23"/>
        <v>72</v>
      </c>
      <c r="C95" s="689">
        <f ca="1">IF(OR($A$2=1,MAX($C$18:$C$72,$C$79:C94)&gt;=110),"",C94+(B95-B94))</f>
        <v>104</v>
      </c>
      <c r="D95" s="1119" t="str">
        <f t="shared" ca="1" si="16"/>
        <v/>
      </c>
      <c r="E95" s="1119"/>
      <c r="F95" s="1119"/>
      <c r="G95" s="1119">
        <f t="shared" ca="1" si="17"/>
        <v>24548</v>
      </c>
      <c r="H95" s="1119"/>
      <c r="I95" s="1119"/>
      <c r="J95" s="1119">
        <f t="shared" ca="1" si="18"/>
        <v>1000998</v>
      </c>
      <c r="K95" s="1119"/>
      <c r="L95" s="1119"/>
      <c r="M95" s="1119">
        <f t="shared" ca="1" si="19"/>
        <v>3481600</v>
      </c>
      <c r="N95" s="1119"/>
      <c r="O95" s="1119"/>
      <c r="P95" s="1119">
        <f t="shared" ca="1" si="20"/>
        <v>3475854</v>
      </c>
      <c r="Q95" s="1119"/>
      <c r="R95" s="1119"/>
      <c r="S95" s="1119" t="str">
        <f t="shared" ca="1" si="21"/>
        <v/>
      </c>
      <c r="T95" s="1119"/>
      <c r="U95" s="1119"/>
      <c r="V95" s="23"/>
      <c r="W95" s="359"/>
      <c r="X95" s="360"/>
      <c r="Y95" s="360"/>
    </row>
    <row r="96" spans="2:25" s="22" customFormat="1" ht="12" customHeight="1">
      <c r="B96" s="858">
        <f t="shared" ca="1" si="23"/>
        <v>73</v>
      </c>
      <c r="C96" s="689">
        <f ca="1">IF(OR($A$2=1,MAX($C$18:$C$72,$C$79:C95)&gt;=110),"",C95+(B96-B95))</f>
        <v>105</v>
      </c>
      <c r="D96" s="1119" t="str">
        <f t="shared" ca="1" si="16"/>
        <v/>
      </c>
      <c r="E96" s="1119"/>
      <c r="F96" s="1119"/>
      <c r="G96" s="1119">
        <f t="shared" ca="1" si="17"/>
        <v>24898</v>
      </c>
      <c r="H96" s="1119"/>
      <c r="I96" s="1119"/>
      <c r="J96" s="1119">
        <f t="shared" ca="1" si="18"/>
        <v>1000998</v>
      </c>
      <c r="K96" s="1119"/>
      <c r="L96" s="1119"/>
      <c r="M96" s="1119">
        <f t="shared" ca="1" si="19"/>
        <v>3529200</v>
      </c>
      <c r="N96" s="1119"/>
      <c r="O96" s="1119"/>
      <c r="P96" s="1119">
        <f t="shared" ca="1" si="20"/>
        <v>3525426</v>
      </c>
      <c r="Q96" s="1119"/>
      <c r="R96" s="1119"/>
      <c r="S96" s="1119" t="str">
        <f t="shared" ca="1" si="21"/>
        <v/>
      </c>
      <c r="T96" s="1119"/>
      <c r="U96" s="1119"/>
      <c r="V96" s="23"/>
      <c r="W96" s="359"/>
      <c r="X96" s="360"/>
      <c r="Y96" s="360"/>
    </row>
    <row r="97" spans="2:25" s="22" customFormat="1" ht="12" customHeight="1">
      <c r="B97" s="858">
        <f t="shared" ca="1" si="23"/>
        <v>74</v>
      </c>
      <c r="C97" s="689">
        <f ca="1">IF(OR($A$2=1,MAX($C$18:$C$72,$C$79:C96)&gt;=110),"",C96+(B97-B96))</f>
        <v>106</v>
      </c>
      <c r="D97" s="1119" t="str">
        <f t="shared" ca="1" si="16"/>
        <v/>
      </c>
      <c r="E97" s="1119"/>
      <c r="F97" s="1119"/>
      <c r="G97" s="1119">
        <f t="shared" ca="1" si="17"/>
        <v>25249</v>
      </c>
      <c r="H97" s="1119"/>
      <c r="I97" s="1119"/>
      <c r="J97" s="1119">
        <f t="shared" ca="1" si="18"/>
        <v>1000998</v>
      </c>
      <c r="K97" s="1119"/>
      <c r="L97" s="1119"/>
      <c r="M97" s="1119">
        <f t="shared" ca="1" si="19"/>
        <v>3576800</v>
      </c>
      <c r="N97" s="1119"/>
      <c r="O97" s="1119"/>
      <c r="P97" s="1119">
        <f t="shared" ca="1" si="20"/>
        <v>3575100</v>
      </c>
      <c r="Q97" s="1119"/>
      <c r="R97" s="1119"/>
      <c r="S97" s="1119" t="str">
        <f t="shared" ca="1" si="21"/>
        <v/>
      </c>
      <c r="T97" s="1119"/>
      <c r="U97" s="1119"/>
      <c r="V97" s="23"/>
      <c r="W97" s="359"/>
      <c r="X97" s="360"/>
      <c r="Y97" s="360"/>
    </row>
    <row r="98" spans="2:25" s="22" customFormat="1" ht="12" customHeight="1">
      <c r="B98" s="858">
        <f t="shared" ca="1" si="23"/>
        <v>75</v>
      </c>
      <c r="C98" s="689">
        <f ca="1">IF(OR($A$2=1,MAX($C$18:$C$72,$C$79:C97)&gt;=110),"",C97+(B98-B97))</f>
        <v>107</v>
      </c>
      <c r="D98" s="1119" t="str">
        <f t="shared" ca="1" si="16"/>
        <v/>
      </c>
      <c r="E98" s="1119"/>
      <c r="F98" s="1119"/>
      <c r="G98" s="1119">
        <f t="shared" ca="1" si="17"/>
        <v>25602</v>
      </c>
      <c r="H98" s="1119"/>
      <c r="I98" s="1119"/>
      <c r="J98" s="1119">
        <f t="shared" ca="1" si="18"/>
        <v>1000998</v>
      </c>
      <c r="K98" s="1119"/>
      <c r="L98" s="1119"/>
      <c r="M98" s="1119">
        <f t="shared" ca="1" si="19"/>
        <v>3625046</v>
      </c>
      <c r="N98" s="1119"/>
      <c r="O98" s="1119"/>
      <c r="P98" s="1119">
        <f t="shared" ca="1" si="20"/>
        <v>3625046</v>
      </c>
      <c r="Q98" s="1119"/>
      <c r="R98" s="1119"/>
      <c r="S98" s="1119" t="str">
        <f t="shared" ca="1" si="21"/>
        <v/>
      </c>
      <c r="T98" s="1119"/>
      <c r="U98" s="1119"/>
      <c r="V98" s="23"/>
      <c r="W98" s="359"/>
      <c r="X98" s="360"/>
      <c r="Y98" s="360"/>
    </row>
    <row r="99" spans="2:25" s="22" customFormat="1" ht="12" customHeight="1">
      <c r="B99" s="858">
        <f t="shared" ca="1" si="23"/>
        <v>76</v>
      </c>
      <c r="C99" s="689">
        <f ca="1">IF(OR($A$2=1,MAX($C$18:$C$72,$C$79:C98)&gt;=110),"",C98+(B99-B98))</f>
        <v>108</v>
      </c>
      <c r="D99" s="1119" t="str">
        <f t="shared" ca="1" si="16"/>
        <v/>
      </c>
      <c r="E99" s="1119"/>
      <c r="F99" s="1119"/>
      <c r="G99" s="1119">
        <f t="shared" ca="1" si="17"/>
        <v>25961</v>
      </c>
      <c r="H99" s="1119"/>
      <c r="I99" s="1119"/>
      <c r="J99" s="1119">
        <f t="shared" ca="1" si="18"/>
        <v>1000998</v>
      </c>
      <c r="K99" s="1119"/>
      <c r="L99" s="1119"/>
      <c r="M99" s="1119">
        <f t="shared" ca="1" si="19"/>
        <v>3675774</v>
      </c>
      <c r="N99" s="1119"/>
      <c r="O99" s="1119"/>
      <c r="P99" s="1119">
        <f t="shared" ca="1" si="20"/>
        <v>3675774</v>
      </c>
      <c r="Q99" s="1119"/>
      <c r="R99" s="1119"/>
      <c r="S99" s="1119" t="str">
        <f t="shared" ca="1" si="21"/>
        <v/>
      </c>
      <c r="T99" s="1119"/>
      <c r="U99" s="1119"/>
      <c r="V99" s="23"/>
      <c r="W99" s="359"/>
      <c r="X99" s="360"/>
      <c r="Y99" s="360"/>
    </row>
    <row r="100" spans="2:25" s="22" customFormat="1" ht="12" customHeight="1">
      <c r="B100" s="858">
        <f t="shared" ca="1" si="23"/>
        <v>77</v>
      </c>
      <c r="C100" s="689">
        <f ca="1">IF(OR($A$2=1,MAX($C$18:$C$72,$C$79:C99)&gt;=110),"",C99+(B100-B99))</f>
        <v>109</v>
      </c>
      <c r="D100" s="1119" t="str">
        <f t="shared" ca="1" si="16"/>
        <v/>
      </c>
      <c r="E100" s="1119"/>
      <c r="F100" s="1119"/>
      <c r="G100" s="1119">
        <f t="shared" ca="1" si="17"/>
        <v>26343</v>
      </c>
      <c r="H100" s="1119"/>
      <c r="I100" s="1119"/>
      <c r="J100" s="1119">
        <f t="shared" ca="1" si="18"/>
        <v>1000998</v>
      </c>
      <c r="K100" s="1119"/>
      <c r="L100" s="1119"/>
      <c r="M100" s="1119">
        <f t="shared" ca="1" si="19"/>
        <v>3730072</v>
      </c>
      <c r="N100" s="1119"/>
      <c r="O100" s="1119"/>
      <c r="P100" s="1119">
        <f t="shared" ca="1" si="20"/>
        <v>3730072</v>
      </c>
      <c r="Q100" s="1119"/>
      <c r="R100" s="1119"/>
      <c r="S100" s="1119" t="str">
        <f t="shared" ca="1" si="21"/>
        <v/>
      </c>
      <c r="T100" s="1119"/>
      <c r="U100" s="1119"/>
      <c r="V100" s="23"/>
      <c r="W100" s="359"/>
      <c r="X100" s="360"/>
      <c r="Y100" s="360"/>
    </row>
    <row r="101" spans="2:25" s="22" customFormat="1" ht="12" customHeight="1">
      <c r="B101" s="858">
        <f t="shared" ref="B101:B134" ca="1" si="24">IF(OR(C100&gt;=110,C100=""),"",IF(C100+1&gt;110,111-$C$18,B100+1))</f>
        <v>78</v>
      </c>
      <c r="C101" s="689">
        <f ca="1">IF(OR($A$2=1,MAX($C$18:$C$72,$C$79:C100)&gt;=110),"",C100+(B101-B100))</f>
        <v>110</v>
      </c>
      <c r="D101" s="1119" t="str">
        <f t="shared" ca="1" si="16"/>
        <v/>
      </c>
      <c r="E101" s="1119"/>
      <c r="F101" s="1119"/>
      <c r="G101" s="1119">
        <f t="shared" ca="1" si="17"/>
        <v>26607</v>
      </c>
      <c r="H101" s="1119"/>
      <c r="I101" s="1119"/>
      <c r="J101" s="1119">
        <f t="shared" ca="1" si="18"/>
        <v>1000998</v>
      </c>
      <c r="K101" s="1119"/>
      <c r="L101" s="1119"/>
      <c r="M101" s="1119">
        <f t="shared" ca="1" si="19"/>
        <v>3767200</v>
      </c>
      <c r="N101" s="1119"/>
      <c r="O101" s="1119"/>
      <c r="P101" s="1119">
        <f t="shared" ca="1" si="20"/>
        <v>3767200</v>
      </c>
      <c r="Q101" s="1119"/>
      <c r="R101" s="1119"/>
      <c r="S101" s="1119" t="str">
        <f t="shared" ca="1" si="21"/>
        <v/>
      </c>
      <c r="T101" s="1119"/>
      <c r="U101" s="1119"/>
      <c r="V101" s="23"/>
      <c r="W101" s="359"/>
      <c r="X101" s="360"/>
      <c r="Y101" s="360"/>
    </row>
    <row r="102" spans="2:25" s="22" customFormat="1" ht="12" customHeight="1">
      <c r="B102" s="858" t="str">
        <f t="shared" ca="1" si="24"/>
        <v/>
      </c>
      <c r="C102" s="689" t="str">
        <f ca="1">IF(OR($A$2=1,MAX($C$18:$C$72,$C$79:C101)&gt;=110),"",C101+(B102-B101))</f>
        <v/>
      </c>
      <c r="D102" s="1119" t="str">
        <f t="shared" ca="1" si="16"/>
        <v/>
      </c>
      <c r="E102" s="1119"/>
      <c r="F102" s="1119"/>
      <c r="G102" s="1119" t="str">
        <f t="shared" ca="1" si="17"/>
        <v/>
      </c>
      <c r="H102" s="1119"/>
      <c r="I102" s="1119"/>
      <c r="J102" s="1119" t="str">
        <f t="shared" ca="1" si="18"/>
        <v/>
      </c>
      <c r="K102" s="1119"/>
      <c r="L102" s="1119"/>
      <c r="M102" s="1119" t="str">
        <f t="shared" ca="1" si="19"/>
        <v/>
      </c>
      <c r="N102" s="1119"/>
      <c r="O102" s="1119"/>
      <c r="P102" s="1119" t="str">
        <f t="shared" ca="1" si="20"/>
        <v/>
      </c>
      <c r="Q102" s="1119"/>
      <c r="R102" s="1119"/>
      <c r="S102" s="1119" t="str">
        <f t="shared" ca="1" si="21"/>
        <v/>
      </c>
      <c r="T102" s="1119"/>
      <c r="U102" s="1119"/>
      <c r="V102" s="23"/>
      <c r="W102" s="359"/>
      <c r="X102" s="360"/>
      <c r="Y102" s="360"/>
    </row>
    <row r="103" spans="2:25" s="22" customFormat="1" ht="12" customHeight="1">
      <c r="B103" s="858" t="str">
        <f t="shared" ca="1" si="24"/>
        <v/>
      </c>
      <c r="C103" s="689" t="str">
        <f ca="1">IF(OR($A$2=1,MAX($C$18:$C$72,$C$79:C102)&gt;=110),"",C102+(B103-B102))</f>
        <v/>
      </c>
      <c r="D103" s="1119" t="str">
        <f t="shared" ca="1" si="16"/>
        <v/>
      </c>
      <c r="E103" s="1119"/>
      <c r="F103" s="1119"/>
      <c r="G103" s="1119" t="str">
        <f t="shared" ca="1" si="17"/>
        <v/>
      </c>
      <c r="H103" s="1119"/>
      <c r="I103" s="1119"/>
      <c r="J103" s="1119" t="str">
        <f t="shared" ca="1" si="18"/>
        <v/>
      </c>
      <c r="K103" s="1119"/>
      <c r="L103" s="1119"/>
      <c r="M103" s="1119" t="str">
        <f t="shared" ca="1" si="19"/>
        <v/>
      </c>
      <c r="N103" s="1119"/>
      <c r="O103" s="1119"/>
      <c r="P103" s="1119" t="str">
        <f t="shared" ca="1" si="20"/>
        <v/>
      </c>
      <c r="Q103" s="1119"/>
      <c r="R103" s="1119"/>
      <c r="S103" s="1119" t="str">
        <f t="shared" ca="1" si="21"/>
        <v/>
      </c>
      <c r="T103" s="1119"/>
      <c r="U103" s="1119"/>
      <c r="V103" s="23"/>
      <c r="W103" s="359"/>
      <c r="X103" s="360"/>
      <c r="Y103" s="360"/>
    </row>
    <row r="104" spans="2:25" s="22" customFormat="1" ht="12" customHeight="1">
      <c r="B104" s="858" t="str">
        <f t="shared" ca="1" si="24"/>
        <v/>
      </c>
      <c r="C104" s="689" t="str">
        <f ca="1">IF(OR($A$2=1,MAX($C$18:$C$72,$C$79:C103)&gt;=110),"",C103+(B104-B103))</f>
        <v/>
      </c>
      <c r="D104" s="1119" t="str">
        <f t="shared" ca="1" si="16"/>
        <v/>
      </c>
      <c r="E104" s="1119"/>
      <c r="F104" s="1119"/>
      <c r="G104" s="1119" t="str">
        <f t="shared" ca="1" si="17"/>
        <v/>
      </c>
      <c r="H104" s="1119"/>
      <c r="I104" s="1119"/>
      <c r="J104" s="1119" t="str">
        <f t="shared" ca="1" si="18"/>
        <v/>
      </c>
      <c r="K104" s="1119"/>
      <c r="L104" s="1119"/>
      <c r="M104" s="1119" t="str">
        <f t="shared" ca="1" si="19"/>
        <v/>
      </c>
      <c r="N104" s="1119"/>
      <c r="O104" s="1119"/>
      <c r="P104" s="1119" t="str">
        <f t="shared" ca="1" si="20"/>
        <v/>
      </c>
      <c r="Q104" s="1119"/>
      <c r="R104" s="1119"/>
      <c r="S104" s="1119" t="str">
        <f t="shared" ca="1" si="21"/>
        <v/>
      </c>
      <c r="T104" s="1119"/>
      <c r="U104" s="1119"/>
      <c r="V104" s="23"/>
      <c r="W104" s="359"/>
      <c r="X104" s="360"/>
      <c r="Y104" s="360"/>
    </row>
    <row r="105" spans="2:25" s="22" customFormat="1" ht="12" customHeight="1">
      <c r="B105" s="858" t="str">
        <f t="shared" ca="1" si="24"/>
        <v/>
      </c>
      <c r="C105" s="689" t="str">
        <f ca="1">IF(OR($A$2=1,MAX($C$18:$C$72,$C$79:C104)&gt;=110),"",C104+(B105-B104))</f>
        <v/>
      </c>
      <c r="D105" s="1119" t="str">
        <f t="shared" ca="1" si="16"/>
        <v/>
      </c>
      <c r="E105" s="1119"/>
      <c r="F105" s="1119"/>
      <c r="G105" s="1119" t="str">
        <f t="shared" ca="1" si="17"/>
        <v/>
      </c>
      <c r="H105" s="1119"/>
      <c r="I105" s="1119"/>
      <c r="J105" s="1119" t="str">
        <f t="shared" ca="1" si="18"/>
        <v/>
      </c>
      <c r="K105" s="1119"/>
      <c r="L105" s="1119"/>
      <c r="M105" s="1119" t="str">
        <f t="shared" ca="1" si="19"/>
        <v/>
      </c>
      <c r="N105" s="1119"/>
      <c r="O105" s="1119"/>
      <c r="P105" s="1119" t="str">
        <f t="shared" ca="1" si="20"/>
        <v/>
      </c>
      <c r="Q105" s="1119"/>
      <c r="R105" s="1119"/>
      <c r="S105" s="1119" t="str">
        <f t="shared" ca="1" si="21"/>
        <v/>
      </c>
      <c r="T105" s="1119"/>
      <c r="U105" s="1119"/>
      <c r="V105" s="23"/>
      <c r="W105" s="359"/>
      <c r="X105" s="360"/>
      <c r="Y105" s="360"/>
    </row>
    <row r="106" spans="2:25" s="22" customFormat="1" ht="12" customHeight="1">
      <c r="B106" s="858" t="str">
        <f t="shared" ca="1" si="24"/>
        <v/>
      </c>
      <c r="C106" s="689" t="str">
        <f ca="1">IF(OR($A$2=1,MAX($C$18:$C$72,$C$79:C105)&gt;=110),"",C105+(B106-B105))</f>
        <v/>
      </c>
      <c r="D106" s="1119" t="str">
        <f t="shared" ca="1" si="16"/>
        <v/>
      </c>
      <c r="E106" s="1119"/>
      <c r="F106" s="1119"/>
      <c r="G106" s="1119" t="str">
        <f t="shared" ca="1" si="17"/>
        <v/>
      </c>
      <c r="H106" s="1119"/>
      <c r="I106" s="1119"/>
      <c r="J106" s="1119" t="str">
        <f t="shared" ca="1" si="18"/>
        <v/>
      </c>
      <c r="K106" s="1119"/>
      <c r="L106" s="1119"/>
      <c r="M106" s="1119" t="str">
        <f t="shared" ca="1" si="19"/>
        <v/>
      </c>
      <c r="N106" s="1119"/>
      <c r="O106" s="1119"/>
      <c r="P106" s="1119" t="str">
        <f t="shared" ca="1" si="20"/>
        <v/>
      </c>
      <c r="Q106" s="1119"/>
      <c r="R106" s="1119"/>
      <c r="S106" s="1119" t="str">
        <f t="shared" ca="1" si="21"/>
        <v/>
      </c>
      <c r="T106" s="1119"/>
      <c r="U106" s="1119"/>
      <c r="V106" s="23"/>
      <c r="W106" s="359"/>
      <c r="X106" s="360"/>
      <c r="Y106" s="360"/>
    </row>
    <row r="107" spans="2:25" s="22" customFormat="1" ht="12" customHeight="1">
      <c r="B107" s="858" t="str">
        <f t="shared" ca="1" si="24"/>
        <v/>
      </c>
      <c r="C107" s="689" t="str">
        <f ca="1">IF(OR($A$2=1,MAX($C$18:$C$72,$C$79:C106)&gt;=110),"",C106+(B107-B106))</f>
        <v/>
      </c>
      <c r="D107" s="1119" t="str">
        <f t="shared" ca="1" si="16"/>
        <v/>
      </c>
      <c r="E107" s="1119"/>
      <c r="F107" s="1119"/>
      <c r="G107" s="1119" t="str">
        <f t="shared" ca="1" si="17"/>
        <v/>
      </c>
      <c r="H107" s="1119"/>
      <c r="I107" s="1119"/>
      <c r="J107" s="1119" t="str">
        <f t="shared" ca="1" si="18"/>
        <v/>
      </c>
      <c r="K107" s="1119"/>
      <c r="L107" s="1119"/>
      <c r="M107" s="1119" t="str">
        <f t="shared" ca="1" si="19"/>
        <v/>
      </c>
      <c r="N107" s="1119"/>
      <c r="O107" s="1119"/>
      <c r="P107" s="1119" t="str">
        <f t="shared" ca="1" si="20"/>
        <v/>
      </c>
      <c r="Q107" s="1119"/>
      <c r="R107" s="1119"/>
      <c r="S107" s="1119" t="str">
        <f t="shared" ca="1" si="21"/>
        <v/>
      </c>
      <c r="T107" s="1119"/>
      <c r="U107" s="1119"/>
      <c r="V107" s="23"/>
      <c r="W107" s="359"/>
      <c r="X107" s="360"/>
      <c r="Y107" s="360"/>
    </row>
    <row r="108" spans="2:25" s="22" customFormat="1" ht="12" customHeight="1">
      <c r="B108" s="858" t="str">
        <f t="shared" ca="1" si="24"/>
        <v/>
      </c>
      <c r="C108" s="689" t="str">
        <f ca="1">IF(OR($A$2=1,MAX($C$18:$C$72,$C$79:C107)&gt;=110),"",C107+(B108-B107))</f>
        <v/>
      </c>
      <c r="D108" s="1119" t="str">
        <f t="shared" ca="1" si="16"/>
        <v/>
      </c>
      <c r="E108" s="1119"/>
      <c r="F108" s="1119"/>
      <c r="G108" s="1119" t="str">
        <f t="shared" ca="1" si="17"/>
        <v/>
      </c>
      <c r="H108" s="1119"/>
      <c r="I108" s="1119"/>
      <c r="J108" s="1119" t="str">
        <f t="shared" ca="1" si="18"/>
        <v/>
      </c>
      <c r="K108" s="1119"/>
      <c r="L108" s="1119"/>
      <c r="M108" s="1119" t="str">
        <f t="shared" ca="1" si="19"/>
        <v/>
      </c>
      <c r="N108" s="1119"/>
      <c r="O108" s="1119"/>
      <c r="P108" s="1119" t="str">
        <f t="shared" ca="1" si="20"/>
        <v/>
      </c>
      <c r="Q108" s="1119"/>
      <c r="R108" s="1119"/>
      <c r="S108" s="1119" t="str">
        <f t="shared" ca="1" si="21"/>
        <v/>
      </c>
      <c r="T108" s="1119"/>
      <c r="U108" s="1119"/>
      <c r="V108" s="23"/>
      <c r="W108" s="359"/>
      <c r="X108" s="360"/>
      <c r="Y108" s="360"/>
    </row>
    <row r="109" spans="2:25" s="22" customFormat="1" ht="12" customHeight="1">
      <c r="B109" s="858" t="str">
        <f t="shared" ca="1" si="24"/>
        <v/>
      </c>
      <c r="C109" s="689" t="str">
        <f ca="1">IF(OR($A$2=1,MAX($C$18:$C$72,$C$79:C108)&gt;=110),"",C108+(B109-B108))</f>
        <v/>
      </c>
      <c r="D109" s="1119" t="str">
        <f t="shared" ca="1" si="16"/>
        <v/>
      </c>
      <c r="E109" s="1119"/>
      <c r="F109" s="1119"/>
      <c r="G109" s="1119" t="str">
        <f t="shared" ca="1" si="17"/>
        <v/>
      </c>
      <c r="H109" s="1119"/>
      <c r="I109" s="1119"/>
      <c r="J109" s="1119" t="str">
        <f t="shared" ca="1" si="18"/>
        <v/>
      </c>
      <c r="K109" s="1119"/>
      <c r="L109" s="1119"/>
      <c r="M109" s="1119" t="str">
        <f t="shared" ca="1" si="19"/>
        <v/>
      </c>
      <c r="N109" s="1119"/>
      <c r="O109" s="1119"/>
      <c r="P109" s="1119" t="str">
        <f t="shared" ca="1" si="20"/>
        <v/>
      </c>
      <c r="Q109" s="1119"/>
      <c r="R109" s="1119"/>
      <c r="S109" s="1119" t="str">
        <f t="shared" ca="1" si="21"/>
        <v/>
      </c>
      <c r="T109" s="1119"/>
      <c r="U109" s="1119"/>
      <c r="V109" s="23"/>
      <c r="W109" s="359"/>
      <c r="X109" s="360"/>
      <c r="Y109" s="360"/>
    </row>
    <row r="110" spans="2:25" s="22" customFormat="1" ht="12" customHeight="1">
      <c r="B110" s="858" t="str">
        <f t="shared" ca="1" si="24"/>
        <v/>
      </c>
      <c r="C110" s="689" t="str">
        <f ca="1">IF(OR($A$2=1,MAX($C$18:$C$72,$C$79:C109)&gt;=110),"",C109+(B110-B109))</f>
        <v/>
      </c>
      <c r="D110" s="1119" t="str">
        <f t="shared" ca="1" si="16"/>
        <v/>
      </c>
      <c r="E110" s="1119"/>
      <c r="F110" s="1119"/>
      <c r="G110" s="1119" t="str">
        <f t="shared" ca="1" si="17"/>
        <v/>
      </c>
      <c r="H110" s="1119"/>
      <c r="I110" s="1119"/>
      <c r="J110" s="1119" t="str">
        <f t="shared" ca="1" si="18"/>
        <v/>
      </c>
      <c r="K110" s="1119"/>
      <c r="L110" s="1119"/>
      <c r="M110" s="1119" t="str">
        <f t="shared" ca="1" si="19"/>
        <v/>
      </c>
      <c r="N110" s="1119"/>
      <c r="O110" s="1119"/>
      <c r="P110" s="1119" t="str">
        <f t="shared" ca="1" si="20"/>
        <v/>
      </c>
      <c r="Q110" s="1119"/>
      <c r="R110" s="1119"/>
      <c r="S110" s="1119" t="str">
        <f t="shared" ca="1" si="21"/>
        <v/>
      </c>
      <c r="T110" s="1119"/>
      <c r="U110" s="1119"/>
      <c r="V110" s="23"/>
      <c r="W110" s="359"/>
      <c r="X110" s="360"/>
      <c r="Y110" s="360"/>
    </row>
    <row r="111" spans="2:25" s="22" customFormat="1" ht="12" customHeight="1">
      <c r="B111" s="858" t="str">
        <f t="shared" ca="1" si="24"/>
        <v/>
      </c>
      <c r="C111" s="689" t="str">
        <f ca="1">IF(OR($A$2=1,MAX($C$18:$C$72,$C$79:C110)&gt;=110),"",C110+(B111-B110))</f>
        <v/>
      </c>
      <c r="D111" s="1119" t="str">
        <f t="shared" ref="D111:D134" ca="1" si="25">IF(OR($A$2=1,B111="",VLOOKUP($B111,TOV,3,0)=0),"",VLOOKUP($B111,TOV,3,0))</f>
        <v/>
      </c>
      <c r="E111" s="1119"/>
      <c r="F111" s="1119"/>
      <c r="G111" s="1119" t="str">
        <f t="shared" ref="G111:G134" ca="1" si="26">IF(OR($A$2=1,$B111="",VLOOKUP($B111,TOV,10,0)=0),"",VLOOKUP($B111,TOV,10,0))</f>
        <v/>
      </c>
      <c r="H111" s="1119"/>
      <c r="I111" s="1119"/>
      <c r="J111" s="1119" t="str">
        <f t="shared" ref="J111:J134" ca="1" si="27">IF(OR($A$2=1,$B111="",VLOOKUP($B111,TOV,4,0)=0),"",VLOOKUP($B111,TOV,4,0))</f>
        <v/>
      </c>
      <c r="K111" s="1119"/>
      <c r="L111" s="1119"/>
      <c r="M111" s="1119" t="str">
        <f t="shared" ref="M111:M134" ca="1" si="28">IF(OR($A$2=1,$B111="",VLOOKUP($B111,TOV,7,0)=0),"",VLOOKUP($B111,TOV,7,0))</f>
        <v/>
      </c>
      <c r="N111" s="1119"/>
      <c r="O111" s="1119"/>
      <c r="P111" s="1119" t="str">
        <f t="shared" ref="P111:P134" ca="1" si="29">IF(OR($A$2=1,$B111="",VLOOKUP($B111,TOV,8,0)=0),"",VLOOKUP($B111,TOV,8,0))</f>
        <v/>
      </c>
      <c r="Q111" s="1119"/>
      <c r="R111" s="1119"/>
      <c r="S111" s="1119" t="str">
        <f t="shared" ref="S111:S134" ca="1" si="30">IF(OR($A$2=1,$B111="",VLOOKUP($B111,TOV,9,0)=0),"",VLOOKUP($B111,TOV,9,0))</f>
        <v/>
      </c>
      <c r="T111" s="1119"/>
      <c r="U111" s="1119"/>
      <c r="V111" s="23"/>
      <c r="W111" s="359"/>
      <c r="X111" s="360"/>
      <c r="Y111" s="360"/>
    </row>
    <row r="112" spans="2:25" s="22" customFormat="1" ht="12" customHeight="1">
      <c r="B112" s="858" t="str">
        <f t="shared" ca="1" si="24"/>
        <v/>
      </c>
      <c r="C112" s="689" t="str">
        <f ca="1">IF(OR($A$2=1,MAX($C$18:$C$72,$C$79:C111)&gt;=110),"",C111+(B112-B111))</f>
        <v/>
      </c>
      <c r="D112" s="1119" t="str">
        <f t="shared" ca="1" si="25"/>
        <v/>
      </c>
      <c r="E112" s="1119"/>
      <c r="F112" s="1119"/>
      <c r="G112" s="1119" t="str">
        <f t="shared" ca="1" si="26"/>
        <v/>
      </c>
      <c r="H112" s="1119"/>
      <c r="I112" s="1119"/>
      <c r="J112" s="1119" t="str">
        <f t="shared" ca="1" si="27"/>
        <v/>
      </c>
      <c r="K112" s="1119"/>
      <c r="L112" s="1119"/>
      <c r="M112" s="1119" t="str">
        <f t="shared" ca="1" si="28"/>
        <v/>
      </c>
      <c r="N112" s="1119"/>
      <c r="O112" s="1119"/>
      <c r="P112" s="1119" t="str">
        <f t="shared" ca="1" si="29"/>
        <v/>
      </c>
      <c r="Q112" s="1119"/>
      <c r="R112" s="1119"/>
      <c r="S112" s="1119" t="str">
        <f t="shared" ca="1" si="30"/>
        <v/>
      </c>
      <c r="T112" s="1119"/>
      <c r="U112" s="1119"/>
      <c r="V112" s="23"/>
      <c r="W112" s="359"/>
      <c r="X112" s="360"/>
      <c r="Y112" s="360"/>
    </row>
    <row r="113" spans="2:25" s="22" customFormat="1" ht="12" customHeight="1">
      <c r="B113" s="858" t="str">
        <f t="shared" ca="1" si="24"/>
        <v/>
      </c>
      <c r="C113" s="689" t="str">
        <f ca="1">IF(OR($A$2=1,MAX($C$18:$C$72,$C$79:C112)&gt;=110),"",C112+(B113-B112))</f>
        <v/>
      </c>
      <c r="D113" s="1119" t="str">
        <f t="shared" ca="1" si="25"/>
        <v/>
      </c>
      <c r="E113" s="1119"/>
      <c r="F113" s="1119"/>
      <c r="G113" s="1119" t="str">
        <f t="shared" ca="1" si="26"/>
        <v/>
      </c>
      <c r="H113" s="1119"/>
      <c r="I113" s="1119"/>
      <c r="J113" s="1119" t="str">
        <f t="shared" ca="1" si="27"/>
        <v/>
      </c>
      <c r="K113" s="1119"/>
      <c r="L113" s="1119"/>
      <c r="M113" s="1119" t="str">
        <f t="shared" ca="1" si="28"/>
        <v/>
      </c>
      <c r="N113" s="1119"/>
      <c r="O113" s="1119"/>
      <c r="P113" s="1119" t="str">
        <f t="shared" ca="1" si="29"/>
        <v/>
      </c>
      <c r="Q113" s="1119"/>
      <c r="R113" s="1119"/>
      <c r="S113" s="1119" t="str">
        <f t="shared" ca="1" si="30"/>
        <v/>
      </c>
      <c r="T113" s="1119"/>
      <c r="U113" s="1119"/>
      <c r="V113" s="23"/>
      <c r="W113" s="359"/>
      <c r="X113" s="360"/>
      <c r="Y113" s="360"/>
    </row>
    <row r="114" spans="2:25" s="22" customFormat="1" ht="12" customHeight="1">
      <c r="B114" s="858" t="str">
        <f t="shared" ca="1" si="24"/>
        <v/>
      </c>
      <c r="C114" s="689" t="str">
        <f ca="1">IF(OR($A$2=1,MAX($C$18:$C$72,$C$79:C113)&gt;=110),"",C113+(B114-B113))</f>
        <v/>
      </c>
      <c r="D114" s="1119" t="str">
        <f t="shared" ca="1" si="25"/>
        <v/>
      </c>
      <c r="E114" s="1119"/>
      <c r="F114" s="1119"/>
      <c r="G114" s="1119" t="str">
        <f t="shared" ca="1" si="26"/>
        <v/>
      </c>
      <c r="H114" s="1119"/>
      <c r="I114" s="1119"/>
      <c r="J114" s="1119" t="str">
        <f t="shared" ca="1" si="27"/>
        <v/>
      </c>
      <c r="K114" s="1119"/>
      <c r="L114" s="1119"/>
      <c r="M114" s="1119" t="str">
        <f t="shared" ca="1" si="28"/>
        <v/>
      </c>
      <c r="N114" s="1119"/>
      <c r="O114" s="1119"/>
      <c r="P114" s="1119" t="str">
        <f t="shared" ca="1" si="29"/>
        <v/>
      </c>
      <c r="Q114" s="1119"/>
      <c r="R114" s="1119"/>
      <c r="S114" s="1119" t="str">
        <f t="shared" ca="1" si="30"/>
        <v/>
      </c>
      <c r="T114" s="1119"/>
      <c r="U114" s="1119"/>
      <c r="V114" s="23"/>
      <c r="W114" s="359"/>
      <c r="X114" s="360"/>
      <c r="Y114" s="360"/>
    </row>
    <row r="115" spans="2:25" s="22" customFormat="1" ht="12" customHeight="1">
      <c r="B115" s="858" t="str">
        <f t="shared" ca="1" si="24"/>
        <v/>
      </c>
      <c r="C115" s="689" t="str">
        <f ca="1">IF(OR($A$2=1,MAX($C$18:$C$72,$C$79:C114)&gt;=110),"",C114+(B115-B114))</f>
        <v/>
      </c>
      <c r="D115" s="1119" t="str">
        <f t="shared" ca="1" si="25"/>
        <v/>
      </c>
      <c r="E115" s="1119"/>
      <c r="F115" s="1119"/>
      <c r="G115" s="1119" t="str">
        <f t="shared" ca="1" si="26"/>
        <v/>
      </c>
      <c r="H115" s="1119"/>
      <c r="I115" s="1119"/>
      <c r="J115" s="1119" t="str">
        <f t="shared" ca="1" si="27"/>
        <v/>
      </c>
      <c r="K115" s="1119"/>
      <c r="L115" s="1119"/>
      <c r="M115" s="1119" t="str">
        <f t="shared" ca="1" si="28"/>
        <v/>
      </c>
      <c r="N115" s="1119"/>
      <c r="O115" s="1119"/>
      <c r="P115" s="1119" t="str">
        <f t="shared" ca="1" si="29"/>
        <v/>
      </c>
      <c r="Q115" s="1119"/>
      <c r="R115" s="1119"/>
      <c r="S115" s="1119" t="str">
        <f t="shared" ca="1" si="30"/>
        <v/>
      </c>
      <c r="T115" s="1119"/>
      <c r="U115" s="1119"/>
      <c r="V115" s="23"/>
      <c r="W115" s="359"/>
      <c r="X115" s="360"/>
      <c r="Y115" s="360"/>
    </row>
    <row r="116" spans="2:25" s="22" customFormat="1" ht="12" customHeight="1">
      <c r="B116" s="858" t="str">
        <f t="shared" ca="1" si="24"/>
        <v/>
      </c>
      <c r="C116" s="689" t="str">
        <f ca="1">IF(OR($A$2=1,MAX($C$18:$C$72,$C$79:C115)&gt;=110),"",C115+(B116-B115))</f>
        <v/>
      </c>
      <c r="D116" s="1119" t="str">
        <f t="shared" ca="1" si="25"/>
        <v/>
      </c>
      <c r="E116" s="1119"/>
      <c r="F116" s="1119"/>
      <c r="G116" s="1119" t="str">
        <f t="shared" ca="1" si="26"/>
        <v/>
      </c>
      <c r="H116" s="1119"/>
      <c r="I116" s="1119"/>
      <c r="J116" s="1119" t="str">
        <f t="shared" ca="1" si="27"/>
        <v/>
      </c>
      <c r="K116" s="1119"/>
      <c r="L116" s="1119"/>
      <c r="M116" s="1119" t="str">
        <f t="shared" ca="1" si="28"/>
        <v/>
      </c>
      <c r="N116" s="1119"/>
      <c r="O116" s="1119"/>
      <c r="P116" s="1119" t="str">
        <f t="shared" ca="1" si="29"/>
        <v/>
      </c>
      <c r="Q116" s="1119"/>
      <c r="R116" s="1119"/>
      <c r="S116" s="1119" t="str">
        <f t="shared" ca="1" si="30"/>
        <v/>
      </c>
      <c r="T116" s="1119"/>
      <c r="U116" s="1119"/>
      <c r="V116" s="23"/>
      <c r="W116" s="359"/>
      <c r="X116" s="360"/>
      <c r="Y116" s="360"/>
    </row>
    <row r="117" spans="2:25" s="22" customFormat="1" ht="12" customHeight="1">
      <c r="B117" s="858" t="str">
        <f t="shared" ca="1" si="24"/>
        <v/>
      </c>
      <c r="C117" s="689" t="str">
        <f ca="1">IF(OR($A$2=1,MAX($C$18:$C$72,$C$79:C116)&gt;=110),"",C116+(B117-B116))</f>
        <v/>
      </c>
      <c r="D117" s="1119" t="str">
        <f t="shared" ca="1" si="25"/>
        <v/>
      </c>
      <c r="E117" s="1119"/>
      <c r="F117" s="1119"/>
      <c r="G117" s="1119" t="str">
        <f t="shared" ca="1" si="26"/>
        <v/>
      </c>
      <c r="H117" s="1119"/>
      <c r="I117" s="1119"/>
      <c r="J117" s="1119" t="str">
        <f t="shared" ca="1" si="27"/>
        <v/>
      </c>
      <c r="K117" s="1119"/>
      <c r="L117" s="1119"/>
      <c r="M117" s="1119" t="str">
        <f t="shared" ca="1" si="28"/>
        <v/>
      </c>
      <c r="N117" s="1119"/>
      <c r="O117" s="1119"/>
      <c r="P117" s="1119" t="str">
        <f t="shared" ca="1" si="29"/>
        <v/>
      </c>
      <c r="Q117" s="1119"/>
      <c r="R117" s="1119"/>
      <c r="S117" s="1119" t="str">
        <f t="shared" ca="1" si="30"/>
        <v/>
      </c>
      <c r="T117" s="1119"/>
      <c r="U117" s="1119"/>
      <c r="V117" s="23"/>
      <c r="W117" s="359"/>
      <c r="X117" s="360"/>
      <c r="Y117" s="360"/>
    </row>
    <row r="118" spans="2:25" s="22" customFormat="1" ht="12" customHeight="1">
      <c r="B118" s="858" t="str">
        <f t="shared" ca="1" si="24"/>
        <v/>
      </c>
      <c r="C118" s="689" t="str">
        <f ca="1">IF(OR($A$2=1,MAX($C$18:$C$72,$C$79:C117)&gt;=110),"",C117+(B118-B117))</f>
        <v/>
      </c>
      <c r="D118" s="1119" t="str">
        <f t="shared" ca="1" si="25"/>
        <v/>
      </c>
      <c r="E118" s="1119"/>
      <c r="F118" s="1119"/>
      <c r="G118" s="1119" t="str">
        <f t="shared" ca="1" si="26"/>
        <v/>
      </c>
      <c r="H118" s="1119"/>
      <c r="I118" s="1119"/>
      <c r="J118" s="1119" t="str">
        <f t="shared" ca="1" si="27"/>
        <v/>
      </c>
      <c r="K118" s="1119"/>
      <c r="L118" s="1119"/>
      <c r="M118" s="1119" t="str">
        <f t="shared" ca="1" si="28"/>
        <v/>
      </c>
      <c r="N118" s="1119"/>
      <c r="O118" s="1119"/>
      <c r="P118" s="1119" t="str">
        <f t="shared" ca="1" si="29"/>
        <v/>
      </c>
      <c r="Q118" s="1119"/>
      <c r="R118" s="1119"/>
      <c r="S118" s="1119" t="str">
        <f t="shared" ca="1" si="30"/>
        <v/>
      </c>
      <c r="T118" s="1119"/>
      <c r="U118" s="1119"/>
      <c r="V118" s="23"/>
      <c r="W118" s="359"/>
      <c r="X118" s="360"/>
      <c r="Y118" s="360"/>
    </row>
    <row r="119" spans="2:25" s="22" customFormat="1" ht="12" customHeight="1">
      <c r="B119" s="858" t="str">
        <f t="shared" ca="1" si="24"/>
        <v/>
      </c>
      <c r="C119" s="689" t="str">
        <f ca="1">IF(OR($A$2=1,MAX($C$18:$C$72,$C$79:C118)&gt;=110),"",C118+(B119-B118))</f>
        <v/>
      </c>
      <c r="D119" s="1119" t="str">
        <f t="shared" ca="1" si="25"/>
        <v/>
      </c>
      <c r="E119" s="1119"/>
      <c r="F119" s="1119"/>
      <c r="G119" s="1119" t="str">
        <f t="shared" ca="1" si="26"/>
        <v/>
      </c>
      <c r="H119" s="1119"/>
      <c r="I119" s="1119"/>
      <c r="J119" s="1119" t="str">
        <f t="shared" ca="1" si="27"/>
        <v/>
      </c>
      <c r="K119" s="1119"/>
      <c r="L119" s="1119"/>
      <c r="M119" s="1119" t="str">
        <f t="shared" ca="1" si="28"/>
        <v/>
      </c>
      <c r="N119" s="1119"/>
      <c r="O119" s="1119"/>
      <c r="P119" s="1119" t="str">
        <f t="shared" ca="1" si="29"/>
        <v/>
      </c>
      <c r="Q119" s="1119"/>
      <c r="R119" s="1119"/>
      <c r="S119" s="1119" t="str">
        <f t="shared" ca="1" si="30"/>
        <v/>
      </c>
      <c r="T119" s="1119"/>
      <c r="U119" s="1119"/>
      <c r="V119" s="23"/>
      <c r="W119" s="359"/>
      <c r="X119" s="360"/>
      <c r="Y119" s="360"/>
    </row>
    <row r="120" spans="2:25" s="22" customFormat="1" ht="12" customHeight="1">
      <c r="B120" s="858" t="str">
        <f t="shared" ca="1" si="24"/>
        <v/>
      </c>
      <c r="C120" s="689" t="str">
        <f ca="1">IF(OR($A$2=1,MAX($C$18:$C$72,$C$79:C119)&gt;=110),"",C119+(B120-B119))</f>
        <v/>
      </c>
      <c r="D120" s="1119" t="str">
        <f t="shared" ca="1" si="25"/>
        <v/>
      </c>
      <c r="E120" s="1119"/>
      <c r="F120" s="1119"/>
      <c r="G120" s="1119" t="str">
        <f t="shared" ca="1" si="26"/>
        <v/>
      </c>
      <c r="H120" s="1119"/>
      <c r="I120" s="1119"/>
      <c r="J120" s="1119" t="str">
        <f t="shared" ca="1" si="27"/>
        <v/>
      </c>
      <c r="K120" s="1119"/>
      <c r="L120" s="1119"/>
      <c r="M120" s="1119" t="str">
        <f t="shared" ca="1" si="28"/>
        <v/>
      </c>
      <c r="N120" s="1119"/>
      <c r="O120" s="1119"/>
      <c r="P120" s="1119" t="str">
        <f t="shared" ca="1" si="29"/>
        <v/>
      </c>
      <c r="Q120" s="1119"/>
      <c r="R120" s="1119"/>
      <c r="S120" s="1119" t="str">
        <f t="shared" ca="1" si="30"/>
        <v/>
      </c>
      <c r="T120" s="1119"/>
      <c r="U120" s="1119"/>
      <c r="V120" s="23"/>
      <c r="W120" s="359"/>
      <c r="X120" s="360"/>
      <c r="Y120" s="360"/>
    </row>
    <row r="121" spans="2:25" s="22" customFormat="1" ht="12" customHeight="1">
      <c r="B121" s="858" t="str">
        <f t="shared" ca="1" si="24"/>
        <v/>
      </c>
      <c r="C121" s="689" t="str">
        <f ca="1">IF(OR($A$2=1,MAX($C$18:$C$72,$C$79:C120)&gt;=110),"",C120+(B121-B120))</f>
        <v/>
      </c>
      <c r="D121" s="1119" t="str">
        <f t="shared" ca="1" si="25"/>
        <v/>
      </c>
      <c r="E121" s="1119"/>
      <c r="F121" s="1119"/>
      <c r="G121" s="1119" t="str">
        <f t="shared" ca="1" si="26"/>
        <v/>
      </c>
      <c r="H121" s="1119"/>
      <c r="I121" s="1119"/>
      <c r="J121" s="1119" t="str">
        <f t="shared" ca="1" si="27"/>
        <v/>
      </c>
      <c r="K121" s="1119"/>
      <c r="L121" s="1119"/>
      <c r="M121" s="1119" t="str">
        <f t="shared" ca="1" si="28"/>
        <v/>
      </c>
      <c r="N121" s="1119"/>
      <c r="O121" s="1119"/>
      <c r="P121" s="1119" t="str">
        <f t="shared" ca="1" si="29"/>
        <v/>
      </c>
      <c r="Q121" s="1119"/>
      <c r="R121" s="1119"/>
      <c r="S121" s="1119" t="str">
        <f t="shared" ca="1" si="30"/>
        <v/>
      </c>
      <c r="T121" s="1119"/>
      <c r="U121" s="1119"/>
      <c r="V121" s="23"/>
      <c r="W121" s="359"/>
      <c r="X121" s="360"/>
      <c r="Y121" s="360"/>
    </row>
    <row r="122" spans="2:25" s="22" customFormat="1" ht="12" customHeight="1">
      <c r="B122" s="858" t="str">
        <f t="shared" ca="1" si="24"/>
        <v/>
      </c>
      <c r="C122" s="689" t="str">
        <f ca="1">IF(OR($A$2=1,MAX($C$18:$C$72,$C$79:C121)&gt;=110),"",C121+(B122-B121))</f>
        <v/>
      </c>
      <c r="D122" s="1119" t="str">
        <f t="shared" ca="1" si="25"/>
        <v/>
      </c>
      <c r="E122" s="1119"/>
      <c r="F122" s="1119"/>
      <c r="G122" s="1119" t="str">
        <f t="shared" ca="1" si="26"/>
        <v/>
      </c>
      <c r="H122" s="1119"/>
      <c r="I122" s="1119"/>
      <c r="J122" s="1119" t="str">
        <f t="shared" ca="1" si="27"/>
        <v/>
      </c>
      <c r="K122" s="1119"/>
      <c r="L122" s="1119"/>
      <c r="M122" s="1119" t="str">
        <f t="shared" ca="1" si="28"/>
        <v/>
      </c>
      <c r="N122" s="1119"/>
      <c r="O122" s="1119"/>
      <c r="P122" s="1119" t="str">
        <f t="shared" ca="1" si="29"/>
        <v/>
      </c>
      <c r="Q122" s="1119"/>
      <c r="R122" s="1119"/>
      <c r="S122" s="1119" t="str">
        <f t="shared" ca="1" si="30"/>
        <v/>
      </c>
      <c r="T122" s="1119"/>
      <c r="U122" s="1119"/>
      <c r="V122" s="23"/>
      <c r="W122" s="359"/>
      <c r="X122" s="360"/>
      <c r="Y122" s="360"/>
    </row>
    <row r="123" spans="2:25" s="22" customFormat="1" ht="12" customHeight="1">
      <c r="B123" s="858" t="str">
        <f t="shared" ca="1" si="24"/>
        <v/>
      </c>
      <c r="C123" s="689" t="str">
        <f ca="1">IF(OR($A$2=1,MAX($C$18:$C$72,$C$79:C122)&gt;=110),"",C122+(B123-B122))</f>
        <v/>
      </c>
      <c r="D123" s="1119" t="str">
        <f t="shared" ca="1" si="25"/>
        <v/>
      </c>
      <c r="E123" s="1119"/>
      <c r="F123" s="1119"/>
      <c r="G123" s="1119" t="str">
        <f t="shared" ca="1" si="26"/>
        <v/>
      </c>
      <c r="H123" s="1119"/>
      <c r="I123" s="1119"/>
      <c r="J123" s="1119" t="str">
        <f t="shared" ca="1" si="27"/>
        <v/>
      </c>
      <c r="K123" s="1119"/>
      <c r="L123" s="1119"/>
      <c r="M123" s="1119" t="str">
        <f t="shared" ca="1" si="28"/>
        <v/>
      </c>
      <c r="N123" s="1119"/>
      <c r="O123" s="1119"/>
      <c r="P123" s="1119" t="str">
        <f t="shared" ca="1" si="29"/>
        <v/>
      </c>
      <c r="Q123" s="1119"/>
      <c r="R123" s="1119"/>
      <c r="S123" s="1119" t="str">
        <f t="shared" ca="1" si="30"/>
        <v/>
      </c>
      <c r="T123" s="1119"/>
      <c r="U123" s="1119"/>
      <c r="V123" s="23"/>
      <c r="W123" s="359"/>
      <c r="X123" s="360"/>
      <c r="Y123" s="360"/>
    </row>
    <row r="124" spans="2:25" s="22" customFormat="1" ht="12" customHeight="1">
      <c r="B124" s="858" t="str">
        <f t="shared" ca="1" si="24"/>
        <v/>
      </c>
      <c r="C124" s="689" t="str">
        <f ca="1">IF(OR($A$2=1,MAX($C$18:$C$72,$C$79:C123)&gt;=110),"",C123+(B124-B123))</f>
        <v/>
      </c>
      <c r="D124" s="1119" t="str">
        <f t="shared" ca="1" si="25"/>
        <v/>
      </c>
      <c r="E124" s="1119"/>
      <c r="F124" s="1119"/>
      <c r="G124" s="1119" t="str">
        <f t="shared" ca="1" si="26"/>
        <v/>
      </c>
      <c r="H124" s="1119"/>
      <c r="I124" s="1119"/>
      <c r="J124" s="1119" t="str">
        <f t="shared" ca="1" si="27"/>
        <v/>
      </c>
      <c r="K124" s="1119"/>
      <c r="L124" s="1119"/>
      <c r="M124" s="1119" t="str">
        <f t="shared" ca="1" si="28"/>
        <v/>
      </c>
      <c r="N124" s="1119"/>
      <c r="O124" s="1119"/>
      <c r="P124" s="1119" t="str">
        <f t="shared" ca="1" si="29"/>
        <v/>
      </c>
      <c r="Q124" s="1119"/>
      <c r="R124" s="1119"/>
      <c r="S124" s="1119" t="str">
        <f t="shared" ca="1" si="30"/>
        <v/>
      </c>
      <c r="T124" s="1119"/>
      <c r="U124" s="1119"/>
      <c r="V124" s="23"/>
      <c r="W124" s="359"/>
      <c r="X124" s="360"/>
      <c r="Y124" s="360"/>
    </row>
    <row r="125" spans="2:25" s="22" customFormat="1" ht="12" customHeight="1">
      <c r="B125" s="858" t="str">
        <f t="shared" ca="1" si="24"/>
        <v/>
      </c>
      <c r="C125" s="689" t="str">
        <f ca="1">IF(OR($A$2=1,MAX($C$18:$C$72,$C$79:C124)&gt;=110),"",C124+(B125-B124))</f>
        <v/>
      </c>
      <c r="D125" s="1119" t="str">
        <f t="shared" ca="1" si="25"/>
        <v/>
      </c>
      <c r="E125" s="1119"/>
      <c r="F125" s="1119"/>
      <c r="G125" s="1119" t="str">
        <f t="shared" ca="1" si="26"/>
        <v/>
      </c>
      <c r="H125" s="1119"/>
      <c r="I125" s="1119"/>
      <c r="J125" s="1119" t="str">
        <f t="shared" ca="1" si="27"/>
        <v/>
      </c>
      <c r="K125" s="1119"/>
      <c r="L125" s="1119"/>
      <c r="M125" s="1119" t="str">
        <f t="shared" ca="1" si="28"/>
        <v/>
      </c>
      <c r="N125" s="1119"/>
      <c r="O125" s="1119"/>
      <c r="P125" s="1119" t="str">
        <f t="shared" ca="1" si="29"/>
        <v/>
      </c>
      <c r="Q125" s="1119"/>
      <c r="R125" s="1119"/>
      <c r="S125" s="1119" t="str">
        <f t="shared" ca="1" si="30"/>
        <v/>
      </c>
      <c r="T125" s="1119"/>
      <c r="U125" s="1119"/>
      <c r="V125" s="23"/>
      <c r="W125" s="359"/>
      <c r="X125" s="360"/>
      <c r="Y125" s="360"/>
    </row>
    <row r="126" spans="2:25" s="22" customFormat="1" ht="12" customHeight="1">
      <c r="B126" s="858" t="str">
        <f t="shared" ca="1" si="24"/>
        <v/>
      </c>
      <c r="C126" s="689" t="str">
        <f ca="1">IF(OR($A$2=1,MAX($C$18:$C$72,$C$79:C125)&gt;=110),"",C125+(B126-B125))</f>
        <v/>
      </c>
      <c r="D126" s="1119" t="str">
        <f t="shared" ca="1" si="25"/>
        <v/>
      </c>
      <c r="E126" s="1119"/>
      <c r="F126" s="1119"/>
      <c r="G126" s="1119" t="str">
        <f t="shared" ca="1" si="26"/>
        <v/>
      </c>
      <c r="H126" s="1119"/>
      <c r="I126" s="1119"/>
      <c r="J126" s="1119" t="str">
        <f t="shared" ca="1" si="27"/>
        <v/>
      </c>
      <c r="K126" s="1119"/>
      <c r="L126" s="1119"/>
      <c r="M126" s="1119" t="str">
        <f t="shared" ca="1" si="28"/>
        <v/>
      </c>
      <c r="N126" s="1119"/>
      <c r="O126" s="1119"/>
      <c r="P126" s="1119" t="str">
        <f t="shared" ca="1" si="29"/>
        <v/>
      </c>
      <c r="Q126" s="1119"/>
      <c r="R126" s="1119"/>
      <c r="S126" s="1119" t="str">
        <f t="shared" ca="1" si="30"/>
        <v/>
      </c>
      <c r="T126" s="1119"/>
      <c r="U126" s="1119"/>
      <c r="V126" s="23"/>
      <c r="W126" s="359"/>
      <c r="X126" s="360"/>
      <c r="Y126" s="360"/>
    </row>
    <row r="127" spans="2:25" s="22" customFormat="1" ht="12" customHeight="1">
      <c r="B127" s="858" t="str">
        <f t="shared" ca="1" si="24"/>
        <v/>
      </c>
      <c r="C127" s="689" t="str">
        <f ca="1">IF(OR($A$2=1,MAX($C$18:$C$72,$C$79:C126)&gt;=110),"",C126+(B127-B126))</f>
        <v/>
      </c>
      <c r="D127" s="1119" t="str">
        <f t="shared" ca="1" si="25"/>
        <v/>
      </c>
      <c r="E127" s="1119"/>
      <c r="F127" s="1119"/>
      <c r="G127" s="1119" t="str">
        <f t="shared" ca="1" si="26"/>
        <v/>
      </c>
      <c r="H127" s="1119"/>
      <c r="I127" s="1119"/>
      <c r="J127" s="1119" t="str">
        <f t="shared" ca="1" si="27"/>
        <v/>
      </c>
      <c r="K127" s="1119"/>
      <c r="L127" s="1119"/>
      <c r="M127" s="1119" t="str">
        <f t="shared" ca="1" si="28"/>
        <v/>
      </c>
      <c r="N127" s="1119"/>
      <c r="O127" s="1119"/>
      <c r="P127" s="1119" t="str">
        <f t="shared" ca="1" si="29"/>
        <v/>
      </c>
      <c r="Q127" s="1119"/>
      <c r="R127" s="1119"/>
      <c r="S127" s="1119" t="str">
        <f t="shared" ca="1" si="30"/>
        <v/>
      </c>
      <c r="T127" s="1119"/>
      <c r="U127" s="1119"/>
      <c r="V127" s="23"/>
      <c r="W127" s="359"/>
      <c r="X127" s="360"/>
      <c r="Y127" s="360"/>
    </row>
    <row r="128" spans="2:25" s="22" customFormat="1" ht="12" customHeight="1">
      <c r="B128" s="858" t="str">
        <f t="shared" ca="1" si="24"/>
        <v/>
      </c>
      <c r="C128" s="689" t="str">
        <f ca="1">IF(OR($A$2=1,MAX($C$18:$C$72,$C$79:C127)&gt;=110),"",C127+(B128-B127))</f>
        <v/>
      </c>
      <c r="D128" s="1119" t="str">
        <f t="shared" ca="1" si="25"/>
        <v/>
      </c>
      <c r="E128" s="1119"/>
      <c r="F128" s="1119"/>
      <c r="G128" s="1119" t="str">
        <f t="shared" ca="1" si="26"/>
        <v/>
      </c>
      <c r="H128" s="1119"/>
      <c r="I128" s="1119"/>
      <c r="J128" s="1119" t="str">
        <f t="shared" ca="1" si="27"/>
        <v/>
      </c>
      <c r="K128" s="1119"/>
      <c r="L128" s="1119"/>
      <c r="M128" s="1119" t="str">
        <f t="shared" ca="1" si="28"/>
        <v/>
      </c>
      <c r="N128" s="1119"/>
      <c r="O128" s="1119"/>
      <c r="P128" s="1119" t="str">
        <f t="shared" ca="1" si="29"/>
        <v/>
      </c>
      <c r="Q128" s="1119"/>
      <c r="R128" s="1119"/>
      <c r="S128" s="1119" t="str">
        <f t="shared" ca="1" si="30"/>
        <v/>
      </c>
      <c r="T128" s="1119"/>
      <c r="U128" s="1119"/>
      <c r="V128" s="23"/>
      <c r="W128" s="359"/>
      <c r="X128" s="360"/>
      <c r="Y128" s="360"/>
    </row>
    <row r="129" spans="1:25" s="22" customFormat="1" ht="12" customHeight="1">
      <c r="B129" s="858" t="str">
        <f t="shared" ca="1" si="24"/>
        <v/>
      </c>
      <c r="C129" s="689" t="str">
        <f ca="1">IF(OR($A$2=1,MAX($C$18:$C$72,$C$79:C128)&gt;=110),"",C128+(B129-B128))</f>
        <v/>
      </c>
      <c r="D129" s="1119" t="str">
        <f t="shared" ca="1" si="25"/>
        <v/>
      </c>
      <c r="E129" s="1119"/>
      <c r="F129" s="1119"/>
      <c r="G129" s="1119" t="str">
        <f t="shared" ca="1" si="26"/>
        <v/>
      </c>
      <c r="H129" s="1119"/>
      <c r="I129" s="1119"/>
      <c r="J129" s="1119" t="str">
        <f t="shared" ca="1" si="27"/>
        <v/>
      </c>
      <c r="K129" s="1119"/>
      <c r="L129" s="1119"/>
      <c r="M129" s="1119" t="str">
        <f t="shared" ca="1" si="28"/>
        <v/>
      </c>
      <c r="N129" s="1119"/>
      <c r="O129" s="1119"/>
      <c r="P129" s="1119" t="str">
        <f t="shared" ca="1" si="29"/>
        <v/>
      </c>
      <c r="Q129" s="1119"/>
      <c r="R129" s="1119"/>
      <c r="S129" s="1119" t="str">
        <f t="shared" ca="1" si="30"/>
        <v/>
      </c>
      <c r="T129" s="1119"/>
      <c r="U129" s="1119"/>
      <c r="V129" s="23"/>
      <c r="W129" s="359"/>
      <c r="X129" s="360"/>
      <c r="Y129" s="360"/>
    </row>
    <row r="130" spans="1:25" s="22" customFormat="1" ht="12" customHeight="1">
      <c r="B130" s="858" t="str">
        <f t="shared" ca="1" si="24"/>
        <v/>
      </c>
      <c r="C130" s="689" t="str">
        <f ca="1">IF(OR($A$2=1,MAX($C$18:$C$72,$C$79:C129)&gt;=110),"",C129+(B130-B129))</f>
        <v/>
      </c>
      <c r="D130" s="1119" t="str">
        <f t="shared" ca="1" si="25"/>
        <v/>
      </c>
      <c r="E130" s="1119"/>
      <c r="F130" s="1119"/>
      <c r="G130" s="1119" t="str">
        <f t="shared" ca="1" si="26"/>
        <v/>
      </c>
      <c r="H130" s="1119"/>
      <c r="I130" s="1119"/>
      <c r="J130" s="1119" t="str">
        <f t="shared" ca="1" si="27"/>
        <v/>
      </c>
      <c r="K130" s="1119"/>
      <c r="L130" s="1119"/>
      <c r="M130" s="1119" t="str">
        <f t="shared" ca="1" si="28"/>
        <v/>
      </c>
      <c r="N130" s="1119"/>
      <c r="O130" s="1119"/>
      <c r="P130" s="1119" t="str">
        <f t="shared" ca="1" si="29"/>
        <v/>
      </c>
      <c r="Q130" s="1119"/>
      <c r="R130" s="1119"/>
      <c r="S130" s="1119" t="str">
        <f t="shared" ca="1" si="30"/>
        <v/>
      </c>
      <c r="T130" s="1119"/>
      <c r="U130" s="1119"/>
      <c r="V130" s="23"/>
      <c r="W130" s="359"/>
      <c r="X130" s="360"/>
      <c r="Y130" s="360"/>
    </row>
    <row r="131" spans="1:25" s="22" customFormat="1" ht="12" customHeight="1">
      <c r="B131" s="858" t="str">
        <f t="shared" ca="1" si="24"/>
        <v/>
      </c>
      <c r="C131" s="689" t="str">
        <f ca="1">IF(OR($A$2=1,MAX($C$18:$C$72,$C$79:C130)&gt;=110),"",C130+(B131-B130))</f>
        <v/>
      </c>
      <c r="D131" s="1119" t="str">
        <f t="shared" ca="1" si="25"/>
        <v/>
      </c>
      <c r="E131" s="1119"/>
      <c r="F131" s="1119"/>
      <c r="G131" s="1119" t="str">
        <f t="shared" ca="1" si="26"/>
        <v/>
      </c>
      <c r="H131" s="1119"/>
      <c r="I131" s="1119"/>
      <c r="J131" s="1119" t="str">
        <f t="shared" ca="1" si="27"/>
        <v/>
      </c>
      <c r="K131" s="1119"/>
      <c r="L131" s="1119"/>
      <c r="M131" s="1119" t="str">
        <f t="shared" ca="1" si="28"/>
        <v/>
      </c>
      <c r="N131" s="1119"/>
      <c r="O131" s="1119"/>
      <c r="P131" s="1119" t="str">
        <f t="shared" ca="1" si="29"/>
        <v/>
      </c>
      <c r="Q131" s="1119"/>
      <c r="R131" s="1119"/>
      <c r="S131" s="1119" t="str">
        <f t="shared" ca="1" si="30"/>
        <v/>
      </c>
      <c r="T131" s="1119"/>
      <c r="U131" s="1119"/>
      <c r="V131" s="23"/>
      <c r="W131" s="359"/>
      <c r="X131" s="360"/>
      <c r="Y131" s="360"/>
    </row>
    <row r="132" spans="1:25" s="22" customFormat="1" ht="12" customHeight="1">
      <c r="B132" s="858" t="str">
        <f t="shared" ca="1" si="24"/>
        <v/>
      </c>
      <c r="C132" s="689" t="str">
        <f ca="1">IF(OR($A$2=1,MAX($C$18:$C$72,$C$79:C131)&gt;=110),"",C131+(B132-B131))</f>
        <v/>
      </c>
      <c r="D132" s="1119" t="str">
        <f t="shared" ca="1" si="25"/>
        <v/>
      </c>
      <c r="E132" s="1119"/>
      <c r="F132" s="1119"/>
      <c r="G132" s="1119" t="str">
        <f t="shared" ca="1" si="26"/>
        <v/>
      </c>
      <c r="H132" s="1119"/>
      <c r="I132" s="1119"/>
      <c r="J132" s="1119" t="str">
        <f t="shared" ca="1" si="27"/>
        <v/>
      </c>
      <c r="K132" s="1119"/>
      <c r="L132" s="1119"/>
      <c r="M132" s="1119" t="str">
        <f t="shared" ca="1" si="28"/>
        <v/>
      </c>
      <c r="N132" s="1119"/>
      <c r="O132" s="1119"/>
      <c r="P132" s="1119" t="str">
        <f t="shared" ca="1" si="29"/>
        <v/>
      </c>
      <c r="Q132" s="1119"/>
      <c r="R132" s="1119"/>
      <c r="S132" s="1119" t="str">
        <f t="shared" ca="1" si="30"/>
        <v/>
      </c>
      <c r="T132" s="1119"/>
      <c r="U132" s="1119"/>
      <c r="V132" s="23"/>
      <c r="W132" s="359"/>
      <c r="X132" s="360"/>
      <c r="Y132" s="360"/>
    </row>
    <row r="133" spans="1:25" s="22" customFormat="1" ht="12" customHeight="1">
      <c r="B133" s="858" t="str">
        <f t="shared" ca="1" si="24"/>
        <v/>
      </c>
      <c r="C133" s="689" t="str">
        <f ca="1">IF(OR($A$2=1,MAX($C$18:$C$72,$C$79:C132)&gt;=110),"",C132+(B133-B132))</f>
        <v/>
      </c>
      <c r="D133" s="1119" t="str">
        <f t="shared" ca="1" si="25"/>
        <v/>
      </c>
      <c r="E133" s="1119"/>
      <c r="F133" s="1119"/>
      <c r="G133" s="1119" t="str">
        <f t="shared" ca="1" si="26"/>
        <v/>
      </c>
      <c r="H133" s="1119"/>
      <c r="I133" s="1119"/>
      <c r="J133" s="1119" t="str">
        <f t="shared" ca="1" si="27"/>
        <v/>
      </c>
      <c r="K133" s="1119"/>
      <c r="L133" s="1119"/>
      <c r="M133" s="1119" t="str">
        <f t="shared" ca="1" si="28"/>
        <v/>
      </c>
      <c r="N133" s="1119"/>
      <c r="O133" s="1119"/>
      <c r="P133" s="1119" t="str">
        <f t="shared" ca="1" si="29"/>
        <v/>
      </c>
      <c r="Q133" s="1119"/>
      <c r="R133" s="1119"/>
      <c r="S133" s="1119" t="str">
        <f t="shared" ca="1" si="30"/>
        <v/>
      </c>
      <c r="T133" s="1119"/>
      <c r="U133" s="1119"/>
      <c r="V133" s="23"/>
      <c r="W133" s="359"/>
      <c r="X133" s="360"/>
      <c r="Y133" s="360"/>
    </row>
    <row r="134" spans="1:25" s="22" customFormat="1" ht="12" customHeight="1">
      <c r="B134" s="858" t="str">
        <f t="shared" ca="1" si="24"/>
        <v/>
      </c>
      <c r="C134" s="689" t="str">
        <f ca="1">IF(OR($A$2=1,MAX($C$18:$C$72,$C$79:C133)&gt;=110),"",C133+(B134-B133))</f>
        <v/>
      </c>
      <c r="D134" s="1119" t="str">
        <f t="shared" ca="1" si="25"/>
        <v/>
      </c>
      <c r="E134" s="1119"/>
      <c r="F134" s="1119"/>
      <c r="G134" s="1119" t="str">
        <f t="shared" ca="1" si="26"/>
        <v/>
      </c>
      <c r="H134" s="1119"/>
      <c r="I134" s="1119"/>
      <c r="J134" s="1119" t="str">
        <f t="shared" ca="1" si="27"/>
        <v/>
      </c>
      <c r="K134" s="1119"/>
      <c r="L134" s="1119"/>
      <c r="M134" s="1119" t="str">
        <f t="shared" ca="1" si="28"/>
        <v/>
      </c>
      <c r="N134" s="1119"/>
      <c r="O134" s="1119"/>
      <c r="P134" s="1119" t="str">
        <f t="shared" ca="1" si="29"/>
        <v/>
      </c>
      <c r="Q134" s="1119"/>
      <c r="R134" s="1119"/>
      <c r="S134" s="1119" t="str">
        <f t="shared" ca="1" si="30"/>
        <v/>
      </c>
      <c r="T134" s="1119"/>
      <c r="U134" s="1119"/>
      <c r="V134" s="23"/>
      <c r="W134" s="359"/>
      <c r="X134" s="360"/>
      <c r="Y134" s="360"/>
    </row>
    <row r="135" spans="1:25" s="30" customFormat="1" ht="12" customHeight="1">
      <c r="A135" s="60">
        <v>0</v>
      </c>
      <c r="B135" s="1133" t="str">
        <f ca="1">IF(OR($A$2=1),"",IF(B73="","祝壽保險金："&amp;TEXT(VLOOKUP(OP!$C$55,EXP,OP!$C$57+1,0)*OP!$C$28,"#,##0 元 "),""))</f>
        <v xml:space="preserve">祝壽保險金：3,767,200 元 </v>
      </c>
      <c r="C135" s="1134"/>
      <c r="D135" s="1134"/>
      <c r="E135" s="1134"/>
      <c r="F135" s="1134"/>
      <c r="G135" s="1134"/>
      <c r="H135" s="1134"/>
      <c r="I135" s="1135"/>
      <c r="J135" s="1136"/>
      <c r="K135" s="1136"/>
      <c r="L135" s="1136"/>
      <c r="M135" s="1136"/>
      <c r="N135" s="1136"/>
      <c r="O135" s="1136"/>
      <c r="P135" s="1136"/>
      <c r="Q135" s="1136"/>
      <c r="R135" s="1136"/>
      <c r="S135" s="1136"/>
      <c r="T135" s="1136"/>
      <c r="U135" s="1136"/>
      <c r="V135" s="31"/>
    </row>
    <row r="136" spans="1:25" s="28" customFormat="1" ht="12" customHeight="1">
      <c r="A136" s="46">
        <v>1</v>
      </c>
      <c r="B136" s="166" t="s">
        <v>762</v>
      </c>
      <c r="C136" s="63"/>
      <c r="D136" s="24"/>
      <c r="E136" s="24"/>
      <c r="F136" s="25"/>
      <c r="G136" s="25"/>
      <c r="H136" s="25"/>
      <c r="I136" s="25"/>
      <c r="J136" s="26"/>
      <c r="K136" s="26"/>
      <c r="L136" s="21"/>
      <c r="M136" s="21"/>
      <c r="N136" s="21"/>
      <c r="O136" s="21"/>
      <c r="P136" s="21"/>
      <c r="Q136" s="21"/>
      <c r="R136" s="21"/>
      <c r="S136" s="21"/>
      <c r="T136" s="21"/>
      <c r="U136" s="21"/>
      <c r="V136" s="27"/>
    </row>
    <row r="137" spans="1:25" s="28" customFormat="1" ht="12" customHeight="1">
      <c r="A137" s="46">
        <v>2</v>
      </c>
      <c r="B137" s="166" t="s">
        <v>555</v>
      </c>
      <c r="C137" s="63"/>
      <c r="D137" s="24"/>
      <c r="E137" s="24"/>
      <c r="F137" s="25"/>
      <c r="G137" s="25"/>
      <c r="H137" s="25"/>
      <c r="I137" s="25"/>
      <c r="J137" s="26"/>
      <c r="K137" s="26"/>
      <c r="L137" s="21"/>
      <c r="M137" s="21"/>
      <c r="N137" s="21"/>
      <c r="O137" s="21"/>
      <c r="P137" s="21"/>
      <c r="Q137" s="21"/>
      <c r="R137" s="21"/>
      <c r="S137" s="21"/>
      <c r="T137" s="21"/>
      <c r="U137" s="21"/>
      <c r="V137" s="27"/>
    </row>
    <row r="138" spans="1:25" s="28" customFormat="1" ht="12" customHeight="1">
      <c r="A138" s="46"/>
      <c r="B138" s="151" t="s">
        <v>536</v>
      </c>
      <c r="C138" s="63"/>
      <c r="D138" s="24"/>
      <c r="E138" s="24"/>
      <c r="F138" s="25"/>
      <c r="G138" s="25"/>
      <c r="H138" s="25"/>
      <c r="I138" s="25"/>
      <c r="J138" s="26"/>
      <c r="K138" s="26"/>
      <c r="L138" s="21"/>
      <c r="M138" s="21"/>
      <c r="N138" s="21"/>
      <c r="O138" s="21"/>
      <c r="P138" s="21"/>
      <c r="Q138" s="21"/>
      <c r="R138" s="21"/>
      <c r="S138" s="21"/>
      <c r="T138" s="21"/>
      <c r="U138" s="21"/>
      <c r="V138" s="27"/>
    </row>
    <row r="139" spans="1:25" s="28" customFormat="1" ht="12" customHeight="1">
      <c r="A139" s="46">
        <v>3</v>
      </c>
      <c r="B139" s="157" t="s">
        <v>1342</v>
      </c>
      <c r="C139" s="63"/>
      <c r="D139" s="24"/>
      <c r="E139" s="24"/>
      <c r="F139" s="25"/>
      <c r="G139" s="25"/>
      <c r="H139" s="25"/>
      <c r="I139" s="25"/>
      <c r="J139" s="26"/>
      <c r="K139" s="26"/>
      <c r="L139" s="21"/>
      <c r="M139" s="21"/>
      <c r="N139" s="21"/>
      <c r="O139" s="21"/>
      <c r="P139" s="21"/>
      <c r="Q139" s="21"/>
      <c r="R139" s="21"/>
      <c r="S139" s="21"/>
      <c r="T139" s="21"/>
      <c r="U139" s="21"/>
      <c r="V139" s="27"/>
    </row>
    <row r="140" spans="1:25" s="28" customFormat="1" ht="12" customHeight="1">
      <c r="A140" s="46"/>
      <c r="B140" s="157" t="s">
        <v>932</v>
      </c>
      <c r="C140" s="63"/>
      <c r="D140" s="24"/>
      <c r="E140" s="24"/>
      <c r="F140" s="25"/>
      <c r="G140" s="25"/>
      <c r="H140" s="25"/>
      <c r="I140" s="25"/>
      <c r="J140" s="26"/>
      <c r="K140" s="26"/>
      <c r="L140" s="21"/>
      <c r="M140" s="21"/>
      <c r="N140" s="21"/>
      <c r="O140" s="21"/>
      <c r="P140" s="21"/>
      <c r="Q140" s="21"/>
      <c r="R140" s="21"/>
      <c r="S140" s="21"/>
      <c r="T140" s="21"/>
      <c r="U140" s="21"/>
      <c r="V140" s="27"/>
    </row>
    <row r="141" spans="1:25" s="28" customFormat="1" ht="12" customHeight="1">
      <c r="A141" s="46">
        <v>4</v>
      </c>
      <c r="B141" s="151" t="s">
        <v>763</v>
      </c>
      <c r="C141" s="63"/>
      <c r="D141" s="24"/>
      <c r="E141" s="24"/>
      <c r="F141" s="25"/>
      <c r="G141" s="25"/>
      <c r="H141" s="25"/>
      <c r="I141" s="25"/>
      <c r="J141" s="26"/>
      <c r="K141" s="26"/>
      <c r="L141" s="21"/>
      <c r="M141" s="21"/>
      <c r="N141" s="21"/>
      <c r="O141" s="21"/>
      <c r="P141" s="21"/>
      <c r="Q141" s="21"/>
      <c r="R141" s="21"/>
      <c r="S141" s="21"/>
      <c r="T141" s="21"/>
      <c r="U141" s="21"/>
      <c r="V141" s="27"/>
    </row>
    <row r="142" spans="1:25" s="28" customFormat="1" ht="12" customHeight="1">
      <c r="A142" s="46">
        <v>5</v>
      </c>
      <c r="B142" s="151" t="s">
        <v>516</v>
      </c>
      <c r="C142" s="63"/>
      <c r="D142" s="24"/>
      <c r="E142" s="24"/>
      <c r="F142" s="25"/>
      <c r="G142" s="25"/>
      <c r="H142" s="25"/>
      <c r="I142" s="25"/>
      <c r="J142" s="26"/>
      <c r="K142" s="26"/>
      <c r="L142" s="21"/>
      <c r="M142" s="21"/>
      <c r="N142" s="21"/>
      <c r="O142" s="21"/>
      <c r="P142" s="21"/>
      <c r="Q142" s="21"/>
      <c r="R142" s="21"/>
      <c r="S142" s="21"/>
      <c r="T142" s="21"/>
      <c r="U142" s="21"/>
      <c r="V142" s="27"/>
    </row>
    <row r="143" spans="1:25" s="28" customFormat="1" ht="12" hidden="1" customHeight="1">
      <c r="A143" s="46">
        <v>8</v>
      </c>
      <c r="C143" s="63"/>
      <c r="D143" s="24"/>
      <c r="E143" s="24"/>
      <c r="F143" s="25"/>
      <c r="G143" s="25"/>
      <c r="H143" s="25"/>
      <c r="I143" s="25"/>
      <c r="J143" s="26"/>
      <c r="K143" s="26"/>
      <c r="L143" s="21"/>
      <c r="M143" s="21"/>
      <c r="N143" s="21"/>
      <c r="O143" s="21"/>
      <c r="P143" s="21"/>
      <c r="Q143" s="21"/>
      <c r="R143" s="21"/>
      <c r="S143" s="21"/>
      <c r="T143" s="21"/>
      <c r="U143" s="21"/>
      <c r="V143" s="27"/>
    </row>
    <row r="144" spans="1:25" s="29" customFormat="1">
      <c r="A144" s="8"/>
      <c r="B144" s="1126" t="s">
        <v>554</v>
      </c>
      <c r="C144" s="1126"/>
      <c r="D144" s="1126"/>
      <c r="E144" s="1126"/>
      <c r="F144" s="1126"/>
      <c r="G144" s="1126"/>
      <c r="H144" s="1126"/>
      <c r="I144" s="1126"/>
      <c r="J144" s="1126"/>
      <c r="K144" s="1126"/>
      <c r="L144" s="1126"/>
      <c r="M144" s="1126"/>
      <c r="N144" s="1126"/>
      <c r="O144" s="1126"/>
      <c r="P144" s="1126"/>
      <c r="Q144" s="1126"/>
      <c r="R144" s="1126"/>
      <c r="S144" s="1126"/>
      <c r="T144" s="1126"/>
      <c r="U144" s="1126"/>
    </row>
    <row r="145" spans="1:25" ht="12" customHeight="1">
      <c r="A145" s="8"/>
      <c r="B145" s="234"/>
      <c r="C145" s="235"/>
      <c r="D145" s="235"/>
      <c r="E145" s="1127"/>
      <c r="F145" s="1128"/>
      <c r="G145" s="1128"/>
      <c r="H145" s="1128"/>
      <c r="I145" s="1128"/>
      <c r="J145" s="1128"/>
      <c r="K145" s="1128"/>
      <c r="L145" s="1128"/>
      <c r="M145" s="1128"/>
      <c r="N145" s="1128"/>
      <c r="O145" s="1128"/>
      <c r="P145" s="1128"/>
      <c r="R145" s="328"/>
      <c r="S145" s="328"/>
      <c r="T145" s="328"/>
      <c r="U145" s="329" t="str">
        <f ca="1">OP!$C$54&amp;" 試算日："&amp;TEXT(OP!$C$3,"EEMMDD")</f>
        <v>V1.0-1060217 試算日：1060602</v>
      </c>
    </row>
    <row r="146" spans="1:25" ht="10.5" customHeight="1">
      <c r="A146" s="8"/>
      <c r="B146" s="234"/>
      <c r="C146" s="235"/>
      <c r="D146" s="235"/>
      <c r="E146" s="337"/>
      <c r="F146" s="338"/>
      <c r="G146" s="338"/>
      <c r="H146" s="338"/>
      <c r="I146" s="338"/>
      <c r="J146" s="338"/>
      <c r="K146" s="338"/>
      <c r="L146" s="338"/>
      <c r="M146" s="338"/>
      <c r="N146" s="338"/>
      <c r="O146" s="338"/>
      <c r="P146" s="338"/>
      <c r="R146" s="328"/>
      <c r="S146" s="328"/>
      <c r="T146" s="328"/>
      <c r="U146" s="329"/>
    </row>
    <row r="147" spans="1:25" ht="16.5">
      <c r="A147" s="8"/>
      <c r="B147" s="1164" t="s">
        <v>1363</v>
      </c>
      <c r="C147" s="1164"/>
      <c r="D147" s="1164"/>
      <c r="E147" s="1164"/>
      <c r="F147" s="1164"/>
      <c r="G147" s="1164"/>
      <c r="H147" s="1164"/>
      <c r="I147" s="1164"/>
      <c r="J147" s="1164"/>
      <c r="K147" s="1164"/>
      <c r="L147" s="1164"/>
      <c r="M147" s="1164"/>
      <c r="N147" s="1164"/>
      <c r="O147" s="1164"/>
      <c r="P147" s="1164"/>
      <c r="Q147" s="1164"/>
      <c r="R147" s="1164"/>
      <c r="S147" s="1164"/>
      <c r="T147" s="1164"/>
      <c r="U147" s="1164"/>
      <c r="V147" s="7"/>
    </row>
    <row r="148" spans="1:25" ht="11.25" customHeight="1">
      <c r="A148" s="8"/>
      <c r="B148" s="301" t="str">
        <f ca="1">輸入頁!$D$20&amp;TEXT(輸入頁!$E$20,"0.00%")&amp;"，增值回饋分享金給付方式："&amp;IF(輸入頁!$E$18=計算!$P$5,輸入頁!$E$18&amp;"金額",輸入頁!$E$18)</f>
        <v>106 / 6 宣告利率：2.69%，增值回饋分享金給付方式：儲存生息</v>
      </c>
      <c r="C148" s="302"/>
      <c r="D148" s="303"/>
      <c r="E148" s="303"/>
      <c r="F148" s="302"/>
      <c r="G148" s="302"/>
      <c r="H148" s="303"/>
      <c r="I148" s="303"/>
      <c r="J148" s="304"/>
      <c r="K148" s="304"/>
      <c r="L148" s="305"/>
      <c r="M148" s="305"/>
      <c r="N148" s="306"/>
      <c r="O148" s="306"/>
      <c r="P148" s="307"/>
      <c r="Q148" s="169"/>
      <c r="R148" s="308"/>
      <c r="S148" s="311"/>
      <c r="T148" s="309"/>
      <c r="U148" s="310" t="s">
        <v>549</v>
      </c>
      <c r="V148" s="7"/>
    </row>
    <row r="149" spans="1:25">
      <c r="A149" s="8"/>
      <c r="B149" s="1120" t="s">
        <v>895</v>
      </c>
      <c r="C149" s="1120" t="s">
        <v>896</v>
      </c>
      <c r="D149" s="1121" t="str">
        <f>"年度末
增值回饋分享金
(預估值)"&amp;IF(輸入頁!$E$18="現金給付","
( C )","")&amp;"
1 ~ 6年 僅購買增額繳清保險金額
"&amp;"16歲前限抵繳保費後儲存生息"</f>
        <v>年度末
增值回饋分享金
(預估值)
1 ~ 6年 僅購買增額繳清保險金額
16歲前限抵繳保費後儲存生息</v>
      </c>
      <c r="E149" s="1121"/>
      <c r="F149" s="1121" t="str">
        <f>IF(輸入頁!$E$18="現金給付","年度末
累積已領增值回饋分享金
(預估值)",IF(輸入頁!$E$18="儲存生息","年度末
累積增值回饋分享金
( C )
(預估值)",""))</f>
        <v>年度末
累積增值回饋分享金
( C )
(預估值)</v>
      </c>
      <c r="G149" s="1121"/>
      <c r="H149" s="1121" t="str">
        <f>"年度末
增額繳清保險金額
(預估值)"</f>
        <v>年度末
增額繳清保險金額
(預估值)</v>
      </c>
      <c r="I149" s="1121"/>
      <c r="J149" s="1130" t="s">
        <v>1330</v>
      </c>
      <c r="K149" s="1131"/>
      <c r="L149" s="1131"/>
      <c r="M149" s="1131"/>
      <c r="N149" s="1131"/>
      <c r="O149" s="1132"/>
      <c r="P149" s="1122" t="str">
        <f ca="1">"年度末
身故/完全殘廢時可領總金額
(預估值)"&amp;IF(計算!$G$6=計算!$P$5,"
A + D","
1~"&amp;計算!$P$4&amp;"年 A + D
"&amp;計算!$P$4+1&amp;"年後 A + C + D")</f>
        <v>年度末
身故/完全殘廢時可領總金額
(預估值)
1~6年 A + D
7年後 A + C + D</v>
      </c>
      <c r="Q149" s="1122"/>
      <c r="R149" s="1122"/>
      <c r="S149" s="1122" t="str">
        <f ca="1">"年度末
解約時可領總金額
(預估值)"&amp;IF(計算!$G$6=計算!$P$5,"
B + E","
1~"&amp;計算!$P$4&amp;"年 B + E
"&amp;計算!$P$4+1&amp;"年後 B + C + E")</f>
        <v>年度末
解約時可領總金額
(預估值)
1~6年 B + E
7年後 B + C + E</v>
      </c>
      <c r="T149" s="1122"/>
      <c r="U149" s="1122"/>
      <c r="V149" s="852"/>
      <c r="W149" s="703"/>
      <c r="X149" s="703"/>
      <c r="Y149" s="703"/>
    </row>
    <row r="150" spans="1:25" ht="69.95" customHeight="1">
      <c r="A150" s="8"/>
      <c r="B150" s="1120"/>
      <c r="C150" s="1120"/>
      <c r="D150" s="1121"/>
      <c r="E150" s="1121"/>
      <c r="F150" s="1121"/>
      <c r="G150" s="1121"/>
      <c r="H150" s="1121"/>
      <c r="I150" s="1121"/>
      <c r="J150" s="1129" t="str">
        <f>"年度末
保險金額
(預估值)"</f>
        <v>年度末
保險金額
(預估值)</v>
      </c>
      <c r="K150" s="1129"/>
      <c r="L150" s="1129" t="str">
        <f ca="1">"年度末身故/完全殘廢保障( D )
(預估值)
"&amp;IF(OP!$D$5&lt;15,"16歲前無保額以現金給付累計年度增值回饋分享金顯示","")</f>
        <v xml:space="preserve">年度末身故/完全殘廢保障( D )
(預估值)
</v>
      </c>
      <c r="M150" s="1129"/>
      <c r="N150" s="1129" t="str">
        <f ca="1">"年度末
解約金( E )
(預估值)
"&amp;IF(OP!$D$5&lt;15,"16歲前無保額以儲存生息累計年度增值回饋分享金顯示","")</f>
        <v xml:space="preserve">年度末
解約金( E )
(預估值)
</v>
      </c>
      <c r="O150" s="1129"/>
      <c r="P150" s="1122"/>
      <c r="Q150" s="1122"/>
      <c r="R150" s="1122"/>
      <c r="S150" s="1122"/>
      <c r="T150" s="1122"/>
      <c r="U150" s="1122"/>
      <c r="V150" s="853"/>
      <c r="W150" s="854" t="s">
        <v>79</v>
      </c>
      <c r="X150" s="855" t="str">
        <f>計算!$D$9</f>
        <v>期末保單價值準備金</v>
      </c>
      <c r="Y150" s="855" t="s">
        <v>1329</v>
      </c>
    </row>
    <row r="151" spans="1:25" ht="12" customHeight="1">
      <c r="A151" s="8"/>
      <c r="B151" s="689">
        <v>1</v>
      </c>
      <c r="C151" s="689">
        <f ca="1">IF($A$2=1,"",OP!$D$5)</f>
        <v>33</v>
      </c>
      <c r="D151" s="1119">
        <f t="shared" ref="D151:D182" ca="1" si="31">IF(OR($A$2=1,$B151="",VLOOKUP($B151,TOV,10,0)=0),"",VLOOKUP($B151,TOV,10,0))</f>
        <v>727</v>
      </c>
      <c r="E151" s="1119"/>
      <c r="F151" s="1119" t="str">
        <f t="shared" ref="F151:F182" ca="1" si="32">IF(OR($A$2=1,$B151="",VLOOKUP($B151,TOV,11,0)=0),"",VLOOKUP($B151,TOV,11,0))</f>
        <v/>
      </c>
      <c r="G151" s="1119"/>
      <c r="H151" s="1119">
        <f t="shared" ref="H151:H182" ca="1" si="33">IF(OR($A$2=1,$B151="",VLOOKUP($B151,TOV,12,0)=0),"",VLOOKUP($B151,TOV,12,0))</f>
        <v>268</v>
      </c>
      <c r="I151" s="1119"/>
      <c r="J151" s="1119">
        <f t="shared" ref="J151:J182" ca="1" si="34">IF(OR($A$2=1,$B151="",VLOOKUP($B151,TOV,13,0)=0),"",VLOOKUP($B151,TOV,13,0))</f>
        <v>268</v>
      </c>
      <c r="K151" s="1119"/>
      <c r="L151" s="1119">
        <f t="shared" ref="L151:L182" ca="1" si="35">IF(OR($A$2=1,$B151="",VLOOKUP($B151,TOV,16,0)=0),"",VLOOKUP($B151,TOV,16,0))</f>
        <v>727</v>
      </c>
      <c r="M151" s="1119"/>
      <c r="N151" s="1119">
        <f t="shared" ref="N151:N182" ca="1" si="36">IF(OR($A$2=1,$B151="",VLOOKUP($B151,TOV,17,0)=0),"",VLOOKUP($B151,TOV,17,0))</f>
        <v>727</v>
      </c>
      <c r="O151" s="1119"/>
      <c r="P151" s="1119">
        <f t="shared" ref="P151:P182" ca="1" si="37">IF(OR($A$2=1,$B151="",VLOOKUP($B151,TOV,20,0)=0),"",VLOOKUP($B151,TOV,20,0))</f>
        <v>181179</v>
      </c>
      <c r="Q151" s="1119"/>
      <c r="R151" s="1119"/>
      <c r="S151" s="1119">
        <f t="shared" ref="S151:S182" ca="1" si="38">IF(OR($A$2=1,$B151="",VLOOKUP($B151,TOV,21,0)=0),"",VLOOKUP($B151,TOV,21,0))</f>
        <v>79743</v>
      </c>
      <c r="T151" s="1119"/>
      <c r="U151" s="1119"/>
      <c r="V151" s="704"/>
      <c r="W151" s="859">
        <f>IF($B151="","",$B151)</f>
        <v>1</v>
      </c>
      <c r="X151" s="860">
        <f t="shared" ref="X151:X200" ca="1" si="39">IF($C151="","",VLOOKUP($B151,more1,3,0))</f>
        <v>105366</v>
      </c>
      <c r="Y151" s="861">
        <f ca="1">IF($B151="","",VLOOKUP(OP!$C$55,PVFB,$B151+2,0))</f>
        <v>27109</v>
      </c>
    </row>
    <row r="152" spans="1:25" ht="12" customHeight="1">
      <c r="A152" s="8"/>
      <c r="B152" s="689">
        <v>2</v>
      </c>
      <c r="C152" s="689">
        <f ca="1">IF(OR($A$2=1,MAX($C$151:C151)&gt;=110),"",C151+(B152-B151))</f>
        <v>34</v>
      </c>
      <c r="D152" s="1119">
        <f t="shared" ca="1" si="31"/>
        <v>1941</v>
      </c>
      <c r="E152" s="1119"/>
      <c r="F152" s="1119" t="str">
        <f t="shared" ca="1" si="32"/>
        <v/>
      </c>
      <c r="G152" s="1119"/>
      <c r="H152" s="1119">
        <f t="shared" ca="1" si="33"/>
        <v>702</v>
      </c>
      <c r="I152" s="1119"/>
      <c r="J152" s="1119">
        <f t="shared" ca="1" si="34"/>
        <v>970</v>
      </c>
      <c r="K152" s="1119"/>
      <c r="L152" s="1119">
        <f t="shared" ca="1" si="35"/>
        <v>2682</v>
      </c>
      <c r="M152" s="1119"/>
      <c r="N152" s="1119">
        <f t="shared" ca="1" si="36"/>
        <v>2682</v>
      </c>
      <c r="O152" s="1119"/>
      <c r="P152" s="1119">
        <f t="shared" ca="1" si="37"/>
        <v>363585</v>
      </c>
      <c r="Q152" s="1119"/>
      <c r="R152" s="1119"/>
      <c r="S152" s="1119">
        <f t="shared" ca="1" si="38"/>
        <v>227184</v>
      </c>
      <c r="T152" s="1119"/>
      <c r="U152" s="1119"/>
      <c r="V152" s="704"/>
      <c r="W152" s="859">
        <f t="shared" ref="W152:W195" si="40">IF($B152="","",$B152)</f>
        <v>2</v>
      </c>
      <c r="X152" s="860">
        <f t="shared" ca="1" si="39"/>
        <v>280636</v>
      </c>
      <c r="Y152" s="861">
        <f ca="1">IF($B152="","",VLOOKUP(OP!$C$55,PVFB,$B152+2,0))</f>
        <v>27651</v>
      </c>
    </row>
    <row r="153" spans="1:25" ht="12" customHeight="1">
      <c r="A153" s="8"/>
      <c r="B153" s="689">
        <v>3</v>
      </c>
      <c r="C153" s="689">
        <f ca="1">IF(OR($A$2=1,MAX($C$151:C152)&gt;=110),"",C152+(B153-B152))</f>
        <v>35</v>
      </c>
      <c r="D153" s="1119">
        <f t="shared" ca="1" si="31"/>
        <v>3189</v>
      </c>
      <c r="E153" s="1119"/>
      <c r="F153" s="1119" t="str">
        <f t="shared" ca="1" si="32"/>
        <v/>
      </c>
      <c r="G153" s="1119"/>
      <c r="H153" s="1119">
        <f t="shared" ca="1" si="33"/>
        <v>1131</v>
      </c>
      <c r="I153" s="1119"/>
      <c r="J153" s="1119">
        <f t="shared" ca="1" si="34"/>
        <v>2101</v>
      </c>
      <c r="K153" s="1119"/>
      <c r="L153" s="1119">
        <f t="shared" ca="1" si="35"/>
        <v>5926</v>
      </c>
      <c r="M153" s="1119"/>
      <c r="N153" s="1119">
        <f t="shared" ca="1" si="36"/>
        <v>5926</v>
      </c>
      <c r="O153" s="1119"/>
      <c r="P153" s="1119">
        <f t="shared" ca="1" si="37"/>
        <v>547284</v>
      </c>
      <c r="Q153" s="1119"/>
      <c r="R153" s="1119"/>
      <c r="S153" s="1119">
        <f t="shared" ca="1" si="38"/>
        <v>396450</v>
      </c>
      <c r="T153" s="1119"/>
      <c r="U153" s="1119"/>
      <c r="V153" s="704"/>
      <c r="W153" s="859">
        <f t="shared" si="40"/>
        <v>3</v>
      </c>
      <c r="X153" s="860">
        <f t="shared" ca="1" si="39"/>
        <v>459442</v>
      </c>
      <c r="Y153" s="861">
        <f ca="1">IF($B153="","",VLOOKUP(OP!$C$55,PVFB,$B153+2,0))</f>
        <v>28204</v>
      </c>
    </row>
    <row r="154" spans="1:25" ht="12" customHeight="1">
      <c r="A154" s="8"/>
      <c r="B154" s="689">
        <v>4</v>
      </c>
      <c r="C154" s="689">
        <f ca="1">IF(OR($A$2=1,MAX($C$151:C153)&gt;=110),"",C153+(B154-B153))</f>
        <v>36</v>
      </c>
      <c r="D154" s="1119">
        <f t="shared" ca="1" si="31"/>
        <v>4470</v>
      </c>
      <c r="E154" s="1119"/>
      <c r="F154" s="1119" t="str">
        <f t="shared" ca="1" si="32"/>
        <v/>
      </c>
      <c r="G154" s="1119"/>
      <c r="H154" s="1119">
        <f t="shared" ca="1" si="33"/>
        <v>1554</v>
      </c>
      <c r="I154" s="1119"/>
      <c r="J154" s="1119">
        <f t="shared" ca="1" si="34"/>
        <v>3655</v>
      </c>
      <c r="K154" s="1119"/>
      <c r="L154" s="1119">
        <f t="shared" ca="1" si="35"/>
        <v>10515</v>
      </c>
      <c r="M154" s="1119"/>
      <c r="N154" s="1119">
        <f t="shared" ca="1" si="36"/>
        <v>10515</v>
      </c>
      <c r="O154" s="1119"/>
      <c r="P154" s="1119">
        <f t="shared" ca="1" si="37"/>
        <v>732325</v>
      </c>
      <c r="Q154" s="1119"/>
      <c r="R154" s="1119"/>
      <c r="S154" s="1119">
        <f t="shared" ca="1" si="38"/>
        <v>588107</v>
      </c>
      <c r="T154" s="1119"/>
      <c r="U154" s="1119"/>
      <c r="V154" s="704"/>
      <c r="W154" s="859">
        <f t="shared" si="40"/>
        <v>4</v>
      </c>
      <c r="X154" s="860">
        <f t="shared" ca="1" si="39"/>
        <v>641784</v>
      </c>
      <c r="Y154" s="861">
        <f ca="1">IF($B154="","",VLOOKUP(OP!$C$55,PVFB,$B154+2,0))</f>
        <v>28769</v>
      </c>
    </row>
    <row r="155" spans="1:25" ht="12" customHeight="1">
      <c r="A155" s="8"/>
      <c r="B155" s="689">
        <v>5</v>
      </c>
      <c r="C155" s="689">
        <f ca="1">IF(OR($A$2=1,MAX($C$151:C154)&gt;=110),"",C154+(B155-B154))</f>
        <v>37</v>
      </c>
      <c r="D155" s="1119">
        <f t="shared" ca="1" si="31"/>
        <v>5786</v>
      </c>
      <c r="E155" s="1119"/>
      <c r="F155" s="1119" t="str">
        <f t="shared" ca="1" si="32"/>
        <v/>
      </c>
      <c r="G155" s="1119"/>
      <c r="H155" s="1119">
        <f t="shared" ca="1" si="33"/>
        <v>1972</v>
      </c>
      <c r="I155" s="1119"/>
      <c r="J155" s="1119">
        <f t="shared" ca="1" si="34"/>
        <v>5627</v>
      </c>
      <c r="K155" s="1119"/>
      <c r="L155" s="1119">
        <f t="shared" ca="1" si="35"/>
        <v>16512</v>
      </c>
      <c r="M155" s="1119"/>
      <c r="N155" s="1119">
        <f t="shared" ca="1" si="36"/>
        <v>16512</v>
      </c>
      <c r="O155" s="1119"/>
      <c r="P155" s="1119">
        <f t="shared" ca="1" si="37"/>
        <v>918773</v>
      </c>
      <c r="Q155" s="1119"/>
      <c r="R155" s="1119"/>
      <c r="S155" s="1119">
        <f t="shared" ca="1" si="38"/>
        <v>802932</v>
      </c>
      <c r="T155" s="1119"/>
      <c r="U155" s="1119"/>
      <c r="V155" s="704"/>
      <c r="W155" s="859">
        <f t="shared" si="40"/>
        <v>5</v>
      </c>
      <c r="X155" s="860">
        <f t="shared" ca="1" si="39"/>
        <v>827798</v>
      </c>
      <c r="Y155" s="861">
        <f ca="1">IF($B155="","",VLOOKUP(OP!$C$55,PVFB,$B155+2,0))</f>
        <v>29344</v>
      </c>
    </row>
    <row r="156" spans="1:25" ht="12" customHeight="1">
      <c r="A156" s="8"/>
      <c r="B156" s="689">
        <v>6</v>
      </c>
      <c r="C156" s="689">
        <f ca="1">IF(OR($A$2=1,MAX($C$151:C155)&gt;=110),"",C155+(B156-B155))</f>
        <v>38</v>
      </c>
      <c r="D156" s="1119">
        <f t="shared" ca="1" si="31"/>
        <v>7137</v>
      </c>
      <c r="E156" s="1119"/>
      <c r="F156" s="1119" t="str">
        <f t="shared" ca="1" si="32"/>
        <v/>
      </c>
      <c r="G156" s="1119"/>
      <c r="H156" s="1119">
        <f t="shared" ca="1" si="33"/>
        <v>2385</v>
      </c>
      <c r="I156" s="1119"/>
      <c r="J156" s="1119">
        <f t="shared" ca="1" si="34"/>
        <v>8012</v>
      </c>
      <c r="K156" s="1119"/>
      <c r="L156" s="1119">
        <f t="shared" ca="1" si="35"/>
        <v>25514</v>
      </c>
      <c r="M156" s="1119"/>
      <c r="N156" s="1119">
        <f t="shared" ca="1" si="36"/>
        <v>23977</v>
      </c>
      <c r="O156" s="1119"/>
      <c r="P156" s="1119">
        <f t="shared" ca="1" si="37"/>
        <v>1108227</v>
      </c>
      <c r="Q156" s="1119"/>
      <c r="R156" s="1119"/>
      <c r="S156" s="1119">
        <f t="shared" ca="1" si="38"/>
        <v>1031295</v>
      </c>
      <c r="T156" s="1119"/>
      <c r="U156" s="1119"/>
      <c r="V156" s="704"/>
      <c r="W156" s="859">
        <f t="shared" si="40"/>
        <v>6</v>
      </c>
      <c r="X156" s="860">
        <f t="shared" ca="1" si="39"/>
        <v>1017484</v>
      </c>
      <c r="Y156" s="861">
        <f ca="1">IF($B156="","",VLOOKUP(OP!$C$55,PVFB,$B156+2,0))</f>
        <v>29926</v>
      </c>
    </row>
    <row r="157" spans="1:25" ht="12" customHeight="1">
      <c r="A157" s="8"/>
      <c r="B157" s="689">
        <v>7</v>
      </c>
      <c r="C157" s="689">
        <f ca="1">IF(OR($A$2=1,MAX($C$151:C156)&gt;=110),"",C156+(B157-B156))</f>
        <v>39</v>
      </c>
      <c r="D157" s="1119">
        <f t="shared" ca="1" si="31"/>
        <v>7329</v>
      </c>
      <c r="E157" s="1119"/>
      <c r="F157" s="1119">
        <f t="shared" ca="1" si="32"/>
        <v>7329</v>
      </c>
      <c r="G157" s="1119"/>
      <c r="H157" s="1119" t="str">
        <f t="shared" ca="1" si="33"/>
        <v/>
      </c>
      <c r="I157" s="1119"/>
      <c r="J157" s="1119">
        <f t="shared" ca="1" si="34"/>
        <v>8012</v>
      </c>
      <c r="K157" s="1119"/>
      <c r="L157" s="1119">
        <f t="shared" ca="1" si="35"/>
        <v>25514</v>
      </c>
      <c r="M157" s="1119"/>
      <c r="N157" s="1119">
        <f t="shared" ca="1" si="36"/>
        <v>24454</v>
      </c>
      <c r="O157" s="1119"/>
      <c r="P157" s="1119">
        <f t="shared" ca="1" si="37"/>
        <v>1115556</v>
      </c>
      <c r="Q157" s="1119"/>
      <c r="R157" s="1119"/>
      <c r="S157" s="1119">
        <f t="shared" ca="1" si="38"/>
        <v>1069531</v>
      </c>
      <c r="T157" s="1119"/>
      <c r="U157" s="1119"/>
      <c r="V157" s="704"/>
      <c r="W157" s="859">
        <f t="shared" si="40"/>
        <v>7</v>
      </c>
      <c r="X157" s="860">
        <f t="shared" ca="1" si="39"/>
        <v>1037748</v>
      </c>
      <c r="Y157" s="861">
        <f ca="1">IF($B157="","",VLOOKUP(OP!$C$55,PVFB,$B157+2,0))</f>
        <v>30522</v>
      </c>
    </row>
    <row r="158" spans="1:25" ht="12" customHeight="1">
      <c r="A158" s="8"/>
      <c r="B158" s="689">
        <v>8</v>
      </c>
      <c r="C158" s="689">
        <f ca="1">IF(OR($A$2=1,MAX($C$151:C157)&gt;=110),"",C157+(B158-B157))</f>
        <v>40</v>
      </c>
      <c r="D158" s="1119">
        <f t="shared" ca="1" si="31"/>
        <v>7475</v>
      </c>
      <c r="E158" s="1119"/>
      <c r="F158" s="1119">
        <f t="shared" ca="1" si="32"/>
        <v>15004</v>
      </c>
      <c r="G158" s="1119"/>
      <c r="H158" s="1119" t="str">
        <f t="shared" ca="1" si="33"/>
        <v/>
      </c>
      <c r="I158" s="1119"/>
      <c r="J158" s="1119">
        <f t="shared" ca="1" si="34"/>
        <v>8012</v>
      </c>
      <c r="K158" s="1119"/>
      <c r="L158" s="1119">
        <f t="shared" ca="1" si="35"/>
        <v>25514</v>
      </c>
      <c r="M158" s="1119"/>
      <c r="N158" s="1119">
        <f t="shared" ca="1" si="36"/>
        <v>24941</v>
      </c>
      <c r="O158" s="1119"/>
      <c r="P158" s="1119">
        <f t="shared" ca="1" si="37"/>
        <v>1123231</v>
      </c>
      <c r="Q158" s="1119"/>
      <c r="R158" s="1119"/>
      <c r="S158" s="1119">
        <f t="shared" ca="1" si="38"/>
        <v>1098365</v>
      </c>
      <c r="T158" s="1119"/>
      <c r="U158" s="1119"/>
      <c r="V158" s="704"/>
      <c r="W158" s="859">
        <f t="shared" si="40"/>
        <v>8</v>
      </c>
      <c r="X158" s="860">
        <f t="shared" ca="1" si="39"/>
        <v>1058420</v>
      </c>
      <c r="Y158" s="861">
        <f ca="1">IF($B158="","",VLOOKUP(OP!$C$55,PVFB,$B158+2,0))</f>
        <v>31130</v>
      </c>
    </row>
    <row r="159" spans="1:25" ht="12" customHeight="1">
      <c r="A159" s="8"/>
      <c r="B159" s="689">
        <v>9</v>
      </c>
      <c r="C159" s="689">
        <f ca="1">IF(OR($A$2=1,MAX($C$151:C158)&gt;=110),"",C158+(B159-B158))</f>
        <v>41</v>
      </c>
      <c r="D159" s="1119">
        <f t="shared" ca="1" si="31"/>
        <v>7625</v>
      </c>
      <c r="E159" s="1119"/>
      <c r="F159" s="1119">
        <f t="shared" ca="1" si="32"/>
        <v>23038</v>
      </c>
      <c r="G159" s="1119"/>
      <c r="H159" s="1119" t="str">
        <f t="shared" ca="1" si="33"/>
        <v/>
      </c>
      <c r="I159" s="1119"/>
      <c r="J159" s="1119">
        <f t="shared" ca="1" si="34"/>
        <v>8012</v>
      </c>
      <c r="K159" s="1119"/>
      <c r="L159" s="1119">
        <f t="shared" ca="1" si="35"/>
        <v>25514</v>
      </c>
      <c r="M159" s="1119"/>
      <c r="N159" s="1119">
        <f t="shared" ca="1" si="36"/>
        <v>25439</v>
      </c>
      <c r="O159" s="1119"/>
      <c r="P159" s="1119">
        <f t="shared" ca="1" si="37"/>
        <v>1131265</v>
      </c>
      <c r="Q159" s="1119"/>
      <c r="R159" s="1119"/>
      <c r="S159" s="1119">
        <f t="shared" ca="1" si="38"/>
        <v>1128011</v>
      </c>
      <c r="T159" s="1119"/>
      <c r="U159" s="1119"/>
      <c r="V159" s="704"/>
      <c r="W159" s="859">
        <f t="shared" si="40"/>
        <v>9</v>
      </c>
      <c r="X159" s="860">
        <f t="shared" ca="1" si="39"/>
        <v>1079534</v>
      </c>
      <c r="Y159" s="861">
        <f ca="1">IF($B159="","",VLOOKUP(OP!$C$55,PVFB,$B159+2,0))</f>
        <v>31751</v>
      </c>
    </row>
    <row r="160" spans="1:25" ht="12" customHeight="1">
      <c r="A160" s="8"/>
      <c r="B160" s="689">
        <v>10</v>
      </c>
      <c r="C160" s="689">
        <f ca="1">IF(OR($A$2=1,MAX($C$151:C159)&gt;=110),"",C159+(B160-B159))</f>
        <v>42</v>
      </c>
      <c r="D160" s="1119">
        <f t="shared" ca="1" si="31"/>
        <v>7777</v>
      </c>
      <c r="E160" s="1119"/>
      <c r="F160" s="1119">
        <f t="shared" ca="1" si="32"/>
        <v>31442</v>
      </c>
      <c r="G160" s="1119"/>
      <c r="H160" s="1119" t="str">
        <f t="shared" ca="1" si="33"/>
        <v/>
      </c>
      <c r="I160" s="1119"/>
      <c r="J160" s="1119">
        <f t="shared" ca="1" si="34"/>
        <v>8012</v>
      </c>
      <c r="K160" s="1119"/>
      <c r="L160" s="1119">
        <f t="shared" ca="1" si="35"/>
        <v>25948</v>
      </c>
      <c r="M160" s="1119"/>
      <c r="N160" s="1119">
        <f t="shared" ca="1" si="36"/>
        <v>25948</v>
      </c>
      <c r="O160" s="1119"/>
      <c r="P160" s="1119">
        <f t="shared" ca="1" si="37"/>
        <v>1158514</v>
      </c>
      <c r="Q160" s="1119"/>
      <c r="R160" s="1119"/>
      <c r="S160" s="1119">
        <f t="shared" ca="1" si="38"/>
        <v>1158514</v>
      </c>
      <c r="T160" s="1119"/>
      <c r="U160" s="1119"/>
      <c r="V160" s="704"/>
      <c r="W160" s="859">
        <f t="shared" si="40"/>
        <v>10</v>
      </c>
      <c r="X160" s="860">
        <f t="shared" ca="1" si="39"/>
        <v>1101124</v>
      </c>
      <c r="Y160" s="861">
        <f ca="1">IF($B160="","",VLOOKUP(OP!$C$55,PVFB,$B160+2,0))</f>
        <v>32386</v>
      </c>
    </row>
    <row r="161" spans="1:25" ht="12" customHeight="1">
      <c r="A161" s="8"/>
      <c r="B161" s="689">
        <v>11</v>
      </c>
      <c r="C161" s="689">
        <f ca="1">IF(OR($A$2=1,MAX($C$151:C160)&gt;=110),"",C160+(B161-B160))</f>
        <v>43</v>
      </c>
      <c r="D161" s="1119">
        <f t="shared" ca="1" si="31"/>
        <v>7933</v>
      </c>
      <c r="E161" s="1119"/>
      <c r="F161" s="1119">
        <f t="shared" ca="1" si="32"/>
        <v>40234</v>
      </c>
      <c r="G161" s="1119"/>
      <c r="H161" s="1119" t="str">
        <f t="shared" ca="1" si="33"/>
        <v/>
      </c>
      <c r="I161" s="1119"/>
      <c r="J161" s="1119">
        <f t="shared" ca="1" si="34"/>
        <v>8012</v>
      </c>
      <c r="K161" s="1119"/>
      <c r="L161" s="1119">
        <f t="shared" ca="1" si="35"/>
        <v>26467</v>
      </c>
      <c r="M161" s="1119"/>
      <c r="N161" s="1119">
        <f t="shared" ca="1" si="36"/>
        <v>26467</v>
      </c>
      <c r="O161" s="1119"/>
      <c r="P161" s="1119">
        <f t="shared" ca="1" si="37"/>
        <v>1189857</v>
      </c>
      <c r="Q161" s="1119"/>
      <c r="R161" s="1119"/>
      <c r="S161" s="1119">
        <f t="shared" ca="1" si="38"/>
        <v>1189857</v>
      </c>
      <c r="T161" s="1119"/>
      <c r="U161" s="1119"/>
      <c r="V161" s="704"/>
      <c r="W161" s="859">
        <f t="shared" si="40"/>
        <v>11</v>
      </c>
      <c r="X161" s="860">
        <f t="shared" ca="1" si="39"/>
        <v>1123156</v>
      </c>
      <c r="Y161" s="861">
        <f ca="1">IF($B161="","",VLOOKUP(OP!$C$55,PVFB,$B161+2,0))</f>
        <v>33034</v>
      </c>
    </row>
    <row r="162" spans="1:25" ht="12" customHeight="1">
      <c r="A162" s="8"/>
      <c r="B162" s="689">
        <v>12</v>
      </c>
      <c r="C162" s="689">
        <f ca="1">IF(OR($A$2=1,MAX($C$151:C161)&gt;=110),"",C161+(B162-B161))</f>
        <v>44</v>
      </c>
      <c r="D162" s="1119">
        <f t="shared" ca="1" si="31"/>
        <v>8091</v>
      </c>
      <c r="E162" s="1119"/>
      <c r="F162" s="1119">
        <f t="shared" ca="1" si="32"/>
        <v>49421</v>
      </c>
      <c r="G162" s="1119"/>
      <c r="H162" s="1119" t="str">
        <f t="shared" ca="1" si="33"/>
        <v/>
      </c>
      <c r="I162" s="1119"/>
      <c r="J162" s="1119">
        <f t="shared" ca="1" si="34"/>
        <v>8012</v>
      </c>
      <c r="K162" s="1119"/>
      <c r="L162" s="1119">
        <f t="shared" ca="1" si="35"/>
        <v>26996</v>
      </c>
      <c r="M162" s="1119"/>
      <c r="N162" s="1119">
        <f t="shared" ca="1" si="36"/>
        <v>26996</v>
      </c>
      <c r="O162" s="1119"/>
      <c r="P162" s="1119">
        <f t="shared" ca="1" si="37"/>
        <v>1222047</v>
      </c>
      <c r="Q162" s="1119"/>
      <c r="R162" s="1119"/>
      <c r="S162" s="1119">
        <f t="shared" ca="1" si="38"/>
        <v>1222047</v>
      </c>
      <c r="T162" s="1119"/>
      <c r="U162" s="1119"/>
      <c r="V162" s="704"/>
      <c r="W162" s="859">
        <f t="shared" si="40"/>
        <v>12</v>
      </c>
      <c r="X162" s="860">
        <f t="shared" ca="1" si="39"/>
        <v>1145630</v>
      </c>
      <c r="Y162" s="861">
        <f ca="1">IF($B162="","",VLOOKUP(OP!$C$55,PVFB,$B162+2,0))</f>
        <v>33695</v>
      </c>
    </row>
    <row r="163" spans="1:25" ht="12" customHeight="1">
      <c r="A163" s="8"/>
      <c r="B163" s="689">
        <v>13</v>
      </c>
      <c r="C163" s="689">
        <f ca="1">IF(OR($A$2=1,MAX($C$151:C162)&gt;=110),"",C162+(B163-B162))</f>
        <v>45</v>
      </c>
      <c r="D163" s="1119">
        <f t="shared" ca="1" si="31"/>
        <v>8253</v>
      </c>
      <c r="E163" s="1119"/>
      <c r="F163" s="1119">
        <f t="shared" ca="1" si="32"/>
        <v>59020</v>
      </c>
      <c r="G163" s="1119"/>
      <c r="H163" s="1119" t="str">
        <f t="shared" ca="1" si="33"/>
        <v/>
      </c>
      <c r="I163" s="1119"/>
      <c r="J163" s="1119">
        <f t="shared" ca="1" si="34"/>
        <v>8012</v>
      </c>
      <c r="K163" s="1119"/>
      <c r="L163" s="1119">
        <f t="shared" ca="1" si="35"/>
        <v>27536</v>
      </c>
      <c r="M163" s="1119"/>
      <c r="N163" s="1119">
        <f t="shared" ca="1" si="36"/>
        <v>27536</v>
      </c>
      <c r="O163" s="1119"/>
      <c r="P163" s="1119">
        <f t="shared" ca="1" si="37"/>
        <v>1255102</v>
      </c>
      <c r="Q163" s="1119"/>
      <c r="R163" s="1119"/>
      <c r="S163" s="1119">
        <f t="shared" ca="1" si="38"/>
        <v>1255102</v>
      </c>
      <c r="T163" s="1119"/>
      <c r="U163" s="1119"/>
      <c r="V163" s="704"/>
      <c r="W163" s="859">
        <f t="shared" si="40"/>
        <v>13</v>
      </c>
      <c r="X163" s="860">
        <f t="shared" ca="1" si="39"/>
        <v>1168546</v>
      </c>
      <c r="Y163" s="861">
        <f ca="1">IF($B163="","",VLOOKUP(OP!$C$55,PVFB,$B163+2,0))</f>
        <v>34369</v>
      </c>
    </row>
    <row r="164" spans="1:25" ht="12" customHeight="1">
      <c r="A164" s="8"/>
      <c r="B164" s="689">
        <v>14</v>
      </c>
      <c r="C164" s="689">
        <f ca="1">IF(OR($A$2=1,MAX($C$151:C163)&gt;=110),"",C163+(B164-B163))</f>
        <v>46</v>
      </c>
      <c r="D164" s="1119">
        <f t="shared" ca="1" si="31"/>
        <v>8418</v>
      </c>
      <c r="E164" s="1119"/>
      <c r="F164" s="1119">
        <f t="shared" ca="1" si="32"/>
        <v>69045</v>
      </c>
      <c r="G164" s="1119"/>
      <c r="H164" s="1119" t="str">
        <f t="shared" ca="1" si="33"/>
        <v/>
      </c>
      <c r="I164" s="1119"/>
      <c r="J164" s="1119">
        <f t="shared" ca="1" si="34"/>
        <v>8012</v>
      </c>
      <c r="K164" s="1119"/>
      <c r="L164" s="1119">
        <f t="shared" ca="1" si="35"/>
        <v>28087</v>
      </c>
      <c r="M164" s="1119"/>
      <c r="N164" s="1119">
        <f t="shared" ca="1" si="36"/>
        <v>28087</v>
      </c>
      <c r="O164" s="1119"/>
      <c r="P164" s="1119">
        <f t="shared" ca="1" si="37"/>
        <v>1289036</v>
      </c>
      <c r="Q164" s="1119"/>
      <c r="R164" s="1119"/>
      <c r="S164" s="1119">
        <f t="shared" ca="1" si="38"/>
        <v>1289036</v>
      </c>
      <c r="T164" s="1119"/>
      <c r="U164" s="1119"/>
      <c r="V164" s="704"/>
      <c r="W164" s="859">
        <f t="shared" si="40"/>
        <v>14</v>
      </c>
      <c r="X164" s="860">
        <f t="shared" ca="1" si="39"/>
        <v>1191904</v>
      </c>
      <c r="Y164" s="861">
        <f ca="1">IF($B164="","",VLOOKUP(OP!$C$55,PVFB,$B164+2,0))</f>
        <v>35056</v>
      </c>
    </row>
    <row r="165" spans="1:25" ht="12" customHeight="1">
      <c r="A165" s="8"/>
      <c r="B165" s="689">
        <v>15</v>
      </c>
      <c r="C165" s="689">
        <f ca="1">IF(OR($A$2=1,MAX($C$151:C164)&gt;=110),"",C164+(B165-B164))</f>
        <v>47</v>
      </c>
      <c r="D165" s="1119">
        <f t="shared" ca="1" si="31"/>
        <v>8587</v>
      </c>
      <c r="E165" s="1119"/>
      <c r="F165" s="1119">
        <f t="shared" ca="1" si="32"/>
        <v>79518</v>
      </c>
      <c r="G165" s="1119"/>
      <c r="H165" s="1119" t="str">
        <f t="shared" ca="1" si="33"/>
        <v/>
      </c>
      <c r="I165" s="1119"/>
      <c r="J165" s="1119">
        <f t="shared" ca="1" si="34"/>
        <v>8012</v>
      </c>
      <c r="K165" s="1119"/>
      <c r="L165" s="1119">
        <f t="shared" ca="1" si="35"/>
        <v>28649</v>
      </c>
      <c r="M165" s="1119"/>
      <c r="N165" s="1119">
        <f t="shared" ca="1" si="36"/>
        <v>28649</v>
      </c>
      <c r="O165" s="1119"/>
      <c r="P165" s="1119">
        <f t="shared" ca="1" si="37"/>
        <v>1323905</v>
      </c>
      <c r="Q165" s="1119"/>
      <c r="R165" s="1119"/>
      <c r="S165" s="1119">
        <f t="shared" ca="1" si="38"/>
        <v>1323905</v>
      </c>
      <c r="T165" s="1119"/>
      <c r="U165" s="1119"/>
      <c r="V165" s="704"/>
      <c r="W165" s="859">
        <f t="shared" si="40"/>
        <v>15</v>
      </c>
      <c r="X165" s="860">
        <f t="shared" ca="1" si="39"/>
        <v>1215738</v>
      </c>
      <c r="Y165" s="861">
        <f ca="1">IF($B165="","",VLOOKUP(OP!$C$55,PVFB,$B165+2,0))</f>
        <v>35757</v>
      </c>
    </row>
    <row r="166" spans="1:25" ht="12" customHeight="1">
      <c r="A166" s="8"/>
      <c r="B166" s="689">
        <v>16</v>
      </c>
      <c r="C166" s="689">
        <f ca="1">IF(OR($A$2=1,MAX($C$151:C165)&gt;=110),"",C165+(B166-B165))</f>
        <v>48</v>
      </c>
      <c r="D166" s="1119">
        <f t="shared" ca="1" si="31"/>
        <v>8758</v>
      </c>
      <c r="E166" s="1119"/>
      <c r="F166" s="1119">
        <f t="shared" ca="1" si="32"/>
        <v>90442</v>
      </c>
      <c r="G166" s="1119"/>
      <c r="H166" s="1119" t="str">
        <f t="shared" ca="1" si="33"/>
        <v/>
      </c>
      <c r="I166" s="1119"/>
      <c r="J166" s="1119">
        <f t="shared" ca="1" si="34"/>
        <v>8012</v>
      </c>
      <c r="K166" s="1119"/>
      <c r="L166" s="1119">
        <f t="shared" ca="1" si="35"/>
        <v>29221</v>
      </c>
      <c r="M166" s="1119"/>
      <c r="N166" s="1119">
        <f t="shared" ca="1" si="36"/>
        <v>29221</v>
      </c>
      <c r="O166" s="1119"/>
      <c r="P166" s="1119">
        <f t="shared" ca="1" si="37"/>
        <v>1359711</v>
      </c>
      <c r="Q166" s="1119"/>
      <c r="R166" s="1119"/>
      <c r="S166" s="1119">
        <f t="shared" ca="1" si="38"/>
        <v>1359711</v>
      </c>
      <c r="T166" s="1119"/>
      <c r="U166" s="1119"/>
      <c r="V166" s="704"/>
      <c r="W166" s="859">
        <f t="shared" si="40"/>
        <v>16</v>
      </c>
      <c r="X166" s="860">
        <f t="shared" ca="1" si="39"/>
        <v>1240048</v>
      </c>
      <c r="Y166" s="861">
        <f ca="1">IF($B166="","",VLOOKUP(OP!$C$55,PVFB,$B166+2,0))</f>
        <v>36472</v>
      </c>
    </row>
    <row r="167" spans="1:25" ht="12" customHeight="1">
      <c r="A167" s="8"/>
      <c r="B167" s="689">
        <v>17</v>
      </c>
      <c r="C167" s="689">
        <f ca="1">IF(OR($A$2=1,MAX($C$151:C166)&gt;=110),"",C166+(B167-B166))</f>
        <v>49</v>
      </c>
      <c r="D167" s="1119">
        <f t="shared" ca="1" si="31"/>
        <v>8934</v>
      </c>
      <c r="E167" s="1119"/>
      <c r="F167" s="1119">
        <f t="shared" ca="1" si="32"/>
        <v>101839</v>
      </c>
      <c r="G167" s="1119"/>
      <c r="H167" s="1119" t="str">
        <f t="shared" ca="1" si="33"/>
        <v/>
      </c>
      <c r="I167" s="1119"/>
      <c r="J167" s="1119">
        <f t="shared" ca="1" si="34"/>
        <v>8012</v>
      </c>
      <c r="K167" s="1119"/>
      <c r="L167" s="1119">
        <f t="shared" ca="1" si="35"/>
        <v>29806</v>
      </c>
      <c r="M167" s="1119"/>
      <c r="N167" s="1119">
        <f t="shared" ca="1" si="36"/>
        <v>29806</v>
      </c>
      <c r="O167" s="1119"/>
      <c r="P167" s="1119">
        <f t="shared" ca="1" si="37"/>
        <v>1396513</v>
      </c>
      <c r="Q167" s="1119"/>
      <c r="R167" s="1119"/>
      <c r="S167" s="1119">
        <f t="shared" ca="1" si="38"/>
        <v>1396513</v>
      </c>
      <c r="T167" s="1119"/>
      <c r="U167" s="1119"/>
      <c r="V167" s="704"/>
      <c r="W167" s="859">
        <f t="shared" si="40"/>
        <v>17</v>
      </c>
      <c r="X167" s="860">
        <f t="shared" ca="1" si="39"/>
        <v>1264868</v>
      </c>
      <c r="Y167" s="861">
        <f ca="1">IF($B167="","",VLOOKUP(OP!$C$55,PVFB,$B167+2,0))</f>
        <v>37202</v>
      </c>
    </row>
    <row r="168" spans="1:25" ht="12" customHeight="1">
      <c r="A168" s="8"/>
      <c r="B168" s="689">
        <v>18</v>
      </c>
      <c r="C168" s="689">
        <f ca="1">IF(OR($A$2=1,MAX($C$151:C167)&gt;=110),"",C167+(B168-B167))</f>
        <v>50</v>
      </c>
      <c r="D168" s="1119">
        <f t="shared" ca="1" si="31"/>
        <v>9112</v>
      </c>
      <c r="E168" s="1119"/>
      <c r="F168" s="1119">
        <f t="shared" ca="1" si="32"/>
        <v>113724</v>
      </c>
      <c r="G168" s="1119"/>
      <c r="H168" s="1119" t="str">
        <f t="shared" ca="1" si="33"/>
        <v/>
      </c>
      <c r="I168" s="1119"/>
      <c r="J168" s="1119">
        <f t="shared" ca="1" si="34"/>
        <v>8012</v>
      </c>
      <c r="K168" s="1119"/>
      <c r="L168" s="1119">
        <f t="shared" ca="1" si="35"/>
        <v>30402</v>
      </c>
      <c r="M168" s="1119"/>
      <c r="N168" s="1119">
        <f t="shared" ca="1" si="36"/>
        <v>30402</v>
      </c>
      <c r="O168" s="1119"/>
      <c r="P168" s="1119">
        <f t="shared" ca="1" si="37"/>
        <v>1434290</v>
      </c>
      <c r="Q168" s="1119"/>
      <c r="R168" s="1119"/>
      <c r="S168" s="1119">
        <f t="shared" ca="1" si="38"/>
        <v>1434290</v>
      </c>
      <c r="T168" s="1119"/>
      <c r="U168" s="1119"/>
      <c r="V168" s="704"/>
      <c r="W168" s="859">
        <f t="shared" si="40"/>
        <v>18</v>
      </c>
      <c r="X168" s="860">
        <f t="shared" ca="1" si="39"/>
        <v>1290164</v>
      </c>
      <c r="Y168" s="861">
        <f ca="1">IF($B168="","",VLOOKUP(OP!$C$55,PVFB,$B168+2,0))</f>
        <v>37946</v>
      </c>
    </row>
    <row r="169" spans="1:25" ht="12" customHeight="1">
      <c r="A169" s="8"/>
      <c r="B169" s="689">
        <v>19</v>
      </c>
      <c r="C169" s="689">
        <f ca="1">IF(OR($A$2=1,MAX($C$151:C168)&gt;=110),"",C168+(B169-B168))</f>
        <v>51</v>
      </c>
      <c r="D169" s="1119">
        <f t="shared" ca="1" si="31"/>
        <v>9294</v>
      </c>
      <c r="E169" s="1119"/>
      <c r="F169" s="1119">
        <f t="shared" ca="1" si="32"/>
        <v>126124</v>
      </c>
      <c r="G169" s="1119"/>
      <c r="H169" s="1119" t="str">
        <f t="shared" ca="1" si="33"/>
        <v/>
      </c>
      <c r="I169" s="1119"/>
      <c r="J169" s="1119">
        <f t="shared" ca="1" si="34"/>
        <v>8012</v>
      </c>
      <c r="K169" s="1119"/>
      <c r="L169" s="1119">
        <f t="shared" ca="1" si="35"/>
        <v>31010</v>
      </c>
      <c r="M169" s="1119"/>
      <c r="N169" s="1119">
        <f t="shared" ca="1" si="36"/>
        <v>31010</v>
      </c>
      <c r="O169" s="1119"/>
      <c r="P169" s="1119">
        <f t="shared" ca="1" si="37"/>
        <v>1473104</v>
      </c>
      <c r="Q169" s="1119"/>
      <c r="R169" s="1119"/>
      <c r="S169" s="1119">
        <f t="shared" ca="1" si="38"/>
        <v>1473104</v>
      </c>
      <c r="T169" s="1119"/>
      <c r="U169" s="1119"/>
      <c r="V169" s="704"/>
      <c r="W169" s="859">
        <f t="shared" si="40"/>
        <v>19</v>
      </c>
      <c r="X169" s="860">
        <f t="shared" ca="1" si="39"/>
        <v>1315970</v>
      </c>
      <c r="Y169" s="861">
        <f ca="1">IF($B169="","",VLOOKUP(OP!$C$55,PVFB,$B169+2,0))</f>
        <v>38705</v>
      </c>
    </row>
    <row r="170" spans="1:25" ht="12" customHeight="1">
      <c r="A170" s="8"/>
      <c r="B170" s="689">
        <v>20</v>
      </c>
      <c r="C170" s="689">
        <f ca="1">IF(OR($A$2=1,MAX($C$151:C169)&gt;=110),"",C169+(B170-B169))</f>
        <v>52</v>
      </c>
      <c r="D170" s="1119">
        <f t="shared" ca="1" si="31"/>
        <v>9480</v>
      </c>
      <c r="E170" s="1119"/>
      <c r="F170" s="1119">
        <f t="shared" ca="1" si="32"/>
        <v>139039</v>
      </c>
      <c r="G170" s="1119"/>
      <c r="H170" s="1119" t="str">
        <f t="shared" ca="1" si="33"/>
        <v/>
      </c>
      <c r="I170" s="1119"/>
      <c r="J170" s="1119">
        <f t="shared" ca="1" si="34"/>
        <v>8012</v>
      </c>
      <c r="K170" s="1119"/>
      <c r="L170" s="1119">
        <f t="shared" ca="1" si="35"/>
        <v>31631</v>
      </c>
      <c r="M170" s="1119"/>
      <c r="N170" s="1119">
        <f t="shared" ca="1" si="36"/>
        <v>31631</v>
      </c>
      <c r="O170" s="1119"/>
      <c r="P170" s="1119">
        <f t="shared" ca="1" si="37"/>
        <v>1512956</v>
      </c>
      <c r="Q170" s="1119"/>
      <c r="R170" s="1119"/>
      <c r="S170" s="1119">
        <f t="shared" ca="1" si="38"/>
        <v>1512956</v>
      </c>
      <c r="T170" s="1119"/>
      <c r="U170" s="1119"/>
      <c r="V170" s="704"/>
      <c r="W170" s="859">
        <f t="shared" si="40"/>
        <v>20</v>
      </c>
      <c r="X170" s="860">
        <f t="shared" ca="1" si="39"/>
        <v>1342286</v>
      </c>
      <c r="Y170" s="861">
        <f ca="1">IF($B170="","",VLOOKUP(OP!$C$55,PVFB,$B170+2,0))</f>
        <v>39479</v>
      </c>
    </row>
    <row r="171" spans="1:25" ht="12" customHeight="1">
      <c r="A171" s="8"/>
      <c r="B171" s="693">
        <f ca="1">IF(OR(C170&gt;=110,C170=""),"",IF(C170+1&gt;110,111-$C$18,B170+1))</f>
        <v>21</v>
      </c>
      <c r="C171" s="689">
        <f ca="1">IF(OR($A$2=1,MAX($C$151:C170)&gt;=110),"",C170+(B171-B170))</f>
        <v>53</v>
      </c>
      <c r="D171" s="1119">
        <f t="shared" ca="1" si="31"/>
        <v>9670</v>
      </c>
      <c r="E171" s="1119"/>
      <c r="F171" s="1119">
        <f t="shared" ca="1" si="32"/>
        <v>152496</v>
      </c>
      <c r="G171" s="1119"/>
      <c r="H171" s="1119" t="str">
        <f t="shared" ca="1" si="33"/>
        <v/>
      </c>
      <c r="I171" s="1119"/>
      <c r="J171" s="1119">
        <f t="shared" ca="1" si="34"/>
        <v>8012</v>
      </c>
      <c r="K171" s="1119"/>
      <c r="L171" s="1119">
        <f t="shared" ca="1" si="35"/>
        <v>32263</v>
      </c>
      <c r="M171" s="1119"/>
      <c r="N171" s="1119">
        <f t="shared" ca="1" si="36"/>
        <v>32263</v>
      </c>
      <c r="O171" s="1119"/>
      <c r="P171" s="1119">
        <f t="shared" ca="1" si="37"/>
        <v>1553871</v>
      </c>
      <c r="Q171" s="1119"/>
      <c r="R171" s="1119"/>
      <c r="S171" s="1119">
        <f t="shared" ca="1" si="38"/>
        <v>1553871</v>
      </c>
      <c r="T171" s="1119"/>
      <c r="U171" s="1119"/>
      <c r="V171" s="704"/>
      <c r="W171" s="859">
        <f t="shared" ca="1" si="40"/>
        <v>21</v>
      </c>
      <c r="X171" s="860">
        <f t="shared" ca="1" si="39"/>
        <v>1369112</v>
      </c>
      <c r="Y171" s="861">
        <f ca="1">IF($B171="","",VLOOKUP(OP!$C$55,PVFB,$B171+2,0))</f>
        <v>40268</v>
      </c>
    </row>
    <row r="172" spans="1:25" ht="12" customHeight="1">
      <c r="A172" s="8"/>
      <c r="B172" s="693">
        <f t="shared" ref="B172:B180" ca="1" si="41">IF(OR(C171&gt;=110,C171=""),"",IF(C171+1&gt;110,111-$C$18,B171+1))</f>
        <v>22</v>
      </c>
      <c r="C172" s="689">
        <f ca="1">IF(OR($A$2=1,MAX($C$151:C171)&gt;=110),"",C171+(B172-B171))</f>
        <v>54</v>
      </c>
      <c r="D172" s="1119">
        <f t="shared" ca="1" si="31"/>
        <v>9863</v>
      </c>
      <c r="E172" s="1119"/>
      <c r="F172" s="1119">
        <f t="shared" ca="1" si="32"/>
        <v>166512</v>
      </c>
      <c r="G172" s="1119"/>
      <c r="H172" s="1119" t="str">
        <f t="shared" ca="1" si="33"/>
        <v/>
      </c>
      <c r="I172" s="1119"/>
      <c r="J172" s="1119">
        <f t="shared" ca="1" si="34"/>
        <v>8012</v>
      </c>
      <c r="K172" s="1119"/>
      <c r="L172" s="1119">
        <f t="shared" ca="1" si="35"/>
        <v>32908</v>
      </c>
      <c r="M172" s="1119"/>
      <c r="N172" s="1119">
        <f t="shared" ca="1" si="36"/>
        <v>32908</v>
      </c>
      <c r="O172" s="1119"/>
      <c r="P172" s="1119">
        <f t="shared" ca="1" si="37"/>
        <v>1595936</v>
      </c>
      <c r="Q172" s="1119"/>
      <c r="R172" s="1119"/>
      <c r="S172" s="1119">
        <f t="shared" ca="1" si="38"/>
        <v>1595936</v>
      </c>
      <c r="T172" s="1119"/>
      <c r="U172" s="1119"/>
      <c r="V172" s="704"/>
      <c r="W172" s="859">
        <f t="shared" ca="1" si="40"/>
        <v>22</v>
      </c>
      <c r="X172" s="860">
        <f t="shared" ca="1" si="39"/>
        <v>1396516</v>
      </c>
      <c r="Y172" s="861">
        <f ca="1">IF($B172="","",VLOOKUP(OP!$C$55,PVFB,$B172+2,0))</f>
        <v>41074</v>
      </c>
    </row>
    <row r="173" spans="1:25" ht="12" customHeight="1">
      <c r="A173" s="8"/>
      <c r="B173" s="693">
        <f t="shared" ca="1" si="41"/>
        <v>23</v>
      </c>
      <c r="C173" s="689">
        <f ca="1">IF(OR($A$2=1,MAX($C$151:C172)&gt;=110),"",C172+(B173-B172))</f>
        <v>55</v>
      </c>
      <c r="D173" s="1119">
        <f t="shared" ca="1" si="31"/>
        <v>10061</v>
      </c>
      <c r="E173" s="1119"/>
      <c r="F173" s="1119">
        <f t="shared" ca="1" si="32"/>
        <v>181120</v>
      </c>
      <c r="G173" s="1119"/>
      <c r="H173" s="1119" t="str">
        <f t="shared" ca="1" si="33"/>
        <v/>
      </c>
      <c r="I173" s="1119"/>
      <c r="J173" s="1119">
        <f t="shared" ca="1" si="34"/>
        <v>8012</v>
      </c>
      <c r="K173" s="1119"/>
      <c r="L173" s="1119">
        <f t="shared" ca="1" si="35"/>
        <v>33566</v>
      </c>
      <c r="M173" s="1119"/>
      <c r="N173" s="1119">
        <f t="shared" ca="1" si="36"/>
        <v>33566</v>
      </c>
      <c r="O173" s="1119"/>
      <c r="P173" s="1119">
        <f t="shared" ca="1" si="37"/>
        <v>1639116</v>
      </c>
      <c r="Q173" s="1119"/>
      <c r="R173" s="1119"/>
      <c r="S173" s="1119">
        <f t="shared" ca="1" si="38"/>
        <v>1639116</v>
      </c>
      <c r="T173" s="1119"/>
      <c r="U173" s="1119"/>
      <c r="V173" s="704"/>
      <c r="W173" s="859">
        <f t="shared" ca="1" si="40"/>
        <v>23</v>
      </c>
      <c r="X173" s="860">
        <f t="shared" ca="1" si="39"/>
        <v>1424430</v>
      </c>
      <c r="Y173" s="861">
        <f ca="1">IF($B173="","",VLOOKUP(OP!$C$55,PVFB,$B173+2,0))</f>
        <v>41895</v>
      </c>
    </row>
    <row r="174" spans="1:25" ht="12" customHeight="1">
      <c r="A174" s="8"/>
      <c r="B174" s="693">
        <f t="shared" ca="1" si="41"/>
        <v>24</v>
      </c>
      <c r="C174" s="689">
        <f ca="1">IF(OR($A$2=1,MAX($C$151:C173)&gt;=110),"",C173+(B174-B173))</f>
        <v>56</v>
      </c>
      <c r="D174" s="1119">
        <f t="shared" ca="1" si="31"/>
        <v>10261</v>
      </c>
      <c r="E174" s="1119"/>
      <c r="F174" s="1119">
        <f t="shared" ca="1" si="32"/>
        <v>196314</v>
      </c>
      <c r="G174" s="1119"/>
      <c r="H174" s="1119" t="str">
        <f t="shared" ca="1" si="33"/>
        <v/>
      </c>
      <c r="I174" s="1119"/>
      <c r="J174" s="1119">
        <f t="shared" ca="1" si="34"/>
        <v>8012</v>
      </c>
      <c r="K174" s="1119"/>
      <c r="L174" s="1119">
        <f t="shared" ca="1" si="35"/>
        <v>34238</v>
      </c>
      <c r="M174" s="1119"/>
      <c r="N174" s="1119">
        <f t="shared" ca="1" si="36"/>
        <v>34238</v>
      </c>
      <c r="O174" s="1119"/>
      <c r="P174" s="1119">
        <f t="shared" ca="1" si="37"/>
        <v>1683474</v>
      </c>
      <c r="Q174" s="1119"/>
      <c r="R174" s="1119"/>
      <c r="S174" s="1119">
        <f t="shared" ca="1" si="38"/>
        <v>1683474</v>
      </c>
      <c r="T174" s="1119"/>
      <c r="U174" s="1119"/>
      <c r="V174" s="704"/>
      <c r="W174" s="859">
        <f t="shared" ca="1" si="40"/>
        <v>24</v>
      </c>
      <c r="X174" s="860">
        <f t="shared" ca="1" si="39"/>
        <v>1452922</v>
      </c>
      <c r="Y174" s="861">
        <f ca="1">IF($B174="","",VLOOKUP(OP!$C$55,PVFB,$B174+2,0))</f>
        <v>42733</v>
      </c>
    </row>
    <row r="175" spans="1:25" ht="12" customHeight="1">
      <c r="A175" s="8"/>
      <c r="B175" s="693">
        <f t="shared" ca="1" si="41"/>
        <v>25</v>
      </c>
      <c r="C175" s="689">
        <f ca="1">IF(OR($A$2=1,MAX($C$151:C174)&gt;=110),"",C174+(B175-B174))</f>
        <v>57</v>
      </c>
      <c r="D175" s="1119">
        <f t="shared" ca="1" si="31"/>
        <v>10467</v>
      </c>
      <c r="E175" s="1119"/>
      <c r="F175" s="1119">
        <f t="shared" ca="1" si="32"/>
        <v>212127</v>
      </c>
      <c r="G175" s="1119"/>
      <c r="H175" s="1119" t="str">
        <f t="shared" ca="1" si="33"/>
        <v/>
      </c>
      <c r="I175" s="1119"/>
      <c r="J175" s="1119">
        <f t="shared" ca="1" si="34"/>
        <v>8012</v>
      </c>
      <c r="K175" s="1119"/>
      <c r="L175" s="1119">
        <f t="shared" ca="1" si="35"/>
        <v>34923</v>
      </c>
      <c r="M175" s="1119"/>
      <c r="N175" s="1119">
        <f t="shared" ca="1" si="36"/>
        <v>34923</v>
      </c>
      <c r="O175" s="1119"/>
      <c r="P175" s="1119">
        <f t="shared" ca="1" si="37"/>
        <v>1729042</v>
      </c>
      <c r="Q175" s="1119"/>
      <c r="R175" s="1119"/>
      <c r="S175" s="1119">
        <f t="shared" ca="1" si="38"/>
        <v>1729042</v>
      </c>
      <c r="T175" s="1119"/>
      <c r="U175" s="1119"/>
      <c r="V175" s="704"/>
      <c r="W175" s="859">
        <f t="shared" ca="1" si="40"/>
        <v>25</v>
      </c>
      <c r="X175" s="860">
        <f t="shared" ca="1" si="39"/>
        <v>1481992</v>
      </c>
      <c r="Y175" s="861">
        <f ca="1">IF($B175="","",VLOOKUP(OP!$C$55,PVFB,$B175+2,0))</f>
        <v>43588</v>
      </c>
    </row>
    <row r="176" spans="1:25" ht="12" customHeight="1">
      <c r="A176" s="8"/>
      <c r="B176" s="693">
        <f t="shared" ca="1" si="41"/>
        <v>26</v>
      </c>
      <c r="C176" s="689">
        <f ca="1">IF(OR($A$2=1,MAX($C$151:C175)&gt;=110),"",C175+(B176-B175))</f>
        <v>58</v>
      </c>
      <c r="D176" s="1119">
        <f t="shared" ca="1" si="31"/>
        <v>10676</v>
      </c>
      <c r="E176" s="1119"/>
      <c r="F176" s="1119">
        <f t="shared" ca="1" si="32"/>
        <v>228580</v>
      </c>
      <c r="G176" s="1119"/>
      <c r="H176" s="1119" t="str">
        <f t="shared" ca="1" si="33"/>
        <v/>
      </c>
      <c r="I176" s="1119"/>
      <c r="J176" s="1119">
        <f t="shared" ca="1" si="34"/>
        <v>8012</v>
      </c>
      <c r="K176" s="1119"/>
      <c r="L176" s="1119">
        <f t="shared" ca="1" si="35"/>
        <v>35621</v>
      </c>
      <c r="M176" s="1119"/>
      <c r="N176" s="1119">
        <f t="shared" ca="1" si="36"/>
        <v>35621</v>
      </c>
      <c r="O176" s="1119"/>
      <c r="P176" s="1119">
        <f t="shared" ca="1" si="37"/>
        <v>1775807</v>
      </c>
      <c r="Q176" s="1119"/>
      <c r="R176" s="1119"/>
      <c r="S176" s="1119">
        <f t="shared" ca="1" si="38"/>
        <v>1775807</v>
      </c>
      <c r="T176" s="1119"/>
      <c r="U176" s="1119"/>
      <c r="V176" s="704"/>
      <c r="W176" s="859">
        <f t="shared" ca="1" si="40"/>
        <v>26</v>
      </c>
      <c r="X176" s="860">
        <f t="shared" ca="1" si="39"/>
        <v>1511606</v>
      </c>
      <c r="Y176" s="861">
        <f ca="1">IF($B176="","",VLOOKUP(OP!$C$55,PVFB,$B176+2,0))</f>
        <v>44459</v>
      </c>
    </row>
    <row r="177" spans="1:25" ht="12" customHeight="1">
      <c r="A177" s="8"/>
      <c r="B177" s="693">
        <f t="shared" ca="1" si="41"/>
        <v>27</v>
      </c>
      <c r="C177" s="689">
        <f ca="1">IF(OR($A$2=1,MAX($C$151:C176)&gt;=110),"",C176+(B177-B176))</f>
        <v>59</v>
      </c>
      <c r="D177" s="1119">
        <f t="shared" ca="1" si="31"/>
        <v>10890</v>
      </c>
      <c r="E177" s="1119"/>
      <c r="F177" s="1119">
        <f t="shared" ca="1" si="32"/>
        <v>245712</v>
      </c>
      <c r="G177" s="1119"/>
      <c r="H177" s="1119" t="str">
        <f t="shared" ca="1" si="33"/>
        <v/>
      </c>
      <c r="I177" s="1119"/>
      <c r="J177" s="1119">
        <f t="shared" ca="1" si="34"/>
        <v>8012</v>
      </c>
      <c r="K177" s="1119"/>
      <c r="L177" s="1119">
        <f t="shared" ca="1" si="35"/>
        <v>36333</v>
      </c>
      <c r="M177" s="1119"/>
      <c r="N177" s="1119">
        <f t="shared" ca="1" si="36"/>
        <v>36333</v>
      </c>
      <c r="O177" s="1119"/>
      <c r="P177" s="1119">
        <f t="shared" ca="1" si="37"/>
        <v>1823877</v>
      </c>
      <c r="Q177" s="1119"/>
      <c r="R177" s="1119"/>
      <c r="S177" s="1119">
        <f t="shared" ca="1" si="38"/>
        <v>1823877</v>
      </c>
      <c r="T177" s="1119"/>
      <c r="U177" s="1119"/>
      <c r="V177" s="704"/>
      <c r="W177" s="859">
        <f t="shared" ca="1" si="40"/>
        <v>27</v>
      </c>
      <c r="X177" s="860">
        <f t="shared" ca="1" si="39"/>
        <v>1541832</v>
      </c>
      <c r="Y177" s="861">
        <f ca="1">IF($B177="","",VLOOKUP(OP!$C$55,PVFB,$B177+2,0))</f>
        <v>45348</v>
      </c>
    </row>
    <row r="178" spans="1:25" ht="12" customHeight="1">
      <c r="A178" s="8"/>
      <c r="B178" s="693">
        <f t="shared" ca="1" si="41"/>
        <v>28</v>
      </c>
      <c r="C178" s="689">
        <f ca="1">IF(OR($A$2=1,MAX($C$151:C177)&gt;=110),"",C177+(B178-B177))</f>
        <v>60</v>
      </c>
      <c r="D178" s="1119">
        <f t="shared" ca="1" si="31"/>
        <v>11107</v>
      </c>
      <c r="E178" s="1119"/>
      <c r="F178" s="1119">
        <f t="shared" ca="1" si="32"/>
        <v>263511</v>
      </c>
      <c r="G178" s="1119"/>
      <c r="H178" s="1119" t="str">
        <f t="shared" ca="1" si="33"/>
        <v/>
      </c>
      <c r="I178" s="1119"/>
      <c r="J178" s="1119">
        <f t="shared" ca="1" si="34"/>
        <v>8012</v>
      </c>
      <c r="K178" s="1119"/>
      <c r="L178" s="1119">
        <f t="shared" ca="1" si="35"/>
        <v>37060</v>
      </c>
      <c r="M178" s="1119"/>
      <c r="N178" s="1119">
        <f t="shared" ca="1" si="36"/>
        <v>37060</v>
      </c>
      <c r="O178" s="1119"/>
      <c r="P178" s="1119">
        <f t="shared" ca="1" si="37"/>
        <v>1873241</v>
      </c>
      <c r="Q178" s="1119"/>
      <c r="R178" s="1119"/>
      <c r="S178" s="1119">
        <f t="shared" ca="1" si="38"/>
        <v>1873241</v>
      </c>
      <c r="T178" s="1119"/>
      <c r="U178" s="1119"/>
      <c r="V178" s="704"/>
      <c r="W178" s="859">
        <f t="shared" ca="1" si="40"/>
        <v>28</v>
      </c>
      <c r="X178" s="860">
        <f t="shared" ca="1" si="39"/>
        <v>1572670</v>
      </c>
      <c r="Y178" s="861">
        <f ca="1">IF($B178="","",VLOOKUP(OP!$C$55,PVFB,$B178+2,0))</f>
        <v>46255</v>
      </c>
    </row>
    <row r="179" spans="1:25" ht="12" customHeight="1">
      <c r="A179" s="8"/>
      <c r="B179" s="693">
        <f t="shared" ca="1" si="41"/>
        <v>29</v>
      </c>
      <c r="C179" s="689">
        <f ca="1">IF(OR($A$2=1,MAX($C$151:C178)&gt;=110),"",C178+(B179-B178))</f>
        <v>61</v>
      </c>
      <c r="D179" s="1119">
        <f t="shared" ca="1" si="31"/>
        <v>11329</v>
      </c>
      <c r="E179" s="1119"/>
      <c r="F179" s="1119">
        <f t="shared" ca="1" si="32"/>
        <v>282017</v>
      </c>
      <c r="G179" s="1119"/>
      <c r="H179" s="1119" t="str">
        <f t="shared" ca="1" si="33"/>
        <v/>
      </c>
      <c r="I179" s="1119"/>
      <c r="J179" s="1119">
        <f t="shared" ca="1" si="34"/>
        <v>8012</v>
      </c>
      <c r="K179" s="1119"/>
      <c r="L179" s="1119">
        <f t="shared" ca="1" si="35"/>
        <v>37801</v>
      </c>
      <c r="M179" s="1119"/>
      <c r="N179" s="1119">
        <f t="shared" ca="1" si="36"/>
        <v>37801</v>
      </c>
      <c r="O179" s="1119"/>
      <c r="P179" s="1119">
        <f t="shared" ca="1" si="37"/>
        <v>1923938</v>
      </c>
      <c r="Q179" s="1119"/>
      <c r="R179" s="1119"/>
      <c r="S179" s="1119">
        <f t="shared" ca="1" si="38"/>
        <v>1923938</v>
      </c>
      <c r="T179" s="1119"/>
      <c r="U179" s="1119"/>
      <c r="V179" s="704"/>
      <c r="W179" s="859">
        <f t="shared" ca="1" si="40"/>
        <v>29</v>
      </c>
      <c r="X179" s="860">
        <f t="shared" ca="1" si="39"/>
        <v>1604120</v>
      </c>
      <c r="Y179" s="861">
        <f ca="1">IF($B179="","",VLOOKUP(OP!$C$55,PVFB,$B179+2,0))</f>
        <v>47180</v>
      </c>
    </row>
    <row r="180" spans="1:25" ht="12" customHeight="1">
      <c r="A180" s="8"/>
      <c r="B180" s="693">
        <f t="shared" ca="1" si="41"/>
        <v>30</v>
      </c>
      <c r="C180" s="689">
        <f ca="1">IF(OR($A$2=1,MAX($C$151:C179)&gt;=110),"",C179+(B180-B179))</f>
        <v>62</v>
      </c>
      <c r="D180" s="1119">
        <f t="shared" ca="1" si="31"/>
        <v>11556</v>
      </c>
      <c r="E180" s="1119"/>
      <c r="F180" s="1119">
        <f t="shared" ca="1" si="32"/>
        <v>301253</v>
      </c>
      <c r="G180" s="1119"/>
      <c r="H180" s="1119" t="str">
        <f t="shared" ca="1" si="33"/>
        <v/>
      </c>
      <c r="I180" s="1119"/>
      <c r="J180" s="1119">
        <f t="shared" ca="1" si="34"/>
        <v>8012</v>
      </c>
      <c r="K180" s="1119"/>
      <c r="L180" s="1119">
        <f t="shared" ca="1" si="35"/>
        <v>38557</v>
      </c>
      <c r="M180" s="1119"/>
      <c r="N180" s="1119">
        <f t="shared" ca="1" si="36"/>
        <v>38557</v>
      </c>
      <c r="O180" s="1119"/>
      <c r="P180" s="1119">
        <f t="shared" ca="1" si="37"/>
        <v>1976026</v>
      </c>
      <c r="Q180" s="1119"/>
      <c r="R180" s="1119"/>
      <c r="S180" s="1119">
        <f t="shared" ca="1" si="38"/>
        <v>1976026</v>
      </c>
      <c r="T180" s="1119"/>
      <c r="U180" s="1119"/>
      <c r="V180" s="704"/>
      <c r="W180" s="859">
        <f t="shared" ca="1" si="40"/>
        <v>30</v>
      </c>
      <c r="X180" s="860">
        <f t="shared" ca="1" si="39"/>
        <v>1636216</v>
      </c>
      <c r="Y180" s="861">
        <f ca="1">IF($B180="","",VLOOKUP(OP!$C$55,PVFB,$B180+2,0))</f>
        <v>48124</v>
      </c>
    </row>
    <row r="181" spans="1:25" ht="12" customHeight="1">
      <c r="A181" s="8"/>
      <c r="B181" s="693">
        <f ca="1">IF(OR(C180&gt;=110,C180=""),"",IF(C180+1&gt;110,111-$C$18,B180+1))</f>
        <v>31</v>
      </c>
      <c r="C181" s="689">
        <f ca="1">IF(OR($A$2=1,MAX($C$151:C180)&gt;=110),"",C180+(B181-B180))</f>
        <v>63</v>
      </c>
      <c r="D181" s="1119">
        <f t="shared" ca="1" si="31"/>
        <v>11787</v>
      </c>
      <c r="E181" s="1119"/>
      <c r="F181" s="1119">
        <f t="shared" ca="1" si="32"/>
        <v>321267</v>
      </c>
      <c r="G181" s="1119"/>
      <c r="H181" s="1119" t="str">
        <f t="shared" ca="1" si="33"/>
        <v/>
      </c>
      <c r="I181" s="1119"/>
      <c r="J181" s="1119">
        <f t="shared" ca="1" si="34"/>
        <v>8012</v>
      </c>
      <c r="K181" s="1119"/>
      <c r="L181" s="1119">
        <f t="shared" ca="1" si="35"/>
        <v>39328</v>
      </c>
      <c r="M181" s="1119"/>
      <c r="N181" s="1119">
        <f t="shared" ca="1" si="36"/>
        <v>39328</v>
      </c>
      <c r="O181" s="1119"/>
      <c r="P181" s="1119">
        <f t="shared" ca="1" si="37"/>
        <v>2029519</v>
      </c>
      <c r="Q181" s="1119"/>
      <c r="R181" s="1119"/>
      <c r="S181" s="1119">
        <f t="shared" ca="1" si="38"/>
        <v>2029519</v>
      </c>
      <c r="T181" s="1119"/>
      <c r="U181" s="1119"/>
      <c r="V181" s="704"/>
      <c r="W181" s="859">
        <f t="shared" ca="1" si="40"/>
        <v>31</v>
      </c>
      <c r="X181" s="860">
        <f t="shared" ca="1" si="39"/>
        <v>1668924</v>
      </c>
      <c r="Y181" s="861">
        <f ca="1">IF($B181="","",VLOOKUP(OP!$C$55,PVFB,$B181+2,0))</f>
        <v>49086</v>
      </c>
    </row>
    <row r="182" spans="1:25" ht="12" customHeight="1">
      <c r="A182" s="8"/>
      <c r="B182" s="693">
        <f ca="1">IF(OR(C181&gt;=110,C181=""),"",IF(C181+1&gt;110,111-$C$18,B181+1))</f>
        <v>32</v>
      </c>
      <c r="C182" s="689">
        <f ca="1">IF(OR($A$2=1,MAX($C$151:C181)&gt;=110),"",C181+(B182-B181))</f>
        <v>64</v>
      </c>
      <c r="D182" s="1119">
        <f t="shared" ca="1" si="31"/>
        <v>12023</v>
      </c>
      <c r="E182" s="1119"/>
      <c r="F182" s="1119">
        <f t="shared" ca="1" si="32"/>
        <v>342039</v>
      </c>
      <c r="G182" s="1119"/>
      <c r="H182" s="1119" t="str">
        <f t="shared" ca="1" si="33"/>
        <v/>
      </c>
      <c r="I182" s="1119"/>
      <c r="J182" s="1119">
        <f t="shared" ca="1" si="34"/>
        <v>8012</v>
      </c>
      <c r="K182" s="1119"/>
      <c r="L182" s="1119">
        <f t="shared" ca="1" si="35"/>
        <v>40114</v>
      </c>
      <c r="M182" s="1119"/>
      <c r="N182" s="1119">
        <f t="shared" ca="1" si="36"/>
        <v>40114</v>
      </c>
      <c r="O182" s="1119"/>
      <c r="P182" s="1119">
        <f t="shared" ca="1" si="37"/>
        <v>2084465</v>
      </c>
      <c r="Q182" s="1119"/>
      <c r="R182" s="1119"/>
      <c r="S182" s="1119">
        <f t="shared" ca="1" si="38"/>
        <v>2084465</v>
      </c>
      <c r="T182" s="1119"/>
      <c r="U182" s="1119"/>
      <c r="V182" s="704"/>
      <c r="W182" s="859">
        <f t="shared" ca="1" si="40"/>
        <v>32</v>
      </c>
      <c r="X182" s="860">
        <f t="shared" ca="1" si="39"/>
        <v>1702312</v>
      </c>
      <c r="Y182" s="861">
        <f ca="1">IF($B182="","",VLOOKUP(OP!$C$55,PVFB,$B182+2,0))</f>
        <v>50068</v>
      </c>
    </row>
    <row r="183" spans="1:25" ht="12" customHeight="1">
      <c r="A183" s="8"/>
      <c r="B183" s="693">
        <f ca="1">IF(OR(C182&gt;=110,C182=""),"",IF(C182+1&gt;110,111-$C$18,B182+1))</f>
        <v>33</v>
      </c>
      <c r="C183" s="689">
        <f ca="1">IF(OR($A$2=1,MAX($C$151:C182)&gt;=110),"",C182+(B183-B182))</f>
        <v>65</v>
      </c>
      <c r="D183" s="1119">
        <f t="shared" ref="D183:D210" ca="1" si="42">IF(OR($A$2=1,$B183="",VLOOKUP($B183,TOV,10,0)=0),"",VLOOKUP($B183,TOV,10,0))</f>
        <v>12263</v>
      </c>
      <c r="E183" s="1119"/>
      <c r="F183" s="1119">
        <f t="shared" ref="F183:F210" ca="1" si="43">IF(OR($A$2=1,$B183="",VLOOKUP($B183,TOV,11,0)=0),"",VLOOKUP($B183,TOV,11,0))</f>
        <v>363617</v>
      </c>
      <c r="G183" s="1119"/>
      <c r="H183" s="1119" t="str">
        <f t="shared" ref="H183:H210" ca="1" si="44">IF(OR($A$2=1,$B183="",VLOOKUP($B183,TOV,12,0)=0),"",VLOOKUP($B183,TOV,12,0))</f>
        <v/>
      </c>
      <c r="I183" s="1119"/>
      <c r="J183" s="1119">
        <f t="shared" ref="J183:J210" ca="1" si="45">IF(OR($A$2=1,$B183="",VLOOKUP($B183,TOV,13,0)=0),"",VLOOKUP($B183,TOV,13,0))</f>
        <v>8012</v>
      </c>
      <c r="K183" s="1119"/>
      <c r="L183" s="1119">
        <f t="shared" ref="L183:L210" ca="1" si="46">IF(OR($A$2=1,$B183="",VLOOKUP($B183,TOV,16,0)=0),"",VLOOKUP($B183,TOV,16,0))</f>
        <v>40916</v>
      </c>
      <c r="M183" s="1119"/>
      <c r="N183" s="1119">
        <f t="shared" ref="N183:N210" ca="1" si="47">IF(OR($A$2=1,$B183="",VLOOKUP($B183,TOV,17,0)=0),"",VLOOKUP($B183,TOV,17,0))</f>
        <v>40916</v>
      </c>
      <c r="O183" s="1119"/>
      <c r="P183" s="1119">
        <f t="shared" ref="P183:P210" ca="1" si="48">IF(OR($A$2=1,$B183="",VLOOKUP($B183,TOV,20,0)=0),"",VLOOKUP($B183,TOV,20,0))</f>
        <v>2140879</v>
      </c>
      <c r="Q183" s="1119"/>
      <c r="R183" s="1119"/>
      <c r="S183" s="1119">
        <f t="shared" ref="S183:S210" ca="1" si="49">IF(OR($A$2=1,$B183="",VLOOKUP($B183,TOV,21,0)=0),"",VLOOKUP($B183,TOV,21,0))</f>
        <v>2140879</v>
      </c>
      <c r="T183" s="1119"/>
      <c r="U183" s="1119"/>
      <c r="V183" s="704"/>
      <c r="W183" s="859">
        <f t="shared" ca="1" si="40"/>
        <v>33</v>
      </c>
      <c r="X183" s="860">
        <f t="shared" ca="1" si="39"/>
        <v>1736346</v>
      </c>
      <c r="Y183" s="861">
        <f ca="1">IF($B183="","",VLOOKUP(OP!$C$55,PVFB,$B183+2,0))</f>
        <v>51069</v>
      </c>
    </row>
    <row r="184" spans="1:25" ht="12" customHeight="1">
      <c r="A184" s="8"/>
      <c r="B184" s="693">
        <f ca="1">IF(OR(C183&gt;=110,C183=""),"",IF(C183+1&gt;110,111-$C$18,B183+1))</f>
        <v>34</v>
      </c>
      <c r="C184" s="689">
        <f ca="1">IF(OR($A$2=1,MAX($C$151:C183)&gt;=110),"",C183+(B184-B183))</f>
        <v>66</v>
      </c>
      <c r="D184" s="1119">
        <f t="shared" ca="1" si="42"/>
        <v>12509</v>
      </c>
      <c r="E184" s="1119"/>
      <c r="F184" s="1119">
        <f t="shared" ca="1" si="43"/>
        <v>386029</v>
      </c>
      <c r="G184" s="1119"/>
      <c r="H184" s="1119" t="str">
        <f t="shared" ca="1" si="44"/>
        <v/>
      </c>
      <c r="I184" s="1119"/>
      <c r="J184" s="1119">
        <f t="shared" ca="1" si="45"/>
        <v>8012</v>
      </c>
      <c r="K184" s="1119"/>
      <c r="L184" s="1119">
        <f t="shared" ca="1" si="46"/>
        <v>41735</v>
      </c>
      <c r="M184" s="1119"/>
      <c r="N184" s="1119">
        <f t="shared" ca="1" si="47"/>
        <v>41735</v>
      </c>
      <c r="O184" s="1119"/>
      <c r="P184" s="1119">
        <f t="shared" ca="1" si="48"/>
        <v>2198858</v>
      </c>
      <c r="Q184" s="1119"/>
      <c r="R184" s="1119"/>
      <c r="S184" s="1119">
        <f t="shared" ca="1" si="49"/>
        <v>2198858</v>
      </c>
      <c r="T184" s="1119"/>
      <c r="U184" s="1119"/>
      <c r="V184" s="704"/>
      <c r="W184" s="859">
        <f t="shared" ca="1" si="40"/>
        <v>34</v>
      </c>
      <c r="X184" s="860">
        <f t="shared" ca="1" si="39"/>
        <v>1771094</v>
      </c>
      <c r="Y184" s="861">
        <f ca="1">IF($B184="","",VLOOKUP(OP!$C$55,PVFB,$B184+2,0))</f>
        <v>52091</v>
      </c>
    </row>
    <row r="185" spans="1:25" ht="12" customHeight="1">
      <c r="A185" s="8"/>
      <c r="B185" s="693">
        <f ca="1">IF(OR(C184&gt;=110,C184=""),"",IF(C184+1&gt;110,111-$C$18,B184+1))</f>
        <v>35</v>
      </c>
      <c r="C185" s="689">
        <f ca="1">IF(OR($A$2=1,MAX($C$151:C184)&gt;=110),"",C184+(B185-B184))</f>
        <v>67</v>
      </c>
      <c r="D185" s="1119">
        <f t="shared" ca="1" si="42"/>
        <v>12759</v>
      </c>
      <c r="E185" s="1119"/>
      <c r="F185" s="1119">
        <f t="shared" ca="1" si="43"/>
        <v>409330</v>
      </c>
      <c r="G185" s="1119"/>
      <c r="H185" s="1119" t="str">
        <f t="shared" ca="1" si="44"/>
        <v/>
      </c>
      <c r="I185" s="1119"/>
      <c r="J185" s="1119">
        <f t="shared" ca="1" si="45"/>
        <v>8012</v>
      </c>
      <c r="K185" s="1119"/>
      <c r="L185" s="1119">
        <f t="shared" ca="1" si="46"/>
        <v>42570</v>
      </c>
      <c r="M185" s="1119"/>
      <c r="N185" s="1119">
        <f t="shared" ca="1" si="47"/>
        <v>42570</v>
      </c>
      <c r="O185" s="1119"/>
      <c r="P185" s="1119">
        <f t="shared" ca="1" si="48"/>
        <v>2258422</v>
      </c>
      <c r="Q185" s="1119"/>
      <c r="R185" s="1119"/>
      <c r="S185" s="1119">
        <f t="shared" ca="1" si="49"/>
        <v>2258422</v>
      </c>
      <c r="T185" s="1119"/>
      <c r="U185" s="1119"/>
      <c r="V185" s="704"/>
      <c r="W185" s="859">
        <f t="shared" ca="1" si="40"/>
        <v>35</v>
      </c>
      <c r="X185" s="860">
        <f t="shared" ca="1" si="39"/>
        <v>1806522</v>
      </c>
      <c r="Y185" s="861">
        <f ca="1">IF($B185="","",VLOOKUP(OP!$C$55,PVFB,$B185+2,0))</f>
        <v>53133</v>
      </c>
    </row>
    <row r="186" spans="1:25" ht="12" customHeight="1">
      <c r="A186" s="8"/>
      <c r="B186" s="693">
        <f t="shared" ref="B186:B198" ca="1" si="50">IF(OR(C185&gt;=110,C185=""),"",IF(C185+1&gt;110,111-$C$18,B185+1))</f>
        <v>36</v>
      </c>
      <c r="C186" s="689">
        <f ca="1">IF(OR($A$2=1,MAX($C$151:C185)&gt;=110),"",C185+(B186-B185))</f>
        <v>68</v>
      </c>
      <c r="D186" s="1119">
        <f t="shared" ca="1" si="42"/>
        <v>13014</v>
      </c>
      <c r="E186" s="1119"/>
      <c r="F186" s="1119">
        <f t="shared" ca="1" si="43"/>
        <v>433492</v>
      </c>
      <c r="G186" s="1119"/>
      <c r="H186" s="1119" t="str">
        <f t="shared" ca="1" si="44"/>
        <v/>
      </c>
      <c r="I186" s="1119"/>
      <c r="J186" s="1119">
        <f t="shared" ca="1" si="45"/>
        <v>8012</v>
      </c>
      <c r="K186" s="1119"/>
      <c r="L186" s="1119">
        <f t="shared" ca="1" si="46"/>
        <v>43421</v>
      </c>
      <c r="M186" s="1119"/>
      <c r="N186" s="1119">
        <f t="shared" ca="1" si="47"/>
        <v>43421</v>
      </c>
      <c r="O186" s="1119"/>
      <c r="P186" s="1119">
        <f t="shared" ca="1" si="48"/>
        <v>2319543</v>
      </c>
      <c r="Q186" s="1119"/>
      <c r="R186" s="1119"/>
      <c r="S186" s="1119">
        <f t="shared" ca="1" si="49"/>
        <v>2319543</v>
      </c>
      <c r="T186" s="1119"/>
      <c r="U186" s="1119"/>
      <c r="V186" s="704"/>
      <c r="W186" s="859">
        <f t="shared" ca="1" si="40"/>
        <v>36</v>
      </c>
      <c r="X186" s="860">
        <f t="shared" ca="1" si="39"/>
        <v>1842630</v>
      </c>
      <c r="Y186" s="861">
        <f ca="1">IF($B186="","",VLOOKUP(OP!$C$55,PVFB,$B186+2,0))</f>
        <v>54195</v>
      </c>
    </row>
    <row r="187" spans="1:25" ht="12" customHeight="1">
      <c r="A187" s="8"/>
      <c r="B187" s="693">
        <f t="shared" ca="1" si="50"/>
        <v>37</v>
      </c>
      <c r="C187" s="689">
        <f ca="1">IF(OR($A$2=1,MAX($C$151:C186)&gt;=110),"",C186+(B187-B186))</f>
        <v>69</v>
      </c>
      <c r="D187" s="1119">
        <f t="shared" ca="1" si="42"/>
        <v>13274</v>
      </c>
      <c r="E187" s="1119"/>
      <c r="F187" s="1119">
        <f t="shared" ca="1" si="43"/>
        <v>458572</v>
      </c>
      <c r="G187" s="1119"/>
      <c r="H187" s="1119" t="str">
        <f t="shared" ca="1" si="44"/>
        <v/>
      </c>
      <c r="I187" s="1119"/>
      <c r="J187" s="1119">
        <f t="shared" ca="1" si="45"/>
        <v>8012</v>
      </c>
      <c r="K187" s="1119"/>
      <c r="L187" s="1119">
        <f t="shared" ca="1" si="46"/>
        <v>44290</v>
      </c>
      <c r="M187" s="1119"/>
      <c r="N187" s="1119">
        <f t="shared" ca="1" si="47"/>
        <v>44290</v>
      </c>
      <c r="O187" s="1119"/>
      <c r="P187" s="1119">
        <f t="shared" ca="1" si="48"/>
        <v>2382348</v>
      </c>
      <c r="Q187" s="1119"/>
      <c r="R187" s="1119"/>
      <c r="S187" s="1119">
        <f t="shared" ca="1" si="49"/>
        <v>2382348</v>
      </c>
      <c r="T187" s="1119"/>
      <c r="U187" s="1119"/>
      <c r="V187" s="704"/>
      <c r="W187" s="859">
        <f t="shared" ca="1" si="40"/>
        <v>37</v>
      </c>
      <c r="X187" s="860">
        <f t="shared" ca="1" si="39"/>
        <v>1879486</v>
      </c>
      <c r="Y187" s="861">
        <f ca="1">IF($B187="","",VLOOKUP(OP!$C$55,PVFB,$B187+2,0))</f>
        <v>55279</v>
      </c>
    </row>
    <row r="188" spans="1:25" ht="12" customHeight="1">
      <c r="A188" s="8"/>
      <c r="B188" s="693">
        <f t="shared" ca="1" si="50"/>
        <v>38</v>
      </c>
      <c r="C188" s="689">
        <f ca="1">IF(OR($A$2=1,MAX($C$151:C187)&gt;=110),"",C187+(B188-B187))</f>
        <v>70</v>
      </c>
      <c r="D188" s="1119">
        <f t="shared" ca="1" si="42"/>
        <v>13540</v>
      </c>
      <c r="E188" s="1119"/>
      <c r="F188" s="1119">
        <f t="shared" ca="1" si="43"/>
        <v>484601</v>
      </c>
      <c r="G188" s="1119"/>
      <c r="H188" s="1119" t="str">
        <f t="shared" ca="1" si="44"/>
        <v/>
      </c>
      <c r="I188" s="1119"/>
      <c r="J188" s="1119">
        <f t="shared" ca="1" si="45"/>
        <v>8012</v>
      </c>
      <c r="K188" s="1119"/>
      <c r="L188" s="1119">
        <f t="shared" ca="1" si="46"/>
        <v>45176</v>
      </c>
      <c r="M188" s="1119"/>
      <c r="N188" s="1119">
        <f t="shared" ca="1" si="47"/>
        <v>45176</v>
      </c>
      <c r="O188" s="1119"/>
      <c r="P188" s="1119">
        <f t="shared" ca="1" si="48"/>
        <v>2446867</v>
      </c>
      <c r="Q188" s="1119"/>
      <c r="R188" s="1119"/>
      <c r="S188" s="1119">
        <f t="shared" ca="1" si="49"/>
        <v>2446867</v>
      </c>
      <c r="T188" s="1119"/>
      <c r="U188" s="1119"/>
      <c r="V188" s="704"/>
      <c r="W188" s="859">
        <f t="shared" ca="1" si="40"/>
        <v>38</v>
      </c>
      <c r="X188" s="860">
        <f t="shared" ca="1" si="39"/>
        <v>1917090</v>
      </c>
      <c r="Y188" s="861">
        <f ca="1">IF($B188="","",VLOOKUP(OP!$C$55,PVFB,$B188+2,0))</f>
        <v>56385</v>
      </c>
    </row>
    <row r="189" spans="1:25" ht="12" customHeight="1">
      <c r="A189" s="8"/>
      <c r="B189" s="693">
        <f t="shared" ca="1" si="50"/>
        <v>39</v>
      </c>
      <c r="C189" s="689">
        <f ca="1">IF(OR($A$2=1,MAX($C$151:C188)&gt;=110),"",C188+(B189-B188))</f>
        <v>71</v>
      </c>
      <c r="D189" s="1119">
        <f t="shared" ca="1" si="42"/>
        <v>13810</v>
      </c>
      <c r="E189" s="1119"/>
      <c r="F189" s="1119">
        <f t="shared" ca="1" si="43"/>
        <v>511645</v>
      </c>
      <c r="G189" s="1119"/>
      <c r="H189" s="1119" t="str">
        <f t="shared" ca="1" si="44"/>
        <v/>
      </c>
      <c r="I189" s="1119"/>
      <c r="J189" s="1119">
        <f t="shared" ca="1" si="45"/>
        <v>8012</v>
      </c>
      <c r="K189" s="1119"/>
      <c r="L189" s="1119">
        <f t="shared" ca="1" si="46"/>
        <v>46079</v>
      </c>
      <c r="M189" s="1119"/>
      <c r="N189" s="1119">
        <f t="shared" ca="1" si="47"/>
        <v>46079</v>
      </c>
      <c r="O189" s="1119"/>
      <c r="P189" s="1119">
        <f t="shared" ca="1" si="48"/>
        <v>2513132</v>
      </c>
      <c r="Q189" s="1119"/>
      <c r="R189" s="1119"/>
      <c r="S189" s="1119">
        <f t="shared" ca="1" si="49"/>
        <v>2513132</v>
      </c>
      <c r="T189" s="1119"/>
      <c r="U189" s="1119"/>
      <c r="V189" s="704"/>
      <c r="W189" s="859">
        <f t="shared" ca="1" si="40"/>
        <v>39</v>
      </c>
      <c r="X189" s="860">
        <f t="shared" ca="1" si="39"/>
        <v>1955408</v>
      </c>
      <c r="Y189" s="861">
        <f ca="1">IF($B189="","",VLOOKUP(OP!$C$55,PVFB,$B189+2,0))</f>
        <v>57512</v>
      </c>
    </row>
    <row r="190" spans="1:25" ht="12" customHeight="1">
      <c r="A190" s="8"/>
      <c r="B190" s="693">
        <f t="shared" ca="1" si="50"/>
        <v>40</v>
      </c>
      <c r="C190" s="689">
        <f ca="1">IF(OR($A$2=1,MAX($C$151:C189)&gt;=110),"",C189+(B190-B189))</f>
        <v>72</v>
      </c>
      <c r="D190" s="1119">
        <f t="shared" ca="1" si="42"/>
        <v>14086</v>
      </c>
      <c r="E190" s="1119"/>
      <c r="F190" s="1119">
        <f t="shared" ca="1" si="43"/>
        <v>539665</v>
      </c>
      <c r="G190" s="1119"/>
      <c r="H190" s="1119" t="str">
        <f t="shared" ca="1" si="44"/>
        <v/>
      </c>
      <c r="I190" s="1119"/>
      <c r="J190" s="1119">
        <f t="shared" ca="1" si="45"/>
        <v>8012</v>
      </c>
      <c r="K190" s="1119"/>
      <c r="L190" s="1119">
        <f t="shared" ca="1" si="46"/>
        <v>47000</v>
      </c>
      <c r="M190" s="1119"/>
      <c r="N190" s="1119">
        <f t="shared" ca="1" si="47"/>
        <v>47000</v>
      </c>
      <c r="O190" s="1119"/>
      <c r="P190" s="1119">
        <f t="shared" ca="1" si="48"/>
        <v>2581173</v>
      </c>
      <c r="Q190" s="1119"/>
      <c r="R190" s="1119"/>
      <c r="S190" s="1119">
        <f t="shared" ca="1" si="49"/>
        <v>2581173</v>
      </c>
      <c r="T190" s="1119"/>
      <c r="U190" s="1119"/>
      <c r="V190" s="704"/>
      <c r="W190" s="859">
        <f t="shared" ca="1" si="40"/>
        <v>40</v>
      </c>
      <c r="X190" s="860">
        <f t="shared" ca="1" si="39"/>
        <v>1994508</v>
      </c>
      <c r="Y190" s="861">
        <f ca="1">IF($B190="","",VLOOKUP(OP!$C$55,PVFB,$B190+2,0))</f>
        <v>58662</v>
      </c>
    </row>
    <row r="191" spans="1:25" ht="12" customHeight="1">
      <c r="A191" s="8"/>
      <c r="B191" s="693">
        <f t="shared" ca="1" si="50"/>
        <v>41</v>
      </c>
      <c r="C191" s="689">
        <f ca="1">IF(OR($A$2=1,MAX($C$151:C190)&gt;=110),"",C190+(B191-B190))</f>
        <v>73</v>
      </c>
      <c r="D191" s="1119">
        <f t="shared" ca="1" si="42"/>
        <v>14368</v>
      </c>
      <c r="E191" s="1119"/>
      <c r="F191" s="1119">
        <f t="shared" ca="1" si="43"/>
        <v>568730</v>
      </c>
      <c r="G191" s="1119"/>
      <c r="H191" s="1119" t="str">
        <f t="shared" ca="1" si="44"/>
        <v/>
      </c>
      <c r="I191" s="1119"/>
      <c r="J191" s="1119">
        <f t="shared" ca="1" si="45"/>
        <v>8012</v>
      </c>
      <c r="K191" s="1119"/>
      <c r="L191" s="1119">
        <f t="shared" ca="1" si="46"/>
        <v>47940</v>
      </c>
      <c r="M191" s="1119"/>
      <c r="N191" s="1119">
        <f t="shared" ca="1" si="47"/>
        <v>47940</v>
      </c>
      <c r="O191" s="1119"/>
      <c r="P191" s="1119">
        <f t="shared" ca="1" si="48"/>
        <v>2651060</v>
      </c>
      <c r="Q191" s="1119"/>
      <c r="R191" s="1119"/>
      <c r="S191" s="1119">
        <f t="shared" ca="1" si="49"/>
        <v>2651060</v>
      </c>
      <c r="T191" s="1119"/>
      <c r="U191" s="1119"/>
      <c r="V191" s="704"/>
      <c r="W191" s="859">
        <f t="shared" ca="1" si="40"/>
        <v>41</v>
      </c>
      <c r="X191" s="860">
        <f t="shared" ca="1" si="39"/>
        <v>2034390</v>
      </c>
      <c r="Y191" s="861">
        <f ca="1">IF($B191="","",VLOOKUP(OP!$C$55,PVFB,$B191+2,0))</f>
        <v>59835</v>
      </c>
    </row>
    <row r="192" spans="1:25" ht="12" customHeight="1">
      <c r="A192" s="8"/>
      <c r="B192" s="693">
        <f t="shared" ca="1" si="50"/>
        <v>42</v>
      </c>
      <c r="C192" s="689">
        <f ca="1">IF(OR($A$2=1,MAX($C$151:C191)&gt;=110),"",C191+(B192-B191))</f>
        <v>74</v>
      </c>
      <c r="D192" s="1119">
        <f t="shared" ca="1" si="42"/>
        <v>14655</v>
      </c>
      <c r="E192" s="1119"/>
      <c r="F192" s="1119">
        <f t="shared" ca="1" si="43"/>
        <v>598874</v>
      </c>
      <c r="G192" s="1119"/>
      <c r="H192" s="1119" t="str">
        <f t="shared" ca="1" si="44"/>
        <v/>
      </c>
      <c r="I192" s="1119"/>
      <c r="J192" s="1119">
        <f t="shared" ca="1" si="45"/>
        <v>8012</v>
      </c>
      <c r="K192" s="1119"/>
      <c r="L192" s="1119">
        <f t="shared" ca="1" si="46"/>
        <v>48899</v>
      </c>
      <c r="M192" s="1119"/>
      <c r="N192" s="1119">
        <f t="shared" ca="1" si="47"/>
        <v>48899</v>
      </c>
      <c r="O192" s="1119"/>
      <c r="P192" s="1119">
        <f t="shared" ca="1" si="48"/>
        <v>2722861</v>
      </c>
      <c r="Q192" s="1119"/>
      <c r="R192" s="1119"/>
      <c r="S192" s="1119">
        <f t="shared" ca="1" si="49"/>
        <v>2722861</v>
      </c>
      <c r="T192" s="1119"/>
      <c r="U192" s="1119"/>
      <c r="V192" s="704"/>
      <c r="W192" s="859">
        <f t="shared" ca="1" si="40"/>
        <v>42</v>
      </c>
      <c r="X192" s="860">
        <f t="shared" ca="1" si="39"/>
        <v>2075088</v>
      </c>
      <c r="Y192" s="861">
        <f ca="1">IF($B192="","",VLOOKUP(OP!$C$55,PVFB,$B192+2,0))</f>
        <v>61032</v>
      </c>
    </row>
    <row r="193" spans="1:25" ht="12" customHeight="1">
      <c r="A193" s="8"/>
      <c r="B193" s="693">
        <f t="shared" ca="1" si="50"/>
        <v>43</v>
      </c>
      <c r="C193" s="689">
        <f ca="1">IF(OR($A$2=1,MAX($C$151:C192)&gt;=110),"",C192+(B193-B192))</f>
        <v>75</v>
      </c>
      <c r="D193" s="1119">
        <f t="shared" ca="1" si="42"/>
        <v>14947</v>
      </c>
      <c r="E193" s="1119"/>
      <c r="F193" s="1119">
        <f t="shared" ca="1" si="43"/>
        <v>630176</v>
      </c>
      <c r="G193" s="1119"/>
      <c r="H193" s="1119" t="str">
        <f t="shared" ca="1" si="44"/>
        <v/>
      </c>
      <c r="I193" s="1119"/>
      <c r="J193" s="1119">
        <f t="shared" ca="1" si="45"/>
        <v>8012</v>
      </c>
      <c r="K193" s="1119"/>
      <c r="L193" s="1119">
        <f t="shared" ca="1" si="46"/>
        <v>49871</v>
      </c>
      <c r="M193" s="1119"/>
      <c r="N193" s="1119">
        <f t="shared" ca="1" si="47"/>
        <v>49871</v>
      </c>
      <c r="O193" s="1119"/>
      <c r="P193" s="1119">
        <f t="shared" ca="1" si="48"/>
        <v>2796411</v>
      </c>
      <c r="Q193" s="1119"/>
      <c r="R193" s="1119"/>
      <c r="S193" s="1119">
        <f t="shared" ca="1" si="49"/>
        <v>2796411</v>
      </c>
      <c r="T193" s="1119"/>
      <c r="U193" s="1119"/>
      <c r="V193" s="704"/>
      <c r="W193" s="859">
        <f t="shared" ca="1" si="40"/>
        <v>43</v>
      </c>
      <c r="X193" s="860">
        <f t="shared" ca="1" si="39"/>
        <v>2116364</v>
      </c>
      <c r="Y193" s="861">
        <f ca="1">IF($B193="","",VLOOKUP(OP!$C$55,PVFB,$B193+2,0))</f>
        <v>62246</v>
      </c>
    </row>
    <row r="194" spans="1:25" ht="12" customHeight="1">
      <c r="A194" s="8"/>
      <c r="B194" s="693">
        <f t="shared" ca="1" si="50"/>
        <v>44</v>
      </c>
      <c r="C194" s="689">
        <f ca="1">IF(OR($A$2=1,MAX($C$151:C193)&gt;=110),"",C193+(B194-B193))</f>
        <v>76</v>
      </c>
      <c r="D194" s="1119">
        <f t="shared" ca="1" si="42"/>
        <v>15242</v>
      </c>
      <c r="E194" s="1119"/>
      <c r="F194" s="1119">
        <f t="shared" ca="1" si="43"/>
        <v>662580</v>
      </c>
      <c r="G194" s="1119"/>
      <c r="H194" s="1119" t="str">
        <f t="shared" ca="1" si="44"/>
        <v/>
      </c>
      <c r="I194" s="1119"/>
      <c r="J194" s="1119">
        <f t="shared" ca="1" si="45"/>
        <v>8012</v>
      </c>
      <c r="K194" s="1119"/>
      <c r="L194" s="1119">
        <f t="shared" ca="1" si="46"/>
        <v>50857</v>
      </c>
      <c r="M194" s="1119"/>
      <c r="N194" s="1119">
        <f t="shared" ca="1" si="47"/>
        <v>50857</v>
      </c>
      <c r="O194" s="1119"/>
      <c r="P194" s="1119">
        <f t="shared" ca="1" si="48"/>
        <v>2871621</v>
      </c>
      <c r="Q194" s="1119"/>
      <c r="R194" s="1119"/>
      <c r="S194" s="1119">
        <f t="shared" ca="1" si="49"/>
        <v>2871621</v>
      </c>
      <c r="T194" s="1119"/>
      <c r="U194" s="1119"/>
      <c r="V194" s="704"/>
      <c r="W194" s="859">
        <f t="shared" ca="1" si="40"/>
        <v>44</v>
      </c>
      <c r="X194" s="860">
        <f t="shared" ca="1" si="39"/>
        <v>2158184</v>
      </c>
      <c r="Y194" s="861">
        <f ca="1">IF($B194="","",VLOOKUP(OP!$C$55,PVFB,$B194+2,0))</f>
        <v>63476</v>
      </c>
    </row>
    <row r="195" spans="1:25" ht="12" customHeight="1">
      <c r="A195" s="8"/>
      <c r="B195" s="693">
        <f t="shared" ca="1" si="50"/>
        <v>45</v>
      </c>
      <c r="C195" s="689">
        <f ca="1">IF(OR($A$2=1,MAX($C$151:C194)&gt;=110),"",C194+(B195-B194))</f>
        <v>77</v>
      </c>
      <c r="D195" s="1119">
        <f t="shared" ca="1" si="42"/>
        <v>15542</v>
      </c>
      <c r="E195" s="1119"/>
      <c r="F195" s="1119">
        <f t="shared" ca="1" si="43"/>
        <v>696167</v>
      </c>
      <c r="G195" s="1119"/>
      <c r="H195" s="1119" t="str">
        <f t="shared" ca="1" si="44"/>
        <v/>
      </c>
      <c r="I195" s="1119"/>
      <c r="J195" s="1119">
        <f t="shared" ca="1" si="45"/>
        <v>8012</v>
      </c>
      <c r="K195" s="1119"/>
      <c r="L195" s="1119">
        <f t="shared" ca="1" si="46"/>
        <v>51854</v>
      </c>
      <c r="M195" s="1119"/>
      <c r="N195" s="1119">
        <f t="shared" ca="1" si="47"/>
        <v>51854</v>
      </c>
      <c r="O195" s="1119"/>
      <c r="P195" s="1119">
        <f t="shared" ca="1" si="48"/>
        <v>2948535</v>
      </c>
      <c r="Q195" s="1119"/>
      <c r="R195" s="1119"/>
      <c r="S195" s="1119">
        <f t="shared" ca="1" si="49"/>
        <v>2948535</v>
      </c>
      <c r="T195" s="1119"/>
      <c r="U195" s="1119"/>
      <c r="V195" s="704"/>
      <c r="W195" s="859">
        <f t="shared" ca="1" si="40"/>
        <v>45</v>
      </c>
      <c r="X195" s="860">
        <f t="shared" ca="1" si="39"/>
        <v>2200514</v>
      </c>
      <c r="Y195" s="861">
        <f ca="1">IF($B195="","",VLOOKUP(OP!$C$55,PVFB,$B195+2,0))</f>
        <v>64721</v>
      </c>
    </row>
    <row r="196" spans="1:25" ht="12" customHeight="1">
      <c r="A196" s="8"/>
      <c r="B196" s="693">
        <f t="shared" ca="1" si="50"/>
        <v>46</v>
      </c>
      <c r="C196" s="689">
        <f ca="1">IF(OR($A$2=1,MAX($C$151:C195)&gt;=110),"",C195+(B196-B195))</f>
        <v>78</v>
      </c>
      <c r="D196" s="1119">
        <f t="shared" ca="1" si="42"/>
        <v>15844</v>
      </c>
      <c r="E196" s="1119"/>
      <c r="F196" s="1119">
        <f t="shared" ca="1" si="43"/>
        <v>730971</v>
      </c>
      <c r="G196" s="1119"/>
      <c r="H196" s="1119" t="str">
        <f t="shared" ca="1" si="44"/>
        <v/>
      </c>
      <c r="I196" s="1119"/>
      <c r="J196" s="1119">
        <f t="shared" ca="1" si="45"/>
        <v>8012</v>
      </c>
      <c r="K196" s="1119"/>
      <c r="L196" s="1119">
        <f t="shared" ca="1" si="46"/>
        <v>52879</v>
      </c>
      <c r="M196" s="1119"/>
      <c r="N196" s="1119">
        <f t="shared" ca="1" si="47"/>
        <v>52864</v>
      </c>
      <c r="O196" s="1119"/>
      <c r="P196" s="1119">
        <f t="shared" ca="1" si="48"/>
        <v>3027850</v>
      </c>
      <c r="Q196" s="1119"/>
      <c r="R196" s="1119"/>
      <c r="S196" s="1119">
        <f t="shared" ca="1" si="49"/>
        <v>3027189</v>
      </c>
      <c r="T196" s="1119"/>
      <c r="U196" s="1119"/>
      <c r="V196" s="704"/>
      <c r="W196" s="859">
        <f t="shared" ref="W196:W205" ca="1" si="51">IF($B196="","",$B196)</f>
        <v>46</v>
      </c>
      <c r="X196" s="860">
        <f t="shared" ca="1" si="39"/>
        <v>2243354</v>
      </c>
      <c r="Y196" s="861">
        <f ca="1">IF($B196="","",VLOOKUP(OP!$C$55,PVFB,$B196+2,0))</f>
        <v>65981</v>
      </c>
    </row>
    <row r="197" spans="1:25" ht="12" customHeight="1">
      <c r="A197" s="8"/>
      <c r="B197" s="693">
        <f t="shared" ca="1" si="50"/>
        <v>47</v>
      </c>
      <c r="C197" s="689">
        <f ca="1">IF(OR($A$2=1,MAX($C$151:C196)&gt;=110),"",C196+(B197-B196))</f>
        <v>79</v>
      </c>
      <c r="D197" s="1119">
        <f t="shared" ca="1" si="42"/>
        <v>16150</v>
      </c>
      <c r="E197" s="1119"/>
      <c r="F197" s="1119">
        <f t="shared" ca="1" si="43"/>
        <v>767084</v>
      </c>
      <c r="G197" s="1119"/>
      <c r="H197" s="1119" t="str">
        <f t="shared" ca="1" si="44"/>
        <v/>
      </c>
      <c r="I197" s="1119"/>
      <c r="J197" s="1119">
        <f t="shared" ca="1" si="45"/>
        <v>8012</v>
      </c>
      <c r="K197" s="1119"/>
      <c r="L197" s="1119">
        <f t="shared" ca="1" si="46"/>
        <v>54001</v>
      </c>
      <c r="M197" s="1119"/>
      <c r="N197" s="1119">
        <f t="shared" ca="1" si="47"/>
        <v>53886</v>
      </c>
      <c r="O197" s="1119"/>
      <c r="P197" s="1119">
        <f t="shared" ca="1" si="48"/>
        <v>3112685</v>
      </c>
      <c r="Q197" s="1119"/>
      <c r="R197" s="1119"/>
      <c r="S197" s="1119">
        <f t="shared" ca="1" si="49"/>
        <v>3107674</v>
      </c>
      <c r="T197" s="1119"/>
      <c r="U197" s="1119"/>
      <c r="V197" s="704"/>
      <c r="W197" s="859">
        <f t="shared" ca="1" si="51"/>
        <v>47</v>
      </c>
      <c r="X197" s="860">
        <f t="shared" ca="1" si="39"/>
        <v>2286704</v>
      </c>
      <c r="Y197" s="861">
        <f ca="1">IF($B197="","",VLOOKUP(OP!$C$55,PVFB,$B197+2,0))</f>
        <v>67256</v>
      </c>
    </row>
    <row r="198" spans="1:25" ht="12" customHeight="1">
      <c r="A198" s="8"/>
      <c r="B198" s="693">
        <f t="shared" ca="1" si="50"/>
        <v>48</v>
      </c>
      <c r="C198" s="689">
        <f ca="1">IF(OR($A$2=1,MAX($C$151:C197)&gt;=110),"",C197+(B198-B197))</f>
        <v>80</v>
      </c>
      <c r="D198" s="1119">
        <f t="shared" ca="1" si="42"/>
        <v>16460</v>
      </c>
      <c r="E198" s="1119"/>
      <c r="F198" s="1119">
        <f t="shared" ca="1" si="43"/>
        <v>804435</v>
      </c>
      <c r="G198" s="1119"/>
      <c r="H198" s="1119" t="str">
        <f t="shared" ca="1" si="44"/>
        <v/>
      </c>
      <c r="I198" s="1119"/>
      <c r="J198" s="1119">
        <f t="shared" ca="1" si="45"/>
        <v>8012</v>
      </c>
      <c r="K198" s="1119"/>
      <c r="L198" s="1119">
        <f t="shared" ca="1" si="46"/>
        <v>55123</v>
      </c>
      <c r="M198" s="1119"/>
      <c r="N198" s="1119">
        <f t="shared" ca="1" si="47"/>
        <v>54918</v>
      </c>
      <c r="O198" s="1119"/>
      <c r="P198" s="1119">
        <f t="shared" ca="1" si="48"/>
        <v>3198758</v>
      </c>
      <c r="Q198" s="1119"/>
      <c r="R198" s="1119"/>
      <c r="S198" s="1119">
        <f t="shared" ca="1" si="49"/>
        <v>3189883</v>
      </c>
      <c r="T198" s="1119"/>
      <c r="U198" s="1119"/>
      <c r="V198" s="704"/>
      <c r="W198" s="859">
        <f t="shared" ca="1" si="51"/>
        <v>48</v>
      </c>
      <c r="X198" s="860">
        <f t="shared" ca="1" si="39"/>
        <v>2330530</v>
      </c>
      <c r="Y198" s="861">
        <f ca="1">IF($B198="","",VLOOKUP(OP!$C$55,PVFB,$B198+2,0))</f>
        <v>68545</v>
      </c>
    </row>
    <row r="199" spans="1:25" ht="12" customHeight="1">
      <c r="A199" s="8"/>
      <c r="B199" s="693">
        <f t="shared" ref="B199:B205" ca="1" si="52">IF(OR(C198&gt;=110,C198=""),"",IF(C198+1&gt;110,111-$C$18,B198+1))</f>
        <v>49</v>
      </c>
      <c r="C199" s="689">
        <f ca="1">IF(OR($A$2=1,MAX($C$151:C198)&gt;=110),"",C198+(B199-B198))</f>
        <v>81</v>
      </c>
      <c r="D199" s="1119">
        <f t="shared" ca="1" si="42"/>
        <v>16772</v>
      </c>
      <c r="E199" s="1119"/>
      <c r="F199" s="1119">
        <f t="shared" ca="1" si="43"/>
        <v>843115</v>
      </c>
      <c r="G199" s="1119"/>
      <c r="H199" s="1119" t="str">
        <f t="shared" ca="1" si="44"/>
        <v/>
      </c>
      <c r="I199" s="1119"/>
      <c r="J199" s="1119">
        <f t="shared" ca="1" si="45"/>
        <v>8012</v>
      </c>
      <c r="K199" s="1119"/>
      <c r="L199" s="1119">
        <f t="shared" ca="1" si="46"/>
        <v>56244</v>
      </c>
      <c r="M199" s="1119"/>
      <c r="N199" s="1119">
        <f t="shared" ca="1" si="47"/>
        <v>55961</v>
      </c>
      <c r="O199" s="1119"/>
      <c r="P199" s="1119">
        <f t="shared" ca="1" si="48"/>
        <v>3286159</v>
      </c>
      <c r="Q199" s="1119"/>
      <c r="R199" s="1119"/>
      <c r="S199" s="1119">
        <f t="shared" ca="1" si="49"/>
        <v>3273874</v>
      </c>
      <c r="T199" s="1119"/>
      <c r="U199" s="1119"/>
      <c r="V199" s="704"/>
      <c r="W199" s="859">
        <f t="shared" ca="1" si="51"/>
        <v>49</v>
      </c>
      <c r="X199" s="860">
        <f t="shared" ca="1" si="39"/>
        <v>2374798</v>
      </c>
      <c r="Y199" s="861">
        <f ca="1">IF($B199="","",VLOOKUP(OP!$C$55,PVFB,$B199+2,0))</f>
        <v>69847</v>
      </c>
    </row>
    <row r="200" spans="1:25" ht="12" customHeight="1">
      <c r="A200" s="8"/>
      <c r="B200" s="693">
        <f t="shared" ca="1" si="52"/>
        <v>50</v>
      </c>
      <c r="C200" s="689">
        <f ca="1">IF(OR($A$2=1,MAX($C$151:C199)&gt;=110),"",C199+(B200-B199))</f>
        <v>82</v>
      </c>
      <c r="D200" s="1119">
        <f t="shared" ca="1" si="42"/>
        <v>17088</v>
      </c>
      <c r="E200" s="1119"/>
      <c r="F200" s="1119">
        <f t="shared" ca="1" si="43"/>
        <v>883165</v>
      </c>
      <c r="G200" s="1119"/>
      <c r="H200" s="1119" t="str">
        <f t="shared" ca="1" si="44"/>
        <v/>
      </c>
      <c r="I200" s="1119"/>
      <c r="J200" s="1119">
        <f t="shared" ca="1" si="45"/>
        <v>8012</v>
      </c>
      <c r="K200" s="1119"/>
      <c r="L200" s="1119">
        <f t="shared" ca="1" si="46"/>
        <v>57366</v>
      </c>
      <c r="M200" s="1119"/>
      <c r="N200" s="1119">
        <f t="shared" ca="1" si="47"/>
        <v>57015</v>
      </c>
      <c r="O200" s="1119"/>
      <c r="P200" s="1119">
        <f t="shared" ca="1" si="48"/>
        <v>3374931</v>
      </c>
      <c r="Q200" s="1119"/>
      <c r="R200" s="1119"/>
      <c r="S200" s="1119">
        <f t="shared" ca="1" si="49"/>
        <v>3359688</v>
      </c>
      <c r="T200" s="1119"/>
      <c r="U200" s="1119"/>
      <c r="V200" s="704"/>
      <c r="W200" s="859">
        <f t="shared" ca="1" si="51"/>
        <v>50</v>
      </c>
      <c r="X200" s="860">
        <f t="shared" ca="1" si="39"/>
        <v>2419508</v>
      </c>
      <c r="Y200" s="861">
        <f ca="1">IF($B200="","",VLOOKUP(OP!$C$55,PVFB,$B200+2,0))</f>
        <v>71162</v>
      </c>
    </row>
    <row r="201" spans="1:25" ht="12" customHeight="1">
      <c r="A201" s="8"/>
      <c r="B201" s="693">
        <f t="shared" ca="1" si="52"/>
        <v>51</v>
      </c>
      <c r="C201" s="689">
        <f ca="1">IF(OR($A$2=1,MAX($C$151:$C200)&gt;=110),"",C200+(B201-B200))</f>
        <v>83</v>
      </c>
      <c r="D201" s="1119">
        <f t="shared" ca="1" si="42"/>
        <v>17407</v>
      </c>
      <c r="E201" s="1119"/>
      <c r="F201" s="1119">
        <f t="shared" ca="1" si="43"/>
        <v>924691</v>
      </c>
      <c r="G201" s="1119"/>
      <c r="H201" s="1119" t="str">
        <f t="shared" ca="1" si="44"/>
        <v/>
      </c>
      <c r="I201" s="1119"/>
      <c r="J201" s="1119">
        <f t="shared" ca="1" si="45"/>
        <v>8012</v>
      </c>
      <c r="K201" s="1119"/>
      <c r="L201" s="1119">
        <f t="shared" ca="1" si="46"/>
        <v>58488</v>
      </c>
      <c r="M201" s="1119"/>
      <c r="N201" s="1119">
        <f t="shared" ca="1" si="47"/>
        <v>58079</v>
      </c>
      <c r="O201" s="1119"/>
      <c r="P201" s="1119">
        <f t="shared" ca="1" si="48"/>
        <v>3465179</v>
      </c>
      <c r="Q201" s="1119"/>
      <c r="R201" s="1119"/>
      <c r="S201" s="1119">
        <f t="shared" ca="1" si="49"/>
        <v>3447430</v>
      </c>
      <c r="T201" s="1119"/>
      <c r="U201" s="1119"/>
      <c r="V201" s="704"/>
      <c r="W201" s="859">
        <f t="shared" ca="1" si="51"/>
        <v>51</v>
      </c>
      <c r="X201" s="860">
        <f t="shared" ref="X201:X210" ca="1" si="53">IF($C201="","",VLOOKUP($B201,more1,3,0))</f>
        <v>2464660</v>
      </c>
      <c r="Y201" s="861">
        <f ca="1">IF($B201="","",VLOOKUP(OP!$C$55,PVFB,$B201+2,0))</f>
        <v>72490</v>
      </c>
    </row>
    <row r="202" spans="1:25" ht="12" customHeight="1">
      <c r="A202" s="8"/>
      <c r="B202" s="693">
        <f t="shared" ca="1" si="52"/>
        <v>52</v>
      </c>
      <c r="C202" s="689">
        <f ca="1">IF(OR($A$2=1,MAX($C$151:$C201)&gt;=110),"",C201+(B202-B201))</f>
        <v>84</v>
      </c>
      <c r="D202" s="1119">
        <f t="shared" ca="1" si="42"/>
        <v>17729</v>
      </c>
      <c r="E202" s="1119"/>
      <c r="F202" s="1119">
        <f t="shared" ca="1" si="43"/>
        <v>967603</v>
      </c>
      <c r="G202" s="1119"/>
      <c r="H202" s="1119" t="str">
        <f t="shared" ca="1" si="44"/>
        <v/>
      </c>
      <c r="I202" s="1119"/>
      <c r="J202" s="1119">
        <f t="shared" ca="1" si="45"/>
        <v>8012</v>
      </c>
      <c r="K202" s="1119"/>
      <c r="L202" s="1119">
        <f t="shared" ca="1" si="46"/>
        <v>59609</v>
      </c>
      <c r="M202" s="1119"/>
      <c r="N202" s="1119">
        <f t="shared" ca="1" si="47"/>
        <v>59153</v>
      </c>
      <c r="O202" s="1119"/>
      <c r="P202" s="1119">
        <f t="shared" ca="1" si="48"/>
        <v>3556812</v>
      </c>
      <c r="Q202" s="1119"/>
      <c r="R202" s="1119"/>
      <c r="S202" s="1119">
        <f t="shared" ca="1" si="49"/>
        <v>3536976</v>
      </c>
      <c r="T202" s="1119"/>
      <c r="U202" s="1119"/>
      <c r="V202" s="704"/>
      <c r="W202" s="859">
        <f t="shared" ca="1" si="51"/>
        <v>52</v>
      </c>
      <c r="X202" s="860">
        <f t="shared" ca="1" si="53"/>
        <v>2510220</v>
      </c>
      <c r="Y202" s="861">
        <f ca="1">IF($B202="","",VLOOKUP(OP!$C$55,PVFB,$B202+2,0))</f>
        <v>73830</v>
      </c>
    </row>
    <row r="203" spans="1:25" ht="12" customHeight="1">
      <c r="A203" s="8"/>
      <c r="B203" s="693">
        <f t="shared" ca="1" si="52"/>
        <v>53</v>
      </c>
      <c r="C203" s="689">
        <f ca="1">IF(OR($A$2=1,MAX($C$151:$C202)&gt;=110),"",C202+(B203-B202))</f>
        <v>85</v>
      </c>
      <c r="D203" s="1119">
        <f t="shared" ca="1" si="42"/>
        <v>18054</v>
      </c>
      <c r="E203" s="1119"/>
      <c r="F203" s="1119">
        <f t="shared" ca="1" si="43"/>
        <v>1012009</v>
      </c>
      <c r="G203" s="1119"/>
      <c r="H203" s="1119" t="str">
        <f t="shared" ca="1" si="44"/>
        <v/>
      </c>
      <c r="I203" s="1119"/>
      <c r="J203" s="1119">
        <f t="shared" ca="1" si="45"/>
        <v>8012</v>
      </c>
      <c r="K203" s="1119"/>
      <c r="L203" s="1119">
        <f t="shared" ca="1" si="46"/>
        <v>60731</v>
      </c>
      <c r="M203" s="1119"/>
      <c r="N203" s="1119">
        <f t="shared" ca="1" si="47"/>
        <v>60236</v>
      </c>
      <c r="O203" s="1119"/>
      <c r="P203" s="1119">
        <f t="shared" ca="1" si="48"/>
        <v>3649940</v>
      </c>
      <c r="Q203" s="1119"/>
      <c r="R203" s="1119"/>
      <c r="S203" s="1119">
        <f t="shared" ca="1" si="49"/>
        <v>3628433</v>
      </c>
      <c r="T203" s="1119"/>
      <c r="U203" s="1119"/>
      <c r="V203" s="703"/>
      <c r="W203" s="859">
        <f t="shared" ca="1" si="51"/>
        <v>53</v>
      </c>
      <c r="X203" s="860">
        <f t="shared" ca="1" si="53"/>
        <v>2556188</v>
      </c>
      <c r="Y203" s="861">
        <f ca="1">IF($B203="","",VLOOKUP(OP!$C$55,PVFB,$B203+2,0))</f>
        <v>75182</v>
      </c>
    </row>
    <row r="204" spans="1:25" ht="12" customHeight="1">
      <c r="A204" s="8"/>
      <c r="B204" s="693">
        <f t="shared" ca="1" si="52"/>
        <v>54</v>
      </c>
      <c r="C204" s="689">
        <f ca="1">IF(OR($A$2=1,MAX($C$151:$C203)&gt;=110),"",C203+(B204-B203))</f>
        <v>86</v>
      </c>
      <c r="D204" s="1119">
        <f t="shared" ca="1" si="42"/>
        <v>18380</v>
      </c>
      <c r="E204" s="1119"/>
      <c r="F204" s="1119">
        <f t="shared" ca="1" si="43"/>
        <v>1057950</v>
      </c>
      <c r="G204" s="1119"/>
      <c r="H204" s="1119" t="str">
        <f t="shared" ca="1" si="44"/>
        <v/>
      </c>
      <c r="I204" s="1119"/>
      <c r="J204" s="1119">
        <f t="shared" ca="1" si="45"/>
        <v>8012</v>
      </c>
      <c r="K204" s="1119"/>
      <c r="L204" s="1119">
        <f t="shared" ca="1" si="46"/>
        <v>61853</v>
      </c>
      <c r="M204" s="1119"/>
      <c r="N204" s="1119">
        <f t="shared" ca="1" si="47"/>
        <v>61328</v>
      </c>
      <c r="O204" s="1119"/>
      <c r="P204" s="1119">
        <f t="shared" ca="1" si="48"/>
        <v>3744603</v>
      </c>
      <c r="Q204" s="1119"/>
      <c r="R204" s="1119"/>
      <c r="S204" s="1119">
        <f t="shared" ca="1" si="49"/>
        <v>3721808</v>
      </c>
      <c r="T204" s="1119"/>
      <c r="U204" s="1119"/>
      <c r="V204" s="703"/>
      <c r="W204" s="859">
        <f t="shared" ca="1" si="51"/>
        <v>54</v>
      </c>
      <c r="X204" s="860">
        <f t="shared" ca="1" si="53"/>
        <v>2602530</v>
      </c>
      <c r="Y204" s="861">
        <f ca="1">IF($B204="","",VLOOKUP(OP!$C$55,PVFB,$B204+2,0))</f>
        <v>76545</v>
      </c>
    </row>
    <row r="205" spans="1:25" ht="12" customHeight="1">
      <c r="A205" s="8"/>
      <c r="B205" s="693">
        <f t="shared" ca="1" si="52"/>
        <v>55</v>
      </c>
      <c r="C205" s="689">
        <f ca="1">IF(OR($A$2=1,MAX($C$151:$C204)&gt;=110),"",C204+(B205-B204))</f>
        <v>87</v>
      </c>
      <c r="D205" s="1119">
        <f t="shared" ca="1" si="42"/>
        <v>18711</v>
      </c>
      <c r="E205" s="1119"/>
      <c r="F205" s="1119">
        <f t="shared" ca="1" si="43"/>
        <v>1105553</v>
      </c>
      <c r="G205" s="1119"/>
      <c r="H205" s="1119" t="str">
        <f t="shared" ca="1" si="44"/>
        <v/>
      </c>
      <c r="I205" s="1119"/>
      <c r="J205" s="1119">
        <f t="shared" ca="1" si="45"/>
        <v>8012</v>
      </c>
      <c r="K205" s="1119"/>
      <c r="L205" s="1119">
        <f t="shared" ca="1" si="46"/>
        <v>62974</v>
      </c>
      <c r="M205" s="1119"/>
      <c r="N205" s="1119">
        <f t="shared" ca="1" si="47"/>
        <v>62428</v>
      </c>
      <c r="O205" s="1119"/>
      <c r="P205" s="1119">
        <f t="shared" ca="1" si="48"/>
        <v>3840927</v>
      </c>
      <c r="Q205" s="1119"/>
      <c r="R205" s="1119"/>
      <c r="S205" s="1119">
        <f t="shared" ca="1" si="49"/>
        <v>3817193</v>
      </c>
      <c r="T205" s="1119"/>
      <c r="U205" s="1119"/>
      <c r="V205" s="703"/>
      <c r="W205" s="859">
        <f t="shared" ca="1" si="51"/>
        <v>55</v>
      </c>
      <c r="X205" s="860">
        <f t="shared" ca="1" si="53"/>
        <v>2649212</v>
      </c>
      <c r="Y205" s="861">
        <f ca="1">IF($B205="","",VLOOKUP(OP!$C$55,PVFB,$B205+2,0))</f>
        <v>77918</v>
      </c>
    </row>
    <row r="206" spans="1:25" ht="12" customHeight="1">
      <c r="A206" s="8"/>
      <c r="B206" s="693">
        <f ca="1">IF(OR(C205&gt;=110,C205=""),"",IF(C205+1&gt;110,111-$C$18,B205+1))</f>
        <v>56</v>
      </c>
      <c r="C206" s="689">
        <f ca="1">IF(OR($A$2=1,MAX($C$151:$C$200,$C$201:C205)&gt;=110),"",C205+(B206-B205))</f>
        <v>88</v>
      </c>
      <c r="D206" s="1119">
        <f t="shared" ca="1" si="42"/>
        <v>19042</v>
      </c>
      <c r="E206" s="1119"/>
      <c r="F206" s="1119">
        <f t="shared" ca="1" si="43"/>
        <v>1154704</v>
      </c>
      <c r="G206" s="1119"/>
      <c r="H206" s="1119" t="str">
        <f t="shared" ca="1" si="44"/>
        <v/>
      </c>
      <c r="I206" s="1119"/>
      <c r="J206" s="1119">
        <f t="shared" ca="1" si="45"/>
        <v>8012</v>
      </c>
      <c r="K206" s="1119"/>
      <c r="L206" s="1119">
        <f t="shared" ca="1" si="46"/>
        <v>64096</v>
      </c>
      <c r="M206" s="1119"/>
      <c r="N206" s="1119">
        <f t="shared" ca="1" si="47"/>
        <v>63537</v>
      </c>
      <c r="O206" s="1119"/>
      <c r="P206" s="1119">
        <f t="shared" ca="1" si="48"/>
        <v>3938800</v>
      </c>
      <c r="Q206" s="1119"/>
      <c r="R206" s="1119"/>
      <c r="S206" s="1119">
        <f t="shared" ca="1" si="49"/>
        <v>3914509</v>
      </c>
      <c r="T206" s="1119"/>
      <c r="U206" s="1119"/>
      <c r="V206" s="703"/>
      <c r="W206" s="859">
        <f ca="1">IF($B206="","",$B206)</f>
        <v>56</v>
      </c>
      <c r="X206" s="860">
        <f t="shared" ca="1" si="53"/>
        <v>2696268</v>
      </c>
      <c r="Y206" s="861">
        <f ca="1">IF($B206="","",VLOOKUP(OP!$C$55,PVFB,$B206+2,0))</f>
        <v>79302</v>
      </c>
    </row>
    <row r="207" spans="1:25" ht="12" customHeight="1">
      <c r="A207" s="8"/>
      <c r="B207" s="693">
        <f ca="1">IF(OR(C206&gt;=110,C206=""),"",IF(C206+1&gt;110,111-$C$18,B206+1))</f>
        <v>57</v>
      </c>
      <c r="C207" s="689">
        <f ca="1">IF(OR($A$2=1,MAX($C$151:$C$200,$C$201:C206)&gt;=110),"",C206+(B207-B206))</f>
        <v>89</v>
      </c>
      <c r="D207" s="1119">
        <f t="shared" ca="1" si="42"/>
        <v>19377</v>
      </c>
      <c r="E207" s="1119"/>
      <c r="F207" s="1119">
        <f t="shared" ca="1" si="43"/>
        <v>1205529</v>
      </c>
      <c r="G207" s="1119"/>
      <c r="H207" s="1119" t="str">
        <f t="shared" ca="1" si="44"/>
        <v/>
      </c>
      <c r="I207" s="1119"/>
      <c r="J207" s="1119">
        <f t="shared" ca="1" si="45"/>
        <v>8012</v>
      </c>
      <c r="K207" s="1119"/>
      <c r="L207" s="1119">
        <f t="shared" ca="1" si="46"/>
        <v>65218</v>
      </c>
      <c r="M207" s="1119"/>
      <c r="N207" s="1119">
        <f t="shared" ca="1" si="47"/>
        <v>64654</v>
      </c>
      <c r="O207" s="1119"/>
      <c r="P207" s="1119">
        <f t="shared" ca="1" si="48"/>
        <v>4038347</v>
      </c>
      <c r="Q207" s="1119"/>
      <c r="R207" s="1119"/>
      <c r="S207" s="1119">
        <f t="shared" ca="1" si="49"/>
        <v>4013847</v>
      </c>
      <c r="T207" s="1119"/>
      <c r="U207" s="1119"/>
      <c r="V207" s="703"/>
      <c r="W207" s="859">
        <f ca="1">IF($B207="","",$B207)</f>
        <v>57</v>
      </c>
      <c r="X207" s="860">
        <f t="shared" ca="1" si="53"/>
        <v>2743664</v>
      </c>
      <c r="Y207" s="861">
        <f ca="1">IF($B207="","",VLOOKUP(OP!$C$55,PVFB,$B207+2,0))</f>
        <v>80696</v>
      </c>
    </row>
    <row r="208" spans="1:25" ht="12" customHeight="1">
      <c r="A208" s="8"/>
      <c r="B208" s="693">
        <f ca="1">IF(OR(C207&gt;=110,C207=""),"",IF(C207+1&gt;110,111-$C$18,B207+1))</f>
        <v>58</v>
      </c>
      <c r="C208" s="689">
        <f ca="1">IF(OR($A$2=1,MAX($C$151:$C$200,$C$201:C207)&gt;=110),"",C207+(B208-B207))</f>
        <v>90</v>
      </c>
      <c r="D208" s="1119">
        <f t="shared" ca="1" si="42"/>
        <v>19714</v>
      </c>
      <c r="E208" s="1119"/>
      <c r="F208" s="1119">
        <f t="shared" ca="1" si="43"/>
        <v>1258075</v>
      </c>
      <c r="G208" s="1119"/>
      <c r="H208" s="1119" t="str">
        <f t="shared" ca="1" si="44"/>
        <v/>
      </c>
      <c r="I208" s="1119"/>
      <c r="J208" s="1119">
        <f t="shared" ca="1" si="45"/>
        <v>8012</v>
      </c>
      <c r="K208" s="1119"/>
      <c r="L208" s="1119">
        <f t="shared" ca="1" si="46"/>
        <v>66339</v>
      </c>
      <c r="M208" s="1119"/>
      <c r="N208" s="1119">
        <f t="shared" ca="1" si="47"/>
        <v>65776</v>
      </c>
      <c r="O208" s="1119"/>
      <c r="P208" s="1119">
        <f t="shared" ca="1" si="48"/>
        <v>4139614</v>
      </c>
      <c r="Q208" s="1119"/>
      <c r="R208" s="1119"/>
      <c r="S208" s="1119">
        <f t="shared" ca="1" si="49"/>
        <v>4115149</v>
      </c>
      <c r="T208" s="1119"/>
      <c r="U208" s="1119"/>
      <c r="V208" s="703"/>
      <c r="W208" s="859">
        <f ca="1">IF($B208="","",$B208)</f>
        <v>58</v>
      </c>
      <c r="X208" s="860">
        <f t="shared" ca="1" si="53"/>
        <v>2791298</v>
      </c>
      <c r="Y208" s="861">
        <f ca="1">IF($B208="","",VLOOKUP(OP!$C$55,PVFB,$B208+2,0))</f>
        <v>82097</v>
      </c>
    </row>
    <row r="209" spans="1:25" ht="12" customHeight="1">
      <c r="A209" s="8"/>
      <c r="B209" s="693">
        <f ca="1">IF(OR(C208&gt;=110,C208=""),"",IF(C208+1&gt;110,111-$C$18,B208+1))</f>
        <v>59</v>
      </c>
      <c r="C209" s="689">
        <f ca="1">IF(OR($A$2=1,MAX($C$151:$C$200,$C$201:C208)&gt;=110),"",C208+(B209-B208))</f>
        <v>91</v>
      </c>
      <c r="D209" s="1119">
        <f t="shared" ca="1" si="42"/>
        <v>20052</v>
      </c>
      <c r="E209" s="1119"/>
      <c r="F209" s="1119">
        <f t="shared" ca="1" si="43"/>
        <v>1312485</v>
      </c>
      <c r="G209" s="1119"/>
      <c r="H209" s="1119" t="str">
        <f t="shared" ca="1" si="44"/>
        <v/>
      </c>
      <c r="I209" s="1119"/>
      <c r="J209" s="1119">
        <f t="shared" ca="1" si="45"/>
        <v>8012</v>
      </c>
      <c r="K209" s="1119"/>
      <c r="L209" s="1119">
        <f t="shared" ca="1" si="46"/>
        <v>67461</v>
      </c>
      <c r="M209" s="1119"/>
      <c r="N209" s="1119">
        <f t="shared" ca="1" si="47"/>
        <v>66903</v>
      </c>
      <c r="O209" s="1119"/>
      <c r="P209" s="1119">
        <f t="shared" ca="1" si="48"/>
        <v>4242746</v>
      </c>
      <c r="Q209" s="1119"/>
      <c r="R209" s="1119"/>
      <c r="S209" s="1119">
        <f t="shared" ca="1" si="49"/>
        <v>4218524</v>
      </c>
      <c r="T209" s="1119"/>
      <c r="U209" s="1119"/>
      <c r="V209" s="703"/>
      <c r="W209" s="859">
        <f ca="1">IF($B209="","",$B209)</f>
        <v>59</v>
      </c>
      <c r="X209" s="860">
        <f t="shared" ca="1" si="53"/>
        <v>2839136</v>
      </c>
      <c r="Y209" s="861">
        <f ca="1">IF($B209="","",VLOOKUP(OP!$C$55,PVFB,$B209+2,0))</f>
        <v>83504</v>
      </c>
    </row>
    <row r="210" spans="1:25" ht="12" customHeight="1">
      <c r="A210" s="8"/>
      <c r="B210" s="693">
        <f ca="1">IF(OR(C209&gt;=110,C209=""),"",IF(C209+1&gt;110,111-$C$18,B209+1))</f>
        <v>60</v>
      </c>
      <c r="C210" s="689">
        <f ca="1">IF(OR($A$2=1,MAX($C$151:$C$200,$C$201:C209)&gt;=110),"",C209+(B210-B209))</f>
        <v>92</v>
      </c>
      <c r="D210" s="1119">
        <f t="shared" ca="1" si="42"/>
        <v>20391</v>
      </c>
      <c r="E210" s="1119"/>
      <c r="F210" s="1119">
        <f t="shared" ca="1" si="43"/>
        <v>1368621</v>
      </c>
      <c r="G210" s="1119"/>
      <c r="H210" s="1119" t="str">
        <f t="shared" ca="1" si="44"/>
        <v/>
      </c>
      <c r="I210" s="1119"/>
      <c r="J210" s="1119">
        <f t="shared" ca="1" si="45"/>
        <v>8012</v>
      </c>
      <c r="K210" s="1119"/>
      <c r="L210" s="1119">
        <f t="shared" ca="1" si="46"/>
        <v>68583</v>
      </c>
      <c r="M210" s="1119"/>
      <c r="N210" s="1119">
        <f t="shared" ca="1" si="47"/>
        <v>68036</v>
      </c>
      <c r="O210" s="1119"/>
      <c r="P210" s="1119">
        <f t="shared" ca="1" si="48"/>
        <v>4347604</v>
      </c>
      <c r="Q210" s="1119"/>
      <c r="R210" s="1119"/>
      <c r="S210" s="1119">
        <f t="shared" ca="1" si="49"/>
        <v>4323869</v>
      </c>
      <c r="T210" s="1119"/>
      <c r="U210" s="1119"/>
      <c r="V210" s="703"/>
      <c r="W210" s="859">
        <f ca="1">IF($B210="","",$B210)</f>
        <v>60</v>
      </c>
      <c r="X210" s="860">
        <f t="shared" ca="1" si="53"/>
        <v>2887212</v>
      </c>
      <c r="Y210" s="861">
        <f ca="1">IF($B210="","",VLOOKUP(OP!$C$55,PVFB,$B210+2,0))</f>
        <v>84918</v>
      </c>
    </row>
    <row r="211" spans="1:25" ht="12" customHeight="1">
      <c r="A211" s="8"/>
      <c r="B211" s="1123" t="str">
        <f ca="1">IF(OR($A$2=1),"",IF(P218="","增額繳清保險金額祝壽保險金 (預估值) ："&amp;TEXT(VLOOKUP(OP!$C$57,MORE_PV,8,0),"#,##0 元 "),""))</f>
        <v/>
      </c>
      <c r="C211" s="1124"/>
      <c r="D211" s="1124"/>
      <c r="E211" s="1124"/>
      <c r="F211" s="1124"/>
      <c r="G211" s="1124"/>
      <c r="H211" s="1124"/>
      <c r="I211" s="1124"/>
      <c r="J211" s="1124"/>
      <c r="K211" s="1124"/>
      <c r="L211" s="1124"/>
      <c r="M211" s="1124"/>
      <c r="N211" s="1124"/>
      <c r="O211" s="1124"/>
      <c r="P211" s="1124"/>
      <c r="Q211" s="1124"/>
      <c r="R211" s="1124"/>
      <c r="S211" s="1124"/>
      <c r="T211" s="1124"/>
      <c r="U211" s="1125"/>
      <c r="V211" s="856"/>
      <c r="W211" s="857"/>
      <c r="X211" s="857"/>
      <c r="Y211" s="857"/>
    </row>
    <row r="212" spans="1:25" ht="12" customHeight="1">
      <c r="A212" s="8"/>
      <c r="B212" s="491"/>
      <c r="C212" s="491"/>
      <c r="D212" s="491"/>
      <c r="E212" s="491"/>
      <c r="F212" s="491"/>
      <c r="G212" s="491"/>
      <c r="H212" s="491"/>
      <c r="I212" s="491"/>
      <c r="J212" s="491"/>
      <c r="K212" s="491"/>
      <c r="L212" s="491"/>
      <c r="M212" s="491"/>
      <c r="N212" s="491"/>
      <c r="O212" s="491"/>
      <c r="P212" s="491"/>
      <c r="Q212" s="491"/>
      <c r="R212" s="491"/>
      <c r="S212" s="491"/>
      <c r="T212" s="491"/>
      <c r="U212" s="491"/>
      <c r="V212" s="31"/>
      <c r="W212" s="30"/>
      <c r="X212" s="30"/>
      <c r="Y212" s="30"/>
    </row>
    <row r="213" spans="1:25" ht="12" customHeight="1">
      <c r="A213" s="8"/>
      <c r="B213" s="1126" t="s">
        <v>539</v>
      </c>
      <c r="C213" s="1126"/>
      <c r="D213" s="1126"/>
      <c r="E213" s="1126"/>
      <c r="F213" s="1126"/>
      <c r="G213" s="1126"/>
      <c r="H213" s="1126"/>
      <c r="I213" s="1126"/>
      <c r="J213" s="1126"/>
      <c r="K213" s="1126"/>
      <c r="L213" s="1126"/>
      <c r="M213" s="1126"/>
      <c r="N213" s="1126"/>
      <c r="O213" s="1126"/>
      <c r="P213" s="1126"/>
      <c r="Q213" s="1126"/>
      <c r="R213" s="1126"/>
      <c r="S213" s="1126"/>
      <c r="T213" s="1126"/>
      <c r="U213" s="1126"/>
      <c r="V213" s="29"/>
      <c r="W213" s="29"/>
      <c r="X213" s="29"/>
      <c r="Y213" s="29"/>
    </row>
    <row r="214" spans="1:25" ht="12" customHeight="1">
      <c r="A214" s="8"/>
      <c r="B214" s="234"/>
      <c r="C214" s="235"/>
      <c r="D214" s="235"/>
      <c r="E214" s="1127"/>
      <c r="F214" s="1128"/>
      <c r="G214" s="1128"/>
      <c r="H214" s="1128"/>
      <c r="I214" s="1128"/>
      <c r="J214" s="1128"/>
      <c r="K214" s="1128"/>
      <c r="L214" s="1128"/>
      <c r="M214" s="1128"/>
      <c r="N214" s="1128"/>
      <c r="O214" s="1128"/>
      <c r="P214" s="1128"/>
      <c r="R214" s="328"/>
      <c r="S214" s="328"/>
      <c r="T214" s="328"/>
      <c r="U214" s="329" t="str">
        <f ca="1">OP!$C$54&amp;" 試算日："&amp;TEXT(OP!$C$3,"EEMMDD")</f>
        <v>V1.0-1060217 試算日：1060602</v>
      </c>
    </row>
    <row r="215" spans="1:25">
      <c r="A215" s="8"/>
      <c r="B215" s="301"/>
      <c r="C215" s="302"/>
      <c r="D215" s="303"/>
      <c r="E215" s="303"/>
      <c r="F215" s="302"/>
      <c r="G215" s="302"/>
      <c r="H215" s="303"/>
      <c r="I215" s="303"/>
      <c r="J215" s="304"/>
      <c r="K215" s="304"/>
      <c r="L215" s="305"/>
      <c r="M215" s="305"/>
      <c r="N215" s="306"/>
      <c r="O215" s="306"/>
      <c r="P215" s="307"/>
      <c r="Q215" s="169"/>
      <c r="R215" s="308"/>
      <c r="S215" s="311"/>
      <c r="T215" s="309"/>
      <c r="U215" s="310" t="s">
        <v>549</v>
      </c>
      <c r="V215" s="7"/>
    </row>
    <row r="216" spans="1:25" ht="15" customHeight="1">
      <c r="A216" s="8"/>
      <c r="B216" s="1120" t="s">
        <v>895</v>
      </c>
      <c r="C216" s="1120" t="s">
        <v>896</v>
      </c>
      <c r="D216" s="1121" t="str">
        <f>"年度末
增值回饋分享金
(預估值)"&amp;IF(輸入頁!$E$18="現金給付","
( C )","")&amp;"
1 ~ 6年 僅購買增額繳清保險金額
"&amp;"16歲前限抵繳保費後儲存生息"</f>
        <v>年度末
增值回饋分享金
(預估值)
1 ~ 6年 僅購買增額繳清保險金額
16歲前限抵繳保費後儲存生息</v>
      </c>
      <c r="E216" s="1121"/>
      <c r="F216" s="1121" t="str">
        <f>IF(輸入頁!$E$18="現金給付","年度末
累積已領增值回饋分享金
(預估值)",IF(輸入頁!$E$18="儲存生息","年度末
累積增值回饋分享金
( C )
(預估值)",""))</f>
        <v>年度末
累積增值回饋分享金
( C )
(預估值)</v>
      </c>
      <c r="G216" s="1121"/>
      <c r="H216" s="1121" t="str">
        <f>"年度末
增額繳清保險金額
(預估值)"</f>
        <v>年度末
增額繳清保險金額
(預估值)</v>
      </c>
      <c r="I216" s="1121"/>
      <c r="J216" s="1130" t="s">
        <v>1330</v>
      </c>
      <c r="K216" s="1131"/>
      <c r="L216" s="1131"/>
      <c r="M216" s="1131"/>
      <c r="N216" s="1131"/>
      <c r="O216" s="1132"/>
      <c r="P216" s="1122" t="str">
        <f ca="1">"年度末
身故/完全殘廢時可領總金額
(預估值)"&amp;IF(計算!$G$6=計算!$P$5,"
A + D","
1~"&amp;計算!$P$4&amp;"年 A + D
"&amp;計算!$P$4+1&amp;"年後 A + C + D")</f>
        <v>年度末
身故/完全殘廢時可領總金額
(預估值)
1~6年 A + D
7年後 A + C + D</v>
      </c>
      <c r="Q216" s="1122"/>
      <c r="R216" s="1122"/>
      <c r="S216" s="1122" t="str">
        <f ca="1">"年度末
解約時可領總金額
(預估值)"&amp;IF(計算!$G$6=計算!$P$5,"
B + E","
1~"&amp;計算!$P$4&amp;"年 B + E
"&amp;計算!$P$4+1&amp;"年後 B + C + E")</f>
        <v>年度末
解約時可領總金額
(預估值)
1~6年 B + E
7年後 B + C + E</v>
      </c>
      <c r="T216" s="1122"/>
      <c r="U216" s="1122"/>
      <c r="V216" s="852"/>
      <c r="W216" s="703"/>
      <c r="X216" s="703"/>
      <c r="Y216" s="703"/>
    </row>
    <row r="217" spans="1:25" ht="69.95" customHeight="1">
      <c r="A217" s="8"/>
      <c r="B217" s="1120"/>
      <c r="C217" s="1120"/>
      <c r="D217" s="1121"/>
      <c r="E217" s="1121"/>
      <c r="F217" s="1121"/>
      <c r="G217" s="1121"/>
      <c r="H217" s="1121"/>
      <c r="I217" s="1121"/>
      <c r="J217" s="1129" t="str">
        <f>"年度末
保險金額
(預估值)"</f>
        <v>年度末
保險金額
(預估值)</v>
      </c>
      <c r="K217" s="1129"/>
      <c r="L217" s="1129" t="str">
        <f ca="1">"年度末身故/完全殘廢保障( D )
(預估值)
"&amp;IF(OP!$D$5&lt;15,"16歲前無保額以現金給付累計年度增值回饋分享金顯示","")</f>
        <v xml:space="preserve">年度末身故/完全殘廢保障( D )
(預估值)
</v>
      </c>
      <c r="M217" s="1129"/>
      <c r="N217" s="1129" t="str">
        <f ca="1">"年度末
解約金( E )
(預估值)
"&amp;IF(OP!$D$5&lt;15,"16歲前無保額以儲存生息累計年度增值回饋分享金顯示","")</f>
        <v xml:space="preserve">年度末
解約金( E )
(預估值)
</v>
      </c>
      <c r="O217" s="1129"/>
      <c r="P217" s="1122"/>
      <c r="Q217" s="1122"/>
      <c r="R217" s="1122"/>
      <c r="S217" s="1122"/>
      <c r="T217" s="1122"/>
      <c r="U217" s="1122"/>
      <c r="V217" s="853"/>
      <c r="W217" s="854" t="s">
        <v>79</v>
      </c>
      <c r="X217" s="855" t="str">
        <f>計算!$D$9</f>
        <v>期末保單價值準備金</v>
      </c>
      <c r="Y217" s="855" t="s">
        <v>1329</v>
      </c>
    </row>
    <row r="218" spans="1:25" ht="12" customHeight="1">
      <c r="A218" s="8"/>
      <c r="B218" s="693">
        <f ca="1">IF(OR(C210&gt;=110,C210=""),"",IF(C210+1&gt;110,111-$C$18,B210+1))</f>
        <v>61</v>
      </c>
      <c r="C218" s="689">
        <f ca="1">IF(OR($A$2=1,MAX($C$151:$C$210)&gt;=110),"",C210+(B218-B210))</f>
        <v>93</v>
      </c>
      <c r="D218" s="1119">
        <f t="shared" ref="D218:D249" ca="1" si="54">IF(OR($A$2=1,$B218="",VLOOKUP($B218,TOV,10,0)=0),"",VLOOKUP($B218,TOV,10,0))</f>
        <v>20732</v>
      </c>
      <c r="E218" s="1119"/>
      <c r="F218" s="1119">
        <f t="shared" ref="F218:F249" ca="1" si="55">IF(OR($A$2=1,$B218="",VLOOKUP($B218,TOV,11,0)=0),"",VLOOKUP($B218,TOV,11,0))</f>
        <v>1426626</v>
      </c>
      <c r="G218" s="1119"/>
      <c r="H218" s="1119" t="str">
        <f t="shared" ref="H218:H249" ca="1" si="56">IF(OR($A$2=1,$B218="",VLOOKUP($B218,TOV,12,0)=0),"",VLOOKUP($B218,TOV,12,0))</f>
        <v/>
      </c>
      <c r="I218" s="1119"/>
      <c r="J218" s="1119">
        <f t="shared" ref="J218:J249" ca="1" si="57">IF(OR($A$2=1,$B218="",VLOOKUP($B218,TOV,13,0)=0),"",VLOOKUP($B218,TOV,13,0))</f>
        <v>8012</v>
      </c>
      <c r="K218" s="1119"/>
      <c r="L218" s="1119">
        <f t="shared" ref="L218:L249" ca="1" si="58">IF(OR($A$2=1,$B218="",VLOOKUP($B218,TOV,16,0)=0),"",VLOOKUP($B218,TOV,16,0))</f>
        <v>69704</v>
      </c>
      <c r="M218" s="1119"/>
      <c r="N218" s="1119">
        <f t="shared" ref="N218:N249" ca="1" si="59">IF(OR($A$2=1,$B218="",VLOOKUP($B218,TOV,17,0)=0),"",VLOOKUP($B218,TOV,17,0))</f>
        <v>69175</v>
      </c>
      <c r="O218" s="1119"/>
      <c r="P218" s="1119">
        <f t="shared" ref="P218:P249" ca="1" si="60">IF(OR($A$2=1,$B218="",VLOOKUP($B218,TOV,20,0)=0),"",VLOOKUP($B218,TOV,20,0))</f>
        <v>4454330</v>
      </c>
      <c r="Q218" s="1119"/>
      <c r="R218" s="1119"/>
      <c r="S218" s="1119">
        <f t="shared" ref="S218:S249" ca="1" si="61">IF(OR($A$2=1,$B218="",VLOOKUP($B218,TOV,21,0)=0),"",VLOOKUP($B218,TOV,21,0))</f>
        <v>4431327</v>
      </c>
      <c r="T218" s="1119"/>
      <c r="U218" s="1119"/>
      <c r="V218" s="703"/>
      <c r="W218" s="859">
        <f t="shared" ref="W218:W268" ca="1" si="62">IF($B218="","",$B218)</f>
        <v>61</v>
      </c>
      <c r="X218" s="860">
        <f t="shared" ref="X218:X268" ca="1" si="63">IF($C218="","",VLOOKUP($B218,more1,3,0))</f>
        <v>2935526</v>
      </c>
      <c r="Y218" s="861">
        <f ca="1">IF($B218="","",VLOOKUP(OP!$C$55,PVFB,$B218+2,0))</f>
        <v>86339</v>
      </c>
    </row>
    <row r="219" spans="1:25" ht="12" customHeight="1">
      <c r="A219" s="8"/>
      <c r="B219" s="693">
        <f t="shared" ref="B219:B256" ca="1" si="64">IF(OR(C218&gt;=110,C218=""),"",IF(C218+1&gt;110,111-$C$18,B218+1))</f>
        <v>62</v>
      </c>
      <c r="C219" s="689">
        <f ca="1">IF(OR($A$2=1,MAX($C$151:$C$210,$C$218:C218)&gt;=110),"",C218+(B219-B218))</f>
        <v>94</v>
      </c>
      <c r="D219" s="1119">
        <f t="shared" ca="1" si="54"/>
        <v>21075</v>
      </c>
      <c r="E219" s="1119"/>
      <c r="F219" s="1119">
        <f t="shared" ca="1" si="55"/>
        <v>1486554</v>
      </c>
      <c r="G219" s="1119"/>
      <c r="H219" s="1119" t="str">
        <f t="shared" ca="1" si="56"/>
        <v/>
      </c>
      <c r="I219" s="1119"/>
      <c r="J219" s="1119">
        <f t="shared" ca="1" si="57"/>
        <v>8012</v>
      </c>
      <c r="K219" s="1119"/>
      <c r="L219" s="1119">
        <f t="shared" ca="1" si="58"/>
        <v>70826</v>
      </c>
      <c r="M219" s="1119"/>
      <c r="N219" s="1119">
        <f t="shared" ca="1" si="59"/>
        <v>70317</v>
      </c>
      <c r="O219" s="1119"/>
      <c r="P219" s="1119">
        <f t="shared" ca="1" si="60"/>
        <v>4562980</v>
      </c>
      <c r="Q219" s="1119"/>
      <c r="R219" s="1119"/>
      <c r="S219" s="1119">
        <f t="shared" ca="1" si="61"/>
        <v>4540881</v>
      </c>
      <c r="T219" s="1119"/>
      <c r="U219" s="1119"/>
      <c r="V219" s="703"/>
      <c r="W219" s="859">
        <f t="shared" ca="1" si="62"/>
        <v>62</v>
      </c>
      <c r="X219" s="860">
        <f t="shared" ca="1" si="63"/>
        <v>2984010</v>
      </c>
      <c r="Y219" s="861">
        <f ca="1">IF($B219="","",VLOOKUP(OP!$C$55,PVFB,$B219+2,0))</f>
        <v>87765</v>
      </c>
    </row>
    <row r="220" spans="1:25" ht="12" customHeight="1">
      <c r="A220" s="8"/>
      <c r="B220" s="693">
        <f t="shared" ca="1" si="64"/>
        <v>63</v>
      </c>
      <c r="C220" s="689">
        <f ca="1">IF(OR($A$2=1,MAX($C$151:$C$210,$C$218:C219)&gt;=110),"",C219+(B220-B219))</f>
        <v>95</v>
      </c>
      <c r="D220" s="1119">
        <f t="shared" ca="1" si="54"/>
        <v>21418</v>
      </c>
      <c r="E220" s="1119"/>
      <c r="F220" s="1119">
        <f t="shared" ca="1" si="55"/>
        <v>1548570</v>
      </c>
      <c r="G220" s="1119"/>
      <c r="H220" s="1119" t="str">
        <f t="shared" ca="1" si="56"/>
        <v/>
      </c>
      <c r="I220" s="1119"/>
      <c r="J220" s="1119">
        <f t="shared" ca="1" si="57"/>
        <v>8012</v>
      </c>
      <c r="K220" s="1119"/>
      <c r="L220" s="1119">
        <f t="shared" ca="1" si="58"/>
        <v>71948</v>
      </c>
      <c r="M220" s="1119"/>
      <c r="N220" s="1119">
        <f t="shared" ca="1" si="59"/>
        <v>71464</v>
      </c>
      <c r="O220" s="1119"/>
      <c r="P220" s="1119">
        <f t="shared" ca="1" si="60"/>
        <v>4673718</v>
      </c>
      <c r="Q220" s="1119"/>
      <c r="R220" s="1119"/>
      <c r="S220" s="1119">
        <f t="shared" ca="1" si="61"/>
        <v>4652698</v>
      </c>
      <c r="T220" s="1119"/>
      <c r="U220" s="1119"/>
      <c r="V220" s="703"/>
      <c r="W220" s="859">
        <f t="shared" ca="1" si="62"/>
        <v>63</v>
      </c>
      <c r="X220" s="860">
        <f t="shared" ca="1" si="63"/>
        <v>3032664</v>
      </c>
      <c r="Y220" s="861">
        <f ca="1">IF($B220="","",VLOOKUP(OP!$C$55,PVFB,$B220+2,0))</f>
        <v>89196</v>
      </c>
    </row>
    <row r="221" spans="1:25" ht="12" customHeight="1">
      <c r="A221" s="8"/>
      <c r="B221" s="693">
        <f t="shared" ca="1" si="64"/>
        <v>64</v>
      </c>
      <c r="C221" s="689">
        <f ca="1">IF(OR($A$2=1,MAX($C$151:$C$210,$C$218:C220)&gt;=110),"",C220+(B221-B220))</f>
        <v>96</v>
      </c>
      <c r="D221" s="1119">
        <f t="shared" ca="1" si="54"/>
        <v>21763</v>
      </c>
      <c r="E221" s="1119"/>
      <c r="F221" s="1119">
        <f t="shared" ca="1" si="55"/>
        <v>1612507</v>
      </c>
      <c r="G221" s="1119"/>
      <c r="H221" s="1119" t="str">
        <f t="shared" ca="1" si="56"/>
        <v/>
      </c>
      <c r="I221" s="1119"/>
      <c r="J221" s="1119">
        <f t="shared" ca="1" si="57"/>
        <v>8012</v>
      </c>
      <c r="K221" s="1119"/>
      <c r="L221" s="1119">
        <f t="shared" ca="1" si="58"/>
        <v>73069</v>
      </c>
      <c r="M221" s="1119"/>
      <c r="N221" s="1119">
        <f t="shared" ca="1" si="59"/>
        <v>72614</v>
      </c>
      <c r="O221" s="1119"/>
      <c r="P221" s="1119">
        <f t="shared" ca="1" si="60"/>
        <v>4786376</v>
      </c>
      <c r="Q221" s="1119"/>
      <c r="R221" s="1119"/>
      <c r="S221" s="1119">
        <f t="shared" ca="1" si="61"/>
        <v>4766609</v>
      </c>
      <c r="T221" s="1119"/>
      <c r="U221" s="1119"/>
      <c r="V221" s="703"/>
      <c r="W221" s="859">
        <f t="shared" ca="1" si="62"/>
        <v>64</v>
      </c>
      <c r="X221" s="860">
        <f t="shared" ca="1" si="63"/>
        <v>3081488</v>
      </c>
      <c r="Y221" s="861">
        <f ca="1">IF($B221="","",VLOOKUP(OP!$C$55,PVFB,$B221+2,0))</f>
        <v>90632</v>
      </c>
    </row>
    <row r="222" spans="1:25" ht="12" customHeight="1">
      <c r="A222" s="8"/>
      <c r="B222" s="693">
        <f t="shared" ca="1" si="64"/>
        <v>65</v>
      </c>
      <c r="C222" s="689">
        <f ca="1">IF(OR($A$2=1,MAX($C$151:$C$210,$C$218:C221)&gt;=110),"",C221+(B222-B221))</f>
        <v>97</v>
      </c>
      <c r="D222" s="1119">
        <f t="shared" ca="1" si="54"/>
        <v>22109</v>
      </c>
      <c r="E222" s="1119"/>
      <c r="F222" s="1119">
        <f t="shared" ca="1" si="55"/>
        <v>1678531</v>
      </c>
      <c r="G222" s="1119"/>
      <c r="H222" s="1119" t="str">
        <f t="shared" ca="1" si="56"/>
        <v/>
      </c>
      <c r="I222" s="1119"/>
      <c r="J222" s="1119">
        <f t="shared" ca="1" si="57"/>
        <v>8012</v>
      </c>
      <c r="K222" s="1119"/>
      <c r="L222" s="1119">
        <f t="shared" ca="1" si="58"/>
        <v>74191</v>
      </c>
      <c r="M222" s="1119"/>
      <c r="N222" s="1119">
        <f t="shared" ca="1" si="59"/>
        <v>73768</v>
      </c>
      <c r="O222" s="1119"/>
      <c r="P222" s="1119">
        <f t="shared" ca="1" si="60"/>
        <v>4901122</v>
      </c>
      <c r="Q222" s="1119"/>
      <c r="R222" s="1119"/>
      <c r="S222" s="1119">
        <f t="shared" ca="1" si="61"/>
        <v>4882747</v>
      </c>
      <c r="T222" s="1119"/>
      <c r="U222" s="1119"/>
      <c r="V222" s="703"/>
      <c r="W222" s="859">
        <f t="shared" ca="1" si="62"/>
        <v>65</v>
      </c>
      <c r="X222" s="860">
        <f t="shared" ca="1" si="63"/>
        <v>3130448</v>
      </c>
      <c r="Y222" s="861">
        <f ca="1">IF($B222="","",VLOOKUP(OP!$C$55,PVFB,$B222+2,0))</f>
        <v>92072</v>
      </c>
    </row>
    <row r="223" spans="1:25" ht="12" customHeight="1">
      <c r="A223" s="8"/>
      <c r="B223" s="693">
        <f t="shared" ca="1" si="64"/>
        <v>66</v>
      </c>
      <c r="C223" s="689">
        <f ca="1">IF(OR($A$2=1,MAX($C$151:$C$210,$C$218:C222)&gt;=110),"",C222+(B223-B222))</f>
        <v>98</v>
      </c>
      <c r="D223" s="1119">
        <f t="shared" ca="1" si="54"/>
        <v>22456</v>
      </c>
      <c r="E223" s="1119"/>
      <c r="F223" s="1119">
        <f t="shared" ca="1" si="55"/>
        <v>1746701</v>
      </c>
      <c r="G223" s="1119"/>
      <c r="H223" s="1119" t="str">
        <f t="shared" ca="1" si="56"/>
        <v/>
      </c>
      <c r="I223" s="1119"/>
      <c r="J223" s="1119">
        <f t="shared" ca="1" si="57"/>
        <v>8012</v>
      </c>
      <c r="K223" s="1119"/>
      <c r="L223" s="1119">
        <f t="shared" ca="1" si="58"/>
        <v>75313</v>
      </c>
      <c r="M223" s="1119"/>
      <c r="N223" s="1119">
        <f t="shared" ca="1" si="59"/>
        <v>74925</v>
      </c>
      <c r="O223" s="1119"/>
      <c r="P223" s="1119">
        <f t="shared" ca="1" si="60"/>
        <v>5018014</v>
      </c>
      <c r="Q223" s="1119"/>
      <c r="R223" s="1119"/>
      <c r="S223" s="1119">
        <f t="shared" ca="1" si="61"/>
        <v>5001170</v>
      </c>
      <c r="T223" s="1119"/>
      <c r="U223" s="1119"/>
      <c r="V223" s="703"/>
      <c r="W223" s="859">
        <f t="shared" ca="1" si="62"/>
        <v>66</v>
      </c>
      <c r="X223" s="860">
        <f t="shared" ca="1" si="63"/>
        <v>3179544</v>
      </c>
      <c r="Y223" s="861">
        <f ca="1">IF($B223="","",VLOOKUP(OP!$C$55,PVFB,$B223+2,0))</f>
        <v>93516</v>
      </c>
    </row>
    <row r="224" spans="1:25" ht="12" customHeight="1">
      <c r="A224" s="8"/>
      <c r="B224" s="693">
        <f t="shared" ca="1" si="64"/>
        <v>67</v>
      </c>
      <c r="C224" s="689">
        <f ca="1">IF(OR($A$2=1,MAX($C$151:$C$210,$C$218:C223)&gt;=110),"",C223+(B224-B223))</f>
        <v>99</v>
      </c>
      <c r="D224" s="1119">
        <f t="shared" ca="1" si="54"/>
        <v>22803</v>
      </c>
      <c r="E224" s="1119"/>
      <c r="F224" s="1119">
        <f t="shared" ca="1" si="55"/>
        <v>1817206</v>
      </c>
      <c r="G224" s="1119"/>
      <c r="H224" s="1119" t="str">
        <f t="shared" ca="1" si="56"/>
        <v/>
      </c>
      <c r="I224" s="1119"/>
      <c r="J224" s="1119">
        <f t="shared" ca="1" si="57"/>
        <v>8012</v>
      </c>
      <c r="K224" s="1119"/>
      <c r="L224" s="1119">
        <f t="shared" ca="1" si="58"/>
        <v>76434</v>
      </c>
      <c r="M224" s="1119"/>
      <c r="N224" s="1119">
        <f t="shared" ca="1" si="59"/>
        <v>76084</v>
      </c>
      <c r="O224" s="1119"/>
      <c r="P224" s="1119">
        <f t="shared" ca="1" si="60"/>
        <v>5137240</v>
      </c>
      <c r="Q224" s="1119"/>
      <c r="R224" s="1119"/>
      <c r="S224" s="1119">
        <f t="shared" ca="1" si="61"/>
        <v>5122032</v>
      </c>
      <c r="T224" s="1119"/>
      <c r="U224" s="1119"/>
      <c r="V224" s="703"/>
      <c r="W224" s="859">
        <f t="shared" ca="1" si="62"/>
        <v>67</v>
      </c>
      <c r="X224" s="860">
        <f t="shared" ca="1" si="63"/>
        <v>3228742</v>
      </c>
      <c r="Y224" s="861">
        <f ca="1">IF($B224="","",VLOOKUP(OP!$C$55,PVFB,$B224+2,0))</f>
        <v>94963</v>
      </c>
    </row>
    <row r="225" spans="1:25" ht="12" customHeight="1">
      <c r="A225" s="8"/>
      <c r="B225" s="693">
        <f t="shared" ca="1" si="64"/>
        <v>68</v>
      </c>
      <c r="C225" s="689">
        <f ca="1">IF(OR($A$2=1,MAX($C$151:$C$210,$C$218:C224)&gt;=110),"",C224+(B225-B224))</f>
        <v>100</v>
      </c>
      <c r="D225" s="1119">
        <f t="shared" ca="1" si="54"/>
        <v>23151</v>
      </c>
      <c r="E225" s="1119"/>
      <c r="F225" s="1119">
        <f t="shared" ca="1" si="55"/>
        <v>1889847</v>
      </c>
      <c r="G225" s="1119"/>
      <c r="H225" s="1119" t="str">
        <f t="shared" ca="1" si="56"/>
        <v/>
      </c>
      <c r="I225" s="1119"/>
      <c r="J225" s="1119">
        <f t="shared" ca="1" si="57"/>
        <v>8012</v>
      </c>
      <c r="K225" s="1119"/>
      <c r="L225" s="1119">
        <f t="shared" ca="1" si="58"/>
        <v>77556</v>
      </c>
      <c r="M225" s="1119"/>
      <c r="N225" s="1119">
        <f t="shared" ca="1" si="59"/>
        <v>77246</v>
      </c>
      <c r="O225" s="1119"/>
      <c r="P225" s="1119">
        <f t="shared" ca="1" si="60"/>
        <v>5258603</v>
      </c>
      <c r="Q225" s="1119"/>
      <c r="R225" s="1119"/>
      <c r="S225" s="1119">
        <f t="shared" ca="1" si="61"/>
        <v>5245135</v>
      </c>
      <c r="T225" s="1119"/>
      <c r="U225" s="1119"/>
      <c r="V225" s="703"/>
      <c r="W225" s="859">
        <f t="shared" ca="1" si="62"/>
        <v>68</v>
      </c>
      <c r="X225" s="860">
        <f t="shared" ca="1" si="63"/>
        <v>3278042</v>
      </c>
      <c r="Y225" s="861">
        <f ca="1">IF($B225="","",VLOOKUP(OP!$C$55,PVFB,$B225+2,0))</f>
        <v>96413</v>
      </c>
    </row>
    <row r="226" spans="1:25" ht="12" customHeight="1">
      <c r="A226" s="8"/>
      <c r="B226" s="693">
        <f t="shared" ca="1" si="64"/>
        <v>69</v>
      </c>
      <c r="C226" s="689">
        <f ca="1">IF(OR($A$2=1,MAX($C$151:$C$210,$C$218:C225)&gt;=110),"",C225+(B226-B225))</f>
        <v>101</v>
      </c>
      <c r="D226" s="1119">
        <f t="shared" ca="1" si="54"/>
        <v>23500</v>
      </c>
      <c r="E226" s="1119"/>
      <c r="F226" s="1119">
        <f t="shared" ca="1" si="55"/>
        <v>1964816</v>
      </c>
      <c r="G226" s="1119"/>
      <c r="H226" s="1119" t="str">
        <f t="shared" ca="1" si="56"/>
        <v/>
      </c>
      <c r="I226" s="1119"/>
      <c r="J226" s="1119">
        <f t="shared" ca="1" si="57"/>
        <v>8012</v>
      </c>
      <c r="K226" s="1119"/>
      <c r="L226" s="1119">
        <f t="shared" ca="1" si="58"/>
        <v>78678</v>
      </c>
      <c r="M226" s="1119"/>
      <c r="N226" s="1119">
        <f t="shared" ca="1" si="59"/>
        <v>78409</v>
      </c>
      <c r="O226" s="1119"/>
      <c r="P226" s="1119">
        <f t="shared" ca="1" si="60"/>
        <v>5382294</v>
      </c>
      <c r="Q226" s="1119"/>
      <c r="R226" s="1119"/>
      <c r="S226" s="1119">
        <f t="shared" ca="1" si="61"/>
        <v>5370635</v>
      </c>
      <c r="T226" s="1119"/>
      <c r="U226" s="1119"/>
      <c r="V226" s="703"/>
      <c r="W226" s="859">
        <f t="shared" ca="1" si="62"/>
        <v>69</v>
      </c>
      <c r="X226" s="860">
        <f t="shared" ca="1" si="63"/>
        <v>3327410</v>
      </c>
      <c r="Y226" s="861">
        <f ca="1">IF($B226="","",VLOOKUP(OP!$C$55,PVFB,$B226+2,0))</f>
        <v>97865</v>
      </c>
    </row>
    <row r="227" spans="1:25" ht="12" customHeight="1">
      <c r="A227" s="8"/>
      <c r="B227" s="693">
        <f t="shared" ca="1" si="64"/>
        <v>70</v>
      </c>
      <c r="C227" s="689">
        <f ca="1">IF(OR($A$2=1,MAX($C$151:$C$210,$C$218:C226)&gt;=110),"",C226+(B227-B226))</f>
        <v>102</v>
      </c>
      <c r="D227" s="1119">
        <f t="shared" ca="1" si="54"/>
        <v>23849</v>
      </c>
      <c r="E227" s="1119"/>
      <c r="F227" s="1119">
        <f t="shared" ca="1" si="55"/>
        <v>2042175</v>
      </c>
      <c r="G227" s="1119"/>
      <c r="H227" s="1119" t="str">
        <f t="shared" ca="1" si="56"/>
        <v/>
      </c>
      <c r="I227" s="1119"/>
      <c r="J227" s="1119">
        <f t="shared" ca="1" si="57"/>
        <v>8012</v>
      </c>
      <c r="K227" s="1119"/>
      <c r="L227" s="1119">
        <f t="shared" ca="1" si="58"/>
        <v>79800</v>
      </c>
      <c r="M227" s="1119"/>
      <c r="N227" s="1119">
        <f t="shared" ca="1" si="59"/>
        <v>79574</v>
      </c>
      <c r="O227" s="1119"/>
      <c r="P227" s="1119">
        <f t="shared" ca="1" si="60"/>
        <v>5508375</v>
      </c>
      <c r="Q227" s="1119"/>
      <c r="R227" s="1119"/>
      <c r="S227" s="1119">
        <f t="shared" ca="1" si="61"/>
        <v>5498595</v>
      </c>
      <c r="T227" s="1119"/>
      <c r="U227" s="1119"/>
      <c r="V227" s="703"/>
      <c r="W227" s="859">
        <f t="shared" ca="1" si="62"/>
        <v>70</v>
      </c>
      <c r="X227" s="860">
        <f t="shared" ca="1" si="63"/>
        <v>3376846</v>
      </c>
      <c r="Y227" s="861">
        <f ca="1">IF($B227="","",VLOOKUP(OP!$C$55,PVFB,$B227+2,0))</f>
        <v>99319</v>
      </c>
    </row>
    <row r="228" spans="1:25" ht="12" customHeight="1">
      <c r="A228" s="8"/>
      <c r="B228" s="693">
        <f t="shared" ca="1" si="64"/>
        <v>71</v>
      </c>
      <c r="C228" s="689">
        <f ca="1">IF(OR($A$2=1,MAX($C$151:$C$210,$C$218:C227)&gt;=110),"",C227+(B228-B227))</f>
        <v>103</v>
      </c>
      <c r="D228" s="1119">
        <f t="shared" ca="1" si="54"/>
        <v>24199</v>
      </c>
      <c r="E228" s="1119"/>
      <c r="F228" s="1119">
        <f t="shared" ca="1" si="55"/>
        <v>2122145</v>
      </c>
      <c r="G228" s="1119"/>
      <c r="H228" s="1119" t="str">
        <f t="shared" ca="1" si="56"/>
        <v/>
      </c>
      <c r="I228" s="1119"/>
      <c r="J228" s="1119">
        <f t="shared" ca="1" si="57"/>
        <v>8012</v>
      </c>
      <c r="K228" s="1119"/>
      <c r="L228" s="1119">
        <f t="shared" ca="1" si="58"/>
        <v>80921</v>
      </c>
      <c r="M228" s="1119"/>
      <c r="N228" s="1119">
        <f t="shared" ca="1" si="59"/>
        <v>80740</v>
      </c>
      <c r="O228" s="1119"/>
      <c r="P228" s="1119">
        <f t="shared" ca="1" si="60"/>
        <v>5637066</v>
      </c>
      <c r="Q228" s="1119"/>
      <c r="R228" s="1119"/>
      <c r="S228" s="1119">
        <f t="shared" ca="1" si="61"/>
        <v>5629201</v>
      </c>
      <c r="T228" s="1119"/>
      <c r="U228" s="1119"/>
      <c r="V228" s="703"/>
      <c r="W228" s="859">
        <f t="shared" ca="1" si="62"/>
        <v>71</v>
      </c>
      <c r="X228" s="860">
        <f t="shared" ca="1" si="63"/>
        <v>3426316</v>
      </c>
      <c r="Y228" s="861">
        <f ca="1">IF($B228="","",VLOOKUP(OP!$C$55,PVFB,$B228+2,0))</f>
        <v>100774</v>
      </c>
    </row>
    <row r="229" spans="1:25" ht="12" customHeight="1">
      <c r="A229" s="8"/>
      <c r="B229" s="693">
        <f t="shared" ca="1" si="64"/>
        <v>72</v>
      </c>
      <c r="C229" s="689">
        <f ca="1">IF(OR($A$2=1,MAX($C$151:$C$210,$C$218:C228)&gt;=110),"",C228+(B229-B228))</f>
        <v>104</v>
      </c>
      <c r="D229" s="1119">
        <f t="shared" ca="1" si="54"/>
        <v>24548</v>
      </c>
      <c r="E229" s="1119"/>
      <c r="F229" s="1119">
        <f t="shared" ca="1" si="55"/>
        <v>2204488</v>
      </c>
      <c r="G229" s="1119"/>
      <c r="H229" s="1119" t="str">
        <f t="shared" ca="1" si="56"/>
        <v/>
      </c>
      <c r="I229" s="1119"/>
      <c r="J229" s="1119">
        <f t="shared" ca="1" si="57"/>
        <v>8012</v>
      </c>
      <c r="K229" s="1119"/>
      <c r="L229" s="1119">
        <f t="shared" ca="1" si="58"/>
        <v>82043</v>
      </c>
      <c r="M229" s="1119"/>
      <c r="N229" s="1119">
        <f t="shared" ca="1" si="59"/>
        <v>81907</v>
      </c>
      <c r="O229" s="1119"/>
      <c r="P229" s="1119">
        <f t="shared" ca="1" si="60"/>
        <v>5768131</v>
      </c>
      <c r="Q229" s="1119"/>
      <c r="R229" s="1119"/>
      <c r="S229" s="1119">
        <f t="shared" ca="1" si="61"/>
        <v>5762249</v>
      </c>
      <c r="T229" s="1119"/>
      <c r="U229" s="1119"/>
      <c r="V229" s="703"/>
      <c r="W229" s="859">
        <f t="shared" ca="1" si="62"/>
        <v>72</v>
      </c>
      <c r="X229" s="860">
        <f t="shared" ca="1" si="63"/>
        <v>3475854</v>
      </c>
      <c r="Y229" s="861">
        <f ca="1">IF($B229="","",VLOOKUP(OP!$C$55,PVFB,$B229+2,0))</f>
        <v>102231</v>
      </c>
    </row>
    <row r="230" spans="1:25" ht="12" customHeight="1">
      <c r="A230" s="8"/>
      <c r="B230" s="693">
        <f t="shared" ca="1" si="64"/>
        <v>73</v>
      </c>
      <c r="C230" s="689">
        <f ca="1">IF(OR($A$2=1,MAX($C$151:$C$210,$C$218:C229)&gt;=110),"",C229+(B230-B229))</f>
        <v>105</v>
      </c>
      <c r="D230" s="1119">
        <f t="shared" ca="1" si="54"/>
        <v>24898</v>
      </c>
      <c r="E230" s="1119"/>
      <c r="F230" s="1119">
        <f t="shared" ca="1" si="55"/>
        <v>2289424</v>
      </c>
      <c r="G230" s="1119"/>
      <c r="H230" s="1119" t="str">
        <f t="shared" ca="1" si="56"/>
        <v/>
      </c>
      <c r="I230" s="1119"/>
      <c r="J230" s="1119">
        <f t="shared" ca="1" si="57"/>
        <v>8012</v>
      </c>
      <c r="K230" s="1119"/>
      <c r="L230" s="1119">
        <f t="shared" ca="1" si="58"/>
        <v>83165</v>
      </c>
      <c r="M230" s="1119"/>
      <c r="N230" s="1119">
        <f t="shared" ca="1" si="59"/>
        <v>83076</v>
      </c>
      <c r="O230" s="1119"/>
      <c r="P230" s="1119">
        <f t="shared" ca="1" si="60"/>
        <v>5901789</v>
      </c>
      <c r="Q230" s="1119"/>
      <c r="R230" s="1119"/>
      <c r="S230" s="1119">
        <f t="shared" ca="1" si="61"/>
        <v>5897926</v>
      </c>
      <c r="T230" s="1119"/>
      <c r="U230" s="1119"/>
      <c r="V230" s="703"/>
      <c r="W230" s="859">
        <f t="shared" ca="1" si="62"/>
        <v>73</v>
      </c>
      <c r="X230" s="860">
        <f t="shared" ca="1" si="63"/>
        <v>3525426</v>
      </c>
      <c r="Y230" s="861">
        <f ca="1">IF($B230="","",VLOOKUP(OP!$C$55,PVFB,$B230+2,0))</f>
        <v>103689</v>
      </c>
    </row>
    <row r="231" spans="1:25" ht="12" customHeight="1">
      <c r="A231" s="8"/>
      <c r="B231" s="693">
        <f t="shared" ca="1" si="64"/>
        <v>74</v>
      </c>
      <c r="C231" s="689">
        <f ca="1">IF(OR($A$2=1,MAX($C$151:$C$210,$C$218:C230)&gt;=110),"",C230+(B231-B230))</f>
        <v>106</v>
      </c>
      <c r="D231" s="1119">
        <f t="shared" ca="1" si="54"/>
        <v>25249</v>
      </c>
      <c r="E231" s="1119"/>
      <c r="F231" s="1119">
        <f t="shared" ca="1" si="55"/>
        <v>2377024</v>
      </c>
      <c r="G231" s="1119"/>
      <c r="H231" s="1119" t="str">
        <f t="shared" ca="1" si="56"/>
        <v/>
      </c>
      <c r="I231" s="1119"/>
      <c r="J231" s="1119">
        <f t="shared" ca="1" si="57"/>
        <v>8012</v>
      </c>
      <c r="K231" s="1119"/>
      <c r="L231" s="1119">
        <f t="shared" ca="1" si="58"/>
        <v>84286</v>
      </c>
      <c r="M231" s="1119"/>
      <c r="N231" s="1119">
        <f t="shared" ca="1" si="59"/>
        <v>84246</v>
      </c>
      <c r="O231" s="1119"/>
      <c r="P231" s="1119">
        <f t="shared" ca="1" si="60"/>
        <v>6038110</v>
      </c>
      <c r="Q231" s="1119"/>
      <c r="R231" s="1119"/>
      <c r="S231" s="1119">
        <f t="shared" ca="1" si="61"/>
        <v>6036370</v>
      </c>
      <c r="T231" s="1119"/>
      <c r="U231" s="1119"/>
      <c r="V231" s="703"/>
      <c r="W231" s="859">
        <f t="shared" ca="1" si="62"/>
        <v>74</v>
      </c>
      <c r="X231" s="860">
        <f t="shared" ca="1" si="63"/>
        <v>3575100</v>
      </c>
      <c r="Y231" s="861">
        <f ca="1">IF($B231="","",VLOOKUP(OP!$C$55,PVFB,$B231+2,0))</f>
        <v>105150</v>
      </c>
    </row>
    <row r="232" spans="1:25" ht="12" customHeight="1">
      <c r="A232" s="8"/>
      <c r="B232" s="693">
        <f t="shared" ca="1" si="64"/>
        <v>75</v>
      </c>
      <c r="C232" s="689">
        <f ca="1">IF(OR($A$2=1,MAX($C$151:$C$210,$C$218:C231)&gt;=110),"",C231+(B232-B231))</f>
        <v>107</v>
      </c>
      <c r="D232" s="1119">
        <f t="shared" ca="1" si="54"/>
        <v>25602</v>
      </c>
      <c r="E232" s="1119"/>
      <c r="F232" s="1119">
        <f t="shared" ca="1" si="55"/>
        <v>2467542</v>
      </c>
      <c r="G232" s="1119"/>
      <c r="H232" s="1119" t="str">
        <f t="shared" ca="1" si="56"/>
        <v/>
      </c>
      <c r="I232" s="1119"/>
      <c r="J232" s="1119">
        <f t="shared" ca="1" si="57"/>
        <v>8012</v>
      </c>
      <c r="K232" s="1119"/>
      <c r="L232" s="1119">
        <f t="shared" ca="1" si="58"/>
        <v>85423</v>
      </c>
      <c r="M232" s="1119"/>
      <c r="N232" s="1119">
        <f t="shared" ca="1" si="59"/>
        <v>85423</v>
      </c>
      <c r="O232" s="1119"/>
      <c r="P232" s="1119">
        <f t="shared" ca="1" si="60"/>
        <v>6178011</v>
      </c>
      <c r="Q232" s="1119"/>
      <c r="R232" s="1119"/>
      <c r="S232" s="1119">
        <f t="shared" ca="1" si="61"/>
        <v>6178011</v>
      </c>
      <c r="T232" s="1119"/>
      <c r="U232" s="1119"/>
      <c r="V232" s="703"/>
      <c r="W232" s="859">
        <f t="shared" ca="1" si="62"/>
        <v>75</v>
      </c>
      <c r="X232" s="860">
        <f t="shared" ca="1" si="63"/>
        <v>3625046</v>
      </c>
      <c r="Y232" s="861">
        <f ca="1">IF($B232="","",VLOOKUP(OP!$C$55,PVFB,$B232+2,0))</f>
        <v>106619</v>
      </c>
    </row>
    <row r="233" spans="1:25" ht="12" customHeight="1">
      <c r="A233" s="8"/>
      <c r="B233" s="693">
        <f t="shared" ca="1" si="64"/>
        <v>76</v>
      </c>
      <c r="C233" s="689">
        <f ca="1">IF(OR($A$2=1,MAX($C$151:$C$210,$C$218:C232)&gt;=110),"",C232+(B233-B232))</f>
        <v>108</v>
      </c>
      <c r="D233" s="1119">
        <f t="shared" ca="1" si="54"/>
        <v>25961</v>
      </c>
      <c r="E233" s="1119"/>
      <c r="F233" s="1119">
        <f t="shared" ca="1" si="55"/>
        <v>2560705</v>
      </c>
      <c r="G233" s="1119"/>
      <c r="H233" s="1119" t="str">
        <f t="shared" ca="1" si="56"/>
        <v/>
      </c>
      <c r="I233" s="1119"/>
      <c r="J233" s="1119">
        <f t="shared" ca="1" si="57"/>
        <v>8012</v>
      </c>
      <c r="K233" s="1119"/>
      <c r="L233" s="1119">
        <f t="shared" ca="1" si="58"/>
        <v>86619</v>
      </c>
      <c r="M233" s="1119"/>
      <c r="N233" s="1119">
        <f t="shared" ca="1" si="59"/>
        <v>86619</v>
      </c>
      <c r="O233" s="1119"/>
      <c r="P233" s="1119">
        <f t="shared" ca="1" si="60"/>
        <v>6323098</v>
      </c>
      <c r="Q233" s="1119"/>
      <c r="R233" s="1119"/>
      <c r="S233" s="1119">
        <f t="shared" ca="1" si="61"/>
        <v>6323098</v>
      </c>
      <c r="T233" s="1119"/>
      <c r="U233" s="1119"/>
      <c r="V233" s="703"/>
      <c r="W233" s="859">
        <f t="shared" ca="1" si="62"/>
        <v>76</v>
      </c>
      <c r="X233" s="860">
        <f t="shared" ca="1" si="63"/>
        <v>3675774</v>
      </c>
      <c r="Y233" s="861">
        <f ca="1">IF($B233="","",VLOOKUP(OP!$C$55,PVFB,$B233+2,0))</f>
        <v>108111</v>
      </c>
    </row>
    <row r="234" spans="1:25" ht="12" customHeight="1">
      <c r="A234" s="8"/>
      <c r="B234" s="693">
        <f t="shared" ca="1" si="64"/>
        <v>77</v>
      </c>
      <c r="C234" s="689">
        <f ca="1">IF(OR($A$2=1,MAX($C$151:$C$210,$C$218:C233)&gt;=110),"",C233+(B234-B233))</f>
        <v>109</v>
      </c>
      <c r="D234" s="1119">
        <f t="shared" ca="1" si="54"/>
        <v>26343</v>
      </c>
      <c r="E234" s="1119"/>
      <c r="F234" s="1119">
        <f t="shared" ca="1" si="55"/>
        <v>2656787</v>
      </c>
      <c r="G234" s="1119"/>
      <c r="H234" s="1119" t="str">
        <f t="shared" ca="1" si="56"/>
        <v/>
      </c>
      <c r="I234" s="1119"/>
      <c r="J234" s="1119">
        <f t="shared" ca="1" si="57"/>
        <v>8012</v>
      </c>
      <c r="K234" s="1119"/>
      <c r="L234" s="1119">
        <f t="shared" ca="1" si="58"/>
        <v>87898</v>
      </c>
      <c r="M234" s="1119"/>
      <c r="N234" s="1119">
        <f t="shared" ca="1" si="59"/>
        <v>87898</v>
      </c>
      <c r="O234" s="1119"/>
      <c r="P234" s="1119">
        <f t="shared" ca="1" si="60"/>
        <v>6474757</v>
      </c>
      <c r="Q234" s="1119"/>
      <c r="R234" s="1119"/>
      <c r="S234" s="1119">
        <f t="shared" ca="1" si="61"/>
        <v>6474757</v>
      </c>
      <c r="T234" s="1119"/>
      <c r="U234" s="1119"/>
      <c r="V234" s="703"/>
      <c r="W234" s="859">
        <f t="shared" ca="1" si="62"/>
        <v>77</v>
      </c>
      <c r="X234" s="860">
        <f t="shared" ca="1" si="63"/>
        <v>3730072</v>
      </c>
      <c r="Y234" s="861">
        <f ca="1">IF($B234="","",VLOOKUP(OP!$C$55,PVFB,$B234+2,0))</f>
        <v>109708</v>
      </c>
    </row>
    <row r="235" spans="1:25" ht="12" customHeight="1">
      <c r="A235" s="8"/>
      <c r="B235" s="693">
        <f t="shared" ca="1" si="64"/>
        <v>78</v>
      </c>
      <c r="C235" s="689">
        <f ca="1">IF(OR($A$2=1,MAX($C$151:$C$210,$C$218:C234)&gt;=110),"",C234+(B235-B234))</f>
        <v>110</v>
      </c>
      <c r="D235" s="1119">
        <f t="shared" ca="1" si="54"/>
        <v>26607</v>
      </c>
      <c r="E235" s="1119"/>
      <c r="F235" s="1119">
        <f t="shared" ca="1" si="55"/>
        <v>2755750</v>
      </c>
      <c r="G235" s="1119"/>
      <c r="H235" s="1119" t="str">
        <f t="shared" ca="1" si="56"/>
        <v/>
      </c>
      <c r="I235" s="1119"/>
      <c r="J235" s="1119">
        <f t="shared" ca="1" si="57"/>
        <v>8012</v>
      </c>
      <c r="K235" s="1119"/>
      <c r="L235" s="1119">
        <f t="shared" ca="1" si="58"/>
        <v>88773</v>
      </c>
      <c r="M235" s="1119"/>
      <c r="N235" s="1119">
        <f t="shared" ca="1" si="59"/>
        <v>88773</v>
      </c>
      <c r="O235" s="1119"/>
      <c r="P235" s="1119">
        <f t="shared" ca="1" si="60"/>
        <v>6611723</v>
      </c>
      <c r="Q235" s="1119"/>
      <c r="R235" s="1119"/>
      <c r="S235" s="1119">
        <f t="shared" ca="1" si="61"/>
        <v>6611723</v>
      </c>
      <c r="T235" s="1119"/>
      <c r="U235" s="1119"/>
      <c r="V235" s="703"/>
      <c r="W235" s="859">
        <f t="shared" ca="1" si="62"/>
        <v>78</v>
      </c>
      <c r="X235" s="860">
        <f t="shared" ca="1" si="63"/>
        <v>3767200</v>
      </c>
      <c r="Y235" s="861">
        <f ca="1">IF($B235="","",VLOOKUP(OP!$C$55,PVFB,$B235+2,0))</f>
        <v>110800</v>
      </c>
    </row>
    <row r="236" spans="1:25" ht="12" customHeight="1">
      <c r="A236" s="8"/>
      <c r="B236" s="693" t="str">
        <f t="shared" ca="1" si="64"/>
        <v/>
      </c>
      <c r="C236" s="689" t="str">
        <f ca="1">IF(OR($A$2=1,MAX($C$151:$C$210,$C$218:C235)&gt;=110),"",C235+(B236-B235))</f>
        <v/>
      </c>
      <c r="D236" s="1119" t="str">
        <f t="shared" ca="1" si="54"/>
        <v/>
      </c>
      <c r="E236" s="1119"/>
      <c r="F236" s="1119" t="str">
        <f t="shared" ca="1" si="55"/>
        <v/>
      </c>
      <c r="G236" s="1119"/>
      <c r="H236" s="1119" t="str">
        <f t="shared" ca="1" si="56"/>
        <v/>
      </c>
      <c r="I236" s="1119"/>
      <c r="J236" s="1119" t="str">
        <f t="shared" ca="1" si="57"/>
        <v/>
      </c>
      <c r="K236" s="1119"/>
      <c r="L236" s="1119" t="str">
        <f t="shared" ca="1" si="58"/>
        <v/>
      </c>
      <c r="M236" s="1119"/>
      <c r="N236" s="1119" t="str">
        <f t="shared" ca="1" si="59"/>
        <v/>
      </c>
      <c r="O236" s="1119"/>
      <c r="P236" s="1119" t="str">
        <f t="shared" ca="1" si="60"/>
        <v/>
      </c>
      <c r="Q236" s="1119"/>
      <c r="R236" s="1119"/>
      <c r="S236" s="1119" t="str">
        <f t="shared" ca="1" si="61"/>
        <v/>
      </c>
      <c r="T236" s="1119"/>
      <c r="U236" s="1119"/>
      <c r="V236" s="703"/>
      <c r="W236" s="859" t="str">
        <f t="shared" ca="1" si="62"/>
        <v/>
      </c>
      <c r="X236" s="860" t="str">
        <f t="shared" ca="1" si="63"/>
        <v/>
      </c>
      <c r="Y236" s="861" t="str">
        <f ca="1">IF($B236="","",VLOOKUP(OP!$C$55,PVFB,$B236+2,0))</f>
        <v/>
      </c>
    </row>
    <row r="237" spans="1:25" ht="12" customHeight="1">
      <c r="A237" s="8"/>
      <c r="B237" s="693" t="str">
        <f t="shared" ca="1" si="64"/>
        <v/>
      </c>
      <c r="C237" s="689" t="str">
        <f ca="1">IF(OR($A$2=1,MAX($C$151:$C$210,$C$218:C236)&gt;=110),"",C236+(B237-B236))</f>
        <v/>
      </c>
      <c r="D237" s="1119" t="str">
        <f t="shared" ca="1" si="54"/>
        <v/>
      </c>
      <c r="E237" s="1119"/>
      <c r="F237" s="1119" t="str">
        <f t="shared" ca="1" si="55"/>
        <v/>
      </c>
      <c r="G237" s="1119"/>
      <c r="H237" s="1119" t="str">
        <f t="shared" ca="1" si="56"/>
        <v/>
      </c>
      <c r="I237" s="1119"/>
      <c r="J237" s="1119" t="str">
        <f t="shared" ca="1" si="57"/>
        <v/>
      </c>
      <c r="K237" s="1119"/>
      <c r="L237" s="1119" t="str">
        <f t="shared" ca="1" si="58"/>
        <v/>
      </c>
      <c r="M237" s="1119"/>
      <c r="N237" s="1119" t="str">
        <f t="shared" ca="1" si="59"/>
        <v/>
      </c>
      <c r="O237" s="1119"/>
      <c r="P237" s="1119" t="str">
        <f t="shared" ca="1" si="60"/>
        <v/>
      </c>
      <c r="Q237" s="1119"/>
      <c r="R237" s="1119"/>
      <c r="S237" s="1119" t="str">
        <f t="shared" ca="1" si="61"/>
        <v/>
      </c>
      <c r="T237" s="1119"/>
      <c r="U237" s="1119"/>
      <c r="V237" s="703"/>
      <c r="W237" s="859" t="str">
        <f t="shared" ca="1" si="62"/>
        <v/>
      </c>
      <c r="X237" s="860" t="str">
        <f t="shared" ca="1" si="63"/>
        <v/>
      </c>
      <c r="Y237" s="861" t="str">
        <f ca="1">IF($B237="","",VLOOKUP(OP!$C$55,PVFB,$B237+2,0))</f>
        <v/>
      </c>
    </row>
    <row r="238" spans="1:25" ht="12" customHeight="1">
      <c r="A238" s="8"/>
      <c r="B238" s="693" t="str">
        <f t="shared" ca="1" si="64"/>
        <v/>
      </c>
      <c r="C238" s="689" t="str">
        <f ca="1">IF(OR($A$2=1,MAX($C$151:$C$210,$C$218:C237)&gt;=110),"",C237+(B238-B237))</f>
        <v/>
      </c>
      <c r="D238" s="1119" t="str">
        <f t="shared" ca="1" si="54"/>
        <v/>
      </c>
      <c r="E238" s="1119"/>
      <c r="F238" s="1119" t="str">
        <f t="shared" ca="1" si="55"/>
        <v/>
      </c>
      <c r="G238" s="1119"/>
      <c r="H238" s="1119" t="str">
        <f t="shared" ca="1" si="56"/>
        <v/>
      </c>
      <c r="I238" s="1119"/>
      <c r="J238" s="1119" t="str">
        <f t="shared" ca="1" si="57"/>
        <v/>
      </c>
      <c r="K238" s="1119"/>
      <c r="L238" s="1119" t="str">
        <f t="shared" ca="1" si="58"/>
        <v/>
      </c>
      <c r="M238" s="1119"/>
      <c r="N238" s="1119" t="str">
        <f t="shared" ca="1" si="59"/>
        <v/>
      </c>
      <c r="O238" s="1119"/>
      <c r="P238" s="1119" t="str">
        <f t="shared" ca="1" si="60"/>
        <v/>
      </c>
      <c r="Q238" s="1119"/>
      <c r="R238" s="1119"/>
      <c r="S238" s="1119" t="str">
        <f t="shared" ca="1" si="61"/>
        <v/>
      </c>
      <c r="T238" s="1119"/>
      <c r="U238" s="1119"/>
      <c r="V238" s="703"/>
      <c r="W238" s="859" t="str">
        <f t="shared" ca="1" si="62"/>
        <v/>
      </c>
      <c r="X238" s="860" t="str">
        <f t="shared" ca="1" si="63"/>
        <v/>
      </c>
      <c r="Y238" s="861" t="str">
        <f ca="1">IF($B238="","",VLOOKUP(OP!$C$55,PVFB,$B238+2,0))</f>
        <v/>
      </c>
    </row>
    <row r="239" spans="1:25" ht="12" customHeight="1">
      <c r="A239" s="8"/>
      <c r="B239" s="693" t="str">
        <f t="shared" ca="1" si="64"/>
        <v/>
      </c>
      <c r="C239" s="689" t="str">
        <f ca="1">IF(OR($A$2=1,MAX($C$151:$C$210,$C$218:C238)&gt;=110),"",C238+(B239-B238))</f>
        <v/>
      </c>
      <c r="D239" s="1119" t="str">
        <f t="shared" ca="1" si="54"/>
        <v/>
      </c>
      <c r="E239" s="1119"/>
      <c r="F239" s="1119" t="str">
        <f t="shared" ca="1" si="55"/>
        <v/>
      </c>
      <c r="G239" s="1119"/>
      <c r="H239" s="1119" t="str">
        <f t="shared" ca="1" si="56"/>
        <v/>
      </c>
      <c r="I239" s="1119"/>
      <c r="J239" s="1119" t="str">
        <f t="shared" ca="1" si="57"/>
        <v/>
      </c>
      <c r="K239" s="1119"/>
      <c r="L239" s="1119" t="str">
        <f t="shared" ca="1" si="58"/>
        <v/>
      </c>
      <c r="M239" s="1119"/>
      <c r="N239" s="1119" t="str">
        <f t="shared" ca="1" si="59"/>
        <v/>
      </c>
      <c r="O239" s="1119"/>
      <c r="P239" s="1119" t="str">
        <f t="shared" ca="1" si="60"/>
        <v/>
      </c>
      <c r="Q239" s="1119"/>
      <c r="R239" s="1119"/>
      <c r="S239" s="1119" t="str">
        <f t="shared" ca="1" si="61"/>
        <v/>
      </c>
      <c r="T239" s="1119"/>
      <c r="U239" s="1119"/>
      <c r="V239" s="703"/>
      <c r="W239" s="859" t="str">
        <f t="shared" ca="1" si="62"/>
        <v/>
      </c>
      <c r="X239" s="860" t="str">
        <f t="shared" ca="1" si="63"/>
        <v/>
      </c>
      <c r="Y239" s="861" t="str">
        <f ca="1">IF($B239="","",VLOOKUP(OP!$C$55,PVFB,$B239+2,0))</f>
        <v/>
      </c>
    </row>
    <row r="240" spans="1:25" ht="12" customHeight="1">
      <c r="A240" s="8"/>
      <c r="B240" s="693" t="str">
        <f t="shared" ca="1" si="64"/>
        <v/>
      </c>
      <c r="C240" s="689" t="str">
        <f ca="1">IF(OR($A$2=1,MAX($C$151:$C$210,$C$218:C239)&gt;=110),"",C239+(B240-B239))</f>
        <v/>
      </c>
      <c r="D240" s="1119" t="str">
        <f t="shared" ca="1" si="54"/>
        <v/>
      </c>
      <c r="E240" s="1119"/>
      <c r="F240" s="1119" t="str">
        <f t="shared" ca="1" si="55"/>
        <v/>
      </c>
      <c r="G240" s="1119"/>
      <c r="H240" s="1119" t="str">
        <f t="shared" ca="1" si="56"/>
        <v/>
      </c>
      <c r="I240" s="1119"/>
      <c r="J240" s="1119" t="str">
        <f t="shared" ca="1" si="57"/>
        <v/>
      </c>
      <c r="K240" s="1119"/>
      <c r="L240" s="1119" t="str">
        <f t="shared" ca="1" si="58"/>
        <v/>
      </c>
      <c r="M240" s="1119"/>
      <c r="N240" s="1119" t="str">
        <f t="shared" ca="1" si="59"/>
        <v/>
      </c>
      <c r="O240" s="1119"/>
      <c r="P240" s="1119" t="str">
        <f t="shared" ca="1" si="60"/>
        <v/>
      </c>
      <c r="Q240" s="1119"/>
      <c r="R240" s="1119"/>
      <c r="S240" s="1119" t="str">
        <f t="shared" ca="1" si="61"/>
        <v/>
      </c>
      <c r="T240" s="1119"/>
      <c r="U240" s="1119"/>
      <c r="V240" s="703"/>
      <c r="W240" s="859" t="str">
        <f t="shared" ca="1" si="62"/>
        <v/>
      </c>
      <c r="X240" s="860" t="str">
        <f t="shared" ca="1" si="63"/>
        <v/>
      </c>
      <c r="Y240" s="861" t="str">
        <f ca="1">IF($B240="","",VLOOKUP(OP!$C$55,PVFB,$B240+2,0))</f>
        <v/>
      </c>
    </row>
    <row r="241" spans="1:25" ht="12" customHeight="1">
      <c r="A241" s="8"/>
      <c r="B241" s="693" t="str">
        <f t="shared" ca="1" si="64"/>
        <v/>
      </c>
      <c r="C241" s="689" t="str">
        <f ca="1">IF(OR($A$2=1,MAX($C$151:$C$210,$C$218:C240)&gt;=110),"",C240+(B241-B240))</f>
        <v/>
      </c>
      <c r="D241" s="1119" t="str">
        <f t="shared" ca="1" si="54"/>
        <v/>
      </c>
      <c r="E241" s="1119"/>
      <c r="F241" s="1119" t="str">
        <f t="shared" ca="1" si="55"/>
        <v/>
      </c>
      <c r="G241" s="1119"/>
      <c r="H241" s="1119" t="str">
        <f t="shared" ca="1" si="56"/>
        <v/>
      </c>
      <c r="I241" s="1119"/>
      <c r="J241" s="1119" t="str">
        <f t="shared" ca="1" si="57"/>
        <v/>
      </c>
      <c r="K241" s="1119"/>
      <c r="L241" s="1119" t="str">
        <f t="shared" ca="1" si="58"/>
        <v/>
      </c>
      <c r="M241" s="1119"/>
      <c r="N241" s="1119" t="str">
        <f t="shared" ca="1" si="59"/>
        <v/>
      </c>
      <c r="O241" s="1119"/>
      <c r="P241" s="1119" t="str">
        <f t="shared" ca="1" si="60"/>
        <v/>
      </c>
      <c r="Q241" s="1119"/>
      <c r="R241" s="1119"/>
      <c r="S241" s="1119" t="str">
        <f t="shared" ca="1" si="61"/>
        <v/>
      </c>
      <c r="T241" s="1119"/>
      <c r="U241" s="1119"/>
      <c r="V241" s="703"/>
      <c r="W241" s="859" t="str">
        <f t="shared" ca="1" si="62"/>
        <v/>
      </c>
      <c r="X241" s="860" t="str">
        <f t="shared" ca="1" si="63"/>
        <v/>
      </c>
      <c r="Y241" s="861" t="str">
        <f ca="1">IF($B241="","",VLOOKUP(OP!$C$55,PVFB,$B241+2,0))</f>
        <v/>
      </c>
    </row>
    <row r="242" spans="1:25" ht="12" customHeight="1">
      <c r="A242" s="8"/>
      <c r="B242" s="693" t="str">
        <f t="shared" ca="1" si="64"/>
        <v/>
      </c>
      <c r="C242" s="689" t="str">
        <f ca="1">IF(OR($A$2=1,MAX($C$151:$C$210,$C$218:C241)&gt;=110),"",C241+(B242-B241))</f>
        <v/>
      </c>
      <c r="D242" s="1119" t="str">
        <f t="shared" ca="1" si="54"/>
        <v/>
      </c>
      <c r="E242" s="1119"/>
      <c r="F242" s="1119" t="str">
        <f t="shared" ca="1" si="55"/>
        <v/>
      </c>
      <c r="G242" s="1119"/>
      <c r="H242" s="1119" t="str">
        <f t="shared" ca="1" si="56"/>
        <v/>
      </c>
      <c r="I242" s="1119"/>
      <c r="J242" s="1119" t="str">
        <f t="shared" ca="1" si="57"/>
        <v/>
      </c>
      <c r="K242" s="1119"/>
      <c r="L242" s="1119" t="str">
        <f t="shared" ca="1" si="58"/>
        <v/>
      </c>
      <c r="M242" s="1119"/>
      <c r="N242" s="1119" t="str">
        <f t="shared" ca="1" si="59"/>
        <v/>
      </c>
      <c r="O242" s="1119"/>
      <c r="P242" s="1119" t="str">
        <f t="shared" ca="1" si="60"/>
        <v/>
      </c>
      <c r="Q242" s="1119"/>
      <c r="R242" s="1119"/>
      <c r="S242" s="1119" t="str">
        <f t="shared" ca="1" si="61"/>
        <v/>
      </c>
      <c r="T242" s="1119"/>
      <c r="U242" s="1119"/>
      <c r="V242" s="703"/>
      <c r="W242" s="859" t="str">
        <f t="shared" ca="1" si="62"/>
        <v/>
      </c>
      <c r="X242" s="860" t="str">
        <f t="shared" ca="1" si="63"/>
        <v/>
      </c>
      <c r="Y242" s="861" t="str">
        <f ca="1">IF($B242="","",VLOOKUP(OP!$C$55,PVFB,$B242+2,0))</f>
        <v/>
      </c>
    </row>
    <row r="243" spans="1:25" ht="12" customHeight="1">
      <c r="A243" s="8"/>
      <c r="B243" s="693" t="str">
        <f t="shared" ca="1" si="64"/>
        <v/>
      </c>
      <c r="C243" s="689" t="str">
        <f ca="1">IF(OR($A$2=1,MAX($C$151:$C$210,$C$218:C242)&gt;=110),"",C242+(B243-B242))</f>
        <v/>
      </c>
      <c r="D243" s="1119" t="str">
        <f t="shared" ca="1" si="54"/>
        <v/>
      </c>
      <c r="E243" s="1119"/>
      <c r="F243" s="1119" t="str">
        <f t="shared" ca="1" si="55"/>
        <v/>
      </c>
      <c r="G243" s="1119"/>
      <c r="H243" s="1119" t="str">
        <f t="shared" ca="1" si="56"/>
        <v/>
      </c>
      <c r="I243" s="1119"/>
      <c r="J243" s="1119" t="str">
        <f t="shared" ca="1" si="57"/>
        <v/>
      </c>
      <c r="K243" s="1119"/>
      <c r="L243" s="1119" t="str">
        <f t="shared" ca="1" si="58"/>
        <v/>
      </c>
      <c r="M243" s="1119"/>
      <c r="N243" s="1119" t="str">
        <f t="shared" ca="1" si="59"/>
        <v/>
      </c>
      <c r="O243" s="1119"/>
      <c r="P243" s="1119" t="str">
        <f t="shared" ca="1" si="60"/>
        <v/>
      </c>
      <c r="Q243" s="1119"/>
      <c r="R243" s="1119"/>
      <c r="S243" s="1119" t="str">
        <f t="shared" ca="1" si="61"/>
        <v/>
      </c>
      <c r="T243" s="1119"/>
      <c r="U243" s="1119"/>
      <c r="V243" s="703"/>
      <c r="W243" s="859" t="str">
        <f t="shared" ca="1" si="62"/>
        <v/>
      </c>
      <c r="X243" s="860" t="str">
        <f t="shared" ca="1" si="63"/>
        <v/>
      </c>
      <c r="Y243" s="861" t="str">
        <f ca="1">IF($B243="","",VLOOKUP(OP!$C$55,PVFB,$B243+2,0))</f>
        <v/>
      </c>
    </row>
    <row r="244" spans="1:25" ht="12" customHeight="1">
      <c r="A244" s="8"/>
      <c r="B244" s="693" t="str">
        <f t="shared" ca="1" si="64"/>
        <v/>
      </c>
      <c r="C244" s="689" t="str">
        <f ca="1">IF(OR($A$2=1,MAX($C$151:$C$210,$C$218:C243)&gt;=110),"",C243+(B244-B243))</f>
        <v/>
      </c>
      <c r="D244" s="1119" t="str">
        <f t="shared" ca="1" si="54"/>
        <v/>
      </c>
      <c r="E244" s="1119"/>
      <c r="F244" s="1119" t="str">
        <f t="shared" ca="1" si="55"/>
        <v/>
      </c>
      <c r="G244" s="1119"/>
      <c r="H244" s="1119" t="str">
        <f t="shared" ca="1" si="56"/>
        <v/>
      </c>
      <c r="I244" s="1119"/>
      <c r="J244" s="1119" t="str">
        <f t="shared" ca="1" si="57"/>
        <v/>
      </c>
      <c r="K244" s="1119"/>
      <c r="L244" s="1119" t="str">
        <f t="shared" ca="1" si="58"/>
        <v/>
      </c>
      <c r="M244" s="1119"/>
      <c r="N244" s="1119" t="str">
        <f t="shared" ca="1" si="59"/>
        <v/>
      </c>
      <c r="O244" s="1119"/>
      <c r="P244" s="1119" t="str">
        <f t="shared" ca="1" si="60"/>
        <v/>
      </c>
      <c r="Q244" s="1119"/>
      <c r="R244" s="1119"/>
      <c r="S244" s="1119" t="str">
        <f t="shared" ca="1" si="61"/>
        <v/>
      </c>
      <c r="T244" s="1119"/>
      <c r="U244" s="1119"/>
      <c r="V244" s="703"/>
      <c r="W244" s="859" t="str">
        <f t="shared" ca="1" si="62"/>
        <v/>
      </c>
      <c r="X244" s="860" t="str">
        <f t="shared" ca="1" si="63"/>
        <v/>
      </c>
      <c r="Y244" s="861" t="str">
        <f ca="1">IF($B244="","",VLOOKUP(OP!$C$55,PVFB,$B244+2,0))</f>
        <v/>
      </c>
    </row>
    <row r="245" spans="1:25" ht="12" customHeight="1">
      <c r="A245" s="8"/>
      <c r="B245" s="693" t="str">
        <f t="shared" ca="1" si="64"/>
        <v/>
      </c>
      <c r="C245" s="689" t="str">
        <f ca="1">IF(OR($A$2=1,MAX($C$151:$C$210,$C$218:C244)&gt;=110),"",C244+(B245-B244))</f>
        <v/>
      </c>
      <c r="D245" s="1119" t="str">
        <f t="shared" ca="1" si="54"/>
        <v/>
      </c>
      <c r="E245" s="1119"/>
      <c r="F245" s="1119" t="str">
        <f t="shared" ca="1" si="55"/>
        <v/>
      </c>
      <c r="G245" s="1119"/>
      <c r="H245" s="1119" t="str">
        <f t="shared" ca="1" si="56"/>
        <v/>
      </c>
      <c r="I245" s="1119"/>
      <c r="J245" s="1119" t="str">
        <f t="shared" ca="1" si="57"/>
        <v/>
      </c>
      <c r="K245" s="1119"/>
      <c r="L245" s="1119" t="str">
        <f t="shared" ca="1" si="58"/>
        <v/>
      </c>
      <c r="M245" s="1119"/>
      <c r="N245" s="1119" t="str">
        <f t="shared" ca="1" si="59"/>
        <v/>
      </c>
      <c r="O245" s="1119"/>
      <c r="P245" s="1119" t="str">
        <f t="shared" ca="1" si="60"/>
        <v/>
      </c>
      <c r="Q245" s="1119"/>
      <c r="R245" s="1119"/>
      <c r="S245" s="1119" t="str">
        <f t="shared" ca="1" si="61"/>
        <v/>
      </c>
      <c r="T245" s="1119"/>
      <c r="U245" s="1119"/>
      <c r="V245" s="703"/>
      <c r="W245" s="859" t="str">
        <f t="shared" ca="1" si="62"/>
        <v/>
      </c>
      <c r="X245" s="860" t="str">
        <f t="shared" ca="1" si="63"/>
        <v/>
      </c>
      <c r="Y245" s="861" t="str">
        <f ca="1">IF($B245="","",VLOOKUP(OP!$C$55,PVFB,$B245+2,0))</f>
        <v/>
      </c>
    </row>
    <row r="246" spans="1:25" ht="12" customHeight="1">
      <c r="A246" s="8"/>
      <c r="B246" s="693" t="str">
        <f t="shared" ca="1" si="64"/>
        <v/>
      </c>
      <c r="C246" s="689" t="str">
        <f ca="1">IF(OR($A$2=1,MAX($C$151:$C$210,$C$218:C245)&gt;=110),"",C245+(B246-B245))</f>
        <v/>
      </c>
      <c r="D246" s="1119" t="str">
        <f t="shared" ca="1" si="54"/>
        <v/>
      </c>
      <c r="E246" s="1119"/>
      <c r="F246" s="1119" t="str">
        <f t="shared" ca="1" si="55"/>
        <v/>
      </c>
      <c r="G246" s="1119"/>
      <c r="H246" s="1119" t="str">
        <f t="shared" ca="1" si="56"/>
        <v/>
      </c>
      <c r="I246" s="1119"/>
      <c r="J246" s="1119" t="str">
        <f t="shared" ca="1" si="57"/>
        <v/>
      </c>
      <c r="K246" s="1119"/>
      <c r="L246" s="1119" t="str">
        <f t="shared" ca="1" si="58"/>
        <v/>
      </c>
      <c r="M246" s="1119"/>
      <c r="N246" s="1119" t="str">
        <f t="shared" ca="1" si="59"/>
        <v/>
      </c>
      <c r="O246" s="1119"/>
      <c r="P246" s="1119" t="str">
        <f t="shared" ca="1" si="60"/>
        <v/>
      </c>
      <c r="Q246" s="1119"/>
      <c r="R246" s="1119"/>
      <c r="S246" s="1119" t="str">
        <f t="shared" ca="1" si="61"/>
        <v/>
      </c>
      <c r="T246" s="1119"/>
      <c r="U246" s="1119"/>
      <c r="V246" s="703"/>
      <c r="W246" s="859" t="str">
        <f t="shared" ca="1" si="62"/>
        <v/>
      </c>
      <c r="X246" s="860" t="str">
        <f t="shared" ca="1" si="63"/>
        <v/>
      </c>
      <c r="Y246" s="861" t="str">
        <f ca="1">IF($B246="","",VLOOKUP(OP!$C$55,PVFB,$B246+2,0))</f>
        <v/>
      </c>
    </row>
    <row r="247" spans="1:25" ht="12" customHeight="1">
      <c r="A247" s="8"/>
      <c r="B247" s="693" t="str">
        <f t="shared" ca="1" si="64"/>
        <v/>
      </c>
      <c r="C247" s="689" t="str">
        <f ca="1">IF(OR($A$2=1,MAX($C$151:$C$210,$C$218:C246)&gt;=110),"",C246+(B247-B246))</f>
        <v/>
      </c>
      <c r="D247" s="1119" t="str">
        <f t="shared" ca="1" si="54"/>
        <v/>
      </c>
      <c r="E247" s="1119"/>
      <c r="F247" s="1119" t="str">
        <f t="shared" ca="1" si="55"/>
        <v/>
      </c>
      <c r="G247" s="1119"/>
      <c r="H247" s="1119" t="str">
        <f t="shared" ca="1" si="56"/>
        <v/>
      </c>
      <c r="I247" s="1119"/>
      <c r="J247" s="1119" t="str">
        <f t="shared" ca="1" si="57"/>
        <v/>
      </c>
      <c r="K247" s="1119"/>
      <c r="L247" s="1119" t="str">
        <f t="shared" ca="1" si="58"/>
        <v/>
      </c>
      <c r="M247" s="1119"/>
      <c r="N247" s="1119" t="str">
        <f t="shared" ca="1" si="59"/>
        <v/>
      </c>
      <c r="O247" s="1119"/>
      <c r="P247" s="1119" t="str">
        <f t="shared" ca="1" si="60"/>
        <v/>
      </c>
      <c r="Q247" s="1119"/>
      <c r="R247" s="1119"/>
      <c r="S247" s="1119" t="str">
        <f t="shared" ca="1" si="61"/>
        <v/>
      </c>
      <c r="T247" s="1119"/>
      <c r="U247" s="1119"/>
      <c r="V247" s="703"/>
      <c r="W247" s="859" t="str">
        <f t="shared" ca="1" si="62"/>
        <v/>
      </c>
      <c r="X247" s="860" t="str">
        <f t="shared" ca="1" si="63"/>
        <v/>
      </c>
      <c r="Y247" s="861" t="str">
        <f ca="1">IF($B247="","",VLOOKUP(OP!$C$55,PVFB,$B247+2,0))</f>
        <v/>
      </c>
    </row>
    <row r="248" spans="1:25" ht="12" customHeight="1">
      <c r="A248" s="8"/>
      <c r="B248" s="693" t="str">
        <f t="shared" ca="1" si="64"/>
        <v/>
      </c>
      <c r="C248" s="689" t="str">
        <f ca="1">IF(OR($A$2=1,MAX($C$151:$C$210,$C$218:C247)&gt;=110),"",C247+(B248-B247))</f>
        <v/>
      </c>
      <c r="D248" s="1119" t="str">
        <f t="shared" ca="1" si="54"/>
        <v/>
      </c>
      <c r="E248" s="1119"/>
      <c r="F248" s="1119" t="str">
        <f t="shared" ca="1" si="55"/>
        <v/>
      </c>
      <c r="G248" s="1119"/>
      <c r="H248" s="1119" t="str">
        <f t="shared" ca="1" si="56"/>
        <v/>
      </c>
      <c r="I248" s="1119"/>
      <c r="J248" s="1119" t="str">
        <f t="shared" ca="1" si="57"/>
        <v/>
      </c>
      <c r="K248" s="1119"/>
      <c r="L248" s="1119" t="str">
        <f t="shared" ca="1" si="58"/>
        <v/>
      </c>
      <c r="M248" s="1119"/>
      <c r="N248" s="1119" t="str">
        <f t="shared" ca="1" si="59"/>
        <v/>
      </c>
      <c r="O248" s="1119"/>
      <c r="P248" s="1119" t="str">
        <f t="shared" ca="1" si="60"/>
        <v/>
      </c>
      <c r="Q248" s="1119"/>
      <c r="R248" s="1119"/>
      <c r="S248" s="1119" t="str">
        <f t="shared" ca="1" si="61"/>
        <v/>
      </c>
      <c r="T248" s="1119"/>
      <c r="U248" s="1119"/>
      <c r="V248" s="703"/>
      <c r="W248" s="859" t="str">
        <f t="shared" ca="1" si="62"/>
        <v/>
      </c>
      <c r="X248" s="860" t="str">
        <f t="shared" ca="1" si="63"/>
        <v/>
      </c>
      <c r="Y248" s="861" t="str">
        <f ca="1">IF($B248="","",VLOOKUP(OP!$C$55,PVFB,$B248+2,0))</f>
        <v/>
      </c>
    </row>
    <row r="249" spans="1:25" ht="12" customHeight="1">
      <c r="A249" s="8"/>
      <c r="B249" s="693" t="str">
        <f t="shared" ca="1" si="64"/>
        <v/>
      </c>
      <c r="C249" s="689" t="str">
        <f ca="1">IF(OR($A$2=1,MAX($C$151:$C$210,$C$218:C248)&gt;=110),"",C248+(B249-B248))</f>
        <v/>
      </c>
      <c r="D249" s="1119" t="str">
        <f t="shared" ca="1" si="54"/>
        <v/>
      </c>
      <c r="E249" s="1119"/>
      <c r="F249" s="1119" t="str">
        <f t="shared" ca="1" si="55"/>
        <v/>
      </c>
      <c r="G249" s="1119"/>
      <c r="H249" s="1119" t="str">
        <f t="shared" ca="1" si="56"/>
        <v/>
      </c>
      <c r="I249" s="1119"/>
      <c r="J249" s="1119" t="str">
        <f t="shared" ca="1" si="57"/>
        <v/>
      </c>
      <c r="K249" s="1119"/>
      <c r="L249" s="1119" t="str">
        <f t="shared" ca="1" si="58"/>
        <v/>
      </c>
      <c r="M249" s="1119"/>
      <c r="N249" s="1119" t="str">
        <f t="shared" ca="1" si="59"/>
        <v/>
      </c>
      <c r="O249" s="1119"/>
      <c r="P249" s="1119" t="str">
        <f t="shared" ca="1" si="60"/>
        <v/>
      </c>
      <c r="Q249" s="1119"/>
      <c r="R249" s="1119"/>
      <c r="S249" s="1119" t="str">
        <f t="shared" ca="1" si="61"/>
        <v/>
      </c>
      <c r="T249" s="1119"/>
      <c r="U249" s="1119"/>
      <c r="V249" s="703"/>
      <c r="W249" s="859" t="str">
        <f t="shared" ca="1" si="62"/>
        <v/>
      </c>
      <c r="X249" s="860" t="str">
        <f t="shared" ca="1" si="63"/>
        <v/>
      </c>
      <c r="Y249" s="861" t="str">
        <f ca="1">IF($B249="","",VLOOKUP(OP!$C$55,PVFB,$B249+2,0))</f>
        <v/>
      </c>
    </row>
    <row r="250" spans="1:25" ht="12" customHeight="1">
      <c r="A250" s="8"/>
      <c r="B250" s="693" t="str">
        <f t="shared" ca="1" si="64"/>
        <v/>
      </c>
      <c r="C250" s="689" t="str">
        <f ca="1">IF(OR($A$2=1,MAX($C$151:$C$210,$C$218:C249)&gt;=110),"",C249+(B250-B249))</f>
        <v/>
      </c>
      <c r="D250" s="1119" t="str">
        <f t="shared" ref="D250:D268" ca="1" si="65">IF(OR($A$2=1,$B250="",VLOOKUP($B250,TOV,10,0)=0),"",VLOOKUP($B250,TOV,10,0))</f>
        <v/>
      </c>
      <c r="E250" s="1119"/>
      <c r="F250" s="1119" t="str">
        <f t="shared" ref="F250:F268" ca="1" si="66">IF(OR($A$2=1,$B250="",VLOOKUP($B250,TOV,11,0)=0),"",VLOOKUP($B250,TOV,11,0))</f>
        <v/>
      </c>
      <c r="G250" s="1119"/>
      <c r="H250" s="1119" t="str">
        <f t="shared" ref="H250:H268" ca="1" si="67">IF(OR($A$2=1,$B250="",VLOOKUP($B250,TOV,12,0)=0),"",VLOOKUP($B250,TOV,12,0))</f>
        <v/>
      </c>
      <c r="I250" s="1119"/>
      <c r="J250" s="1119" t="str">
        <f t="shared" ref="J250:J268" ca="1" si="68">IF(OR($A$2=1,$B250="",VLOOKUP($B250,TOV,13,0)=0),"",VLOOKUP($B250,TOV,13,0))</f>
        <v/>
      </c>
      <c r="K250" s="1119"/>
      <c r="L250" s="1119" t="str">
        <f t="shared" ref="L250:L268" ca="1" si="69">IF(OR($A$2=1,$B250="",VLOOKUP($B250,TOV,16,0)=0),"",VLOOKUP($B250,TOV,16,0))</f>
        <v/>
      </c>
      <c r="M250" s="1119"/>
      <c r="N250" s="1119" t="str">
        <f t="shared" ref="N250:N268" ca="1" si="70">IF(OR($A$2=1,$B250="",VLOOKUP($B250,TOV,17,0)=0),"",VLOOKUP($B250,TOV,17,0))</f>
        <v/>
      </c>
      <c r="O250" s="1119"/>
      <c r="P250" s="1119" t="str">
        <f t="shared" ref="P250:P268" ca="1" si="71">IF(OR($A$2=1,$B250="",VLOOKUP($B250,TOV,20,0)=0),"",VLOOKUP($B250,TOV,20,0))</f>
        <v/>
      </c>
      <c r="Q250" s="1119"/>
      <c r="R250" s="1119"/>
      <c r="S250" s="1119" t="str">
        <f t="shared" ref="S250:S268" ca="1" si="72">IF(OR($A$2=1,$B250="",VLOOKUP($B250,TOV,21,0)=0),"",VLOOKUP($B250,TOV,21,0))</f>
        <v/>
      </c>
      <c r="T250" s="1119"/>
      <c r="U250" s="1119"/>
      <c r="V250" s="703"/>
      <c r="W250" s="859" t="str">
        <f t="shared" ca="1" si="62"/>
        <v/>
      </c>
      <c r="X250" s="860" t="str">
        <f t="shared" ca="1" si="63"/>
        <v/>
      </c>
      <c r="Y250" s="861" t="str">
        <f ca="1">IF($B250="","",VLOOKUP(OP!$C$55,PVFB,$B250+2,0))</f>
        <v/>
      </c>
    </row>
    <row r="251" spans="1:25" ht="12" customHeight="1">
      <c r="A251" s="8"/>
      <c r="B251" s="693" t="str">
        <f t="shared" ca="1" si="64"/>
        <v/>
      </c>
      <c r="C251" s="689" t="str">
        <f ca="1">IF(OR($A$2=1,MAX($C$151:$C$210,$C$218:C250)&gt;=110),"",C250+(B251-B250))</f>
        <v/>
      </c>
      <c r="D251" s="1119" t="str">
        <f t="shared" ca="1" si="65"/>
        <v/>
      </c>
      <c r="E251" s="1119"/>
      <c r="F251" s="1119" t="str">
        <f t="shared" ca="1" si="66"/>
        <v/>
      </c>
      <c r="G251" s="1119"/>
      <c r="H251" s="1119" t="str">
        <f t="shared" ca="1" si="67"/>
        <v/>
      </c>
      <c r="I251" s="1119"/>
      <c r="J251" s="1119" t="str">
        <f t="shared" ca="1" si="68"/>
        <v/>
      </c>
      <c r="K251" s="1119"/>
      <c r="L251" s="1119" t="str">
        <f t="shared" ca="1" si="69"/>
        <v/>
      </c>
      <c r="M251" s="1119"/>
      <c r="N251" s="1119" t="str">
        <f t="shared" ca="1" si="70"/>
        <v/>
      </c>
      <c r="O251" s="1119"/>
      <c r="P251" s="1119" t="str">
        <f t="shared" ca="1" si="71"/>
        <v/>
      </c>
      <c r="Q251" s="1119"/>
      <c r="R251" s="1119"/>
      <c r="S251" s="1119" t="str">
        <f t="shared" ca="1" si="72"/>
        <v/>
      </c>
      <c r="T251" s="1119"/>
      <c r="U251" s="1119"/>
      <c r="V251" s="703"/>
      <c r="W251" s="859" t="str">
        <f t="shared" ca="1" si="62"/>
        <v/>
      </c>
      <c r="X251" s="860" t="str">
        <f t="shared" ca="1" si="63"/>
        <v/>
      </c>
      <c r="Y251" s="861" t="str">
        <f ca="1">IF($B251="","",VLOOKUP(OP!$C$55,PVFB,$B251+2,0))</f>
        <v/>
      </c>
    </row>
    <row r="252" spans="1:25" ht="12" customHeight="1">
      <c r="A252" s="8"/>
      <c r="B252" s="693" t="str">
        <f t="shared" ca="1" si="64"/>
        <v/>
      </c>
      <c r="C252" s="689" t="str">
        <f ca="1">IF(OR($A$2=1,MAX($C$151:$C$210,$C$218:C251)&gt;=110),"",C251+(B252-B251))</f>
        <v/>
      </c>
      <c r="D252" s="1119" t="str">
        <f t="shared" ca="1" si="65"/>
        <v/>
      </c>
      <c r="E252" s="1119"/>
      <c r="F252" s="1119" t="str">
        <f t="shared" ca="1" si="66"/>
        <v/>
      </c>
      <c r="G252" s="1119"/>
      <c r="H252" s="1119" t="str">
        <f t="shared" ca="1" si="67"/>
        <v/>
      </c>
      <c r="I252" s="1119"/>
      <c r="J252" s="1119" t="str">
        <f t="shared" ca="1" si="68"/>
        <v/>
      </c>
      <c r="K252" s="1119"/>
      <c r="L252" s="1119" t="str">
        <f t="shared" ca="1" si="69"/>
        <v/>
      </c>
      <c r="M252" s="1119"/>
      <c r="N252" s="1119" t="str">
        <f t="shared" ca="1" si="70"/>
        <v/>
      </c>
      <c r="O252" s="1119"/>
      <c r="P252" s="1119" t="str">
        <f t="shared" ca="1" si="71"/>
        <v/>
      </c>
      <c r="Q252" s="1119"/>
      <c r="R252" s="1119"/>
      <c r="S252" s="1119" t="str">
        <f t="shared" ca="1" si="72"/>
        <v/>
      </c>
      <c r="T252" s="1119"/>
      <c r="U252" s="1119"/>
      <c r="V252" s="703"/>
      <c r="W252" s="859" t="str">
        <f t="shared" ca="1" si="62"/>
        <v/>
      </c>
      <c r="X252" s="860" t="str">
        <f t="shared" ca="1" si="63"/>
        <v/>
      </c>
      <c r="Y252" s="861" t="str">
        <f ca="1">IF($B252="","",VLOOKUP(OP!$C$55,PVFB,$B252+2,0))</f>
        <v/>
      </c>
    </row>
    <row r="253" spans="1:25" ht="12" customHeight="1">
      <c r="A253" s="8"/>
      <c r="B253" s="693" t="str">
        <f t="shared" ca="1" si="64"/>
        <v/>
      </c>
      <c r="C253" s="689" t="str">
        <f ca="1">IF(OR($A$2=1,MAX($C$151:$C$210,$C$218:C252)&gt;=110),"",C252+(B253-B252))</f>
        <v/>
      </c>
      <c r="D253" s="1119" t="str">
        <f t="shared" ca="1" si="65"/>
        <v/>
      </c>
      <c r="E253" s="1119"/>
      <c r="F253" s="1119" t="str">
        <f t="shared" ca="1" si="66"/>
        <v/>
      </c>
      <c r="G253" s="1119"/>
      <c r="H253" s="1119" t="str">
        <f t="shared" ca="1" si="67"/>
        <v/>
      </c>
      <c r="I253" s="1119"/>
      <c r="J253" s="1119" t="str">
        <f t="shared" ca="1" si="68"/>
        <v/>
      </c>
      <c r="K253" s="1119"/>
      <c r="L253" s="1119" t="str">
        <f t="shared" ca="1" si="69"/>
        <v/>
      </c>
      <c r="M253" s="1119"/>
      <c r="N253" s="1119" t="str">
        <f t="shared" ca="1" si="70"/>
        <v/>
      </c>
      <c r="O253" s="1119"/>
      <c r="P253" s="1119" t="str">
        <f t="shared" ca="1" si="71"/>
        <v/>
      </c>
      <c r="Q253" s="1119"/>
      <c r="R253" s="1119"/>
      <c r="S253" s="1119" t="str">
        <f t="shared" ca="1" si="72"/>
        <v/>
      </c>
      <c r="T253" s="1119"/>
      <c r="U253" s="1119"/>
      <c r="V253" s="703"/>
      <c r="W253" s="859" t="str">
        <f t="shared" ca="1" si="62"/>
        <v/>
      </c>
      <c r="X253" s="860" t="str">
        <f t="shared" ca="1" si="63"/>
        <v/>
      </c>
      <c r="Y253" s="861" t="str">
        <f ca="1">IF($B253="","",VLOOKUP(OP!$C$55,PVFB,$B253+2,0))</f>
        <v/>
      </c>
    </row>
    <row r="254" spans="1:25" ht="12" customHeight="1">
      <c r="A254" s="8"/>
      <c r="B254" s="693" t="str">
        <f t="shared" ca="1" si="64"/>
        <v/>
      </c>
      <c r="C254" s="689" t="str">
        <f ca="1">IF(OR($A$2=1,MAX($C$151:$C$210,$C$218:C253)&gt;=110),"",C253+(B254-B253))</f>
        <v/>
      </c>
      <c r="D254" s="1119" t="str">
        <f t="shared" ca="1" si="65"/>
        <v/>
      </c>
      <c r="E254" s="1119"/>
      <c r="F254" s="1119" t="str">
        <f t="shared" ca="1" si="66"/>
        <v/>
      </c>
      <c r="G254" s="1119"/>
      <c r="H254" s="1119" t="str">
        <f t="shared" ca="1" si="67"/>
        <v/>
      </c>
      <c r="I254" s="1119"/>
      <c r="J254" s="1119" t="str">
        <f t="shared" ca="1" si="68"/>
        <v/>
      </c>
      <c r="K254" s="1119"/>
      <c r="L254" s="1119" t="str">
        <f t="shared" ca="1" si="69"/>
        <v/>
      </c>
      <c r="M254" s="1119"/>
      <c r="N254" s="1119" t="str">
        <f t="shared" ca="1" si="70"/>
        <v/>
      </c>
      <c r="O254" s="1119"/>
      <c r="P254" s="1119" t="str">
        <f t="shared" ca="1" si="71"/>
        <v/>
      </c>
      <c r="Q254" s="1119"/>
      <c r="R254" s="1119"/>
      <c r="S254" s="1119" t="str">
        <f t="shared" ca="1" si="72"/>
        <v/>
      </c>
      <c r="T254" s="1119"/>
      <c r="U254" s="1119"/>
      <c r="V254" s="703"/>
      <c r="W254" s="859" t="str">
        <f t="shared" ca="1" si="62"/>
        <v/>
      </c>
      <c r="X254" s="860" t="str">
        <f t="shared" ca="1" si="63"/>
        <v/>
      </c>
      <c r="Y254" s="861" t="str">
        <f ca="1">IF($B254="","",VLOOKUP(OP!$C$55,PVFB,$B254+2,0))</f>
        <v/>
      </c>
    </row>
    <row r="255" spans="1:25" ht="12" customHeight="1">
      <c r="A255" s="8"/>
      <c r="B255" s="693" t="str">
        <f t="shared" ca="1" si="64"/>
        <v/>
      </c>
      <c r="C255" s="689" t="str">
        <f ca="1">IF(OR($A$2=1,MAX($C$151:$C$210,$C$218:C254)&gt;=110),"",C254+(B255-B254))</f>
        <v/>
      </c>
      <c r="D255" s="1119" t="str">
        <f t="shared" ca="1" si="65"/>
        <v/>
      </c>
      <c r="E255" s="1119"/>
      <c r="F255" s="1119" t="str">
        <f t="shared" ca="1" si="66"/>
        <v/>
      </c>
      <c r="G255" s="1119"/>
      <c r="H255" s="1119" t="str">
        <f t="shared" ca="1" si="67"/>
        <v/>
      </c>
      <c r="I255" s="1119"/>
      <c r="J255" s="1119" t="str">
        <f t="shared" ca="1" si="68"/>
        <v/>
      </c>
      <c r="K255" s="1119"/>
      <c r="L255" s="1119" t="str">
        <f t="shared" ca="1" si="69"/>
        <v/>
      </c>
      <c r="M255" s="1119"/>
      <c r="N255" s="1119" t="str">
        <f t="shared" ca="1" si="70"/>
        <v/>
      </c>
      <c r="O255" s="1119"/>
      <c r="P255" s="1119" t="str">
        <f t="shared" ca="1" si="71"/>
        <v/>
      </c>
      <c r="Q255" s="1119"/>
      <c r="R255" s="1119"/>
      <c r="S255" s="1119" t="str">
        <f t="shared" ca="1" si="72"/>
        <v/>
      </c>
      <c r="T255" s="1119"/>
      <c r="U255" s="1119"/>
      <c r="V255" s="703"/>
      <c r="W255" s="859" t="str">
        <f t="shared" ca="1" si="62"/>
        <v/>
      </c>
      <c r="X255" s="860" t="str">
        <f t="shared" ca="1" si="63"/>
        <v/>
      </c>
      <c r="Y255" s="861" t="str">
        <f ca="1">IF($B255="","",VLOOKUP(OP!$C$55,PVFB,$B255+2,0))</f>
        <v/>
      </c>
    </row>
    <row r="256" spans="1:25" ht="12" customHeight="1">
      <c r="A256" s="8"/>
      <c r="B256" s="693" t="str">
        <f t="shared" ca="1" si="64"/>
        <v/>
      </c>
      <c r="C256" s="689" t="str">
        <f ca="1">IF(OR($A$2=1,MAX($C$151:$C$210,$C$218:C255)&gt;=110),"",C255+(B256-B255))</f>
        <v/>
      </c>
      <c r="D256" s="1119" t="str">
        <f t="shared" ca="1" si="65"/>
        <v/>
      </c>
      <c r="E256" s="1119"/>
      <c r="F256" s="1119" t="str">
        <f t="shared" ca="1" si="66"/>
        <v/>
      </c>
      <c r="G256" s="1119"/>
      <c r="H256" s="1119" t="str">
        <f t="shared" ca="1" si="67"/>
        <v/>
      </c>
      <c r="I256" s="1119"/>
      <c r="J256" s="1119" t="str">
        <f t="shared" ca="1" si="68"/>
        <v/>
      </c>
      <c r="K256" s="1119"/>
      <c r="L256" s="1119" t="str">
        <f t="shared" ca="1" si="69"/>
        <v/>
      </c>
      <c r="M256" s="1119"/>
      <c r="N256" s="1119" t="str">
        <f t="shared" ca="1" si="70"/>
        <v/>
      </c>
      <c r="O256" s="1119"/>
      <c r="P256" s="1119" t="str">
        <f t="shared" ca="1" si="71"/>
        <v/>
      </c>
      <c r="Q256" s="1119"/>
      <c r="R256" s="1119"/>
      <c r="S256" s="1119" t="str">
        <f t="shared" ca="1" si="72"/>
        <v/>
      </c>
      <c r="T256" s="1119"/>
      <c r="U256" s="1119"/>
      <c r="V256" s="703"/>
      <c r="W256" s="859" t="str">
        <f t="shared" ca="1" si="62"/>
        <v/>
      </c>
      <c r="X256" s="860" t="str">
        <f t="shared" ca="1" si="63"/>
        <v/>
      </c>
      <c r="Y256" s="861" t="str">
        <f ca="1">IF($B256="","",VLOOKUP(OP!$C$55,PVFB,$B256+2,0))</f>
        <v/>
      </c>
    </row>
    <row r="257" spans="1:25" ht="12" customHeight="1">
      <c r="A257" s="8"/>
      <c r="B257" s="693" t="str">
        <f t="shared" ref="B257:B268" ca="1" si="73">IF(OR(C256&gt;=110,C256=""),"",IF(C256+1&gt;110,111-$C$18,B256+1))</f>
        <v/>
      </c>
      <c r="C257" s="689" t="str">
        <f ca="1">IF(OR($A$2=1,MAX($C$151:$C$210,$C$218:C256)&gt;=110),"",C256+(B257-B256))</f>
        <v/>
      </c>
      <c r="D257" s="1119" t="str">
        <f t="shared" ca="1" si="65"/>
        <v/>
      </c>
      <c r="E257" s="1119"/>
      <c r="F257" s="1119" t="str">
        <f t="shared" ca="1" si="66"/>
        <v/>
      </c>
      <c r="G257" s="1119"/>
      <c r="H257" s="1119" t="str">
        <f t="shared" ca="1" si="67"/>
        <v/>
      </c>
      <c r="I257" s="1119"/>
      <c r="J257" s="1119" t="str">
        <f t="shared" ca="1" si="68"/>
        <v/>
      </c>
      <c r="K257" s="1119"/>
      <c r="L257" s="1119" t="str">
        <f t="shared" ca="1" si="69"/>
        <v/>
      </c>
      <c r="M257" s="1119"/>
      <c r="N257" s="1119" t="str">
        <f t="shared" ca="1" si="70"/>
        <v/>
      </c>
      <c r="O257" s="1119"/>
      <c r="P257" s="1119" t="str">
        <f t="shared" ca="1" si="71"/>
        <v/>
      </c>
      <c r="Q257" s="1119"/>
      <c r="R257" s="1119"/>
      <c r="S257" s="1119" t="str">
        <f t="shared" ca="1" si="72"/>
        <v/>
      </c>
      <c r="T257" s="1119"/>
      <c r="U257" s="1119"/>
      <c r="V257" s="703"/>
      <c r="W257" s="859" t="str">
        <f t="shared" ca="1" si="62"/>
        <v/>
      </c>
      <c r="X257" s="860" t="str">
        <f t="shared" ca="1" si="63"/>
        <v/>
      </c>
      <c r="Y257" s="861" t="str">
        <f ca="1">IF($B257="","",VLOOKUP(OP!$C$55,PVFB,$B257+2,0))</f>
        <v/>
      </c>
    </row>
    <row r="258" spans="1:25" ht="12" customHeight="1">
      <c r="A258" s="8"/>
      <c r="B258" s="693" t="str">
        <f t="shared" ca="1" si="73"/>
        <v/>
      </c>
      <c r="C258" s="689" t="str">
        <f ca="1">IF(OR($A$2=1,MAX($C$151:$C$210,$C$218:C257)&gt;=110),"",C257+(B258-B257))</f>
        <v/>
      </c>
      <c r="D258" s="1119" t="str">
        <f t="shared" ca="1" si="65"/>
        <v/>
      </c>
      <c r="E258" s="1119"/>
      <c r="F258" s="1119" t="str">
        <f t="shared" ca="1" si="66"/>
        <v/>
      </c>
      <c r="G258" s="1119"/>
      <c r="H258" s="1119" t="str">
        <f t="shared" ca="1" si="67"/>
        <v/>
      </c>
      <c r="I258" s="1119"/>
      <c r="J258" s="1119" t="str">
        <f t="shared" ca="1" si="68"/>
        <v/>
      </c>
      <c r="K258" s="1119"/>
      <c r="L258" s="1119" t="str">
        <f t="shared" ca="1" si="69"/>
        <v/>
      </c>
      <c r="M258" s="1119"/>
      <c r="N258" s="1119" t="str">
        <f t="shared" ca="1" si="70"/>
        <v/>
      </c>
      <c r="O258" s="1119"/>
      <c r="P258" s="1119" t="str">
        <f t="shared" ca="1" si="71"/>
        <v/>
      </c>
      <c r="Q258" s="1119"/>
      <c r="R258" s="1119"/>
      <c r="S258" s="1119" t="str">
        <f t="shared" ca="1" si="72"/>
        <v/>
      </c>
      <c r="T258" s="1119"/>
      <c r="U258" s="1119"/>
      <c r="V258" s="703"/>
      <c r="W258" s="859" t="str">
        <f t="shared" ca="1" si="62"/>
        <v/>
      </c>
      <c r="X258" s="860" t="str">
        <f t="shared" ca="1" si="63"/>
        <v/>
      </c>
      <c r="Y258" s="861" t="str">
        <f ca="1">IF($B258="","",VLOOKUP(OP!$C$55,PVFB,$B258+2,0))</f>
        <v/>
      </c>
    </row>
    <row r="259" spans="1:25" ht="12" customHeight="1">
      <c r="A259" s="8"/>
      <c r="B259" s="693" t="str">
        <f t="shared" ca="1" si="73"/>
        <v/>
      </c>
      <c r="C259" s="689" t="str">
        <f ca="1">IF(OR($A$2=1,MAX($C$151:$C$210,$C$218:C258)&gt;=110),"",C258+(B259-B258))</f>
        <v/>
      </c>
      <c r="D259" s="1119" t="str">
        <f t="shared" ca="1" si="65"/>
        <v/>
      </c>
      <c r="E259" s="1119"/>
      <c r="F259" s="1119" t="str">
        <f t="shared" ca="1" si="66"/>
        <v/>
      </c>
      <c r="G259" s="1119"/>
      <c r="H259" s="1119" t="str">
        <f t="shared" ca="1" si="67"/>
        <v/>
      </c>
      <c r="I259" s="1119"/>
      <c r="J259" s="1119" t="str">
        <f t="shared" ca="1" si="68"/>
        <v/>
      </c>
      <c r="K259" s="1119"/>
      <c r="L259" s="1119" t="str">
        <f t="shared" ca="1" si="69"/>
        <v/>
      </c>
      <c r="M259" s="1119"/>
      <c r="N259" s="1119" t="str">
        <f t="shared" ca="1" si="70"/>
        <v/>
      </c>
      <c r="O259" s="1119"/>
      <c r="P259" s="1119" t="str">
        <f t="shared" ca="1" si="71"/>
        <v/>
      </c>
      <c r="Q259" s="1119"/>
      <c r="R259" s="1119"/>
      <c r="S259" s="1119" t="str">
        <f t="shared" ca="1" si="72"/>
        <v/>
      </c>
      <c r="T259" s="1119"/>
      <c r="U259" s="1119"/>
      <c r="V259" s="703"/>
      <c r="W259" s="859" t="str">
        <f t="shared" ca="1" si="62"/>
        <v/>
      </c>
      <c r="X259" s="860" t="str">
        <f t="shared" ca="1" si="63"/>
        <v/>
      </c>
      <c r="Y259" s="861" t="str">
        <f ca="1">IF($B259="","",VLOOKUP(OP!$C$55,PVFB,$B259+2,0))</f>
        <v/>
      </c>
    </row>
    <row r="260" spans="1:25" ht="12" customHeight="1">
      <c r="A260" s="8"/>
      <c r="B260" s="693" t="str">
        <f t="shared" ca="1" si="73"/>
        <v/>
      </c>
      <c r="C260" s="689" t="str">
        <f ca="1">IF(OR($A$2=1,MAX($C$151:$C$210,$C$218:C259)&gt;=110),"",C259+(B260-B259))</f>
        <v/>
      </c>
      <c r="D260" s="1119" t="str">
        <f t="shared" ca="1" si="65"/>
        <v/>
      </c>
      <c r="E260" s="1119"/>
      <c r="F260" s="1119" t="str">
        <f t="shared" ca="1" si="66"/>
        <v/>
      </c>
      <c r="G260" s="1119"/>
      <c r="H260" s="1119" t="str">
        <f t="shared" ca="1" si="67"/>
        <v/>
      </c>
      <c r="I260" s="1119"/>
      <c r="J260" s="1119" t="str">
        <f t="shared" ca="1" si="68"/>
        <v/>
      </c>
      <c r="K260" s="1119"/>
      <c r="L260" s="1119" t="str">
        <f t="shared" ca="1" si="69"/>
        <v/>
      </c>
      <c r="M260" s="1119"/>
      <c r="N260" s="1119" t="str">
        <f t="shared" ca="1" si="70"/>
        <v/>
      </c>
      <c r="O260" s="1119"/>
      <c r="P260" s="1119" t="str">
        <f t="shared" ca="1" si="71"/>
        <v/>
      </c>
      <c r="Q260" s="1119"/>
      <c r="R260" s="1119"/>
      <c r="S260" s="1119" t="str">
        <f t="shared" ca="1" si="72"/>
        <v/>
      </c>
      <c r="T260" s="1119"/>
      <c r="U260" s="1119"/>
      <c r="V260" s="703"/>
      <c r="W260" s="859" t="str">
        <f t="shared" ca="1" si="62"/>
        <v/>
      </c>
      <c r="X260" s="860" t="str">
        <f t="shared" ca="1" si="63"/>
        <v/>
      </c>
      <c r="Y260" s="861" t="str">
        <f ca="1">IF($B260="","",VLOOKUP(OP!$C$55,PVFB,$B260+2,0))</f>
        <v/>
      </c>
    </row>
    <row r="261" spans="1:25" ht="12" customHeight="1">
      <c r="A261" s="8"/>
      <c r="B261" s="693" t="str">
        <f t="shared" ca="1" si="73"/>
        <v/>
      </c>
      <c r="C261" s="689" t="str">
        <f ca="1">IF(OR($A$2=1,MAX($C$151:$C$210,$C$218:C260)&gt;=110),"",C260+(B261-B260))</f>
        <v/>
      </c>
      <c r="D261" s="1119" t="str">
        <f t="shared" ca="1" si="65"/>
        <v/>
      </c>
      <c r="E261" s="1119"/>
      <c r="F261" s="1119" t="str">
        <f t="shared" ca="1" si="66"/>
        <v/>
      </c>
      <c r="G261" s="1119"/>
      <c r="H261" s="1119" t="str">
        <f t="shared" ca="1" si="67"/>
        <v/>
      </c>
      <c r="I261" s="1119"/>
      <c r="J261" s="1119" t="str">
        <f t="shared" ca="1" si="68"/>
        <v/>
      </c>
      <c r="K261" s="1119"/>
      <c r="L261" s="1119" t="str">
        <f t="shared" ca="1" si="69"/>
        <v/>
      </c>
      <c r="M261" s="1119"/>
      <c r="N261" s="1119" t="str">
        <f t="shared" ca="1" si="70"/>
        <v/>
      </c>
      <c r="O261" s="1119"/>
      <c r="P261" s="1119" t="str">
        <f t="shared" ca="1" si="71"/>
        <v/>
      </c>
      <c r="Q261" s="1119"/>
      <c r="R261" s="1119"/>
      <c r="S261" s="1119" t="str">
        <f t="shared" ca="1" si="72"/>
        <v/>
      </c>
      <c r="T261" s="1119"/>
      <c r="U261" s="1119"/>
      <c r="V261" s="703"/>
      <c r="W261" s="859" t="str">
        <f t="shared" ca="1" si="62"/>
        <v/>
      </c>
      <c r="X261" s="860" t="str">
        <f t="shared" ca="1" si="63"/>
        <v/>
      </c>
      <c r="Y261" s="861" t="str">
        <f ca="1">IF($B261="","",VLOOKUP(OP!$C$55,PVFB,$B261+2,0))</f>
        <v/>
      </c>
    </row>
    <row r="262" spans="1:25" ht="12" customHeight="1">
      <c r="A262" s="8"/>
      <c r="B262" s="693" t="str">
        <f t="shared" ca="1" si="73"/>
        <v/>
      </c>
      <c r="C262" s="689" t="str">
        <f ca="1">IF(OR($A$2=1,MAX($C$151:$C$210,$C$218:C261)&gt;=110),"",C261+(B262-B261))</f>
        <v/>
      </c>
      <c r="D262" s="1119" t="str">
        <f t="shared" ca="1" si="65"/>
        <v/>
      </c>
      <c r="E262" s="1119"/>
      <c r="F262" s="1119" t="str">
        <f t="shared" ca="1" si="66"/>
        <v/>
      </c>
      <c r="G262" s="1119"/>
      <c r="H262" s="1119" t="str">
        <f t="shared" ca="1" si="67"/>
        <v/>
      </c>
      <c r="I262" s="1119"/>
      <c r="J262" s="1119" t="str">
        <f t="shared" ca="1" si="68"/>
        <v/>
      </c>
      <c r="K262" s="1119"/>
      <c r="L262" s="1119" t="str">
        <f t="shared" ca="1" si="69"/>
        <v/>
      </c>
      <c r="M262" s="1119"/>
      <c r="N262" s="1119" t="str">
        <f t="shared" ca="1" si="70"/>
        <v/>
      </c>
      <c r="O262" s="1119"/>
      <c r="P262" s="1119" t="str">
        <f t="shared" ca="1" si="71"/>
        <v/>
      </c>
      <c r="Q262" s="1119"/>
      <c r="R262" s="1119"/>
      <c r="S262" s="1119" t="str">
        <f t="shared" ca="1" si="72"/>
        <v/>
      </c>
      <c r="T262" s="1119"/>
      <c r="U262" s="1119"/>
      <c r="V262" s="703"/>
      <c r="W262" s="859" t="str">
        <f t="shared" ca="1" si="62"/>
        <v/>
      </c>
      <c r="X262" s="860" t="str">
        <f t="shared" ca="1" si="63"/>
        <v/>
      </c>
      <c r="Y262" s="861" t="str">
        <f ca="1">IF($B262="","",VLOOKUP(OP!$C$55,PVFB,$B262+2,0))</f>
        <v/>
      </c>
    </row>
    <row r="263" spans="1:25" ht="12" customHeight="1">
      <c r="A263" s="8"/>
      <c r="B263" s="693" t="str">
        <f t="shared" ca="1" si="73"/>
        <v/>
      </c>
      <c r="C263" s="689" t="str">
        <f ca="1">IF(OR($A$2=1,MAX($C$151:$C$210,$C$218:C262)&gt;=110),"",C262+(B263-B262))</f>
        <v/>
      </c>
      <c r="D263" s="1119" t="str">
        <f t="shared" ca="1" si="65"/>
        <v/>
      </c>
      <c r="E263" s="1119"/>
      <c r="F263" s="1119" t="str">
        <f t="shared" ca="1" si="66"/>
        <v/>
      </c>
      <c r="G263" s="1119"/>
      <c r="H263" s="1119" t="str">
        <f t="shared" ca="1" si="67"/>
        <v/>
      </c>
      <c r="I263" s="1119"/>
      <c r="J263" s="1119" t="str">
        <f t="shared" ca="1" si="68"/>
        <v/>
      </c>
      <c r="K263" s="1119"/>
      <c r="L263" s="1119" t="str">
        <f t="shared" ca="1" si="69"/>
        <v/>
      </c>
      <c r="M263" s="1119"/>
      <c r="N263" s="1119" t="str">
        <f t="shared" ca="1" si="70"/>
        <v/>
      </c>
      <c r="O263" s="1119"/>
      <c r="P263" s="1119" t="str">
        <f t="shared" ca="1" si="71"/>
        <v/>
      </c>
      <c r="Q263" s="1119"/>
      <c r="R263" s="1119"/>
      <c r="S263" s="1119" t="str">
        <f t="shared" ca="1" si="72"/>
        <v/>
      </c>
      <c r="T263" s="1119"/>
      <c r="U263" s="1119"/>
      <c r="V263" s="703"/>
      <c r="W263" s="859" t="str">
        <f t="shared" ca="1" si="62"/>
        <v/>
      </c>
      <c r="X263" s="860" t="str">
        <f t="shared" ca="1" si="63"/>
        <v/>
      </c>
      <c r="Y263" s="861" t="str">
        <f ca="1">IF($B263="","",VLOOKUP(OP!$C$55,PVFB,$B263+2,0))</f>
        <v/>
      </c>
    </row>
    <row r="264" spans="1:25" ht="12" customHeight="1">
      <c r="A264" s="8"/>
      <c r="B264" s="693" t="str">
        <f t="shared" ca="1" si="73"/>
        <v/>
      </c>
      <c r="C264" s="689" t="str">
        <f ca="1">IF(OR($A$2=1,MAX($C$151:$C$210,$C$218:C263)&gt;=110),"",C263+(B264-B263))</f>
        <v/>
      </c>
      <c r="D264" s="1119" t="str">
        <f t="shared" ca="1" si="65"/>
        <v/>
      </c>
      <c r="E264" s="1119"/>
      <c r="F264" s="1119" t="str">
        <f t="shared" ca="1" si="66"/>
        <v/>
      </c>
      <c r="G264" s="1119"/>
      <c r="H264" s="1119" t="str">
        <f t="shared" ca="1" si="67"/>
        <v/>
      </c>
      <c r="I264" s="1119"/>
      <c r="J264" s="1119" t="str">
        <f t="shared" ca="1" si="68"/>
        <v/>
      </c>
      <c r="K264" s="1119"/>
      <c r="L264" s="1119" t="str">
        <f t="shared" ca="1" si="69"/>
        <v/>
      </c>
      <c r="M264" s="1119"/>
      <c r="N264" s="1119" t="str">
        <f t="shared" ca="1" si="70"/>
        <v/>
      </c>
      <c r="O264" s="1119"/>
      <c r="P264" s="1119" t="str">
        <f t="shared" ca="1" si="71"/>
        <v/>
      </c>
      <c r="Q264" s="1119"/>
      <c r="R264" s="1119"/>
      <c r="S264" s="1119" t="str">
        <f t="shared" ca="1" si="72"/>
        <v/>
      </c>
      <c r="T264" s="1119"/>
      <c r="U264" s="1119"/>
      <c r="V264" s="703"/>
      <c r="W264" s="859" t="str">
        <f t="shared" ca="1" si="62"/>
        <v/>
      </c>
      <c r="X264" s="860" t="str">
        <f t="shared" ca="1" si="63"/>
        <v/>
      </c>
      <c r="Y264" s="861" t="str">
        <f ca="1">IF($B264="","",VLOOKUP(OP!$C$55,PVFB,$B264+2,0))</f>
        <v/>
      </c>
    </row>
    <row r="265" spans="1:25" ht="12" customHeight="1">
      <c r="A265" s="8"/>
      <c r="B265" s="693" t="str">
        <f t="shared" ca="1" si="73"/>
        <v/>
      </c>
      <c r="C265" s="689" t="str">
        <f ca="1">IF(OR($A$2=1,MAX($C$151:$C$210,$C$218:C264)&gt;=110),"",C264+(B265-B264))</f>
        <v/>
      </c>
      <c r="D265" s="1119" t="str">
        <f t="shared" ca="1" si="65"/>
        <v/>
      </c>
      <c r="E265" s="1119"/>
      <c r="F265" s="1119" t="str">
        <f t="shared" ca="1" si="66"/>
        <v/>
      </c>
      <c r="G265" s="1119"/>
      <c r="H265" s="1119" t="str">
        <f t="shared" ca="1" si="67"/>
        <v/>
      </c>
      <c r="I265" s="1119"/>
      <c r="J265" s="1119" t="str">
        <f t="shared" ca="1" si="68"/>
        <v/>
      </c>
      <c r="K265" s="1119"/>
      <c r="L265" s="1119" t="str">
        <f t="shared" ca="1" si="69"/>
        <v/>
      </c>
      <c r="M265" s="1119"/>
      <c r="N265" s="1119" t="str">
        <f t="shared" ca="1" si="70"/>
        <v/>
      </c>
      <c r="O265" s="1119"/>
      <c r="P265" s="1119" t="str">
        <f t="shared" ca="1" si="71"/>
        <v/>
      </c>
      <c r="Q265" s="1119"/>
      <c r="R265" s="1119"/>
      <c r="S265" s="1119" t="str">
        <f t="shared" ca="1" si="72"/>
        <v/>
      </c>
      <c r="T265" s="1119"/>
      <c r="U265" s="1119"/>
      <c r="V265" s="703"/>
      <c r="W265" s="859" t="str">
        <f t="shared" ca="1" si="62"/>
        <v/>
      </c>
      <c r="X265" s="860" t="str">
        <f t="shared" ca="1" si="63"/>
        <v/>
      </c>
      <c r="Y265" s="861" t="str">
        <f ca="1">IF($B265="","",VLOOKUP(OP!$C$55,PVFB,$B265+2,0))</f>
        <v/>
      </c>
    </row>
    <row r="266" spans="1:25" ht="12" customHeight="1">
      <c r="A266" s="8"/>
      <c r="B266" s="693" t="str">
        <f t="shared" ca="1" si="73"/>
        <v/>
      </c>
      <c r="C266" s="689" t="str">
        <f ca="1">IF(OR($A$2=1,MAX($C$151:$C$210,$C$218:C265)&gt;=110),"",C265+(B266-B265))</f>
        <v/>
      </c>
      <c r="D266" s="1119" t="str">
        <f t="shared" ca="1" si="65"/>
        <v/>
      </c>
      <c r="E266" s="1119"/>
      <c r="F266" s="1119" t="str">
        <f t="shared" ca="1" si="66"/>
        <v/>
      </c>
      <c r="G266" s="1119"/>
      <c r="H266" s="1119" t="str">
        <f t="shared" ca="1" si="67"/>
        <v/>
      </c>
      <c r="I266" s="1119"/>
      <c r="J266" s="1119" t="str">
        <f t="shared" ca="1" si="68"/>
        <v/>
      </c>
      <c r="K266" s="1119"/>
      <c r="L266" s="1119" t="str">
        <f t="shared" ca="1" si="69"/>
        <v/>
      </c>
      <c r="M266" s="1119"/>
      <c r="N266" s="1119" t="str">
        <f t="shared" ca="1" si="70"/>
        <v/>
      </c>
      <c r="O266" s="1119"/>
      <c r="P266" s="1119" t="str">
        <f t="shared" ca="1" si="71"/>
        <v/>
      </c>
      <c r="Q266" s="1119"/>
      <c r="R266" s="1119"/>
      <c r="S266" s="1119" t="str">
        <f t="shared" ca="1" si="72"/>
        <v/>
      </c>
      <c r="T266" s="1119"/>
      <c r="U266" s="1119"/>
      <c r="V266" s="703"/>
      <c r="W266" s="859" t="str">
        <f t="shared" ca="1" si="62"/>
        <v/>
      </c>
      <c r="X266" s="860" t="str">
        <f t="shared" ca="1" si="63"/>
        <v/>
      </c>
      <c r="Y266" s="861" t="str">
        <f ca="1">IF($B266="","",VLOOKUP(OP!$C$55,PVFB,$B266+2,0))</f>
        <v/>
      </c>
    </row>
    <row r="267" spans="1:25" ht="12" customHeight="1">
      <c r="A267" s="8"/>
      <c r="B267" s="693" t="str">
        <f t="shared" ca="1" si="73"/>
        <v/>
      </c>
      <c r="C267" s="689" t="str">
        <f ca="1">IF(OR($A$2=1,MAX($C$151:$C$210,$C$218:C266)&gt;=110),"",C266+(B267-B266))</f>
        <v/>
      </c>
      <c r="D267" s="1119" t="str">
        <f t="shared" ca="1" si="65"/>
        <v/>
      </c>
      <c r="E267" s="1119"/>
      <c r="F267" s="1119" t="str">
        <f t="shared" ca="1" si="66"/>
        <v/>
      </c>
      <c r="G267" s="1119"/>
      <c r="H267" s="1119" t="str">
        <f t="shared" ca="1" si="67"/>
        <v/>
      </c>
      <c r="I267" s="1119"/>
      <c r="J267" s="1119" t="str">
        <f t="shared" ca="1" si="68"/>
        <v/>
      </c>
      <c r="K267" s="1119"/>
      <c r="L267" s="1119" t="str">
        <f t="shared" ca="1" si="69"/>
        <v/>
      </c>
      <c r="M267" s="1119"/>
      <c r="N267" s="1119" t="str">
        <f t="shared" ca="1" si="70"/>
        <v/>
      </c>
      <c r="O267" s="1119"/>
      <c r="P267" s="1119" t="str">
        <f t="shared" ca="1" si="71"/>
        <v/>
      </c>
      <c r="Q267" s="1119"/>
      <c r="R267" s="1119"/>
      <c r="S267" s="1119" t="str">
        <f t="shared" ca="1" si="72"/>
        <v/>
      </c>
      <c r="T267" s="1119"/>
      <c r="U267" s="1119"/>
      <c r="V267" s="703"/>
      <c r="W267" s="859" t="str">
        <f t="shared" ca="1" si="62"/>
        <v/>
      </c>
      <c r="X267" s="860" t="str">
        <f t="shared" ca="1" si="63"/>
        <v/>
      </c>
      <c r="Y267" s="861" t="str">
        <f ca="1">IF($B267="","",VLOOKUP(OP!$C$55,PVFB,$B267+2,0))</f>
        <v/>
      </c>
    </row>
    <row r="268" spans="1:25" ht="12" customHeight="1">
      <c r="A268" s="8"/>
      <c r="B268" s="693" t="str">
        <f t="shared" ca="1" si="73"/>
        <v/>
      </c>
      <c r="C268" s="689" t="str">
        <f ca="1">IF(OR($A$2=1,MAX($C$151:$C$210,$C$218:C267)&gt;=110),"",C267+(B268-B267))</f>
        <v/>
      </c>
      <c r="D268" s="1119" t="str">
        <f t="shared" ca="1" si="65"/>
        <v/>
      </c>
      <c r="E268" s="1119"/>
      <c r="F268" s="1119" t="str">
        <f t="shared" ca="1" si="66"/>
        <v/>
      </c>
      <c r="G268" s="1119"/>
      <c r="H268" s="1119" t="str">
        <f t="shared" ca="1" si="67"/>
        <v/>
      </c>
      <c r="I268" s="1119"/>
      <c r="J268" s="1119" t="str">
        <f t="shared" ca="1" si="68"/>
        <v/>
      </c>
      <c r="K268" s="1119"/>
      <c r="L268" s="1119" t="str">
        <f t="shared" ca="1" si="69"/>
        <v/>
      </c>
      <c r="M268" s="1119"/>
      <c r="N268" s="1119" t="str">
        <f t="shared" ca="1" si="70"/>
        <v/>
      </c>
      <c r="O268" s="1119"/>
      <c r="P268" s="1119" t="str">
        <f t="shared" ca="1" si="71"/>
        <v/>
      </c>
      <c r="Q268" s="1119"/>
      <c r="R268" s="1119"/>
      <c r="S268" s="1119" t="str">
        <f t="shared" ca="1" si="72"/>
        <v/>
      </c>
      <c r="T268" s="1119"/>
      <c r="U268" s="1119"/>
      <c r="V268" s="703"/>
      <c r="W268" s="859" t="str">
        <f t="shared" ca="1" si="62"/>
        <v/>
      </c>
      <c r="X268" s="860" t="str">
        <f t="shared" ca="1" si="63"/>
        <v/>
      </c>
      <c r="Y268" s="861" t="str">
        <f ca="1">IF($B268="","",VLOOKUP(OP!$C$55,PVFB,$B268+2,0))</f>
        <v/>
      </c>
    </row>
    <row r="269" spans="1:25" ht="12" customHeight="1">
      <c r="A269" s="8"/>
      <c r="B269" s="1182" t="str">
        <f ca="1">IF(OR($A$2=1),"",IF(B211="","增額繳清保險金額祝壽保險金(預估值) ："&amp;TEXT(VLOOKUP(OP!$C$57,MORE_PV,8,0),"#,##0 元 "),""))</f>
        <v xml:space="preserve">增額繳清保險金額祝壽保險金(預估值) ：88,773 元 </v>
      </c>
      <c r="C269" s="1183"/>
      <c r="D269" s="1183"/>
      <c r="E269" s="1183"/>
      <c r="F269" s="1183"/>
      <c r="G269" s="1183"/>
      <c r="H269" s="1183"/>
      <c r="I269" s="1183"/>
      <c r="J269" s="1183"/>
      <c r="K269" s="1183"/>
      <c r="L269" s="1183"/>
      <c r="M269" s="1183"/>
      <c r="N269" s="1183"/>
      <c r="O269" s="1183"/>
      <c r="P269" s="1183"/>
      <c r="Q269" s="1183"/>
      <c r="R269" s="1183"/>
      <c r="S269" s="1183"/>
      <c r="T269" s="1183"/>
      <c r="U269" s="1184"/>
      <c r="V269" s="703"/>
      <c r="W269" s="703"/>
      <c r="X269" s="703"/>
      <c r="Y269" s="703"/>
    </row>
    <row r="270" spans="1:25" ht="12" customHeight="1">
      <c r="A270" s="8"/>
      <c r="B270" s="166" t="s">
        <v>1055</v>
      </c>
      <c r="C270" s="170"/>
      <c r="D270" s="258"/>
      <c r="E270" s="258"/>
      <c r="F270" s="259"/>
      <c r="G270" s="259"/>
      <c r="H270" s="259"/>
      <c r="I270" s="259"/>
      <c r="J270" s="260"/>
      <c r="K270" s="260"/>
      <c r="L270" s="261"/>
      <c r="M270" s="261"/>
      <c r="N270" s="261"/>
      <c r="O270" s="261"/>
      <c r="P270" s="261"/>
      <c r="Q270" s="261"/>
      <c r="R270" s="261"/>
      <c r="S270" s="261"/>
      <c r="T270" s="261"/>
      <c r="U270" s="261"/>
    </row>
    <row r="271" spans="1:25" ht="12" customHeight="1">
      <c r="A271" s="8"/>
      <c r="B271" s="166" t="str">
        <f ca="1">"  假設以「試算表試算日」為保單生效日且宣告利率各年度均以"&amp;TEXT(計算!$G$3,"0.00%")&amp;"為例，並按投保後實際經過日數計算，實際宣告利"</f>
        <v xml:space="preserve">  假設以「試算表試算日」為保單生效日且宣告利率各年度均以2.69%為例，並按投保後實際經過日數計算，實際宣告利</v>
      </c>
      <c r="C271" s="170"/>
      <c r="D271" s="258"/>
      <c r="E271" s="258"/>
      <c r="F271" s="259"/>
      <c r="G271" s="259"/>
      <c r="H271" s="259"/>
      <c r="I271" s="259"/>
      <c r="J271" s="260"/>
      <c r="K271" s="260"/>
      <c r="L271" s="261"/>
      <c r="M271" s="261"/>
      <c r="N271" s="261"/>
      <c r="O271" s="261"/>
      <c r="P271" s="261"/>
      <c r="Q271" s="261"/>
      <c r="R271" s="261"/>
      <c r="S271" s="261"/>
      <c r="T271" s="261"/>
      <c r="U271" s="261"/>
    </row>
    <row r="272" spans="1:25" ht="12" customHeight="1">
      <c r="A272" s="8"/>
      <c r="B272" s="166" t="s">
        <v>1340</v>
      </c>
      <c r="C272" s="170"/>
      <c r="D272" s="258"/>
      <c r="E272" s="258"/>
      <c r="F272" s="259"/>
      <c r="G272" s="259"/>
      <c r="H272" s="259"/>
      <c r="I272" s="259"/>
      <c r="J272" s="260"/>
      <c r="K272" s="260"/>
      <c r="L272" s="261"/>
      <c r="M272" s="261"/>
      <c r="N272" s="261"/>
      <c r="O272" s="261"/>
      <c r="P272" s="261"/>
      <c r="Q272" s="261"/>
      <c r="R272" s="261"/>
      <c r="S272" s="261"/>
      <c r="T272" s="261"/>
      <c r="U272" s="261"/>
    </row>
    <row r="273" spans="1:21" ht="12" customHeight="1">
      <c r="A273" s="8"/>
      <c r="B273" s="541" t="s">
        <v>936</v>
      </c>
      <c r="C273" s="170"/>
      <c r="D273" s="258"/>
      <c r="E273" s="258"/>
      <c r="F273" s="259"/>
      <c r="G273" s="259"/>
      <c r="H273" s="259"/>
      <c r="I273" s="259"/>
      <c r="J273" s="260"/>
      <c r="K273" s="260"/>
      <c r="L273" s="261"/>
      <c r="M273" s="261"/>
      <c r="N273" s="261"/>
      <c r="O273" s="261"/>
      <c r="P273" s="261"/>
      <c r="Q273" s="261"/>
      <c r="R273" s="261"/>
      <c r="S273" s="261"/>
      <c r="T273" s="261"/>
      <c r="U273" s="261"/>
    </row>
    <row r="274" spans="1:21" ht="12" customHeight="1">
      <c r="A274" s="8"/>
      <c r="B274" s="541" t="s">
        <v>937</v>
      </c>
      <c r="C274" s="170"/>
      <c r="D274" s="258"/>
      <c r="E274" s="258"/>
      <c r="F274" s="259"/>
      <c r="G274" s="259"/>
      <c r="H274" s="259"/>
      <c r="I274" s="259"/>
      <c r="J274" s="260"/>
      <c r="K274" s="260"/>
      <c r="L274" s="261"/>
      <c r="M274" s="261"/>
      <c r="N274" s="261"/>
      <c r="O274" s="261"/>
      <c r="P274" s="261"/>
      <c r="Q274" s="261"/>
      <c r="R274" s="261"/>
      <c r="S274" s="261"/>
      <c r="T274" s="261"/>
      <c r="U274" s="261"/>
    </row>
    <row r="275" spans="1:21" ht="12" customHeight="1">
      <c r="A275" s="8"/>
      <c r="B275" s="166" t="s">
        <v>555</v>
      </c>
      <c r="C275" s="170"/>
      <c r="D275" s="258"/>
      <c r="E275" s="258"/>
      <c r="F275" s="259"/>
      <c r="G275" s="259"/>
      <c r="H275" s="259"/>
      <c r="I275" s="259"/>
      <c r="J275" s="260"/>
      <c r="K275" s="260"/>
      <c r="L275" s="261"/>
      <c r="M275" s="261"/>
      <c r="N275" s="261"/>
      <c r="O275" s="261"/>
      <c r="P275" s="261"/>
      <c r="Q275" s="261"/>
      <c r="R275" s="261"/>
      <c r="S275" s="261"/>
      <c r="T275" s="261"/>
      <c r="U275" s="261"/>
    </row>
    <row r="276" spans="1:21" ht="12" customHeight="1">
      <c r="A276" s="8"/>
      <c r="B276" s="151" t="s">
        <v>1360</v>
      </c>
      <c r="C276" s="170"/>
      <c r="D276" s="258"/>
      <c r="E276" s="258"/>
      <c r="F276" s="259"/>
      <c r="G276" s="259"/>
      <c r="H276" s="259"/>
      <c r="I276" s="259"/>
      <c r="J276" s="260"/>
      <c r="K276" s="260"/>
      <c r="L276" s="261"/>
      <c r="M276" s="261"/>
      <c r="N276" s="261"/>
      <c r="O276" s="261"/>
      <c r="P276" s="261"/>
      <c r="Q276" s="261"/>
      <c r="R276" s="261"/>
      <c r="S276" s="261"/>
      <c r="T276" s="261"/>
      <c r="U276" s="261"/>
    </row>
    <row r="277" spans="1:21" ht="12" customHeight="1">
      <c r="A277" s="8"/>
      <c r="B277" s="151" t="s">
        <v>933</v>
      </c>
      <c r="C277" s="170"/>
      <c r="D277" s="258"/>
      <c r="E277" s="258"/>
      <c r="F277" s="259"/>
      <c r="G277" s="259"/>
      <c r="H277" s="259"/>
      <c r="I277" s="259"/>
      <c r="J277" s="260"/>
      <c r="K277" s="260"/>
      <c r="L277" s="261"/>
      <c r="M277" s="261"/>
      <c r="N277" s="261"/>
      <c r="O277" s="261"/>
      <c r="P277" s="261"/>
      <c r="Q277" s="261"/>
      <c r="R277" s="261"/>
      <c r="S277" s="261"/>
      <c r="T277" s="261"/>
      <c r="U277" s="261"/>
    </row>
    <row r="278" spans="1:21" ht="12" customHeight="1">
      <c r="A278" s="8"/>
      <c r="B278" s="151" t="s">
        <v>934</v>
      </c>
      <c r="C278" s="170"/>
      <c r="D278" s="258"/>
      <c r="E278" s="258"/>
      <c r="F278" s="259"/>
      <c r="G278" s="259"/>
      <c r="H278" s="259"/>
      <c r="I278" s="259"/>
      <c r="J278" s="260"/>
      <c r="K278" s="260"/>
      <c r="L278" s="261"/>
      <c r="M278" s="261"/>
      <c r="N278" s="261"/>
      <c r="O278" s="261"/>
      <c r="P278" s="261"/>
      <c r="Q278" s="261"/>
      <c r="R278" s="261"/>
      <c r="S278" s="261"/>
      <c r="T278" s="261"/>
      <c r="U278" s="261"/>
    </row>
    <row r="279" spans="1:21" ht="12" customHeight="1">
      <c r="A279" s="8"/>
      <c r="B279" s="151" t="s">
        <v>935</v>
      </c>
      <c r="C279" s="170"/>
      <c r="D279" s="258"/>
      <c r="E279" s="258"/>
      <c r="F279" s="259"/>
      <c r="G279" s="259"/>
      <c r="H279" s="259"/>
      <c r="I279" s="259"/>
      <c r="J279" s="260"/>
      <c r="K279" s="260"/>
      <c r="L279" s="261"/>
      <c r="M279" s="261"/>
      <c r="N279" s="261"/>
      <c r="O279" s="261"/>
      <c r="P279" s="261"/>
      <c r="Q279" s="261"/>
      <c r="R279" s="261"/>
      <c r="S279" s="261"/>
      <c r="T279" s="261"/>
      <c r="U279" s="261"/>
    </row>
    <row r="280" spans="1:21" ht="12" customHeight="1">
      <c r="A280" s="8"/>
      <c r="B280" s="151" t="s">
        <v>1341</v>
      </c>
      <c r="C280" s="170"/>
      <c r="D280" s="258"/>
      <c r="E280" s="258"/>
      <c r="F280" s="259"/>
      <c r="G280" s="259"/>
      <c r="H280" s="259"/>
      <c r="I280" s="259"/>
      <c r="J280" s="260"/>
      <c r="K280" s="260"/>
      <c r="L280" s="261"/>
      <c r="M280" s="261"/>
      <c r="N280" s="261"/>
      <c r="O280" s="261"/>
      <c r="P280" s="261"/>
      <c r="Q280" s="261"/>
      <c r="R280" s="261"/>
      <c r="S280" s="261"/>
      <c r="T280" s="261"/>
      <c r="U280" s="261"/>
    </row>
    <row r="281" spans="1:21" ht="12" customHeight="1">
      <c r="A281" s="8"/>
      <c r="B281" s="151" t="s">
        <v>1361</v>
      </c>
      <c r="C281" s="170"/>
      <c r="D281" s="258"/>
      <c r="E281" s="258"/>
      <c r="F281" s="259"/>
      <c r="G281" s="259"/>
      <c r="H281" s="259"/>
      <c r="I281" s="259"/>
      <c r="J281" s="260"/>
      <c r="K281" s="260"/>
      <c r="L281" s="261"/>
      <c r="M281" s="261"/>
      <c r="N281" s="261"/>
      <c r="O281" s="261"/>
      <c r="P281" s="261"/>
      <c r="Q281" s="261"/>
      <c r="R281" s="261"/>
      <c r="S281" s="261"/>
      <c r="T281" s="261"/>
      <c r="U281" s="261"/>
    </row>
    <row r="282" spans="1:21" ht="12" customHeight="1">
      <c r="A282" s="8"/>
      <c r="B282" s="1126" t="s">
        <v>539</v>
      </c>
      <c r="C282" s="1126"/>
      <c r="D282" s="1126"/>
      <c r="E282" s="1126"/>
      <c r="F282" s="1126"/>
      <c r="G282" s="1126"/>
      <c r="H282" s="1126"/>
      <c r="I282" s="1126"/>
      <c r="J282" s="1126"/>
      <c r="K282" s="1126"/>
      <c r="L282" s="1126"/>
      <c r="M282" s="1126"/>
      <c r="N282" s="1126"/>
      <c r="O282" s="1126"/>
      <c r="P282" s="1126"/>
      <c r="Q282" s="1126"/>
      <c r="R282" s="1126"/>
      <c r="S282" s="1126"/>
      <c r="T282" s="1126"/>
      <c r="U282" s="1126"/>
    </row>
    <row r="283" spans="1:21" ht="11.25" customHeight="1">
      <c r="A283" s="8"/>
      <c r="B283" s="234"/>
      <c r="C283" s="235"/>
      <c r="D283" s="235"/>
      <c r="E283" s="1127"/>
      <c r="F283" s="1128"/>
      <c r="G283" s="1128"/>
      <c r="H283" s="1128"/>
      <c r="I283" s="1128"/>
      <c r="J283" s="1128"/>
      <c r="K283" s="1128"/>
      <c r="L283" s="1128"/>
      <c r="M283" s="1128"/>
      <c r="N283" s="1128"/>
      <c r="O283" s="1128"/>
      <c r="P283" s="1128"/>
      <c r="R283" s="328"/>
      <c r="S283" s="328"/>
      <c r="T283" s="328"/>
      <c r="U283" s="329" t="str">
        <f ca="1">OP!$C$54&amp;" 試算日："&amp;TEXT(OP!$C$3,"EEMMDD")</f>
        <v>V1.0-1060217 試算日：1060602</v>
      </c>
    </row>
    <row r="284" spans="1:21" ht="11.25" customHeight="1">
      <c r="A284" s="8"/>
      <c r="B284" s="787"/>
      <c r="C284" s="788"/>
      <c r="D284" s="788"/>
      <c r="E284" s="789"/>
      <c r="F284" s="790"/>
      <c r="G284" s="790"/>
      <c r="H284" s="790"/>
      <c r="I284" s="790"/>
      <c r="J284" s="790"/>
      <c r="K284" s="790"/>
      <c r="L284" s="790"/>
      <c r="M284" s="790"/>
      <c r="N284" s="790"/>
      <c r="O284" s="790"/>
      <c r="P284" s="790"/>
      <c r="Q284" s="764"/>
      <c r="R284" s="791"/>
      <c r="S284" s="791"/>
      <c r="T284" s="791"/>
      <c r="U284" s="792"/>
    </row>
    <row r="285" spans="1:21" ht="16.5">
      <c r="A285" s="8"/>
      <c r="B285" s="1177" t="s">
        <v>1362</v>
      </c>
      <c r="C285" s="1177"/>
      <c r="D285" s="1177"/>
      <c r="E285" s="1177"/>
      <c r="F285" s="1177"/>
      <c r="G285" s="1177"/>
      <c r="H285" s="1177"/>
      <c r="I285" s="1177"/>
      <c r="J285" s="1177"/>
      <c r="K285" s="1177"/>
      <c r="L285" s="1177"/>
      <c r="M285" s="1177"/>
      <c r="N285" s="1177"/>
      <c r="O285" s="1177"/>
      <c r="P285" s="1177"/>
      <c r="Q285" s="1177"/>
      <c r="R285" s="1177"/>
      <c r="S285" s="1177"/>
      <c r="T285" s="1177"/>
      <c r="U285" s="1177"/>
    </row>
    <row r="286" spans="1:21" ht="11.25" customHeight="1">
      <c r="A286" s="8"/>
      <c r="B286" s="793" t="str">
        <f>"增值回饋分享金給付方式："&amp;IF(輸入頁!$E$18=計算!$P$5,輸入頁!$E$18&amp;"金額",輸入頁!$E$18)</f>
        <v>增值回饋分享金給付方式：儲存生息</v>
      </c>
      <c r="C286" s="794"/>
      <c r="D286" s="794"/>
      <c r="E286" s="794"/>
      <c r="F286" s="794"/>
      <c r="G286" s="794"/>
      <c r="H286" s="794"/>
      <c r="I286" s="794"/>
      <c r="J286" s="794"/>
      <c r="K286" s="794"/>
      <c r="L286" s="794"/>
      <c r="M286" s="794"/>
      <c r="N286" s="794"/>
      <c r="O286" s="794"/>
      <c r="P286" s="794"/>
      <c r="Q286" s="794"/>
      <c r="R286" s="794"/>
      <c r="S286" s="794"/>
      <c r="T286" s="794"/>
      <c r="U286" s="794"/>
    </row>
    <row r="287" spans="1:21" ht="11.25" customHeight="1">
      <c r="A287" s="8"/>
      <c r="B287" s="793" t="str">
        <f ca="1">"指定保險金比例："&amp;TEXT(輸入頁!$G$25,"0%")&amp;"，"&amp;輸入頁!$F$27&amp;TEXT(輸入頁!$G$27,"0.00%")&amp;"，"&amp;輸入頁!$F$29&amp;輸入頁!$G$29&amp;"年"</f>
        <v>指定保險金比例：20%，假設分期定期保險金預定利率：2.00%，分期定期保險金給付期間：20年</v>
      </c>
      <c r="C287" s="795"/>
      <c r="D287" s="796"/>
      <c r="E287" s="796"/>
      <c r="F287" s="795"/>
      <c r="G287" s="795"/>
      <c r="H287" s="796"/>
      <c r="I287" s="796"/>
      <c r="J287" s="797"/>
      <c r="K287" s="797"/>
      <c r="L287" s="798"/>
      <c r="M287" s="798"/>
      <c r="N287" s="799"/>
      <c r="O287" s="799"/>
      <c r="P287" s="800"/>
      <c r="Q287" s="801"/>
      <c r="R287" s="802"/>
      <c r="S287" s="803"/>
      <c r="T287" s="804"/>
      <c r="U287" s="805" t="s">
        <v>1285</v>
      </c>
    </row>
    <row r="288" spans="1:21" ht="11.25" customHeight="1">
      <c r="A288" s="8"/>
      <c r="B288" s="1178" t="s">
        <v>1405</v>
      </c>
      <c r="C288" s="1178" t="s">
        <v>1406</v>
      </c>
      <c r="D288" s="1179" t="s">
        <v>1286</v>
      </c>
      <c r="E288" s="1178"/>
      <c r="F288" s="1178"/>
      <c r="G288" s="1178"/>
      <c r="H288" s="1178"/>
      <c r="I288" s="1178"/>
      <c r="J288" s="1178"/>
      <c r="K288" s="1178"/>
      <c r="L288" s="1180" t="s">
        <v>1405</v>
      </c>
      <c r="M288" s="1180" t="s">
        <v>1406</v>
      </c>
      <c r="N288" s="1181" t="s">
        <v>1286</v>
      </c>
      <c r="O288" s="1180"/>
      <c r="P288" s="1180"/>
      <c r="Q288" s="1180"/>
      <c r="R288" s="1180"/>
      <c r="S288" s="1180"/>
      <c r="T288" s="1180"/>
      <c r="U288" s="1180"/>
    </row>
    <row r="289" spans="1:21" ht="33.75" customHeight="1">
      <c r="A289" s="8"/>
      <c r="B289" s="1178"/>
      <c r="C289" s="1178"/>
      <c r="D289" s="1178" t="str">
        <f>總表!$Y$3</f>
        <v>ㄧ次給付
(預估值)</v>
      </c>
      <c r="E289" s="1178"/>
      <c r="F289" s="1178"/>
      <c r="G289" s="1178"/>
      <c r="H289" s="1178" t="str">
        <f>總表!$Z$3</f>
        <v>分期給付(年)
給付20年
(預估值)</v>
      </c>
      <c r="I289" s="1178"/>
      <c r="J289" s="1178"/>
      <c r="K289" s="1178"/>
      <c r="L289" s="1180"/>
      <c r="M289" s="1180"/>
      <c r="N289" s="1180" t="str">
        <f>總表!$Y$3</f>
        <v>ㄧ次給付
(預估值)</v>
      </c>
      <c r="O289" s="1180"/>
      <c r="P289" s="1180"/>
      <c r="Q289" s="1180"/>
      <c r="R289" s="1180" t="str">
        <f>總表!$Z$3</f>
        <v>分期給付(年)
給付20年
(預估值)</v>
      </c>
      <c r="S289" s="1180"/>
      <c r="T289" s="1180"/>
      <c r="U289" s="1180"/>
    </row>
    <row r="290" spans="1:21" ht="11.25" customHeight="1">
      <c r="A290" s="8"/>
      <c r="B290" s="862">
        <v>1</v>
      </c>
      <c r="C290" s="862">
        <f ca="1">IF($A$2=1,"",OP!$D$5)</f>
        <v>33</v>
      </c>
      <c r="D290" s="1139">
        <f t="shared" ref="D290:D321" ca="1" si="74">IF(OR($A$2=1,ISERROR(VLOOKUP($B290,TOV,24,0))),"",VLOOKUP($B290,TOV,24,0))</f>
        <v>181179</v>
      </c>
      <c r="E290" s="1140"/>
      <c r="F290" s="1140"/>
      <c r="G290" s="1141"/>
      <c r="H290" s="1139">
        <f t="shared" ref="H290:H321" ca="1" si="75">IF(OR($A$2=1,ISERROR(VLOOKUP($B290,TOV,25,0))),"",VLOOKUP($B290,TOV,25,0))</f>
        <v>0</v>
      </c>
      <c r="I290" s="1140"/>
      <c r="J290" s="1140"/>
      <c r="K290" s="1141"/>
      <c r="L290" s="863">
        <f ca="1">IF(OR(C345&gt;=110,C345=""),"",IF(C345+1&gt;110,111-$C$16,B345+1))</f>
        <v>57</v>
      </c>
      <c r="M290" s="862">
        <f ca="1">IF(OR($A$2=1,MAX($C$290:$C$345)&gt;=110),"",C345+(L290-B345))</f>
        <v>89</v>
      </c>
      <c r="N290" s="1139">
        <f t="shared" ref="N290:N321" ca="1" si="76">IF(OR($A$2=1,ISERROR(VLOOKUP($L290,TOV,24,0))),"",VLOOKUP($L290,TOV,24,0))</f>
        <v>3471783.4</v>
      </c>
      <c r="O290" s="1140"/>
      <c r="P290" s="1140"/>
      <c r="Q290" s="1141"/>
      <c r="R290" s="1139">
        <f t="shared" ref="R290:R321" ca="1" si="77">IF(OR($A$2=1,ISERROR(VLOOKUP($L290,TOV,25,0))),"",VLOOKUP($L290,TOV,25,0))</f>
        <v>33969.774887499712</v>
      </c>
      <c r="S290" s="1140"/>
      <c r="T290" s="1140"/>
      <c r="U290" s="1141"/>
    </row>
    <row r="291" spans="1:21" ht="11.25" customHeight="1">
      <c r="A291" s="8"/>
      <c r="B291" s="863">
        <f ca="1">IF(OR(C290&gt;=110,C290=""),"",IF(C290+1&gt;110,111-$C$16,B290+1))</f>
        <v>2</v>
      </c>
      <c r="C291" s="862">
        <f ca="1">IF(OR($A$2=1,MAX($C290:C$290)&gt;=110),"",C290+(B291-B290))</f>
        <v>34</v>
      </c>
      <c r="D291" s="1139">
        <f t="shared" ca="1" si="74"/>
        <v>363585</v>
      </c>
      <c r="E291" s="1140"/>
      <c r="F291" s="1140"/>
      <c r="G291" s="1141"/>
      <c r="H291" s="1139">
        <f t="shared" ca="1" si="75"/>
        <v>0</v>
      </c>
      <c r="I291" s="1140"/>
      <c r="J291" s="1140"/>
      <c r="K291" s="1141"/>
      <c r="L291" s="863">
        <f ca="1">IF(OR(M290&gt;=110,M290=""),"",IF(M290+1&gt;110,111-$C$16,L290+1))</f>
        <v>58</v>
      </c>
      <c r="M291" s="862">
        <f ca="1">IF(OR($A$2=1,MAX($C$290:$C$345,$M$290:$M290)&gt;=110),"",M290+(L291-L290))</f>
        <v>90</v>
      </c>
      <c r="N291" s="1139">
        <f t="shared" ca="1" si="76"/>
        <v>3563306.2</v>
      </c>
      <c r="O291" s="1140"/>
      <c r="P291" s="1140"/>
      <c r="Q291" s="1141"/>
      <c r="R291" s="1139">
        <f t="shared" ca="1" si="77"/>
        <v>34554.013409809966</v>
      </c>
      <c r="S291" s="1140"/>
      <c r="T291" s="1140"/>
      <c r="U291" s="1141"/>
    </row>
    <row r="292" spans="1:21" ht="11.25" customHeight="1">
      <c r="A292" s="8"/>
      <c r="B292" s="863">
        <f t="shared" ref="B292:B345" ca="1" si="78">IF(OR(C291&gt;=110,C291=""),"",IF(C291+1&gt;110,111-$C$16,B291+1))</f>
        <v>3</v>
      </c>
      <c r="C292" s="862">
        <f ca="1">IF(OR($A$2=1,MAX($C$290:C291)&gt;=110),"",C291+(B292-B291))</f>
        <v>35</v>
      </c>
      <c r="D292" s="1139">
        <f t="shared" ca="1" si="74"/>
        <v>547284</v>
      </c>
      <c r="E292" s="1140"/>
      <c r="F292" s="1140"/>
      <c r="G292" s="1141"/>
      <c r="H292" s="1139">
        <f t="shared" ca="1" si="75"/>
        <v>0</v>
      </c>
      <c r="I292" s="1140"/>
      <c r="J292" s="1140"/>
      <c r="K292" s="1141"/>
      <c r="L292" s="863">
        <f t="shared" ref="L292:L344" ca="1" si="79">IF(OR(M291&gt;=110,M291=""),"",IF(M291+1&gt;110,111-$C$16,L291+1))</f>
        <v>59</v>
      </c>
      <c r="M292" s="862">
        <f ca="1">IF(OR($A$2=1,MAX($C$290:$C$345,$M$290:$M291)&gt;=110),"",M291+(L292-L291))</f>
        <v>91</v>
      </c>
      <c r="N292" s="1139">
        <f t="shared" ca="1" si="76"/>
        <v>3656693.8000000003</v>
      </c>
      <c r="O292" s="1140"/>
      <c r="P292" s="1140"/>
      <c r="Q292" s="1141"/>
      <c r="R292" s="1139">
        <f t="shared" ca="1" si="77"/>
        <v>35138.263923633574</v>
      </c>
      <c r="S292" s="1140"/>
      <c r="T292" s="1140"/>
      <c r="U292" s="1141"/>
    </row>
    <row r="293" spans="1:21" ht="11.25" customHeight="1">
      <c r="A293" s="8"/>
      <c r="B293" s="863">
        <f t="shared" ca="1" si="78"/>
        <v>4</v>
      </c>
      <c r="C293" s="862">
        <f ca="1">IF(OR($A$2=1,MAX($C$290:C292)&gt;=110),"",C292+(B293-B292))</f>
        <v>36</v>
      </c>
      <c r="D293" s="1139">
        <f t="shared" ca="1" si="74"/>
        <v>732325</v>
      </c>
      <c r="E293" s="1140"/>
      <c r="F293" s="1140"/>
      <c r="G293" s="1141"/>
      <c r="H293" s="1139">
        <f t="shared" ca="1" si="75"/>
        <v>0</v>
      </c>
      <c r="I293" s="1140"/>
      <c r="J293" s="1140"/>
      <c r="K293" s="1141"/>
      <c r="L293" s="863">
        <f t="shared" ca="1" si="79"/>
        <v>60</v>
      </c>
      <c r="M293" s="862">
        <f ca="1">IF(OR($A$2=1,MAX($C$290:$C$345,$M$290:$M292)&gt;=110),"",M292+(L293-L292))</f>
        <v>92</v>
      </c>
      <c r="N293" s="1139">
        <f t="shared" ca="1" si="76"/>
        <v>3751807.4</v>
      </c>
      <c r="O293" s="1140"/>
      <c r="P293" s="1140"/>
      <c r="Q293" s="1141"/>
      <c r="R293" s="1139">
        <f t="shared" ca="1" si="77"/>
        <v>35722.514437457176</v>
      </c>
      <c r="S293" s="1140"/>
      <c r="T293" s="1140"/>
      <c r="U293" s="1141"/>
    </row>
    <row r="294" spans="1:21" ht="11.25" customHeight="1">
      <c r="A294" s="8"/>
      <c r="B294" s="863">
        <f t="shared" ca="1" si="78"/>
        <v>5</v>
      </c>
      <c r="C294" s="862">
        <f ca="1">IF(OR($A$2=1,MAX($C$290:C293)&gt;=110),"",C293+(B294-B293))</f>
        <v>37</v>
      </c>
      <c r="D294" s="1139">
        <f t="shared" ca="1" si="74"/>
        <v>918773</v>
      </c>
      <c r="E294" s="1140"/>
      <c r="F294" s="1140"/>
      <c r="G294" s="1141"/>
      <c r="H294" s="1139">
        <f t="shared" ca="1" si="75"/>
        <v>0</v>
      </c>
      <c r="I294" s="1140"/>
      <c r="J294" s="1140"/>
      <c r="K294" s="1141"/>
      <c r="L294" s="863">
        <f t="shared" ca="1" si="79"/>
        <v>61</v>
      </c>
      <c r="M294" s="862">
        <f ca="1">IF(OR($A$2=1,MAX($C$290:$C$345,$M$290:$M293)&gt;=110),"",M293+(L294-L293))</f>
        <v>93</v>
      </c>
      <c r="N294" s="1139">
        <f t="shared" ca="1" si="76"/>
        <v>3848789.2</v>
      </c>
      <c r="O294" s="1140"/>
      <c r="P294" s="1140"/>
      <c r="Q294" s="1141"/>
      <c r="R294" s="1139">
        <f t="shared" ca="1" si="77"/>
        <v>36306.752959767429</v>
      </c>
      <c r="S294" s="1140"/>
      <c r="T294" s="1140"/>
      <c r="U294" s="1141"/>
    </row>
    <row r="295" spans="1:21" ht="11.25" customHeight="1">
      <c r="A295" s="8"/>
      <c r="B295" s="863">
        <f t="shared" ca="1" si="78"/>
        <v>6</v>
      </c>
      <c r="C295" s="862">
        <f ca="1">IF(OR($A$2=1,MAX($C$290:C294)&gt;=110),"",C294+(B295-B294))</f>
        <v>38</v>
      </c>
      <c r="D295" s="1139">
        <f t="shared" ca="1" si="74"/>
        <v>1108227</v>
      </c>
      <c r="E295" s="1140"/>
      <c r="F295" s="1140"/>
      <c r="G295" s="1141"/>
      <c r="H295" s="1139">
        <f t="shared" ca="1" si="75"/>
        <v>0</v>
      </c>
      <c r="I295" s="1140"/>
      <c r="J295" s="1140"/>
      <c r="K295" s="1141"/>
      <c r="L295" s="863">
        <f t="shared" ca="1" si="79"/>
        <v>62</v>
      </c>
      <c r="M295" s="862">
        <f ca="1">IF(OR($A$2=1,MAX($C$290:$C$345,$M$290:$M294)&gt;=110),"",M294+(L295-L294))</f>
        <v>94</v>
      </c>
      <c r="N295" s="1139">
        <f t="shared" ca="1" si="76"/>
        <v>3947694.8000000003</v>
      </c>
      <c r="O295" s="1140"/>
      <c r="P295" s="1140"/>
      <c r="Q295" s="1141"/>
      <c r="R295" s="1139">
        <f t="shared" ca="1" si="77"/>
        <v>36891.003473591038</v>
      </c>
      <c r="S295" s="1140"/>
      <c r="T295" s="1140"/>
      <c r="U295" s="1141"/>
    </row>
    <row r="296" spans="1:21" ht="11.25" customHeight="1">
      <c r="A296" s="8"/>
      <c r="B296" s="863">
        <f t="shared" ca="1" si="78"/>
        <v>7</v>
      </c>
      <c r="C296" s="862">
        <f ca="1">IF(OR($A$2=1,MAX($C$290:C295)&gt;=110),"",C295+(B296-B295))</f>
        <v>39</v>
      </c>
      <c r="D296" s="1139">
        <f t="shared" ca="1" si="74"/>
        <v>1115556</v>
      </c>
      <c r="E296" s="1140"/>
      <c r="F296" s="1140"/>
      <c r="G296" s="1141"/>
      <c r="H296" s="1139">
        <f t="shared" ca="1" si="75"/>
        <v>0</v>
      </c>
      <c r="I296" s="1140"/>
      <c r="J296" s="1140"/>
      <c r="K296" s="1141"/>
      <c r="L296" s="863">
        <f t="shared" ca="1" si="79"/>
        <v>63</v>
      </c>
      <c r="M296" s="862">
        <f ca="1">IF(OR($A$2=1,MAX($C$290:$C$345,$M$290:$M295)&gt;=110),"",M295+(L296-L295))</f>
        <v>95</v>
      </c>
      <c r="N296" s="1139">
        <f t="shared" ca="1" si="76"/>
        <v>4048688.4</v>
      </c>
      <c r="O296" s="1140"/>
      <c r="P296" s="1140"/>
      <c r="Q296" s="1141"/>
      <c r="R296" s="1139">
        <f t="shared" ca="1" si="77"/>
        <v>37475.253987414631</v>
      </c>
      <c r="S296" s="1140"/>
      <c r="T296" s="1140"/>
      <c r="U296" s="1141"/>
    </row>
    <row r="297" spans="1:21" ht="11.25" customHeight="1">
      <c r="A297" s="8"/>
      <c r="B297" s="863">
        <f t="shared" ca="1" si="78"/>
        <v>8</v>
      </c>
      <c r="C297" s="862">
        <f ca="1">IF(OR($A$2=1,MAX($C$290:C296)&gt;=110),"",C296+(B297-B296))</f>
        <v>40</v>
      </c>
      <c r="D297" s="1139">
        <f t="shared" ca="1" si="74"/>
        <v>1123231</v>
      </c>
      <c r="E297" s="1140"/>
      <c r="F297" s="1140"/>
      <c r="G297" s="1141"/>
      <c r="H297" s="1139">
        <f t="shared" ca="1" si="75"/>
        <v>0</v>
      </c>
      <c r="I297" s="1140"/>
      <c r="J297" s="1140"/>
      <c r="K297" s="1141"/>
      <c r="L297" s="863">
        <f t="shared" ca="1" si="79"/>
        <v>64</v>
      </c>
      <c r="M297" s="862">
        <f ca="1">IF(OR($A$2=1,MAX($C$290:$C$345,$M$290:$M296)&gt;=110),"",M296+(L297-L296))</f>
        <v>96</v>
      </c>
      <c r="N297" s="1139">
        <f t="shared" ca="1" si="76"/>
        <v>4151602.2</v>
      </c>
      <c r="O297" s="1140"/>
      <c r="P297" s="1140"/>
      <c r="Q297" s="1141"/>
      <c r="R297" s="1139">
        <f t="shared" ca="1" si="77"/>
        <v>38059.492509724885</v>
      </c>
      <c r="S297" s="1140"/>
      <c r="T297" s="1140"/>
      <c r="U297" s="1141"/>
    </row>
    <row r="298" spans="1:21" ht="11.25" customHeight="1">
      <c r="A298" s="8"/>
      <c r="B298" s="863">
        <f t="shared" ca="1" si="78"/>
        <v>9</v>
      </c>
      <c r="C298" s="862">
        <f ca="1">IF(OR($A$2=1,MAX($C$290:C297)&gt;=110),"",C297+(B298-B297))</f>
        <v>41</v>
      </c>
      <c r="D298" s="1139">
        <f t="shared" ca="1" si="74"/>
        <v>1131265</v>
      </c>
      <c r="E298" s="1140"/>
      <c r="F298" s="1140"/>
      <c r="G298" s="1141"/>
      <c r="H298" s="1139">
        <f t="shared" ca="1" si="75"/>
        <v>0</v>
      </c>
      <c r="I298" s="1140"/>
      <c r="J298" s="1140"/>
      <c r="K298" s="1141"/>
      <c r="L298" s="863">
        <f t="shared" ca="1" si="79"/>
        <v>65</v>
      </c>
      <c r="M298" s="862">
        <f ca="1">IF(OR($A$2=1,MAX($C$290:$C$345,$M$290:$M297)&gt;=110),"",M297+(L298-L297))</f>
        <v>97</v>
      </c>
      <c r="N298" s="1139">
        <f t="shared" ca="1" si="76"/>
        <v>4256603.8000000007</v>
      </c>
      <c r="O298" s="1140"/>
      <c r="P298" s="1140"/>
      <c r="Q298" s="1141"/>
      <c r="R298" s="1139">
        <f t="shared" ca="1" si="77"/>
        <v>38643.743023548494</v>
      </c>
      <c r="S298" s="1140"/>
      <c r="T298" s="1140"/>
      <c r="U298" s="1141"/>
    </row>
    <row r="299" spans="1:21" ht="11.25" customHeight="1">
      <c r="A299" s="8"/>
      <c r="B299" s="863">
        <f t="shared" ca="1" si="78"/>
        <v>10</v>
      </c>
      <c r="C299" s="862">
        <f ca="1">IF(OR($A$2=1,MAX($C$290:C298)&gt;=110),"",C298+(B299-B298))</f>
        <v>42</v>
      </c>
      <c r="D299" s="1139">
        <f t="shared" ca="1" si="74"/>
        <v>1158514</v>
      </c>
      <c r="E299" s="1140"/>
      <c r="F299" s="1140"/>
      <c r="G299" s="1141"/>
      <c r="H299" s="1139">
        <f t="shared" ca="1" si="75"/>
        <v>0</v>
      </c>
      <c r="I299" s="1140"/>
      <c r="J299" s="1140"/>
      <c r="K299" s="1141"/>
      <c r="L299" s="863">
        <f t="shared" ca="1" si="79"/>
        <v>66</v>
      </c>
      <c r="M299" s="862">
        <f ca="1">IF(OR($A$2=1,MAX($C$290:$C$345,$M$290:$M298)&gt;=110),"",M298+(L299-L298))</f>
        <v>98</v>
      </c>
      <c r="N299" s="1139">
        <f t="shared" ca="1" si="76"/>
        <v>4363751.4000000004</v>
      </c>
      <c r="O299" s="1140"/>
      <c r="P299" s="1140"/>
      <c r="Q299" s="1141"/>
      <c r="R299" s="1139">
        <f t="shared" ca="1" si="77"/>
        <v>39227.993537372102</v>
      </c>
      <c r="S299" s="1140"/>
      <c r="T299" s="1140"/>
      <c r="U299" s="1141"/>
    </row>
    <row r="300" spans="1:21" ht="11.25" customHeight="1">
      <c r="A300" s="8"/>
      <c r="B300" s="863">
        <f t="shared" ca="1" si="78"/>
        <v>11</v>
      </c>
      <c r="C300" s="862">
        <f ca="1">IF(OR($A$2=1,MAX($C$290:C299)&gt;=110),"",C299+(B300-B299))</f>
        <v>43</v>
      </c>
      <c r="D300" s="1139">
        <f t="shared" ca="1" si="74"/>
        <v>1189857</v>
      </c>
      <c r="E300" s="1140"/>
      <c r="F300" s="1140"/>
      <c r="G300" s="1141"/>
      <c r="H300" s="1139">
        <f t="shared" ca="1" si="75"/>
        <v>0</v>
      </c>
      <c r="I300" s="1140"/>
      <c r="J300" s="1140"/>
      <c r="K300" s="1141"/>
      <c r="L300" s="863">
        <f t="shared" ca="1" si="79"/>
        <v>67</v>
      </c>
      <c r="M300" s="862">
        <f ca="1">IF(OR($A$2=1,MAX($C$290:$C$345,$M$290:$M299)&gt;=110),"",M299+(L300-L299))</f>
        <v>99</v>
      </c>
      <c r="N300" s="1139">
        <f t="shared" ca="1" si="76"/>
        <v>4473233.2</v>
      </c>
      <c r="O300" s="1140"/>
      <c r="P300" s="1140"/>
      <c r="Q300" s="1141"/>
      <c r="R300" s="1139">
        <f t="shared" ca="1" si="77"/>
        <v>39812.232059682348</v>
      </c>
      <c r="S300" s="1140"/>
      <c r="T300" s="1140"/>
      <c r="U300" s="1141"/>
    </row>
    <row r="301" spans="1:21" ht="11.25" customHeight="1">
      <c r="A301" s="8"/>
      <c r="B301" s="863">
        <f t="shared" ca="1" si="78"/>
        <v>12</v>
      </c>
      <c r="C301" s="862">
        <f ca="1">IF(OR($A$2=1,MAX($C$290:C300)&gt;=110),"",C300+(B301-B300))</f>
        <v>44</v>
      </c>
      <c r="D301" s="1139">
        <f t="shared" ca="1" si="74"/>
        <v>1222047</v>
      </c>
      <c r="E301" s="1140"/>
      <c r="F301" s="1140"/>
      <c r="G301" s="1141"/>
      <c r="H301" s="1139">
        <f t="shared" ca="1" si="75"/>
        <v>0</v>
      </c>
      <c r="I301" s="1140"/>
      <c r="J301" s="1140"/>
      <c r="K301" s="1141"/>
      <c r="L301" s="863">
        <f t="shared" ca="1" si="79"/>
        <v>68</v>
      </c>
      <c r="M301" s="862">
        <f ca="1">IF(OR($A$2=1,MAX($C$290:$C$345,$M$290:$M300)&gt;=110),"",M300+(L301-L300))</f>
        <v>100</v>
      </c>
      <c r="N301" s="1139">
        <f t="shared" ca="1" si="76"/>
        <v>4584851.8000000007</v>
      </c>
      <c r="O301" s="1140"/>
      <c r="P301" s="1140"/>
      <c r="Q301" s="1141"/>
      <c r="R301" s="1139">
        <f t="shared" ca="1" si="77"/>
        <v>40396.482573505957</v>
      </c>
      <c r="S301" s="1140"/>
      <c r="T301" s="1140"/>
      <c r="U301" s="1141"/>
    </row>
    <row r="302" spans="1:21" ht="11.25" customHeight="1">
      <c r="A302" s="8"/>
      <c r="B302" s="863">
        <f t="shared" ca="1" si="78"/>
        <v>13</v>
      </c>
      <c r="C302" s="862">
        <f ca="1">IF(OR($A$2=1,MAX($C$290:C301)&gt;=110),"",C301+(B302-B301))</f>
        <v>45</v>
      </c>
      <c r="D302" s="1139">
        <f t="shared" ca="1" si="74"/>
        <v>1255102</v>
      </c>
      <c r="E302" s="1140"/>
      <c r="F302" s="1140"/>
      <c r="G302" s="1141"/>
      <c r="H302" s="1139">
        <f t="shared" ca="1" si="75"/>
        <v>0</v>
      </c>
      <c r="I302" s="1140"/>
      <c r="J302" s="1140"/>
      <c r="K302" s="1141"/>
      <c r="L302" s="863">
        <f t="shared" ca="1" si="79"/>
        <v>69</v>
      </c>
      <c r="M302" s="862">
        <f ca="1">IF(OR($A$2=1,MAX($C$290:$C$345,$M$290:$M301)&gt;=110),"",M301+(L302-L301))</f>
        <v>101</v>
      </c>
      <c r="N302" s="1139">
        <f t="shared" ca="1" si="76"/>
        <v>4698798.4000000004</v>
      </c>
      <c r="O302" s="1140"/>
      <c r="P302" s="1140"/>
      <c r="Q302" s="1141"/>
      <c r="R302" s="1139">
        <f t="shared" ca="1" si="77"/>
        <v>40980.733087329565</v>
      </c>
      <c r="S302" s="1140"/>
      <c r="T302" s="1140"/>
      <c r="U302" s="1141"/>
    </row>
    <row r="303" spans="1:21" ht="11.25" customHeight="1">
      <c r="A303" s="8"/>
      <c r="B303" s="863">
        <f t="shared" ca="1" si="78"/>
        <v>14</v>
      </c>
      <c r="C303" s="862">
        <f ca="1">IF(OR($A$2=1,MAX($C$290:C302)&gt;=110),"",C302+(B303-B302))</f>
        <v>46</v>
      </c>
      <c r="D303" s="1139">
        <f t="shared" ca="1" si="74"/>
        <v>1289036</v>
      </c>
      <c r="E303" s="1140"/>
      <c r="F303" s="1140"/>
      <c r="G303" s="1141"/>
      <c r="H303" s="1139">
        <f t="shared" ca="1" si="75"/>
        <v>0</v>
      </c>
      <c r="I303" s="1140"/>
      <c r="J303" s="1140"/>
      <c r="K303" s="1141"/>
      <c r="L303" s="863">
        <f t="shared" ca="1" si="79"/>
        <v>70</v>
      </c>
      <c r="M303" s="862">
        <f ca="1">IF(OR($A$2=1,MAX($C$290:$C$345,$M$290:$M302)&gt;=110),"",M302+(L303-L302))</f>
        <v>102</v>
      </c>
      <c r="N303" s="1139">
        <f t="shared" ca="1" si="76"/>
        <v>4815135</v>
      </c>
      <c r="O303" s="1140"/>
      <c r="P303" s="1140"/>
      <c r="Q303" s="1141"/>
      <c r="R303" s="1139">
        <f t="shared" ca="1" si="77"/>
        <v>41564.983601153166</v>
      </c>
      <c r="S303" s="1140"/>
      <c r="T303" s="1140"/>
      <c r="U303" s="1141"/>
    </row>
    <row r="304" spans="1:21" ht="11.25" customHeight="1">
      <c r="A304" s="8"/>
      <c r="B304" s="863">
        <f t="shared" ca="1" si="78"/>
        <v>15</v>
      </c>
      <c r="C304" s="862">
        <f ca="1">IF(OR($A$2=1,MAX($C$290:C303)&gt;=110),"",C303+(B304-B303))</f>
        <v>47</v>
      </c>
      <c r="D304" s="1139">
        <f t="shared" ca="1" si="74"/>
        <v>1323905</v>
      </c>
      <c r="E304" s="1140"/>
      <c r="F304" s="1140"/>
      <c r="G304" s="1141"/>
      <c r="H304" s="1139">
        <f t="shared" ca="1" si="75"/>
        <v>0</v>
      </c>
      <c r="I304" s="1140"/>
      <c r="J304" s="1140"/>
      <c r="K304" s="1141"/>
      <c r="L304" s="863">
        <f t="shared" ca="1" si="79"/>
        <v>71</v>
      </c>
      <c r="M304" s="862">
        <f ca="1">IF(OR($A$2=1,MAX($C$290:$C$345,$M$290:$M303)&gt;=110),"",M303+(L304-L303))</f>
        <v>103</v>
      </c>
      <c r="N304" s="1139">
        <f t="shared" ca="1" si="76"/>
        <v>4934081.8000000007</v>
      </c>
      <c r="O304" s="1140"/>
      <c r="P304" s="1140"/>
      <c r="Q304" s="1141"/>
      <c r="R304" s="1139">
        <f t="shared" ca="1" si="77"/>
        <v>42149.22212346342</v>
      </c>
      <c r="S304" s="1140"/>
      <c r="T304" s="1140"/>
      <c r="U304" s="1141"/>
    </row>
    <row r="305" spans="1:21" ht="11.25" customHeight="1">
      <c r="A305" s="8"/>
      <c r="B305" s="863">
        <f t="shared" ca="1" si="78"/>
        <v>16</v>
      </c>
      <c r="C305" s="862">
        <f ca="1">IF(OR($A$2=1,MAX($C$290:C304)&gt;=110),"",C304+(B305-B304))</f>
        <v>48</v>
      </c>
      <c r="D305" s="1139">
        <f t="shared" ca="1" si="74"/>
        <v>1359711</v>
      </c>
      <c r="E305" s="1140"/>
      <c r="F305" s="1140"/>
      <c r="G305" s="1141"/>
      <c r="H305" s="1139">
        <f t="shared" ca="1" si="75"/>
        <v>0</v>
      </c>
      <c r="I305" s="1140"/>
      <c r="J305" s="1140"/>
      <c r="K305" s="1141"/>
      <c r="L305" s="863">
        <f t="shared" ca="1" si="79"/>
        <v>72</v>
      </c>
      <c r="M305" s="862">
        <f ca="1">IF(OR($A$2=1,MAX($C$290:$C$345,$M$290:$M304)&gt;=110),"",M304+(L305-L304))</f>
        <v>104</v>
      </c>
      <c r="N305" s="1139">
        <f t="shared" ca="1" si="76"/>
        <v>5055402.4000000004</v>
      </c>
      <c r="O305" s="1140"/>
      <c r="P305" s="1140"/>
      <c r="Q305" s="1141"/>
      <c r="R305" s="1139">
        <f t="shared" ca="1" si="77"/>
        <v>42733.472637287028</v>
      </c>
      <c r="S305" s="1140"/>
      <c r="T305" s="1140"/>
      <c r="U305" s="1141"/>
    </row>
    <row r="306" spans="1:21" ht="11.25" customHeight="1">
      <c r="A306" s="8"/>
      <c r="B306" s="863">
        <f t="shared" ca="1" si="78"/>
        <v>17</v>
      </c>
      <c r="C306" s="862">
        <f ca="1">IF(OR($A$2=1,MAX($C$290:C305)&gt;=110),"",C305+(B306-B305))</f>
        <v>49</v>
      </c>
      <c r="D306" s="1139">
        <f t="shared" ca="1" si="74"/>
        <v>1396513</v>
      </c>
      <c r="E306" s="1140"/>
      <c r="F306" s="1140"/>
      <c r="G306" s="1141"/>
      <c r="H306" s="1139">
        <f t="shared" ca="1" si="75"/>
        <v>0</v>
      </c>
      <c r="I306" s="1140"/>
      <c r="J306" s="1140"/>
      <c r="K306" s="1141"/>
      <c r="L306" s="863">
        <f t="shared" ca="1" si="79"/>
        <v>73</v>
      </c>
      <c r="M306" s="862">
        <f ca="1">IF(OR($A$2=1,MAX($C$290:$C$345,$M$290:$M305)&gt;=110),"",M305+(L306-L305))</f>
        <v>105</v>
      </c>
      <c r="N306" s="1139">
        <f t="shared" ca="1" si="76"/>
        <v>5179316</v>
      </c>
      <c r="O306" s="1140"/>
      <c r="P306" s="1140"/>
      <c r="Q306" s="1141"/>
      <c r="R306" s="1139">
        <f t="shared" ca="1" si="77"/>
        <v>43317.723151110629</v>
      </c>
      <c r="S306" s="1140"/>
      <c r="T306" s="1140"/>
      <c r="U306" s="1141"/>
    </row>
    <row r="307" spans="1:21" ht="11.25" customHeight="1">
      <c r="A307" s="8"/>
      <c r="B307" s="863">
        <f t="shared" ca="1" si="78"/>
        <v>18</v>
      </c>
      <c r="C307" s="862">
        <f ca="1">IF(OR($A$2=1,MAX($C$290:C306)&gt;=110),"",C306+(B307-B306))</f>
        <v>50</v>
      </c>
      <c r="D307" s="1139">
        <f t="shared" ca="1" si="74"/>
        <v>1434290</v>
      </c>
      <c r="E307" s="1140"/>
      <c r="F307" s="1140"/>
      <c r="G307" s="1141"/>
      <c r="H307" s="1139">
        <f t="shared" ca="1" si="75"/>
        <v>0</v>
      </c>
      <c r="I307" s="1140"/>
      <c r="J307" s="1140"/>
      <c r="K307" s="1141"/>
      <c r="L307" s="863">
        <f t="shared" ca="1" si="79"/>
        <v>74</v>
      </c>
      <c r="M307" s="862">
        <f ca="1">IF(OR($A$2=1,MAX($C$290:$C$345,$M$290:$M306)&gt;=110),"",M306+(L307-L306))</f>
        <v>106</v>
      </c>
      <c r="N307" s="1139">
        <f t="shared" ca="1" si="76"/>
        <v>5305892.8000000007</v>
      </c>
      <c r="O307" s="1140"/>
      <c r="P307" s="1140"/>
      <c r="Q307" s="1141"/>
      <c r="R307" s="1139">
        <f t="shared" ca="1" si="77"/>
        <v>43901.961673420883</v>
      </c>
      <c r="S307" s="1140"/>
      <c r="T307" s="1140"/>
      <c r="U307" s="1141"/>
    </row>
    <row r="308" spans="1:21" ht="11.25" customHeight="1">
      <c r="A308" s="8"/>
      <c r="B308" s="863">
        <f t="shared" ca="1" si="78"/>
        <v>19</v>
      </c>
      <c r="C308" s="862">
        <f ca="1">IF(OR($A$2=1,MAX($C$290:C307)&gt;=110),"",C307+(B308-B307))</f>
        <v>51</v>
      </c>
      <c r="D308" s="1139">
        <f t="shared" ca="1" si="74"/>
        <v>1473104</v>
      </c>
      <c r="E308" s="1140"/>
      <c r="F308" s="1140"/>
      <c r="G308" s="1141"/>
      <c r="H308" s="1139">
        <f t="shared" ca="1" si="75"/>
        <v>0</v>
      </c>
      <c r="I308" s="1140"/>
      <c r="J308" s="1140"/>
      <c r="K308" s="1141"/>
      <c r="L308" s="863">
        <f t="shared" ca="1" si="79"/>
        <v>75</v>
      </c>
      <c r="M308" s="862">
        <f ca="1">IF(OR($A$2=1,MAX($C$290:$C$345,$M$290:$M307)&gt;=110),"",M307+(L308-L307))</f>
        <v>107</v>
      </c>
      <c r="N308" s="1139">
        <f t="shared" ca="1" si="76"/>
        <v>5435917.2000000002</v>
      </c>
      <c r="O308" s="1140"/>
      <c r="P308" s="1140"/>
      <c r="Q308" s="1141"/>
      <c r="R308" s="1139">
        <f t="shared" ca="1" si="77"/>
        <v>44494.138577574056</v>
      </c>
      <c r="S308" s="1140"/>
      <c r="T308" s="1140"/>
      <c r="U308" s="1141"/>
    </row>
    <row r="309" spans="1:21" ht="11.25" customHeight="1">
      <c r="A309" s="8"/>
      <c r="B309" s="863">
        <f t="shared" ca="1" si="78"/>
        <v>20</v>
      </c>
      <c r="C309" s="862">
        <f ca="1">IF(OR($A$2=1,MAX($C$290:C308)&gt;=110),"",C308+(B309-B308))</f>
        <v>52</v>
      </c>
      <c r="D309" s="1139">
        <f t="shared" ca="1" si="74"/>
        <v>1512956</v>
      </c>
      <c r="E309" s="1140"/>
      <c r="F309" s="1140"/>
      <c r="G309" s="1141"/>
      <c r="H309" s="1139">
        <f t="shared" ca="1" si="75"/>
        <v>0</v>
      </c>
      <c r="I309" s="1140"/>
      <c r="J309" s="1140"/>
      <c r="K309" s="1141"/>
      <c r="L309" s="863">
        <f t="shared" ca="1" si="79"/>
        <v>76</v>
      </c>
      <c r="M309" s="862">
        <f ca="1">IF(OR($A$2=1,MAX($C$290:$C$345,$M$290:$M308)&gt;=110),"",M308+(L309-L308))</f>
        <v>108</v>
      </c>
      <c r="N309" s="1139">
        <f t="shared" ca="1" si="76"/>
        <v>5570619.4000000004</v>
      </c>
      <c r="O309" s="1140"/>
      <c r="P309" s="1140"/>
      <c r="Q309" s="1141"/>
      <c r="R309" s="1139">
        <f t="shared" ca="1" si="77"/>
        <v>45116.785917169662</v>
      </c>
      <c r="S309" s="1140"/>
      <c r="T309" s="1140"/>
      <c r="U309" s="1141"/>
    </row>
    <row r="310" spans="1:21" ht="11.25" customHeight="1">
      <c r="A310" s="8"/>
      <c r="B310" s="863">
        <f t="shared" ca="1" si="78"/>
        <v>21</v>
      </c>
      <c r="C310" s="862">
        <f ca="1">IF(OR($A$2=1,MAX($C$290:C309)&gt;=110),"",C309+(B310-B309))</f>
        <v>53</v>
      </c>
      <c r="D310" s="1139">
        <f t="shared" ca="1" si="74"/>
        <v>1553871</v>
      </c>
      <c r="E310" s="1140"/>
      <c r="F310" s="1140"/>
      <c r="G310" s="1141"/>
      <c r="H310" s="1139">
        <f t="shared" ca="1" si="75"/>
        <v>0</v>
      </c>
      <c r="I310" s="1140"/>
      <c r="J310" s="1140"/>
      <c r="K310" s="1141"/>
      <c r="L310" s="863">
        <f t="shared" ca="1" si="79"/>
        <v>77</v>
      </c>
      <c r="M310" s="862">
        <f ca="1">IF(OR($A$2=1,MAX($C$290:$C$345,$M$290:$M309)&gt;=110),"",M309+(L310-L309))</f>
        <v>109</v>
      </c>
      <c r="N310" s="1139">
        <f t="shared" ca="1" si="76"/>
        <v>5711163</v>
      </c>
      <c r="O310" s="1140"/>
      <c r="P310" s="1140"/>
      <c r="Q310" s="1141"/>
      <c r="R310" s="1139">
        <f t="shared" ca="1" si="77"/>
        <v>45783.238255061668</v>
      </c>
      <c r="S310" s="1140"/>
      <c r="T310" s="1140"/>
      <c r="U310" s="1141"/>
    </row>
    <row r="311" spans="1:21" ht="11.25" customHeight="1">
      <c r="A311" s="8"/>
      <c r="B311" s="863">
        <f t="shared" ca="1" si="78"/>
        <v>22</v>
      </c>
      <c r="C311" s="862">
        <f ca="1">IF(OR($A$2=1,MAX($C$290:C310)&gt;=110),"",C310+(B311-B310))</f>
        <v>54</v>
      </c>
      <c r="D311" s="1139">
        <f t="shared" ca="1" si="74"/>
        <v>1595936</v>
      </c>
      <c r="E311" s="1140"/>
      <c r="F311" s="1140"/>
      <c r="G311" s="1141"/>
      <c r="H311" s="1139">
        <f t="shared" ca="1" si="75"/>
        <v>0</v>
      </c>
      <c r="I311" s="1140"/>
      <c r="J311" s="1140"/>
      <c r="K311" s="1141"/>
      <c r="L311" s="863">
        <f t="shared" ca="1" si="79"/>
        <v>78</v>
      </c>
      <c r="M311" s="862">
        <f ca="1">IF(OR($A$2=1,MAX($C$290:$C$345,$M$290:$M310)&gt;=110),"",M310+(L311-L310))</f>
        <v>110</v>
      </c>
      <c r="N311" s="1139">
        <f t="shared" ca="1" si="76"/>
        <v>5840528.4000000004</v>
      </c>
      <c r="O311" s="1140"/>
      <c r="P311" s="1140"/>
      <c r="Q311" s="1141"/>
      <c r="R311" s="1139">
        <f t="shared" ca="1" si="77"/>
        <v>46238.951737201947</v>
      </c>
      <c r="S311" s="1140"/>
      <c r="T311" s="1140"/>
      <c r="U311" s="1141"/>
    </row>
    <row r="312" spans="1:21" ht="11.25" customHeight="1">
      <c r="A312" s="8"/>
      <c r="B312" s="863">
        <f t="shared" ca="1" si="78"/>
        <v>23</v>
      </c>
      <c r="C312" s="862">
        <f ca="1">IF(OR($A$2=1,MAX($C$290:C311)&gt;=110),"",C311+(B312-B311))</f>
        <v>55</v>
      </c>
      <c r="D312" s="1139">
        <f t="shared" ca="1" si="74"/>
        <v>1639116</v>
      </c>
      <c r="E312" s="1140"/>
      <c r="F312" s="1140"/>
      <c r="G312" s="1141"/>
      <c r="H312" s="1139">
        <f t="shared" ca="1" si="75"/>
        <v>0</v>
      </c>
      <c r="I312" s="1140"/>
      <c r="J312" s="1140"/>
      <c r="K312" s="1141"/>
      <c r="L312" s="863" t="str">
        <f t="shared" ca="1" si="79"/>
        <v/>
      </c>
      <c r="M312" s="862" t="str">
        <f ca="1">IF(OR($A$2=1,MAX($C$290:$C$345,$M$290:$M311)&gt;=110),"",M311+(L312-L311))</f>
        <v/>
      </c>
      <c r="N312" s="1139" t="str">
        <f t="shared" ca="1" si="76"/>
        <v/>
      </c>
      <c r="O312" s="1140"/>
      <c r="P312" s="1140"/>
      <c r="Q312" s="1141"/>
      <c r="R312" s="1139" t="str">
        <f t="shared" ca="1" si="77"/>
        <v/>
      </c>
      <c r="S312" s="1140"/>
      <c r="T312" s="1140"/>
      <c r="U312" s="1141"/>
    </row>
    <row r="313" spans="1:21" ht="11.25" customHeight="1">
      <c r="A313" s="8"/>
      <c r="B313" s="863">
        <f t="shared" ca="1" si="78"/>
        <v>24</v>
      </c>
      <c r="C313" s="862">
        <f ca="1">IF(OR($A$2=1,MAX($C$290:C312)&gt;=110),"",C312+(B313-B312))</f>
        <v>56</v>
      </c>
      <c r="D313" s="1139">
        <f t="shared" ca="1" si="74"/>
        <v>1683474</v>
      </c>
      <c r="E313" s="1140"/>
      <c r="F313" s="1140"/>
      <c r="G313" s="1141"/>
      <c r="H313" s="1139">
        <f t="shared" ca="1" si="75"/>
        <v>0</v>
      </c>
      <c r="I313" s="1140"/>
      <c r="J313" s="1140"/>
      <c r="K313" s="1141"/>
      <c r="L313" s="863" t="str">
        <f t="shared" ca="1" si="79"/>
        <v/>
      </c>
      <c r="M313" s="862" t="str">
        <f ca="1">IF(OR($A$2=1,MAX($C$290:$C$345,$M$290:$M312)&gt;=110),"",M312+(L313-L312))</f>
        <v/>
      </c>
      <c r="N313" s="1139" t="str">
        <f t="shared" ca="1" si="76"/>
        <v/>
      </c>
      <c r="O313" s="1140"/>
      <c r="P313" s="1140"/>
      <c r="Q313" s="1141"/>
      <c r="R313" s="1139" t="str">
        <f t="shared" ca="1" si="77"/>
        <v/>
      </c>
      <c r="S313" s="1140"/>
      <c r="T313" s="1140"/>
      <c r="U313" s="1141"/>
    </row>
    <row r="314" spans="1:21" ht="11.25" customHeight="1">
      <c r="A314" s="8"/>
      <c r="B314" s="863">
        <f t="shared" ca="1" si="78"/>
        <v>25</v>
      </c>
      <c r="C314" s="862">
        <f ca="1">IF(OR($A$2=1,MAX($C$290:C313)&gt;=110),"",C313+(B314-B313))</f>
        <v>57</v>
      </c>
      <c r="D314" s="1139">
        <f t="shared" ca="1" si="74"/>
        <v>1729042</v>
      </c>
      <c r="E314" s="1140"/>
      <c r="F314" s="1140"/>
      <c r="G314" s="1141"/>
      <c r="H314" s="1139">
        <f t="shared" ca="1" si="75"/>
        <v>0</v>
      </c>
      <c r="I314" s="1140"/>
      <c r="J314" s="1140"/>
      <c r="K314" s="1141"/>
      <c r="L314" s="863" t="str">
        <f t="shared" ca="1" si="79"/>
        <v/>
      </c>
      <c r="M314" s="862" t="str">
        <f ca="1">IF(OR($A$2=1,MAX($C$290:$C$345,$M$290:$M313)&gt;=110),"",M313+(L314-L313))</f>
        <v/>
      </c>
      <c r="N314" s="1139" t="str">
        <f t="shared" ca="1" si="76"/>
        <v/>
      </c>
      <c r="O314" s="1140"/>
      <c r="P314" s="1140"/>
      <c r="Q314" s="1141"/>
      <c r="R314" s="1139" t="str">
        <f t="shared" ca="1" si="77"/>
        <v/>
      </c>
      <c r="S314" s="1140"/>
      <c r="T314" s="1140"/>
      <c r="U314" s="1141"/>
    </row>
    <row r="315" spans="1:21" ht="11.25" customHeight="1">
      <c r="A315" s="8"/>
      <c r="B315" s="863">
        <f t="shared" ca="1" si="78"/>
        <v>26</v>
      </c>
      <c r="C315" s="862">
        <f ca="1">IF(OR($A$2=1,MAX($C$290:C314)&gt;=110),"",C314+(B315-B314))</f>
        <v>58</v>
      </c>
      <c r="D315" s="1139">
        <f t="shared" ca="1" si="74"/>
        <v>1775807</v>
      </c>
      <c r="E315" s="1140"/>
      <c r="F315" s="1140"/>
      <c r="G315" s="1141"/>
      <c r="H315" s="1139">
        <f t="shared" ca="1" si="75"/>
        <v>0</v>
      </c>
      <c r="I315" s="1140"/>
      <c r="J315" s="1140"/>
      <c r="K315" s="1141"/>
      <c r="L315" s="863" t="str">
        <f t="shared" ca="1" si="79"/>
        <v/>
      </c>
      <c r="M315" s="862" t="str">
        <f ca="1">IF(OR($A$2=1,MAX($C$290:$C$345,$M$290:$M314)&gt;=110),"",M314+(L315-L314))</f>
        <v/>
      </c>
      <c r="N315" s="1139" t="str">
        <f t="shared" ca="1" si="76"/>
        <v/>
      </c>
      <c r="O315" s="1140"/>
      <c r="P315" s="1140"/>
      <c r="Q315" s="1141"/>
      <c r="R315" s="1139" t="str">
        <f t="shared" ca="1" si="77"/>
        <v/>
      </c>
      <c r="S315" s="1140"/>
      <c r="T315" s="1140"/>
      <c r="U315" s="1141"/>
    </row>
    <row r="316" spans="1:21" ht="11.25" customHeight="1">
      <c r="A316" s="8"/>
      <c r="B316" s="863">
        <f t="shared" ca="1" si="78"/>
        <v>27</v>
      </c>
      <c r="C316" s="862">
        <f ca="1">IF(OR($A$2=1,MAX($C$290:C315)&gt;=110),"",C315+(B316-B315))</f>
        <v>59</v>
      </c>
      <c r="D316" s="1139">
        <f t="shared" ca="1" si="74"/>
        <v>1823877</v>
      </c>
      <c r="E316" s="1140"/>
      <c r="F316" s="1140"/>
      <c r="G316" s="1141"/>
      <c r="H316" s="1139">
        <f t="shared" ca="1" si="75"/>
        <v>0</v>
      </c>
      <c r="I316" s="1140"/>
      <c r="J316" s="1140"/>
      <c r="K316" s="1141"/>
      <c r="L316" s="863" t="str">
        <f t="shared" ca="1" si="79"/>
        <v/>
      </c>
      <c r="M316" s="862" t="str">
        <f ca="1">IF(OR($A$2=1,MAX($C$290:$C$345,$M$290:$M315)&gt;=110),"",M315+(L316-L315))</f>
        <v/>
      </c>
      <c r="N316" s="1139" t="str">
        <f t="shared" ca="1" si="76"/>
        <v/>
      </c>
      <c r="O316" s="1140"/>
      <c r="P316" s="1140"/>
      <c r="Q316" s="1141"/>
      <c r="R316" s="1139" t="str">
        <f t="shared" ca="1" si="77"/>
        <v/>
      </c>
      <c r="S316" s="1140"/>
      <c r="T316" s="1140"/>
      <c r="U316" s="1141"/>
    </row>
    <row r="317" spans="1:21" ht="11.25" customHeight="1">
      <c r="A317" s="8"/>
      <c r="B317" s="863">
        <f t="shared" ca="1" si="78"/>
        <v>28</v>
      </c>
      <c r="C317" s="862">
        <f ca="1">IF(OR($A$2=1,MAX($C$290:C316)&gt;=110),"",C316+(B317-B316))</f>
        <v>60</v>
      </c>
      <c r="D317" s="1139">
        <f t="shared" ca="1" si="74"/>
        <v>1873241</v>
      </c>
      <c r="E317" s="1140"/>
      <c r="F317" s="1140"/>
      <c r="G317" s="1141"/>
      <c r="H317" s="1139">
        <f t="shared" ca="1" si="75"/>
        <v>0</v>
      </c>
      <c r="I317" s="1140"/>
      <c r="J317" s="1140"/>
      <c r="K317" s="1141"/>
      <c r="L317" s="863" t="str">
        <f t="shared" ca="1" si="79"/>
        <v/>
      </c>
      <c r="M317" s="862" t="str">
        <f ca="1">IF(OR($A$2=1,MAX($C$290:$C$345,$M$290:$M316)&gt;=110),"",M316+(L317-L316))</f>
        <v/>
      </c>
      <c r="N317" s="1139" t="str">
        <f t="shared" ca="1" si="76"/>
        <v/>
      </c>
      <c r="O317" s="1140"/>
      <c r="P317" s="1140"/>
      <c r="Q317" s="1141"/>
      <c r="R317" s="1139" t="str">
        <f t="shared" ca="1" si="77"/>
        <v/>
      </c>
      <c r="S317" s="1140"/>
      <c r="T317" s="1140"/>
      <c r="U317" s="1141"/>
    </row>
    <row r="318" spans="1:21" ht="11.25" customHeight="1">
      <c r="A318" s="8"/>
      <c r="B318" s="863">
        <f t="shared" ca="1" si="78"/>
        <v>29</v>
      </c>
      <c r="C318" s="862">
        <f ca="1">IF(OR($A$2=1,MAX($C$290:C317)&gt;=110),"",C317+(B318-B317))</f>
        <v>61</v>
      </c>
      <c r="D318" s="1139">
        <f t="shared" ca="1" si="74"/>
        <v>1923938</v>
      </c>
      <c r="E318" s="1140"/>
      <c r="F318" s="1140"/>
      <c r="G318" s="1141"/>
      <c r="H318" s="1139">
        <f t="shared" ca="1" si="75"/>
        <v>0</v>
      </c>
      <c r="I318" s="1140"/>
      <c r="J318" s="1140"/>
      <c r="K318" s="1141"/>
      <c r="L318" s="863" t="str">
        <f t="shared" ca="1" si="79"/>
        <v/>
      </c>
      <c r="M318" s="862" t="str">
        <f ca="1">IF(OR($A$2=1,MAX($C$290:$C$345,$M$290:$M317)&gt;=110),"",M317+(L318-L317))</f>
        <v/>
      </c>
      <c r="N318" s="1139" t="str">
        <f t="shared" ca="1" si="76"/>
        <v/>
      </c>
      <c r="O318" s="1140"/>
      <c r="P318" s="1140"/>
      <c r="Q318" s="1141"/>
      <c r="R318" s="1139" t="str">
        <f t="shared" ca="1" si="77"/>
        <v/>
      </c>
      <c r="S318" s="1140"/>
      <c r="T318" s="1140"/>
      <c r="U318" s="1141"/>
    </row>
    <row r="319" spans="1:21" ht="11.25" customHeight="1">
      <c r="A319" s="8"/>
      <c r="B319" s="863">
        <f t="shared" ca="1" si="78"/>
        <v>30</v>
      </c>
      <c r="C319" s="862">
        <f ca="1">IF(OR($A$2=1,MAX($C$290:C318)&gt;=110),"",C318+(B319-B318))</f>
        <v>62</v>
      </c>
      <c r="D319" s="1139">
        <f t="shared" ca="1" si="74"/>
        <v>1641071.4000000001</v>
      </c>
      <c r="E319" s="1140"/>
      <c r="F319" s="1140"/>
      <c r="G319" s="1141"/>
      <c r="H319" s="1139">
        <f t="shared" ca="1" si="75"/>
        <v>20083.062800950349</v>
      </c>
      <c r="I319" s="1140"/>
      <c r="J319" s="1140"/>
      <c r="K319" s="1141"/>
      <c r="L319" s="863" t="str">
        <f t="shared" ca="1" si="79"/>
        <v/>
      </c>
      <c r="M319" s="862" t="str">
        <f ca="1">IF(OR($A$2=1,MAX($C$290:$C$345,$M$290:$M318)&gt;=110),"",M318+(L319-L318))</f>
        <v/>
      </c>
      <c r="N319" s="1139" t="str">
        <f t="shared" ca="1" si="76"/>
        <v/>
      </c>
      <c r="O319" s="1140"/>
      <c r="P319" s="1140"/>
      <c r="Q319" s="1141"/>
      <c r="R319" s="1139" t="str">
        <f t="shared" ca="1" si="77"/>
        <v/>
      </c>
      <c r="S319" s="1140"/>
      <c r="T319" s="1140"/>
      <c r="U319" s="1141"/>
    </row>
    <row r="320" spans="1:21" ht="11.25" customHeight="1">
      <c r="A320" s="8"/>
      <c r="B320" s="863">
        <f t="shared" ca="1" si="78"/>
        <v>31</v>
      </c>
      <c r="C320" s="862">
        <f ca="1">IF(OR($A$2=1,MAX($C$290:C319)&gt;=110),"",C319+(B320-B319))</f>
        <v>63</v>
      </c>
      <c r="D320" s="1139">
        <f t="shared" ca="1" si="74"/>
        <v>1687868.6</v>
      </c>
      <c r="E320" s="1140"/>
      <c r="F320" s="1140"/>
      <c r="G320" s="1141"/>
      <c r="H320" s="1139">
        <f t="shared" ca="1" si="75"/>
        <v>20484.526676659483</v>
      </c>
      <c r="I320" s="1140"/>
      <c r="J320" s="1140"/>
      <c r="K320" s="1141"/>
      <c r="L320" s="863" t="str">
        <f t="shared" ca="1" si="79"/>
        <v/>
      </c>
      <c r="M320" s="862" t="str">
        <f ca="1">IF(OR($A$2=1,MAX($C$290:$C$345,$M$290:$M319)&gt;=110),"",M319+(L320-L319))</f>
        <v/>
      </c>
      <c r="N320" s="1139" t="str">
        <f t="shared" ca="1" si="76"/>
        <v/>
      </c>
      <c r="O320" s="1140"/>
      <c r="P320" s="1140"/>
      <c r="Q320" s="1141"/>
      <c r="R320" s="1139" t="str">
        <f t="shared" ca="1" si="77"/>
        <v/>
      </c>
      <c r="S320" s="1140"/>
      <c r="T320" s="1140"/>
      <c r="U320" s="1141"/>
    </row>
    <row r="321" spans="1:21" ht="11.25" customHeight="1">
      <c r="A321" s="8"/>
      <c r="B321" s="863">
        <f t="shared" ca="1" si="78"/>
        <v>32</v>
      </c>
      <c r="C321" s="862">
        <f ca="1">IF(OR($A$2=1,MAX($C$290:C320)&gt;=110),"",C320+(B321-B320))</f>
        <v>64</v>
      </c>
      <c r="D321" s="1139">
        <f t="shared" ca="1" si="74"/>
        <v>1735979.8</v>
      </c>
      <c r="E321" s="1140"/>
      <c r="F321" s="1140"/>
      <c r="G321" s="1141"/>
      <c r="H321" s="1139">
        <f t="shared" ca="1" si="75"/>
        <v>20894.324654152359</v>
      </c>
      <c r="I321" s="1140"/>
      <c r="J321" s="1140"/>
      <c r="K321" s="1141"/>
      <c r="L321" s="863" t="str">
        <f t="shared" ca="1" si="79"/>
        <v/>
      </c>
      <c r="M321" s="862" t="str">
        <f ca="1">IF(OR($A$2=1,MAX($C$290:$C$345,$M$290:$M320)&gt;=110),"",M320+(L321-L320))</f>
        <v/>
      </c>
      <c r="N321" s="1139" t="str">
        <f t="shared" ca="1" si="76"/>
        <v/>
      </c>
      <c r="O321" s="1140"/>
      <c r="P321" s="1140"/>
      <c r="Q321" s="1141"/>
      <c r="R321" s="1139" t="str">
        <f t="shared" ca="1" si="77"/>
        <v/>
      </c>
      <c r="S321" s="1140"/>
      <c r="T321" s="1140"/>
      <c r="U321" s="1141"/>
    </row>
    <row r="322" spans="1:21" ht="11.25" customHeight="1">
      <c r="A322" s="8"/>
      <c r="B322" s="863">
        <f t="shared" ca="1" si="78"/>
        <v>33</v>
      </c>
      <c r="C322" s="862">
        <f ca="1">IF(OR($A$2=1,MAX($C$290:C321)&gt;=110),"",C321+(B322-B321))</f>
        <v>65</v>
      </c>
      <c r="D322" s="1139">
        <f t="shared" ref="D322:D345" ca="1" si="80">IF(OR($A$2=1,ISERROR(VLOOKUP($B322,TOV,24,0))),"",VLOOKUP($B322,TOV,24,0))</f>
        <v>1785426.6</v>
      </c>
      <c r="E322" s="1140"/>
      <c r="F322" s="1140"/>
      <c r="G322" s="1141"/>
      <c r="H322" s="1139">
        <f t="shared" ref="H322:H345" ca="1" si="81">IF(OR($A$2=1,ISERROR(VLOOKUP($B322,TOV,25,0))),"",VLOOKUP($B322,TOV,25,0))</f>
        <v>21312.061013488168</v>
      </c>
      <c r="I322" s="1140"/>
      <c r="J322" s="1140"/>
      <c r="K322" s="1141"/>
      <c r="L322" s="863" t="str">
        <f t="shared" ca="1" si="79"/>
        <v/>
      </c>
      <c r="M322" s="862" t="str">
        <f ca="1">IF(OR($A$2=1,MAX($C$290:$C$345,$M$290:$M321)&gt;=110),"",M321+(L322-L321))</f>
        <v/>
      </c>
      <c r="N322" s="1139" t="str">
        <f t="shared" ref="N322:N344" ca="1" si="82">IF(OR($A$2=1,ISERROR(VLOOKUP($L322,TOV,24,0))),"",VLOOKUP($L322,TOV,24,0))</f>
        <v/>
      </c>
      <c r="O322" s="1140"/>
      <c r="P322" s="1140"/>
      <c r="Q322" s="1141"/>
      <c r="R322" s="1139" t="str">
        <f t="shared" ref="R322:R344" ca="1" si="83">IF(OR($A$2=1,ISERROR(VLOOKUP($L322,TOV,25,0))),"",VLOOKUP($L322,TOV,25,0))</f>
        <v/>
      </c>
      <c r="S322" s="1140"/>
      <c r="T322" s="1140"/>
      <c r="U322" s="1141"/>
    </row>
    <row r="323" spans="1:21" ht="11.25" customHeight="1">
      <c r="A323" s="8"/>
      <c r="B323" s="863">
        <f t="shared" ca="1" si="78"/>
        <v>34</v>
      </c>
      <c r="C323" s="862">
        <f ca="1">IF(OR($A$2=1,MAX($C$290:C322)&gt;=110),"",C322+(B323-B322))</f>
        <v>66</v>
      </c>
      <c r="D323" s="1139">
        <f t="shared" ca="1" si="80"/>
        <v>1836292.2000000002</v>
      </c>
      <c r="E323" s="1140"/>
      <c r="F323" s="1140"/>
      <c r="G323" s="1141"/>
      <c r="H323" s="1139">
        <f t="shared" ca="1" si="81"/>
        <v>21738.5631690886</v>
      </c>
      <c r="I323" s="1140"/>
      <c r="J323" s="1140"/>
      <c r="K323" s="1141"/>
      <c r="L323" s="863" t="str">
        <f t="shared" ca="1" si="79"/>
        <v/>
      </c>
      <c r="M323" s="862" t="str">
        <f ca="1">IF(OR($A$2=1,MAX($C$290:$C$345,$M$290:$M322)&gt;=110),"",M322+(L323-L322))</f>
        <v/>
      </c>
      <c r="N323" s="1139" t="str">
        <f ca="1">IF(OR($A$2=1,ISERROR(VLOOKUP($L323,TOV,24,0))),"",VLOOKUP($L323,TOV,24,0))</f>
        <v/>
      </c>
      <c r="O323" s="1140"/>
      <c r="P323" s="1140"/>
      <c r="Q323" s="1141"/>
      <c r="R323" s="1139" t="str">
        <f t="shared" ca="1" si="83"/>
        <v/>
      </c>
      <c r="S323" s="1140"/>
      <c r="T323" s="1140"/>
      <c r="U323" s="1141"/>
    </row>
    <row r="324" spans="1:21" ht="11.25" customHeight="1">
      <c r="A324" s="8"/>
      <c r="B324" s="863">
        <f t="shared" ca="1" si="78"/>
        <v>35</v>
      </c>
      <c r="C324" s="862">
        <f ca="1">IF(OR($A$2=1,MAX($C$290:C323)&gt;=110),"",C323+(B324-B323))</f>
        <v>67</v>
      </c>
      <c r="D324" s="1139">
        <f t="shared" ca="1" si="80"/>
        <v>1888603.6</v>
      </c>
      <c r="E324" s="1140"/>
      <c r="F324" s="1140"/>
      <c r="G324" s="1141"/>
      <c r="H324" s="1139">
        <f t="shared" ca="1" si="81"/>
        <v>22173.411417986128</v>
      </c>
      <c r="I324" s="1140"/>
      <c r="J324" s="1140"/>
      <c r="K324" s="1141"/>
      <c r="L324" s="863" t="str">
        <f t="shared" ca="1" si="79"/>
        <v/>
      </c>
      <c r="M324" s="862" t="str">
        <f ca="1">IF(OR($A$2=1,MAX($C$290:$C$345,$M$290:$M323)&gt;=110),"",M323+(L324-L323))</f>
        <v/>
      </c>
      <c r="N324" s="1139" t="str">
        <f t="shared" ca="1" si="82"/>
        <v/>
      </c>
      <c r="O324" s="1140"/>
      <c r="P324" s="1140"/>
      <c r="Q324" s="1141"/>
      <c r="R324" s="1139" t="str">
        <f t="shared" ca="1" si="83"/>
        <v/>
      </c>
      <c r="S324" s="1140"/>
      <c r="T324" s="1140"/>
      <c r="U324" s="1141"/>
    </row>
    <row r="325" spans="1:21" ht="11.25" customHeight="1">
      <c r="A325" s="8"/>
      <c r="B325" s="863">
        <f t="shared" ca="1" si="78"/>
        <v>36</v>
      </c>
      <c r="C325" s="862">
        <f ca="1">IF(OR($A$2=1,MAX($C$290:C324)&gt;=110),"",C324+(B325-B324))</f>
        <v>68</v>
      </c>
      <c r="D325" s="1139">
        <f t="shared" ca="1" si="80"/>
        <v>1942332.8</v>
      </c>
      <c r="E325" s="1140"/>
      <c r="F325" s="1140"/>
      <c r="G325" s="1141"/>
      <c r="H325" s="1139">
        <f t="shared" ca="1" si="81"/>
        <v>22616.605760180755</v>
      </c>
      <c r="I325" s="1140"/>
      <c r="J325" s="1140"/>
      <c r="K325" s="1141"/>
      <c r="L325" s="863" t="str">
        <f t="shared" ca="1" si="79"/>
        <v/>
      </c>
      <c r="M325" s="862" t="str">
        <f ca="1">IF(OR($A$2=1,MAX($C$290:$C$345,$M$290:$M324)&gt;=110),"",M324+(L325-L324))</f>
        <v/>
      </c>
      <c r="N325" s="1139" t="str">
        <f t="shared" ca="1" si="82"/>
        <v/>
      </c>
      <c r="O325" s="1140"/>
      <c r="P325" s="1140"/>
      <c r="Q325" s="1141"/>
      <c r="R325" s="1139" t="str">
        <f t="shared" ca="1" si="83"/>
        <v/>
      </c>
      <c r="S325" s="1140"/>
      <c r="T325" s="1140"/>
      <c r="U325" s="1141"/>
    </row>
    <row r="326" spans="1:21" ht="11.25" customHeight="1">
      <c r="A326" s="8"/>
      <c r="B326" s="863">
        <f t="shared" ca="1" si="78"/>
        <v>37</v>
      </c>
      <c r="C326" s="862">
        <f ca="1">IF(OR($A$2=1,MAX($C$290:C325)&gt;=110),"",C325+(B326-B325))</f>
        <v>69</v>
      </c>
      <c r="D326" s="1139">
        <f t="shared" ca="1" si="80"/>
        <v>1997592.8</v>
      </c>
      <c r="E326" s="1140"/>
      <c r="F326" s="1140"/>
      <c r="G326" s="1141"/>
      <c r="H326" s="1139">
        <f t="shared" ca="1" si="81"/>
        <v>23068.985601607536</v>
      </c>
      <c r="I326" s="1140"/>
      <c r="J326" s="1140"/>
      <c r="K326" s="1141"/>
      <c r="L326" s="863" t="str">
        <f t="shared" ca="1" si="79"/>
        <v/>
      </c>
      <c r="M326" s="862" t="str">
        <f ca="1">IF(OR($A$2=1,MAX($C$290:$C$345,$M$290:$M325)&gt;=110),"",M325+(L326-L325))</f>
        <v/>
      </c>
      <c r="N326" s="1139" t="str">
        <f t="shared" ca="1" si="82"/>
        <v/>
      </c>
      <c r="O326" s="1140"/>
      <c r="P326" s="1140"/>
      <c r="Q326" s="1141"/>
      <c r="R326" s="1139" t="str">
        <f t="shared" ca="1" si="83"/>
        <v/>
      </c>
      <c r="S326" s="1140"/>
      <c r="T326" s="1140"/>
      <c r="U326" s="1141"/>
    </row>
    <row r="327" spans="1:21" ht="11.25" customHeight="1">
      <c r="A327" s="8"/>
      <c r="B327" s="863">
        <f t="shared" ca="1" si="78"/>
        <v>38</v>
      </c>
      <c r="C327" s="862">
        <f ca="1">IF(OR($A$2=1,MAX($C$290:C326)&gt;=110),"",C326+(B327-B326))</f>
        <v>70</v>
      </c>
      <c r="D327" s="1139">
        <f t="shared" ca="1" si="80"/>
        <v>2054413.8</v>
      </c>
      <c r="E327" s="1140"/>
      <c r="F327" s="1140"/>
      <c r="G327" s="1141"/>
      <c r="H327" s="1139">
        <f t="shared" ca="1" si="81"/>
        <v>23530.538950753107</v>
      </c>
      <c r="I327" s="1140"/>
      <c r="J327" s="1140"/>
      <c r="K327" s="1141"/>
      <c r="L327" s="863" t="str">
        <f t="shared" ca="1" si="79"/>
        <v/>
      </c>
      <c r="M327" s="862" t="str">
        <f ca="1">IF(OR($A$2=1,MAX($C$290:$C$345,$M$290:$M326)&gt;=110),"",M326+(L327-L326))</f>
        <v/>
      </c>
      <c r="N327" s="1139" t="str">
        <f t="shared" ca="1" si="82"/>
        <v/>
      </c>
      <c r="O327" s="1140"/>
      <c r="P327" s="1140"/>
      <c r="Q327" s="1141"/>
      <c r="R327" s="1139" t="str">
        <f t="shared" ca="1" si="83"/>
        <v/>
      </c>
      <c r="S327" s="1140"/>
      <c r="T327" s="1140"/>
      <c r="U327" s="1141"/>
    </row>
    <row r="328" spans="1:21" ht="11.25" customHeight="1">
      <c r="A328" s="8"/>
      <c r="B328" s="863">
        <f t="shared" ca="1" si="78"/>
        <v>39</v>
      </c>
      <c r="C328" s="862">
        <f ca="1">IF(OR($A$2=1,MAX($C$290:C327)&gt;=110),"",C327+(B328-B327))</f>
        <v>71</v>
      </c>
      <c r="D328" s="1139">
        <f t="shared" ca="1" si="80"/>
        <v>2112834.6</v>
      </c>
      <c r="E328" s="1140"/>
      <c r="F328" s="1140"/>
      <c r="G328" s="1141"/>
      <c r="H328" s="1139">
        <f t="shared" ca="1" si="81"/>
        <v>24000.858096163305</v>
      </c>
      <c r="I328" s="1140"/>
      <c r="J328" s="1140"/>
      <c r="K328" s="1141"/>
      <c r="L328" s="863" t="str">
        <f t="shared" ca="1" si="79"/>
        <v/>
      </c>
      <c r="M328" s="862" t="str">
        <f ca="1">IF(OR($A$2=1,MAX($C$290:$C$345,$M$290:$M327)&gt;=110),"",M327+(L328-L327))</f>
        <v/>
      </c>
      <c r="N328" s="1139" t="str">
        <f t="shared" ca="1" si="82"/>
        <v/>
      </c>
      <c r="O328" s="1140"/>
      <c r="P328" s="1140"/>
      <c r="Q328" s="1141"/>
      <c r="R328" s="1139" t="str">
        <f t="shared" ca="1" si="83"/>
        <v/>
      </c>
      <c r="S328" s="1140"/>
      <c r="T328" s="1140"/>
      <c r="U328" s="1141"/>
    </row>
    <row r="329" spans="1:21" ht="11.25" customHeight="1">
      <c r="A329" s="8"/>
      <c r="B329" s="863">
        <f t="shared" ca="1" si="78"/>
        <v>40</v>
      </c>
      <c r="C329" s="862">
        <f ca="1">IF(OR($A$2=1,MAX($C$290:C328)&gt;=110),"",C328+(B329-B328))</f>
        <v>72</v>
      </c>
      <c r="D329" s="1139">
        <f t="shared" ca="1" si="80"/>
        <v>2172871.4000000004</v>
      </c>
      <c r="E329" s="1140"/>
      <c r="F329" s="1140"/>
      <c r="G329" s="1141"/>
      <c r="H329" s="1139">
        <f t="shared" ca="1" si="81"/>
        <v>24480.770452259825</v>
      </c>
      <c r="I329" s="1140"/>
      <c r="J329" s="1140"/>
      <c r="K329" s="1141"/>
      <c r="L329" s="863" t="str">
        <f t="shared" ca="1" si="79"/>
        <v/>
      </c>
      <c r="M329" s="862" t="str">
        <f ca="1">IF(OR($A$2=1,MAX($C$290:$C$345,$M$290:$M328)&gt;=110),"",M328+(L329-L328))</f>
        <v/>
      </c>
      <c r="N329" s="1139" t="str">
        <f t="shared" ca="1" si="82"/>
        <v/>
      </c>
      <c r="O329" s="1140"/>
      <c r="P329" s="1140"/>
      <c r="Q329" s="1141"/>
      <c r="R329" s="1139" t="str">
        <f t="shared" ca="1" si="83"/>
        <v/>
      </c>
      <c r="S329" s="1140"/>
      <c r="T329" s="1140"/>
      <c r="U329" s="1141"/>
    </row>
    <row r="330" spans="1:21" ht="11.25" customHeight="1">
      <c r="A330" s="8"/>
      <c r="B330" s="863">
        <f t="shared" ca="1" si="78"/>
        <v>41</v>
      </c>
      <c r="C330" s="862">
        <f ca="1">IF(OR($A$2=1,MAX($C$290:C329)&gt;=110),"",C329+(B330-B329))</f>
        <v>73</v>
      </c>
      <c r="D330" s="1139">
        <f t="shared" ca="1" si="80"/>
        <v>2234594</v>
      </c>
      <c r="E330" s="1140"/>
      <c r="F330" s="1140"/>
      <c r="G330" s="1141"/>
      <c r="H330" s="1139">
        <f t="shared" ca="1" si="81"/>
        <v>24970.288010556018</v>
      </c>
      <c r="I330" s="1140"/>
      <c r="J330" s="1140"/>
      <c r="K330" s="1141"/>
      <c r="L330" s="863" t="str">
        <f t="shared" ca="1" si="79"/>
        <v/>
      </c>
      <c r="M330" s="862" t="str">
        <f ca="1">IF(OR($A$2=1,MAX($C$290:$C$345,$M$290:$M329)&gt;=110),"",M329+(L330-L329))</f>
        <v/>
      </c>
      <c r="N330" s="1139" t="str">
        <f t="shared" ca="1" si="82"/>
        <v/>
      </c>
      <c r="O330" s="1140"/>
      <c r="P330" s="1140"/>
      <c r="Q330" s="1141"/>
      <c r="R330" s="1139" t="str">
        <f t="shared" ca="1" si="83"/>
        <v/>
      </c>
      <c r="S330" s="1140"/>
      <c r="T330" s="1140"/>
      <c r="U330" s="1141"/>
    </row>
    <row r="331" spans="1:21" ht="11.25" customHeight="1">
      <c r="A331" s="8"/>
      <c r="B331" s="863">
        <f t="shared" ca="1" si="78"/>
        <v>42</v>
      </c>
      <c r="C331" s="862">
        <f ca="1">IF(OR($A$2=1,MAX($C$290:C330)&gt;=110),"",C330+(B331-B330))</f>
        <v>74</v>
      </c>
      <c r="D331" s="1139">
        <f t="shared" ca="1" si="80"/>
        <v>2298063.6</v>
      </c>
      <c r="E331" s="1140"/>
      <c r="F331" s="1140"/>
      <c r="G331" s="1141"/>
      <c r="H331" s="1139">
        <f t="shared" ca="1" si="81"/>
        <v>25469.818482506063</v>
      </c>
      <c r="I331" s="1140"/>
      <c r="J331" s="1140"/>
      <c r="K331" s="1141"/>
      <c r="L331" s="863" t="str">
        <f t="shared" ca="1" si="79"/>
        <v/>
      </c>
      <c r="M331" s="862" t="str">
        <f ca="1">IF(OR($A$2=1,MAX($C$290:$C$345,$M$290:$M330)&gt;=110),"",M330+(L331-L330))</f>
        <v/>
      </c>
      <c r="N331" s="1139" t="str">
        <f t="shared" ca="1" si="82"/>
        <v/>
      </c>
      <c r="O331" s="1140"/>
      <c r="P331" s="1140"/>
      <c r="Q331" s="1141"/>
      <c r="R331" s="1139" t="str">
        <f t="shared" ca="1" si="83"/>
        <v/>
      </c>
      <c r="S331" s="1140"/>
      <c r="T331" s="1140"/>
      <c r="U331" s="1141"/>
    </row>
    <row r="332" spans="1:21" ht="11.25" customHeight="1">
      <c r="A332" s="8"/>
      <c r="B332" s="863">
        <f t="shared" ca="1" si="78"/>
        <v>43</v>
      </c>
      <c r="C332" s="862">
        <f ca="1">IF(OR($A$2=1,MAX($C$290:C331)&gt;=110),"",C331+(B332-B331))</f>
        <v>75</v>
      </c>
      <c r="D332" s="1139">
        <f t="shared" ca="1" si="80"/>
        <v>2363164</v>
      </c>
      <c r="E332" s="1140"/>
      <c r="F332" s="1140"/>
      <c r="G332" s="1141"/>
      <c r="H332" s="1139">
        <f t="shared" ca="1" si="81"/>
        <v>25976.435938850624</v>
      </c>
      <c r="I332" s="1140"/>
      <c r="J332" s="1140"/>
      <c r="K332" s="1141"/>
      <c r="L332" s="863" t="str">
        <f t="shared" ca="1" si="79"/>
        <v/>
      </c>
      <c r="M332" s="862" t="str">
        <f ca="1">IF(OR($A$2=1,MAX($C$290:$C$345,$M$290:$M331)&gt;=110),"",M331+(L332-L331))</f>
        <v/>
      </c>
      <c r="N332" s="1139" t="str">
        <f t="shared" ca="1" si="82"/>
        <v/>
      </c>
      <c r="O332" s="1140"/>
      <c r="P332" s="1140"/>
      <c r="Q332" s="1141"/>
      <c r="R332" s="1139" t="str">
        <f t="shared" ca="1" si="83"/>
        <v/>
      </c>
      <c r="S332" s="1140"/>
      <c r="T332" s="1140"/>
      <c r="U332" s="1141"/>
    </row>
    <row r="333" spans="1:21" ht="11.25" customHeight="1">
      <c r="A333" s="8"/>
      <c r="B333" s="863">
        <f t="shared" ca="1" si="78"/>
        <v>44</v>
      </c>
      <c r="C333" s="862">
        <f ca="1">IF(OR($A$2=1,MAX($C$290:C332)&gt;=110),"",C332+(B333-B332))</f>
        <v>76</v>
      </c>
      <c r="D333" s="1139">
        <f t="shared" ca="1" si="80"/>
        <v>2429812.7999999998</v>
      </c>
      <c r="E333" s="1140"/>
      <c r="F333" s="1140"/>
      <c r="G333" s="1141"/>
      <c r="H333" s="1139">
        <f t="shared" ca="1" si="81"/>
        <v>26489.744659648892</v>
      </c>
      <c r="I333" s="1140"/>
      <c r="J333" s="1140"/>
      <c r="K333" s="1141"/>
      <c r="L333" s="863" t="str">
        <f t="shared" ca="1" si="79"/>
        <v/>
      </c>
      <c r="M333" s="862" t="str">
        <f ca="1">IF(OR($A$2=1,MAX($C$290:$C$345,$M$290:$M332)&gt;=110),"",M332+(L333-L332))</f>
        <v/>
      </c>
      <c r="N333" s="1139" t="str">
        <f t="shared" ca="1" si="82"/>
        <v/>
      </c>
      <c r="O333" s="1140"/>
      <c r="P333" s="1140"/>
      <c r="Q333" s="1141"/>
      <c r="R333" s="1139" t="str">
        <f t="shared" ca="1" si="83"/>
        <v/>
      </c>
      <c r="S333" s="1140"/>
      <c r="T333" s="1140"/>
      <c r="U333" s="1141"/>
    </row>
    <row r="334" spans="1:21" ht="11.25" customHeight="1">
      <c r="A334" s="8"/>
      <c r="B334" s="863">
        <f t="shared" ca="1" si="78"/>
        <v>45</v>
      </c>
      <c r="C334" s="862">
        <f ca="1">IF(OR($A$2=1,MAX($C$290:C333)&gt;=110),"",C333+(B334-B333))</f>
        <v>77</v>
      </c>
      <c r="D334" s="1139">
        <f t="shared" ca="1" si="80"/>
        <v>2498061.4000000004</v>
      </c>
      <c r="E334" s="1140"/>
      <c r="F334" s="1140"/>
      <c r="G334" s="1141"/>
      <c r="H334" s="1139">
        <f t="shared" ca="1" si="81"/>
        <v>27009.300958906631</v>
      </c>
      <c r="I334" s="1140"/>
      <c r="J334" s="1140"/>
      <c r="K334" s="1141"/>
      <c r="L334" s="863" t="str">
        <f t="shared" ca="1" si="79"/>
        <v/>
      </c>
      <c r="M334" s="862" t="str">
        <f ca="1">IF(OR($A$2=1,MAX($C$290:$C$345,$M$290:$M333)&gt;=110),"",M333+(L334-L333))</f>
        <v/>
      </c>
      <c r="N334" s="1139" t="str">
        <f t="shared" ca="1" si="82"/>
        <v/>
      </c>
      <c r="O334" s="1140"/>
      <c r="P334" s="1140"/>
      <c r="Q334" s="1141"/>
      <c r="R334" s="1139" t="str">
        <f t="shared" ca="1" si="83"/>
        <v/>
      </c>
      <c r="S334" s="1140"/>
      <c r="T334" s="1140"/>
      <c r="U334" s="1141"/>
    </row>
    <row r="335" spans="1:21" ht="11.25" customHeight="1">
      <c r="A335" s="8"/>
      <c r="B335" s="863">
        <f t="shared" ca="1" si="78"/>
        <v>46</v>
      </c>
      <c r="C335" s="862">
        <f ca="1">IF(OR($A$2=1,MAX($C$290:C334)&gt;=110),"",C334+(B335-B334))</f>
        <v>78</v>
      </c>
      <c r="D335" s="1139">
        <f t="shared" ca="1" si="80"/>
        <v>2568474.2000000002</v>
      </c>
      <c r="E335" s="1140"/>
      <c r="F335" s="1140"/>
      <c r="G335" s="1141"/>
      <c r="H335" s="1139">
        <f t="shared" ca="1" si="81"/>
        <v>27543.055209980121</v>
      </c>
      <c r="I335" s="1140"/>
      <c r="J335" s="1140"/>
      <c r="K335" s="1141"/>
      <c r="L335" s="863" t="str">
        <f t="shared" ca="1" si="79"/>
        <v/>
      </c>
      <c r="M335" s="862" t="str">
        <f ca="1">IF(OR($A$2=1,MAX($C$290:$C$345,$M$290:$M334)&gt;=110),"",M334+(L335-L334))</f>
        <v/>
      </c>
      <c r="N335" s="1139" t="str">
        <f t="shared" ca="1" si="82"/>
        <v/>
      </c>
      <c r="O335" s="1140"/>
      <c r="P335" s="1140"/>
      <c r="Q335" s="1141"/>
      <c r="R335" s="1139" t="str">
        <f t="shared" ca="1" si="83"/>
        <v/>
      </c>
      <c r="S335" s="1140"/>
      <c r="T335" s="1140"/>
      <c r="U335" s="1141"/>
    </row>
    <row r="336" spans="1:21" ht="11.25" customHeight="1">
      <c r="A336" s="8"/>
      <c r="B336" s="863">
        <f t="shared" ca="1" si="78"/>
        <v>47</v>
      </c>
      <c r="C336" s="862">
        <f ca="1">IF(OR($A$2=1,MAX($C$290:C335)&gt;=110),"",C335+(B336-B335))</f>
        <v>79</v>
      </c>
      <c r="D336" s="1139">
        <f t="shared" ca="1" si="80"/>
        <v>2643564.7999999998</v>
      </c>
      <c r="E336" s="1140"/>
      <c r="F336" s="1140"/>
      <c r="G336" s="1141"/>
      <c r="H336" s="1139">
        <f t="shared" ca="1" si="81"/>
        <v>28127.305723803725</v>
      </c>
      <c r="I336" s="1140"/>
      <c r="J336" s="1140"/>
      <c r="K336" s="1141"/>
      <c r="L336" s="863" t="str">
        <f t="shared" ca="1" si="79"/>
        <v/>
      </c>
      <c r="M336" s="862" t="str">
        <f ca="1">IF(OR($A$2=1,MAX($C$290:$C$345,$M$290:$M335)&gt;=110),"",M335+(L336-L335))</f>
        <v/>
      </c>
      <c r="N336" s="1139" t="str">
        <f t="shared" ca="1" si="82"/>
        <v/>
      </c>
      <c r="O336" s="1140"/>
      <c r="P336" s="1140"/>
      <c r="Q336" s="1141"/>
      <c r="R336" s="1139" t="str">
        <f t="shared" ca="1" si="83"/>
        <v/>
      </c>
      <c r="S336" s="1140"/>
      <c r="T336" s="1140"/>
      <c r="U336" s="1141"/>
    </row>
    <row r="337" spans="1:21" ht="11.25" customHeight="1">
      <c r="A337" s="8"/>
      <c r="B337" s="863">
        <f t="shared" ca="1" si="78"/>
        <v>48</v>
      </c>
      <c r="C337" s="862">
        <f ca="1">IF(OR($A$2=1,MAX($C$290:C336)&gt;=110),"",C336+(B337-B336))</f>
        <v>80</v>
      </c>
      <c r="D337" s="1139">
        <f t="shared" ca="1" si="80"/>
        <v>2719893.4000000004</v>
      </c>
      <c r="E337" s="1140"/>
      <c r="F337" s="1140"/>
      <c r="G337" s="1141"/>
      <c r="H337" s="1139">
        <f t="shared" ca="1" si="81"/>
        <v>28711.55623762733</v>
      </c>
      <c r="I337" s="1140"/>
      <c r="J337" s="1140"/>
      <c r="K337" s="1141"/>
      <c r="L337" s="863" t="str">
        <f t="shared" ca="1" si="79"/>
        <v/>
      </c>
      <c r="M337" s="862" t="str">
        <f ca="1">IF(OR($A$2=1,MAX($C$290:$C$345,$M$290:$M336)&gt;=110),"",M336+(L337-L336))</f>
        <v/>
      </c>
      <c r="N337" s="1139" t="str">
        <f t="shared" ca="1" si="82"/>
        <v/>
      </c>
      <c r="O337" s="1140"/>
      <c r="P337" s="1140"/>
      <c r="Q337" s="1141"/>
      <c r="R337" s="1139" t="str">
        <f t="shared" ca="1" si="83"/>
        <v/>
      </c>
      <c r="S337" s="1140"/>
      <c r="T337" s="1140"/>
      <c r="U337" s="1141"/>
    </row>
    <row r="338" spans="1:21" ht="11.25" customHeight="1">
      <c r="A338" s="8"/>
      <c r="B338" s="863">
        <f t="shared" ca="1" si="78"/>
        <v>49</v>
      </c>
      <c r="C338" s="862">
        <f ca="1">IF(OR($A$2=1,MAX($C$290:C337)&gt;=110),"",C337+(B338-B337))</f>
        <v>81</v>
      </c>
      <c r="D338" s="1139">
        <f t="shared" ca="1" si="80"/>
        <v>2797550.2</v>
      </c>
      <c r="E338" s="1140"/>
      <c r="F338" s="1140"/>
      <c r="G338" s="1141"/>
      <c r="H338" s="1139">
        <f t="shared" ca="1" si="81"/>
        <v>29295.79475993758</v>
      </c>
      <c r="I338" s="1140"/>
      <c r="J338" s="1140"/>
      <c r="K338" s="1141"/>
      <c r="L338" s="863" t="str">
        <f t="shared" ca="1" si="79"/>
        <v/>
      </c>
      <c r="M338" s="862" t="str">
        <f ca="1">IF(OR($A$2=1,MAX($C$290:$C$345,$M$290:$M337)&gt;=110),"",M337+(L338-L337))</f>
        <v/>
      </c>
      <c r="N338" s="1139" t="str">
        <f t="shared" ca="1" si="82"/>
        <v/>
      </c>
      <c r="O338" s="1140"/>
      <c r="P338" s="1140"/>
      <c r="Q338" s="1141"/>
      <c r="R338" s="1139" t="str">
        <f t="shared" ca="1" si="83"/>
        <v/>
      </c>
      <c r="S338" s="1140"/>
      <c r="T338" s="1140"/>
      <c r="U338" s="1141"/>
    </row>
    <row r="339" spans="1:21" ht="11.25" customHeight="1">
      <c r="A339" s="8"/>
      <c r="B339" s="863">
        <f t="shared" ca="1" si="78"/>
        <v>50</v>
      </c>
      <c r="C339" s="862">
        <f ca="1">IF(OR($A$2=1,MAX($C$290:C338)&gt;=110),"",C338+(B339-B338))</f>
        <v>82</v>
      </c>
      <c r="D339" s="1139">
        <f t="shared" ca="1" si="80"/>
        <v>2876577.8</v>
      </c>
      <c r="E339" s="1140"/>
      <c r="F339" s="1140"/>
      <c r="G339" s="1141"/>
      <c r="H339" s="1139">
        <f t="shared" ca="1" si="81"/>
        <v>29880.045273761185</v>
      </c>
      <c r="I339" s="1140"/>
      <c r="J339" s="1140"/>
      <c r="K339" s="1141"/>
      <c r="L339" s="863" t="str">
        <f t="shared" ca="1" si="79"/>
        <v/>
      </c>
      <c r="M339" s="862" t="str">
        <f ca="1">IF(OR($A$2=1,MAX($C$290:$C$345,$M$290:$M338)&gt;=110),"",M338+(L339-L338))</f>
        <v/>
      </c>
      <c r="N339" s="1139" t="str">
        <f t="shared" ca="1" si="82"/>
        <v/>
      </c>
      <c r="O339" s="1140"/>
      <c r="P339" s="1140"/>
      <c r="Q339" s="1141"/>
      <c r="R339" s="1139" t="str">
        <f t="shared" ca="1" si="83"/>
        <v/>
      </c>
      <c r="S339" s="1140"/>
      <c r="T339" s="1140"/>
      <c r="U339" s="1141"/>
    </row>
    <row r="340" spans="1:21" ht="11.25" customHeight="1">
      <c r="A340" s="8"/>
      <c r="B340" s="863">
        <f t="shared" ca="1" si="78"/>
        <v>51</v>
      </c>
      <c r="C340" s="862">
        <f ca="1">IF(OR($A$2=1,MAX($C$290:C339)&gt;=110),"",C339+(B340-B339))</f>
        <v>83</v>
      </c>
      <c r="D340" s="1139">
        <f t="shared" ca="1" si="80"/>
        <v>2957081.4000000004</v>
      </c>
      <c r="E340" s="1140"/>
      <c r="F340" s="1140"/>
      <c r="G340" s="1141"/>
      <c r="H340" s="1139">
        <f t="shared" ca="1" si="81"/>
        <v>30464.295787584793</v>
      </c>
      <c r="I340" s="1140"/>
      <c r="J340" s="1140"/>
      <c r="K340" s="1141"/>
      <c r="L340" s="863" t="str">
        <f t="shared" ca="1" si="79"/>
        <v/>
      </c>
      <c r="M340" s="862" t="str">
        <f ca="1">IF(OR($A$2=1,MAX($C$290:$C$345,$M$290:$M339)&gt;=110),"",M339+(L340-L339))</f>
        <v/>
      </c>
      <c r="N340" s="1139" t="str">
        <f t="shared" ca="1" si="82"/>
        <v/>
      </c>
      <c r="O340" s="1140"/>
      <c r="P340" s="1140"/>
      <c r="Q340" s="1141"/>
      <c r="R340" s="1139" t="str">
        <f t="shared" ca="1" si="83"/>
        <v/>
      </c>
      <c r="S340" s="1140"/>
      <c r="T340" s="1140"/>
      <c r="U340" s="1141"/>
    </row>
    <row r="341" spans="1:21" ht="11.25" customHeight="1">
      <c r="A341" s="8"/>
      <c r="B341" s="863">
        <f t="shared" ca="1" si="78"/>
        <v>52</v>
      </c>
      <c r="C341" s="862">
        <f ca="1">IF(OR($A$2=1,MAX($C$290:C340)&gt;=110),"",C340+(B341-B340))</f>
        <v>84</v>
      </c>
      <c r="D341" s="1139">
        <f t="shared" ca="1" si="80"/>
        <v>3038970.2</v>
      </c>
      <c r="E341" s="1140"/>
      <c r="F341" s="1140"/>
      <c r="G341" s="1141"/>
      <c r="H341" s="1139">
        <f t="shared" ca="1" si="81"/>
        <v>31048.534309895043</v>
      </c>
      <c r="I341" s="1140"/>
      <c r="J341" s="1140"/>
      <c r="K341" s="1141"/>
      <c r="L341" s="863" t="str">
        <f t="shared" ca="1" si="79"/>
        <v/>
      </c>
      <c r="M341" s="862" t="str">
        <f ca="1">IF(OR($A$2=1,MAX($C$290:$C$345,$M$290:$M340)&gt;=110),"",M340+(L341-L340))</f>
        <v/>
      </c>
      <c r="N341" s="1139" t="str">
        <f t="shared" ca="1" si="82"/>
        <v/>
      </c>
      <c r="O341" s="1140"/>
      <c r="P341" s="1140"/>
      <c r="Q341" s="1141"/>
      <c r="R341" s="1139" t="str">
        <f t="shared" ca="1" si="83"/>
        <v/>
      </c>
      <c r="S341" s="1140"/>
      <c r="T341" s="1140"/>
      <c r="U341" s="1141"/>
    </row>
    <row r="342" spans="1:21" ht="11.25" customHeight="1">
      <c r="A342" s="8"/>
      <c r="B342" s="863">
        <f t="shared" ca="1" si="78"/>
        <v>53</v>
      </c>
      <c r="C342" s="862">
        <f ca="1">IF(OR($A$2=1,MAX($C$290:C341)&gt;=110),"",C341+(B342-B341))</f>
        <v>85</v>
      </c>
      <c r="D342" s="1139">
        <f t="shared" ca="1" si="80"/>
        <v>3122353.8000000003</v>
      </c>
      <c r="E342" s="1140"/>
      <c r="F342" s="1140"/>
      <c r="G342" s="1141"/>
      <c r="H342" s="1139">
        <f t="shared" ca="1" si="81"/>
        <v>31632.784823718652</v>
      </c>
      <c r="I342" s="1140"/>
      <c r="J342" s="1140"/>
      <c r="K342" s="1141"/>
      <c r="L342" s="863" t="str">
        <f t="shared" ca="1" si="79"/>
        <v/>
      </c>
      <c r="M342" s="862" t="str">
        <f ca="1">IF(OR($A$2=1,MAX($C$290:$C$345,$M$290:$M341)&gt;=110),"",M341+(L342-L341))</f>
        <v/>
      </c>
      <c r="N342" s="1139" t="str">
        <f t="shared" ca="1" si="82"/>
        <v/>
      </c>
      <c r="O342" s="1140"/>
      <c r="P342" s="1140"/>
      <c r="Q342" s="1141"/>
      <c r="R342" s="1139" t="str">
        <f t="shared" ca="1" si="83"/>
        <v/>
      </c>
      <c r="S342" s="1140"/>
      <c r="T342" s="1140"/>
      <c r="U342" s="1141"/>
    </row>
    <row r="343" spans="1:21" ht="11.25" customHeight="1">
      <c r="A343" s="8"/>
      <c r="B343" s="863">
        <f t="shared" ca="1" si="78"/>
        <v>54</v>
      </c>
      <c r="C343" s="862">
        <f ca="1">IF(OR($A$2=1,MAX($C$290:C342)&gt;=110),"",C342+(B343-B342))</f>
        <v>86</v>
      </c>
      <c r="D343" s="1139">
        <f t="shared" ca="1" si="80"/>
        <v>3207272.4</v>
      </c>
      <c r="E343" s="1140"/>
      <c r="F343" s="1140"/>
      <c r="G343" s="1141"/>
      <c r="H343" s="1139">
        <f t="shared" ca="1" si="81"/>
        <v>32217.035337542253</v>
      </c>
      <c r="I343" s="1140"/>
      <c r="J343" s="1140"/>
      <c r="K343" s="1141"/>
      <c r="L343" s="863" t="str">
        <f t="shared" ca="1" si="79"/>
        <v/>
      </c>
      <c r="M343" s="862" t="str">
        <f ca="1">IF(OR($A$2=1,MAX($C$290:$C$345,$M$290:$M342)&gt;=110),"",M342+(L343-L342))</f>
        <v/>
      </c>
      <c r="N343" s="1139" t="str">
        <f t="shared" ca="1" si="82"/>
        <v/>
      </c>
      <c r="O343" s="1140"/>
      <c r="P343" s="1140"/>
      <c r="Q343" s="1141"/>
      <c r="R343" s="1139" t="str">
        <f t="shared" ca="1" si="83"/>
        <v/>
      </c>
      <c r="S343" s="1140"/>
      <c r="T343" s="1140"/>
      <c r="U343" s="1141"/>
    </row>
    <row r="344" spans="1:21" ht="11.25" customHeight="1">
      <c r="A344" s="8"/>
      <c r="B344" s="863">
        <f t="shared" ca="1" si="78"/>
        <v>55</v>
      </c>
      <c r="C344" s="862">
        <f ca="1">IF(OR($A$2=1,MAX($C$290:C343)&gt;=110),"",C343+(B344-B343))</f>
        <v>87</v>
      </c>
      <c r="D344" s="1139">
        <f t="shared" ca="1" si="80"/>
        <v>3293852.2</v>
      </c>
      <c r="E344" s="1140"/>
      <c r="F344" s="1140"/>
      <c r="G344" s="1141"/>
      <c r="H344" s="1139">
        <f t="shared" ca="1" si="81"/>
        <v>32801.273859852503</v>
      </c>
      <c r="I344" s="1140"/>
      <c r="J344" s="1140"/>
      <c r="K344" s="1141"/>
      <c r="L344" s="863" t="str">
        <f t="shared" ca="1" si="79"/>
        <v/>
      </c>
      <c r="M344" s="862" t="str">
        <f ca="1">IF(OR($A$2=1,MAX($C$290:$C$345,$M$290:$M343)&gt;=110),"",M343+(L344-L343))</f>
        <v/>
      </c>
      <c r="N344" s="1139" t="str">
        <f t="shared" ca="1" si="82"/>
        <v/>
      </c>
      <c r="O344" s="1140"/>
      <c r="P344" s="1140"/>
      <c r="Q344" s="1141"/>
      <c r="R344" s="1139" t="str">
        <f t="shared" ca="1" si="83"/>
        <v/>
      </c>
      <c r="S344" s="1140"/>
      <c r="T344" s="1140"/>
      <c r="U344" s="1141"/>
    </row>
    <row r="345" spans="1:21" ht="11.25" customHeight="1">
      <c r="A345" s="8"/>
      <c r="B345" s="863">
        <f t="shared" ca="1" si="78"/>
        <v>56</v>
      </c>
      <c r="C345" s="862">
        <f ca="1">IF(OR($A$2=1,MAX($C$290:C344)&gt;=110),"",C344+(B345-B344))</f>
        <v>88</v>
      </c>
      <c r="D345" s="1139">
        <f t="shared" ca="1" si="80"/>
        <v>3381980.8000000003</v>
      </c>
      <c r="E345" s="1140"/>
      <c r="F345" s="1140"/>
      <c r="G345" s="1141"/>
      <c r="H345" s="1139">
        <f t="shared" ca="1" si="81"/>
        <v>33385.524373676111</v>
      </c>
      <c r="I345" s="1140"/>
      <c r="J345" s="1140"/>
      <c r="K345" s="1141"/>
      <c r="L345" s="1185"/>
      <c r="M345" s="1185"/>
      <c r="N345" s="1185"/>
      <c r="O345" s="1185"/>
      <c r="P345" s="1185"/>
      <c r="Q345" s="1185"/>
      <c r="R345" s="1185"/>
      <c r="S345" s="1185"/>
      <c r="T345" s="1185"/>
      <c r="U345" s="1185"/>
    </row>
    <row r="346" spans="1:21" ht="12" customHeight="1">
      <c r="A346" s="8"/>
      <c r="B346" s="825" t="s">
        <v>1342</v>
      </c>
      <c r="C346" s="807"/>
      <c r="D346" s="808"/>
      <c r="E346" s="808"/>
      <c r="F346" s="808"/>
      <c r="G346" s="808"/>
      <c r="H346" s="808"/>
      <c r="I346" s="808"/>
      <c r="J346" s="808"/>
      <c r="K346" s="808"/>
      <c r="L346" s="809"/>
      <c r="M346" s="809"/>
      <c r="N346" s="809"/>
      <c r="O346" s="809"/>
      <c r="P346" s="809"/>
      <c r="Q346" s="809"/>
      <c r="R346" s="809"/>
      <c r="S346" s="809"/>
      <c r="T346" s="809"/>
      <c r="U346" s="809"/>
    </row>
    <row r="347" spans="1:21" ht="12" customHeight="1">
      <c r="A347" s="8"/>
      <c r="B347" s="825" t="s">
        <v>932</v>
      </c>
      <c r="C347" s="807"/>
      <c r="D347" s="808"/>
      <c r="E347" s="808"/>
      <c r="F347" s="808"/>
      <c r="G347" s="808"/>
      <c r="H347" s="808"/>
      <c r="I347" s="808"/>
      <c r="J347" s="808"/>
      <c r="K347" s="808"/>
      <c r="L347" s="809"/>
      <c r="M347" s="809"/>
      <c r="N347" s="809"/>
      <c r="O347" s="809"/>
      <c r="P347" s="809"/>
      <c r="Q347" s="809"/>
      <c r="R347" s="809"/>
      <c r="S347" s="809"/>
      <c r="T347" s="809"/>
      <c r="U347" s="809"/>
    </row>
    <row r="348" spans="1:21" ht="12" customHeight="1">
      <c r="A348" s="8"/>
      <c r="B348" s="825" t="s">
        <v>1287</v>
      </c>
      <c r="C348" s="807"/>
      <c r="D348" s="808"/>
      <c r="E348" s="808"/>
      <c r="F348" s="808"/>
      <c r="G348" s="808"/>
      <c r="H348" s="808"/>
      <c r="I348" s="808"/>
      <c r="J348" s="808"/>
      <c r="K348" s="808"/>
      <c r="L348" s="809"/>
      <c r="M348" s="809"/>
      <c r="N348" s="809"/>
      <c r="O348" s="809"/>
      <c r="P348" s="809"/>
      <c r="Q348" s="809"/>
      <c r="R348" s="809"/>
      <c r="S348" s="809"/>
      <c r="T348" s="809"/>
      <c r="U348" s="809"/>
    </row>
    <row r="349" spans="1:21" ht="12" customHeight="1">
      <c r="A349" s="8"/>
      <c r="B349" s="825" t="s">
        <v>1288</v>
      </c>
      <c r="C349" s="807"/>
      <c r="D349" s="808"/>
      <c r="E349" s="808"/>
      <c r="F349" s="808"/>
      <c r="G349" s="808"/>
      <c r="H349" s="808"/>
      <c r="I349" s="808"/>
      <c r="J349" s="808"/>
      <c r="K349" s="808"/>
      <c r="L349" s="809"/>
      <c r="M349" s="809"/>
      <c r="N349" s="809"/>
      <c r="O349" s="809"/>
      <c r="P349" s="809"/>
      <c r="Q349" s="809"/>
      <c r="R349" s="809"/>
      <c r="S349" s="809"/>
      <c r="T349" s="809"/>
      <c r="U349" s="809"/>
    </row>
    <row r="350" spans="1:21" ht="12" customHeight="1">
      <c r="A350" s="8"/>
      <c r="B350" s="825" t="s">
        <v>1331</v>
      </c>
      <c r="C350" s="790"/>
      <c r="D350" s="790"/>
      <c r="E350" s="790"/>
      <c r="F350" s="790"/>
      <c r="G350" s="764"/>
      <c r="H350" s="791"/>
      <c r="I350" s="791"/>
      <c r="J350" s="791"/>
      <c r="K350" s="792"/>
      <c r="L350" s="764"/>
      <c r="M350" s="764"/>
      <c r="N350" s="764"/>
      <c r="O350" s="764"/>
      <c r="P350" s="764"/>
      <c r="Q350" s="764"/>
      <c r="R350" s="764"/>
      <c r="S350" s="764"/>
      <c r="T350" s="764"/>
      <c r="U350" s="764"/>
    </row>
    <row r="351" spans="1:21" ht="12" customHeight="1">
      <c r="A351" s="8"/>
      <c r="B351" s="825" t="s">
        <v>1339</v>
      </c>
      <c r="C351" s="790"/>
      <c r="D351" s="790"/>
      <c r="E351" s="790"/>
      <c r="F351" s="790"/>
      <c r="G351" s="764"/>
      <c r="H351" s="791"/>
      <c r="I351" s="791"/>
      <c r="J351" s="791"/>
      <c r="K351" s="792"/>
      <c r="L351" s="764"/>
      <c r="M351" s="764"/>
      <c r="N351" s="764"/>
      <c r="O351" s="764"/>
      <c r="P351" s="764"/>
      <c r="Q351" s="764"/>
      <c r="R351" s="764"/>
      <c r="S351" s="764"/>
      <c r="T351" s="764"/>
      <c r="U351" s="764"/>
    </row>
    <row r="352" spans="1:21" ht="12" customHeight="1">
      <c r="A352" s="8"/>
      <c r="B352" s="826" t="s">
        <v>936</v>
      </c>
      <c r="C352" s="790"/>
      <c r="D352" s="790"/>
      <c r="E352" s="790"/>
      <c r="F352" s="790"/>
      <c r="G352" s="764"/>
      <c r="H352" s="791"/>
      <c r="I352" s="791"/>
      <c r="J352" s="791"/>
      <c r="K352" s="792"/>
      <c r="L352" s="764"/>
      <c r="M352" s="764"/>
      <c r="N352" s="764"/>
      <c r="O352" s="764"/>
      <c r="P352" s="764"/>
      <c r="Q352" s="764"/>
      <c r="R352" s="764"/>
      <c r="S352" s="764"/>
      <c r="T352" s="764"/>
      <c r="U352" s="764"/>
    </row>
    <row r="353" spans="1:21" ht="12" customHeight="1">
      <c r="A353" s="8"/>
      <c r="B353" s="826" t="s">
        <v>937</v>
      </c>
      <c r="C353" s="790"/>
      <c r="D353" s="790"/>
      <c r="E353" s="790"/>
      <c r="F353" s="790"/>
      <c r="G353" s="764"/>
      <c r="H353" s="791"/>
      <c r="I353" s="791"/>
      <c r="J353" s="791"/>
      <c r="K353" s="792"/>
      <c r="L353" s="764"/>
      <c r="M353" s="764"/>
      <c r="N353" s="764"/>
      <c r="O353" s="764"/>
      <c r="P353" s="764"/>
      <c r="Q353" s="764"/>
      <c r="R353" s="764"/>
      <c r="S353" s="764"/>
      <c r="T353" s="764"/>
      <c r="U353" s="764"/>
    </row>
    <row r="354" spans="1:21" ht="12" customHeight="1">
      <c r="A354" s="8"/>
      <c r="B354" s="825" t="s">
        <v>1341</v>
      </c>
      <c r="C354" s="790"/>
      <c r="D354" s="790"/>
      <c r="E354" s="790"/>
      <c r="F354" s="790"/>
      <c r="G354" s="764"/>
      <c r="H354" s="791"/>
      <c r="I354" s="791"/>
      <c r="J354" s="791"/>
      <c r="K354" s="792"/>
      <c r="L354" s="764"/>
      <c r="M354" s="764"/>
      <c r="N354" s="764"/>
      <c r="O354" s="764"/>
      <c r="P354" s="764"/>
      <c r="Q354" s="764"/>
      <c r="R354" s="764"/>
      <c r="S354" s="764"/>
      <c r="T354" s="764"/>
      <c r="U354" s="764"/>
    </row>
    <row r="355" spans="1:21" ht="12" customHeight="1">
      <c r="A355" s="8"/>
      <c r="B355" s="825" t="s">
        <v>1343</v>
      </c>
      <c r="C355" s="790"/>
      <c r="D355" s="790"/>
      <c r="E355" s="790"/>
      <c r="F355" s="790"/>
      <c r="G355" s="764"/>
      <c r="H355" s="791"/>
      <c r="I355" s="791"/>
      <c r="J355" s="791"/>
      <c r="K355" s="792"/>
      <c r="L355" s="764"/>
      <c r="M355" s="764"/>
      <c r="N355" s="764"/>
      <c r="O355" s="764"/>
      <c r="P355" s="764"/>
      <c r="Q355" s="764"/>
      <c r="R355" s="764"/>
      <c r="S355" s="764"/>
      <c r="T355" s="764"/>
      <c r="U355" s="764"/>
    </row>
    <row r="356" spans="1:21" ht="12" customHeight="1">
      <c r="A356" s="8"/>
      <c r="B356" s="806"/>
      <c r="C356" s="790"/>
      <c r="D356" s="790"/>
      <c r="E356" s="790"/>
      <c r="F356" s="790"/>
      <c r="G356" s="764"/>
      <c r="H356" s="791"/>
      <c r="I356" s="791"/>
      <c r="J356" s="791"/>
      <c r="K356" s="792"/>
      <c r="L356" s="764"/>
      <c r="M356" s="764"/>
      <c r="N356" s="764"/>
      <c r="O356" s="764"/>
      <c r="P356" s="764"/>
      <c r="Q356" s="764"/>
      <c r="R356" s="764"/>
      <c r="S356" s="764"/>
      <c r="T356" s="764"/>
      <c r="U356" s="764"/>
    </row>
    <row r="357" spans="1:21" ht="12" customHeight="1">
      <c r="A357" s="8"/>
      <c r="B357" s="1186" t="s">
        <v>1289</v>
      </c>
      <c r="C357" s="1186"/>
      <c r="D357" s="1186"/>
      <c r="E357" s="1186"/>
      <c r="F357" s="1186"/>
      <c r="G357" s="1186"/>
      <c r="H357" s="1186"/>
      <c r="I357" s="1186"/>
      <c r="J357" s="1186"/>
      <c r="K357" s="1186"/>
      <c r="L357" s="1186"/>
      <c r="M357" s="1186"/>
      <c r="N357" s="1186"/>
      <c r="O357" s="1186"/>
      <c r="P357" s="1186"/>
      <c r="Q357" s="1186"/>
      <c r="R357" s="1186"/>
      <c r="S357" s="1186"/>
      <c r="T357" s="1186"/>
      <c r="U357" s="1186"/>
    </row>
    <row r="358" spans="1:21" ht="12" customHeight="1">
      <c r="A358" s="8"/>
      <c r="B358" s="810"/>
      <c r="C358" s="811"/>
      <c r="D358" s="811"/>
      <c r="E358" s="1187"/>
      <c r="F358" s="1188"/>
      <c r="G358" s="1188"/>
      <c r="H358" s="1188"/>
      <c r="I358" s="1188"/>
      <c r="J358" s="1188"/>
      <c r="K358" s="1188"/>
      <c r="L358" s="1188"/>
      <c r="M358" s="1188"/>
      <c r="N358" s="1188"/>
      <c r="O358" s="1188"/>
      <c r="P358" s="1188"/>
      <c r="Q358" s="1189" t="str">
        <f ca="1">OP!$C$54&amp;" 試算日："&amp;TEXT(OP!$C$3,"EEMMDD")</f>
        <v>V1.0-1060217 試算日：1060602</v>
      </c>
      <c r="R358" s="1189"/>
      <c r="S358" s="1189"/>
      <c r="T358" s="1189"/>
      <c r="U358" s="1189"/>
    </row>
    <row r="359" spans="1:21" ht="11.25" customHeight="1">
      <c r="A359" s="8"/>
      <c r="B359" s="234"/>
      <c r="C359" s="235"/>
      <c r="D359" s="235"/>
      <c r="E359" s="337"/>
      <c r="F359" s="338"/>
      <c r="G359" s="338"/>
      <c r="H359" s="338"/>
      <c r="I359" s="338"/>
      <c r="J359" s="338"/>
      <c r="K359" s="338"/>
      <c r="L359" s="338"/>
      <c r="M359" s="338"/>
      <c r="N359" s="338"/>
      <c r="O359" s="338"/>
      <c r="P359" s="338"/>
      <c r="R359" s="328"/>
      <c r="S359" s="328"/>
      <c r="T359" s="328"/>
      <c r="U359" s="329"/>
    </row>
    <row r="360" spans="1:21" ht="19.5">
      <c r="A360" s="8"/>
      <c r="B360" s="1153" t="str">
        <f>輸入頁!B2&amp;" 主約給付說明"</f>
        <v>富邦人壽好吉利利率變動型增額終身壽險專案試算表 主約給付說明</v>
      </c>
      <c r="C360" s="1154"/>
      <c r="D360" s="1154"/>
      <c r="E360" s="1154"/>
      <c r="F360" s="1154"/>
      <c r="G360" s="1154"/>
      <c r="H360" s="1154"/>
      <c r="I360" s="1154"/>
      <c r="J360" s="1154"/>
      <c r="K360" s="1154"/>
      <c r="L360" s="1154"/>
      <c r="M360" s="1154"/>
      <c r="N360" s="1154"/>
      <c r="O360" s="1154"/>
      <c r="P360" s="1154"/>
      <c r="Q360" s="1154"/>
      <c r="R360" s="1154"/>
      <c r="S360" s="1154"/>
      <c r="T360" s="1154"/>
      <c r="U360" s="1155"/>
    </row>
    <row r="361" spans="1:21" s="71" customFormat="1" ht="3.75" hidden="1" customHeight="1" thickTop="1">
      <c r="A361" s="70"/>
      <c r="B361" s="242"/>
      <c r="C361" s="242"/>
      <c r="D361" s="242"/>
      <c r="E361" s="242"/>
      <c r="F361" s="242"/>
      <c r="G361" s="242"/>
      <c r="H361" s="242"/>
      <c r="I361" s="242"/>
      <c r="J361" s="242"/>
      <c r="K361" s="242"/>
      <c r="L361" s="242"/>
      <c r="M361" s="242"/>
      <c r="N361" s="242"/>
      <c r="O361" s="242"/>
      <c r="P361" s="242"/>
      <c r="Q361" s="242"/>
      <c r="R361" s="242"/>
      <c r="S361" s="242"/>
      <c r="T361" s="242"/>
      <c r="U361" s="242"/>
    </row>
    <row r="362" spans="1:21" s="10" customFormat="1" ht="15" customHeight="1">
      <c r="A362" s="19">
        <v>1</v>
      </c>
      <c r="B362" s="165" t="s">
        <v>1375</v>
      </c>
      <c r="D362" s="243"/>
      <c r="E362" s="243"/>
      <c r="F362" s="243"/>
      <c r="G362" s="243"/>
      <c r="H362" s="243"/>
      <c r="I362" s="243"/>
      <c r="J362" s="243"/>
      <c r="K362" s="243"/>
      <c r="L362" s="243"/>
      <c r="M362" s="243"/>
      <c r="N362" s="243"/>
      <c r="O362" s="243"/>
      <c r="P362" s="243"/>
      <c r="Q362" s="243"/>
      <c r="R362" s="243"/>
      <c r="S362" s="243"/>
      <c r="T362" s="243"/>
      <c r="U362" s="243"/>
    </row>
    <row r="363" spans="1:21" s="10" customFormat="1" ht="15" customHeight="1">
      <c r="A363" s="19">
        <v>2</v>
      </c>
      <c r="B363" s="165" t="s">
        <v>1379</v>
      </c>
      <c r="D363" s="243"/>
      <c r="E363" s="243"/>
      <c r="F363" s="243"/>
      <c r="G363" s="243"/>
      <c r="H363" s="243"/>
      <c r="I363" s="243"/>
      <c r="J363" s="243"/>
      <c r="K363" s="243"/>
      <c r="L363" s="243"/>
      <c r="M363" s="243"/>
      <c r="N363" s="243"/>
      <c r="O363" s="243"/>
      <c r="P363" s="243"/>
      <c r="Q363" s="243"/>
      <c r="R363" s="243"/>
      <c r="S363" s="243"/>
      <c r="T363" s="243"/>
      <c r="U363" s="243"/>
    </row>
    <row r="364" spans="1:21" s="10" customFormat="1" ht="15" customHeight="1">
      <c r="A364" s="19">
        <v>3</v>
      </c>
      <c r="B364" s="165" t="s">
        <v>1344</v>
      </c>
      <c r="D364" s="243"/>
      <c r="E364" s="243"/>
      <c r="F364" s="243"/>
      <c r="G364" s="243"/>
      <c r="H364" s="243"/>
      <c r="I364" s="243"/>
      <c r="J364" s="243"/>
      <c r="K364" s="243"/>
      <c r="L364" s="243"/>
      <c r="M364" s="243"/>
      <c r="N364" s="243"/>
      <c r="O364" s="243"/>
      <c r="P364" s="243"/>
      <c r="Q364" s="243"/>
      <c r="R364" s="243"/>
      <c r="S364" s="243"/>
      <c r="T364" s="243"/>
      <c r="U364" s="243"/>
    </row>
    <row r="365" spans="1:21" s="10" customFormat="1" ht="15" customHeight="1">
      <c r="A365" s="19">
        <v>4</v>
      </c>
      <c r="B365" s="165" t="s">
        <v>1293</v>
      </c>
      <c r="D365" s="243"/>
      <c r="E365" s="243"/>
      <c r="F365" s="243"/>
      <c r="G365" s="243"/>
      <c r="H365" s="243"/>
      <c r="I365" s="243"/>
      <c r="J365" s="243"/>
      <c r="K365" s="243"/>
      <c r="L365" s="243"/>
      <c r="M365" s="243"/>
      <c r="N365" s="243"/>
      <c r="O365" s="243"/>
      <c r="P365" s="243"/>
      <c r="Q365" s="243"/>
      <c r="R365" s="243"/>
      <c r="S365" s="243"/>
      <c r="T365" s="243"/>
      <c r="U365" s="243"/>
    </row>
    <row r="366" spans="1:21" s="10" customFormat="1" ht="15" customHeight="1">
      <c r="A366" s="19">
        <v>5</v>
      </c>
      <c r="B366" s="322" t="s">
        <v>330</v>
      </c>
      <c r="D366" s="243"/>
      <c r="E366" s="243"/>
      <c r="F366" s="243"/>
      <c r="G366" s="243"/>
      <c r="H366" s="243"/>
      <c r="I366" s="243"/>
      <c r="J366" s="243"/>
      <c r="K366" s="243"/>
      <c r="L366" s="243"/>
      <c r="M366" s="243"/>
      <c r="N366" s="243"/>
      <c r="O366" s="243"/>
      <c r="P366" s="243"/>
      <c r="Q366" s="243"/>
      <c r="R366" s="243"/>
      <c r="S366" s="243"/>
      <c r="T366" s="243"/>
      <c r="U366" s="243"/>
    </row>
    <row r="367" spans="1:21" s="10" customFormat="1" ht="15" customHeight="1">
      <c r="A367" s="19">
        <v>6</v>
      </c>
      <c r="B367" s="321" t="s">
        <v>336</v>
      </c>
      <c r="D367" s="243"/>
      <c r="E367" s="243"/>
      <c r="F367" s="243"/>
      <c r="G367" s="243"/>
      <c r="H367" s="243"/>
      <c r="I367" s="243"/>
      <c r="J367" s="243"/>
      <c r="K367" s="243"/>
      <c r="L367" s="243"/>
      <c r="M367" s="243"/>
      <c r="N367" s="243"/>
      <c r="O367" s="243"/>
      <c r="P367" s="243"/>
      <c r="Q367" s="243"/>
      <c r="R367" s="243"/>
      <c r="S367" s="243"/>
      <c r="T367" s="243"/>
      <c r="U367" s="243"/>
    </row>
    <row r="368" spans="1:21" s="10" customFormat="1" ht="15" customHeight="1">
      <c r="A368" s="19">
        <v>7</v>
      </c>
      <c r="B368" s="321" t="s">
        <v>1294</v>
      </c>
      <c r="D368" s="243"/>
      <c r="E368" s="243"/>
      <c r="F368" s="243"/>
      <c r="G368" s="243"/>
      <c r="H368" s="243"/>
      <c r="I368" s="243"/>
      <c r="J368" s="243"/>
      <c r="K368" s="243"/>
      <c r="L368" s="243"/>
      <c r="M368" s="243"/>
      <c r="N368" s="243"/>
      <c r="O368" s="243"/>
      <c r="P368" s="243"/>
      <c r="Q368" s="243"/>
      <c r="R368" s="243"/>
      <c r="S368" s="243"/>
      <c r="T368" s="243"/>
      <c r="U368" s="243"/>
    </row>
    <row r="369" spans="1:21" s="10" customFormat="1" ht="15" customHeight="1">
      <c r="A369" s="19">
        <v>8</v>
      </c>
      <c r="B369" s="165" t="s">
        <v>1295</v>
      </c>
      <c r="D369" s="243"/>
      <c r="E369" s="243"/>
      <c r="F369" s="243"/>
      <c r="G369" s="243"/>
      <c r="H369" s="243"/>
      <c r="I369" s="243"/>
      <c r="J369" s="243"/>
      <c r="K369" s="243"/>
      <c r="L369" s="243"/>
      <c r="M369" s="243"/>
      <c r="N369" s="243"/>
      <c r="O369" s="243"/>
      <c r="P369" s="243"/>
      <c r="Q369" s="243"/>
      <c r="R369" s="243"/>
      <c r="S369" s="243"/>
      <c r="T369" s="243"/>
      <c r="U369" s="243"/>
    </row>
    <row r="370" spans="1:21" s="10" customFormat="1" ht="15" customHeight="1">
      <c r="A370" s="19">
        <v>9</v>
      </c>
      <c r="B370" s="165" t="s">
        <v>1376</v>
      </c>
      <c r="D370" s="243"/>
      <c r="E370" s="243"/>
      <c r="F370" s="243"/>
      <c r="G370" s="243"/>
      <c r="H370" s="243"/>
      <c r="I370" s="243"/>
      <c r="J370" s="243"/>
      <c r="K370" s="243"/>
      <c r="L370" s="243"/>
      <c r="M370" s="243"/>
      <c r="N370" s="243"/>
      <c r="O370" s="243"/>
      <c r="P370" s="243"/>
      <c r="Q370" s="243"/>
      <c r="R370" s="243"/>
      <c r="S370" s="243"/>
      <c r="T370" s="243"/>
      <c r="U370" s="243"/>
    </row>
    <row r="371" spans="1:21" s="10" customFormat="1" ht="15" customHeight="1">
      <c r="A371" s="19">
        <v>10</v>
      </c>
      <c r="B371" s="165" t="s">
        <v>1296</v>
      </c>
      <c r="D371" s="243"/>
      <c r="E371" s="243"/>
      <c r="F371" s="243"/>
      <c r="G371" s="243"/>
      <c r="H371" s="243"/>
      <c r="I371" s="243"/>
      <c r="J371" s="243"/>
      <c r="K371" s="243"/>
      <c r="L371" s="243"/>
      <c r="M371" s="243"/>
      <c r="N371" s="243"/>
      <c r="O371" s="243"/>
      <c r="P371" s="243"/>
      <c r="Q371" s="243"/>
      <c r="R371" s="243"/>
      <c r="S371" s="243"/>
      <c r="T371" s="243"/>
      <c r="U371" s="243"/>
    </row>
    <row r="372" spans="1:21" s="10" customFormat="1" ht="15" customHeight="1">
      <c r="A372" s="19">
        <v>11</v>
      </c>
      <c r="B372" s="165" t="s">
        <v>1297</v>
      </c>
      <c r="D372" s="243"/>
      <c r="E372" s="243"/>
      <c r="F372" s="243"/>
      <c r="G372" s="243"/>
      <c r="H372" s="243"/>
      <c r="I372" s="243"/>
      <c r="J372" s="243"/>
      <c r="K372" s="243"/>
      <c r="L372" s="243"/>
      <c r="M372" s="243"/>
      <c r="N372" s="243"/>
      <c r="O372" s="243"/>
      <c r="P372" s="243"/>
      <c r="Q372" s="243"/>
      <c r="R372" s="243"/>
      <c r="S372" s="243"/>
      <c r="T372" s="243"/>
      <c r="U372" s="243"/>
    </row>
    <row r="373" spans="1:21" s="10" customFormat="1" ht="15" customHeight="1">
      <c r="A373" s="19">
        <v>12</v>
      </c>
      <c r="B373" s="828" t="s">
        <v>1377</v>
      </c>
      <c r="D373" s="243"/>
      <c r="E373" s="243"/>
      <c r="F373" s="243"/>
      <c r="G373" s="243"/>
      <c r="H373" s="243"/>
      <c r="I373" s="243"/>
      <c r="J373" s="243"/>
      <c r="K373" s="243"/>
      <c r="L373" s="243"/>
      <c r="M373" s="243"/>
      <c r="N373" s="243"/>
      <c r="O373" s="243"/>
      <c r="P373" s="243"/>
      <c r="Q373" s="243"/>
      <c r="R373" s="243"/>
      <c r="S373" s="243"/>
      <c r="T373" s="243"/>
      <c r="U373" s="243"/>
    </row>
    <row r="374" spans="1:21" s="10" customFormat="1" ht="15" customHeight="1">
      <c r="A374" s="19">
        <v>13</v>
      </c>
      <c r="B374" s="828" t="s">
        <v>1378</v>
      </c>
      <c r="D374" s="243"/>
      <c r="E374" s="243"/>
      <c r="F374" s="243"/>
      <c r="G374" s="243"/>
      <c r="H374" s="243"/>
      <c r="I374" s="243"/>
      <c r="J374" s="243"/>
      <c r="K374" s="243"/>
      <c r="L374" s="243"/>
      <c r="M374" s="243"/>
      <c r="N374" s="243"/>
      <c r="O374" s="243"/>
      <c r="P374" s="243"/>
      <c r="Q374" s="243"/>
      <c r="R374" s="243"/>
      <c r="S374" s="243"/>
      <c r="T374" s="243"/>
      <c r="U374" s="243"/>
    </row>
    <row r="375" spans="1:21" s="10" customFormat="1" ht="15" customHeight="1">
      <c r="A375" s="19">
        <v>14</v>
      </c>
      <c r="B375" s="165" t="s">
        <v>1345</v>
      </c>
      <c r="D375" s="243"/>
      <c r="E375" s="243"/>
      <c r="F375" s="243"/>
      <c r="G375" s="243"/>
      <c r="H375" s="243"/>
      <c r="I375" s="243"/>
      <c r="J375" s="243"/>
      <c r="K375" s="243"/>
      <c r="L375" s="243"/>
      <c r="M375" s="243"/>
      <c r="N375" s="243"/>
      <c r="O375" s="243"/>
      <c r="P375" s="243"/>
      <c r="Q375" s="243"/>
      <c r="R375" s="243"/>
      <c r="S375" s="243"/>
      <c r="T375" s="243"/>
      <c r="U375" s="243"/>
    </row>
    <row r="376" spans="1:21" s="10" customFormat="1" ht="15" customHeight="1">
      <c r="A376" s="19">
        <v>15</v>
      </c>
      <c r="B376" s="165" t="s">
        <v>1298</v>
      </c>
      <c r="D376" s="243"/>
      <c r="E376" s="243"/>
      <c r="F376" s="243"/>
      <c r="G376" s="243"/>
      <c r="H376" s="243"/>
      <c r="I376" s="243"/>
      <c r="J376" s="243"/>
      <c r="K376" s="243"/>
      <c r="L376" s="243"/>
      <c r="M376" s="243"/>
      <c r="N376" s="243"/>
      <c r="O376" s="243"/>
      <c r="P376" s="243"/>
      <c r="Q376" s="243"/>
      <c r="R376" s="243"/>
      <c r="S376" s="243"/>
      <c r="T376" s="243"/>
      <c r="U376" s="243"/>
    </row>
    <row r="377" spans="1:21" s="10" customFormat="1" ht="15" customHeight="1">
      <c r="A377" s="19">
        <v>16</v>
      </c>
      <c r="B377" s="165" t="s">
        <v>1299</v>
      </c>
      <c r="D377" s="243"/>
      <c r="E377" s="243"/>
      <c r="F377" s="243"/>
      <c r="G377" s="243"/>
      <c r="H377" s="243"/>
      <c r="I377" s="243"/>
      <c r="J377" s="243"/>
      <c r="K377" s="243"/>
      <c r="L377" s="243"/>
      <c r="M377" s="243"/>
      <c r="N377" s="243"/>
      <c r="O377" s="243"/>
      <c r="P377" s="243"/>
      <c r="Q377" s="243"/>
      <c r="R377" s="243"/>
      <c r="S377" s="243"/>
      <c r="T377" s="243"/>
      <c r="U377" s="243"/>
    </row>
    <row r="378" spans="1:21" s="10" customFormat="1" ht="15" customHeight="1">
      <c r="A378" s="19"/>
      <c r="B378" s="165" t="s">
        <v>1346</v>
      </c>
      <c r="D378" s="243"/>
      <c r="E378" s="243"/>
      <c r="F378" s="243"/>
      <c r="G378" s="243"/>
      <c r="H378" s="243"/>
      <c r="I378" s="243"/>
      <c r="J378" s="243"/>
      <c r="K378" s="243"/>
      <c r="L378" s="243"/>
      <c r="M378" s="243"/>
      <c r="N378" s="243"/>
      <c r="O378" s="243"/>
      <c r="P378" s="243"/>
      <c r="Q378" s="243"/>
      <c r="R378" s="243"/>
      <c r="S378" s="243"/>
      <c r="T378" s="243"/>
      <c r="U378" s="243"/>
    </row>
    <row r="379" spans="1:21" s="10" customFormat="1" ht="15" customHeight="1">
      <c r="A379" s="19"/>
      <c r="B379" s="321" t="s">
        <v>1347</v>
      </c>
      <c r="D379" s="243"/>
      <c r="E379" s="243"/>
      <c r="F379" s="243"/>
      <c r="G379" s="243"/>
      <c r="H379" s="243"/>
      <c r="I379" s="243"/>
      <c r="J379" s="243"/>
      <c r="K379" s="243"/>
      <c r="L379" s="243"/>
      <c r="M379" s="243"/>
      <c r="N379" s="243"/>
      <c r="O379" s="243"/>
      <c r="P379" s="243"/>
      <c r="Q379" s="243"/>
      <c r="R379" s="243"/>
      <c r="S379" s="243"/>
      <c r="T379" s="243"/>
      <c r="U379" s="243"/>
    </row>
    <row r="380" spans="1:21" s="10" customFormat="1" ht="15" customHeight="1">
      <c r="A380" s="19"/>
      <c r="B380" s="165" t="s">
        <v>1348</v>
      </c>
      <c r="D380" s="243"/>
      <c r="E380" s="243"/>
      <c r="F380" s="243"/>
      <c r="G380" s="243"/>
      <c r="H380" s="243"/>
      <c r="I380" s="243"/>
      <c r="J380" s="243"/>
      <c r="K380" s="243"/>
      <c r="L380" s="243"/>
      <c r="M380" s="243"/>
      <c r="N380" s="243"/>
      <c r="O380" s="243"/>
      <c r="P380" s="243"/>
      <c r="Q380" s="243"/>
      <c r="R380" s="243"/>
      <c r="S380" s="243"/>
      <c r="T380" s="243"/>
      <c r="U380" s="243"/>
    </row>
    <row r="381" spans="1:21" s="10" customFormat="1" ht="15" customHeight="1">
      <c r="A381" s="19"/>
      <c r="B381" s="165" t="s">
        <v>1300</v>
      </c>
      <c r="D381" s="243"/>
      <c r="E381" s="243"/>
      <c r="F381" s="243"/>
      <c r="G381" s="243"/>
      <c r="H381" s="243"/>
      <c r="I381" s="243"/>
      <c r="J381" s="243"/>
      <c r="K381" s="243"/>
      <c r="L381" s="243"/>
      <c r="M381" s="243"/>
      <c r="N381" s="243"/>
      <c r="O381" s="243"/>
      <c r="P381" s="243"/>
      <c r="Q381" s="243"/>
      <c r="R381" s="243"/>
      <c r="S381" s="243"/>
      <c r="T381" s="243"/>
      <c r="U381" s="243"/>
    </row>
    <row r="382" spans="1:21" s="10" customFormat="1" ht="15" customHeight="1">
      <c r="A382" s="19"/>
      <c r="B382" s="165" t="s">
        <v>1301</v>
      </c>
      <c r="D382" s="243"/>
      <c r="E382" s="243"/>
      <c r="F382" s="243"/>
      <c r="G382" s="243"/>
      <c r="H382" s="243"/>
      <c r="I382" s="243"/>
      <c r="J382" s="243"/>
      <c r="K382" s="243"/>
      <c r="L382" s="243"/>
      <c r="M382" s="243"/>
      <c r="N382" s="243"/>
      <c r="O382" s="243"/>
      <c r="P382" s="243"/>
      <c r="Q382" s="243"/>
      <c r="R382" s="243"/>
      <c r="S382" s="243"/>
      <c r="T382" s="243"/>
      <c r="U382" s="243"/>
    </row>
    <row r="383" spans="1:21" s="10" customFormat="1" ht="15" customHeight="1">
      <c r="A383" s="19"/>
      <c r="B383" s="165" t="s">
        <v>1349</v>
      </c>
      <c r="D383" s="243"/>
      <c r="E383" s="243"/>
      <c r="F383" s="243"/>
      <c r="G383" s="243"/>
      <c r="H383" s="243"/>
      <c r="I383" s="243"/>
      <c r="J383" s="243"/>
      <c r="K383" s="243"/>
      <c r="L383" s="243"/>
      <c r="M383" s="243"/>
      <c r="N383" s="243"/>
      <c r="O383" s="243"/>
      <c r="P383" s="243"/>
      <c r="Q383" s="243"/>
      <c r="R383" s="243"/>
      <c r="S383" s="243"/>
      <c r="T383" s="243"/>
      <c r="U383" s="243"/>
    </row>
    <row r="384" spans="1:21" s="10" customFormat="1" ht="15" customHeight="1">
      <c r="A384" s="19"/>
      <c r="B384" s="165" t="s">
        <v>1350</v>
      </c>
      <c r="D384" s="243"/>
      <c r="E384" s="243"/>
      <c r="F384" s="243"/>
      <c r="G384" s="243"/>
      <c r="H384" s="243"/>
      <c r="I384" s="243"/>
      <c r="J384" s="243"/>
      <c r="K384" s="243"/>
      <c r="L384" s="243"/>
      <c r="M384" s="243"/>
      <c r="N384" s="243"/>
      <c r="O384" s="243"/>
      <c r="P384" s="243"/>
      <c r="Q384" s="243"/>
      <c r="R384" s="243"/>
      <c r="S384" s="243"/>
      <c r="T384" s="243"/>
      <c r="U384" s="243"/>
    </row>
    <row r="385" spans="1:21" s="10" customFormat="1" ht="15" customHeight="1">
      <c r="A385" s="19"/>
      <c r="B385" s="165" t="s">
        <v>1302</v>
      </c>
      <c r="D385" s="243"/>
      <c r="E385" s="243"/>
      <c r="F385" s="243"/>
      <c r="G385" s="243"/>
      <c r="H385" s="243"/>
      <c r="I385" s="243"/>
      <c r="J385" s="243"/>
      <c r="K385" s="243"/>
      <c r="L385" s="243"/>
      <c r="M385" s="243"/>
      <c r="N385" s="243"/>
      <c r="O385" s="243"/>
      <c r="P385" s="243"/>
      <c r="Q385" s="243"/>
      <c r="R385" s="243"/>
      <c r="S385" s="243"/>
      <c r="T385" s="243"/>
      <c r="U385" s="243"/>
    </row>
    <row r="386" spans="1:21" s="10" customFormat="1" ht="15" customHeight="1">
      <c r="A386" s="19"/>
      <c r="B386" s="165" t="s">
        <v>1351</v>
      </c>
      <c r="D386" s="243"/>
      <c r="E386" s="243"/>
      <c r="F386" s="243"/>
      <c r="G386" s="243"/>
      <c r="H386" s="243"/>
      <c r="I386" s="243"/>
      <c r="J386" s="243"/>
      <c r="K386" s="243"/>
      <c r="L386" s="243"/>
      <c r="M386" s="243"/>
      <c r="N386" s="243"/>
      <c r="O386" s="243"/>
      <c r="P386" s="243"/>
      <c r="Q386" s="243"/>
      <c r="R386" s="243"/>
      <c r="S386" s="243"/>
      <c r="T386" s="243"/>
      <c r="U386" s="243"/>
    </row>
    <row r="387" spans="1:21" s="10" customFormat="1" ht="15" customHeight="1">
      <c r="A387" s="19"/>
      <c r="B387" s="165" t="s">
        <v>1364</v>
      </c>
      <c r="D387" s="243"/>
      <c r="E387" s="243"/>
      <c r="F387" s="243"/>
      <c r="G387" s="243"/>
      <c r="H387" s="243"/>
      <c r="I387" s="243"/>
      <c r="J387" s="243"/>
      <c r="K387" s="243"/>
      <c r="L387" s="243"/>
      <c r="M387" s="243"/>
      <c r="N387" s="243"/>
      <c r="O387" s="243"/>
      <c r="P387" s="243"/>
      <c r="Q387" s="243"/>
      <c r="R387" s="243"/>
      <c r="S387" s="243"/>
      <c r="T387" s="243"/>
      <c r="U387" s="243"/>
    </row>
    <row r="388" spans="1:21" s="10" customFormat="1" ht="15" customHeight="1">
      <c r="A388" s="19"/>
      <c r="B388" s="165" t="s">
        <v>1365</v>
      </c>
      <c r="D388" s="243"/>
      <c r="E388" s="243"/>
      <c r="F388" s="243"/>
      <c r="G388" s="243"/>
      <c r="H388" s="243"/>
      <c r="I388" s="243"/>
      <c r="J388" s="243"/>
      <c r="K388" s="243"/>
      <c r="L388" s="243"/>
      <c r="M388" s="243"/>
      <c r="N388" s="243"/>
      <c r="O388" s="243"/>
      <c r="P388" s="243"/>
      <c r="Q388" s="243"/>
      <c r="R388" s="243"/>
      <c r="S388" s="243"/>
      <c r="T388" s="243"/>
      <c r="U388" s="243"/>
    </row>
    <row r="389" spans="1:21" s="10" customFormat="1" ht="15" customHeight="1">
      <c r="A389" s="19"/>
      <c r="B389" s="165" t="s">
        <v>1366</v>
      </c>
      <c r="D389" s="243"/>
      <c r="E389" s="243"/>
      <c r="F389" s="243"/>
      <c r="G389" s="243"/>
      <c r="H389" s="243"/>
      <c r="I389" s="243"/>
      <c r="J389" s="243"/>
      <c r="K389" s="243"/>
      <c r="L389" s="243"/>
      <c r="M389" s="243"/>
      <c r="N389" s="243"/>
      <c r="O389" s="243"/>
      <c r="P389" s="243"/>
      <c r="Q389" s="243"/>
      <c r="R389" s="243"/>
      <c r="S389" s="243"/>
      <c r="T389" s="243"/>
      <c r="U389" s="243"/>
    </row>
    <row r="390" spans="1:21" s="10" customFormat="1" ht="15" customHeight="1">
      <c r="A390" s="19"/>
      <c r="B390" s="165" t="s">
        <v>1367</v>
      </c>
      <c r="D390" s="243"/>
      <c r="E390" s="243"/>
      <c r="F390" s="243"/>
      <c r="G390" s="243"/>
      <c r="H390" s="243"/>
      <c r="I390" s="243"/>
      <c r="J390" s="243"/>
      <c r="K390" s="243"/>
      <c r="L390" s="243"/>
      <c r="M390" s="243"/>
      <c r="N390" s="243"/>
      <c r="O390" s="243"/>
      <c r="P390" s="243"/>
      <c r="Q390" s="243"/>
      <c r="R390" s="243"/>
      <c r="S390" s="243"/>
      <c r="T390" s="243"/>
      <c r="U390" s="243"/>
    </row>
    <row r="391" spans="1:21" s="10" customFormat="1" ht="15" customHeight="1">
      <c r="A391" s="19"/>
      <c r="B391" s="165" t="s">
        <v>1368</v>
      </c>
      <c r="D391" s="243"/>
      <c r="E391" s="243"/>
      <c r="F391" s="243"/>
      <c r="G391" s="243"/>
      <c r="H391" s="243"/>
      <c r="I391" s="243"/>
      <c r="J391" s="243"/>
      <c r="K391" s="243"/>
      <c r="L391" s="243"/>
      <c r="M391" s="243"/>
      <c r="N391" s="243"/>
      <c r="O391" s="243"/>
      <c r="P391" s="243"/>
      <c r="Q391" s="243"/>
      <c r="R391" s="243"/>
      <c r="S391" s="243"/>
      <c r="T391" s="243"/>
      <c r="U391" s="243"/>
    </row>
    <row r="392" spans="1:21" s="10" customFormat="1" ht="15" customHeight="1">
      <c r="A392" s="19"/>
      <c r="B392" s="165" t="s">
        <v>1352</v>
      </c>
      <c r="D392" s="243"/>
      <c r="E392" s="243"/>
      <c r="F392" s="243"/>
      <c r="G392" s="243"/>
      <c r="H392" s="243"/>
      <c r="I392" s="243"/>
      <c r="J392" s="243"/>
      <c r="K392" s="243"/>
      <c r="L392" s="243"/>
      <c r="M392" s="243"/>
      <c r="N392" s="243"/>
      <c r="O392" s="243"/>
      <c r="P392" s="243"/>
      <c r="Q392" s="243"/>
      <c r="R392" s="243"/>
      <c r="S392" s="243"/>
      <c r="T392" s="243"/>
      <c r="U392" s="243"/>
    </row>
    <row r="393" spans="1:21" s="10" customFormat="1" ht="15" customHeight="1">
      <c r="A393" s="19"/>
      <c r="B393" s="165" t="s">
        <v>1303</v>
      </c>
      <c r="D393" s="243"/>
      <c r="E393" s="243"/>
      <c r="F393" s="243"/>
      <c r="G393" s="243"/>
      <c r="H393" s="243"/>
      <c r="I393" s="243"/>
      <c r="J393" s="243"/>
      <c r="K393" s="243"/>
      <c r="L393" s="243"/>
      <c r="M393" s="243"/>
      <c r="N393" s="243"/>
      <c r="O393" s="243"/>
      <c r="P393" s="243"/>
      <c r="Q393" s="243"/>
      <c r="R393" s="243"/>
      <c r="S393" s="243"/>
      <c r="T393" s="243"/>
      <c r="U393" s="243"/>
    </row>
    <row r="394" spans="1:21" s="10" customFormat="1" ht="15" customHeight="1">
      <c r="A394" s="19"/>
      <c r="B394" s="165" t="s">
        <v>1353</v>
      </c>
      <c r="D394" s="243"/>
      <c r="E394" s="243"/>
      <c r="F394" s="243"/>
      <c r="G394" s="243"/>
      <c r="H394" s="243"/>
      <c r="I394" s="243"/>
      <c r="J394" s="243"/>
      <c r="K394" s="243"/>
      <c r="L394" s="243"/>
      <c r="M394" s="243"/>
      <c r="N394" s="243"/>
      <c r="O394" s="243"/>
      <c r="P394" s="243"/>
      <c r="Q394" s="243"/>
      <c r="R394" s="243"/>
      <c r="S394" s="243"/>
      <c r="T394" s="243"/>
      <c r="U394" s="243"/>
    </row>
    <row r="395" spans="1:21" s="10" customFormat="1" ht="15" customHeight="1">
      <c r="A395" s="19"/>
      <c r="B395" s="165" t="s">
        <v>1354</v>
      </c>
      <c r="D395" s="243"/>
      <c r="E395" s="243"/>
      <c r="F395" s="243"/>
      <c r="G395" s="243"/>
      <c r="H395" s="243"/>
      <c r="I395" s="243"/>
      <c r="J395" s="243"/>
      <c r="K395" s="243"/>
      <c r="L395" s="243"/>
      <c r="M395" s="243"/>
      <c r="N395" s="243"/>
      <c r="O395" s="243"/>
      <c r="P395" s="243"/>
      <c r="Q395" s="243"/>
      <c r="R395" s="243"/>
      <c r="S395" s="243"/>
      <c r="T395" s="243"/>
      <c r="U395" s="243"/>
    </row>
    <row r="396" spans="1:21" s="10" customFormat="1" ht="15" customHeight="1">
      <c r="A396" s="19"/>
      <c r="B396" s="165" t="s">
        <v>1369</v>
      </c>
      <c r="D396" s="243"/>
      <c r="E396" s="243"/>
      <c r="F396" s="243"/>
      <c r="G396" s="243"/>
      <c r="H396" s="243"/>
      <c r="I396" s="243"/>
      <c r="J396" s="243"/>
      <c r="K396" s="243"/>
      <c r="L396" s="243"/>
      <c r="M396" s="243"/>
      <c r="N396" s="243"/>
      <c r="O396" s="243"/>
      <c r="P396" s="243"/>
      <c r="Q396" s="243"/>
      <c r="R396" s="243"/>
      <c r="S396" s="243"/>
      <c r="T396" s="243"/>
      <c r="U396" s="243"/>
    </row>
    <row r="397" spans="1:21" s="10" customFormat="1" ht="15" customHeight="1">
      <c r="A397" s="19"/>
      <c r="B397" s="165" t="s">
        <v>1355</v>
      </c>
      <c r="D397" s="243"/>
      <c r="E397" s="243"/>
      <c r="F397" s="243"/>
      <c r="G397" s="243"/>
      <c r="H397" s="243"/>
      <c r="I397" s="243"/>
      <c r="J397" s="243"/>
      <c r="K397" s="243"/>
      <c r="L397" s="243"/>
      <c r="M397" s="243"/>
      <c r="N397" s="243"/>
      <c r="O397" s="243"/>
      <c r="P397" s="243"/>
      <c r="Q397" s="243"/>
      <c r="R397" s="243"/>
      <c r="S397" s="243"/>
      <c r="T397" s="243"/>
      <c r="U397" s="243"/>
    </row>
    <row r="398" spans="1:21" s="10" customFormat="1" ht="15" customHeight="1">
      <c r="A398" s="19"/>
      <c r="B398" s="165" t="s">
        <v>1304</v>
      </c>
      <c r="D398" s="243"/>
      <c r="E398" s="243"/>
      <c r="F398" s="243"/>
      <c r="G398" s="243"/>
      <c r="H398" s="243"/>
      <c r="I398" s="243"/>
      <c r="J398" s="243"/>
      <c r="K398" s="243"/>
      <c r="L398" s="243"/>
      <c r="M398" s="243"/>
      <c r="N398" s="243"/>
      <c r="O398" s="243"/>
      <c r="P398" s="243"/>
      <c r="Q398" s="243"/>
      <c r="R398" s="243"/>
      <c r="S398" s="243"/>
      <c r="T398" s="243"/>
      <c r="U398" s="243"/>
    </row>
    <row r="399" spans="1:21" s="10" customFormat="1" ht="15" customHeight="1">
      <c r="A399" s="19"/>
      <c r="B399" s="165" t="s">
        <v>1332</v>
      </c>
      <c r="D399" s="243"/>
      <c r="E399" s="243"/>
      <c r="F399" s="243"/>
      <c r="G399" s="243"/>
      <c r="H399" s="243"/>
      <c r="I399" s="243"/>
      <c r="J399" s="243"/>
      <c r="K399" s="243"/>
      <c r="L399" s="243"/>
      <c r="M399" s="243"/>
      <c r="N399" s="243"/>
      <c r="O399" s="243"/>
      <c r="P399" s="243"/>
      <c r="Q399" s="243"/>
      <c r="R399" s="243"/>
      <c r="S399" s="243"/>
      <c r="T399" s="243"/>
      <c r="U399" s="243"/>
    </row>
    <row r="400" spans="1:21" s="10" customFormat="1" ht="15" customHeight="1">
      <c r="A400" s="19"/>
      <c r="B400" s="165" t="s">
        <v>1333</v>
      </c>
      <c r="D400" s="243"/>
      <c r="E400" s="243"/>
      <c r="F400" s="243"/>
      <c r="G400" s="243"/>
      <c r="H400" s="243"/>
      <c r="I400" s="243"/>
      <c r="J400" s="243"/>
      <c r="K400" s="243"/>
      <c r="L400" s="243"/>
      <c r="M400" s="243"/>
      <c r="N400" s="243"/>
      <c r="O400" s="243"/>
      <c r="P400" s="243"/>
      <c r="Q400" s="243"/>
      <c r="R400" s="243"/>
      <c r="S400" s="243"/>
      <c r="T400" s="243"/>
      <c r="U400" s="243"/>
    </row>
    <row r="401" spans="1:21" s="10" customFormat="1" ht="15" customHeight="1">
      <c r="A401" s="19"/>
      <c r="B401" s="165" t="s">
        <v>1334</v>
      </c>
      <c r="D401" s="243"/>
      <c r="E401" s="243"/>
      <c r="F401" s="243"/>
      <c r="G401" s="243"/>
      <c r="H401" s="243"/>
      <c r="I401" s="243"/>
      <c r="J401" s="243"/>
      <c r="K401" s="243"/>
      <c r="L401" s="243"/>
      <c r="M401" s="243"/>
      <c r="N401" s="243"/>
      <c r="O401" s="243"/>
      <c r="P401" s="243"/>
      <c r="Q401" s="243"/>
      <c r="R401" s="243"/>
      <c r="S401" s="243"/>
      <c r="T401" s="243"/>
      <c r="U401" s="243"/>
    </row>
    <row r="402" spans="1:21" s="10" customFormat="1" ht="15" customHeight="1">
      <c r="A402" s="19"/>
      <c r="B402" s="827" t="s">
        <v>1335</v>
      </c>
      <c r="D402" s="243"/>
      <c r="E402" s="243"/>
      <c r="F402" s="243"/>
      <c r="G402" s="243"/>
      <c r="H402" s="243"/>
      <c r="I402" s="243"/>
      <c r="J402" s="243"/>
      <c r="K402" s="243"/>
      <c r="L402" s="243"/>
      <c r="M402" s="243"/>
      <c r="N402" s="243"/>
      <c r="O402" s="243"/>
      <c r="P402" s="243"/>
      <c r="Q402" s="243"/>
      <c r="R402" s="243"/>
      <c r="S402" s="243"/>
      <c r="T402" s="243"/>
      <c r="U402" s="243"/>
    </row>
    <row r="403" spans="1:21" s="10" customFormat="1" ht="15" customHeight="1">
      <c r="A403" s="19"/>
      <c r="B403" s="827" t="s">
        <v>1336</v>
      </c>
      <c r="D403" s="243"/>
      <c r="E403" s="243"/>
      <c r="F403" s="243"/>
      <c r="G403" s="243"/>
      <c r="H403" s="243"/>
      <c r="I403" s="243"/>
      <c r="J403" s="243"/>
      <c r="K403" s="243"/>
      <c r="L403" s="243"/>
      <c r="M403" s="243"/>
      <c r="N403" s="243"/>
      <c r="O403" s="243"/>
      <c r="P403" s="243"/>
      <c r="Q403" s="243"/>
      <c r="R403" s="243"/>
      <c r="S403" s="243"/>
      <c r="T403" s="243"/>
      <c r="U403" s="243"/>
    </row>
    <row r="404" spans="1:21" s="10" customFormat="1" ht="15" customHeight="1">
      <c r="A404" s="19"/>
      <c r="B404" s="827" t="str">
        <f>"  計算分期定期保險金之指定保險金如低於"&amp;IF(PY!$D$29="新臺幣","新臺幣(下同)","")&amp;PY!$B$43&amp;"本公司將"</f>
        <v xml:space="preserve">  計算分期定期保險金之指定保險金如低於新臺幣(下同)二十萬元或每年給付之分期定期保險金低於二萬元者，本公司將</v>
      </c>
      <c r="D404" s="243"/>
      <c r="E404" s="243"/>
      <c r="F404" s="243"/>
      <c r="G404" s="243"/>
      <c r="H404" s="243"/>
      <c r="I404" s="243"/>
      <c r="J404" s="243"/>
      <c r="K404" s="243"/>
      <c r="L404" s="243"/>
      <c r="M404" s="243"/>
      <c r="N404" s="243"/>
      <c r="O404" s="243"/>
      <c r="P404" s="243"/>
      <c r="Q404" s="243"/>
      <c r="R404" s="243"/>
      <c r="S404" s="243"/>
      <c r="T404" s="243"/>
      <c r="U404" s="243"/>
    </row>
    <row r="405" spans="1:21" s="10" customFormat="1" ht="15" customHeight="1">
      <c r="A405" s="19"/>
      <c r="B405" s="827" t="s">
        <v>1337</v>
      </c>
      <c r="D405" s="243"/>
      <c r="E405" s="243"/>
      <c r="F405" s="243"/>
      <c r="G405" s="243"/>
      <c r="H405" s="243"/>
      <c r="I405" s="243"/>
      <c r="J405" s="243"/>
      <c r="K405" s="243"/>
      <c r="L405" s="243"/>
      <c r="M405" s="243"/>
      <c r="N405" s="243"/>
      <c r="O405" s="243"/>
      <c r="P405" s="243"/>
      <c r="Q405" s="243"/>
      <c r="R405" s="243"/>
      <c r="S405" s="243"/>
      <c r="T405" s="243"/>
      <c r="U405" s="243"/>
    </row>
    <row r="406" spans="1:21" s="10" customFormat="1" ht="15" customHeight="1">
      <c r="A406" s="19"/>
      <c r="B406" s="827" t="s">
        <v>1338</v>
      </c>
      <c r="D406" s="243"/>
      <c r="E406" s="243"/>
      <c r="F406" s="243"/>
      <c r="G406" s="243"/>
      <c r="H406" s="243"/>
      <c r="I406" s="243"/>
      <c r="J406" s="243"/>
      <c r="K406" s="243"/>
      <c r="L406" s="243"/>
      <c r="M406" s="243"/>
      <c r="N406" s="243"/>
      <c r="O406" s="243"/>
      <c r="P406" s="243"/>
      <c r="Q406" s="243"/>
      <c r="R406" s="243"/>
      <c r="S406" s="243"/>
      <c r="T406" s="243"/>
      <c r="U406" s="243"/>
    </row>
    <row r="407" spans="1:21" s="10" customFormat="1" ht="15" customHeight="1">
      <c r="A407" s="19"/>
      <c r="B407" s="165" t="s">
        <v>1305</v>
      </c>
      <c r="D407" s="243"/>
      <c r="E407" s="243"/>
      <c r="F407" s="243"/>
      <c r="G407" s="243"/>
      <c r="H407" s="243"/>
      <c r="I407" s="243"/>
      <c r="J407" s="243"/>
      <c r="K407" s="243"/>
      <c r="L407" s="243"/>
      <c r="M407" s="243"/>
      <c r="N407" s="243"/>
      <c r="O407" s="243"/>
      <c r="P407" s="243"/>
      <c r="Q407" s="243"/>
      <c r="R407" s="243"/>
      <c r="S407" s="243"/>
      <c r="T407" s="243"/>
      <c r="U407" s="243"/>
    </row>
    <row r="408" spans="1:21" s="10" customFormat="1" ht="15" customHeight="1">
      <c r="A408" s="19"/>
      <c r="B408" s="165" t="s">
        <v>1306</v>
      </c>
      <c r="D408" s="243"/>
      <c r="E408" s="243"/>
      <c r="F408" s="243"/>
      <c r="G408" s="243"/>
      <c r="H408" s="243"/>
      <c r="I408" s="243"/>
      <c r="J408" s="243"/>
      <c r="K408" s="243"/>
      <c r="L408" s="243"/>
      <c r="M408" s="243"/>
      <c r="N408" s="243"/>
      <c r="O408" s="243"/>
      <c r="P408" s="243"/>
      <c r="Q408" s="243"/>
      <c r="R408" s="243"/>
      <c r="S408" s="243"/>
      <c r="T408" s="243"/>
      <c r="U408" s="243"/>
    </row>
    <row r="409" spans="1:21" s="10" customFormat="1" ht="15" customHeight="1">
      <c r="A409" s="19"/>
      <c r="D409" s="243"/>
      <c r="E409" s="243"/>
      <c r="F409" s="243"/>
      <c r="G409" s="243"/>
      <c r="H409" s="243"/>
      <c r="I409" s="243"/>
      <c r="J409" s="243"/>
      <c r="K409" s="243"/>
      <c r="L409" s="243"/>
      <c r="M409" s="243"/>
      <c r="N409" s="243"/>
      <c r="O409" s="243"/>
      <c r="P409" s="243"/>
      <c r="Q409" s="243"/>
      <c r="R409" s="243"/>
      <c r="S409" s="243"/>
      <c r="T409" s="243"/>
      <c r="U409" s="243"/>
    </row>
    <row r="410" spans="1:21" s="10" customFormat="1" ht="15" customHeight="1">
      <c r="A410" s="19"/>
      <c r="B410" s="165"/>
      <c r="D410" s="243"/>
      <c r="E410" s="243"/>
      <c r="F410" s="243"/>
      <c r="G410" s="243"/>
      <c r="H410" s="243"/>
      <c r="I410" s="243"/>
      <c r="J410" s="243"/>
      <c r="K410" s="243"/>
      <c r="L410" s="243"/>
      <c r="M410" s="243"/>
      <c r="N410" s="243"/>
      <c r="O410" s="243"/>
      <c r="P410" s="243"/>
      <c r="Q410" s="243"/>
      <c r="R410" s="243"/>
      <c r="S410" s="243"/>
      <c r="T410" s="243"/>
      <c r="U410" s="243"/>
    </row>
    <row r="411" spans="1:21" s="10" customFormat="1" ht="15" customHeight="1">
      <c r="A411" s="19"/>
      <c r="B411" s="165"/>
      <c r="D411" s="243"/>
      <c r="E411" s="243"/>
      <c r="F411" s="243"/>
      <c r="G411" s="243"/>
      <c r="H411" s="243"/>
      <c r="I411" s="243"/>
      <c r="J411" s="243"/>
      <c r="K411" s="243"/>
      <c r="L411" s="243"/>
      <c r="M411" s="243"/>
      <c r="N411" s="243"/>
      <c r="O411" s="243"/>
      <c r="P411" s="243"/>
      <c r="Q411" s="243"/>
      <c r="R411" s="243"/>
      <c r="S411" s="243"/>
      <c r="T411" s="243"/>
      <c r="U411" s="243"/>
    </row>
    <row r="412" spans="1:21" s="10" customFormat="1" ht="15" customHeight="1">
      <c r="A412" s="19"/>
      <c r="B412" s="165"/>
      <c r="D412" s="243"/>
      <c r="E412" s="243"/>
      <c r="F412" s="243"/>
      <c r="G412" s="243"/>
      <c r="H412" s="243"/>
      <c r="I412" s="243"/>
      <c r="J412" s="243"/>
      <c r="K412" s="243"/>
      <c r="L412" s="243"/>
      <c r="M412" s="243"/>
      <c r="N412" s="243"/>
      <c r="O412" s="243"/>
      <c r="P412" s="243"/>
      <c r="Q412" s="243"/>
      <c r="R412" s="243"/>
      <c r="S412" s="243"/>
      <c r="T412" s="243"/>
      <c r="U412" s="243"/>
    </row>
    <row r="413" spans="1:21" s="10" customFormat="1" ht="15" customHeight="1">
      <c r="A413" s="19"/>
      <c r="B413" s="165"/>
      <c r="D413" s="243"/>
      <c r="E413" s="243"/>
      <c r="F413" s="243"/>
      <c r="G413" s="243"/>
      <c r="H413" s="243"/>
      <c r="I413" s="243"/>
      <c r="J413" s="243"/>
      <c r="K413" s="243"/>
      <c r="L413" s="243"/>
      <c r="M413" s="243"/>
      <c r="N413" s="243"/>
      <c r="O413" s="243"/>
      <c r="P413" s="243"/>
      <c r="Q413" s="243"/>
      <c r="R413" s="243"/>
      <c r="S413" s="243"/>
      <c r="T413" s="243"/>
      <c r="U413" s="243"/>
    </row>
    <row r="414" spans="1:21" s="10" customFormat="1" ht="15" customHeight="1">
      <c r="A414" s="19"/>
      <c r="B414" s="165"/>
      <c r="D414" s="243"/>
      <c r="E414" s="243"/>
      <c r="F414" s="243"/>
      <c r="G414" s="243"/>
      <c r="H414" s="243"/>
      <c r="I414" s="243"/>
      <c r="J414" s="243"/>
      <c r="K414" s="243"/>
      <c r="L414" s="243"/>
      <c r="M414" s="243"/>
      <c r="N414" s="243"/>
      <c r="O414" s="243"/>
      <c r="P414" s="243"/>
      <c r="Q414" s="243"/>
      <c r="R414" s="243"/>
      <c r="S414" s="243"/>
      <c r="T414" s="243"/>
      <c r="U414" s="243"/>
    </row>
    <row r="415" spans="1:21" s="10" customFormat="1" ht="15" customHeight="1">
      <c r="A415" s="19"/>
      <c r="B415" s="165"/>
      <c r="D415" s="243"/>
      <c r="E415" s="243"/>
      <c r="F415" s="243"/>
      <c r="G415" s="243"/>
      <c r="H415" s="243"/>
      <c r="I415" s="243"/>
      <c r="J415" s="243"/>
      <c r="K415" s="243"/>
      <c r="L415" s="243"/>
      <c r="M415" s="243"/>
      <c r="N415" s="243"/>
      <c r="O415" s="243"/>
      <c r="P415" s="243"/>
      <c r="Q415" s="243"/>
      <c r="R415" s="243"/>
      <c r="S415" s="243"/>
      <c r="T415" s="243"/>
      <c r="U415" s="243"/>
    </row>
    <row r="416" spans="1:21" s="10" customFormat="1" ht="15" customHeight="1">
      <c r="A416" s="19"/>
      <c r="B416" s="165"/>
      <c r="D416" s="243"/>
      <c r="E416" s="243"/>
      <c r="F416" s="243"/>
      <c r="G416" s="243"/>
      <c r="H416" s="243"/>
      <c r="I416" s="243"/>
      <c r="J416" s="243"/>
      <c r="K416" s="243"/>
      <c r="L416" s="243"/>
      <c r="M416" s="243"/>
      <c r="N416" s="243"/>
      <c r="O416" s="243"/>
      <c r="P416" s="243"/>
      <c r="Q416" s="243"/>
      <c r="R416" s="243"/>
      <c r="S416" s="243"/>
      <c r="T416" s="243"/>
      <c r="U416" s="243"/>
    </row>
    <row r="417" spans="1:21" s="10" customFormat="1" ht="15" customHeight="1">
      <c r="A417" s="19"/>
      <c r="B417" s="1126" t="s">
        <v>539</v>
      </c>
      <c r="C417" s="1126"/>
      <c r="D417" s="1126"/>
      <c r="E417" s="1126"/>
      <c r="F417" s="1126"/>
      <c r="G417" s="1126"/>
      <c r="H417" s="1126"/>
      <c r="I417" s="1126"/>
      <c r="J417" s="1126"/>
      <c r="K417" s="1126"/>
      <c r="L417" s="1126"/>
      <c r="M417" s="1126"/>
      <c r="N417" s="1126"/>
      <c r="O417" s="1126"/>
      <c r="P417" s="1126"/>
      <c r="Q417" s="1126"/>
      <c r="R417" s="1126"/>
      <c r="S417" s="1126"/>
      <c r="T417" s="1126"/>
      <c r="U417" s="1126"/>
    </row>
    <row r="418" spans="1:21" s="10" customFormat="1" ht="15" customHeight="1">
      <c r="A418" s="19"/>
      <c r="B418" s="141"/>
      <c r="C418" s="11"/>
      <c r="D418" s="11"/>
      <c r="E418" s="1142"/>
      <c r="F418" s="1143"/>
      <c r="G418" s="1143"/>
      <c r="H418" s="1143"/>
      <c r="I418" s="1143"/>
      <c r="J418" s="1143"/>
      <c r="K418" s="1143"/>
      <c r="L418" s="1143"/>
      <c r="M418" s="1143"/>
      <c r="N418" s="1143"/>
      <c r="O418" s="1143"/>
      <c r="P418" s="1143"/>
      <c r="Q418" s="6"/>
      <c r="R418" s="328"/>
      <c r="S418" s="328"/>
      <c r="T418" s="328"/>
      <c r="U418" s="329" t="str">
        <f ca="1">OP!$C$54&amp;" 試算日："&amp;TEXT(OP!$C$3,"EEMMDD")</f>
        <v>V1.0-1060217 試算日：1060602</v>
      </c>
    </row>
    <row r="419" spans="1:21" s="10" customFormat="1" ht="15" customHeight="1">
      <c r="A419" s="19"/>
      <c r="B419" s="165"/>
      <c r="D419" s="243"/>
      <c r="E419" s="243"/>
      <c r="F419" s="243"/>
      <c r="G419" s="243"/>
      <c r="H419" s="243"/>
      <c r="I419" s="243"/>
      <c r="J419" s="243"/>
      <c r="K419" s="243"/>
      <c r="L419" s="243"/>
      <c r="M419" s="243"/>
      <c r="N419" s="243"/>
      <c r="O419" s="243"/>
      <c r="P419" s="243"/>
      <c r="Q419" s="243"/>
      <c r="R419" s="243"/>
      <c r="S419" s="243"/>
      <c r="T419" s="243"/>
      <c r="U419" s="243"/>
    </row>
    <row r="420" spans="1:21" s="10" customFormat="1" ht="15" customHeight="1">
      <c r="A420" s="19">
        <v>18</v>
      </c>
      <c r="B420" s="167" t="s">
        <v>540</v>
      </c>
      <c r="C420" s="240"/>
      <c r="D420" s="307"/>
      <c r="E420" s="182"/>
      <c r="F420" s="182"/>
      <c r="G420" s="182"/>
      <c r="H420" s="182"/>
      <c r="I420" s="182"/>
      <c r="J420" s="182"/>
      <c r="K420" s="182"/>
      <c r="L420" s="182"/>
      <c r="M420" s="182"/>
      <c r="N420" s="182"/>
      <c r="O420" s="182"/>
      <c r="P420" s="182"/>
      <c r="Q420" s="182"/>
      <c r="R420" s="182"/>
      <c r="S420" s="182"/>
      <c r="T420" s="182"/>
      <c r="U420" s="183" t="str">
        <f>"繳費期間： "&amp;IF(OP!C24=1,"躉繳",IF(OP!$C$24&lt;&gt;1,OP!$C$24&amp;" 年期",""))</f>
        <v>繳費期間： 6 年期</v>
      </c>
    </row>
    <row r="421" spans="1:21" s="10" customFormat="1" ht="15" customHeight="1">
      <c r="A421" s="19">
        <v>19</v>
      </c>
      <c r="B421" s="168"/>
      <c r="C421" s="240" t="s">
        <v>80</v>
      </c>
      <c r="D421" s="307"/>
      <c r="E421" s="182"/>
      <c r="F421" s="182"/>
      <c r="G421" s="182"/>
      <c r="H421" s="182"/>
      <c r="I421" s="182"/>
      <c r="J421" s="182"/>
      <c r="K421" s="182"/>
      <c r="L421" s="182"/>
      <c r="M421" s="182"/>
      <c r="N421" s="182"/>
      <c r="O421" s="182"/>
      <c r="P421" s="182"/>
      <c r="Q421" s="182"/>
      <c r="R421" s="182"/>
      <c r="S421" s="182"/>
      <c r="T421" s="182"/>
    </row>
    <row r="422" spans="1:21" s="10" customFormat="1" ht="15" customHeight="1">
      <c r="A422" s="19">
        <v>20</v>
      </c>
      <c r="B422" s="168"/>
      <c r="C422" s="240" t="s">
        <v>75</v>
      </c>
      <c r="D422" s="307"/>
      <c r="E422" s="182"/>
      <c r="F422" s="182"/>
      <c r="G422" s="182"/>
      <c r="H422" s="182"/>
      <c r="I422" s="182"/>
      <c r="J422" s="182"/>
      <c r="K422" s="182"/>
      <c r="L422" s="182"/>
      <c r="M422" s="182"/>
      <c r="N422" s="182"/>
      <c r="O422" s="182"/>
      <c r="P422" s="182"/>
      <c r="Q422" s="182"/>
      <c r="R422" s="182"/>
      <c r="S422" s="182"/>
      <c r="T422" s="182"/>
      <c r="U422" s="182"/>
    </row>
    <row r="423" spans="1:21" s="10" customFormat="1" ht="15" customHeight="1">
      <c r="A423" s="19"/>
      <c r="B423" s="165"/>
      <c r="L423" s="244"/>
      <c r="M423" s="244"/>
      <c r="N423" s="244"/>
      <c r="O423" s="244"/>
      <c r="P423" s="244"/>
      <c r="Q423" s="244"/>
      <c r="R423" s="244"/>
      <c r="S423" s="244"/>
      <c r="T423" s="244"/>
      <c r="U423" s="244"/>
    </row>
    <row r="424" spans="1:21" s="10" customFormat="1" ht="15" customHeight="1">
      <c r="A424" s="19"/>
      <c r="D424" s="1144" t="str">
        <f>揭露!C6</f>
        <v>保單年度</v>
      </c>
      <c r="E424" s="1144"/>
      <c r="F424" s="1144"/>
      <c r="G424" s="1144"/>
      <c r="H424" s="1138" t="str">
        <f>揭露!D6</f>
        <v>5歲男性</v>
      </c>
      <c r="I424" s="1138"/>
      <c r="J424" s="1138" t="str">
        <f>揭露!E6</f>
        <v>35歲男性</v>
      </c>
      <c r="K424" s="1138"/>
      <c r="L424" s="1138" t="str">
        <f>揭露!F6</f>
        <v>65歲男性</v>
      </c>
      <c r="M424" s="1138"/>
      <c r="N424" s="1138" t="str">
        <f>揭露!G6</f>
        <v>5歲女性</v>
      </c>
      <c r="O424" s="1138"/>
      <c r="P424" s="1138" t="str">
        <f>揭露!H6</f>
        <v>35歲女性</v>
      </c>
      <c r="Q424" s="1138"/>
      <c r="R424" s="1138" t="str">
        <f>揭露!I6</f>
        <v>65歲女性</v>
      </c>
      <c r="S424" s="1138"/>
    </row>
    <row r="425" spans="1:21" s="10" customFormat="1" ht="15" customHeight="1">
      <c r="A425" s="19"/>
      <c r="D425" s="1144">
        <f>揭露!C7</f>
        <v>5</v>
      </c>
      <c r="E425" s="1144"/>
      <c r="F425" s="1144"/>
      <c r="G425" s="1144"/>
      <c r="H425" s="1138" t="str">
        <f>揭露!D7</f>
        <v>89.30%</v>
      </c>
      <c r="I425" s="1138"/>
      <c r="J425" s="1138" t="str">
        <f>揭露!E7</f>
        <v>89.23%</v>
      </c>
      <c r="K425" s="1138"/>
      <c r="L425" s="1138" t="str">
        <f>揭露!F7</f>
        <v>88.20%</v>
      </c>
      <c r="M425" s="1138"/>
      <c r="N425" s="1138" t="str">
        <f>揭露!G7</f>
        <v>89.29%</v>
      </c>
      <c r="O425" s="1138"/>
      <c r="P425" s="1138" t="str">
        <f>揭露!H7</f>
        <v>89.27%</v>
      </c>
      <c r="Q425" s="1138"/>
      <c r="R425" s="1138" t="str">
        <f>揭露!I7</f>
        <v>88.60%</v>
      </c>
      <c r="S425" s="1138"/>
    </row>
    <row r="426" spans="1:21" s="10" customFormat="1" ht="15" customHeight="1">
      <c r="A426" s="19"/>
      <c r="D426" s="1144">
        <f>揭露!C8</f>
        <v>10</v>
      </c>
      <c r="E426" s="1144"/>
      <c r="F426" s="1144"/>
      <c r="G426" s="1144"/>
      <c r="H426" s="1138" t="str">
        <f>揭露!D8</f>
        <v>98.92%</v>
      </c>
      <c r="I426" s="1138"/>
      <c r="J426" s="1138" t="str">
        <f>揭露!E8</f>
        <v>98.84%</v>
      </c>
      <c r="K426" s="1138"/>
      <c r="L426" s="1138" t="str">
        <f>揭露!F8</f>
        <v>97.49%</v>
      </c>
      <c r="M426" s="1138"/>
      <c r="N426" s="1138" t="str">
        <f>揭露!G8</f>
        <v>98.92%</v>
      </c>
      <c r="O426" s="1138"/>
      <c r="P426" s="1138" t="str">
        <f>揭露!H8</f>
        <v>98.89%</v>
      </c>
      <c r="Q426" s="1138"/>
      <c r="R426" s="1138" t="str">
        <f>揭露!I8</f>
        <v>98.08%</v>
      </c>
      <c r="S426" s="1138"/>
    </row>
    <row r="427" spans="1:21" s="10" customFormat="1" ht="15" customHeight="1">
      <c r="A427" s="19"/>
      <c r="D427" s="1144">
        <f>揭露!C9</f>
        <v>15</v>
      </c>
      <c r="E427" s="1144"/>
      <c r="F427" s="1144"/>
      <c r="G427" s="1144"/>
      <c r="H427" s="1138" t="str">
        <f>揭露!D9</f>
        <v>103.10%</v>
      </c>
      <c r="I427" s="1138"/>
      <c r="J427" s="1138" t="str">
        <f>揭露!E9</f>
        <v>103.02%</v>
      </c>
      <c r="K427" s="1138"/>
      <c r="L427" s="1138" t="str">
        <f>揭露!F9</f>
        <v>101.61%</v>
      </c>
      <c r="M427" s="1138"/>
      <c r="N427" s="1138" t="str">
        <f>揭露!G9</f>
        <v>103.10%</v>
      </c>
      <c r="O427" s="1138"/>
      <c r="P427" s="1138" t="str">
        <f>揭露!H9</f>
        <v>103.07%</v>
      </c>
      <c r="Q427" s="1138"/>
      <c r="R427" s="1138" t="str">
        <f>揭露!I9</f>
        <v>102.22%</v>
      </c>
      <c r="S427" s="1138"/>
    </row>
    <row r="428" spans="1:21" s="10" customFormat="1" ht="15" customHeight="1">
      <c r="A428" s="19"/>
      <c r="B428" s="169"/>
      <c r="D428" s="1144">
        <f>揭露!C10</f>
        <v>20</v>
      </c>
      <c r="E428" s="1144"/>
      <c r="F428" s="1144"/>
      <c r="G428" s="1144"/>
      <c r="H428" s="1138" t="str">
        <f>揭露!D10</f>
        <v>107.45%</v>
      </c>
      <c r="I428" s="1138"/>
      <c r="J428" s="1138" t="str">
        <f>揭露!E10</f>
        <v>107.36%</v>
      </c>
      <c r="K428" s="1138"/>
      <c r="L428" s="1138" t="str">
        <f>揭露!F10</f>
        <v>105.90%</v>
      </c>
      <c r="M428" s="1138"/>
      <c r="N428" s="1138" t="str">
        <f>揭露!G10</f>
        <v>107.45%</v>
      </c>
      <c r="O428" s="1138"/>
      <c r="P428" s="1138" t="str">
        <f>揭露!H10</f>
        <v>107.41%</v>
      </c>
      <c r="Q428" s="1138"/>
      <c r="R428" s="1138" t="str">
        <f>揭露!I10</f>
        <v>106.53%</v>
      </c>
      <c r="S428" s="1138"/>
      <c r="T428" s="245"/>
      <c r="U428" s="245"/>
    </row>
    <row r="429" spans="1:21" s="67" customFormat="1" ht="15" customHeight="1">
      <c r="A429" s="34"/>
      <c r="B429" s="170"/>
      <c r="C429" s="236" t="str">
        <f>"依據上表顯示「"&amp;PDN1_&amp;"」於早期解約對保戶是不利的。"</f>
        <v>依據上表顯示「富邦人壽好吉利利率變動型增額終身壽險」於早期解約對保戶是不利的。</v>
      </c>
      <c r="E429" s="246"/>
      <c r="F429" s="246"/>
      <c r="G429" s="246"/>
      <c r="H429" s="247"/>
      <c r="I429" s="247"/>
      <c r="J429" s="247"/>
      <c r="K429" s="247"/>
      <c r="L429" s="247"/>
      <c r="M429" s="247"/>
      <c r="N429" s="247"/>
      <c r="O429" s="247"/>
      <c r="P429" s="247"/>
      <c r="Q429" s="247"/>
      <c r="R429" s="247"/>
      <c r="S429" s="247"/>
      <c r="T429" s="245"/>
      <c r="U429" s="245"/>
    </row>
    <row r="430" spans="1:21" s="67" customFormat="1" ht="15" customHeight="1">
      <c r="A430" s="34"/>
      <c r="B430" s="170"/>
      <c r="C430" s="236"/>
      <c r="E430" s="246"/>
      <c r="F430" s="246"/>
      <c r="G430" s="246"/>
      <c r="H430" s="247"/>
      <c r="I430" s="247"/>
      <c r="J430" s="247"/>
      <c r="K430" s="247"/>
      <c r="L430" s="247"/>
      <c r="M430" s="247"/>
      <c r="N430" s="247"/>
      <c r="O430" s="247"/>
      <c r="P430" s="247"/>
      <c r="Q430" s="247"/>
      <c r="R430" s="247"/>
      <c r="S430" s="247"/>
      <c r="T430" s="245"/>
      <c r="U430" s="245"/>
    </row>
    <row r="431" spans="1:21" s="67" customFormat="1" ht="15" customHeight="1">
      <c r="A431" s="34"/>
      <c r="B431" s="170"/>
      <c r="C431" s="236"/>
      <c r="E431" s="246"/>
      <c r="F431" s="246"/>
      <c r="G431" s="246"/>
      <c r="H431" s="247"/>
      <c r="I431" s="247"/>
      <c r="J431" s="247"/>
      <c r="K431" s="247"/>
      <c r="L431" s="247"/>
      <c r="M431" s="247"/>
      <c r="N431" s="247"/>
      <c r="O431" s="247"/>
      <c r="P431" s="247"/>
      <c r="Q431" s="247"/>
      <c r="R431" s="247"/>
      <c r="S431" s="247"/>
      <c r="T431" s="245"/>
      <c r="U431" s="245"/>
    </row>
    <row r="432" spans="1:21" s="67" customFormat="1" ht="15" customHeight="1">
      <c r="A432" s="34"/>
      <c r="B432" s="170"/>
      <c r="C432" s="236"/>
      <c r="E432" s="246"/>
      <c r="F432" s="246"/>
      <c r="G432" s="246"/>
      <c r="H432" s="247"/>
      <c r="I432" s="247"/>
      <c r="J432" s="247"/>
      <c r="K432" s="247"/>
      <c r="L432" s="247"/>
      <c r="M432" s="247"/>
      <c r="N432" s="247"/>
      <c r="O432" s="247"/>
      <c r="P432" s="247"/>
      <c r="Q432" s="247"/>
      <c r="R432" s="247"/>
      <c r="S432" s="247"/>
      <c r="T432" s="245"/>
      <c r="U432" s="245"/>
    </row>
    <row r="433" spans="1:21" s="67" customFormat="1" ht="15" customHeight="1">
      <c r="A433" s="34"/>
      <c r="B433" s="170"/>
      <c r="C433" s="236"/>
      <c r="E433" s="246"/>
      <c r="F433" s="246"/>
      <c r="G433" s="246"/>
      <c r="H433" s="247"/>
      <c r="I433" s="247"/>
      <c r="J433" s="247"/>
      <c r="K433" s="247"/>
      <c r="L433" s="247"/>
      <c r="M433" s="247"/>
      <c r="N433" s="247"/>
      <c r="O433" s="247"/>
      <c r="P433" s="247"/>
      <c r="Q433" s="247"/>
      <c r="R433" s="247"/>
      <c r="S433" s="247"/>
      <c r="T433" s="245"/>
      <c r="U433" s="245"/>
    </row>
    <row r="434" spans="1:21" s="67" customFormat="1" ht="15" customHeight="1">
      <c r="A434" s="34"/>
      <c r="B434" s="170"/>
      <c r="C434" s="236"/>
      <c r="E434" s="246"/>
      <c r="F434" s="246"/>
      <c r="G434" s="246"/>
      <c r="H434" s="247"/>
      <c r="I434" s="247"/>
      <c r="J434" s="247"/>
      <c r="K434" s="247"/>
      <c r="L434" s="247"/>
      <c r="M434" s="247"/>
      <c r="N434" s="247"/>
      <c r="O434" s="247"/>
      <c r="P434" s="247"/>
      <c r="Q434" s="247"/>
      <c r="R434" s="247"/>
      <c r="S434" s="247"/>
      <c r="T434" s="245"/>
      <c r="U434" s="245"/>
    </row>
    <row r="435" spans="1:21" s="67" customFormat="1" ht="15" customHeight="1">
      <c r="A435" s="34"/>
      <c r="B435" s="170"/>
      <c r="C435" s="236"/>
      <c r="E435" s="246"/>
      <c r="F435" s="246"/>
      <c r="G435" s="246"/>
      <c r="H435" s="247"/>
      <c r="I435" s="247"/>
      <c r="J435" s="247"/>
      <c r="K435" s="247"/>
      <c r="L435" s="247"/>
      <c r="M435" s="247"/>
      <c r="N435" s="247"/>
      <c r="O435" s="247"/>
      <c r="P435" s="247"/>
      <c r="Q435" s="247"/>
      <c r="R435" s="247"/>
      <c r="S435" s="247"/>
      <c r="T435" s="245"/>
      <c r="U435" s="245"/>
    </row>
    <row r="436" spans="1:21" s="67" customFormat="1" ht="15" customHeight="1">
      <c r="A436" s="34"/>
      <c r="B436" s="170"/>
      <c r="C436" s="236"/>
      <c r="E436" s="246"/>
      <c r="F436" s="246"/>
      <c r="G436" s="246"/>
      <c r="H436" s="247"/>
      <c r="I436" s="247"/>
      <c r="J436" s="247"/>
      <c r="K436" s="247"/>
      <c r="L436" s="247"/>
      <c r="M436" s="247"/>
      <c r="N436" s="247"/>
      <c r="O436" s="247"/>
      <c r="P436" s="247"/>
      <c r="Q436" s="247"/>
      <c r="R436" s="247"/>
      <c r="S436" s="247"/>
      <c r="T436" s="245"/>
      <c r="U436" s="245"/>
    </row>
    <row r="437" spans="1:21" s="67" customFormat="1" ht="15" customHeight="1">
      <c r="A437" s="34"/>
      <c r="B437" s="170"/>
      <c r="C437" s="236"/>
      <c r="E437" s="246"/>
      <c r="F437" s="246"/>
      <c r="G437" s="246"/>
      <c r="H437" s="247"/>
      <c r="I437" s="247"/>
      <c r="J437" s="247"/>
      <c r="K437" s="247"/>
      <c r="L437" s="247"/>
      <c r="M437" s="247"/>
      <c r="N437" s="247"/>
      <c r="O437" s="247"/>
      <c r="P437" s="247"/>
      <c r="Q437" s="247"/>
      <c r="R437" s="247"/>
      <c r="S437" s="247"/>
      <c r="T437" s="245"/>
      <c r="U437" s="245"/>
    </row>
    <row r="438" spans="1:21" s="67" customFormat="1" ht="15" customHeight="1">
      <c r="A438" s="34"/>
      <c r="B438" s="170"/>
      <c r="C438" s="236"/>
      <c r="E438" s="246"/>
      <c r="F438" s="246"/>
      <c r="G438" s="246"/>
      <c r="H438" s="247"/>
      <c r="I438" s="247"/>
      <c r="J438" s="247"/>
      <c r="K438" s="247"/>
      <c r="L438" s="247"/>
      <c r="M438" s="247"/>
      <c r="N438" s="247"/>
      <c r="O438" s="247"/>
      <c r="P438" s="247"/>
      <c r="Q438" s="247"/>
      <c r="R438" s="247"/>
      <c r="S438" s="247"/>
      <c r="T438" s="245"/>
      <c r="U438" s="245"/>
    </row>
    <row r="439" spans="1:21" s="67" customFormat="1" ht="15" customHeight="1">
      <c r="A439" s="34"/>
      <c r="B439" s="170"/>
      <c r="C439" s="236"/>
      <c r="E439" s="246"/>
      <c r="F439" s="246"/>
      <c r="G439" s="246"/>
      <c r="H439" s="247"/>
      <c r="I439" s="247"/>
      <c r="J439" s="247"/>
      <c r="K439" s="247"/>
      <c r="L439" s="247"/>
      <c r="M439" s="247"/>
      <c r="N439" s="247"/>
      <c r="O439" s="247"/>
      <c r="P439" s="247"/>
      <c r="Q439" s="247"/>
      <c r="R439" s="247"/>
      <c r="S439" s="247"/>
      <c r="T439" s="245"/>
      <c r="U439" s="245"/>
    </row>
    <row r="440" spans="1:21" s="67" customFormat="1" ht="15" customHeight="1">
      <c r="A440" s="34"/>
      <c r="B440" s="170"/>
      <c r="C440" s="236"/>
      <c r="E440" s="246"/>
      <c r="F440" s="246"/>
      <c r="G440" s="246"/>
      <c r="H440" s="247"/>
      <c r="I440" s="247"/>
      <c r="J440" s="247"/>
      <c r="K440" s="247"/>
      <c r="L440" s="247"/>
      <c r="M440" s="247"/>
      <c r="N440" s="247"/>
      <c r="O440" s="247"/>
      <c r="P440" s="247"/>
      <c r="Q440" s="247"/>
      <c r="R440" s="247"/>
      <c r="S440" s="247"/>
      <c r="T440" s="245"/>
      <c r="U440" s="245"/>
    </row>
    <row r="441" spans="1:21" s="67" customFormat="1" ht="15" customHeight="1">
      <c r="A441" s="34"/>
      <c r="B441" s="170"/>
      <c r="C441" s="236"/>
      <c r="E441" s="246"/>
      <c r="F441" s="246"/>
      <c r="G441" s="246"/>
      <c r="H441" s="247"/>
      <c r="I441" s="247"/>
      <c r="J441" s="247"/>
      <c r="K441" s="247"/>
      <c r="L441" s="247"/>
      <c r="M441" s="247"/>
      <c r="N441" s="247"/>
      <c r="O441" s="247"/>
      <c r="P441" s="247"/>
      <c r="Q441" s="247"/>
      <c r="R441" s="247"/>
      <c r="S441" s="247"/>
      <c r="T441" s="245"/>
      <c r="U441" s="245"/>
    </row>
    <row r="442" spans="1:21" s="67" customFormat="1" ht="15" customHeight="1">
      <c r="A442" s="34"/>
      <c r="B442" s="170"/>
      <c r="C442" s="236"/>
      <c r="E442" s="246"/>
      <c r="F442" s="246"/>
      <c r="G442" s="246"/>
      <c r="H442" s="247"/>
      <c r="I442" s="247"/>
      <c r="J442" s="247"/>
      <c r="K442" s="247"/>
      <c r="L442" s="247"/>
      <c r="M442" s="247"/>
      <c r="N442" s="247"/>
      <c r="O442" s="247"/>
      <c r="P442" s="247"/>
      <c r="Q442" s="247"/>
      <c r="R442" s="247"/>
      <c r="S442" s="247"/>
      <c r="T442" s="245"/>
      <c r="U442" s="245"/>
    </row>
    <row r="443" spans="1:21" s="67" customFormat="1" ht="15" customHeight="1">
      <c r="A443" s="34"/>
      <c r="B443" s="170"/>
      <c r="C443" s="236"/>
      <c r="E443" s="246"/>
      <c r="F443" s="246"/>
      <c r="G443" s="246"/>
      <c r="H443" s="247"/>
      <c r="I443" s="247"/>
      <c r="J443" s="247"/>
      <c r="K443" s="247"/>
      <c r="L443" s="247"/>
      <c r="M443" s="247"/>
      <c r="N443" s="247"/>
      <c r="O443" s="247"/>
      <c r="P443" s="247"/>
      <c r="Q443" s="247"/>
      <c r="R443" s="247"/>
      <c r="S443" s="247"/>
      <c r="T443" s="245"/>
      <c r="U443" s="245"/>
    </row>
    <row r="444" spans="1:21" s="67" customFormat="1" ht="15" customHeight="1">
      <c r="A444" s="34"/>
      <c r="B444" s="170"/>
      <c r="C444" s="236"/>
      <c r="E444" s="246"/>
      <c r="F444" s="246"/>
      <c r="G444" s="246"/>
      <c r="H444" s="247"/>
      <c r="I444" s="247"/>
      <c r="J444" s="247"/>
      <c r="K444" s="247"/>
      <c r="L444" s="247"/>
      <c r="M444" s="247"/>
      <c r="N444" s="247"/>
      <c r="O444" s="247"/>
      <c r="P444" s="247"/>
      <c r="Q444" s="247"/>
      <c r="R444" s="247"/>
      <c r="S444" s="247"/>
      <c r="T444" s="245"/>
      <c r="U444" s="245"/>
    </row>
    <row r="445" spans="1:21" s="67" customFormat="1" ht="15" customHeight="1">
      <c r="A445" s="34"/>
      <c r="B445" s="170"/>
      <c r="C445" s="236"/>
      <c r="E445" s="246"/>
      <c r="F445" s="246"/>
      <c r="G445" s="246"/>
      <c r="H445" s="247"/>
      <c r="I445" s="247"/>
      <c r="J445" s="247"/>
      <c r="K445" s="247"/>
      <c r="L445" s="247"/>
      <c r="M445" s="247"/>
      <c r="N445" s="247"/>
      <c r="O445" s="247"/>
      <c r="P445" s="247"/>
      <c r="Q445" s="247"/>
      <c r="R445" s="247"/>
      <c r="S445" s="247"/>
      <c r="T445" s="245"/>
      <c r="U445" s="245"/>
    </row>
    <row r="446" spans="1:21" s="67" customFormat="1" ht="15" customHeight="1">
      <c r="A446" s="34"/>
      <c r="B446" s="170"/>
      <c r="C446" s="236"/>
      <c r="E446" s="246"/>
      <c r="F446" s="246"/>
      <c r="G446" s="246"/>
      <c r="H446" s="247"/>
      <c r="I446" s="247"/>
      <c r="J446" s="247"/>
      <c r="K446" s="247"/>
      <c r="L446" s="247"/>
      <c r="M446" s="247"/>
      <c r="N446" s="247"/>
      <c r="O446" s="247"/>
      <c r="P446" s="247"/>
      <c r="Q446" s="247"/>
      <c r="R446" s="247"/>
      <c r="S446" s="247"/>
      <c r="T446" s="245"/>
      <c r="U446" s="245"/>
    </row>
    <row r="447" spans="1:21" s="67" customFormat="1" ht="15" customHeight="1">
      <c r="A447" s="34"/>
      <c r="B447" s="170"/>
      <c r="C447" s="236"/>
      <c r="E447" s="246"/>
      <c r="F447" s="246"/>
      <c r="G447" s="246"/>
      <c r="H447" s="247"/>
      <c r="I447" s="247"/>
      <c r="J447" s="247"/>
      <c r="K447" s="247"/>
      <c r="L447" s="247"/>
      <c r="M447" s="247"/>
      <c r="N447" s="247"/>
      <c r="O447" s="247"/>
      <c r="P447" s="247"/>
      <c r="Q447" s="247"/>
      <c r="R447" s="247"/>
      <c r="S447" s="247"/>
      <c r="T447" s="245"/>
      <c r="U447" s="245"/>
    </row>
    <row r="448" spans="1:21" s="67" customFormat="1" ht="15" customHeight="1">
      <c r="A448" s="34"/>
      <c r="B448" s="170"/>
      <c r="C448" s="236"/>
      <c r="E448" s="246"/>
      <c r="F448" s="246"/>
      <c r="G448" s="246"/>
      <c r="H448" s="247"/>
      <c r="I448" s="247"/>
      <c r="J448" s="247"/>
      <c r="K448" s="247"/>
      <c r="L448" s="247"/>
      <c r="M448" s="247"/>
      <c r="N448" s="247"/>
      <c r="O448" s="247"/>
      <c r="P448" s="247"/>
      <c r="Q448" s="247"/>
      <c r="R448" s="247"/>
      <c r="S448" s="247"/>
      <c r="T448" s="245"/>
      <c r="U448" s="245"/>
    </row>
    <row r="449" spans="1:21" s="67" customFormat="1" ht="15" customHeight="1">
      <c r="A449" s="34"/>
      <c r="B449" s="170"/>
      <c r="C449" s="236"/>
      <c r="E449" s="246"/>
      <c r="F449" s="246"/>
      <c r="G449" s="246"/>
      <c r="H449" s="247"/>
      <c r="I449" s="247"/>
      <c r="J449" s="247"/>
      <c r="K449" s="247"/>
      <c r="L449" s="247"/>
      <c r="M449" s="247"/>
      <c r="N449" s="247"/>
      <c r="O449" s="247"/>
      <c r="P449" s="247"/>
      <c r="Q449" s="247"/>
      <c r="R449" s="247"/>
      <c r="S449" s="247"/>
      <c r="T449" s="245"/>
      <c r="U449" s="245"/>
    </row>
    <row r="450" spans="1:21" s="67" customFormat="1" ht="15" customHeight="1">
      <c r="A450" s="34"/>
      <c r="B450" s="170"/>
      <c r="C450" s="236"/>
      <c r="E450" s="246"/>
      <c r="F450" s="246"/>
      <c r="G450" s="246"/>
      <c r="H450" s="247"/>
      <c r="I450" s="247"/>
      <c r="J450" s="247"/>
      <c r="K450" s="247"/>
      <c r="L450" s="247"/>
      <c r="M450" s="247"/>
      <c r="N450" s="247"/>
      <c r="O450" s="247"/>
      <c r="P450" s="247"/>
      <c r="Q450" s="247"/>
      <c r="R450" s="247"/>
      <c r="S450" s="247"/>
      <c r="T450" s="245"/>
      <c r="U450" s="245"/>
    </row>
    <row r="451" spans="1:21" s="67" customFormat="1" ht="15" customHeight="1">
      <c r="A451" s="34"/>
      <c r="B451" s="170"/>
      <c r="C451" s="236"/>
      <c r="E451" s="246"/>
      <c r="F451" s="246"/>
      <c r="G451" s="246"/>
      <c r="H451" s="247"/>
      <c r="I451" s="247"/>
      <c r="J451" s="247"/>
      <c r="K451" s="247"/>
      <c r="L451" s="247"/>
      <c r="M451" s="247"/>
      <c r="N451" s="247"/>
      <c r="O451" s="247"/>
      <c r="P451" s="247"/>
      <c r="Q451" s="247"/>
      <c r="R451" s="247"/>
      <c r="S451" s="247"/>
      <c r="T451" s="245"/>
      <c r="U451" s="245"/>
    </row>
    <row r="452" spans="1:21" s="67" customFormat="1" ht="15" customHeight="1">
      <c r="A452" s="34"/>
      <c r="B452" s="170"/>
      <c r="C452" s="236"/>
      <c r="E452" s="246"/>
      <c r="F452" s="246"/>
      <c r="G452" s="246"/>
      <c r="H452" s="247"/>
      <c r="I452" s="247"/>
      <c r="J452" s="247"/>
      <c r="K452" s="247"/>
      <c r="L452" s="247"/>
      <c r="M452" s="247"/>
      <c r="N452" s="247"/>
      <c r="O452" s="247"/>
      <c r="P452" s="247"/>
      <c r="Q452" s="247"/>
      <c r="R452" s="247"/>
      <c r="S452" s="247"/>
      <c r="T452" s="245"/>
      <c r="U452" s="245"/>
    </row>
    <row r="453" spans="1:21" s="67" customFormat="1" ht="15" customHeight="1">
      <c r="A453" s="34"/>
      <c r="B453" s="236" t="s">
        <v>541</v>
      </c>
      <c r="C453" s="35"/>
      <c r="E453" s="246"/>
      <c r="F453" s="246"/>
      <c r="G453" s="246"/>
      <c r="H453" s="247"/>
      <c r="I453" s="247"/>
      <c r="J453" s="247"/>
      <c r="K453" s="247"/>
      <c r="L453" s="247"/>
      <c r="M453" s="247"/>
      <c r="N453" s="247"/>
      <c r="O453" s="247"/>
      <c r="P453" s="247"/>
      <c r="Q453" s="247"/>
      <c r="R453" s="247"/>
      <c r="S453" s="247"/>
      <c r="T453" s="245"/>
      <c r="U453" s="245"/>
    </row>
    <row r="454" spans="1:21" s="67" customFormat="1" ht="15" customHeight="1">
      <c r="A454" s="34"/>
      <c r="B454" s="237" t="s">
        <v>86</v>
      </c>
      <c r="C454" s="35"/>
      <c r="E454" s="246"/>
      <c r="F454" s="246"/>
      <c r="G454" s="246"/>
      <c r="H454" s="247"/>
      <c r="I454" s="247"/>
      <c r="J454" s="247"/>
      <c r="K454" s="247"/>
      <c r="L454" s="247"/>
      <c r="M454" s="247"/>
      <c r="N454" s="247"/>
      <c r="O454" s="247"/>
      <c r="P454" s="247"/>
      <c r="Q454" s="247"/>
      <c r="R454" s="247"/>
      <c r="S454" s="247"/>
      <c r="T454" s="245"/>
      <c r="U454" s="245"/>
    </row>
    <row r="455" spans="1:21" s="67" customFormat="1" ht="15" customHeight="1">
      <c r="A455" s="34"/>
      <c r="B455" s="237" t="s">
        <v>69</v>
      </c>
      <c r="D455" s="35"/>
      <c r="E455" s="246"/>
      <c r="F455" s="246"/>
      <c r="G455" s="246"/>
      <c r="H455" s="247"/>
      <c r="I455" s="247"/>
      <c r="J455" s="247"/>
      <c r="K455" s="247"/>
      <c r="L455" s="247"/>
      <c r="M455" s="247"/>
      <c r="N455" s="247"/>
      <c r="O455" s="247"/>
      <c r="P455" s="247"/>
      <c r="Q455" s="247"/>
      <c r="R455" s="247"/>
      <c r="S455" s="247"/>
      <c r="T455" s="245"/>
      <c r="U455" s="245"/>
    </row>
    <row r="456" spans="1:21" s="67" customFormat="1" ht="15" customHeight="1">
      <c r="A456" s="34"/>
      <c r="B456" s="165" t="s">
        <v>581</v>
      </c>
      <c r="D456" s="35"/>
      <c r="E456" s="246"/>
      <c r="F456" s="246"/>
      <c r="G456" s="246"/>
      <c r="H456" s="247"/>
      <c r="I456" s="247"/>
      <c r="J456" s="247"/>
      <c r="K456" s="247"/>
      <c r="L456" s="247"/>
      <c r="M456" s="247"/>
      <c r="N456" s="247"/>
      <c r="O456" s="247"/>
      <c r="P456" s="247"/>
      <c r="Q456" s="247"/>
      <c r="R456" s="247"/>
      <c r="S456" s="247"/>
      <c r="T456" s="245"/>
      <c r="U456" s="245"/>
    </row>
    <row r="457" spans="1:21" s="67" customFormat="1" ht="15" customHeight="1">
      <c r="A457" s="34"/>
      <c r="B457" s="165" t="s">
        <v>583</v>
      </c>
      <c r="D457" s="35"/>
      <c r="E457" s="246"/>
      <c r="F457" s="246"/>
      <c r="G457" s="246"/>
      <c r="H457" s="247"/>
      <c r="I457" s="247"/>
      <c r="J457" s="247"/>
      <c r="K457" s="247"/>
      <c r="L457" s="247"/>
      <c r="M457" s="247"/>
      <c r="N457" s="247"/>
      <c r="O457" s="247"/>
      <c r="P457" s="247"/>
      <c r="Q457" s="247"/>
      <c r="R457" s="247"/>
      <c r="S457" s="247"/>
      <c r="T457" s="245"/>
      <c r="U457" s="245"/>
    </row>
    <row r="458" spans="1:21" s="67" customFormat="1" ht="15" customHeight="1">
      <c r="A458" s="34"/>
      <c r="B458" s="165" t="s">
        <v>582</v>
      </c>
      <c r="D458" s="35"/>
      <c r="E458" s="246"/>
      <c r="F458" s="246"/>
      <c r="G458" s="246"/>
      <c r="H458" s="247"/>
      <c r="I458" s="247"/>
      <c r="J458" s="247"/>
      <c r="K458" s="247"/>
      <c r="L458" s="247"/>
      <c r="M458" s="247"/>
      <c r="N458" s="247"/>
      <c r="O458" s="247"/>
      <c r="P458" s="247"/>
      <c r="Q458" s="247"/>
      <c r="R458" s="247"/>
      <c r="S458" s="247"/>
      <c r="T458" s="245"/>
      <c r="U458" s="245"/>
    </row>
    <row r="459" spans="1:21" s="67" customFormat="1" ht="15" customHeight="1">
      <c r="A459" s="34"/>
      <c r="B459" s="238" t="s">
        <v>580</v>
      </c>
      <c r="D459" s="35"/>
      <c r="E459" s="246"/>
      <c r="F459" s="246"/>
      <c r="G459" s="246"/>
      <c r="H459" s="247"/>
      <c r="I459" s="247"/>
      <c r="J459" s="247"/>
      <c r="K459" s="247"/>
      <c r="L459" s="247"/>
      <c r="M459" s="247"/>
      <c r="N459" s="247"/>
      <c r="O459" s="247"/>
      <c r="P459" s="247"/>
      <c r="Q459" s="247"/>
      <c r="R459" s="247"/>
      <c r="S459" s="247"/>
      <c r="T459" s="245"/>
      <c r="U459" s="245"/>
    </row>
    <row r="460" spans="1:21" s="67" customFormat="1" ht="15" customHeight="1">
      <c r="A460" s="34"/>
      <c r="B460" s="239" t="s">
        <v>584</v>
      </c>
      <c r="D460" s="35"/>
      <c r="E460" s="246"/>
      <c r="F460" s="246"/>
      <c r="G460" s="246"/>
      <c r="H460" s="247"/>
      <c r="I460" s="247"/>
      <c r="J460" s="247"/>
      <c r="K460" s="247"/>
      <c r="L460" s="247"/>
      <c r="M460" s="247"/>
      <c r="N460" s="247"/>
      <c r="O460" s="247"/>
      <c r="P460" s="247"/>
      <c r="Q460" s="247"/>
      <c r="R460" s="247"/>
      <c r="S460" s="247"/>
      <c r="T460" s="245"/>
      <c r="U460" s="245"/>
    </row>
    <row r="461" spans="1:21" s="67" customFormat="1" ht="15" customHeight="1">
      <c r="A461" s="34"/>
      <c r="B461" s="166" t="s">
        <v>585</v>
      </c>
      <c r="D461" s="35"/>
      <c r="E461" s="246"/>
      <c r="F461" s="246"/>
      <c r="G461" s="246"/>
      <c r="H461" s="247"/>
      <c r="I461" s="247"/>
      <c r="J461" s="247"/>
      <c r="K461" s="247"/>
      <c r="L461" s="247"/>
      <c r="M461" s="247"/>
      <c r="N461" s="247"/>
      <c r="O461" s="247"/>
      <c r="P461" s="247"/>
      <c r="Q461" s="247"/>
      <c r="R461" s="247"/>
      <c r="S461" s="247"/>
      <c r="T461" s="245"/>
      <c r="U461" s="245"/>
    </row>
    <row r="462" spans="1:21" s="67" customFormat="1" ht="15" customHeight="1">
      <c r="A462" s="34"/>
      <c r="B462" s="166" t="s">
        <v>587</v>
      </c>
      <c r="D462" s="35"/>
      <c r="E462" s="246"/>
      <c r="F462" s="246"/>
      <c r="G462" s="246"/>
      <c r="H462" s="247"/>
      <c r="I462" s="247"/>
      <c r="J462" s="247"/>
      <c r="K462" s="247"/>
      <c r="L462" s="247"/>
      <c r="M462" s="247"/>
      <c r="N462" s="247"/>
      <c r="O462" s="247"/>
      <c r="P462" s="247"/>
      <c r="Q462" s="247"/>
      <c r="R462" s="247"/>
      <c r="S462" s="247"/>
      <c r="T462" s="245"/>
      <c r="U462" s="245"/>
    </row>
    <row r="463" spans="1:21" s="67" customFormat="1" ht="15" customHeight="1">
      <c r="A463" s="34"/>
      <c r="B463" s="166" t="s">
        <v>586</v>
      </c>
      <c r="D463" s="35"/>
      <c r="E463" s="246"/>
      <c r="F463" s="246"/>
      <c r="G463" s="246"/>
      <c r="H463" s="247"/>
      <c r="I463" s="247"/>
      <c r="J463" s="247"/>
      <c r="K463" s="247"/>
      <c r="L463" s="247"/>
      <c r="M463" s="247"/>
      <c r="N463" s="247"/>
      <c r="O463" s="247"/>
      <c r="P463" s="247"/>
      <c r="Q463" s="247"/>
      <c r="R463" s="247"/>
      <c r="S463" s="247"/>
      <c r="T463" s="245"/>
      <c r="U463" s="245"/>
    </row>
    <row r="464" spans="1:21" s="67" customFormat="1" ht="15" customHeight="1">
      <c r="A464" s="34"/>
      <c r="B464" s="166" t="s">
        <v>765</v>
      </c>
      <c r="D464" s="35"/>
      <c r="E464" s="246"/>
      <c r="F464" s="246"/>
      <c r="G464" s="246"/>
      <c r="H464" s="247"/>
      <c r="I464" s="247"/>
      <c r="J464" s="247"/>
      <c r="K464" s="247"/>
      <c r="L464" s="247"/>
      <c r="M464" s="247"/>
      <c r="N464" s="247"/>
      <c r="O464" s="247"/>
      <c r="P464" s="247"/>
      <c r="Q464" s="247"/>
      <c r="R464" s="247"/>
      <c r="S464" s="247"/>
      <c r="T464" s="245"/>
      <c r="U464" s="245"/>
    </row>
    <row r="465" spans="1:21" s="67" customFormat="1" ht="15" customHeight="1">
      <c r="A465" s="34"/>
      <c r="B465" s="166" t="s">
        <v>589</v>
      </c>
      <c r="D465" s="35"/>
      <c r="E465" s="246"/>
      <c r="F465" s="246"/>
      <c r="G465" s="246"/>
      <c r="H465" s="247"/>
      <c r="I465" s="247"/>
      <c r="J465" s="247"/>
      <c r="K465" s="247"/>
      <c r="L465" s="247"/>
      <c r="M465" s="247"/>
      <c r="N465" s="247"/>
      <c r="O465" s="247"/>
      <c r="P465" s="247"/>
      <c r="Q465" s="247"/>
      <c r="R465" s="247"/>
      <c r="S465" s="247"/>
      <c r="T465" s="245"/>
      <c r="U465" s="245"/>
    </row>
    <row r="466" spans="1:21" s="67" customFormat="1" ht="15" customHeight="1">
      <c r="A466" s="34"/>
      <c r="B466" s="166" t="s">
        <v>588</v>
      </c>
      <c r="D466" s="35"/>
      <c r="E466" s="246"/>
      <c r="F466" s="246"/>
      <c r="G466" s="246"/>
      <c r="H466" s="247"/>
      <c r="I466" s="247"/>
      <c r="J466" s="247"/>
      <c r="K466" s="247"/>
      <c r="L466" s="247"/>
      <c r="M466" s="247"/>
      <c r="N466" s="247"/>
      <c r="O466" s="247"/>
      <c r="P466" s="247"/>
      <c r="Q466" s="247"/>
      <c r="R466" s="247"/>
      <c r="S466" s="247"/>
      <c r="T466" s="245"/>
      <c r="U466" s="245"/>
    </row>
    <row r="467" spans="1:21" s="67" customFormat="1" ht="15" customHeight="1">
      <c r="A467" s="34"/>
      <c r="B467" s="240" t="s">
        <v>590</v>
      </c>
      <c r="D467" s="246"/>
      <c r="E467" s="246"/>
      <c r="F467" s="246"/>
      <c r="G467" s="246"/>
      <c r="H467" s="247"/>
      <c r="I467" s="247"/>
      <c r="J467" s="247"/>
      <c r="K467" s="247"/>
      <c r="L467" s="247"/>
      <c r="M467" s="247"/>
      <c r="N467" s="247"/>
      <c r="O467" s="247"/>
      <c r="P467" s="247"/>
      <c r="Q467" s="247"/>
      <c r="R467" s="247"/>
      <c r="S467" s="247"/>
      <c r="T467" s="245"/>
      <c r="U467" s="245"/>
    </row>
    <row r="468" spans="1:21" ht="15" customHeight="1">
      <c r="B468" s="240" t="s">
        <v>591</v>
      </c>
      <c r="C468" s="243"/>
      <c r="D468" s="243"/>
      <c r="E468" s="243"/>
      <c r="F468" s="243"/>
      <c r="G468" s="243"/>
      <c r="H468" s="243"/>
      <c r="I468" s="243"/>
      <c r="J468" s="243"/>
      <c r="K468" s="243"/>
      <c r="L468" s="243"/>
      <c r="M468" s="243"/>
      <c r="N468" s="243"/>
      <c r="O468" s="243"/>
      <c r="P468" s="243"/>
      <c r="Q468" s="243"/>
      <c r="R468" s="243"/>
      <c r="S468" s="243"/>
      <c r="T468" s="243"/>
      <c r="U468" s="243"/>
    </row>
    <row r="469" spans="1:21" ht="15" customHeight="1">
      <c r="B469" s="240" t="s">
        <v>593</v>
      </c>
      <c r="C469" s="10"/>
      <c r="D469" s="243"/>
      <c r="E469" s="243"/>
      <c r="F469" s="243"/>
      <c r="G469" s="243"/>
      <c r="H469" s="243"/>
      <c r="I469" s="243"/>
      <c r="J469" s="243"/>
      <c r="K469" s="243"/>
      <c r="L469" s="243"/>
      <c r="M469" s="243"/>
      <c r="N469" s="243"/>
      <c r="O469" s="243"/>
      <c r="P469" s="243"/>
      <c r="Q469" s="243"/>
      <c r="R469" s="243"/>
      <c r="S469" s="243"/>
      <c r="T469" s="243"/>
      <c r="U469" s="243"/>
    </row>
    <row r="470" spans="1:21" ht="15" customHeight="1">
      <c r="B470" s="240" t="s">
        <v>592</v>
      </c>
      <c r="C470" s="10"/>
      <c r="D470" s="243"/>
      <c r="E470" s="243"/>
      <c r="F470" s="243"/>
      <c r="G470" s="243"/>
      <c r="H470" s="243"/>
      <c r="I470" s="243"/>
      <c r="J470" s="243"/>
      <c r="K470" s="243"/>
      <c r="L470" s="243"/>
      <c r="M470" s="243"/>
      <c r="N470" s="243"/>
      <c r="O470" s="243"/>
      <c r="P470" s="243"/>
      <c r="Q470" s="243"/>
      <c r="R470" s="243"/>
      <c r="S470" s="243"/>
      <c r="T470" s="243"/>
      <c r="U470" s="243"/>
    </row>
    <row r="471" spans="1:21" ht="15" customHeight="1">
      <c r="B471" s="240" t="s">
        <v>337</v>
      </c>
      <c r="C471" s="241"/>
      <c r="D471" s="243"/>
      <c r="E471" s="243"/>
      <c r="F471" s="243"/>
      <c r="G471" s="243"/>
      <c r="H471" s="243"/>
      <c r="I471" s="243"/>
      <c r="J471" s="243"/>
      <c r="K471" s="243"/>
      <c r="L471" s="243"/>
      <c r="M471" s="243"/>
      <c r="N471" s="243"/>
      <c r="O471" s="243"/>
      <c r="P471" s="243"/>
      <c r="Q471" s="243"/>
      <c r="R471" s="243"/>
      <c r="S471" s="243"/>
      <c r="T471" s="243"/>
      <c r="U471" s="243"/>
    </row>
    <row r="472" spans="1:21" ht="15" customHeight="1">
      <c r="B472" s="240" t="s">
        <v>338</v>
      </c>
      <c r="C472" s="241"/>
      <c r="D472" s="243"/>
      <c r="E472" s="243"/>
      <c r="F472" s="243"/>
      <c r="G472" s="243"/>
      <c r="H472" s="243"/>
      <c r="I472" s="243"/>
      <c r="J472" s="243"/>
      <c r="K472" s="243"/>
      <c r="L472" s="243"/>
      <c r="M472" s="243"/>
      <c r="N472" s="243"/>
      <c r="O472" s="243"/>
      <c r="P472" s="243"/>
      <c r="Q472" s="243"/>
      <c r="R472" s="243"/>
      <c r="S472" s="243"/>
      <c r="T472" s="243"/>
      <c r="U472" s="243"/>
    </row>
    <row r="473" spans="1:21" ht="15" customHeight="1">
      <c r="B473" s="237" t="s">
        <v>1381</v>
      </c>
      <c r="C473" s="241"/>
      <c r="D473" s="243"/>
      <c r="E473" s="243"/>
      <c r="F473" s="243"/>
      <c r="G473" s="243"/>
      <c r="H473" s="243"/>
      <c r="I473" s="243"/>
      <c r="J473" s="243"/>
      <c r="K473" s="243"/>
      <c r="L473" s="243"/>
      <c r="M473" s="243"/>
      <c r="N473" s="243"/>
      <c r="O473" s="243"/>
      <c r="P473" s="243"/>
      <c r="Q473" s="243"/>
      <c r="R473" s="243"/>
      <c r="S473" s="243"/>
      <c r="T473" s="243"/>
      <c r="U473" s="243"/>
    </row>
    <row r="474" spans="1:21" ht="15" customHeight="1">
      <c r="B474" s="237" t="s">
        <v>1307</v>
      </c>
      <c r="C474" s="14"/>
      <c r="D474" s="12"/>
      <c r="E474" s="12"/>
      <c r="F474" s="12"/>
      <c r="G474" s="12"/>
      <c r="H474" s="12"/>
      <c r="I474" s="12"/>
      <c r="J474" s="12"/>
      <c r="K474" s="12"/>
      <c r="L474" s="12"/>
      <c r="M474" s="12"/>
      <c r="N474" s="12"/>
      <c r="O474" s="12"/>
      <c r="P474" s="12"/>
      <c r="Q474" s="12"/>
      <c r="R474" s="12"/>
      <c r="S474" s="12"/>
      <c r="T474" s="12"/>
      <c r="U474" s="12"/>
    </row>
    <row r="475" spans="1:21" ht="15" customHeight="1">
      <c r="B475" s="237" t="s">
        <v>1308</v>
      </c>
      <c r="C475" s="14"/>
      <c r="D475" s="12"/>
      <c r="E475" s="12"/>
      <c r="F475" s="12"/>
      <c r="G475" s="12"/>
      <c r="H475" s="12"/>
      <c r="I475" s="12"/>
      <c r="J475" s="12"/>
      <c r="K475" s="12"/>
      <c r="L475" s="12"/>
      <c r="M475" s="12"/>
      <c r="N475" s="12"/>
      <c r="O475" s="12"/>
      <c r="P475" s="12"/>
      <c r="Q475" s="12"/>
      <c r="R475" s="12"/>
      <c r="S475" s="12"/>
      <c r="T475" s="12"/>
      <c r="U475" s="12"/>
    </row>
    <row r="476" spans="1:21" ht="15" customHeight="1">
      <c r="B476" s="1126" t="s">
        <v>554</v>
      </c>
      <c r="C476" s="1126"/>
      <c r="D476" s="1126"/>
      <c r="E476" s="1126"/>
      <c r="F476" s="1126"/>
      <c r="G476" s="1126"/>
      <c r="H476" s="1126"/>
      <c r="I476" s="1126"/>
      <c r="J476" s="1126"/>
      <c r="K476" s="1126"/>
      <c r="L476" s="1126"/>
      <c r="M476" s="1126"/>
      <c r="N476" s="1126"/>
      <c r="O476" s="1126"/>
      <c r="P476" s="1126"/>
      <c r="Q476" s="1126"/>
      <c r="R476" s="1126"/>
      <c r="S476" s="1126"/>
      <c r="T476" s="1126"/>
      <c r="U476" s="1126"/>
    </row>
    <row r="477" spans="1:21" ht="15" customHeight="1">
      <c r="B477" s="141"/>
      <c r="C477" s="11"/>
      <c r="D477" s="11"/>
      <c r="E477" s="1142"/>
      <c r="F477" s="1143"/>
      <c r="G477" s="1143"/>
      <c r="H477" s="1143"/>
      <c r="I477" s="1143"/>
      <c r="J477" s="1143"/>
      <c r="K477" s="1143"/>
      <c r="L477" s="1143"/>
      <c r="M477" s="1143"/>
      <c r="N477" s="1143"/>
      <c r="O477" s="1143"/>
      <c r="P477" s="1143"/>
      <c r="R477" s="328"/>
      <c r="S477" s="328"/>
      <c r="T477" s="328"/>
      <c r="U477" s="329" t="str">
        <f ca="1">OP!$C$54&amp;" 試算日："&amp;TEXT(OP!$C$3,"EEMMDD")</f>
        <v>V1.0-1060217 試算日：1060602</v>
      </c>
    </row>
    <row r="478" spans="1:21"/>
    <row r="479" spans="1:21" ht="25.5">
      <c r="A479" s="6">
        <v>1</v>
      </c>
      <c r="B479" s="1137" t="str">
        <f>VLOOKUP(A479,PI,2,0)</f>
        <v>富邦人壽保險股份有限公司履行個人資料保護法告知說明書</v>
      </c>
      <c r="C479" s="1137"/>
      <c r="D479" s="1137"/>
      <c r="E479" s="1137"/>
      <c r="F479" s="1137"/>
      <c r="G479" s="1137"/>
      <c r="H479" s="1137"/>
      <c r="I479" s="1137"/>
      <c r="J479" s="1137"/>
      <c r="K479" s="1137"/>
      <c r="L479" s="1137"/>
      <c r="M479" s="1137"/>
      <c r="N479" s="1137"/>
      <c r="O479" s="1137"/>
      <c r="P479" s="1137"/>
      <c r="Q479" s="1137"/>
      <c r="R479" s="1137"/>
      <c r="S479" s="1137"/>
      <c r="T479" s="1137"/>
      <c r="U479" s="1137"/>
    </row>
    <row r="480" spans="1:21" ht="16.5">
      <c r="A480" s="6">
        <v>2</v>
      </c>
      <c r="B480" s="326" t="str">
        <f>IF(ISERROR(VLOOKUP(A480,PI,2,0)),"",VLOOKUP(A480,PI,2,0))</f>
        <v xml:space="preserve"> </v>
      </c>
    </row>
    <row r="481" spans="1:3" ht="16.5">
      <c r="A481" s="6">
        <v>3</v>
      </c>
      <c r="C481" s="326" t="str">
        <f t="shared" ref="C481:C521" si="84">IF(ISERROR(VLOOKUP(A481,PI,2,0)),"",VLOOKUP(A481,PI,2,0))</f>
        <v>富邦人壽保險股份有限公司（下稱本公司）依據個人資料保護法（以下稱個資法）</v>
      </c>
    </row>
    <row r="482" spans="1:3" ht="16.5">
      <c r="A482" s="6">
        <v>4</v>
      </c>
      <c r="C482" s="326" t="str">
        <f t="shared" si="84"/>
        <v>規定，向 台端告知下列事項，請 台端詳閱：</v>
      </c>
    </row>
    <row r="483" spans="1:3" ht="16.5">
      <c r="A483" s="6">
        <v>5</v>
      </c>
      <c r="C483" s="326" t="str">
        <f t="shared" si="84"/>
        <v>一、蒐集之目的：</v>
      </c>
    </row>
    <row r="484" spans="1:3" ht="16.5">
      <c r="A484" s="6">
        <v>6</v>
      </c>
      <c r="C484" s="326" t="str">
        <f t="shared" si="84"/>
        <v>（一）人身保險（００一）</v>
      </c>
    </row>
    <row r="485" spans="1:3" ht="16.5">
      <c r="A485" s="6">
        <v>7</v>
      </c>
      <c r="C485" s="326" t="str">
        <f t="shared" si="84"/>
        <v>（二）其他經營合於營業登記項目或組織章程所定之業務（一八一）</v>
      </c>
    </row>
    <row r="486" spans="1:3" ht="16.5">
      <c r="A486" s="6">
        <v>8</v>
      </c>
      <c r="C486" s="326" t="str">
        <f t="shared" si="84"/>
        <v>二、蒐集之個人資料類別：</v>
      </c>
    </row>
    <row r="487" spans="1:3" ht="16.5">
      <c r="A487" s="6">
        <v>9</v>
      </c>
      <c r="C487" s="326" t="str">
        <f t="shared" si="84"/>
        <v>（一）姓名。</v>
      </c>
    </row>
    <row r="488" spans="1:3" ht="16.5">
      <c r="A488" s="6">
        <v>10</v>
      </c>
      <c r="C488" s="326" t="str">
        <f t="shared" si="84"/>
        <v>（二）身分證統一編號。</v>
      </c>
    </row>
    <row r="489" spans="1:3" ht="16.5">
      <c r="A489" s="6">
        <v>11</v>
      </c>
      <c r="C489" s="326" t="str">
        <f t="shared" si="84"/>
        <v>（三）地址。</v>
      </c>
    </row>
    <row r="490" spans="1:3" ht="16.5">
      <c r="A490" s="6">
        <v>12</v>
      </c>
      <c r="C490" s="326" t="str">
        <f t="shared" si="84"/>
        <v>（四）病歷、醫療、健康檢查 。</v>
      </c>
    </row>
    <row r="491" spans="1:3" ht="16.5">
      <c r="A491" s="6">
        <v>13</v>
      </c>
      <c r="C491" s="326" t="str">
        <f t="shared" si="84"/>
        <v>（五）要保書、要保文件等其他基於保險契約所提供之個人資料。</v>
      </c>
    </row>
    <row r="492" spans="1:3" ht="16.5">
      <c r="A492" s="6">
        <v>14</v>
      </c>
      <c r="C492" s="326" t="str">
        <f t="shared" si="84"/>
        <v>三、個人資料利用之期間、地區、對象、方式：</v>
      </c>
    </row>
    <row r="493" spans="1:3" ht="16.5">
      <c r="A493" s="6">
        <v>15</v>
      </c>
      <c r="C493" s="326" t="str">
        <f t="shared" si="84"/>
        <v>（一）期間：因執行業務所必須及依法令規定要求之期間。</v>
      </c>
    </row>
    <row r="494" spans="1:3" ht="16.5">
      <c r="A494" s="6">
        <v>16</v>
      </c>
      <c r="C494" s="326" t="str">
        <f t="shared" si="84"/>
        <v>（二）對象：本公司、本公司的委外服務或委外業務之廠商、中華民國人壽保險</v>
      </c>
    </row>
    <row r="495" spans="1:3" ht="16.5">
      <c r="A495" s="6">
        <v>17</v>
      </c>
      <c r="C495" s="326" t="str">
        <f t="shared" si="84"/>
        <v xml:space="preserve">      商業同業公會、財團法人保險事業發展中心、財團法人金融消費評議中心、</v>
      </c>
    </row>
    <row r="496" spans="1:3" ht="16.5">
      <c r="A496" s="6">
        <v>18</v>
      </c>
      <c r="C496" s="326" t="str">
        <f t="shared" si="84"/>
        <v xml:space="preserve">      與本公司有再保業務往來之公司、本公司所屬金控公司、本公司之共同行</v>
      </c>
    </row>
    <row r="497" spans="1:3" ht="16.5">
      <c r="A497" s="6">
        <v>19</v>
      </c>
      <c r="C497" s="326" t="str">
        <f t="shared" si="84"/>
        <v xml:space="preserve">      銷對象、依法有調查權機關或金融監理機關。</v>
      </c>
    </row>
    <row r="498" spans="1:3" ht="16.5">
      <c r="A498" s="6">
        <v>20</v>
      </c>
      <c r="C498" s="326" t="str">
        <f t="shared" si="84"/>
        <v>（三）地區：上述對象所在之地區。</v>
      </c>
    </row>
    <row r="499" spans="1:3" ht="16.5">
      <c r="A499" s="6">
        <v>21</v>
      </c>
      <c r="C499" s="326" t="str">
        <f t="shared" si="84"/>
        <v>（四）方式：合於法令規定之利用方式。</v>
      </c>
    </row>
    <row r="500" spans="1:3" ht="16.5">
      <c r="A500" s="6">
        <v>22</v>
      </c>
      <c r="C500" s="326" t="str">
        <f t="shared" si="84"/>
        <v>四、依據個資法第三條規定，台端就本公司保有 台端之個人資料得行使之權利及</v>
      </c>
    </row>
    <row r="501" spans="1:3" ht="16.5">
      <c r="A501" s="6">
        <v>23</v>
      </c>
      <c r="C501" s="326" t="str">
        <f t="shared" si="84"/>
        <v xml:space="preserve">    方式：</v>
      </c>
    </row>
    <row r="502" spans="1:3" ht="16.5">
      <c r="A502" s="6">
        <v>24</v>
      </c>
      <c r="C502" s="326" t="str">
        <f t="shared" si="84"/>
        <v>（一）得向本公司行使之權利：</v>
      </c>
    </row>
    <row r="503" spans="1:3" ht="16.5">
      <c r="A503" s="6">
        <v>25</v>
      </c>
      <c r="C503" s="326" t="str">
        <f t="shared" si="84"/>
        <v xml:space="preserve">      1.向本公司查詢、請求閱覽或請求製給複製本。</v>
      </c>
    </row>
    <row r="504" spans="1:3" ht="16.5">
      <c r="A504" s="6">
        <v>26</v>
      </c>
      <c r="C504" s="326" t="str">
        <f t="shared" si="84"/>
        <v xml:space="preserve">      2.向本公司請求補充或更正。</v>
      </c>
    </row>
    <row r="505" spans="1:3" ht="16.5">
      <c r="A505" s="6">
        <v>27</v>
      </c>
      <c r="C505" s="326" t="str">
        <f t="shared" si="84"/>
        <v xml:space="preserve">      3.向本公司請求停止蒐集、處理或利用及請求刪除。</v>
      </c>
    </row>
    <row r="506" spans="1:3" ht="16.5">
      <c r="A506" s="6">
        <v>28</v>
      </c>
      <c r="C506" s="326" t="str">
        <f t="shared" si="84"/>
        <v>（二）行使權利之方式：</v>
      </c>
    </row>
    <row r="507" spans="1:3" ht="16.5">
      <c r="A507" s="6">
        <v>29</v>
      </c>
      <c r="C507" s="326" t="str">
        <f t="shared" si="84"/>
        <v xml:space="preserve">      您可以透過書面（包含電子郵件、傳真、電子文件）或致電本公司客戶服</v>
      </c>
    </row>
    <row r="508" spans="1:3" ht="16.5">
      <c r="A508" s="6">
        <v>30</v>
      </c>
      <c r="C508" s="326" t="str">
        <f t="shared" si="84"/>
        <v xml:space="preserve">      務專線（電話：0809-000-550）之方式行使權利。</v>
      </c>
    </row>
    <row r="509" spans="1:3" ht="16.5">
      <c r="A509" s="6">
        <v>31</v>
      </c>
      <c r="C509" s="326" t="str">
        <f t="shared" si="84"/>
        <v>五、台端不提供個人資料所致權益之影響：</v>
      </c>
    </row>
    <row r="510" spans="1:3" ht="16.5">
      <c r="A510" s="6">
        <v>32</v>
      </c>
      <c r="C510" s="326" t="str">
        <f t="shared" si="84"/>
        <v xml:space="preserve">    台端若未能提供相關個人資料時，本公司將可能延後或無法進行必要之審核</v>
      </c>
    </row>
    <row r="511" spans="1:3" ht="16.5">
      <c r="A511" s="6">
        <v>33</v>
      </c>
      <c r="C511" s="326" t="str">
        <f t="shared" si="84"/>
        <v xml:space="preserve">    及處理作業，因此可能婉謝承保、遲延或無法承保。</v>
      </c>
    </row>
    <row r="512" spans="1:3" ht="16.5">
      <c r="A512" s="6">
        <v>34</v>
      </c>
      <c r="C512" s="326" t="str">
        <f t="shared" si="84"/>
        <v/>
      </c>
    </row>
    <row r="513" spans="1:21" ht="16.5">
      <c r="A513" s="6">
        <v>35</v>
      </c>
      <c r="C513" s="326" t="str">
        <f t="shared" si="84"/>
        <v/>
      </c>
    </row>
    <row r="514" spans="1:21" ht="16.5">
      <c r="A514" s="6">
        <v>36</v>
      </c>
      <c r="C514" s="326" t="str">
        <f t="shared" si="84"/>
        <v/>
      </c>
    </row>
    <row r="515" spans="1:21" ht="16.5">
      <c r="A515" s="6">
        <v>37</v>
      </c>
      <c r="C515" s="326" t="str">
        <f t="shared" si="84"/>
        <v/>
      </c>
    </row>
    <row r="516" spans="1:21" ht="16.5">
      <c r="A516" s="6">
        <v>38</v>
      </c>
      <c r="C516" s="326" t="str">
        <f t="shared" si="84"/>
        <v/>
      </c>
    </row>
    <row r="517" spans="1:21" ht="16.5">
      <c r="A517" s="6">
        <v>39</v>
      </c>
      <c r="C517" s="326" t="str">
        <f t="shared" si="84"/>
        <v/>
      </c>
    </row>
    <row r="518" spans="1:21" ht="16.5">
      <c r="A518" s="6">
        <v>40</v>
      </c>
      <c r="C518" s="326" t="str">
        <f t="shared" si="84"/>
        <v/>
      </c>
    </row>
    <row r="519" spans="1:21" ht="16.5">
      <c r="A519" s="6">
        <v>41</v>
      </c>
      <c r="C519" s="326" t="str">
        <f t="shared" si="84"/>
        <v/>
      </c>
    </row>
    <row r="520" spans="1:21" ht="16.5">
      <c r="A520" s="6">
        <v>42</v>
      </c>
      <c r="C520" s="326" t="str">
        <f t="shared" si="84"/>
        <v/>
      </c>
    </row>
    <row r="521" spans="1:21" ht="16.5">
      <c r="A521" s="6">
        <v>42</v>
      </c>
      <c r="C521" s="326" t="str">
        <f t="shared" si="84"/>
        <v/>
      </c>
    </row>
    <row r="522" spans="1:21">
      <c r="A522" s="6">
        <v>43</v>
      </c>
    </row>
    <row r="523" spans="1:21">
      <c r="A523" s="6">
        <v>44</v>
      </c>
    </row>
    <row r="524" spans="1:21">
      <c r="A524" s="6">
        <v>45</v>
      </c>
      <c r="B524" s="544"/>
      <c r="C524" s="545"/>
      <c r="D524" s="545"/>
      <c r="E524" s="545"/>
      <c r="F524" s="545"/>
      <c r="G524" s="545"/>
      <c r="H524" s="545"/>
      <c r="I524" s="545"/>
      <c r="J524" s="545"/>
      <c r="K524" s="546"/>
      <c r="L524" s="545"/>
      <c r="M524" s="545"/>
      <c r="N524" s="545"/>
      <c r="O524" s="545"/>
      <c r="P524" s="545"/>
      <c r="Q524" s="545"/>
      <c r="R524" s="545"/>
      <c r="S524" s="545"/>
      <c r="T524" s="545"/>
      <c r="U524" s="546"/>
    </row>
    <row r="525" spans="1:21">
      <c r="A525" s="6">
        <v>46</v>
      </c>
      <c r="B525" s="547" t="s">
        <v>1063</v>
      </c>
      <c r="C525" s="548"/>
      <c r="D525" s="548"/>
      <c r="E525" s="548"/>
      <c r="F525" s="548"/>
      <c r="G525" s="548"/>
      <c r="H525" s="548"/>
      <c r="I525" s="548"/>
      <c r="J525" s="548"/>
      <c r="K525" s="549"/>
      <c r="L525" s="548" t="s">
        <v>1064</v>
      </c>
      <c r="M525" s="550"/>
      <c r="N525" s="548"/>
      <c r="O525" s="548"/>
      <c r="P525" s="548"/>
      <c r="Q525" s="548"/>
      <c r="R525" s="548"/>
      <c r="S525" s="548"/>
      <c r="T525" s="548"/>
      <c r="U525" s="549"/>
    </row>
    <row r="526" spans="1:21">
      <c r="A526" s="6">
        <v>47</v>
      </c>
      <c r="B526" s="547"/>
      <c r="C526" s="548"/>
      <c r="D526" s="548"/>
      <c r="E526" s="548"/>
      <c r="F526" s="548"/>
      <c r="G526" s="548"/>
      <c r="H526" s="548"/>
      <c r="I526" s="548"/>
      <c r="J526" s="548"/>
      <c r="K526" s="549"/>
      <c r="L526" s="548"/>
      <c r="M526" s="548"/>
      <c r="N526" s="548"/>
      <c r="O526" s="548"/>
      <c r="P526" s="548"/>
      <c r="Q526" s="548"/>
      <c r="R526" s="548"/>
      <c r="S526" s="548"/>
      <c r="T526" s="548"/>
      <c r="U526" s="549"/>
    </row>
    <row r="527" spans="1:21">
      <c r="A527" s="6">
        <v>48</v>
      </c>
      <c r="B527" s="547"/>
      <c r="C527" s="548"/>
      <c r="D527" s="548"/>
      <c r="E527" s="548"/>
      <c r="F527" s="548"/>
      <c r="G527" s="548"/>
      <c r="H527" s="548"/>
      <c r="I527" s="548"/>
      <c r="J527" s="548"/>
      <c r="K527" s="549"/>
      <c r="L527" s="548"/>
      <c r="M527" s="548"/>
      <c r="N527" s="548"/>
      <c r="O527" s="548"/>
      <c r="P527" s="548"/>
      <c r="Q527" s="548"/>
      <c r="R527" s="548"/>
      <c r="S527" s="548"/>
      <c r="T527" s="548"/>
      <c r="U527" s="549"/>
    </row>
    <row r="528" spans="1:21">
      <c r="B528" s="547"/>
      <c r="C528" s="551" t="s">
        <v>1065</v>
      </c>
      <c r="D528" s="548"/>
      <c r="E528" s="548"/>
      <c r="F528" s="548"/>
      <c r="G528" s="548"/>
      <c r="H528" s="548"/>
      <c r="I528" s="548"/>
      <c r="J528" s="548"/>
      <c r="K528" s="549"/>
      <c r="L528" s="548"/>
      <c r="M528" s="551" t="s">
        <v>1066</v>
      </c>
      <c r="N528" s="548"/>
      <c r="O528" s="548"/>
      <c r="P528" s="548"/>
      <c r="Q528" s="548"/>
      <c r="R528" s="548"/>
      <c r="S528" s="548"/>
      <c r="T528" s="548"/>
      <c r="U528" s="549"/>
    </row>
    <row r="529" spans="2:21" ht="15" customHeight="1">
      <c r="B529" s="552"/>
      <c r="C529" s="553"/>
      <c r="D529" s="553"/>
      <c r="E529" s="553"/>
      <c r="F529" s="553"/>
      <c r="G529" s="553"/>
      <c r="H529" s="553"/>
      <c r="I529" s="553"/>
      <c r="J529" s="553"/>
      <c r="K529" s="554"/>
      <c r="L529" s="553"/>
      <c r="M529" s="553"/>
      <c r="N529" s="553"/>
      <c r="O529" s="553"/>
      <c r="P529" s="553"/>
      <c r="Q529" s="553"/>
      <c r="R529" s="553"/>
      <c r="S529" s="553"/>
      <c r="T529" s="553"/>
      <c r="U529" s="554"/>
    </row>
    <row r="530" spans="2:21">
      <c r="U530" s="329" t="str">
        <f ca="1">"富邦人壽提供，"&amp;OP!$C$54&amp;" 試算日："&amp;TEXT(OP!$C$3,"EEMMDD")</f>
        <v>富邦人壽提供，V1.0-1060217 試算日：1060602</v>
      </c>
    </row>
    <row r="531" spans="2:21">
      <c r="U531" s="330" t="str">
        <f>OP!B69&amp;OP!C69</f>
        <v>適用通路：業務、服展、北富銀</v>
      </c>
    </row>
    <row r="532" spans="2:21" hidden="1"/>
    <row r="533" spans="2:21" hidden="1"/>
    <row r="534" spans="2:21" hidden="1"/>
    <row r="535" spans="2:21" hidden="1"/>
    <row r="536" spans="2:21" hidden="1"/>
    <row r="537" spans="2:21" hidden="1"/>
    <row r="538" spans="2:21" hidden="1"/>
    <row r="539" spans="2:21" hidden="1"/>
    <row r="540" spans="2:21" hidden="1"/>
    <row r="541" spans="2:21" hidden="1"/>
    <row r="542" spans="2:21" hidden="1"/>
    <row r="543" spans="2:21" hidden="1"/>
    <row r="544" spans="2:21"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row r="1071"/>
    <row r="1072"/>
    <row r="1073"/>
    <row r="1074"/>
    <row r="1075"/>
    <row r="1076"/>
    <row r="1077"/>
    <row r="1078"/>
    <row r="1079"/>
    <row r="1080"/>
    <row r="1081"/>
    <row r="1082"/>
    <row r="1083"/>
    <row r="1084"/>
    <row r="1085"/>
    <row r="1086"/>
    <row r="1087"/>
    <row r="1088"/>
    <row r="1089"/>
    <row r="1090"/>
    <row r="1091"/>
    <row r="1092"/>
    <row r="1093"/>
    <row r="1094"/>
    <row r="1095"/>
  </sheetData>
  <sheetProtection password="F4D4" sheet="1" formatCells="0"/>
  <mergeCells count="1904">
    <mergeCell ref="H345:K345"/>
    <mergeCell ref="L345:U345"/>
    <mergeCell ref="D342:G342"/>
    <mergeCell ref="H342:K342"/>
    <mergeCell ref="N342:Q342"/>
    <mergeCell ref="R342:U342"/>
    <mergeCell ref="D343:G343"/>
    <mergeCell ref="H343:K343"/>
    <mergeCell ref="N343:Q343"/>
    <mergeCell ref="R343:U343"/>
    <mergeCell ref="B417:U417"/>
    <mergeCell ref="E418:P418"/>
    <mergeCell ref="B357:U357"/>
    <mergeCell ref="E358:P358"/>
    <mergeCell ref="Q358:U358"/>
    <mergeCell ref="D344:G344"/>
    <mergeCell ref="H344:K344"/>
    <mergeCell ref="N344:Q344"/>
    <mergeCell ref="R344:U344"/>
    <mergeCell ref="D345:G345"/>
    <mergeCell ref="H337:K337"/>
    <mergeCell ref="N337:Q337"/>
    <mergeCell ref="R337:U337"/>
    <mergeCell ref="D337:G337"/>
    <mergeCell ref="H338:K338"/>
    <mergeCell ref="N338:Q338"/>
    <mergeCell ref="R338:U338"/>
    <mergeCell ref="H339:K339"/>
    <mergeCell ref="N339:Q339"/>
    <mergeCell ref="R339:U339"/>
    <mergeCell ref="H340:K340"/>
    <mergeCell ref="N340:Q340"/>
    <mergeCell ref="R340:U340"/>
    <mergeCell ref="D341:G341"/>
    <mergeCell ref="H341:K341"/>
    <mergeCell ref="N341:Q341"/>
    <mergeCell ref="R341:U341"/>
    <mergeCell ref="D332:G332"/>
    <mergeCell ref="H332:K332"/>
    <mergeCell ref="N332:Q332"/>
    <mergeCell ref="R332:U332"/>
    <mergeCell ref="D333:G333"/>
    <mergeCell ref="H333:K333"/>
    <mergeCell ref="N333:Q333"/>
    <mergeCell ref="R333:U333"/>
    <mergeCell ref="D334:G334"/>
    <mergeCell ref="H334:K334"/>
    <mergeCell ref="N334:Q334"/>
    <mergeCell ref="R334:U334"/>
    <mergeCell ref="D335:G335"/>
    <mergeCell ref="H335:K335"/>
    <mergeCell ref="N335:Q335"/>
    <mergeCell ref="R335:U335"/>
    <mergeCell ref="D336:G336"/>
    <mergeCell ref="H336:K336"/>
    <mergeCell ref="N336:Q336"/>
    <mergeCell ref="R336:U336"/>
    <mergeCell ref="D327:G327"/>
    <mergeCell ref="H327:K327"/>
    <mergeCell ref="N327:Q327"/>
    <mergeCell ref="R327:U327"/>
    <mergeCell ref="D328:G328"/>
    <mergeCell ref="H328:K328"/>
    <mergeCell ref="N328:Q328"/>
    <mergeCell ref="R328:U328"/>
    <mergeCell ref="D329:G329"/>
    <mergeCell ref="H329:K329"/>
    <mergeCell ref="N329:Q329"/>
    <mergeCell ref="R329:U329"/>
    <mergeCell ref="D330:G330"/>
    <mergeCell ref="H330:K330"/>
    <mergeCell ref="N330:Q330"/>
    <mergeCell ref="R330:U330"/>
    <mergeCell ref="D331:G331"/>
    <mergeCell ref="H331:K331"/>
    <mergeCell ref="N331:Q331"/>
    <mergeCell ref="R331:U331"/>
    <mergeCell ref="D322:G322"/>
    <mergeCell ref="H322:K322"/>
    <mergeCell ref="N322:Q322"/>
    <mergeCell ref="R322:U322"/>
    <mergeCell ref="D323:G323"/>
    <mergeCell ref="H323:K323"/>
    <mergeCell ref="N323:Q323"/>
    <mergeCell ref="R323:U323"/>
    <mergeCell ref="D324:G324"/>
    <mergeCell ref="H324:K324"/>
    <mergeCell ref="N324:Q324"/>
    <mergeCell ref="R324:U324"/>
    <mergeCell ref="D325:G325"/>
    <mergeCell ref="H325:K325"/>
    <mergeCell ref="N325:Q325"/>
    <mergeCell ref="R325:U325"/>
    <mergeCell ref="D326:G326"/>
    <mergeCell ref="H326:K326"/>
    <mergeCell ref="N326:Q326"/>
    <mergeCell ref="R326:U326"/>
    <mergeCell ref="D317:G317"/>
    <mergeCell ref="H317:K317"/>
    <mergeCell ref="N317:Q317"/>
    <mergeCell ref="R317:U317"/>
    <mergeCell ref="D318:G318"/>
    <mergeCell ref="H318:K318"/>
    <mergeCell ref="N318:Q318"/>
    <mergeCell ref="R318:U318"/>
    <mergeCell ref="D319:G319"/>
    <mergeCell ref="H319:K319"/>
    <mergeCell ref="N319:Q319"/>
    <mergeCell ref="R319:U319"/>
    <mergeCell ref="D320:G320"/>
    <mergeCell ref="H320:K320"/>
    <mergeCell ref="N320:Q320"/>
    <mergeCell ref="R320:U320"/>
    <mergeCell ref="D321:G321"/>
    <mergeCell ref="H321:K321"/>
    <mergeCell ref="N321:Q321"/>
    <mergeCell ref="R321:U321"/>
    <mergeCell ref="D312:G312"/>
    <mergeCell ref="H312:K312"/>
    <mergeCell ref="N312:Q312"/>
    <mergeCell ref="R312:U312"/>
    <mergeCell ref="D313:G313"/>
    <mergeCell ref="H313:K313"/>
    <mergeCell ref="N313:Q313"/>
    <mergeCell ref="R313:U313"/>
    <mergeCell ref="D314:G314"/>
    <mergeCell ref="H314:K314"/>
    <mergeCell ref="N314:Q314"/>
    <mergeCell ref="R314:U314"/>
    <mergeCell ref="D315:G315"/>
    <mergeCell ref="H315:K315"/>
    <mergeCell ref="N315:Q315"/>
    <mergeCell ref="R315:U315"/>
    <mergeCell ref="D316:G316"/>
    <mergeCell ref="H316:K316"/>
    <mergeCell ref="N316:Q316"/>
    <mergeCell ref="R316:U316"/>
    <mergeCell ref="D307:G307"/>
    <mergeCell ref="H307:K307"/>
    <mergeCell ref="N307:Q307"/>
    <mergeCell ref="R307:U307"/>
    <mergeCell ref="D308:G308"/>
    <mergeCell ref="H308:K308"/>
    <mergeCell ref="N308:Q308"/>
    <mergeCell ref="R308:U308"/>
    <mergeCell ref="D309:G309"/>
    <mergeCell ref="H309:K309"/>
    <mergeCell ref="N309:Q309"/>
    <mergeCell ref="R309:U309"/>
    <mergeCell ref="D310:G310"/>
    <mergeCell ref="H310:K310"/>
    <mergeCell ref="N310:Q310"/>
    <mergeCell ref="R310:U310"/>
    <mergeCell ref="D311:G311"/>
    <mergeCell ref="H311:K311"/>
    <mergeCell ref="N311:Q311"/>
    <mergeCell ref="R311:U311"/>
    <mergeCell ref="D302:G302"/>
    <mergeCell ref="H302:K302"/>
    <mergeCell ref="N302:Q302"/>
    <mergeCell ref="R302:U302"/>
    <mergeCell ref="D303:G303"/>
    <mergeCell ref="H303:K303"/>
    <mergeCell ref="N303:Q303"/>
    <mergeCell ref="R303:U303"/>
    <mergeCell ref="D304:G304"/>
    <mergeCell ref="H304:K304"/>
    <mergeCell ref="N304:Q304"/>
    <mergeCell ref="R304:U304"/>
    <mergeCell ref="D305:G305"/>
    <mergeCell ref="H305:K305"/>
    <mergeCell ref="N305:Q305"/>
    <mergeCell ref="R305:U305"/>
    <mergeCell ref="D306:G306"/>
    <mergeCell ref="H306:K306"/>
    <mergeCell ref="N306:Q306"/>
    <mergeCell ref="R306:U306"/>
    <mergeCell ref="D297:G297"/>
    <mergeCell ref="H297:K297"/>
    <mergeCell ref="N297:Q297"/>
    <mergeCell ref="R297:U297"/>
    <mergeCell ref="D298:G298"/>
    <mergeCell ref="H298:K298"/>
    <mergeCell ref="N298:Q298"/>
    <mergeCell ref="R298:U298"/>
    <mergeCell ref="D299:G299"/>
    <mergeCell ref="H299:K299"/>
    <mergeCell ref="N299:Q299"/>
    <mergeCell ref="R299:U299"/>
    <mergeCell ref="D300:G300"/>
    <mergeCell ref="H300:K300"/>
    <mergeCell ref="N300:Q300"/>
    <mergeCell ref="R300:U300"/>
    <mergeCell ref="D301:G301"/>
    <mergeCell ref="H301:K301"/>
    <mergeCell ref="N301:Q301"/>
    <mergeCell ref="R301:U301"/>
    <mergeCell ref="D292:G292"/>
    <mergeCell ref="H292:K292"/>
    <mergeCell ref="N292:Q292"/>
    <mergeCell ref="R292:U292"/>
    <mergeCell ref="D293:G293"/>
    <mergeCell ref="H293:K293"/>
    <mergeCell ref="N293:Q293"/>
    <mergeCell ref="R293:U293"/>
    <mergeCell ref="D294:G294"/>
    <mergeCell ref="H294:K294"/>
    <mergeCell ref="N294:Q294"/>
    <mergeCell ref="R294:U294"/>
    <mergeCell ref="D295:G295"/>
    <mergeCell ref="H295:K295"/>
    <mergeCell ref="N295:Q295"/>
    <mergeCell ref="R295:U295"/>
    <mergeCell ref="D296:G296"/>
    <mergeCell ref="H296:K296"/>
    <mergeCell ref="N296:Q296"/>
    <mergeCell ref="R296:U296"/>
    <mergeCell ref="D290:G290"/>
    <mergeCell ref="H290:K290"/>
    <mergeCell ref="N290:Q290"/>
    <mergeCell ref="R290:U290"/>
    <mergeCell ref="B269:U269"/>
    <mergeCell ref="D267:E267"/>
    <mergeCell ref="F267:G267"/>
    <mergeCell ref="H267:I267"/>
    <mergeCell ref="J267:K267"/>
    <mergeCell ref="D268:E268"/>
    <mergeCell ref="F268:G268"/>
    <mergeCell ref="H268:I268"/>
    <mergeCell ref="J268:K268"/>
    <mergeCell ref="S268:U268"/>
    <mergeCell ref="H265:I265"/>
    <mergeCell ref="J265:K265"/>
    <mergeCell ref="D291:G291"/>
    <mergeCell ref="H291:K291"/>
    <mergeCell ref="N291:Q291"/>
    <mergeCell ref="R291:U291"/>
    <mergeCell ref="D266:E266"/>
    <mergeCell ref="F266:G266"/>
    <mergeCell ref="H266:I266"/>
    <mergeCell ref="S237:U237"/>
    <mergeCell ref="N266:O266"/>
    <mergeCell ref="L267:M267"/>
    <mergeCell ref="N267:O267"/>
    <mergeCell ref="L263:M263"/>
    <mergeCell ref="L259:M259"/>
    <mergeCell ref="E283:P283"/>
    <mergeCell ref="P265:R265"/>
    <mergeCell ref="S265:U265"/>
    <mergeCell ref="P266:R266"/>
    <mergeCell ref="S266:U266"/>
    <mergeCell ref="B285:U285"/>
    <mergeCell ref="B288:B289"/>
    <mergeCell ref="C288:C289"/>
    <mergeCell ref="D288:K288"/>
    <mergeCell ref="L288:L289"/>
    <mergeCell ref="M288:M289"/>
    <mergeCell ref="N288:U288"/>
    <mergeCell ref="D289:G289"/>
    <mergeCell ref="H289:K289"/>
    <mergeCell ref="N289:Q289"/>
    <mergeCell ref="R289:U289"/>
    <mergeCell ref="L262:M262"/>
    <mergeCell ref="N262:O262"/>
    <mergeCell ref="P262:R262"/>
    <mergeCell ref="S262:U262"/>
    <mergeCell ref="N263:O263"/>
    <mergeCell ref="P263:R263"/>
    <mergeCell ref="S263:U263"/>
    <mergeCell ref="S258:U258"/>
    <mergeCell ref="N259:O259"/>
    <mergeCell ref="L260:M260"/>
    <mergeCell ref="P221:R221"/>
    <mergeCell ref="S221:U221"/>
    <mergeCell ref="P222:R222"/>
    <mergeCell ref="S222:U222"/>
    <mergeCell ref="S225:U225"/>
    <mergeCell ref="P225:R225"/>
    <mergeCell ref="B282:U282"/>
    <mergeCell ref="D265:E265"/>
    <mergeCell ref="F265:G265"/>
    <mergeCell ref="S236:U236"/>
    <mergeCell ref="P237:R237"/>
    <mergeCell ref="P223:R223"/>
    <mergeCell ref="S223:U223"/>
    <mergeCell ref="P224:R224"/>
    <mergeCell ref="S224:U224"/>
    <mergeCell ref="S226:U226"/>
    <mergeCell ref="P267:R267"/>
    <mergeCell ref="L268:M268"/>
    <mergeCell ref="N268:O268"/>
    <mergeCell ref="P268:R268"/>
    <mergeCell ref="S267:U267"/>
    <mergeCell ref="S228:U228"/>
    <mergeCell ref="S234:U234"/>
    <mergeCell ref="P233:R233"/>
    <mergeCell ref="S233:U233"/>
    <mergeCell ref="L257:M257"/>
    <mergeCell ref="N257:O257"/>
    <mergeCell ref="P257:R257"/>
    <mergeCell ref="S257:U257"/>
    <mergeCell ref="L258:M258"/>
    <mergeCell ref="N258:O258"/>
    <mergeCell ref="P258:R258"/>
    <mergeCell ref="N260:O260"/>
    <mergeCell ref="P260:R260"/>
    <mergeCell ref="S260:U260"/>
    <mergeCell ref="L261:M261"/>
    <mergeCell ref="N261:O261"/>
    <mergeCell ref="P261:R261"/>
    <mergeCell ref="S261:U261"/>
    <mergeCell ref="L252:M252"/>
    <mergeCell ref="N252:O252"/>
    <mergeCell ref="P252:R252"/>
    <mergeCell ref="S252:U252"/>
    <mergeCell ref="L253:M253"/>
    <mergeCell ref="N253:O253"/>
    <mergeCell ref="P253:R253"/>
    <mergeCell ref="S253:U253"/>
    <mergeCell ref="L254:M254"/>
    <mergeCell ref="N254:O254"/>
    <mergeCell ref="P254:R254"/>
    <mergeCell ref="S254:U254"/>
    <mergeCell ref="L255:M255"/>
    <mergeCell ref="N255:O255"/>
    <mergeCell ref="P255:R255"/>
    <mergeCell ref="S255:U255"/>
    <mergeCell ref="L256:M256"/>
    <mergeCell ref="N256:O256"/>
    <mergeCell ref="P256:R256"/>
    <mergeCell ref="S256:U256"/>
    <mergeCell ref="L248:M248"/>
    <mergeCell ref="N248:O248"/>
    <mergeCell ref="P248:R248"/>
    <mergeCell ref="S248:U248"/>
    <mergeCell ref="L249:M249"/>
    <mergeCell ref="N249:O249"/>
    <mergeCell ref="P249:R249"/>
    <mergeCell ref="S249:U249"/>
    <mergeCell ref="L250:M250"/>
    <mergeCell ref="N250:O250"/>
    <mergeCell ref="P250:R250"/>
    <mergeCell ref="S250:U250"/>
    <mergeCell ref="L251:M251"/>
    <mergeCell ref="N251:O251"/>
    <mergeCell ref="P251:R251"/>
    <mergeCell ref="S251:U251"/>
    <mergeCell ref="P259:R259"/>
    <mergeCell ref="S259:U259"/>
    <mergeCell ref="L243:M243"/>
    <mergeCell ref="N243:O243"/>
    <mergeCell ref="P243:R243"/>
    <mergeCell ref="S243:U243"/>
    <mergeCell ref="L244:M244"/>
    <mergeCell ref="N244:O244"/>
    <mergeCell ref="P244:R244"/>
    <mergeCell ref="S244:U244"/>
    <mergeCell ref="L245:M245"/>
    <mergeCell ref="N245:O245"/>
    <mergeCell ref="P245:R245"/>
    <mergeCell ref="S245:U245"/>
    <mergeCell ref="L246:M246"/>
    <mergeCell ref="N246:O246"/>
    <mergeCell ref="P246:R246"/>
    <mergeCell ref="S246:U246"/>
    <mergeCell ref="L247:M247"/>
    <mergeCell ref="N247:O247"/>
    <mergeCell ref="P247:R247"/>
    <mergeCell ref="S247:U247"/>
    <mergeCell ref="D22:F22"/>
    <mergeCell ref="D23:F23"/>
    <mergeCell ref="D24:F24"/>
    <mergeCell ref="D25:F25"/>
    <mergeCell ref="D26:F26"/>
    <mergeCell ref="D27:F27"/>
    <mergeCell ref="D17:F17"/>
    <mergeCell ref="S17:U17"/>
    <mergeCell ref="D18:F18"/>
    <mergeCell ref="G64:I64"/>
    <mergeCell ref="J64:L64"/>
    <mergeCell ref="M64:O64"/>
    <mergeCell ref="S18:U18"/>
    <mergeCell ref="D19:F19"/>
    <mergeCell ref="D20:F20"/>
    <mergeCell ref="D21:F21"/>
    <mergeCell ref="D46:F46"/>
    <mergeCell ref="D47:F47"/>
    <mergeCell ref="D48:F48"/>
    <mergeCell ref="G63:I63"/>
    <mergeCell ref="J63:L63"/>
    <mergeCell ref="M63:O63"/>
    <mergeCell ref="P63:R63"/>
    <mergeCell ref="G61:I61"/>
    <mergeCell ref="J61:L61"/>
    <mergeCell ref="M61:O61"/>
    <mergeCell ref="P64:R64"/>
    <mergeCell ref="D34:F34"/>
    <mergeCell ref="D35:F35"/>
    <mergeCell ref="D36:F36"/>
    <mergeCell ref="D37:F37"/>
    <mergeCell ref="D38:F38"/>
    <mergeCell ref="D39:F39"/>
    <mergeCell ref="D61:F61"/>
    <mergeCell ref="D62:F62"/>
    <mergeCell ref="D63:F63"/>
    <mergeCell ref="D49:F49"/>
    <mergeCell ref="D50:F50"/>
    <mergeCell ref="D51:F51"/>
    <mergeCell ref="D52:F52"/>
    <mergeCell ref="D53:F53"/>
    <mergeCell ref="D54:F54"/>
    <mergeCell ref="D28:F28"/>
    <mergeCell ref="D29:F29"/>
    <mergeCell ref="D30:F30"/>
    <mergeCell ref="D31:F31"/>
    <mergeCell ref="D32:F32"/>
    <mergeCell ref="D33:F33"/>
    <mergeCell ref="D66:F66"/>
    <mergeCell ref="D55:F55"/>
    <mergeCell ref="D56:F56"/>
    <mergeCell ref="D57:F57"/>
    <mergeCell ref="D58:F58"/>
    <mergeCell ref="D59:F59"/>
    <mergeCell ref="D60:F60"/>
    <mergeCell ref="D64:F64"/>
    <mergeCell ref="D65:F65"/>
    <mergeCell ref="P65:R65"/>
    <mergeCell ref="G66:I66"/>
    <mergeCell ref="J66:L66"/>
    <mergeCell ref="M66:O66"/>
    <mergeCell ref="P66:R66"/>
    <mergeCell ref="G65:I65"/>
    <mergeCell ref="J65:L65"/>
    <mergeCell ref="D40:F40"/>
    <mergeCell ref="D41:F41"/>
    <mergeCell ref="D42:F42"/>
    <mergeCell ref="D43:F43"/>
    <mergeCell ref="D44:F44"/>
    <mergeCell ref="D45:F45"/>
    <mergeCell ref="G51:I51"/>
    <mergeCell ref="J51:L51"/>
    <mergeCell ref="M51:O51"/>
    <mergeCell ref="P51:R51"/>
    <mergeCell ref="G52:I52"/>
    <mergeCell ref="J52:L52"/>
    <mergeCell ref="M52:O52"/>
    <mergeCell ref="P52:R52"/>
    <mergeCell ref="G53:I53"/>
    <mergeCell ref="J53:L53"/>
    <mergeCell ref="M53:O53"/>
    <mergeCell ref="P53:R53"/>
    <mergeCell ref="G54:I54"/>
    <mergeCell ref="J54:L54"/>
    <mergeCell ref="M54:O54"/>
    <mergeCell ref="P54:R54"/>
    <mergeCell ref="M60:O60"/>
    <mergeCell ref="P60:R60"/>
    <mergeCell ref="G57:I57"/>
    <mergeCell ref="M58:O58"/>
    <mergeCell ref="G59:I59"/>
    <mergeCell ref="J59:L59"/>
    <mergeCell ref="M59:O59"/>
    <mergeCell ref="P59:R59"/>
    <mergeCell ref="G60:I60"/>
    <mergeCell ref="G46:I46"/>
    <mergeCell ref="J46:L46"/>
    <mergeCell ref="M46:O46"/>
    <mergeCell ref="P46:R46"/>
    <mergeCell ref="G47:I47"/>
    <mergeCell ref="J47:L47"/>
    <mergeCell ref="M47:O47"/>
    <mergeCell ref="P47:R47"/>
    <mergeCell ref="G48:I48"/>
    <mergeCell ref="J48:L48"/>
    <mergeCell ref="M48:O48"/>
    <mergeCell ref="P48:R48"/>
    <mergeCell ref="G49:I49"/>
    <mergeCell ref="J49:L49"/>
    <mergeCell ref="M49:O49"/>
    <mergeCell ref="P49:R49"/>
    <mergeCell ref="G50:I50"/>
    <mergeCell ref="J50:L50"/>
    <mergeCell ref="M50:O50"/>
    <mergeCell ref="P50:R50"/>
    <mergeCell ref="G41:I41"/>
    <mergeCell ref="J41:L41"/>
    <mergeCell ref="M41:O41"/>
    <mergeCell ref="P41:R41"/>
    <mergeCell ref="G42:I42"/>
    <mergeCell ref="J42:L42"/>
    <mergeCell ref="M42:O42"/>
    <mergeCell ref="P42:R42"/>
    <mergeCell ref="G43:I43"/>
    <mergeCell ref="J43:L43"/>
    <mergeCell ref="M43:O43"/>
    <mergeCell ref="P43:R43"/>
    <mergeCell ref="G44:I44"/>
    <mergeCell ref="J44:L44"/>
    <mergeCell ref="M44:O44"/>
    <mergeCell ref="P44:R44"/>
    <mergeCell ref="G45:I45"/>
    <mergeCell ref="J45:L45"/>
    <mergeCell ref="M45:O45"/>
    <mergeCell ref="P45:R45"/>
    <mergeCell ref="G36:I36"/>
    <mergeCell ref="J36:L36"/>
    <mergeCell ref="M36:O36"/>
    <mergeCell ref="P36:R36"/>
    <mergeCell ref="G37:I37"/>
    <mergeCell ref="J37:L37"/>
    <mergeCell ref="M37:O37"/>
    <mergeCell ref="P37:R37"/>
    <mergeCell ref="G38:I38"/>
    <mergeCell ref="J38:L38"/>
    <mergeCell ref="M38:O38"/>
    <mergeCell ref="P38:R38"/>
    <mergeCell ref="G39:I39"/>
    <mergeCell ref="J39:L39"/>
    <mergeCell ref="M39:O39"/>
    <mergeCell ref="P39:R39"/>
    <mergeCell ref="G40:I40"/>
    <mergeCell ref="J40:L40"/>
    <mergeCell ref="M40:O40"/>
    <mergeCell ref="P40:R40"/>
    <mergeCell ref="M31:O31"/>
    <mergeCell ref="P31:R31"/>
    <mergeCell ref="G32:I32"/>
    <mergeCell ref="J32:L32"/>
    <mergeCell ref="M32:O32"/>
    <mergeCell ref="P32:R32"/>
    <mergeCell ref="G33:I33"/>
    <mergeCell ref="J33:L33"/>
    <mergeCell ref="M33:O33"/>
    <mergeCell ref="P33:R33"/>
    <mergeCell ref="G34:I34"/>
    <mergeCell ref="J34:L34"/>
    <mergeCell ref="M34:O34"/>
    <mergeCell ref="P34:R34"/>
    <mergeCell ref="G35:I35"/>
    <mergeCell ref="J35:L35"/>
    <mergeCell ref="M35:O35"/>
    <mergeCell ref="P35:R35"/>
    <mergeCell ref="G31:I31"/>
    <mergeCell ref="J31:L31"/>
    <mergeCell ref="S31:U31"/>
    <mergeCell ref="S32:U32"/>
    <mergeCell ref="S33:U33"/>
    <mergeCell ref="S34:U34"/>
    <mergeCell ref="S35:U35"/>
    <mergeCell ref="S36:U36"/>
    <mergeCell ref="S25:U25"/>
    <mergeCell ref="S26:U26"/>
    <mergeCell ref="S27:U27"/>
    <mergeCell ref="S28:U28"/>
    <mergeCell ref="S29:U29"/>
    <mergeCell ref="S30:U30"/>
    <mergeCell ref="S19:U19"/>
    <mergeCell ref="S20:U20"/>
    <mergeCell ref="S21:U21"/>
    <mergeCell ref="S22:U22"/>
    <mergeCell ref="S23:U23"/>
    <mergeCell ref="S24:U24"/>
    <mergeCell ref="S49:U49"/>
    <mergeCell ref="S50:U50"/>
    <mergeCell ref="S51:U51"/>
    <mergeCell ref="S52:U52"/>
    <mergeCell ref="S53:U53"/>
    <mergeCell ref="S54:U54"/>
    <mergeCell ref="S43:U43"/>
    <mergeCell ref="S44:U44"/>
    <mergeCell ref="S45:U45"/>
    <mergeCell ref="S46:U46"/>
    <mergeCell ref="S47:U47"/>
    <mergeCell ref="S48:U48"/>
    <mergeCell ref="S37:U37"/>
    <mergeCell ref="S38:U38"/>
    <mergeCell ref="S39:U39"/>
    <mergeCell ref="S40:U40"/>
    <mergeCell ref="S41:U41"/>
    <mergeCell ref="S42:U42"/>
    <mergeCell ref="S61:U61"/>
    <mergeCell ref="S62:U62"/>
    <mergeCell ref="S63:U63"/>
    <mergeCell ref="S64:U64"/>
    <mergeCell ref="S65:U65"/>
    <mergeCell ref="S66:U66"/>
    <mergeCell ref="S55:U55"/>
    <mergeCell ref="S56:U56"/>
    <mergeCell ref="S57:U57"/>
    <mergeCell ref="S58:U58"/>
    <mergeCell ref="S59:U59"/>
    <mergeCell ref="S60:U60"/>
    <mergeCell ref="P58:R58"/>
    <mergeCell ref="G55:I55"/>
    <mergeCell ref="J55:L55"/>
    <mergeCell ref="M55:O55"/>
    <mergeCell ref="P55:R55"/>
    <mergeCell ref="G56:I56"/>
    <mergeCell ref="J56:L56"/>
    <mergeCell ref="M56:O56"/>
    <mergeCell ref="P56:R56"/>
    <mergeCell ref="J60:L60"/>
    <mergeCell ref="P61:R61"/>
    <mergeCell ref="G62:I62"/>
    <mergeCell ref="J62:L62"/>
    <mergeCell ref="M62:O62"/>
    <mergeCell ref="P62:R62"/>
    <mergeCell ref="J57:L57"/>
    <mergeCell ref="M57:O57"/>
    <mergeCell ref="P57:R57"/>
    <mergeCell ref="G58:I58"/>
    <mergeCell ref="J58:L58"/>
    <mergeCell ref="D81:F81"/>
    <mergeCell ref="D82:F82"/>
    <mergeCell ref="D83:F83"/>
    <mergeCell ref="D84:F84"/>
    <mergeCell ref="D85:F85"/>
    <mergeCell ref="D86:F86"/>
    <mergeCell ref="D70:F70"/>
    <mergeCell ref="D71:F71"/>
    <mergeCell ref="D72:F72"/>
    <mergeCell ref="D79:F79"/>
    <mergeCell ref="D80:F80"/>
    <mergeCell ref="D78:F78"/>
    <mergeCell ref="S78:U78"/>
    <mergeCell ref="D67:F67"/>
    <mergeCell ref="B73:H73"/>
    <mergeCell ref="I73:U73"/>
    <mergeCell ref="G67:I67"/>
    <mergeCell ref="P67:R67"/>
    <mergeCell ref="G78:I78"/>
    <mergeCell ref="J78:L78"/>
    <mergeCell ref="D68:F68"/>
    <mergeCell ref="D69:F69"/>
    <mergeCell ref="S67:U67"/>
    <mergeCell ref="J83:L83"/>
    <mergeCell ref="J84:L84"/>
    <mergeCell ref="J85:L85"/>
    <mergeCell ref="M86:O86"/>
    <mergeCell ref="G82:I82"/>
    <mergeCell ref="J82:L82"/>
    <mergeCell ref="M82:O82"/>
    <mergeCell ref="P82:R82"/>
    <mergeCell ref="G80:I80"/>
    <mergeCell ref="D123:F123"/>
    <mergeCell ref="D124:F124"/>
    <mergeCell ref="D125:F125"/>
    <mergeCell ref="D126:F126"/>
    <mergeCell ref="D105:F105"/>
    <mergeCell ref="D106:F106"/>
    <mergeCell ref="D107:F107"/>
    <mergeCell ref="D108:F108"/>
    <mergeCell ref="D109:F109"/>
    <mergeCell ref="D121:F121"/>
    <mergeCell ref="D110:F110"/>
    <mergeCell ref="D111:F111"/>
    <mergeCell ref="D112:F112"/>
    <mergeCell ref="D113:F113"/>
    <mergeCell ref="D99:F99"/>
    <mergeCell ref="D100:F100"/>
    <mergeCell ref="D101:F101"/>
    <mergeCell ref="D102:F102"/>
    <mergeCell ref="D103:F103"/>
    <mergeCell ref="D104:F104"/>
    <mergeCell ref="M89:O89"/>
    <mergeCell ref="J92:L92"/>
    <mergeCell ref="J93:L93"/>
    <mergeCell ref="J94:L94"/>
    <mergeCell ref="M93:O93"/>
    <mergeCell ref="P88:R88"/>
    <mergeCell ref="P89:R89"/>
    <mergeCell ref="G89:I89"/>
    <mergeCell ref="P83:R83"/>
    <mergeCell ref="M84:O84"/>
    <mergeCell ref="P84:R84"/>
    <mergeCell ref="D116:F116"/>
    <mergeCell ref="D117:F117"/>
    <mergeCell ref="D118:F118"/>
    <mergeCell ref="D119:F119"/>
    <mergeCell ref="D120:F120"/>
    <mergeCell ref="D114:F114"/>
    <mergeCell ref="D115:F115"/>
    <mergeCell ref="D93:F93"/>
    <mergeCell ref="D94:F94"/>
    <mergeCell ref="D95:F95"/>
    <mergeCell ref="D96:F96"/>
    <mergeCell ref="D97:F97"/>
    <mergeCell ref="D98:F98"/>
    <mergeCell ref="D87:F87"/>
    <mergeCell ref="D88:F88"/>
    <mergeCell ref="D89:F89"/>
    <mergeCell ref="D90:F90"/>
    <mergeCell ref="D91:F91"/>
    <mergeCell ref="D92:F92"/>
    <mergeCell ref="P90:R90"/>
    <mergeCell ref="G92:I92"/>
    <mergeCell ref="S89:U89"/>
    <mergeCell ref="S90:U90"/>
    <mergeCell ref="S91:U91"/>
    <mergeCell ref="S92:U92"/>
    <mergeCell ref="S93:U93"/>
    <mergeCell ref="S94:U94"/>
    <mergeCell ref="M107:O107"/>
    <mergeCell ref="S68:U68"/>
    <mergeCell ref="S69:U69"/>
    <mergeCell ref="S70:U70"/>
    <mergeCell ref="S71:U71"/>
    <mergeCell ref="S72:U72"/>
    <mergeCell ref="S79:U79"/>
    <mergeCell ref="S82:U82"/>
    <mergeCell ref="S83:U83"/>
    <mergeCell ref="S84:U84"/>
    <mergeCell ref="M115:O115"/>
    <mergeCell ref="P115:R115"/>
    <mergeCell ref="M114:O114"/>
    <mergeCell ref="P114:R114"/>
    <mergeCell ref="P101:R101"/>
    <mergeCell ref="M102:O102"/>
    <mergeCell ref="P102:R102"/>
    <mergeCell ref="S80:U80"/>
    <mergeCell ref="S81:U81"/>
    <mergeCell ref="M104:O104"/>
    <mergeCell ref="S85:U85"/>
    <mergeCell ref="S86:U86"/>
    <mergeCell ref="S87:U87"/>
    <mergeCell ref="S88:U88"/>
    <mergeCell ref="M94:O94"/>
    <mergeCell ref="M92:O92"/>
    <mergeCell ref="S107:U107"/>
    <mergeCell ref="S108:U108"/>
    <mergeCell ref="S109:U109"/>
    <mergeCell ref="S110:U110"/>
    <mergeCell ref="S111:U111"/>
    <mergeCell ref="S112:U112"/>
    <mergeCell ref="S101:U101"/>
    <mergeCell ref="S102:U102"/>
    <mergeCell ref="S103:U103"/>
    <mergeCell ref="S104:U104"/>
    <mergeCell ref="S105:U105"/>
    <mergeCell ref="S106:U106"/>
    <mergeCell ref="S95:U95"/>
    <mergeCell ref="S96:U96"/>
    <mergeCell ref="S97:U97"/>
    <mergeCell ref="S98:U98"/>
    <mergeCell ref="S99:U99"/>
    <mergeCell ref="S100:U100"/>
    <mergeCell ref="S126:U126"/>
    <mergeCell ref="S113:U113"/>
    <mergeCell ref="S114:U114"/>
    <mergeCell ref="S115:U115"/>
    <mergeCell ref="S116:U116"/>
    <mergeCell ref="S117:U117"/>
    <mergeCell ref="S118:U118"/>
    <mergeCell ref="M116:O116"/>
    <mergeCell ref="P116:R116"/>
    <mergeCell ref="J114:L114"/>
    <mergeCell ref="J115:L115"/>
    <mergeCell ref="N153:O153"/>
    <mergeCell ref="M117:O117"/>
    <mergeCell ref="P117:R117"/>
    <mergeCell ref="J118:L118"/>
    <mergeCell ref="M118:O118"/>
    <mergeCell ref="M129:O129"/>
    <mergeCell ref="P129:R129"/>
    <mergeCell ref="J122:L122"/>
    <mergeCell ref="M122:O122"/>
    <mergeCell ref="P122:R122"/>
    <mergeCell ref="N152:O152"/>
    <mergeCell ref="L152:M152"/>
    <mergeCell ref="M133:O133"/>
    <mergeCell ref="P133:R133"/>
    <mergeCell ref="J128:L128"/>
    <mergeCell ref="M128:O128"/>
    <mergeCell ref="P128:R128"/>
    <mergeCell ref="P134:R134"/>
    <mergeCell ref="J125:L125"/>
    <mergeCell ref="M125:O125"/>
    <mergeCell ref="P125:R125"/>
    <mergeCell ref="D130:F130"/>
    <mergeCell ref="D131:F131"/>
    <mergeCell ref="D132:F132"/>
    <mergeCell ref="D133:F133"/>
    <mergeCell ref="S151:U151"/>
    <mergeCell ref="P149:R150"/>
    <mergeCell ref="J129:L129"/>
    <mergeCell ref="S119:U119"/>
    <mergeCell ref="S120:U120"/>
    <mergeCell ref="S121:U121"/>
    <mergeCell ref="S122:U122"/>
    <mergeCell ref="S123:U123"/>
    <mergeCell ref="S134:U134"/>
    <mergeCell ref="S149:U150"/>
    <mergeCell ref="J149:O149"/>
    <mergeCell ref="D122:F122"/>
    <mergeCell ref="D127:F127"/>
    <mergeCell ref="G123:I123"/>
    <mergeCell ref="J123:L123"/>
    <mergeCell ref="M123:O123"/>
    <mergeCell ref="P123:R123"/>
    <mergeCell ref="G124:I124"/>
    <mergeCell ref="J124:L124"/>
    <mergeCell ref="M124:O124"/>
    <mergeCell ref="P124:R124"/>
    <mergeCell ref="G121:I121"/>
    <mergeCell ref="J121:L121"/>
    <mergeCell ref="M121:O121"/>
    <mergeCell ref="P121:R121"/>
    <mergeCell ref="G122:I122"/>
    <mergeCell ref="S124:U124"/>
    <mergeCell ref="S125:U125"/>
    <mergeCell ref="P158:R158"/>
    <mergeCell ref="S158:U158"/>
    <mergeCell ref="L157:M157"/>
    <mergeCell ref="N157:O157"/>
    <mergeCell ref="S156:U156"/>
    <mergeCell ref="P157:R157"/>
    <mergeCell ref="L156:M156"/>
    <mergeCell ref="N156:O156"/>
    <mergeCell ref="L155:M155"/>
    <mergeCell ref="N155:O155"/>
    <mergeCell ref="N160:O160"/>
    <mergeCell ref="P160:R160"/>
    <mergeCell ref="L154:M154"/>
    <mergeCell ref="N154:O154"/>
    <mergeCell ref="S127:U127"/>
    <mergeCell ref="S128:U128"/>
    <mergeCell ref="S129:U129"/>
    <mergeCell ref="P151:R151"/>
    <mergeCell ref="S130:U130"/>
    <mergeCell ref="S131:U131"/>
    <mergeCell ref="S132:U132"/>
    <mergeCell ref="S133:U133"/>
    <mergeCell ref="P153:R153"/>
    <mergeCell ref="S153:U153"/>
    <mergeCell ref="B147:U147"/>
    <mergeCell ref="L150:M150"/>
    <mergeCell ref="N150:O150"/>
    <mergeCell ref="P152:R152"/>
    <mergeCell ref="S152:U152"/>
    <mergeCell ref="L151:M151"/>
    <mergeCell ref="D128:F128"/>
    <mergeCell ref="D129:F129"/>
    <mergeCell ref="L163:M163"/>
    <mergeCell ref="N163:O163"/>
    <mergeCell ref="P163:R163"/>
    <mergeCell ref="S163:U163"/>
    <mergeCell ref="L162:M162"/>
    <mergeCell ref="N162:O162"/>
    <mergeCell ref="P162:R162"/>
    <mergeCell ref="S162:U162"/>
    <mergeCell ref="L161:M161"/>
    <mergeCell ref="N161:O161"/>
    <mergeCell ref="P161:R161"/>
    <mergeCell ref="S161:U161"/>
    <mergeCell ref="S160:U160"/>
    <mergeCell ref="L159:M159"/>
    <mergeCell ref="N159:O159"/>
    <mergeCell ref="P159:R159"/>
    <mergeCell ref="S159:U159"/>
    <mergeCell ref="N169:O169"/>
    <mergeCell ref="P169:R169"/>
    <mergeCell ref="S169:U169"/>
    <mergeCell ref="L168:M168"/>
    <mergeCell ref="N168:O168"/>
    <mergeCell ref="P168:R168"/>
    <mergeCell ref="S168:U168"/>
    <mergeCell ref="L167:M167"/>
    <mergeCell ref="N167:O167"/>
    <mergeCell ref="P167:R167"/>
    <mergeCell ref="S167:U167"/>
    <mergeCell ref="L166:M166"/>
    <mergeCell ref="N166:O166"/>
    <mergeCell ref="P166:R166"/>
    <mergeCell ref="S166:U166"/>
    <mergeCell ref="S165:U165"/>
    <mergeCell ref="L164:M164"/>
    <mergeCell ref="N164:O164"/>
    <mergeCell ref="P164:R164"/>
    <mergeCell ref="S164:U164"/>
    <mergeCell ref="P154:R154"/>
    <mergeCell ref="S154:U154"/>
    <mergeCell ref="L178:M178"/>
    <mergeCell ref="N178:O178"/>
    <mergeCell ref="L176:M176"/>
    <mergeCell ref="N176:O176"/>
    <mergeCell ref="L175:M175"/>
    <mergeCell ref="S157:U157"/>
    <mergeCell ref="N175:O175"/>
    <mergeCell ref="L174:M174"/>
    <mergeCell ref="N174:O174"/>
    <mergeCell ref="L173:M173"/>
    <mergeCell ref="S176:U176"/>
    <mergeCell ref="P175:R175"/>
    <mergeCell ref="S175:U175"/>
    <mergeCell ref="N173:O173"/>
    <mergeCell ref="P173:R173"/>
    <mergeCell ref="S173:U173"/>
    <mergeCell ref="P174:R174"/>
    <mergeCell ref="L172:M172"/>
    <mergeCell ref="N172:O172"/>
    <mergeCell ref="P172:R172"/>
    <mergeCell ref="S172:U172"/>
    <mergeCell ref="S174:U174"/>
    <mergeCell ref="L171:M171"/>
    <mergeCell ref="N171:O171"/>
    <mergeCell ref="P171:R171"/>
    <mergeCell ref="S171:U171"/>
    <mergeCell ref="S177:U177"/>
    <mergeCell ref="P178:R178"/>
    <mergeCell ref="S170:U170"/>
    <mergeCell ref="L169:M169"/>
    <mergeCell ref="N177:O177"/>
    <mergeCell ref="P427:Q427"/>
    <mergeCell ref="R427:S427"/>
    <mergeCell ref="P204:R204"/>
    <mergeCell ref="S204:U204"/>
    <mergeCell ref="R426:S426"/>
    <mergeCell ref="L180:M180"/>
    <mergeCell ref="N180:O180"/>
    <mergeCell ref="L233:M233"/>
    <mergeCell ref="L236:M236"/>
    <mergeCell ref="N236:O236"/>
    <mergeCell ref="P235:R235"/>
    <mergeCell ref="S235:U235"/>
    <mergeCell ref="P236:R236"/>
    <mergeCell ref="S205:U205"/>
    <mergeCell ref="P219:R219"/>
    <mergeCell ref="S227:U227"/>
    <mergeCell ref="S219:U219"/>
    <mergeCell ref="L237:M237"/>
    <mergeCell ref="N237:O237"/>
    <mergeCell ref="P205:R205"/>
    <mergeCell ref="L206:M206"/>
    <mergeCell ref="N206:O206"/>
    <mergeCell ref="L179:M179"/>
    <mergeCell ref="N179:O179"/>
    <mergeCell ref="P238:R238"/>
    <mergeCell ref="S238:U238"/>
    <mergeCell ref="L239:M239"/>
    <mergeCell ref="N239:O239"/>
    <mergeCell ref="P239:R239"/>
    <mergeCell ref="S239:U239"/>
    <mergeCell ref="P242:R242"/>
    <mergeCell ref="B2:U2"/>
    <mergeCell ref="B4:C4"/>
    <mergeCell ref="H4:I4"/>
    <mergeCell ref="J4:K4"/>
    <mergeCell ref="L4:M4"/>
    <mergeCell ref="N4:O4"/>
    <mergeCell ref="Q4:U4"/>
    <mergeCell ref="D4:G4"/>
    <mergeCell ref="O5:P5"/>
    <mergeCell ref="B11:U11"/>
    <mergeCell ref="B5:C5"/>
    <mergeCell ref="D5:N5"/>
    <mergeCell ref="D6:N6"/>
    <mergeCell ref="D428:G428"/>
    <mergeCell ref="J428:K428"/>
    <mergeCell ref="B9:U9"/>
    <mergeCell ref="S6:U6"/>
    <mergeCell ref="B6:C6"/>
    <mergeCell ref="D338:G338"/>
    <mergeCell ref="D339:G339"/>
    <mergeCell ref="B15:U15"/>
    <mergeCell ref="B144:U144"/>
    <mergeCell ref="B75:U75"/>
    <mergeCell ref="L185:M185"/>
    <mergeCell ref="N185:O185"/>
    <mergeCell ref="P155:R155"/>
    <mergeCell ref="N183:O183"/>
    <mergeCell ref="L184:M184"/>
    <mergeCell ref="N184:O184"/>
    <mergeCell ref="L182:M182"/>
    <mergeCell ref="N182:O182"/>
    <mergeCell ref="L183:M183"/>
    <mergeCell ref="B13:D13"/>
    <mergeCell ref="E13:U13"/>
    <mergeCell ref="L191:M191"/>
    <mergeCell ref="N191:O191"/>
    <mergeCell ref="S155:U155"/>
    <mergeCell ref="S5:U5"/>
    <mergeCell ref="Q5:R5"/>
    <mergeCell ref="Q6:R6"/>
    <mergeCell ref="L188:M188"/>
    <mergeCell ref="N188:O188"/>
    <mergeCell ref="O6:P6"/>
    <mergeCell ref="E76:P76"/>
    <mergeCell ref="E145:P145"/>
    <mergeCell ref="P156:R156"/>
    <mergeCell ref="P176:R176"/>
    <mergeCell ref="R425:S425"/>
    <mergeCell ref="B360:U360"/>
    <mergeCell ref="D424:G424"/>
    <mergeCell ref="R424:S424"/>
    <mergeCell ref="N233:O233"/>
    <mergeCell ref="H424:I424"/>
    <mergeCell ref="L181:M181"/>
    <mergeCell ref="N181:O181"/>
    <mergeCell ref="P424:Q424"/>
    <mergeCell ref="D425:G425"/>
    <mergeCell ref="H425:I425"/>
    <mergeCell ref="P425:Q425"/>
    <mergeCell ref="J425:K425"/>
    <mergeCell ref="L425:M425"/>
    <mergeCell ref="N425:O425"/>
    <mergeCell ref="J424:K424"/>
    <mergeCell ref="L424:M424"/>
    <mergeCell ref="S178:U178"/>
    <mergeCell ref="P179:R179"/>
    <mergeCell ref="S179:U179"/>
    <mergeCell ref="L199:M199"/>
    <mergeCell ref="N199:O199"/>
    <mergeCell ref="L198:M198"/>
    <mergeCell ref="N198:O198"/>
    <mergeCell ref="P198:R198"/>
    <mergeCell ref="S198:U198"/>
    <mergeCell ref="P194:R194"/>
    <mergeCell ref="S194:U194"/>
    <mergeCell ref="L197:M197"/>
    <mergeCell ref="N197:O197"/>
    <mergeCell ref="P197:R197"/>
    <mergeCell ref="S197:U197"/>
    <mergeCell ref="L196:M196"/>
    <mergeCell ref="N196:O196"/>
    <mergeCell ref="P196:R196"/>
    <mergeCell ref="S196:U196"/>
    <mergeCell ref="P193:R193"/>
    <mergeCell ref="S193:U193"/>
    <mergeCell ref="L192:M192"/>
    <mergeCell ref="N192:O192"/>
    <mergeCell ref="L190:M190"/>
    <mergeCell ref="N190:O190"/>
    <mergeCell ref="L189:M189"/>
    <mergeCell ref="N189:O189"/>
    <mergeCell ref="L193:M193"/>
    <mergeCell ref="N193:O193"/>
    <mergeCell ref="L187:M187"/>
    <mergeCell ref="S186:U186"/>
    <mergeCell ref="P187:R187"/>
    <mergeCell ref="S187:U187"/>
    <mergeCell ref="P188:R188"/>
    <mergeCell ref="S188:U188"/>
    <mergeCell ref="P183:R183"/>
    <mergeCell ref="S183:U183"/>
    <mergeCell ref="P184:R184"/>
    <mergeCell ref="S184:U184"/>
    <mergeCell ref="P185:R185"/>
    <mergeCell ref="S185:U185"/>
    <mergeCell ref="P180:R180"/>
    <mergeCell ref="S180:U180"/>
    <mergeCell ref="P181:R181"/>
    <mergeCell ref="S181:U181"/>
    <mergeCell ref="P182:R182"/>
    <mergeCell ref="S182:U182"/>
    <mergeCell ref="S192:U192"/>
    <mergeCell ref="L201:M201"/>
    <mergeCell ref="N201:O201"/>
    <mergeCell ref="P201:R201"/>
    <mergeCell ref="S201:U201"/>
    <mergeCell ref="P199:R199"/>
    <mergeCell ref="S199:U199"/>
    <mergeCell ref="P200:R200"/>
    <mergeCell ref="S200:U200"/>
    <mergeCell ref="L195:M195"/>
    <mergeCell ref="N195:O195"/>
    <mergeCell ref="P195:R195"/>
    <mergeCell ref="S195:U195"/>
    <mergeCell ref="L194:M194"/>
    <mergeCell ref="N194:O194"/>
    <mergeCell ref="P189:R189"/>
    <mergeCell ref="S189:U189"/>
    <mergeCell ref="S190:U190"/>
    <mergeCell ref="P191:R191"/>
    <mergeCell ref="S191:U191"/>
    <mergeCell ref="L205:M205"/>
    <mergeCell ref="L220:M220"/>
    <mergeCell ref="N220:O220"/>
    <mergeCell ref="L219:M219"/>
    <mergeCell ref="N219:O219"/>
    <mergeCell ref="L218:M218"/>
    <mergeCell ref="P220:R220"/>
    <mergeCell ref="S220:U220"/>
    <mergeCell ref="N210:O210"/>
    <mergeCell ref="L200:M200"/>
    <mergeCell ref="P203:R203"/>
    <mergeCell ref="S203:U203"/>
    <mergeCell ref="L203:M203"/>
    <mergeCell ref="N203:O203"/>
    <mergeCell ref="L202:M202"/>
    <mergeCell ref="N202:O202"/>
    <mergeCell ref="P202:R202"/>
    <mergeCell ref="S202:U202"/>
    <mergeCell ref="L204:M204"/>
    <mergeCell ref="N204:O204"/>
    <mergeCell ref="P207:R207"/>
    <mergeCell ref="S207:U207"/>
    <mergeCell ref="P208:R208"/>
    <mergeCell ref="S208:U208"/>
    <mergeCell ref="N205:O205"/>
    <mergeCell ref="P209:R209"/>
    <mergeCell ref="S209:U209"/>
    <mergeCell ref="P210:R210"/>
    <mergeCell ref="S210:U210"/>
    <mergeCell ref="B479:U479"/>
    <mergeCell ref="L226:M226"/>
    <mergeCell ref="N226:O226"/>
    <mergeCell ref="N224:O224"/>
    <mergeCell ref="L225:M225"/>
    <mergeCell ref="B476:U476"/>
    <mergeCell ref="N225:O225"/>
    <mergeCell ref="H428:I428"/>
    <mergeCell ref="D340:G340"/>
    <mergeCell ref="L223:M223"/>
    <mergeCell ref="L207:M207"/>
    <mergeCell ref="N207:O207"/>
    <mergeCell ref="P206:R206"/>
    <mergeCell ref="R428:S428"/>
    <mergeCell ref="L428:M428"/>
    <mergeCell ref="N428:O428"/>
    <mergeCell ref="P428:Q428"/>
    <mergeCell ref="S206:U206"/>
    <mergeCell ref="E477:P477"/>
    <mergeCell ref="P426:Q426"/>
    <mergeCell ref="D427:G427"/>
    <mergeCell ref="H427:I427"/>
    <mergeCell ref="J427:K427"/>
    <mergeCell ref="L427:M427"/>
    <mergeCell ref="N427:O427"/>
    <mergeCell ref="J426:K426"/>
    <mergeCell ref="L426:M426"/>
    <mergeCell ref="N426:O426"/>
    <mergeCell ref="D426:G426"/>
    <mergeCell ref="H426:I426"/>
    <mergeCell ref="N424:O424"/>
    <mergeCell ref="S242:U242"/>
    <mergeCell ref="L235:M235"/>
    <mergeCell ref="L232:M232"/>
    <mergeCell ref="N232:O232"/>
    <mergeCell ref="P232:R232"/>
    <mergeCell ref="S232:U232"/>
    <mergeCell ref="L231:M231"/>
    <mergeCell ref="P226:R226"/>
    <mergeCell ref="P228:R228"/>
    <mergeCell ref="L230:M230"/>
    <mergeCell ref="N230:O230"/>
    <mergeCell ref="P230:R230"/>
    <mergeCell ref="P227:R227"/>
    <mergeCell ref="L228:M228"/>
    <mergeCell ref="N228:O228"/>
    <mergeCell ref="L227:M227"/>
    <mergeCell ref="N227:O227"/>
    <mergeCell ref="N235:O235"/>
    <mergeCell ref="P234:R234"/>
    <mergeCell ref="L238:M238"/>
    <mergeCell ref="N238:O238"/>
    <mergeCell ref="L240:M240"/>
    <mergeCell ref="N240:O240"/>
    <mergeCell ref="L234:M234"/>
    <mergeCell ref="N234:O234"/>
    <mergeCell ref="P240:R240"/>
    <mergeCell ref="S240:U240"/>
    <mergeCell ref="L241:M241"/>
    <mergeCell ref="N241:O241"/>
    <mergeCell ref="P241:R241"/>
    <mergeCell ref="S241:U241"/>
    <mergeCell ref="L242:M242"/>
    <mergeCell ref="N242:O242"/>
    <mergeCell ref="N223:O223"/>
    <mergeCell ref="L224:M224"/>
    <mergeCell ref="G19:I19"/>
    <mergeCell ref="P23:R23"/>
    <mergeCell ref="G24:I24"/>
    <mergeCell ref="J24:L24"/>
    <mergeCell ref="M24:O24"/>
    <mergeCell ref="P24:R24"/>
    <mergeCell ref="G25:I25"/>
    <mergeCell ref="J25:L25"/>
    <mergeCell ref="M25:O25"/>
    <mergeCell ref="P25:R25"/>
    <mergeCell ref="P26:R26"/>
    <mergeCell ref="G27:I27"/>
    <mergeCell ref="J27:L27"/>
    <mergeCell ref="M27:O27"/>
    <mergeCell ref="J193:K193"/>
    <mergeCell ref="P192:R192"/>
    <mergeCell ref="G17:I17"/>
    <mergeCell ref="J17:L17"/>
    <mergeCell ref="J68:L68"/>
    <mergeCell ref="G71:I71"/>
    <mergeCell ref="J71:L71"/>
    <mergeCell ref="J20:L20"/>
    <mergeCell ref="N231:O231"/>
    <mergeCell ref="P231:R231"/>
    <mergeCell ref="S231:U231"/>
    <mergeCell ref="D204:E204"/>
    <mergeCell ref="F204:G204"/>
    <mergeCell ref="H204:I204"/>
    <mergeCell ref="J204:K204"/>
    <mergeCell ref="D205:E205"/>
    <mergeCell ref="F205:G205"/>
    <mergeCell ref="H205:I205"/>
    <mergeCell ref="S230:U230"/>
    <mergeCell ref="L229:M229"/>
    <mergeCell ref="N229:O229"/>
    <mergeCell ref="P229:R229"/>
    <mergeCell ref="S229:U229"/>
    <mergeCell ref="B135:H135"/>
    <mergeCell ref="I135:U135"/>
    <mergeCell ref="L222:M222"/>
    <mergeCell ref="N222:O222"/>
    <mergeCell ref="L221:M221"/>
    <mergeCell ref="N221:O221"/>
    <mergeCell ref="L210:M210"/>
    <mergeCell ref="H193:I193"/>
    <mergeCell ref="J22:L22"/>
    <mergeCell ref="P22:R22"/>
    <mergeCell ref="G20:I20"/>
    <mergeCell ref="P186:R186"/>
    <mergeCell ref="P177:R177"/>
    <mergeCell ref="N187:O187"/>
    <mergeCell ref="L186:M186"/>
    <mergeCell ref="N186:O186"/>
    <mergeCell ref="L170:M170"/>
    <mergeCell ref="N170:O170"/>
    <mergeCell ref="P170:R170"/>
    <mergeCell ref="L165:M165"/>
    <mergeCell ref="N165:O165"/>
    <mergeCell ref="P165:R165"/>
    <mergeCell ref="L160:M160"/>
    <mergeCell ref="P190:R190"/>
    <mergeCell ref="L177:M177"/>
    <mergeCell ref="P17:R17"/>
    <mergeCell ref="G18:I18"/>
    <mergeCell ref="J18:L18"/>
    <mergeCell ref="M18:O18"/>
    <mergeCell ref="P18:R18"/>
    <mergeCell ref="J19:L19"/>
    <mergeCell ref="M19:O19"/>
    <mergeCell ref="P19:R19"/>
    <mergeCell ref="M17:O17"/>
    <mergeCell ref="M20:O20"/>
    <mergeCell ref="P27:R27"/>
    <mergeCell ref="G28:I28"/>
    <mergeCell ref="J28:L28"/>
    <mergeCell ref="M28:O28"/>
    <mergeCell ref="P28:R28"/>
    <mergeCell ref="G29:I29"/>
    <mergeCell ref="J29:L29"/>
    <mergeCell ref="M29:O29"/>
    <mergeCell ref="P29:R29"/>
    <mergeCell ref="G23:I23"/>
    <mergeCell ref="J23:L23"/>
    <mergeCell ref="M23:O23"/>
    <mergeCell ref="G26:I26"/>
    <mergeCell ref="J26:L26"/>
    <mergeCell ref="M26:O26"/>
    <mergeCell ref="P20:R20"/>
    <mergeCell ref="M21:O21"/>
    <mergeCell ref="P21:R21"/>
    <mergeCell ref="M22:O22"/>
    <mergeCell ref="G21:I21"/>
    <mergeCell ref="J21:L21"/>
    <mergeCell ref="G22:I22"/>
    <mergeCell ref="G30:I30"/>
    <mergeCell ref="J30:L30"/>
    <mergeCell ref="M30:O30"/>
    <mergeCell ref="P30:R30"/>
    <mergeCell ref="M65:O65"/>
    <mergeCell ref="J80:L80"/>
    <mergeCell ref="M80:O80"/>
    <mergeCell ref="P80:R80"/>
    <mergeCell ref="G81:I81"/>
    <mergeCell ref="J81:L81"/>
    <mergeCell ref="M81:O81"/>
    <mergeCell ref="P81:R81"/>
    <mergeCell ref="P85:R85"/>
    <mergeCell ref="P86:R86"/>
    <mergeCell ref="M87:O87"/>
    <mergeCell ref="P87:R87"/>
    <mergeCell ref="J86:L86"/>
    <mergeCell ref="J87:L87"/>
    <mergeCell ref="J88:L88"/>
    <mergeCell ref="M83:O83"/>
    <mergeCell ref="M85:O85"/>
    <mergeCell ref="G72:I72"/>
    <mergeCell ref="J72:L72"/>
    <mergeCell ref="M72:O72"/>
    <mergeCell ref="P72:R72"/>
    <mergeCell ref="G79:I79"/>
    <mergeCell ref="J79:L79"/>
    <mergeCell ref="M79:O79"/>
    <mergeCell ref="P79:R79"/>
    <mergeCell ref="M78:O78"/>
    <mergeCell ref="P78:R78"/>
    <mergeCell ref="M71:O71"/>
    <mergeCell ref="P71:R71"/>
    <mergeCell ref="G70:I70"/>
    <mergeCell ref="J70:L70"/>
    <mergeCell ref="M70:O70"/>
    <mergeCell ref="P92:R92"/>
    <mergeCell ref="P93:R93"/>
    <mergeCell ref="G93:I93"/>
    <mergeCell ref="G94:I94"/>
    <mergeCell ref="J90:L90"/>
    <mergeCell ref="M90:O90"/>
    <mergeCell ref="G83:I83"/>
    <mergeCell ref="G84:I84"/>
    <mergeCell ref="G85:I85"/>
    <mergeCell ref="G86:I86"/>
    <mergeCell ref="G87:I87"/>
    <mergeCell ref="G88:I88"/>
    <mergeCell ref="G91:I91"/>
    <mergeCell ref="P99:R99"/>
    <mergeCell ref="J67:L67"/>
    <mergeCell ref="M67:O67"/>
    <mergeCell ref="P70:R70"/>
    <mergeCell ref="M68:O68"/>
    <mergeCell ref="P68:R68"/>
    <mergeCell ref="J69:L69"/>
    <mergeCell ref="G68:I68"/>
    <mergeCell ref="G69:I69"/>
    <mergeCell ref="M69:O69"/>
    <mergeCell ref="P69:R69"/>
    <mergeCell ref="G90:I90"/>
    <mergeCell ref="M88:O88"/>
    <mergeCell ref="J91:L91"/>
    <mergeCell ref="M91:O91"/>
    <mergeCell ref="P91:R91"/>
    <mergeCell ref="J89:L89"/>
    <mergeCell ref="M99:O99"/>
    <mergeCell ref="P94:R94"/>
    <mergeCell ref="G100:I100"/>
    <mergeCell ref="J100:L100"/>
    <mergeCell ref="M100:O100"/>
    <mergeCell ref="P100:R100"/>
    <mergeCell ref="G95:I95"/>
    <mergeCell ref="J95:L95"/>
    <mergeCell ref="M95:O95"/>
    <mergeCell ref="P95:R95"/>
    <mergeCell ref="P97:R97"/>
    <mergeCell ref="M98:O98"/>
    <mergeCell ref="P98:R98"/>
    <mergeCell ref="J101:L101"/>
    <mergeCell ref="M101:O101"/>
    <mergeCell ref="M97:O97"/>
    <mergeCell ref="G97:I97"/>
    <mergeCell ref="J97:L97"/>
    <mergeCell ref="G98:I98"/>
    <mergeCell ref="G99:I99"/>
    <mergeCell ref="J98:L98"/>
    <mergeCell ref="J99:L99"/>
    <mergeCell ref="G101:I101"/>
    <mergeCell ref="P96:R96"/>
    <mergeCell ref="J117:L117"/>
    <mergeCell ref="G118:I118"/>
    <mergeCell ref="M108:O108"/>
    <mergeCell ref="P108:R108"/>
    <mergeCell ref="G109:I109"/>
    <mergeCell ref="J109:L109"/>
    <mergeCell ref="M109:O109"/>
    <mergeCell ref="P109:R109"/>
    <mergeCell ref="J105:L105"/>
    <mergeCell ref="M105:O105"/>
    <mergeCell ref="P105:R105"/>
    <mergeCell ref="G106:I106"/>
    <mergeCell ref="J106:L106"/>
    <mergeCell ref="M106:O106"/>
    <mergeCell ref="P106:R106"/>
    <mergeCell ref="G103:I103"/>
    <mergeCell ref="J103:L103"/>
    <mergeCell ref="M103:O103"/>
    <mergeCell ref="P103:R103"/>
    <mergeCell ref="P107:R107"/>
    <mergeCell ref="P104:R104"/>
    <mergeCell ref="G107:I107"/>
    <mergeCell ref="J107:L107"/>
    <mergeCell ref="G108:I108"/>
    <mergeCell ref="J108:L108"/>
    <mergeCell ref="G104:I104"/>
    <mergeCell ref="J104:L104"/>
    <mergeCell ref="G105:I105"/>
    <mergeCell ref="G126:I126"/>
    <mergeCell ref="J126:L126"/>
    <mergeCell ref="M126:O126"/>
    <mergeCell ref="P126:R126"/>
    <mergeCell ref="G129:I129"/>
    <mergeCell ref="G102:I102"/>
    <mergeCell ref="J102:L102"/>
    <mergeCell ref="G96:I96"/>
    <mergeCell ref="J96:L96"/>
    <mergeCell ref="M96:O96"/>
    <mergeCell ref="P118:R118"/>
    <mergeCell ref="G112:I112"/>
    <mergeCell ref="J112:L112"/>
    <mergeCell ref="M112:O112"/>
    <mergeCell ref="P112:R112"/>
    <mergeCell ref="G113:I113"/>
    <mergeCell ref="J113:L113"/>
    <mergeCell ref="M113:O113"/>
    <mergeCell ref="P113:R113"/>
    <mergeCell ref="G110:I110"/>
    <mergeCell ref="J110:L110"/>
    <mergeCell ref="M110:O110"/>
    <mergeCell ref="P110:R110"/>
    <mergeCell ref="G111:I111"/>
    <mergeCell ref="J111:L111"/>
    <mergeCell ref="M111:O111"/>
    <mergeCell ref="P111:R111"/>
    <mergeCell ref="G114:I114"/>
    <mergeCell ref="G115:I115"/>
    <mergeCell ref="G116:I116"/>
    <mergeCell ref="G117:I117"/>
    <mergeCell ref="J116:L116"/>
    <mergeCell ref="G131:I131"/>
    <mergeCell ref="J131:L131"/>
    <mergeCell ref="M131:O131"/>
    <mergeCell ref="P131:R131"/>
    <mergeCell ref="G132:I132"/>
    <mergeCell ref="J132:L132"/>
    <mergeCell ref="M132:O132"/>
    <mergeCell ref="P132:R132"/>
    <mergeCell ref="D134:F134"/>
    <mergeCell ref="J150:K150"/>
    <mergeCell ref="D151:E151"/>
    <mergeCell ref="N151:O151"/>
    <mergeCell ref="H153:I153"/>
    <mergeCell ref="J153:K153"/>
    <mergeCell ref="G119:I119"/>
    <mergeCell ref="J119:L119"/>
    <mergeCell ref="M119:O119"/>
    <mergeCell ref="P119:R119"/>
    <mergeCell ref="G120:I120"/>
    <mergeCell ref="J120:L120"/>
    <mergeCell ref="M120:O120"/>
    <mergeCell ref="P120:R120"/>
    <mergeCell ref="G130:I130"/>
    <mergeCell ref="J130:L130"/>
    <mergeCell ref="M130:O130"/>
    <mergeCell ref="P130:R130"/>
    <mergeCell ref="G127:I127"/>
    <mergeCell ref="J127:L127"/>
    <mergeCell ref="M127:O127"/>
    <mergeCell ref="P127:R127"/>
    <mergeCell ref="G128:I128"/>
    <mergeCell ref="G125:I125"/>
    <mergeCell ref="D154:E154"/>
    <mergeCell ref="F154:G154"/>
    <mergeCell ref="H154:I154"/>
    <mergeCell ref="J154:K154"/>
    <mergeCell ref="D153:E153"/>
    <mergeCell ref="F153:G153"/>
    <mergeCell ref="D152:E152"/>
    <mergeCell ref="F151:G151"/>
    <mergeCell ref="H151:I151"/>
    <mergeCell ref="J151:K151"/>
    <mergeCell ref="F152:G152"/>
    <mergeCell ref="H152:I152"/>
    <mergeCell ref="J152:K152"/>
    <mergeCell ref="G133:I133"/>
    <mergeCell ref="J133:L133"/>
    <mergeCell ref="L153:M153"/>
    <mergeCell ref="D159:E159"/>
    <mergeCell ref="F159:G159"/>
    <mergeCell ref="H159:I159"/>
    <mergeCell ref="J159:K159"/>
    <mergeCell ref="G134:I134"/>
    <mergeCell ref="J134:L134"/>
    <mergeCell ref="M134:O134"/>
    <mergeCell ref="L158:M158"/>
    <mergeCell ref="N158:O158"/>
    <mergeCell ref="D160:E160"/>
    <mergeCell ref="F160:G160"/>
    <mergeCell ref="H160:I160"/>
    <mergeCell ref="J160:K160"/>
    <mergeCell ref="D157:E157"/>
    <mergeCell ref="F157:G157"/>
    <mergeCell ref="H157:I157"/>
    <mergeCell ref="J157:K157"/>
    <mergeCell ref="D158:E158"/>
    <mergeCell ref="F158:G158"/>
    <mergeCell ref="H158:I158"/>
    <mergeCell ref="J158:K158"/>
    <mergeCell ref="H155:I155"/>
    <mergeCell ref="J155:K155"/>
    <mergeCell ref="D156:E156"/>
    <mergeCell ref="F156:G156"/>
    <mergeCell ref="H156:I156"/>
    <mergeCell ref="J156:K156"/>
    <mergeCell ref="D155:E155"/>
    <mergeCell ref="F155:G155"/>
    <mergeCell ref="D165:E165"/>
    <mergeCell ref="F165:G165"/>
    <mergeCell ref="H165:I165"/>
    <mergeCell ref="J165:K165"/>
    <mergeCell ref="D166:E166"/>
    <mergeCell ref="F166:G166"/>
    <mergeCell ref="H166:I166"/>
    <mergeCell ref="J166:K166"/>
    <mergeCell ref="D163:E163"/>
    <mergeCell ref="F163:G163"/>
    <mergeCell ref="H163:I163"/>
    <mergeCell ref="J163:K163"/>
    <mergeCell ref="D164:E164"/>
    <mergeCell ref="F164:G164"/>
    <mergeCell ref="H164:I164"/>
    <mergeCell ref="J164:K164"/>
    <mergeCell ref="D161:E161"/>
    <mergeCell ref="F161:G161"/>
    <mergeCell ref="H161:I161"/>
    <mergeCell ref="J161:K161"/>
    <mergeCell ref="D162:E162"/>
    <mergeCell ref="F162:G162"/>
    <mergeCell ref="H162:I162"/>
    <mergeCell ref="J162:K162"/>
    <mergeCell ref="D171:E171"/>
    <mergeCell ref="F171:G171"/>
    <mergeCell ref="H171:I171"/>
    <mergeCell ref="J171:K171"/>
    <mergeCell ref="D172:E172"/>
    <mergeCell ref="F172:G172"/>
    <mergeCell ref="H172:I172"/>
    <mergeCell ref="J172:K172"/>
    <mergeCell ref="D169:E169"/>
    <mergeCell ref="F169:G169"/>
    <mergeCell ref="H169:I169"/>
    <mergeCell ref="J169:K169"/>
    <mergeCell ref="D170:E170"/>
    <mergeCell ref="F170:G170"/>
    <mergeCell ref="H170:I170"/>
    <mergeCell ref="J170:K170"/>
    <mergeCell ref="D167:E167"/>
    <mergeCell ref="F167:G167"/>
    <mergeCell ref="H167:I167"/>
    <mergeCell ref="J167:K167"/>
    <mergeCell ref="D168:E168"/>
    <mergeCell ref="F168:G168"/>
    <mergeCell ref="H168:I168"/>
    <mergeCell ref="J168:K168"/>
    <mergeCell ref="D177:E177"/>
    <mergeCell ref="F177:G177"/>
    <mergeCell ref="H177:I177"/>
    <mergeCell ref="J177:K177"/>
    <mergeCell ref="D178:E178"/>
    <mergeCell ref="F178:G178"/>
    <mergeCell ref="H178:I178"/>
    <mergeCell ref="J178:K178"/>
    <mergeCell ref="D175:E175"/>
    <mergeCell ref="F175:G175"/>
    <mergeCell ref="H175:I175"/>
    <mergeCell ref="J175:K175"/>
    <mergeCell ref="D176:E176"/>
    <mergeCell ref="F176:G176"/>
    <mergeCell ref="H176:I176"/>
    <mergeCell ref="J176:K176"/>
    <mergeCell ref="D173:E173"/>
    <mergeCell ref="F173:G173"/>
    <mergeCell ref="H173:I173"/>
    <mergeCell ref="J173:K173"/>
    <mergeCell ref="D174:E174"/>
    <mergeCell ref="F174:G174"/>
    <mergeCell ref="H174:I174"/>
    <mergeCell ref="J174:K174"/>
    <mergeCell ref="H183:I183"/>
    <mergeCell ref="J183:K183"/>
    <mergeCell ref="D184:E184"/>
    <mergeCell ref="F184:G184"/>
    <mergeCell ref="H184:I184"/>
    <mergeCell ref="J184:K184"/>
    <mergeCell ref="D183:E183"/>
    <mergeCell ref="F183:G183"/>
    <mergeCell ref="D181:E181"/>
    <mergeCell ref="F181:G181"/>
    <mergeCell ref="H181:I181"/>
    <mergeCell ref="J181:K181"/>
    <mergeCell ref="D182:E182"/>
    <mergeCell ref="F182:G182"/>
    <mergeCell ref="H182:I182"/>
    <mergeCell ref="J182:K182"/>
    <mergeCell ref="H179:I179"/>
    <mergeCell ref="J179:K179"/>
    <mergeCell ref="D180:E180"/>
    <mergeCell ref="F180:G180"/>
    <mergeCell ref="H180:I180"/>
    <mergeCell ref="J180:K180"/>
    <mergeCell ref="D179:E179"/>
    <mergeCell ref="F179:G179"/>
    <mergeCell ref="H189:I189"/>
    <mergeCell ref="J189:K189"/>
    <mergeCell ref="D190:E190"/>
    <mergeCell ref="F190:G190"/>
    <mergeCell ref="H190:I190"/>
    <mergeCell ref="J190:K190"/>
    <mergeCell ref="D189:E189"/>
    <mergeCell ref="F189:G189"/>
    <mergeCell ref="H187:I187"/>
    <mergeCell ref="J187:K187"/>
    <mergeCell ref="D188:E188"/>
    <mergeCell ref="F188:G188"/>
    <mergeCell ref="H188:I188"/>
    <mergeCell ref="J188:K188"/>
    <mergeCell ref="D187:E187"/>
    <mergeCell ref="F187:G187"/>
    <mergeCell ref="H185:I185"/>
    <mergeCell ref="J185:K185"/>
    <mergeCell ref="D186:E186"/>
    <mergeCell ref="F186:G186"/>
    <mergeCell ref="H186:I186"/>
    <mergeCell ref="J186:K186"/>
    <mergeCell ref="D185:E185"/>
    <mergeCell ref="F185:G185"/>
    <mergeCell ref="D196:E196"/>
    <mergeCell ref="F196:G196"/>
    <mergeCell ref="H196:I196"/>
    <mergeCell ref="J196:K196"/>
    <mergeCell ref="D197:E197"/>
    <mergeCell ref="F197:G197"/>
    <mergeCell ref="H197:I197"/>
    <mergeCell ref="J197:K197"/>
    <mergeCell ref="H194:I194"/>
    <mergeCell ref="J194:K194"/>
    <mergeCell ref="D195:E195"/>
    <mergeCell ref="F195:G195"/>
    <mergeCell ref="H195:I195"/>
    <mergeCell ref="J195:K195"/>
    <mergeCell ref="D194:E194"/>
    <mergeCell ref="F194:G194"/>
    <mergeCell ref="D191:E191"/>
    <mergeCell ref="F191:G191"/>
    <mergeCell ref="H191:I191"/>
    <mergeCell ref="J191:K191"/>
    <mergeCell ref="D192:E192"/>
    <mergeCell ref="F192:G192"/>
    <mergeCell ref="H192:I192"/>
    <mergeCell ref="J192:K192"/>
    <mergeCell ref="D193:E193"/>
    <mergeCell ref="F193:G193"/>
    <mergeCell ref="H203:I203"/>
    <mergeCell ref="J203:K203"/>
    <mergeCell ref="D200:E200"/>
    <mergeCell ref="F200:G200"/>
    <mergeCell ref="H200:I200"/>
    <mergeCell ref="J200:K200"/>
    <mergeCell ref="D201:E201"/>
    <mergeCell ref="F201:G201"/>
    <mergeCell ref="H201:I201"/>
    <mergeCell ref="J201:K201"/>
    <mergeCell ref="N200:O200"/>
    <mergeCell ref="D198:E198"/>
    <mergeCell ref="F198:G198"/>
    <mergeCell ref="H198:I198"/>
    <mergeCell ref="J198:K198"/>
    <mergeCell ref="D199:E199"/>
    <mergeCell ref="F199:G199"/>
    <mergeCell ref="H199:I199"/>
    <mergeCell ref="J199:K199"/>
    <mergeCell ref="D218:E218"/>
    <mergeCell ref="F218:G218"/>
    <mergeCell ref="H218:I218"/>
    <mergeCell ref="J218:K218"/>
    <mergeCell ref="B213:U213"/>
    <mergeCell ref="E214:P214"/>
    <mergeCell ref="L217:M217"/>
    <mergeCell ref="N217:O217"/>
    <mergeCell ref="B216:B217"/>
    <mergeCell ref="C216:C217"/>
    <mergeCell ref="J217:K217"/>
    <mergeCell ref="S218:U218"/>
    <mergeCell ref="D216:E217"/>
    <mergeCell ref="F216:G217"/>
    <mergeCell ref="H216:I217"/>
    <mergeCell ref="J216:O216"/>
    <mergeCell ref="P216:R217"/>
    <mergeCell ref="N218:O218"/>
    <mergeCell ref="P218:R218"/>
    <mergeCell ref="F223:G223"/>
    <mergeCell ref="H223:I223"/>
    <mergeCell ref="J223:K223"/>
    <mergeCell ref="D224:E224"/>
    <mergeCell ref="F224:G224"/>
    <mergeCell ref="H224:I224"/>
    <mergeCell ref="J224:K224"/>
    <mergeCell ref="D223:E223"/>
    <mergeCell ref="H221:I221"/>
    <mergeCell ref="J221:K221"/>
    <mergeCell ref="D222:E222"/>
    <mergeCell ref="F222:G222"/>
    <mergeCell ref="H222:I222"/>
    <mergeCell ref="J222:K222"/>
    <mergeCell ref="D221:E221"/>
    <mergeCell ref="F221:G221"/>
    <mergeCell ref="H219:I219"/>
    <mergeCell ref="J219:K219"/>
    <mergeCell ref="D220:E220"/>
    <mergeCell ref="F220:G220"/>
    <mergeCell ref="H220:I220"/>
    <mergeCell ref="J220:K220"/>
    <mergeCell ref="F219:G219"/>
    <mergeCell ref="D219:E219"/>
    <mergeCell ref="D229:E229"/>
    <mergeCell ref="F229:G229"/>
    <mergeCell ref="H229:I229"/>
    <mergeCell ref="J229:K229"/>
    <mergeCell ref="D230:E230"/>
    <mergeCell ref="F230:G230"/>
    <mergeCell ref="H230:I230"/>
    <mergeCell ref="J230:K230"/>
    <mergeCell ref="F227:G227"/>
    <mergeCell ref="H227:I227"/>
    <mergeCell ref="J227:K227"/>
    <mergeCell ref="D228:E228"/>
    <mergeCell ref="F228:G228"/>
    <mergeCell ref="H228:I228"/>
    <mergeCell ref="J228:K228"/>
    <mergeCell ref="D227:E227"/>
    <mergeCell ref="D225:E225"/>
    <mergeCell ref="F225:G225"/>
    <mergeCell ref="H225:I225"/>
    <mergeCell ref="J225:K225"/>
    <mergeCell ref="D226:E226"/>
    <mergeCell ref="F226:G226"/>
    <mergeCell ref="H226:I226"/>
    <mergeCell ref="J226:K226"/>
    <mergeCell ref="D235:E235"/>
    <mergeCell ref="F235:G235"/>
    <mergeCell ref="H235:I235"/>
    <mergeCell ref="J235:K235"/>
    <mergeCell ref="D236:E236"/>
    <mergeCell ref="F236:G236"/>
    <mergeCell ref="H236:I236"/>
    <mergeCell ref="J236:K236"/>
    <mergeCell ref="D233:E233"/>
    <mergeCell ref="F233:G233"/>
    <mergeCell ref="H233:I233"/>
    <mergeCell ref="J233:K233"/>
    <mergeCell ref="D234:E234"/>
    <mergeCell ref="F234:G234"/>
    <mergeCell ref="H234:I234"/>
    <mergeCell ref="J234:K234"/>
    <mergeCell ref="D231:E231"/>
    <mergeCell ref="F231:G231"/>
    <mergeCell ref="H231:I231"/>
    <mergeCell ref="J231:K231"/>
    <mergeCell ref="D232:E232"/>
    <mergeCell ref="F232:G232"/>
    <mergeCell ref="H232:I232"/>
    <mergeCell ref="J232:K232"/>
    <mergeCell ref="D241:E241"/>
    <mergeCell ref="F241:G241"/>
    <mergeCell ref="H241:I241"/>
    <mergeCell ref="J241:K241"/>
    <mergeCell ref="D242:E242"/>
    <mergeCell ref="F242:G242"/>
    <mergeCell ref="H242:I242"/>
    <mergeCell ref="J242:K242"/>
    <mergeCell ref="D239:E239"/>
    <mergeCell ref="F239:G239"/>
    <mergeCell ref="H239:I239"/>
    <mergeCell ref="J239:K239"/>
    <mergeCell ref="D240:E240"/>
    <mergeCell ref="F240:G240"/>
    <mergeCell ref="H240:I240"/>
    <mergeCell ref="J240:K240"/>
    <mergeCell ref="D237:E237"/>
    <mergeCell ref="F237:G237"/>
    <mergeCell ref="H237:I237"/>
    <mergeCell ref="J237:K237"/>
    <mergeCell ref="D238:E238"/>
    <mergeCell ref="F238:G238"/>
    <mergeCell ref="H238:I238"/>
    <mergeCell ref="J238:K238"/>
    <mergeCell ref="D247:E247"/>
    <mergeCell ref="F247:G247"/>
    <mergeCell ref="H247:I247"/>
    <mergeCell ref="J247:K247"/>
    <mergeCell ref="D248:E248"/>
    <mergeCell ref="F248:G248"/>
    <mergeCell ref="H248:I248"/>
    <mergeCell ref="J248:K248"/>
    <mergeCell ref="D245:E245"/>
    <mergeCell ref="F245:G245"/>
    <mergeCell ref="H245:I245"/>
    <mergeCell ref="J245:K245"/>
    <mergeCell ref="D246:E246"/>
    <mergeCell ref="F246:G246"/>
    <mergeCell ref="H246:I246"/>
    <mergeCell ref="J246:K246"/>
    <mergeCell ref="D243:E243"/>
    <mergeCell ref="F243:G243"/>
    <mergeCell ref="H243:I243"/>
    <mergeCell ref="J243:K243"/>
    <mergeCell ref="D244:E244"/>
    <mergeCell ref="F244:G244"/>
    <mergeCell ref="H244:I244"/>
    <mergeCell ref="J244:K244"/>
    <mergeCell ref="D253:E253"/>
    <mergeCell ref="F253:G253"/>
    <mergeCell ref="H253:I253"/>
    <mergeCell ref="J253:K253"/>
    <mergeCell ref="D254:E254"/>
    <mergeCell ref="F254:G254"/>
    <mergeCell ref="H254:I254"/>
    <mergeCell ref="J254:K254"/>
    <mergeCell ref="D251:E251"/>
    <mergeCell ref="F251:G251"/>
    <mergeCell ref="H251:I251"/>
    <mergeCell ref="J251:K251"/>
    <mergeCell ref="D252:E252"/>
    <mergeCell ref="F252:G252"/>
    <mergeCell ref="H252:I252"/>
    <mergeCell ref="J252:K252"/>
    <mergeCell ref="D249:E249"/>
    <mergeCell ref="F249:G249"/>
    <mergeCell ref="H249:I249"/>
    <mergeCell ref="J249:K249"/>
    <mergeCell ref="D250:E250"/>
    <mergeCell ref="F250:G250"/>
    <mergeCell ref="H250:I250"/>
    <mergeCell ref="J250:K250"/>
    <mergeCell ref="H259:I259"/>
    <mergeCell ref="J259:K259"/>
    <mergeCell ref="D260:E260"/>
    <mergeCell ref="F260:G260"/>
    <mergeCell ref="H260:I260"/>
    <mergeCell ref="J260:K260"/>
    <mergeCell ref="D257:E257"/>
    <mergeCell ref="F257:G257"/>
    <mergeCell ref="H257:I257"/>
    <mergeCell ref="J257:K257"/>
    <mergeCell ref="D258:E258"/>
    <mergeCell ref="F258:G258"/>
    <mergeCell ref="H258:I258"/>
    <mergeCell ref="J258:K258"/>
    <mergeCell ref="D255:E255"/>
    <mergeCell ref="F255:G255"/>
    <mergeCell ref="H255:I255"/>
    <mergeCell ref="J255:K255"/>
    <mergeCell ref="D256:E256"/>
    <mergeCell ref="F256:G256"/>
    <mergeCell ref="H256:I256"/>
    <mergeCell ref="J256:K256"/>
    <mergeCell ref="D263:E263"/>
    <mergeCell ref="F263:G263"/>
    <mergeCell ref="H263:I263"/>
    <mergeCell ref="J263:K263"/>
    <mergeCell ref="D264:E264"/>
    <mergeCell ref="F264:G264"/>
    <mergeCell ref="H264:I264"/>
    <mergeCell ref="J264:K264"/>
    <mergeCell ref="L264:M264"/>
    <mergeCell ref="N264:O264"/>
    <mergeCell ref="P264:R264"/>
    <mergeCell ref="S264:U264"/>
    <mergeCell ref="L265:M265"/>
    <mergeCell ref="N265:O265"/>
    <mergeCell ref="L266:M266"/>
    <mergeCell ref="J266:K266"/>
    <mergeCell ref="D210:E210"/>
    <mergeCell ref="F210:G210"/>
    <mergeCell ref="H210:I210"/>
    <mergeCell ref="J210:K210"/>
    <mergeCell ref="S216:U217"/>
    <mergeCell ref="B211:U211"/>
    <mergeCell ref="D261:E261"/>
    <mergeCell ref="F261:G261"/>
    <mergeCell ref="H261:I261"/>
    <mergeCell ref="J261:K261"/>
    <mergeCell ref="D262:E262"/>
    <mergeCell ref="F262:G262"/>
    <mergeCell ref="H262:I262"/>
    <mergeCell ref="J262:K262"/>
    <mergeCell ref="D259:E259"/>
    <mergeCell ref="F259:G259"/>
    <mergeCell ref="L209:M209"/>
    <mergeCell ref="N209:O209"/>
    <mergeCell ref="L208:M208"/>
    <mergeCell ref="N208:O208"/>
    <mergeCell ref="H206:I206"/>
    <mergeCell ref="J206:K206"/>
    <mergeCell ref="D207:E207"/>
    <mergeCell ref="B149:B150"/>
    <mergeCell ref="C149:C150"/>
    <mergeCell ref="D149:E150"/>
    <mergeCell ref="F149:G150"/>
    <mergeCell ref="H149:I150"/>
    <mergeCell ref="D209:E209"/>
    <mergeCell ref="F209:G209"/>
    <mergeCell ref="H209:I209"/>
    <mergeCell ref="J209:K209"/>
    <mergeCell ref="F207:G207"/>
    <mergeCell ref="H207:I207"/>
    <mergeCell ref="J207:K207"/>
    <mergeCell ref="D206:E206"/>
    <mergeCell ref="F206:G206"/>
    <mergeCell ref="D208:E208"/>
    <mergeCell ref="F208:G208"/>
    <mergeCell ref="H208:I208"/>
    <mergeCell ref="J208:K208"/>
    <mergeCell ref="J205:K205"/>
    <mergeCell ref="D202:E202"/>
    <mergeCell ref="F202:G202"/>
    <mergeCell ref="H202:I202"/>
    <mergeCell ref="J202:K202"/>
    <mergeCell ref="D203:E203"/>
    <mergeCell ref="F203:G203"/>
  </mergeCells>
  <phoneticPr fontId="4" type="noConversion"/>
  <conditionalFormatting sqref="B471:B472 B461:B469 B454:B458">
    <cfRule type="expression" dxfId="33" priority="25" stopIfTrue="1">
      <formula>#REF!=0</formula>
    </cfRule>
  </conditionalFormatting>
  <conditionalFormatting sqref="C471:C475 D468:U475 C468">
    <cfRule type="expression" dxfId="32" priority="26" stopIfTrue="1">
      <formula>$A$360=0</formula>
    </cfRule>
  </conditionalFormatting>
  <conditionalFormatting sqref="B138:B142 B79:B134 B38:B72 B218:B268 B201:B210 B276:B277">
    <cfRule type="expression" dxfId="31" priority="27" stopIfTrue="1">
      <formula>$A$51=1</formula>
    </cfRule>
  </conditionalFormatting>
  <conditionalFormatting sqref="O7:O8 Q6 R7:R8 S6:S8">
    <cfRule type="expression" dxfId="30" priority="24" stopIfTrue="1">
      <formula>#REF!=1</formula>
    </cfRule>
  </conditionalFormatting>
  <conditionalFormatting sqref="B171:B200">
    <cfRule type="expression" dxfId="29" priority="22" stopIfTrue="1">
      <formula>$A$51=1</formula>
    </cfRule>
  </conditionalFormatting>
  <conditionalFormatting sqref="B278:B279">
    <cfRule type="expression" dxfId="28" priority="17" stopIfTrue="1">
      <formula>$A$51=1</formula>
    </cfRule>
  </conditionalFormatting>
  <conditionalFormatting sqref="B273:B274">
    <cfRule type="expression" dxfId="27" priority="15" stopIfTrue="1">
      <formula>$A$49=1</formula>
    </cfRule>
  </conditionalFormatting>
  <conditionalFormatting sqref="B280:B281">
    <cfRule type="expression" dxfId="26" priority="14" stopIfTrue="1">
      <formula>$A$51=1</formula>
    </cfRule>
  </conditionalFormatting>
  <conditionalFormatting sqref="B473:B475">
    <cfRule type="expression" dxfId="25" priority="12" stopIfTrue="1">
      <formula>#REF!=0</formula>
    </cfRule>
  </conditionalFormatting>
  <conditionalFormatting sqref="B524:U530">
    <cfRule type="expression" dxfId="24" priority="11" stopIfTrue="1">
      <formula>$U$531&lt;&gt;"適用通路：錠嵂保經"</formula>
    </cfRule>
  </conditionalFormatting>
  <conditionalFormatting sqref="B356">
    <cfRule type="expression" dxfId="23" priority="10" stopIfTrue="1">
      <formula>$A$49=1</formula>
    </cfRule>
  </conditionalFormatting>
  <conditionalFormatting sqref="B291:B345">
    <cfRule type="expression" dxfId="22" priority="9" stopIfTrue="1">
      <formula>$A$49=1</formula>
    </cfRule>
  </conditionalFormatting>
  <conditionalFormatting sqref="L290:L344">
    <cfRule type="expression" dxfId="21" priority="8" stopIfTrue="1">
      <formula>$A$49=1</formula>
    </cfRule>
  </conditionalFormatting>
  <conditionalFormatting sqref="B352:B353">
    <cfRule type="expression" dxfId="20" priority="3" stopIfTrue="1">
      <formula>$A$49=1</formula>
    </cfRule>
  </conditionalFormatting>
  <conditionalFormatting sqref="B346:B347">
    <cfRule type="expression" dxfId="19" priority="2" stopIfTrue="1">
      <formula>$A$49=1</formula>
    </cfRule>
  </conditionalFormatting>
  <conditionalFormatting sqref="B348:B349">
    <cfRule type="expression" dxfId="18" priority="1" stopIfTrue="1">
      <formula>$A$49=1</formula>
    </cfRule>
  </conditionalFormatting>
  <conditionalFormatting sqref="B350:B351 B354:B355">
    <cfRule type="expression" dxfId="17" priority="4" stopIfTrue="1">
      <formula>$A$49=1</formula>
    </cfRule>
  </conditionalFormatting>
  <printOptions horizontalCentered="1" verticalCentered="1"/>
  <pageMargins left="0.19685039370078741" right="0.19685039370078741" top="0.19685039370078741" bottom="0.19685039370078741" header="0.51181102362204722" footer="0.19685039370078741"/>
  <pageSetup paperSize="9" fitToHeight="4" orientation="portrait" r:id="rId1"/>
  <headerFooter alignWithMargins="0">
    <oddFooter>&amp;L第&amp;P頁/共&amp;N頁</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已命名的範圍</vt:lpstr>
      </vt:variant>
      <vt:variant>
        <vt:i4>32</vt:i4>
      </vt:variant>
    </vt:vector>
  </HeadingPairs>
  <TitlesOfParts>
    <vt:vector size="37" baseType="lpstr">
      <vt:lpstr>輸入頁</vt:lpstr>
      <vt:lpstr>列印頁</vt:lpstr>
      <vt:lpstr>列印頁-簡</vt:lpstr>
      <vt:lpstr>6IWT</vt:lpstr>
      <vt:lpstr>比銀行</vt:lpstr>
      <vt:lpstr>_DIE2</vt:lpstr>
      <vt:lpstr>_PDN1</vt:lpstr>
      <vt:lpstr>CV</vt:lpstr>
      <vt:lpstr>DIE</vt:lpstr>
      <vt:lpstr>DOWN16</vt:lpstr>
      <vt:lpstr>EXP</vt:lpstr>
      <vt:lpstr>GP</vt:lpstr>
      <vt:lpstr>MAXR</vt:lpstr>
      <vt:lpstr>more</vt:lpstr>
      <vt:lpstr>MORE_16</vt:lpstr>
      <vt:lpstr>MORE_PV</vt:lpstr>
      <vt:lpstr>more1</vt:lpstr>
      <vt:lpstr>PA</vt:lpstr>
      <vt:lpstr>PDN1_</vt:lpstr>
      <vt:lpstr>PDSN1</vt:lpstr>
      <vt:lpstr>PDSN1_</vt:lpstr>
      <vt:lpstr>PI</vt:lpstr>
      <vt:lpstr>'6IWT'!Print_Area</vt:lpstr>
      <vt:lpstr>比銀行!Print_Area</vt:lpstr>
      <vt:lpstr>列印頁!Print_Area</vt:lpstr>
      <vt:lpstr>'列印頁-簡'!Print_Area</vt:lpstr>
      <vt:lpstr>輸入頁!Print_Area</vt:lpstr>
      <vt:lpstr>PV0</vt:lpstr>
      <vt:lpstr>PVFB</vt:lpstr>
      <vt:lpstr>PYO</vt:lpstr>
      <vt:lpstr>PYR</vt:lpstr>
      <vt:lpstr>PYY</vt:lpstr>
      <vt:lpstr>TOV</vt:lpstr>
      <vt:lpstr>YP</vt:lpstr>
      <vt:lpstr>主約1</vt:lpstr>
      <vt:lpstr>繳別首</vt:lpstr>
      <vt:lpstr>繳別續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吳幸旻</dc:creator>
  <cp:lastModifiedBy>smart</cp:lastModifiedBy>
  <cp:lastPrinted>2017-06-02T02:35:19Z</cp:lastPrinted>
  <dcterms:created xsi:type="dcterms:W3CDTF">2006-07-31T15:34:04Z</dcterms:created>
  <dcterms:modified xsi:type="dcterms:W3CDTF">2017-06-02T02:36:36Z</dcterms:modified>
</cp:coreProperties>
</file>